
<file path=[Content_Types].xml><?xml version="1.0" encoding="utf-8"?>
<Types xmlns="http://schemas.openxmlformats.org/package/2006/content-types">
  <Override PartName="/xl/worksheets/sheet15.xml" ContentType="application/vnd.openxmlformats-officedocument.spreadsheetml.worksheet+xml"/>
  <Override PartName="/xl/worksheets/sheet24.xml" ContentType="application/vnd.openxmlformats-officedocument.spreadsheetml.worksheet+xml"/>
  <Override PartName="/xl/worksheets/sheet35.xml" ContentType="application/vnd.openxmlformats-officedocument.spreadsheetml.worksheet+xml"/>
  <Override PartName="/xl/worksheets/sheet44.xml" ContentType="application/vnd.openxmlformats-officedocument.spreadsheetml.worksheet+xml"/>
  <Override PartName="/xl/worksheets/sheet53.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22.xml" ContentType="application/vnd.openxmlformats-officedocument.spreadsheetml.worksheet+xml"/>
  <Override PartName="/xl/worksheets/sheet33.xml" ContentType="application/vnd.openxmlformats-officedocument.spreadsheetml.worksheet+xml"/>
  <Override PartName="/xl/worksheets/sheet42.xml" ContentType="application/vnd.openxmlformats-officedocument.spreadsheetml.worksheet+xml"/>
  <Override PartName="/xl/worksheets/sheet5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7.xml" ContentType="application/vnd.openxmlformats-officedocument.spreadsheetml.worksheet+xml"/>
  <Override PartName="/xl/worksheets/sheet11.xml" ContentType="application/vnd.openxmlformats-officedocument.spreadsheetml.worksheet+xml"/>
  <Override PartName="/xl/worksheets/sheet20.xml" ContentType="application/vnd.openxmlformats-officedocument.spreadsheetml.worksheet+xml"/>
  <Override PartName="/xl/worksheets/sheet31.xml" ContentType="application/vnd.openxmlformats-officedocument.spreadsheetml.worksheet+xml"/>
  <Override PartName="/xl/worksheets/sheet40.xml" ContentType="application/vnd.openxmlformats-officedocument.spreadsheetml.worksheet+xml"/>
  <Default Extension="wmf" ContentType="image/x-wmf"/>
  <Default Extension="rels" ContentType="application/vnd.openxmlformats-package.relationships+xml"/>
  <Default Extension="xml" ContentType="application/xml"/>
  <Override PartName="/xl/worksheets/sheet5.xml" ContentType="application/vnd.openxmlformats-officedocument.spreadsheetml.worksheet+xml"/>
  <Override PartName="/xl/externalLinks/externalLink5.xml" ContentType="application/vnd.openxmlformats-officedocument.spreadsheetml.externalLink+xml"/>
  <Override PartName="/xl/drawings/drawing2.xml" ContentType="application/vnd.openxmlformats-officedocument.drawing+xml"/>
  <Override PartName="/xl/worksheets/sheet3.xml" ContentType="application/vnd.openxmlformats-officedocument.spreadsheetml.worksheet+xml"/>
  <Override PartName="/xl/externalLinks/externalLink3.xml" ContentType="application/vnd.openxmlformats-officedocument.spreadsheetml.externalLink+xml"/>
  <Override PartName="/docProps/custom.xml" ContentType="application/vnd.openxmlformats-officedocument.custom-properties+xml"/>
  <Override PartName="/xl/worksheets/sheet1.xml" ContentType="application/vnd.openxmlformats-officedocument.spreadsheetml.worksheet+xml"/>
  <Override PartName="/xl/worksheets/sheet49.xml" ContentType="application/vnd.openxmlformats-officedocument.spreadsheetml.worksheet+xml"/>
  <Override PartName="/xl/externalLinks/externalLink1.xml" ContentType="application/vnd.openxmlformats-officedocument.spreadsheetml.externalLink+xml"/>
  <Override PartName="/xl/worksheets/sheet19.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docProps/core.xml" ContentType="application/vnd.openxmlformats-package.core-properties+xml"/>
  <Override PartName="/xl/worksheets/sheet16.xml" ContentType="application/vnd.openxmlformats-officedocument.spreadsheetml.worksheet+xml"/>
  <Override PartName="/xl/worksheets/sheet25.xml" ContentType="application/vnd.openxmlformats-officedocument.spreadsheetml.worksheet+xml"/>
  <Override PartName="/xl/worksheets/sheet34.xml" ContentType="application/vnd.openxmlformats-officedocument.spreadsheetml.worksheet+xml"/>
  <Override PartName="/xl/worksheets/sheet43.xml" ContentType="application/vnd.openxmlformats-officedocument.spreadsheetml.worksheet+xml"/>
  <Override PartName="/xl/worksheets/sheet52.xml" ContentType="application/vnd.openxmlformats-officedocument.spreadsheetml.worksheet+xml"/>
  <Default Extension="bin" ContentType="application/vnd.openxmlformats-officedocument.spreadsheetml.printerSettings"/>
  <Override PartName="/xl/worksheets/sheet14.xml" ContentType="application/vnd.openxmlformats-officedocument.spreadsheetml.worksheet+xml"/>
  <Override PartName="/xl/worksheets/sheet23.xml" ContentType="application/vnd.openxmlformats-officedocument.spreadsheetml.worksheet+xml"/>
  <Override PartName="/xl/worksheets/sheet32.xml" ContentType="application/vnd.openxmlformats-officedocument.spreadsheetml.worksheet+xml"/>
  <Override PartName="/xl/worksheets/sheet41.xml" ContentType="application/vnd.openxmlformats-officedocument.spreadsheetml.worksheet+xml"/>
  <Override PartName="/xl/worksheets/sheet50.xml" ContentType="application/vnd.openxmlformats-officedocument.spreadsheetml.worksheet+xml"/>
  <Override PartName="/xl/worksheets/sheet6.xml" ContentType="application/vnd.openxmlformats-officedocument.spreadsheetml.worksheet+xml"/>
  <Override PartName="/xl/worksheets/sheet8.xml" ContentType="application/vnd.openxmlformats-officedocument.spreadsheetml.worksheet+xml"/>
  <Override PartName="/xl/worksheets/sheet12.xml" ContentType="application/vnd.openxmlformats-officedocument.spreadsheetml.worksheet+xml"/>
  <Override PartName="/xl/worksheets/sheet21.xml" ContentType="application/vnd.openxmlformats-officedocument.spreadsheetml.worksheet+xml"/>
  <Override PartName="/xl/worksheets/sheet30.xml" ContentType="application/vnd.openxmlformats-officedocument.spreadsheetml.worksheet+xml"/>
  <Default Extension="jpeg" ContentType="image/jpeg"/>
  <Override PartName="/xl/workbook.xml" ContentType="application/vnd.openxmlformats-officedocument.spreadsheetml.sheet.main+xml"/>
  <Override PartName="/xl/worksheets/sheet4.xml" ContentType="application/vnd.openxmlformats-officedocument.spreadsheetml.worksheet+xml"/>
  <Override PartName="/xl/worksheets/sheet10.xml" ContentType="application/vnd.openxmlformats-officedocument.spreadsheetml.worksheet+xml"/>
  <Override PartName="/xl/externalLinks/externalLink4.xml" ContentType="application/vnd.openxmlformats-officedocument.spreadsheetml.externalLink+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externalLinks/externalLink2.xml" ContentType="application/vnd.openxmlformats-officedocument.spreadsheetml.externalLink+xml"/>
  <Override PartName="/xl/drawings/drawing1.xml" ContentType="application/vnd.openxmlformats-officedocument.drawing+xml"/>
  <Override PartName="/xl/calcChain.xml" ContentType="application/vnd.openxmlformats-officedocument.spreadsheetml.calcChai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ThisWorkbook" defaultThemeVersion="124226"/>
  <bookViews>
    <workbookView xWindow="-105" yWindow="-105" windowWidth="20730" windowHeight="11760" tabRatio="753" firstSheet="35" activeTab="53"/>
  </bookViews>
  <sheets>
    <sheet name="0000000000000" sheetId="27" state="veryHidden" r:id="rId1"/>
    <sheet name="COVER" sheetId="131" r:id="rId2"/>
    <sheet name="SPE" sheetId="141" r:id="rId3"/>
    <sheet name="Genetic" sheetId="307" r:id="rId4"/>
    <sheet name="NIC" sheetId="305" state="hidden" r:id="rId5"/>
    <sheet name="INPUT" sheetId="139" r:id="rId6"/>
    <sheet name="abstract" sheetId="303" state="hidden" r:id="rId7"/>
    <sheet name="PART-A" sheetId="132" r:id="rId8"/>
    <sheet name="FF" sheetId="192" state="hidden" r:id="rId9"/>
    <sheet name="SF" sheetId="194" state="hidden" r:id="rId10"/>
    <sheet name="Water &amp; Electrical" sheetId="304" state="hidden" r:id="rId11"/>
    <sheet name="PART-B" sheetId="306" r:id="rId12"/>
    <sheet name="steel cal" sheetId="198" state="hidden" r:id="rId13"/>
    <sheet name="SEIG P-A " sheetId="211" r:id="rId14"/>
    <sheet name="SEIG P-B" sheetId="264" r:id="rId15"/>
    <sheet name="Differ- Material" sheetId="165" r:id="rId16"/>
    <sheet name="lead 19-20" sheetId="212" r:id="rId17"/>
    <sheet name="lead 20-21" sheetId="226" state="hidden" r:id="rId18"/>
    <sheet name="lead 21-22" sheetId="240" state="hidden" r:id="rId19"/>
    <sheet name="lead 22-23" sheetId="250" r:id="rId20"/>
    <sheet name="data" sheetId="214" r:id="rId21"/>
    <sheet name="D&amp;W data" sheetId="216" state="hidden" r:id="rId22"/>
    <sheet name="SANITATION DTA" sheetId="218" state="hidden" r:id="rId23"/>
    <sheet name="Ele Data" sheetId="215" r:id="rId24"/>
    <sheet name="con 2019-20" sheetId="213" state="hidden" r:id="rId25"/>
    <sheet name="MINI SSR 19-20" sheetId="217" state="hidden" r:id="rId26"/>
    <sheet name="lead 22-23 P-B" sheetId="269" r:id="rId27"/>
    <sheet name="data 2022-23" sheetId="270" r:id="rId28"/>
    <sheet name="door 2022-23" sheetId="272" r:id="rId29"/>
    <sheet name="SANI 2022-23" sheetId="273" r:id="rId30"/>
    <sheet name="Ele 2022-23" sheetId="271" r:id="rId31"/>
    <sheet name="MINI SSR 2020-21" sheetId="232" state="hidden" r:id="rId32"/>
    <sheet name="MINI SSR 21-22" sheetId="246" state="hidden" r:id="rId33"/>
    <sheet name="MINI SSR 2022-23" sheetId="252" state="hidden" r:id="rId34"/>
    <sheet name="MINI SSR 2022-23 (2)" sheetId="299" state="hidden" r:id="rId35"/>
    <sheet name="CS" sheetId="140" r:id="rId36"/>
    <sheet name="CR" sheetId="309" r:id="rId37"/>
    <sheet name="R-1" sheetId="195" r:id="rId38"/>
    <sheet name="con 2020-21" sheetId="231" state="hidden" r:id="rId39"/>
    <sheet name="R-2" sheetId="196" r:id="rId40"/>
    <sheet name="C-1" sheetId="170" r:id="rId41"/>
    <sheet name="CC f -2" sheetId="171" r:id="rId42"/>
    <sheet name="ccbc " sheetId="172" r:id="rId43"/>
    <sheet name="SEIG P-A  (2)" sheetId="310" r:id="rId44"/>
    <sheet name="CERTI " sheetId="174" r:id="rId45"/>
    <sheet name="RE-DE" sheetId="175" r:id="rId46"/>
    <sheet name="Proforma-I" sheetId="302" r:id="rId47"/>
    <sheet name="voucer part (2)" sheetId="176" r:id="rId48"/>
    <sheet name="1 (2)" sheetId="177" r:id="rId49"/>
    <sheet name="2 (2)" sheetId="178" r:id="rId50"/>
    <sheet name="3 (2)" sheetId="179" r:id="rId51"/>
    <sheet name="4 (2)" sheetId="180" state="hidden" r:id="rId52"/>
    <sheet name="5 (2)" sheetId="181" r:id="rId53"/>
    <sheet name="M-1 (2)" sheetId="182" r:id="rId54"/>
    <sheet name="M-3 (2)" sheetId="183" r:id="rId55"/>
    <sheet name="con 2021-22" sheetId="245" state="hidden" r:id="rId56"/>
    <sheet name="con 2022-23" sheetId="251" state="hidden" r:id="rId57"/>
    <sheet name="con 2022-23 (2)" sheetId="298" state="hidden" r:id="rId58"/>
  </sheets>
  <externalReferences>
    <externalReference r:id="rId59"/>
    <externalReference r:id="rId60"/>
    <externalReference r:id="rId61"/>
    <externalReference r:id="rId62"/>
    <externalReference r:id="rId63"/>
  </externalReferences>
  <definedNames>
    <definedName name="__can435">43.3</definedName>
    <definedName name="_3" localSheetId="48" hidden="1">'[1]final abstract'!#REF!</definedName>
    <definedName name="_3" localSheetId="49" hidden="1">'[1]final abstract'!#REF!</definedName>
    <definedName name="_3" localSheetId="50" hidden="1">'[1]final abstract'!#REF!</definedName>
    <definedName name="_3" localSheetId="51" hidden="1">'[1]final abstract'!#REF!</definedName>
    <definedName name="_3" localSheetId="52" hidden="1">'[1]final abstract'!#REF!</definedName>
    <definedName name="_3" localSheetId="6" hidden="1">'[1]final abstract'!#REF!</definedName>
    <definedName name="_3" localSheetId="36" hidden="1">'[1]final abstract'!#REF!</definedName>
    <definedName name="_3" localSheetId="35" hidden="1">'[1]final abstract'!#REF!</definedName>
    <definedName name="_3" localSheetId="21" hidden="1">'[1]final abstract'!#REF!</definedName>
    <definedName name="_3" localSheetId="15" hidden="1">'[1]final abstract'!#REF!</definedName>
    <definedName name="_3" localSheetId="28" hidden="1">'[1]final abstract'!#REF!</definedName>
    <definedName name="_3" localSheetId="8" hidden="1">'[1]final abstract'!#REF!</definedName>
    <definedName name="_3" localSheetId="54" hidden="1">'[1]final abstract'!#REF!</definedName>
    <definedName name="_3" localSheetId="4" hidden="1">'[1]final abstract'!#REF!</definedName>
    <definedName name="_3" localSheetId="7" hidden="1">'[1]final abstract'!#REF!</definedName>
    <definedName name="_3" localSheetId="11" hidden="1">'[1]final abstract'!#REF!</definedName>
    <definedName name="_3" localSheetId="46" hidden="1">'[1]final abstract'!#REF!</definedName>
    <definedName name="_3" localSheetId="37" hidden="1">'[1]final abstract'!#REF!</definedName>
    <definedName name="_3" localSheetId="39" hidden="1">'[1]final abstract'!#REF!</definedName>
    <definedName name="_3" localSheetId="9" hidden="1">'[1]final abstract'!#REF!</definedName>
    <definedName name="_3" localSheetId="2" hidden="1">'[1]final abstract'!#REF!</definedName>
    <definedName name="_3" localSheetId="10" hidden="1">'[1]final abstract'!#REF!</definedName>
    <definedName name="_can430">40.73</definedName>
    <definedName name="_can435">43.3</definedName>
    <definedName name="_Fill" localSheetId="49" hidden="1">'[1]final abstract'!#REF!</definedName>
    <definedName name="_Fill" localSheetId="50" hidden="1">'[1]final abstract'!#REF!</definedName>
    <definedName name="_Fill" localSheetId="51" hidden="1">'[1]final abstract'!#REF!</definedName>
    <definedName name="_Fill" localSheetId="52" hidden="1">'[1]final abstract'!#REF!</definedName>
    <definedName name="_Fill" localSheetId="6" hidden="1">'[1]final abstract'!#REF!</definedName>
    <definedName name="_Fill" localSheetId="36" hidden="1">'[1]final abstract'!#REF!</definedName>
    <definedName name="_Fill" localSheetId="35" hidden="1">'[1]final abstract'!#REF!</definedName>
    <definedName name="_Fill" localSheetId="21" hidden="1">'[1]final abstract'!#REF!</definedName>
    <definedName name="_Fill" localSheetId="15" hidden="1">'[1]final abstract'!#REF!</definedName>
    <definedName name="_Fill" localSheetId="28" hidden="1">'[1]final abstract'!#REF!</definedName>
    <definedName name="_Fill" localSheetId="8" hidden="1">'[1]final abstract'!#REF!</definedName>
    <definedName name="_Fill" localSheetId="54" hidden="1">'[1]final abstract'!#REF!</definedName>
    <definedName name="_Fill" localSheetId="4" hidden="1">'[1]final abstract'!#REF!</definedName>
    <definedName name="_Fill" localSheetId="7" hidden="1">'[1]final abstract'!#REF!</definedName>
    <definedName name="_Fill" localSheetId="11" hidden="1">'[1]final abstract'!#REF!</definedName>
    <definedName name="_Fill" localSheetId="46" hidden="1">'[1]final abstract'!#REF!</definedName>
    <definedName name="_Fill" localSheetId="37" hidden="1">'[1]final abstract'!#REF!</definedName>
    <definedName name="_Fill" localSheetId="39" hidden="1">'[1]final abstract'!#REF!</definedName>
    <definedName name="_Fill" localSheetId="9" hidden="1">'[1]final abstract'!#REF!</definedName>
    <definedName name="_Fill" localSheetId="2" hidden="1">'[1]final abstract'!#REF!</definedName>
    <definedName name="_Fill" localSheetId="10" hidden="1">'[1]final abstract'!#REF!</definedName>
    <definedName name="_xlnm._FilterDatabase" localSheetId="6" hidden="1">abstract!$A$7:$G$9</definedName>
    <definedName name="_xlnm._FilterDatabase" localSheetId="41" hidden="1">'CC f -2'!$A$15:$J$43</definedName>
    <definedName name="_xlnm._FilterDatabase" localSheetId="36" hidden="1">CR!$A$6:$O$1152</definedName>
    <definedName name="_xlnm._FilterDatabase" localSheetId="35" hidden="1">CS!$A$6:$O$1160</definedName>
    <definedName name="_xlnm._FilterDatabase" localSheetId="21" hidden="1">'D&amp;W data'!$A$5:$H$945</definedName>
    <definedName name="_xlnm._FilterDatabase" localSheetId="20" hidden="1">data!$A$6:$H$3673</definedName>
    <definedName name="_xlnm._FilterDatabase" localSheetId="27" hidden="1">'data 2022-23'!$A$4:$H$920</definedName>
    <definedName name="_xlnm._FilterDatabase" localSheetId="28" hidden="1">'door 2022-23'!$A$5:$H$268</definedName>
    <definedName name="_xlnm._FilterDatabase" localSheetId="30" hidden="1">'Ele 2022-23'!$A$4:$I$287</definedName>
    <definedName name="_xlnm._FilterDatabase" localSheetId="23" hidden="1">'Ele Data'!$A$3:$I$1139</definedName>
    <definedName name="_xlnm._FilterDatabase" localSheetId="8" hidden="1">FF!$A$7:$M$1543</definedName>
    <definedName name="_xlnm._FilterDatabase" localSheetId="5" hidden="1">INPUT!$A$4:$H$113</definedName>
    <definedName name="_xlnm._FilterDatabase" localSheetId="4" hidden="1">NIC!$A$5:$G$1136</definedName>
    <definedName name="_xlnm._FilterDatabase" localSheetId="7" hidden="1">'PART-A'!$A$6:$N$4504</definedName>
    <definedName name="_xlnm._FilterDatabase" localSheetId="11" hidden="1">'PART-B'!$A$6:$N$1569</definedName>
    <definedName name="_xlnm._FilterDatabase" localSheetId="37" hidden="1">'R-1'!$A$5:$J$1131</definedName>
    <definedName name="_xlnm._FilterDatabase" localSheetId="39" hidden="1">'R-2'!$A$3:$R$176</definedName>
    <definedName name="_xlnm._FilterDatabase" localSheetId="29" hidden="1">'SANI 2022-23'!$A$4:$G$147</definedName>
    <definedName name="_xlnm._FilterDatabase" localSheetId="22" hidden="1">'SANITATION DTA'!$A$3:$G$590</definedName>
    <definedName name="_xlnm._FilterDatabase" localSheetId="13" hidden="1">'SEIG P-A '!$A$3:$U$184</definedName>
    <definedName name="_xlnm._FilterDatabase" localSheetId="43" hidden="1">'SEIG P-A  (2)'!$A$3:$U$184</definedName>
    <definedName name="_xlnm._FilterDatabase" localSheetId="14" hidden="1">'SEIG P-B'!$A$3:$U$49</definedName>
    <definedName name="_xlnm._FilterDatabase" localSheetId="9" hidden="1">SF!$A$7:$M$961</definedName>
    <definedName name="_xlnm._FilterDatabase" localSheetId="47" hidden="1">'voucer part (2)'!$A$9:$L$29</definedName>
    <definedName name="_xlnm._FilterDatabase" localSheetId="10" hidden="1">'Water &amp; Electrical'!$A$7:$N$7</definedName>
    <definedName name="aa" localSheetId="49" hidden="1">'[1]final abstract'!#REF!</definedName>
    <definedName name="aa" localSheetId="50" hidden="1">'[1]final abstract'!#REF!</definedName>
    <definedName name="aa" localSheetId="51" hidden="1">'[1]final abstract'!#REF!</definedName>
    <definedName name="aa" localSheetId="52" hidden="1">'[1]final abstract'!#REF!</definedName>
    <definedName name="aa" localSheetId="6" hidden="1">'[1]final abstract'!#REF!</definedName>
    <definedName name="aa" localSheetId="1" hidden="1">'[1]final abstract'!#REF!</definedName>
    <definedName name="aa" localSheetId="36" hidden="1">'[1]final abstract'!#REF!</definedName>
    <definedName name="aa" localSheetId="35" hidden="1">'[1]final abstract'!#REF!</definedName>
    <definedName name="aa" localSheetId="21" hidden="1">'[1]final abstract'!#REF!</definedName>
    <definedName name="aa" localSheetId="15" hidden="1">'[1]final abstract'!#REF!</definedName>
    <definedName name="aa" localSheetId="28" hidden="1">'[1]final abstract'!#REF!</definedName>
    <definedName name="aa" localSheetId="8" hidden="1">'[1]final abstract'!#REF!</definedName>
    <definedName name="aa" localSheetId="4" hidden="1">'[1]final abstract'!#REF!</definedName>
    <definedName name="aa" localSheetId="7" hidden="1">'[1]final abstract'!#REF!</definedName>
    <definedName name="aa" localSheetId="11" hidden="1">'[1]final abstract'!#REF!</definedName>
    <definedName name="aa" localSheetId="37" hidden="1">'[1]final abstract'!#REF!</definedName>
    <definedName name="aa" localSheetId="39" hidden="1">'[1]final abstract'!#REF!</definedName>
    <definedName name="aa" localSheetId="9" hidden="1">'[1]final abstract'!#REF!</definedName>
    <definedName name="aa" localSheetId="2" hidden="1">'[1]final abstract'!#REF!</definedName>
    <definedName name="aa" localSheetId="10" hidden="1">'[1]final abstract'!#REF!</definedName>
    <definedName name="academic" localSheetId="49" hidden="1">'[1]final abstract'!#REF!</definedName>
    <definedName name="academic" localSheetId="50" hidden="1">'[1]final abstract'!#REF!</definedName>
    <definedName name="academic" localSheetId="51" hidden="1">'[1]final abstract'!#REF!</definedName>
    <definedName name="academic" localSheetId="52" hidden="1">'[1]final abstract'!#REF!</definedName>
    <definedName name="academic" localSheetId="6" hidden="1">'[1]final abstract'!#REF!</definedName>
    <definedName name="academic" localSheetId="36" hidden="1">'[1]final abstract'!#REF!</definedName>
    <definedName name="academic" localSheetId="35" hidden="1">'[1]final abstract'!#REF!</definedName>
    <definedName name="academic" localSheetId="21" hidden="1">'[1]final abstract'!#REF!</definedName>
    <definedName name="academic" localSheetId="15" hidden="1">'[1]final abstract'!#REF!</definedName>
    <definedName name="academic" localSheetId="28" hidden="1">'[1]final abstract'!#REF!</definedName>
    <definedName name="academic" localSheetId="8" hidden="1">'[1]final abstract'!#REF!</definedName>
    <definedName name="academic" localSheetId="4" hidden="1">'[1]final abstract'!#REF!</definedName>
    <definedName name="academic" localSheetId="7" hidden="1">'[1]final abstract'!#REF!</definedName>
    <definedName name="academic" localSheetId="11" hidden="1">'[1]final abstract'!#REF!</definedName>
    <definedName name="academic" localSheetId="37" hidden="1">'[1]final abstract'!#REF!</definedName>
    <definedName name="academic" localSheetId="39" hidden="1">'[1]final abstract'!#REF!</definedName>
    <definedName name="academic" localSheetId="9" hidden="1">'[1]final abstract'!#REF!</definedName>
    <definedName name="academic" localSheetId="2" hidden="1">'[1]final abstract'!#REF!</definedName>
    <definedName name="academic" localSheetId="10" hidden="1">'[1]final abstract'!#REF!</definedName>
    <definedName name="anscount" hidden="1">1</definedName>
    <definedName name="ASDF" localSheetId="3" hidden="1">{"'ridftotal'!$A$4:$S$27"}</definedName>
    <definedName name="ASDF" localSheetId="25" hidden="1">{"'ridftotal'!$A$4:$S$27"}</definedName>
    <definedName name="ASDF" localSheetId="31" hidden="1">{"'ridftotal'!$A$4:$S$27"}</definedName>
    <definedName name="ASDF" localSheetId="33" hidden="1">{"'ridftotal'!$A$4:$S$27"}</definedName>
    <definedName name="ASDF" localSheetId="34" hidden="1">{"'ridftotal'!$A$4:$S$27"}</definedName>
    <definedName name="ASDF" localSheetId="32" hidden="1">{"'ridftotal'!$A$4:$S$27"}</definedName>
    <definedName name="ASDF" localSheetId="46" hidden="1">{"'ridftotal'!$A$4:$S$27"}</definedName>
    <definedName name="ASFDA" localSheetId="6" hidden="1">{"'ridftotal'!$A$4:$S$27"}</definedName>
    <definedName name="ASFDA" localSheetId="36" hidden="1">{"'ridftotal'!$A$4:$S$27"}</definedName>
    <definedName name="ASFDA" localSheetId="35" hidden="1">{"'ridftotal'!$A$4:$S$27"}</definedName>
    <definedName name="ASFDA" localSheetId="15" hidden="1">{"'ridftotal'!$A$4:$S$27"}</definedName>
    <definedName name="ASFDA" localSheetId="8" hidden="1">{"'ridftotal'!$A$4:$S$27"}</definedName>
    <definedName name="ASFDA" localSheetId="3" hidden="1">{"'ridftotal'!$A$4:$S$27"}</definedName>
    <definedName name="ASFDA" localSheetId="25" hidden="1">{"'ridftotal'!$A$4:$S$27"}</definedName>
    <definedName name="ASFDA" localSheetId="31" hidden="1">{"'ridftotal'!$A$4:$S$27"}</definedName>
    <definedName name="ASFDA" localSheetId="33" hidden="1">{"'ridftotal'!$A$4:$S$27"}</definedName>
    <definedName name="ASFDA" localSheetId="34" hidden="1">{"'ridftotal'!$A$4:$S$27"}</definedName>
    <definedName name="ASFDA" localSheetId="32" hidden="1">{"'ridftotal'!$A$4:$S$27"}</definedName>
    <definedName name="ASFDA" localSheetId="4" hidden="1">{"'ridftotal'!$A$4:$S$27"}</definedName>
    <definedName name="ASFDA" localSheetId="7" hidden="1">{"'ridftotal'!$A$4:$S$27"}</definedName>
    <definedName name="ASFDA" localSheetId="11" hidden="1">{"'ridftotal'!$A$4:$S$27"}</definedName>
    <definedName name="ASFDA" localSheetId="46" hidden="1">{"'ridftotal'!$A$4:$S$27"}</definedName>
    <definedName name="ASFDA" localSheetId="37" hidden="1">{"'ridftotal'!$A$4:$S$27"}</definedName>
    <definedName name="ASFDA" localSheetId="9" hidden="1">{"'ridftotal'!$A$4:$S$27"}</definedName>
    <definedName name="ASFDA" localSheetId="2" hidden="1">{"'ridftotal'!$A$4:$S$27"}</definedName>
    <definedName name="ASFDA" localSheetId="10" hidden="1">{"'ridftotal'!$A$4:$S$27"}</definedName>
    <definedName name="data1" localSheetId="49" hidden="1">#REF!</definedName>
    <definedName name="data1" localSheetId="50" hidden="1">#REF!</definedName>
    <definedName name="data1" localSheetId="51" hidden="1">#REF!</definedName>
    <definedName name="data1" localSheetId="52" hidden="1">#REF!</definedName>
    <definedName name="data1" localSheetId="6" hidden="1">#REF!</definedName>
    <definedName name="data1" localSheetId="36" hidden="1">#REF!</definedName>
    <definedName name="data1" localSheetId="35" hidden="1">#REF!</definedName>
    <definedName name="data1" localSheetId="21" hidden="1">#REF!</definedName>
    <definedName name="data1" localSheetId="15" hidden="1">#REF!</definedName>
    <definedName name="data1" localSheetId="28" hidden="1">#REF!</definedName>
    <definedName name="data1" localSheetId="8" hidden="1">#REF!</definedName>
    <definedName name="data1" localSheetId="25" hidden="1">#REF!</definedName>
    <definedName name="data1" localSheetId="31" hidden="1">#REF!</definedName>
    <definedName name="data1" localSheetId="33" hidden="1">#REF!</definedName>
    <definedName name="data1" localSheetId="34" hidden="1">#REF!</definedName>
    <definedName name="data1" localSheetId="32" hidden="1">#REF!</definedName>
    <definedName name="data1" localSheetId="4" hidden="1">#REF!</definedName>
    <definedName name="data1" localSheetId="7" hidden="1">#REF!</definedName>
    <definedName name="data1" localSheetId="11" hidden="1">#REF!</definedName>
    <definedName name="data1" localSheetId="46" hidden="1">#REF!</definedName>
    <definedName name="data1" localSheetId="37" hidden="1">#REF!</definedName>
    <definedName name="data1" localSheetId="39" hidden="1">#REF!</definedName>
    <definedName name="data1" localSheetId="9" hidden="1">#REF!</definedName>
    <definedName name="data1" localSheetId="2" hidden="1">#REF!</definedName>
    <definedName name="data1" localSheetId="10" hidden="1">#REF!</definedName>
    <definedName name="data2" localSheetId="49" hidden="1">#REF!</definedName>
    <definedName name="data2" localSheetId="50" hidden="1">#REF!</definedName>
    <definedName name="data2" localSheetId="51" hidden="1">#REF!</definedName>
    <definedName name="data2" localSheetId="52" hidden="1">#REF!</definedName>
    <definedName name="data2" localSheetId="6" hidden="1">#REF!</definedName>
    <definedName name="data2" localSheetId="36" hidden="1">#REF!</definedName>
    <definedName name="data2" localSheetId="35" hidden="1">#REF!</definedName>
    <definedName name="data2" localSheetId="21" hidden="1">#REF!</definedName>
    <definedName name="data2" localSheetId="15" hidden="1">#REF!</definedName>
    <definedName name="data2" localSheetId="28" hidden="1">#REF!</definedName>
    <definedName name="data2" localSheetId="8" hidden="1">#REF!</definedName>
    <definedName name="data2" localSheetId="25" hidden="1">#REF!</definedName>
    <definedName name="data2" localSheetId="31" hidden="1">#REF!</definedName>
    <definedName name="data2" localSheetId="33" hidden="1">#REF!</definedName>
    <definedName name="data2" localSheetId="34" hidden="1">#REF!</definedName>
    <definedName name="data2" localSheetId="32" hidden="1">#REF!</definedName>
    <definedName name="data2" localSheetId="4" hidden="1">#REF!</definedName>
    <definedName name="data2" localSheetId="7" hidden="1">#REF!</definedName>
    <definedName name="data2" localSheetId="11" hidden="1">#REF!</definedName>
    <definedName name="data2" localSheetId="46" hidden="1">#REF!</definedName>
    <definedName name="data2" localSheetId="37" hidden="1">#REF!</definedName>
    <definedName name="data2" localSheetId="39" hidden="1">#REF!</definedName>
    <definedName name="data2" localSheetId="9" hidden="1">#REF!</definedName>
    <definedName name="data2" localSheetId="2" hidden="1">#REF!</definedName>
    <definedName name="data2" localSheetId="10" hidden="1">#REF!</definedName>
    <definedName name="data3" localSheetId="49" hidden="1">#REF!</definedName>
    <definedName name="data3" localSheetId="50" hidden="1">#REF!</definedName>
    <definedName name="data3" localSheetId="51" hidden="1">#REF!</definedName>
    <definedName name="data3" localSheetId="52" hidden="1">#REF!</definedName>
    <definedName name="data3" localSheetId="6" hidden="1">#REF!</definedName>
    <definedName name="data3" localSheetId="36" hidden="1">#REF!</definedName>
    <definedName name="data3" localSheetId="35" hidden="1">#REF!</definedName>
    <definedName name="data3" localSheetId="21" hidden="1">#REF!</definedName>
    <definedName name="data3" localSheetId="15" hidden="1">#REF!</definedName>
    <definedName name="data3" localSheetId="28" hidden="1">#REF!</definedName>
    <definedName name="data3" localSheetId="8" hidden="1">#REF!</definedName>
    <definedName name="data3" localSheetId="25" hidden="1">#REF!</definedName>
    <definedName name="data3" localSheetId="31" hidden="1">#REF!</definedName>
    <definedName name="data3" localSheetId="33" hidden="1">#REF!</definedName>
    <definedName name="data3" localSheetId="34" hidden="1">#REF!</definedName>
    <definedName name="data3" localSheetId="32" hidden="1">#REF!</definedName>
    <definedName name="data3" localSheetId="4" hidden="1">#REF!</definedName>
    <definedName name="data3" localSheetId="7" hidden="1">#REF!</definedName>
    <definedName name="data3" localSheetId="11" hidden="1">#REF!</definedName>
    <definedName name="data3" localSheetId="46" hidden="1">#REF!</definedName>
    <definedName name="data3" localSheetId="37" hidden="1">#REF!</definedName>
    <definedName name="data3" localSheetId="39" hidden="1">#REF!</definedName>
    <definedName name="data3" localSheetId="9" hidden="1">#REF!</definedName>
    <definedName name="data3" localSheetId="2" hidden="1">#REF!</definedName>
    <definedName name="data3" localSheetId="10" hidden="1">#REF!</definedName>
    <definedName name="ddd" localSheetId="49" hidden="1">'[1]final abstract'!#REF!</definedName>
    <definedName name="ddd" localSheetId="50" hidden="1">'[1]final abstract'!#REF!</definedName>
    <definedName name="ddd" localSheetId="51" hidden="1">'[1]final abstract'!#REF!</definedName>
    <definedName name="ddd" localSheetId="52" hidden="1">'[1]final abstract'!#REF!</definedName>
    <definedName name="ddd" localSheetId="6" hidden="1">'[1]final abstract'!#REF!</definedName>
    <definedName name="ddd" localSheetId="36" hidden="1">'[1]final abstract'!#REF!</definedName>
    <definedName name="ddd" localSheetId="35" hidden="1">'[1]final abstract'!#REF!</definedName>
    <definedName name="ddd" localSheetId="21" hidden="1">'[1]final abstract'!#REF!</definedName>
    <definedName name="ddd" localSheetId="15" hidden="1">'[1]final abstract'!#REF!</definedName>
    <definedName name="ddd" localSheetId="28" hidden="1">'[1]final abstract'!#REF!</definedName>
    <definedName name="ddd" localSheetId="8" hidden="1">'[1]final abstract'!#REF!</definedName>
    <definedName name="ddd" localSheetId="4" hidden="1">'[1]final abstract'!#REF!</definedName>
    <definedName name="ddd" localSheetId="7" hidden="1">'[1]final abstract'!#REF!</definedName>
    <definedName name="ddd" localSheetId="11" hidden="1">'[1]final abstract'!#REF!</definedName>
    <definedName name="ddd" localSheetId="37" hidden="1">'[1]final abstract'!#REF!</definedName>
    <definedName name="ddd" localSheetId="39" hidden="1">'[1]final abstract'!#REF!</definedName>
    <definedName name="ddd" localSheetId="9" hidden="1">'[1]final abstract'!#REF!</definedName>
    <definedName name="ddd" localSheetId="2" hidden="1">'[1]final abstract'!#REF!</definedName>
    <definedName name="ddd" localSheetId="10" hidden="1">'[1]final abstract'!#REF!</definedName>
    <definedName name="dfas" localSheetId="49" hidden="1">'[1]final abstract'!#REF!</definedName>
    <definedName name="dfas" localSheetId="50" hidden="1">'[1]final abstract'!#REF!</definedName>
    <definedName name="dfas" localSheetId="51" hidden="1">'[1]final abstract'!#REF!</definedName>
    <definedName name="dfas" localSheetId="52" hidden="1">'[1]final abstract'!#REF!</definedName>
    <definedName name="dfas" localSheetId="6" hidden="1">'[1]final abstract'!#REF!</definedName>
    <definedName name="dfas" localSheetId="36" hidden="1">'[1]final abstract'!#REF!</definedName>
    <definedName name="dfas" localSheetId="35" hidden="1">'[1]final abstract'!#REF!</definedName>
    <definedName name="dfas" localSheetId="21" hidden="1">'[1]final abstract'!#REF!</definedName>
    <definedName name="dfas" localSheetId="15" hidden="1">'[1]final abstract'!#REF!</definedName>
    <definedName name="dfas" localSheetId="28" hidden="1">'[1]final abstract'!#REF!</definedName>
    <definedName name="dfas" localSheetId="4" hidden="1">'[1]final abstract'!#REF!</definedName>
    <definedName name="dfas" localSheetId="11" hidden="1">'[1]final abstract'!#REF!</definedName>
    <definedName name="dfas" localSheetId="37" hidden="1">'[1]final abstract'!#REF!</definedName>
    <definedName name="dfas" localSheetId="39" hidden="1">'[1]final abstract'!#REF!</definedName>
    <definedName name="dfas" localSheetId="2" hidden="1">'[1]final abstract'!#REF!</definedName>
    <definedName name="dfas" localSheetId="10" hidden="1">'[1]final abstract'!#REF!</definedName>
    <definedName name="Discount" localSheetId="49" hidden="1">#REF!</definedName>
    <definedName name="Discount" localSheetId="50" hidden="1">#REF!</definedName>
    <definedName name="Discount" localSheetId="51" hidden="1">#REF!</definedName>
    <definedName name="Discount" localSheetId="52" hidden="1">#REF!</definedName>
    <definedName name="Discount" localSheetId="6" hidden="1">#REF!</definedName>
    <definedName name="Discount" localSheetId="36" hidden="1">#REF!</definedName>
    <definedName name="Discount" localSheetId="35" hidden="1">#REF!</definedName>
    <definedName name="Discount" localSheetId="21" hidden="1">#REF!</definedName>
    <definedName name="Discount" localSheetId="15" hidden="1">#REF!</definedName>
    <definedName name="Discount" localSheetId="28" hidden="1">#REF!</definedName>
    <definedName name="Discount" localSheetId="8" hidden="1">#REF!</definedName>
    <definedName name="Discount" localSheetId="25" hidden="1">#REF!</definedName>
    <definedName name="Discount" localSheetId="31" hidden="1">#REF!</definedName>
    <definedName name="Discount" localSheetId="33" hidden="1">#REF!</definedName>
    <definedName name="Discount" localSheetId="34" hidden="1">#REF!</definedName>
    <definedName name="Discount" localSheetId="32" hidden="1">#REF!</definedName>
    <definedName name="Discount" localSheetId="4" hidden="1">#REF!</definedName>
    <definedName name="Discount" localSheetId="7" hidden="1">#REF!</definedName>
    <definedName name="Discount" localSheetId="11" hidden="1">#REF!</definedName>
    <definedName name="Discount" localSheetId="46" hidden="1">#REF!</definedName>
    <definedName name="Discount" localSheetId="37" hidden="1">#REF!</definedName>
    <definedName name="Discount" localSheetId="39" hidden="1">#REF!</definedName>
    <definedName name="Discount" localSheetId="9" hidden="1">#REF!</definedName>
    <definedName name="Discount" localSheetId="2" hidden="1">#REF!</definedName>
    <definedName name="Discount" localSheetId="10" hidden="1">#REF!</definedName>
    <definedName name="display_area_2" localSheetId="49" hidden="1">#REF!</definedName>
    <definedName name="display_area_2" localSheetId="50" hidden="1">#REF!</definedName>
    <definedName name="display_area_2" localSheetId="51" hidden="1">#REF!</definedName>
    <definedName name="display_area_2" localSheetId="52" hidden="1">#REF!</definedName>
    <definedName name="display_area_2" localSheetId="6" hidden="1">#REF!</definedName>
    <definedName name="display_area_2" localSheetId="36" hidden="1">#REF!</definedName>
    <definedName name="display_area_2" localSheetId="35" hidden="1">#REF!</definedName>
    <definedName name="display_area_2" localSheetId="21" hidden="1">#REF!</definedName>
    <definedName name="display_area_2" localSheetId="15" hidden="1">#REF!</definedName>
    <definedName name="display_area_2" localSheetId="28" hidden="1">#REF!</definedName>
    <definedName name="display_area_2" localSheetId="8" hidden="1">#REF!</definedName>
    <definedName name="display_area_2" localSheetId="25" hidden="1">#REF!</definedName>
    <definedName name="display_area_2" localSheetId="31" hidden="1">#REF!</definedName>
    <definedName name="display_area_2" localSheetId="33" hidden="1">#REF!</definedName>
    <definedName name="display_area_2" localSheetId="34" hidden="1">#REF!</definedName>
    <definedName name="display_area_2" localSheetId="32" hidden="1">#REF!</definedName>
    <definedName name="display_area_2" localSheetId="4" hidden="1">#REF!</definedName>
    <definedName name="display_area_2" localSheetId="7" hidden="1">#REF!</definedName>
    <definedName name="display_area_2" localSheetId="11" hidden="1">#REF!</definedName>
    <definedName name="display_area_2" localSheetId="46" hidden="1">#REF!</definedName>
    <definedName name="display_area_2" localSheetId="37" hidden="1">#REF!</definedName>
    <definedName name="display_area_2" localSheetId="39" hidden="1">#REF!</definedName>
    <definedName name="display_area_2" localSheetId="9" hidden="1">#REF!</definedName>
    <definedName name="display_area_2" localSheetId="2" hidden="1">#REF!</definedName>
    <definedName name="display_area_2" localSheetId="10" hidden="1">#REF!</definedName>
    <definedName name="FCode" localSheetId="49" hidden="1">#REF!</definedName>
    <definedName name="FCode" localSheetId="50" hidden="1">#REF!</definedName>
    <definedName name="FCode" localSheetId="51" hidden="1">#REF!</definedName>
    <definedName name="FCode" localSheetId="52" hidden="1">#REF!</definedName>
    <definedName name="FCode" localSheetId="6" hidden="1">#REF!</definedName>
    <definedName name="FCode" localSheetId="36" hidden="1">#REF!</definedName>
    <definedName name="FCode" localSheetId="35" hidden="1">#REF!</definedName>
    <definedName name="FCode" localSheetId="21" hidden="1">#REF!</definedName>
    <definedName name="FCode" localSheetId="15" hidden="1">#REF!</definedName>
    <definedName name="FCode" localSheetId="28" hidden="1">#REF!</definedName>
    <definedName name="FCode" localSheetId="8" hidden="1">#REF!</definedName>
    <definedName name="FCode" localSheetId="25" hidden="1">#REF!</definedName>
    <definedName name="FCode" localSheetId="31" hidden="1">#REF!</definedName>
    <definedName name="FCode" localSheetId="33" hidden="1">#REF!</definedName>
    <definedName name="FCode" localSheetId="34" hidden="1">#REF!</definedName>
    <definedName name="FCode" localSheetId="32" hidden="1">#REF!</definedName>
    <definedName name="FCode" localSheetId="4" hidden="1">#REF!</definedName>
    <definedName name="FCode" localSheetId="7" hidden="1">#REF!</definedName>
    <definedName name="FCode" localSheetId="11" hidden="1">#REF!</definedName>
    <definedName name="FCode" localSheetId="46" hidden="1">#REF!</definedName>
    <definedName name="FCode" localSheetId="37" hidden="1">#REF!</definedName>
    <definedName name="FCode" localSheetId="39" hidden="1">#REF!</definedName>
    <definedName name="FCode" localSheetId="9" hidden="1">#REF!</definedName>
    <definedName name="FCode" localSheetId="2" hidden="1">#REF!</definedName>
    <definedName name="FCode" localSheetId="10" hidden="1">#REF!</definedName>
    <definedName name="FGD" localSheetId="6" hidden="1">{"'ridftotal'!$A$4:$S$27"}</definedName>
    <definedName name="FGD" localSheetId="36" hidden="1">{"'ridftotal'!$A$4:$S$27"}</definedName>
    <definedName name="FGD" localSheetId="35" hidden="1">{"'ridftotal'!$A$4:$S$27"}</definedName>
    <definedName name="FGD" localSheetId="15" hidden="1">{"'ridftotal'!$A$4:$S$27"}</definedName>
    <definedName name="FGD" localSheetId="8" hidden="1">{"'ridftotal'!$A$4:$S$27"}</definedName>
    <definedName name="FGD" localSheetId="3" hidden="1">{"'ridftotal'!$A$4:$S$27"}</definedName>
    <definedName name="FGD" localSheetId="25" hidden="1">{"'ridftotal'!$A$4:$S$27"}</definedName>
    <definedName name="FGD" localSheetId="31" hidden="1">{"'ridftotal'!$A$4:$S$27"}</definedName>
    <definedName name="FGD" localSheetId="33" hidden="1">{"'ridftotal'!$A$4:$S$27"}</definedName>
    <definedName name="FGD" localSheetId="34" hidden="1">{"'ridftotal'!$A$4:$S$27"}</definedName>
    <definedName name="FGD" localSheetId="32" hidden="1">{"'ridftotal'!$A$4:$S$27"}</definedName>
    <definedName name="FGD" localSheetId="4" hidden="1">{"'ridftotal'!$A$4:$S$27"}</definedName>
    <definedName name="FGD" localSheetId="7" hidden="1">{"'ridftotal'!$A$4:$S$27"}</definedName>
    <definedName name="FGD" localSheetId="11" hidden="1">{"'ridftotal'!$A$4:$S$27"}</definedName>
    <definedName name="FGD" localSheetId="46" hidden="1">{"'ridftotal'!$A$4:$S$27"}</definedName>
    <definedName name="FGD" localSheetId="37" hidden="1">{"'ridftotal'!$A$4:$S$27"}</definedName>
    <definedName name="FGD" localSheetId="9" hidden="1">{"'ridftotal'!$A$4:$S$27"}</definedName>
    <definedName name="FGD" localSheetId="2" hidden="1">{"'ridftotal'!$A$4:$S$27"}</definedName>
    <definedName name="FGD" localSheetId="10" hidden="1">{"'ridftotal'!$A$4:$S$27"}</definedName>
    <definedName name="FGHH" localSheetId="6" hidden="1">{"'ridftotal'!$A$4:$S$27"}</definedName>
    <definedName name="FGHH" localSheetId="36" hidden="1">{"'ridftotal'!$A$4:$S$27"}</definedName>
    <definedName name="FGHH" localSheetId="35" hidden="1">{"'ridftotal'!$A$4:$S$27"}</definedName>
    <definedName name="FGHH" localSheetId="15" hidden="1">{"'ridftotal'!$A$4:$S$27"}</definedName>
    <definedName name="FGHH" localSheetId="8" hidden="1">{"'ridftotal'!$A$4:$S$27"}</definedName>
    <definedName name="FGHH" localSheetId="3" hidden="1">{"'ridftotal'!$A$4:$S$27"}</definedName>
    <definedName name="FGHH" localSheetId="25" hidden="1">{"'ridftotal'!$A$4:$S$27"}</definedName>
    <definedName name="FGHH" localSheetId="31" hidden="1">{"'ridftotal'!$A$4:$S$27"}</definedName>
    <definedName name="FGHH" localSheetId="33" hidden="1">{"'ridftotal'!$A$4:$S$27"}</definedName>
    <definedName name="FGHH" localSheetId="34" hidden="1">{"'ridftotal'!$A$4:$S$27"}</definedName>
    <definedName name="FGHH" localSheetId="32" hidden="1">{"'ridftotal'!$A$4:$S$27"}</definedName>
    <definedName name="FGHH" localSheetId="4" hidden="1">{"'ridftotal'!$A$4:$S$27"}</definedName>
    <definedName name="FGHH" localSheetId="7" hidden="1">{"'ridftotal'!$A$4:$S$27"}</definedName>
    <definedName name="FGHH" localSheetId="11" hidden="1">{"'ridftotal'!$A$4:$S$27"}</definedName>
    <definedName name="FGHH" localSheetId="46" hidden="1">{"'ridftotal'!$A$4:$S$27"}</definedName>
    <definedName name="FGHH" localSheetId="37" hidden="1">{"'ridftotal'!$A$4:$S$27"}</definedName>
    <definedName name="FGHH" localSheetId="9" hidden="1">{"'ridftotal'!$A$4:$S$27"}</definedName>
    <definedName name="FGHH" localSheetId="2" hidden="1">{"'ridftotal'!$A$4:$S$27"}</definedName>
    <definedName name="FGHH" localSheetId="10" hidden="1">{"'ridftotal'!$A$4:$S$27"}</definedName>
    <definedName name="GHJK" localSheetId="6" hidden="1">{"'ridftotal'!$A$4:$S$27"}</definedName>
    <definedName name="GHJK" localSheetId="36" hidden="1">{"'ridftotal'!$A$4:$S$27"}</definedName>
    <definedName name="GHJK" localSheetId="35" hidden="1">{"'ridftotal'!$A$4:$S$27"}</definedName>
    <definedName name="GHJK" localSheetId="15" hidden="1">{"'ridftotal'!$A$4:$S$27"}</definedName>
    <definedName name="GHJK" localSheetId="8" hidden="1">{"'ridftotal'!$A$4:$S$27"}</definedName>
    <definedName name="GHJK" localSheetId="3" hidden="1">{"'ridftotal'!$A$4:$S$27"}</definedName>
    <definedName name="GHJK" localSheetId="25" hidden="1">{"'ridftotal'!$A$4:$S$27"}</definedName>
    <definedName name="GHJK" localSheetId="31" hidden="1">{"'ridftotal'!$A$4:$S$27"}</definedName>
    <definedName name="GHJK" localSheetId="33" hidden="1">{"'ridftotal'!$A$4:$S$27"}</definedName>
    <definedName name="GHJK" localSheetId="34" hidden="1">{"'ridftotal'!$A$4:$S$27"}</definedName>
    <definedName name="GHJK" localSheetId="32" hidden="1">{"'ridftotal'!$A$4:$S$27"}</definedName>
    <definedName name="GHJK" localSheetId="4" hidden="1">{"'ridftotal'!$A$4:$S$27"}</definedName>
    <definedName name="GHJK" localSheetId="7" hidden="1">{"'ridftotal'!$A$4:$S$27"}</definedName>
    <definedName name="GHJK" localSheetId="11" hidden="1">{"'ridftotal'!$A$4:$S$27"}</definedName>
    <definedName name="GHJK" localSheetId="46" hidden="1">{"'ridftotal'!$A$4:$S$27"}</definedName>
    <definedName name="GHJK" localSheetId="37" hidden="1">{"'ridftotal'!$A$4:$S$27"}</definedName>
    <definedName name="GHJK" localSheetId="9" hidden="1">{"'ridftotal'!$A$4:$S$27"}</definedName>
    <definedName name="GHJK" localSheetId="2" hidden="1">{"'ridftotal'!$A$4:$S$27"}</definedName>
    <definedName name="GHJK" localSheetId="10" hidden="1">{"'ridftotal'!$A$4:$S$27"}</definedName>
    <definedName name="GHJKJK" localSheetId="6" hidden="1">{"'ridftotal'!$A$4:$S$27"}</definedName>
    <definedName name="GHJKJK" localSheetId="36" hidden="1">{"'ridftotal'!$A$4:$S$27"}</definedName>
    <definedName name="GHJKJK" localSheetId="35" hidden="1">{"'ridftotal'!$A$4:$S$27"}</definedName>
    <definedName name="GHJKJK" localSheetId="15" hidden="1">{"'ridftotal'!$A$4:$S$27"}</definedName>
    <definedName name="GHJKJK" localSheetId="8" hidden="1">{"'ridftotal'!$A$4:$S$27"}</definedName>
    <definedName name="GHJKJK" localSheetId="3" hidden="1">{"'ridftotal'!$A$4:$S$27"}</definedName>
    <definedName name="GHJKJK" localSheetId="25" hidden="1">{"'ridftotal'!$A$4:$S$27"}</definedName>
    <definedName name="GHJKJK" localSheetId="31" hidden="1">{"'ridftotal'!$A$4:$S$27"}</definedName>
    <definedName name="GHJKJK" localSheetId="33" hidden="1">{"'ridftotal'!$A$4:$S$27"}</definedName>
    <definedName name="GHJKJK" localSheetId="34" hidden="1">{"'ridftotal'!$A$4:$S$27"}</definedName>
    <definedName name="GHJKJK" localSheetId="32" hidden="1">{"'ridftotal'!$A$4:$S$27"}</definedName>
    <definedName name="GHJKJK" localSheetId="4" hidden="1">{"'ridftotal'!$A$4:$S$27"}</definedName>
    <definedName name="GHJKJK" localSheetId="7" hidden="1">{"'ridftotal'!$A$4:$S$27"}</definedName>
    <definedName name="GHJKJK" localSheetId="11" hidden="1">{"'ridftotal'!$A$4:$S$27"}</definedName>
    <definedName name="GHJKJK" localSheetId="46" hidden="1">{"'ridftotal'!$A$4:$S$27"}</definedName>
    <definedName name="GHJKJK" localSheetId="37" hidden="1">{"'ridftotal'!$A$4:$S$27"}</definedName>
    <definedName name="GHJKJK" localSheetId="9" hidden="1">{"'ridftotal'!$A$4:$S$27"}</definedName>
    <definedName name="GHJKJK" localSheetId="2" hidden="1">{"'ridftotal'!$A$4:$S$27"}</definedName>
    <definedName name="GHJKJK" localSheetId="10" hidden="1">{"'ridftotal'!$A$4:$S$27"}</definedName>
    <definedName name="GN" localSheetId="3" hidden="1">{"'ridftotal'!$A$4:$S$27"}</definedName>
    <definedName name="GN" localSheetId="25" hidden="1">{"'ridftotal'!$A$4:$S$27"}</definedName>
    <definedName name="GN" localSheetId="31" hidden="1">{"'ridftotal'!$A$4:$S$27"}</definedName>
    <definedName name="GN" localSheetId="33" hidden="1">{"'ridftotal'!$A$4:$S$27"}</definedName>
    <definedName name="GN" localSheetId="34" hidden="1">{"'ridftotal'!$A$4:$S$27"}</definedName>
    <definedName name="GN" localSheetId="32" hidden="1">{"'ridftotal'!$A$4:$S$27"}</definedName>
    <definedName name="GN" localSheetId="46" hidden="1">{"'ridftotal'!$A$4:$S$27"}</definedName>
    <definedName name="Header_Row" localSheetId="49">ROW(#REF!)</definedName>
    <definedName name="Header_Row" localSheetId="50">ROW(#REF!)</definedName>
    <definedName name="Header_Row" localSheetId="51">ROW(#REF!)</definedName>
    <definedName name="Header_Row" localSheetId="52">ROW(#REF!)</definedName>
    <definedName name="Header_Row" localSheetId="6">ROW(#REF!)</definedName>
    <definedName name="Header_Row" localSheetId="36">ROW(#REF!)</definedName>
    <definedName name="Header_Row" localSheetId="21">ROW(#REF!)</definedName>
    <definedName name="Header_Row" localSheetId="28">ROW(#REF!)</definedName>
    <definedName name="Header_Row" localSheetId="4">ROW(#REF!)</definedName>
    <definedName name="Header_Row" localSheetId="11">ROW(#REF!)</definedName>
    <definedName name="Header_Row" localSheetId="37">ROW(#REF!)</definedName>
    <definedName name="Header_Row" localSheetId="39">ROW(#REF!)</definedName>
    <definedName name="Header_Row" localSheetId="43">ROW(#REF!)</definedName>
    <definedName name="Header_Row" localSheetId="10">ROW(#REF!)</definedName>
    <definedName name="Header_Row">ROW(#REF!)</definedName>
    <definedName name="HiddenRows" localSheetId="49" hidden="1">#REF!</definedName>
    <definedName name="HiddenRows" localSheetId="50" hidden="1">#REF!</definedName>
    <definedName name="HiddenRows" localSheetId="51" hidden="1">#REF!</definedName>
    <definedName name="HiddenRows" localSheetId="52" hidden="1">#REF!</definedName>
    <definedName name="HiddenRows" localSheetId="6" hidden="1">#REF!</definedName>
    <definedName name="HiddenRows" localSheetId="36" hidden="1">#REF!</definedName>
    <definedName name="HiddenRows" localSheetId="35" hidden="1">#REF!</definedName>
    <definedName name="HiddenRows" localSheetId="21" hidden="1">#REF!</definedName>
    <definedName name="HiddenRows" localSheetId="15" hidden="1">#REF!</definedName>
    <definedName name="HiddenRows" localSheetId="28" hidden="1">#REF!</definedName>
    <definedName name="HiddenRows" localSheetId="8" hidden="1">#REF!</definedName>
    <definedName name="HiddenRows" localSheetId="25" hidden="1">#REF!</definedName>
    <definedName name="HiddenRows" localSheetId="31" hidden="1">#REF!</definedName>
    <definedName name="HiddenRows" localSheetId="33" hidden="1">#REF!</definedName>
    <definedName name="HiddenRows" localSheetId="34" hidden="1">#REF!</definedName>
    <definedName name="HiddenRows" localSheetId="32" hidden="1">#REF!</definedName>
    <definedName name="HiddenRows" localSheetId="4" hidden="1">#REF!</definedName>
    <definedName name="HiddenRows" localSheetId="7" hidden="1">#REF!</definedName>
    <definedName name="HiddenRows" localSheetId="11" hidden="1">#REF!</definedName>
    <definedName name="HiddenRows" localSheetId="46" hidden="1">#REF!</definedName>
    <definedName name="HiddenRows" localSheetId="37" hidden="1">#REF!</definedName>
    <definedName name="HiddenRows" localSheetId="39" hidden="1">#REF!</definedName>
    <definedName name="HiddenRows" localSheetId="9" hidden="1">#REF!</definedName>
    <definedName name="HiddenRows" localSheetId="2" hidden="1">#REF!</definedName>
    <definedName name="HiddenRows" localSheetId="10" hidden="1">#REF!</definedName>
    <definedName name="HJ" localSheetId="6" hidden="1">{"'ridftotal'!$A$4:$S$27"}</definedName>
    <definedName name="HJ" localSheetId="36" hidden="1">{"'ridftotal'!$A$4:$S$27"}</definedName>
    <definedName name="HJ" localSheetId="35" hidden="1">{"'ridftotal'!$A$4:$S$27"}</definedName>
    <definedName name="HJ" localSheetId="15" hidden="1">{"'ridftotal'!$A$4:$S$27"}</definedName>
    <definedName name="HJ" localSheetId="8" hidden="1">{"'ridftotal'!$A$4:$S$27"}</definedName>
    <definedName name="HJ" localSheetId="3" hidden="1">{"'ridftotal'!$A$4:$S$27"}</definedName>
    <definedName name="HJ" localSheetId="25" hidden="1">{"'ridftotal'!$A$4:$S$27"}</definedName>
    <definedName name="HJ" localSheetId="31" hidden="1">{"'ridftotal'!$A$4:$S$27"}</definedName>
    <definedName name="HJ" localSheetId="33" hidden="1">{"'ridftotal'!$A$4:$S$27"}</definedName>
    <definedName name="HJ" localSheetId="34" hidden="1">{"'ridftotal'!$A$4:$S$27"}</definedName>
    <definedName name="HJ" localSheetId="32" hidden="1">{"'ridftotal'!$A$4:$S$27"}</definedName>
    <definedName name="HJ" localSheetId="4" hidden="1">{"'ridftotal'!$A$4:$S$27"}</definedName>
    <definedName name="HJ" localSheetId="7" hidden="1">{"'ridftotal'!$A$4:$S$27"}</definedName>
    <definedName name="HJ" localSheetId="11" hidden="1">{"'ridftotal'!$A$4:$S$27"}</definedName>
    <definedName name="HJ" localSheetId="46" hidden="1">{"'ridftotal'!$A$4:$S$27"}</definedName>
    <definedName name="HJ" localSheetId="37" hidden="1">{"'ridftotal'!$A$4:$S$27"}</definedName>
    <definedName name="HJ" localSheetId="9" hidden="1">{"'ridftotal'!$A$4:$S$27"}</definedName>
    <definedName name="HJ" localSheetId="2" hidden="1">{"'ridftotal'!$A$4:$S$27"}</definedName>
    <definedName name="HJ" localSheetId="10" hidden="1">{"'ridftotal'!$A$4:$S$27"}</definedName>
    <definedName name="HTML_CodePage" hidden="1">1252</definedName>
    <definedName name="HTML_Control" localSheetId="6" hidden="1">{"'ridftotal'!$A$4:$S$27"}</definedName>
    <definedName name="HTML_Control" localSheetId="36" hidden="1">{"'ridftotal'!$A$4:$S$27"}</definedName>
    <definedName name="HTML_Control" localSheetId="35" hidden="1">{"'ridftotal'!$A$4:$S$27"}</definedName>
    <definedName name="HTML_Control" localSheetId="15" hidden="1">{"'ridftotal'!$A$4:$S$27"}</definedName>
    <definedName name="HTML_Control" localSheetId="8" hidden="1">{"'ridftotal'!$A$4:$S$27"}</definedName>
    <definedName name="HTML_Control" localSheetId="3" hidden="1">{"'ridftotal'!$A$4:$S$27"}</definedName>
    <definedName name="HTML_Control" localSheetId="25" hidden="1">{"'ridftotal'!$A$4:$S$27"}</definedName>
    <definedName name="HTML_Control" localSheetId="31" hidden="1">{"'ridftotal'!$A$4:$S$27"}</definedName>
    <definedName name="HTML_Control" localSheetId="33" hidden="1">{"'ridftotal'!$A$4:$S$27"}</definedName>
    <definedName name="HTML_Control" localSheetId="34" hidden="1">{"'ridftotal'!$A$4:$S$27"}</definedName>
    <definedName name="HTML_Control" localSheetId="32" hidden="1">{"'ridftotal'!$A$4:$S$27"}</definedName>
    <definedName name="HTML_Control" localSheetId="4" hidden="1">{"'ridftotal'!$A$4:$S$27"}</definedName>
    <definedName name="HTML_Control" localSheetId="7" hidden="1">{"'ridftotal'!$A$4:$S$27"}</definedName>
    <definedName name="HTML_Control" localSheetId="11" hidden="1">{"'ridftotal'!$A$4:$S$27"}</definedName>
    <definedName name="HTML_Control" localSheetId="46" hidden="1">{"'ridftotal'!$A$4:$S$27"}</definedName>
    <definedName name="HTML_Control" localSheetId="37" hidden="1">{"'ridftotal'!$A$4:$S$27"}</definedName>
    <definedName name="HTML_Control" localSheetId="9" hidden="1">{"'ridftotal'!$A$4:$S$27"}</definedName>
    <definedName name="HTML_Control" localSheetId="2" hidden="1">{"'ridftotal'!$A$4:$S$27"}</definedName>
    <definedName name="HTML_Control" localSheetId="10" hidden="1">{"'ridftotal'!$A$4:$S$27"}</definedName>
    <definedName name="HTML_Description" hidden="1">""</definedName>
    <definedName name="HTML_Email" hidden="1">""</definedName>
    <definedName name="HTML_Header" hidden="1">"ridftotal"</definedName>
    <definedName name="HTML_LastUpdate" hidden="1">"3/31/00"</definedName>
    <definedName name="HTML_LineAfter" hidden="1">FALSE</definedName>
    <definedName name="HTML_LineBefore" hidden="1">FALSE</definedName>
    <definedName name="HTML_Name" hidden="1">"PVKUTUMBA RAO"</definedName>
    <definedName name="HTML_OBDlg2" hidden="1">TRUE</definedName>
    <definedName name="HTML_OBDlg4" hidden="1">TRUE</definedName>
    <definedName name="HTML_OS" hidden="1">0</definedName>
    <definedName name="HTML_PathFile" hidden="1">"C:\MNMGEN\ridf5\MyHTML.htm"</definedName>
    <definedName name="HTML_Title" hidden="1">"absjanfeb2k"</definedName>
    <definedName name="IK" localSheetId="6" hidden="1">{"'ridftotal'!$A$4:$S$27"}</definedName>
    <definedName name="IK" localSheetId="36" hidden="1">{"'ridftotal'!$A$4:$S$27"}</definedName>
    <definedName name="IK" localSheetId="35" hidden="1">{"'ridftotal'!$A$4:$S$27"}</definedName>
    <definedName name="IK" localSheetId="15" hidden="1">{"'ridftotal'!$A$4:$S$27"}</definedName>
    <definedName name="IK" localSheetId="8" hidden="1">{"'ridftotal'!$A$4:$S$27"}</definedName>
    <definedName name="IK" localSheetId="3" hidden="1">{"'ridftotal'!$A$4:$S$27"}</definedName>
    <definedName name="IK" localSheetId="25" hidden="1">{"'ridftotal'!$A$4:$S$27"}</definedName>
    <definedName name="IK" localSheetId="31" hidden="1">{"'ridftotal'!$A$4:$S$27"}</definedName>
    <definedName name="IK" localSheetId="33" hidden="1">{"'ridftotal'!$A$4:$S$27"}</definedName>
    <definedName name="IK" localSheetId="34" hidden="1">{"'ridftotal'!$A$4:$S$27"}</definedName>
    <definedName name="IK" localSheetId="32" hidden="1">{"'ridftotal'!$A$4:$S$27"}</definedName>
    <definedName name="IK" localSheetId="4" hidden="1">{"'ridftotal'!$A$4:$S$27"}</definedName>
    <definedName name="IK" localSheetId="7" hidden="1">{"'ridftotal'!$A$4:$S$27"}</definedName>
    <definedName name="IK" localSheetId="11" hidden="1">{"'ridftotal'!$A$4:$S$27"}</definedName>
    <definedName name="IK" localSheetId="46" hidden="1">{"'ridftotal'!$A$4:$S$27"}</definedName>
    <definedName name="IK" localSheetId="37" hidden="1">{"'ridftotal'!$A$4:$S$27"}</definedName>
    <definedName name="IK" localSheetId="9" hidden="1">{"'ridftotal'!$A$4:$S$27"}</definedName>
    <definedName name="IK" localSheetId="2" hidden="1">{"'ridftotal'!$A$4:$S$27"}</definedName>
    <definedName name="IK" localSheetId="10" hidden="1">{"'ridftotal'!$A$4:$S$27"}</definedName>
    <definedName name="Index" localSheetId="6" hidden="1">{"'ridftotal'!$A$4:$S$27"}</definedName>
    <definedName name="Index" localSheetId="36" hidden="1">{"'ridftotal'!$A$4:$S$27"}</definedName>
    <definedName name="Index" localSheetId="35" hidden="1">{"'ridftotal'!$A$4:$S$27"}</definedName>
    <definedName name="Index" localSheetId="15" hidden="1">{"'ridftotal'!$A$4:$S$27"}</definedName>
    <definedName name="Index" localSheetId="8" hidden="1">{"'ridftotal'!$A$4:$S$27"}</definedName>
    <definedName name="Index" localSheetId="3" hidden="1">{"'ridftotal'!$A$4:$S$27"}</definedName>
    <definedName name="Index" localSheetId="25" hidden="1">{"'ridftotal'!$A$4:$S$27"}</definedName>
    <definedName name="Index" localSheetId="31" hidden="1">{"'ridftotal'!$A$4:$S$27"}</definedName>
    <definedName name="Index" localSheetId="33" hidden="1">{"'ridftotal'!$A$4:$S$27"}</definedName>
    <definedName name="Index" localSheetId="34" hidden="1">{"'ridftotal'!$A$4:$S$27"}</definedName>
    <definedName name="Index" localSheetId="32" hidden="1">{"'ridftotal'!$A$4:$S$27"}</definedName>
    <definedName name="Index" localSheetId="4" hidden="1">{"'ridftotal'!$A$4:$S$27"}</definedName>
    <definedName name="Index" localSheetId="7" hidden="1">{"'ridftotal'!$A$4:$S$27"}</definedName>
    <definedName name="Index" localSheetId="11" hidden="1">{"'ridftotal'!$A$4:$S$27"}</definedName>
    <definedName name="Index" localSheetId="46" hidden="1">{"'ridftotal'!$A$4:$S$27"}</definedName>
    <definedName name="Index" localSheetId="37" hidden="1">{"'ridftotal'!$A$4:$S$27"}</definedName>
    <definedName name="Index" localSheetId="9" hidden="1">{"'ridftotal'!$A$4:$S$27"}</definedName>
    <definedName name="Index" localSheetId="2" hidden="1">{"'ridftotal'!$A$4:$S$27"}</definedName>
    <definedName name="Index" localSheetId="10" hidden="1">{"'ridftotal'!$A$4:$S$27"}</definedName>
    <definedName name="io" localSheetId="6">DATE(YEAR([0]!Loan_Start),MONTH([0]!Loan_Start)+Payment_Number,DAY([0]!Loan_Start))</definedName>
    <definedName name="io" localSheetId="21">DATE(YEAR([0]!Loan_Start),MONTH([0]!Loan_Start)+Payment_Number,DAY([0]!Loan_Start))</definedName>
    <definedName name="io" localSheetId="15">DATE(YEAR([0]!Loan_Start),MONTH([0]!Loan_Start)+Payment_Number,DAY([0]!Loan_Start))</definedName>
    <definedName name="io" localSheetId="28">DATE(YEAR([0]!Loan_Start),MONTH([0]!Loan_Start)+Payment_Number,DAY([0]!Loan_Start))</definedName>
    <definedName name="io" localSheetId="3">DATE(YEAR([0]!Loan_Start),MONTH([0]!Loan_Start)+Payment_Number,DAY([0]!Loan_Start))</definedName>
    <definedName name="io" localSheetId="25">DATE(YEAR([0]!Loan_Start),MONTH([0]!Loan_Start)+Payment_Number,DAY([0]!Loan_Start))</definedName>
    <definedName name="io" localSheetId="31">DATE(YEAR([0]!Loan_Start),MONTH([0]!Loan_Start)+Payment_Number,DAY([0]!Loan_Start))</definedName>
    <definedName name="io" localSheetId="33">DATE(YEAR([0]!Loan_Start),MONTH([0]!Loan_Start)+Payment_Number,DAY([0]!Loan_Start))</definedName>
    <definedName name="io" localSheetId="34">DATE(YEAR([0]!Loan_Start),MONTH([0]!Loan_Start)+Payment_Number,DAY([0]!Loan_Start))</definedName>
    <definedName name="io" localSheetId="32">DATE(YEAR([0]!Loan_Start),MONTH([0]!Loan_Start)+Payment_Number,DAY([0]!Loan_Start))</definedName>
    <definedName name="io" localSheetId="4">DATE(YEAR([0]!Loan_Start),MONTH([0]!Loan_Start)+Payment_Number,DAY([0]!Loan_Start))</definedName>
    <definedName name="io" localSheetId="11">DATE(YEAR([0]!Loan_Start),MONTH([0]!Loan_Start)+Payment_Number,DAY([0]!Loan_Start))</definedName>
    <definedName name="io" localSheetId="46">DATE(YEAR([0]!Loan_Start),MONTH([0]!Loan_Start)+Payment_Number,DAY([0]!Loan_Start))</definedName>
    <definedName name="io" localSheetId="37">DATE(YEAR([0]!Loan_Start),MONTH([0]!Loan_Start)+Payment_Number,DAY([0]!Loan_Start))</definedName>
    <definedName name="io" localSheetId="39">DATE(YEAR([0]!Loan_Start),MONTH([0]!Loan_Start)+Payment_Number,DAY([0]!Loan_Start))</definedName>
    <definedName name="io" localSheetId="10">DATE(YEAR([0]!Loan_Start),MONTH([0]!Loan_Start)+Payment_Number,DAY([0]!Loan_Start))</definedName>
    <definedName name="jk" localSheetId="6" hidden="1">{"'ridftotal'!$A$4:$S$27"}</definedName>
    <definedName name="jk" localSheetId="36" hidden="1">{"'ridftotal'!$A$4:$S$27"}</definedName>
    <definedName name="jk" localSheetId="35" hidden="1">{"'ridftotal'!$A$4:$S$27"}</definedName>
    <definedName name="jk" localSheetId="15" hidden="1">{"'ridftotal'!$A$4:$S$27"}</definedName>
    <definedName name="jk" localSheetId="8" hidden="1">{"'ridftotal'!$A$4:$S$27"}</definedName>
    <definedName name="jk" localSheetId="3" hidden="1">{"'ridftotal'!$A$4:$S$27"}</definedName>
    <definedName name="jk" localSheetId="25" hidden="1">{"'ridftotal'!$A$4:$S$27"}</definedName>
    <definedName name="jk" localSheetId="31" hidden="1">{"'ridftotal'!$A$4:$S$27"}</definedName>
    <definedName name="jk" localSheetId="33" hidden="1">{"'ridftotal'!$A$4:$S$27"}</definedName>
    <definedName name="jk" localSheetId="34" hidden="1">{"'ridftotal'!$A$4:$S$27"}</definedName>
    <definedName name="jk" localSheetId="32" hidden="1">{"'ridftotal'!$A$4:$S$27"}</definedName>
    <definedName name="jk" localSheetId="4" hidden="1">{"'ridftotal'!$A$4:$S$27"}</definedName>
    <definedName name="jk" localSheetId="7" hidden="1">{"'ridftotal'!$A$4:$S$27"}</definedName>
    <definedName name="jk" localSheetId="11" hidden="1">{"'ridftotal'!$A$4:$S$27"}</definedName>
    <definedName name="jk" localSheetId="46" hidden="1">{"'ridftotal'!$A$4:$S$27"}</definedName>
    <definedName name="jk" localSheetId="37" hidden="1">{"'ridftotal'!$A$4:$S$27"}</definedName>
    <definedName name="jk" localSheetId="9" hidden="1">{"'ridftotal'!$A$4:$S$27"}</definedName>
    <definedName name="jk" localSheetId="2" hidden="1">{"'ridftotal'!$A$4:$S$27"}</definedName>
    <definedName name="jk" localSheetId="10" hidden="1">{"'ridftotal'!$A$4:$S$27"}</definedName>
    <definedName name="KADA" localSheetId="6" hidden="1">{"'ridftotal'!$A$4:$S$27"}</definedName>
    <definedName name="KADA" localSheetId="36" hidden="1">{"'ridftotal'!$A$4:$S$27"}</definedName>
    <definedName name="KADA" localSheetId="35" hidden="1">{"'ridftotal'!$A$4:$S$27"}</definedName>
    <definedName name="KADA" localSheetId="15" hidden="1">{"'ridftotal'!$A$4:$S$27"}</definedName>
    <definedName name="KADA" localSheetId="8" hidden="1">{"'ridftotal'!$A$4:$S$27"}</definedName>
    <definedName name="KADA" localSheetId="3" hidden="1">{"'ridftotal'!$A$4:$S$27"}</definedName>
    <definedName name="KADA" localSheetId="25" hidden="1">{"'ridftotal'!$A$4:$S$27"}</definedName>
    <definedName name="KADA" localSheetId="31" hidden="1">{"'ridftotal'!$A$4:$S$27"}</definedName>
    <definedName name="KADA" localSheetId="33" hidden="1">{"'ridftotal'!$A$4:$S$27"}</definedName>
    <definedName name="KADA" localSheetId="34" hidden="1">{"'ridftotal'!$A$4:$S$27"}</definedName>
    <definedName name="KADA" localSheetId="32" hidden="1">{"'ridftotal'!$A$4:$S$27"}</definedName>
    <definedName name="KADA" localSheetId="4" hidden="1">{"'ridftotal'!$A$4:$S$27"}</definedName>
    <definedName name="KADA" localSheetId="7" hidden="1">{"'ridftotal'!$A$4:$S$27"}</definedName>
    <definedName name="KADA" localSheetId="11" hidden="1">{"'ridftotal'!$A$4:$S$27"}</definedName>
    <definedName name="KADA" localSheetId="46" hidden="1">{"'ridftotal'!$A$4:$S$27"}</definedName>
    <definedName name="KADA" localSheetId="37" hidden="1">{"'ridftotal'!$A$4:$S$27"}</definedName>
    <definedName name="KADA" localSheetId="9" hidden="1">{"'ridftotal'!$A$4:$S$27"}</definedName>
    <definedName name="KADA" localSheetId="2" hidden="1">{"'ridftotal'!$A$4:$S$27"}</definedName>
    <definedName name="KADA" localSheetId="10" hidden="1">{"'ridftotal'!$A$4:$S$27"}</definedName>
    <definedName name="kADAPA" localSheetId="6" hidden="1">{"'ridftotal'!$A$4:$S$27"}</definedName>
    <definedName name="kADAPA" localSheetId="36" hidden="1">{"'ridftotal'!$A$4:$S$27"}</definedName>
    <definedName name="kADAPA" localSheetId="35" hidden="1">{"'ridftotal'!$A$4:$S$27"}</definedName>
    <definedName name="kADAPA" localSheetId="15" hidden="1">{"'ridftotal'!$A$4:$S$27"}</definedName>
    <definedName name="kADAPA" localSheetId="8" hidden="1">{"'ridftotal'!$A$4:$S$27"}</definedName>
    <definedName name="kADAPA" localSheetId="3" hidden="1">{"'ridftotal'!$A$4:$S$27"}</definedName>
    <definedName name="kADAPA" localSheetId="25" hidden="1">{"'ridftotal'!$A$4:$S$27"}</definedName>
    <definedName name="kADAPA" localSheetId="31" hidden="1">{"'ridftotal'!$A$4:$S$27"}</definedName>
    <definedName name="kADAPA" localSheetId="33" hidden="1">{"'ridftotal'!$A$4:$S$27"}</definedName>
    <definedName name="kADAPA" localSheetId="34" hidden="1">{"'ridftotal'!$A$4:$S$27"}</definedName>
    <definedName name="kADAPA" localSheetId="32" hidden="1">{"'ridftotal'!$A$4:$S$27"}</definedName>
    <definedName name="kADAPA" localSheetId="4" hidden="1">{"'ridftotal'!$A$4:$S$27"}</definedName>
    <definedName name="kADAPA" localSheetId="7" hidden="1">{"'ridftotal'!$A$4:$S$27"}</definedName>
    <definedName name="kADAPA" localSheetId="11" hidden="1">{"'ridftotal'!$A$4:$S$27"}</definedName>
    <definedName name="kADAPA" localSheetId="46" hidden="1">{"'ridftotal'!$A$4:$S$27"}</definedName>
    <definedName name="kADAPA" localSheetId="37" hidden="1">{"'ridftotal'!$A$4:$S$27"}</definedName>
    <definedName name="kADAPA" localSheetId="9" hidden="1">{"'ridftotal'!$A$4:$S$27"}</definedName>
    <definedName name="kADAPA" localSheetId="2" hidden="1">{"'ridftotal'!$A$4:$S$27"}</definedName>
    <definedName name="kADAPA" localSheetId="10" hidden="1">{"'ridftotal'!$A$4:$S$27"}</definedName>
    <definedName name="KJ" localSheetId="3" hidden="1">{"'ridftotal'!$A$4:$S$27"}</definedName>
    <definedName name="KJ" localSheetId="25" hidden="1">{"'ridftotal'!$A$4:$S$27"}</definedName>
    <definedName name="KJ" localSheetId="31" hidden="1">{"'ridftotal'!$A$4:$S$27"}</definedName>
    <definedName name="KJ" localSheetId="33" hidden="1">{"'ridftotal'!$A$4:$S$27"}</definedName>
    <definedName name="KJ" localSheetId="34" hidden="1">{"'ridftotal'!$A$4:$S$27"}</definedName>
    <definedName name="KJ" localSheetId="32" hidden="1">{"'ridftotal'!$A$4:$S$27"}</definedName>
    <definedName name="KJ" localSheetId="46" hidden="1">{"'ridftotal'!$A$4:$S$27"}</definedName>
    <definedName name="kjghd" localSheetId="3">OFFSET([0]!Full_Print,0,0,[2]CR!Last_Row)</definedName>
    <definedName name="kjghd" localSheetId="25">OFFSET([0]!Full_Print,0,0,[2]CR!Last_Row)</definedName>
    <definedName name="kjghd" localSheetId="31">#N/A</definedName>
    <definedName name="kjghd" localSheetId="33">#N/A</definedName>
    <definedName name="kjghd" localSheetId="34">#N/A</definedName>
    <definedName name="kjghd" localSheetId="32">#N/A</definedName>
    <definedName name="kjghd" localSheetId="11">#N/A</definedName>
    <definedName name="kjghd" localSheetId="46">OFFSET([0]!Full_Print,0,0,[2]CR!Last_Row)</definedName>
    <definedName name="Last_Row" localSheetId="36">#N/A</definedName>
    <definedName name="Last_Row" localSheetId="3">IF([2]CR!Values_Entered,[0]!Header_Row+[2]CR!Number_of_Payments,[0]!Header_Row)</definedName>
    <definedName name="Last_Row" localSheetId="25">IF([2]CR!Values_Entered,[0]!Header_Row+[2]CR!Number_of_Payments,[0]!Header_Row)</definedName>
    <definedName name="Last_Row" localSheetId="31">#N/A</definedName>
    <definedName name="Last_Row" localSheetId="33">#N/A</definedName>
    <definedName name="Last_Row" localSheetId="34">#N/A</definedName>
    <definedName name="Last_Row" localSheetId="32">#N/A</definedName>
    <definedName name="Last_Row" localSheetId="11">#N/A</definedName>
    <definedName name="Last_Row" localSheetId="43">#N/A</definedName>
    <definedName name="Last_Row">IF([2]CR!Values_Entered,[0]!Header_Row+[2]CR!Number_of_Payments,[0]!Header_Row)</definedName>
    <definedName name="MK" localSheetId="6" hidden="1">{"'ridftotal'!$A$4:$S$27"}</definedName>
    <definedName name="MK" localSheetId="36" hidden="1">{"'ridftotal'!$A$4:$S$27"}</definedName>
    <definedName name="MK" localSheetId="35" hidden="1">{"'ridftotal'!$A$4:$S$27"}</definedName>
    <definedName name="MK" localSheetId="15" hidden="1">{"'ridftotal'!$A$4:$S$27"}</definedName>
    <definedName name="MK" localSheetId="8" hidden="1">{"'ridftotal'!$A$4:$S$27"}</definedName>
    <definedName name="MK" localSheetId="3" hidden="1">{"'ridftotal'!$A$4:$S$27"}</definedName>
    <definedName name="MK" localSheetId="25" hidden="1">{"'ridftotal'!$A$4:$S$27"}</definedName>
    <definedName name="MK" localSheetId="31" hidden="1">{"'ridftotal'!$A$4:$S$27"}</definedName>
    <definedName name="MK" localSheetId="33" hidden="1">{"'ridftotal'!$A$4:$S$27"}</definedName>
    <definedName name="MK" localSheetId="34" hidden="1">{"'ridftotal'!$A$4:$S$27"}</definedName>
    <definedName name="MK" localSheetId="32" hidden="1">{"'ridftotal'!$A$4:$S$27"}</definedName>
    <definedName name="MK" localSheetId="4" hidden="1">{"'ridftotal'!$A$4:$S$27"}</definedName>
    <definedName name="MK" localSheetId="7" hidden="1">{"'ridftotal'!$A$4:$S$27"}</definedName>
    <definedName name="MK" localSheetId="11" hidden="1">{"'ridftotal'!$A$4:$S$27"}</definedName>
    <definedName name="MK" localSheetId="46" hidden="1">{"'ridftotal'!$A$4:$S$27"}</definedName>
    <definedName name="MK" localSheetId="37" hidden="1">{"'ridftotal'!$A$4:$S$27"}</definedName>
    <definedName name="MK" localSheetId="9" hidden="1">{"'ridftotal'!$A$4:$S$27"}</definedName>
    <definedName name="MK" localSheetId="2" hidden="1">{"'ridftotal'!$A$4:$S$27"}</definedName>
    <definedName name="MK" localSheetId="10" hidden="1">{"'ridftotal'!$A$4:$S$27"}</definedName>
    <definedName name="NM" localSheetId="6" hidden="1">{"'ridftotal'!$A$4:$S$27"}</definedName>
    <definedName name="NM" localSheetId="36" hidden="1">{"'ridftotal'!$A$4:$S$27"}</definedName>
    <definedName name="NM" localSheetId="35" hidden="1">{"'ridftotal'!$A$4:$S$27"}</definedName>
    <definedName name="NM" localSheetId="15" hidden="1">{"'ridftotal'!$A$4:$S$27"}</definedName>
    <definedName name="NM" localSheetId="8" hidden="1">{"'ridftotal'!$A$4:$S$27"}</definedName>
    <definedName name="NM" localSheetId="3" hidden="1">{"'ridftotal'!$A$4:$S$27"}</definedName>
    <definedName name="NM" localSheetId="25" hidden="1">{"'ridftotal'!$A$4:$S$27"}</definedName>
    <definedName name="NM" localSheetId="31" hidden="1">{"'ridftotal'!$A$4:$S$27"}</definedName>
    <definedName name="NM" localSheetId="33" hidden="1">{"'ridftotal'!$A$4:$S$27"}</definedName>
    <definedName name="NM" localSheetId="34" hidden="1">{"'ridftotal'!$A$4:$S$27"}</definedName>
    <definedName name="NM" localSheetId="32" hidden="1">{"'ridftotal'!$A$4:$S$27"}</definedName>
    <definedName name="NM" localSheetId="4" hidden="1">{"'ridftotal'!$A$4:$S$27"}</definedName>
    <definedName name="NM" localSheetId="7" hidden="1">{"'ridftotal'!$A$4:$S$27"}</definedName>
    <definedName name="NM" localSheetId="11" hidden="1">{"'ridftotal'!$A$4:$S$27"}</definedName>
    <definedName name="NM" localSheetId="46" hidden="1">{"'ridftotal'!$A$4:$S$27"}</definedName>
    <definedName name="NM" localSheetId="37" hidden="1">{"'ridftotal'!$A$4:$S$27"}</definedName>
    <definedName name="NM" localSheetId="9" hidden="1">{"'ridftotal'!$A$4:$S$27"}</definedName>
    <definedName name="NM" localSheetId="2" hidden="1">{"'ridftotal'!$A$4:$S$27"}</definedName>
    <definedName name="NM" localSheetId="10" hidden="1">{"'ridftotal'!$A$4:$S$27"}</definedName>
    <definedName name="nn" localSheetId="3" hidden="1">{"'ridftotal'!$A$4:$S$27"}</definedName>
    <definedName name="nn" localSheetId="25" hidden="1">{"'ridftotal'!$A$4:$S$27"}</definedName>
    <definedName name="nn" localSheetId="31" hidden="1">{"'ridftotal'!$A$4:$S$27"}</definedName>
    <definedName name="nn" localSheetId="33" hidden="1">{"'ridftotal'!$A$4:$S$27"}</definedName>
    <definedName name="nn" localSheetId="34" hidden="1">{"'ridftotal'!$A$4:$S$27"}</definedName>
    <definedName name="nn" localSheetId="32" hidden="1">{"'ridftotal'!$A$4:$S$27"}</definedName>
    <definedName name="nn" localSheetId="46" hidden="1">{"'ridftotal'!$A$4:$S$27"}</definedName>
    <definedName name="Number_of_Payments" localSheetId="6">MATCH(0.01,[0]!End_Bal,-1)+1</definedName>
    <definedName name="Number_of_Payments" localSheetId="21">MATCH(0.01,[0]!End_Bal,-1)+1</definedName>
    <definedName name="Number_of_Payments" localSheetId="15">MATCH(0.01,[0]!End_Bal,-1)+1</definedName>
    <definedName name="Number_of_Payments" localSheetId="28">MATCH(0.01,[0]!End_Bal,-1)+1</definedName>
    <definedName name="Number_of_Payments" localSheetId="3">MATCH(0.01,[0]!End_Bal,-1)+1</definedName>
    <definedName name="Number_of_Payments" localSheetId="25">MATCH(0.01,[0]!End_Bal,-1)+1</definedName>
    <definedName name="Number_of_Payments" localSheetId="31">MATCH(0.01,[0]!End_Bal,-1)+1</definedName>
    <definedName name="Number_of_Payments" localSheetId="33">MATCH(0.01,[0]!End_Bal,-1)+1</definedName>
    <definedName name="Number_of_Payments" localSheetId="34">MATCH(0.01,[0]!End_Bal,-1)+1</definedName>
    <definedName name="Number_of_Payments" localSheetId="32">MATCH(0.01,[0]!End_Bal,-1)+1</definedName>
    <definedName name="Number_of_Payments" localSheetId="4">MATCH(0.01,[0]!End_Bal,-1)+1</definedName>
    <definedName name="Number_of_Payments" localSheetId="11">MATCH(0.01,[0]!End_Bal,-1)+1</definedName>
    <definedName name="Number_of_Payments" localSheetId="46">MATCH(0.01,[0]!End_Bal,-1)+1</definedName>
    <definedName name="Number_of_Payments" localSheetId="37">MATCH(0.01,[0]!End_Bal,-1)+1</definedName>
    <definedName name="Number_of_Payments" localSheetId="39">MATCH(0.01,[0]!End_Bal,-1)+1</definedName>
    <definedName name="Number_of_Payments" localSheetId="10">MATCH(0.01,[0]!End_Bal,-1)+1</definedName>
    <definedName name="OrderTable" localSheetId="49" hidden="1">#REF!</definedName>
    <definedName name="OrderTable" localSheetId="50" hidden="1">#REF!</definedName>
    <definedName name="OrderTable" localSheetId="51" hidden="1">#REF!</definedName>
    <definedName name="OrderTable" localSheetId="52" hidden="1">#REF!</definedName>
    <definedName name="OrderTable" localSheetId="6" hidden="1">#REF!</definedName>
    <definedName name="OrderTable" localSheetId="36" hidden="1">#REF!</definedName>
    <definedName name="OrderTable" localSheetId="35" hidden="1">#REF!</definedName>
    <definedName name="OrderTable" localSheetId="21" hidden="1">#REF!</definedName>
    <definedName name="OrderTable" localSheetId="15" hidden="1">#REF!</definedName>
    <definedName name="OrderTable" localSheetId="28" hidden="1">#REF!</definedName>
    <definedName name="OrderTable" localSheetId="8" hidden="1">#REF!</definedName>
    <definedName name="OrderTable" localSheetId="25" hidden="1">#REF!</definedName>
    <definedName name="OrderTable" localSheetId="31" hidden="1">#REF!</definedName>
    <definedName name="OrderTable" localSheetId="33" hidden="1">#REF!</definedName>
    <definedName name="OrderTable" localSheetId="34" hidden="1">#REF!</definedName>
    <definedName name="OrderTable" localSheetId="32" hidden="1">#REF!</definedName>
    <definedName name="OrderTable" localSheetId="4" hidden="1">#REF!</definedName>
    <definedName name="OrderTable" localSheetId="7" hidden="1">#REF!</definedName>
    <definedName name="OrderTable" localSheetId="11" hidden="1">#REF!</definedName>
    <definedName name="OrderTable" localSheetId="46" hidden="1">#REF!</definedName>
    <definedName name="OrderTable" localSheetId="37" hidden="1">#REF!</definedName>
    <definedName name="OrderTable" localSheetId="39" hidden="1">#REF!</definedName>
    <definedName name="OrderTable" localSheetId="9" hidden="1">#REF!</definedName>
    <definedName name="OrderTable" localSheetId="2" hidden="1">#REF!</definedName>
    <definedName name="OrderTable" localSheetId="10" hidden="1">#REF!</definedName>
    <definedName name="Payment_Date" localSheetId="6">DATE(YEAR([0]!Loan_Start),MONTH([0]!Loan_Start)+Payment_Number,DAY([0]!Loan_Start))</definedName>
    <definedName name="Payment_Date" localSheetId="21">DATE(YEAR([0]!Loan_Start),MONTH([0]!Loan_Start)+Payment_Number,DAY([0]!Loan_Start))</definedName>
    <definedName name="Payment_Date" localSheetId="15">DATE(YEAR([0]!Loan_Start),MONTH([0]!Loan_Start)+Payment_Number,DAY([0]!Loan_Start))</definedName>
    <definedName name="Payment_Date" localSheetId="28">DATE(YEAR([0]!Loan_Start),MONTH([0]!Loan_Start)+Payment_Number,DAY([0]!Loan_Start))</definedName>
    <definedName name="Payment_Date" localSheetId="3">DATE(YEAR([0]!Loan_Start),MONTH([0]!Loan_Start)+Payment_Number,DAY([0]!Loan_Start))</definedName>
    <definedName name="Payment_Date" localSheetId="25">DATE(YEAR([0]!Loan_Start),MONTH([0]!Loan_Start)+Payment_Number,DAY([0]!Loan_Start))</definedName>
    <definedName name="Payment_Date" localSheetId="31">DATE(YEAR([0]!Loan_Start),MONTH([0]!Loan_Start)+Payment_Number,DAY([0]!Loan_Start))</definedName>
    <definedName name="Payment_Date" localSheetId="33">DATE(YEAR([0]!Loan_Start),MONTH([0]!Loan_Start)+Payment_Number,DAY([0]!Loan_Start))</definedName>
    <definedName name="Payment_Date" localSheetId="34">DATE(YEAR([0]!Loan_Start),MONTH([0]!Loan_Start)+Payment_Number,DAY([0]!Loan_Start))</definedName>
    <definedName name="Payment_Date" localSheetId="32">DATE(YEAR([0]!Loan_Start),MONTH([0]!Loan_Start)+Payment_Number,DAY([0]!Loan_Start))</definedName>
    <definedName name="Payment_Date" localSheetId="4">DATE(YEAR([0]!Loan_Start),MONTH([0]!Loan_Start)+Payment_Number,DAY([0]!Loan_Start))</definedName>
    <definedName name="Payment_Date" localSheetId="11">DATE(YEAR([0]!Loan_Start),MONTH([0]!Loan_Start)+Payment_Number,DAY([0]!Loan_Start))</definedName>
    <definedName name="Payment_Date" localSheetId="46">DATE(YEAR([0]!Loan_Start),MONTH([0]!Loan_Start)+Payment_Number,DAY([0]!Loan_Start))</definedName>
    <definedName name="Payment_Date" localSheetId="37">DATE(YEAR([0]!Loan_Start),MONTH([0]!Loan_Start)+Payment_Number,DAY([0]!Loan_Start))</definedName>
    <definedName name="Payment_Date" localSheetId="39">DATE(YEAR([0]!Loan_Start),MONTH([0]!Loan_Start)+Payment_Number,DAY([0]!Loan_Start))</definedName>
    <definedName name="Payment_Date" localSheetId="10">DATE(YEAR([0]!Loan_Start),MONTH([0]!Loan_Start)+Payment_Number,DAY([0]!Loan_Start))</definedName>
    <definedName name="pi">3.1415</definedName>
    <definedName name="_xlnm.Print_Area" localSheetId="48">'1 (2)'!$A$1:$I$20</definedName>
    <definedName name="_xlnm.Print_Area" localSheetId="49">'2 (2)'!$A$1:$I$20</definedName>
    <definedName name="_xlnm.Print_Area" localSheetId="50">'3 (2)'!$A$1:$I$20</definedName>
    <definedName name="_xlnm.Print_Area" localSheetId="51">'4 (2)'!$A$1:$I$20</definedName>
    <definedName name="_xlnm.Print_Area" localSheetId="52">'5 (2)'!$A$1:$I$20</definedName>
    <definedName name="_xlnm.Print_Area" localSheetId="6">abstract!$A$1:$G$19</definedName>
    <definedName name="_xlnm.Print_Area" localSheetId="40">'C-1'!$A$1:$G$57</definedName>
    <definedName name="_xlnm.Print_Area" localSheetId="41">'CC f -2'!$A$1:$J$57</definedName>
    <definedName name="_xlnm.Print_Area" localSheetId="36">CR!$A$1:$M$1162</definedName>
    <definedName name="_xlnm.Print_Area" localSheetId="35">CS!$A$1:$M$1169</definedName>
    <definedName name="_xlnm.Print_Area" localSheetId="21">'D&amp;W data'!$A$1:$H$950</definedName>
    <definedName name="_xlnm.Print_Area" localSheetId="20">data!$A$1:$G$3678</definedName>
    <definedName name="_xlnm.Print_Area" localSheetId="27">'data 2022-23'!$A$1:$G$925</definedName>
    <definedName name="_xlnm.Print_Area" localSheetId="15">'Differ- Material'!$A$1:$F$126</definedName>
    <definedName name="_xlnm.Print_Area" localSheetId="28">'door 2022-23'!$A$1:$H$273</definedName>
    <definedName name="_xlnm.Print_Area" localSheetId="30">'Ele 2022-23'!$A$1:$I$293</definedName>
    <definedName name="_xlnm.Print_Area" localSheetId="23">'Ele Data'!$A$1:$I$1145</definedName>
    <definedName name="_xlnm.Print_Area" localSheetId="8">FF!$A$1:$M$1551</definedName>
    <definedName name="_xlnm.Print_Area" localSheetId="3">Genetic!$A$1:$E$41</definedName>
    <definedName name="_xlnm.Print_Area" localSheetId="5">INPUT!$A$1:$H$131</definedName>
    <definedName name="_xlnm.Print_Area" localSheetId="16">'lead 19-20'!$A$1:$L$33</definedName>
    <definedName name="_xlnm.Print_Area" localSheetId="17">'lead 20-21'!$A$1:$L$33</definedName>
    <definedName name="_xlnm.Print_Area" localSheetId="18">'lead 21-22'!$A$1:$L$33</definedName>
    <definedName name="_xlnm.Print_Area" localSheetId="19">'lead 22-23'!$A$1:$L$33</definedName>
    <definedName name="_xlnm.Print_Area" localSheetId="26">'lead 22-23 P-B'!$A$1:$L$33</definedName>
    <definedName name="_xlnm.Print_Area" localSheetId="4">NIC!$A$1:$G$1143</definedName>
    <definedName name="_xlnm.Print_Area" localSheetId="7">'PART-A'!$A$1:$M$4518</definedName>
    <definedName name="_xlnm.Print_Area" localSheetId="11">'PART-B'!$A$1:$M$1583</definedName>
    <definedName name="_xlnm.Print_Area" localSheetId="37">'R-1'!$A$1:$J$1131</definedName>
    <definedName name="_xlnm.Print_Area" localSheetId="39">'R-2'!$A$1:$P$186</definedName>
    <definedName name="_xlnm.Print_Area" localSheetId="29">'SANI 2022-23'!$A$1:$G$152</definedName>
    <definedName name="_xlnm.Print_Area" localSheetId="22">'SANITATION DTA'!$A$1:$G$595</definedName>
    <definedName name="_xlnm.Print_Area" localSheetId="13">'SEIG P-A '!$A$1:$U$193</definedName>
    <definedName name="_xlnm.Print_Area" localSheetId="43">'SEIG P-A  (2)'!$A$1:$U$193</definedName>
    <definedName name="_xlnm.Print_Area" localSheetId="14">'SEIG P-B'!$A$1:$U$55</definedName>
    <definedName name="_xlnm.Print_Area" localSheetId="9">SF!$A$1:$M$970</definedName>
    <definedName name="_xlnm.Print_Area" localSheetId="2">SPE!$A$1:$I$14</definedName>
    <definedName name="_xlnm.Print_Area" localSheetId="47">'voucer part (2)'!$A$1:$L$36</definedName>
    <definedName name="_xlnm.Print_Area" localSheetId="10">'Water &amp; Electrical'!$A$1:$M$2048</definedName>
    <definedName name="Print_Area_Reset" localSheetId="6">OFFSET([0]!Full_Print,0,0,[0]!Last_Row)</definedName>
    <definedName name="Print_Area_Reset" localSheetId="21">OFFSET([0]!Full_Print,0,0,[0]!Last_Row)</definedName>
    <definedName name="Print_Area_Reset" localSheetId="15">OFFSET([0]!Full_Print,0,0,[0]!Last_Row)</definedName>
    <definedName name="Print_Area_Reset" localSheetId="28">OFFSET([0]!Full_Print,0,0,[0]!Last_Row)</definedName>
    <definedName name="Print_Area_Reset" localSheetId="3">OFFSET([0]!Full_Print,0,0,Genetic!Last_Row)</definedName>
    <definedName name="Print_Area_Reset" localSheetId="25">OFFSET([0]!Full_Print,0,0,'MINI SSR 19-20'!Last_Row)</definedName>
    <definedName name="Print_Area_Reset" localSheetId="31">OFFSET([0]!Full_Print,0,0,'MINI SSR 2020-21'!Last_Row)</definedName>
    <definedName name="Print_Area_Reset" localSheetId="33">OFFSET([0]!Full_Print,0,0,'MINI SSR 2022-23'!Last_Row)</definedName>
    <definedName name="Print_Area_Reset" localSheetId="34">OFFSET([0]!Full_Print,0,0,'MINI SSR 2022-23 (2)'!Last_Row)</definedName>
    <definedName name="Print_Area_Reset" localSheetId="32">OFFSET([0]!Full_Print,0,0,'MINI SSR 21-22'!Last_Row)</definedName>
    <definedName name="Print_Area_Reset" localSheetId="4">OFFSET([0]!Full_Print,0,0,[0]!Last_Row)</definedName>
    <definedName name="Print_Area_Reset" localSheetId="11">OFFSET([0]!Full_Print,0,0,'PART-B'!Last_Row)</definedName>
    <definedName name="Print_Area_Reset" localSheetId="46">OFFSET([0]!Full_Print,0,0,[0]!Last_Row)</definedName>
    <definedName name="Print_Area_Reset" localSheetId="37">OFFSET([0]!Full_Print,0,0,[0]!Last_Row)</definedName>
    <definedName name="Print_Area_Reset" localSheetId="39">OFFSET([0]!Full_Print,0,0,[0]!Last_Row)</definedName>
    <definedName name="Print_Area_Reset" localSheetId="10">OFFSET([0]!Full_Print,0,0,[0]!Last_Row)</definedName>
    <definedName name="_xlnm.Print_Titles" localSheetId="6">abstract!$5:$7</definedName>
    <definedName name="_xlnm.Print_Titles" localSheetId="24">'con 2019-20'!$3:$4</definedName>
    <definedName name="_xlnm.Print_Titles" localSheetId="38">'con 2020-21'!$3:$4</definedName>
    <definedName name="_xlnm.Print_Titles" localSheetId="55">'con 2021-22'!$3:$4</definedName>
    <definedName name="_xlnm.Print_Titles" localSheetId="56">'con 2022-23'!$3:$4</definedName>
    <definedName name="_xlnm.Print_Titles" localSheetId="57">'con 2022-23 (2)'!$3:$4</definedName>
    <definedName name="_xlnm.Print_Titles" localSheetId="36">CR!$4:$6</definedName>
    <definedName name="_xlnm.Print_Titles" localSheetId="35">CS!$4:$6</definedName>
    <definedName name="_xlnm.Print_Titles" localSheetId="21">'D&amp;W data'!$5:$5</definedName>
    <definedName name="_xlnm.Print_Titles" localSheetId="20">data!$6:$6</definedName>
    <definedName name="_xlnm.Print_Titles" localSheetId="27">'data 2022-23'!$4:$4</definedName>
    <definedName name="_xlnm.Print_Titles" localSheetId="15">'Differ- Material'!$4:$5</definedName>
    <definedName name="_xlnm.Print_Titles" localSheetId="28">'door 2022-23'!$5:$5</definedName>
    <definedName name="_xlnm.Print_Titles" localSheetId="30">'Ele 2022-23'!$3:$4</definedName>
    <definedName name="_xlnm.Print_Titles" localSheetId="23">'Ele Data'!$2:$3</definedName>
    <definedName name="_xlnm.Print_Titles" localSheetId="8">FF!$5:$7</definedName>
    <definedName name="_xlnm.Print_Titles" localSheetId="5">INPUT!$4:$4</definedName>
    <definedName name="_xlnm.Print_Titles" localSheetId="16">'lead 19-20'!$5:$7</definedName>
    <definedName name="_xlnm.Print_Titles" localSheetId="17">'lead 20-21'!$5:$7</definedName>
    <definedName name="_xlnm.Print_Titles" localSheetId="18">'lead 21-22'!$5:$7</definedName>
    <definedName name="_xlnm.Print_Titles" localSheetId="19">'lead 22-23'!$5:$7</definedName>
    <definedName name="_xlnm.Print_Titles" localSheetId="26">'lead 22-23 P-B'!$5:$7</definedName>
    <definedName name="_xlnm.Print_Titles" localSheetId="4">NIC!$4:$5</definedName>
    <definedName name="_xlnm.Print_Titles" localSheetId="7">'PART-A'!$4:$6</definedName>
    <definedName name="_xlnm.Print_Titles" localSheetId="11">'PART-B'!$4:$6</definedName>
    <definedName name="_xlnm.Print_Titles" localSheetId="46">'Proforma-I'!$C:$E</definedName>
    <definedName name="_xlnm.Print_Titles" localSheetId="37">'R-1'!$4:$5</definedName>
    <definedName name="_xlnm.Print_Titles" localSheetId="39">'R-2'!$3:$3</definedName>
    <definedName name="_xlnm.Print_Titles" localSheetId="29">'SANI 2022-23'!$3:$4</definedName>
    <definedName name="_xlnm.Print_Titles" localSheetId="22">'SANITATION DTA'!$2:$3</definedName>
    <definedName name="_xlnm.Print_Titles" localSheetId="13">'SEIG P-A '!$3:$3</definedName>
    <definedName name="_xlnm.Print_Titles" localSheetId="43">'SEIG P-A  (2)'!$3:$3</definedName>
    <definedName name="_xlnm.Print_Titles" localSheetId="14">'SEIG P-B'!$3:$3</definedName>
    <definedName name="_xlnm.Print_Titles" localSheetId="9">SF!$5:$7</definedName>
    <definedName name="_xlnm.Print_Titles" localSheetId="10">'Water &amp; Electrical'!$5:$7</definedName>
    <definedName name="ProdForm" localSheetId="49" hidden="1">#REF!</definedName>
    <definedName name="ProdForm" localSheetId="50" hidden="1">#REF!</definedName>
    <definedName name="ProdForm" localSheetId="51" hidden="1">#REF!</definedName>
    <definedName name="ProdForm" localSheetId="52" hidden="1">#REF!</definedName>
    <definedName name="ProdForm" localSheetId="6" hidden="1">#REF!</definedName>
    <definedName name="ProdForm" localSheetId="36" hidden="1">#REF!</definedName>
    <definedName name="ProdForm" localSheetId="35" hidden="1">#REF!</definedName>
    <definedName name="ProdForm" localSheetId="21" hidden="1">#REF!</definedName>
    <definedName name="ProdForm" localSheetId="15" hidden="1">#REF!</definedName>
    <definedName name="ProdForm" localSheetId="28" hidden="1">#REF!</definedName>
    <definedName name="ProdForm" localSheetId="8" hidden="1">#REF!</definedName>
    <definedName name="ProdForm" localSheetId="25" hidden="1">#REF!</definedName>
    <definedName name="ProdForm" localSheetId="31" hidden="1">#REF!</definedName>
    <definedName name="ProdForm" localSheetId="33" hidden="1">#REF!</definedName>
    <definedName name="ProdForm" localSheetId="34" hidden="1">#REF!</definedName>
    <definedName name="ProdForm" localSheetId="32" hidden="1">#REF!</definedName>
    <definedName name="ProdForm" localSheetId="4" hidden="1">#REF!</definedName>
    <definedName name="ProdForm" localSheetId="7" hidden="1">#REF!</definedName>
    <definedName name="ProdForm" localSheetId="11" hidden="1">#REF!</definedName>
    <definedName name="ProdForm" localSheetId="46" hidden="1">#REF!</definedName>
    <definedName name="ProdForm" localSheetId="37" hidden="1">#REF!</definedName>
    <definedName name="ProdForm" localSheetId="39" hidden="1">#REF!</definedName>
    <definedName name="ProdForm" localSheetId="9" hidden="1">#REF!</definedName>
    <definedName name="ProdForm" localSheetId="2" hidden="1">#REF!</definedName>
    <definedName name="ProdForm" localSheetId="10" hidden="1">#REF!</definedName>
    <definedName name="Product" localSheetId="49" hidden="1">#REF!</definedName>
    <definedName name="Product" localSheetId="50" hidden="1">#REF!</definedName>
    <definedName name="Product" localSheetId="51" hidden="1">#REF!</definedName>
    <definedName name="Product" localSheetId="52" hidden="1">#REF!</definedName>
    <definedName name="Product" localSheetId="6" hidden="1">#REF!</definedName>
    <definedName name="Product" localSheetId="36" hidden="1">#REF!</definedName>
    <definedName name="Product" localSheetId="35" hidden="1">#REF!</definedName>
    <definedName name="Product" localSheetId="21" hidden="1">#REF!</definedName>
    <definedName name="Product" localSheetId="15" hidden="1">#REF!</definedName>
    <definedName name="Product" localSheetId="28" hidden="1">#REF!</definedName>
    <definedName name="Product" localSheetId="8" hidden="1">#REF!</definedName>
    <definedName name="Product" localSheetId="25" hidden="1">#REF!</definedName>
    <definedName name="Product" localSheetId="31" hidden="1">#REF!</definedName>
    <definedName name="Product" localSheetId="33" hidden="1">#REF!</definedName>
    <definedName name="Product" localSheetId="34" hidden="1">#REF!</definedName>
    <definedName name="Product" localSheetId="32" hidden="1">#REF!</definedName>
    <definedName name="Product" localSheetId="4" hidden="1">#REF!</definedName>
    <definedName name="Product" localSheetId="7" hidden="1">#REF!</definedName>
    <definedName name="Product" localSheetId="11" hidden="1">#REF!</definedName>
    <definedName name="Product" localSheetId="46" hidden="1">#REF!</definedName>
    <definedName name="Product" localSheetId="37" hidden="1">#REF!</definedName>
    <definedName name="Product" localSheetId="39" hidden="1">#REF!</definedName>
    <definedName name="Product" localSheetId="9" hidden="1">#REF!</definedName>
    <definedName name="Product" localSheetId="2" hidden="1">#REF!</definedName>
    <definedName name="Product" localSheetId="10" hidden="1">#REF!</definedName>
    <definedName name="RCArea" localSheetId="49" hidden="1">#REF!</definedName>
    <definedName name="RCArea" localSheetId="50" hidden="1">#REF!</definedName>
    <definedName name="RCArea" localSheetId="51" hidden="1">#REF!</definedName>
    <definedName name="RCArea" localSheetId="52" hidden="1">#REF!</definedName>
    <definedName name="RCArea" localSheetId="6" hidden="1">#REF!</definedName>
    <definedName name="RCArea" localSheetId="36" hidden="1">#REF!</definedName>
    <definedName name="RCArea" localSheetId="35" hidden="1">#REF!</definedName>
    <definedName name="RCArea" localSheetId="21" hidden="1">#REF!</definedName>
    <definedName name="RCArea" localSheetId="15" hidden="1">#REF!</definedName>
    <definedName name="RCArea" localSheetId="28" hidden="1">#REF!</definedName>
    <definedName name="RCArea" localSheetId="8" hidden="1">#REF!</definedName>
    <definedName name="RCArea" localSheetId="25" hidden="1">#REF!</definedName>
    <definedName name="RCArea" localSheetId="31" hidden="1">#REF!</definedName>
    <definedName name="RCArea" localSheetId="33" hidden="1">#REF!</definedName>
    <definedName name="RCArea" localSheetId="34" hidden="1">#REF!</definedName>
    <definedName name="RCArea" localSheetId="32" hidden="1">#REF!</definedName>
    <definedName name="RCArea" localSheetId="4" hidden="1">#REF!</definedName>
    <definedName name="RCArea" localSheetId="7" hidden="1">#REF!</definedName>
    <definedName name="RCArea" localSheetId="11" hidden="1">#REF!</definedName>
    <definedName name="RCArea" localSheetId="46" hidden="1">#REF!</definedName>
    <definedName name="RCArea" localSheetId="37" hidden="1">#REF!</definedName>
    <definedName name="RCArea" localSheetId="39" hidden="1">#REF!</definedName>
    <definedName name="RCArea" localSheetId="9" hidden="1">#REF!</definedName>
    <definedName name="RCArea" localSheetId="2" hidden="1">#REF!</definedName>
    <definedName name="RCArea" localSheetId="10" hidden="1">#REF!</definedName>
    <definedName name="S.F" localSheetId="49" hidden="1">'[1]final abstract'!#REF!</definedName>
    <definedName name="S.F" localSheetId="50" hidden="1">'[1]final abstract'!#REF!</definedName>
    <definedName name="S.F" localSheetId="51" hidden="1">'[1]final abstract'!#REF!</definedName>
    <definedName name="S.F" localSheetId="52" hidden="1">'[1]final abstract'!#REF!</definedName>
    <definedName name="S.F" localSheetId="6" hidden="1">'[1]final abstract'!#REF!</definedName>
    <definedName name="S.F" localSheetId="36" hidden="1">'[1]final abstract'!#REF!</definedName>
    <definedName name="S.F" localSheetId="35" hidden="1">'[1]final abstract'!#REF!</definedName>
    <definedName name="S.F" localSheetId="21" hidden="1">'[1]final abstract'!#REF!</definedName>
    <definedName name="S.F" localSheetId="15" hidden="1">'[1]final abstract'!#REF!</definedName>
    <definedName name="S.F" localSheetId="28" hidden="1">'[1]final abstract'!#REF!</definedName>
    <definedName name="S.F" localSheetId="8" hidden="1">'[1]final abstract'!#REF!</definedName>
    <definedName name="S.F" localSheetId="4" hidden="1">'[1]final abstract'!#REF!</definedName>
    <definedName name="S.F" localSheetId="7" hidden="1">'[1]final abstract'!#REF!</definedName>
    <definedName name="S.F" localSheetId="11" hidden="1">'[1]final abstract'!#REF!</definedName>
    <definedName name="S.F" localSheetId="37" hidden="1">'[1]final abstract'!#REF!</definedName>
    <definedName name="S.F" localSheetId="39" hidden="1">'[1]final abstract'!#REF!</definedName>
    <definedName name="S.F" localSheetId="9" hidden="1">'[1]final abstract'!#REF!</definedName>
    <definedName name="S.F" localSheetId="2" hidden="1">'[1]final abstract'!#REF!</definedName>
    <definedName name="S.F" localSheetId="10" hidden="1">'[1]final abstract'!#REF!</definedName>
    <definedName name="SKDIRD" localSheetId="6" hidden="1">{"'ridftotal'!$A$4:$S$27"}</definedName>
    <definedName name="SKDIRD" localSheetId="36" hidden="1">{"'ridftotal'!$A$4:$S$27"}</definedName>
    <definedName name="SKDIRD" localSheetId="35" hidden="1">{"'ridftotal'!$A$4:$S$27"}</definedName>
    <definedName name="SKDIRD" localSheetId="15" hidden="1">{"'ridftotal'!$A$4:$S$27"}</definedName>
    <definedName name="SKDIRD" localSheetId="8" hidden="1">{"'ridftotal'!$A$4:$S$27"}</definedName>
    <definedName name="SKDIRD" localSheetId="3" hidden="1">{"'ridftotal'!$A$4:$S$27"}</definedName>
    <definedName name="SKDIRD" localSheetId="25" hidden="1">{"'ridftotal'!$A$4:$S$27"}</definedName>
    <definedName name="SKDIRD" localSheetId="31" hidden="1">{"'ridftotal'!$A$4:$S$27"}</definedName>
    <definedName name="SKDIRD" localSheetId="33" hidden="1">{"'ridftotal'!$A$4:$S$27"}</definedName>
    <definedName name="SKDIRD" localSheetId="34" hidden="1">{"'ridftotal'!$A$4:$S$27"}</definedName>
    <definedName name="SKDIRD" localSheetId="32" hidden="1">{"'ridftotal'!$A$4:$S$27"}</definedName>
    <definedName name="SKDIRD" localSheetId="4" hidden="1">{"'ridftotal'!$A$4:$S$27"}</definedName>
    <definedName name="SKDIRD" localSheetId="7" hidden="1">{"'ridftotal'!$A$4:$S$27"}</definedName>
    <definedName name="SKDIRD" localSheetId="11" hidden="1">{"'ridftotal'!$A$4:$S$27"}</definedName>
    <definedName name="SKDIRD" localSheetId="46" hidden="1">{"'ridftotal'!$A$4:$S$27"}</definedName>
    <definedName name="SKDIRD" localSheetId="37" hidden="1">{"'ridftotal'!$A$4:$S$27"}</definedName>
    <definedName name="SKDIRD" localSheetId="9" hidden="1">{"'ridftotal'!$A$4:$S$27"}</definedName>
    <definedName name="SKDIRD" localSheetId="2" hidden="1">{"'ridftotal'!$A$4:$S$27"}</definedName>
    <definedName name="SKDIRD" localSheetId="10" hidden="1">{"'ridftotal'!$A$4:$S$27"}</definedName>
    <definedName name="SpecialPrice" localSheetId="49" hidden="1">#REF!</definedName>
    <definedName name="SpecialPrice" localSheetId="50" hidden="1">#REF!</definedName>
    <definedName name="SpecialPrice" localSheetId="51" hidden="1">#REF!</definedName>
    <definedName name="SpecialPrice" localSheetId="52" hidden="1">#REF!</definedName>
    <definedName name="SpecialPrice" localSheetId="6" hidden="1">#REF!</definedName>
    <definedName name="SpecialPrice" localSheetId="36" hidden="1">#REF!</definedName>
    <definedName name="SpecialPrice" localSheetId="35" hidden="1">#REF!</definedName>
    <definedName name="SpecialPrice" localSheetId="21" hidden="1">#REF!</definedName>
    <definedName name="SpecialPrice" localSheetId="15" hidden="1">#REF!</definedName>
    <definedName name="SpecialPrice" localSheetId="28" hidden="1">#REF!</definedName>
    <definedName name="SpecialPrice" localSheetId="8" hidden="1">#REF!</definedName>
    <definedName name="SpecialPrice" localSheetId="25" hidden="1">#REF!</definedName>
    <definedName name="SpecialPrice" localSheetId="31" hidden="1">#REF!</definedName>
    <definedName name="SpecialPrice" localSheetId="33" hidden="1">#REF!</definedName>
    <definedName name="SpecialPrice" localSheetId="34" hidden="1">#REF!</definedName>
    <definedName name="SpecialPrice" localSheetId="32" hidden="1">#REF!</definedName>
    <definedName name="SpecialPrice" localSheetId="4" hidden="1">#REF!</definedName>
    <definedName name="SpecialPrice" localSheetId="7" hidden="1">#REF!</definedName>
    <definedName name="SpecialPrice" localSheetId="11" hidden="1">#REF!</definedName>
    <definedName name="SpecialPrice" localSheetId="46" hidden="1">#REF!</definedName>
    <definedName name="SpecialPrice" localSheetId="37" hidden="1">#REF!</definedName>
    <definedName name="SpecialPrice" localSheetId="39" hidden="1">#REF!</definedName>
    <definedName name="SpecialPrice" localSheetId="9" hidden="1">#REF!</definedName>
    <definedName name="SpecialPrice" localSheetId="2" hidden="1">#REF!</definedName>
    <definedName name="SpecialPrice" localSheetId="10" hidden="1">#REF!</definedName>
    <definedName name="tbl_ProdInfo" localSheetId="49" hidden="1">#REF!</definedName>
    <definedName name="tbl_ProdInfo" localSheetId="50" hidden="1">#REF!</definedName>
    <definedName name="tbl_ProdInfo" localSheetId="51" hidden="1">#REF!</definedName>
    <definedName name="tbl_ProdInfo" localSheetId="52" hidden="1">#REF!</definedName>
    <definedName name="tbl_ProdInfo" localSheetId="6" hidden="1">#REF!</definedName>
    <definedName name="tbl_ProdInfo" localSheetId="36" hidden="1">#REF!</definedName>
    <definedName name="tbl_ProdInfo" localSheetId="35" hidden="1">#REF!</definedName>
    <definedName name="tbl_ProdInfo" localSheetId="21" hidden="1">#REF!</definedName>
    <definedName name="tbl_ProdInfo" localSheetId="15" hidden="1">#REF!</definedName>
    <definedName name="tbl_ProdInfo" localSheetId="28" hidden="1">#REF!</definedName>
    <definedName name="tbl_ProdInfo" localSheetId="8" hidden="1">#REF!</definedName>
    <definedName name="tbl_ProdInfo" localSheetId="25" hidden="1">#REF!</definedName>
    <definedName name="tbl_ProdInfo" localSheetId="31" hidden="1">#REF!</definedName>
    <definedName name="tbl_ProdInfo" localSheetId="33" hidden="1">#REF!</definedName>
    <definedName name="tbl_ProdInfo" localSheetId="34" hidden="1">#REF!</definedName>
    <definedName name="tbl_ProdInfo" localSheetId="32" hidden="1">#REF!</definedName>
    <definedName name="tbl_ProdInfo" localSheetId="4" hidden="1">#REF!</definedName>
    <definedName name="tbl_ProdInfo" localSheetId="7" hidden="1">#REF!</definedName>
    <definedName name="tbl_ProdInfo" localSheetId="11" hidden="1">#REF!</definedName>
    <definedName name="tbl_ProdInfo" localSheetId="46" hidden="1">#REF!</definedName>
    <definedName name="tbl_ProdInfo" localSheetId="37" hidden="1">#REF!</definedName>
    <definedName name="tbl_ProdInfo" localSheetId="39" hidden="1">#REF!</definedName>
    <definedName name="tbl_ProdInfo" localSheetId="9" hidden="1">#REF!</definedName>
    <definedName name="tbl_ProdInfo" localSheetId="2" hidden="1">#REF!</definedName>
    <definedName name="tbl_ProdInfo" localSheetId="10" hidden="1">#REF!</definedName>
    <definedName name="Values_Entered" localSheetId="6">IF([0]!Loan_Amount*[0]!Interest_Rate*[0]!Loan_Years*[0]!Loan_Start&gt;0,1,0)</definedName>
    <definedName name="Values_Entered" localSheetId="21">IF([0]!Loan_Amount*[0]!Interest_Rate*[0]!Loan_Years*[0]!Loan_Start&gt;0,1,0)</definedName>
    <definedName name="Values_Entered" localSheetId="15">IF([0]!Loan_Amount*[0]!Interest_Rate*[0]!Loan_Years*[0]!Loan_Start&gt;0,1,0)</definedName>
    <definedName name="Values_Entered" localSheetId="28">IF([0]!Loan_Amount*[0]!Interest_Rate*[0]!Loan_Years*[0]!Loan_Start&gt;0,1,0)</definedName>
    <definedName name="Values_Entered" localSheetId="3">IF([0]!Loan_Amount*[0]!Interest_Rate*[0]!Loan_Years*[0]!Loan_Start&gt;0,1,0)</definedName>
    <definedName name="Values_Entered" localSheetId="25">IF([0]!Loan_Amount*[0]!Interest_Rate*[0]!Loan_Years*[0]!Loan_Start&gt;0,1,0)</definedName>
    <definedName name="Values_Entered" localSheetId="31">IF([0]!Loan_Amount*[0]!Interest_Rate*[0]!Loan_Years*[0]!Loan_Start&gt;0,1,0)</definedName>
    <definedName name="Values_Entered" localSheetId="33">IF([0]!Loan_Amount*[0]!Interest_Rate*[0]!Loan_Years*[0]!Loan_Start&gt;0,1,0)</definedName>
    <definedName name="Values_Entered" localSheetId="34">IF([0]!Loan_Amount*[0]!Interest_Rate*[0]!Loan_Years*[0]!Loan_Start&gt;0,1,0)</definedName>
    <definedName name="Values_Entered" localSheetId="32">IF([0]!Loan_Amount*[0]!Interest_Rate*[0]!Loan_Years*[0]!Loan_Start&gt;0,1,0)</definedName>
    <definedName name="Values_Entered" localSheetId="4">IF([0]!Loan_Amount*[0]!Interest_Rate*[0]!Loan_Years*[0]!Loan_Start&gt;0,1,0)</definedName>
    <definedName name="Values_Entered" localSheetId="11">IF([0]!Loan_Amount*[0]!Interest_Rate*[0]!Loan_Years*[0]!Loan_Start&gt;0,1,0)</definedName>
    <definedName name="Values_Entered" localSheetId="46">IF([0]!Loan_Amount*[0]!Interest_Rate*[0]!Loan_Years*[0]!Loan_Start&gt;0,1,0)</definedName>
    <definedName name="Values_Entered" localSheetId="37">IF([0]!Loan_Amount*[0]!Interest_Rate*[0]!Loan_Years*[0]!Loan_Start&gt;0,1,0)</definedName>
    <definedName name="Values_Entered" localSheetId="39">IF([0]!Loan_Amount*[0]!Interest_Rate*[0]!Loan_Years*[0]!Loan_Start&gt;0,1,0)</definedName>
    <definedName name="Values_Entered" localSheetId="10">IF([0]!Loan_Amount*[0]!Interest_Rate*[0]!Loan_Years*[0]!Loan_Start&gt;0,1,0)</definedName>
    <definedName name="VB" localSheetId="6" hidden="1">{"'ridftotal'!$A$4:$S$27"}</definedName>
    <definedName name="VB" localSheetId="36" hidden="1">{"'ridftotal'!$A$4:$S$27"}</definedName>
    <definedName name="VB" localSheetId="35" hidden="1">{"'ridftotal'!$A$4:$S$27"}</definedName>
    <definedName name="VB" localSheetId="15" hidden="1">{"'ridftotal'!$A$4:$S$27"}</definedName>
    <definedName name="VB" localSheetId="8" hidden="1">{"'ridftotal'!$A$4:$S$27"}</definedName>
    <definedName name="VB" localSheetId="3" hidden="1">{"'ridftotal'!$A$4:$S$27"}</definedName>
    <definedName name="VB" localSheetId="25" hidden="1">{"'ridftotal'!$A$4:$S$27"}</definedName>
    <definedName name="VB" localSheetId="31" hidden="1">{"'ridftotal'!$A$4:$S$27"}</definedName>
    <definedName name="VB" localSheetId="33" hidden="1">{"'ridftotal'!$A$4:$S$27"}</definedName>
    <definedName name="VB" localSheetId="34" hidden="1">{"'ridftotal'!$A$4:$S$27"}</definedName>
    <definedName name="VB" localSheetId="32" hidden="1">{"'ridftotal'!$A$4:$S$27"}</definedName>
    <definedName name="VB" localSheetId="4" hidden="1">{"'ridftotal'!$A$4:$S$27"}</definedName>
    <definedName name="VB" localSheetId="7" hidden="1">{"'ridftotal'!$A$4:$S$27"}</definedName>
    <definedName name="VB" localSheetId="11" hidden="1">{"'ridftotal'!$A$4:$S$27"}</definedName>
    <definedName name="VB" localSheetId="46" hidden="1">{"'ridftotal'!$A$4:$S$27"}</definedName>
    <definedName name="VB" localSheetId="37" hidden="1">{"'ridftotal'!$A$4:$S$27"}</definedName>
    <definedName name="VB" localSheetId="9" hidden="1">{"'ridftotal'!$A$4:$S$27"}</definedName>
    <definedName name="VB" localSheetId="2" hidden="1">{"'ridftotal'!$A$4:$S$27"}</definedName>
    <definedName name="VB" localSheetId="10" hidden="1">{"'ridftotal'!$A$4:$S$27"}</definedName>
    <definedName name="wgl" localSheetId="6" hidden="1">{"'ridftotal'!$A$4:$S$27"}</definedName>
    <definedName name="wgl" localSheetId="36" hidden="1">{"'ridftotal'!$A$4:$S$27"}</definedName>
    <definedName name="wgl" localSheetId="35" hidden="1">{"'ridftotal'!$A$4:$S$27"}</definedName>
    <definedName name="wgl" localSheetId="15" hidden="1">{"'ridftotal'!$A$4:$S$27"}</definedName>
    <definedName name="wgl" localSheetId="8" hidden="1">{"'ridftotal'!$A$4:$S$27"}</definedName>
    <definedName name="wgl" localSheetId="3" hidden="1">{"'ridftotal'!$A$4:$S$27"}</definedName>
    <definedName name="wgl" localSheetId="25" hidden="1">{"'ridftotal'!$A$4:$S$27"}</definedName>
    <definedName name="wgl" localSheetId="31" hidden="1">{"'ridftotal'!$A$4:$S$27"}</definedName>
    <definedName name="wgl" localSheetId="33" hidden="1">{"'ridftotal'!$A$4:$S$27"}</definedName>
    <definedName name="wgl" localSheetId="34" hidden="1">{"'ridftotal'!$A$4:$S$27"}</definedName>
    <definedName name="wgl" localSheetId="32" hidden="1">{"'ridftotal'!$A$4:$S$27"}</definedName>
    <definedName name="wgl" localSheetId="4" hidden="1">{"'ridftotal'!$A$4:$S$27"}</definedName>
    <definedName name="wgl" localSheetId="7" hidden="1">{"'ridftotal'!$A$4:$S$27"}</definedName>
    <definedName name="wgl" localSheetId="11" hidden="1">{"'ridftotal'!$A$4:$S$27"}</definedName>
    <definedName name="wgl" localSheetId="46" hidden="1">{"'ridftotal'!$A$4:$S$27"}</definedName>
    <definedName name="wgl" localSheetId="37" hidden="1">{"'ridftotal'!$A$4:$S$27"}</definedName>
    <definedName name="wgl" localSheetId="9" hidden="1">{"'ridftotal'!$A$4:$S$27"}</definedName>
    <definedName name="wgl" localSheetId="2" hidden="1">{"'ridftotal'!$A$4:$S$27"}</definedName>
    <definedName name="wgl" localSheetId="10" hidden="1">{"'ridftotal'!$A$4:$S$27"}</definedName>
    <definedName name="x" localSheetId="49" hidden="1">'[1]final abstract'!#REF!</definedName>
    <definedName name="x" localSheetId="50" hidden="1">'[1]final abstract'!#REF!</definedName>
    <definedName name="x" localSheetId="51" hidden="1">'[1]final abstract'!#REF!</definedName>
    <definedName name="x" localSheetId="52" hidden="1">'[1]final abstract'!#REF!</definedName>
    <definedName name="x" localSheetId="6" hidden="1">'[1]final abstract'!#REF!</definedName>
    <definedName name="x" localSheetId="36" hidden="1">'[1]final abstract'!#REF!</definedName>
    <definedName name="x" localSheetId="35" hidden="1">'[1]final abstract'!#REF!</definedName>
    <definedName name="x" localSheetId="21" hidden="1">'[1]final abstract'!#REF!</definedName>
    <definedName name="x" localSheetId="15" hidden="1">'[1]final abstract'!#REF!</definedName>
    <definedName name="x" localSheetId="28" hidden="1">'[1]final abstract'!#REF!</definedName>
    <definedName name="x" localSheetId="8" hidden="1">'[1]final abstract'!#REF!</definedName>
    <definedName name="x" localSheetId="54" hidden="1">'[1]final abstract'!#REF!</definedName>
    <definedName name="x" localSheetId="4" hidden="1">'[1]final abstract'!#REF!</definedName>
    <definedName name="x" localSheetId="7" hidden="1">'[1]final abstract'!#REF!</definedName>
    <definedName name="x" localSheetId="11" hidden="1">'[1]final abstract'!#REF!</definedName>
    <definedName name="x" localSheetId="37" hidden="1">'[1]final abstract'!#REF!</definedName>
    <definedName name="x" localSheetId="39" hidden="1">'[1]final abstract'!#REF!</definedName>
    <definedName name="x" localSheetId="9" hidden="1">'[1]final abstract'!#REF!</definedName>
    <definedName name="x" localSheetId="2" hidden="1">'[1]final abstract'!#REF!</definedName>
    <definedName name="x" localSheetId="10" hidden="1">'[1]final abstract'!#REF!</definedName>
    <definedName name="xx" localSheetId="6" hidden="1">{"'ridftotal'!$A$4:$S$27"}</definedName>
    <definedName name="xx" localSheetId="36" hidden="1">{"'ridftotal'!$A$4:$S$27"}</definedName>
    <definedName name="xx" localSheetId="35" hidden="1">{"'ridftotal'!$A$4:$S$27"}</definedName>
    <definedName name="xx" localSheetId="15" hidden="1">{"'ridftotal'!$A$4:$S$27"}</definedName>
    <definedName name="xx" localSheetId="8" hidden="1">{"'ridftotal'!$A$4:$S$27"}</definedName>
    <definedName name="xx" localSheetId="3" hidden="1">{"'ridftotal'!$A$4:$S$27"}</definedName>
    <definedName name="xx" localSheetId="25" hidden="1">{"'ridftotal'!$A$4:$S$27"}</definedName>
    <definedName name="xx" localSheetId="31" hidden="1">{"'ridftotal'!$A$4:$S$27"}</definedName>
    <definedName name="xx" localSheetId="33" hidden="1">{"'ridftotal'!$A$4:$S$27"}</definedName>
    <definedName name="xx" localSheetId="34" hidden="1">{"'ridftotal'!$A$4:$S$27"}</definedName>
    <definedName name="xx" localSheetId="32" hidden="1">{"'ridftotal'!$A$4:$S$27"}</definedName>
    <definedName name="xx" localSheetId="4" hidden="1">{"'ridftotal'!$A$4:$S$27"}</definedName>
    <definedName name="xx" localSheetId="7" hidden="1">{"'ridftotal'!$A$4:$S$27"}</definedName>
    <definedName name="xx" localSheetId="11" hidden="1">{"'ridftotal'!$A$4:$S$27"}</definedName>
    <definedName name="xx" localSheetId="46" hidden="1">{"'ridftotal'!$A$4:$S$27"}</definedName>
    <definedName name="xx" localSheetId="37" hidden="1">{"'ridftotal'!$A$4:$S$27"}</definedName>
    <definedName name="xx" localSheetId="9" hidden="1">{"'ridftotal'!$A$4:$S$27"}</definedName>
    <definedName name="xx" localSheetId="2" hidden="1">{"'ridftotal'!$A$4:$S$27"}</definedName>
    <definedName name="xx" localSheetId="10" hidden="1">{"'ridftotal'!$A$4:$S$27"}</definedName>
    <definedName name="xxxx" localSheetId="6" hidden="1">{"'ridftotal'!$A$4:$S$27"}</definedName>
    <definedName name="xxxx" localSheetId="36" hidden="1">{"'ridftotal'!$A$4:$S$27"}</definedName>
    <definedName name="xxxx" localSheetId="35" hidden="1">{"'ridftotal'!$A$4:$S$27"}</definedName>
    <definedName name="xxxx" localSheetId="15" hidden="1">{"'ridftotal'!$A$4:$S$27"}</definedName>
    <definedName name="xxxx" localSheetId="8" hidden="1">{"'ridftotal'!$A$4:$S$27"}</definedName>
    <definedName name="xxxx" localSheetId="3" hidden="1">{"'ridftotal'!$A$4:$S$27"}</definedName>
    <definedName name="xxxx" localSheetId="25" hidden="1">{"'ridftotal'!$A$4:$S$27"}</definedName>
    <definedName name="xxxx" localSheetId="31" hidden="1">{"'ridftotal'!$A$4:$S$27"}</definedName>
    <definedName name="xxxx" localSheetId="33" hidden="1">{"'ridftotal'!$A$4:$S$27"}</definedName>
    <definedName name="xxxx" localSheetId="34" hidden="1">{"'ridftotal'!$A$4:$S$27"}</definedName>
    <definedName name="xxxx" localSheetId="32" hidden="1">{"'ridftotal'!$A$4:$S$27"}</definedName>
    <definedName name="xxxx" localSheetId="4" hidden="1">{"'ridftotal'!$A$4:$S$27"}</definedName>
    <definedName name="xxxx" localSheetId="7" hidden="1">{"'ridftotal'!$A$4:$S$27"}</definedName>
    <definedName name="xxxx" localSheetId="11" hidden="1">{"'ridftotal'!$A$4:$S$27"}</definedName>
    <definedName name="xxxx" localSheetId="46" hidden="1">{"'ridftotal'!$A$4:$S$27"}</definedName>
    <definedName name="xxxx" localSheetId="37" hidden="1">{"'ridftotal'!$A$4:$S$27"}</definedName>
    <definedName name="xxxx" localSheetId="9" hidden="1">{"'ridftotal'!$A$4:$S$27"}</definedName>
    <definedName name="xxxx" localSheetId="2" hidden="1">{"'ridftotal'!$A$4:$S$27"}</definedName>
    <definedName name="xxxx" localSheetId="10" hidden="1">{"'ridftotal'!$A$4:$S$27"}</definedName>
  </definedNames>
  <calcPr calcId="124519"/>
</workbook>
</file>

<file path=xl/calcChain.xml><?xml version="1.0" encoding="utf-8"?>
<calcChain xmlns="http://schemas.openxmlformats.org/spreadsheetml/2006/main">
  <c r="K31" i="171"/>
  <c r="N8" i="302"/>
  <c r="N7"/>
  <c r="N6"/>
  <c r="L18" i="171" l="1"/>
  <c r="K18"/>
  <c r="H73" i="271"/>
  <c r="H69"/>
  <c r="F154" i="272"/>
  <c r="F143"/>
  <c r="G146"/>
  <c r="G145"/>
  <c r="E143"/>
  <c r="H143" s="1"/>
  <c r="H144" s="1"/>
  <c r="F146" s="1"/>
  <c r="H146" s="1"/>
  <c r="H141"/>
  <c r="H140"/>
  <c r="G127"/>
  <c r="F124"/>
  <c r="E124"/>
  <c r="F135"/>
  <c r="I2076" i="132"/>
  <c r="I2075"/>
  <c r="I2074"/>
  <c r="I2073"/>
  <c r="I2072"/>
  <c r="I2071"/>
  <c r="I2070"/>
  <c r="I2069"/>
  <c r="I2068"/>
  <c r="I2067"/>
  <c r="I2066"/>
  <c r="I2065"/>
  <c r="I2064"/>
  <c r="I2063"/>
  <c r="I2062"/>
  <c r="I2061"/>
  <c r="I2060"/>
  <c r="I2059"/>
  <c r="I2058"/>
  <c r="I2057"/>
  <c r="I2078" s="1"/>
  <c r="I1704"/>
  <c r="I1703"/>
  <c r="I1702"/>
  <c r="I1701"/>
  <c r="I1700"/>
  <c r="I1699"/>
  <c r="I1698"/>
  <c r="I1697"/>
  <c r="I1696"/>
  <c r="I1695"/>
  <c r="I1694"/>
  <c r="I1693"/>
  <c r="I1692"/>
  <c r="I1691"/>
  <c r="I1706" s="1"/>
  <c r="I1759"/>
  <c r="I1758"/>
  <c r="I1757"/>
  <c r="I1756"/>
  <c r="I1755"/>
  <c r="I1754"/>
  <c r="I1753"/>
  <c r="I1752"/>
  <c r="I1751"/>
  <c r="I1750"/>
  <c r="I1749"/>
  <c r="I1748"/>
  <c r="I1747"/>
  <c r="I1746"/>
  <c r="I1840"/>
  <c r="I1839"/>
  <c r="I1868"/>
  <c r="I1867"/>
  <c r="I1866"/>
  <c r="H142" i="272" l="1"/>
  <c r="F145" s="1"/>
  <c r="H145" s="1"/>
  <c r="I1842" i="132"/>
  <c r="I1761"/>
  <c r="I1870"/>
  <c r="I1565" i="306"/>
  <c r="I1564"/>
  <c r="I1566" s="1"/>
  <c r="I1554"/>
  <c r="I1556" s="1"/>
  <c r="I1549"/>
  <c r="I1551" s="1"/>
  <c r="I1529"/>
  <c r="I1531" s="1"/>
  <c r="I1497"/>
  <c r="I1499" s="1"/>
  <c r="I1492"/>
  <c r="I1494" s="1"/>
  <c r="I1482"/>
  <c r="I1484" s="1"/>
  <c r="I1477"/>
  <c r="I1479" s="1"/>
  <c r="I1457"/>
  <c r="I1459" s="1"/>
  <c r="I1447"/>
  <c r="I1449" s="1"/>
  <c r="I1442"/>
  <c r="I1444" s="1"/>
  <c r="I1427"/>
  <c r="I1426"/>
  <c r="I1425"/>
  <c r="I1424"/>
  <c r="I1423"/>
  <c r="I1422"/>
  <c r="I1406"/>
  <c r="I1408" s="1"/>
  <c r="I1401"/>
  <c r="I1400"/>
  <c r="I1380"/>
  <c r="I1382" s="1"/>
  <c r="I1370"/>
  <c r="I1372" s="1"/>
  <c r="I1365"/>
  <c r="I1367" s="1"/>
  <c r="I1352"/>
  <c r="I1351"/>
  <c r="I1350"/>
  <c r="I1349"/>
  <c r="I1348"/>
  <c r="I1347"/>
  <c r="I1285"/>
  <c r="I1287" s="1"/>
  <c r="I1275"/>
  <c r="I1277" s="1"/>
  <c r="I1260"/>
  <c r="I1262" s="1"/>
  <c r="I1255"/>
  <c r="I1254"/>
  <c r="I1249"/>
  <c r="I1251" s="1"/>
  <c r="I1239"/>
  <c r="I1241" s="1"/>
  <c r="I1224"/>
  <c r="I1223"/>
  <c r="I1203"/>
  <c r="I1202"/>
  <c r="I1121"/>
  <c r="I1123" s="1"/>
  <c r="I1092"/>
  <c r="I1094" s="1"/>
  <c r="I1087"/>
  <c r="I1089" s="1"/>
  <c r="I1057"/>
  <c r="I1059" s="1"/>
  <c r="I549"/>
  <c r="I548"/>
  <c r="I547"/>
  <c r="F535"/>
  <c r="I535" s="1"/>
  <c r="F534"/>
  <c r="I534" s="1"/>
  <c r="I533"/>
  <c r="I532"/>
  <c r="I531"/>
  <c r="I530"/>
  <c r="F529"/>
  <c r="I529" s="1"/>
  <c r="F528"/>
  <c r="I528" s="1"/>
  <c r="I527"/>
  <c r="I526"/>
  <c r="I525"/>
  <c r="I524"/>
  <c r="I523"/>
  <c r="I522"/>
  <c r="I521"/>
  <c r="I520"/>
  <c r="I519"/>
  <c r="I514"/>
  <c r="I513"/>
  <c r="I512"/>
  <c r="I511"/>
  <c r="I510"/>
  <c r="I509"/>
  <c r="I508"/>
  <c r="I507"/>
  <c r="I506"/>
  <c r="I505"/>
  <c r="I504"/>
  <c r="I503"/>
  <c r="I502"/>
  <c r="I501"/>
  <c r="I500"/>
  <c r="I499"/>
  <c r="I498"/>
  <c r="I497"/>
  <c r="I496"/>
  <c r="I495"/>
  <c r="I494"/>
  <c r="I493"/>
  <c r="I492"/>
  <c r="I491"/>
  <c r="I490"/>
  <c r="I489"/>
  <c r="I488"/>
  <c r="I516" s="1"/>
  <c r="F414"/>
  <c r="I414" s="1"/>
  <c r="F413"/>
  <c r="I413" s="1"/>
  <c r="I1403" l="1"/>
  <c r="I1429"/>
  <c r="I1205"/>
  <c r="I1226"/>
  <c r="I1257"/>
  <c r="I1354"/>
  <c r="I551"/>
  <c r="I537"/>
  <c r="I416"/>
  <c r="I3600" i="132" l="1"/>
  <c r="I3599"/>
  <c r="I3598"/>
  <c r="I2586"/>
  <c r="I2588" s="1"/>
  <c r="I2002"/>
  <c r="I2001"/>
  <c r="I2000"/>
  <c r="I1999"/>
  <c r="I1998"/>
  <c r="I1997"/>
  <c r="I1996"/>
  <c r="I1995"/>
  <c r="I1994"/>
  <c r="I1993"/>
  <c r="I1992"/>
  <c r="I1991"/>
  <c r="I1990"/>
  <c r="I1989"/>
  <c r="I1988"/>
  <c r="I1987"/>
  <c r="I1986"/>
  <c r="I1985"/>
  <c r="I1984"/>
  <c r="I1983"/>
  <c r="I1847"/>
  <c r="I1846"/>
  <c r="I1845"/>
  <c r="I1823"/>
  <c r="I1822"/>
  <c r="I1722"/>
  <c r="I1721"/>
  <c r="I1720"/>
  <c r="I1719"/>
  <c r="I1718"/>
  <c r="I1717"/>
  <c r="I1716"/>
  <c r="I1715"/>
  <c r="I1714"/>
  <c r="I1713"/>
  <c r="I1712"/>
  <c r="I1711"/>
  <c r="I1710"/>
  <c r="I1709"/>
  <c r="I1669"/>
  <c r="I1668"/>
  <c r="I1667"/>
  <c r="I1666"/>
  <c r="I1665"/>
  <c r="I1664"/>
  <c r="I1663"/>
  <c r="I1662"/>
  <c r="I1661"/>
  <c r="I1660"/>
  <c r="I1659"/>
  <c r="I1658"/>
  <c r="I1657"/>
  <c r="I1656"/>
  <c r="I1455"/>
  <c r="I1454"/>
  <c r="I1348"/>
  <c r="I1347"/>
  <c r="I1346"/>
  <c r="I1345"/>
  <c r="I1344"/>
  <c r="I1343"/>
  <c r="I1342"/>
  <c r="I1341"/>
  <c r="I1340"/>
  <c r="I1339"/>
  <c r="I1337"/>
  <c r="I1336"/>
  <c r="I1335"/>
  <c r="I1334"/>
  <c r="I1333"/>
  <c r="I1332"/>
  <c r="I1331"/>
  <c r="I1330"/>
  <c r="I1329"/>
  <c r="I1328"/>
  <c r="I1327"/>
  <c r="I1326"/>
  <c r="I1325"/>
  <c r="I1324"/>
  <c r="I1323"/>
  <c r="I1322"/>
  <c r="I1321"/>
  <c r="I1198"/>
  <c r="I1197"/>
  <c r="I1196"/>
  <c r="I1195"/>
  <c r="F1194"/>
  <c r="I1194" s="1"/>
  <c r="F1193"/>
  <c r="I1193" s="1"/>
  <c r="I1192"/>
  <c r="I1191"/>
  <c r="I1190"/>
  <c r="I1189"/>
  <c r="I1188"/>
  <c r="I1187"/>
  <c r="I1186"/>
  <c r="I1185"/>
  <c r="I1184"/>
  <c r="I1183"/>
  <c r="I1182"/>
  <c r="I1181"/>
  <c r="I1035"/>
  <c r="I1034"/>
  <c r="I1033"/>
  <c r="I1032"/>
  <c r="I1031"/>
  <c r="I1030"/>
  <c r="I1029"/>
  <c r="I1028"/>
  <c r="I1027"/>
  <c r="I1025"/>
  <c r="I1024"/>
  <c r="I1023"/>
  <c r="I1022"/>
  <c r="I1021"/>
  <c r="I1020"/>
  <c r="I1019"/>
  <c r="I1018"/>
  <c r="I1017"/>
  <c r="I1016"/>
  <c r="I1015"/>
  <c r="I1014"/>
  <c r="I1013"/>
  <c r="I932"/>
  <c r="I931"/>
  <c r="I930"/>
  <c r="I928"/>
  <c r="I927"/>
  <c r="I926"/>
  <c r="I925"/>
  <c r="I923"/>
  <c r="I922"/>
  <c r="I921"/>
  <c r="I920"/>
  <c r="I919"/>
  <c r="I918"/>
  <c r="I917"/>
  <c r="I874"/>
  <c r="I873"/>
  <c r="I872"/>
  <c r="I871"/>
  <c r="I870"/>
  <c r="I868"/>
  <c r="I867"/>
  <c r="I866"/>
  <c r="I865"/>
  <c r="I765"/>
  <c r="I767" s="1"/>
  <c r="I670"/>
  <c r="I669"/>
  <c r="I668"/>
  <c r="I667"/>
  <c r="I666"/>
  <c r="I665"/>
  <c r="F590"/>
  <c r="I590" s="1"/>
  <c r="F589"/>
  <c r="I589" s="1"/>
  <c r="I565"/>
  <c r="I564"/>
  <c r="I475"/>
  <c r="I474"/>
  <c r="I473"/>
  <c r="I472"/>
  <c r="I471"/>
  <c r="I470"/>
  <c r="I469"/>
  <c r="I468"/>
  <c r="I467"/>
  <c r="I466"/>
  <c r="I465"/>
  <c r="I464"/>
  <c r="I463"/>
  <c r="I462"/>
  <c r="I461"/>
  <c r="I460"/>
  <c r="I459"/>
  <c r="I458"/>
  <c r="I457"/>
  <c r="I456"/>
  <c r="I428"/>
  <c r="I427"/>
  <c r="I426"/>
  <c r="I425"/>
  <c r="I424"/>
  <c r="I423"/>
  <c r="I422"/>
  <c r="I421"/>
  <c r="I420"/>
  <c r="I419"/>
  <c r="I418"/>
  <c r="I417"/>
  <c r="I416"/>
  <c r="I415"/>
  <c r="I414"/>
  <c r="I374"/>
  <c r="I372"/>
  <c r="I371"/>
  <c r="I370"/>
  <c r="I369"/>
  <c r="I368"/>
  <c r="I367"/>
  <c r="I366"/>
  <c r="I346"/>
  <c r="I348" s="1"/>
  <c r="I323"/>
  <c r="I322"/>
  <c r="I321"/>
  <c r="I291"/>
  <c r="I290"/>
  <c r="I289"/>
  <c r="I288"/>
  <c r="I287"/>
  <c r="I286"/>
  <c r="I285"/>
  <c r="I284"/>
  <c r="I283"/>
  <c r="I281"/>
  <c r="I280"/>
  <c r="I279"/>
  <c r="I246"/>
  <c r="I245"/>
  <c r="I244"/>
  <c r="I243"/>
  <c r="I242"/>
  <c r="I241"/>
  <c r="I240"/>
  <c r="I239"/>
  <c r="I238"/>
  <c r="I237"/>
  <c r="I235"/>
  <c r="I234"/>
  <c r="I187"/>
  <c r="I186"/>
  <c r="I185"/>
  <c r="I106"/>
  <c r="I105"/>
  <c r="I104"/>
  <c r="I102"/>
  <c r="I101"/>
  <c r="I100"/>
  <c r="I99"/>
  <c r="I98"/>
  <c r="I96"/>
  <c r="I95"/>
  <c r="I94"/>
  <c r="I93"/>
  <c r="I92"/>
  <c r="I91"/>
  <c r="I90"/>
  <c r="I89"/>
  <c r="I87"/>
  <c r="I86"/>
  <c r="I85"/>
  <c r="I84"/>
  <c r="I83"/>
  <c r="I81"/>
  <c r="I80"/>
  <c r="I79"/>
  <c r="I77"/>
  <c r="I76"/>
  <c r="I75"/>
  <c r="I47"/>
  <c r="I46"/>
  <c r="I45"/>
  <c r="I44"/>
  <c r="I43"/>
  <c r="I41"/>
  <c r="I40"/>
  <c r="I39"/>
  <c r="I37"/>
  <c r="I36"/>
  <c r="I35"/>
  <c r="I3602" l="1"/>
  <c r="I1457"/>
  <c r="I477"/>
  <c r="I567"/>
  <c r="I592"/>
  <c r="I672"/>
  <c r="I1037"/>
  <c r="I1350"/>
  <c r="I1200"/>
  <c r="I934"/>
  <c r="I876"/>
  <c r="I108"/>
  <c r="I325"/>
  <c r="I376"/>
  <c r="I430"/>
  <c r="I189"/>
  <c r="I248"/>
  <c r="I293"/>
  <c r="I49"/>
  <c r="M1569" i="306" l="1"/>
  <c r="I1462"/>
  <c r="I1452"/>
  <c r="G202" i="272"/>
  <c r="G211"/>
  <c r="F202"/>
  <c r="G201"/>
  <c r="G126"/>
  <c r="I2238" i="132" l="1"/>
  <c r="I2237"/>
  <c r="I2236"/>
  <c r="I2235"/>
  <c r="I2234"/>
  <c r="I2233"/>
  <c r="I2232"/>
  <c r="I2231"/>
  <c r="I2230"/>
  <c r="I2229"/>
  <c r="I2228"/>
  <c r="I2227"/>
  <c r="I2226"/>
  <c r="I2225"/>
  <c r="I2224"/>
  <c r="I2223"/>
  <c r="I2222"/>
  <c r="I2221"/>
  <c r="I2220"/>
  <c r="I2219"/>
  <c r="I2218"/>
  <c r="I2217"/>
  <c r="I2216"/>
  <c r="I2215"/>
  <c r="I2214"/>
  <c r="I2213"/>
  <c r="I2212"/>
  <c r="I2211"/>
  <c r="I2210"/>
  <c r="I1651"/>
  <c r="I1650"/>
  <c r="I1649"/>
  <c r="I1648"/>
  <c r="I1647"/>
  <c r="I1646"/>
  <c r="I1645"/>
  <c r="I1644"/>
  <c r="I1643"/>
  <c r="I1642"/>
  <c r="I1641"/>
  <c r="I1640"/>
  <c r="I1639"/>
  <c r="I1638"/>
  <c r="I1637"/>
  <c r="I1636"/>
  <c r="I1635"/>
  <c r="I1577"/>
  <c r="I1576"/>
  <c r="I1575"/>
  <c r="I1574"/>
  <c r="I1573"/>
  <c r="I1572"/>
  <c r="I1571"/>
  <c r="I1570"/>
  <c r="I1569"/>
  <c r="I1568"/>
  <c r="I1567"/>
  <c r="I1566"/>
  <c r="I2109" l="1"/>
  <c r="I2108"/>
  <c r="I2107"/>
  <c r="I2106"/>
  <c r="I2105"/>
  <c r="I2104"/>
  <c r="I2103"/>
  <c r="I2102"/>
  <c r="I2101"/>
  <c r="I2100"/>
  <c r="I2099"/>
  <c r="I2098"/>
  <c r="I2097"/>
  <c r="I2096"/>
  <c r="I2095"/>
  <c r="I2094"/>
  <c r="I2093"/>
  <c r="I2092"/>
  <c r="I2091"/>
  <c r="I2090"/>
  <c r="I2089"/>
  <c r="I2088"/>
  <c r="I2087"/>
  <c r="I2086"/>
  <c r="I2085"/>
  <c r="I2084"/>
  <c r="I2083"/>
  <c r="I2082"/>
  <c r="I2081"/>
  <c r="I1598"/>
  <c r="I1597"/>
  <c r="I1596"/>
  <c r="I1595"/>
  <c r="I1594"/>
  <c r="I1593"/>
  <c r="I1592"/>
  <c r="I1591"/>
  <c r="I1590"/>
  <c r="I1589"/>
  <c r="I1588"/>
  <c r="I1587"/>
  <c r="I1586"/>
  <c r="I1585"/>
  <c r="I1584"/>
  <c r="I1583"/>
  <c r="I1582"/>
  <c r="I1542"/>
  <c r="I1541"/>
  <c r="I1540"/>
  <c r="I1539"/>
  <c r="I1538"/>
  <c r="I1537"/>
  <c r="I1536"/>
  <c r="I1535"/>
  <c r="I1534"/>
  <c r="I1533"/>
  <c r="I1532"/>
  <c r="I1531"/>
  <c r="I788"/>
  <c r="I787"/>
  <c r="I786"/>
  <c r="I118" l="1"/>
  <c r="I117"/>
  <c r="I116"/>
  <c r="I115"/>
  <c r="I114"/>
  <c r="I113"/>
  <c r="I112"/>
  <c r="I111"/>
  <c r="I3823"/>
  <c r="I3822"/>
  <c r="I3821"/>
  <c r="I2481"/>
  <c r="I499"/>
  <c r="I498"/>
  <c r="I497"/>
  <c r="I496"/>
  <c r="I495"/>
  <c r="I494"/>
  <c r="I493"/>
  <c r="I492"/>
  <c r="I491"/>
  <c r="I490"/>
  <c r="I489"/>
  <c r="I488"/>
  <c r="I487"/>
  <c r="I486"/>
  <c r="I485"/>
  <c r="I484"/>
  <c r="I483"/>
  <c r="I482"/>
  <c r="I481"/>
  <c r="I480"/>
  <c r="I571"/>
  <c r="I570"/>
  <c r="F596"/>
  <c r="I596" s="1"/>
  <c r="F595"/>
  <c r="I595" s="1"/>
  <c r="I682"/>
  <c r="I681"/>
  <c r="I680"/>
  <c r="I679"/>
  <c r="I678"/>
  <c r="I677"/>
  <c r="I676"/>
  <c r="I675"/>
  <c r="I770"/>
  <c r="I948"/>
  <c r="I947"/>
  <c r="I946"/>
  <c r="I945"/>
  <c r="I943"/>
  <c r="I942"/>
  <c r="I941"/>
  <c r="I940"/>
  <c r="I939"/>
  <c r="I938"/>
  <c r="I937"/>
  <c r="F1218"/>
  <c r="I1218" s="1"/>
  <c r="F1217"/>
  <c r="I1217" s="1"/>
  <c r="I1216"/>
  <c r="I1215"/>
  <c r="I1214"/>
  <c r="I1213"/>
  <c r="I1212"/>
  <c r="I1211"/>
  <c r="I1210"/>
  <c r="I1209"/>
  <c r="I1208"/>
  <c r="I1207"/>
  <c r="I1206"/>
  <c r="I1205"/>
  <c r="I1204"/>
  <c r="I1203"/>
  <c r="I1461"/>
  <c r="I1460"/>
  <c r="I54"/>
  <c r="I53"/>
  <c r="I52"/>
  <c r="I883"/>
  <c r="I882"/>
  <c r="I881"/>
  <c r="I880"/>
  <c r="I879"/>
  <c r="I193"/>
  <c r="I192"/>
  <c r="I125"/>
  <c r="I124"/>
  <c r="I122"/>
  <c r="I121"/>
  <c r="I120"/>
  <c r="I1058"/>
  <c r="I1056"/>
  <c r="I1055"/>
  <c r="I1054"/>
  <c r="I1053"/>
  <c r="I1052"/>
  <c r="I1051"/>
  <c r="I1050"/>
  <c r="I1048"/>
  <c r="I1047"/>
  <c r="I1046"/>
  <c r="I1045"/>
  <c r="I1044"/>
  <c r="I1043"/>
  <c r="I1042"/>
  <c r="I1041"/>
  <c r="I1040"/>
  <c r="I795"/>
  <c r="F794"/>
  <c r="I794" s="1"/>
  <c r="I793"/>
  <c r="I1377"/>
  <c r="I1376"/>
  <c r="I1375"/>
  <c r="F1374"/>
  <c r="I1374" s="1"/>
  <c r="F1373"/>
  <c r="I1373" s="1"/>
  <c r="F1372"/>
  <c r="I1372" s="1"/>
  <c r="I1371"/>
  <c r="I1369"/>
  <c r="I1368"/>
  <c r="I1367"/>
  <c r="I1366"/>
  <c r="I1365"/>
  <c r="I1364"/>
  <c r="I1363"/>
  <c r="I1362"/>
  <c r="I1361"/>
  <c r="I1360"/>
  <c r="I1359"/>
  <c r="I1358"/>
  <c r="I1357"/>
  <c r="I1356"/>
  <c r="I1355"/>
  <c r="I1354"/>
  <c r="I1353"/>
  <c r="I2031"/>
  <c r="I2030"/>
  <c r="I2029"/>
  <c r="I2028"/>
  <c r="I2027"/>
  <c r="I2026"/>
  <c r="I2025"/>
  <c r="I2024"/>
  <c r="I2023"/>
  <c r="I2022"/>
  <c r="I2021"/>
  <c r="I2020"/>
  <c r="I2019"/>
  <c r="I2018"/>
  <c r="I2017"/>
  <c r="I2016"/>
  <c r="I2015"/>
  <c r="I2014"/>
  <c r="I2013"/>
  <c r="I2012"/>
  <c r="I2011"/>
  <c r="I2010"/>
  <c r="I2009"/>
  <c r="I2008"/>
  <c r="I2007"/>
  <c r="I2145"/>
  <c r="F2144"/>
  <c r="I2144" s="1"/>
  <c r="F2143"/>
  <c r="I2143" s="1"/>
  <c r="I2142"/>
  <c r="I2141"/>
  <c r="I2140"/>
  <c r="I2139"/>
  <c r="I2138"/>
  <c r="I2137"/>
  <c r="I2136"/>
  <c r="I2135"/>
  <c r="I2134"/>
  <c r="I2133"/>
  <c r="I2132"/>
  <c r="I2131"/>
  <c r="I2130"/>
  <c r="I2129"/>
  <c r="I2128"/>
  <c r="I2127"/>
  <c r="I2126"/>
  <c r="I2125"/>
  <c r="I2124"/>
  <c r="I2123"/>
  <c r="I2122"/>
  <c r="I2121"/>
  <c r="I2120"/>
  <c r="I2119"/>
  <c r="I2118"/>
  <c r="I2117"/>
  <c r="I2116"/>
  <c r="I2115"/>
  <c r="I2114"/>
  <c r="I2260"/>
  <c r="I2259"/>
  <c r="I2258"/>
  <c r="I2257"/>
  <c r="I2256"/>
  <c r="I2255"/>
  <c r="I2254"/>
  <c r="I2724"/>
  <c r="F568" i="216"/>
  <c r="F557"/>
  <c r="E557"/>
  <c r="F538"/>
  <c r="G560"/>
  <c r="E538"/>
  <c r="G541"/>
  <c r="G486"/>
  <c r="E483"/>
  <c r="F483"/>
  <c r="G491"/>
  <c r="G490"/>
  <c r="G488"/>
  <c r="G487"/>
  <c r="I1559" i="306"/>
  <c r="I1539"/>
  <c r="I1507"/>
  <c r="I1280"/>
  <c r="I1244"/>
  <c r="I1229"/>
  <c r="I1197"/>
  <c r="I1170"/>
  <c r="I1169"/>
  <c r="I1168"/>
  <c r="I1167"/>
  <c r="I1166"/>
  <c r="I559"/>
  <c r="I542"/>
  <c r="I541"/>
  <c r="I540"/>
  <c r="I408"/>
  <c r="I407"/>
  <c r="I406"/>
  <c r="I405"/>
  <c r="I404"/>
  <c r="I403"/>
  <c r="I402"/>
  <c r="I401"/>
  <c r="I400"/>
  <c r="I399"/>
  <c r="I398"/>
  <c r="I393"/>
  <c r="I392"/>
  <c r="I391"/>
  <c r="I390"/>
  <c r="I389"/>
  <c r="I388"/>
  <c r="I387"/>
  <c r="I386"/>
  <c r="I352"/>
  <c r="I351"/>
  <c r="I350"/>
  <c r="I349"/>
  <c r="I348"/>
  <c r="I347"/>
  <c r="I346"/>
  <c r="I345"/>
  <c r="I344"/>
  <c r="I343"/>
  <c r="I342"/>
  <c r="I341"/>
  <c r="I336"/>
  <c r="I335"/>
  <c r="I334"/>
  <c r="I333"/>
  <c r="I332"/>
  <c r="I331"/>
  <c r="I330"/>
  <c r="I329"/>
  <c r="I328"/>
  <c r="I327"/>
  <c r="I326"/>
  <c r="I325"/>
  <c r="I17"/>
  <c r="I131" i="132" l="1"/>
  <c r="I130"/>
  <c r="I60"/>
  <c r="I59"/>
  <c r="I894"/>
  <c r="I893"/>
  <c r="I892"/>
  <c r="I891"/>
  <c r="I890"/>
  <c r="I889"/>
  <c r="I888"/>
  <c r="I2768"/>
  <c r="I2788"/>
  <c r="I2783"/>
  <c r="I2798"/>
  <c r="I2830"/>
  <c r="F1887"/>
  <c r="I1887" s="1"/>
  <c r="F1886"/>
  <c r="I1886" s="1"/>
  <c r="I1285"/>
  <c r="I1284"/>
  <c r="I1283"/>
  <c r="I1282"/>
  <c r="I336"/>
  <c r="I335"/>
  <c r="I4047"/>
  <c r="I4060"/>
  <c r="I3618"/>
  <c r="I4088"/>
  <c r="I3646"/>
  <c r="I3605"/>
  <c r="I2558"/>
  <c r="I2517"/>
  <c r="I2512"/>
  <c r="I2497"/>
  <c r="I2249"/>
  <c r="I2248"/>
  <c r="I2247"/>
  <c r="I2246"/>
  <c r="I2245"/>
  <c r="I2244"/>
  <c r="I2243"/>
  <c r="F1874"/>
  <c r="I1874" s="1"/>
  <c r="F1873"/>
  <c r="I1873" s="1"/>
  <c r="I2426" l="1"/>
  <c r="B41" i="171"/>
  <c r="I1104" i="306"/>
  <c r="I1103"/>
  <c r="I2306" i="132"/>
  <c r="I2305"/>
  <c r="I2304"/>
  <c r="I2302"/>
  <c r="I2300"/>
  <c r="I2299"/>
  <c r="I2297"/>
  <c r="I2296"/>
  <c r="I2298"/>
  <c r="I2301"/>
  <c r="I2303"/>
  <c r="I2307"/>
  <c r="I2308"/>
  <c r="I2309"/>
  <c r="I2310"/>
  <c r="I2311"/>
  <c r="I2312"/>
  <c r="I2313"/>
  <c r="I2314"/>
  <c r="I2315"/>
  <c r="I2988" l="1"/>
  <c r="I1617"/>
  <c r="I1623"/>
  <c r="I1622"/>
  <c r="I1619"/>
  <c r="I1616"/>
  <c r="I1615"/>
  <c r="I1614"/>
  <c r="I1612"/>
  <c r="I1610"/>
  <c r="I1608"/>
  <c r="I1606"/>
  <c r="I1605"/>
  <c r="I1604"/>
  <c r="I1621"/>
  <c r="I1620"/>
  <c r="I1607"/>
  <c r="I1609"/>
  <c r="I1611"/>
  <c r="I1613"/>
  <c r="I1618"/>
  <c r="I1548" l="1"/>
  <c r="I1549"/>
  <c r="I1550"/>
  <c r="I1551"/>
  <c r="I1552"/>
  <c r="I1553"/>
  <c r="I1554"/>
  <c r="I385"/>
  <c r="F820"/>
  <c r="F13" i="198" l="1"/>
  <c r="E13"/>
  <c r="D13"/>
  <c r="C13"/>
  <c r="B13"/>
  <c r="F16"/>
  <c r="E16"/>
  <c r="D16"/>
  <c r="C16"/>
  <c r="B16"/>
  <c r="F9"/>
  <c r="E9"/>
  <c r="D9"/>
  <c r="C9"/>
  <c r="B9"/>
  <c r="F6"/>
  <c r="E6"/>
  <c r="D6"/>
  <c r="C6"/>
  <c r="B6"/>
  <c r="B3"/>
  <c r="F54" i="139" l="1"/>
  <c r="F26" i="171" s="1"/>
  <c r="D21" i="307" l="1"/>
  <c r="A2" i="271"/>
  <c r="A2" i="273"/>
  <c r="N4" i="269"/>
  <c r="N5"/>
  <c r="N6"/>
  <c r="N3"/>
  <c r="I22" i="306"/>
  <c r="I483"/>
  <c r="I482"/>
  <c r="I481"/>
  <c r="I480"/>
  <c r="I479"/>
  <c r="I478"/>
  <c r="I477"/>
  <c r="I476"/>
  <c r="I475"/>
  <c r="I474"/>
  <c r="I473"/>
  <c r="I472"/>
  <c r="I471"/>
  <c r="I470"/>
  <c r="I469"/>
  <c r="I468"/>
  <c r="I467"/>
  <c r="I466"/>
  <c r="I465"/>
  <c r="I464"/>
  <c r="I463"/>
  <c r="I462"/>
  <c r="I461"/>
  <c r="I460"/>
  <c r="I459"/>
  <c r="I458"/>
  <c r="I457"/>
  <c r="I456"/>
  <c r="I455"/>
  <c r="I454"/>
  <c r="I453"/>
  <c r="I452"/>
  <c r="I451"/>
  <c r="I450"/>
  <c r="I449"/>
  <c r="I448"/>
  <c r="I447"/>
  <c r="I446"/>
  <c r="I445"/>
  <c r="I444"/>
  <c r="I443"/>
  <c r="I442"/>
  <c r="I441"/>
  <c r="I440"/>
  <c r="I1149" l="1"/>
  <c r="I203"/>
  <c r="I204"/>
  <c r="I205"/>
  <c r="I206"/>
  <c r="I207"/>
  <c r="I208"/>
  <c r="I209"/>
  <c r="I210"/>
  <c r="I211"/>
  <c r="I212"/>
  <c r="I213"/>
  <c r="I214"/>
  <c r="I215"/>
  <c r="I216"/>
  <c r="I217"/>
  <c r="I218"/>
  <c r="I219"/>
  <c r="I220"/>
  <c r="I221"/>
  <c r="I293"/>
  <c r="I292"/>
  <c r="I291"/>
  <c r="I289"/>
  <c r="I287"/>
  <c r="I286"/>
  <c r="I284"/>
  <c r="I283"/>
  <c r="I282"/>
  <c r="I281"/>
  <c r="I280"/>
  <c r="I279"/>
  <c r="I277"/>
  <c r="I276"/>
  <c r="I275"/>
  <c r="I273"/>
  <c r="I272"/>
  <c r="I271"/>
  <c r="I269"/>
  <c r="I268"/>
  <c r="I266"/>
  <c r="I265"/>
  <c r="I263"/>
  <c r="I262"/>
  <c r="I261"/>
  <c r="I260"/>
  <c r="I259"/>
  <c r="I257"/>
  <c r="I256"/>
  <c r="I255"/>
  <c r="I258"/>
  <c r="I264"/>
  <c r="I267"/>
  <c r="I270"/>
  <c r="I274"/>
  <c r="I278"/>
  <c r="I285"/>
  <c r="I288"/>
  <c r="I290"/>
  <c r="I294"/>
  <c r="I295"/>
  <c r="I1500" i="132"/>
  <c r="I1499"/>
  <c r="I1498"/>
  <c r="I1495"/>
  <c r="I1494"/>
  <c r="I1492"/>
  <c r="I1491"/>
  <c r="I1490"/>
  <c r="I1488"/>
  <c r="I1487"/>
  <c r="I1486"/>
  <c r="I1489"/>
  <c r="I1493"/>
  <c r="I1496"/>
  <c r="I1497"/>
  <c r="I1501"/>
  <c r="I1502"/>
  <c r="I1119"/>
  <c r="I1118"/>
  <c r="I1117"/>
  <c r="I1116"/>
  <c r="I1115"/>
  <c r="I1114"/>
  <c r="I1113"/>
  <c r="I1112"/>
  <c r="I1111"/>
  <c r="I1110"/>
  <c r="I1109"/>
  <c r="I1108"/>
  <c r="I1008"/>
  <c r="I1007"/>
  <c r="I1003"/>
  <c r="I1000"/>
  <c r="I996"/>
  <c r="I1006"/>
  <c r="I1005"/>
  <c r="I1004"/>
  <c r="I1002"/>
  <c r="I1001"/>
  <c r="I999"/>
  <c r="I998"/>
  <c r="I997"/>
  <c r="I995"/>
  <c r="I994"/>
  <c r="I993"/>
  <c r="I760"/>
  <c r="I759"/>
  <c r="I758"/>
  <c r="I757"/>
  <c r="I756"/>
  <c r="I755"/>
  <c r="I754"/>
  <c r="I753"/>
  <c r="I752"/>
  <c r="I751"/>
  <c r="I750"/>
  <c r="I749"/>
  <c r="I748"/>
  <c r="I747"/>
  <c r="I746"/>
  <c r="I745"/>
  <c r="I744"/>
  <c r="I743"/>
  <c r="I742"/>
  <c r="I741"/>
  <c r="I740"/>
  <c r="I739"/>
  <c r="I738"/>
  <c r="I737"/>
  <c r="I736"/>
  <c r="I735"/>
  <c r="I734"/>
  <c r="I733"/>
  <c r="I732"/>
  <c r="I731"/>
  <c r="I730"/>
  <c r="I729"/>
  <c r="I1106"/>
  <c r="I1105"/>
  <c r="I1104"/>
  <c r="I1103"/>
  <c r="I1102"/>
  <c r="I1101"/>
  <c r="I1100"/>
  <c r="I1099"/>
  <c r="I1098"/>
  <c r="I1097"/>
  <c r="I1096"/>
  <c r="I1095"/>
  <c r="I1094"/>
  <c r="I1093"/>
  <c r="I1092"/>
  <c r="I1091"/>
  <c r="I1090"/>
  <c r="I1089"/>
  <c r="I991"/>
  <c r="I986"/>
  <c r="I983"/>
  <c r="I978"/>
  <c r="I990"/>
  <c r="I989"/>
  <c r="I988"/>
  <c r="I987"/>
  <c r="I985"/>
  <c r="I984"/>
  <c r="I982"/>
  <c r="I981"/>
  <c r="I980"/>
  <c r="I979"/>
  <c r="I977"/>
  <c r="I976"/>
  <c r="I975"/>
  <c r="I974"/>
  <c r="I726"/>
  <c r="I723"/>
  <c r="I721"/>
  <c r="I716"/>
  <c r="I714"/>
  <c r="I712"/>
  <c r="I709"/>
  <c r="I708"/>
  <c r="I707"/>
  <c r="I705"/>
  <c r="I703"/>
  <c r="I702"/>
  <c r="I701"/>
  <c r="I699"/>
  <c r="I698"/>
  <c r="I697"/>
  <c r="I700"/>
  <c r="I704"/>
  <c r="I706"/>
  <c r="I710"/>
  <c r="I711"/>
  <c r="I713"/>
  <c r="I715"/>
  <c r="I717"/>
  <c r="I718"/>
  <c r="I719"/>
  <c r="I720"/>
  <c r="I722"/>
  <c r="I724"/>
  <c r="I725"/>
  <c r="I727"/>
  <c r="I1086"/>
  <c r="I1083"/>
  <c r="I1081"/>
  <c r="I1076"/>
  <c r="I1074"/>
  <c r="I1072"/>
  <c r="I1071"/>
  <c r="I1073"/>
  <c r="I1075"/>
  <c r="I1077"/>
  <c r="I1078"/>
  <c r="I1079"/>
  <c r="I1080"/>
  <c r="I1082"/>
  <c r="I1084"/>
  <c r="I1085"/>
  <c r="I1087"/>
  <c r="I972"/>
  <c r="I971"/>
  <c r="I970"/>
  <c r="I968"/>
  <c r="I966"/>
  <c r="I965"/>
  <c r="I964"/>
  <c r="I962"/>
  <c r="I961"/>
  <c r="I960"/>
  <c r="I963"/>
  <c r="I967"/>
  <c r="I969"/>
  <c r="I819"/>
  <c r="I261"/>
  <c r="I436"/>
  <c r="I434"/>
  <c r="I435"/>
  <c r="I437"/>
  <c r="I438"/>
  <c r="I439"/>
  <c r="I257"/>
  <c r="I256"/>
  <c r="I255"/>
  <c r="I254"/>
  <c r="I253"/>
  <c r="I252"/>
  <c r="I258"/>
  <c r="I259"/>
  <c r="I329"/>
  <c r="F119" i="139" l="1"/>
  <c r="J113"/>
  <c r="H113"/>
  <c r="J112"/>
  <c r="H112"/>
  <c r="C3" i="170"/>
  <c r="E1129" i="195"/>
  <c r="C1129"/>
  <c r="F903"/>
  <c r="J923" i="309"/>
  <c r="F895" i="140"/>
  <c r="F632"/>
  <c r="F530"/>
  <c r="F94"/>
  <c r="F1129" i="195" l="1"/>
  <c r="J923" i="140" l="1"/>
  <c r="F40" i="171" l="1"/>
  <c r="J46" i="264"/>
  <c r="C45"/>
  <c r="F45" s="1"/>
  <c r="E44"/>
  <c r="D44"/>
  <c r="E43"/>
  <c r="D43"/>
  <c r="E42"/>
  <c r="D42"/>
  <c r="E41"/>
  <c r="D41"/>
  <c r="C41"/>
  <c r="E40"/>
  <c r="D40"/>
  <c r="C40"/>
  <c r="E39"/>
  <c r="D39"/>
  <c r="C39"/>
  <c r="E38"/>
  <c r="D38"/>
  <c r="C38"/>
  <c r="E37"/>
  <c r="D37"/>
  <c r="C37"/>
  <c r="E36"/>
  <c r="D36"/>
  <c r="C36"/>
  <c r="E35"/>
  <c r="D35"/>
  <c r="E34"/>
  <c r="D34"/>
  <c r="C34"/>
  <c r="E33"/>
  <c r="D33"/>
  <c r="E32"/>
  <c r="D32"/>
  <c r="E31"/>
  <c r="D31"/>
  <c r="C31"/>
  <c r="E30"/>
  <c r="D30"/>
  <c r="D29"/>
  <c r="C29"/>
  <c r="E28"/>
  <c r="D28"/>
  <c r="C28"/>
  <c r="E27"/>
  <c r="D27"/>
  <c r="C27"/>
  <c r="E26"/>
  <c r="D26"/>
  <c r="C26"/>
  <c r="E25"/>
  <c r="D25"/>
  <c r="C25"/>
  <c r="C24"/>
  <c r="F24" s="1"/>
  <c r="E23"/>
  <c r="D23"/>
  <c r="C23"/>
  <c r="E22"/>
  <c r="D22"/>
  <c r="C22"/>
  <c r="E21"/>
  <c r="D21"/>
  <c r="C21"/>
  <c r="E20"/>
  <c r="D20"/>
  <c r="C20"/>
  <c r="E19"/>
  <c r="D19"/>
  <c r="C19"/>
  <c r="E18"/>
  <c r="D18"/>
  <c r="C18"/>
  <c r="E17"/>
  <c r="D17"/>
  <c r="C17"/>
  <c r="E16"/>
  <c r="D16"/>
  <c r="C16"/>
  <c r="E15"/>
  <c r="D15"/>
  <c r="C15"/>
  <c r="E14"/>
  <c r="D14"/>
  <c r="C14"/>
  <c r="C13"/>
  <c r="F13" s="1"/>
  <c r="E12"/>
  <c r="D12"/>
  <c r="C12"/>
  <c r="C11"/>
  <c r="F11" s="1"/>
  <c r="T10"/>
  <c r="T35" s="1"/>
  <c r="C10"/>
  <c r="F10" s="1"/>
  <c r="L10" s="1"/>
  <c r="C9"/>
  <c r="F9" s="1"/>
  <c r="C8"/>
  <c r="F8" s="1"/>
  <c r="L8" s="1"/>
  <c r="C7"/>
  <c r="F7" s="1"/>
  <c r="R7" s="1"/>
  <c r="C6"/>
  <c r="F6" s="1"/>
  <c r="P6" s="1"/>
  <c r="P46" s="1"/>
  <c r="C5"/>
  <c r="F5" s="1"/>
  <c r="O5" s="1"/>
  <c r="O46" s="1"/>
  <c r="F4"/>
  <c r="R4" s="1"/>
  <c r="I320" i="306"/>
  <c r="I319"/>
  <c r="I318"/>
  <c r="I317"/>
  <c r="I316"/>
  <c r="I315"/>
  <c r="I314"/>
  <c r="I313"/>
  <c r="I312"/>
  <c r="I311"/>
  <c r="I310"/>
  <c r="I309"/>
  <c r="I308"/>
  <c r="I307"/>
  <c r="I249"/>
  <c r="I248"/>
  <c r="I247"/>
  <c r="I246"/>
  <c r="I245"/>
  <c r="I244"/>
  <c r="I243"/>
  <c r="I242"/>
  <c r="I241"/>
  <c r="I240"/>
  <c r="I239"/>
  <c r="I238"/>
  <c r="I237"/>
  <c r="I236"/>
  <c r="R46" i="264" l="1"/>
  <c r="F15"/>
  <c r="L15" s="1"/>
  <c r="F17"/>
  <c r="L17" s="1"/>
  <c r="F19"/>
  <c r="L19" s="1"/>
  <c r="F21"/>
  <c r="L21" s="1"/>
  <c r="F23"/>
  <c r="N23" s="1"/>
  <c r="F29"/>
  <c r="S29" s="1"/>
  <c r="F34"/>
  <c r="N34" s="1"/>
  <c r="F36"/>
  <c r="S36" s="1"/>
  <c r="F38"/>
  <c r="M38" s="1"/>
  <c r="F40"/>
  <c r="S40" s="1"/>
  <c r="F12"/>
  <c r="L12" s="1"/>
  <c r="F14"/>
  <c r="L14" s="1"/>
  <c r="F16"/>
  <c r="I16" s="1"/>
  <c r="F18"/>
  <c r="L18" s="1"/>
  <c r="F20"/>
  <c r="I20" s="1"/>
  <c r="F22"/>
  <c r="S22" s="1"/>
  <c r="F25"/>
  <c r="S25" s="1"/>
  <c r="F26"/>
  <c r="Q26" s="1"/>
  <c r="F27"/>
  <c r="M27" s="1"/>
  <c r="F28"/>
  <c r="Q28" s="1"/>
  <c r="F31"/>
  <c r="S31" s="1"/>
  <c r="F37"/>
  <c r="S37" s="1"/>
  <c r="F39"/>
  <c r="M39" s="1"/>
  <c r="F41"/>
  <c r="S41" s="1"/>
  <c r="M24"/>
  <c r="S24"/>
  <c r="K24"/>
  <c r="K46" s="1"/>
  <c r="L45"/>
  <c r="S45"/>
  <c r="I45"/>
  <c r="S9"/>
  <c r="H9"/>
  <c r="L9"/>
  <c r="L11"/>
  <c r="I11"/>
  <c r="L13"/>
  <c r="I13"/>
  <c r="H8"/>
  <c r="S8"/>
  <c r="I10"/>
  <c r="S10"/>
  <c r="T11"/>
  <c r="S11" s="1"/>
  <c r="T12"/>
  <c r="T13"/>
  <c r="S13" s="1"/>
  <c r="T14"/>
  <c r="T20"/>
  <c r="T21" s="1"/>
  <c r="C35"/>
  <c r="F35" s="1"/>
  <c r="C44"/>
  <c r="F44" s="1"/>
  <c r="S44" s="1"/>
  <c r="C32"/>
  <c r="F32" s="1"/>
  <c r="I21" l="1"/>
  <c r="H46"/>
  <c r="S34"/>
  <c r="I15"/>
  <c r="Q27"/>
  <c r="I12"/>
  <c r="S21"/>
  <c r="S38"/>
  <c r="S12"/>
  <c r="M40"/>
  <c r="S23"/>
  <c r="I19"/>
  <c r="M25"/>
  <c r="L20"/>
  <c r="N31"/>
  <c r="S27"/>
  <c r="L16"/>
  <c r="S39"/>
  <c r="S32"/>
  <c r="N32"/>
  <c r="L35"/>
  <c r="S35"/>
  <c r="M44"/>
  <c r="M36"/>
  <c r="N29"/>
  <c r="I17"/>
  <c r="I14"/>
  <c r="I35"/>
  <c r="Q25"/>
  <c r="M37"/>
  <c r="N22"/>
  <c r="M41"/>
  <c r="S28"/>
  <c r="S26"/>
  <c r="I18"/>
  <c r="M28"/>
  <c r="M26"/>
  <c r="T16"/>
  <c r="T15"/>
  <c r="S15" s="1"/>
  <c r="S14"/>
  <c r="S20"/>
  <c r="Q46" l="1"/>
  <c r="L46"/>
  <c r="I46"/>
  <c r="T17"/>
  <c r="S16"/>
  <c r="T18" l="1"/>
  <c r="S17"/>
  <c r="T19" l="1"/>
  <c r="S19" s="1"/>
  <c r="S18"/>
  <c r="G2" i="171" l="1"/>
  <c r="F90" i="140"/>
  <c r="J1160"/>
  <c r="L1160" s="1"/>
  <c r="J1159"/>
  <c r="L1159" s="1"/>
  <c r="O1158"/>
  <c r="L1158"/>
  <c r="K1158"/>
  <c r="F1157"/>
  <c r="F1156"/>
  <c r="F1155"/>
  <c r="J1154"/>
  <c r="F1154"/>
  <c r="F915"/>
  <c r="F234"/>
  <c r="F174"/>
  <c r="F170"/>
  <c r="F74"/>
  <c r="L3" i="132"/>
  <c r="I2502"/>
  <c r="I2507"/>
  <c r="I2522"/>
  <c r="I2527"/>
  <c r="I2532"/>
  <c r="I2534"/>
  <c r="I2539"/>
  <c r="I2541"/>
  <c r="I2546"/>
  <c r="I2551"/>
  <c r="I2552"/>
  <c r="I2553"/>
  <c r="I2562"/>
  <c r="I2566"/>
  <c r="I2571"/>
  <c r="I2576"/>
  <c r="I2581"/>
  <c r="I2591"/>
  <c r="I2592"/>
  <c r="I2593"/>
  <c r="I2598"/>
  <c r="I2603"/>
  <c r="I2608"/>
  <c r="I2609"/>
  <c r="I2610"/>
  <c r="I2611"/>
  <c r="I2616"/>
  <c r="I2621"/>
  <c r="I2622"/>
  <c r="I2624"/>
  <c r="I2630"/>
  <c r="I2635"/>
  <c r="I2640"/>
  <c r="I2645"/>
  <c r="I2650"/>
  <c r="I2655"/>
  <c r="I2660"/>
  <c r="I2665"/>
  <c r="I2666"/>
  <c r="I2668"/>
  <c r="I2673"/>
  <c r="I2674"/>
  <c r="I2676"/>
  <c r="I2681"/>
  <c r="I2686"/>
  <c r="I2687"/>
  <c r="I2688"/>
  <c r="I2693"/>
  <c r="I2694"/>
  <c r="I2698"/>
  <c r="I2702"/>
  <c r="I2703"/>
  <c r="I2704"/>
  <c r="I2709"/>
  <c r="I2714"/>
  <c r="I2719"/>
  <c r="I2729"/>
  <c r="I2734"/>
  <c r="I2739"/>
  <c r="I2740"/>
  <c r="I2741"/>
  <c r="I2746"/>
  <c r="I2747"/>
  <c r="I2748"/>
  <c r="I2749"/>
  <c r="I2754"/>
  <c r="I2759"/>
  <c r="I2760"/>
  <c r="I2762"/>
  <c r="I2773"/>
  <c r="I2778"/>
  <c r="I2793"/>
  <c r="I2803"/>
  <c r="I2805"/>
  <c r="I2810"/>
  <c r="I2812"/>
  <c r="I2817"/>
  <c r="I2822"/>
  <c r="I2823"/>
  <c r="I2824"/>
  <c r="I2834"/>
  <c r="I2838"/>
  <c r="I2843"/>
  <c r="I2848"/>
  <c r="I2853"/>
  <c r="I2858"/>
  <c r="I2859"/>
  <c r="I2864"/>
  <c r="I2869"/>
  <c r="I2874"/>
  <c r="I2879"/>
  <c r="I2880"/>
  <c r="I2881"/>
  <c r="I2882"/>
  <c r="I2887"/>
  <c r="I2892"/>
  <c r="I2893"/>
  <c r="I2895"/>
  <c r="I2901"/>
  <c r="I2906"/>
  <c r="I2911"/>
  <c r="I2916"/>
  <c r="I2921"/>
  <c r="I2926"/>
  <c r="I2931"/>
  <c r="I2936"/>
  <c r="I2938"/>
  <c r="I2943"/>
  <c r="I2945"/>
  <c r="I2950"/>
  <c r="I2951"/>
  <c r="I2952"/>
  <c r="I2957"/>
  <c r="I2958"/>
  <c r="I2959"/>
  <c r="I2964"/>
  <c r="I2968"/>
  <c r="I2972"/>
  <c r="I2977"/>
  <c r="I2982"/>
  <c r="I2987"/>
  <c r="I2993"/>
  <c r="I2998"/>
  <c r="I2999"/>
  <c r="I3000"/>
  <c r="I3005"/>
  <c r="I3010"/>
  <c r="I3011"/>
  <c r="I3012"/>
  <c r="I3013"/>
  <c r="I3014"/>
  <c r="I3015"/>
  <c r="I3020"/>
  <c r="I3021"/>
  <c r="I3022"/>
  <c r="I3023"/>
  <c r="I3028"/>
  <c r="I3033"/>
  <c r="I3034"/>
  <c r="I3036"/>
  <c r="I3042"/>
  <c r="I3047"/>
  <c r="I3052"/>
  <c r="I3057"/>
  <c r="F3062"/>
  <c r="I3062" s="1"/>
  <c r="F3067"/>
  <c r="I3067" s="1"/>
  <c r="F3072"/>
  <c r="I3072" s="1"/>
  <c r="I3077"/>
  <c r="I3082"/>
  <c r="I3087"/>
  <c r="F3092"/>
  <c r="I3092" s="1"/>
  <c r="F3093"/>
  <c r="I3093" s="1"/>
  <c r="I3098"/>
  <c r="I3103"/>
  <c r="I3108"/>
  <c r="I3113"/>
  <c r="I3118"/>
  <c r="I3123"/>
  <c r="I3134"/>
  <c r="I3139"/>
  <c r="I3144"/>
  <c r="I3149"/>
  <c r="I3154"/>
  <c r="I3159"/>
  <c r="I3164"/>
  <c r="I3169"/>
  <c r="I3174"/>
  <c r="I3180"/>
  <c r="I3185"/>
  <c r="I3190"/>
  <c r="I3195"/>
  <c r="I3200"/>
  <c r="F3205"/>
  <c r="I3205" s="1"/>
  <c r="F3210"/>
  <c r="I3210" s="1"/>
  <c r="I3215"/>
  <c r="I3220"/>
  <c r="I3225"/>
  <c r="I3230"/>
  <c r="I3231"/>
  <c r="I3236"/>
  <c r="I3241"/>
  <c r="I3246"/>
  <c r="I3251"/>
  <c r="I3256"/>
  <c r="I3261"/>
  <c r="I3266"/>
  <c r="I3267"/>
  <c r="I3272"/>
  <c r="I3274" s="1"/>
  <c r="I3277"/>
  <c r="I3279" s="1"/>
  <c r="I3282"/>
  <c r="I3284" s="1"/>
  <c r="I3287"/>
  <c r="I3289" s="1"/>
  <c r="I3292"/>
  <c r="I3294" s="1"/>
  <c r="I3297"/>
  <c r="I3299" s="1"/>
  <c r="I3302"/>
  <c r="I3304" s="1"/>
  <c r="I3307"/>
  <c r="I3309" s="1"/>
  <c r="I3312"/>
  <c r="I3314" s="1"/>
  <c r="I3318"/>
  <c r="I3323"/>
  <c r="I3328"/>
  <c r="I3329"/>
  <c r="I3334"/>
  <c r="I3339"/>
  <c r="I3340"/>
  <c r="F3345"/>
  <c r="I3345" s="1"/>
  <c r="F3350"/>
  <c r="I3350" s="1"/>
  <c r="I3355"/>
  <c r="I3356"/>
  <c r="I3361"/>
  <c r="I3366"/>
  <c r="I3367"/>
  <c r="F3372"/>
  <c r="I3372" s="1"/>
  <c r="F3373"/>
  <c r="I3373" s="1"/>
  <c r="I3378"/>
  <c r="I3383"/>
  <c r="I3388"/>
  <c r="I3393"/>
  <c r="I3398"/>
  <c r="I3403"/>
  <c r="I3414"/>
  <c r="I3419"/>
  <c r="I3424"/>
  <c r="I3429"/>
  <c r="I3434"/>
  <c r="I3439"/>
  <c r="I3444"/>
  <c r="I3449"/>
  <c r="I3454"/>
  <c r="I3460"/>
  <c r="I3465"/>
  <c r="I3470"/>
  <c r="I3475"/>
  <c r="I3480"/>
  <c r="I3481"/>
  <c r="F3485"/>
  <c r="I3485" s="1"/>
  <c r="F3490"/>
  <c r="I3490" s="1"/>
  <c r="I3495"/>
  <c r="I3500"/>
  <c r="I3505"/>
  <c r="I3510"/>
  <c r="I3511"/>
  <c r="I3516"/>
  <c r="I3521"/>
  <c r="I3526"/>
  <c r="I3531"/>
  <c r="I3536"/>
  <c r="I3541"/>
  <c r="I3552"/>
  <c r="I3557"/>
  <c r="I3562"/>
  <c r="I3567"/>
  <c r="I3572"/>
  <c r="I3577"/>
  <c r="I3582"/>
  <c r="I3587"/>
  <c r="I3592"/>
  <c r="I3611"/>
  <c r="I3612"/>
  <c r="I3613"/>
  <c r="I3623"/>
  <c r="I3628"/>
  <c r="I3633"/>
  <c r="I3634"/>
  <c r="I3635"/>
  <c r="I3636"/>
  <c r="I3641"/>
  <c r="I3651"/>
  <c r="I3656"/>
  <c r="I3657"/>
  <c r="I3658"/>
  <c r="I3663"/>
  <c r="I3664"/>
  <c r="I3665"/>
  <c r="I3671"/>
  <c r="I3676"/>
  <c r="I3681"/>
  <c r="I3686"/>
  <c r="I3691"/>
  <c r="I3696"/>
  <c r="I3701"/>
  <c r="I3706"/>
  <c r="I3711"/>
  <c r="I3716"/>
  <c r="I3721"/>
  <c r="I3726"/>
  <c r="I3731"/>
  <c r="I3732"/>
  <c r="I3737"/>
  <c r="I3742"/>
  <c r="I3747"/>
  <c r="I3752"/>
  <c r="I3757"/>
  <c r="I3762"/>
  <c r="I3767"/>
  <c r="I3772"/>
  <c r="I3777"/>
  <c r="I3778"/>
  <c r="I3779"/>
  <c r="I3784"/>
  <c r="I3789"/>
  <c r="I3794"/>
  <c r="I3799"/>
  <c r="I3804"/>
  <c r="I3805"/>
  <c r="I3810"/>
  <c r="I3815"/>
  <c r="I3828"/>
  <c r="I3829"/>
  <c r="I3835"/>
  <c r="I3836"/>
  <c r="I3837"/>
  <c r="I3842"/>
  <c r="I3847"/>
  <c r="I3852"/>
  <c r="I3857"/>
  <c r="I3858"/>
  <c r="I3859"/>
  <c r="I3860"/>
  <c r="I3865"/>
  <c r="I3870"/>
  <c r="I3875"/>
  <c r="I3880"/>
  <c r="I3885"/>
  <c r="I3886"/>
  <c r="I3887"/>
  <c r="I3893"/>
  <c r="I3898"/>
  <c r="I3903"/>
  <c r="I3908"/>
  <c r="I3913"/>
  <c r="I3918"/>
  <c r="I3923"/>
  <c r="I3928"/>
  <c r="I3933"/>
  <c r="I3938"/>
  <c r="I3943"/>
  <c r="I3948"/>
  <c r="I3953"/>
  <c r="I3958"/>
  <c r="I3963"/>
  <c r="I3968"/>
  <c r="I3973"/>
  <c r="I3974"/>
  <c r="I3979"/>
  <c r="I3984"/>
  <c r="I3989"/>
  <c r="I3994"/>
  <c r="I3999"/>
  <c r="I4000"/>
  <c r="I4001"/>
  <c r="I4006"/>
  <c r="I4011"/>
  <c r="I4016"/>
  <c r="I4021"/>
  <c r="I4026"/>
  <c r="I4031"/>
  <c r="I4036"/>
  <c r="I4042"/>
  <c r="I4053"/>
  <c r="I4054"/>
  <c r="I4055"/>
  <c r="I4065"/>
  <c r="I4070"/>
  <c r="I4075"/>
  <c r="I4076"/>
  <c r="I4077"/>
  <c r="I4078"/>
  <c r="I4083"/>
  <c r="I4093"/>
  <c r="I4098"/>
  <c r="I4099"/>
  <c r="I4100"/>
  <c r="I4105"/>
  <c r="I4106"/>
  <c r="I4107"/>
  <c r="I4113"/>
  <c r="I4118"/>
  <c r="I4123"/>
  <c r="I4128"/>
  <c r="I4133"/>
  <c r="I4138"/>
  <c r="I4143"/>
  <c r="I4148"/>
  <c r="I4153"/>
  <c r="I4158"/>
  <c r="I4163"/>
  <c r="I4168"/>
  <c r="I4173"/>
  <c r="I4174"/>
  <c r="I4179"/>
  <c r="I4184"/>
  <c r="I4189"/>
  <c r="I4194"/>
  <c r="I4199"/>
  <c r="I4204"/>
  <c r="I4209"/>
  <c r="I4214"/>
  <c r="I4219"/>
  <c r="I4220"/>
  <c r="I4221"/>
  <c r="I4226"/>
  <c r="I4231"/>
  <c r="I4236"/>
  <c r="I4241"/>
  <c r="I4246"/>
  <c r="I4247"/>
  <c r="I4252"/>
  <c r="I4257"/>
  <c r="I4263"/>
  <c r="I4268"/>
  <c r="I4274"/>
  <c r="I4275"/>
  <c r="I4276"/>
  <c r="I4281"/>
  <c r="I4286"/>
  <c r="I4291"/>
  <c r="I4296"/>
  <c r="I4297"/>
  <c r="I4298"/>
  <c r="I4299"/>
  <c r="I4304"/>
  <c r="I4309"/>
  <c r="I4314"/>
  <c r="I4319"/>
  <c r="I4320"/>
  <c r="I4325"/>
  <c r="I4330"/>
  <c r="I4335"/>
  <c r="I4336"/>
  <c r="I4337"/>
  <c r="I4338"/>
  <c r="I4339"/>
  <c r="I4344"/>
  <c r="I4345"/>
  <c r="I4350"/>
  <c r="I4355"/>
  <c r="I4360"/>
  <c r="I4365"/>
  <c r="I4370"/>
  <c r="I4375"/>
  <c r="I4380"/>
  <c r="I4385"/>
  <c r="I4390"/>
  <c r="I4395"/>
  <c r="I4400"/>
  <c r="I4405"/>
  <c r="I4410"/>
  <c r="I4415"/>
  <c r="I4416"/>
  <c r="I4421"/>
  <c r="I4426"/>
  <c r="I4427"/>
  <c r="I4428"/>
  <c r="I4429"/>
  <c r="I4430"/>
  <c r="I4431"/>
  <c r="I4432"/>
  <c r="I4433"/>
  <c r="I4438"/>
  <c r="I4439"/>
  <c r="I4440"/>
  <c r="I4441"/>
  <c r="I4442"/>
  <c r="I4443"/>
  <c r="I4444"/>
  <c r="I4445"/>
  <c r="I4450"/>
  <c r="I4451"/>
  <c r="I4452"/>
  <c r="I4453"/>
  <c r="I4454"/>
  <c r="I4455"/>
  <c r="I4456"/>
  <c r="I4457"/>
  <c r="I4462"/>
  <c r="I4463"/>
  <c r="I4464"/>
  <c r="I4469"/>
  <c r="I4474"/>
  <c r="I4479"/>
  <c r="I4484"/>
  <c r="I4489"/>
  <c r="I4494"/>
  <c r="I4499"/>
  <c r="I2475"/>
  <c r="I2476" s="1"/>
  <c r="I1157"/>
  <c r="I1156"/>
  <c r="K1160" i="140" l="1"/>
  <c r="O1160"/>
  <c r="J1157"/>
  <c r="O1157" s="1"/>
  <c r="K1159"/>
  <c r="O1159"/>
  <c r="J1156"/>
  <c r="O1156" s="1"/>
  <c r="J1155"/>
  <c r="O1155" s="1"/>
  <c r="O1154"/>
  <c r="L1154"/>
  <c r="K1154"/>
  <c r="L1157" l="1"/>
  <c r="L1156"/>
  <c r="K1157"/>
  <c r="L1155"/>
  <c r="K1156"/>
  <c r="K1155"/>
  <c r="I513" i="194" l="1"/>
  <c r="I512"/>
  <c r="I511"/>
  <c r="I1485" i="132"/>
  <c r="I902" i="192"/>
  <c r="I901"/>
  <c r="I900"/>
  <c r="I537" i="194"/>
  <c r="I536"/>
  <c r="I535"/>
  <c r="I861"/>
  <c r="I860"/>
  <c r="I859"/>
  <c r="I858"/>
  <c r="I1367" i="192"/>
  <c r="I1366"/>
  <c r="I1365"/>
  <c r="I1364"/>
  <c r="I1363"/>
  <c r="I1362"/>
  <c r="I1361"/>
  <c r="I1360"/>
  <c r="I1359"/>
  <c r="I1358"/>
  <c r="I1357"/>
  <c r="I1356"/>
  <c r="I1355"/>
  <c r="I1354"/>
  <c r="I1353"/>
  <c r="I1352"/>
  <c r="I1351"/>
  <c r="I1350"/>
  <c r="I1349"/>
  <c r="I1348"/>
  <c r="I1347"/>
  <c r="G218" i="270" l="1"/>
  <c r="F218"/>
  <c r="E218"/>
  <c r="G210"/>
  <c r="F210"/>
  <c r="E210"/>
  <c r="R193" i="310"/>
  <c r="M193"/>
  <c r="R192"/>
  <c r="M192"/>
  <c r="R191"/>
  <c r="M191"/>
  <c r="J183"/>
  <c r="C181"/>
  <c r="F181" s="1"/>
  <c r="E180"/>
  <c r="D180"/>
  <c r="C180"/>
  <c r="E179"/>
  <c r="D179"/>
  <c r="C179"/>
  <c r="E178"/>
  <c r="D178"/>
  <c r="C178"/>
  <c r="E177"/>
  <c r="D177"/>
  <c r="C177"/>
  <c r="E176"/>
  <c r="D176"/>
  <c r="C176"/>
  <c r="E175"/>
  <c r="E174"/>
  <c r="E173"/>
  <c r="D173"/>
  <c r="C173"/>
  <c r="E172"/>
  <c r="D172"/>
  <c r="C172"/>
  <c r="E171"/>
  <c r="D171"/>
  <c r="C171"/>
  <c r="E170"/>
  <c r="D170"/>
  <c r="C170"/>
  <c r="E169"/>
  <c r="D169"/>
  <c r="C169"/>
  <c r="E168"/>
  <c r="D168"/>
  <c r="C168"/>
  <c r="E167"/>
  <c r="D167"/>
  <c r="C167"/>
  <c r="E166"/>
  <c r="D166"/>
  <c r="C166"/>
  <c r="D165"/>
  <c r="C165"/>
  <c r="E164"/>
  <c r="D164"/>
  <c r="C164"/>
  <c r="E163"/>
  <c r="D163"/>
  <c r="E162"/>
  <c r="D162"/>
  <c r="E161"/>
  <c r="D161"/>
  <c r="C161"/>
  <c r="C160"/>
  <c r="F160" s="1"/>
  <c r="E159"/>
  <c r="D159"/>
  <c r="C159"/>
  <c r="E158"/>
  <c r="D158"/>
  <c r="C158"/>
  <c r="E157"/>
  <c r="D157"/>
  <c r="E156"/>
  <c r="D156"/>
  <c r="E155"/>
  <c r="D155"/>
  <c r="C155"/>
  <c r="E154"/>
  <c r="D154"/>
  <c r="C154"/>
  <c r="E153"/>
  <c r="D153"/>
  <c r="C153"/>
  <c r="E152"/>
  <c r="D152"/>
  <c r="C152"/>
  <c r="E151"/>
  <c r="D151"/>
  <c r="C151"/>
  <c r="E150"/>
  <c r="D150"/>
  <c r="C150"/>
  <c r="C149"/>
  <c r="F149" s="1"/>
  <c r="E148"/>
  <c r="D148"/>
  <c r="C148"/>
  <c r="C147"/>
  <c r="F147" s="1"/>
  <c r="T146"/>
  <c r="T171" s="1"/>
  <c r="C146"/>
  <c r="F146" s="1"/>
  <c r="C145"/>
  <c r="F145" s="1"/>
  <c r="L145" s="1"/>
  <c r="C144"/>
  <c r="F144" s="1"/>
  <c r="C143"/>
  <c r="F143" s="1"/>
  <c r="R143" s="1"/>
  <c r="C142"/>
  <c r="F142" s="1"/>
  <c r="P142" s="1"/>
  <c r="P183" s="1"/>
  <c r="C141"/>
  <c r="F141" s="1"/>
  <c r="O141" s="1"/>
  <c r="O183" s="1"/>
  <c r="F140"/>
  <c r="R140" s="1"/>
  <c r="J138"/>
  <c r="C136"/>
  <c r="F136" s="1"/>
  <c r="E135"/>
  <c r="D135"/>
  <c r="C135"/>
  <c r="E134"/>
  <c r="D134"/>
  <c r="C134"/>
  <c r="E133"/>
  <c r="D133"/>
  <c r="C133"/>
  <c r="E132"/>
  <c r="D132"/>
  <c r="C132"/>
  <c r="E131"/>
  <c r="D131"/>
  <c r="C131"/>
  <c r="E130"/>
  <c r="D130"/>
  <c r="C130"/>
  <c r="E129"/>
  <c r="D129"/>
  <c r="C129"/>
  <c r="E128"/>
  <c r="D128"/>
  <c r="C128"/>
  <c r="E127"/>
  <c r="D127"/>
  <c r="C127"/>
  <c r="E126"/>
  <c r="D126"/>
  <c r="C126"/>
  <c r="E125"/>
  <c r="D125"/>
  <c r="C125"/>
  <c r="E124"/>
  <c r="D124"/>
  <c r="C124"/>
  <c r="E123"/>
  <c r="D123"/>
  <c r="C123"/>
  <c r="E122"/>
  <c r="D122"/>
  <c r="C122"/>
  <c r="E121"/>
  <c r="D121"/>
  <c r="C121"/>
  <c r="D120"/>
  <c r="C120"/>
  <c r="E119"/>
  <c r="D119"/>
  <c r="C119"/>
  <c r="E118"/>
  <c r="D118"/>
  <c r="C118"/>
  <c r="E117"/>
  <c r="D117"/>
  <c r="C117"/>
  <c r="E116"/>
  <c r="D116"/>
  <c r="C116"/>
  <c r="C115"/>
  <c r="F115" s="1"/>
  <c r="M115" s="1"/>
  <c r="E114"/>
  <c r="D114"/>
  <c r="C114"/>
  <c r="E113"/>
  <c r="D113"/>
  <c r="C113"/>
  <c r="E112"/>
  <c r="D112"/>
  <c r="C112"/>
  <c r="E111"/>
  <c r="D111"/>
  <c r="C111"/>
  <c r="E110"/>
  <c r="D110"/>
  <c r="C110"/>
  <c r="E109"/>
  <c r="D109"/>
  <c r="C109"/>
  <c r="E108"/>
  <c r="D108"/>
  <c r="C108"/>
  <c r="E107"/>
  <c r="D107"/>
  <c r="C107"/>
  <c r="E106"/>
  <c r="D106"/>
  <c r="C106"/>
  <c r="E105"/>
  <c r="D105"/>
  <c r="C105"/>
  <c r="C104"/>
  <c r="F104" s="1"/>
  <c r="E103"/>
  <c r="D103"/>
  <c r="C103"/>
  <c r="C102"/>
  <c r="F102" s="1"/>
  <c r="T101"/>
  <c r="T126" s="1"/>
  <c r="C101"/>
  <c r="F101" s="1"/>
  <c r="C100"/>
  <c r="F100" s="1"/>
  <c r="C99"/>
  <c r="F99" s="1"/>
  <c r="S99" s="1"/>
  <c r="C98"/>
  <c r="F98" s="1"/>
  <c r="R98" s="1"/>
  <c r="C97"/>
  <c r="F97" s="1"/>
  <c r="P97" s="1"/>
  <c r="P138" s="1"/>
  <c r="C96"/>
  <c r="F96" s="1"/>
  <c r="O96" s="1"/>
  <c r="O138" s="1"/>
  <c r="F95"/>
  <c r="R95" s="1"/>
  <c r="J93"/>
  <c r="C91"/>
  <c r="F91" s="1"/>
  <c r="S91" s="1"/>
  <c r="E90"/>
  <c r="D90"/>
  <c r="C90"/>
  <c r="E89"/>
  <c r="D89"/>
  <c r="C89"/>
  <c r="E88"/>
  <c r="D88"/>
  <c r="C88"/>
  <c r="E87"/>
  <c r="D87"/>
  <c r="E86"/>
  <c r="D86"/>
  <c r="E85"/>
  <c r="D85"/>
  <c r="C85"/>
  <c r="E84"/>
  <c r="D84"/>
  <c r="C84"/>
  <c r="E83"/>
  <c r="D83"/>
  <c r="E82"/>
  <c r="D82"/>
  <c r="E81"/>
  <c r="D81"/>
  <c r="C81"/>
  <c r="E80"/>
  <c r="D80"/>
  <c r="E79"/>
  <c r="D79"/>
  <c r="E78"/>
  <c r="D78"/>
  <c r="C78"/>
  <c r="E77"/>
  <c r="D77"/>
  <c r="C77"/>
  <c r="E76"/>
  <c r="D76"/>
  <c r="D75"/>
  <c r="C75"/>
  <c r="F75" s="1"/>
  <c r="E74"/>
  <c r="D74"/>
  <c r="C74"/>
  <c r="E73"/>
  <c r="D73"/>
  <c r="E72"/>
  <c r="D72"/>
  <c r="E71"/>
  <c r="D71"/>
  <c r="C71"/>
  <c r="C70"/>
  <c r="F70" s="1"/>
  <c r="E69"/>
  <c r="D69"/>
  <c r="E68"/>
  <c r="D68"/>
  <c r="C68"/>
  <c r="E67"/>
  <c r="D67"/>
  <c r="E66"/>
  <c r="D66"/>
  <c r="E65"/>
  <c r="D65"/>
  <c r="C65"/>
  <c r="E64"/>
  <c r="D64"/>
  <c r="C64"/>
  <c r="E63"/>
  <c r="D63"/>
  <c r="E62"/>
  <c r="D62"/>
  <c r="E61"/>
  <c r="D61"/>
  <c r="C61"/>
  <c r="E60"/>
  <c r="D60"/>
  <c r="E58"/>
  <c r="D58"/>
  <c r="T56"/>
  <c r="T81" s="1"/>
  <c r="C55"/>
  <c r="F55" s="1"/>
  <c r="L55" s="1"/>
  <c r="C54"/>
  <c r="F54" s="1"/>
  <c r="C53"/>
  <c r="F53" s="1"/>
  <c r="R53" s="1"/>
  <c r="C52"/>
  <c r="F52" s="1"/>
  <c r="P52" s="1"/>
  <c r="P93" s="1"/>
  <c r="F50"/>
  <c r="R50" s="1"/>
  <c r="J48"/>
  <c r="C46"/>
  <c r="F46" s="1"/>
  <c r="E45"/>
  <c r="D45"/>
  <c r="C45"/>
  <c r="E44"/>
  <c r="D44"/>
  <c r="C44"/>
  <c r="E43"/>
  <c r="D43"/>
  <c r="C43"/>
  <c r="E42"/>
  <c r="D42"/>
  <c r="C42"/>
  <c r="E41"/>
  <c r="D41"/>
  <c r="C41"/>
  <c r="E40"/>
  <c r="D40"/>
  <c r="C40"/>
  <c r="E39"/>
  <c r="D39"/>
  <c r="C39"/>
  <c r="E38"/>
  <c r="D38"/>
  <c r="C38"/>
  <c r="E37"/>
  <c r="D37"/>
  <c r="C37"/>
  <c r="F37" s="1"/>
  <c r="E36"/>
  <c r="D36"/>
  <c r="E33"/>
  <c r="D33"/>
  <c r="E32"/>
  <c r="D32"/>
  <c r="C32"/>
  <c r="D30"/>
  <c r="C30"/>
  <c r="E29"/>
  <c r="D29"/>
  <c r="C29"/>
  <c r="E26"/>
  <c r="D26"/>
  <c r="C25"/>
  <c r="F25" s="1"/>
  <c r="S25" s="1"/>
  <c r="E24"/>
  <c r="D24"/>
  <c r="C24"/>
  <c r="E23"/>
  <c r="D23"/>
  <c r="C23"/>
  <c r="E22"/>
  <c r="E21"/>
  <c r="E20"/>
  <c r="D20"/>
  <c r="C20"/>
  <c r="E19"/>
  <c r="D19"/>
  <c r="C19"/>
  <c r="D18"/>
  <c r="C18"/>
  <c r="E17"/>
  <c r="E16"/>
  <c r="T11"/>
  <c r="T36" s="1"/>
  <c r="C10"/>
  <c r="F10" s="1"/>
  <c r="L10" s="1"/>
  <c r="C8"/>
  <c r="F8" s="1"/>
  <c r="R8" s="1"/>
  <c r="F5"/>
  <c r="R5" s="1"/>
  <c r="A2"/>
  <c r="H864" i="215"/>
  <c r="H580"/>
  <c r="H296"/>
  <c r="H12"/>
  <c r="F65" i="310" l="1"/>
  <c r="L65" s="1"/>
  <c r="F78"/>
  <c r="N78" s="1"/>
  <c r="F41"/>
  <c r="M41" s="1"/>
  <c r="F43"/>
  <c r="M43" s="1"/>
  <c r="F45"/>
  <c r="M45" s="1"/>
  <c r="F71"/>
  <c r="Q71" s="1"/>
  <c r="J184"/>
  <c r="J186" s="1"/>
  <c r="F106"/>
  <c r="I106" s="1"/>
  <c r="F108"/>
  <c r="L108" s="1"/>
  <c r="F110"/>
  <c r="L110" s="1"/>
  <c r="F112"/>
  <c r="L112" s="1"/>
  <c r="F114"/>
  <c r="N114" s="1"/>
  <c r="F90"/>
  <c r="S90" s="1"/>
  <c r="F116"/>
  <c r="S116" s="1"/>
  <c r="F39"/>
  <c r="M39" s="1"/>
  <c r="F148"/>
  <c r="L148" s="1"/>
  <c r="F150"/>
  <c r="L150" s="1"/>
  <c r="F152"/>
  <c r="I152" s="1"/>
  <c r="F154"/>
  <c r="L154" s="1"/>
  <c r="F158"/>
  <c r="S158" s="1"/>
  <c r="F164"/>
  <c r="M164" s="1"/>
  <c r="F167"/>
  <c r="S167" s="1"/>
  <c r="F169"/>
  <c r="N169" s="1"/>
  <c r="F171"/>
  <c r="I171" s="1"/>
  <c r="F177"/>
  <c r="S177" s="1"/>
  <c r="F179"/>
  <c r="M179" s="1"/>
  <c r="S101"/>
  <c r="F20"/>
  <c r="I20" s="1"/>
  <c r="F24"/>
  <c r="S24" s="1"/>
  <c r="F29"/>
  <c r="M29" s="1"/>
  <c r="F120"/>
  <c r="N120" s="1"/>
  <c r="F121"/>
  <c r="N121" s="1"/>
  <c r="F123"/>
  <c r="N123" s="1"/>
  <c r="F125"/>
  <c r="N125" s="1"/>
  <c r="F127"/>
  <c r="M127" s="1"/>
  <c r="F129"/>
  <c r="M129" s="1"/>
  <c r="F131"/>
  <c r="M131" s="1"/>
  <c r="F133"/>
  <c r="M133" s="1"/>
  <c r="F135"/>
  <c r="M135" s="1"/>
  <c r="F19"/>
  <c r="I19" s="1"/>
  <c r="F23"/>
  <c r="N23" s="1"/>
  <c r="F30"/>
  <c r="N30" s="1"/>
  <c r="F32"/>
  <c r="N32" s="1"/>
  <c r="F38"/>
  <c r="S38" s="1"/>
  <c r="F40"/>
  <c r="M40" s="1"/>
  <c r="F42"/>
  <c r="S42" s="1"/>
  <c r="F44"/>
  <c r="M44" s="1"/>
  <c r="F64"/>
  <c r="L64" s="1"/>
  <c r="F68"/>
  <c r="S68" s="1"/>
  <c r="F74"/>
  <c r="M74" s="1"/>
  <c r="F77"/>
  <c r="S77" s="1"/>
  <c r="F81"/>
  <c r="I81" s="1"/>
  <c r="F89"/>
  <c r="M89" s="1"/>
  <c r="F151"/>
  <c r="L151" s="1"/>
  <c r="F153"/>
  <c r="I153" s="1"/>
  <c r="F155"/>
  <c r="L155" s="1"/>
  <c r="F159"/>
  <c r="S159" s="1"/>
  <c r="F165"/>
  <c r="N165" s="1"/>
  <c r="F166"/>
  <c r="S166" s="1"/>
  <c r="F168"/>
  <c r="N168" s="1"/>
  <c r="F170"/>
  <c r="S170" s="1"/>
  <c r="F172"/>
  <c r="S172" s="1"/>
  <c r="F176"/>
  <c r="S176" s="1"/>
  <c r="F178"/>
  <c r="S178" s="1"/>
  <c r="F180"/>
  <c r="S180" s="1"/>
  <c r="F61"/>
  <c r="L61" s="1"/>
  <c r="F117"/>
  <c r="M117" s="1"/>
  <c r="F119"/>
  <c r="S119" s="1"/>
  <c r="F122"/>
  <c r="N122" s="1"/>
  <c r="F124"/>
  <c r="S124" s="1"/>
  <c r="F126"/>
  <c r="S126" s="1"/>
  <c r="F128"/>
  <c r="S128" s="1"/>
  <c r="F130"/>
  <c r="S130" s="1"/>
  <c r="F132"/>
  <c r="S132" s="1"/>
  <c r="F134"/>
  <c r="S134" s="1"/>
  <c r="F173"/>
  <c r="M173" s="1"/>
  <c r="F118"/>
  <c r="Q118" s="1"/>
  <c r="F85"/>
  <c r="S85" s="1"/>
  <c r="R138"/>
  <c r="F103"/>
  <c r="L103" s="1"/>
  <c r="R183"/>
  <c r="F161"/>
  <c r="Q161" s="1"/>
  <c r="F84"/>
  <c r="S84" s="1"/>
  <c r="F88"/>
  <c r="S88" s="1"/>
  <c r="F105"/>
  <c r="I105" s="1"/>
  <c r="F107"/>
  <c r="I107" s="1"/>
  <c r="F109"/>
  <c r="L109" s="1"/>
  <c r="F111"/>
  <c r="I111" s="1"/>
  <c r="F113"/>
  <c r="N113" s="1"/>
  <c r="S46"/>
  <c r="I46"/>
  <c r="L46"/>
  <c r="I65"/>
  <c r="N75"/>
  <c r="S75"/>
  <c r="M37"/>
  <c r="S37"/>
  <c r="S54"/>
  <c r="H54"/>
  <c r="L54"/>
  <c r="S70"/>
  <c r="K70"/>
  <c r="K93" s="1"/>
  <c r="M70"/>
  <c r="L100"/>
  <c r="S100"/>
  <c r="H100"/>
  <c r="R48"/>
  <c r="R93"/>
  <c r="S144"/>
  <c r="H144"/>
  <c r="L144"/>
  <c r="S160"/>
  <c r="K160"/>
  <c r="K183" s="1"/>
  <c r="M160"/>
  <c r="S181"/>
  <c r="I181"/>
  <c r="L181"/>
  <c r="H10"/>
  <c r="S10"/>
  <c r="T12"/>
  <c r="T13"/>
  <c r="T14"/>
  <c r="T15"/>
  <c r="T21"/>
  <c r="T22" s="1"/>
  <c r="M25"/>
  <c r="H55"/>
  <c r="S55"/>
  <c r="T57"/>
  <c r="T58"/>
  <c r="T59"/>
  <c r="T60"/>
  <c r="T66"/>
  <c r="T67" s="1"/>
  <c r="L91"/>
  <c r="L99"/>
  <c r="L101"/>
  <c r="L102"/>
  <c r="T102"/>
  <c r="S102" s="1"/>
  <c r="T103"/>
  <c r="L104"/>
  <c r="T104"/>
  <c r="S104" s="1"/>
  <c r="T105"/>
  <c r="T111"/>
  <c r="T112" s="1"/>
  <c r="S115"/>
  <c r="S136"/>
  <c r="I136"/>
  <c r="L136"/>
  <c r="S146"/>
  <c r="I146"/>
  <c r="L146"/>
  <c r="I147"/>
  <c r="L147"/>
  <c r="I149"/>
  <c r="L149"/>
  <c r="K25"/>
  <c r="K48" s="1"/>
  <c r="I91"/>
  <c r="H99"/>
  <c r="I101"/>
  <c r="I102"/>
  <c r="I104"/>
  <c r="K115"/>
  <c r="K138" s="1"/>
  <c r="H145"/>
  <c r="S145"/>
  <c r="T147"/>
  <c r="S147" s="1"/>
  <c r="T148"/>
  <c r="T149"/>
  <c r="S149" s="1"/>
  <c r="T150"/>
  <c r="T156"/>
  <c r="T157" s="1"/>
  <c r="F122" i="218"/>
  <c r="H232" i="271"/>
  <c r="H225"/>
  <c r="H219"/>
  <c r="H179"/>
  <c r="H170"/>
  <c r="H151"/>
  <c r="H140"/>
  <c r="H130"/>
  <c r="H121"/>
  <c r="H10"/>
  <c r="H266"/>
  <c r="H261"/>
  <c r="H247"/>
  <c r="H237"/>
  <c r="H200"/>
  <c r="H190"/>
  <c r="H160"/>
  <c r="H113"/>
  <c r="H103"/>
  <c r="H91"/>
  <c r="H22"/>
  <c r="H1118" i="215"/>
  <c r="H1113"/>
  <c r="H1099"/>
  <c r="H1077"/>
  <c r="H1071"/>
  <c r="H1052"/>
  <c r="H1042"/>
  <c r="H1031"/>
  <c r="H1022"/>
  <c r="H1012"/>
  <c r="H1003"/>
  <c r="H992"/>
  <c r="H982"/>
  <c r="H973"/>
  <c r="H965"/>
  <c r="H955"/>
  <c r="H943"/>
  <c r="H874"/>
  <c r="H862"/>
  <c r="H834"/>
  <c r="H815"/>
  <c r="H800"/>
  <c r="H768"/>
  <c r="H758"/>
  <c r="H747"/>
  <c r="H738"/>
  <c r="H728"/>
  <c r="H719"/>
  <c r="H708"/>
  <c r="H698"/>
  <c r="H689"/>
  <c r="H681"/>
  <c r="H671"/>
  <c r="H659"/>
  <c r="H590"/>
  <c r="H578"/>
  <c r="H550"/>
  <c r="H545"/>
  <c r="H531"/>
  <c r="H516"/>
  <c r="H509"/>
  <c r="H503"/>
  <c r="H484"/>
  <c r="H474"/>
  <c r="H463"/>
  <c r="H454"/>
  <c r="H444"/>
  <c r="H435"/>
  <c r="H424"/>
  <c r="H414"/>
  <c r="H405"/>
  <c r="H397"/>
  <c r="H387"/>
  <c r="H375"/>
  <c r="H306"/>
  <c r="H294"/>
  <c r="H266"/>
  <c r="H261"/>
  <c r="H247"/>
  <c r="H232"/>
  <c r="H225"/>
  <c r="H219"/>
  <c r="H200"/>
  <c r="H190"/>
  <c r="H179"/>
  <c r="H170"/>
  <c r="H160"/>
  <c r="H151"/>
  <c r="H140"/>
  <c r="H130"/>
  <c r="H121"/>
  <c r="H113"/>
  <c r="H103"/>
  <c r="H91"/>
  <c r="H22"/>
  <c r="H10"/>
  <c r="G24" i="212"/>
  <c r="F729" i="216"/>
  <c r="G2972" i="214"/>
  <c r="F2972"/>
  <c r="E2972"/>
  <c r="G2964"/>
  <c r="F2964"/>
  <c r="E2964"/>
  <c r="G2971"/>
  <c r="F2971"/>
  <c r="E2971"/>
  <c r="G2963"/>
  <c r="F2963"/>
  <c r="E2963"/>
  <c r="G2055"/>
  <c r="F2055"/>
  <c r="E2055"/>
  <c r="G2047"/>
  <c r="F2047"/>
  <c r="E2047"/>
  <c r="G2054"/>
  <c r="F2054"/>
  <c r="E2054"/>
  <c r="G2046"/>
  <c r="F2046"/>
  <c r="E2046"/>
  <c r="G1138"/>
  <c r="F1138"/>
  <c r="E1138"/>
  <c r="G1137"/>
  <c r="F1137"/>
  <c r="E1137"/>
  <c r="G1130"/>
  <c r="F1130"/>
  <c r="E1130"/>
  <c r="E1129"/>
  <c r="F1129" s="1"/>
  <c r="G1129" s="1"/>
  <c r="G222"/>
  <c r="F222"/>
  <c r="E222"/>
  <c r="G221"/>
  <c r="F221"/>
  <c r="E221"/>
  <c r="G214"/>
  <c r="F214"/>
  <c r="E214"/>
  <c r="E213"/>
  <c r="F213" s="1"/>
  <c r="G213" s="1"/>
  <c r="S78" i="310" l="1"/>
  <c r="S45"/>
  <c r="S41"/>
  <c r="S43"/>
  <c r="S71"/>
  <c r="M71"/>
  <c r="N24"/>
  <c r="S32"/>
  <c r="M38"/>
  <c r="Q29"/>
  <c r="R184"/>
  <c r="R186" s="1"/>
  <c r="K184"/>
  <c r="K186" s="1"/>
  <c r="L152"/>
  <c r="S173"/>
  <c r="S114"/>
  <c r="S148"/>
  <c r="M128"/>
  <c r="I148"/>
  <c r="S133"/>
  <c r="S81"/>
  <c r="S30"/>
  <c r="M85"/>
  <c r="N170"/>
  <c r="I151"/>
  <c r="S112"/>
  <c r="Q164"/>
  <c r="N158"/>
  <c r="I150"/>
  <c r="S120"/>
  <c r="I108"/>
  <c r="M172"/>
  <c r="S168"/>
  <c r="M119"/>
  <c r="S171"/>
  <c r="S125"/>
  <c r="M116"/>
  <c r="I61"/>
  <c r="H138"/>
  <c r="M88"/>
  <c r="M178"/>
  <c r="S165"/>
  <c r="L153"/>
  <c r="M132"/>
  <c r="N124"/>
  <c r="N138" s="1"/>
  <c r="S179"/>
  <c r="L171"/>
  <c r="N167"/>
  <c r="S129"/>
  <c r="S121"/>
  <c r="L107"/>
  <c r="S89"/>
  <c r="L81"/>
  <c r="N77"/>
  <c r="L19"/>
  <c r="Q116"/>
  <c r="I110"/>
  <c r="L106"/>
  <c r="M42"/>
  <c r="S29"/>
  <c r="L20"/>
  <c r="Q119"/>
  <c r="L111"/>
  <c r="M84"/>
  <c r="S161"/>
  <c r="N68"/>
  <c r="S122"/>
  <c r="S118"/>
  <c r="S127"/>
  <c r="S113"/>
  <c r="I109"/>
  <c r="L105"/>
  <c r="I112"/>
  <c r="M90"/>
  <c r="M180"/>
  <c r="N159"/>
  <c r="M130"/>
  <c r="S117"/>
  <c r="S103"/>
  <c r="S135"/>
  <c r="Q74"/>
  <c r="S39"/>
  <c r="S44"/>
  <c r="M176"/>
  <c r="N166"/>
  <c r="I155"/>
  <c r="M134"/>
  <c r="I126"/>
  <c r="Q117"/>
  <c r="M177"/>
  <c r="S169"/>
  <c r="S164"/>
  <c r="I154"/>
  <c r="S131"/>
  <c r="S123"/>
  <c r="S74"/>
  <c r="I64"/>
  <c r="S23"/>
  <c r="I103"/>
  <c r="S40"/>
  <c r="L126"/>
  <c r="M118"/>
  <c r="M161"/>
  <c r="H93"/>
  <c r="T107"/>
  <c r="T106"/>
  <c r="S106" s="1"/>
  <c r="T62"/>
  <c r="T61"/>
  <c r="S61" s="1"/>
  <c r="T17"/>
  <c r="T16"/>
  <c r="T152"/>
  <c r="T151"/>
  <c r="S151" s="1"/>
  <c r="H183"/>
  <c r="S105"/>
  <c r="S150"/>
  <c r="S111"/>
  <c r="G664" i="309"/>
  <c r="G910"/>
  <c r="G906"/>
  <c r="G898"/>
  <c r="G818"/>
  <c r="G806"/>
  <c r="C806" s="1"/>
  <c r="G794"/>
  <c r="G790"/>
  <c r="G766"/>
  <c r="G762"/>
  <c r="G694"/>
  <c r="G689"/>
  <c r="G673"/>
  <c r="G668"/>
  <c r="G660"/>
  <c r="G656"/>
  <c r="G644"/>
  <c r="G631"/>
  <c r="G627"/>
  <c r="J926"/>
  <c r="J916"/>
  <c r="J915"/>
  <c r="J914"/>
  <c r="J913"/>
  <c r="J912"/>
  <c r="J911"/>
  <c r="J746"/>
  <c r="J745"/>
  <c r="J696"/>
  <c r="J695"/>
  <c r="J690"/>
  <c r="J669"/>
  <c r="J640"/>
  <c r="J623"/>
  <c r="J570"/>
  <c r="J525"/>
  <c r="J384"/>
  <c r="J239"/>
  <c r="J238"/>
  <c r="J37"/>
  <c r="E384"/>
  <c r="E525"/>
  <c r="E570"/>
  <c r="E623"/>
  <c r="E640"/>
  <c r="E669"/>
  <c r="E690"/>
  <c r="E695"/>
  <c r="E696"/>
  <c r="E745"/>
  <c r="E746"/>
  <c r="E911"/>
  <c r="E912"/>
  <c r="E913"/>
  <c r="E914"/>
  <c r="E915"/>
  <c r="F920"/>
  <c r="L920" s="1"/>
  <c r="C1149"/>
  <c r="C917"/>
  <c r="C918"/>
  <c r="C919"/>
  <c r="C384"/>
  <c r="C525"/>
  <c r="C570"/>
  <c r="C623"/>
  <c r="C640"/>
  <c r="C669"/>
  <c r="C690"/>
  <c r="C695"/>
  <c r="C696"/>
  <c r="C745"/>
  <c r="C746"/>
  <c r="C911"/>
  <c r="C912"/>
  <c r="C913"/>
  <c r="C914"/>
  <c r="C915"/>
  <c r="C916"/>
  <c r="F916" s="1"/>
  <c r="E37"/>
  <c r="E238"/>
  <c r="C37"/>
  <c r="C238"/>
  <c r="K1162"/>
  <c r="H1162"/>
  <c r="K1161"/>
  <c r="H1161"/>
  <c r="K1160"/>
  <c r="H1160"/>
  <c r="J924"/>
  <c r="J919"/>
  <c r="J1149"/>
  <c r="G1148"/>
  <c r="C1148" s="1"/>
  <c r="G1145"/>
  <c r="C1145" s="1"/>
  <c r="G1142"/>
  <c r="C1142" s="1"/>
  <c r="G1139"/>
  <c r="C1139" s="1"/>
  <c r="G1138"/>
  <c r="C1138" s="1"/>
  <c r="G1137"/>
  <c r="C1137" s="1"/>
  <c r="G1136"/>
  <c r="C1136" s="1"/>
  <c r="G1133"/>
  <c r="C1133" s="1"/>
  <c r="G1132"/>
  <c r="C1132" s="1"/>
  <c r="G1131"/>
  <c r="C1131" s="1"/>
  <c r="G1129"/>
  <c r="C1129" s="1"/>
  <c r="G1128"/>
  <c r="C1128" s="1"/>
  <c r="G1127"/>
  <c r="C1127" s="1"/>
  <c r="G1126"/>
  <c r="C1126" s="1"/>
  <c r="G1123"/>
  <c r="C1123" s="1"/>
  <c r="G1122"/>
  <c r="C1122" s="1"/>
  <c r="G1120"/>
  <c r="C1120" s="1"/>
  <c r="G1119"/>
  <c r="C1119" s="1"/>
  <c r="G1118"/>
  <c r="G1115"/>
  <c r="C1115" s="1"/>
  <c r="G1114"/>
  <c r="C1114" s="1"/>
  <c r="G1109"/>
  <c r="C1109" s="1"/>
  <c r="G1107"/>
  <c r="C1107" s="1"/>
  <c r="G1106"/>
  <c r="C1106" s="1"/>
  <c r="G1105"/>
  <c r="C1105" s="1"/>
  <c r="G1104"/>
  <c r="C1104" s="1"/>
  <c r="G1103"/>
  <c r="C1103" s="1"/>
  <c r="G1102"/>
  <c r="C1102" s="1"/>
  <c r="G1101"/>
  <c r="C1101" s="1"/>
  <c r="G1100"/>
  <c r="C1100" s="1"/>
  <c r="G1099"/>
  <c r="C1099" s="1"/>
  <c r="G1098"/>
  <c r="C1098" s="1"/>
  <c r="G1097"/>
  <c r="C1097" s="1"/>
  <c r="G1096"/>
  <c r="C1096" s="1"/>
  <c r="G1095"/>
  <c r="C1095" s="1"/>
  <c r="G1093"/>
  <c r="G1092"/>
  <c r="C1092" s="1"/>
  <c r="G1090"/>
  <c r="C1090" s="1"/>
  <c r="G1086"/>
  <c r="C1086" s="1"/>
  <c r="G1084"/>
  <c r="C1084" s="1"/>
  <c r="G1083"/>
  <c r="C1083" s="1"/>
  <c r="G1081"/>
  <c r="C1081" s="1"/>
  <c r="G1080"/>
  <c r="C1080" s="1"/>
  <c r="G1078"/>
  <c r="G1077"/>
  <c r="C1077" s="1"/>
  <c r="G1076"/>
  <c r="C1076" s="1"/>
  <c r="G1075"/>
  <c r="C1075" s="1"/>
  <c r="G1074"/>
  <c r="G1073"/>
  <c r="C1073" s="1"/>
  <c r="G1072"/>
  <c r="C1072" s="1"/>
  <c r="G1071"/>
  <c r="C1071" s="1"/>
  <c r="G1070"/>
  <c r="C1070" s="1"/>
  <c r="G1069"/>
  <c r="G1068"/>
  <c r="C1068" s="1"/>
  <c r="G1067"/>
  <c r="G1066"/>
  <c r="C1066" s="1"/>
  <c r="G1065"/>
  <c r="G1064"/>
  <c r="G1062"/>
  <c r="G1061"/>
  <c r="C1061" s="1"/>
  <c r="G1060"/>
  <c r="G1059"/>
  <c r="C1059" s="1"/>
  <c r="G1058"/>
  <c r="G1056"/>
  <c r="G1055"/>
  <c r="C1055" s="1"/>
  <c r="G1054"/>
  <c r="G1052"/>
  <c r="C1052" s="1"/>
  <c r="G1051"/>
  <c r="C1051" s="1"/>
  <c r="G1050"/>
  <c r="C1050" s="1"/>
  <c r="G1049"/>
  <c r="C1049" s="1"/>
  <c r="G1048"/>
  <c r="C1048" s="1"/>
  <c r="G1047"/>
  <c r="C1047" s="1"/>
  <c r="G1046"/>
  <c r="C1046" s="1"/>
  <c r="G1045"/>
  <c r="C1045" s="1"/>
  <c r="G1044"/>
  <c r="C1044" s="1"/>
  <c r="G1043"/>
  <c r="C1043" s="1"/>
  <c r="G1042"/>
  <c r="C1042" s="1"/>
  <c r="G1041"/>
  <c r="C1041" s="1"/>
  <c r="G1040"/>
  <c r="C1040" s="1"/>
  <c r="G1039"/>
  <c r="C1039" s="1"/>
  <c r="G1038"/>
  <c r="C1038" s="1"/>
  <c r="G1037"/>
  <c r="C1037" s="1"/>
  <c r="G1036"/>
  <c r="C1036" s="1"/>
  <c r="G1035"/>
  <c r="C1035" s="1"/>
  <c r="G1034"/>
  <c r="C1034" s="1"/>
  <c r="G1033"/>
  <c r="C1033" s="1"/>
  <c r="G1032"/>
  <c r="C1032" s="1"/>
  <c r="G1031"/>
  <c r="C1031" s="1"/>
  <c r="G1030"/>
  <c r="C1030" s="1"/>
  <c r="G1029"/>
  <c r="C1029" s="1"/>
  <c r="G1028"/>
  <c r="C1028" s="1"/>
  <c r="G1027"/>
  <c r="C1027" s="1"/>
  <c r="G1026"/>
  <c r="C1026" s="1"/>
  <c r="G1025"/>
  <c r="C1025" s="1"/>
  <c r="G1024"/>
  <c r="C1024" s="1"/>
  <c r="G1023"/>
  <c r="C1023" s="1"/>
  <c r="G1022"/>
  <c r="C1022" s="1"/>
  <c r="G1021"/>
  <c r="C1021" s="1"/>
  <c r="G1020"/>
  <c r="C1020" s="1"/>
  <c r="G1019"/>
  <c r="C1019" s="1"/>
  <c r="G1017"/>
  <c r="C1017" s="1"/>
  <c r="G1016"/>
  <c r="C1016" s="1"/>
  <c r="G1015"/>
  <c r="C1015" s="1"/>
  <c r="G1014"/>
  <c r="C1014" s="1"/>
  <c r="G1013"/>
  <c r="C1013" s="1"/>
  <c r="G1012"/>
  <c r="C1012" s="1"/>
  <c r="G1011"/>
  <c r="C1011" s="1"/>
  <c r="G1010"/>
  <c r="C1010" s="1"/>
  <c r="G1009"/>
  <c r="C1009" s="1"/>
  <c r="G1008"/>
  <c r="C1008" s="1"/>
  <c r="G1007"/>
  <c r="C1007" s="1"/>
  <c r="G1006"/>
  <c r="C1006" s="1"/>
  <c r="G1005"/>
  <c r="C1005" s="1"/>
  <c r="G1004"/>
  <c r="C1004" s="1"/>
  <c r="G1003"/>
  <c r="C1003" s="1"/>
  <c r="G1002"/>
  <c r="C1002" s="1"/>
  <c r="G1001"/>
  <c r="C1001" s="1"/>
  <c r="G1000"/>
  <c r="C1000" s="1"/>
  <c r="G999"/>
  <c r="C999" s="1"/>
  <c r="G998"/>
  <c r="C998" s="1"/>
  <c r="G997"/>
  <c r="C997" s="1"/>
  <c r="G996"/>
  <c r="C996" s="1"/>
  <c r="G995"/>
  <c r="C995" s="1"/>
  <c r="G994"/>
  <c r="C994" s="1"/>
  <c r="G993"/>
  <c r="C993" s="1"/>
  <c r="G992"/>
  <c r="C992" s="1"/>
  <c r="G991"/>
  <c r="C991" s="1"/>
  <c r="G990"/>
  <c r="C990" s="1"/>
  <c r="G989"/>
  <c r="C989" s="1"/>
  <c r="G988"/>
  <c r="C988" s="1"/>
  <c r="G987"/>
  <c r="C987" s="1"/>
  <c r="G986"/>
  <c r="C986" s="1"/>
  <c r="G985"/>
  <c r="C985" s="1"/>
  <c r="G984"/>
  <c r="C984" s="1"/>
  <c r="G983"/>
  <c r="C983" s="1"/>
  <c r="G979"/>
  <c r="C979" s="1"/>
  <c r="G978"/>
  <c r="C978" s="1"/>
  <c r="G977"/>
  <c r="C977" s="1"/>
  <c r="G976"/>
  <c r="C976" s="1"/>
  <c r="G975"/>
  <c r="C975" s="1"/>
  <c r="G974"/>
  <c r="C974" s="1"/>
  <c r="G973"/>
  <c r="C973" s="1"/>
  <c r="G972"/>
  <c r="C972" s="1"/>
  <c r="G971"/>
  <c r="C971" s="1"/>
  <c r="G970"/>
  <c r="C970" s="1"/>
  <c r="G969"/>
  <c r="C969" s="1"/>
  <c r="G966"/>
  <c r="C966" s="1"/>
  <c r="G965"/>
  <c r="C965" s="1"/>
  <c r="G964"/>
  <c r="C964" s="1"/>
  <c r="G963"/>
  <c r="C963" s="1"/>
  <c r="G962"/>
  <c r="C962" s="1"/>
  <c r="G961"/>
  <c r="C961" s="1"/>
  <c r="G960"/>
  <c r="C960" s="1"/>
  <c r="G958"/>
  <c r="C958" s="1"/>
  <c r="G957"/>
  <c r="C957" s="1"/>
  <c r="G955"/>
  <c r="C955" s="1"/>
  <c r="G954"/>
  <c r="C954" s="1"/>
  <c r="G953"/>
  <c r="C953" s="1"/>
  <c r="G952"/>
  <c r="C952" s="1"/>
  <c r="G951"/>
  <c r="C951" s="1"/>
  <c r="G950"/>
  <c r="C950" s="1"/>
  <c r="G949"/>
  <c r="C949" s="1"/>
  <c r="G948"/>
  <c r="C948" s="1"/>
  <c r="G947"/>
  <c r="C947" s="1"/>
  <c r="G946"/>
  <c r="C946" s="1"/>
  <c r="G945"/>
  <c r="C945" s="1"/>
  <c r="G944"/>
  <c r="C944" s="1"/>
  <c r="G943"/>
  <c r="C943" s="1"/>
  <c r="G942"/>
  <c r="C942" s="1"/>
  <c r="G941"/>
  <c r="C941" s="1"/>
  <c r="G940"/>
  <c r="C940" s="1"/>
  <c r="G939"/>
  <c r="C939" s="1"/>
  <c r="G938"/>
  <c r="C938" s="1"/>
  <c r="G937"/>
  <c r="C937" s="1"/>
  <c r="G936"/>
  <c r="C936" s="1"/>
  <c r="G935"/>
  <c r="C935" s="1"/>
  <c r="G934"/>
  <c r="C934" s="1"/>
  <c r="G933"/>
  <c r="C933" s="1"/>
  <c r="G932"/>
  <c r="C932" s="1"/>
  <c r="G931"/>
  <c r="C931" s="1"/>
  <c r="G930"/>
  <c r="C930" s="1"/>
  <c r="G929"/>
  <c r="C929" s="1"/>
  <c r="G927"/>
  <c r="C927" s="1"/>
  <c r="G909"/>
  <c r="G908"/>
  <c r="G907"/>
  <c r="G905"/>
  <c r="G904"/>
  <c r="G903"/>
  <c r="G902"/>
  <c r="G901"/>
  <c r="G900"/>
  <c r="G899"/>
  <c r="G897"/>
  <c r="G896"/>
  <c r="G895"/>
  <c r="G894"/>
  <c r="G893"/>
  <c r="G892"/>
  <c r="G891"/>
  <c r="G890"/>
  <c r="G889"/>
  <c r="G888"/>
  <c r="G887"/>
  <c r="G885"/>
  <c r="G884"/>
  <c r="G883"/>
  <c r="G882"/>
  <c r="G881"/>
  <c r="G880"/>
  <c r="G879"/>
  <c r="G878"/>
  <c r="G877"/>
  <c r="G876"/>
  <c r="G875"/>
  <c r="G874"/>
  <c r="G873"/>
  <c r="G872"/>
  <c r="G871"/>
  <c r="G870"/>
  <c r="C870" s="1"/>
  <c r="G869"/>
  <c r="G868"/>
  <c r="C868" s="1"/>
  <c r="G867"/>
  <c r="G866"/>
  <c r="C866" s="1"/>
  <c r="G865"/>
  <c r="G864"/>
  <c r="C864" s="1"/>
  <c r="G863"/>
  <c r="G861"/>
  <c r="G860"/>
  <c r="C860" s="1"/>
  <c r="G859"/>
  <c r="G857"/>
  <c r="G856"/>
  <c r="C856" s="1"/>
  <c r="G855"/>
  <c r="G854"/>
  <c r="C854" s="1"/>
  <c r="G853"/>
  <c r="G852"/>
  <c r="C852" s="1"/>
  <c r="G851"/>
  <c r="G850"/>
  <c r="C850" s="1"/>
  <c r="G849"/>
  <c r="G848"/>
  <c r="C848" s="1"/>
  <c r="G847"/>
  <c r="G846"/>
  <c r="C846" s="1"/>
  <c r="G845"/>
  <c r="G844"/>
  <c r="C844" s="1"/>
  <c r="G843"/>
  <c r="G841"/>
  <c r="G840"/>
  <c r="C840" s="1"/>
  <c r="G839"/>
  <c r="G838"/>
  <c r="C838" s="1"/>
  <c r="G837"/>
  <c r="G836"/>
  <c r="C836" s="1"/>
  <c r="G835"/>
  <c r="G834"/>
  <c r="C834" s="1"/>
  <c r="G833"/>
  <c r="G832"/>
  <c r="C832" s="1"/>
  <c r="G831"/>
  <c r="G830"/>
  <c r="G829"/>
  <c r="G828"/>
  <c r="G827"/>
  <c r="G826"/>
  <c r="G825"/>
  <c r="G824"/>
  <c r="G823"/>
  <c r="G821"/>
  <c r="G820"/>
  <c r="G819"/>
  <c r="G817"/>
  <c r="G816"/>
  <c r="G815"/>
  <c r="G814"/>
  <c r="G813"/>
  <c r="G812"/>
  <c r="G811"/>
  <c r="G810"/>
  <c r="G809"/>
  <c r="G808"/>
  <c r="G807"/>
  <c r="G805"/>
  <c r="G804"/>
  <c r="G803"/>
  <c r="G802"/>
  <c r="G801"/>
  <c r="G800"/>
  <c r="G799"/>
  <c r="G798"/>
  <c r="G797"/>
  <c r="G796"/>
  <c r="G795"/>
  <c r="G793"/>
  <c r="G792"/>
  <c r="G791"/>
  <c r="G789"/>
  <c r="G788"/>
  <c r="G787"/>
  <c r="G786"/>
  <c r="G785"/>
  <c r="G784"/>
  <c r="G783"/>
  <c r="G782"/>
  <c r="G781"/>
  <c r="G780"/>
  <c r="G779"/>
  <c r="G778"/>
  <c r="G777"/>
  <c r="G776"/>
  <c r="G775"/>
  <c r="G774"/>
  <c r="G773"/>
  <c r="G772"/>
  <c r="G771"/>
  <c r="G770"/>
  <c r="G769"/>
  <c r="G768"/>
  <c r="G767"/>
  <c r="G765"/>
  <c r="G764"/>
  <c r="G763"/>
  <c r="G761"/>
  <c r="G760"/>
  <c r="G759"/>
  <c r="G758"/>
  <c r="G757"/>
  <c r="G756"/>
  <c r="G755"/>
  <c r="G753"/>
  <c r="G752"/>
  <c r="G751"/>
  <c r="G750"/>
  <c r="G749"/>
  <c r="G748"/>
  <c r="G744"/>
  <c r="G743"/>
  <c r="G740"/>
  <c r="G739"/>
  <c r="G736"/>
  <c r="G735"/>
  <c r="G732"/>
  <c r="G731"/>
  <c r="G728"/>
  <c r="G727"/>
  <c r="G724"/>
  <c r="G723"/>
  <c r="G720"/>
  <c r="G719"/>
  <c r="G716"/>
  <c r="G715"/>
  <c r="G712"/>
  <c r="G711"/>
  <c r="G708"/>
  <c r="G707"/>
  <c r="G706"/>
  <c r="G705"/>
  <c r="G704"/>
  <c r="G703"/>
  <c r="G700"/>
  <c r="G699"/>
  <c r="G693"/>
  <c r="G692"/>
  <c r="G691"/>
  <c r="G688"/>
  <c r="G687"/>
  <c r="G686"/>
  <c r="G685"/>
  <c r="G684"/>
  <c r="G683"/>
  <c r="G682"/>
  <c r="G681"/>
  <c r="G680"/>
  <c r="G679"/>
  <c r="G678"/>
  <c r="G677"/>
  <c r="G676"/>
  <c r="G675"/>
  <c r="G674"/>
  <c r="G672"/>
  <c r="G671"/>
  <c r="G670"/>
  <c r="G667"/>
  <c r="G666"/>
  <c r="G665"/>
  <c r="G663"/>
  <c r="G662"/>
  <c r="G661"/>
  <c r="G659"/>
  <c r="G658"/>
  <c r="G657"/>
  <c r="G655"/>
  <c r="G654"/>
  <c r="G653"/>
  <c r="G652"/>
  <c r="G651"/>
  <c r="G650"/>
  <c r="G649"/>
  <c r="G648"/>
  <c r="G647"/>
  <c r="G646"/>
  <c r="G645"/>
  <c r="G643"/>
  <c r="G642"/>
  <c r="G641"/>
  <c r="G639"/>
  <c r="G638"/>
  <c r="G637"/>
  <c r="G636"/>
  <c r="G635"/>
  <c r="G634"/>
  <c r="G633"/>
  <c r="G632"/>
  <c r="G630"/>
  <c r="G629"/>
  <c r="G628"/>
  <c r="G626"/>
  <c r="G625"/>
  <c r="G624"/>
  <c r="G622"/>
  <c r="G621"/>
  <c r="G620"/>
  <c r="G619"/>
  <c r="G618"/>
  <c r="G617"/>
  <c r="G616"/>
  <c r="G615"/>
  <c r="G614"/>
  <c r="G613"/>
  <c r="G612"/>
  <c r="G611"/>
  <c r="G609"/>
  <c r="G608"/>
  <c r="G607"/>
  <c r="G606"/>
  <c r="G605"/>
  <c r="G604"/>
  <c r="G603"/>
  <c r="G602"/>
  <c r="G601"/>
  <c r="G600"/>
  <c r="G599"/>
  <c r="G597"/>
  <c r="G596"/>
  <c r="G594"/>
  <c r="G593"/>
  <c r="G592"/>
  <c r="G591"/>
  <c r="G590"/>
  <c r="G589"/>
  <c r="G588"/>
  <c r="G587"/>
  <c r="G586"/>
  <c r="G585"/>
  <c r="G584"/>
  <c r="G583"/>
  <c r="G582"/>
  <c r="G581"/>
  <c r="G580"/>
  <c r="G579"/>
  <c r="G578"/>
  <c r="G577"/>
  <c r="G576"/>
  <c r="G575"/>
  <c r="G573"/>
  <c r="G572"/>
  <c r="G571"/>
  <c r="G569"/>
  <c r="G568"/>
  <c r="G567"/>
  <c r="G566"/>
  <c r="G565"/>
  <c r="G564"/>
  <c r="G563"/>
  <c r="G562"/>
  <c r="G561"/>
  <c r="G560"/>
  <c r="G559"/>
  <c r="G558"/>
  <c r="G557"/>
  <c r="G556"/>
  <c r="G555"/>
  <c r="G554"/>
  <c r="G553"/>
  <c r="G552"/>
  <c r="G551"/>
  <c r="G550"/>
  <c r="G548"/>
  <c r="G547"/>
  <c r="G546"/>
  <c r="G545"/>
  <c r="G544"/>
  <c r="G543"/>
  <c r="G542"/>
  <c r="G541"/>
  <c r="G540"/>
  <c r="G539"/>
  <c r="G538"/>
  <c r="G537"/>
  <c r="G536"/>
  <c r="G535"/>
  <c r="G534"/>
  <c r="G533"/>
  <c r="G532"/>
  <c r="G531"/>
  <c r="G530"/>
  <c r="G528"/>
  <c r="G527"/>
  <c r="G526"/>
  <c r="G522"/>
  <c r="C522" s="1"/>
  <c r="G519"/>
  <c r="C519" s="1"/>
  <c r="G518"/>
  <c r="C518" s="1"/>
  <c r="G517"/>
  <c r="C517" s="1"/>
  <c r="G515"/>
  <c r="C515" s="1"/>
  <c r="G514"/>
  <c r="C514" s="1"/>
  <c r="G513"/>
  <c r="C513" s="1"/>
  <c r="G512"/>
  <c r="C512" s="1"/>
  <c r="G511"/>
  <c r="C511" s="1"/>
  <c r="G510"/>
  <c r="C510" s="1"/>
  <c r="G508"/>
  <c r="C508" s="1"/>
  <c r="G507"/>
  <c r="C507" s="1"/>
  <c r="G506"/>
  <c r="C506" s="1"/>
  <c r="G505"/>
  <c r="C505" s="1"/>
  <c r="G504"/>
  <c r="C504" s="1"/>
  <c r="G503"/>
  <c r="C503" s="1"/>
  <c r="G502"/>
  <c r="C502" s="1"/>
  <c r="G501"/>
  <c r="C501" s="1"/>
  <c r="G500"/>
  <c r="C500" s="1"/>
  <c r="G499"/>
  <c r="C499" s="1"/>
  <c r="G498"/>
  <c r="C498" s="1"/>
  <c r="G497"/>
  <c r="C497" s="1"/>
  <c r="G496"/>
  <c r="C496" s="1"/>
  <c r="G495"/>
  <c r="C495" s="1"/>
  <c r="G494"/>
  <c r="C494" s="1"/>
  <c r="G493"/>
  <c r="C493" s="1"/>
  <c r="G492"/>
  <c r="C492" s="1"/>
  <c r="G491"/>
  <c r="C491" s="1"/>
  <c r="G490"/>
  <c r="C490" s="1"/>
  <c r="G489"/>
  <c r="C489" s="1"/>
  <c r="G488"/>
  <c r="C488" s="1"/>
  <c r="G487"/>
  <c r="C487" s="1"/>
  <c r="G486"/>
  <c r="C486" s="1"/>
  <c r="G485"/>
  <c r="C485" s="1"/>
  <c r="G484"/>
  <c r="C484" s="1"/>
  <c r="G483"/>
  <c r="C483" s="1"/>
  <c r="G482"/>
  <c r="C482" s="1"/>
  <c r="G481"/>
  <c r="C481" s="1"/>
  <c r="G480"/>
  <c r="C480" s="1"/>
  <c r="G479"/>
  <c r="C479" s="1"/>
  <c r="G478"/>
  <c r="C478" s="1"/>
  <c r="G477"/>
  <c r="C477" s="1"/>
  <c r="G476"/>
  <c r="C476" s="1"/>
  <c r="G475"/>
  <c r="C475" s="1"/>
  <c r="G474"/>
  <c r="C474" s="1"/>
  <c r="G473"/>
  <c r="C473" s="1"/>
  <c r="G472"/>
  <c r="C472" s="1"/>
  <c r="G471"/>
  <c r="C471" s="1"/>
  <c r="G470"/>
  <c r="C470" s="1"/>
  <c r="G469"/>
  <c r="C469" s="1"/>
  <c r="G468"/>
  <c r="C468" s="1"/>
  <c r="G467"/>
  <c r="C467" s="1"/>
  <c r="G466"/>
  <c r="C466" s="1"/>
  <c r="G465"/>
  <c r="C465" s="1"/>
  <c r="G464"/>
  <c r="C464" s="1"/>
  <c r="G463"/>
  <c r="C463" s="1"/>
  <c r="G462"/>
  <c r="C462" s="1"/>
  <c r="G460"/>
  <c r="C460" s="1"/>
  <c r="G459"/>
  <c r="C459" s="1"/>
  <c r="G458"/>
  <c r="C458" s="1"/>
  <c r="G456"/>
  <c r="C456" s="1"/>
  <c r="G455"/>
  <c r="C455" s="1"/>
  <c r="G454"/>
  <c r="C454" s="1"/>
  <c r="G453"/>
  <c r="C453" s="1"/>
  <c r="G452"/>
  <c r="C452" s="1"/>
  <c r="G451"/>
  <c r="C451" s="1"/>
  <c r="G450"/>
  <c r="C450" s="1"/>
  <c r="G449"/>
  <c r="C449" s="1"/>
  <c r="G448"/>
  <c r="C448" s="1"/>
  <c r="G447"/>
  <c r="C447" s="1"/>
  <c r="G446"/>
  <c r="C446" s="1"/>
  <c r="G444"/>
  <c r="C444" s="1"/>
  <c r="G443"/>
  <c r="C443" s="1"/>
  <c r="G442"/>
  <c r="C442" s="1"/>
  <c r="G441"/>
  <c r="C441" s="1"/>
  <c r="G440"/>
  <c r="C440" s="1"/>
  <c r="G439"/>
  <c r="C439" s="1"/>
  <c r="G438"/>
  <c r="C438" s="1"/>
  <c r="G436"/>
  <c r="C436" s="1"/>
  <c r="G435"/>
  <c r="C435" s="1"/>
  <c r="G434"/>
  <c r="C434" s="1"/>
  <c r="G433"/>
  <c r="C433" s="1"/>
  <c r="G432"/>
  <c r="C432" s="1"/>
  <c r="G431"/>
  <c r="C431" s="1"/>
  <c r="G430"/>
  <c r="C430" s="1"/>
  <c r="G428"/>
  <c r="C428" s="1"/>
  <c r="G427"/>
  <c r="C427" s="1"/>
  <c r="G426"/>
  <c r="C426" s="1"/>
  <c r="G425"/>
  <c r="C425" s="1"/>
  <c r="G424"/>
  <c r="C424" s="1"/>
  <c r="G423"/>
  <c r="C423" s="1"/>
  <c r="G422"/>
  <c r="C422" s="1"/>
  <c r="G421"/>
  <c r="C421" s="1"/>
  <c r="G420"/>
  <c r="C420" s="1"/>
  <c r="G419"/>
  <c r="C419" s="1"/>
  <c r="G418"/>
  <c r="C418" s="1"/>
  <c r="G417"/>
  <c r="C417" s="1"/>
  <c r="G416"/>
  <c r="C416" s="1"/>
  <c r="G415"/>
  <c r="C415" s="1"/>
  <c r="G414"/>
  <c r="C414" s="1"/>
  <c r="G413"/>
  <c r="C413" s="1"/>
  <c r="G412"/>
  <c r="C412" s="1"/>
  <c r="G411"/>
  <c r="C411" s="1"/>
  <c r="G410"/>
  <c r="C410" s="1"/>
  <c r="G409"/>
  <c r="C409" s="1"/>
  <c r="G408"/>
  <c r="C408" s="1"/>
  <c r="G407"/>
  <c r="C407" s="1"/>
  <c r="G406"/>
  <c r="C406" s="1"/>
  <c r="G405"/>
  <c r="C405" s="1"/>
  <c r="G404"/>
  <c r="C404" s="1"/>
  <c r="G403"/>
  <c r="C403" s="1"/>
  <c r="G402"/>
  <c r="C402" s="1"/>
  <c r="G401"/>
  <c r="C401" s="1"/>
  <c r="G400"/>
  <c r="C400" s="1"/>
  <c r="G399"/>
  <c r="C399" s="1"/>
  <c r="G398"/>
  <c r="C398" s="1"/>
  <c r="G396"/>
  <c r="C396" s="1"/>
  <c r="G395"/>
  <c r="C395" s="1"/>
  <c r="G394"/>
  <c r="C394" s="1"/>
  <c r="G393"/>
  <c r="C393" s="1"/>
  <c r="G392"/>
  <c r="C392" s="1"/>
  <c r="G391"/>
  <c r="C391" s="1"/>
  <c r="G390"/>
  <c r="C390" s="1"/>
  <c r="G388"/>
  <c r="C388" s="1"/>
  <c r="G387"/>
  <c r="C387" s="1"/>
  <c r="G386"/>
  <c r="C386" s="1"/>
  <c r="G381"/>
  <c r="C381" s="1"/>
  <c r="G378"/>
  <c r="C378" s="1"/>
  <c r="G377"/>
  <c r="C377" s="1"/>
  <c r="G376"/>
  <c r="C376" s="1"/>
  <c r="G374"/>
  <c r="C374" s="1"/>
  <c r="G373"/>
  <c r="C373" s="1"/>
  <c r="G372"/>
  <c r="C372" s="1"/>
  <c r="G371"/>
  <c r="C371" s="1"/>
  <c r="G370"/>
  <c r="C370" s="1"/>
  <c r="G369"/>
  <c r="C369" s="1"/>
  <c r="G367"/>
  <c r="C367" s="1"/>
  <c r="G366"/>
  <c r="C366" s="1"/>
  <c r="G365"/>
  <c r="C365" s="1"/>
  <c r="G364"/>
  <c r="C364" s="1"/>
  <c r="G363"/>
  <c r="C363" s="1"/>
  <c r="G362"/>
  <c r="C362" s="1"/>
  <c r="G361"/>
  <c r="C361" s="1"/>
  <c r="G360"/>
  <c r="C360" s="1"/>
  <c r="G359"/>
  <c r="C359" s="1"/>
  <c r="G358"/>
  <c r="C358" s="1"/>
  <c r="G357"/>
  <c r="C357" s="1"/>
  <c r="G356"/>
  <c r="C356" s="1"/>
  <c r="G355"/>
  <c r="C355" s="1"/>
  <c r="G354"/>
  <c r="C354" s="1"/>
  <c r="G353"/>
  <c r="C353" s="1"/>
  <c r="G352"/>
  <c r="C352" s="1"/>
  <c r="G351"/>
  <c r="C351" s="1"/>
  <c r="G350"/>
  <c r="C350" s="1"/>
  <c r="G349"/>
  <c r="C349" s="1"/>
  <c r="G348"/>
  <c r="C348" s="1"/>
  <c r="G347"/>
  <c r="C347" s="1"/>
  <c r="G346"/>
  <c r="C346" s="1"/>
  <c r="G345"/>
  <c r="C345" s="1"/>
  <c r="G344"/>
  <c r="C344" s="1"/>
  <c r="G342"/>
  <c r="C342" s="1"/>
  <c r="G341"/>
  <c r="C341" s="1"/>
  <c r="G340"/>
  <c r="C340" s="1"/>
  <c r="G338"/>
  <c r="C338" s="1"/>
  <c r="G337"/>
  <c r="C337" s="1"/>
  <c r="G336"/>
  <c r="C336" s="1"/>
  <c r="G335"/>
  <c r="C335" s="1"/>
  <c r="G334"/>
  <c r="C334" s="1"/>
  <c r="G333"/>
  <c r="C333" s="1"/>
  <c r="G332"/>
  <c r="C332" s="1"/>
  <c r="G331"/>
  <c r="C331" s="1"/>
  <c r="G330"/>
  <c r="C330" s="1"/>
  <c r="G329"/>
  <c r="C329" s="1"/>
  <c r="G328"/>
  <c r="C328" s="1"/>
  <c r="G327"/>
  <c r="C327" s="1"/>
  <c r="G326"/>
  <c r="C326" s="1"/>
  <c r="G325"/>
  <c r="C325" s="1"/>
  <c r="G324"/>
  <c r="C324" s="1"/>
  <c r="G323"/>
  <c r="C323" s="1"/>
  <c r="G322"/>
  <c r="C322" s="1"/>
  <c r="G321"/>
  <c r="C321" s="1"/>
  <c r="G319"/>
  <c r="C319" s="1"/>
  <c r="G318"/>
  <c r="C318" s="1"/>
  <c r="G317"/>
  <c r="C317" s="1"/>
  <c r="G315"/>
  <c r="C315" s="1"/>
  <c r="G314"/>
  <c r="C314" s="1"/>
  <c r="G313"/>
  <c r="C313" s="1"/>
  <c r="G312"/>
  <c r="C312" s="1"/>
  <c r="G311"/>
  <c r="C311" s="1"/>
  <c r="G310"/>
  <c r="C310" s="1"/>
  <c r="G309"/>
  <c r="C309" s="1"/>
  <c r="G308"/>
  <c r="C308" s="1"/>
  <c r="G307"/>
  <c r="C307" s="1"/>
  <c r="G306"/>
  <c r="C306" s="1"/>
  <c r="G305"/>
  <c r="C305" s="1"/>
  <c r="G303"/>
  <c r="C303" s="1"/>
  <c r="G302"/>
  <c r="C302" s="1"/>
  <c r="G301"/>
  <c r="C301" s="1"/>
  <c r="G300"/>
  <c r="C300" s="1"/>
  <c r="G299"/>
  <c r="C299" s="1"/>
  <c r="G298"/>
  <c r="C298" s="1"/>
  <c r="G297"/>
  <c r="C297" s="1"/>
  <c r="G296"/>
  <c r="C296" s="1"/>
  <c r="G295"/>
  <c r="C295" s="1"/>
  <c r="G294"/>
  <c r="C294" s="1"/>
  <c r="G293"/>
  <c r="C293" s="1"/>
  <c r="G291"/>
  <c r="C291" s="1"/>
  <c r="G290"/>
  <c r="C290" s="1"/>
  <c r="G289"/>
  <c r="C289" s="1"/>
  <c r="G288"/>
  <c r="C288" s="1"/>
  <c r="G287"/>
  <c r="C287" s="1"/>
  <c r="G286"/>
  <c r="C286" s="1"/>
  <c r="G285"/>
  <c r="C285" s="1"/>
  <c r="G283"/>
  <c r="C283" s="1"/>
  <c r="G282"/>
  <c r="C282" s="1"/>
  <c r="G281"/>
  <c r="C281" s="1"/>
  <c r="G280"/>
  <c r="C280" s="1"/>
  <c r="G279"/>
  <c r="C279" s="1"/>
  <c r="G278"/>
  <c r="C278" s="1"/>
  <c r="G277"/>
  <c r="C277" s="1"/>
  <c r="G276"/>
  <c r="C276" s="1"/>
  <c r="G275"/>
  <c r="C275" s="1"/>
  <c r="G274"/>
  <c r="C274" s="1"/>
  <c r="G273"/>
  <c r="C273" s="1"/>
  <c r="G271"/>
  <c r="C271" s="1"/>
  <c r="G270"/>
  <c r="C270" s="1"/>
  <c r="G269"/>
  <c r="C269" s="1"/>
  <c r="G267"/>
  <c r="C267" s="1"/>
  <c r="G266"/>
  <c r="C266" s="1"/>
  <c r="G265"/>
  <c r="C265" s="1"/>
  <c r="G264"/>
  <c r="C264" s="1"/>
  <c r="G263"/>
  <c r="C263" s="1"/>
  <c r="G262"/>
  <c r="C262" s="1"/>
  <c r="G261"/>
  <c r="C261" s="1"/>
  <c r="G260"/>
  <c r="C260" s="1"/>
  <c r="G259"/>
  <c r="C259" s="1"/>
  <c r="G258"/>
  <c r="C258" s="1"/>
  <c r="G257"/>
  <c r="C257" s="1"/>
  <c r="G255"/>
  <c r="C255" s="1"/>
  <c r="G254"/>
  <c r="C254" s="1"/>
  <c r="G253"/>
  <c r="C253" s="1"/>
  <c r="G252"/>
  <c r="C252" s="1"/>
  <c r="G251"/>
  <c r="C251" s="1"/>
  <c r="G250"/>
  <c r="C250" s="1"/>
  <c r="G249"/>
  <c r="C249" s="1"/>
  <c r="G247"/>
  <c r="C247" s="1"/>
  <c r="G246"/>
  <c r="C246" s="1"/>
  <c r="G245"/>
  <c r="C245" s="1"/>
  <c r="G243"/>
  <c r="C243" s="1"/>
  <c r="G242"/>
  <c r="C242" s="1"/>
  <c r="G241"/>
  <c r="C241" s="1"/>
  <c r="G232"/>
  <c r="C232" s="1"/>
  <c r="G231"/>
  <c r="C231" s="1"/>
  <c r="G230"/>
  <c r="C230" s="1"/>
  <c r="G229"/>
  <c r="C229" s="1"/>
  <c r="G228"/>
  <c r="C228" s="1"/>
  <c r="G227"/>
  <c r="C227" s="1"/>
  <c r="G226"/>
  <c r="C226" s="1"/>
  <c r="G225"/>
  <c r="C225" s="1"/>
  <c r="G224"/>
  <c r="C224" s="1"/>
  <c r="G223"/>
  <c r="C223" s="1"/>
  <c r="G222"/>
  <c r="C222" s="1"/>
  <c r="G221"/>
  <c r="C221" s="1"/>
  <c r="G220"/>
  <c r="C220" s="1"/>
  <c r="G219"/>
  <c r="C219" s="1"/>
  <c r="G218"/>
  <c r="C218" s="1"/>
  <c r="G216"/>
  <c r="C216" s="1"/>
  <c r="G215"/>
  <c r="C215" s="1"/>
  <c r="G214"/>
  <c r="C214" s="1"/>
  <c r="G212"/>
  <c r="C212" s="1"/>
  <c r="G211"/>
  <c r="C211" s="1"/>
  <c r="G210"/>
  <c r="C210" s="1"/>
  <c r="G209"/>
  <c r="C209" s="1"/>
  <c r="G208"/>
  <c r="C208" s="1"/>
  <c r="G207"/>
  <c r="C207" s="1"/>
  <c r="G206"/>
  <c r="C206" s="1"/>
  <c r="G204"/>
  <c r="C204" s="1"/>
  <c r="G203"/>
  <c r="C203" s="1"/>
  <c r="G202"/>
  <c r="C202" s="1"/>
  <c r="G200"/>
  <c r="C200" s="1"/>
  <c r="G199"/>
  <c r="C199" s="1"/>
  <c r="G198"/>
  <c r="C198" s="1"/>
  <c r="G197"/>
  <c r="C197" s="1"/>
  <c r="G196"/>
  <c r="C196" s="1"/>
  <c r="G195"/>
  <c r="C195" s="1"/>
  <c r="G193"/>
  <c r="C193" s="1"/>
  <c r="G192"/>
  <c r="C192" s="1"/>
  <c r="G191"/>
  <c r="C191" s="1"/>
  <c r="G190"/>
  <c r="C190" s="1"/>
  <c r="G189"/>
  <c r="C189" s="1"/>
  <c r="G188"/>
  <c r="C188" s="1"/>
  <c r="G187"/>
  <c r="C187" s="1"/>
  <c r="G186"/>
  <c r="C186" s="1"/>
  <c r="G185"/>
  <c r="C185" s="1"/>
  <c r="G184"/>
  <c r="C184" s="1"/>
  <c r="G183"/>
  <c r="C183" s="1"/>
  <c r="G182"/>
  <c r="C182" s="1"/>
  <c r="G181"/>
  <c r="C181" s="1"/>
  <c r="G180"/>
  <c r="C180" s="1"/>
  <c r="G179"/>
  <c r="C179" s="1"/>
  <c r="G178"/>
  <c r="C178" s="1"/>
  <c r="G177"/>
  <c r="C177" s="1"/>
  <c r="G176"/>
  <c r="C176" s="1"/>
  <c r="G175"/>
  <c r="C175" s="1"/>
  <c r="G174"/>
  <c r="C174" s="1"/>
  <c r="G173"/>
  <c r="C173" s="1"/>
  <c r="G172"/>
  <c r="C172" s="1"/>
  <c r="G171"/>
  <c r="C171" s="1"/>
  <c r="G170"/>
  <c r="C170" s="1"/>
  <c r="G169"/>
  <c r="C169" s="1"/>
  <c r="G168"/>
  <c r="C168" s="1"/>
  <c r="G166"/>
  <c r="C166" s="1"/>
  <c r="G165"/>
  <c r="C165" s="1"/>
  <c r="G164"/>
  <c r="C164" s="1"/>
  <c r="G162"/>
  <c r="C162" s="1"/>
  <c r="G160"/>
  <c r="C160" s="1"/>
  <c r="G159"/>
  <c r="C159" s="1"/>
  <c r="G158"/>
  <c r="C158" s="1"/>
  <c r="G156"/>
  <c r="C156" s="1"/>
  <c r="G155"/>
  <c r="C155" s="1"/>
  <c r="G154"/>
  <c r="C154" s="1"/>
  <c r="G153"/>
  <c r="C153" s="1"/>
  <c r="G152"/>
  <c r="C152" s="1"/>
  <c r="G150"/>
  <c r="C150" s="1"/>
  <c r="G149"/>
  <c r="C149" s="1"/>
  <c r="G148"/>
  <c r="C148" s="1"/>
  <c r="G146"/>
  <c r="C146" s="1"/>
  <c r="G145"/>
  <c r="C145" s="1"/>
  <c r="G144"/>
  <c r="C144" s="1"/>
  <c r="G141"/>
  <c r="C141" s="1"/>
  <c r="G140"/>
  <c r="C140" s="1"/>
  <c r="G137"/>
  <c r="C137" s="1"/>
  <c r="G136"/>
  <c r="C136" s="1"/>
  <c r="G135"/>
  <c r="C135" s="1"/>
  <c r="G133"/>
  <c r="C133" s="1"/>
  <c r="G132"/>
  <c r="C132" s="1"/>
  <c r="G131"/>
  <c r="C131" s="1"/>
  <c r="G130"/>
  <c r="C130" s="1"/>
  <c r="G129"/>
  <c r="C129" s="1"/>
  <c r="G128"/>
  <c r="C128" s="1"/>
  <c r="G125"/>
  <c r="C125" s="1"/>
  <c r="G124"/>
  <c r="C124" s="1"/>
  <c r="G123"/>
  <c r="C123" s="1"/>
  <c r="G122"/>
  <c r="C122" s="1"/>
  <c r="G121"/>
  <c r="C121" s="1"/>
  <c r="G120"/>
  <c r="C120" s="1"/>
  <c r="G119"/>
  <c r="C119" s="1"/>
  <c r="G118"/>
  <c r="C118" s="1"/>
  <c r="G116"/>
  <c r="C116" s="1"/>
  <c r="G112"/>
  <c r="C112" s="1"/>
  <c r="G109"/>
  <c r="C109" s="1"/>
  <c r="G108"/>
  <c r="C108" s="1"/>
  <c r="G107"/>
  <c r="C107" s="1"/>
  <c r="G105"/>
  <c r="C105" s="1"/>
  <c r="G104"/>
  <c r="C104" s="1"/>
  <c r="G103"/>
  <c r="C103" s="1"/>
  <c r="G102"/>
  <c r="C102" s="1"/>
  <c r="G101"/>
  <c r="C101" s="1"/>
  <c r="G100"/>
  <c r="C100" s="1"/>
  <c r="G99"/>
  <c r="C99" s="1"/>
  <c r="G97"/>
  <c r="C97" s="1"/>
  <c r="G96"/>
  <c r="C96" s="1"/>
  <c r="G94"/>
  <c r="C94" s="1"/>
  <c r="G93"/>
  <c r="C93" s="1"/>
  <c r="G92"/>
  <c r="C92" s="1"/>
  <c r="G91"/>
  <c r="C91" s="1"/>
  <c r="G90"/>
  <c r="C90" s="1"/>
  <c r="G88"/>
  <c r="C88" s="1"/>
  <c r="G84"/>
  <c r="C84" s="1"/>
  <c r="G81"/>
  <c r="C81" s="1"/>
  <c r="G80"/>
  <c r="C80" s="1"/>
  <c r="G79"/>
  <c r="C79" s="1"/>
  <c r="G78"/>
  <c r="C78" s="1"/>
  <c r="G77"/>
  <c r="C77" s="1"/>
  <c r="G76"/>
  <c r="C76" s="1"/>
  <c r="G75"/>
  <c r="C75" s="1"/>
  <c r="G74"/>
  <c r="C74" s="1"/>
  <c r="G73"/>
  <c r="C73" s="1"/>
  <c r="G72"/>
  <c r="C72" s="1"/>
  <c r="G70"/>
  <c r="C70" s="1"/>
  <c r="G69"/>
  <c r="C69" s="1"/>
  <c r="G68"/>
  <c r="C68" s="1"/>
  <c r="G67"/>
  <c r="C67" s="1"/>
  <c r="G65"/>
  <c r="C65" s="1"/>
  <c r="G64"/>
  <c r="C64" s="1"/>
  <c r="G61"/>
  <c r="C61" s="1"/>
  <c r="G60"/>
  <c r="C60" s="1"/>
  <c r="G57"/>
  <c r="C57" s="1"/>
  <c r="G56"/>
  <c r="C56" s="1"/>
  <c r="G53"/>
  <c r="C53" s="1"/>
  <c r="G52"/>
  <c r="C52" s="1"/>
  <c r="G49"/>
  <c r="C49" s="1"/>
  <c r="G48"/>
  <c r="C48" s="1"/>
  <c r="G45"/>
  <c r="C45" s="1"/>
  <c r="G44"/>
  <c r="C44" s="1"/>
  <c r="G41"/>
  <c r="C41" s="1"/>
  <c r="G40"/>
  <c r="C40" s="1"/>
  <c r="G36"/>
  <c r="C36" s="1"/>
  <c r="G35"/>
  <c r="C35" s="1"/>
  <c r="G32"/>
  <c r="C32" s="1"/>
  <c r="G31"/>
  <c r="C31" s="1"/>
  <c r="G30"/>
  <c r="C30" s="1"/>
  <c r="G29"/>
  <c r="C29" s="1"/>
  <c r="G28"/>
  <c r="C28" s="1"/>
  <c r="G27"/>
  <c r="C27" s="1"/>
  <c r="G26"/>
  <c r="C26" s="1"/>
  <c r="G24"/>
  <c r="C24" s="1"/>
  <c r="G23"/>
  <c r="C23" s="1"/>
  <c r="G22"/>
  <c r="C22" s="1"/>
  <c r="G21"/>
  <c r="C21" s="1"/>
  <c r="G20"/>
  <c r="C20" s="1"/>
  <c r="G19"/>
  <c r="C19" s="1"/>
  <c r="G18"/>
  <c r="C18" s="1"/>
  <c r="G16"/>
  <c r="C16" s="1"/>
  <c r="G15"/>
  <c r="C15" s="1"/>
  <c r="G14"/>
  <c r="C14" s="1"/>
  <c r="G12"/>
  <c r="C12" s="1"/>
  <c r="G11"/>
  <c r="C11" s="1"/>
  <c r="G10"/>
  <c r="C10" s="1"/>
  <c r="L8"/>
  <c r="K8"/>
  <c r="K3"/>
  <c r="A2"/>
  <c r="O920" l="1"/>
  <c r="F37"/>
  <c r="K37" s="1"/>
  <c r="L138" i="310"/>
  <c r="F1149" i="309"/>
  <c r="O1149" s="1"/>
  <c r="K920"/>
  <c r="F915"/>
  <c r="K915" s="1"/>
  <c r="F913"/>
  <c r="L913" s="1"/>
  <c r="F911"/>
  <c r="L911" s="1"/>
  <c r="F745"/>
  <c r="L745" s="1"/>
  <c r="F695"/>
  <c r="O695" s="1"/>
  <c r="F669"/>
  <c r="O669" s="1"/>
  <c r="Q138" i="310"/>
  <c r="N183"/>
  <c r="I138"/>
  <c r="M138"/>
  <c r="C1069" i="309"/>
  <c r="C1067"/>
  <c r="C1064"/>
  <c r="C1062"/>
  <c r="C1060"/>
  <c r="C1058"/>
  <c r="C1056"/>
  <c r="C1054"/>
  <c r="G886"/>
  <c r="C886" s="1"/>
  <c r="T153" i="310"/>
  <c r="S152"/>
  <c r="T18"/>
  <c r="T63"/>
  <c r="T108"/>
  <c r="S107"/>
  <c r="F914" i="309"/>
  <c r="L914" s="1"/>
  <c r="F912"/>
  <c r="O912" s="1"/>
  <c r="F690"/>
  <c r="L690" s="1"/>
  <c r="F640"/>
  <c r="L640" s="1"/>
  <c r="F570"/>
  <c r="L570" s="1"/>
  <c r="C1078"/>
  <c r="C1093"/>
  <c r="C1118"/>
  <c r="G822"/>
  <c r="C822" s="1"/>
  <c r="G842"/>
  <c r="C842" s="1"/>
  <c r="G858"/>
  <c r="C858" s="1"/>
  <c r="G862"/>
  <c r="C862" s="1"/>
  <c r="G610"/>
  <c r="C610" s="1"/>
  <c r="G754"/>
  <c r="C754" s="1"/>
  <c r="C1074"/>
  <c r="C1065"/>
  <c r="C554"/>
  <c r="C555"/>
  <c r="C556"/>
  <c r="C557"/>
  <c r="C558"/>
  <c r="C559"/>
  <c r="C560"/>
  <c r="C561"/>
  <c r="C562"/>
  <c r="C563"/>
  <c r="C564"/>
  <c r="C565"/>
  <c r="C566"/>
  <c r="C567"/>
  <c r="C568"/>
  <c r="C569"/>
  <c r="C571"/>
  <c r="C572"/>
  <c r="C573"/>
  <c r="C575"/>
  <c r="C576"/>
  <c r="C577"/>
  <c r="C578"/>
  <c r="C579"/>
  <c r="C580"/>
  <c r="C581"/>
  <c r="C582"/>
  <c r="C583"/>
  <c r="C584"/>
  <c r="C585"/>
  <c r="C586"/>
  <c r="C587"/>
  <c r="C588"/>
  <c r="C589"/>
  <c r="C590"/>
  <c r="C591"/>
  <c r="C592"/>
  <c r="C593"/>
  <c r="C594"/>
  <c r="C596"/>
  <c r="C597"/>
  <c r="C599"/>
  <c r="C600"/>
  <c r="C601"/>
  <c r="C602"/>
  <c r="C603"/>
  <c r="C604"/>
  <c r="C605"/>
  <c r="C606"/>
  <c r="C607"/>
  <c r="C608"/>
  <c r="C609"/>
  <c r="C611"/>
  <c r="C612"/>
  <c r="C613"/>
  <c r="C614"/>
  <c r="C615"/>
  <c r="C616"/>
  <c r="C617"/>
  <c r="C618"/>
  <c r="C619"/>
  <c r="C620"/>
  <c r="C621"/>
  <c r="C622"/>
  <c r="C624"/>
  <c r="C625"/>
  <c r="C626"/>
  <c r="C627"/>
  <c r="C628"/>
  <c r="C629"/>
  <c r="C630"/>
  <c r="C631"/>
  <c r="C632"/>
  <c r="C633"/>
  <c r="C634"/>
  <c r="C635"/>
  <c r="C636"/>
  <c r="C637"/>
  <c r="C638"/>
  <c r="C639"/>
  <c r="C691"/>
  <c r="C692"/>
  <c r="C693"/>
  <c r="C694"/>
  <c r="C699"/>
  <c r="C700"/>
  <c r="C703"/>
  <c r="C704"/>
  <c r="C705"/>
  <c r="C706"/>
  <c r="C707"/>
  <c r="C708"/>
  <c r="C711"/>
  <c r="C712"/>
  <c r="C715"/>
  <c r="C716"/>
  <c r="C719"/>
  <c r="C720"/>
  <c r="C723"/>
  <c r="C724"/>
  <c r="C727"/>
  <c r="C728"/>
  <c r="C731"/>
  <c r="C732"/>
  <c r="C735"/>
  <c r="C736"/>
  <c r="C739"/>
  <c r="C740"/>
  <c r="C743"/>
  <c r="C744"/>
  <c r="C748"/>
  <c r="C749"/>
  <c r="C750"/>
  <c r="C751"/>
  <c r="C752"/>
  <c r="C753"/>
  <c r="C755"/>
  <c r="C756"/>
  <c r="C757"/>
  <c r="C758"/>
  <c r="C759"/>
  <c r="C760"/>
  <c r="C761"/>
  <c r="C762"/>
  <c r="C763"/>
  <c r="C764"/>
  <c r="C765"/>
  <c r="C766"/>
  <c r="C767"/>
  <c r="C768"/>
  <c r="C769"/>
  <c r="C770"/>
  <c r="C771"/>
  <c r="C772"/>
  <c r="C773"/>
  <c r="C774"/>
  <c r="C775"/>
  <c r="C776"/>
  <c r="C777"/>
  <c r="C778"/>
  <c r="C779"/>
  <c r="C780"/>
  <c r="C781"/>
  <c r="C782"/>
  <c r="C783"/>
  <c r="C784"/>
  <c r="C785"/>
  <c r="C786"/>
  <c r="C910"/>
  <c r="C908"/>
  <c r="C906"/>
  <c r="C904"/>
  <c r="C902"/>
  <c r="C900"/>
  <c r="C898"/>
  <c r="C896"/>
  <c r="C894"/>
  <c r="C892"/>
  <c r="C890"/>
  <c r="C888"/>
  <c r="C884"/>
  <c r="C882"/>
  <c r="C880"/>
  <c r="C878"/>
  <c r="C876"/>
  <c r="C874"/>
  <c r="C872"/>
  <c r="C830"/>
  <c r="C828"/>
  <c r="C826"/>
  <c r="C824"/>
  <c r="C820"/>
  <c r="C818"/>
  <c r="C816"/>
  <c r="C814"/>
  <c r="C812"/>
  <c r="C810"/>
  <c r="C808"/>
  <c r="C526"/>
  <c r="C527"/>
  <c r="C528"/>
  <c r="C530"/>
  <c r="C531"/>
  <c r="C532"/>
  <c r="C533"/>
  <c r="C534"/>
  <c r="C535"/>
  <c r="C536"/>
  <c r="C537"/>
  <c r="C538"/>
  <c r="C539"/>
  <c r="C540"/>
  <c r="C541"/>
  <c r="C542"/>
  <c r="C543"/>
  <c r="C544"/>
  <c r="C545"/>
  <c r="C546"/>
  <c r="C547"/>
  <c r="C548"/>
  <c r="C550"/>
  <c r="C551"/>
  <c r="C552"/>
  <c r="C553"/>
  <c r="C641"/>
  <c r="C642"/>
  <c r="C643"/>
  <c r="C644"/>
  <c r="C645"/>
  <c r="C646"/>
  <c r="C647"/>
  <c r="C648"/>
  <c r="C649"/>
  <c r="C650"/>
  <c r="C651"/>
  <c r="C652"/>
  <c r="C653"/>
  <c r="C654"/>
  <c r="C655"/>
  <c r="C656"/>
  <c r="C657"/>
  <c r="C658"/>
  <c r="C659"/>
  <c r="C660"/>
  <c r="C661"/>
  <c r="C662"/>
  <c r="C663"/>
  <c r="C664"/>
  <c r="C665"/>
  <c r="C666"/>
  <c r="C667"/>
  <c r="C668"/>
  <c r="C670"/>
  <c r="C671"/>
  <c r="C672"/>
  <c r="C673"/>
  <c r="C674"/>
  <c r="C675"/>
  <c r="C676"/>
  <c r="C677"/>
  <c r="C678"/>
  <c r="C679"/>
  <c r="C680"/>
  <c r="C681"/>
  <c r="C682"/>
  <c r="C683"/>
  <c r="C684"/>
  <c r="C685"/>
  <c r="C686"/>
  <c r="C687"/>
  <c r="C688"/>
  <c r="C689"/>
  <c r="C787"/>
  <c r="C788"/>
  <c r="C789"/>
  <c r="C790"/>
  <c r="C791"/>
  <c r="C792"/>
  <c r="C793"/>
  <c r="C794"/>
  <c r="C795"/>
  <c r="C796"/>
  <c r="C797"/>
  <c r="C798"/>
  <c r="C799"/>
  <c r="C800"/>
  <c r="C801"/>
  <c r="C802"/>
  <c r="C803"/>
  <c r="C805"/>
  <c r="C909"/>
  <c r="C907"/>
  <c r="C905"/>
  <c r="C903"/>
  <c r="C901"/>
  <c r="C899"/>
  <c r="C897"/>
  <c r="C895"/>
  <c r="C893"/>
  <c r="C891"/>
  <c r="C889"/>
  <c r="C887"/>
  <c r="C885"/>
  <c r="C883"/>
  <c r="C881"/>
  <c r="C879"/>
  <c r="C877"/>
  <c r="C875"/>
  <c r="C873"/>
  <c r="C871"/>
  <c r="C869"/>
  <c r="C867"/>
  <c r="C865"/>
  <c r="C863"/>
  <c r="C861"/>
  <c r="C859"/>
  <c r="C857"/>
  <c r="C855"/>
  <c r="C853"/>
  <c r="C851"/>
  <c r="C849"/>
  <c r="C847"/>
  <c r="C845"/>
  <c r="C843"/>
  <c r="C841"/>
  <c r="C839"/>
  <c r="C837"/>
  <c r="C835"/>
  <c r="C833"/>
  <c r="C831"/>
  <c r="C829"/>
  <c r="C827"/>
  <c r="C825"/>
  <c r="C823"/>
  <c r="C821"/>
  <c r="C819"/>
  <c r="C817"/>
  <c r="C815"/>
  <c r="C813"/>
  <c r="C811"/>
  <c r="C809"/>
  <c r="C807"/>
  <c r="C804"/>
  <c r="F238"/>
  <c r="O238" s="1"/>
  <c r="L916"/>
  <c r="F696"/>
  <c r="O696" s="1"/>
  <c r="O916"/>
  <c r="K916"/>
  <c r="D3" i="307"/>
  <c r="A1"/>
  <c r="C17" i="303"/>
  <c r="C16"/>
  <c r="C15"/>
  <c r="F17"/>
  <c r="F16"/>
  <c r="F15"/>
  <c r="L37" i="309" l="1"/>
  <c r="O37"/>
  <c r="K1149"/>
  <c r="L1149"/>
  <c r="K911"/>
  <c r="O640"/>
  <c r="O745"/>
  <c r="O913"/>
  <c r="K745"/>
  <c r="L695"/>
  <c r="K640"/>
  <c r="K912"/>
  <c r="L912"/>
  <c r="K669"/>
  <c r="K696"/>
  <c r="K913"/>
  <c r="L669"/>
  <c r="K695"/>
  <c r="O914"/>
  <c r="L696"/>
  <c r="O690"/>
  <c r="O911"/>
  <c r="O570"/>
  <c r="L915"/>
  <c r="O915"/>
  <c r="K914"/>
  <c r="K690"/>
  <c r="K570"/>
  <c r="K238"/>
  <c r="L238"/>
  <c r="T109" i="310"/>
  <c r="S108"/>
  <c r="T64"/>
  <c r="T19"/>
  <c r="T154"/>
  <c r="S153"/>
  <c r="T155" l="1"/>
  <c r="S155" s="1"/>
  <c r="S154"/>
  <c r="T20"/>
  <c r="S20" s="1"/>
  <c r="S19"/>
  <c r="T65"/>
  <c r="S65" s="1"/>
  <c r="S64"/>
  <c r="T110"/>
  <c r="S110" s="1"/>
  <c r="S109"/>
  <c r="S138" l="1"/>
  <c r="C18" i="302"/>
  <c r="J916" i="140" l="1"/>
  <c r="L916" l="1"/>
  <c r="O916"/>
  <c r="K916"/>
  <c r="K33" i="269" l="1"/>
  <c r="K32"/>
  <c r="K31"/>
  <c r="G123" i="218" l="1"/>
  <c r="G122"/>
  <c r="G121"/>
  <c r="G119"/>
  <c r="G737" i="216"/>
  <c r="I837" i="194"/>
  <c r="I836"/>
  <c r="I835"/>
  <c r="I834"/>
  <c r="I1300" i="192"/>
  <c r="I1299"/>
  <c r="I1298"/>
  <c r="I1297"/>
  <c r="I1296"/>
  <c r="I1295"/>
  <c r="I1294"/>
  <c r="I1293"/>
  <c r="I1292"/>
  <c r="I1291"/>
  <c r="I1290"/>
  <c r="I1289"/>
  <c r="I1288"/>
  <c r="I1287"/>
  <c r="I1286"/>
  <c r="I1285"/>
  <c r="I1284"/>
  <c r="I1283"/>
  <c r="I1282"/>
  <c r="I1281"/>
  <c r="I1280"/>
  <c r="I863"/>
  <c r="I862"/>
  <c r="I861"/>
  <c r="I478" i="194"/>
  <c r="I477"/>
  <c r="I476"/>
  <c r="I475"/>
  <c r="I474"/>
  <c r="I473"/>
  <c r="I472"/>
  <c r="I471"/>
  <c r="I768" i="192"/>
  <c r="I767"/>
  <c r="I766"/>
  <c r="I765"/>
  <c r="I764"/>
  <c r="I763"/>
  <c r="I762"/>
  <c r="I761"/>
  <c r="I760"/>
  <c r="I759"/>
  <c r="I758"/>
  <c r="I757"/>
  <c r="I756"/>
  <c r="I755"/>
  <c r="I754"/>
  <c r="I753"/>
  <c r="I752"/>
  <c r="I751"/>
  <c r="I750"/>
  <c r="I749"/>
  <c r="I748"/>
  <c r="I747"/>
  <c r="I746"/>
  <c r="I745"/>
  <c r="I380" i="194"/>
  <c r="I379"/>
  <c r="I378"/>
  <c r="I619" i="192"/>
  <c r="I618"/>
  <c r="I617"/>
  <c r="I616"/>
  <c r="I615"/>
  <c r="I614"/>
  <c r="I613"/>
  <c r="I612"/>
  <c r="I611"/>
  <c r="I610"/>
  <c r="I609"/>
  <c r="I608"/>
  <c r="I607"/>
  <c r="I606"/>
  <c r="I605"/>
  <c r="I1297" i="132"/>
  <c r="I1507"/>
  <c r="I326" i="194"/>
  <c r="I325"/>
  <c r="I324"/>
  <c r="I323"/>
  <c r="I485" i="192"/>
  <c r="I484"/>
  <c r="I483"/>
  <c r="I482"/>
  <c r="I481"/>
  <c r="I296" i="194"/>
  <c r="I295"/>
  <c r="I294"/>
  <c r="I293"/>
  <c r="I394" i="192"/>
  <c r="I393"/>
  <c r="I280"/>
  <c r="I279"/>
  <c r="I236"/>
  <c r="I235"/>
  <c r="I234"/>
  <c r="I233"/>
  <c r="I232"/>
  <c r="I231"/>
  <c r="I230"/>
  <c r="I479"/>
  <c r="I478"/>
  <c r="I477"/>
  <c r="I476"/>
  <c r="I475"/>
  <c r="I474"/>
  <c r="I472"/>
  <c r="I471"/>
  <c r="I470"/>
  <c r="I469"/>
  <c r="I468"/>
  <c r="I467"/>
  <c r="I466"/>
  <c r="I465"/>
  <c r="I464"/>
  <c r="I463"/>
  <c r="I391"/>
  <c r="I390"/>
  <c r="I389"/>
  <c r="I388"/>
  <c r="I387"/>
  <c r="I386"/>
  <c r="I384"/>
  <c r="I383"/>
  <c r="I382"/>
  <c r="I381"/>
  <c r="I380"/>
  <c r="I379"/>
  <c r="I378"/>
  <c r="I377"/>
  <c r="I104" i="194"/>
  <c r="I37"/>
  <c r="I36"/>
  <c r="I12"/>
  <c r="I11"/>
  <c r="I10"/>
  <c r="I138" i="192"/>
  <c r="I137"/>
  <c r="I136"/>
  <c r="I110"/>
  <c r="I108"/>
  <c r="I107"/>
  <c r="I57"/>
  <c r="I56"/>
  <c r="I55"/>
  <c r="I54"/>
  <c r="I53"/>
  <c r="I52"/>
  <c r="I51"/>
  <c r="I50"/>
  <c r="I49"/>
  <c r="I48"/>
  <c r="I47"/>
  <c r="I46"/>
  <c r="I45"/>
  <c r="I44"/>
  <c r="I43"/>
  <c r="I42"/>
  <c r="I41"/>
  <c r="I39"/>
  <c r="I38"/>
  <c r="I14"/>
  <c r="I12"/>
  <c r="I11"/>
  <c r="I10"/>
  <c r="I1521"/>
  <c r="G380" i="309" s="1"/>
  <c r="C380" s="1"/>
  <c r="I542" i="132"/>
  <c r="G747" i="309"/>
  <c r="I540" i="132"/>
  <c r="I539"/>
  <c r="G737" i="309"/>
  <c r="G733"/>
  <c r="G729"/>
  <c r="G725"/>
  <c r="G721"/>
  <c r="G717"/>
  <c r="G713"/>
  <c r="G709"/>
  <c r="G701"/>
  <c r="G697"/>
  <c r="G368" l="1"/>
  <c r="C368" s="1"/>
  <c r="G194"/>
  <c r="C194" s="1"/>
  <c r="E18" i="310"/>
  <c r="F18" s="1"/>
  <c r="G397" i="309"/>
  <c r="C397" s="1"/>
  <c r="G46"/>
  <c r="C46" s="1"/>
  <c r="C12" i="310"/>
  <c r="F12" s="1"/>
  <c r="G134" i="309"/>
  <c r="C134" s="1"/>
  <c r="C33" i="310"/>
  <c r="F33" s="1"/>
  <c r="G86" i="309"/>
  <c r="C86" s="1"/>
  <c r="C22" i="310"/>
  <c r="G98" i="309"/>
  <c r="C98" s="1"/>
  <c r="C36" i="310"/>
  <c r="F36" s="1"/>
  <c r="G595" i="309"/>
  <c r="C697"/>
  <c r="C709"/>
  <c r="C717"/>
  <c r="C725"/>
  <c r="C733"/>
  <c r="C701"/>
  <c r="C713"/>
  <c r="C721"/>
  <c r="C729"/>
  <c r="C737"/>
  <c r="C747"/>
  <c r="C595"/>
  <c r="G509"/>
  <c r="C509" s="1"/>
  <c r="G38"/>
  <c r="C38" s="1"/>
  <c r="I1535" i="192"/>
  <c r="G382" i="309" s="1"/>
  <c r="C382" s="1"/>
  <c r="G742"/>
  <c r="G738"/>
  <c r="G734"/>
  <c r="G730"/>
  <c r="G726"/>
  <c r="G722"/>
  <c r="G718"/>
  <c r="G714"/>
  <c r="G710"/>
  <c r="G702"/>
  <c r="G698"/>
  <c r="G598"/>
  <c r="G549"/>
  <c r="G529"/>
  <c r="I935" i="194"/>
  <c r="I934"/>
  <c r="I933"/>
  <c r="I932"/>
  <c r="I931"/>
  <c r="I930"/>
  <c r="I929"/>
  <c r="I928"/>
  <c r="I927"/>
  <c r="I925"/>
  <c r="I924"/>
  <c r="I897"/>
  <c r="I896"/>
  <c r="I895"/>
  <c r="I894"/>
  <c r="I506"/>
  <c r="I505"/>
  <c r="I504"/>
  <c r="I503"/>
  <c r="I502"/>
  <c r="I501"/>
  <c r="I500"/>
  <c r="I499"/>
  <c r="I402"/>
  <c r="I401"/>
  <c r="I400"/>
  <c r="I345"/>
  <c r="I344"/>
  <c r="I343"/>
  <c r="I342"/>
  <c r="I318"/>
  <c r="I317"/>
  <c r="I316"/>
  <c r="I315"/>
  <c r="I114"/>
  <c r="I49"/>
  <c r="I48"/>
  <c r="I26"/>
  <c r="I25"/>
  <c r="I24"/>
  <c r="I1512" i="192"/>
  <c r="I1511"/>
  <c r="I1510"/>
  <c r="I1508"/>
  <c r="I1507"/>
  <c r="I1506"/>
  <c r="I1505"/>
  <c r="I1504"/>
  <c r="I1503"/>
  <c r="I1452"/>
  <c r="I1451"/>
  <c r="I1450"/>
  <c r="I1449"/>
  <c r="I1448"/>
  <c r="I1447"/>
  <c r="I1446"/>
  <c r="I1445"/>
  <c r="I1444"/>
  <c r="I1443"/>
  <c r="I1442"/>
  <c r="I1441"/>
  <c r="I1440"/>
  <c r="I1439"/>
  <c r="I1438"/>
  <c r="I1437"/>
  <c r="I1436"/>
  <c r="I1435"/>
  <c r="I1434"/>
  <c r="I1433"/>
  <c r="I1432"/>
  <c r="I1079"/>
  <c r="I1078"/>
  <c r="I1077"/>
  <c r="I1076"/>
  <c r="I1075"/>
  <c r="I1074"/>
  <c r="I1073"/>
  <c r="I1072"/>
  <c r="I1071"/>
  <c r="I1070"/>
  <c r="I1069"/>
  <c r="I1068"/>
  <c r="I1067"/>
  <c r="I1039"/>
  <c r="I1038"/>
  <c r="I1037"/>
  <c r="I1036"/>
  <c r="I1035"/>
  <c r="I1034"/>
  <c r="I1033"/>
  <c r="I1032"/>
  <c r="I1031"/>
  <c r="I1030"/>
  <c r="I1029"/>
  <c r="I1028"/>
  <c r="I1027"/>
  <c r="I856"/>
  <c r="I855"/>
  <c r="I854"/>
  <c r="I853"/>
  <c r="I852"/>
  <c r="I851"/>
  <c r="I850"/>
  <c r="I849"/>
  <c r="I848"/>
  <c r="I847"/>
  <c r="I846"/>
  <c r="I845"/>
  <c r="I844"/>
  <c r="I843"/>
  <c r="I842"/>
  <c r="I841"/>
  <c r="I840"/>
  <c r="I839"/>
  <c r="I838"/>
  <c r="I837"/>
  <c r="I836"/>
  <c r="I835"/>
  <c r="I834"/>
  <c r="I833"/>
  <c r="I676"/>
  <c r="I675"/>
  <c r="I674"/>
  <c r="I673"/>
  <c r="I672"/>
  <c r="I671"/>
  <c r="I670"/>
  <c r="I669"/>
  <c r="I668"/>
  <c r="I667"/>
  <c r="I666"/>
  <c r="I665"/>
  <c r="I664"/>
  <c r="I663"/>
  <c r="I662"/>
  <c r="I548"/>
  <c r="I547"/>
  <c r="I546"/>
  <c r="I545"/>
  <c r="I544"/>
  <c r="I539"/>
  <c r="I538"/>
  <c r="I537"/>
  <c r="I536"/>
  <c r="I535"/>
  <c r="I534"/>
  <c r="I532"/>
  <c r="I531"/>
  <c r="I530"/>
  <c r="I529"/>
  <c r="I528"/>
  <c r="I527"/>
  <c r="I526"/>
  <c r="I525"/>
  <c r="I524"/>
  <c r="I523"/>
  <c r="I458"/>
  <c r="I457"/>
  <c r="I452"/>
  <c r="I451"/>
  <c r="I450"/>
  <c r="I449"/>
  <c r="I448"/>
  <c r="I447"/>
  <c r="I445"/>
  <c r="I444"/>
  <c r="I443"/>
  <c r="I442"/>
  <c r="I441"/>
  <c r="I440"/>
  <c r="I439"/>
  <c r="I438"/>
  <c r="I293"/>
  <c r="I292"/>
  <c r="I291"/>
  <c r="I268"/>
  <c r="I267"/>
  <c r="I266"/>
  <c r="I265"/>
  <c r="I264"/>
  <c r="I263"/>
  <c r="I262"/>
  <c r="I151"/>
  <c r="I150"/>
  <c r="I149"/>
  <c r="I126"/>
  <c r="I124"/>
  <c r="I123"/>
  <c r="I96"/>
  <c r="I95"/>
  <c r="I94"/>
  <c r="I93"/>
  <c r="I92"/>
  <c r="I91"/>
  <c r="I90"/>
  <c r="I89"/>
  <c r="I88"/>
  <c r="I87"/>
  <c r="I86"/>
  <c r="I85"/>
  <c r="I84"/>
  <c r="I83"/>
  <c r="I82"/>
  <c r="I81"/>
  <c r="I80"/>
  <c r="I78"/>
  <c r="I77"/>
  <c r="I28"/>
  <c r="I26"/>
  <c r="I25"/>
  <c r="I24"/>
  <c r="I2406" i="132"/>
  <c r="G213" i="309" s="1"/>
  <c r="C213" s="1"/>
  <c r="I2295" i="132"/>
  <c r="I1526"/>
  <c r="I1316"/>
  <c r="I1449"/>
  <c r="I1448"/>
  <c r="I1447"/>
  <c r="I1446"/>
  <c r="I1445"/>
  <c r="I1444"/>
  <c r="I1443"/>
  <c r="I1442"/>
  <c r="I1441"/>
  <c r="I1440"/>
  <c r="I1439"/>
  <c r="I1438"/>
  <c r="I1437"/>
  <c r="I1436"/>
  <c r="I1435"/>
  <c r="I1434"/>
  <c r="I1263"/>
  <c r="I1262"/>
  <c r="I1261"/>
  <c r="I1260"/>
  <c r="I1259"/>
  <c r="I1258"/>
  <c r="I1257"/>
  <c r="I1256"/>
  <c r="I1255"/>
  <c r="I1254"/>
  <c r="I1253"/>
  <c r="I1252"/>
  <c r="I1251"/>
  <c r="I1250"/>
  <c r="I1070"/>
  <c r="I959"/>
  <c r="I912"/>
  <c r="I911"/>
  <c r="I910"/>
  <c r="I909"/>
  <c r="I908"/>
  <c r="I907"/>
  <c r="I906"/>
  <c r="I905"/>
  <c r="I904"/>
  <c r="I903"/>
  <c r="I902"/>
  <c r="I901"/>
  <c r="I900"/>
  <c r="I899"/>
  <c r="I578"/>
  <c r="I577"/>
  <c r="I576"/>
  <c r="I553"/>
  <c r="I548"/>
  <c r="I547"/>
  <c r="I526"/>
  <c r="I525"/>
  <c r="I524"/>
  <c r="I523"/>
  <c r="I522"/>
  <c r="I521"/>
  <c r="I520"/>
  <c r="I519"/>
  <c r="I518"/>
  <c r="I517"/>
  <c r="I516"/>
  <c r="I515"/>
  <c r="I514"/>
  <c r="I513"/>
  <c r="I512"/>
  <c r="I511"/>
  <c r="I510"/>
  <c r="I509"/>
  <c r="I508"/>
  <c r="I507"/>
  <c r="I506"/>
  <c r="I505"/>
  <c r="I504"/>
  <c r="I433"/>
  <c r="I383"/>
  <c r="I381"/>
  <c r="I380"/>
  <c r="I379"/>
  <c r="I351"/>
  <c r="I330"/>
  <c r="I328"/>
  <c r="I302"/>
  <c r="I301"/>
  <c r="I300"/>
  <c r="I251"/>
  <c r="I205"/>
  <c r="I204"/>
  <c r="I144"/>
  <c r="I143"/>
  <c r="I141"/>
  <c r="I140"/>
  <c r="I139"/>
  <c r="I138"/>
  <c r="I137"/>
  <c r="I136"/>
  <c r="I70"/>
  <c r="I69"/>
  <c r="I68"/>
  <c r="I67"/>
  <c r="I66"/>
  <c r="I65"/>
  <c r="C67" i="310" l="1"/>
  <c r="F67" s="1"/>
  <c r="G87" i="309"/>
  <c r="C87" s="1"/>
  <c r="C73" i="310"/>
  <c r="F73" s="1"/>
  <c r="G115" i="309"/>
  <c r="C115" s="1"/>
  <c r="C66" i="310"/>
  <c r="F66" s="1"/>
  <c r="G83" i="309"/>
  <c r="C83" s="1"/>
  <c r="C163" i="310"/>
  <c r="F163" s="1"/>
  <c r="G117" i="309"/>
  <c r="C117" s="1"/>
  <c r="C162" i="310"/>
  <c r="F162" s="1"/>
  <c r="G113" i="309"/>
  <c r="C113" s="1"/>
  <c r="C58" i="310"/>
  <c r="F58" s="1"/>
  <c r="C72"/>
  <c r="F72" s="1"/>
  <c r="G111" i="309"/>
  <c r="C111" s="1"/>
  <c r="C60" i="310"/>
  <c r="F60" s="1"/>
  <c r="G59" i="309"/>
  <c r="C59" s="1"/>
  <c r="G43"/>
  <c r="C43" s="1"/>
  <c r="G39"/>
  <c r="C39" s="1"/>
  <c r="C59" i="310"/>
  <c r="F59" s="1"/>
  <c r="G55" i="309"/>
  <c r="C55" s="1"/>
  <c r="C51" i="310"/>
  <c r="F51" s="1"/>
  <c r="O51" s="1"/>
  <c r="O93" s="1"/>
  <c r="G34" i="309"/>
  <c r="C34" s="1"/>
  <c r="C57" i="310"/>
  <c r="F57" s="1"/>
  <c r="G47" i="309"/>
  <c r="C47" s="1"/>
  <c r="G205"/>
  <c r="C205" s="1"/>
  <c r="D13" i="310"/>
  <c r="G240" i="309"/>
  <c r="C240" s="1"/>
  <c r="E13" i="310"/>
  <c r="G385" i="309"/>
  <c r="C385" s="1"/>
  <c r="E15" i="310"/>
  <c r="G389" i="309"/>
  <c r="C389" s="1"/>
  <c r="E28" i="310"/>
  <c r="G437" i="309"/>
  <c r="C437" s="1"/>
  <c r="E35" i="310"/>
  <c r="G461" i="309"/>
  <c r="C461" s="1"/>
  <c r="L18" i="310"/>
  <c r="I18"/>
  <c r="S18"/>
  <c r="E31"/>
  <c r="G445" i="309"/>
  <c r="C445" s="1"/>
  <c r="E27" i="310"/>
  <c r="G429" i="309"/>
  <c r="C429" s="1"/>
  <c r="E34" i="310"/>
  <c r="G457" i="309"/>
  <c r="C457" s="1"/>
  <c r="D27" i="310"/>
  <c r="G284" i="309"/>
  <c r="C284" s="1"/>
  <c r="D16" i="310"/>
  <c r="G256" i="309"/>
  <c r="C256" s="1"/>
  <c r="D22" i="310"/>
  <c r="G272" i="309"/>
  <c r="C272" s="1"/>
  <c r="D34" i="310"/>
  <c r="G316" i="309"/>
  <c r="C316" s="1"/>
  <c r="D35" i="310"/>
  <c r="G320" i="309"/>
  <c r="C320" s="1"/>
  <c r="D15" i="310"/>
  <c r="G244" i="309"/>
  <c r="C244" s="1"/>
  <c r="D17" i="310"/>
  <c r="G248" i="309"/>
  <c r="C248" s="1"/>
  <c r="D28" i="310"/>
  <c r="G292" i="309"/>
  <c r="C292" s="1"/>
  <c r="D21" i="310"/>
  <c r="G268" i="309"/>
  <c r="C268" s="1"/>
  <c r="D31" i="310"/>
  <c r="G304" i="309"/>
  <c r="C304" s="1"/>
  <c r="F22" i="310"/>
  <c r="I22" s="1"/>
  <c r="G17" i="309"/>
  <c r="C17" s="1"/>
  <c r="C9" i="310"/>
  <c r="F9" s="1"/>
  <c r="G66" i="309"/>
  <c r="C66" s="1"/>
  <c r="C16" i="310"/>
  <c r="G106" i="309"/>
  <c r="C106" s="1"/>
  <c r="C26" i="310"/>
  <c r="F26" s="1"/>
  <c r="G50" i="309"/>
  <c r="C50" s="1"/>
  <c r="C13" i="310"/>
  <c r="G110" i="309"/>
  <c r="C110" s="1"/>
  <c r="C27" i="310"/>
  <c r="G82" i="309"/>
  <c r="C82" s="1"/>
  <c r="C21" i="310"/>
  <c r="F21" s="1"/>
  <c r="G126" i="309"/>
  <c r="C126" s="1"/>
  <c r="C31" i="310"/>
  <c r="F31" s="1"/>
  <c r="G138" i="309"/>
  <c r="C138" s="1"/>
  <c r="C34" i="310"/>
  <c r="G42" i="309"/>
  <c r="C42" s="1"/>
  <c r="C11" i="310"/>
  <c r="F11" s="1"/>
  <c r="G54" i="309"/>
  <c r="C54" s="1"/>
  <c r="C14" i="310"/>
  <c r="F14" s="1"/>
  <c r="G33" i="309"/>
  <c r="C33" s="1"/>
  <c r="C6" i="310"/>
  <c r="F6" s="1"/>
  <c r="O6" s="1"/>
  <c r="O48" s="1"/>
  <c r="G114" i="309"/>
  <c r="C114" s="1"/>
  <c r="C28" i="310"/>
  <c r="G58" i="309"/>
  <c r="C58" s="1"/>
  <c r="C15" i="310"/>
  <c r="G25" i="309"/>
  <c r="C25" s="1"/>
  <c r="C7" i="310"/>
  <c r="F7" s="1"/>
  <c r="P7" s="1"/>
  <c r="P48" s="1"/>
  <c r="G62" i="309"/>
  <c r="C62" s="1"/>
  <c r="C17" i="310"/>
  <c r="G142" i="309"/>
  <c r="C142" s="1"/>
  <c r="C35" i="310"/>
  <c r="I36"/>
  <c r="S36"/>
  <c r="L36"/>
  <c r="N33"/>
  <c r="S33"/>
  <c r="L12"/>
  <c r="I12"/>
  <c r="S12"/>
  <c r="C529" i="309"/>
  <c r="C698"/>
  <c r="C710"/>
  <c r="C718"/>
  <c r="C726"/>
  <c r="C734"/>
  <c r="C742"/>
  <c r="C549"/>
  <c r="C598"/>
  <c r="C702"/>
  <c r="C714"/>
  <c r="C722"/>
  <c r="C730"/>
  <c r="C738"/>
  <c r="G516"/>
  <c r="C516" s="1"/>
  <c r="G520"/>
  <c r="C520" s="1"/>
  <c r="G13"/>
  <c r="C13" s="1"/>
  <c r="G375"/>
  <c r="C375" s="1"/>
  <c r="G379"/>
  <c r="C379" s="1"/>
  <c r="G574"/>
  <c r="G201"/>
  <c r="C201" s="1"/>
  <c r="L22" i="310" l="1"/>
  <c r="F17"/>
  <c r="I17" s="1"/>
  <c r="F27"/>
  <c r="S27" s="1"/>
  <c r="C56"/>
  <c r="F56" s="1"/>
  <c r="S56" s="1"/>
  <c r="F34"/>
  <c r="S34" s="1"/>
  <c r="F16"/>
  <c r="I16" s="1"/>
  <c r="I67"/>
  <c r="L67"/>
  <c r="S67"/>
  <c r="Q73"/>
  <c r="M73"/>
  <c r="S73"/>
  <c r="L66"/>
  <c r="I66"/>
  <c r="S66"/>
  <c r="F35"/>
  <c r="S35" s="1"/>
  <c r="F15"/>
  <c r="I15" s="1"/>
  <c r="F28"/>
  <c r="Q28" s="1"/>
  <c r="Q163"/>
  <c r="M163"/>
  <c r="S163"/>
  <c r="S162"/>
  <c r="Q162"/>
  <c r="M162"/>
  <c r="G51" i="309"/>
  <c r="C51" s="1"/>
  <c r="S72" i="310"/>
  <c r="Q72"/>
  <c r="M72"/>
  <c r="L58"/>
  <c r="I58"/>
  <c r="S58"/>
  <c r="L60"/>
  <c r="S60"/>
  <c r="I60"/>
  <c r="I59"/>
  <c r="L59"/>
  <c r="S59"/>
  <c r="L57"/>
  <c r="I57"/>
  <c r="S57"/>
  <c r="P184"/>
  <c r="P186" s="1"/>
  <c r="O184"/>
  <c r="O186" s="1"/>
  <c r="F13"/>
  <c r="I13" s="1"/>
  <c r="S22"/>
  <c r="D175"/>
  <c r="G343" i="309"/>
  <c r="C343" s="1"/>
  <c r="D174" i="310"/>
  <c r="G339" i="309"/>
  <c r="C339" s="1"/>
  <c r="G161"/>
  <c r="C161" s="1"/>
  <c r="C175" i="310"/>
  <c r="G157" i="309"/>
  <c r="C157" s="1"/>
  <c r="C174" i="310"/>
  <c r="L14"/>
  <c r="I14"/>
  <c r="S14"/>
  <c r="S11"/>
  <c r="L11"/>
  <c r="I11"/>
  <c r="N31"/>
  <c r="S31"/>
  <c r="I21"/>
  <c r="L21"/>
  <c r="S21"/>
  <c r="Q26"/>
  <c r="M26"/>
  <c r="S26"/>
  <c r="H9"/>
  <c r="H48" s="1"/>
  <c r="S9"/>
  <c r="L9"/>
  <c r="C574" i="309"/>
  <c r="N3" i="250"/>
  <c r="K33"/>
  <c r="K32"/>
  <c r="K31"/>
  <c r="K33" i="240"/>
  <c r="K32"/>
  <c r="K31"/>
  <c r="K33" i="226"/>
  <c r="K32"/>
  <c r="K31"/>
  <c r="S17" i="310" l="1"/>
  <c r="M27"/>
  <c r="L17"/>
  <c r="Q27"/>
  <c r="Q48" s="1"/>
  <c r="L16"/>
  <c r="N34"/>
  <c r="I56"/>
  <c r="N35"/>
  <c r="L56"/>
  <c r="Q183"/>
  <c r="S16"/>
  <c r="Q93"/>
  <c r="L15"/>
  <c r="M28"/>
  <c r="S28"/>
  <c r="S15"/>
  <c r="H184"/>
  <c r="H186" s="1"/>
  <c r="L13"/>
  <c r="S13"/>
  <c r="F174"/>
  <c r="S174" s="1"/>
  <c r="F175"/>
  <c r="S175" s="1"/>
  <c r="I48"/>
  <c r="I1213" i="306"/>
  <c r="I1215" s="1"/>
  <c r="M1215" s="1"/>
  <c r="M48" i="310" l="1"/>
  <c r="N48"/>
  <c r="G1082" i="309"/>
  <c r="C1082" s="1"/>
  <c r="L48" i="310"/>
  <c r="S48"/>
  <c r="Q184"/>
  <c r="Q186" s="1"/>
  <c r="M175"/>
  <c r="M174"/>
  <c r="I1207" i="192"/>
  <c r="I1206"/>
  <c r="I1204"/>
  <c r="I1203"/>
  <c r="I1201"/>
  <c r="I1202"/>
  <c r="I1205"/>
  <c r="I1179"/>
  <c r="I1180"/>
  <c r="I912" i="194"/>
  <c r="I911"/>
  <c r="I910"/>
  <c r="I909"/>
  <c r="I1491" i="192"/>
  <c r="I1490"/>
  <c r="I1489"/>
  <c r="I1488"/>
  <c r="I1487"/>
  <c r="I1486"/>
  <c r="I1485"/>
  <c r="I1484"/>
  <c r="I1483"/>
  <c r="I1482"/>
  <c r="I1481"/>
  <c r="I1480"/>
  <c r="I1479"/>
  <c r="I1478"/>
  <c r="I1477"/>
  <c r="I1476"/>
  <c r="I1475"/>
  <c r="I1474"/>
  <c r="I1473"/>
  <c r="I1472"/>
  <c r="I1471"/>
  <c r="I1470"/>
  <c r="I1469"/>
  <c r="I1468"/>
  <c r="I1467"/>
  <c r="I1466"/>
  <c r="I1465"/>
  <c r="I1464"/>
  <c r="I878" i="194"/>
  <c r="I877"/>
  <c r="I876"/>
  <c r="I875"/>
  <c r="I874"/>
  <c r="I1409" i="192"/>
  <c r="I1418"/>
  <c r="I1417"/>
  <c r="I1416"/>
  <c r="I1415"/>
  <c r="I1414"/>
  <c r="I1413"/>
  <c r="I1412"/>
  <c r="I1411"/>
  <c r="I1410"/>
  <c r="I1388"/>
  <c r="I1408"/>
  <c r="I1407"/>
  <c r="I1406"/>
  <c r="I1405"/>
  <c r="I1404"/>
  <c r="I1403"/>
  <c r="I1402"/>
  <c r="I1401"/>
  <c r="I1400"/>
  <c r="I1399"/>
  <c r="I1398"/>
  <c r="I1397"/>
  <c r="I1396"/>
  <c r="I1395"/>
  <c r="I1394"/>
  <c r="I1393"/>
  <c r="I1392"/>
  <c r="I1391"/>
  <c r="I1390"/>
  <c r="I1389"/>
  <c r="I1387"/>
  <c r="I1386"/>
  <c r="I1385"/>
  <c r="I1384"/>
  <c r="I1383"/>
  <c r="I1382"/>
  <c r="I1381"/>
  <c r="I2331" i="132"/>
  <c r="I2330"/>
  <c r="I2329"/>
  <c r="I2327"/>
  <c r="I1330" i="192"/>
  <c r="I1329"/>
  <c r="I1328"/>
  <c r="I1327"/>
  <c r="I1326"/>
  <c r="I1325"/>
  <c r="I1321"/>
  <c r="I1320"/>
  <c r="I1315"/>
  <c r="I1314"/>
  <c r="I1313"/>
  <c r="I1308"/>
  <c r="I1307"/>
  <c r="I1306"/>
  <c r="I1309"/>
  <c r="I1310"/>
  <c r="I1311"/>
  <c r="I1312"/>
  <c r="I1316"/>
  <c r="I1317"/>
  <c r="I1318"/>
  <c r="I1319"/>
  <c r="I1322"/>
  <c r="I1323"/>
  <c r="I1324"/>
  <c r="I1331"/>
  <c r="I1332"/>
  <c r="I1128"/>
  <c r="I1127"/>
  <c r="I1132"/>
  <c r="I1129"/>
  <c r="I1130"/>
  <c r="I1131"/>
  <c r="I1802" i="132"/>
  <c r="I1803"/>
  <c r="I1095" i="192"/>
  <c r="I1093"/>
  <c r="I1094"/>
  <c r="I1096"/>
  <c r="I1097"/>
  <c r="I1098"/>
  <c r="I1772" i="132"/>
  <c r="I1773"/>
  <c r="I1774"/>
  <c r="I1775"/>
  <c r="I986" i="192"/>
  <c r="I985"/>
  <c r="I984"/>
  <c r="I982"/>
  <c r="I981"/>
  <c r="I980"/>
  <c r="I978"/>
  <c r="I974"/>
  <c r="I975"/>
  <c r="I976"/>
  <c r="I977"/>
  <c r="I979"/>
  <c r="I983"/>
  <c r="I523" i="194"/>
  <c r="I888" i="192"/>
  <c r="I887"/>
  <c r="I520" i="194"/>
  <c r="I519"/>
  <c r="I521"/>
  <c r="I881" i="192"/>
  <c r="I880"/>
  <c r="I872"/>
  <c r="I879"/>
  <c r="I878"/>
  <c r="I877"/>
  <c r="I876"/>
  <c r="I874"/>
  <c r="I875"/>
  <c r="I882"/>
  <c r="I869"/>
  <c r="I870"/>
  <c r="I871"/>
  <c r="I873"/>
  <c r="I883"/>
  <c r="I884"/>
  <c r="I885"/>
  <c r="I487" i="194"/>
  <c r="I485"/>
  <c r="I484"/>
  <c r="I812" i="192"/>
  <c r="I808"/>
  <c r="I806"/>
  <c r="I802"/>
  <c r="I800"/>
  <c r="I799"/>
  <c r="I794"/>
  <c r="I793"/>
  <c r="I792"/>
  <c r="I790"/>
  <c r="I789"/>
  <c r="I788"/>
  <c r="I786"/>
  <c r="I785"/>
  <c r="I784"/>
  <c r="I782"/>
  <c r="I781"/>
  <c r="I780"/>
  <c r="I779"/>
  <c r="I778"/>
  <c r="I776"/>
  <c r="I775"/>
  <c r="I774"/>
  <c r="I821"/>
  <c r="I820"/>
  <c r="I819"/>
  <c r="I818"/>
  <c r="I813"/>
  <c r="I814"/>
  <c r="I815"/>
  <c r="I816"/>
  <c r="I817"/>
  <c r="I809"/>
  <c r="I810"/>
  <c r="I811"/>
  <c r="I807"/>
  <c r="I783"/>
  <c r="I787"/>
  <c r="I777"/>
  <c r="I791"/>
  <c r="I795"/>
  <c r="I796"/>
  <c r="I797"/>
  <c r="I798"/>
  <c r="I801"/>
  <c r="I803"/>
  <c r="I804"/>
  <c r="I805"/>
  <c r="I650"/>
  <c r="I649"/>
  <c r="I628"/>
  <c r="I629"/>
  <c r="I630"/>
  <c r="I631"/>
  <c r="I632"/>
  <c r="I633"/>
  <c r="I634"/>
  <c r="I635"/>
  <c r="I625"/>
  <c r="I626"/>
  <c r="I627"/>
  <c r="I636"/>
  <c r="I637"/>
  <c r="I638"/>
  <c r="I639"/>
  <c r="I640"/>
  <c r="I641"/>
  <c r="I642"/>
  <c r="I643"/>
  <c r="I644"/>
  <c r="I645"/>
  <c r="I646"/>
  <c r="I647"/>
  <c r="I311"/>
  <c r="I312"/>
  <c r="I19" i="194"/>
  <c r="I305"/>
  <c r="I304"/>
  <c r="I303"/>
  <c r="I302"/>
  <c r="I512" i="192"/>
  <c r="I510"/>
  <c r="I508"/>
  <c r="I509"/>
  <c r="I511"/>
  <c r="I513"/>
  <c r="I514"/>
  <c r="I515"/>
  <c r="I516"/>
  <c r="I517"/>
  <c r="I518"/>
  <c r="I433"/>
  <c r="I432"/>
  <c r="I427"/>
  <c r="I430"/>
  <c r="I429"/>
  <c r="I426"/>
  <c r="I422"/>
  <c r="I420"/>
  <c r="M183" i="310" l="1"/>
  <c r="I419" i="192"/>
  <c r="I421"/>
  <c r="I423"/>
  <c r="I424"/>
  <c r="I425"/>
  <c r="I428"/>
  <c r="I247"/>
  <c r="I246"/>
  <c r="I244"/>
  <c r="I242"/>
  <c r="I257"/>
  <c r="I256"/>
  <c r="I243"/>
  <c r="I245"/>
  <c r="I248"/>
  <c r="I249"/>
  <c r="I250"/>
  <c r="I251"/>
  <c r="I252"/>
  <c r="I253"/>
  <c r="I254"/>
  <c r="I255"/>
  <c r="I503"/>
  <c r="I500"/>
  <c r="I499"/>
  <c r="I497"/>
  <c r="I496"/>
  <c r="I493"/>
  <c r="I492"/>
  <c r="I491"/>
  <c r="I495"/>
  <c r="I498"/>
  <c r="I501"/>
  <c r="I494"/>
  <c r="I502"/>
  <c r="I504"/>
  <c r="I505"/>
  <c r="I416"/>
  <c r="I412"/>
  <c r="I409"/>
  <c r="I408"/>
  <c r="I406"/>
  <c r="I405"/>
  <c r="I403"/>
  <c r="I402"/>
  <c r="I401"/>
  <c r="I400"/>
  <c r="I404"/>
  <c r="I407"/>
  <c r="I410"/>
  <c r="I411"/>
  <c r="I413"/>
  <c r="I414"/>
  <c r="I415"/>
  <c r="F3" i="198"/>
  <c r="E3"/>
  <c r="D3"/>
  <c r="C3"/>
  <c r="F32" i="272" l="1"/>
  <c r="F33" s="1"/>
  <c r="F183"/>
  <c r="K4" i="226" l="1"/>
  <c r="G25" i="131" l="1"/>
  <c r="G1147" i="309" l="1"/>
  <c r="C1147" s="1"/>
  <c r="G1146"/>
  <c r="C1146" s="1"/>
  <c r="G1144"/>
  <c r="C1144" s="1"/>
  <c r="I1544" i="306"/>
  <c r="G1143" i="309"/>
  <c r="C1143" s="1"/>
  <c r="I1534" i="306"/>
  <c r="G1141" i="309"/>
  <c r="C1141" s="1"/>
  <c r="I1524" i="306"/>
  <c r="I1523"/>
  <c r="I1522"/>
  <c r="I1517"/>
  <c r="I1512"/>
  <c r="I1502"/>
  <c r="G1140" i="309" s="1"/>
  <c r="C1140" s="1"/>
  <c r="G1135"/>
  <c r="C1135" s="1"/>
  <c r="G1134"/>
  <c r="C1134" s="1"/>
  <c r="I1487" i="306"/>
  <c r="G1130" i="309"/>
  <c r="C1130" s="1"/>
  <c r="I1472" i="306"/>
  <c r="I1467"/>
  <c r="G1125" i="309"/>
  <c r="C1125" s="1"/>
  <c r="G1124"/>
  <c r="C1124" s="1"/>
  <c r="I1437" i="306"/>
  <c r="I1432"/>
  <c r="G1121" i="309"/>
  <c r="C1121" s="1"/>
  <c r="I1417" i="306"/>
  <c r="I1412"/>
  <c r="I1395"/>
  <c r="G1116" i="309" s="1"/>
  <c r="C1116" s="1"/>
  <c r="I1390" i="306"/>
  <c r="I1385"/>
  <c r="I1375"/>
  <c r="I1360"/>
  <c r="I1359"/>
  <c r="I1358"/>
  <c r="I1342"/>
  <c r="I1336"/>
  <c r="I1331"/>
  <c r="I1326"/>
  <c r="I1321"/>
  <c r="I1316"/>
  <c r="I1311"/>
  <c r="I1306"/>
  <c r="I1301"/>
  <c r="I1296"/>
  <c r="G1091" i="309"/>
  <c r="C1091" s="1"/>
  <c r="I1270" i="306"/>
  <c r="I1265"/>
  <c r="G1089" i="309"/>
  <c r="C1089" s="1"/>
  <c r="F1234" i="306"/>
  <c r="I1234" s="1"/>
  <c r="I1218"/>
  <c r="I1208"/>
  <c r="I1191"/>
  <c r="I1189"/>
  <c r="I1188"/>
  <c r="I1183"/>
  <c r="I1178"/>
  <c r="I1177"/>
  <c r="I1176"/>
  <c r="I1175"/>
  <c r="I1161"/>
  <c r="I1156"/>
  <c r="I1155"/>
  <c r="I1154"/>
  <c r="I1144"/>
  <c r="I1139"/>
  <c r="I1134"/>
  <c r="I1129"/>
  <c r="I1125"/>
  <c r="I1116"/>
  <c r="I1115"/>
  <c r="I1110"/>
  <c r="I1109"/>
  <c r="I1102"/>
  <c r="G1063" i="309" s="1"/>
  <c r="C1063" s="1"/>
  <c r="I1097" i="306"/>
  <c r="I1082"/>
  <c r="G1057" i="309" s="1"/>
  <c r="C1057" s="1"/>
  <c r="I1077" i="306"/>
  <c r="I1072"/>
  <c r="I1067"/>
  <c r="I1062"/>
  <c r="I1052"/>
  <c r="I1053" s="1"/>
  <c r="G1053" i="309" s="1"/>
  <c r="C1053" s="1"/>
  <c r="I1045" i="306"/>
  <c r="I1044"/>
  <c r="I1043"/>
  <c r="I1038"/>
  <c r="I1037"/>
  <c r="I1036"/>
  <c r="I1035"/>
  <c r="I1030"/>
  <c r="I1029"/>
  <c r="I1028"/>
  <c r="I1027"/>
  <c r="I1022"/>
  <c r="I1021"/>
  <c r="I1020"/>
  <c r="I1019"/>
  <c r="I1014"/>
  <c r="I1013"/>
  <c r="I1008"/>
  <c r="I1007"/>
  <c r="I1002"/>
  <c r="I1001"/>
  <c r="I1000"/>
  <c r="I995"/>
  <c r="I994"/>
  <c r="I993"/>
  <c r="I988"/>
  <c r="I987"/>
  <c r="I986"/>
  <c r="I981"/>
  <c r="I980"/>
  <c r="I979"/>
  <c r="I974"/>
  <c r="I973"/>
  <c r="I972"/>
  <c r="I967"/>
  <c r="I966"/>
  <c r="I965"/>
  <c r="I960"/>
  <c r="I959"/>
  <c r="I954"/>
  <c r="I949"/>
  <c r="I948"/>
  <c r="I947"/>
  <c r="I942"/>
  <c r="I941"/>
  <c r="I940"/>
  <c r="I935"/>
  <c r="I934"/>
  <c r="I933"/>
  <c r="I932"/>
  <c r="I927"/>
  <c r="I926"/>
  <c r="I925"/>
  <c r="I924"/>
  <c r="I919"/>
  <c r="I918"/>
  <c r="I917"/>
  <c r="I912"/>
  <c r="I911"/>
  <c r="I910"/>
  <c r="I905"/>
  <c r="I904"/>
  <c r="I899"/>
  <c r="I894"/>
  <c r="I893"/>
  <c r="I892"/>
  <c r="I891"/>
  <c r="I886"/>
  <c r="I885"/>
  <c r="I880"/>
  <c r="I875"/>
  <c r="I870"/>
  <c r="I869"/>
  <c r="I868"/>
  <c r="I863"/>
  <c r="I862"/>
  <c r="I857"/>
  <c r="I856"/>
  <c r="I851"/>
  <c r="I846"/>
  <c r="I841"/>
  <c r="I840"/>
  <c r="I835"/>
  <c r="I834"/>
  <c r="I829"/>
  <c r="I824"/>
  <c r="I825" s="1"/>
  <c r="G1018" i="309" s="1"/>
  <c r="C1018" s="1"/>
  <c r="I816" i="306"/>
  <c r="I815"/>
  <c r="I814"/>
  <c r="I809"/>
  <c r="I808"/>
  <c r="I807"/>
  <c r="I806"/>
  <c r="I805"/>
  <c r="I800"/>
  <c r="I799"/>
  <c r="I798"/>
  <c r="I797"/>
  <c r="I796"/>
  <c r="I795"/>
  <c r="I790"/>
  <c r="I789"/>
  <c r="I788"/>
  <c r="I787"/>
  <c r="I786"/>
  <c r="I781"/>
  <c r="I780"/>
  <c r="I779"/>
  <c r="I778"/>
  <c r="I773"/>
  <c r="I772"/>
  <c r="I771"/>
  <c r="I766"/>
  <c r="I765"/>
  <c r="I764"/>
  <c r="I759"/>
  <c r="I758"/>
  <c r="I757"/>
  <c r="I752"/>
  <c r="I751"/>
  <c r="I750"/>
  <c r="I749"/>
  <c r="I744"/>
  <c r="I743"/>
  <c r="I742"/>
  <c r="I737"/>
  <c r="I736"/>
  <c r="I735"/>
  <c r="I730"/>
  <c r="I729"/>
  <c r="I728"/>
  <c r="I723"/>
  <c r="I722"/>
  <c r="I721"/>
  <c r="I716"/>
  <c r="I715"/>
  <c r="I714"/>
  <c r="I709"/>
  <c r="I708"/>
  <c r="I707"/>
  <c r="I702"/>
  <c r="I701"/>
  <c r="I700"/>
  <c r="I695"/>
  <c r="I694"/>
  <c r="I693"/>
  <c r="I692"/>
  <c r="I687"/>
  <c r="I686"/>
  <c r="I685"/>
  <c r="I684"/>
  <c r="I679"/>
  <c r="I678"/>
  <c r="I677"/>
  <c r="I672"/>
  <c r="I671"/>
  <c r="I666"/>
  <c r="I665"/>
  <c r="I664"/>
  <c r="I659"/>
  <c r="I658"/>
  <c r="I657"/>
  <c r="I652"/>
  <c r="I651"/>
  <c r="I646"/>
  <c r="I645"/>
  <c r="I640"/>
  <c r="I639"/>
  <c r="I634"/>
  <c r="I633"/>
  <c r="I628"/>
  <c r="I627"/>
  <c r="I622"/>
  <c r="I621"/>
  <c r="I616"/>
  <c r="I615"/>
  <c r="I610"/>
  <c r="I609"/>
  <c r="I604"/>
  <c r="I599"/>
  <c r="I598"/>
  <c r="I593"/>
  <c r="I588"/>
  <c r="I587"/>
  <c r="I582"/>
  <c r="I577"/>
  <c r="I578" s="1"/>
  <c r="G982" i="309" s="1"/>
  <c r="C982" s="1"/>
  <c r="I569" i="306"/>
  <c r="I564"/>
  <c r="G980" i="309" s="1"/>
  <c r="C980" s="1"/>
  <c r="I554" i="306"/>
  <c r="I435"/>
  <c r="I434"/>
  <c r="I433"/>
  <c r="I428"/>
  <c r="I427"/>
  <c r="I426"/>
  <c r="I421"/>
  <c r="I420"/>
  <c r="I419"/>
  <c r="I381"/>
  <c r="I380"/>
  <c r="I379"/>
  <c r="I374"/>
  <c r="I373"/>
  <c r="I372"/>
  <c r="I371"/>
  <c r="I367"/>
  <c r="I366"/>
  <c r="I365"/>
  <c r="I364"/>
  <c r="I359"/>
  <c r="I358"/>
  <c r="I357"/>
  <c r="I302"/>
  <c r="I301"/>
  <c r="I300"/>
  <c r="I254"/>
  <c r="I231"/>
  <c r="I230"/>
  <c r="I229"/>
  <c r="I228"/>
  <c r="I227"/>
  <c r="I226"/>
  <c r="I202"/>
  <c r="I197"/>
  <c r="I196"/>
  <c r="I195"/>
  <c r="I190"/>
  <c r="I189"/>
  <c r="I188"/>
  <c r="I187"/>
  <c r="I182"/>
  <c r="I181"/>
  <c r="I180"/>
  <c r="I175"/>
  <c r="I174"/>
  <c r="I173"/>
  <c r="I172"/>
  <c r="I167"/>
  <c r="I166"/>
  <c r="I165"/>
  <c r="I164"/>
  <c r="I159"/>
  <c r="I158"/>
  <c r="I157"/>
  <c r="I152"/>
  <c r="I151"/>
  <c r="I146"/>
  <c r="I145"/>
  <c r="I140"/>
  <c r="I139"/>
  <c r="I134"/>
  <c r="I133"/>
  <c r="I132"/>
  <c r="I131"/>
  <c r="I130"/>
  <c r="I125"/>
  <c r="I124"/>
  <c r="I123"/>
  <c r="I118"/>
  <c r="I117"/>
  <c r="F112"/>
  <c r="I112" s="1"/>
  <c r="F111"/>
  <c r="I111" s="1"/>
  <c r="I106"/>
  <c r="I105"/>
  <c r="I100"/>
  <c r="I99"/>
  <c r="I94"/>
  <c r="I93"/>
  <c r="I92"/>
  <c r="I91"/>
  <c r="I86"/>
  <c r="H85"/>
  <c r="I85" s="1"/>
  <c r="I82"/>
  <c r="I81"/>
  <c r="I78"/>
  <c r="I77"/>
  <c r="I76"/>
  <c r="I75"/>
  <c r="I74"/>
  <c r="I73"/>
  <c r="I72"/>
  <c r="I71"/>
  <c r="I66"/>
  <c r="I61"/>
  <c r="I55"/>
  <c r="I54"/>
  <c r="I49"/>
  <c r="I48"/>
  <c r="H43"/>
  <c r="I43" s="1"/>
  <c r="I42"/>
  <c r="I37"/>
  <c r="I36"/>
  <c r="I31"/>
  <c r="I30"/>
  <c r="I29"/>
  <c r="I28"/>
  <c r="I27"/>
  <c r="G928" i="309"/>
  <c r="C928" s="1"/>
  <c r="I11" i="306"/>
  <c r="I12" s="1"/>
  <c r="I13" s="1"/>
  <c r="L1583"/>
  <c r="H1583"/>
  <c r="L1582"/>
  <c r="H1582"/>
  <c r="L1581"/>
  <c r="H1581"/>
  <c r="C2"/>
  <c r="G268" i="218"/>
  <c r="G270"/>
  <c r="G271"/>
  <c r="G272"/>
  <c r="F21" i="198"/>
  <c r="E21"/>
  <c r="D21"/>
  <c r="C21"/>
  <c r="G981" i="309" l="1"/>
  <c r="C981" s="1"/>
  <c r="G1112"/>
  <c r="C1112" s="1"/>
  <c r="G1113"/>
  <c r="C1113" s="1"/>
  <c r="G1094"/>
  <c r="C1094" s="1"/>
  <c r="G1111"/>
  <c r="C1111" s="1"/>
  <c r="G1108"/>
  <c r="C1108" s="1"/>
  <c r="G1088"/>
  <c r="C1088" s="1"/>
  <c r="G1117"/>
  <c r="C1117" s="1"/>
  <c r="G1110"/>
  <c r="C1110" s="1"/>
  <c r="C43" i="264"/>
  <c r="F43" s="1"/>
  <c r="G968" i="309"/>
  <c r="C968" s="1"/>
  <c r="G1085"/>
  <c r="C1085" s="1"/>
  <c r="G1087"/>
  <c r="C1087" s="1"/>
  <c r="G1079"/>
  <c r="C1079" s="1"/>
  <c r="C42" i="264"/>
  <c r="F42" s="1"/>
  <c r="C30"/>
  <c r="F30" s="1"/>
  <c r="G956" i="309"/>
  <c r="C956" s="1"/>
  <c r="C33" i="264"/>
  <c r="F33" s="1"/>
  <c r="G959" i="309"/>
  <c r="C959" s="1"/>
  <c r="B21" i="198"/>
  <c r="G967" i="309" l="1"/>
  <c r="C967" s="1"/>
  <c r="M43" i="264"/>
  <c r="S43"/>
  <c r="M42"/>
  <c r="S42"/>
  <c r="N30"/>
  <c r="S30"/>
  <c r="N33"/>
  <c r="S33"/>
  <c r="I879" i="194"/>
  <c r="I880"/>
  <c r="I881"/>
  <c r="I2037" i="132"/>
  <c r="I2038"/>
  <c r="I2039"/>
  <c r="I2040"/>
  <c r="I2041"/>
  <c r="I2042"/>
  <c r="I2043"/>
  <c r="I2044"/>
  <c r="I2045"/>
  <c r="I2046"/>
  <c r="I2047"/>
  <c r="I2048"/>
  <c r="I2049"/>
  <c r="I2050"/>
  <c r="I2051"/>
  <c r="I2052"/>
  <c r="I1014" i="192"/>
  <c r="I1675" i="132"/>
  <c r="I1676"/>
  <c r="I1677"/>
  <c r="I1678"/>
  <c r="I1679"/>
  <c r="I943" i="192"/>
  <c r="I944"/>
  <c r="I945"/>
  <c r="I946"/>
  <c r="I947"/>
  <c r="I518" i="194"/>
  <c r="I486"/>
  <c r="I386"/>
  <c r="I387"/>
  <c r="I388"/>
  <c r="I331"/>
  <c r="I507" i="192"/>
  <c r="I418"/>
  <c r="I1526"/>
  <c r="I490"/>
  <c r="I399"/>
  <c r="M46" i="264" l="1"/>
  <c r="S46"/>
  <c r="S47" s="1"/>
  <c r="N46"/>
  <c r="I17" i="194"/>
  <c r="I310" i="192"/>
  <c r="I144"/>
  <c r="I143"/>
  <c r="I118"/>
  <c r="I116"/>
  <c r="I115"/>
  <c r="I72"/>
  <c r="I70"/>
  <c r="I69"/>
  <c r="I68"/>
  <c r="I67"/>
  <c r="I66"/>
  <c r="I64"/>
  <c r="I63"/>
  <c r="I62"/>
  <c r="H16" i="198"/>
  <c r="H9"/>
  <c r="H6"/>
  <c r="F1143" i="305"/>
  <c r="F1142"/>
  <c r="F1141"/>
  <c r="H3" i="198" l="1"/>
  <c r="H13"/>
  <c r="G3" i="305"/>
  <c r="C1143" l="1"/>
  <c r="C1142"/>
  <c r="C1141"/>
  <c r="G1127"/>
  <c r="D1126"/>
  <c r="D1125"/>
  <c r="D1124"/>
  <c r="D1123"/>
  <c r="D1122"/>
  <c r="D1121"/>
  <c r="D1120"/>
  <c r="D1119"/>
  <c r="D1118"/>
  <c r="D1117"/>
  <c r="D1116"/>
  <c r="D1115"/>
  <c r="D1114"/>
  <c r="D1113"/>
  <c r="D1112"/>
  <c r="D1111"/>
  <c r="D1110"/>
  <c r="D1109"/>
  <c r="D1108"/>
  <c r="D1107"/>
  <c r="D1106"/>
  <c r="D1105"/>
  <c r="D1104"/>
  <c r="D1103"/>
  <c r="D1102"/>
  <c r="D1101"/>
  <c r="D1100"/>
  <c r="D1099"/>
  <c r="D1098"/>
  <c r="D1097"/>
  <c r="D1096"/>
  <c r="D1095"/>
  <c r="D1094"/>
  <c r="D1093"/>
  <c r="D1092"/>
  <c r="D1091"/>
  <c r="D1090"/>
  <c r="D1089"/>
  <c r="D1088"/>
  <c r="D1087"/>
  <c r="D1086"/>
  <c r="D1085"/>
  <c r="D1084"/>
  <c r="D1083"/>
  <c r="D1082"/>
  <c r="D1081"/>
  <c r="D1080"/>
  <c r="D1079"/>
  <c r="D1078"/>
  <c r="D1077"/>
  <c r="D1076"/>
  <c r="D1075"/>
  <c r="D1074"/>
  <c r="D1073"/>
  <c r="D1072"/>
  <c r="D1071"/>
  <c r="D1070"/>
  <c r="D1069"/>
  <c r="D1068"/>
  <c r="D1067"/>
  <c r="D1066"/>
  <c r="D1065"/>
  <c r="D1064"/>
  <c r="D1063"/>
  <c r="D1062"/>
  <c r="D1061"/>
  <c r="D1060"/>
  <c r="D1059"/>
  <c r="D1058"/>
  <c r="D1057"/>
  <c r="D1056"/>
  <c r="D1055"/>
  <c r="D1054"/>
  <c r="D1053"/>
  <c r="D1052"/>
  <c r="D1051"/>
  <c r="D1050"/>
  <c r="D1049"/>
  <c r="D1048"/>
  <c r="D1047"/>
  <c r="D1046"/>
  <c r="D1045"/>
  <c r="D1044"/>
  <c r="D1043"/>
  <c r="D1042"/>
  <c r="D1041"/>
  <c r="D1040"/>
  <c r="D1039"/>
  <c r="D1038"/>
  <c r="D1037"/>
  <c r="D1036"/>
  <c r="D1035"/>
  <c r="D1034"/>
  <c r="D1033"/>
  <c r="D1032"/>
  <c r="D1030"/>
  <c r="D1029"/>
  <c r="D1028"/>
  <c r="D1027"/>
  <c r="D1026"/>
  <c r="D1025"/>
  <c r="D1024"/>
  <c r="D1023"/>
  <c r="D1022"/>
  <c r="D1021"/>
  <c r="D1020"/>
  <c r="D1019"/>
  <c r="D1018"/>
  <c r="D1017"/>
  <c r="D1016"/>
  <c r="D1015"/>
  <c r="D1014"/>
  <c r="D1013"/>
  <c r="D1012"/>
  <c r="D1011"/>
  <c r="D1010"/>
  <c r="D1009"/>
  <c r="D1008"/>
  <c r="D1007"/>
  <c r="D1006"/>
  <c r="D1005"/>
  <c r="D1004"/>
  <c r="D1003"/>
  <c r="D1002"/>
  <c r="D1001"/>
  <c r="D1000"/>
  <c r="D999"/>
  <c r="D998"/>
  <c r="D997"/>
  <c r="D995"/>
  <c r="D994"/>
  <c r="D993"/>
  <c r="D992"/>
  <c r="D991"/>
  <c r="D990"/>
  <c r="D989"/>
  <c r="D988"/>
  <c r="D987"/>
  <c r="D986"/>
  <c r="D985"/>
  <c r="D984"/>
  <c r="D983"/>
  <c r="D982"/>
  <c r="D981"/>
  <c r="D980"/>
  <c r="D979"/>
  <c r="D978"/>
  <c r="D977"/>
  <c r="D976"/>
  <c r="D975"/>
  <c r="D974"/>
  <c r="D973"/>
  <c r="D972"/>
  <c r="D971"/>
  <c r="D970"/>
  <c r="D969"/>
  <c r="D968"/>
  <c r="D967"/>
  <c r="D966"/>
  <c r="D965"/>
  <c r="D964"/>
  <c r="D963"/>
  <c r="D962"/>
  <c r="D961"/>
  <c r="D959"/>
  <c r="D958"/>
  <c r="D957"/>
  <c r="D956"/>
  <c r="D955"/>
  <c r="D954"/>
  <c r="D953"/>
  <c r="D952"/>
  <c r="D951"/>
  <c r="D950"/>
  <c r="D949"/>
  <c r="D948"/>
  <c r="D947"/>
  <c r="D946"/>
  <c r="D945"/>
  <c r="D944"/>
  <c r="D943"/>
  <c r="D942"/>
  <c r="D941"/>
  <c r="D940"/>
  <c r="D939"/>
  <c r="D938"/>
  <c r="D937"/>
  <c r="D936"/>
  <c r="D935"/>
  <c r="D934"/>
  <c r="D933"/>
  <c r="D932"/>
  <c r="D931"/>
  <c r="D930"/>
  <c r="D929"/>
  <c r="D928"/>
  <c r="D927"/>
  <c r="D926"/>
  <c r="D925"/>
  <c r="D924"/>
  <c r="D923"/>
  <c r="D922"/>
  <c r="D921"/>
  <c r="D920"/>
  <c r="D919"/>
  <c r="D918"/>
  <c r="D917"/>
  <c r="D916"/>
  <c r="D915"/>
  <c r="D914"/>
  <c r="D913"/>
  <c r="D912"/>
  <c r="D911"/>
  <c r="D910"/>
  <c r="D909"/>
  <c r="D908"/>
  <c r="D907"/>
  <c r="D906"/>
  <c r="D905"/>
  <c r="G1135"/>
  <c r="G1134"/>
  <c r="J1130"/>
  <c r="D902"/>
  <c r="D900"/>
  <c r="D898"/>
  <c r="D896"/>
  <c r="D895"/>
  <c r="D894"/>
  <c r="D893"/>
  <c r="D892"/>
  <c r="D890"/>
  <c r="D888"/>
  <c r="D887"/>
  <c r="D886"/>
  <c r="D885"/>
  <c r="D884"/>
  <c r="D882"/>
  <c r="D881"/>
  <c r="D880"/>
  <c r="D878"/>
  <c r="D876"/>
  <c r="D875"/>
  <c r="D874"/>
  <c r="D872"/>
  <c r="D871"/>
  <c r="D870"/>
  <c r="D869"/>
  <c r="D868"/>
  <c r="D867"/>
  <c r="D866"/>
  <c r="D864"/>
  <c r="D863"/>
  <c r="D862"/>
  <c r="D860"/>
  <c r="D858"/>
  <c r="D856"/>
  <c r="D855"/>
  <c r="D854"/>
  <c r="D853"/>
  <c r="D852"/>
  <c r="D850"/>
  <c r="D848"/>
  <c r="D847"/>
  <c r="D846"/>
  <c r="D844"/>
  <c r="D843"/>
  <c r="D842"/>
  <c r="D841"/>
  <c r="D840"/>
  <c r="D839"/>
  <c r="D838"/>
  <c r="D836"/>
  <c r="D835"/>
  <c r="D834"/>
  <c r="D832"/>
  <c r="D831"/>
  <c r="D830"/>
  <c r="D828"/>
  <c r="D827"/>
  <c r="D826"/>
  <c r="D825"/>
  <c r="D824"/>
  <c r="D823"/>
  <c r="D822"/>
  <c r="D820"/>
  <c r="D819"/>
  <c r="D818"/>
  <c r="D816"/>
  <c r="D815"/>
  <c r="D814"/>
  <c r="D812"/>
  <c r="D811"/>
  <c r="D810"/>
  <c r="D808"/>
  <c r="D806"/>
  <c r="D804"/>
  <c r="D802"/>
  <c r="D800"/>
  <c r="D798"/>
  <c r="D796"/>
  <c r="D795"/>
  <c r="D794"/>
  <c r="D793"/>
  <c r="D792"/>
  <c r="D791"/>
  <c r="D790"/>
  <c r="D788"/>
  <c r="D787"/>
  <c r="D786"/>
  <c r="D785"/>
  <c r="D784"/>
  <c r="D783"/>
  <c r="D782"/>
  <c r="D780"/>
  <c r="D779"/>
  <c r="D778"/>
  <c r="D776"/>
  <c r="D775"/>
  <c r="D774"/>
  <c r="D773"/>
  <c r="D772"/>
  <c r="D771"/>
  <c r="D770"/>
  <c r="D769"/>
  <c r="D768"/>
  <c r="D767"/>
  <c r="D766"/>
  <c r="D764"/>
  <c r="D763"/>
  <c r="D762"/>
  <c r="D760"/>
  <c r="D759"/>
  <c r="D758"/>
  <c r="D756"/>
  <c r="D755"/>
  <c r="D754"/>
  <c r="D752"/>
  <c r="D751"/>
  <c r="D750"/>
  <c r="D749"/>
  <c r="D748"/>
  <c r="D746"/>
  <c r="D744"/>
  <c r="D743"/>
  <c r="D742"/>
  <c r="D738"/>
  <c r="D737"/>
  <c r="D734"/>
  <c r="D733"/>
  <c r="D731"/>
  <c r="D730"/>
  <c r="D729"/>
  <c r="D727"/>
  <c r="D726"/>
  <c r="D725"/>
  <c r="D723"/>
  <c r="D722"/>
  <c r="D721"/>
  <c r="D719"/>
  <c r="D718"/>
  <c r="D717"/>
  <c r="D715"/>
  <c r="D714"/>
  <c r="D713"/>
  <c r="D711"/>
  <c r="D710"/>
  <c r="D709"/>
  <c r="D707"/>
  <c r="D706"/>
  <c r="D705"/>
  <c r="D703"/>
  <c r="D702"/>
  <c r="D701"/>
  <c r="D700"/>
  <c r="D699"/>
  <c r="D698"/>
  <c r="D697"/>
  <c r="D696"/>
  <c r="D695"/>
  <c r="D694"/>
  <c r="D693"/>
  <c r="D692"/>
  <c r="D691"/>
  <c r="D690"/>
  <c r="D689"/>
  <c r="D687"/>
  <c r="D686"/>
  <c r="D685"/>
  <c r="D683"/>
  <c r="D682"/>
  <c r="D681"/>
  <c r="D679"/>
  <c r="D678"/>
  <c r="D677"/>
  <c r="D675"/>
  <c r="D674"/>
  <c r="D673"/>
  <c r="D672"/>
  <c r="D671"/>
  <c r="D670"/>
  <c r="D669"/>
  <c r="D667"/>
  <c r="D665"/>
  <c r="D664"/>
  <c r="D662"/>
  <c r="D661"/>
  <c r="D660"/>
  <c r="D658"/>
  <c r="D657"/>
  <c r="D656"/>
  <c r="D655"/>
  <c r="D654"/>
  <c r="D653"/>
  <c r="D652"/>
  <c r="D650"/>
  <c r="D649"/>
  <c r="D648"/>
  <c r="D646"/>
  <c r="D645"/>
  <c r="D644"/>
  <c r="D642"/>
  <c r="D641"/>
  <c r="D640"/>
  <c r="D638"/>
  <c r="D637"/>
  <c r="D636"/>
  <c r="D635"/>
  <c r="D634"/>
  <c r="D633"/>
  <c r="D632"/>
  <c r="D630"/>
  <c r="D629"/>
  <c r="D628"/>
  <c r="D626"/>
  <c r="D625"/>
  <c r="D624"/>
  <c r="D623"/>
  <c r="D622"/>
  <c r="G621"/>
  <c r="D620"/>
  <c r="D619"/>
  <c r="D618"/>
  <c r="D617"/>
  <c r="D616"/>
  <c r="D615"/>
  <c r="D614"/>
  <c r="D613"/>
  <c r="D612"/>
  <c r="D611"/>
  <c r="D610"/>
  <c r="D609"/>
  <c r="D608"/>
  <c r="D607"/>
  <c r="D605"/>
  <c r="D604"/>
  <c r="D603"/>
  <c r="D602"/>
  <c r="D601"/>
  <c r="D600"/>
  <c r="D599"/>
  <c r="D597"/>
  <c r="D596"/>
  <c r="D595"/>
  <c r="D593"/>
  <c r="D592"/>
  <c r="D591"/>
  <c r="D590"/>
  <c r="D589"/>
  <c r="D588"/>
  <c r="D587"/>
  <c r="D586"/>
  <c r="D585"/>
  <c r="D584"/>
  <c r="D583"/>
  <c r="D582"/>
  <c r="D581"/>
  <c r="D580"/>
  <c r="D579"/>
  <c r="D577"/>
  <c r="D576"/>
  <c r="D575"/>
  <c r="D573"/>
  <c r="D572"/>
  <c r="D569"/>
  <c r="G568"/>
  <c r="D567"/>
  <c r="D566"/>
  <c r="D565"/>
  <c r="D564"/>
  <c r="D562"/>
  <c r="D561"/>
  <c r="D560"/>
  <c r="D559"/>
  <c r="D558"/>
  <c r="D556"/>
  <c r="D555"/>
  <c r="D554"/>
  <c r="D552"/>
  <c r="D551"/>
  <c r="D550"/>
  <c r="D548"/>
  <c r="D547"/>
  <c r="D546"/>
  <c r="D544"/>
  <c r="D543"/>
  <c r="D542"/>
  <c r="D541"/>
  <c r="D540"/>
  <c r="D539"/>
  <c r="D538"/>
  <c r="D537"/>
  <c r="D536"/>
  <c r="D535"/>
  <c r="D534"/>
  <c r="D533"/>
  <c r="D532"/>
  <c r="D531"/>
  <c r="D530"/>
  <c r="D529"/>
  <c r="D528"/>
  <c r="D527"/>
  <c r="D526"/>
  <c r="D524"/>
  <c r="D518"/>
  <c r="D517"/>
  <c r="D515"/>
  <c r="D514"/>
  <c r="D513"/>
  <c r="D511"/>
  <c r="D510"/>
  <c r="D509"/>
  <c r="D508"/>
  <c r="D507"/>
  <c r="D506"/>
  <c r="D505"/>
  <c r="D504"/>
  <c r="D503"/>
  <c r="D502"/>
  <c r="D501"/>
  <c r="D500"/>
  <c r="D499"/>
  <c r="D498"/>
  <c r="D497"/>
  <c r="D496"/>
  <c r="D495"/>
  <c r="D494"/>
  <c r="D493"/>
  <c r="D492"/>
  <c r="D491"/>
  <c r="D490"/>
  <c r="D489"/>
  <c r="D488"/>
  <c r="D487"/>
  <c r="D486"/>
  <c r="D485"/>
  <c r="D484"/>
  <c r="D483"/>
  <c r="D482"/>
  <c r="D481"/>
  <c r="D480"/>
  <c r="D479"/>
  <c r="D478"/>
  <c r="D477"/>
  <c r="D476"/>
  <c r="D475"/>
  <c r="D474"/>
  <c r="D473"/>
  <c r="D472"/>
  <c r="D471"/>
  <c r="D470"/>
  <c r="D469"/>
  <c r="D468"/>
  <c r="D467"/>
  <c r="D466"/>
  <c r="D465"/>
  <c r="D464"/>
  <c r="D463"/>
  <c r="D462"/>
  <c r="D461"/>
  <c r="D459"/>
  <c r="D458"/>
  <c r="D457"/>
  <c r="D455"/>
  <c r="D454"/>
  <c r="D453"/>
  <c r="D452"/>
  <c r="D451"/>
  <c r="D450"/>
  <c r="D449"/>
  <c r="D448"/>
  <c r="D447"/>
  <c r="D446"/>
  <c r="D445"/>
  <c r="D443"/>
  <c r="D442"/>
  <c r="D441"/>
  <c r="D440"/>
  <c r="D439"/>
  <c r="D438"/>
  <c r="D437"/>
  <c r="D436"/>
  <c r="D434"/>
  <c r="D433"/>
  <c r="D431"/>
  <c r="D430"/>
  <c r="D429"/>
  <c r="D426"/>
  <c r="D425"/>
  <c r="D424"/>
  <c r="D423"/>
  <c r="D422"/>
  <c r="D421"/>
  <c r="D419"/>
  <c r="D418"/>
  <c r="D417"/>
  <c r="D416"/>
  <c r="D415"/>
  <c r="D414"/>
  <c r="D413"/>
  <c r="D412"/>
  <c r="D411"/>
  <c r="D410"/>
  <c r="D409"/>
  <c r="D408"/>
  <c r="D407"/>
  <c r="D406"/>
  <c r="D405"/>
  <c r="D404"/>
  <c r="D403"/>
  <c r="D402"/>
  <c r="D401"/>
  <c r="D400"/>
  <c r="D399"/>
  <c r="D398"/>
  <c r="D397"/>
  <c r="D396"/>
  <c r="D395"/>
  <c r="D394"/>
  <c r="D393"/>
  <c r="D390"/>
  <c r="D389"/>
  <c r="D386"/>
  <c r="D385"/>
  <c r="D384"/>
  <c r="G382"/>
  <c r="D377"/>
  <c r="D376"/>
  <c r="D374"/>
  <c r="D373"/>
  <c r="D372"/>
  <c r="D370"/>
  <c r="D369"/>
  <c r="D368"/>
  <c r="D366"/>
  <c r="D365"/>
  <c r="D364"/>
  <c r="D363"/>
  <c r="D362"/>
  <c r="D361"/>
  <c r="D360"/>
  <c r="D359"/>
  <c r="D358"/>
  <c r="D356"/>
  <c r="D354"/>
  <c r="D352"/>
  <c r="D350"/>
  <c r="D349"/>
  <c r="D348"/>
  <c r="D346"/>
  <c r="D345"/>
  <c r="D344"/>
  <c r="D342"/>
  <c r="D341"/>
  <c r="D340"/>
  <c r="D338"/>
  <c r="D337"/>
  <c r="D336"/>
  <c r="D334"/>
  <c r="D333"/>
  <c r="D332"/>
  <c r="D330"/>
  <c r="D329"/>
  <c r="D328"/>
  <c r="D326"/>
  <c r="D325"/>
  <c r="D324"/>
  <c r="D323"/>
  <c r="D322"/>
  <c r="D321"/>
  <c r="D320"/>
  <c r="D318"/>
  <c r="D317"/>
  <c r="D316"/>
  <c r="D314"/>
  <c r="D313"/>
  <c r="D312"/>
  <c r="D311"/>
  <c r="D310"/>
  <c r="D309"/>
  <c r="D308"/>
  <c r="D307"/>
  <c r="D306"/>
  <c r="D305"/>
  <c r="D304"/>
  <c r="D302"/>
  <c r="D301"/>
  <c r="D300"/>
  <c r="D299"/>
  <c r="D298"/>
  <c r="D297"/>
  <c r="D296"/>
  <c r="D295"/>
  <c r="D294"/>
  <c r="D293"/>
  <c r="D292"/>
  <c r="D291"/>
  <c r="D289"/>
  <c r="D288"/>
  <c r="D287"/>
  <c r="D286"/>
  <c r="D285"/>
  <c r="D284"/>
  <c r="D283"/>
  <c r="D281"/>
  <c r="D280"/>
  <c r="D279"/>
  <c r="D278"/>
  <c r="D277"/>
  <c r="D276"/>
  <c r="D275"/>
  <c r="D273"/>
  <c r="D272"/>
  <c r="D269"/>
  <c r="D268"/>
  <c r="D265"/>
  <c r="D264"/>
  <c r="D263"/>
  <c r="D262"/>
  <c r="D261"/>
  <c r="D260"/>
  <c r="D259"/>
  <c r="D258"/>
  <c r="D257"/>
  <c r="D256"/>
  <c r="D255"/>
  <c r="D253"/>
  <c r="D252"/>
  <c r="D251"/>
  <c r="D250"/>
  <c r="D249"/>
  <c r="D248"/>
  <c r="D247"/>
  <c r="D245"/>
  <c r="D244"/>
  <c r="D243"/>
  <c r="D241"/>
  <c r="D240"/>
  <c r="D239"/>
  <c r="G237"/>
  <c r="D231"/>
  <c r="D230"/>
  <c r="D229"/>
  <c r="D228"/>
  <c r="D227"/>
  <c r="D226"/>
  <c r="D225"/>
  <c r="D224"/>
  <c r="D223"/>
  <c r="D222"/>
  <c r="D221"/>
  <c r="D219"/>
  <c r="D218"/>
  <c r="D217"/>
  <c r="D215"/>
  <c r="D213"/>
  <c r="D211"/>
  <c r="D209"/>
  <c r="D208"/>
  <c r="D207"/>
  <c r="D206"/>
  <c r="D205"/>
  <c r="D204"/>
  <c r="D203"/>
  <c r="D201"/>
  <c r="D200"/>
  <c r="D199"/>
  <c r="D197"/>
  <c r="D196"/>
  <c r="D195"/>
  <c r="D193"/>
  <c r="D192"/>
  <c r="D191"/>
  <c r="D190"/>
  <c r="D189"/>
  <c r="D188"/>
  <c r="D187"/>
  <c r="D186"/>
  <c r="D185"/>
  <c r="D184"/>
  <c r="D183"/>
  <c r="D182"/>
  <c r="D181"/>
  <c r="D180"/>
  <c r="D179"/>
  <c r="D178"/>
  <c r="D177"/>
  <c r="D176"/>
  <c r="D175"/>
  <c r="D174"/>
  <c r="D173"/>
  <c r="D172"/>
  <c r="D171"/>
  <c r="D169"/>
  <c r="D168"/>
  <c r="D167"/>
  <c r="D165"/>
  <c r="D164"/>
  <c r="D163"/>
  <c r="D161"/>
  <c r="D160"/>
  <c r="D159"/>
  <c r="D157"/>
  <c r="D156"/>
  <c r="D155"/>
  <c r="D153"/>
  <c r="D152"/>
  <c r="D151"/>
  <c r="D149"/>
  <c r="D148"/>
  <c r="D147"/>
  <c r="D145"/>
  <c r="D144"/>
  <c r="D143"/>
  <c r="D141"/>
  <c r="D140"/>
  <c r="D139"/>
  <c r="D137"/>
  <c r="D136"/>
  <c r="D135"/>
  <c r="D134"/>
  <c r="D133"/>
  <c r="D132"/>
  <c r="D131"/>
  <c r="D130"/>
  <c r="D129"/>
  <c r="D128"/>
  <c r="D127"/>
  <c r="D125"/>
  <c r="D124"/>
  <c r="D123"/>
  <c r="D122"/>
  <c r="D121"/>
  <c r="D120"/>
  <c r="D119"/>
  <c r="D118"/>
  <c r="D117"/>
  <c r="D116"/>
  <c r="D115"/>
  <c r="D114"/>
  <c r="D112"/>
  <c r="D111"/>
  <c r="D108"/>
  <c r="D107"/>
  <c r="D104"/>
  <c r="D103"/>
  <c r="D102"/>
  <c r="D101"/>
  <c r="D100"/>
  <c r="D99"/>
  <c r="D98"/>
  <c r="D97"/>
  <c r="D96"/>
  <c r="D95"/>
  <c r="D93"/>
  <c r="D92"/>
  <c r="D91"/>
  <c r="D89"/>
  <c r="D87"/>
  <c r="D83"/>
  <c r="D82"/>
  <c r="D80"/>
  <c r="D79"/>
  <c r="D78"/>
  <c r="D77"/>
  <c r="D76"/>
  <c r="D75"/>
  <c r="D74"/>
  <c r="D73"/>
  <c r="D72"/>
  <c r="D71"/>
  <c r="D69"/>
  <c r="D68"/>
  <c r="D67"/>
  <c r="D66"/>
  <c r="D64"/>
  <c r="D63"/>
  <c r="D60"/>
  <c r="D59"/>
  <c r="D58"/>
  <c r="D56"/>
  <c r="D55"/>
  <c r="D54"/>
  <c r="D52"/>
  <c r="D51"/>
  <c r="D50"/>
  <c r="D48"/>
  <c r="D47"/>
  <c r="D46"/>
  <c r="D44"/>
  <c r="D43"/>
  <c r="D42"/>
  <c r="D40"/>
  <c r="D39"/>
  <c r="D38"/>
  <c r="D36"/>
  <c r="D35"/>
  <c r="D34"/>
  <c r="D32"/>
  <c r="D31"/>
  <c r="D30"/>
  <c r="D29"/>
  <c r="D28"/>
  <c r="D27"/>
  <c r="D25"/>
  <c r="D24"/>
  <c r="D23"/>
  <c r="D22"/>
  <c r="D21"/>
  <c r="D20"/>
  <c r="D19"/>
  <c r="D15"/>
  <c r="D14"/>
  <c r="D11"/>
  <c r="D10"/>
  <c r="D9"/>
  <c r="A2"/>
  <c r="C17" i="302"/>
  <c r="E17" s="1"/>
  <c r="H120" i="139"/>
  <c r="D33" i="307" l="1"/>
  <c r="E33" s="1"/>
  <c r="F905" i="195"/>
  <c r="F238" i="140"/>
  <c r="J238"/>
  <c r="F912"/>
  <c r="J912"/>
  <c r="F745"/>
  <c r="J745"/>
  <c r="F570"/>
  <c r="J570"/>
  <c r="F914"/>
  <c r="F913"/>
  <c r="F907"/>
  <c r="F911"/>
  <c r="F899"/>
  <c r="F883"/>
  <c r="F875"/>
  <c r="F871"/>
  <c r="F867"/>
  <c r="F859"/>
  <c r="F855"/>
  <c r="F839"/>
  <c r="F811"/>
  <c r="F807"/>
  <c r="F803"/>
  <c r="F799"/>
  <c r="F791"/>
  <c r="F787"/>
  <c r="F755"/>
  <c r="F751"/>
  <c r="F747"/>
  <c r="F741"/>
  <c r="F737"/>
  <c r="F733"/>
  <c r="F729"/>
  <c r="F725"/>
  <c r="F721"/>
  <c r="F717"/>
  <c r="F713"/>
  <c r="F709"/>
  <c r="F697"/>
  <c r="F696"/>
  <c r="F695"/>
  <c r="F691"/>
  <c r="F690"/>
  <c r="F686"/>
  <c r="F678"/>
  <c r="F670"/>
  <c r="F669"/>
  <c r="F665"/>
  <c r="F661"/>
  <c r="F657"/>
  <c r="F653"/>
  <c r="F649"/>
  <c r="F645"/>
  <c r="F636"/>
  <c r="F641"/>
  <c r="F640"/>
  <c r="F628"/>
  <c r="F624"/>
  <c r="F571"/>
  <c r="F562"/>
  <c r="F558"/>
  <c r="F554"/>
  <c r="F526"/>
  <c r="F380"/>
  <c r="F376"/>
  <c r="F372"/>
  <c r="F356"/>
  <c r="F352"/>
  <c r="F332"/>
  <c r="F328"/>
  <c r="F316"/>
  <c r="F320"/>
  <c r="F304"/>
  <c r="F292"/>
  <c r="F284"/>
  <c r="F280"/>
  <c r="F272"/>
  <c r="F268"/>
  <c r="F256"/>
  <c r="F248"/>
  <c r="F244"/>
  <c r="F240"/>
  <c r="F194"/>
  <c r="F214"/>
  <c r="F210"/>
  <c r="F202"/>
  <c r="F198"/>
  <c r="F186"/>
  <c r="F150"/>
  <c r="F146"/>
  <c r="F142"/>
  <c r="F138"/>
  <c r="F126"/>
  <c r="F114"/>
  <c r="F110"/>
  <c r="F106"/>
  <c r="F86"/>
  <c r="F82"/>
  <c r="F66"/>
  <c r="F62"/>
  <c r="F58"/>
  <c r="F54"/>
  <c r="F50"/>
  <c r="F46"/>
  <c r="F42"/>
  <c r="F38"/>
  <c r="F37"/>
  <c r="F33"/>
  <c r="F17"/>
  <c r="F13"/>
  <c r="O912" l="1"/>
  <c r="L745"/>
  <c r="L238"/>
  <c r="O745"/>
  <c r="O238"/>
  <c r="L912"/>
  <c r="K238"/>
  <c r="K912"/>
  <c r="K745"/>
  <c r="L570"/>
  <c r="O570"/>
  <c r="K570"/>
  <c r="D903" i="305" l="1"/>
  <c r="D899"/>
  <c r="D883"/>
  <c r="D879"/>
  <c r="D859"/>
  <c r="D851"/>
  <c r="D807"/>
  <c r="D803"/>
  <c r="D799"/>
  <c r="D837"/>
  <c r="D829"/>
  <c r="D821"/>
  <c r="D801"/>
  <c r="D777"/>
  <c r="D765"/>
  <c r="D736"/>
  <c r="D732"/>
  <c r="D728"/>
  <c r="D724"/>
  <c r="D720"/>
  <c r="D716"/>
  <c r="D712"/>
  <c r="D708"/>
  <c r="D704"/>
  <c r="D676"/>
  <c r="D631"/>
  <c r="D627"/>
  <c r="D563"/>
  <c r="D571"/>
  <c r="D594"/>
  <c r="D578"/>
  <c r="D553"/>
  <c r="D549"/>
  <c r="L2048" i="304"/>
  <c r="H2048"/>
  <c r="L2047"/>
  <c r="H2047"/>
  <c r="L2046"/>
  <c r="H2046"/>
  <c r="C2"/>
  <c r="J924" i="140"/>
  <c r="F924" i="309" s="1"/>
  <c r="F923" l="1"/>
  <c r="K923" s="1"/>
  <c r="O923" i="140"/>
  <c r="L924" i="309"/>
  <c r="K924"/>
  <c r="D735" i="305"/>
  <c r="G741" i="309"/>
  <c r="D891" i="305"/>
  <c r="D747"/>
  <c r="D574"/>
  <c r="D741"/>
  <c r="D684"/>
  <c r="D809"/>
  <c r="D817"/>
  <c r="D753"/>
  <c r="D789"/>
  <c r="D805"/>
  <c r="D813"/>
  <c r="D897"/>
  <c r="D639"/>
  <c r="D688"/>
  <c r="D873"/>
  <c r="D861"/>
  <c r="D901"/>
  <c r="D659"/>
  <c r="D668"/>
  <c r="D865"/>
  <c r="D797"/>
  <c r="D849"/>
  <c r="D877"/>
  <c r="D545"/>
  <c r="D525"/>
  <c r="D606"/>
  <c r="D757"/>
  <c r="D761"/>
  <c r="D643"/>
  <c r="D647"/>
  <c r="D651"/>
  <c r="D680"/>
  <c r="D570"/>
  <c r="D781"/>
  <c r="C2" i="303"/>
  <c r="F4"/>
  <c r="L923" i="309" l="1"/>
  <c r="C741"/>
  <c r="D745" i="305"/>
  <c r="D557"/>
  <c r="D663"/>
  <c r="D833"/>
  <c r="D857"/>
  <c r="D845"/>
  <c r="D598"/>
  <c r="D889"/>
  <c r="D740"/>
  <c r="N3" i="240"/>
  <c r="N3" i="226"/>
  <c r="I483" i="194" l="1"/>
  <c r="I385"/>
  <c r="D427" i="305"/>
  <c r="I84" i="194"/>
  <c r="D391" i="305" s="1"/>
  <c r="D383"/>
  <c r="I1423" i="192"/>
  <c r="I1424"/>
  <c r="I1425"/>
  <c r="I1426"/>
  <c r="I1427"/>
  <c r="I1305"/>
  <c r="I1188"/>
  <c r="I1187"/>
  <c r="I1186"/>
  <c r="I1185"/>
  <c r="I1161"/>
  <c r="I1160"/>
  <c r="I1159"/>
  <c r="I1158"/>
  <c r="I1055"/>
  <c r="I1054"/>
  <c r="I1052"/>
  <c r="I1051"/>
  <c r="I1015"/>
  <c r="I1013"/>
  <c r="I1012"/>
  <c r="I973"/>
  <c r="I942"/>
  <c r="I868"/>
  <c r="I773"/>
  <c r="I624"/>
  <c r="I305"/>
  <c r="I304"/>
  <c r="D270" i="305"/>
  <c r="I2396" i="132"/>
  <c r="I1733"/>
  <c r="I1732"/>
  <c r="I1731"/>
  <c r="I1730"/>
  <c r="I1728"/>
  <c r="I1727"/>
  <c r="I1674"/>
  <c r="I1603"/>
  <c r="I1547"/>
  <c r="D45" i="305"/>
  <c r="C83" i="310" l="1"/>
  <c r="F83" s="1"/>
  <c r="G151" i="309"/>
  <c r="C151" s="1"/>
  <c r="C82" i="310"/>
  <c r="F82" s="1"/>
  <c r="G147" i="309"/>
  <c r="C147" s="1"/>
  <c r="C80" i="310"/>
  <c r="F80" s="1"/>
  <c r="G143" i="309"/>
  <c r="C143" s="1"/>
  <c r="C76" i="310"/>
  <c r="F76" s="1"/>
  <c r="G127" i="309"/>
  <c r="C127" s="1"/>
  <c r="C79" i="310"/>
  <c r="F79" s="1"/>
  <c r="G139" i="309"/>
  <c r="C139" s="1"/>
  <c r="D146" i="305"/>
  <c r="D242"/>
  <c r="D254"/>
  <c r="D246"/>
  <c r="D210"/>
  <c r="D516"/>
  <c r="D375"/>
  <c r="D512"/>
  <c r="D367"/>
  <c r="D335"/>
  <c r="D331"/>
  <c r="D150"/>
  <c r="D106"/>
  <c r="D142"/>
  <c r="D13"/>
  <c r="D198"/>
  <c r="D202"/>
  <c r="D460"/>
  <c r="D444"/>
  <c r="D456"/>
  <c r="D435"/>
  <c r="D387"/>
  <c r="D371"/>
  <c r="D355"/>
  <c r="D351"/>
  <c r="D339"/>
  <c r="D327"/>
  <c r="D319"/>
  <c r="D315"/>
  <c r="D290"/>
  <c r="D303"/>
  <c r="D282"/>
  <c r="D274"/>
  <c r="D266"/>
  <c r="D238"/>
  <c r="D194"/>
  <c r="D158"/>
  <c r="D154"/>
  <c r="D138"/>
  <c r="D126"/>
  <c r="D110"/>
  <c r="D18"/>
  <c r="D81"/>
  <c r="D85"/>
  <c r="D105"/>
  <c r="D113"/>
  <c r="D109"/>
  <c r="D61"/>
  <c r="D65"/>
  <c r="D57"/>
  <c r="D37"/>
  <c r="D49"/>
  <c r="D53"/>
  <c r="D41"/>
  <c r="D12"/>
  <c r="D17"/>
  <c r="D33"/>
  <c r="S83" i="310" l="1"/>
  <c r="M83"/>
  <c r="S82"/>
  <c r="M82"/>
  <c r="S80"/>
  <c r="N80"/>
  <c r="N76"/>
  <c r="S76"/>
  <c r="N79"/>
  <c r="S79"/>
  <c r="E18" i="302"/>
  <c r="N10"/>
  <c r="M10"/>
  <c r="F27"/>
  <c r="E27"/>
  <c r="D27"/>
  <c r="C27"/>
  <c r="B27"/>
  <c r="C16"/>
  <c r="E16" l="1"/>
  <c r="E19" s="1"/>
  <c r="C19"/>
  <c r="E57" i="171"/>
  <c r="E56"/>
  <c r="E55"/>
  <c r="F904" i="195" l="1"/>
  <c r="J904" s="1"/>
  <c r="I904"/>
  <c r="J919" i="140"/>
  <c r="L919" l="1"/>
  <c r="F919" i="309"/>
  <c r="O919" i="140"/>
  <c r="K919"/>
  <c r="K919" i="309" l="1"/>
  <c r="O919"/>
  <c r="L919"/>
  <c r="D960" i="305"/>
  <c r="D996"/>
  <c r="D1031"/>
  <c r="I2036" i="132"/>
  <c r="I2205"/>
  <c r="I2204"/>
  <c r="I2203"/>
  <c r="I2202"/>
  <c r="I2201"/>
  <c r="I2200"/>
  <c r="I2199"/>
  <c r="I2198"/>
  <c r="I2197"/>
  <c r="I2196"/>
  <c r="I2195"/>
  <c r="I2194"/>
  <c r="I2193"/>
  <c r="I2192"/>
  <c r="I2191"/>
  <c r="I2190"/>
  <c r="I2189"/>
  <c r="I2188"/>
  <c r="I2187"/>
  <c r="I2186"/>
  <c r="I2185"/>
  <c r="I2184"/>
  <c r="I2183"/>
  <c r="I2182"/>
  <c r="I2181"/>
  <c r="I2180"/>
  <c r="I2179"/>
  <c r="I2178"/>
  <c r="I2177"/>
  <c r="I2176"/>
  <c r="I2175"/>
  <c r="I2174"/>
  <c r="I2173"/>
  <c r="I2172"/>
  <c r="I2171"/>
  <c r="I2170"/>
  <c r="I2169"/>
  <c r="I2168"/>
  <c r="I2167"/>
  <c r="I2166"/>
  <c r="I2165"/>
  <c r="I2164"/>
  <c r="I2163"/>
  <c r="I2162"/>
  <c r="I2161"/>
  <c r="I2160"/>
  <c r="I2159"/>
  <c r="I2158"/>
  <c r="I2157"/>
  <c r="I2156"/>
  <c r="I2155"/>
  <c r="I2154"/>
  <c r="I2153"/>
  <c r="I2152"/>
  <c r="I2151"/>
  <c r="I2150"/>
  <c r="I2290"/>
  <c r="H2289"/>
  <c r="I2289" s="1"/>
  <c r="I2288"/>
  <c r="I2287"/>
  <c r="I2286"/>
  <c r="I2285"/>
  <c r="I2284"/>
  <c r="I2283"/>
  <c r="I2282"/>
  <c r="I2281"/>
  <c r="I2280"/>
  <c r="I2279"/>
  <c r="I2278"/>
  <c r="I2277"/>
  <c r="I2276"/>
  <c r="I2275"/>
  <c r="I2274"/>
  <c r="I2273"/>
  <c r="I2272"/>
  <c r="I2271"/>
  <c r="I2270"/>
  <c r="I2269"/>
  <c r="I2268"/>
  <c r="I2267"/>
  <c r="I2266"/>
  <c r="I2265"/>
  <c r="I1480"/>
  <c r="I1479"/>
  <c r="I1478"/>
  <c r="H1477"/>
  <c r="I1477" s="1"/>
  <c r="I1476"/>
  <c r="I1475"/>
  <c r="I1474"/>
  <c r="I1473"/>
  <c r="I1472"/>
  <c r="I1471"/>
  <c r="I1470"/>
  <c r="I1469"/>
  <c r="I1468"/>
  <c r="I1467"/>
  <c r="I1466"/>
  <c r="I1429"/>
  <c r="I1428"/>
  <c r="I1427"/>
  <c r="I1426"/>
  <c r="I1425"/>
  <c r="I1424"/>
  <c r="I1423"/>
  <c r="I1422"/>
  <c r="I1421"/>
  <c r="I1420"/>
  <c r="I1419"/>
  <c r="I1418"/>
  <c r="I1417"/>
  <c r="I1416"/>
  <c r="I1415"/>
  <c r="I1414"/>
  <c r="I1413"/>
  <c r="I1412"/>
  <c r="I1411"/>
  <c r="I1410"/>
  <c r="I1409"/>
  <c r="I1408"/>
  <c r="I1407"/>
  <c r="I1406"/>
  <c r="I1405"/>
  <c r="I1404"/>
  <c r="I1403"/>
  <c r="I1402"/>
  <c r="I1401"/>
  <c r="I1400"/>
  <c r="I1399"/>
  <c r="I1398"/>
  <c r="I1397"/>
  <c r="I1396"/>
  <c r="I1395"/>
  <c r="I1394"/>
  <c r="I1393"/>
  <c r="I1392"/>
  <c r="I1391"/>
  <c r="I1390"/>
  <c r="I1389"/>
  <c r="I1388"/>
  <c r="I1387"/>
  <c r="I1386"/>
  <c r="I1385"/>
  <c r="I1384"/>
  <c r="I1383"/>
  <c r="I1382"/>
  <c r="I1245"/>
  <c r="I1244"/>
  <c r="I1243"/>
  <c r="I1242"/>
  <c r="I1241"/>
  <c r="I1240"/>
  <c r="I1239"/>
  <c r="I1238"/>
  <c r="I1237"/>
  <c r="I1236"/>
  <c r="I1235"/>
  <c r="I1234"/>
  <c r="I1233"/>
  <c r="I1232"/>
  <c r="I1231"/>
  <c r="I1230"/>
  <c r="I1229"/>
  <c r="I1228"/>
  <c r="I1227"/>
  <c r="I1226"/>
  <c r="I1225"/>
  <c r="I1224"/>
  <c r="I1223"/>
  <c r="I1169"/>
  <c r="I954"/>
  <c r="I953"/>
  <c r="D90" i="305"/>
  <c r="C62" i="310" l="1"/>
  <c r="F62" s="1"/>
  <c r="C63"/>
  <c r="F63" s="1"/>
  <c r="G71" i="309"/>
  <c r="C71" s="1"/>
  <c r="D70" i="305"/>
  <c r="D26"/>
  <c r="D86"/>
  <c r="C907" i="195"/>
  <c r="I907" s="1"/>
  <c r="C909"/>
  <c r="I909" s="1"/>
  <c r="C910"/>
  <c r="I910" s="1"/>
  <c r="C911"/>
  <c r="I911" s="1"/>
  <c r="C912"/>
  <c r="I912" s="1"/>
  <c r="C913"/>
  <c r="I913" s="1"/>
  <c r="C914"/>
  <c r="I914" s="1"/>
  <c r="C915"/>
  <c r="I915" s="1"/>
  <c r="C916"/>
  <c r="I916" s="1"/>
  <c r="C917"/>
  <c r="I917" s="1"/>
  <c r="C918"/>
  <c r="I918" s="1"/>
  <c r="C919"/>
  <c r="I919" s="1"/>
  <c r="C920"/>
  <c r="I920" s="1"/>
  <c r="C921"/>
  <c r="I921" s="1"/>
  <c r="C922"/>
  <c r="I922" s="1"/>
  <c r="C923"/>
  <c r="I923" s="1"/>
  <c r="C924"/>
  <c r="I924" s="1"/>
  <c r="C925"/>
  <c r="I925" s="1"/>
  <c r="C926"/>
  <c r="I926" s="1"/>
  <c r="C927"/>
  <c r="I927" s="1"/>
  <c r="C928"/>
  <c r="I928" s="1"/>
  <c r="C929"/>
  <c r="I929" s="1"/>
  <c r="C930"/>
  <c r="I930" s="1"/>
  <c r="C931"/>
  <c r="I931" s="1"/>
  <c r="C932"/>
  <c r="I932" s="1"/>
  <c r="C933"/>
  <c r="I933" s="1"/>
  <c r="C934"/>
  <c r="I934" s="1"/>
  <c r="C935"/>
  <c r="I935" s="1"/>
  <c r="C936"/>
  <c r="I936" s="1"/>
  <c r="C937"/>
  <c r="I937" s="1"/>
  <c r="C938"/>
  <c r="I938" s="1"/>
  <c r="C939"/>
  <c r="I939" s="1"/>
  <c r="C940"/>
  <c r="I940" s="1"/>
  <c r="C943"/>
  <c r="I943" s="1"/>
  <c r="C944"/>
  <c r="I944" s="1"/>
  <c r="C945"/>
  <c r="I945" s="1"/>
  <c r="C946"/>
  <c r="I946" s="1"/>
  <c r="C949"/>
  <c r="I949" s="1"/>
  <c r="C950"/>
  <c r="I950" s="1"/>
  <c r="C951"/>
  <c r="I951" s="1"/>
  <c r="C952"/>
  <c r="I952" s="1"/>
  <c r="C953"/>
  <c r="I953" s="1"/>
  <c r="C954"/>
  <c r="I954" s="1"/>
  <c r="C955"/>
  <c r="I955" s="1"/>
  <c r="C956"/>
  <c r="I956" s="1"/>
  <c r="C957"/>
  <c r="I957" s="1"/>
  <c r="C958"/>
  <c r="I958" s="1"/>
  <c r="C959"/>
  <c r="I959" s="1"/>
  <c r="C963"/>
  <c r="I963" s="1"/>
  <c r="C964"/>
  <c r="I964" s="1"/>
  <c r="C965"/>
  <c r="I965" s="1"/>
  <c r="C966"/>
  <c r="I966" s="1"/>
  <c r="C967"/>
  <c r="I967" s="1"/>
  <c r="C968"/>
  <c r="I968" s="1"/>
  <c r="C969"/>
  <c r="I969" s="1"/>
  <c r="C970"/>
  <c r="I970" s="1"/>
  <c r="C971"/>
  <c r="I971" s="1"/>
  <c r="C972"/>
  <c r="I972" s="1"/>
  <c r="C973"/>
  <c r="I973" s="1"/>
  <c r="C974"/>
  <c r="I974" s="1"/>
  <c r="C975"/>
  <c r="I975" s="1"/>
  <c r="C976"/>
  <c r="I976" s="1"/>
  <c r="C977"/>
  <c r="I977" s="1"/>
  <c r="C978"/>
  <c r="I978" s="1"/>
  <c r="C979"/>
  <c r="I979" s="1"/>
  <c r="C980"/>
  <c r="I980" s="1"/>
  <c r="C981"/>
  <c r="I981" s="1"/>
  <c r="C982"/>
  <c r="I982" s="1"/>
  <c r="C983"/>
  <c r="I983" s="1"/>
  <c r="C984"/>
  <c r="I984" s="1"/>
  <c r="C985"/>
  <c r="I985" s="1"/>
  <c r="C986"/>
  <c r="I986" s="1"/>
  <c r="C987"/>
  <c r="I987" s="1"/>
  <c r="C988"/>
  <c r="I988" s="1"/>
  <c r="C989"/>
  <c r="I989" s="1"/>
  <c r="C990"/>
  <c r="I990" s="1"/>
  <c r="C991"/>
  <c r="I991" s="1"/>
  <c r="C992"/>
  <c r="I992" s="1"/>
  <c r="C993"/>
  <c r="I993" s="1"/>
  <c r="C994"/>
  <c r="I994" s="1"/>
  <c r="C995"/>
  <c r="I995" s="1"/>
  <c r="C996"/>
  <c r="I996" s="1"/>
  <c r="C997"/>
  <c r="I997" s="1"/>
  <c r="C999"/>
  <c r="I999" s="1"/>
  <c r="C1000"/>
  <c r="I1000" s="1"/>
  <c r="C1001"/>
  <c r="I1001" s="1"/>
  <c r="C1002"/>
  <c r="I1002" s="1"/>
  <c r="C1003"/>
  <c r="I1003" s="1"/>
  <c r="C1004"/>
  <c r="I1004" s="1"/>
  <c r="C1005"/>
  <c r="I1005" s="1"/>
  <c r="C1006"/>
  <c r="I1006" s="1"/>
  <c r="C1007"/>
  <c r="I1007" s="1"/>
  <c r="C1008"/>
  <c r="I1008" s="1"/>
  <c r="C1009"/>
  <c r="I1009" s="1"/>
  <c r="C1010"/>
  <c r="I1010" s="1"/>
  <c r="C1011"/>
  <c r="I1011" s="1"/>
  <c r="C1012"/>
  <c r="I1012" s="1"/>
  <c r="C1013"/>
  <c r="I1013" s="1"/>
  <c r="C1014"/>
  <c r="I1014" s="1"/>
  <c r="C1015"/>
  <c r="I1015" s="1"/>
  <c r="C1016"/>
  <c r="I1016" s="1"/>
  <c r="C1017"/>
  <c r="I1017" s="1"/>
  <c r="C1018"/>
  <c r="I1018" s="1"/>
  <c r="C1019"/>
  <c r="I1019" s="1"/>
  <c r="C1020"/>
  <c r="I1020" s="1"/>
  <c r="C1021"/>
  <c r="I1021" s="1"/>
  <c r="C1022"/>
  <c r="I1022" s="1"/>
  <c r="C1023"/>
  <c r="I1023" s="1"/>
  <c r="C1024"/>
  <c r="I1024" s="1"/>
  <c r="C1025"/>
  <c r="I1025" s="1"/>
  <c r="C1026"/>
  <c r="I1026" s="1"/>
  <c r="C1027"/>
  <c r="I1027" s="1"/>
  <c r="C1028"/>
  <c r="I1028" s="1"/>
  <c r="C1029"/>
  <c r="I1029" s="1"/>
  <c r="C1030"/>
  <c r="I1030" s="1"/>
  <c r="C1031"/>
  <c r="I1031" s="1"/>
  <c r="C1032"/>
  <c r="I1032" s="1"/>
  <c r="C1034"/>
  <c r="I1034" s="1"/>
  <c r="C1035"/>
  <c r="I1035" s="1"/>
  <c r="C1036"/>
  <c r="I1036" s="1"/>
  <c r="C1037"/>
  <c r="I1037" s="1"/>
  <c r="C1038"/>
  <c r="I1038" s="1"/>
  <c r="C1039"/>
  <c r="I1039" s="1"/>
  <c r="C1040"/>
  <c r="I1040" s="1"/>
  <c r="C1041"/>
  <c r="I1041" s="1"/>
  <c r="C1042"/>
  <c r="I1042" s="1"/>
  <c r="C1044"/>
  <c r="I1044" s="1"/>
  <c r="C1046"/>
  <c r="I1046" s="1"/>
  <c r="C1047"/>
  <c r="I1047" s="1"/>
  <c r="C1048"/>
  <c r="I1048" s="1"/>
  <c r="C1049"/>
  <c r="I1049" s="1"/>
  <c r="C1050"/>
  <c r="I1050" s="1"/>
  <c r="C1051"/>
  <c r="I1051" s="1"/>
  <c r="C1052"/>
  <c r="I1052" s="1"/>
  <c r="C1053"/>
  <c r="I1053" s="1"/>
  <c r="C1054"/>
  <c r="I1054" s="1"/>
  <c r="C1055"/>
  <c r="I1055" s="1"/>
  <c r="C1056"/>
  <c r="I1056" s="1"/>
  <c r="C1057"/>
  <c r="I1057" s="1"/>
  <c r="C1058"/>
  <c r="I1058" s="1"/>
  <c r="C1060"/>
  <c r="I1060" s="1"/>
  <c r="C1061"/>
  <c r="I1061" s="1"/>
  <c r="C1063"/>
  <c r="I1063" s="1"/>
  <c r="C1064"/>
  <c r="I1064" s="1"/>
  <c r="C1066"/>
  <c r="I1066" s="1"/>
  <c r="C1070"/>
  <c r="I1070" s="1"/>
  <c r="C1072"/>
  <c r="I1072" s="1"/>
  <c r="C1073"/>
  <c r="I1073" s="1"/>
  <c r="C1075"/>
  <c r="I1075" s="1"/>
  <c r="C1076"/>
  <c r="I1076" s="1"/>
  <c r="C1077"/>
  <c r="I1077" s="1"/>
  <c r="C1078"/>
  <c r="I1078" s="1"/>
  <c r="C1079"/>
  <c r="I1079" s="1"/>
  <c r="C1080"/>
  <c r="I1080" s="1"/>
  <c r="C1081"/>
  <c r="I1081" s="1"/>
  <c r="C1082"/>
  <c r="I1082" s="1"/>
  <c r="C1083"/>
  <c r="I1083" s="1"/>
  <c r="C1084"/>
  <c r="I1084" s="1"/>
  <c r="C1085"/>
  <c r="I1085" s="1"/>
  <c r="C1086"/>
  <c r="I1086" s="1"/>
  <c r="C1087"/>
  <c r="I1087" s="1"/>
  <c r="C1088"/>
  <c r="I1088" s="1"/>
  <c r="C1089"/>
  <c r="I1089" s="1"/>
  <c r="C1091"/>
  <c r="I1091" s="1"/>
  <c r="C1092"/>
  <c r="I1092" s="1"/>
  <c r="C1093"/>
  <c r="I1093" s="1"/>
  <c r="C1094"/>
  <c r="I1094" s="1"/>
  <c r="C1098"/>
  <c r="I1098" s="1"/>
  <c r="C1099"/>
  <c r="I1099" s="1"/>
  <c r="C1101"/>
  <c r="I1101" s="1"/>
  <c r="C1102"/>
  <c r="I1102" s="1"/>
  <c r="C1104"/>
  <c r="I1104" s="1"/>
  <c r="C1105"/>
  <c r="I1105" s="1"/>
  <c r="C1106"/>
  <c r="I1106" s="1"/>
  <c r="C1107"/>
  <c r="I1107" s="1"/>
  <c r="C1108"/>
  <c r="I1108" s="1"/>
  <c r="C1111"/>
  <c r="I1111" s="1"/>
  <c r="C1112"/>
  <c r="I1112" s="1"/>
  <c r="C1113"/>
  <c r="I1113" s="1"/>
  <c r="C1116"/>
  <c r="I1116" s="1"/>
  <c r="C1117"/>
  <c r="I1117" s="1"/>
  <c r="C1118"/>
  <c r="I1118" s="1"/>
  <c r="C1119"/>
  <c r="I1119" s="1"/>
  <c r="C1120"/>
  <c r="I1120" s="1"/>
  <c r="C1122"/>
  <c r="I1122" s="1"/>
  <c r="C1123"/>
  <c r="I1123" s="1"/>
  <c r="C1125"/>
  <c r="I1125" s="1"/>
  <c r="C1127"/>
  <c r="I1127" s="1"/>
  <c r="C1128"/>
  <c r="I1128" s="1"/>
  <c r="I1129"/>
  <c r="J1129"/>
  <c r="G927" i="140"/>
  <c r="G929"/>
  <c r="G930"/>
  <c r="G931"/>
  <c r="G932"/>
  <c r="G933"/>
  <c r="G934"/>
  <c r="G935"/>
  <c r="G936"/>
  <c r="G937"/>
  <c r="G938"/>
  <c r="G939"/>
  <c r="G940"/>
  <c r="G941"/>
  <c r="G942"/>
  <c r="G943"/>
  <c r="G944"/>
  <c r="G945"/>
  <c r="G946"/>
  <c r="G947"/>
  <c r="G948"/>
  <c r="G949"/>
  <c r="G950"/>
  <c r="G951"/>
  <c r="G952"/>
  <c r="G953"/>
  <c r="G954"/>
  <c r="G955"/>
  <c r="G956"/>
  <c r="G957"/>
  <c r="G958"/>
  <c r="G959"/>
  <c r="G960"/>
  <c r="G963"/>
  <c r="G964"/>
  <c r="G965"/>
  <c r="G966"/>
  <c r="G969"/>
  <c r="G970"/>
  <c r="G971"/>
  <c r="G972"/>
  <c r="G973"/>
  <c r="G974"/>
  <c r="G975"/>
  <c r="G976"/>
  <c r="G977"/>
  <c r="G978"/>
  <c r="G979"/>
  <c r="G983"/>
  <c r="G984"/>
  <c r="G985"/>
  <c r="G986"/>
  <c r="G987"/>
  <c r="G988"/>
  <c r="G989"/>
  <c r="G990"/>
  <c r="G991"/>
  <c r="G992"/>
  <c r="G993"/>
  <c r="G994"/>
  <c r="G995"/>
  <c r="G996"/>
  <c r="G997"/>
  <c r="G998"/>
  <c r="G999"/>
  <c r="G1000"/>
  <c r="G1001"/>
  <c r="G1002"/>
  <c r="G1003"/>
  <c r="G1004"/>
  <c r="G1005"/>
  <c r="G1006"/>
  <c r="G1007"/>
  <c r="G1008"/>
  <c r="G1009"/>
  <c r="G1010"/>
  <c r="G1011"/>
  <c r="G1012"/>
  <c r="G1013"/>
  <c r="G1014"/>
  <c r="G1015"/>
  <c r="G1016"/>
  <c r="G1017"/>
  <c r="G1019"/>
  <c r="G1020"/>
  <c r="G1021"/>
  <c r="G1022"/>
  <c r="G1023"/>
  <c r="G1024"/>
  <c r="G1025"/>
  <c r="G1026"/>
  <c r="G1027"/>
  <c r="G1028"/>
  <c r="G1029"/>
  <c r="G1030"/>
  <c r="G1031"/>
  <c r="G1032"/>
  <c r="G1033"/>
  <c r="G1034"/>
  <c r="G1035"/>
  <c r="G1036"/>
  <c r="G1037"/>
  <c r="G1038"/>
  <c r="G1039"/>
  <c r="G1040"/>
  <c r="G1041"/>
  <c r="G1042"/>
  <c r="G1043"/>
  <c r="G1044"/>
  <c r="G1045"/>
  <c r="G1046"/>
  <c r="G1047"/>
  <c r="G1048"/>
  <c r="G1049"/>
  <c r="G1050"/>
  <c r="G1051"/>
  <c r="G1052"/>
  <c r="G1054"/>
  <c r="G1055"/>
  <c r="G1056"/>
  <c r="G1057"/>
  <c r="G1058"/>
  <c r="G1059"/>
  <c r="G1060"/>
  <c r="G1061"/>
  <c r="G1062"/>
  <c r="G1064"/>
  <c r="G1066"/>
  <c r="G1067"/>
  <c r="G1068"/>
  <c r="G1069"/>
  <c r="G1070"/>
  <c r="G1071"/>
  <c r="G1072"/>
  <c r="G1073"/>
  <c r="G1074"/>
  <c r="G1075"/>
  <c r="G1076"/>
  <c r="G1077"/>
  <c r="G1078"/>
  <c r="G1080"/>
  <c r="G1081"/>
  <c r="G1083"/>
  <c r="G1084"/>
  <c r="G1086"/>
  <c r="G1090"/>
  <c r="G1092"/>
  <c r="G1093"/>
  <c r="G1095"/>
  <c r="G1096"/>
  <c r="G1097"/>
  <c r="G1098"/>
  <c r="G1099"/>
  <c r="G1100"/>
  <c r="G1101"/>
  <c r="G1102"/>
  <c r="G1103"/>
  <c r="G1104"/>
  <c r="G1105"/>
  <c r="G1106"/>
  <c r="G1107"/>
  <c r="G1108"/>
  <c r="G1109"/>
  <c r="G1111"/>
  <c r="G1112"/>
  <c r="G1113"/>
  <c r="G1114"/>
  <c r="G1115"/>
  <c r="G1119"/>
  <c r="G1120"/>
  <c r="G1122"/>
  <c r="G1123"/>
  <c r="G1125"/>
  <c r="G1126"/>
  <c r="G1127"/>
  <c r="G1128"/>
  <c r="G1131"/>
  <c r="G1132"/>
  <c r="G1133"/>
  <c r="G1136"/>
  <c r="G1137"/>
  <c r="G1138"/>
  <c r="G1139"/>
  <c r="G1140"/>
  <c r="G1142"/>
  <c r="G1143"/>
  <c r="G1145"/>
  <c r="G1147"/>
  <c r="G1148"/>
  <c r="J1149"/>
  <c r="K1149" s="1"/>
  <c r="C1043" i="195"/>
  <c r="F251" i="272"/>
  <c r="G63" i="309" l="1"/>
  <c r="C63" s="1"/>
  <c r="D62" i="305"/>
  <c r="L62" i="310"/>
  <c r="I62"/>
  <c r="S62"/>
  <c r="L63"/>
  <c r="I63"/>
  <c r="S63"/>
  <c r="I1043" i="195"/>
  <c r="G1063" i="140"/>
  <c r="O1149"/>
  <c r="L1149"/>
  <c r="I93" i="310" l="1"/>
  <c r="L93"/>
  <c r="G86" i="140"/>
  <c r="G88"/>
  <c r="K920" l="1"/>
  <c r="L915"/>
  <c r="K914"/>
  <c r="L913"/>
  <c r="K911"/>
  <c r="L696"/>
  <c r="K695"/>
  <c r="L690"/>
  <c r="K669"/>
  <c r="K640"/>
  <c r="K37"/>
  <c r="A19" i="177"/>
  <c r="A19" i="178" s="1"/>
  <c r="A19" i="179" s="1"/>
  <c r="A19" i="180" s="1"/>
  <c r="A19" i="181" s="1"/>
  <c r="A3" i="177"/>
  <c r="A3" i="178" s="1"/>
  <c r="A3" i="179" s="1"/>
  <c r="A3" i="180" s="1"/>
  <c r="A3" i="181" s="1"/>
  <c r="D36" i="176"/>
  <c r="D35"/>
  <c r="D34"/>
  <c r="K5"/>
  <c r="L920" i="140" l="1"/>
  <c r="O920"/>
  <c r="K696"/>
  <c r="K915"/>
  <c r="O690"/>
  <c r="K690"/>
  <c r="K913"/>
  <c r="O37"/>
  <c r="O640"/>
  <c r="O669"/>
  <c r="O696"/>
  <c r="O913"/>
  <c r="O915"/>
  <c r="L37"/>
  <c r="L695"/>
  <c r="L911"/>
  <c r="L914"/>
  <c r="L640"/>
  <c r="L669"/>
  <c r="O695"/>
  <c r="O911"/>
  <c r="O914"/>
  <c r="F25" i="174"/>
  <c r="F24"/>
  <c r="F23"/>
  <c r="H25"/>
  <c r="H24"/>
  <c r="H23"/>
  <c r="C2"/>
  <c r="D3" i="175" s="1"/>
  <c r="C1" i="174"/>
  <c r="D2" i="175" s="1"/>
  <c r="I41" i="171"/>
  <c r="M55" i="264"/>
  <c r="M54"/>
  <c r="M53"/>
  <c r="R55"/>
  <c r="R54"/>
  <c r="R53"/>
  <c r="C152" i="273" l="1"/>
  <c r="C151"/>
  <c r="C150"/>
  <c r="F152"/>
  <c r="F151"/>
  <c r="F150"/>
  <c r="D273" i="272"/>
  <c r="D272"/>
  <c r="D271"/>
  <c r="G273"/>
  <c r="G272"/>
  <c r="G271"/>
  <c r="C293" i="271"/>
  <c r="C292"/>
  <c r="C291"/>
  <c r="G293"/>
  <c r="G292"/>
  <c r="G291"/>
  <c r="C925" i="270"/>
  <c r="C924"/>
  <c r="C923"/>
  <c r="E925"/>
  <c r="E924"/>
  <c r="E923"/>
  <c r="F3" i="272"/>
  <c r="A2"/>
  <c r="F3" i="270"/>
  <c r="A2"/>
  <c r="C4" i="269"/>
  <c r="C2"/>
  <c r="E111" i="299"/>
  <c r="C111"/>
  <c r="E110"/>
  <c r="C110"/>
  <c r="E11" i="298"/>
  <c r="E12" s="1"/>
  <c r="E13" s="1"/>
  <c r="E14" s="1"/>
  <c r="E15" s="1"/>
  <c r="E16" s="1"/>
  <c r="E17" s="1"/>
  <c r="E18" s="1"/>
  <c r="E19" s="1"/>
  <c r="E20" s="1"/>
  <c r="E21" s="1"/>
  <c r="E22" s="1"/>
  <c r="E23" s="1"/>
  <c r="E24" s="1"/>
  <c r="E25" s="1"/>
  <c r="E26" s="1"/>
  <c r="E27" s="1"/>
  <c r="E28" s="1"/>
  <c r="E29" s="1"/>
  <c r="E30" s="1"/>
  <c r="E31" s="1"/>
  <c r="E32" s="1"/>
  <c r="E33" s="1"/>
  <c r="E34" s="1"/>
  <c r="E35" s="1"/>
  <c r="E36" s="1"/>
  <c r="E37" s="1"/>
  <c r="E38" s="1"/>
  <c r="E39" s="1"/>
  <c r="E40" s="1"/>
  <c r="E41" s="1"/>
  <c r="E42" s="1"/>
  <c r="E43" s="1"/>
  <c r="E44" s="1"/>
  <c r="E45" s="1"/>
  <c r="E46" s="1"/>
  <c r="E47" s="1"/>
  <c r="E48" s="1"/>
  <c r="E49" s="1"/>
  <c r="E50" s="1"/>
  <c r="E51" s="1"/>
  <c r="E52" s="1"/>
  <c r="E53" s="1"/>
  <c r="E54" s="1"/>
  <c r="E55" s="1"/>
  <c r="E56" s="1"/>
  <c r="E57" s="1"/>
  <c r="E58" s="1"/>
  <c r="E59" s="1"/>
  <c r="E60" s="1"/>
  <c r="E61" s="1"/>
  <c r="E62" s="1"/>
  <c r="E63" s="1"/>
  <c r="E64" s="1"/>
  <c r="E65" s="1"/>
  <c r="E66" s="1"/>
  <c r="E67" s="1"/>
  <c r="E68" s="1"/>
  <c r="E69" s="1"/>
  <c r="E70" s="1"/>
  <c r="E71" s="1"/>
  <c r="E72" s="1"/>
  <c r="E73" s="1"/>
  <c r="E74" s="1"/>
  <c r="E75" s="1"/>
  <c r="E76" s="1"/>
  <c r="E77" s="1"/>
  <c r="E78" s="1"/>
  <c r="E79" s="1"/>
  <c r="E80" s="1"/>
  <c r="E81" s="1"/>
  <c r="E82" s="1"/>
  <c r="E83" s="1"/>
  <c r="E84" s="1"/>
  <c r="E85" s="1"/>
  <c r="E86" s="1"/>
  <c r="E87" s="1"/>
  <c r="E88" s="1"/>
  <c r="E89" s="1"/>
  <c r="E90" s="1"/>
  <c r="E91" s="1"/>
  <c r="E92" s="1"/>
  <c r="E93" s="1"/>
  <c r="E94" s="1"/>
  <c r="E95" s="1"/>
  <c r="E96" s="1"/>
  <c r="E97" s="1"/>
  <c r="E98" s="1"/>
  <c r="E99" s="1"/>
  <c r="E100" s="1"/>
  <c r="E101" s="1"/>
  <c r="E102" s="1"/>
  <c r="E103" s="1"/>
  <c r="E104" s="1"/>
  <c r="E105" s="1"/>
  <c r="E106" s="1"/>
  <c r="E107" s="1"/>
  <c r="E108" s="1"/>
  <c r="E109" s="1"/>
  <c r="E110" s="1"/>
  <c r="E111" s="1"/>
  <c r="E112" s="1"/>
  <c r="E113" s="1"/>
  <c r="E114" s="1"/>
  <c r="E115" s="1"/>
  <c r="E116" s="1"/>
  <c r="E117" s="1"/>
  <c r="E118" s="1"/>
  <c r="E119" s="1"/>
  <c r="E120" s="1"/>
  <c r="E121" s="1"/>
  <c r="E122" s="1"/>
  <c r="E123" s="1"/>
  <c r="E124" s="1"/>
  <c r="E125" s="1"/>
  <c r="E126" s="1"/>
  <c r="E127" s="1"/>
  <c r="E128" s="1"/>
  <c r="E129" s="1"/>
  <c r="E130" s="1"/>
  <c r="E131" s="1"/>
  <c r="E132" s="1"/>
  <c r="E133" s="1"/>
  <c r="E134" s="1"/>
  <c r="E135" s="1"/>
  <c r="E136" s="1"/>
  <c r="E137" s="1"/>
  <c r="E138" s="1"/>
  <c r="E139" s="1"/>
  <c r="E140" s="1"/>
  <c r="E141" s="1"/>
  <c r="E142" s="1"/>
  <c r="E143" s="1"/>
  <c r="E144" s="1"/>
  <c r="E145" s="1"/>
  <c r="E146" s="1"/>
  <c r="E147" s="1"/>
  <c r="E148" s="1"/>
  <c r="E149" s="1"/>
  <c r="E150" s="1"/>
  <c r="E151" s="1"/>
  <c r="E152" s="1"/>
  <c r="E153" s="1"/>
  <c r="E154" s="1"/>
  <c r="E155" s="1"/>
  <c r="E156" s="1"/>
  <c r="E157" s="1"/>
  <c r="E158" s="1"/>
  <c r="E159" s="1"/>
  <c r="E160" s="1"/>
  <c r="E161" s="1"/>
  <c r="E162" s="1"/>
  <c r="E163" s="1"/>
  <c r="E164" s="1"/>
  <c r="E165" s="1"/>
  <c r="E166" s="1"/>
  <c r="E167" s="1"/>
  <c r="E168" s="1"/>
  <c r="E169" s="1"/>
  <c r="E170" s="1"/>
  <c r="E171" s="1"/>
  <c r="E172" s="1"/>
  <c r="E173" s="1"/>
  <c r="E174" s="1"/>
  <c r="E175" s="1"/>
  <c r="E176" s="1"/>
  <c r="E177" s="1"/>
  <c r="E178" s="1"/>
  <c r="E179" s="1"/>
  <c r="E180" s="1"/>
  <c r="E181" s="1"/>
  <c r="E182" s="1"/>
  <c r="E183" s="1"/>
  <c r="E184" s="1"/>
  <c r="E185" s="1"/>
  <c r="E186" s="1"/>
  <c r="E187" s="1"/>
  <c r="E188" s="1"/>
  <c r="E189" s="1"/>
  <c r="E190" s="1"/>
  <c r="E191" s="1"/>
  <c r="E192" s="1"/>
  <c r="E193" s="1"/>
  <c r="E194" s="1"/>
  <c r="E195" s="1"/>
  <c r="E196" s="1"/>
  <c r="E197" s="1"/>
  <c r="E198" s="1"/>
  <c r="E199" s="1"/>
  <c r="E200" s="1"/>
  <c r="E201" s="1"/>
  <c r="E202" s="1"/>
  <c r="E203" s="1"/>
  <c r="E204" s="1"/>
  <c r="E205" s="1"/>
  <c r="E206" s="1"/>
  <c r="E207" s="1"/>
  <c r="E208" s="1"/>
  <c r="E209" s="1"/>
  <c r="E210" s="1"/>
  <c r="E211" s="1"/>
  <c r="E212" s="1"/>
  <c r="E213" s="1"/>
  <c r="E214" s="1"/>
  <c r="E215" s="1"/>
  <c r="E216" s="1"/>
  <c r="E217" s="1"/>
  <c r="E218" s="1"/>
  <c r="E219" s="1"/>
  <c r="E220" s="1"/>
  <c r="E221" s="1"/>
  <c r="E222" s="1"/>
  <c r="E223" s="1"/>
  <c r="E224" s="1"/>
  <c r="E225" s="1"/>
  <c r="E226" s="1"/>
  <c r="E227" s="1"/>
  <c r="E228" s="1"/>
  <c r="E229" s="1"/>
  <c r="E230" s="1"/>
  <c r="E231" s="1"/>
  <c r="E232" s="1"/>
  <c r="E233" s="1"/>
  <c r="E234" s="1"/>
  <c r="E235" s="1"/>
  <c r="E236" s="1"/>
  <c r="E237" s="1"/>
  <c r="E238" s="1"/>
  <c r="E239" s="1"/>
  <c r="E240" s="1"/>
  <c r="E241" s="1"/>
  <c r="E242" s="1"/>
  <c r="E243" s="1"/>
  <c r="E244" s="1"/>
  <c r="E245" s="1"/>
  <c r="E246" s="1"/>
  <c r="E247" s="1"/>
  <c r="E248" s="1"/>
  <c r="E249" s="1"/>
  <c r="E250" s="1"/>
  <c r="E251" s="1"/>
  <c r="E252" s="1"/>
  <c r="E253" s="1"/>
  <c r="E254" s="1"/>
  <c r="E255" s="1"/>
  <c r="E256" s="1"/>
  <c r="E257" s="1"/>
  <c r="E258" s="1"/>
  <c r="E259" s="1"/>
  <c r="E260" s="1"/>
  <c r="E261" s="1"/>
  <c r="E262" s="1"/>
  <c r="E263" s="1"/>
  <c r="E264" s="1"/>
  <c r="E265" s="1"/>
  <c r="E266" s="1"/>
  <c r="E267" s="1"/>
  <c r="E268" s="1"/>
  <c r="E269" s="1"/>
  <c r="E270" s="1"/>
  <c r="E271" s="1"/>
  <c r="E272" s="1"/>
  <c r="E273" s="1"/>
  <c r="E274" s="1"/>
  <c r="E275" s="1"/>
  <c r="E276" s="1"/>
  <c r="E277" s="1"/>
  <c r="E278" s="1"/>
  <c r="E279" s="1"/>
  <c r="E280" s="1"/>
  <c r="E281" s="1"/>
  <c r="E282" s="1"/>
  <c r="E283" s="1"/>
  <c r="E284" s="1"/>
  <c r="E285" s="1"/>
  <c r="E286" s="1"/>
  <c r="E287" s="1"/>
  <c r="E288" s="1"/>
  <c r="E289" s="1"/>
  <c r="E290" s="1"/>
  <c r="E291" s="1"/>
  <c r="E292" s="1"/>
  <c r="E293" s="1"/>
  <c r="E294" s="1"/>
  <c r="E295" s="1"/>
  <c r="E296" s="1"/>
  <c r="E297" s="1"/>
  <c r="E298" s="1"/>
  <c r="E299" s="1"/>
  <c r="E300" s="1"/>
  <c r="E301" s="1"/>
  <c r="E302" s="1"/>
  <c r="E303" s="1"/>
  <c r="E304" s="1"/>
  <c r="E305" s="1"/>
  <c r="D11"/>
  <c r="D12" s="1"/>
  <c r="D13" s="1"/>
  <c r="D14" s="1"/>
  <c r="D15" s="1"/>
  <c r="D16" s="1"/>
  <c r="D17" s="1"/>
  <c r="D18" s="1"/>
  <c r="D19" s="1"/>
  <c r="D20" s="1"/>
  <c r="D21" s="1"/>
  <c r="D22" s="1"/>
  <c r="D23" s="1"/>
  <c r="D24" s="1"/>
  <c r="D25" s="1"/>
  <c r="D26" s="1"/>
  <c r="D27" s="1"/>
  <c r="D28" s="1"/>
  <c r="D29" s="1"/>
  <c r="D30" s="1"/>
  <c r="D31" s="1"/>
  <c r="D32" s="1"/>
  <c r="D33" s="1"/>
  <c r="D34" s="1"/>
  <c r="D35" s="1"/>
  <c r="D36" s="1"/>
  <c r="D37" s="1"/>
  <c r="D38" s="1"/>
  <c r="D39" s="1"/>
  <c r="D40" s="1"/>
  <c r="D41" s="1"/>
  <c r="D42" s="1"/>
  <c r="D43" s="1"/>
  <c r="D44" s="1"/>
  <c r="D45" s="1"/>
  <c r="D46" s="1"/>
  <c r="D47" s="1"/>
  <c r="D48" s="1"/>
  <c r="D49" s="1"/>
  <c r="D50" s="1"/>
  <c r="D51" s="1"/>
  <c r="D52" s="1"/>
  <c r="D53" s="1"/>
  <c r="D54" s="1"/>
  <c r="D55" s="1"/>
  <c r="D56" s="1"/>
  <c r="D57" s="1"/>
  <c r="D58" s="1"/>
  <c r="D59" s="1"/>
  <c r="D60" s="1"/>
  <c r="D61" s="1"/>
  <c r="D62" s="1"/>
  <c r="D63" s="1"/>
  <c r="D64" s="1"/>
  <c r="D65" s="1"/>
  <c r="D66" s="1"/>
  <c r="D67" s="1"/>
  <c r="D68" s="1"/>
  <c r="D69" s="1"/>
  <c r="D70" s="1"/>
  <c r="D71" s="1"/>
  <c r="D72" s="1"/>
  <c r="D73" s="1"/>
  <c r="D74" s="1"/>
  <c r="D75" s="1"/>
  <c r="D76" s="1"/>
  <c r="D77" s="1"/>
  <c r="D78" s="1"/>
  <c r="D79" s="1"/>
  <c r="D80" s="1"/>
  <c r="D81" s="1"/>
  <c r="D82" s="1"/>
  <c r="D83" s="1"/>
  <c r="D84" s="1"/>
  <c r="D85" s="1"/>
  <c r="D86" s="1"/>
  <c r="D87" s="1"/>
  <c r="D88" s="1"/>
  <c r="D89" s="1"/>
  <c r="D90" s="1"/>
  <c r="D91" s="1"/>
  <c r="D92" s="1"/>
  <c r="D93" s="1"/>
  <c r="D94" s="1"/>
  <c r="D95" s="1"/>
  <c r="D96" s="1"/>
  <c r="D97" s="1"/>
  <c r="D98" s="1"/>
  <c r="D99" s="1"/>
  <c r="D100" s="1"/>
  <c r="D101" s="1"/>
  <c r="D102" s="1"/>
  <c r="D103" s="1"/>
  <c r="D104" s="1"/>
  <c r="D105" s="1"/>
  <c r="D106" s="1"/>
  <c r="D107" s="1"/>
  <c r="D108" s="1"/>
  <c r="D109" s="1"/>
  <c r="D110" s="1"/>
  <c r="D111" s="1"/>
  <c r="D112" s="1"/>
  <c r="D113" s="1"/>
  <c r="D114" s="1"/>
  <c r="D115" s="1"/>
  <c r="D116" s="1"/>
  <c r="D117" s="1"/>
  <c r="D118" s="1"/>
  <c r="D119" s="1"/>
  <c r="D120" s="1"/>
  <c r="D121" s="1"/>
  <c r="D122" s="1"/>
  <c r="D123" s="1"/>
  <c r="D124" s="1"/>
  <c r="D125" s="1"/>
  <c r="D126" s="1"/>
  <c r="D127" s="1"/>
  <c r="D128" s="1"/>
  <c r="D129" s="1"/>
  <c r="D130" s="1"/>
  <c r="D131" s="1"/>
  <c r="D132" s="1"/>
  <c r="D133" s="1"/>
  <c r="D134" s="1"/>
  <c r="D135" s="1"/>
  <c r="D136" s="1"/>
  <c r="D137" s="1"/>
  <c r="D138" s="1"/>
  <c r="D139" s="1"/>
  <c r="D140" s="1"/>
  <c r="D141" s="1"/>
  <c r="D142" s="1"/>
  <c r="D143" s="1"/>
  <c r="D144" s="1"/>
  <c r="D145" s="1"/>
  <c r="D146" s="1"/>
  <c r="D147" s="1"/>
  <c r="D148" s="1"/>
  <c r="D149" s="1"/>
  <c r="D150" s="1"/>
  <c r="D151" s="1"/>
  <c r="D152" s="1"/>
  <c r="D153" s="1"/>
  <c r="D154" s="1"/>
  <c r="D155" s="1"/>
  <c r="D156" s="1"/>
  <c r="D157" s="1"/>
  <c r="D158" s="1"/>
  <c r="D159" s="1"/>
  <c r="D160" s="1"/>
  <c r="D161" s="1"/>
  <c r="D162" s="1"/>
  <c r="D163" s="1"/>
  <c r="D164" s="1"/>
  <c r="D165" s="1"/>
  <c r="D166" s="1"/>
  <c r="D167" s="1"/>
  <c r="D168" s="1"/>
  <c r="D169" s="1"/>
  <c r="D170" s="1"/>
  <c r="D171" s="1"/>
  <c r="D172" s="1"/>
  <c r="D173" s="1"/>
  <c r="D174" s="1"/>
  <c r="D175" s="1"/>
  <c r="D176" s="1"/>
  <c r="D177" s="1"/>
  <c r="D178" s="1"/>
  <c r="D179" s="1"/>
  <c r="D180" s="1"/>
  <c r="D181" s="1"/>
  <c r="D182" s="1"/>
  <c r="D183" s="1"/>
  <c r="D184" s="1"/>
  <c r="D185" s="1"/>
  <c r="D186" s="1"/>
  <c r="D187" s="1"/>
  <c r="D188" s="1"/>
  <c r="D189" s="1"/>
  <c r="D190" s="1"/>
  <c r="D191" s="1"/>
  <c r="D192" s="1"/>
  <c r="D193" s="1"/>
  <c r="D194" s="1"/>
  <c r="D195" s="1"/>
  <c r="D196" s="1"/>
  <c r="D197" s="1"/>
  <c r="D198" s="1"/>
  <c r="D199" s="1"/>
  <c r="D200" s="1"/>
  <c r="D201" s="1"/>
  <c r="D202" s="1"/>
  <c r="D203" s="1"/>
  <c r="D204" s="1"/>
  <c r="D205" s="1"/>
  <c r="D206" s="1"/>
  <c r="D207" s="1"/>
  <c r="D208" s="1"/>
  <c r="D209" s="1"/>
  <c r="D210" s="1"/>
  <c r="D211" s="1"/>
  <c r="D212" s="1"/>
  <c r="D213" s="1"/>
  <c r="D214" s="1"/>
  <c r="D215" s="1"/>
  <c r="D216" s="1"/>
  <c r="D217" s="1"/>
  <c r="D218" s="1"/>
  <c r="D219" s="1"/>
  <c r="D220" s="1"/>
  <c r="D221" s="1"/>
  <c r="D222" s="1"/>
  <c r="D223" s="1"/>
  <c r="D224" s="1"/>
  <c r="D225" s="1"/>
  <c r="D226" s="1"/>
  <c r="D227" s="1"/>
  <c r="D228" s="1"/>
  <c r="D229" s="1"/>
  <c r="D230" s="1"/>
  <c r="D231" s="1"/>
  <c r="D232" s="1"/>
  <c r="D233" s="1"/>
  <c r="D234" s="1"/>
  <c r="D235" s="1"/>
  <c r="D236" s="1"/>
  <c r="D237" s="1"/>
  <c r="D238" s="1"/>
  <c r="D239" s="1"/>
  <c r="D240" s="1"/>
  <c r="D241" s="1"/>
  <c r="D242" s="1"/>
  <c r="D243" s="1"/>
  <c r="D244" s="1"/>
  <c r="D245" s="1"/>
  <c r="D246" s="1"/>
  <c r="D247" s="1"/>
  <c r="D248" s="1"/>
  <c r="D249" s="1"/>
  <c r="D250" s="1"/>
  <c r="D251" s="1"/>
  <c r="D252" s="1"/>
  <c r="D253" s="1"/>
  <c r="D254" s="1"/>
  <c r="D255" s="1"/>
  <c r="D256" s="1"/>
  <c r="D257" s="1"/>
  <c r="D258" s="1"/>
  <c r="D259" s="1"/>
  <c r="D260" s="1"/>
  <c r="D261" s="1"/>
  <c r="D262" s="1"/>
  <c r="D263" s="1"/>
  <c r="D264" s="1"/>
  <c r="D265" s="1"/>
  <c r="D266" s="1"/>
  <c r="D267" s="1"/>
  <c r="D268" s="1"/>
  <c r="D269" s="1"/>
  <c r="D270" s="1"/>
  <c r="D271" s="1"/>
  <c r="D272" s="1"/>
  <c r="D273" s="1"/>
  <c r="D274" s="1"/>
  <c r="D275" s="1"/>
  <c r="D276" s="1"/>
  <c r="D277" s="1"/>
  <c r="D278" s="1"/>
  <c r="D279" s="1"/>
  <c r="D280" s="1"/>
  <c r="D281" s="1"/>
  <c r="D282" s="1"/>
  <c r="D283" s="1"/>
  <c r="D284" s="1"/>
  <c r="D285" s="1"/>
  <c r="D286" s="1"/>
  <c r="D287" s="1"/>
  <c r="D288" s="1"/>
  <c r="D289" s="1"/>
  <c r="D290" s="1"/>
  <c r="D291" s="1"/>
  <c r="D292" s="1"/>
  <c r="D293" s="1"/>
  <c r="D294" s="1"/>
  <c r="D295" s="1"/>
  <c r="D296" s="1"/>
  <c r="D297" s="1"/>
  <c r="D298" s="1"/>
  <c r="D299" s="1"/>
  <c r="D300" s="1"/>
  <c r="D301" s="1"/>
  <c r="D302" s="1"/>
  <c r="D303" s="1"/>
  <c r="D304" s="1"/>
  <c r="D305" s="1"/>
  <c r="C11"/>
  <c r="C12" s="1"/>
  <c r="C13" s="1"/>
  <c r="C14" s="1"/>
  <c r="C15" s="1"/>
  <c r="C16" s="1"/>
  <c r="C17" s="1"/>
  <c r="C18" s="1"/>
  <c r="C19" s="1"/>
  <c r="C20" s="1"/>
  <c r="C21" s="1"/>
  <c r="C22" s="1"/>
  <c r="C23" s="1"/>
  <c r="C24" s="1"/>
  <c r="C25" s="1"/>
  <c r="C26" s="1"/>
  <c r="C27" s="1"/>
  <c r="C28" s="1"/>
  <c r="C29" s="1"/>
  <c r="C30" s="1"/>
  <c r="C31" s="1"/>
  <c r="C32" s="1"/>
  <c r="C33" s="1"/>
  <c r="C34" s="1"/>
  <c r="C35" s="1"/>
  <c r="C36" s="1"/>
  <c r="C37" s="1"/>
  <c r="C38" s="1"/>
  <c r="C39" s="1"/>
  <c r="C40" s="1"/>
  <c r="C41" s="1"/>
  <c r="C42" s="1"/>
  <c r="C43" s="1"/>
  <c r="C44" s="1"/>
  <c r="C45" s="1"/>
  <c r="C46" s="1"/>
  <c r="C47" s="1"/>
  <c r="C48" s="1"/>
  <c r="C49" s="1"/>
  <c r="C50" s="1"/>
  <c r="C51" s="1"/>
  <c r="C52" s="1"/>
  <c r="C53" s="1"/>
  <c r="C54" s="1"/>
  <c r="C55" s="1"/>
  <c r="C56" s="1"/>
  <c r="C57" s="1"/>
  <c r="C58" s="1"/>
  <c r="C59" s="1"/>
  <c r="C60" s="1"/>
  <c r="C61" s="1"/>
  <c r="C62" s="1"/>
  <c r="C63" s="1"/>
  <c r="C64" s="1"/>
  <c r="C65" s="1"/>
  <c r="C66" s="1"/>
  <c r="C67" s="1"/>
  <c r="C68" s="1"/>
  <c r="C69" s="1"/>
  <c r="C70" s="1"/>
  <c r="C71" s="1"/>
  <c r="C72" s="1"/>
  <c r="C73" s="1"/>
  <c r="C74" s="1"/>
  <c r="C75" s="1"/>
  <c r="C76" s="1"/>
  <c r="C77" s="1"/>
  <c r="C78" s="1"/>
  <c r="C79" s="1"/>
  <c r="C80" s="1"/>
  <c r="C81" s="1"/>
  <c r="C82" s="1"/>
  <c r="C83" s="1"/>
  <c r="C84" s="1"/>
  <c r="C85" s="1"/>
  <c r="C86" s="1"/>
  <c r="C87" s="1"/>
  <c r="C88" s="1"/>
  <c r="C89" s="1"/>
  <c r="C90" s="1"/>
  <c r="C91" s="1"/>
  <c r="C92" s="1"/>
  <c r="C93" s="1"/>
  <c r="C94" s="1"/>
  <c r="C95" s="1"/>
  <c r="C96" s="1"/>
  <c r="C97" s="1"/>
  <c r="C98" s="1"/>
  <c r="C99" s="1"/>
  <c r="C100" s="1"/>
  <c r="C101" s="1"/>
  <c r="C102" s="1"/>
  <c r="C103" s="1"/>
  <c r="C104" s="1"/>
  <c r="C105" s="1"/>
  <c r="C106" s="1"/>
  <c r="C107" s="1"/>
  <c r="C108" s="1"/>
  <c r="C109" s="1"/>
  <c r="C110" s="1"/>
  <c r="C111" s="1"/>
  <c r="C112" s="1"/>
  <c r="C113" s="1"/>
  <c r="C114" s="1"/>
  <c r="C115" s="1"/>
  <c r="C116" s="1"/>
  <c r="C117" s="1"/>
  <c r="C118" s="1"/>
  <c r="C119" s="1"/>
  <c r="C120" s="1"/>
  <c r="C121" s="1"/>
  <c r="C122" s="1"/>
  <c r="C123" s="1"/>
  <c r="C124" s="1"/>
  <c r="C125" s="1"/>
  <c r="C126" s="1"/>
  <c r="C127" s="1"/>
  <c r="C128" s="1"/>
  <c r="C129" s="1"/>
  <c r="C130" s="1"/>
  <c r="C131" s="1"/>
  <c r="C132" s="1"/>
  <c r="C133" s="1"/>
  <c r="C134" s="1"/>
  <c r="C135" s="1"/>
  <c r="C136" s="1"/>
  <c r="C137" s="1"/>
  <c r="C138" s="1"/>
  <c r="C139" s="1"/>
  <c r="C140" s="1"/>
  <c r="C141" s="1"/>
  <c r="C142" s="1"/>
  <c r="C143" s="1"/>
  <c r="C144" s="1"/>
  <c r="C145" s="1"/>
  <c r="C146" s="1"/>
  <c r="C147" s="1"/>
  <c r="C148" s="1"/>
  <c r="C149" s="1"/>
  <c r="C150" s="1"/>
  <c r="C151" s="1"/>
  <c r="C152" s="1"/>
  <c r="C153" s="1"/>
  <c r="C154" s="1"/>
  <c r="C155" s="1"/>
  <c r="C156" s="1"/>
  <c r="C157" s="1"/>
  <c r="C158" s="1"/>
  <c r="C159" s="1"/>
  <c r="C160" s="1"/>
  <c r="C161" s="1"/>
  <c r="C162" s="1"/>
  <c r="C163" s="1"/>
  <c r="C164" s="1"/>
  <c r="C165" s="1"/>
  <c r="C166" s="1"/>
  <c r="C167" s="1"/>
  <c r="C168" s="1"/>
  <c r="C169" s="1"/>
  <c r="C170" s="1"/>
  <c r="C171" s="1"/>
  <c r="C172" s="1"/>
  <c r="C173" s="1"/>
  <c r="C174" s="1"/>
  <c r="C175" s="1"/>
  <c r="C176" s="1"/>
  <c r="C177" s="1"/>
  <c r="C178" s="1"/>
  <c r="C179" s="1"/>
  <c r="C180" s="1"/>
  <c r="C181" s="1"/>
  <c r="C182" s="1"/>
  <c r="C183" s="1"/>
  <c r="C184" s="1"/>
  <c r="C185" s="1"/>
  <c r="C186" s="1"/>
  <c r="C187" s="1"/>
  <c r="C188" s="1"/>
  <c r="C189" s="1"/>
  <c r="C190" s="1"/>
  <c r="C191" s="1"/>
  <c r="C192" s="1"/>
  <c r="C193" s="1"/>
  <c r="C194" s="1"/>
  <c r="C195" s="1"/>
  <c r="C196" s="1"/>
  <c r="C197" s="1"/>
  <c r="C198" s="1"/>
  <c r="C199" s="1"/>
  <c r="C200" s="1"/>
  <c r="C201" s="1"/>
  <c r="C202" s="1"/>
  <c r="C203" s="1"/>
  <c r="C204" s="1"/>
  <c r="C205" s="1"/>
  <c r="C206" s="1"/>
  <c r="C207" s="1"/>
  <c r="C208" s="1"/>
  <c r="C209" s="1"/>
  <c r="C210" s="1"/>
  <c r="C211" s="1"/>
  <c r="C212" s="1"/>
  <c r="C213" s="1"/>
  <c r="C214" s="1"/>
  <c r="C215" s="1"/>
  <c r="C216" s="1"/>
  <c r="C217" s="1"/>
  <c r="C218" s="1"/>
  <c r="C219" s="1"/>
  <c r="C220" s="1"/>
  <c r="C221" s="1"/>
  <c r="C222" s="1"/>
  <c r="C223" s="1"/>
  <c r="C224" s="1"/>
  <c r="C225" s="1"/>
  <c r="C226" s="1"/>
  <c r="C227" s="1"/>
  <c r="C228" s="1"/>
  <c r="C229" s="1"/>
  <c r="C230" s="1"/>
  <c r="C231" s="1"/>
  <c r="C232" s="1"/>
  <c r="C233" s="1"/>
  <c r="C234" s="1"/>
  <c r="C235" s="1"/>
  <c r="C236" s="1"/>
  <c r="C237" s="1"/>
  <c r="C238" s="1"/>
  <c r="C239" s="1"/>
  <c r="C240" s="1"/>
  <c r="C241" s="1"/>
  <c r="C242" s="1"/>
  <c r="C243" s="1"/>
  <c r="C244" s="1"/>
  <c r="C245" s="1"/>
  <c r="C246" s="1"/>
  <c r="C247" s="1"/>
  <c r="C248" s="1"/>
  <c r="C249" s="1"/>
  <c r="C250" s="1"/>
  <c r="C251" s="1"/>
  <c r="C252" s="1"/>
  <c r="C253" s="1"/>
  <c r="C254" s="1"/>
  <c r="C255" s="1"/>
  <c r="C256" s="1"/>
  <c r="C257" s="1"/>
  <c r="C258" s="1"/>
  <c r="C259" s="1"/>
  <c r="C260" s="1"/>
  <c r="C261" s="1"/>
  <c r="C262" s="1"/>
  <c r="C263" s="1"/>
  <c r="C264" s="1"/>
  <c r="C265" s="1"/>
  <c r="C266" s="1"/>
  <c r="C267" s="1"/>
  <c r="C268" s="1"/>
  <c r="C269" s="1"/>
  <c r="C270" s="1"/>
  <c r="C271" s="1"/>
  <c r="C272" s="1"/>
  <c r="C273" s="1"/>
  <c r="C274" s="1"/>
  <c r="C275" s="1"/>
  <c r="C276" s="1"/>
  <c r="C277" s="1"/>
  <c r="C278" s="1"/>
  <c r="C279" s="1"/>
  <c r="C280" s="1"/>
  <c r="C281" s="1"/>
  <c r="C282" s="1"/>
  <c r="C283" s="1"/>
  <c r="C284" s="1"/>
  <c r="C285" s="1"/>
  <c r="C286" s="1"/>
  <c r="C287" s="1"/>
  <c r="C288" s="1"/>
  <c r="C289" s="1"/>
  <c r="C290" s="1"/>
  <c r="C291" s="1"/>
  <c r="C292" s="1"/>
  <c r="C293" s="1"/>
  <c r="C294" s="1"/>
  <c r="C295" s="1"/>
  <c r="C296" s="1"/>
  <c r="C297" s="1"/>
  <c r="C298" s="1"/>
  <c r="C299" s="1"/>
  <c r="C300" s="1"/>
  <c r="C301" s="1"/>
  <c r="C302" s="1"/>
  <c r="C303" s="1"/>
  <c r="C304" s="1"/>
  <c r="C305" s="1"/>
  <c r="B11"/>
  <c r="B12" s="1"/>
  <c r="B13" s="1"/>
  <c r="B14" s="1"/>
  <c r="B15" s="1"/>
  <c r="B16" s="1"/>
  <c r="B17" s="1"/>
  <c r="B18" s="1"/>
  <c r="B19" s="1"/>
  <c r="B20" s="1"/>
  <c r="B21" s="1"/>
  <c r="B22" s="1"/>
  <c r="B23" s="1"/>
  <c r="B24" s="1"/>
  <c r="B25" s="1"/>
  <c r="B26" s="1"/>
  <c r="B27" s="1"/>
  <c r="B28" s="1"/>
  <c r="B29" s="1"/>
  <c r="B30" s="1"/>
  <c r="B31" s="1"/>
  <c r="B32" s="1"/>
  <c r="B33" s="1"/>
  <c r="B34" s="1"/>
  <c r="B35" s="1"/>
  <c r="B36" s="1"/>
  <c r="B37" s="1"/>
  <c r="B38" s="1"/>
  <c r="B39" s="1"/>
  <c r="B40" s="1"/>
  <c r="B41" s="1"/>
  <c r="B42" s="1"/>
  <c r="B43" s="1"/>
  <c r="B44" s="1"/>
  <c r="B45" s="1"/>
  <c r="B46" s="1"/>
  <c r="B47" s="1"/>
  <c r="B48" s="1"/>
  <c r="B49" s="1"/>
  <c r="B50" s="1"/>
  <c r="B51" s="1"/>
  <c r="B52" s="1"/>
  <c r="B53" s="1"/>
  <c r="B54" s="1"/>
  <c r="B55" s="1"/>
  <c r="B56" s="1"/>
  <c r="B57" s="1"/>
  <c r="B58" s="1"/>
  <c r="B59" s="1"/>
  <c r="B60" s="1"/>
  <c r="B61" s="1"/>
  <c r="B62" s="1"/>
  <c r="B63" s="1"/>
  <c r="B64" s="1"/>
  <c r="B65" s="1"/>
  <c r="B66" s="1"/>
  <c r="B67" s="1"/>
  <c r="B68" s="1"/>
  <c r="B69" s="1"/>
  <c r="B70" s="1"/>
  <c r="B71" s="1"/>
  <c r="B72" s="1"/>
  <c r="B73" s="1"/>
  <c r="B74" s="1"/>
  <c r="B75" s="1"/>
  <c r="B76" s="1"/>
  <c r="B77" s="1"/>
  <c r="B78" s="1"/>
  <c r="B79" s="1"/>
  <c r="B80" s="1"/>
  <c r="B81" s="1"/>
  <c r="B82" s="1"/>
  <c r="B83" s="1"/>
  <c r="B84" s="1"/>
  <c r="B85" s="1"/>
  <c r="B86" s="1"/>
  <c r="B87" s="1"/>
  <c r="B88" s="1"/>
  <c r="B89" s="1"/>
  <c r="B90" s="1"/>
  <c r="B91" s="1"/>
  <c r="B92" s="1"/>
  <c r="B93" s="1"/>
  <c r="B94" s="1"/>
  <c r="B95" s="1"/>
  <c r="B96" s="1"/>
  <c r="B97" s="1"/>
  <c r="B98" s="1"/>
  <c r="B99" s="1"/>
  <c r="B100" s="1"/>
  <c r="B101" s="1"/>
  <c r="B102" s="1"/>
  <c r="B103" s="1"/>
  <c r="B104" s="1"/>
  <c r="B105" s="1"/>
  <c r="B106" s="1"/>
  <c r="B107" s="1"/>
  <c r="B108" s="1"/>
  <c r="B109" s="1"/>
  <c r="B110" s="1"/>
  <c r="B111" s="1"/>
  <c r="B112" s="1"/>
  <c r="B113" s="1"/>
  <c r="B114" s="1"/>
  <c r="B115" s="1"/>
  <c r="B116" s="1"/>
  <c r="B117" s="1"/>
  <c r="B118" s="1"/>
  <c r="B119" s="1"/>
  <c r="B120" s="1"/>
  <c r="B121" s="1"/>
  <c r="B122" s="1"/>
  <c r="B123" s="1"/>
  <c r="B124" s="1"/>
  <c r="B125" s="1"/>
  <c r="B126" s="1"/>
  <c r="B127" s="1"/>
  <c r="B128" s="1"/>
  <c r="B129" s="1"/>
  <c r="B130" s="1"/>
  <c r="B131" s="1"/>
  <c r="B132" s="1"/>
  <c r="B133" s="1"/>
  <c r="B134" s="1"/>
  <c r="B135" s="1"/>
  <c r="B136" s="1"/>
  <c r="B137" s="1"/>
  <c r="B138" s="1"/>
  <c r="B139" s="1"/>
  <c r="B140" s="1"/>
  <c r="B141" s="1"/>
  <c r="B142" s="1"/>
  <c r="B143" s="1"/>
  <c r="B144" s="1"/>
  <c r="B145" s="1"/>
  <c r="B146" s="1"/>
  <c r="B147" s="1"/>
  <c r="B148" s="1"/>
  <c r="B149" s="1"/>
  <c r="B150" s="1"/>
  <c r="B151" s="1"/>
  <c r="B152" s="1"/>
  <c r="B153" s="1"/>
  <c r="B154" s="1"/>
  <c r="B155" s="1"/>
  <c r="B156" s="1"/>
  <c r="B157" s="1"/>
  <c r="B158" s="1"/>
  <c r="B159" s="1"/>
  <c r="B160" s="1"/>
  <c r="B161" s="1"/>
  <c r="B162" s="1"/>
  <c r="B163" s="1"/>
  <c r="B164" s="1"/>
  <c r="B165" s="1"/>
  <c r="B166" s="1"/>
  <c r="B167" s="1"/>
  <c r="B168" s="1"/>
  <c r="B169" s="1"/>
  <c r="B170" s="1"/>
  <c r="B171" s="1"/>
  <c r="B172" s="1"/>
  <c r="B173" s="1"/>
  <c r="B174" s="1"/>
  <c r="B175" s="1"/>
  <c r="B176" s="1"/>
  <c r="B177" s="1"/>
  <c r="B178" s="1"/>
  <c r="B179" s="1"/>
  <c r="B180" s="1"/>
  <c r="B181" s="1"/>
  <c r="B182" s="1"/>
  <c r="B183" s="1"/>
  <c r="B184" s="1"/>
  <c r="B185" s="1"/>
  <c r="B186" s="1"/>
  <c r="B187" s="1"/>
  <c r="B188" s="1"/>
  <c r="B189" s="1"/>
  <c r="B190" s="1"/>
  <c r="B191" s="1"/>
  <c r="B192" s="1"/>
  <c r="B193" s="1"/>
  <c r="B194" s="1"/>
  <c r="B195" s="1"/>
  <c r="B196" s="1"/>
  <c r="B197" s="1"/>
  <c r="B198" s="1"/>
  <c r="B199" s="1"/>
  <c r="B200" s="1"/>
  <c r="B201" s="1"/>
  <c r="B202" s="1"/>
  <c r="B203" s="1"/>
  <c r="B204" s="1"/>
  <c r="B205" s="1"/>
  <c r="B206" s="1"/>
  <c r="B207" s="1"/>
  <c r="B208" s="1"/>
  <c r="B209" s="1"/>
  <c r="B210" s="1"/>
  <c r="B211" s="1"/>
  <c r="B212" s="1"/>
  <c r="B213" s="1"/>
  <c r="B214" s="1"/>
  <c r="B215" s="1"/>
  <c r="B216" s="1"/>
  <c r="B217" s="1"/>
  <c r="B218" s="1"/>
  <c r="B219" s="1"/>
  <c r="B220" s="1"/>
  <c r="B221" s="1"/>
  <c r="B222" s="1"/>
  <c r="B223" s="1"/>
  <c r="B224" s="1"/>
  <c r="B225" s="1"/>
  <c r="B226" s="1"/>
  <c r="B227" s="1"/>
  <c r="B228" s="1"/>
  <c r="B229" s="1"/>
  <c r="B230" s="1"/>
  <c r="B231" s="1"/>
  <c r="B232" s="1"/>
  <c r="B233" s="1"/>
  <c r="B234" s="1"/>
  <c r="B235" s="1"/>
  <c r="B236" s="1"/>
  <c r="B237" s="1"/>
  <c r="B238" s="1"/>
  <c r="B239" s="1"/>
  <c r="B240" s="1"/>
  <c r="B241" s="1"/>
  <c r="B242" s="1"/>
  <c r="B243" s="1"/>
  <c r="B244" s="1"/>
  <c r="B245" s="1"/>
  <c r="B246" s="1"/>
  <c r="B247" s="1"/>
  <c r="B248" s="1"/>
  <c r="B249" s="1"/>
  <c r="B250" s="1"/>
  <c r="B251" s="1"/>
  <c r="B252" s="1"/>
  <c r="B253" s="1"/>
  <c r="B254" s="1"/>
  <c r="B255" s="1"/>
  <c r="B256" s="1"/>
  <c r="B257" s="1"/>
  <c r="B258" s="1"/>
  <c r="B259" s="1"/>
  <c r="B260" s="1"/>
  <c r="B261" s="1"/>
  <c r="B262" s="1"/>
  <c r="B263" s="1"/>
  <c r="B264" s="1"/>
  <c r="B265" s="1"/>
  <c r="B266" s="1"/>
  <c r="B267" s="1"/>
  <c r="B268" s="1"/>
  <c r="B269" s="1"/>
  <c r="B270" s="1"/>
  <c r="B271" s="1"/>
  <c r="B272" s="1"/>
  <c r="B273" s="1"/>
  <c r="B274" s="1"/>
  <c r="B275" s="1"/>
  <c r="B276" s="1"/>
  <c r="B277" s="1"/>
  <c r="B278" s="1"/>
  <c r="B279" s="1"/>
  <c r="B280" s="1"/>
  <c r="B281" s="1"/>
  <c r="B282" s="1"/>
  <c r="B283" s="1"/>
  <c r="B284" s="1"/>
  <c r="B285" s="1"/>
  <c r="B286" s="1"/>
  <c r="B287" s="1"/>
  <c r="B288" s="1"/>
  <c r="B289" s="1"/>
  <c r="B290" s="1"/>
  <c r="B291" s="1"/>
  <c r="B292" s="1"/>
  <c r="B293" s="1"/>
  <c r="B294" s="1"/>
  <c r="B295" s="1"/>
  <c r="B296" s="1"/>
  <c r="B297" s="1"/>
  <c r="B298" s="1"/>
  <c r="B299" s="1"/>
  <c r="B300" s="1"/>
  <c r="B301" s="1"/>
  <c r="B302" s="1"/>
  <c r="B303" s="1"/>
  <c r="B304" s="1"/>
  <c r="B305" s="1"/>
  <c r="F146" i="273"/>
  <c r="G146" s="1"/>
  <c r="G147" s="1"/>
  <c r="K1282" i="306" s="1"/>
  <c r="F142" i="273"/>
  <c r="G142" s="1"/>
  <c r="G143" s="1"/>
  <c r="K1338" i="306" s="1"/>
  <c r="F139" i="273"/>
  <c r="G139" s="1"/>
  <c r="G140" s="1"/>
  <c r="K1333" i="306" s="1"/>
  <c r="F136" i="273"/>
  <c r="G136" s="1"/>
  <c r="G137" s="1"/>
  <c r="K1323" i="306" s="1"/>
  <c r="F133" i="273"/>
  <c r="G133" s="1"/>
  <c r="G134" s="1"/>
  <c r="K1318" i="306" s="1"/>
  <c r="F130" i="273"/>
  <c r="G130" s="1"/>
  <c r="G131" s="1"/>
  <c r="K1313" i="306" s="1"/>
  <c r="F127" i="273"/>
  <c r="G127" s="1"/>
  <c r="G128" s="1"/>
  <c r="K1328" i="306" s="1"/>
  <c r="F124" i="273"/>
  <c r="G124" s="1"/>
  <c r="G125" s="1"/>
  <c r="K1308" i="306" s="1"/>
  <c r="F121" i="273"/>
  <c r="G121" s="1"/>
  <c r="G122" s="1"/>
  <c r="K1298" i="306" s="1"/>
  <c r="F118" i="273"/>
  <c r="G118" s="1"/>
  <c r="G119" s="1"/>
  <c r="K1303" i="306" s="1"/>
  <c r="F115" i="273"/>
  <c r="G115" s="1"/>
  <c r="G116" s="1"/>
  <c r="F112"/>
  <c r="G112" s="1"/>
  <c r="K1292" i="306" s="1"/>
  <c r="F110" i="273"/>
  <c r="G110" s="1"/>
  <c r="K1291" i="306" s="1"/>
  <c r="F108" i="273"/>
  <c r="G108" s="1"/>
  <c r="K1290" i="306" s="1"/>
  <c r="F102" i="273"/>
  <c r="G102" s="1"/>
  <c r="F101"/>
  <c r="G101" s="1"/>
  <c r="F100"/>
  <c r="G100" s="1"/>
  <c r="F99"/>
  <c r="G99" s="1"/>
  <c r="F98"/>
  <c r="G98" s="1"/>
  <c r="F97"/>
  <c r="G97" s="1"/>
  <c r="F92"/>
  <c r="G92" s="1"/>
  <c r="G94" s="1"/>
  <c r="F88"/>
  <c r="G88" s="1"/>
  <c r="G90" s="1"/>
  <c r="K1226" i="306" s="1"/>
  <c r="F84" i="273"/>
  <c r="G84" s="1"/>
  <c r="G86" s="1"/>
  <c r="K1220" i="306" s="1"/>
  <c r="F80" i="273"/>
  <c r="G80" s="1"/>
  <c r="G82" s="1"/>
  <c r="K1199" i="306" s="1"/>
  <c r="F77" i="273"/>
  <c r="G77" s="1"/>
  <c r="G79" s="1"/>
  <c r="K1205" i="306" s="1"/>
  <c r="F74" i="273"/>
  <c r="G74" s="1"/>
  <c r="G76" s="1"/>
  <c r="K1210" i="306" s="1"/>
  <c r="F71" i="273"/>
  <c r="G71" s="1"/>
  <c r="G73" s="1"/>
  <c r="F66"/>
  <c r="G66" s="1"/>
  <c r="F65"/>
  <c r="G65" s="1"/>
  <c r="F61"/>
  <c r="G61" s="1"/>
  <c r="G63" s="1"/>
  <c r="F57"/>
  <c r="G57" s="1"/>
  <c r="G59" s="1"/>
  <c r="K1231" i="306" s="1"/>
  <c r="F53" i="273"/>
  <c r="G53" s="1"/>
  <c r="G55" s="1"/>
  <c r="K1236" i="306" s="1"/>
  <c r="F49" i="273"/>
  <c r="G49" s="1"/>
  <c r="G51" s="1"/>
  <c r="K1257" i="306" s="1"/>
  <c r="F44" i="273"/>
  <c r="G44" s="1"/>
  <c r="G46" s="1"/>
  <c r="G47" s="1"/>
  <c r="K1251" i="306" s="1"/>
  <c r="F38" i="273"/>
  <c r="G38" s="1"/>
  <c r="G40" s="1"/>
  <c r="G41" s="1"/>
  <c r="K1246" i="306" s="1"/>
  <c r="F32" i="273"/>
  <c r="G32" s="1"/>
  <c r="G34" s="1"/>
  <c r="G35" s="1"/>
  <c r="K1241" i="306" s="1"/>
  <c r="F27" i="273"/>
  <c r="G27" s="1"/>
  <c r="G29" s="1"/>
  <c r="F22"/>
  <c r="G22" s="1"/>
  <c r="F21"/>
  <c r="G21" s="1"/>
  <c r="F20"/>
  <c r="G20" s="1"/>
  <c r="F19"/>
  <c r="G19" s="1"/>
  <c r="F16"/>
  <c r="G16" s="1"/>
  <c r="G17" s="1"/>
  <c r="K1272" i="306" s="1"/>
  <c r="F13" i="273"/>
  <c r="G13" s="1"/>
  <c r="G14" s="1"/>
  <c r="K1267" i="306" s="1"/>
  <c r="F8" i="273"/>
  <c r="G8" s="1"/>
  <c r="F7"/>
  <c r="G7" s="1"/>
  <c r="F6"/>
  <c r="G6" s="1"/>
  <c r="F267" i="272"/>
  <c r="H267" s="1"/>
  <c r="H268" s="1"/>
  <c r="K1136" i="306" s="1"/>
  <c r="F264" i="272"/>
  <c r="H264" s="1"/>
  <c r="H265" s="1"/>
  <c r="K1131" i="306" s="1"/>
  <c r="F262" i="272"/>
  <c r="H262" s="1"/>
  <c r="H263" s="1"/>
  <c r="K1123" i="306" s="1"/>
  <c r="F260" i="272"/>
  <c r="H260" s="1"/>
  <c r="H261" s="1"/>
  <c r="K1127" i="306" s="1"/>
  <c r="F241" i="272"/>
  <c r="G234"/>
  <c r="G246" s="1"/>
  <c r="G233"/>
  <c r="G245" s="1"/>
  <c r="G232"/>
  <c r="G244" s="1"/>
  <c r="G231"/>
  <c r="G243" s="1"/>
  <c r="G230"/>
  <c r="G242" s="1"/>
  <c r="G229"/>
  <c r="G241" s="1"/>
  <c r="G251" s="1"/>
  <c r="H251" s="1"/>
  <c r="F229"/>
  <c r="G228"/>
  <c r="G227"/>
  <c r="F223"/>
  <c r="H223" s="1"/>
  <c r="F222"/>
  <c r="H222" s="1"/>
  <c r="F221"/>
  <c r="H221" s="1"/>
  <c r="F220"/>
  <c r="H220" s="1"/>
  <c r="L218"/>
  <c r="G216"/>
  <c r="H216" s="1"/>
  <c r="G214"/>
  <c r="H214" s="1"/>
  <c r="L212"/>
  <c r="F211"/>
  <c r="G209"/>
  <c r="H209" s="1"/>
  <c r="G208"/>
  <c r="H208" s="1"/>
  <c r="G207"/>
  <c r="H207" s="1"/>
  <c r="G206"/>
  <c r="H206" s="1"/>
  <c r="G205"/>
  <c r="H205" s="1"/>
  <c r="G204"/>
  <c r="H204" s="1"/>
  <c r="G203"/>
  <c r="H199"/>
  <c r="H198"/>
  <c r="L193"/>
  <c r="G192"/>
  <c r="F192"/>
  <c r="G190"/>
  <c r="G189"/>
  <c r="H189" s="1"/>
  <c r="G188"/>
  <c r="H188" s="1"/>
  <c r="G187"/>
  <c r="H187" s="1"/>
  <c r="G186"/>
  <c r="H186" s="1"/>
  <c r="G185"/>
  <c r="H185" s="1"/>
  <c r="G184"/>
  <c r="K183"/>
  <c r="G183"/>
  <c r="F184"/>
  <c r="G182"/>
  <c r="H180"/>
  <c r="H179"/>
  <c r="F173"/>
  <c r="G165"/>
  <c r="G164"/>
  <c r="H162"/>
  <c r="H163" s="1"/>
  <c r="F165" s="1"/>
  <c r="H165" s="1"/>
  <c r="H160"/>
  <c r="H159"/>
  <c r="H124"/>
  <c r="H125" s="1"/>
  <c r="F127" s="1"/>
  <c r="H122"/>
  <c r="H121"/>
  <c r="G116"/>
  <c r="F116"/>
  <c r="G114"/>
  <c r="G113"/>
  <c r="G112"/>
  <c r="G111"/>
  <c r="G110"/>
  <c r="G109"/>
  <c r="G108"/>
  <c r="G107"/>
  <c r="H105"/>
  <c r="H106" s="1"/>
  <c r="F108" s="1"/>
  <c r="H108" s="1"/>
  <c r="H103"/>
  <c r="H102"/>
  <c r="F97"/>
  <c r="H86"/>
  <c r="H87" s="1"/>
  <c r="F89" s="1"/>
  <c r="H84"/>
  <c r="H83"/>
  <c r="F78"/>
  <c r="G70"/>
  <c r="G89" s="1"/>
  <c r="G69"/>
  <c r="G88" s="1"/>
  <c r="H67"/>
  <c r="H68" s="1"/>
  <c r="F70" s="1"/>
  <c r="H65"/>
  <c r="H64"/>
  <c r="G59"/>
  <c r="F59"/>
  <c r="G57"/>
  <c r="H57" s="1"/>
  <c r="G56"/>
  <c r="H56" s="1"/>
  <c r="G55"/>
  <c r="H55" s="1"/>
  <c r="G54"/>
  <c r="H54" s="1"/>
  <c r="G53"/>
  <c r="H53" s="1"/>
  <c r="G52"/>
  <c r="H52" s="1"/>
  <c r="G51"/>
  <c r="F51"/>
  <c r="G50"/>
  <c r="F50"/>
  <c r="G49"/>
  <c r="H47"/>
  <c r="H46"/>
  <c r="G41"/>
  <c r="F41"/>
  <c r="G39"/>
  <c r="G38"/>
  <c r="H38" s="1"/>
  <c r="G37"/>
  <c r="H37" s="1"/>
  <c r="G36"/>
  <c r="H36" s="1"/>
  <c r="G35"/>
  <c r="H35" s="1"/>
  <c r="G34"/>
  <c r="H34" s="1"/>
  <c r="G33"/>
  <c r="G32"/>
  <c r="G31"/>
  <c r="H29"/>
  <c r="H28"/>
  <c r="G23"/>
  <c r="G173" s="1"/>
  <c r="G21"/>
  <c r="G171" s="1"/>
  <c r="H171" s="1"/>
  <c r="G20"/>
  <c r="G170" s="1"/>
  <c r="H170" s="1"/>
  <c r="G19"/>
  <c r="G169" s="1"/>
  <c r="H169" s="1"/>
  <c r="G18"/>
  <c r="G168" s="1"/>
  <c r="H168" s="1"/>
  <c r="G17"/>
  <c r="G167" s="1"/>
  <c r="H167" s="1"/>
  <c r="G16"/>
  <c r="G166" s="1"/>
  <c r="H166" s="1"/>
  <c r="G15"/>
  <c r="G14"/>
  <c r="H12"/>
  <c r="H13" s="1"/>
  <c r="F15" s="1"/>
  <c r="H15" s="1"/>
  <c r="H10"/>
  <c r="H9"/>
  <c r="H286" i="271"/>
  <c r="I286" s="1"/>
  <c r="I287" s="1"/>
  <c r="K1541" i="306" s="1"/>
  <c r="H283" i="271"/>
  <c r="I283" s="1"/>
  <c r="I284" s="1"/>
  <c r="K1536" i="306" s="1"/>
  <c r="H278" i="271"/>
  <c r="I278" s="1"/>
  <c r="H277"/>
  <c r="I277" s="1"/>
  <c r="H276"/>
  <c r="I276" s="1"/>
  <c r="H275"/>
  <c r="I275" s="1"/>
  <c r="H274"/>
  <c r="I274" s="1"/>
  <c r="H273"/>
  <c r="I273" s="1"/>
  <c r="H272"/>
  <c r="I272" s="1"/>
  <c r="H271"/>
  <c r="I271" s="1"/>
  <c r="H270"/>
  <c r="I270" s="1"/>
  <c r="H269"/>
  <c r="I269" s="1"/>
  <c r="H268"/>
  <c r="I268" s="1"/>
  <c r="I266"/>
  <c r="H265"/>
  <c r="I265" s="1"/>
  <c r="I261"/>
  <c r="H260"/>
  <c r="I260" s="1"/>
  <c r="H259"/>
  <c r="I259" s="1"/>
  <c r="H257"/>
  <c r="I257" s="1"/>
  <c r="H256"/>
  <c r="I256" s="1"/>
  <c r="H255"/>
  <c r="I255" s="1"/>
  <c r="H251"/>
  <c r="I251" s="1"/>
  <c r="H250"/>
  <c r="I250" s="1"/>
  <c r="H249"/>
  <c r="I249" s="1"/>
  <c r="I247"/>
  <c r="H246"/>
  <c r="I246" s="1"/>
  <c r="H245"/>
  <c r="I245" s="1"/>
  <c r="H240"/>
  <c r="I240" s="1"/>
  <c r="H239"/>
  <c r="I239" s="1"/>
  <c r="I237"/>
  <c r="H236"/>
  <c r="I236" s="1"/>
  <c r="I232"/>
  <c r="H231"/>
  <c r="I231" s="1"/>
  <c r="H230"/>
  <c r="I230" s="1"/>
  <c r="H227"/>
  <c r="I227" s="1"/>
  <c r="I225"/>
  <c r="H221"/>
  <c r="I221" s="1"/>
  <c r="I219"/>
  <c r="H218"/>
  <c r="I218" s="1"/>
  <c r="H213"/>
  <c r="I213" s="1"/>
  <c r="H212"/>
  <c r="I212" s="1"/>
  <c r="H208"/>
  <c r="I208" s="1"/>
  <c r="H204"/>
  <c r="I204" s="1"/>
  <c r="I205" s="1"/>
  <c r="H203"/>
  <c r="I203" s="1"/>
  <c r="H202"/>
  <c r="I202" s="1"/>
  <c r="I200"/>
  <c r="H199"/>
  <c r="I199" s="1"/>
  <c r="H193"/>
  <c r="I193" s="1"/>
  <c r="H192"/>
  <c r="I192" s="1"/>
  <c r="I190"/>
  <c r="H189"/>
  <c r="I189" s="1"/>
  <c r="H183"/>
  <c r="I183" s="1"/>
  <c r="H182"/>
  <c r="I182" s="1"/>
  <c r="H181"/>
  <c r="I181" s="1"/>
  <c r="I179"/>
  <c r="H178"/>
  <c r="I178" s="1"/>
  <c r="H177"/>
  <c r="I177" s="1"/>
  <c r="H172"/>
  <c r="I172" s="1"/>
  <c r="I170"/>
  <c r="H169"/>
  <c r="I169" s="1"/>
  <c r="H168"/>
  <c r="I168" s="1"/>
  <c r="H162"/>
  <c r="I162" s="1"/>
  <c r="I160"/>
  <c r="H159"/>
  <c r="I159" s="1"/>
  <c r="H158"/>
  <c r="I158" s="1"/>
  <c r="H152"/>
  <c r="I152" s="1"/>
  <c r="I151"/>
  <c r="H150"/>
  <c r="I150" s="1"/>
  <c r="H149"/>
  <c r="I149" s="1"/>
  <c r="H142"/>
  <c r="I142" s="1"/>
  <c r="I140"/>
  <c r="H139"/>
  <c r="I139" s="1"/>
  <c r="H138"/>
  <c r="I138" s="1"/>
  <c r="H133"/>
  <c r="I133" s="1"/>
  <c r="H132"/>
  <c r="I132" s="1"/>
  <c r="I130"/>
  <c r="H129"/>
  <c r="I129" s="1"/>
  <c r="H125"/>
  <c r="I125" s="1"/>
  <c r="H124"/>
  <c r="I124" s="1"/>
  <c r="H123"/>
  <c r="I123" s="1"/>
  <c r="I121"/>
  <c r="H120"/>
  <c r="I120" s="1"/>
  <c r="H116"/>
  <c r="I116" s="1"/>
  <c r="H115"/>
  <c r="I115" s="1"/>
  <c r="I113"/>
  <c r="H112"/>
  <c r="I112" s="1"/>
  <c r="H107"/>
  <c r="I107" s="1"/>
  <c r="H106"/>
  <c r="I106" s="1"/>
  <c r="H105"/>
  <c r="I105" s="1"/>
  <c r="I103"/>
  <c r="H102"/>
  <c r="I102" s="1"/>
  <c r="H101"/>
  <c r="I101" s="1"/>
  <c r="H94"/>
  <c r="I94" s="1"/>
  <c r="H93"/>
  <c r="I93" s="1"/>
  <c r="I91"/>
  <c r="H90"/>
  <c r="I90" s="1"/>
  <c r="H89"/>
  <c r="I89" s="1"/>
  <c r="H83"/>
  <c r="I83" s="1"/>
  <c r="I84" s="1"/>
  <c r="K1546" i="306" s="1"/>
  <c r="H80" i="271"/>
  <c r="I80" s="1"/>
  <c r="I81" s="1"/>
  <c r="K1489" i="306" s="1"/>
  <c r="H76" i="271"/>
  <c r="I76" s="1"/>
  <c r="I77" s="1"/>
  <c r="K1469" i="306" s="1"/>
  <c r="I73" i="271"/>
  <c r="H72"/>
  <c r="I72" s="1"/>
  <c r="I69"/>
  <c r="I70" s="1"/>
  <c r="K1464" i="306" s="1"/>
  <c r="H66" i="271"/>
  <c r="I66" s="1"/>
  <c r="I67" s="1"/>
  <c r="K1454" i="306" s="1"/>
  <c r="H63" i="271"/>
  <c r="I63" s="1"/>
  <c r="I64" s="1"/>
  <c r="K1449" i="306" s="1"/>
  <c r="H60" i="271"/>
  <c r="I60" s="1"/>
  <c r="I61" s="1"/>
  <c r="K1444" i="306" s="1"/>
  <c r="H57" i="271"/>
  <c r="I57" s="1"/>
  <c r="I58" s="1"/>
  <c r="K1397" i="306" s="1"/>
  <c r="H54" i="271"/>
  <c r="I54" s="1"/>
  <c r="H46"/>
  <c r="I46" s="1"/>
  <c r="I47" s="1"/>
  <c r="K1392" i="306" s="1"/>
  <c r="H43" i="271"/>
  <c r="H50" s="1"/>
  <c r="I50" s="1"/>
  <c r="H40"/>
  <c r="I40" s="1"/>
  <c r="I41" s="1"/>
  <c r="K1372" i="306" s="1"/>
  <c r="H37" i="271"/>
  <c r="H49" s="1"/>
  <c r="I49" s="1"/>
  <c r="H34"/>
  <c r="I34" s="1"/>
  <c r="I35" s="1"/>
  <c r="K1362" i="306" s="1"/>
  <c r="H28" i="271"/>
  <c r="I28" s="1"/>
  <c r="H27"/>
  <c r="I27" s="1"/>
  <c r="H26"/>
  <c r="I26" s="1"/>
  <c r="H25"/>
  <c r="I25" s="1"/>
  <c r="H23"/>
  <c r="I23" s="1"/>
  <c r="I22"/>
  <c r="H21"/>
  <c r="I21" s="1"/>
  <c r="H20"/>
  <c r="I20" s="1"/>
  <c r="H14"/>
  <c r="I14" s="1"/>
  <c r="H13"/>
  <c r="I13" s="1"/>
  <c r="H12"/>
  <c r="I12" s="1"/>
  <c r="I10"/>
  <c r="H9"/>
  <c r="I9" s="1"/>
  <c r="H8"/>
  <c r="I8" s="1"/>
  <c r="F919" i="270"/>
  <c r="G919" s="1"/>
  <c r="F917"/>
  <c r="G917" s="1"/>
  <c r="G912"/>
  <c r="G914" s="1"/>
  <c r="K571" i="306" s="1"/>
  <c r="G908" i="270"/>
  <c r="G910" s="1"/>
  <c r="K566" i="306" s="1"/>
  <c r="G903" i="270"/>
  <c r="G899"/>
  <c r="G901" s="1"/>
  <c r="K561" i="306" s="1"/>
  <c r="G894" i="270"/>
  <c r="F891"/>
  <c r="G891" s="1"/>
  <c r="G892" s="1"/>
  <c r="K556" i="306" s="1"/>
  <c r="G888" i="270"/>
  <c r="G889" s="1"/>
  <c r="K1567" i="306" s="1"/>
  <c r="F885" i="270"/>
  <c r="G885" s="1"/>
  <c r="F884"/>
  <c r="G884" s="1"/>
  <c r="F883"/>
  <c r="G883" s="1"/>
  <c r="F882"/>
  <c r="G882" s="1"/>
  <c r="F881"/>
  <c r="G881" s="1"/>
  <c r="G877"/>
  <c r="G878" s="1"/>
  <c r="F873"/>
  <c r="G873" s="1"/>
  <c r="F872"/>
  <c r="G872" s="1"/>
  <c r="F870"/>
  <c r="G870" s="1"/>
  <c r="F866"/>
  <c r="G866" s="1"/>
  <c r="F865"/>
  <c r="G865" s="1"/>
  <c r="F863"/>
  <c r="G863" s="1"/>
  <c r="F852"/>
  <c r="G852" s="1"/>
  <c r="F851"/>
  <c r="G851" s="1"/>
  <c r="F850"/>
  <c r="G850" s="1"/>
  <c r="F848"/>
  <c r="G848" s="1"/>
  <c r="F838"/>
  <c r="G838" s="1"/>
  <c r="F837"/>
  <c r="G837" s="1"/>
  <c r="F835"/>
  <c r="G835" s="1"/>
  <c r="F826"/>
  <c r="G826" s="1"/>
  <c r="F825"/>
  <c r="G825" s="1"/>
  <c r="F823"/>
  <c r="G823" s="1"/>
  <c r="F816"/>
  <c r="G816" s="1"/>
  <c r="F815"/>
  <c r="G815" s="1"/>
  <c r="F813"/>
  <c r="G813" s="1"/>
  <c r="F802"/>
  <c r="G802" s="1"/>
  <c r="F801"/>
  <c r="G801" s="1"/>
  <c r="F800"/>
  <c r="G800" s="1"/>
  <c r="F798"/>
  <c r="G798" s="1"/>
  <c r="F787"/>
  <c r="G787" s="1"/>
  <c r="F786"/>
  <c r="G786" s="1"/>
  <c r="F784"/>
  <c r="G784" s="1"/>
  <c r="F774"/>
  <c r="G774" s="1"/>
  <c r="F773"/>
  <c r="G773" s="1"/>
  <c r="F772"/>
  <c r="G772" s="1"/>
  <c r="F763"/>
  <c r="G763" s="1"/>
  <c r="F762"/>
  <c r="G762" s="1"/>
  <c r="F753"/>
  <c r="G753" s="1"/>
  <c r="F752"/>
  <c r="G752" s="1"/>
  <c r="F751"/>
  <c r="G751" s="1"/>
  <c r="F739"/>
  <c r="G739" s="1"/>
  <c r="F738"/>
  <c r="G738" s="1"/>
  <c r="F725"/>
  <c r="G725" s="1"/>
  <c r="F724"/>
  <c r="G724" s="1"/>
  <c r="F718"/>
  <c r="G718" s="1"/>
  <c r="F708"/>
  <c r="G708" s="1"/>
  <c r="F707"/>
  <c r="G707" s="1"/>
  <c r="F706"/>
  <c r="G706" s="1"/>
  <c r="F700"/>
  <c r="G700" s="1"/>
  <c r="F690"/>
  <c r="G690" s="1"/>
  <c r="F689"/>
  <c r="G689" s="1"/>
  <c r="F688"/>
  <c r="G688" s="1"/>
  <c r="F686"/>
  <c r="F722" s="1"/>
  <c r="G722" s="1"/>
  <c r="F682"/>
  <c r="G682" s="1"/>
  <c r="F671"/>
  <c r="G671" s="1"/>
  <c r="F670"/>
  <c r="G670" s="1"/>
  <c r="F669"/>
  <c r="G669" s="1"/>
  <c r="F662"/>
  <c r="G662" s="1"/>
  <c r="F652"/>
  <c r="G652" s="1"/>
  <c r="F651"/>
  <c r="G651" s="1"/>
  <c r="F650"/>
  <c r="G650" s="1"/>
  <c r="F648"/>
  <c r="G648" s="1"/>
  <c r="F644"/>
  <c r="G644" s="1"/>
  <c r="F634"/>
  <c r="G634" s="1"/>
  <c r="F633"/>
  <c r="G633" s="1"/>
  <c r="F632"/>
  <c r="G632" s="1"/>
  <c r="F626"/>
  <c r="G626" s="1"/>
  <c r="F621"/>
  <c r="G621" s="1"/>
  <c r="G622" s="1"/>
  <c r="K1193" i="306" s="1"/>
  <c r="F612" i="270"/>
  <c r="G612" s="1"/>
  <c r="F611"/>
  <c r="G611" s="1"/>
  <c r="F610"/>
  <c r="G610" s="1"/>
  <c r="F608"/>
  <c r="G608" s="1"/>
  <c r="F593"/>
  <c r="G593" s="1"/>
  <c r="F592"/>
  <c r="G592" s="1"/>
  <c r="F591"/>
  <c r="G591" s="1"/>
  <c r="F575"/>
  <c r="G575" s="1"/>
  <c r="F574"/>
  <c r="G574" s="1"/>
  <c r="F573"/>
  <c r="G573" s="1"/>
  <c r="F571"/>
  <c r="G571" s="1"/>
  <c r="F560"/>
  <c r="G560" s="1"/>
  <c r="F559"/>
  <c r="G559" s="1"/>
  <c r="F558"/>
  <c r="G558" s="1"/>
  <c r="F556"/>
  <c r="G556" s="1"/>
  <c r="F548"/>
  <c r="E548"/>
  <c r="F547"/>
  <c r="E547"/>
  <c r="F543"/>
  <c r="G543" s="1"/>
  <c r="F541"/>
  <c r="G541" s="1"/>
  <c r="F540"/>
  <c r="G540" s="1"/>
  <c r="F539"/>
  <c r="G539" s="1"/>
  <c r="F534"/>
  <c r="G534" s="1"/>
  <c r="G527"/>
  <c r="F527"/>
  <c r="E527"/>
  <c r="E526"/>
  <c r="F526" s="1"/>
  <c r="G526" s="1"/>
  <c r="F522"/>
  <c r="G522" s="1"/>
  <c r="F521"/>
  <c r="G521" s="1"/>
  <c r="F520"/>
  <c r="G520" s="1"/>
  <c r="G507"/>
  <c r="F507"/>
  <c r="E507"/>
  <c r="E506"/>
  <c r="F506" s="1"/>
  <c r="G506" s="1"/>
  <c r="F502"/>
  <c r="G502" s="1"/>
  <c r="F501"/>
  <c r="G501" s="1"/>
  <c r="F500"/>
  <c r="G500" s="1"/>
  <c r="G487"/>
  <c r="F487"/>
  <c r="E487"/>
  <c r="E486"/>
  <c r="G486" s="1"/>
  <c r="F482"/>
  <c r="G482" s="1"/>
  <c r="F481"/>
  <c r="G481" s="1"/>
  <c r="F480"/>
  <c r="G480" s="1"/>
  <c r="G471"/>
  <c r="F471"/>
  <c r="E471"/>
  <c r="E470"/>
  <c r="G470" s="1"/>
  <c r="F466"/>
  <c r="G466" s="1"/>
  <c r="F465"/>
  <c r="G465" s="1"/>
  <c r="F464"/>
  <c r="G464" s="1"/>
  <c r="G455"/>
  <c r="F455"/>
  <c r="E455"/>
  <c r="E454"/>
  <c r="G454" s="1"/>
  <c r="F450"/>
  <c r="G450" s="1"/>
  <c r="F449"/>
  <c r="G449" s="1"/>
  <c r="F448"/>
  <c r="G448" s="1"/>
  <c r="G439"/>
  <c r="F439"/>
  <c r="E439"/>
  <c r="E438"/>
  <c r="G438" s="1"/>
  <c r="F434"/>
  <c r="G434" s="1"/>
  <c r="F433"/>
  <c r="G433" s="1"/>
  <c r="F432"/>
  <c r="G432" s="1"/>
  <c r="G424"/>
  <c r="F424"/>
  <c r="E424"/>
  <c r="E423"/>
  <c r="F423" s="1"/>
  <c r="G423" s="1"/>
  <c r="F419"/>
  <c r="G419" s="1"/>
  <c r="F418"/>
  <c r="G418" s="1"/>
  <c r="F417"/>
  <c r="G417" s="1"/>
  <c r="F416"/>
  <c r="G416" s="1"/>
  <c r="F413"/>
  <c r="G413" s="1"/>
  <c r="G406"/>
  <c r="F406"/>
  <c r="E406"/>
  <c r="E405"/>
  <c r="F405" s="1"/>
  <c r="G405" s="1"/>
  <c r="F401"/>
  <c r="G401" s="1"/>
  <c r="F400"/>
  <c r="G400" s="1"/>
  <c r="F399"/>
  <c r="G399" s="1"/>
  <c r="G389"/>
  <c r="F389"/>
  <c r="E389"/>
  <c r="E388"/>
  <c r="F388" s="1"/>
  <c r="G388" s="1"/>
  <c r="F384"/>
  <c r="G384" s="1"/>
  <c r="F383"/>
  <c r="G383" s="1"/>
  <c r="F382"/>
  <c r="G382" s="1"/>
  <c r="G372"/>
  <c r="F372"/>
  <c r="E372"/>
  <c r="E371"/>
  <c r="F371" s="1"/>
  <c r="F367"/>
  <c r="G367" s="1"/>
  <c r="F366"/>
  <c r="G366" s="1"/>
  <c r="F365"/>
  <c r="G365" s="1"/>
  <c r="F356"/>
  <c r="G356" s="1"/>
  <c r="F355"/>
  <c r="G355" s="1"/>
  <c r="F346"/>
  <c r="G346" s="1"/>
  <c r="F345"/>
  <c r="G345" s="1"/>
  <c r="G341"/>
  <c r="F340"/>
  <c r="G340" s="1"/>
  <c r="F339"/>
  <c r="F338"/>
  <c r="F336"/>
  <c r="F335"/>
  <c r="G329"/>
  <c r="G328"/>
  <c r="G327"/>
  <c r="F326"/>
  <c r="G326" s="1"/>
  <c r="F325"/>
  <c r="F324"/>
  <c r="F322"/>
  <c r="F321"/>
  <c r="F317"/>
  <c r="G317" s="1"/>
  <c r="F316"/>
  <c r="G316" s="1"/>
  <c r="F315"/>
  <c r="G315" s="1"/>
  <c r="F309"/>
  <c r="F308"/>
  <c r="F302"/>
  <c r="G302" s="1"/>
  <c r="F301"/>
  <c r="G301" s="1"/>
  <c r="F294"/>
  <c r="G294" s="1"/>
  <c r="F293"/>
  <c r="G293" s="1"/>
  <c r="F292"/>
  <c r="G292" s="1"/>
  <c r="F291"/>
  <c r="G291" s="1"/>
  <c r="F289"/>
  <c r="G289" s="1"/>
  <c r="F288"/>
  <c r="G288" s="1"/>
  <c r="F278"/>
  <c r="G278" s="1"/>
  <c r="F277"/>
  <c r="G277" s="1"/>
  <c r="F275"/>
  <c r="G275" s="1"/>
  <c r="E267"/>
  <c r="F267" s="1"/>
  <c r="G267" s="1"/>
  <c r="E266"/>
  <c r="F266" s="1"/>
  <c r="G266" s="1"/>
  <c r="F262"/>
  <c r="G262" s="1"/>
  <c r="F261"/>
  <c r="G261" s="1"/>
  <c r="F260"/>
  <c r="G260" s="1"/>
  <c r="F258"/>
  <c r="G258" s="1"/>
  <c r="F257"/>
  <c r="G257" s="1"/>
  <c r="F234"/>
  <c r="G234" s="1"/>
  <c r="F233"/>
  <c r="G233" s="1"/>
  <c r="F231"/>
  <c r="G231" s="1"/>
  <c r="F230"/>
  <c r="G230" s="1"/>
  <c r="F229"/>
  <c r="G229" s="1"/>
  <c r="G211"/>
  <c r="G219" s="1"/>
  <c r="F211"/>
  <c r="F219" s="1"/>
  <c r="E211"/>
  <c r="E219" s="1"/>
  <c r="G204"/>
  <c r="F204"/>
  <c r="E204"/>
  <c r="E203"/>
  <c r="F203" s="1"/>
  <c r="G191"/>
  <c r="G247" s="1"/>
  <c r="F191"/>
  <c r="F198" s="1"/>
  <c r="E191"/>
  <c r="E247" s="1"/>
  <c r="E190"/>
  <c r="E197" s="1"/>
  <c r="G184"/>
  <c r="G240" s="1"/>
  <c r="F184"/>
  <c r="F240" s="1"/>
  <c r="E184"/>
  <c r="E240" s="1"/>
  <c r="E183"/>
  <c r="E239" s="1"/>
  <c r="G177"/>
  <c r="F177"/>
  <c r="E177"/>
  <c r="E176"/>
  <c r="F176" s="1"/>
  <c r="F172"/>
  <c r="G172" s="1"/>
  <c r="F171"/>
  <c r="G171" s="1"/>
  <c r="F170"/>
  <c r="G170" s="1"/>
  <c r="F168"/>
  <c r="G168" s="1"/>
  <c r="F167"/>
  <c r="G167" s="1"/>
  <c r="F166"/>
  <c r="G166" s="1"/>
  <c r="G156"/>
  <c r="F156"/>
  <c r="E156"/>
  <c r="E155"/>
  <c r="F155" s="1"/>
  <c r="G150"/>
  <c r="F150"/>
  <c r="E150"/>
  <c r="E149"/>
  <c r="F149" s="1"/>
  <c r="F145"/>
  <c r="G145" s="1"/>
  <c r="F144"/>
  <c r="G144" s="1"/>
  <c r="F143"/>
  <c r="G143" s="1"/>
  <c r="F141"/>
  <c r="G141" s="1"/>
  <c r="F140"/>
  <c r="G140" s="1"/>
  <c r="F139"/>
  <c r="G139" s="1"/>
  <c r="E137"/>
  <c r="E164" s="1"/>
  <c r="F130"/>
  <c r="G130" s="1"/>
  <c r="F129"/>
  <c r="G129" s="1"/>
  <c r="F125"/>
  <c r="G125" s="1"/>
  <c r="F124"/>
  <c r="G124" s="1"/>
  <c r="F120"/>
  <c r="G120" s="1"/>
  <c r="F119"/>
  <c r="G119" s="1"/>
  <c r="F115"/>
  <c r="G115" s="1"/>
  <c r="F114"/>
  <c r="G114" s="1"/>
  <c r="F113"/>
  <c r="G113" s="1"/>
  <c r="F111"/>
  <c r="G111" s="1"/>
  <c r="F110"/>
  <c r="G110" s="1"/>
  <c r="F109"/>
  <c r="G109" s="1"/>
  <c r="F100"/>
  <c r="G100" s="1"/>
  <c r="F99"/>
  <c r="G99" s="1"/>
  <c r="F97"/>
  <c r="G97" s="1"/>
  <c r="F95"/>
  <c r="G95" s="1"/>
  <c r="F88"/>
  <c r="G88" s="1"/>
  <c r="F87"/>
  <c r="G87" s="1"/>
  <c r="F85"/>
  <c r="G85" s="1"/>
  <c r="F83"/>
  <c r="G83" s="1"/>
  <c r="F75"/>
  <c r="G75" s="1"/>
  <c r="F74"/>
  <c r="G74" s="1"/>
  <c r="F67"/>
  <c r="G67" s="1"/>
  <c r="F59"/>
  <c r="G59" s="1"/>
  <c r="F51"/>
  <c r="G51" s="1"/>
  <c r="G45"/>
  <c r="G46" s="1"/>
  <c r="K19" i="306" s="1"/>
  <c r="G40" i="270"/>
  <c r="G41" s="1"/>
  <c r="K14" i="306" s="1"/>
  <c r="F28" i="270"/>
  <c r="G28" s="1"/>
  <c r="E26"/>
  <c r="F23"/>
  <c r="G23" s="1"/>
  <c r="E21"/>
  <c r="F18"/>
  <c r="G18" s="1"/>
  <c r="E16"/>
  <c r="F13"/>
  <c r="G13" s="1"/>
  <c r="E11"/>
  <c r="F8"/>
  <c r="G8" s="1"/>
  <c r="E6"/>
  <c r="G25" i="269"/>
  <c r="F25"/>
  <c r="G24"/>
  <c r="F24"/>
  <c r="G23"/>
  <c r="G22"/>
  <c r="G21"/>
  <c r="G20"/>
  <c r="I20" s="1"/>
  <c r="G19"/>
  <c r="I19" s="1"/>
  <c r="G18"/>
  <c r="I18" s="1"/>
  <c r="G17"/>
  <c r="I17" s="1"/>
  <c r="D17"/>
  <c r="D18" s="1"/>
  <c r="D19" s="1"/>
  <c r="D20" s="1"/>
  <c r="D21" s="1"/>
  <c r="D22" s="1"/>
  <c r="G16"/>
  <c r="I16" s="1"/>
  <c r="K15"/>
  <c r="J15"/>
  <c r="G15"/>
  <c r="G14"/>
  <c r="G13"/>
  <c r="D13"/>
  <c r="D14" s="1"/>
  <c r="G12"/>
  <c r="G11"/>
  <c r="L11" s="1"/>
  <c r="G10"/>
  <c r="G9"/>
  <c r="I9" s="1"/>
  <c r="G8"/>
  <c r="L8" s="1"/>
  <c r="E23"/>
  <c r="F23" s="1"/>
  <c r="E15"/>
  <c r="F15" s="1"/>
  <c r="E16"/>
  <c r="E12"/>
  <c r="J48" i="264"/>
  <c r="P48"/>
  <c r="O48"/>
  <c r="C2" i="250"/>
  <c r="E17" i="139"/>
  <c r="E16"/>
  <c r="E13"/>
  <c r="E11"/>
  <c r="E10"/>
  <c r="B4" i="171"/>
  <c r="E9" i="170"/>
  <c r="E16" s="1"/>
  <c r="E7"/>
  <c r="G148" i="272" l="1"/>
  <c r="H148" s="1"/>
  <c r="G129"/>
  <c r="H129" s="1"/>
  <c r="G150"/>
  <c r="H150" s="1"/>
  <c r="G131"/>
  <c r="H131" s="1"/>
  <c r="G152"/>
  <c r="H152" s="1"/>
  <c r="G133"/>
  <c r="H133" s="1"/>
  <c r="G135"/>
  <c r="H135" s="1"/>
  <c r="G154"/>
  <c r="H154" s="1"/>
  <c r="G147"/>
  <c r="H147" s="1"/>
  <c r="G128"/>
  <c r="H128" s="1"/>
  <c r="G149"/>
  <c r="H149" s="1"/>
  <c r="G130"/>
  <c r="H130" s="1"/>
  <c r="G151"/>
  <c r="H151" s="1"/>
  <c r="G132"/>
  <c r="H132" s="1"/>
  <c r="F916" i="270"/>
  <c r="G916" s="1"/>
  <c r="F918"/>
  <c r="G918" s="1"/>
  <c r="G920" s="1"/>
  <c r="I51" i="271"/>
  <c r="K1387" i="306" s="1"/>
  <c r="M1387" s="1"/>
  <c r="H11" i="272"/>
  <c r="F14" s="1"/>
  <c r="H127"/>
  <c r="G239"/>
  <c r="H239" s="1"/>
  <c r="H227"/>
  <c r="H70"/>
  <c r="G240"/>
  <c r="H228"/>
  <c r="G373" i="270"/>
  <c r="H123" i="272"/>
  <c r="F126" s="1"/>
  <c r="H126" s="1"/>
  <c r="H161"/>
  <c r="F164" s="1"/>
  <c r="G528" i="270"/>
  <c r="G792"/>
  <c r="F817"/>
  <c r="G268"/>
  <c r="F425"/>
  <c r="G508"/>
  <c r="F390"/>
  <c r="G390"/>
  <c r="M1127" i="306"/>
  <c r="I1066" i="309"/>
  <c r="M1131" i="306"/>
  <c r="I1067" i="309"/>
  <c r="M1123" i="306"/>
  <c r="I1065" i="309"/>
  <c r="M1136" i="306"/>
  <c r="I1068" i="309"/>
  <c r="F827" i="270"/>
  <c r="G827" s="1"/>
  <c r="G828" s="1"/>
  <c r="G829" s="1"/>
  <c r="F846" s="1"/>
  <c r="G846" s="1"/>
  <c r="G853" s="1"/>
  <c r="M1272" i="306"/>
  <c r="I1092" i="309"/>
  <c r="M1241" i="306"/>
  <c r="I1085" i="309"/>
  <c r="M1251" i="306"/>
  <c r="I1087" i="309"/>
  <c r="M1236" i="306"/>
  <c r="I1084" i="309"/>
  <c r="M1210" i="306"/>
  <c r="I1080" i="309"/>
  <c r="M1199" i="306"/>
  <c r="I1078" i="309"/>
  <c r="M1226" i="306"/>
  <c r="I1082" i="309"/>
  <c r="M1290" i="306"/>
  <c r="I1095" i="309"/>
  <c r="M1292" i="306"/>
  <c r="I1097" i="309"/>
  <c r="M1303" i="306"/>
  <c r="I1099" i="309"/>
  <c r="M1298" i="306"/>
  <c r="I1098" i="309"/>
  <c r="M1328" i="306"/>
  <c r="I1104" i="309"/>
  <c r="M1318" i="306"/>
  <c r="I1102" i="309"/>
  <c r="M1333" i="306"/>
  <c r="I1105" i="309"/>
  <c r="M1282" i="306"/>
  <c r="I1093" i="309"/>
  <c r="M1267" i="306"/>
  <c r="I1090" i="309"/>
  <c r="M1246" i="306"/>
  <c r="I1086" i="309"/>
  <c r="M1257" i="306"/>
  <c r="I1088" i="309"/>
  <c r="M1231" i="306"/>
  <c r="I1083" i="309"/>
  <c r="M1205" i="306"/>
  <c r="I1079" i="309"/>
  <c r="M1220" i="306"/>
  <c r="I1081" i="309"/>
  <c r="M1291" i="306"/>
  <c r="I1096" i="309"/>
  <c r="M1308" i="306"/>
  <c r="I1100" i="309"/>
  <c r="M1313" i="306"/>
  <c r="I1101" i="309"/>
  <c r="M1323" i="306"/>
  <c r="I1103" i="309"/>
  <c r="M1338" i="306"/>
  <c r="I1106" i="309"/>
  <c r="F220" i="270"/>
  <c r="G212"/>
  <c r="F205"/>
  <c r="F199"/>
  <c r="G185"/>
  <c r="G220"/>
  <c r="G205"/>
  <c r="G192"/>
  <c r="G248"/>
  <c r="M14" i="306"/>
  <c r="I927" i="309"/>
  <c r="M556" i="306"/>
  <c r="I977" i="309"/>
  <c r="M561" i="306"/>
  <c r="I979" i="309"/>
  <c r="M566" i="306"/>
  <c r="I980" i="309"/>
  <c r="M19" i="306"/>
  <c r="I928" i="309"/>
  <c r="M1193" i="306"/>
  <c r="I1077" i="309"/>
  <c r="M1567" i="306"/>
  <c r="I1148" i="309"/>
  <c r="M571" i="306"/>
  <c r="I981" i="309"/>
  <c r="M1362" i="306"/>
  <c r="I1109" i="309"/>
  <c r="M1372" i="306"/>
  <c r="I1111" i="309"/>
  <c r="M1392" i="306"/>
  <c r="I1113" i="309"/>
  <c r="M1397" i="306"/>
  <c r="I1116" i="309"/>
  <c r="M1449" i="306"/>
  <c r="I1125" i="309"/>
  <c r="M1464" i="306"/>
  <c r="I1127" i="309"/>
  <c r="M1489" i="306"/>
  <c r="I1133" i="309"/>
  <c r="M1541" i="306"/>
  <c r="I1143" i="309"/>
  <c r="I1114"/>
  <c r="M1444" i="306"/>
  <c r="I1124" i="309"/>
  <c r="M1454" i="306"/>
  <c r="I1126" i="309"/>
  <c r="M1469" i="306"/>
  <c r="I1129" i="309"/>
  <c r="M1546" i="306"/>
  <c r="I1145" i="309"/>
  <c r="M1536" i="306"/>
  <c r="I1142" i="309"/>
  <c r="G778" i="270"/>
  <c r="G856"/>
  <c r="L15" i="269"/>
  <c r="F362" i="270" s="1"/>
  <c r="G362" s="1"/>
  <c r="I43" i="271"/>
  <c r="I44" s="1"/>
  <c r="K1377" i="306" s="1"/>
  <c r="E1092" i="195" s="1"/>
  <c r="F1092" s="1"/>
  <c r="J1092" s="1"/>
  <c r="H181" i="272"/>
  <c r="F182" s="1"/>
  <c r="F906" i="305"/>
  <c r="G906" s="1"/>
  <c r="F1055"/>
  <c r="G1055" s="1"/>
  <c r="F955"/>
  <c r="G955" s="1"/>
  <c r="F957"/>
  <c r="G957" s="1"/>
  <c r="F958"/>
  <c r="G958" s="1"/>
  <c r="F1087"/>
  <c r="G1087" s="1"/>
  <c r="F1089"/>
  <c r="J1089" s="1"/>
  <c r="F1102"/>
  <c r="J1102" s="1"/>
  <c r="F1103"/>
  <c r="J1103" s="1"/>
  <c r="F1105"/>
  <c r="G1105" s="1"/>
  <c r="F1111"/>
  <c r="G1111" s="1"/>
  <c r="F1123"/>
  <c r="G1123" s="1"/>
  <c r="F1120"/>
  <c r="G1120" s="1"/>
  <c r="F1043"/>
  <c r="G1043" s="1"/>
  <c r="F1046"/>
  <c r="G1046" s="1"/>
  <c r="F1068"/>
  <c r="G1068" s="1"/>
  <c r="F1064"/>
  <c r="G1064" s="1"/>
  <c r="F1066"/>
  <c r="G1066" s="1"/>
  <c r="F1061"/>
  <c r="G1061" s="1"/>
  <c r="F1057"/>
  <c r="G1057" s="1"/>
  <c r="F1059"/>
  <c r="G1059" s="1"/>
  <c r="F1074"/>
  <c r="G1074" s="1"/>
  <c r="F1078"/>
  <c r="G1078" s="1"/>
  <c r="F1079"/>
  <c r="G1079" s="1"/>
  <c r="F1081"/>
  <c r="G1081" s="1"/>
  <c r="F1084"/>
  <c r="G1084" s="1"/>
  <c r="F905"/>
  <c r="G905" s="1"/>
  <c r="F1126"/>
  <c r="J1126" s="1"/>
  <c r="F959"/>
  <c r="G959" s="1"/>
  <c r="F1091"/>
  <c r="G1091" s="1"/>
  <c r="F1094"/>
  <c r="G1094" s="1"/>
  <c r="F1104"/>
  <c r="G1104" s="1"/>
  <c r="F1107"/>
  <c r="G1107" s="1"/>
  <c r="F1121"/>
  <c r="G1121" s="1"/>
  <c r="F1044"/>
  <c r="G1044" s="1"/>
  <c r="F1045"/>
  <c r="G1045" s="1"/>
  <c r="F1070"/>
  <c r="G1070" s="1"/>
  <c r="F1063"/>
  <c r="G1063" s="1"/>
  <c r="F1065"/>
  <c r="G1065" s="1"/>
  <c r="F1062"/>
  <c r="G1062" s="1"/>
  <c r="F1058"/>
  <c r="G1058" s="1"/>
  <c r="F1056"/>
  <c r="G1056" s="1"/>
  <c r="F1060"/>
  <c r="G1060" s="1"/>
  <c r="F1073"/>
  <c r="G1073" s="1"/>
  <c r="F1075"/>
  <c r="G1075" s="1"/>
  <c r="F1077"/>
  <c r="G1077" s="1"/>
  <c r="F1076"/>
  <c r="G1076" s="1"/>
  <c r="F1082"/>
  <c r="G1082" s="1"/>
  <c r="F1080"/>
  <c r="G1080" s="1"/>
  <c r="F1083"/>
  <c r="G1083" s="1"/>
  <c r="F1071"/>
  <c r="G1071" s="1"/>
  <c r="F807" i="270"/>
  <c r="G807" s="1"/>
  <c r="G842"/>
  <c r="L23" i="269"/>
  <c r="F744" i="270" s="1"/>
  <c r="G744" s="1"/>
  <c r="L24" i="269"/>
  <c r="F61" i="270" s="1"/>
  <c r="G61" s="1"/>
  <c r="L25" i="269"/>
  <c r="F69" i="270" s="1"/>
  <c r="G69" s="1"/>
  <c r="G70" s="1"/>
  <c r="G71" s="1"/>
  <c r="G425"/>
  <c r="F656"/>
  <c r="G694"/>
  <c r="G712"/>
  <c r="G729"/>
  <c r="I74" i="271"/>
  <c r="I134"/>
  <c r="K1484" i="306" s="1"/>
  <c r="I153" i="271"/>
  <c r="I154" s="1"/>
  <c r="K1414" i="306" s="1"/>
  <c r="E1098" i="195" s="1"/>
  <c r="F1098" s="1"/>
  <c r="J1098" s="1"/>
  <c r="I163" i="271"/>
  <c r="I164" s="1"/>
  <c r="K1429" i="306" s="1"/>
  <c r="I173" i="271"/>
  <c r="I174" s="1"/>
  <c r="K1434" i="306" s="1"/>
  <c r="I184" i="271"/>
  <c r="I185" s="1"/>
  <c r="K1439" i="306" s="1"/>
  <c r="I194" i="271"/>
  <c r="I206"/>
  <c r="K1499" i="306" s="1"/>
  <c r="I215" i="271"/>
  <c r="K1514" i="306" s="1"/>
  <c r="I1137" i="140" s="1"/>
  <c r="J1137" s="1"/>
  <c r="I222" i="271"/>
  <c r="K1519" i="306" s="1"/>
  <c r="I241" i="271"/>
  <c r="K1531" i="306" s="1"/>
  <c r="I252" i="271"/>
  <c r="K1551" i="306" s="1"/>
  <c r="I262" i="271"/>
  <c r="H116" i="272"/>
  <c r="H164"/>
  <c r="G23" i="273"/>
  <c r="G25" s="1"/>
  <c r="K1277" i="306" s="1"/>
  <c r="G67" i="273"/>
  <c r="G69" s="1"/>
  <c r="K1287" i="306" s="1"/>
  <c r="G76" i="270"/>
  <c r="G77" s="1"/>
  <c r="K58" i="306" s="1"/>
  <c r="E914" i="195" s="1"/>
  <c r="F914" s="1"/>
  <c r="J914" s="1"/>
  <c r="G9" i="273"/>
  <c r="G11" s="1"/>
  <c r="K1262" i="306" s="1"/>
  <c r="I108" i="271"/>
  <c r="I109" s="1"/>
  <c r="K1408" i="306" s="1"/>
  <c r="I1118" i="140" s="1"/>
  <c r="I117" i="271"/>
  <c r="K1479" i="306" s="1"/>
  <c r="I228" i="271"/>
  <c r="G1146" i="140"/>
  <c r="C1126" i="195"/>
  <c r="I1126" s="1"/>
  <c r="L9" i="269"/>
  <c r="G215" i="272" s="1"/>
  <c r="H215" s="1"/>
  <c r="H218" s="1"/>
  <c r="K1141" i="306" s="1"/>
  <c r="E907" i="195"/>
  <c r="F907" s="1"/>
  <c r="J907" s="1"/>
  <c r="I927" i="140"/>
  <c r="J927" s="1"/>
  <c r="I928"/>
  <c r="E908" i="195"/>
  <c r="E955"/>
  <c r="F955" s="1"/>
  <c r="J955" s="1"/>
  <c r="I977" i="140"/>
  <c r="J977" s="1"/>
  <c r="I979"/>
  <c r="J979" s="1"/>
  <c r="E959" i="195"/>
  <c r="F959" s="1"/>
  <c r="J959" s="1"/>
  <c r="E960"/>
  <c r="I980" i="140"/>
  <c r="E1057" i="195"/>
  <c r="F1057" s="1"/>
  <c r="J1057" s="1"/>
  <c r="I1077" i="140"/>
  <c r="J1077" s="1"/>
  <c r="E961" i="195"/>
  <c r="I981" i="140"/>
  <c r="I1114"/>
  <c r="J1114" s="1"/>
  <c r="E1093" i="195"/>
  <c r="F1093" s="1"/>
  <c r="J1093" s="1"/>
  <c r="I1113" i="140"/>
  <c r="J1113" s="1"/>
  <c r="E1095" i="195"/>
  <c r="I1116" i="140"/>
  <c r="I1126"/>
  <c r="J1126" s="1"/>
  <c r="E1105" i="195"/>
  <c r="F1105" s="1"/>
  <c r="J1105" s="1"/>
  <c r="E1109"/>
  <c r="I1129" i="140"/>
  <c r="E1123" i="195"/>
  <c r="F1123" s="1"/>
  <c r="J1123" s="1"/>
  <c r="I1143" i="140"/>
  <c r="J1143" s="1"/>
  <c r="E1045" i="195"/>
  <c r="I1065" i="140"/>
  <c r="E1048" i="195"/>
  <c r="F1048" s="1"/>
  <c r="J1048" s="1"/>
  <c r="I1068" i="140"/>
  <c r="J1068" s="1"/>
  <c r="E1070" i="195"/>
  <c r="F1070" s="1"/>
  <c r="J1070" s="1"/>
  <c r="I1090" i="140"/>
  <c r="J1090" s="1"/>
  <c r="E1066" i="195"/>
  <c r="F1066" s="1"/>
  <c r="J1066" s="1"/>
  <c r="I1086" i="140"/>
  <c r="J1086" s="1"/>
  <c r="E1068" i="195"/>
  <c r="I1088" i="140"/>
  <c r="I1083"/>
  <c r="J1083" s="1"/>
  <c r="E1063" i="195"/>
  <c r="F1063" s="1"/>
  <c r="J1063" s="1"/>
  <c r="E1059"/>
  <c r="I1079" i="140"/>
  <c r="E1061" i="195"/>
  <c r="F1061" s="1"/>
  <c r="J1061" s="1"/>
  <c r="I1081" i="140"/>
  <c r="J1081" s="1"/>
  <c r="E1076" i="195"/>
  <c r="F1076" s="1"/>
  <c r="J1076" s="1"/>
  <c r="I1096" i="140"/>
  <c r="J1096" s="1"/>
  <c r="I1100"/>
  <c r="J1100" s="1"/>
  <c r="E1080" i="195"/>
  <c r="F1080" s="1"/>
  <c r="J1080" s="1"/>
  <c r="I1101" i="140"/>
  <c r="J1101" s="1"/>
  <c r="E1081" i="195"/>
  <c r="F1081" s="1"/>
  <c r="J1081" s="1"/>
  <c r="E1082"/>
  <c r="F1082" s="1"/>
  <c r="J1082" s="1"/>
  <c r="I1102" i="140"/>
  <c r="J1102" s="1"/>
  <c r="E1085" i="195"/>
  <c r="F1085" s="1"/>
  <c r="J1085" s="1"/>
  <c r="I1105" i="140"/>
  <c r="J1105" s="1"/>
  <c r="I1093"/>
  <c r="J1093" s="1"/>
  <c r="E1073" i="195"/>
  <c r="F1073" s="1"/>
  <c r="J1073" s="1"/>
  <c r="E1128"/>
  <c r="F1128" s="1"/>
  <c r="J1128" s="1"/>
  <c r="I1148" i="140"/>
  <c r="J1148" s="1"/>
  <c r="E1089" i="195"/>
  <c r="F1089" s="1"/>
  <c r="J1089" s="1"/>
  <c r="I1109" i="140"/>
  <c r="J1109" s="1"/>
  <c r="E1091" i="195"/>
  <c r="F1091" s="1"/>
  <c r="J1091" s="1"/>
  <c r="I1111" i="140"/>
  <c r="J1111" s="1"/>
  <c r="I1124"/>
  <c r="E1103" i="195"/>
  <c r="I1125" i="140"/>
  <c r="J1125" s="1"/>
  <c r="E1104" i="195"/>
  <c r="F1104" s="1"/>
  <c r="J1104" s="1"/>
  <c r="E1106"/>
  <c r="F1106" s="1"/>
  <c r="J1106" s="1"/>
  <c r="I1127" i="140"/>
  <c r="J1127" s="1"/>
  <c r="I1133"/>
  <c r="J1133" s="1"/>
  <c r="E1113" i="195"/>
  <c r="F1113" s="1"/>
  <c r="J1113" s="1"/>
  <c r="E1125"/>
  <c r="F1125" s="1"/>
  <c r="J1125" s="1"/>
  <c r="I1145" i="140"/>
  <c r="J1145" s="1"/>
  <c r="E1122" i="195"/>
  <c r="F1122" s="1"/>
  <c r="J1122" s="1"/>
  <c r="I1142" i="140"/>
  <c r="J1142" s="1"/>
  <c r="E1046" i="195"/>
  <c r="F1046" s="1"/>
  <c r="J1046" s="1"/>
  <c r="I1066" i="140"/>
  <c r="J1066" s="1"/>
  <c r="I1092"/>
  <c r="J1092" s="1"/>
  <c r="E1072" i="195"/>
  <c r="F1072" s="1"/>
  <c r="J1072" s="1"/>
  <c r="E1065"/>
  <c r="I1085" i="140"/>
  <c r="E1067" i="195"/>
  <c r="I1087" i="140"/>
  <c r="E1064" i="195"/>
  <c r="F1064" s="1"/>
  <c r="J1064" s="1"/>
  <c r="I1084" i="140"/>
  <c r="J1084" s="1"/>
  <c r="E1060" i="195"/>
  <c r="F1060" s="1"/>
  <c r="J1060" s="1"/>
  <c r="I1080" i="140"/>
  <c r="J1080" s="1"/>
  <c r="I1078"/>
  <c r="J1078" s="1"/>
  <c r="E1058" i="195"/>
  <c r="F1058" s="1"/>
  <c r="J1058" s="1"/>
  <c r="I1082" i="140"/>
  <c r="E1062" i="195"/>
  <c r="E1075"/>
  <c r="F1075" s="1"/>
  <c r="J1075" s="1"/>
  <c r="I1095" i="140"/>
  <c r="J1095" s="1"/>
  <c r="E1077" i="195"/>
  <c r="F1077" s="1"/>
  <c r="J1077" s="1"/>
  <c r="I1097" i="140"/>
  <c r="J1097" s="1"/>
  <c r="E1079" i="195"/>
  <c r="F1079" s="1"/>
  <c r="J1079" s="1"/>
  <c r="I1099" i="140"/>
  <c r="J1099" s="1"/>
  <c r="E1078" i="195"/>
  <c r="F1078" s="1"/>
  <c r="J1078" s="1"/>
  <c r="I1098" i="140"/>
  <c r="J1098" s="1"/>
  <c r="I1104"/>
  <c r="J1104" s="1"/>
  <c r="E1084" i="195"/>
  <c r="F1084" s="1"/>
  <c r="J1084" s="1"/>
  <c r="E1083"/>
  <c r="F1083" s="1"/>
  <c r="J1083" s="1"/>
  <c r="I1103" i="140"/>
  <c r="J1103" s="1"/>
  <c r="I1106"/>
  <c r="J1106" s="1"/>
  <c r="E1086" i="195"/>
  <c r="F1086" s="1"/>
  <c r="J1086" s="1"/>
  <c r="C941"/>
  <c r="G961" i="140"/>
  <c r="G967"/>
  <c r="C947" i="195"/>
  <c r="C962"/>
  <c r="G982" i="140"/>
  <c r="G1018"/>
  <c r="C998" i="195"/>
  <c r="C1033"/>
  <c r="G1053" i="140"/>
  <c r="C1069" i="195"/>
  <c r="G1089" i="140"/>
  <c r="C1059" i="195"/>
  <c r="G1079" i="140"/>
  <c r="C1124" i="195"/>
  <c r="G1144" i="140"/>
  <c r="G1141"/>
  <c r="C1121" i="195"/>
  <c r="C1115"/>
  <c r="G1135" i="140"/>
  <c r="C1110" i="195"/>
  <c r="G1130" i="140"/>
  <c r="C1109" i="195"/>
  <c r="G1129" i="140"/>
  <c r="C1100" i="195"/>
  <c r="G1121" i="140"/>
  <c r="C1095" i="195"/>
  <c r="G1116" i="140"/>
  <c r="G962"/>
  <c r="C942" i="195"/>
  <c r="C948"/>
  <c r="G968" i="140"/>
  <c r="G980"/>
  <c r="C960" i="195"/>
  <c r="G981" i="140"/>
  <c r="C961" i="195"/>
  <c r="G1065" i="140"/>
  <c r="C1045" i="195"/>
  <c r="C1074"/>
  <c r="G1094" i="140"/>
  <c r="G1091"/>
  <c r="C1071" i="195"/>
  <c r="C1067"/>
  <c r="G1087" i="140"/>
  <c r="C1065" i="195"/>
  <c r="G1085" i="140"/>
  <c r="C1114" i="195"/>
  <c r="G1134" i="140"/>
  <c r="C1103" i="195"/>
  <c r="G1124" i="140"/>
  <c r="G1118"/>
  <c r="C1097" i="195"/>
  <c r="C1090"/>
  <c r="G1110" i="140"/>
  <c r="H32" i="272"/>
  <c r="H33"/>
  <c r="H48"/>
  <c r="F49" s="1"/>
  <c r="H49" s="1"/>
  <c r="H200"/>
  <c r="H242"/>
  <c r="G252"/>
  <c r="H252" s="1"/>
  <c r="H244"/>
  <c r="G254"/>
  <c r="H254" s="1"/>
  <c r="G256"/>
  <c r="H256" s="1"/>
  <c r="H14"/>
  <c r="H211"/>
  <c r="H229"/>
  <c r="H240"/>
  <c r="H243"/>
  <c r="G253"/>
  <c r="H253" s="1"/>
  <c r="G255"/>
  <c r="H255" s="1"/>
  <c r="H89"/>
  <c r="G103" i="273"/>
  <c r="G105" s="1"/>
  <c r="G106" s="1"/>
  <c r="H224" i="272"/>
  <c r="K1146" i="306" s="1"/>
  <c r="H30" i="272"/>
  <c r="F31" s="1"/>
  <c r="H50"/>
  <c r="H51"/>
  <c r="H59"/>
  <c r="H66"/>
  <c r="F69" s="1"/>
  <c r="H69" s="1"/>
  <c r="H85"/>
  <c r="F88" s="1"/>
  <c r="H88" s="1"/>
  <c r="H104"/>
  <c r="F107" s="1"/>
  <c r="H107" s="1"/>
  <c r="H184"/>
  <c r="H202"/>
  <c r="H230"/>
  <c r="H231"/>
  <c r="H232"/>
  <c r="H233"/>
  <c r="H241"/>
  <c r="I126" i="271"/>
  <c r="K1474" i="306" s="1"/>
  <c r="I233" i="271"/>
  <c r="K1504" i="306" s="1"/>
  <c r="H279" i="271"/>
  <c r="I279" s="1"/>
  <c r="I281" s="1"/>
  <c r="K1561" i="306" s="1"/>
  <c r="H53" i="271"/>
  <c r="I53" s="1"/>
  <c r="I55" s="1"/>
  <c r="K1382" i="306" s="1"/>
  <c r="I37" i="271"/>
  <c r="I38" s="1"/>
  <c r="K1367" i="306" s="1"/>
  <c r="G886" i="270"/>
  <c r="K551" i="306" s="1"/>
  <c r="F323" i="270"/>
  <c r="E324" s="1"/>
  <c r="E325" s="1"/>
  <c r="G325" s="1"/>
  <c r="F337"/>
  <c r="E338" s="1"/>
  <c r="E339" s="1"/>
  <c r="G339" s="1"/>
  <c r="F282"/>
  <c r="F638"/>
  <c r="G656"/>
  <c r="G676"/>
  <c r="G638"/>
  <c r="F183"/>
  <c r="G686"/>
  <c r="K48" i="264"/>
  <c r="E13" i="269"/>
  <c r="F12"/>
  <c r="L12" s="1"/>
  <c r="F274" i="270"/>
  <c r="G274" s="1"/>
  <c r="G279" s="1"/>
  <c r="E281" s="1"/>
  <c r="F307"/>
  <c r="G307" s="1"/>
  <c r="R48" i="264"/>
  <c r="F16" i="269"/>
  <c r="L16" s="1"/>
  <c r="F81" i="270" s="1"/>
  <c r="E17" i="269"/>
  <c r="E227" i="270"/>
  <c r="G197"/>
  <c r="F197"/>
  <c r="F241"/>
  <c r="G241"/>
  <c r="F373"/>
  <c r="F440"/>
  <c r="G440"/>
  <c r="F472"/>
  <c r="G472"/>
  <c r="F508"/>
  <c r="F564"/>
  <c r="G564"/>
  <c r="F579"/>
  <c r="G579"/>
  <c r="F757"/>
  <c r="G757"/>
  <c r="I209" i="271"/>
  <c r="I210" s="1"/>
  <c r="K1509" i="306" s="1"/>
  <c r="I10" i="269"/>
  <c r="L10" s="1"/>
  <c r="G318" i="270"/>
  <c r="K1163" i="306" s="1"/>
  <c r="G347" i="270"/>
  <c r="K1185" i="306" s="1"/>
  <c r="F407" i="270"/>
  <c r="F549"/>
  <c r="G764"/>
  <c r="K423" i="306" s="1"/>
  <c r="I15" i="271"/>
  <c r="I16" s="1"/>
  <c r="K1344" i="306" s="1"/>
  <c r="I95" i="271"/>
  <c r="I96" s="1"/>
  <c r="K1403" i="306" s="1"/>
  <c r="H173" i="272"/>
  <c r="H174" s="1"/>
  <c r="H29" i="271"/>
  <c r="I29" s="1"/>
  <c r="I30" s="1"/>
  <c r="I31" s="1"/>
  <c r="K1354" i="306" s="1"/>
  <c r="F745" i="270"/>
  <c r="F586"/>
  <c r="F536"/>
  <c r="G536" s="1"/>
  <c r="F494"/>
  <c r="F378"/>
  <c r="G378" s="1"/>
  <c r="F351"/>
  <c r="G351" s="1"/>
  <c r="F107"/>
  <c r="G107" s="1"/>
  <c r="F80"/>
  <c r="F26"/>
  <c r="G26" s="1"/>
  <c r="F21"/>
  <c r="G21" s="1"/>
  <c r="F16"/>
  <c r="G16" s="1"/>
  <c r="F11"/>
  <c r="G11" s="1"/>
  <c r="F6"/>
  <c r="G6" s="1"/>
  <c r="F769"/>
  <c r="G769" s="1"/>
  <c r="F735"/>
  <c r="G735" s="1"/>
  <c r="F720"/>
  <c r="F701"/>
  <c r="F684"/>
  <c r="F663"/>
  <c r="F395"/>
  <c r="G395" s="1"/>
  <c r="F361"/>
  <c r="G361" s="1"/>
  <c r="F227"/>
  <c r="F164"/>
  <c r="F255" s="1"/>
  <c r="F137"/>
  <c r="G137" s="1"/>
  <c r="G157"/>
  <c r="G151"/>
  <c r="F157"/>
  <c r="F151"/>
  <c r="F212"/>
  <c r="F185"/>
  <c r="G178"/>
  <c r="F192"/>
  <c r="F178"/>
  <c r="G239"/>
  <c r="F239"/>
  <c r="F268"/>
  <c r="G324"/>
  <c r="G338"/>
  <c r="F456"/>
  <c r="G456"/>
  <c r="F488"/>
  <c r="G488"/>
  <c r="F528"/>
  <c r="F598"/>
  <c r="G598"/>
  <c r="F617"/>
  <c r="G617"/>
  <c r="G62"/>
  <c r="G63" s="1"/>
  <c r="K39" i="306" s="1"/>
  <c r="G407" i="270"/>
  <c r="G149"/>
  <c r="G155"/>
  <c r="G176"/>
  <c r="G190"/>
  <c r="E198"/>
  <c r="G198"/>
  <c r="G199" s="1"/>
  <c r="G203"/>
  <c r="E246"/>
  <c r="F247"/>
  <c r="F248" s="1"/>
  <c r="G282"/>
  <c r="G371"/>
  <c r="F438"/>
  <c r="F454"/>
  <c r="F470"/>
  <c r="F486"/>
  <c r="F676"/>
  <c r="F694"/>
  <c r="F703"/>
  <c r="G703" s="1"/>
  <c r="F712"/>
  <c r="F729"/>
  <c r="F778"/>
  <c r="F788"/>
  <c r="G788" s="1"/>
  <c r="G789" s="1"/>
  <c r="E791" s="1"/>
  <c r="F792"/>
  <c r="F803"/>
  <c r="G803" s="1"/>
  <c r="G804" s="1"/>
  <c r="E806" s="1"/>
  <c r="G817"/>
  <c r="G818" s="1"/>
  <c r="G819" s="1"/>
  <c r="F832" s="1"/>
  <c r="G832" s="1"/>
  <c r="G839" s="1"/>
  <c r="F842"/>
  <c r="F856"/>
  <c r="F867"/>
  <c r="G867" s="1"/>
  <c r="G874" s="1"/>
  <c r="G875" s="1"/>
  <c r="K544" i="306" s="1"/>
  <c r="I143" i="271"/>
  <c r="I144" s="1"/>
  <c r="H16" i="272"/>
  <c r="H17"/>
  <c r="H18"/>
  <c r="H19"/>
  <c r="H20"/>
  <c r="H21"/>
  <c r="H23"/>
  <c r="L23" s="1"/>
  <c r="L24" s="1"/>
  <c r="G78"/>
  <c r="G97" s="1"/>
  <c r="H97" s="1"/>
  <c r="H109"/>
  <c r="H110"/>
  <c r="H111"/>
  <c r="H112"/>
  <c r="H113"/>
  <c r="H114"/>
  <c r="F203"/>
  <c r="H203" s="1"/>
  <c r="G183" i="270"/>
  <c r="F190"/>
  <c r="G71" i="272"/>
  <c r="G72"/>
  <c r="G73"/>
  <c r="G74"/>
  <c r="G75"/>
  <c r="G76"/>
  <c r="H183"/>
  <c r="H155" l="1"/>
  <c r="K1094" i="306" s="1"/>
  <c r="I1112" i="140"/>
  <c r="J1112" s="1"/>
  <c r="E1094" i="195"/>
  <c r="F1094" s="1"/>
  <c r="J1094" s="1"/>
  <c r="F1092" i="305"/>
  <c r="G1092" s="1"/>
  <c r="F201" i="272"/>
  <c r="H201" s="1"/>
  <c r="H212" s="1"/>
  <c r="K1084" i="306" s="1"/>
  <c r="J1085" i="140"/>
  <c r="K1085" s="1"/>
  <c r="F396" i="270"/>
  <c r="G396" s="1"/>
  <c r="J1087" i="140"/>
  <c r="O1087" s="1"/>
  <c r="F379" i="270"/>
  <c r="G379" s="1"/>
  <c r="H136" i="272"/>
  <c r="K1089" i="306" s="1"/>
  <c r="I1058" i="309" s="1"/>
  <c r="K45" i="306"/>
  <c r="M45" s="1"/>
  <c r="J1148" i="309"/>
  <c r="E1148"/>
  <c r="F1148" s="1"/>
  <c r="M1094" i="306"/>
  <c r="I1061" i="309"/>
  <c r="M1141" i="306"/>
  <c r="I1069" i="309"/>
  <c r="M1146" i="306"/>
  <c r="I1070" i="309"/>
  <c r="E1068"/>
  <c r="F1068" s="1"/>
  <c r="J1068"/>
  <c r="E1065"/>
  <c r="F1065" s="1"/>
  <c r="J1065"/>
  <c r="E1067"/>
  <c r="F1067" s="1"/>
  <c r="J1067"/>
  <c r="E1066"/>
  <c r="F1066" s="1"/>
  <c r="J1066"/>
  <c r="M1277" i="306"/>
  <c r="I1091" i="309"/>
  <c r="M1262" i="306"/>
  <c r="I1089" i="309"/>
  <c r="M1287" i="306"/>
  <c r="I1094" i="309"/>
  <c r="E1106"/>
  <c r="F1106" s="1"/>
  <c r="J1106"/>
  <c r="J1103"/>
  <c r="E1103"/>
  <c r="F1103" s="1"/>
  <c r="J1101"/>
  <c r="E1101"/>
  <c r="F1101" s="1"/>
  <c r="E1100"/>
  <c r="F1100" s="1"/>
  <c r="J1100"/>
  <c r="E1096"/>
  <c r="F1096" s="1"/>
  <c r="J1096"/>
  <c r="J1081"/>
  <c r="E1081"/>
  <c r="F1081" s="1"/>
  <c r="E1079"/>
  <c r="F1079" s="1"/>
  <c r="J1079"/>
  <c r="J1083"/>
  <c r="E1083"/>
  <c r="F1083" s="1"/>
  <c r="E1088"/>
  <c r="F1088" s="1"/>
  <c r="J1088"/>
  <c r="J1086"/>
  <c r="E1086"/>
  <c r="F1086" s="1"/>
  <c r="E1090"/>
  <c r="F1090" s="1"/>
  <c r="J1090"/>
  <c r="E1093"/>
  <c r="F1093" s="1"/>
  <c r="J1093"/>
  <c r="J1105"/>
  <c r="E1105"/>
  <c r="F1105" s="1"/>
  <c r="E1102"/>
  <c r="F1102" s="1"/>
  <c r="J1102"/>
  <c r="E1104"/>
  <c r="F1104" s="1"/>
  <c r="J1104"/>
  <c r="E1098"/>
  <c r="F1098" s="1"/>
  <c r="J1098"/>
  <c r="J1099"/>
  <c r="E1099"/>
  <c r="F1099" s="1"/>
  <c r="J1097"/>
  <c r="E1097"/>
  <c r="F1097" s="1"/>
  <c r="J1095"/>
  <c r="E1095"/>
  <c r="F1095" s="1"/>
  <c r="E1082"/>
  <c r="F1082" s="1"/>
  <c r="J1082"/>
  <c r="E1078"/>
  <c r="F1078" s="1"/>
  <c r="J1078"/>
  <c r="J1080"/>
  <c r="E1080"/>
  <c r="F1080" s="1"/>
  <c r="E1084"/>
  <c r="F1084" s="1"/>
  <c r="J1084"/>
  <c r="E1087"/>
  <c r="F1087" s="1"/>
  <c r="J1087"/>
  <c r="E1085"/>
  <c r="F1085" s="1"/>
  <c r="J1085"/>
  <c r="E1092"/>
  <c r="F1092" s="1"/>
  <c r="J1092"/>
  <c r="M39" i="306"/>
  <c r="I931" i="309"/>
  <c r="M544" i="306"/>
  <c r="I978" i="309"/>
  <c r="M423" i="306"/>
  <c r="I970" i="309"/>
  <c r="M1185" i="306"/>
  <c r="I1076" i="309"/>
  <c r="M551" i="306"/>
  <c r="I976" i="309"/>
  <c r="M58" i="306"/>
  <c r="I934" i="309"/>
  <c r="M1163" i="306"/>
  <c r="I1073" i="309"/>
  <c r="J981"/>
  <c r="E981"/>
  <c r="F981" s="1"/>
  <c r="J1077"/>
  <c r="E1077"/>
  <c r="F1077" s="1"/>
  <c r="J928"/>
  <c r="E928"/>
  <c r="F928" s="1"/>
  <c r="J980"/>
  <c r="E980"/>
  <c r="F980" s="1"/>
  <c r="J979"/>
  <c r="E979"/>
  <c r="F979" s="1"/>
  <c r="J977"/>
  <c r="E977"/>
  <c r="F977" s="1"/>
  <c r="E927"/>
  <c r="F927" s="1"/>
  <c r="J927"/>
  <c r="M1382" i="306"/>
  <c r="I1115" i="309"/>
  <c r="M1504" i="306"/>
  <c r="I1140" i="309"/>
  <c r="M1377" i="306"/>
  <c r="I1112" i="309"/>
  <c r="M1509" i="306"/>
  <c r="I1136" i="309"/>
  <c r="M1367" i="306"/>
  <c r="I1110" i="309"/>
  <c r="J1142"/>
  <c r="E1142"/>
  <c r="F1142" s="1"/>
  <c r="J1145"/>
  <c r="E1145"/>
  <c r="F1145" s="1"/>
  <c r="J1129"/>
  <c r="E1129"/>
  <c r="F1129" s="1"/>
  <c r="E1126"/>
  <c r="F1126" s="1"/>
  <c r="J1126"/>
  <c r="E1124"/>
  <c r="F1124" s="1"/>
  <c r="J1124"/>
  <c r="E1114"/>
  <c r="F1114" s="1"/>
  <c r="J1114"/>
  <c r="E1143"/>
  <c r="F1143" s="1"/>
  <c r="J1143"/>
  <c r="E1133"/>
  <c r="F1133" s="1"/>
  <c r="J1133"/>
  <c r="J1127"/>
  <c r="E1127"/>
  <c r="F1127" s="1"/>
  <c r="E1125"/>
  <c r="F1125" s="1"/>
  <c r="J1125"/>
  <c r="E1116"/>
  <c r="F1116" s="1"/>
  <c r="J1116"/>
  <c r="J1113"/>
  <c r="E1113"/>
  <c r="F1113" s="1"/>
  <c r="E1111"/>
  <c r="F1111" s="1"/>
  <c r="J1111"/>
  <c r="J1109"/>
  <c r="E1109"/>
  <c r="F1109" s="1"/>
  <c r="F1090" i="305"/>
  <c r="G1090" s="1"/>
  <c r="M1403" i="306"/>
  <c r="I1117" i="309"/>
  <c r="M1479" i="306"/>
  <c r="I1130" i="309"/>
  <c r="M1551" i="306"/>
  <c r="I1144" i="309"/>
  <c r="M1519" i="306"/>
  <c r="I1138" i="309"/>
  <c r="M1499" i="306"/>
  <c r="I1135" i="309"/>
  <c r="M1439" i="306"/>
  <c r="I1123" i="309"/>
  <c r="M1429" i="306"/>
  <c r="I1121" i="309"/>
  <c r="M1484" i="306"/>
  <c r="I1132" i="309"/>
  <c r="M1344" i="306"/>
  <c r="I1107" i="309"/>
  <c r="M1561" i="306"/>
  <c r="I1147" i="309"/>
  <c r="M1474" i="306"/>
  <c r="I1131" i="309"/>
  <c r="M1408" i="306"/>
  <c r="I1118" i="309"/>
  <c r="M1531" i="306"/>
  <c r="I1141" i="309"/>
  <c r="M1514" i="306"/>
  <c r="I1137" i="309"/>
  <c r="M1434" i="306"/>
  <c r="I1122" i="309"/>
  <c r="M1414" i="306"/>
  <c r="I1119" i="309"/>
  <c r="M1354" i="306"/>
  <c r="I1108" i="309"/>
  <c r="K1526" i="306"/>
  <c r="F1117" i="305" s="1"/>
  <c r="G1117" s="1"/>
  <c r="K1556" i="306"/>
  <c r="K1494"/>
  <c r="F1112" i="305" s="1"/>
  <c r="G1112" s="1"/>
  <c r="K1459" i="306"/>
  <c r="I1128" i="140" s="1"/>
  <c r="J1128" s="1"/>
  <c r="L1128" s="1"/>
  <c r="F956" i="305"/>
  <c r="G956" s="1"/>
  <c r="F1086"/>
  <c r="G1086" s="1"/>
  <c r="F1095"/>
  <c r="G1095" s="1"/>
  <c r="F948"/>
  <c r="G948" s="1"/>
  <c r="F1054"/>
  <c r="G1054" s="1"/>
  <c r="F954"/>
  <c r="G954" s="1"/>
  <c r="F1093"/>
  <c r="G1093" s="1"/>
  <c r="F1118"/>
  <c r="G1118" s="1"/>
  <c r="F1048"/>
  <c r="G1048" s="1"/>
  <c r="F1096"/>
  <c r="J1096" s="1"/>
  <c r="F912"/>
  <c r="G912" s="1"/>
  <c r="F1069"/>
  <c r="G1069" s="1"/>
  <c r="F1119"/>
  <c r="G1119" s="1"/>
  <c r="F1115"/>
  <c r="G1115" s="1"/>
  <c r="F1100"/>
  <c r="G1100" s="1"/>
  <c r="F1097"/>
  <c r="G1097" s="1"/>
  <c r="F909"/>
  <c r="G909" s="1"/>
  <c r="F1039"/>
  <c r="G1039" s="1"/>
  <c r="F1085"/>
  <c r="G1085" s="1"/>
  <c r="F1051"/>
  <c r="G1051" s="1"/>
  <c r="F1114"/>
  <c r="G1114" s="1"/>
  <c r="F1088"/>
  <c r="J1088" s="1"/>
  <c r="F1125"/>
  <c r="G1125" s="1"/>
  <c r="F1109"/>
  <c r="G1109" s="1"/>
  <c r="F1047"/>
  <c r="G1047" s="1"/>
  <c r="F1108"/>
  <c r="G1108" s="1"/>
  <c r="F1067"/>
  <c r="G1067" s="1"/>
  <c r="F1072"/>
  <c r="G1072" s="1"/>
  <c r="F1122"/>
  <c r="G1122" s="1"/>
  <c r="F1116"/>
  <c r="G1116" s="1"/>
  <c r="F1113"/>
  <c r="G1113" s="1"/>
  <c r="F1101"/>
  <c r="G1101" s="1"/>
  <c r="F1099"/>
  <c r="G1099" s="1"/>
  <c r="F1110"/>
  <c r="G1110" s="1"/>
  <c r="I1130" i="140"/>
  <c r="J1130" s="1"/>
  <c r="I1135"/>
  <c r="J1135" s="1"/>
  <c r="K1135" s="1"/>
  <c r="E1071" i="195"/>
  <c r="F1071" s="1"/>
  <c r="J1071" s="1"/>
  <c r="I1141" i="140"/>
  <c r="J1141" s="1"/>
  <c r="K1141" s="1"/>
  <c r="E1101" i="195"/>
  <c r="F1101" s="1"/>
  <c r="J1101" s="1"/>
  <c r="E1097"/>
  <c r="F1097" s="1"/>
  <c r="J1097" s="1"/>
  <c r="I1091" i="140"/>
  <c r="J1091" s="1"/>
  <c r="E1126" i="195"/>
  <c r="F1126" s="1"/>
  <c r="J1126" s="1"/>
  <c r="E1121"/>
  <c r="F1121" s="1"/>
  <c r="J1121" s="1"/>
  <c r="E1117"/>
  <c r="F1117" s="1"/>
  <c r="J1117" s="1"/>
  <c r="I1122" i="140"/>
  <c r="J1122" s="1"/>
  <c r="O1122" s="1"/>
  <c r="I1119"/>
  <c r="J1119" s="1"/>
  <c r="K1119" s="1"/>
  <c r="I934"/>
  <c r="J934" s="1"/>
  <c r="L934" s="1"/>
  <c r="I1144"/>
  <c r="J1144" s="1"/>
  <c r="I1121"/>
  <c r="J1121" s="1"/>
  <c r="I1089"/>
  <c r="J1089" s="1"/>
  <c r="K1089" s="1"/>
  <c r="I1094"/>
  <c r="J1094" s="1"/>
  <c r="O1094" s="1"/>
  <c r="I1138"/>
  <c r="J1138" s="1"/>
  <c r="O1138" s="1"/>
  <c r="I1123"/>
  <c r="J1123" s="1"/>
  <c r="L1123" s="1"/>
  <c r="I1132"/>
  <c r="J1132" s="1"/>
  <c r="O1132" s="1"/>
  <c r="E1069" i="195"/>
  <c r="F1069" s="1"/>
  <c r="J1069" s="1"/>
  <c r="E1110"/>
  <c r="F1110" s="1"/>
  <c r="J1110" s="1"/>
  <c r="E1074"/>
  <c r="F1074" s="1"/>
  <c r="J1074" s="1"/>
  <c r="E1124"/>
  <c r="F1124" s="1"/>
  <c r="J1124" s="1"/>
  <c r="E1118"/>
  <c r="F1118" s="1"/>
  <c r="J1118" s="1"/>
  <c r="E1115"/>
  <c r="F1115" s="1"/>
  <c r="J1115" s="1"/>
  <c r="E1102"/>
  <c r="F1102" s="1"/>
  <c r="J1102" s="1"/>
  <c r="E1100"/>
  <c r="F1100" s="1"/>
  <c r="J1100" s="1"/>
  <c r="E1112"/>
  <c r="F1112" s="1"/>
  <c r="J1112" s="1"/>
  <c r="J981" i="140"/>
  <c r="L981" s="1"/>
  <c r="J980"/>
  <c r="L980" s="1"/>
  <c r="H42" i="272"/>
  <c r="K1064" i="306" s="1"/>
  <c r="E308" i="270"/>
  <c r="G308" s="1"/>
  <c r="H193" i="272"/>
  <c r="K1099" i="306" s="1"/>
  <c r="H60" i="272"/>
  <c r="K1069" i="306" s="1"/>
  <c r="J1118" i="140"/>
  <c r="K1118" s="1"/>
  <c r="J1065"/>
  <c r="L1065" s="1"/>
  <c r="J1116"/>
  <c r="O1116" s="1"/>
  <c r="J1129"/>
  <c r="K1129" s="1"/>
  <c r="J1079"/>
  <c r="K1079" s="1"/>
  <c r="H247" i="272"/>
  <c r="H248" s="1"/>
  <c r="K1112" i="306" s="1"/>
  <c r="I978" i="140"/>
  <c r="J978" s="1"/>
  <c r="E956" i="195"/>
  <c r="F956" s="1"/>
  <c r="J956" s="1"/>
  <c r="E1053"/>
  <c r="F1053" s="1"/>
  <c r="J1053" s="1"/>
  <c r="I1073" i="140"/>
  <c r="J1073" s="1"/>
  <c r="E1116" i="195"/>
  <c r="F1116" s="1"/>
  <c r="J1116" s="1"/>
  <c r="I1136" i="140"/>
  <c r="J1136" s="1"/>
  <c r="E954" i="195"/>
  <c r="F954" s="1"/>
  <c r="J954" s="1"/>
  <c r="I976" i="140"/>
  <c r="J976" s="1"/>
  <c r="E1108" i="195"/>
  <c r="F1108" s="1"/>
  <c r="J1108" s="1"/>
  <c r="I1115" i="140"/>
  <c r="J1115" s="1"/>
  <c r="E1050" i="195"/>
  <c r="F1050" s="1"/>
  <c r="J1050" s="1"/>
  <c r="I1070" i="140"/>
  <c r="J1070" s="1"/>
  <c r="E1049" i="195"/>
  <c r="F1049" s="1"/>
  <c r="J1049" s="1"/>
  <c r="I1069" i="140"/>
  <c r="J1069" s="1"/>
  <c r="I931"/>
  <c r="J931" s="1"/>
  <c r="E911" i="195"/>
  <c r="F911" s="1"/>
  <c r="J911" s="1"/>
  <c r="E1041"/>
  <c r="F1041" s="1"/>
  <c r="J1041" s="1"/>
  <c r="I1061" i="140"/>
  <c r="J1061" s="1"/>
  <c r="E1096" i="195"/>
  <c r="I1117" i="140"/>
  <c r="I970"/>
  <c r="J970" s="1"/>
  <c r="E957" i="195"/>
  <c r="F957" s="1"/>
  <c r="J957" s="1"/>
  <c r="E1056"/>
  <c r="F1056" s="1"/>
  <c r="J1056" s="1"/>
  <c r="I1076" i="140"/>
  <c r="J1076" s="1"/>
  <c r="E1090" i="195"/>
  <c r="F1090" s="1"/>
  <c r="J1090" s="1"/>
  <c r="I1110" i="140"/>
  <c r="J1110" s="1"/>
  <c r="E1127" i="195"/>
  <c r="F1127" s="1"/>
  <c r="J1127" s="1"/>
  <c r="I1147" i="140"/>
  <c r="J1147" s="1"/>
  <c r="E1111" i="195"/>
  <c r="F1111" s="1"/>
  <c r="J1111" s="1"/>
  <c r="I1131" i="140"/>
  <c r="J1131" s="1"/>
  <c r="K1106"/>
  <c r="L1106"/>
  <c r="O1106"/>
  <c r="L1103"/>
  <c r="O1103"/>
  <c r="K1103"/>
  <c r="O1104"/>
  <c r="L1104"/>
  <c r="K1104"/>
  <c r="O1098"/>
  <c r="L1098"/>
  <c r="K1098"/>
  <c r="K1097"/>
  <c r="O1097"/>
  <c r="L1097"/>
  <c r="O1084"/>
  <c r="K1084"/>
  <c r="L1084"/>
  <c r="O1092"/>
  <c r="K1092"/>
  <c r="L1092"/>
  <c r="O1142"/>
  <c r="K1142"/>
  <c r="L1142"/>
  <c r="L1145"/>
  <c r="O1145"/>
  <c r="K1145"/>
  <c r="K1133"/>
  <c r="L1133"/>
  <c r="O1133"/>
  <c r="L1127"/>
  <c r="O1127"/>
  <c r="K1127"/>
  <c r="L1125"/>
  <c r="K1125"/>
  <c r="O1125"/>
  <c r="K1111"/>
  <c r="L1111"/>
  <c r="O1111"/>
  <c r="O1148"/>
  <c r="K1148"/>
  <c r="L1148"/>
  <c r="L1093"/>
  <c r="K1093"/>
  <c r="O1093"/>
  <c r="L1105"/>
  <c r="K1105"/>
  <c r="O1105"/>
  <c r="O1100"/>
  <c r="L1100"/>
  <c r="K1100"/>
  <c r="O1096"/>
  <c r="L1096"/>
  <c r="K1096"/>
  <c r="O1068"/>
  <c r="L1068"/>
  <c r="K1068"/>
  <c r="K1143"/>
  <c r="L1143"/>
  <c r="O1143"/>
  <c r="O1126"/>
  <c r="L1126"/>
  <c r="K1126"/>
  <c r="K1114"/>
  <c r="L1114"/>
  <c r="O1114"/>
  <c r="K979"/>
  <c r="L979"/>
  <c r="O979"/>
  <c r="K977"/>
  <c r="L977"/>
  <c r="O977"/>
  <c r="J1124"/>
  <c r="K1124" s="1"/>
  <c r="I1108"/>
  <c r="J1108" s="1"/>
  <c r="E1088" i="195"/>
  <c r="F1088" s="1"/>
  <c r="J1088" s="1"/>
  <c r="E1087"/>
  <c r="F1087" s="1"/>
  <c r="J1087" s="1"/>
  <c r="I1107" i="140"/>
  <c r="J1107" s="1"/>
  <c r="E1119" i="195"/>
  <c r="F1119" s="1"/>
  <c r="J1119" s="1"/>
  <c r="I1140" i="140"/>
  <c r="J1140" s="1"/>
  <c r="E1047" i="195"/>
  <c r="F1047" s="1"/>
  <c r="J1047" s="1"/>
  <c r="I1067" i="140"/>
  <c r="J1067" s="1"/>
  <c r="K1099"/>
  <c r="L1099"/>
  <c r="O1099"/>
  <c r="K1095"/>
  <c r="L1095"/>
  <c r="O1095"/>
  <c r="O1078"/>
  <c r="L1078"/>
  <c r="K1078"/>
  <c r="O1080"/>
  <c r="L1080"/>
  <c r="K1080"/>
  <c r="O1066"/>
  <c r="K1066"/>
  <c r="L1066"/>
  <c r="K1112"/>
  <c r="L1112"/>
  <c r="O1112"/>
  <c r="O1109"/>
  <c r="L1109"/>
  <c r="K1109"/>
  <c r="O1102"/>
  <c r="K1102"/>
  <c r="L1102"/>
  <c r="K1101"/>
  <c r="L1101"/>
  <c r="O1101"/>
  <c r="O1081"/>
  <c r="L1081"/>
  <c r="K1081"/>
  <c r="K1083"/>
  <c r="L1083"/>
  <c r="O1083"/>
  <c r="O1086"/>
  <c r="L1086"/>
  <c r="K1086"/>
  <c r="O1090"/>
  <c r="L1090"/>
  <c r="K1090"/>
  <c r="K1137"/>
  <c r="L1137"/>
  <c r="O1137"/>
  <c r="L1113"/>
  <c r="K1113"/>
  <c r="O1113"/>
  <c r="K1077"/>
  <c r="L1077"/>
  <c r="O1077"/>
  <c r="K927"/>
  <c r="O927"/>
  <c r="L927"/>
  <c r="C1068" i="195"/>
  <c r="G1088" i="140"/>
  <c r="J1088" s="1"/>
  <c r="G1117"/>
  <c r="C1096" i="195"/>
  <c r="I1097"/>
  <c r="L1085" i="140"/>
  <c r="I1067" i="195"/>
  <c r="F1067"/>
  <c r="J1067" s="1"/>
  <c r="I1071"/>
  <c r="I1045"/>
  <c r="F1045"/>
  <c r="J1045" s="1"/>
  <c r="I961"/>
  <c r="F961"/>
  <c r="J961" s="1"/>
  <c r="I960"/>
  <c r="F960"/>
  <c r="J960" s="1"/>
  <c r="I942"/>
  <c r="I1095"/>
  <c r="F1095"/>
  <c r="J1095" s="1"/>
  <c r="I1100"/>
  <c r="I1109"/>
  <c r="F1109"/>
  <c r="J1109" s="1"/>
  <c r="I1110"/>
  <c r="I1115"/>
  <c r="I1124"/>
  <c r="I1059"/>
  <c r="F1059"/>
  <c r="J1059" s="1"/>
  <c r="I998"/>
  <c r="I947"/>
  <c r="C908"/>
  <c r="G928" i="140"/>
  <c r="J928" s="1"/>
  <c r="I1090" i="195"/>
  <c r="I1103"/>
  <c r="F1103"/>
  <c r="J1103" s="1"/>
  <c r="I1114"/>
  <c r="I1065"/>
  <c r="F1065"/>
  <c r="J1065" s="1"/>
  <c r="K1087" i="140"/>
  <c r="L1087"/>
  <c r="I1074" i="195"/>
  <c r="I948"/>
  <c r="I1121"/>
  <c r="C1062"/>
  <c r="G1082" i="140"/>
  <c r="J1082" s="1"/>
  <c r="I1069" i="195"/>
  <c r="I1033"/>
  <c r="I962"/>
  <c r="I941"/>
  <c r="H257" i="272"/>
  <c r="H258" s="1"/>
  <c r="K1118" i="306" s="1"/>
  <c r="M1118" s="1"/>
  <c r="H117" i="272"/>
  <c r="H24"/>
  <c r="K1059" i="306" s="1"/>
  <c r="G330" i="270"/>
  <c r="G331" s="1"/>
  <c r="G332" s="1"/>
  <c r="K1172" i="306" s="1"/>
  <c r="G855" i="270"/>
  <c r="G857" s="1"/>
  <c r="G858" s="1"/>
  <c r="K1047" i="306" s="1"/>
  <c r="E855" i="270"/>
  <c r="E857" s="1"/>
  <c r="E858" s="1"/>
  <c r="K537" i="306" s="1"/>
  <c r="F855" i="270"/>
  <c r="F857" s="1"/>
  <c r="F858" s="1"/>
  <c r="K818" i="306" s="1"/>
  <c r="E808" i="270"/>
  <c r="E809" s="1"/>
  <c r="K485" i="306" s="1"/>
  <c r="F806" i="270"/>
  <c r="E793"/>
  <c r="E794" s="1"/>
  <c r="K437" i="306" s="1"/>
  <c r="F791" i="270"/>
  <c r="G841"/>
  <c r="G843" s="1"/>
  <c r="G844" s="1"/>
  <c r="K1040" i="306" s="1"/>
  <c r="E841" i="270"/>
  <c r="E843" s="1"/>
  <c r="E844" s="1"/>
  <c r="K516" i="306" s="1"/>
  <c r="F841" i="270"/>
  <c r="F843" s="1"/>
  <c r="F844" s="1"/>
  <c r="K811" i="306" s="1"/>
  <c r="F306" i="270"/>
  <c r="G306" s="1"/>
  <c r="F300"/>
  <c r="G300" s="1"/>
  <c r="G303" s="1"/>
  <c r="K1151" i="306" s="1"/>
  <c r="F287" i="270"/>
  <c r="G287" s="1"/>
  <c r="G295" s="1"/>
  <c r="G296" s="1"/>
  <c r="G95" i="272"/>
  <c r="H95" s="1"/>
  <c r="H76"/>
  <c r="G93"/>
  <c r="H93" s="1"/>
  <c r="H74"/>
  <c r="G91"/>
  <c r="H91" s="1"/>
  <c r="H72"/>
  <c r="F246" i="270"/>
  <c r="G246"/>
  <c r="G663"/>
  <c r="F664"/>
  <c r="G701"/>
  <c r="F702"/>
  <c r="G702" s="1"/>
  <c r="F746"/>
  <c r="G746" s="1"/>
  <c r="G745"/>
  <c r="E309"/>
  <c r="G309" s="1"/>
  <c r="E255"/>
  <c r="G255" s="1"/>
  <c r="G227"/>
  <c r="F17" i="269"/>
  <c r="L17" s="1"/>
  <c r="E31" i="270" s="1"/>
  <c r="F31" s="1"/>
  <c r="E18" i="269"/>
  <c r="E14"/>
  <c r="F14" s="1"/>
  <c r="L14" s="1"/>
  <c r="F13"/>
  <c r="L13" s="1"/>
  <c r="H235" i="272"/>
  <c r="H236" s="1"/>
  <c r="K1106" i="306" s="1"/>
  <c r="H78" i="272"/>
  <c r="G342" i="270"/>
  <c r="G343" s="1"/>
  <c r="K1180" i="306" s="1"/>
  <c r="H48" i="264"/>
  <c r="G94" i="272"/>
  <c r="H94" s="1"/>
  <c r="H75"/>
  <c r="G92"/>
  <c r="H92" s="1"/>
  <c r="H73"/>
  <c r="G90"/>
  <c r="H90" s="1"/>
  <c r="H71"/>
  <c r="G684" i="270"/>
  <c r="F685"/>
  <c r="G685" s="1"/>
  <c r="G720"/>
  <c r="F721"/>
  <c r="G721" s="1"/>
  <c r="F92"/>
  <c r="G92" s="1"/>
  <c r="G80"/>
  <c r="F514"/>
  <c r="F497"/>
  <c r="G497" s="1"/>
  <c r="G494"/>
  <c r="F606"/>
  <c r="F587"/>
  <c r="G586"/>
  <c r="F93"/>
  <c r="G93" s="1"/>
  <c r="G81"/>
  <c r="E283"/>
  <c r="K578" i="306" s="1"/>
  <c r="F281" i="270"/>
  <c r="F748"/>
  <c r="F589"/>
  <c r="F495"/>
  <c r="F380"/>
  <c r="G380" s="1"/>
  <c r="F353"/>
  <c r="G353" s="1"/>
  <c r="F27"/>
  <c r="G27" s="1"/>
  <c r="G29" s="1"/>
  <c r="F22"/>
  <c r="G22" s="1"/>
  <c r="G24" s="1"/>
  <c r="F17"/>
  <c r="G17" s="1"/>
  <c r="G19" s="1"/>
  <c r="F12"/>
  <c r="G12" s="1"/>
  <c r="G14" s="1"/>
  <c r="F7"/>
  <c r="G7" s="1"/>
  <c r="G9" s="1"/>
  <c r="F736"/>
  <c r="G736" s="1"/>
  <c r="G740" s="1"/>
  <c r="F747" s="1"/>
  <c r="G747" s="1"/>
  <c r="F719"/>
  <c r="G719" s="1"/>
  <c r="F704"/>
  <c r="G704" s="1"/>
  <c r="F683"/>
  <c r="G683" s="1"/>
  <c r="F666"/>
  <c r="F630"/>
  <c r="F397"/>
  <c r="G397" s="1"/>
  <c r="G402" s="1"/>
  <c r="F363"/>
  <c r="G363" s="1"/>
  <c r="G368" s="1"/>
  <c r="E370" s="1"/>
  <c r="I145" i="271"/>
  <c r="I146" s="1"/>
  <c r="K1419" i="306" s="1"/>
  <c r="G164" i="270"/>
  <c r="G385" l="1"/>
  <c r="E387" s="1"/>
  <c r="O1085" i="140"/>
  <c r="I932" i="309"/>
  <c r="E932" s="1"/>
  <c r="F932" s="1"/>
  <c r="I932" i="140"/>
  <c r="J932" s="1"/>
  <c r="K932" s="1"/>
  <c r="F1036" i="305"/>
  <c r="G1036" s="1"/>
  <c r="E1039" i="195"/>
  <c r="F1039" s="1"/>
  <c r="J1039" s="1"/>
  <c r="M1089" i="306"/>
  <c r="O1119" i="140"/>
  <c r="I1058"/>
  <c r="J1058" s="1"/>
  <c r="L1058" s="1"/>
  <c r="I1134"/>
  <c r="J1134" s="1"/>
  <c r="O1134" s="1"/>
  <c r="I1139"/>
  <c r="J1139" s="1"/>
  <c r="L1139" s="1"/>
  <c r="E912" i="195"/>
  <c r="F912" s="1"/>
  <c r="J912" s="1"/>
  <c r="F910" i="305"/>
  <c r="G910" s="1"/>
  <c r="K1148" i="309"/>
  <c r="L1148"/>
  <c r="O1148"/>
  <c r="O1080"/>
  <c r="O1095"/>
  <c r="O1097"/>
  <c r="O1099"/>
  <c r="O1105"/>
  <c r="O1086"/>
  <c r="O1083"/>
  <c r="O1081"/>
  <c r="O1101"/>
  <c r="O981"/>
  <c r="M1106" i="306"/>
  <c r="I1063" i="309"/>
  <c r="M1084" i="306"/>
  <c r="I1057" i="309"/>
  <c r="M1112" i="306"/>
  <c r="I1064" i="309"/>
  <c r="M1069" i="306"/>
  <c r="I1060" i="309"/>
  <c r="O1066"/>
  <c r="O1067"/>
  <c r="O1065"/>
  <c r="O1068"/>
  <c r="M1059" i="306"/>
  <c r="I1054" i="309"/>
  <c r="M1099" i="306"/>
  <c r="I1062" i="309"/>
  <c r="M1064" i="306"/>
  <c r="I1059" i="309"/>
  <c r="L1066"/>
  <c r="K1066"/>
  <c r="K1067"/>
  <c r="L1067"/>
  <c r="K1065"/>
  <c r="L1065"/>
  <c r="L1068"/>
  <c r="K1068"/>
  <c r="E1070"/>
  <c r="F1070" s="1"/>
  <c r="J1070"/>
  <c r="E1069"/>
  <c r="F1069" s="1"/>
  <c r="J1069"/>
  <c r="E1058"/>
  <c r="F1058" s="1"/>
  <c r="J1058"/>
  <c r="E1061"/>
  <c r="F1061" s="1"/>
  <c r="J1061"/>
  <c r="O1103"/>
  <c r="O1109"/>
  <c r="O1113"/>
  <c r="O1127"/>
  <c r="O1129"/>
  <c r="L1122" i="140"/>
  <c r="O1145" i="309"/>
  <c r="O1142"/>
  <c r="K1080"/>
  <c r="L1080"/>
  <c r="L1095"/>
  <c r="K1095"/>
  <c r="L1097"/>
  <c r="K1097"/>
  <c r="L1099"/>
  <c r="K1099"/>
  <c r="L1105"/>
  <c r="K1105"/>
  <c r="K1086"/>
  <c r="L1086"/>
  <c r="L1083"/>
  <c r="K1083"/>
  <c r="L1081"/>
  <c r="K1081"/>
  <c r="L1101"/>
  <c r="K1101"/>
  <c r="L1103"/>
  <c r="K1103"/>
  <c r="O1092"/>
  <c r="O1085"/>
  <c r="O1087"/>
  <c r="O1084"/>
  <c r="O1078"/>
  <c r="O1082"/>
  <c r="O1098"/>
  <c r="O1104"/>
  <c r="O1102"/>
  <c r="O1093"/>
  <c r="O1090"/>
  <c r="O1088"/>
  <c r="O1079"/>
  <c r="O1096"/>
  <c r="O1100"/>
  <c r="O1106"/>
  <c r="K1092"/>
  <c r="L1092"/>
  <c r="L1085"/>
  <c r="K1085"/>
  <c r="L1087"/>
  <c r="K1087"/>
  <c r="K1084"/>
  <c r="L1084"/>
  <c r="K1078"/>
  <c r="L1078"/>
  <c r="K1082"/>
  <c r="L1082"/>
  <c r="K1098"/>
  <c r="L1098"/>
  <c r="K1104"/>
  <c r="L1104"/>
  <c r="K1102"/>
  <c r="L1102"/>
  <c r="L1093"/>
  <c r="K1093"/>
  <c r="K1090"/>
  <c r="L1090"/>
  <c r="K1088"/>
  <c r="L1088"/>
  <c r="L1079"/>
  <c r="K1079"/>
  <c r="K1096"/>
  <c r="L1096"/>
  <c r="K1100"/>
  <c r="L1100"/>
  <c r="K1106"/>
  <c r="L1106"/>
  <c r="E1094"/>
  <c r="F1094" s="1"/>
  <c r="J1094"/>
  <c r="E1089"/>
  <c r="F1089" s="1"/>
  <c r="J1089"/>
  <c r="J1091"/>
  <c r="E1091"/>
  <c r="F1091" s="1"/>
  <c r="O977"/>
  <c r="O979"/>
  <c r="O980"/>
  <c r="O928"/>
  <c r="O1077"/>
  <c r="M516" i="306"/>
  <c r="I974" i="309"/>
  <c r="M818" i="306"/>
  <c r="I1017" i="309"/>
  <c r="M1047" i="306"/>
  <c r="I1052" i="309"/>
  <c r="K927"/>
  <c r="L927"/>
  <c r="L981"/>
  <c r="K981"/>
  <c r="M578" i="306"/>
  <c r="I982" i="309"/>
  <c r="M1180" i="306"/>
  <c r="I1075" i="309"/>
  <c r="M1151" i="306"/>
  <c r="I1071" i="309"/>
  <c r="M811" i="306"/>
  <c r="I1016" i="309"/>
  <c r="M1040" i="306"/>
  <c r="I1051" i="309"/>
  <c r="M437" i="306"/>
  <c r="I972" i="309"/>
  <c r="M485" i="306"/>
  <c r="I973" i="309"/>
  <c r="M537" i="306"/>
  <c r="I975" i="309"/>
  <c r="M1172" i="306"/>
  <c r="I1074" i="309"/>
  <c r="L977"/>
  <c r="K977"/>
  <c r="L979"/>
  <c r="K979"/>
  <c r="L980"/>
  <c r="K980"/>
  <c r="L928"/>
  <c r="K928"/>
  <c r="K1077"/>
  <c r="L1077"/>
  <c r="E1073"/>
  <c r="F1073" s="1"/>
  <c r="J1073"/>
  <c r="J934"/>
  <c r="E934"/>
  <c r="F934" s="1"/>
  <c r="J976"/>
  <c r="E976"/>
  <c r="F976" s="1"/>
  <c r="J1076"/>
  <c r="E1076"/>
  <c r="F1076" s="1"/>
  <c r="J970"/>
  <c r="E970"/>
  <c r="F970" s="1"/>
  <c r="J978"/>
  <c r="E978"/>
  <c r="F978" s="1"/>
  <c r="J931"/>
  <c r="E931"/>
  <c r="F931" s="1"/>
  <c r="O927"/>
  <c r="M1419" i="306"/>
  <c r="I1120" i="309"/>
  <c r="M1459" i="306"/>
  <c r="I1128" i="309"/>
  <c r="L1109"/>
  <c r="K1109"/>
  <c r="L1113"/>
  <c r="K1113"/>
  <c r="L1127"/>
  <c r="K1127"/>
  <c r="L1129"/>
  <c r="K1129"/>
  <c r="L1145"/>
  <c r="K1145"/>
  <c r="L1142"/>
  <c r="K1142"/>
  <c r="O1111"/>
  <c r="O1116"/>
  <c r="O1125"/>
  <c r="O1133"/>
  <c r="O1143"/>
  <c r="O1114"/>
  <c r="O1124"/>
  <c r="O1126"/>
  <c r="L1111"/>
  <c r="K1111"/>
  <c r="K1116"/>
  <c r="L1116"/>
  <c r="L1125"/>
  <c r="K1125"/>
  <c r="K1133"/>
  <c r="L1133"/>
  <c r="K1143"/>
  <c r="L1143"/>
  <c r="K1114"/>
  <c r="L1114"/>
  <c r="K1124"/>
  <c r="L1124"/>
  <c r="K1126"/>
  <c r="L1126"/>
  <c r="E1110"/>
  <c r="F1110" s="1"/>
  <c r="J1110"/>
  <c r="J1136"/>
  <c r="E1136"/>
  <c r="F1136" s="1"/>
  <c r="E1112"/>
  <c r="F1112" s="1"/>
  <c r="J1112"/>
  <c r="E1140"/>
  <c r="F1140" s="1"/>
  <c r="J1140"/>
  <c r="J1115"/>
  <c r="E1115"/>
  <c r="F1115" s="1"/>
  <c r="M1494" i="306"/>
  <c r="I1134" i="309"/>
  <c r="M1526" i="306"/>
  <c r="I1139" i="309"/>
  <c r="M1556" i="306"/>
  <c r="I1146" i="309"/>
  <c r="J1119"/>
  <c r="E1119"/>
  <c r="F1119" s="1"/>
  <c r="J1122"/>
  <c r="E1122"/>
  <c r="F1122" s="1"/>
  <c r="J1137"/>
  <c r="E1137"/>
  <c r="F1137" s="1"/>
  <c r="E1141"/>
  <c r="F1141" s="1"/>
  <c r="J1141"/>
  <c r="E1118"/>
  <c r="F1118" s="1"/>
  <c r="J1118"/>
  <c r="J1131"/>
  <c r="E1131"/>
  <c r="F1131" s="1"/>
  <c r="E1147"/>
  <c r="F1147" s="1"/>
  <c r="J1147"/>
  <c r="E1107"/>
  <c r="F1107" s="1"/>
  <c r="J1107"/>
  <c r="E1132"/>
  <c r="F1132" s="1"/>
  <c r="J1132"/>
  <c r="E1121"/>
  <c r="F1121" s="1"/>
  <c r="J1121"/>
  <c r="J1123"/>
  <c r="E1123"/>
  <c r="F1123" s="1"/>
  <c r="E1135"/>
  <c r="F1135" s="1"/>
  <c r="J1135"/>
  <c r="E1138"/>
  <c r="F1138" s="1"/>
  <c r="J1138"/>
  <c r="E1144"/>
  <c r="F1144" s="1"/>
  <c r="J1144"/>
  <c r="E1130"/>
  <c r="F1130" s="1"/>
  <c r="J1130"/>
  <c r="E1117"/>
  <c r="F1117" s="1"/>
  <c r="J1117"/>
  <c r="J1108"/>
  <c r="E1108"/>
  <c r="F1108" s="1"/>
  <c r="G691" i="270"/>
  <c r="E693" s="1"/>
  <c r="E695" s="1"/>
  <c r="E696" s="1"/>
  <c r="G726"/>
  <c r="E728" s="1"/>
  <c r="E730" s="1"/>
  <c r="E731" s="1"/>
  <c r="F1106" i="305"/>
  <c r="G1106" s="1"/>
  <c r="F1124"/>
  <c r="G1124" s="1"/>
  <c r="E1107" i="195"/>
  <c r="F1107" s="1"/>
  <c r="J1107" s="1"/>
  <c r="E1114"/>
  <c r="F1114" s="1"/>
  <c r="J1114" s="1"/>
  <c r="I1146" i="140"/>
  <c r="J1146" s="1"/>
  <c r="K1146" s="1"/>
  <c r="E1120" i="195"/>
  <c r="F1120" s="1"/>
  <c r="J1120" s="1"/>
  <c r="K1128" i="140"/>
  <c r="K1065"/>
  <c r="F1041" i="305"/>
  <c r="J1041" s="1"/>
  <c r="F1049"/>
  <c r="G1049" s="1"/>
  <c r="F1029"/>
  <c r="G1029" s="1"/>
  <c r="F950"/>
  <c r="G950" s="1"/>
  <c r="F953"/>
  <c r="G953" s="1"/>
  <c r="F1098"/>
  <c r="G1098" s="1"/>
  <c r="F960"/>
  <c r="G960" s="1"/>
  <c r="F952"/>
  <c r="G952" s="1"/>
  <c r="F995"/>
  <c r="G995" s="1"/>
  <c r="F1030"/>
  <c r="G1030" s="1"/>
  <c r="F1052"/>
  <c r="J1052" s="1"/>
  <c r="F1032"/>
  <c r="G1032" s="1"/>
  <c r="F1042"/>
  <c r="G1042" s="1"/>
  <c r="F1038"/>
  <c r="G1038" s="1"/>
  <c r="F1053"/>
  <c r="G1053" s="1"/>
  <c r="F994"/>
  <c r="G994" s="1"/>
  <c r="F951"/>
  <c r="G951" s="1"/>
  <c r="F1035"/>
  <c r="G1035" s="1"/>
  <c r="F1040"/>
  <c r="G1040" s="1"/>
  <c r="F1037"/>
  <c r="G1037" s="1"/>
  <c r="O1079" i="140"/>
  <c r="K981"/>
  <c r="L1141"/>
  <c r="O981"/>
  <c r="L1118"/>
  <c r="O1141"/>
  <c r="K1122"/>
  <c r="O1130"/>
  <c r="K1130"/>
  <c r="K980"/>
  <c r="O1128"/>
  <c r="K1123"/>
  <c r="I1062"/>
  <c r="J1062" s="1"/>
  <c r="L1062" s="1"/>
  <c r="O1135"/>
  <c r="L1129"/>
  <c r="O980"/>
  <c r="L1089"/>
  <c r="K1132"/>
  <c r="L1138"/>
  <c r="I1060"/>
  <c r="J1060" s="1"/>
  <c r="L1060" s="1"/>
  <c r="K934"/>
  <c r="L1132"/>
  <c r="K1138"/>
  <c r="O1144"/>
  <c r="K1144"/>
  <c r="O1091"/>
  <c r="K1091"/>
  <c r="L1091"/>
  <c r="L1144"/>
  <c r="L1130"/>
  <c r="K1116"/>
  <c r="O1089"/>
  <c r="L1119"/>
  <c r="O934"/>
  <c r="O1123"/>
  <c r="O1121"/>
  <c r="L1121"/>
  <c r="K1121"/>
  <c r="E1042" i="195"/>
  <c r="F1042" s="1"/>
  <c r="J1042" s="1"/>
  <c r="I1059" i="140"/>
  <c r="J1059" s="1"/>
  <c r="L1059" s="1"/>
  <c r="E1040" i="195"/>
  <c r="F1040" s="1"/>
  <c r="J1040" s="1"/>
  <c r="O1065" i="140"/>
  <c r="O1118"/>
  <c r="K1094"/>
  <c r="E1044" i="195"/>
  <c r="F1044" s="1"/>
  <c r="J1044" s="1"/>
  <c r="H98" i="272"/>
  <c r="K1079" i="306" s="1"/>
  <c r="E1035" i="195"/>
  <c r="F1035" s="1"/>
  <c r="J1035" s="1"/>
  <c r="L1079" i="140"/>
  <c r="L1135"/>
  <c r="O1129"/>
  <c r="L1116"/>
  <c r="O1124"/>
  <c r="O1110"/>
  <c r="K1110"/>
  <c r="I48" i="264"/>
  <c r="L1124" i="140"/>
  <c r="I1064"/>
  <c r="J1064" s="1"/>
  <c r="L1064" s="1"/>
  <c r="E1043" i="195"/>
  <c r="F1043" s="1"/>
  <c r="J1043" s="1"/>
  <c r="I1063" i="140"/>
  <c r="J1063" s="1"/>
  <c r="I974"/>
  <c r="J974" s="1"/>
  <c r="E952" i="195"/>
  <c r="F952" s="1"/>
  <c r="J952" s="1"/>
  <c r="I972" i="140"/>
  <c r="J972" s="1"/>
  <c r="E950" i="195"/>
  <c r="F950" s="1"/>
  <c r="J950" s="1"/>
  <c r="E951"/>
  <c r="F951" s="1"/>
  <c r="J951" s="1"/>
  <c r="I973" i="140"/>
  <c r="J973" s="1"/>
  <c r="E1034" i="195"/>
  <c r="F1034" s="1"/>
  <c r="J1034" s="1"/>
  <c r="I1054" i="140"/>
  <c r="J1054" s="1"/>
  <c r="E962" i="195"/>
  <c r="F962" s="1"/>
  <c r="J962" s="1"/>
  <c r="I982" i="140"/>
  <c r="J982" s="1"/>
  <c r="E1037" i="195"/>
  <c r="F1037" s="1"/>
  <c r="J1037" s="1"/>
  <c r="E1051"/>
  <c r="F1051" s="1"/>
  <c r="J1051" s="1"/>
  <c r="I1071" i="140"/>
  <c r="J1071" s="1"/>
  <c r="E996" i="195"/>
  <c r="F996" s="1"/>
  <c r="J996" s="1"/>
  <c r="I1016" i="140"/>
  <c r="J1016" s="1"/>
  <c r="E1031" i="195"/>
  <c r="F1031" s="1"/>
  <c r="J1031" s="1"/>
  <c r="I1051" i="140"/>
  <c r="J1051" s="1"/>
  <c r="E997" i="195"/>
  <c r="F997" s="1"/>
  <c r="J997" s="1"/>
  <c r="I1017" i="140"/>
  <c r="J1017" s="1"/>
  <c r="I1052"/>
  <c r="J1052" s="1"/>
  <c r="E1032" i="195"/>
  <c r="F1032" s="1"/>
  <c r="J1032" s="1"/>
  <c r="E1054"/>
  <c r="F1054" s="1"/>
  <c r="J1054" s="1"/>
  <c r="I1074" i="140"/>
  <c r="J1074" s="1"/>
  <c r="E1038" i="195"/>
  <c r="F1038" s="1"/>
  <c r="J1038" s="1"/>
  <c r="I1057" i="140"/>
  <c r="J1057" s="1"/>
  <c r="K1067"/>
  <c r="L1067"/>
  <c r="O1067"/>
  <c r="O1140"/>
  <c r="L1140"/>
  <c r="K1140"/>
  <c r="K1131"/>
  <c r="L1131"/>
  <c r="O1131"/>
  <c r="O1076"/>
  <c r="L1076"/>
  <c r="K1076"/>
  <c r="L970"/>
  <c r="K970"/>
  <c r="O970"/>
  <c r="K1061"/>
  <c r="L1061"/>
  <c r="O1061"/>
  <c r="K931"/>
  <c r="L931"/>
  <c r="O931"/>
  <c r="L976"/>
  <c r="O976"/>
  <c r="K976"/>
  <c r="K1073"/>
  <c r="L1073"/>
  <c r="O1073"/>
  <c r="L978"/>
  <c r="K978"/>
  <c r="O978"/>
  <c r="N48" i="264"/>
  <c r="L1094" i="140"/>
  <c r="L1110"/>
  <c r="J1117"/>
  <c r="K1117" s="1"/>
  <c r="E1099" i="195"/>
  <c r="F1099" s="1"/>
  <c r="J1099" s="1"/>
  <c r="I1120" i="140"/>
  <c r="J1120" s="1"/>
  <c r="E1055" i="195"/>
  <c r="F1055" s="1"/>
  <c r="J1055" s="1"/>
  <c r="I1075" i="140"/>
  <c r="J1075" s="1"/>
  <c r="I975"/>
  <c r="J975" s="1"/>
  <c r="E953" i="195"/>
  <c r="F953" s="1"/>
  <c r="J953" s="1"/>
  <c r="K1107" i="140"/>
  <c r="L1107"/>
  <c r="O1107"/>
  <c r="O1108"/>
  <c r="K1108"/>
  <c r="L1108"/>
  <c r="K1147"/>
  <c r="L1147"/>
  <c r="O1147"/>
  <c r="K1069"/>
  <c r="L1069"/>
  <c r="O1069"/>
  <c r="O1070"/>
  <c r="L1070"/>
  <c r="K1070"/>
  <c r="L1115"/>
  <c r="O1115"/>
  <c r="K1115"/>
  <c r="O1136"/>
  <c r="L1136"/>
  <c r="K1136"/>
  <c r="K1082"/>
  <c r="O1082"/>
  <c r="L1082"/>
  <c r="L928"/>
  <c r="K928"/>
  <c r="O928"/>
  <c r="I1096" i="195"/>
  <c r="F1096"/>
  <c r="J1096" s="1"/>
  <c r="K1088" i="140"/>
  <c r="L1088"/>
  <c r="O1088"/>
  <c r="I1062" i="195"/>
  <c r="F1062"/>
  <c r="J1062" s="1"/>
  <c r="I908"/>
  <c r="F908"/>
  <c r="J908" s="1"/>
  <c r="I1068"/>
  <c r="F1068"/>
  <c r="J1068" s="1"/>
  <c r="H79" i="272"/>
  <c r="K1074" i="306" s="1"/>
  <c r="M48" i="264"/>
  <c r="Q48"/>
  <c r="L48"/>
  <c r="E374" i="270"/>
  <c r="F370"/>
  <c r="F555"/>
  <c r="G555" s="1"/>
  <c r="G561" s="1"/>
  <c r="F535"/>
  <c r="G535" s="1"/>
  <c r="F478"/>
  <c r="G478" s="1"/>
  <c r="G483" s="1"/>
  <c r="F430"/>
  <c r="G430" s="1"/>
  <c r="G435" s="1"/>
  <c r="E391"/>
  <c r="F387"/>
  <c r="F570"/>
  <c r="G570" s="1"/>
  <c r="G576" s="1"/>
  <c r="F414"/>
  <c r="G414" s="1"/>
  <c r="G420" s="1"/>
  <c r="G404"/>
  <c r="G408" s="1"/>
  <c r="G409" s="1"/>
  <c r="E404"/>
  <c r="E408" s="1"/>
  <c r="E409" s="1"/>
  <c r="F404"/>
  <c r="F408" s="1"/>
  <c r="F409" s="1"/>
  <c r="F462"/>
  <c r="G462" s="1"/>
  <c r="G467" s="1"/>
  <c r="F446"/>
  <c r="G446" s="1"/>
  <c r="G451" s="1"/>
  <c r="G666"/>
  <c r="F667"/>
  <c r="G667" s="1"/>
  <c r="F515"/>
  <c r="F498"/>
  <c r="G498" s="1"/>
  <c r="G495"/>
  <c r="F749"/>
  <c r="G749" s="1"/>
  <c r="G748"/>
  <c r="F627"/>
  <c r="G606"/>
  <c r="F226"/>
  <c r="G226" s="1"/>
  <c r="F163"/>
  <c r="F136"/>
  <c r="G136" s="1"/>
  <c r="F106"/>
  <c r="G106" s="1"/>
  <c r="F82"/>
  <c r="F770"/>
  <c r="G770" s="1"/>
  <c r="G709"/>
  <c r="G630"/>
  <c r="F645"/>
  <c r="G645" s="1"/>
  <c r="G693"/>
  <c r="G695" s="1"/>
  <c r="G696" s="1"/>
  <c r="F693"/>
  <c r="F695" s="1"/>
  <c r="F696" s="1"/>
  <c r="G728"/>
  <c r="G730" s="1"/>
  <c r="G731" s="1"/>
  <c r="F728"/>
  <c r="F730" s="1"/>
  <c r="F731" s="1"/>
  <c r="F605"/>
  <c r="G605" s="1"/>
  <c r="G589"/>
  <c r="F283"/>
  <c r="K825" i="306" s="1"/>
  <c r="G281" i="270"/>
  <c r="G283" s="1"/>
  <c r="K1053" i="306" s="1"/>
  <c r="F607" i="270"/>
  <c r="G607" s="1"/>
  <c r="F588"/>
  <c r="G588" s="1"/>
  <c r="G587"/>
  <c r="F517"/>
  <c r="G517" s="1"/>
  <c r="G514"/>
  <c r="F53"/>
  <c r="G53" s="1"/>
  <c r="G54" s="1"/>
  <c r="G55" s="1"/>
  <c r="F18" i="269"/>
  <c r="L18" s="1"/>
  <c r="E32" i="270" s="1"/>
  <c r="F32" s="1"/>
  <c r="E19" i="269"/>
  <c r="G664" i="270"/>
  <c r="F665"/>
  <c r="G665" s="1"/>
  <c r="F793"/>
  <c r="F794" s="1"/>
  <c r="K792" i="306" s="1"/>
  <c r="G791" i="270"/>
  <c r="G793" s="1"/>
  <c r="G794" s="1"/>
  <c r="K1024" i="306" s="1"/>
  <c r="F808" i="270"/>
  <c r="F809" s="1"/>
  <c r="K802" i="306" s="1"/>
  <c r="G806" i="270"/>
  <c r="G808" s="1"/>
  <c r="G809" s="1"/>
  <c r="K1032" i="306" s="1"/>
  <c r="G310" i="270"/>
  <c r="G311" s="1"/>
  <c r="K1158" i="306" s="1"/>
  <c r="O1058" i="140" l="1"/>
  <c r="L932"/>
  <c r="J932" i="309"/>
  <c r="L932" s="1"/>
  <c r="K1062" i="140"/>
  <c r="O932"/>
  <c r="K1058"/>
  <c r="K1139"/>
  <c r="L1134"/>
  <c r="O1139"/>
  <c r="K1134"/>
  <c r="K51" i="306"/>
  <c r="M51" s="1"/>
  <c r="K775"/>
  <c r="M775" s="1"/>
  <c r="K732"/>
  <c r="I1006" i="309" s="1"/>
  <c r="K969" i="306"/>
  <c r="M969" s="1"/>
  <c r="K184"/>
  <c r="E933" i="195" s="1"/>
  <c r="F933" s="1"/>
  <c r="J933" s="1"/>
  <c r="K410" i="306"/>
  <c r="M410" s="1"/>
  <c r="K1010"/>
  <c r="M1010" s="1"/>
  <c r="K354"/>
  <c r="M354" s="1"/>
  <c r="K661"/>
  <c r="F974" i="305" s="1"/>
  <c r="G974" s="1"/>
  <c r="K907" i="306"/>
  <c r="M907" s="1"/>
  <c r="K169"/>
  <c r="F929" i="305" s="1"/>
  <c r="G929" s="1"/>
  <c r="K177" i="306"/>
  <c r="M177" s="1"/>
  <c r="O1123" i="309"/>
  <c r="O1108"/>
  <c r="O1137"/>
  <c r="O1091"/>
  <c r="M1074" i="306"/>
  <c r="I1055" i="309"/>
  <c r="M1079" i="306"/>
  <c r="I1056" i="309"/>
  <c r="G503" i="270"/>
  <c r="O1061" i="309"/>
  <c r="O1058"/>
  <c r="O1069"/>
  <c r="O1070"/>
  <c r="K1061"/>
  <c r="L1061"/>
  <c r="L1058"/>
  <c r="K1058"/>
  <c r="K1069"/>
  <c r="L1069"/>
  <c r="L1070"/>
  <c r="K1070"/>
  <c r="E1059"/>
  <c r="F1059" s="1"/>
  <c r="J1059"/>
  <c r="E1062"/>
  <c r="F1062" s="1"/>
  <c r="J1062"/>
  <c r="E1054"/>
  <c r="F1054" s="1"/>
  <c r="J1054"/>
  <c r="E1060"/>
  <c r="F1060" s="1"/>
  <c r="J1060"/>
  <c r="E1064"/>
  <c r="F1064" s="1"/>
  <c r="J1064"/>
  <c r="E1057"/>
  <c r="F1057" s="1"/>
  <c r="J1057"/>
  <c r="E1063"/>
  <c r="F1063" s="1"/>
  <c r="J1063"/>
  <c r="O1140"/>
  <c r="O1112"/>
  <c r="O1110"/>
  <c r="O931"/>
  <c r="O978"/>
  <c r="O932"/>
  <c r="O970"/>
  <c r="O1076"/>
  <c r="L1091"/>
  <c r="K1091"/>
  <c r="O1089"/>
  <c r="O1094"/>
  <c r="L1089"/>
  <c r="K1089"/>
  <c r="K1094"/>
  <c r="L1094"/>
  <c r="O976"/>
  <c r="M1158" i="306"/>
  <c r="I1072" i="309"/>
  <c r="M802" i="306"/>
  <c r="I1015" i="309"/>
  <c r="M792" i="306"/>
  <c r="I1014" i="309"/>
  <c r="M825" i="306"/>
  <c r="I1018" i="309"/>
  <c r="K931"/>
  <c r="L931"/>
  <c r="L978"/>
  <c r="K978"/>
  <c r="K932"/>
  <c r="L970"/>
  <c r="K970"/>
  <c r="L1076"/>
  <c r="K1076"/>
  <c r="L976"/>
  <c r="K976"/>
  <c r="L934"/>
  <c r="K934"/>
  <c r="O1073"/>
  <c r="M1032" i="306"/>
  <c r="I1050" i="309"/>
  <c r="M1024" i="306"/>
  <c r="I1049" i="309"/>
  <c r="I933"/>
  <c r="M1053" i="306"/>
  <c r="I1053" i="309"/>
  <c r="K1073"/>
  <c r="L1073"/>
  <c r="E1074"/>
  <c r="F1074" s="1"/>
  <c r="J1074"/>
  <c r="J975"/>
  <c r="E975"/>
  <c r="F975" s="1"/>
  <c r="J973"/>
  <c r="E973"/>
  <c r="F973" s="1"/>
  <c r="J972"/>
  <c r="E972"/>
  <c r="F972" s="1"/>
  <c r="J1051"/>
  <c r="E1051"/>
  <c r="F1051" s="1"/>
  <c r="J1016"/>
  <c r="E1016"/>
  <c r="F1016" s="1"/>
  <c r="E1071"/>
  <c r="F1071" s="1"/>
  <c r="J1071"/>
  <c r="J1075"/>
  <c r="E1075"/>
  <c r="F1075" s="1"/>
  <c r="J982"/>
  <c r="E982"/>
  <c r="F982" s="1"/>
  <c r="J1052"/>
  <c r="E1052"/>
  <c r="F1052" s="1"/>
  <c r="J1017"/>
  <c r="E1017"/>
  <c r="F1017" s="1"/>
  <c r="J974"/>
  <c r="E974"/>
  <c r="F974" s="1"/>
  <c r="O934"/>
  <c r="O1131"/>
  <c r="L1115"/>
  <c r="K1115"/>
  <c r="L1136"/>
  <c r="K1136"/>
  <c r="K1140"/>
  <c r="L1140"/>
  <c r="K1112"/>
  <c r="L1112"/>
  <c r="K1110"/>
  <c r="L1110"/>
  <c r="E1128"/>
  <c r="F1128" s="1"/>
  <c r="J1128"/>
  <c r="J1120"/>
  <c r="E1120"/>
  <c r="F1120" s="1"/>
  <c r="O1122"/>
  <c r="O1119"/>
  <c r="O1115"/>
  <c r="O1136"/>
  <c r="L1123"/>
  <c r="K1123"/>
  <c r="L1131"/>
  <c r="K1131"/>
  <c r="L1137"/>
  <c r="K1137"/>
  <c r="K1122"/>
  <c r="L1122"/>
  <c r="L1119"/>
  <c r="K1119"/>
  <c r="O1117"/>
  <c r="O1130"/>
  <c r="O1144"/>
  <c r="O1138"/>
  <c r="O1135"/>
  <c r="O1121"/>
  <c r="O1132"/>
  <c r="O1107"/>
  <c r="O1147"/>
  <c r="O1118"/>
  <c r="O1141"/>
  <c r="L1117"/>
  <c r="K1117"/>
  <c r="K1130"/>
  <c r="L1130"/>
  <c r="K1144"/>
  <c r="L1144"/>
  <c r="K1138"/>
  <c r="L1138"/>
  <c r="L1135"/>
  <c r="K1135"/>
  <c r="L1121"/>
  <c r="K1121"/>
  <c r="K1132"/>
  <c r="L1132"/>
  <c r="K1107"/>
  <c r="L1107"/>
  <c r="L1147"/>
  <c r="K1147"/>
  <c r="K1118"/>
  <c r="L1118"/>
  <c r="L1141"/>
  <c r="K1141"/>
  <c r="E1146"/>
  <c r="F1146" s="1"/>
  <c r="J1146"/>
  <c r="J1139"/>
  <c r="E1139"/>
  <c r="F1139" s="1"/>
  <c r="E1134"/>
  <c r="F1134" s="1"/>
  <c r="J1134"/>
  <c r="M732" i="306"/>
  <c r="L1108" i="309"/>
  <c r="K1108"/>
  <c r="I1032"/>
  <c r="L1146" i="140"/>
  <c r="O1146"/>
  <c r="F1050" i="305"/>
  <c r="G1050" s="1"/>
  <c r="F1028"/>
  <c r="G1028" s="1"/>
  <c r="F1031"/>
  <c r="G1031" s="1"/>
  <c r="F993"/>
  <c r="G993" s="1"/>
  <c r="F992"/>
  <c r="G992" s="1"/>
  <c r="F996"/>
  <c r="G996" s="1"/>
  <c r="F1027"/>
  <c r="G1027" s="1"/>
  <c r="F1033"/>
  <c r="G1033" s="1"/>
  <c r="F1034"/>
  <c r="G1034" s="1"/>
  <c r="O1062" i="140"/>
  <c r="K1059"/>
  <c r="O1060"/>
  <c r="K1060"/>
  <c r="O1059"/>
  <c r="O1064"/>
  <c r="I1056"/>
  <c r="J1056" s="1"/>
  <c r="L1056" s="1"/>
  <c r="G754" i="270"/>
  <c r="K1064" i="140"/>
  <c r="L1117"/>
  <c r="F594" i="270"/>
  <c r="G594" s="1"/>
  <c r="O1117" i="140"/>
  <c r="I1049"/>
  <c r="J1049" s="1"/>
  <c r="E1029" i="195"/>
  <c r="F1029" s="1"/>
  <c r="J1029" s="1"/>
  <c r="E998"/>
  <c r="F998" s="1"/>
  <c r="J998" s="1"/>
  <c r="I1018" i="140"/>
  <c r="J1018" s="1"/>
  <c r="K975"/>
  <c r="L975"/>
  <c r="O975"/>
  <c r="O1120"/>
  <c r="L1120"/>
  <c r="K1120"/>
  <c r="O1074"/>
  <c r="L1074"/>
  <c r="K1074"/>
  <c r="K1052"/>
  <c r="L1052"/>
  <c r="O1052"/>
  <c r="K1017"/>
  <c r="L1017"/>
  <c r="O1017"/>
  <c r="K1016"/>
  <c r="L1016"/>
  <c r="O1016"/>
  <c r="K973"/>
  <c r="L973"/>
  <c r="O973"/>
  <c r="K1063"/>
  <c r="L1063"/>
  <c r="O1063"/>
  <c r="I1050"/>
  <c r="J1050" s="1"/>
  <c r="E1030" i="195"/>
  <c r="F1030" s="1"/>
  <c r="J1030" s="1"/>
  <c r="E948"/>
  <c r="F948" s="1"/>
  <c r="J948" s="1"/>
  <c r="E1052"/>
  <c r="F1052" s="1"/>
  <c r="J1052" s="1"/>
  <c r="I1072" i="140"/>
  <c r="J1072" s="1"/>
  <c r="E995" i="195"/>
  <c r="F995" s="1"/>
  <c r="J995" s="1"/>
  <c r="I1015" i="140"/>
  <c r="J1015" s="1"/>
  <c r="E994" i="195"/>
  <c r="F994" s="1"/>
  <c r="J994" s="1"/>
  <c r="I1014" i="140"/>
  <c r="J1014" s="1"/>
  <c r="E1033" i="195"/>
  <c r="F1033" s="1"/>
  <c r="J1033" s="1"/>
  <c r="I1053" i="140"/>
  <c r="J1053" s="1"/>
  <c r="E1027" i="195"/>
  <c r="F1027" s="1"/>
  <c r="J1027" s="1"/>
  <c r="E1012"/>
  <c r="F1012" s="1"/>
  <c r="J1012" s="1"/>
  <c r="E1036"/>
  <c r="F1036" s="1"/>
  <c r="J1036" s="1"/>
  <c r="I1055" i="140"/>
  <c r="J1055" s="1"/>
  <c r="K1075"/>
  <c r="L1075"/>
  <c r="O1075"/>
  <c r="K1057"/>
  <c r="L1057"/>
  <c r="O1057"/>
  <c r="K1051"/>
  <c r="L1051"/>
  <c r="O1051"/>
  <c r="K1071"/>
  <c r="O1071"/>
  <c r="L1071"/>
  <c r="L982"/>
  <c r="K982"/>
  <c r="O982"/>
  <c r="K1054"/>
  <c r="L1054"/>
  <c r="O1054"/>
  <c r="L972"/>
  <c r="O972"/>
  <c r="K972"/>
  <c r="L974"/>
  <c r="K974"/>
  <c r="O974"/>
  <c r="F505" i="270"/>
  <c r="E505"/>
  <c r="E509" s="1"/>
  <c r="E510" s="1"/>
  <c r="F19" i="269"/>
  <c r="L19" s="1"/>
  <c r="E33" i="270" s="1"/>
  <c r="F33" s="1"/>
  <c r="E20" i="269"/>
  <c r="F254" i="270"/>
  <c r="G254" s="1"/>
  <c r="G163"/>
  <c r="G627"/>
  <c r="F646"/>
  <c r="F628"/>
  <c r="F469"/>
  <c r="F473" s="1"/>
  <c r="F474" s="1"/>
  <c r="G469"/>
  <c r="G473" s="1"/>
  <c r="G474" s="1"/>
  <c r="E469"/>
  <c r="E473" s="1"/>
  <c r="E474" s="1"/>
  <c r="F578"/>
  <c r="F580" s="1"/>
  <c r="F581" s="1"/>
  <c r="G578"/>
  <c r="G580" s="1"/>
  <c r="G581" s="1"/>
  <c r="E578"/>
  <c r="E580" s="1"/>
  <c r="E581" s="1"/>
  <c r="F485"/>
  <c r="F489" s="1"/>
  <c r="F490" s="1"/>
  <c r="G485"/>
  <c r="G489" s="1"/>
  <c r="G490" s="1"/>
  <c r="E485"/>
  <c r="E489" s="1"/>
  <c r="E490" s="1"/>
  <c r="F563"/>
  <c r="F565" s="1"/>
  <c r="F566" s="1"/>
  <c r="G563"/>
  <c r="G565" s="1"/>
  <c r="G566" s="1"/>
  <c r="E563"/>
  <c r="E565" s="1"/>
  <c r="E566" s="1"/>
  <c r="F613"/>
  <c r="G613" s="1"/>
  <c r="F672"/>
  <c r="G672" s="1"/>
  <c r="G673" s="1"/>
  <c r="F756"/>
  <c r="F758" s="1"/>
  <c r="F759" s="1"/>
  <c r="G756"/>
  <c r="G758" s="1"/>
  <c r="G759" s="1"/>
  <c r="E756"/>
  <c r="E758" s="1"/>
  <c r="E759" s="1"/>
  <c r="G711"/>
  <c r="G713" s="1"/>
  <c r="G714" s="1"/>
  <c r="E711"/>
  <c r="E713" s="1"/>
  <c r="E714" s="1"/>
  <c r="F711"/>
  <c r="F713" s="1"/>
  <c r="F714" s="1"/>
  <c r="F94"/>
  <c r="G94" s="1"/>
  <c r="G101" s="1"/>
  <c r="G82"/>
  <c r="G89" s="1"/>
  <c r="F518"/>
  <c r="G518" s="1"/>
  <c r="G515"/>
  <c r="F453"/>
  <c r="F457" s="1"/>
  <c r="F458" s="1"/>
  <c r="G453"/>
  <c r="G457" s="1"/>
  <c r="G458" s="1"/>
  <c r="E453"/>
  <c r="E457" s="1"/>
  <c r="E458" s="1"/>
  <c r="G422"/>
  <c r="G426" s="1"/>
  <c r="E422"/>
  <c r="E426" s="1"/>
  <c r="F422"/>
  <c r="F426" s="1"/>
  <c r="F391"/>
  <c r="G387"/>
  <c r="G391" s="1"/>
  <c r="F437"/>
  <c r="F441" s="1"/>
  <c r="F442" s="1"/>
  <c r="G437"/>
  <c r="G441" s="1"/>
  <c r="G442" s="1"/>
  <c r="E437"/>
  <c r="E441" s="1"/>
  <c r="E442" s="1"/>
  <c r="F374"/>
  <c r="G370"/>
  <c r="G374" s="1"/>
  <c r="F990" i="305" l="1"/>
  <c r="G990" s="1"/>
  <c r="I968" i="309"/>
  <c r="F984" i="305"/>
  <c r="G984" s="1"/>
  <c r="F1025"/>
  <c r="G1025" s="1"/>
  <c r="F911"/>
  <c r="G911" s="1"/>
  <c r="I951" i="309"/>
  <c r="I996"/>
  <c r="E913" i="195"/>
  <c r="F913" s="1"/>
  <c r="J913" s="1"/>
  <c r="I953" i="140"/>
  <c r="J953" s="1"/>
  <c r="K953" s="1"/>
  <c r="I953" i="309"/>
  <c r="I996" i="140"/>
  <c r="J996" s="1"/>
  <c r="L996" s="1"/>
  <c r="I933"/>
  <c r="J933" s="1"/>
  <c r="F931" i="305"/>
  <c r="G931" s="1"/>
  <c r="M661" i="306"/>
  <c r="M184"/>
  <c r="E992" i="195"/>
  <c r="F992" s="1"/>
  <c r="J992" s="1"/>
  <c r="E976"/>
  <c r="F976" s="1"/>
  <c r="J976" s="1"/>
  <c r="I1012" i="140"/>
  <c r="J1012" s="1"/>
  <c r="K1012" s="1"/>
  <c r="I968"/>
  <c r="J968" s="1"/>
  <c r="L968" s="1"/>
  <c r="I1032"/>
  <c r="J1032" s="1"/>
  <c r="K1032" s="1"/>
  <c r="E942" i="195"/>
  <c r="F942" s="1"/>
  <c r="J942" s="1"/>
  <c r="I952" i="140"/>
  <c r="J952" s="1"/>
  <c r="L952" s="1"/>
  <c r="E932" i="195"/>
  <c r="F932" s="1"/>
  <c r="J932" s="1"/>
  <c r="E931"/>
  <c r="F931" s="1"/>
  <c r="J931" s="1"/>
  <c r="E1021"/>
  <c r="F1021" s="1"/>
  <c r="J1021" s="1"/>
  <c r="E986"/>
  <c r="F986" s="1"/>
  <c r="J986" s="1"/>
  <c r="I962" i="140"/>
  <c r="J962" s="1"/>
  <c r="K962" s="1"/>
  <c r="I1041"/>
  <c r="J1041" s="1"/>
  <c r="K1041" s="1"/>
  <c r="K1056"/>
  <c r="I951"/>
  <c r="J951" s="1"/>
  <c r="K951" s="1"/>
  <c r="I1047"/>
  <c r="J1047" s="1"/>
  <c r="K1047" s="1"/>
  <c r="M169" i="306"/>
  <c r="I1047" i="309"/>
  <c r="J1047" s="1"/>
  <c r="I1006" i="140"/>
  <c r="J1006" s="1"/>
  <c r="L1006" s="1"/>
  <c r="I1041" i="309"/>
  <c r="J1041" s="1"/>
  <c r="I952"/>
  <c r="J952" s="1"/>
  <c r="I962"/>
  <c r="J962" s="1"/>
  <c r="I1012"/>
  <c r="J1012" s="1"/>
  <c r="F930" i="305"/>
  <c r="G930" s="1"/>
  <c r="F1010"/>
  <c r="G1010" s="1"/>
  <c r="F940"/>
  <c r="G940" s="1"/>
  <c r="F1019"/>
  <c r="G1019" s="1"/>
  <c r="F946"/>
  <c r="G946" s="1"/>
  <c r="K901" i="306"/>
  <c r="M901" s="1"/>
  <c r="K681"/>
  <c r="M681" s="1"/>
  <c r="K648"/>
  <c r="M648" s="1"/>
  <c r="K192"/>
  <c r="F932" i="305" s="1"/>
  <c r="G932" s="1"/>
  <c r="K689" i="306"/>
  <c r="M689" s="1"/>
  <c r="K654"/>
  <c r="M654" s="1"/>
  <c r="K921"/>
  <c r="M921" s="1"/>
  <c r="K896"/>
  <c r="E1011" i="195" s="1"/>
  <c r="F1011" s="1"/>
  <c r="J1011" s="1"/>
  <c r="K668" i="306"/>
  <c r="M668" s="1"/>
  <c r="K914"/>
  <c r="F1011" i="305" s="1"/>
  <c r="G1011" s="1"/>
  <c r="K929" i="306"/>
  <c r="M929" s="1"/>
  <c r="K24"/>
  <c r="I929" i="140" s="1"/>
  <c r="J929" s="1"/>
  <c r="K768" i="306"/>
  <c r="M768" s="1"/>
  <c r="K1004"/>
  <c r="F1024" i="305" s="1"/>
  <c r="G1024" s="1"/>
  <c r="K1016" i="306"/>
  <c r="M1016" s="1"/>
  <c r="K148"/>
  <c r="F925" i="305" s="1"/>
  <c r="G925" s="1"/>
  <c r="K636" i="306"/>
  <c r="M636" s="1"/>
  <c r="K154"/>
  <c r="I948" i="309" s="1"/>
  <c r="K642" i="306"/>
  <c r="M642" s="1"/>
  <c r="K937"/>
  <c r="I1036" i="309" s="1"/>
  <c r="K223" i="306"/>
  <c r="M223" s="1"/>
  <c r="K233"/>
  <c r="F935" i="305" s="1"/>
  <c r="G935" s="1"/>
  <c r="K33" i="306"/>
  <c r="M33" s="1"/>
  <c r="K395"/>
  <c r="M395" s="1"/>
  <c r="K416"/>
  <c r="M416" s="1"/>
  <c r="K783"/>
  <c r="F991" i="305" s="1"/>
  <c r="G991" s="1"/>
  <c r="K882" i="306"/>
  <c r="M882" s="1"/>
  <c r="K888"/>
  <c r="I1029" i="140" s="1"/>
  <c r="J1029" s="1"/>
  <c r="K251" i="306"/>
  <c r="M251" s="1"/>
  <c r="K697"/>
  <c r="I1001" i="309" s="1"/>
  <c r="K297" i="306"/>
  <c r="M297" s="1"/>
  <c r="O1063" i="309"/>
  <c r="O1057"/>
  <c r="O1064"/>
  <c r="O1060"/>
  <c r="O1054"/>
  <c r="O1062"/>
  <c r="O1059"/>
  <c r="K1063"/>
  <c r="L1063"/>
  <c r="K1057"/>
  <c r="L1057"/>
  <c r="L1064"/>
  <c r="K1064"/>
  <c r="L1060"/>
  <c r="K1060"/>
  <c r="L1054"/>
  <c r="K1054"/>
  <c r="L1062"/>
  <c r="K1062"/>
  <c r="K1059"/>
  <c r="L1059"/>
  <c r="E1056"/>
  <c r="F1056" s="1"/>
  <c r="J1056"/>
  <c r="E1055"/>
  <c r="F1055" s="1"/>
  <c r="J1055"/>
  <c r="O1134"/>
  <c r="O1146"/>
  <c r="O1120"/>
  <c r="O1071"/>
  <c r="O1074"/>
  <c r="K1071"/>
  <c r="L1071"/>
  <c r="L1074"/>
  <c r="K1074"/>
  <c r="J1053"/>
  <c r="E1053"/>
  <c r="F1053" s="1"/>
  <c r="J933"/>
  <c r="E933"/>
  <c r="F933" s="1"/>
  <c r="J1049"/>
  <c r="E1049"/>
  <c r="F1049" s="1"/>
  <c r="J1050"/>
  <c r="E1050"/>
  <c r="F1050" s="1"/>
  <c r="O974"/>
  <c r="O1017"/>
  <c r="O1052"/>
  <c r="O982"/>
  <c r="O1075"/>
  <c r="O1016"/>
  <c r="O1051"/>
  <c r="O972"/>
  <c r="O973"/>
  <c r="O975"/>
  <c r="L974"/>
  <c r="K974"/>
  <c r="L1017"/>
  <c r="K1017"/>
  <c r="L1052"/>
  <c r="K1052"/>
  <c r="L982"/>
  <c r="K982"/>
  <c r="K1075"/>
  <c r="L1075"/>
  <c r="L1016"/>
  <c r="K1016"/>
  <c r="K1051"/>
  <c r="L1051"/>
  <c r="L972"/>
  <c r="K972"/>
  <c r="L973"/>
  <c r="K973"/>
  <c r="L975"/>
  <c r="K975"/>
  <c r="J1018"/>
  <c r="E1018"/>
  <c r="F1018" s="1"/>
  <c r="J1014"/>
  <c r="E1014"/>
  <c r="F1014" s="1"/>
  <c r="J1015"/>
  <c r="E1015"/>
  <c r="F1015" s="1"/>
  <c r="J1072"/>
  <c r="E1072"/>
  <c r="F1072" s="1"/>
  <c r="L1120"/>
  <c r="K1120"/>
  <c r="O1128"/>
  <c r="K1128"/>
  <c r="L1128"/>
  <c r="K1134"/>
  <c r="L1134"/>
  <c r="K1146"/>
  <c r="L1146"/>
  <c r="O1139"/>
  <c r="L1139"/>
  <c r="K1139"/>
  <c r="M896" i="306"/>
  <c r="I1035" i="309"/>
  <c r="M1004" i="306"/>
  <c r="J968" i="309"/>
  <c r="E968"/>
  <c r="F968" s="1"/>
  <c r="J951"/>
  <c r="E951"/>
  <c r="F951" s="1"/>
  <c r="J1032"/>
  <c r="E1032"/>
  <c r="F1032" s="1"/>
  <c r="J996"/>
  <c r="E996"/>
  <c r="F996" s="1"/>
  <c r="J953"/>
  <c r="E953"/>
  <c r="F953" s="1"/>
  <c r="J1006"/>
  <c r="E1006"/>
  <c r="F1006" s="1"/>
  <c r="G523" i="270"/>
  <c r="F525" s="1"/>
  <c r="F1007" i="305"/>
  <c r="G1007" s="1"/>
  <c r="O1056" i="140"/>
  <c r="E1009" i="195"/>
  <c r="F1009" s="1"/>
  <c r="J1009" s="1"/>
  <c r="K1055" i="140"/>
  <c r="L1055"/>
  <c r="O1055"/>
  <c r="K996"/>
  <c r="L1012"/>
  <c r="K933"/>
  <c r="L933"/>
  <c r="O933"/>
  <c r="K1014"/>
  <c r="L1014"/>
  <c r="O1014"/>
  <c r="K1072"/>
  <c r="L1072"/>
  <c r="O1072"/>
  <c r="L1053"/>
  <c r="K1053"/>
  <c r="O1053"/>
  <c r="K1015"/>
  <c r="L1015"/>
  <c r="O1015"/>
  <c r="K1050"/>
  <c r="L1050"/>
  <c r="O1050"/>
  <c r="L953"/>
  <c r="O1018"/>
  <c r="K1018"/>
  <c r="L1018"/>
  <c r="K1049"/>
  <c r="L1049"/>
  <c r="O1049"/>
  <c r="G675" i="270"/>
  <c r="G677" s="1"/>
  <c r="G678" s="1"/>
  <c r="E675"/>
  <c r="E677" s="1"/>
  <c r="E678" s="1"/>
  <c r="F675"/>
  <c r="F677" s="1"/>
  <c r="F678" s="1"/>
  <c r="E525"/>
  <c r="E529" s="1"/>
  <c r="E530" s="1"/>
  <c r="G628"/>
  <c r="F629"/>
  <c r="G629" s="1"/>
  <c r="E22" i="269"/>
  <c r="F22" s="1"/>
  <c r="L22" s="1"/>
  <c r="F585" i="270" s="1"/>
  <c r="F20" i="269"/>
  <c r="L20" s="1"/>
  <c r="E34" i="270" s="1"/>
  <c r="F34" s="1"/>
  <c r="F35" s="1"/>
  <c r="E21" i="269"/>
  <c r="F21" s="1"/>
  <c r="L21" s="1"/>
  <c r="F352" i="270" s="1"/>
  <c r="G352" s="1"/>
  <c r="G357" s="1"/>
  <c r="F509"/>
  <c r="F510" s="1"/>
  <c r="G505"/>
  <c r="G509" s="1"/>
  <c r="G510" s="1"/>
  <c r="G646"/>
  <c r="F647"/>
  <c r="G647" s="1"/>
  <c r="F537"/>
  <c r="G537" s="1"/>
  <c r="G544" s="1"/>
  <c r="H49" i="264"/>
  <c r="O953" i="140" l="1"/>
  <c r="O996"/>
  <c r="M24" i="306"/>
  <c r="I1033" i="309"/>
  <c r="E1033" s="1"/>
  <c r="F1033" s="1"/>
  <c r="E909" i="195"/>
  <c r="F909" s="1"/>
  <c r="J909" s="1"/>
  <c r="I929" i="309"/>
  <c r="E929" s="1"/>
  <c r="F929" s="1"/>
  <c r="I1031"/>
  <c r="O952" i="140"/>
  <c r="O1012"/>
  <c r="K952"/>
  <c r="K1006"/>
  <c r="I1029" i="309"/>
  <c r="E1029" s="1"/>
  <c r="F1029" s="1"/>
  <c r="O1047" i="140"/>
  <c r="L1047"/>
  <c r="I954"/>
  <c r="J954" s="1"/>
  <c r="K954" s="1"/>
  <c r="F1009" i="305"/>
  <c r="G1009" s="1"/>
  <c r="E1041" i="309"/>
  <c r="F1041" s="1"/>
  <c r="K1041" s="1"/>
  <c r="I954"/>
  <c r="J954" s="1"/>
  <c r="I1031" i="140"/>
  <c r="J1031" s="1"/>
  <c r="L1031" s="1"/>
  <c r="M937" i="306"/>
  <c r="E1016" i="195"/>
  <c r="F1016" s="1"/>
  <c r="J1016" s="1"/>
  <c r="O962" i="140"/>
  <c r="K968"/>
  <c r="I947"/>
  <c r="J947" s="1"/>
  <c r="K947" s="1"/>
  <c r="M888" i="306"/>
  <c r="I947" i="309"/>
  <c r="E947" s="1"/>
  <c r="F947" s="1"/>
  <c r="L962" i="140"/>
  <c r="I993"/>
  <c r="J993" s="1"/>
  <c r="O993" s="1"/>
  <c r="O968"/>
  <c r="E947" i="195"/>
  <c r="F947" s="1"/>
  <c r="J947" s="1"/>
  <c r="F907" i="305"/>
  <c r="G907" s="1"/>
  <c r="I930" i="309"/>
  <c r="J930" s="1"/>
  <c r="I1036" i="140"/>
  <c r="J1036" s="1"/>
  <c r="O1036" s="1"/>
  <c r="E927" i="195"/>
  <c r="F927" s="1"/>
  <c r="J927" s="1"/>
  <c r="E934"/>
  <c r="F934" s="1"/>
  <c r="J934" s="1"/>
  <c r="F1014" i="305"/>
  <c r="G1014" s="1"/>
  <c r="F945"/>
  <c r="G945" s="1"/>
  <c r="I967" i="309"/>
  <c r="J967" s="1"/>
  <c r="M192" i="306"/>
  <c r="M148"/>
  <c r="O1032" i="140"/>
  <c r="I958"/>
  <c r="J958" s="1"/>
  <c r="L958" s="1"/>
  <c r="O1041"/>
  <c r="I967"/>
  <c r="J967" s="1"/>
  <c r="O967" s="1"/>
  <c r="E977" i="195"/>
  <c r="F977" s="1"/>
  <c r="J977" s="1"/>
  <c r="F947" i="305"/>
  <c r="G947" s="1"/>
  <c r="E972" i="195"/>
  <c r="F972" s="1"/>
  <c r="J972" s="1"/>
  <c r="L1032" i="140"/>
  <c r="I1046"/>
  <c r="J1046" s="1"/>
  <c r="O1046" s="1"/>
  <c r="L1041"/>
  <c r="M154" i="306"/>
  <c r="I1001" i="140"/>
  <c r="J1001" s="1"/>
  <c r="K1001" s="1"/>
  <c r="E991" i="195"/>
  <c r="F991" s="1"/>
  <c r="J991" s="1"/>
  <c r="I994" i="140"/>
  <c r="J994" s="1"/>
  <c r="O994" s="1"/>
  <c r="E962" i="309"/>
  <c r="F962" s="1"/>
  <c r="K962" s="1"/>
  <c r="E980" i="195"/>
  <c r="F980" s="1"/>
  <c r="J980" s="1"/>
  <c r="I956" i="140"/>
  <c r="J956" s="1"/>
  <c r="O956" s="1"/>
  <c r="F975" i="305"/>
  <c r="G975" s="1"/>
  <c r="I1013" i="309"/>
  <c r="J1013" s="1"/>
  <c r="F972" i="305"/>
  <c r="G972" s="1"/>
  <c r="E928" i="195"/>
  <c r="F928" s="1"/>
  <c r="J928" s="1"/>
  <c r="E1013"/>
  <c r="F1013" s="1"/>
  <c r="J1013" s="1"/>
  <c r="E949"/>
  <c r="F949" s="1"/>
  <c r="J949" s="1"/>
  <c r="E937"/>
  <c r="F937" s="1"/>
  <c r="J937" s="1"/>
  <c r="I1030" i="140"/>
  <c r="J1030" s="1"/>
  <c r="O1030" s="1"/>
  <c r="F926" i="305"/>
  <c r="G926" s="1"/>
  <c r="F936"/>
  <c r="G936" s="1"/>
  <c r="M697" i="306"/>
  <c r="M783"/>
  <c r="I957" i="309"/>
  <c r="J957" s="1"/>
  <c r="I1046"/>
  <c r="J1046" s="1"/>
  <c r="O951" i="140"/>
  <c r="E975" i="195"/>
  <c r="F975" s="1"/>
  <c r="J975" s="1"/>
  <c r="F973" i="305"/>
  <c r="G973" s="1"/>
  <c r="E981" i="195"/>
  <c r="F981" s="1"/>
  <c r="J981" s="1"/>
  <c r="I948" i="140"/>
  <c r="J948" s="1"/>
  <c r="O948" s="1"/>
  <c r="O1006"/>
  <c r="L951"/>
  <c r="I1013"/>
  <c r="J1013" s="1"/>
  <c r="K1013" s="1"/>
  <c r="I957"/>
  <c r="J957" s="1"/>
  <c r="O957" s="1"/>
  <c r="I999"/>
  <c r="J999" s="1"/>
  <c r="K999" s="1"/>
  <c r="E1008" i="195"/>
  <c r="F1008" s="1"/>
  <c r="J1008" s="1"/>
  <c r="E974"/>
  <c r="F974" s="1"/>
  <c r="J974" s="1"/>
  <c r="F937" i="305"/>
  <c r="G937" s="1"/>
  <c r="F1006"/>
  <c r="G1006" s="1"/>
  <c r="F908"/>
  <c r="G908" s="1"/>
  <c r="F977"/>
  <c r="G977" s="1"/>
  <c r="E1047" i="309"/>
  <c r="F1047" s="1"/>
  <c r="K1047" s="1"/>
  <c r="I959"/>
  <c r="E959" s="1"/>
  <c r="F959" s="1"/>
  <c r="M233" i="306"/>
  <c r="I999" i="309"/>
  <c r="J999" s="1"/>
  <c r="I993"/>
  <c r="E993" s="1"/>
  <c r="F993" s="1"/>
  <c r="M914" i="306"/>
  <c r="I994" i="309"/>
  <c r="J994" s="1"/>
  <c r="E1014" i="195"/>
  <c r="F1014" s="1"/>
  <c r="J1014" s="1"/>
  <c r="E1015"/>
  <c r="F1015" s="1"/>
  <c r="J1015" s="1"/>
  <c r="I995" i="309"/>
  <c r="J995" s="1"/>
  <c r="I1034"/>
  <c r="J1034" s="1"/>
  <c r="E1026" i="195"/>
  <c r="F1026" s="1"/>
  <c r="J1026" s="1"/>
  <c r="I1033" i="140"/>
  <c r="J1033" s="1"/>
  <c r="K1033" s="1"/>
  <c r="E993" i="195"/>
  <c r="F993" s="1"/>
  <c r="J993" s="1"/>
  <c r="E910"/>
  <c r="F910" s="1"/>
  <c r="J910" s="1"/>
  <c r="E979"/>
  <c r="F979" s="1"/>
  <c r="J979" s="1"/>
  <c r="E1028"/>
  <c r="F1028" s="1"/>
  <c r="J1028" s="1"/>
  <c r="F979" i="305"/>
  <c r="G979" s="1"/>
  <c r="E1012" i="309"/>
  <c r="F1012" s="1"/>
  <c r="K1012" s="1"/>
  <c r="I1028"/>
  <c r="J1028" s="1"/>
  <c r="I1048"/>
  <c r="J1048" s="1"/>
  <c r="E952"/>
  <c r="F952" s="1"/>
  <c r="O952" s="1"/>
  <c r="F934" i="305"/>
  <c r="G934" s="1"/>
  <c r="I958" i="309"/>
  <c r="E958" s="1"/>
  <c r="F958" s="1"/>
  <c r="I969"/>
  <c r="E969" s="1"/>
  <c r="F969" s="1"/>
  <c r="I1000"/>
  <c r="E1000" s="1"/>
  <c r="F1000" s="1"/>
  <c r="I956"/>
  <c r="E956" s="1"/>
  <c r="F956" s="1"/>
  <c r="I992"/>
  <c r="E992" s="1"/>
  <c r="F992" s="1"/>
  <c r="I1011"/>
  <c r="J1011" s="1"/>
  <c r="I997"/>
  <c r="E997" s="1"/>
  <c r="F997" s="1"/>
  <c r="I1030"/>
  <c r="J1030" s="1"/>
  <c r="E938" i="195"/>
  <c r="F938" s="1"/>
  <c r="J938" s="1"/>
  <c r="E973"/>
  <c r="F973" s="1"/>
  <c r="J973" s="1"/>
  <c r="I1034" i="140"/>
  <c r="J1034" s="1"/>
  <c r="L1034" s="1"/>
  <c r="I992"/>
  <c r="J992" s="1"/>
  <c r="O992" s="1"/>
  <c r="I969"/>
  <c r="J969" s="1"/>
  <c r="K969" s="1"/>
  <c r="I930"/>
  <c r="J930" s="1"/>
  <c r="L930" s="1"/>
  <c r="I1000"/>
  <c r="J1000" s="1"/>
  <c r="L1000" s="1"/>
  <c r="I995"/>
  <c r="J995" s="1"/>
  <c r="K995" s="1"/>
  <c r="E936" i="195"/>
  <c r="F936" s="1"/>
  <c r="J936" s="1"/>
  <c r="E1010"/>
  <c r="F1010" s="1"/>
  <c r="J1010" s="1"/>
  <c r="I1028" i="140"/>
  <c r="J1028" s="1"/>
  <c r="K1028" s="1"/>
  <c r="I1048"/>
  <c r="J1048" s="1"/>
  <c r="K1048" s="1"/>
  <c r="I1011"/>
  <c r="J1011" s="1"/>
  <c r="L1011" s="1"/>
  <c r="I1035"/>
  <c r="J1035" s="1"/>
  <c r="K1035" s="1"/>
  <c r="I997"/>
  <c r="J997" s="1"/>
  <c r="K997" s="1"/>
  <c r="F971" i="305"/>
  <c r="G971" s="1"/>
  <c r="F970"/>
  <c r="G970" s="1"/>
  <c r="F1026"/>
  <c r="G1026" s="1"/>
  <c r="F989"/>
  <c r="G989" s="1"/>
  <c r="F1013"/>
  <c r="G1013" s="1"/>
  <c r="F1012"/>
  <c r="G1012" s="1"/>
  <c r="F978"/>
  <c r="G978" s="1"/>
  <c r="F1008"/>
  <c r="G1008" s="1"/>
  <c r="K304" i="306"/>
  <c r="I960" i="309" s="1"/>
  <c r="K725" i="306"/>
  <c r="I1005" i="309" s="1"/>
  <c r="K944" i="306"/>
  <c r="M944" s="1"/>
  <c r="K161"/>
  <c r="M161" s="1"/>
  <c r="K338"/>
  <c r="M338" s="1"/>
  <c r="K704"/>
  <c r="M704" s="1"/>
  <c r="K962"/>
  <c r="I1040" i="309" s="1"/>
  <c r="M1572" i="306"/>
  <c r="J1151" i="140" s="1"/>
  <c r="O1012" i="309"/>
  <c r="O1006"/>
  <c r="O953"/>
  <c r="O996"/>
  <c r="O1072"/>
  <c r="O1015"/>
  <c r="O1014"/>
  <c r="O1018"/>
  <c r="O1050"/>
  <c r="O933"/>
  <c r="O1053"/>
  <c r="O1055"/>
  <c r="O1056"/>
  <c r="K1055"/>
  <c r="L1055"/>
  <c r="L1056"/>
  <c r="K1056"/>
  <c r="O1049"/>
  <c r="L1072"/>
  <c r="K1072"/>
  <c r="L1015"/>
  <c r="K1015"/>
  <c r="L1014"/>
  <c r="K1014"/>
  <c r="L1018"/>
  <c r="K1018"/>
  <c r="L1050"/>
  <c r="K1050"/>
  <c r="K1049"/>
  <c r="L1049"/>
  <c r="L933"/>
  <c r="K933"/>
  <c r="K1053"/>
  <c r="L1053"/>
  <c r="I961"/>
  <c r="K1006"/>
  <c r="L1006"/>
  <c r="L953"/>
  <c r="K953"/>
  <c r="K996"/>
  <c r="L996"/>
  <c r="L1032"/>
  <c r="K1032"/>
  <c r="L951"/>
  <c r="K951"/>
  <c r="L968"/>
  <c r="K968"/>
  <c r="G635" i="270"/>
  <c r="G637" s="1"/>
  <c r="G639" s="1"/>
  <c r="G640" s="1"/>
  <c r="J1001" i="309"/>
  <c r="E1001"/>
  <c r="F1001" s="1"/>
  <c r="J1029"/>
  <c r="E1013"/>
  <c r="F1013" s="1"/>
  <c r="E954"/>
  <c r="F954" s="1"/>
  <c r="J1036"/>
  <c r="E1036"/>
  <c r="F1036" s="1"/>
  <c r="J948"/>
  <c r="E948"/>
  <c r="F948" s="1"/>
  <c r="J1035"/>
  <c r="E1035"/>
  <c r="F1035" s="1"/>
  <c r="J1033"/>
  <c r="J1031"/>
  <c r="E1031"/>
  <c r="F1031" s="1"/>
  <c r="O1032"/>
  <c r="O951"/>
  <c r="O968"/>
  <c r="E939" i="195"/>
  <c r="F939" s="1"/>
  <c r="J939" s="1"/>
  <c r="I959" i="140"/>
  <c r="J959" s="1"/>
  <c r="K929"/>
  <c r="L929"/>
  <c r="O929"/>
  <c r="K1031"/>
  <c r="K1029"/>
  <c r="L1029"/>
  <c r="O1029"/>
  <c r="L954"/>
  <c r="F225" i="270"/>
  <c r="G225" s="1"/>
  <c r="G235" s="1"/>
  <c r="F162"/>
  <c r="F105"/>
  <c r="F768"/>
  <c r="G768" s="1"/>
  <c r="G775" s="1"/>
  <c r="G653"/>
  <c r="F546"/>
  <c r="F550" s="1"/>
  <c r="F551" s="1"/>
  <c r="E546"/>
  <c r="E550" s="1"/>
  <c r="E551" s="1"/>
  <c r="F604"/>
  <c r="G604" s="1"/>
  <c r="G614" s="1"/>
  <c r="G585"/>
  <c r="G595" s="1"/>
  <c r="F529"/>
  <c r="F530" s="1"/>
  <c r="G525"/>
  <c r="G529" s="1"/>
  <c r="G530" s="1"/>
  <c r="J929" i="309" l="1"/>
  <c r="J947"/>
  <c r="K947" s="1"/>
  <c r="E930"/>
  <c r="F930" s="1"/>
  <c r="K930" s="1"/>
  <c r="I950"/>
  <c r="E950" s="1"/>
  <c r="F950" s="1"/>
  <c r="O947" i="140"/>
  <c r="O954"/>
  <c r="O1031"/>
  <c r="L993"/>
  <c r="L1041" i="309"/>
  <c r="O1041"/>
  <c r="K993" i="140"/>
  <c r="L962" i="309"/>
  <c r="O958" i="140"/>
  <c r="E967" i="309"/>
  <c r="F967" s="1"/>
  <c r="O967" s="1"/>
  <c r="K958" i="140"/>
  <c r="L1036"/>
  <c r="L956"/>
  <c r="K1036"/>
  <c r="L1030"/>
  <c r="O999"/>
  <c r="E995" i="309"/>
  <c r="F995" s="1"/>
  <c r="L995" s="1"/>
  <c r="J959"/>
  <c r="O959" s="1"/>
  <c r="K952"/>
  <c r="L947" i="140"/>
  <c r="L1046"/>
  <c r="K1030"/>
  <c r="L999"/>
  <c r="K1046"/>
  <c r="K956"/>
  <c r="K967"/>
  <c r="L1033"/>
  <c r="L967"/>
  <c r="O1001"/>
  <c r="F1015" i="305"/>
  <c r="G1015" s="1"/>
  <c r="E1011" i="309"/>
  <c r="F1011" s="1"/>
  <c r="O1011" s="1"/>
  <c r="M725" i="306"/>
  <c r="O962" i="309"/>
  <c r="I1037"/>
  <c r="J1037" s="1"/>
  <c r="K948" i="140"/>
  <c r="L957"/>
  <c r="E1017" i="195"/>
  <c r="F1017" s="1"/>
  <c r="J1017" s="1"/>
  <c r="O1033" i="140"/>
  <c r="K957"/>
  <c r="L1001"/>
  <c r="E1048" i="309"/>
  <c r="F1048" s="1"/>
  <c r="K1048" s="1"/>
  <c r="O1047"/>
  <c r="E1020" i="195"/>
  <c r="F1020" s="1"/>
  <c r="J1020" s="1"/>
  <c r="L1047" i="309"/>
  <c r="L948" i="140"/>
  <c r="I1040"/>
  <c r="J1040" s="1"/>
  <c r="K1040" s="1"/>
  <c r="F1018" i="305"/>
  <c r="G1018" s="1"/>
  <c r="J993" i="309"/>
  <c r="O993" s="1"/>
  <c r="K994" i="140"/>
  <c r="I1037"/>
  <c r="J1037" s="1"/>
  <c r="L1037" s="1"/>
  <c r="F939" i="305"/>
  <c r="G939" s="1"/>
  <c r="J956" i="309"/>
  <c r="L956" s="1"/>
  <c r="E1046"/>
  <c r="F1046" s="1"/>
  <c r="O1046" s="1"/>
  <c r="J958"/>
  <c r="K958" s="1"/>
  <c r="L995" i="140"/>
  <c r="L994"/>
  <c r="E1034" i="309"/>
  <c r="F1034" s="1"/>
  <c r="L1034" s="1"/>
  <c r="E1028"/>
  <c r="F1028" s="1"/>
  <c r="K1028" s="1"/>
  <c r="K992" i="140"/>
  <c r="O995"/>
  <c r="E957" i="309"/>
  <c r="F957" s="1"/>
  <c r="O957" s="1"/>
  <c r="O1048" i="140"/>
  <c r="K1034"/>
  <c r="E940" i="195"/>
  <c r="F940" s="1"/>
  <c r="J940" s="1"/>
  <c r="E1030" i="309"/>
  <c r="F1030" s="1"/>
  <c r="L1030" s="1"/>
  <c r="L952"/>
  <c r="E941" i="195"/>
  <c r="F941" s="1"/>
  <c r="J941" s="1"/>
  <c r="M304" i="306"/>
  <c r="L1048" i="140"/>
  <c r="L992"/>
  <c r="L1012" i="309"/>
  <c r="O1013" i="140"/>
  <c r="J992" i="309"/>
  <c r="O992" s="1"/>
  <c r="L1013" i="140"/>
  <c r="E985" i="195"/>
  <c r="F985" s="1"/>
  <c r="J985" s="1"/>
  <c r="I960" i="140"/>
  <c r="J960" s="1"/>
  <c r="K960" s="1"/>
  <c r="E994" i="309"/>
  <c r="F994" s="1"/>
  <c r="K994" s="1"/>
  <c r="E999"/>
  <c r="F999" s="1"/>
  <c r="L999" s="1"/>
  <c r="K1011" i="140"/>
  <c r="L969"/>
  <c r="I961"/>
  <c r="J961" s="1"/>
  <c r="K961" s="1"/>
  <c r="E982" i="195"/>
  <c r="F982" s="1"/>
  <c r="J982" s="1"/>
  <c r="F938" i="305"/>
  <c r="G938" s="1"/>
  <c r="K930" i="140"/>
  <c r="L1035"/>
  <c r="J969" i="309"/>
  <c r="L969" s="1"/>
  <c r="O1035" i="140"/>
  <c r="O1011"/>
  <c r="E637" i="270"/>
  <c r="E639" s="1"/>
  <c r="E640" s="1"/>
  <c r="K376" i="306" s="1"/>
  <c r="I965" i="309" s="1"/>
  <c r="L1028" i="140"/>
  <c r="J997" i="309"/>
  <c r="K997" s="1"/>
  <c r="J1000"/>
  <c r="L1000" s="1"/>
  <c r="O1034" i="140"/>
  <c r="L997"/>
  <c r="O1000"/>
  <c r="K1000"/>
  <c r="O997"/>
  <c r="O1028"/>
  <c r="O969"/>
  <c r="E930" i="195"/>
  <c r="F930" s="1"/>
  <c r="J930" s="1"/>
  <c r="O930" i="140"/>
  <c r="M962" i="306"/>
  <c r="I1005" i="140"/>
  <c r="J1005" s="1"/>
  <c r="L1005" s="1"/>
  <c r="I950"/>
  <c r="J950" s="1"/>
  <c r="L950" s="1"/>
  <c r="I1002"/>
  <c r="J1002" s="1"/>
  <c r="L1002" s="1"/>
  <c r="F928" i="305"/>
  <c r="G928" s="1"/>
  <c r="F983"/>
  <c r="G983" s="1"/>
  <c r="F980"/>
  <c r="G980" s="1"/>
  <c r="I1002" i="309"/>
  <c r="J1002" s="1"/>
  <c r="F1151"/>
  <c r="J1151" s="1"/>
  <c r="O1151" s="1"/>
  <c r="K711" i="306"/>
  <c r="M711" s="1"/>
  <c r="K951"/>
  <c r="M951" s="1"/>
  <c r="K199"/>
  <c r="M199" s="1"/>
  <c r="K674"/>
  <c r="M674" s="1"/>
  <c r="K990"/>
  <c r="M990" s="1"/>
  <c r="O1151" i="140"/>
  <c r="K1151"/>
  <c r="L1151"/>
  <c r="O1031" i="309"/>
  <c r="O1033"/>
  <c r="O1035"/>
  <c r="O947"/>
  <c r="O948"/>
  <c r="O1036"/>
  <c r="O954"/>
  <c r="F637" i="270"/>
  <c r="F639" s="1"/>
  <c r="F640" s="1"/>
  <c r="O930" i="309"/>
  <c r="O1013"/>
  <c r="O1029"/>
  <c r="O1001"/>
  <c r="O929"/>
  <c r="J1040"/>
  <c r="E1040"/>
  <c r="F1040" s="1"/>
  <c r="J960"/>
  <c r="E960"/>
  <c r="F960" s="1"/>
  <c r="L1031"/>
  <c r="K1031"/>
  <c r="L1033"/>
  <c r="K1033"/>
  <c r="L1035"/>
  <c r="K1035"/>
  <c r="L929"/>
  <c r="K929"/>
  <c r="L947"/>
  <c r="L948"/>
  <c r="K948"/>
  <c r="L1036"/>
  <c r="K1036"/>
  <c r="L954"/>
  <c r="K954"/>
  <c r="L1013"/>
  <c r="K1013"/>
  <c r="L1029"/>
  <c r="K1029"/>
  <c r="L1001"/>
  <c r="K1001"/>
  <c r="J961"/>
  <c r="E961"/>
  <c r="F961" s="1"/>
  <c r="J1005"/>
  <c r="E1005"/>
  <c r="F1005" s="1"/>
  <c r="K959" i="140"/>
  <c r="L959"/>
  <c r="O959"/>
  <c r="F616" i="270"/>
  <c r="F618" s="1"/>
  <c r="F619" s="1"/>
  <c r="G616"/>
  <c r="G618" s="1"/>
  <c r="G619" s="1"/>
  <c r="E616"/>
  <c r="E618" s="1"/>
  <c r="E619" s="1"/>
  <c r="F597"/>
  <c r="F599" s="1"/>
  <c r="F600" s="1"/>
  <c r="G597"/>
  <c r="G599" s="1"/>
  <c r="G600" s="1"/>
  <c r="E597"/>
  <c r="E599" s="1"/>
  <c r="E600" s="1"/>
  <c r="G777"/>
  <c r="G779" s="1"/>
  <c r="G780" s="1"/>
  <c r="E777"/>
  <c r="E779" s="1"/>
  <c r="E780" s="1"/>
  <c r="F777"/>
  <c r="F779" s="1"/>
  <c r="F780" s="1"/>
  <c r="F253"/>
  <c r="G253" s="1"/>
  <c r="G263" s="1"/>
  <c r="G162"/>
  <c r="G173" s="1"/>
  <c r="G655"/>
  <c r="G657" s="1"/>
  <c r="G658" s="1"/>
  <c r="E655"/>
  <c r="E657" s="1"/>
  <c r="E658" s="1"/>
  <c r="F655"/>
  <c r="F657" s="1"/>
  <c r="F658" s="1"/>
  <c r="F135"/>
  <c r="G135" s="1"/>
  <c r="G146" s="1"/>
  <c r="G105"/>
  <c r="G116" s="1"/>
  <c r="G237"/>
  <c r="G238" s="1"/>
  <c r="G242" s="1"/>
  <c r="E237"/>
  <c r="E238" s="1"/>
  <c r="E242" s="1"/>
  <c r="E244"/>
  <c r="F237"/>
  <c r="F238" s="1"/>
  <c r="F242" s="1"/>
  <c r="J950" i="309" l="1"/>
  <c r="L930"/>
  <c r="K1046"/>
  <c r="K967"/>
  <c r="K959"/>
  <c r="O1040" i="140"/>
  <c r="L959" i="309"/>
  <c r="L967"/>
  <c r="O999"/>
  <c r="K1037" i="140"/>
  <c r="E1037" i="309"/>
  <c r="F1037" s="1"/>
  <c r="K1037" s="1"/>
  <c r="O995"/>
  <c r="L1028"/>
  <c r="O1028"/>
  <c r="L958"/>
  <c r="K1011"/>
  <c r="K995"/>
  <c r="K993"/>
  <c r="O1048"/>
  <c r="L993"/>
  <c r="L961" i="140"/>
  <c r="K957" i="309"/>
  <c r="L1046"/>
  <c r="O1034"/>
  <c r="L1048"/>
  <c r="E1018" i="195"/>
  <c r="F1018" s="1"/>
  <c r="J1018" s="1"/>
  <c r="L994" i="309"/>
  <c r="F976" i="305"/>
  <c r="G976" s="1"/>
  <c r="L1011" i="309"/>
  <c r="O1037" i="140"/>
  <c r="L1040"/>
  <c r="F933" i="305"/>
  <c r="G933" s="1"/>
  <c r="O958" i="309"/>
  <c r="O969"/>
  <c r="O956"/>
  <c r="K956"/>
  <c r="O960" i="140"/>
  <c r="L960"/>
  <c r="L997" i="309"/>
  <c r="O997"/>
  <c r="K1034"/>
  <c r="O1030"/>
  <c r="O961" i="140"/>
  <c r="L957" i="309"/>
  <c r="K1030"/>
  <c r="O994"/>
  <c r="L992"/>
  <c r="O1002" i="140"/>
  <c r="K1000" i="309"/>
  <c r="K992"/>
  <c r="K969"/>
  <c r="K999"/>
  <c r="K1005" i="140"/>
  <c r="I1044"/>
  <c r="J1044" s="1"/>
  <c r="K1044" s="1"/>
  <c r="O1000" i="309"/>
  <c r="F1022" i="305"/>
  <c r="G1022" s="1"/>
  <c r="M376" i="306"/>
  <c r="E945" i="195"/>
  <c r="F945" s="1"/>
  <c r="J945" s="1"/>
  <c r="I1003" i="309"/>
  <c r="E1003" s="1"/>
  <c r="F1003" s="1"/>
  <c r="I955" i="140"/>
  <c r="J955" s="1"/>
  <c r="O955" s="1"/>
  <c r="K950"/>
  <c r="I1003"/>
  <c r="J1003" s="1"/>
  <c r="K1003" s="1"/>
  <c r="K1002"/>
  <c r="O1005"/>
  <c r="E978" i="195"/>
  <c r="F978" s="1"/>
  <c r="J978" s="1"/>
  <c r="I1038" i="309"/>
  <c r="E1038" s="1"/>
  <c r="F1038" s="1"/>
  <c r="E1002"/>
  <c r="F1002" s="1"/>
  <c r="K1002" s="1"/>
  <c r="I1044"/>
  <c r="J1044" s="1"/>
  <c r="I955"/>
  <c r="E955" s="1"/>
  <c r="F955" s="1"/>
  <c r="E983" i="195"/>
  <c r="F983" s="1"/>
  <c r="J983" s="1"/>
  <c r="I998" i="140"/>
  <c r="J998" s="1"/>
  <c r="L998" s="1"/>
  <c r="I1038"/>
  <c r="J1038" s="1"/>
  <c r="L1038" s="1"/>
  <c r="F981" i="305"/>
  <c r="G981" s="1"/>
  <c r="F1016"/>
  <c r="G1016" s="1"/>
  <c r="I998" i="309"/>
  <c r="E998" s="1"/>
  <c r="F998" s="1"/>
  <c r="O950" i="140"/>
  <c r="I965"/>
  <c r="J965" s="1"/>
  <c r="L965" s="1"/>
  <c r="E1024" i="195"/>
  <c r="F1024" s="1"/>
  <c r="J1024" s="1"/>
  <c r="E935"/>
  <c r="F935" s="1"/>
  <c r="J935" s="1"/>
  <c r="F943" i="305"/>
  <c r="G943" s="1"/>
  <c r="K612" i="306"/>
  <c r="M612" s="1"/>
  <c r="K120"/>
  <c r="I943" i="309" s="1"/>
  <c r="K761" i="306"/>
  <c r="M761" s="1"/>
  <c r="K997"/>
  <c r="I1045" i="309" s="1"/>
  <c r="K430" i="306"/>
  <c r="M430" s="1"/>
  <c r="K361"/>
  <c r="M361" s="1"/>
  <c r="K739"/>
  <c r="M739" s="1"/>
  <c r="K983"/>
  <c r="M983" s="1"/>
  <c r="K754"/>
  <c r="I1009" i="140" s="1"/>
  <c r="J1009" s="1"/>
  <c r="L1009" s="1"/>
  <c r="K859" i="306"/>
  <c r="I1024" i="309" s="1"/>
  <c r="K383" i="306"/>
  <c r="M383" s="1"/>
  <c r="K976"/>
  <c r="M976" s="1"/>
  <c r="K369"/>
  <c r="M369" s="1"/>
  <c r="K746"/>
  <c r="I1008" i="309" s="1"/>
  <c r="L1151"/>
  <c r="K1151"/>
  <c r="L1005"/>
  <c r="K1005"/>
  <c r="L1037"/>
  <c r="L950"/>
  <c r="K950"/>
  <c r="L961"/>
  <c r="K961"/>
  <c r="L960"/>
  <c r="K960"/>
  <c r="L1040"/>
  <c r="K1040"/>
  <c r="J965"/>
  <c r="E965"/>
  <c r="F965" s="1"/>
  <c r="O1005"/>
  <c r="O950"/>
  <c r="O961"/>
  <c r="O960"/>
  <c r="O1040"/>
  <c r="E245" i="270"/>
  <c r="E249" s="1"/>
  <c r="F244"/>
  <c r="G154"/>
  <c r="G158" s="1"/>
  <c r="E154"/>
  <c r="E158" s="1"/>
  <c r="G148"/>
  <c r="G152" s="1"/>
  <c r="E148"/>
  <c r="E152" s="1"/>
  <c r="F154"/>
  <c r="F158" s="1"/>
  <c r="F148"/>
  <c r="F152" s="1"/>
  <c r="E208"/>
  <c r="F201"/>
  <c r="F202" s="1"/>
  <c r="F206" s="1"/>
  <c r="G195"/>
  <c r="G196" s="1"/>
  <c r="G200" s="1"/>
  <c r="E195"/>
  <c r="E196" s="1"/>
  <c r="E200" s="1"/>
  <c r="F188"/>
  <c r="F189" s="1"/>
  <c r="F193" s="1"/>
  <c r="G181"/>
  <c r="G182" s="1"/>
  <c r="G186" s="1"/>
  <c r="E181"/>
  <c r="E182" s="1"/>
  <c r="E186" s="1"/>
  <c r="G175"/>
  <c r="G179" s="1"/>
  <c r="E175"/>
  <c r="E179" s="1"/>
  <c r="G201"/>
  <c r="G202" s="1"/>
  <c r="G206" s="1"/>
  <c r="E201"/>
  <c r="E202" s="1"/>
  <c r="E206" s="1"/>
  <c r="F195"/>
  <c r="F196" s="1"/>
  <c r="F200" s="1"/>
  <c r="G188"/>
  <c r="G189" s="1"/>
  <c r="G193" s="1"/>
  <c r="E188"/>
  <c r="E189" s="1"/>
  <c r="E193" s="1"/>
  <c r="F181"/>
  <c r="F182" s="1"/>
  <c r="F186" s="1"/>
  <c r="F175"/>
  <c r="F179" s="1"/>
  <c r="F123"/>
  <c r="G123" s="1"/>
  <c r="G126" s="1"/>
  <c r="F128"/>
  <c r="G128" s="1"/>
  <c r="G131" s="1"/>
  <c r="F118"/>
  <c r="G118" s="1"/>
  <c r="G121" s="1"/>
  <c r="E265"/>
  <c r="E269" s="1"/>
  <c r="F265"/>
  <c r="E944" i="195" l="1"/>
  <c r="F944" s="1"/>
  <c r="J944" s="1"/>
  <c r="O1037" i="309"/>
  <c r="J1003"/>
  <c r="O1003" s="1"/>
  <c r="I1043" i="140"/>
  <c r="J1043" s="1"/>
  <c r="O1043" s="1"/>
  <c r="J998" i="309"/>
  <c r="L998" s="1"/>
  <c r="I963"/>
  <c r="E963" s="1"/>
  <c r="F963" s="1"/>
  <c r="I966"/>
  <c r="E966" s="1"/>
  <c r="F966" s="1"/>
  <c r="L1044" i="140"/>
  <c r="F941" i="305"/>
  <c r="G941" s="1"/>
  <c r="O1044" i="140"/>
  <c r="M859" i="306"/>
  <c r="M120"/>
  <c r="M746"/>
  <c r="L955" i="140"/>
  <c r="K955"/>
  <c r="I964" i="309"/>
  <c r="J964" s="1"/>
  <c r="I988"/>
  <c r="J988" s="1"/>
  <c r="I988" i="140"/>
  <c r="J988" s="1"/>
  <c r="L988" s="1"/>
  <c r="I1042" i="309"/>
  <c r="E1042" s="1"/>
  <c r="F1042" s="1"/>
  <c r="I971"/>
  <c r="J971" s="1"/>
  <c r="K965" i="140"/>
  <c r="O1002" i="309"/>
  <c r="K998" i="140"/>
  <c r="I966"/>
  <c r="J966" s="1"/>
  <c r="K966" s="1"/>
  <c r="L1002" i="309"/>
  <c r="E988" i="195"/>
  <c r="F988" s="1"/>
  <c r="J988" s="1"/>
  <c r="I1042" i="140"/>
  <c r="J1042" s="1"/>
  <c r="K1042" s="1"/>
  <c r="O1038"/>
  <c r="L1003"/>
  <c r="I963"/>
  <c r="J963" s="1"/>
  <c r="K963" s="1"/>
  <c r="I1024"/>
  <c r="J1024" s="1"/>
  <c r="O1024" s="1"/>
  <c r="J1038" i="309"/>
  <c r="K1038" s="1"/>
  <c r="E1044"/>
  <c r="F1044" s="1"/>
  <c r="K1044" s="1"/>
  <c r="K1038" i="140"/>
  <c r="O1003"/>
  <c r="O998"/>
  <c r="K1009"/>
  <c r="F942" i="305"/>
  <c r="G942" s="1"/>
  <c r="J955" i="309"/>
  <c r="L955" s="1"/>
  <c r="O1009" i="140"/>
  <c r="O965"/>
  <c r="I1007"/>
  <c r="J1007" s="1"/>
  <c r="L1007" s="1"/>
  <c r="I1010"/>
  <c r="J1010" s="1"/>
  <c r="K1010" s="1"/>
  <c r="I971"/>
  <c r="J971" s="1"/>
  <c r="L971" s="1"/>
  <c r="F944" i="305"/>
  <c r="G944" s="1"/>
  <c r="I1045" i="140"/>
  <c r="J1045" s="1"/>
  <c r="K1045" s="1"/>
  <c r="E923" i="195"/>
  <c r="F923" s="1"/>
  <c r="J923" s="1"/>
  <c r="F1002" i="305"/>
  <c r="G1002" s="1"/>
  <c r="F921"/>
  <c r="G921" s="1"/>
  <c r="F1020"/>
  <c r="G1020" s="1"/>
  <c r="M997" i="306"/>
  <c r="I1043" i="309"/>
  <c r="J1043" s="1"/>
  <c r="I1008" i="140"/>
  <c r="J1008" s="1"/>
  <c r="K1008" s="1"/>
  <c r="E1022" i="195"/>
  <c r="F1022" s="1"/>
  <c r="J1022" s="1"/>
  <c r="E1023"/>
  <c r="F1023" s="1"/>
  <c r="J1023" s="1"/>
  <c r="E943"/>
  <c r="F943" s="1"/>
  <c r="J943" s="1"/>
  <c r="E1025"/>
  <c r="F1025" s="1"/>
  <c r="J1025" s="1"/>
  <c r="I943" i="140"/>
  <c r="J943" s="1"/>
  <c r="L943" s="1"/>
  <c r="E1004" i="195"/>
  <c r="F1004" s="1"/>
  <c r="J1004" s="1"/>
  <c r="F986" i="305"/>
  <c r="G986" s="1"/>
  <c r="F1021"/>
  <c r="G1021" s="1"/>
  <c r="F1023"/>
  <c r="G1023" s="1"/>
  <c r="I1010" i="309"/>
  <c r="J1010" s="1"/>
  <c r="I1007"/>
  <c r="J1007" s="1"/>
  <c r="I964" i="140"/>
  <c r="J964" s="1"/>
  <c r="K964" s="1"/>
  <c r="E946" i="195"/>
  <c r="F946" s="1"/>
  <c r="J946" s="1"/>
  <c r="E987"/>
  <c r="F987" s="1"/>
  <c r="J987" s="1"/>
  <c r="E990"/>
  <c r="F990" s="1"/>
  <c r="J990" s="1"/>
  <c r="E968"/>
  <c r="F968" s="1"/>
  <c r="J968" s="1"/>
  <c r="E958"/>
  <c r="F958" s="1"/>
  <c r="J958" s="1"/>
  <c r="F985" i="305"/>
  <c r="G985" s="1"/>
  <c r="F949"/>
  <c r="G949" s="1"/>
  <c r="F988"/>
  <c r="G988" s="1"/>
  <c r="F966"/>
  <c r="G966" s="1"/>
  <c r="K88" i="306"/>
  <c r="M88" s="1"/>
  <c r="K108"/>
  <c r="I940" i="309" s="1"/>
  <c r="K837" i="306"/>
  <c r="I1020" i="309" s="1"/>
  <c r="K102" i="306"/>
  <c r="M102" s="1"/>
  <c r="K584"/>
  <c r="M584" s="1"/>
  <c r="K63"/>
  <c r="M63" s="1"/>
  <c r="K68"/>
  <c r="M68" s="1"/>
  <c r="K606"/>
  <c r="M606" s="1"/>
  <c r="K848"/>
  <c r="I1021" i="309" s="1"/>
  <c r="K96" i="306"/>
  <c r="M96" s="1"/>
  <c r="K114"/>
  <c r="M114" s="1"/>
  <c r="K601"/>
  <c r="M601" s="1"/>
  <c r="K843"/>
  <c r="I1023" i="309" s="1"/>
  <c r="K624" i="306"/>
  <c r="M624" s="1"/>
  <c r="K831"/>
  <c r="M831" s="1"/>
  <c r="K872"/>
  <c r="M872" s="1"/>
  <c r="K127"/>
  <c r="I944" i="309" s="1"/>
  <c r="I1009"/>
  <c r="M754" i="306"/>
  <c r="F987" i="305"/>
  <c r="G987" s="1"/>
  <c r="E989" i="195"/>
  <c r="F989" s="1"/>
  <c r="J989" s="1"/>
  <c r="K322" i="306"/>
  <c r="M322" s="1"/>
  <c r="K590"/>
  <c r="M590" s="1"/>
  <c r="K595"/>
  <c r="I987" i="309" s="1"/>
  <c r="K853" i="306"/>
  <c r="M853" s="1"/>
  <c r="K80"/>
  <c r="M80" s="1"/>
  <c r="K136"/>
  <c r="I945" i="309" s="1"/>
  <c r="O1038"/>
  <c r="O955"/>
  <c r="O998"/>
  <c r="L965"/>
  <c r="K965"/>
  <c r="L1003"/>
  <c r="J1008"/>
  <c r="E1008"/>
  <c r="F1008" s="1"/>
  <c r="J966"/>
  <c r="J1024"/>
  <c r="E1024"/>
  <c r="F1024" s="1"/>
  <c r="J1045"/>
  <c r="E1045"/>
  <c r="F1045" s="1"/>
  <c r="J943"/>
  <c r="E943"/>
  <c r="F943" s="1"/>
  <c r="O965"/>
  <c r="F269" i="270"/>
  <c r="G265"/>
  <c r="G269" s="1"/>
  <c r="F245"/>
  <c r="F249" s="1"/>
  <c r="G244"/>
  <c r="G245" s="1"/>
  <c r="G249" s="1"/>
  <c r="E216"/>
  <c r="E217" s="1"/>
  <c r="E221" s="1"/>
  <c r="E209"/>
  <c r="E213" s="1"/>
  <c r="F208"/>
  <c r="L1038" i="309" l="1"/>
  <c r="K1003"/>
  <c r="L1043" i="140"/>
  <c r="E971" i="309"/>
  <c r="F971" s="1"/>
  <c r="K971" s="1"/>
  <c r="F913" i="305"/>
  <c r="G913" s="1"/>
  <c r="I990" i="140"/>
  <c r="J990" s="1"/>
  <c r="O990" s="1"/>
  <c r="L966"/>
  <c r="O971"/>
  <c r="K1043"/>
  <c r="E964" i="309"/>
  <c r="F964" s="1"/>
  <c r="L964" s="1"/>
  <c r="O966" i="140"/>
  <c r="K971"/>
  <c r="F968" i="305"/>
  <c r="G968" s="1"/>
  <c r="E917" i="195"/>
  <c r="F917" s="1"/>
  <c r="J917" s="1"/>
  <c r="E915"/>
  <c r="F915" s="1"/>
  <c r="J915" s="1"/>
  <c r="F917" i="305"/>
  <c r="G917" s="1"/>
  <c r="L1044" i="309"/>
  <c r="I987" i="140"/>
  <c r="J987" s="1"/>
  <c r="L987" s="1"/>
  <c r="I984"/>
  <c r="J984" s="1"/>
  <c r="O984" s="1"/>
  <c r="I938"/>
  <c r="J938" s="1"/>
  <c r="O938" s="1"/>
  <c r="O988"/>
  <c r="E1006" i="195"/>
  <c r="F1006" s="1"/>
  <c r="J1006" s="1"/>
  <c r="O963" i="140"/>
  <c r="L964"/>
  <c r="J963" i="309"/>
  <c r="K963" s="1"/>
  <c r="K998"/>
  <c r="F963" i="305"/>
  <c r="G963" s="1"/>
  <c r="F1004"/>
  <c r="G1004" s="1"/>
  <c r="O1008" i="140"/>
  <c r="E1000" i="195"/>
  <c r="F1000" s="1"/>
  <c r="J1000" s="1"/>
  <c r="E964"/>
  <c r="F964" s="1"/>
  <c r="J964" s="1"/>
  <c r="F920" i="305"/>
  <c r="G920" s="1"/>
  <c r="F998"/>
  <c r="G998" s="1"/>
  <c r="I1019" i="309"/>
  <c r="E1019" s="1"/>
  <c r="F1019" s="1"/>
  <c r="I945" i="140"/>
  <c r="J945" s="1"/>
  <c r="O945" s="1"/>
  <c r="I1020"/>
  <c r="J1020" s="1"/>
  <c r="O1020" s="1"/>
  <c r="I936"/>
  <c r="J936" s="1"/>
  <c r="K936" s="1"/>
  <c r="E922" i="195"/>
  <c r="F922" s="1"/>
  <c r="J922" s="1"/>
  <c r="I1019" i="140"/>
  <c r="J1019" s="1"/>
  <c r="K1019" s="1"/>
  <c r="F997" i="305"/>
  <c r="G997" s="1"/>
  <c r="O1044" i="309"/>
  <c r="E988"/>
  <c r="F988" s="1"/>
  <c r="K988" s="1"/>
  <c r="I936"/>
  <c r="J936" s="1"/>
  <c r="E925" i="195"/>
  <c r="F925" s="1"/>
  <c r="J925" s="1"/>
  <c r="E916"/>
  <c r="F916" s="1"/>
  <c r="J916" s="1"/>
  <c r="I942" i="140"/>
  <c r="J942" s="1"/>
  <c r="O942" s="1"/>
  <c r="E999" i="195"/>
  <c r="F999" s="1"/>
  <c r="J999" s="1"/>
  <c r="F914" i="305"/>
  <c r="G914" s="1"/>
  <c r="O1010" i="140"/>
  <c r="I1022"/>
  <c r="J1022" s="1"/>
  <c r="K1022" s="1"/>
  <c r="I986"/>
  <c r="J986" s="1"/>
  <c r="O986" s="1"/>
  <c r="K1007"/>
  <c r="O1042"/>
  <c r="J1042" i="309"/>
  <c r="K1042" s="1"/>
  <c r="L1024" i="140"/>
  <c r="I944"/>
  <c r="J944" s="1"/>
  <c r="L944" s="1"/>
  <c r="I1023"/>
  <c r="J1023" s="1"/>
  <c r="O1023" s="1"/>
  <c r="F964" i="305"/>
  <c r="G964" s="1"/>
  <c r="K988" i="140"/>
  <c r="L963"/>
  <c r="O943"/>
  <c r="O964"/>
  <c r="L1008"/>
  <c r="L1045"/>
  <c r="O1007"/>
  <c r="K1024"/>
  <c r="E1002" i="195"/>
  <c r="F1002" s="1"/>
  <c r="J1002" s="1"/>
  <c r="L1010" i="140"/>
  <c r="L1042"/>
  <c r="E1003" i="195"/>
  <c r="F1003" s="1"/>
  <c r="J1003" s="1"/>
  <c r="E918"/>
  <c r="F918" s="1"/>
  <c r="J918" s="1"/>
  <c r="E1010" i="309"/>
  <c r="F1010" s="1"/>
  <c r="K1010" s="1"/>
  <c r="K955"/>
  <c r="I983" i="140"/>
  <c r="J983" s="1"/>
  <c r="K983" s="1"/>
  <c r="E1001" i="195"/>
  <c r="F1001" s="1"/>
  <c r="J1001" s="1"/>
  <c r="F916" i="305"/>
  <c r="G916" s="1"/>
  <c r="E963" i="195"/>
  <c r="F963" s="1"/>
  <c r="J963" s="1"/>
  <c r="E924"/>
  <c r="F924" s="1"/>
  <c r="J924" s="1"/>
  <c r="I1021" i="140"/>
  <c r="J1021" s="1"/>
  <c r="K1021" s="1"/>
  <c r="F922" i="305"/>
  <c r="G922" s="1"/>
  <c r="F1001"/>
  <c r="G1001" s="1"/>
  <c r="F999"/>
  <c r="G999" s="1"/>
  <c r="F961"/>
  <c r="G961" s="1"/>
  <c r="K943" i="140"/>
  <c r="E1043" i="309"/>
  <c r="F1043" s="1"/>
  <c r="L1043" s="1"/>
  <c r="I941" i="140"/>
  <c r="J941" s="1"/>
  <c r="L941" s="1"/>
  <c r="E920" i="195"/>
  <c r="F920" s="1"/>
  <c r="J920" s="1"/>
  <c r="E929"/>
  <c r="F929" s="1"/>
  <c r="J929" s="1"/>
  <c r="I985" i="140"/>
  <c r="J985" s="1"/>
  <c r="O985" s="1"/>
  <c r="E919" i="195"/>
  <c r="F919" s="1"/>
  <c r="J919" s="1"/>
  <c r="E1007" i="309"/>
  <c r="F1007" s="1"/>
  <c r="K1007" s="1"/>
  <c r="F1000" i="305"/>
  <c r="G1000" s="1"/>
  <c r="F962"/>
  <c r="G962" s="1"/>
  <c r="I942" i="309"/>
  <c r="J942" s="1"/>
  <c r="M837" i="306"/>
  <c r="F923" i="305"/>
  <c r="G923" s="1"/>
  <c r="M127" i="306"/>
  <c r="M843"/>
  <c r="M848"/>
  <c r="I983" i="309"/>
  <c r="E983" s="1"/>
  <c r="F983" s="1"/>
  <c r="I938"/>
  <c r="J938" s="1"/>
  <c r="I1022"/>
  <c r="J1022" s="1"/>
  <c r="O1045" i="140"/>
  <c r="I937"/>
  <c r="J937" s="1"/>
  <c r="L937" s="1"/>
  <c r="E921" i="195"/>
  <c r="F921" s="1"/>
  <c r="J921" s="1"/>
  <c r="E967"/>
  <c r="F967" s="1"/>
  <c r="J967" s="1"/>
  <c r="I940" i="140"/>
  <c r="J940" s="1"/>
  <c r="O940" s="1"/>
  <c r="I935"/>
  <c r="J935" s="1"/>
  <c r="O935" s="1"/>
  <c r="I949"/>
  <c r="J949" s="1"/>
  <c r="L949" s="1"/>
  <c r="E970" i="195"/>
  <c r="F970" s="1"/>
  <c r="J970" s="1"/>
  <c r="E965"/>
  <c r="F965" s="1"/>
  <c r="J965" s="1"/>
  <c r="E966"/>
  <c r="F966" s="1"/>
  <c r="J966" s="1"/>
  <c r="I1026" i="140"/>
  <c r="J1026" s="1"/>
  <c r="L1026" s="1"/>
  <c r="I939"/>
  <c r="J939" s="1"/>
  <c r="K939" s="1"/>
  <c r="F915" i="305"/>
  <c r="G915" s="1"/>
  <c r="F918"/>
  <c r="G918" s="1"/>
  <c r="F919"/>
  <c r="G919" s="1"/>
  <c r="F965"/>
  <c r="G965" s="1"/>
  <c r="F927"/>
  <c r="G927" s="1"/>
  <c r="I1026" i="309"/>
  <c r="J1026" s="1"/>
  <c r="I990"/>
  <c r="E990" s="1"/>
  <c r="F990" s="1"/>
  <c r="I985"/>
  <c r="J985" s="1"/>
  <c r="I939"/>
  <c r="E939" s="1"/>
  <c r="F939" s="1"/>
  <c r="I986"/>
  <c r="E986" s="1"/>
  <c r="F986" s="1"/>
  <c r="I935"/>
  <c r="E935" s="1"/>
  <c r="F935" s="1"/>
  <c r="M108" i="306"/>
  <c r="I937" i="309"/>
  <c r="E937" s="1"/>
  <c r="F937" s="1"/>
  <c r="M136" i="306"/>
  <c r="I949" i="309"/>
  <c r="E949" s="1"/>
  <c r="F949" s="1"/>
  <c r="I941"/>
  <c r="E941" s="1"/>
  <c r="F941" s="1"/>
  <c r="M595" i="306"/>
  <c r="I984" i="309"/>
  <c r="E984" s="1"/>
  <c r="F984" s="1"/>
  <c r="K142" i="306"/>
  <c r="I946" i="309" s="1"/>
  <c r="K718" i="306"/>
  <c r="I1004" i="309" s="1"/>
  <c r="K865" i="306"/>
  <c r="M865" s="1"/>
  <c r="K956"/>
  <c r="I1039" i="309" s="1"/>
  <c r="J1009"/>
  <c r="E1009"/>
  <c r="F1009" s="1"/>
  <c r="K618" i="306"/>
  <c r="M618" s="1"/>
  <c r="K943" i="309"/>
  <c r="L943"/>
  <c r="L971"/>
  <c r="L963"/>
  <c r="L1045"/>
  <c r="K1045"/>
  <c r="L1024"/>
  <c r="K1024"/>
  <c r="K966"/>
  <c r="L966"/>
  <c r="K964"/>
  <c r="L1008"/>
  <c r="K1008"/>
  <c r="J944"/>
  <c r="E944"/>
  <c r="F944" s="1"/>
  <c r="J1023"/>
  <c r="E1023"/>
  <c r="F1023" s="1"/>
  <c r="J1021"/>
  <c r="E1021"/>
  <c r="F1021" s="1"/>
  <c r="J945"/>
  <c r="E945"/>
  <c r="F945" s="1"/>
  <c r="J1020"/>
  <c r="E1020"/>
  <c r="F1020" s="1"/>
  <c r="J987"/>
  <c r="E987"/>
  <c r="F987" s="1"/>
  <c r="J940"/>
  <c r="E940"/>
  <c r="F940" s="1"/>
  <c r="O943"/>
  <c r="O971"/>
  <c r="O1045"/>
  <c r="O1024"/>
  <c r="O966"/>
  <c r="O964"/>
  <c r="O1008"/>
  <c r="K990" i="140"/>
  <c r="F216" i="270"/>
  <c r="F217" s="1"/>
  <c r="F221" s="1"/>
  <c r="F209"/>
  <c r="F213" s="1"/>
  <c r="G208"/>
  <c r="L990" i="140" l="1"/>
  <c r="L988" i="309"/>
  <c r="M956" i="306"/>
  <c r="K984" i="140"/>
  <c r="E984" i="195"/>
  <c r="F984" s="1"/>
  <c r="J984" s="1"/>
  <c r="L983" i="140"/>
  <c r="L1042" i="309"/>
  <c r="O987" i="140"/>
  <c r="J1019" i="309"/>
  <c r="O1019" s="1"/>
  <c r="E985"/>
  <c r="F985" s="1"/>
  <c r="K985" s="1"/>
  <c r="O1022" i="140"/>
  <c r="K942"/>
  <c r="L1023"/>
  <c r="L936"/>
  <c r="L1022"/>
  <c r="L942"/>
  <c r="K987"/>
  <c r="K941"/>
  <c r="O1042" i="309"/>
  <c r="O988"/>
  <c r="K938" i="140"/>
  <c r="K986"/>
  <c r="E936" i="309"/>
  <c r="F936" s="1"/>
  <c r="O936" s="1"/>
  <c r="M718" i="306"/>
  <c r="O1021" i="140"/>
  <c r="L945"/>
  <c r="L938"/>
  <c r="O1019"/>
  <c r="L984"/>
  <c r="L1021"/>
  <c r="K945"/>
  <c r="K1023"/>
  <c r="O936"/>
  <c r="O963" i="309"/>
  <c r="L1019" i="140"/>
  <c r="L1020"/>
  <c r="L1010" i="309"/>
  <c r="K1020" i="140"/>
  <c r="K937"/>
  <c r="L935"/>
  <c r="O1010" i="309"/>
  <c r="J986"/>
  <c r="O986" s="1"/>
  <c r="E1026"/>
  <c r="F1026" s="1"/>
  <c r="L1026" s="1"/>
  <c r="L986" i="140"/>
  <c r="O937"/>
  <c r="K944"/>
  <c r="F1017" i="305"/>
  <c r="G1017" s="1"/>
  <c r="J984" i="309"/>
  <c r="O984" s="1"/>
  <c r="J983"/>
  <c r="K983" s="1"/>
  <c r="O944" i="140"/>
  <c r="K935"/>
  <c r="E1019" i="195"/>
  <c r="F1019" s="1"/>
  <c r="J1019" s="1"/>
  <c r="K940" i="140"/>
  <c r="L1007" i="309"/>
  <c r="O939" i="140"/>
  <c r="E1022" i="309"/>
  <c r="F1022" s="1"/>
  <c r="O1022" s="1"/>
  <c r="O941" i="140"/>
  <c r="L939"/>
  <c r="E942" i="309"/>
  <c r="F942" s="1"/>
  <c r="L942" s="1"/>
  <c r="O983" i="140"/>
  <c r="J941" i="309"/>
  <c r="O941" s="1"/>
  <c r="L985" i="140"/>
  <c r="O1043" i="309"/>
  <c r="K985" i="140"/>
  <c r="K1043" i="309"/>
  <c r="K1026" i="140"/>
  <c r="M142" i="306"/>
  <c r="J990" i="309"/>
  <c r="L990" s="1"/>
  <c r="I1025" i="140"/>
  <c r="J1025" s="1"/>
  <c r="L1025" s="1"/>
  <c r="O1007" i="309"/>
  <c r="I989" i="140"/>
  <c r="J989" s="1"/>
  <c r="K989" s="1"/>
  <c r="F967" i="305"/>
  <c r="G967" s="1"/>
  <c r="J937" i="309"/>
  <c r="L937" s="1"/>
  <c r="K949" i="140"/>
  <c r="E938" i="309"/>
  <c r="F938" s="1"/>
  <c r="K938" s="1"/>
  <c r="J935"/>
  <c r="L935" s="1"/>
  <c r="O1026" i="140"/>
  <c r="L940"/>
  <c r="I946"/>
  <c r="J946" s="1"/>
  <c r="L946" s="1"/>
  <c r="O949"/>
  <c r="J949" i="309"/>
  <c r="L949" s="1"/>
  <c r="J939"/>
  <c r="O939" s="1"/>
  <c r="I989"/>
  <c r="E989" s="1"/>
  <c r="F989" s="1"/>
  <c r="E1005" i="195"/>
  <c r="F1005" s="1"/>
  <c r="J1005" s="1"/>
  <c r="E926"/>
  <c r="F926" s="1"/>
  <c r="J926" s="1"/>
  <c r="E969"/>
  <c r="F969" s="1"/>
  <c r="J969" s="1"/>
  <c r="F1003" i="305"/>
  <c r="G1003" s="1"/>
  <c r="F924"/>
  <c r="G924" s="1"/>
  <c r="I1004" i="140"/>
  <c r="J1004" s="1"/>
  <c r="K1004" s="1"/>
  <c r="I1039"/>
  <c r="J1039" s="1"/>
  <c r="K1039" s="1"/>
  <c r="F982" i="305"/>
  <c r="G982" s="1"/>
  <c r="I1025" i="309"/>
  <c r="E1025" s="1"/>
  <c r="F1025" s="1"/>
  <c r="O1009"/>
  <c r="K1009"/>
  <c r="L1009"/>
  <c r="K630" i="306"/>
  <c r="M630" s="1"/>
  <c r="O940" i="309"/>
  <c r="O987"/>
  <c r="O1020"/>
  <c r="O945"/>
  <c r="O1021"/>
  <c r="O985"/>
  <c r="O1023"/>
  <c r="O944"/>
  <c r="L940"/>
  <c r="K940"/>
  <c r="L987"/>
  <c r="K987"/>
  <c r="L1020"/>
  <c r="K1020"/>
  <c r="L945"/>
  <c r="K945"/>
  <c r="L1021"/>
  <c r="K1021"/>
  <c r="L1023"/>
  <c r="K1023"/>
  <c r="K1019"/>
  <c r="L944"/>
  <c r="K944"/>
  <c r="J1004"/>
  <c r="E1004"/>
  <c r="F1004" s="1"/>
  <c r="J946"/>
  <c r="E946"/>
  <c r="F946" s="1"/>
  <c r="J1039"/>
  <c r="E1039"/>
  <c r="F1039" s="1"/>
  <c r="G216" i="270"/>
  <c r="G217" s="1"/>
  <c r="G221" s="1"/>
  <c r="G209"/>
  <c r="G213" s="1"/>
  <c r="L985" i="309" l="1"/>
  <c r="L1019"/>
  <c r="K941"/>
  <c r="K936"/>
  <c r="O1026"/>
  <c r="K942"/>
  <c r="L936"/>
  <c r="L983"/>
  <c r="O937"/>
  <c r="J989"/>
  <c r="O989" s="1"/>
  <c r="K986"/>
  <c r="L986"/>
  <c r="O983"/>
  <c r="K1026"/>
  <c r="K990"/>
  <c r="K1022"/>
  <c r="L984"/>
  <c r="O990"/>
  <c r="L1022"/>
  <c r="K984"/>
  <c r="K935"/>
  <c r="O989" i="140"/>
  <c r="O942" i="309"/>
  <c r="O938"/>
  <c r="L989" i="140"/>
  <c r="K946"/>
  <c r="L938" i="309"/>
  <c r="K1025" i="140"/>
  <c r="K937" i="309"/>
  <c r="L941"/>
  <c r="L1004" i="140"/>
  <c r="J1025" i="309"/>
  <c r="K1025" s="1"/>
  <c r="K949"/>
  <c r="O1025" i="140"/>
  <c r="O949" i="309"/>
  <c r="O1004" i="140"/>
  <c r="O946"/>
  <c r="L939" i="309"/>
  <c r="O935"/>
  <c r="K939"/>
  <c r="I991" i="140"/>
  <c r="J991" s="1"/>
  <c r="L991" s="1"/>
  <c r="L1039"/>
  <c r="F969" i="305"/>
  <c r="G969" s="1"/>
  <c r="I991" i="309"/>
  <c r="E991" s="1"/>
  <c r="F991" s="1"/>
  <c r="O1039" i="140"/>
  <c r="E971" i="195"/>
  <c r="F971" s="1"/>
  <c r="J971" s="1"/>
  <c r="K877" i="306"/>
  <c r="I1027" i="309" s="1"/>
  <c r="O1025"/>
  <c r="O1039"/>
  <c r="O946"/>
  <c r="O1004"/>
  <c r="L1039"/>
  <c r="K1039"/>
  <c r="K946"/>
  <c r="L946"/>
  <c r="K989"/>
  <c r="L1004"/>
  <c r="K1004"/>
  <c r="L989" l="1"/>
  <c r="L1025"/>
  <c r="J991"/>
  <c r="L991" s="1"/>
  <c r="K991" i="140"/>
  <c r="O991"/>
  <c r="M877" i="306"/>
  <c r="M1571" s="1"/>
  <c r="H42" i="171" s="1"/>
  <c r="E1007" i="195"/>
  <c r="F1007" s="1"/>
  <c r="J1007" s="1"/>
  <c r="I1027" i="140"/>
  <c r="J1027" s="1"/>
  <c r="K1027" s="1"/>
  <c r="F1005" i="305"/>
  <c r="G1005" s="1"/>
  <c r="J1027" i="309"/>
  <c r="E1027"/>
  <c r="F1027" s="1"/>
  <c r="K991" l="1"/>
  <c r="O991"/>
  <c r="I1574" i="306"/>
  <c r="M1574" s="1"/>
  <c r="J1150" i="140" s="1"/>
  <c r="M1573" i="306"/>
  <c r="O1027" i="140"/>
  <c r="L1027"/>
  <c r="O1027" i="309"/>
  <c r="L1027"/>
  <c r="K1027"/>
  <c r="C10" i="195"/>
  <c r="C900"/>
  <c r="C899"/>
  <c r="C896"/>
  <c r="C895"/>
  <c r="C892"/>
  <c r="C891"/>
  <c r="C888"/>
  <c r="I888" s="1"/>
  <c r="C887"/>
  <c r="C884"/>
  <c r="C883"/>
  <c r="C880"/>
  <c r="C879"/>
  <c r="C876"/>
  <c r="I876" s="1"/>
  <c r="C875"/>
  <c r="C872"/>
  <c r="C871"/>
  <c r="C868"/>
  <c r="C867"/>
  <c r="C864"/>
  <c r="I864" s="1"/>
  <c r="C863"/>
  <c r="C860"/>
  <c r="C859"/>
  <c r="C856"/>
  <c r="C855"/>
  <c r="C852"/>
  <c r="C851"/>
  <c r="C848"/>
  <c r="C847"/>
  <c r="C844"/>
  <c r="C843"/>
  <c r="C840"/>
  <c r="C839"/>
  <c r="C836"/>
  <c r="C835"/>
  <c r="C832"/>
  <c r="C831"/>
  <c r="C828"/>
  <c r="C827"/>
  <c r="C824"/>
  <c r="C823"/>
  <c r="C820"/>
  <c r="C819"/>
  <c r="C816"/>
  <c r="C815"/>
  <c r="C812"/>
  <c r="I812" s="1"/>
  <c r="C811"/>
  <c r="C808"/>
  <c r="I808" s="1"/>
  <c r="C807"/>
  <c r="C804"/>
  <c r="I804" s="1"/>
  <c r="C803"/>
  <c r="C800"/>
  <c r="I800" s="1"/>
  <c r="C799"/>
  <c r="C796"/>
  <c r="C795"/>
  <c r="C792"/>
  <c r="I792" s="1"/>
  <c r="C791"/>
  <c r="C788"/>
  <c r="I788" s="1"/>
  <c r="C787"/>
  <c r="C784"/>
  <c r="I784" s="1"/>
  <c r="C783"/>
  <c r="C780"/>
  <c r="C779"/>
  <c r="C776"/>
  <c r="C775"/>
  <c r="C772"/>
  <c r="C771"/>
  <c r="C768"/>
  <c r="I768" s="1"/>
  <c r="C767"/>
  <c r="C764"/>
  <c r="I764" s="1"/>
  <c r="C763"/>
  <c r="C760"/>
  <c r="I760" s="1"/>
  <c r="C759"/>
  <c r="C756"/>
  <c r="I756" s="1"/>
  <c r="C755"/>
  <c r="C752"/>
  <c r="C751"/>
  <c r="C748"/>
  <c r="C747"/>
  <c r="C744"/>
  <c r="I744" s="1"/>
  <c r="C743"/>
  <c r="C740"/>
  <c r="I740" s="1"/>
  <c r="C739"/>
  <c r="C735"/>
  <c r="I735" s="1"/>
  <c r="C734"/>
  <c r="C731"/>
  <c r="C730"/>
  <c r="C727"/>
  <c r="C726"/>
  <c r="C723"/>
  <c r="C722"/>
  <c r="C719"/>
  <c r="C718"/>
  <c r="C715"/>
  <c r="C714"/>
  <c r="C711"/>
  <c r="I711" s="1"/>
  <c r="C710"/>
  <c r="C707"/>
  <c r="C706"/>
  <c r="C703"/>
  <c r="I703" s="1"/>
  <c r="C702"/>
  <c r="C699"/>
  <c r="C698"/>
  <c r="I698" s="1"/>
  <c r="C695"/>
  <c r="I695" s="1"/>
  <c r="C694"/>
  <c r="C691"/>
  <c r="C690"/>
  <c r="C687"/>
  <c r="C686"/>
  <c r="C683"/>
  <c r="C682"/>
  <c r="C679"/>
  <c r="I679" s="1"/>
  <c r="C678"/>
  <c r="C675"/>
  <c r="I675" s="1"/>
  <c r="C674"/>
  <c r="C671"/>
  <c r="I671" s="1"/>
  <c r="C670"/>
  <c r="C667"/>
  <c r="I667" s="1"/>
  <c r="C666"/>
  <c r="C663"/>
  <c r="I663" s="1"/>
  <c r="C659"/>
  <c r="I659" s="1"/>
  <c r="C658"/>
  <c r="C655"/>
  <c r="C654"/>
  <c r="C651"/>
  <c r="C650"/>
  <c r="C647"/>
  <c r="I647" s="1"/>
  <c r="C646"/>
  <c r="C643"/>
  <c r="I643" s="1"/>
  <c r="C642"/>
  <c r="C639"/>
  <c r="C638"/>
  <c r="C635"/>
  <c r="C634"/>
  <c r="C631"/>
  <c r="C630"/>
  <c r="C627"/>
  <c r="C626"/>
  <c r="C623"/>
  <c r="C622"/>
  <c r="C618"/>
  <c r="I618" s="1"/>
  <c r="C617"/>
  <c r="C614"/>
  <c r="C613"/>
  <c r="C610"/>
  <c r="C609"/>
  <c r="C606"/>
  <c r="C605"/>
  <c r="C602"/>
  <c r="C601"/>
  <c r="C598"/>
  <c r="C594"/>
  <c r="C593"/>
  <c r="C590"/>
  <c r="I590" s="1"/>
  <c r="C589"/>
  <c r="C586"/>
  <c r="C585"/>
  <c r="C582"/>
  <c r="C581"/>
  <c r="C578"/>
  <c r="C577"/>
  <c r="C574"/>
  <c r="I574" s="1"/>
  <c r="C573"/>
  <c r="C570"/>
  <c r="C569"/>
  <c r="C566"/>
  <c r="I566" s="1"/>
  <c r="C565"/>
  <c r="C562"/>
  <c r="I562" s="1"/>
  <c r="C561"/>
  <c r="C558"/>
  <c r="I558" s="1"/>
  <c r="C557"/>
  <c r="C554"/>
  <c r="I554" s="1"/>
  <c r="C553"/>
  <c r="C550"/>
  <c r="C549"/>
  <c r="C546"/>
  <c r="C545"/>
  <c r="C542"/>
  <c r="C541"/>
  <c r="C538"/>
  <c r="C537"/>
  <c r="C534"/>
  <c r="C533"/>
  <c r="C530"/>
  <c r="I530" s="1"/>
  <c r="C529"/>
  <c r="C526"/>
  <c r="I526" s="1"/>
  <c r="C517"/>
  <c r="C516"/>
  <c r="C513"/>
  <c r="C512"/>
  <c r="C509"/>
  <c r="C508"/>
  <c r="C505"/>
  <c r="I505" s="1"/>
  <c r="C504"/>
  <c r="C501"/>
  <c r="C500"/>
  <c r="C497"/>
  <c r="C496"/>
  <c r="C493"/>
  <c r="I493" s="1"/>
  <c r="E157" i="196" s="1"/>
  <c r="C492" i="195"/>
  <c r="C489"/>
  <c r="C488"/>
  <c r="C485"/>
  <c r="C484"/>
  <c r="C481"/>
  <c r="C480"/>
  <c r="C477"/>
  <c r="C476"/>
  <c r="C473"/>
  <c r="C472"/>
  <c r="C469"/>
  <c r="I469" s="1"/>
  <c r="E133" i="196" s="1"/>
  <c r="C468" i="195"/>
  <c r="C465"/>
  <c r="C464"/>
  <c r="C461"/>
  <c r="C460"/>
  <c r="C457"/>
  <c r="I457" s="1"/>
  <c r="E125" i="196" s="1"/>
  <c r="C456" i="195"/>
  <c r="C453"/>
  <c r="I453" s="1"/>
  <c r="E121" i="196" s="1"/>
  <c r="C452" i="195"/>
  <c r="C449"/>
  <c r="C448"/>
  <c r="C445"/>
  <c r="I445" s="1"/>
  <c r="E113" i="196" s="1"/>
  <c r="C444" i="195"/>
  <c r="C441"/>
  <c r="I441" s="1"/>
  <c r="E105" i="196" s="1"/>
  <c r="C440" i="195"/>
  <c r="C437"/>
  <c r="C436"/>
  <c r="C433"/>
  <c r="I433" s="1"/>
  <c r="E93" i="196" s="1"/>
  <c r="C432" i="195"/>
  <c r="C429"/>
  <c r="I429" s="1"/>
  <c r="E97" i="196" s="1"/>
  <c r="C428" i="195"/>
  <c r="C425"/>
  <c r="I425" s="1"/>
  <c r="E85" i="196" s="1"/>
  <c r="C424" i="195"/>
  <c r="C421"/>
  <c r="C420"/>
  <c r="C417"/>
  <c r="C416"/>
  <c r="C413"/>
  <c r="C412"/>
  <c r="C409"/>
  <c r="C408"/>
  <c r="C405"/>
  <c r="I405" s="1"/>
  <c r="E61" i="196" s="1"/>
  <c r="C404" i="195"/>
  <c r="C401"/>
  <c r="I401" s="1"/>
  <c r="E49" i="196" s="1"/>
  <c r="C400" i="195"/>
  <c r="C397"/>
  <c r="C396"/>
  <c r="C393"/>
  <c r="I393" s="1"/>
  <c r="E53" i="196" s="1"/>
  <c r="C392" i="195"/>
  <c r="C389"/>
  <c r="C388"/>
  <c r="C385"/>
  <c r="C384"/>
  <c r="C376"/>
  <c r="C375"/>
  <c r="C372"/>
  <c r="C371"/>
  <c r="C368"/>
  <c r="C367"/>
  <c r="C364"/>
  <c r="I364" s="1"/>
  <c r="C363"/>
  <c r="C360"/>
  <c r="I360" s="1"/>
  <c r="D165" i="196" s="1"/>
  <c r="C359" i="195"/>
  <c r="C355"/>
  <c r="C351"/>
  <c r="C348"/>
  <c r="C347"/>
  <c r="C344"/>
  <c r="I344" s="1"/>
  <c r="D149" i="196" s="1"/>
  <c r="C343" i="195"/>
  <c r="C340"/>
  <c r="C339"/>
  <c r="C336"/>
  <c r="I336" s="1"/>
  <c r="D141" i="196" s="1"/>
  <c r="C335" i="195"/>
  <c r="C332"/>
  <c r="I332" s="1"/>
  <c r="D137" i="196" s="1"/>
  <c r="C331" i="195"/>
  <c r="C328"/>
  <c r="I328" s="1"/>
  <c r="D133" i="196" s="1"/>
  <c r="C327" i="195"/>
  <c r="C324"/>
  <c r="I324" s="1"/>
  <c r="D77" i="196" s="1"/>
  <c r="C323" i="195"/>
  <c r="C320"/>
  <c r="I320" s="1"/>
  <c r="D129" i="196" s="1"/>
  <c r="C319" i="195"/>
  <c r="C316"/>
  <c r="I316" s="1"/>
  <c r="D125" i="196" s="1"/>
  <c r="C315" i="195"/>
  <c r="C312"/>
  <c r="C311"/>
  <c r="C308"/>
  <c r="I308" s="1"/>
  <c r="D117" i="196" s="1"/>
  <c r="C307" i="195"/>
  <c r="C304"/>
  <c r="C303"/>
  <c r="C300"/>
  <c r="C299"/>
  <c r="C296"/>
  <c r="C295"/>
  <c r="C292"/>
  <c r="C291"/>
  <c r="C288"/>
  <c r="C287"/>
  <c r="C284"/>
  <c r="C283"/>
  <c r="C280"/>
  <c r="C279"/>
  <c r="C276"/>
  <c r="I276" s="1"/>
  <c r="D81" i="196" s="1"/>
  <c r="C275" i="195"/>
  <c r="C272"/>
  <c r="I272" s="1"/>
  <c r="D73" i="196" s="1"/>
  <c r="C271" i="195"/>
  <c r="C268"/>
  <c r="C267"/>
  <c r="C264"/>
  <c r="C263"/>
  <c r="C260"/>
  <c r="C259"/>
  <c r="C256"/>
  <c r="I256" s="1"/>
  <c r="D49" i="196" s="1"/>
  <c r="C255" i="195"/>
  <c r="C252"/>
  <c r="I252" s="1"/>
  <c r="D57" i="196" s="1"/>
  <c r="C251" i="195"/>
  <c r="C248"/>
  <c r="I248" s="1"/>
  <c r="D53" i="196" s="1"/>
  <c r="C247" i="195"/>
  <c r="C244"/>
  <c r="I244" s="1"/>
  <c r="D45" i="196" s="1"/>
  <c r="C243" i="195"/>
  <c r="C240"/>
  <c r="I240" s="1"/>
  <c r="D37" i="196" s="1"/>
  <c r="C239" i="195"/>
  <c r="C230"/>
  <c r="C227"/>
  <c r="I227" s="1"/>
  <c r="C226"/>
  <c r="C223"/>
  <c r="I223" s="1"/>
  <c r="C222"/>
  <c r="C218"/>
  <c r="C215"/>
  <c r="I215" s="1"/>
  <c r="C169" i="196" s="1"/>
  <c r="C214" i="195"/>
  <c r="C211"/>
  <c r="I211" s="1"/>
  <c r="C210"/>
  <c r="C206"/>
  <c r="C202"/>
  <c r="C199"/>
  <c r="C198"/>
  <c r="C194"/>
  <c r="C191"/>
  <c r="I191" s="1"/>
  <c r="C187"/>
  <c r="I187" s="1"/>
  <c r="C183"/>
  <c r="C182"/>
  <c r="C179"/>
  <c r="C175"/>
  <c r="C174"/>
  <c r="C171"/>
  <c r="C170"/>
  <c r="C167"/>
  <c r="I167" s="1"/>
  <c r="C153" i="196" s="1"/>
  <c r="C166" i="195"/>
  <c r="C163"/>
  <c r="I163" s="1"/>
  <c r="C149" i="196" s="1"/>
  <c r="C162" i="195"/>
  <c r="C159"/>
  <c r="C158"/>
  <c r="C155"/>
  <c r="C154"/>
  <c r="I154" s="1"/>
  <c r="C140" i="196" s="1"/>
  <c r="C151" i="195"/>
  <c r="I151" s="1"/>
  <c r="C137" i="196" s="1"/>
  <c r="C150" i="195"/>
  <c r="C147"/>
  <c r="C146"/>
  <c r="I146" s="1"/>
  <c r="C132" i="196" s="1"/>
  <c r="C143" i="195"/>
  <c r="C139"/>
  <c r="I139" s="1"/>
  <c r="C125" i="196" s="1"/>
  <c r="C135" i="195"/>
  <c r="I135" s="1"/>
  <c r="C121" i="196" s="1"/>
  <c r="C134" i="195"/>
  <c r="C131"/>
  <c r="C130"/>
  <c r="G910" i="140"/>
  <c r="G909"/>
  <c r="G906"/>
  <c r="G905"/>
  <c r="G902"/>
  <c r="G901"/>
  <c r="G898"/>
  <c r="G897"/>
  <c r="G894"/>
  <c r="G893"/>
  <c r="G890"/>
  <c r="G889"/>
  <c r="G886"/>
  <c r="G885"/>
  <c r="G882"/>
  <c r="G881"/>
  <c r="G878"/>
  <c r="G877"/>
  <c r="G874"/>
  <c r="G873"/>
  <c r="G870"/>
  <c r="G869"/>
  <c r="G866"/>
  <c r="G865"/>
  <c r="G862"/>
  <c r="G861"/>
  <c r="G858"/>
  <c r="G857"/>
  <c r="G854"/>
  <c r="G853"/>
  <c r="G850"/>
  <c r="G849"/>
  <c r="G846"/>
  <c r="G845"/>
  <c r="G842"/>
  <c r="G841"/>
  <c r="G838"/>
  <c r="G837"/>
  <c r="G834"/>
  <c r="G833"/>
  <c r="G830"/>
  <c r="G829"/>
  <c r="G826"/>
  <c r="G825"/>
  <c r="G822"/>
  <c r="G821"/>
  <c r="G818"/>
  <c r="G817"/>
  <c r="G814"/>
  <c r="G813"/>
  <c r="G810"/>
  <c r="G809"/>
  <c r="G806"/>
  <c r="G805"/>
  <c r="G802"/>
  <c r="G801"/>
  <c r="G798"/>
  <c r="G797"/>
  <c r="G794"/>
  <c r="G793"/>
  <c r="G790"/>
  <c r="G789"/>
  <c r="G786"/>
  <c r="G785"/>
  <c r="G782"/>
  <c r="G781"/>
  <c r="G778"/>
  <c r="G777"/>
  <c r="G774"/>
  <c r="G773"/>
  <c r="G770"/>
  <c r="G769"/>
  <c r="G766"/>
  <c r="G765"/>
  <c r="G762"/>
  <c r="G761"/>
  <c r="G758"/>
  <c r="G757"/>
  <c r="G754"/>
  <c r="G753"/>
  <c r="G750"/>
  <c r="G749"/>
  <c r="G744"/>
  <c r="G743"/>
  <c r="G740"/>
  <c r="G739"/>
  <c r="G736"/>
  <c r="G735"/>
  <c r="G732"/>
  <c r="G731"/>
  <c r="G728"/>
  <c r="G727"/>
  <c r="G724"/>
  <c r="G723"/>
  <c r="G720"/>
  <c r="G719"/>
  <c r="G716"/>
  <c r="G715"/>
  <c r="G712"/>
  <c r="G711"/>
  <c r="G708"/>
  <c r="G707"/>
  <c r="G704"/>
  <c r="G703"/>
  <c r="G700"/>
  <c r="G699"/>
  <c r="G694"/>
  <c r="G693"/>
  <c r="G689"/>
  <c r="G688"/>
  <c r="G685"/>
  <c r="G684"/>
  <c r="G681"/>
  <c r="G680"/>
  <c r="G677"/>
  <c r="G676"/>
  <c r="G673"/>
  <c r="G672"/>
  <c r="G668"/>
  <c r="G664"/>
  <c r="G663"/>
  <c r="G660"/>
  <c r="G659"/>
  <c r="G656"/>
  <c r="G655"/>
  <c r="G652"/>
  <c r="G651"/>
  <c r="G648"/>
  <c r="G647"/>
  <c r="G644"/>
  <c r="G643"/>
  <c r="G639"/>
  <c r="G638"/>
  <c r="G635"/>
  <c r="G634"/>
  <c r="G631"/>
  <c r="G630"/>
  <c r="G627"/>
  <c r="G626"/>
  <c r="G622"/>
  <c r="G621"/>
  <c r="G618"/>
  <c r="G617"/>
  <c r="G614"/>
  <c r="G613"/>
  <c r="G610"/>
  <c r="G609"/>
  <c r="G606"/>
  <c r="G605"/>
  <c r="G602"/>
  <c r="G598"/>
  <c r="G597"/>
  <c r="G594"/>
  <c r="G593"/>
  <c r="G590"/>
  <c r="G589"/>
  <c r="G586"/>
  <c r="G585"/>
  <c r="G582"/>
  <c r="G581"/>
  <c r="G578"/>
  <c r="G577"/>
  <c r="G574"/>
  <c r="G573"/>
  <c r="G569"/>
  <c r="G568"/>
  <c r="G565"/>
  <c r="G564"/>
  <c r="G561"/>
  <c r="G560"/>
  <c r="G557"/>
  <c r="G556"/>
  <c r="G553"/>
  <c r="G552"/>
  <c r="G549"/>
  <c r="G548"/>
  <c r="G545"/>
  <c r="G544"/>
  <c r="G541"/>
  <c r="G540"/>
  <c r="G537"/>
  <c r="G536"/>
  <c r="G533"/>
  <c r="G532"/>
  <c r="G529"/>
  <c r="G520"/>
  <c r="G519"/>
  <c r="G516"/>
  <c r="G515"/>
  <c r="G512"/>
  <c r="G511"/>
  <c r="G508"/>
  <c r="G507"/>
  <c r="G509"/>
  <c r="G504"/>
  <c r="G503"/>
  <c r="G500"/>
  <c r="G499"/>
  <c r="G496"/>
  <c r="G495"/>
  <c r="G492"/>
  <c r="G491"/>
  <c r="G488"/>
  <c r="G487"/>
  <c r="G484"/>
  <c r="G483"/>
  <c r="G480"/>
  <c r="G479"/>
  <c r="G476"/>
  <c r="G475"/>
  <c r="G472"/>
  <c r="G471"/>
  <c r="G468"/>
  <c r="G467"/>
  <c r="G464"/>
  <c r="G463"/>
  <c r="G460"/>
  <c r="G459"/>
  <c r="G456"/>
  <c r="G455"/>
  <c r="G452"/>
  <c r="G451"/>
  <c r="G448"/>
  <c r="G447"/>
  <c r="G444"/>
  <c r="G443"/>
  <c r="G440"/>
  <c r="G439"/>
  <c r="G436"/>
  <c r="G435"/>
  <c r="G432"/>
  <c r="G431"/>
  <c r="G428"/>
  <c r="G427"/>
  <c r="G424"/>
  <c r="G423"/>
  <c r="G420"/>
  <c r="G419"/>
  <c r="G416"/>
  <c r="G415"/>
  <c r="G412"/>
  <c r="G411"/>
  <c r="G408"/>
  <c r="G407"/>
  <c r="G404"/>
  <c r="G403"/>
  <c r="G400"/>
  <c r="G399"/>
  <c r="G396"/>
  <c r="G395"/>
  <c r="G392"/>
  <c r="G391"/>
  <c r="G388"/>
  <c r="G387"/>
  <c r="G379"/>
  <c r="G378"/>
  <c r="G375"/>
  <c r="G374"/>
  <c r="G371"/>
  <c r="G370"/>
  <c r="G367"/>
  <c r="G366"/>
  <c r="G363"/>
  <c r="G362"/>
  <c r="G358"/>
  <c r="G354"/>
  <c r="G351"/>
  <c r="G350"/>
  <c r="G347"/>
  <c r="G346"/>
  <c r="G343"/>
  <c r="G342"/>
  <c r="G339"/>
  <c r="G338"/>
  <c r="G335"/>
  <c r="G334"/>
  <c r="G331"/>
  <c r="G330"/>
  <c r="G327"/>
  <c r="G326"/>
  <c r="G323"/>
  <c r="G322"/>
  <c r="G319"/>
  <c r="G318"/>
  <c r="G315"/>
  <c r="G314"/>
  <c r="G311"/>
  <c r="G310"/>
  <c r="G307"/>
  <c r="G306"/>
  <c r="G303"/>
  <c r="G302"/>
  <c r="G299"/>
  <c r="G298"/>
  <c r="G295"/>
  <c r="G294"/>
  <c r="G291"/>
  <c r="G290"/>
  <c r="G287"/>
  <c r="G286"/>
  <c r="G283"/>
  <c r="G282"/>
  <c r="G279"/>
  <c r="G278"/>
  <c r="G275"/>
  <c r="G274"/>
  <c r="G271"/>
  <c r="G270"/>
  <c r="G267"/>
  <c r="G266"/>
  <c r="G263"/>
  <c r="G262"/>
  <c r="G259"/>
  <c r="G258"/>
  <c r="G255"/>
  <c r="G254"/>
  <c r="G251"/>
  <c r="G250"/>
  <c r="G247"/>
  <c r="G246"/>
  <c r="G243"/>
  <c r="G242"/>
  <c r="G232"/>
  <c r="G229"/>
  <c r="G228"/>
  <c r="G225"/>
  <c r="G224"/>
  <c r="G220"/>
  <c r="G216"/>
  <c r="G212"/>
  <c r="G209"/>
  <c r="G208"/>
  <c r="G204"/>
  <c r="G201"/>
  <c r="G197"/>
  <c r="G193"/>
  <c r="G192"/>
  <c r="G189"/>
  <c r="G188"/>
  <c r="G185"/>
  <c r="G184"/>
  <c r="G181"/>
  <c r="G177"/>
  <c r="G176"/>
  <c r="G173"/>
  <c r="G172"/>
  <c r="G169"/>
  <c r="G168"/>
  <c r="G165"/>
  <c r="G164"/>
  <c r="G161"/>
  <c r="G160"/>
  <c r="G157"/>
  <c r="G156"/>
  <c r="G153"/>
  <c r="G152"/>
  <c r="G149"/>
  <c r="G148"/>
  <c r="G145"/>
  <c r="G141"/>
  <c r="G137"/>
  <c r="G136"/>
  <c r="G133"/>
  <c r="G132"/>
  <c r="G129"/>
  <c r="G125"/>
  <c r="G124"/>
  <c r="G121"/>
  <c r="G120"/>
  <c r="G117"/>
  <c r="G116"/>
  <c r="G113"/>
  <c r="G109"/>
  <c r="G105"/>
  <c r="G104"/>
  <c r="G101"/>
  <c r="G100"/>
  <c r="G97"/>
  <c r="G96"/>
  <c r="G93"/>
  <c r="G92"/>
  <c r="G84"/>
  <c r="G81"/>
  <c r="G80"/>
  <c r="G77"/>
  <c r="G76"/>
  <c r="G73"/>
  <c r="G72"/>
  <c r="G69"/>
  <c r="G68"/>
  <c r="G65"/>
  <c r="G64"/>
  <c r="G61"/>
  <c r="G60"/>
  <c r="G57"/>
  <c r="G56"/>
  <c r="G53"/>
  <c r="G52"/>
  <c r="G49"/>
  <c r="G48"/>
  <c r="G45"/>
  <c r="G44"/>
  <c r="G41"/>
  <c r="G40"/>
  <c r="G36"/>
  <c r="G35"/>
  <c r="G32"/>
  <c r="G31"/>
  <c r="G28"/>
  <c r="G27"/>
  <c r="G24"/>
  <c r="G23"/>
  <c r="G20"/>
  <c r="G16"/>
  <c r="G12"/>
  <c r="G11"/>
  <c r="F1162"/>
  <c r="F1150" i="309" l="1"/>
  <c r="N1575" i="306"/>
  <c r="B42" i="171"/>
  <c r="I42"/>
  <c r="J1150" i="309"/>
  <c r="O1150" s="1"/>
  <c r="O1150" i="140"/>
  <c r="L1150"/>
  <c r="K1150"/>
  <c r="I900" i="195"/>
  <c r="I896"/>
  <c r="I899"/>
  <c r="I892"/>
  <c r="I895"/>
  <c r="I891"/>
  <c r="I884"/>
  <c r="I887"/>
  <c r="I880"/>
  <c r="I883"/>
  <c r="I879"/>
  <c r="I872"/>
  <c r="I875"/>
  <c r="I868"/>
  <c r="I871"/>
  <c r="I867"/>
  <c r="I860"/>
  <c r="I863"/>
  <c r="I856"/>
  <c r="I859"/>
  <c r="I852"/>
  <c r="I855"/>
  <c r="I848"/>
  <c r="I851"/>
  <c r="I844"/>
  <c r="I847"/>
  <c r="I840"/>
  <c r="I843"/>
  <c r="I836"/>
  <c r="I839"/>
  <c r="I832"/>
  <c r="I835"/>
  <c r="I831"/>
  <c r="I820"/>
  <c r="I828"/>
  <c r="I816"/>
  <c r="I824"/>
  <c r="I815"/>
  <c r="I819"/>
  <c r="I823"/>
  <c r="I827"/>
  <c r="I803"/>
  <c r="I807"/>
  <c r="I811"/>
  <c r="I796"/>
  <c r="I799"/>
  <c r="I795"/>
  <c r="I791"/>
  <c r="I787"/>
  <c r="I780"/>
  <c r="I783"/>
  <c r="I776"/>
  <c r="I779"/>
  <c r="I772"/>
  <c r="I775"/>
  <c r="I771"/>
  <c r="I767"/>
  <c r="I763"/>
  <c r="I759"/>
  <c r="I752"/>
  <c r="I755"/>
  <c r="I748"/>
  <c r="I751"/>
  <c r="I747"/>
  <c r="I743"/>
  <c r="I739"/>
  <c r="I731"/>
  <c r="I734"/>
  <c r="I727"/>
  <c r="I730"/>
  <c r="I723"/>
  <c r="I726"/>
  <c r="I719"/>
  <c r="I722"/>
  <c r="I715"/>
  <c r="I718"/>
  <c r="I714"/>
  <c r="I707"/>
  <c r="I710"/>
  <c r="I706"/>
  <c r="I699"/>
  <c r="I702"/>
  <c r="I691"/>
  <c r="I694"/>
  <c r="I687"/>
  <c r="I690"/>
  <c r="I683"/>
  <c r="I686"/>
  <c r="I682"/>
  <c r="I670"/>
  <c r="I674"/>
  <c r="I678"/>
  <c r="I666"/>
  <c r="I658"/>
  <c r="I655"/>
  <c r="I651"/>
  <c r="I654"/>
  <c r="I650"/>
  <c r="I646"/>
  <c r="I639"/>
  <c r="I642"/>
  <c r="I635"/>
  <c r="I638"/>
  <c r="I631"/>
  <c r="I634"/>
  <c r="I627"/>
  <c r="I630"/>
  <c r="I623"/>
  <c r="I626"/>
  <c r="I622"/>
  <c r="I614"/>
  <c r="I617"/>
  <c r="I610"/>
  <c r="I613"/>
  <c r="I606"/>
  <c r="I609"/>
  <c r="I602"/>
  <c r="I605"/>
  <c r="I598"/>
  <c r="I601"/>
  <c r="I594"/>
  <c r="I593"/>
  <c r="I586"/>
  <c r="I589"/>
  <c r="I582"/>
  <c r="I585"/>
  <c r="I578"/>
  <c r="I581"/>
  <c r="I577"/>
  <c r="I570"/>
  <c r="I573"/>
  <c r="I569"/>
  <c r="I565"/>
  <c r="I561"/>
  <c r="I557"/>
  <c r="I550"/>
  <c r="I553"/>
  <c r="I546"/>
  <c r="I549"/>
  <c r="I542"/>
  <c r="I545"/>
  <c r="I538"/>
  <c r="I541"/>
  <c r="I534"/>
  <c r="I537"/>
  <c r="I533"/>
  <c r="I529"/>
  <c r="I517"/>
  <c r="I513"/>
  <c r="I516"/>
  <c r="I509"/>
  <c r="I512"/>
  <c r="I508"/>
  <c r="I501"/>
  <c r="E165" i="196" s="1"/>
  <c r="I504" i="195"/>
  <c r="I497"/>
  <c r="E161" i="196" s="1"/>
  <c r="I500" i="195"/>
  <c r="E164" i="196" s="1"/>
  <c r="I496" i="195"/>
  <c r="E160" i="196" s="1"/>
  <c r="I489" i="195"/>
  <c r="E153" i="196" s="1"/>
  <c r="I492" i="195"/>
  <c r="E156" i="196" s="1"/>
  <c r="I485" i="195"/>
  <c r="E149" i="196" s="1"/>
  <c r="I488" i="195"/>
  <c r="E152" i="196" s="1"/>
  <c r="I481" i="195"/>
  <c r="E145" i="196" s="1"/>
  <c r="I484" i="195"/>
  <c r="E148" i="196" s="1"/>
  <c r="I477" i="195"/>
  <c r="E141" i="196" s="1"/>
  <c r="I480" i="195"/>
  <c r="E144" i="196" s="1"/>
  <c r="I473" i="195"/>
  <c r="E137" i="196" s="1"/>
  <c r="I476" i="195"/>
  <c r="E140" i="196" s="1"/>
  <c r="I472" i="195"/>
  <c r="E136" i="196" s="1"/>
  <c r="I465" i="195"/>
  <c r="E77" i="196" s="1"/>
  <c r="I468" i="195"/>
  <c r="E132" i="196" s="1"/>
  <c r="I461" i="195"/>
  <c r="E129" i="196" s="1"/>
  <c r="I464" i="195"/>
  <c r="E76" i="196" s="1"/>
  <c r="I460" i="195"/>
  <c r="E128" i="196" s="1"/>
  <c r="I456" i="195"/>
  <c r="E124" i="196" s="1"/>
  <c r="I449" i="195"/>
  <c r="E117" i="196" s="1"/>
  <c r="I452" i="195"/>
  <c r="E120" i="196" s="1"/>
  <c r="I448" i="195"/>
  <c r="E116" i="196" s="1"/>
  <c r="I444" i="195"/>
  <c r="E112" i="196" s="1"/>
  <c r="I437" i="195"/>
  <c r="E101" i="196" s="1"/>
  <c r="I440" i="195"/>
  <c r="E104" i="196" s="1"/>
  <c r="I436" i="195"/>
  <c r="E100" i="196" s="1"/>
  <c r="I432" i="195"/>
  <c r="E92" i="196" s="1"/>
  <c r="I428" i="195"/>
  <c r="E96" i="196" s="1"/>
  <c r="I421" i="195"/>
  <c r="E81" i="196" s="1"/>
  <c r="I424" i="195"/>
  <c r="E84" i="196" s="1"/>
  <c r="I417" i="195"/>
  <c r="E73" i="196" s="1"/>
  <c r="I420" i="195"/>
  <c r="E80" i="196" s="1"/>
  <c r="I413" i="195"/>
  <c r="E69" i="196" s="1"/>
  <c r="I416" i="195"/>
  <c r="E72" i="196" s="1"/>
  <c r="I409" i="195"/>
  <c r="E65" i="196" s="1"/>
  <c r="I412" i="195"/>
  <c r="E68" i="196" s="1"/>
  <c r="I408" i="195"/>
  <c r="E64" i="196" s="1"/>
  <c r="I404" i="195"/>
  <c r="E60" i="196" s="1"/>
  <c r="I397" i="195"/>
  <c r="E57" i="196" s="1"/>
  <c r="I400" i="195"/>
  <c r="E48" i="196" s="1"/>
  <c r="I396" i="195"/>
  <c r="E56" i="196" s="1"/>
  <c r="I389" i="195"/>
  <c r="E45" i="196" s="1"/>
  <c r="I392" i="195"/>
  <c r="E52" i="196" s="1"/>
  <c r="I385" i="195"/>
  <c r="E37" i="196" s="1"/>
  <c r="I388" i="195"/>
  <c r="E44" i="196" s="1"/>
  <c r="I384" i="195"/>
  <c r="E36" i="196" s="1"/>
  <c r="I376" i="195"/>
  <c r="I372"/>
  <c r="I375"/>
  <c r="I368"/>
  <c r="I371"/>
  <c r="I367"/>
  <c r="I363"/>
  <c r="I359"/>
  <c r="D164" i="196" s="1"/>
  <c r="I355" i="195"/>
  <c r="D160" i="196" s="1"/>
  <c r="I348" i="195"/>
  <c r="D153" i="196" s="1"/>
  <c r="I351" i="195"/>
  <c r="D156" i="196" s="1"/>
  <c r="I347" i="195"/>
  <c r="D152" i="196" s="1"/>
  <c r="I340" i="195"/>
  <c r="D145" i="196" s="1"/>
  <c r="I343" i="195"/>
  <c r="D148" i="196" s="1"/>
  <c r="I339" i="195"/>
  <c r="D144" i="196" s="1"/>
  <c r="I323" i="195"/>
  <c r="D76" i="196" s="1"/>
  <c r="I327" i="195"/>
  <c r="D132" i="196" s="1"/>
  <c r="I331" i="195"/>
  <c r="D136" i="196" s="1"/>
  <c r="I335" i="195"/>
  <c r="D140" i="196" s="1"/>
  <c r="I319" i="195"/>
  <c r="D128" i="196" s="1"/>
  <c r="I312" i="195"/>
  <c r="D121" i="196" s="1"/>
  <c r="I315" i="195"/>
  <c r="D124" i="196" s="1"/>
  <c r="I311" i="195"/>
  <c r="D120" i="196" s="1"/>
  <c r="I307" i="195"/>
  <c r="D116" i="196" s="1"/>
  <c r="I296" i="195"/>
  <c r="D105" i="196" s="1"/>
  <c r="I304" i="195"/>
  <c r="D113" i="196" s="1"/>
  <c r="I300" i="195"/>
  <c r="D109" i="196" s="1"/>
  <c r="I292" i="195"/>
  <c r="D101" i="196" s="1"/>
  <c r="I295" i="195"/>
  <c r="D104" i="196" s="1"/>
  <c r="I299" i="195"/>
  <c r="D108" i="196" s="1"/>
  <c r="I303" i="195"/>
  <c r="D112" i="196" s="1"/>
  <c r="I288" i="195"/>
  <c r="D93" i="196" s="1"/>
  <c r="I291" i="195"/>
  <c r="D100" i="196" s="1"/>
  <c r="I284" i="195"/>
  <c r="D97" i="196" s="1"/>
  <c r="I287" i="195"/>
  <c r="D92" i="196" s="1"/>
  <c r="I280" i="195"/>
  <c r="D85" i="196" s="1"/>
  <c r="I283" i="195"/>
  <c r="D96" i="196" s="1"/>
  <c r="I279" i="195"/>
  <c r="D84" i="196" s="1"/>
  <c r="I275" i="195"/>
  <c r="D80" i="196" s="1"/>
  <c r="I271" i="195"/>
  <c r="D72" i="196" s="1"/>
  <c r="I260" i="195"/>
  <c r="I268"/>
  <c r="D69" i="196" s="1"/>
  <c r="I264" i="195"/>
  <c r="I259"/>
  <c r="I263"/>
  <c r="I267"/>
  <c r="D68" i="196" s="1"/>
  <c r="I239" i="195"/>
  <c r="D36" i="196" s="1"/>
  <c r="I243" i="195"/>
  <c r="D44" i="196" s="1"/>
  <c r="I247" i="195"/>
  <c r="D52" i="196" s="1"/>
  <c r="I251" i="195"/>
  <c r="D56" i="196" s="1"/>
  <c r="I255" i="195"/>
  <c r="D48" i="196" s="1"/>
  <c r="I230" i="195"/>
  <c r="I226"/>
  <c r="I222"/>
  <c r="I218"/>
  <c r="I210"/>
  <c r="I214"/>
  <c r="C168" i="196" s="1"/>
  <c r="I206" i="195"/>
  <c r="I199"/>
  <c r="I202"/>
  <c r="I198"/>
  <c r="I194"/>
  <c r="I183"/>
  <c r="I179"/>
  <c r="C165" i="196" s="1"/>
  <c r="I182" i="195"/>
  <c r="I175"/>
  <c r="C161" i="196" s="1"/>
  <c r="I171" i="195"/>
  <c r="C157" i="196" s="1"/>
  <c r="I170" i="195"/>
  <c r="C156" i="196" s="1"/>
  <c r="I174" i="195"/>
  <c r="C160" i="196" s="1"/>
  <c r="I159" i="195"/>
  <c r="C145" i="196" s="1"/>
  <c r="I162" i="195"/>
  <c r="C148" i="196" s="1"/>
  <c r="I166" i="195"/>
  <c r="C152" i="196" s="1"/>
  <c r="I155" i="195"/>
  <c r="C141" i="196" s="1"/>
  <c r="I158" i="195"/>
  <c r="C144" i="196" s="1"/>
  <c r="I147" i="195"/>
  <c r="C133" i="196" s="1"/>
  <c r="I150" i="195"/>
  <c r="C136" i="196" s="1"/>
  <c r="I143" i="195"/>
  <c r="C129" i="196" s="1"/>
  <c r="I131" i="195"/>
  <c r="C117" i="196" s="1"/>
  <c r="I134" i="195"/>
  <c r="C120" i="196" s="1"/>
  <c r="I130" i="195"/>
  <c r="C116" i="196" s="1"/>
  <c r="M1575" i="306" l="1"/>
  <c r="F1152" i="309" s="1"/>
  <c r="P1122" i="306"/>
  <c r="M1576"/>
  <c r="G9" i="303" s="1"/>
  <c r="L1150" i="309"/>
  <c r="K1150"/>
  <c r="D65" i="196"/>
  <c r="D61"/>
  <c r="D64"/>
  <c r="D60"/>
  <c r="G565" i="216"/>
  <c r="G564"/>
  <c r="G562"/>
  <c r="G561"/>
  <c r="G546"/>
  <c r="G545"/>
  <c r="G543"/>
  <c r="G542"/>
  <c r="E554"/>
  <c r="G579"/>
  <c r="E535"/>
  <c r="J1152" i="140" l="1"/>
  <c r="O1152" s="1"/>
  <c r="L1152" i="309"/>
  <c r="K1152"/>
  <c r="O1152"/>
  <c r="L1152" i="140"/>
  <c r="K1152" l="1"/>
  <c r="N6" i="250"/>
  <c r="N5"/>
  <c r="N4"/>
  <c r="K4"/>
  <c r="C4"/>
  <c r="N6" i="240"/>
  <c r="N5"/>
  <c r="N4"/>
  <c r="K4"/>
  <c r="C4"/>
  <c r="C4" i="226"/>
  <c r="C2" i="240"/>
  <c r="N6" i="226"/>
  <c r="N5"/>
  <c r="N4"/>
  <c r="C2"/>
  <c r="F494" i="216"/>
  <c r="E480"/>
  <c r="G19" i="140" l="1"/>
  <c r="C186" i="195"/>
  <c r="G196" i="140"/>
  <c r="F305" i="218"/>
  <c r="G305" s="1"/>
  <c r="F306"/>
  <c r="G306" s="1"/>
  <c r="F307"/>
  <c r="G307" s="1"/>
  <c r="F312"/>
  <c r="G312" s="1"/>
  <c r="G313" s="1"/>
  <c r="F315"/>
  <c r="G315" s="1"/>
  <c r="G316" s="1"/>
  <c r="F318"/>
  <c r="G318" s="1"/>
  <c r="F319"/>
  <c r="G319" s="1"/>
  <c r="F320"/>
  <c r="G320" s="1"/>
  <c r="F321"/>
  <c r="G321" s="1"/>
  <c r="F326"/>
  <c r="G326" s="1"/>
  <c r="G328" s="1"/>
  <c r="F331"/>
  <c r="G331" s="1"/>
  <c r="G333" s="1"/>
  <c r="G334" s="1"/>
  <c r="F337"/>
  <c r="G337" s="1"/>
  <c r="G339" s="1"/>
  <c r="G340" s="1"/>
  <c r="F343"/>
  <c r="G343" s="1"/>
  <c r="G345" s="1"/>
  <c r="G346" s="1"/>
  <c r="F348"/>
  <c r="G348" s="1"/>
  <c r="G350" s="1"/>
  <c r="F352"/>
  <c r="G352" s="1"/>
  <c r="G354" s="1"/>
  <c r="F356"/>
  <c r="G356" s="1"/>
  <c r="G358" s="1"/>
  <c r="F360"/>
  <c r="G360" s="1"/>
  <c r="G362" s="1"/>
  <c r="F364"/>
  <c r="G364" s="1"/>
  <c r="F365"/>
  <c r="G365" s="1"/>
  <c r="F370"/>
  <c r="G370" s="1"/>
  <c r="G372" s="1"/>
  <c r="F373"/>
  <c r="G373" s="1"/>
  <c r="G375" s="1"/>
  <c r="F376"/>
  <c r="G376" s="1"/>
  <c r="G378" s="1"/>
  <c r="F379"/>
  <c r="G379" s="1"/>
  <c r="G381" s="1"/>
  <c r="F383"/>
  <c r="G383" s="1"/>
  <c r="G385" s="1"/>
  <c r="F387"/>
  <c r="G387" s="1"/>
  <c r="G389" s="1"/>
  <c r="F391"/>
  <c r="G391" s="1"/>
  <c r="G393" s="1"/>
  <c r="F396"/>
  <c r="G396" s="1"/>
  <c r="F397"/>
  <c r="G397" s="1"/>
  <c r="F398"/>
  <c r="G398" s="1"/>
  <c r="F399"/>
  <c r="G399" s="1"/>
  <c r="F400"/>
  <c r="G400" s="1"/>
  <c r="F401"/>
  <c r="G401" s="1"/>
  <c r="F407"/>
  <c r="G407" s="1"/>
  <c r="F409"/>
  <c r="G409" s="1"/>
  <c r="F411"/>
  <c r="G411" s="1"/>
  <c r="F414"/>
  <c r="G414" s="1"/>
  <c r="G415" s="1"/>
  <c r="F417"/>
  <c r="G417" s="1"/>
  <c r="G418" s="1"/>
  <c r="F420"/>
  <c r="G420" s="1"/>
  <c r="G421" s="1"/>
  <c r="F423"/>
  <c r="G423" s="1"/>
  <c r="G424" s="1"/>
  <c r="F426"/>
  <c r="G426" s="1"/>
  <c r="G427" s="1"/>
  <c r="F429"/>
  <c r="G429" s="1"/>
  <c r="G430" s="1"/>
  <c r="F432"/>
  <c r="G432" s="1"/>
  <c r="G433" s="1"/>
  <c r="F435"/>
  <c r="G435" s="1"/>
  <c r="G436" s="1"/>
  <c r="F438"/>
  <c r="G438" s="1"/>
  <c r="G439" s="1"/>
  <c r="F441"/>
  <c r="G441" s="1"/>
  <c r="G442" s="1"/>
  <c r="F445"/>
  <c r="G445" s="1"/>
  <c r="G446" s="1"/>
  <c r="F449"/>
  <c r="G449" s="1"/>
  <c r="F450"/>
  <c r="G450" s="1"/>
  <c r="F451"/>
  <c r="G451" s="1"/>
  <c r="F456"/>
  <c r="G456" s="1"/>
  <c r="G457" s="1"/>
  <c r="F459"/>
  <c r="G459" s="1"/>
  <c r="G460" s="1"/>
  <c r="F462"/>
  <c r="G462" s="1"/>
  <c r="F463"/>
  <c r="G463" s="1"/>
  <c r="F464"/>
  <c r="G464" s="1"/>
  <c r="F465"/>
  <c r="G465" s="1"/>
  <c r="F470"/>
  <c r="G470" s="1"/>
  <c r="G472" s="1"/>
  <c r="F475"/>
  <c r="G475" s="1"/>
  <c r="G477" s="1"/>
  <c r="G478" s="1"/>
  <c r="F481"/>
  <c r="G481" s="1"/>
  <c r="G483" s="1"/>
  <c r="G484" s="1"/>
  <c r="F487"/>
  <c r="G487" s="1"/>
  <c r="G489" s="1"/>
  <c r="G490" s="1"/>
  <c r="F492"/>
  <c r="G492" s="1"/>
  <c r="G494" s="1"/>
  <c r="F496"/>
  <c r="G496" s="1"/>
  <c r="G498" s="1"/>
  <c r="F500"/>
  <c r="G500" s="1"/>
  <c r="G502" s="1"/>
  <c r="F504"/>
  <c r="G504" s="1"/>
  <c r="G506" s="1"/>
  <c r="F508"/>
  <c r="G508" s="1"/>
  <c r="F509"/>
  <c r="G509" s="1"/>
  <c r="F514"/>
  <c r="G514" s="1"/>
  <c r="G516" s="1"/>
  <c r="F517"/>
  <c r="G517" s="1"/>
  <c r="G519" s="1"/>
  <c r="F520"/>
  <c r="G520" s="1"/>
  <c r="G522" s="1"/>
  <c r="F523"/>
  <c r="G523" s="1"/>
  <c r="G525" s="1"/>
  <c r="F527"/>
  <c r="G527" s="1"/>
  <c r="G529" s="1"/>
  <c r="F531"/>
  <c r="G531" s="1"/>
  <c r="G533" s="1"/>
  <c r="F535"/>
  <c r="G535" s="1"/>
  <c r="G537" s="1"/>
  <c r="F540"/>
  <c r="G540" s="1"/>
  <c r="F541"/>
  <c r="G541" s="1"/>
  <c r="F542"/>
  <c r="G542" s="1"/>
  <c r="F543"/>
  <c r="G543" s="1"/>
  <c r="F544"/>
  <c r="G544" s="1"/>
  <c r="F545"/>
  <c r="G545" s="1"/>
  <c r="F551"/>
  <c r="G551" s="1"/>
  <c r="F553"/>
  <c r="G553" s="1"/>
  <c r="F555"/>
  <c r="G555" s="1"/>
  <c r="F558"/>
  <c r="G558" s="1"/>
  <c r="G559" s="1"/>
  <c r="F561"/>
  <c r="G561" s="1"/>
  <c r="G562" s="1"/>
  <c r="F564"/>
  <c r="G564" s="1"/>
  <c r="G565" s="1"/>
  <c r="F567"/>
  <c r="G567" s="1"/>
  <c r="G568" s="1"/>
  <c r="F570"/>
  <c r="G570" s="1"/>
  <c r="G571" s="1"/>
  <c r="F573"/>
  <c r="G573" s="1"/>
  <c r="G574" s="1"/>
  <c r="F576"/>
  <c r="G576" s="1"/>
  <c r="G577" s="1"/>
  <c r="F579"/>
  <c r="G579" s="1"/>
  <c r="G580" s="1"/>
  <c r="F582"/>
  <c r="G582" s="1"/>
  <c r="G583" s="1"/>
  <c r="F585"/>
  <c r="G585" s="1"/>
  <c r="G586" s="1"/>
  <c r="F589"/>
  <c r="G589" s="1"/>
  <c r="G590" s="1"/>
  <c r="H480" i="216"/>
  <c r="H481"/>
  <c r="H483"/>
  <c r="H484" s="1"/>
  <c r="F486" s="1"/>
  <c r="G485"/>
  <c r="H487"/>
  <c r="H488"/>
  <c r="G489"/>
  <c r="H489" s="1"/>
  <c r="H490"/>
  <c r="H491"/>
  <c r="G492"/>
  <c r="H492" s="1"/>
  <c r="G494"/>
  <c r="H494" s="1"/>
  <c r="L494" s="1"/>
  <c r="L495" s="1"/>
  <c r="H499"/>
  <c r="H500"/>
  <c r="G502"/>
  <c r="F503"/>
  <c r="G503"/>
  <c r="F504"/>
  <c r="G504"/>
  <c r="G505"/>
  <c r="H505" s="1"/>
  <c r="G506"/>
  <c r="H506" s="1"/>
  <c r="G507"/>
  <c r="H507" s="1"/>
  <c r="G508"/>
  <c r="G563" s="1"/>
  <c r="G509"/>
  <c r="H509" s="1"/>
  <c r="G510"/>
  <c r="H510" s="1"/>
  <c r="F512"/>
  <c r="G512"/>
  <c r="H517"/>
  <c r="H518"/>
  <c r="G520"/>
  <c r="F521"/>
  <c r="G521"/>
  <c r="F522"/>
  <c r="H522" s="1"/>
  <c r="G522"/>
  <c r="G523"/>
  <c r="H523" s="1"/>
  <c r="G524"/>
  <c r="H524" s="1"/>
  <c r="G525"/>
  <c r="H525" s="1"/>
  <c r="G526"/>
  <c r="H526" s="1"/>
  <c r="G527"/>
  <c r="H527" s="1"/>
  <c r="G528"/>
  <c r="H528" s="1"/>
  <c r="F530"/>
  <c r="G530"/>
  <c r="H535"/>
  <c r="H536"/>
  <c r="H537" s="1"/>
  <c r="F540" s="1"/>
  <c r="H538"/>
  <c r="H539" s="1"/>
  <c r="F541" s="1"/>
  <c r="G540"/>
  <c r="G559" s="1"/>
  <c r="H542"/>
  <c r="H543"/>
  <c r="H545"/>
  <c r="H546"/>
  <c r="G547"/>
  <c r="H547" s="1"/>
  <c r="F549"/>
  <c r="H554"/>
  <c r="H555"/>
  <c r="H557"/>
  <c r="H558" s="1"/>
  <c r="F560" s="1"/>
  <c r="H573"/>
  <c r="H574"/>
  <c r="H576"/>
  <c r="H577" s="1"/>
  <c r="F579" s="1"/>
  <c r="H579" s="1"/>
  <c r="G578"/>
  <c r="G580"/>
  <c r="H580" s="1"/>
  <c r="G581"/>
  <c r="H581" s="1"/>
  <c r="G582"/>
  <c r="H582" s="1"/>
  <c r="G583"/>
  <c r="H583" s="1"/>
  <c r="G584"/>
  <c r="H584" s="1"/>
  <c r="G585"/>
  <c r="H585" s="1"/>
  <c r="F587"/>
  <c r="G587"/>
  <c r="H592"/>
  <c r="H593"/>
  <c r="H595"/>
  <c r="H596" s="1"/>
  <c r="F598" s="1"/>
  <c r="G597"/>
  <c r="G598"/>
  <c r="F606"/>
  <c r="G606"/>
  <c r="H611"/>
  <c r="H612"/>
  <c r="H614"/>
  <c r="H615" s="1"/>
  <c r="F617" s="1"/>
  <c r="G616"/>
  <c r="G617"/>
  <c r="G619"/>
  <c r="H619" s="1"/>
  <c r="G621"/>
  <c r="H621" s="1"/>
  <c r="G623"/>
  <c r="H623" s="1"/>
  <c r="F625"/>
  <c r="G625"/>
  <c r="H625" s="1"/>
  <c r="H631"/>
  <c r="H632"/>
  <c r="G634"/>
  <c r="F635"/>
  <c r="F636" s="1"/>
  <c r="G635"/>
  <c r="H635" s="1"/>
  <c r="K635"/>
  <c r="G636"/>
  <c r="G637"/>
  <c r="H637" s="1"/>
  <c r="G638"/>
  <c r="H638" s="1"/>
  <c r="G639"/>
  <c r="H639" s="1"/>
  <c r="G640"/>
  <c r="H640" s="1"/>
  <c r="G641"/>
  <c r="H641" s="1"/>
  <c r="G642"/>
  <c r="H642" s="1"/>
  <c r="F644"/>
  <c r="G644"/>
  <c r="L645"/>
  <c r="H650"/>
  <c r="H651"/>
  <c r="G653"/>
  <c r="F654"/>
  <c r="F655" s="1"/>
  <c r="G654"/>
  <c r="G655"/>
  <c r="G656"/>
  <c r="H656" s="1"/>
  <c r="G657"/>
  <c r="H657" s="1"/>
  <c r="G658"/>
  <c r="H658" s="1"/>
  <c r="G659"/>
  <c r="H659" s="1"/>
  <c r="G660"/>
  <c r="H660" s="1"/>
  <c r="G661"/>
  <c r="H661" s="1"/>
  <c r="F663"/>
  <c r="G663"/>
  <c r="L664"/>
  <c r="G666"/>
  <c r="H666" s="1"/>
  <c r="G668"/>
  <c r="H668" s="1"/>
  <c r="L670"/>
  <c r="F672"/>
  <c r="H672" s="1"/>
  <c r="F673"/>
  <c r="H673" s="1"/>
  <c r="F674"/>
  <c r="H674" s="1"/>
  <c r="F675"/>
  <c r="H675" s="1"/>
  <c r="G679"/>
  <c r="H679" s="1"/>
  <c r="G680"/>
  <c r="H680" s="1"/>
  <c r="F681"/>
  <c r="G681"/>
  <c r="G682"/>
  <c r="H682" s="1"/>
  <c r="G683"/>
  <c r="H683" s="1"/>
  <c r="G684"/>
  <c r="H684" s="1"/>
  <c r="G685"/>
  <c r="H685" s="1"/>
  <c r="G686"/>
  <c r="H686" s="1"/>
  <c r="F693"/>
  <c r="G694"/>
  <c r="H694" s="1"/>
  <c r="G698"/>
  <c r="H698" s="1"/>
  <c r="F702"/>
  <c r="H702" s="1"/>
  <c r="H703" s="1"/>
  <c r="F704"/>
  <c r="H704" s="1"/>
  <c r="H705" s="1"/>
  <c r="F706"/>
  <c r="H706" s="1"/>
  <c r="H707" s="1"/>
  <c r="F709"/>
  <c r="H709" s="1"/>
  <c r="H710" s="1"/>
  <c r="H715"/>
  <c r="H716"/>
  <c r="H718"/>
  <c r="H719" s="1"/>
  <c r="F721" s="1"/>
  <c r="G720"/>
  <c r="G721"/>
  <c r="G722"/>
  <c r="H722" s="1"/>
  <c r="G723"/>
  <c r="H723" s="1"/>
  <c r="G724"/>
  <c r="H724" s="1"/>
  <c r="G725"/>
  <c r="H725" s="1"/>
  <c r="G726"/>
  <c r="H726" s="1"/>
  <c r="G727"/>
  <c r="H727" s="1"/>
  <c r="G729"/>
  <c r="H729" s="1"/>
  <c r="L729" s="1"/>
  <c r="L730" s="1"/>
  <c r="H734"/>
  <c r="H735"/>
  <c r="F738"/>
  <c r="G738"/>
  <c r="F739"/>
  <c r="G739"/>
  <c r="G740"/>
  <c r="H740" s="1"/>
  <c r="G741"/>
  <c r="H741" s="1"/>
  <c r="G742"/>
  <c r="H742" s="1"/>
  <c r="G743"/>
  <c r="H743" s="1"/>
  <c r="G744"/>
  <c r="H744" s="1"/>
  <c r="G745"/>
  <c r="H745" s="1"/>
  <c r="F747"/>
  <c r="G747"/>
  <c r="H752"/>
  <c r="H753"/>
  <c r="G755"/>
  <c r="F756"/>
  <c r="G756"/>
  <c r="F757"/>
  <c r="G757"/>
  <c r="G758"/>
  <c r="H758" s="1"/>
  <c r="G759"/>
  <c r="H759" s="1"/>
  <c r="G760"/>
  <c r="H760" s="1"/>
  <c r="G761"/>
  <c r="H761" s="1"/>
  <c r="G762"/>
  <c r="H762" s="1"/>
  <c r="G763"/>
  <c r="H763" s="1"/>
  <c r="F765"/>
  <c r="G765"/>
  <c r="H770"/>
  <c r="H771"/>
  <c r="H773"/>
  <c r="H774" s="1"/>
  <c r="F776" s="1"/>
  <c r="G775"/>
  <c r="G794" s="1"/>
  <c r="G776"/>
  <c r="G777"/>
  <c r="H777" s="1"/>
  <c r="G778"/>
  <c r="H778" s="1"/>
  <c r="G779"/>
  <c r="H779" s="1"/>
  <c r="G781"/>
  <c r="H781" s="1"/>
  <c r="G782"/>
  <c r="H782" s="1"/>
  <c r="F784"/>
  <c r="G784"/>
  <c r="H789"/>
  <c r="H790"/>
  <c r="H792"/>
  <c r="H793" s="1"/>
  <c r="F795" s="1"/>
  <c r="G795"/>
  <c r="F803"/>
  <c r="H808"/>
  <c r="H809"/>
  <c r="H811"/>
  <c r="H812" s="1"/>
  <c r="F814" s="1"/>
  <c r="G813"/>
  <c r="G814"/>
  <c r="G815"/>
  <c r="H815" s="1"/>
  <c r="G816"/>
  <c r="H816" s="1"/>
  <c r="G817"/>
  <c r="H817" s="1"/>
  <c r="G818"/>
  <c r="H818" s="1"/>
  <c r="G819"/>
  <c r="H819" s="1"/>
  <c r="G820"/>
  <c r="H820" s="1"/>
  <c r="F822"/>
  <c r="G822"/>
  <c r="H827"/>
  <c r="H828"/>
  <c r="H830"/>
  <c r="H831" s="1"/>
  <c r="F833" s="1"/>
  <c r="G832"/>
  <c r="G833"/>
  <c r="G835"/>
  <c r="H835" s="1"/>
  <c r="G839"/>
  <c r="H839" s="1"/>
  <c r="F841"/>
  <c r="H846"/>
  <c r="H847"/>
  <c r="H849"/>
  <c r="H850" s="1"/>
  <c r="F852" s="1"/>
  <c r="G851"/>
  <c r="G852"/>
  <c r="G853"/>
  <c r="H853" s="1"/>
  <c r="G854"/>
  <c r="H854" s="1"/>
  <c r="G855"/>
  <c r="H855" s="1"/>
  <c r="G857"/>
  <c r="H857" s="1"/>
  <c r="G858"/>
  <c r="H858" s="1"/>
  <c r="F860"/>
  <c r="G860"/>
  <c r="H866"/>
  <c r="H867"/>
  <c r="G869"/>
  <c r="F870"/>
  <c r="G870"/>
  <c r="K870"/>
  <c r="F871"/>
  <c r="G871"/>
  <c r="G872"/>
  <c r="H872" s="1"/>
  <c r="G873"/>
  <c r="H873" s="1"/>
  <c r="G874"/>
  <c r="H874" s="1"/>
  <c r="G875"/>
  <c r="H875" s="1"/>
  <c r="G876"/>
  <c r="H876" s="1"/>
  <c r="G877"/>
  <c r="H877" s="1"/>
  <c r="F879"/>
  <c r="G879"/>
  <c r="L880"/>
  <c r="H885"/>
  <c r="H886"/>
  <c r="G888"/>
  <c r="F889"/>
  <c r="G889"/>
  <c r="H889" s="1"/>
  <c r="F890"/>
  <c r="G890"/>
  <c r="G891"/>
  <c r="H891" s="1"/>
  <c r="G892"/>
  <c r="H892" s="1"/>
  <c r="G893"/>
  <c r="H893" s="1"/>
  <c r="G894"/>
  <c r="H894" s="1"/>
  <c r="G895"/>
  <c r="H895" s="1"/>
  <c r="G896"/>
  <c r="H896" s="1"/>
  <c r="F898"/>
  <c r="G898"/>
  <c r="L899"/>
  <c r="G901"/>
  <c r="H901" s="1"/>
  <c r="G903"/>
  <c r="H903" s="1"/>
  <c r="L905"/>
  <c r="F907"/>
  <c r="H907" s="1"/>
  <c r="F908"/>
  <c r="H908" s="1"/>
  <c r="F909"/>
  <c r="H909" s="1"/>
  <c r="F910"/>
  <c r="H910" s="1"/>
  <c r="G914"/>
  <c r="H914" s="1"/>
  <c r="G915"/>
  <c r="H915" s="1"/>
  <c r="F916"/>
  <c r="G916"/>
  <c r="G917"/>
  <c r="H917" s="1"/>
  <c r="G918"/>
  <c r="H918" s="1"/>
  <c r="G919"/>
  <c r="H919" s="1"/>
  <c r="G920"/>
  <c r="H920" s="1"/>
  <c r="G921"/>
  <c r="H921" s="1"/>
  <c r="G927"/>
  <c r="H927" s="1"/>
  <c r="F928"/>
  <c r="F937"/>
  <c r="H937" s="1"/>
  <c r="H938" s="1"/>
  <c r="F939"/>
  <c r="H939" s="1"/>
  <c r="H940" s="1"/>
  <c r="F941"/>
  <c r="H941" s="1"/>
  <c r="H942" s="1"/>
  <c r="F944"/>
  <c r="H944" s="1"/>
  <c r="H945" s="1"/>
  <c r="H576" i="215"/>
  <c r="I576" s="1"/>
  <c r="H577"/>
  <c r="I577" s="1"/>
  <c r="I578"/>
  <c r="I580"/>
  <c r="H581"/>
  <c r="I581" s="1"/>
  <c r="H582"/>
  <c r="I582" s="1"/>
  <c r="H588"/>
  <c r="I588" s="1"/>
  <c r="H589"/>
  <c r="I589" s="1"/>
  <c r="I590"/>
  <c r="H591"/>
  <c r="I591" s="1"/>
  <c r="H593"/>
  <c r="I593" s="1"/>
  <c r="H594"/>
  <c r="I594" s="1"/>
  <c r="H595"/>
  <c r="I595" s="1"/>
  <c r="H596"/>
  <c r="I596" s="1"/>
  <c r="H602"/>
  <c r="I602" s="1"/>
  <c r="I603" s="1"/>
  <c r="H605"/>
  <c r="I605" s="1"/>
  <c r="I606" s="1"/>
  <c r="H608"/>
  <c r="I608" s="1"/>
  <c r="I609" s="1"/>
  <c r="H611"/>
  <c r="I611" s="1"/>
  <c r="I612" s="1"/>
  <c r="H614"/>
  <c r="I614" s="1"/>
  <c r="I615" s="1"/>
  <c r="H617"/>
  <c r="I617" s="1"/>
  <c r="H618"/>
  <c r="I618" s="1"/>
  <c r="H622"/>
  <c r="I622" s="1"/>
  <c r="H625"/>
  <c r="I625" s="1"/>
  <c r="I626" s="1"/>
  <c r="H628"/>
  <c r="I628" s="1"/>
  <c r="I629" s="1"/>
  <c r="H631"/>
  <c r="I631" s="1"/>
  <c r="I632" s="1"/>
  <c r="H634"/>
  <c r="I634" s="1"/>
  <c r="I635" s="1"/>
  <c r="H637"/>
  <c r="I637" s="1"/>
  <c r="I638" s="1"/>
  <c r="H640"/>
  <c r="I640" s="1"/>
  <c r="H641"/>
  <c r="I641" s="1"/>
  <c r="H644"/>
  <c r="I644" s="1"/>
  <c r="I645" s="1"/>
  <c r="H648"/>
  <c r="I648" s="1"/>
  <c r="I649" s="1"/>
  <c r="H651"/>
  <c r="I651" s="1"/>
  <c r="I652" s="1"/>
  <c r="H657"/>
  <c r="I657" s="1"/>
  <c r="H658"/>
  <c r="I658" s="1"/>
  <c r="I659"/>
  <c r="H661"/>
  <c r="I661" s="1"/>
  <c r="H662"/>
  <c r="I662" s="1"/>
  <c r="H669"/>
  <c r="I669" s="1"/>
  <c r="H670"/>
  <c r="I670" s="1"/>
  <c r="I671"/>
  <c r="H673"/>
  <c r="I673" s="1"/>
  <c r="H674"/>
  <c r="I674" s="1"/>
  <c r="H675"/>
  <c r="I675" s="1"/>
  <c r="H680"/>
  <c r="I680" s="1"/>
  <c r="I681"/>
  <c r="H683"/>
  <c r="I683" s="1"/>
  <c r="H684"/>
  <c r="I684" s="1"/>
  <c r="H688"/>
  <c r="I688" s="1"/>
  <c r="I689"/>
  <c r="H691"/>
  <c r="I691" s="1"/>
  <c r="H692"/>
  <c r="I692" s="1"/>
  <c r="H693"/>
  <c r="I693" s="1"/>
  <c r="H697"/>
  <c r="I697" s="1"/>
  <c r="I698"/>
  <c r="H700"/>
  <c r="I700" s="1"/>
  <c r="H701"/>
  <c r="I701" s="1"/>
  <c r="H706"/>
  <c r="I706" s="1"/>
  <c r="H707"/>
  <c r="I707" s="1"/>
  <c r="I708"/>
  <c r="H710"/>
  <c r="I710" s="1"/>
  <c r="H717"/>
  <c r="I717" s="1"/>
  <c r="H718"/>
  <c r="I718" s="1"/>
  <c r="I719"/>
  <c r="H720"/>
  <c r="I720" s="1"/>
  <c r="H726"/>
  <c r="I726" s="1"/>
  <c r="H727"/>
  <c r="I727" s="1"/>
  <c r="I728"/>
  <c r="H730"/>
  <c r="I730" s="1"/>
  <c r="H736"/>
  <c r="I736" s="1"/>
  <c r="H737"/>
  <c r="I737" s="1"/>
  <c r="I738"/>
  <c r="H740"/>
  <c r="I740" s="1"/>
  <c r="H745"/>
  <c r="I745" s="1"/>
  <c r="H746"/>
  <c r="I746" s="1"/>
  <c r="I747"/>
  <c r="H749"/>
  <c r="I749" s="1"/>
  <c r="H750"/>
  <c r="I750" s="1"/>
  <c r="H751"/>
  <c r="I751" s="1"/>
  <c r="H757"/>
  <c r="I757" s="1"/>
  <c r="I758"/>
  <c r="H760"/>
  <c r="I760" s="1"/>
  <c r="H761"/>
  <c r="I761" s="1"/>
  <c r="H767"/>
  <c r="I767" s="1"/>
  <c r="I768"/>
  <c r="H770"/>
  <c r="I770" s="1"/>
  <c r="H771"/>
  <c r="I771" s="1"/>
  <c r="H772"/>
  <c r="I772" s="1"/>
  <c r="I773" s="1"/>
  <c r="H776"/>
  <c r="I776" s="1"/>
  <c r="I777" s="1"/>
  <c r="I778" s="1"/>
  <c r="H780"/>
  <c r="I780" s="1"/>
  <c r="H781"/>
  <c r="I781" s="1"/>
  <c r="H786"/>
  <c r="I786" s="1"/>
  <c r="H787"/>
  <c r="I787" s="1"/>
  <c r="H789"/>
  <c r="I789" s="1"/>
  <c r="H793"/>
  <c r="I793" s="1"/>
  <c r="H795"/>
  <c r="I795" s="1"/>
  <c r="H798"/>
  <c r="I798" s="1"/>
  <c r="H799"/>
  <c r="I799" s="1"/>
  <c r="I800"/>
  <c r="H804"/>
  <c r="I804" s="1"/>
  <c r="H805"/>
  <c r="I805" s="1"/>
  <c r="H807"/>
  <c r="I807" s="1"/>
  <c r="H808"/>
  <c r="I808" s="1"/>
  <c r="H813"/>
  <c r="I813" s="1"/>
  <c r="H814"/>
  <c r="I814" s="1"/>
  <c r="I815"/>
  <c r="H817"/>
  <c r="I817" s="1"/>
  <c r="H818"/>
  <c r="I818" s="1"/>
  <c r="H819"/>
  <c r="I819" s="1"/>
  <c r="H823"/>
  <c r="I823" s="1"/>
  <c r="H824"/>
  <c r="I824" s="1"/>
  <c r="H825"/>
  <c r="I825" s="1"/>
  <c r="H827"/>
  <c r="I827" s="1"/>
  <c r="H828"/>
  <c r="I828" s="1"/>
  <c r="H829"/>
  <c r="I829" s="1"/>
  <c r="H833"/>
  <c r="I833" s="1"/>
  <c r="I834"/>
  <c r="H836"/>
  <c r="I836" s="1"/>
  <c r="H837"/>
  <c r="I837" s="1"/>
  <c r="H838"/>
  <c r="I838" s="1"/>
  <c r="H839"/>
  <c r="I839" s="1"/>
  <c r="H840"/>
  <c r="I840" s="1"/>
  <c r="H841"/>
  <c r="I841" s="1"/>
  <c r="H842"/>
  <c r="I842" s="1"/>
  <c r="H843"/>
  <c r="I843" s="1"/>
  <c r="H844"/>
  <c r="I844" s="1"/>
  <c r="H845"/>
  <c r="I845" s="1"/>
  <c r="H846"/>
  <c r="I846" s="1"/>
  <c r="H851"/>
  <c r="I851" s="1"/>
  <c r="I852" s="1"/>
  <c r="H854"/>
  <c r="I854" s="1"/>
  <c r="I855" s="1"/>
  <c r="H860"/>
  <c r="I860" s="1"/>
  <c r="H861"/>
  <c r="I861" s="1"/>
  <c r="I862"/>
  <c r="I864"/>
  <c r="H865"/>
  <c r="I865" s="1"/>
  <c r="H866"/>
  <c r="I866" s="1"/>
  <c r="H872"/>
  <c r="I872" s="1"/>
  <c r="H873"/>
  <c r="I873" s="1"/>
  <c r="I874"/>
  <c r="H875"/>
  <c r="I875" s="1"/>
  <c r="H877"/>
  <c r="I877" s="1"/>
  <c r="H878"/>
  <c r="I878" s="1"/>
  <c r="H879"/>
  <c r="I879" s="1"/>
  <c r="H880"/>
  <c r="I880" s="1"/>
  <c r="H886"/>
  <c r="I886" s="1"/>
  <c r="I887" s="1"/>
  <c r="H889"/>
  <c r="I889" s="1"/>
  <c r="I890" s="1"/>
  <c r="H892"/>
  <c r="I892" s="1"/>
  <c r="I893" s="1"/>
  <c r="H895"/>
  <c r="I895" s="1"/>
  <c r="I896" s="1"/>
  <c r="H898"/>
  <c r="I898" s="1"/>
  <c r="I899" s="1"/>
  <c r="H901"/>
  <c r="I901" s="1"/>
  <c r="H906"/>
  <c r="I906" s="1"/>
  <c r="H909"/>
  <c r="I909" s="1"/>
  <c r="I910" s="1"/>
  <c r="H912"/>
  <c r="I912" s="1"/>
  <c r="I913" s="1"/>
  <c r="H915"/>
  <c r="I915" s="1"/>
  <c r="I916" s="1"/>
  <c r="H918"/>
  <c r="I918"/>
  <c r="I919" s="1"/>
  <c r="H921"/>
  <c r="I921" s="1"/>
  <c r="I922" s="1"/>
  <c r="H924"/>
  <c r="I924" s="1"/>
  <c r="H925"/>
  <c r="I925" s="1"/>
  <c r="H928"/>
  <c r="I928" s="1"/>
  <c r="I929" s="1"/>
  <c r="H932"/>
  <c r="I932" s="1"/>
  <c r="I933" s="1"/>
  <c r="H935"/>
  <c r="I935" s="1"/>
  <c r="I936" s="1"/>
  <c r="H941"/>
  <c r="I941" s="1"/>
  <c r="H942"/>
  <c r="I942" s="1"/>
  <c r="I943"/>
  <c r="H945"/>
  <c r="I945" s="1"/>
  <c r="H946"/>
  <c r="I946" s="1"/>
  <c r="H953"/>
  <c r="I953" s="1"/>
  <c r="H954"/>
  <c r="I954" s="1"/>
  <c r="I955"/>
  <c r="H957"/>
  <c r="I957" s="1"/>
  <c r="H958"/>
  <c r="I958" s="1"/>
  <c r="H959"/>
  <c r="I959" s="1"/>
  <c r="H964"/>
  <c r="I964" s="1"/>
  <c r="I965"/>
  <c r="H967"/>
  <c r="I967" s="1"/>
  <c r="H968"/>
  <c r="I968" s="1"/>
  <c r="H972"/>
  <c r="I972" s="1"/>
  <c r="I973"/>
  <c r="H975"/>
  <c r="I975" s="1"/>
  <c r="H976"/>
  <c r="I976" s="1"/>
  <c r="H977"/>
  <c r="I977" s="1"/>
  <c r="H981"/>
  <c r="I981" s="1"/>
  <c r="I982"/>
  <c r="H984"/>
  <c r="I984" s="1"/>
  <c r="H985"/>
  <c r="I985" s="1"/>
  <c r="H990"/>
  <c r="I990" s="1"/>
  <c r="H991"/>
  <c r="I991" s="1"/>
  <c r="I992"/>
  <c r="H994"/>
  <c r="I994" s="1"/>
  <c r="H1001"/>
  <c r="I1001" s="1"/>
  <c r="H1002"/>
  <c r="I1002" s="1"/>
  <c r="I1003"/>
  <c r="H1004"/>
  <c r="I1004" s="1"/>
  <c r="H1010"/>
  <c r="I1010" s="1"/>
  <c r="H1011"/>
  <c r="I1011" s="1"/>
  <c r="I1012"/>
  <c r="H1014"/>
  <c r="I1014" s="1"/>
  <c r="H1020"/>
  <c r="I1020" s="1"/>
  <c r="H1021"/>
  <c r="I1021" s="1"/>
  <c r="I1022"/>
  <c r="H1024"/>
  <c r="I1024" s="1"/>
  <c r="H1029"/>
  <c r="I1029" s="1"/>
  <c r="H1030"/>
  <c r="I1030" s="1"/>
  <c r="I1031"/>
  <c r="H1033"/>
  <c r="I1033" s="1"/>
  <c r="H1034"/>
  <c r="I1034" s="1"/>
  <c r="H1035"/>
  <c r="I1035" s="1"/>
  <c r="H1041"/>
  <c r="I1041" s="1"/>
  <c r="I1042"/>
  <c r="H1044"/>
  <c r="I1044" s="1"/>
  <c r="H1045"/>
  <c r="I1045" s="1"/>
  <c r="H1051"/>
  <c r="I1051" s="1"/>
  <c r="I1052"/>
  <c r="H1054"/>
  <c r="I1054" s="1"/>
  <c r="H1055"/>
  <c r="I1055" s="1"/>
  <c r="H1056"/>
  <c r="I1056" s="1"/>
  <c r="I1057" s="1"/>
  <c r="H1060"/>
  <c r="I1060" s="1"/>
  <c r="I1061" s="1"/>
  <c r="I1062" s="1"/>
  <c r="H1064"/>
  <c r="I1064" s="1"/>
  <c r="H1065"/>
  <c r="I1065" s="1"/>
  <c r="H1070"/>
  <c r="I1070" s="1"/>
  <c r="I1071"/>
  <c r="H1073"/>
  <c r="I1073" s="1"/>
  <c r="I1077"/>
  <c r="H1079"/>
  <c r="I1079" s="1"/>
  <c r="H1082"/>
  <c r="I1082" s="1"/>
  <c r="H1083"/>
  <c r="I1083" s="1"/>
  <c r="H1084"/>
  <c r="I1084" s="1"/>
  <c r="H1088"/>
  <c r="I1088" s="1"/>
  <c r="H1089"/>
  <c r="I1089" s="1"/>
  <c r="H1091"/>
  <c r="I1091" s="1"/>
  <c r="H1092"/>
  <c r="I1092" s="1"/>
  <c r="H1097"/>
  <c r="I1097" s="1"/>
  <c r="H1098"/>
  <c r="I1098" s="1"/>
  <c r="I1099"/>
  <c r="H1101"/>
  <c r="I1101" s="1"/>
  <c r="H1102"/>
  <c r="I1102" s="1"/>
  <c r="H1103"/>
  <c r="I1103" s="1"/>
  <c r="H1107"/>
  <c r="I1107" s="1"/>
  <c r="H1108"/>
  <c r="I1108" s="1"/>
  <c r="H1109"/>
  <c r="I1109" s="1"/>
  <c r="H1111"/>
  <c r="I1111" s="1"/>
  <c r="H1112"/>
  <c r="I1112" s="1"/>
  <c r="I1113"/>
  <c r="H1117"/>
  <c r="I1117" s="1"/>
  <c r="I1118"/>
  <c r="H1120"/>
  <c r="I1120" s="1"/>
  <c r="H1121"/>
  <c r="I1121" s="1"/>
  <c r="H1122"/>
  <c r="I1122" s="1"/>
  <c r="H1123"/>
  <c r="I1123" s="1"/>
  <c r="H1124"/>
  <c r="I1124" s="1"/>
  <c r="H1125"/>
  <c r="I1125" s="1"/>
  <c r="H1126"/>
  <c r="I1126" s="1"/>
  <c r="H1127"/>
  <c r="I1127" s="1"/>
  <c r="H1128"/>
  <c r="I1128" s="1"/>
  <c r="H1129"/>
  <c r="I1129" s="1"/>
  <c r="H1130"/>
  <c r="I1130" s="1"/>
  <c r="H1135"/>
  <c r="I1135" s="1"/>
  <c r="I1136" s="1"/>
  <c r="H1138"/>
  <c r="I1138" s="1"/>
  <c r="I1139" s="1"/>
  <c r="E1842" i="214"/>
  <c r="F1844"/>
  <c r="G1844" s="1"/>
  <c r="E1847"/>
  <c r="F1849"/>
  <c r="G1849" s="1"/>
  <c r="E1852"/>
  <c r="F1854"/>
  <c r="G1854" s="1"/>
  <c r="E1857"/>
  <c r="F1859"/>
  <c r="G1859" s="1"/>
  <c r="E1862"/>
  <c r="F1864"/>
  <c r="G1864" s="1"/>
  <c r="G1876"/>
  <c r="G1877" s="1"/>
  <c r="G1881"/>
  <c r="G1882" s="1"/>
  <c r="F1887"/>
  <c r="G1887" s="1"/>
  <c r="F1895"/>
  <c r="G1895" s="1"/>
  <c r="F1903"/>
  <c r="G1903" s="1"/>
  <c r="F1910"/>
  <c r="G1910" s="1"/>
  <c r="F1911"/>
  <c r="G1911" s="1"/>
  <c r="F1919"/>
  <c r="G1919" s="1"/>
  <c r="F1921"/>
  <c r="G1921" s="1"/>
  <c r="F1923"/>
  <c r="G1923" s="1"/>
  <c r="F1924"/>
  <c r="G1924" s="1"/>
  <c r="F1931"/>
  <c r="G1931" s="1"/>
  <c r="F1933"/>
  <c r="G1933" s="1"/>
  <c r="F1935"/>
  <c r="G1935" s="1"/>
  <c r="F1936"/>
  <c r="G1936" s="1"/>
  <c r="F1945"/>
  <c r="G1945" s="1"/>
  <c r="F1946"/>
  <c r="G1946" s="1"/>
  <c r="F1947"/>
  <c r="G1947" s="1"/>
  <c r="F1949"/>
  <c r="G1949" s="1"/>
  <c r="F1950"/>
  <c r="G1950" s="1"/>
  <c r="F1951"/>
  <c r="G1951" s="1"/>
  <c r="F1955"/>
  <c r="G1955" s="1"/>
  <c r="F1956"/>
  <c r="G1956" s="1"/>
  <c r="F1960"/>
  <c r="G1960" s="1"/>
  <c r="F1961"/>
  <c r="G1961" s="1"/>
  <c r="F1965"/>
  <c r="G1965" s="1"/>
  <c r="F1966"/>
  <c r="G1966" s="1"/>
  <c r="E1973"/>
  <c r="E2000" s="1"/>
  <c r="E2063" s="1"/>
  <c r="E2091" s="1"/>
  <c r="F1975"/>
  <c r="G1975" s="1"/>
  <c r="F1976"/>
  <c r="G1976" s="1"/>
  <c r="F1977"/>
  <c r="G1977" s="1"/>
  <c r="F1979"/>
  <c r="G1979" s="1"/>
  <c r="F1980"/>
  <c r="G1980" s="1"/>
  <c r="F1981"/>
  <c r="G1981" s="1"/>
  <c r="E1985"/>
  <c r="F1985" s="1"/>
  <c r="E1986"/>
  <c r="F1986"/>
  <c r="G1986"/>
  <c r="E1991"/>
  <c r="F1991" s="1"/>
  <c r="E1992"/>
  <c r="F1992"/>
  <c r="G1992"/>
  <c r="F2002"/>
  <c r="G2002" s="1"/>
  <c r="F2003"/>
  <c r="G2003" s="1"/>
  <c r="F2004"/>
  <c r="G2004" s="1"/>
  <c r="F2006"/>
  <c r="G2006" s="1"/>
  <c r="F2007"/>
  <c r="G2007" s="1"/>
  <c r="F2008"/>
  <c r="G2008" s="1"/>
  <c r="E2012"/>
  <c r="F2012" s="1"/>
  <c r="E2013"/>
  <c r="F2013"/>
  <c r="G2013"/>
  <c r="E2019"/>
  <c r="F2019" s="1"/>
  <c r="E2020"/>
  <c r="E2076" s="1"/>
  <c r="F2020"/>
  <c r="F2076" s="1"/>
  <c r="G2020"/>
  <c r="E2026"/>
  <c r="F2026" s="1"/>
  <c r="E2027"/>
  <c r="E2034" s="1"/>
  <c r="F2027"/>
  <c r="F2034" s="1"/>
  <c r="G2027"/>
  <c r="G2034" s="1"/>
  <c r="E2039"/>
  <c r="F2039" s="1"/>
  <c r="E2040"/>
  <c r="F2040"/>
  <c r="G2040"/>
  <c r="F2065"/>
  <c r="G2065" s="1"/>
  <c r="F2066"/>
  <c r="G2066" s="1"/>
  <c r="F2067"/>
  <c r="G2067" s="1"/>
  <c r="F2069"/>
  <c r="G2069" s="1"/>
  <c r="F2070"/>
  <c r="G2070" s="1"/>
  <c r="E2075"/>
  <c r="F2075" s="1"/>
  <c r="G2076"/>
  <c r="E2082"/>
  <c r="F2082" s="1"/>
  <c r="G2083"/>
  <c r="F2093"/>
  <c r="G2093" s="1"/>
  <c r="F2094"/>
  <c r="G2094" s="1"/>
  <c r="F2096"/>
  <c r="G2096" s="1"/>
  <c r="F2097"/>
  <c r="G2097" s="1"/>
  <c r="F2098"/>
  <c r="G2098" s="1"/>
  <c r="E2102"/>
  <c r="F2102" s="1"/>
  <c r="G2102" s="1"/>
  <c r="E2103"/>
  <c r="F2103" s="1"/>
  <c r="G2103" s="1"/>
  <c r="F2111"/>
  <c r="G2111" s="1"/>
  <c r="F2113"/>
  <c r="G2113" s="1"/>
  <c r="F2114"/>
  <c r="G2114" s="1"/>
  <c r="F2124"/>
  <c r="G2124" s="1"/>
  <c r="F2125"/>
  <c r="G2125" s="1"/>
  <c r="F2127"/>
  <c r="G2127" s="1"/>
  <c r="F2128"/>
  <c r="G2128" s="1"/>
  <c r="F2129"/>
  <c r="G2129" s="1"/>
  <c r="F2130"/>
  <c r="G2130" s="1"/>
  <c r="F2137"/>
  <c r="G2137" s="1"/>
  <c r="F2138"/>
  <c r="G2138" s="1"/>
  <c r="F2144"/>
  <c r="F2145"/>
  <c r="F2151"/>
  <c r="G2151" s="1"/>
  <c r="F2152"/>
  <c r="G2152" s="1"/>
  <c r="F2153"/>
  <c r="G2153" s="1"/>
  <c r="F2157"/>
  <c r="F2158"/>
  <c r="F2160"/>
  <c r="F2161"/>
  <c r="F2162"/>
  <c r="G2162" s="1"/>
  <c r="G2163"/>
  <c r="G2164"/>
  <c r="G2165"/>
  <c r="F2171"/>
  <c r="F2172"/>
  <c r="F2174"/>
  <c r="F2175"/>
  <c r="F2176"/>
  <c r="G2176" s="1"/>
  <c r="G2177"/>
  <c r="F2181"/>
  <c r="G2181" s="1"/>
  <c r="F2182"/>
  <c r="G2182" s="1"/>
  <c r="F2191"/>
  <c r="G2191" s="1"/>
  <c r="F2192"/>
  <c r="G2192" s="1"/>
  <c r="F2201"/>
  <c r="G2201" s="1"/>
  <c r="F2202"/>
  <c r="G2202" s="1"/>
  <c r="F2203"/>
  <c r="G2203" s="1"/>
  <c r="E2207"/>
  <c r="F2207" s="1"/>
  <c r="E2208"/>
  <c r="F2208"/>
  <c r="G2208"/>
  <c r="F2218"/>
  <c r="G2218" s="1"/>
  <c r="F2219"/>
  <c r="G2219" s="1"/>
  <c r="F2220"/>
  <c r="G2220" s="1"/>
  <c r="E2224"/>
  <c r="F2224" s="1"/>
  <c r="G2224" s="1"/>
  <c r="E2225"/>
  <c r="F2225"/>
  <c r="G2225"/>
  <c r="F2235"/>
  <c r="G2235" s="1"/>
  <c r="F2236"/>
  <c r="G2236" s="1"/>
  <c r="F2237"/>
  <c r="G2237" s="1"/>
  <c r="E2241"/>
  <c r="F2241" s="1"/>
  <c r="G2241" s="1"/>
  <c r="E2242"/>
  <c r="F2242"/>
  <c r="G2242"/>
  <c r="F2249"/>
  <c r="G2249" s="1"/>
  <c r="F2252"/>
  <c r="G2252" s="1"/>
  <c r="F2253"/>
  <c r="G2253" s="1"/>
  <c r="F2254"/>
  <c r="G2254" s="1"/>
  <c r="F2255"/>
  <c r="G2255" s="1"/>
  <c r="E2259"/>
  <c r="F2259" s="1"/>
  <c r="G2259" s="1"/>
  <c r="E2260"/>
  <c r="F2260"/>
  <c r="G2260"/>
  <c r="F2268"/>
  <c r="G2268" s="1"/>
  <c r="F2269"/>
  <c r="G2269" s="1"/>
  <c r="F2270"/>
  <c r="G2270" s="1"/>
  <c r="E2274"/>
  <c r="F2274" s="1"/>
  <c r="E2275"/>
  <c r="F2275"/>
  <c r="G2275"/>
  <c r="F2284"/>
  <c r="G2284" s="1"/>
  <c r="F2285"/>
  <c r="G2285" s="1"/>
  <c r="F2286"/>
  <c r="G2286" s="1"/>
  <c r="E2290"/>
  <c r="F2290" s="1"/>
  <c r="E2291"/>
  <c r="F2291"/>
  <c r="G2291"/>
  <c r="F2300"/>
  <c r="G2300" s="1"/>
  <c r="F2301"/>
  <c r="G2301" s="1"/>
  <c r="F2302"/>
  <c r="G2302" s="1"/>
  <c r="E2306"/>
  <c r="F2306" s="1"/>
  <c r="E2307"/>
  <c r="F2307"/>
  <c r="G2307"/>
  <c r="F2316"/>
  <c r="G2316" s="1"/>
  <c r="F2317"/>
  <c r="G2317" s="1"/>
  <c r="F2318"/>
  <c r="G2318" s="1"/>
  <c r="E2322"/>
  <c r="F2322" s="1"/>
  <c r="E2323"/>
  <c r="F2323"/>
  <c r="G2323"/>
  <c r="F2336"/>
  <c r="G2336" s="1"/>
  <c r="F2337"/>
  <c r="G2337" s="1"/>
  <c r="F2338"/>
  <c r="G2338" s="1"/>
  <c r="E2342"/>
  <c r="F2342" s="1"/>
  <c r="G2342" s="1"/>
  <c r="E2343"/>
  <c r="F2343"/>
  <c r="G2343"/>
  <c r="F2356"/>
  <c r="G2356" s="1"/>
  <c r="F2357"/>
  <c r="G2357" s="1"/>
  <c r="F2358"/>
  <c r="G2358" s="1"/>
  <c r="E2362"/>
  <c r="F2362" s="1"/>
  <c r="G2362" s="1"/>
  <c r="E2363"/>
  <c r="F2363"/>
  <c r="G2363"/>
  <c r="F2370"/>
  <c r="G2370" s="1"/>
  <c r="F2375"/>
  <c r="G2375" s="1"/>
  <c r="F2376"/>
  <c r="G2376" s="1"/>
  <c r="F2377"/>
  <c r="G2377" s="1"/>
  <c r="F2379"/>
  <c r="G2379" s="1"/>
  <c r="E2383"/>
  <c r="F2383"/>
  <c r="E2384"/>
  <c r="F2384"/>
  <c r="F2392"/>
  <c r="G2392" s="1"/>
  <c r="F2394"/>
  <c r="G2394" s="1"/>
  <c r="F2395"/>
  <c r="G2395" s="1"/>
  <c r="F2396"/>
  <c r="G2396" s="1"/>
  <c r="F2407"/>
  <c r="G2407" s="1"/>
  <c r="F2409"/>
  <c r="G2409" s="1"/>
  <c r="F2410"/>
  <c r="G2410" s="1"/>
  <c r="F2411"/>
  <c r="G2411" s="1"/>
  <c r="F2427"/>
  <c r="G2427" s="1"/>
  <c r="F2428"/>
  <c r="G2428" s="1"/>
  <c r="F2429"/>
  <c r="G2429" s="1"/>
  <c r="F2444"/>
  <c r="G2444" s="1"/>
  <c r="F2446"/>
  <c r="G2446" s="1"/>
  <c r="F2447"/>
  <c r="G2447" s="1"/>
  <c r="F2448"/>
  <c r="G2448" s="1"/>
  <c r="F2457"/>
  <c r="G2457" s="1"/>
  <c r="G2458" s="1"/>
  <c r="F2462"/>
  <c r="G2462" s="1"/>
  <c r="F2468"/>
  <c r="G2468" s="1"/>
  <c r="F2469"/>
  <c r="G2469" s="1"/>
  <c r="F2470"/>
  <c r="G2470" s="1"/>
  <c r="F2480"/>
  <c r="G2480" s="1"/>
  <c r="F2484"/>
  <c r="G2484" s="1"/>
  <c r="F2486"/>
  <c r="G2486" s="1"/>
  <c r="F2487"/>
  <c r="G2487" s="1"/>
  <c r="F2488"/>
  <c r="G2488" s="1"/>
  <c r="F2498"/>
  <c r="G2498" s="1"/>
  <c r="F2505"/>
  <c r="G2505" s="1"/>
  <c r="F2506"/>
  <c r="G2506" s="1"/>
  <c r="F2507"/>
  <c r="G2507" s="1"/>
  <c r="F2518"/>
  <c r="G2518" s="1"/>
  <c r="F2522"/>
  <c r="G2522" s="1"/>
  <c r="F2524"/>
  <c r="G2524" s="1"/>
  <c r="F2525"/>
  <c r="G2525" s="1"/>
  <c r="F2526"/>
  <c r="G2526" s="1"/>
  <c r="F2536"/>
  <c r="G2536" s="1"/>
  <c r="F2542"/>
  <c r="G2542" s="1"/>
  <c r="F2543"/>
  <c r="G2543" s="1"/>
  <c r="F2544"/>
  <c r="G2544" s="1"/>
  <c r="F2554"/>
  <c r="G2554" s="1"/>
  <c r="F2560"/>
  <c r="G2560" s="1"/>
  <c r="F2561"/>
  <c r="G2561" s="1"/>
  <c r="F2574"/>
  <c r="G2574" s="1"/>
  <c r="F2575"/>
  <c r="G2575" s="1"/>
  <c r="F2587"/>
  <c r="G2587" s="1"/>
  <c r="F2588"/>
  <c r="G2588" s="1"/>
  <c r="F2589"/>
  <c r="G2589" s="1"/>
  <c r="F2598"/>
  <c r="G2598" s="1"/>
  <c r="F2599"/>
  <c r="G2599" s="1"/>
  <c r="F2608"/>
  <c r="G2608" s="1"/>
  <c r="F2609"/>
  <c r="G2609" s="1"/>
  <c r="F2610"/>
  <c r="G2610" s="1"/>
  <c r="F2620"/>
  <c r="G2620" s="1"/>
  <c r="F2622"/>
  <c r="G2622" s="1"/>
  <c r="F2623"/>
  <c r="G2623" s="1"/>
  <c r="F2634"/>
  <c r="G2634" s="1"/>
  <c r="F2636"/>
  <c r="G2636" s="1"/>
  <c r="F2637"/>
  <c r="G2637" s="1"/>
  <c r="F2638"/>
  <c r="G2638" s="1"/>
  <c r="F2649"/>
  <c r="G2649" s="1"/>
  <c r="F2651"/>
  <c r="G2651" s="1"/>
  <c r="F2652"/>
  <c r="G2652" s="1"/>
  <c r="F2659"/>
  <c r="G2659" s="1"/>
  <c r="F2661"/>
  <c r="G2661" s="1"/>
  <c r="F2662"/>
  <c r="G2662" s="1"/>
  <c r="F2671"/>
  <c r="G2671" s="1"/>
  <c r="F2673"/>
  <c r="G2673" s="1"/>
  <c r="F2674"/>
  <c r="G2674" s="1"/>
  <c r="F2684"/>
  <c r="G2684" s="1"/>
  <c r="F2686"/>
  <c r="G2686" s="1"/>
  <c r="F2687"/>
  <c r="G2687" s="1"/>
  <c r="F2688"/>
  <c r="G2688" s="1"/>
  <c r="F2699"/>
  <c r="G2699" s="1"/>
  <c r="F2701"/>
  <c r="G2701" s="1"/>
  <c r="F2702"/>
  <c r="G2702" s="1"/>
  <c r="F2706"/>
  <c r="G2706" s="1"/>
  <c r="F2708"/>
  <c r="G2708" s="1"/>
  <c r="F2709"/>
  <c r="G2709" s="1"/>
  <c r="G2713"/>
  <c r="G2714" s="1"/>
  <c r="F2717"/>
  <c r="G2717" s="1"/>
  <c r="F2718"/>
  <c r="G2718" s="1"/>
  <c r="F2719"/>
  <c r="G2719" s="1"/>
  <c r="F2720"/>
  <c r="G2720" s="1"/>
  <c r="F2721"/>
  <c r="G2721" s="1"/>
  <c r="G2724"/>
  <c r="G2725" s="1"/>
  <c r="K2362" i="132" s="1"/>
  <c r="F2727" i="214"/>
  <c r="G2727" s="1"/>
  <c r="G2728" s="1"/>
  <c r="K2403" i="132" s="1"/>
  <c r="G2730" i="214"/>
  <c r="G2735"/>
  <c r="G2737" s="1"/>
  <c r="K2423" i="132" s="1"/>
  <c r="G2739" i="214"/>
  <c r="G2744"/>
  <c r="G2746" s="1"/>
  <c r="G2748"/>
  <c r="G2750" s="1"/>
  <c r="K2463" i="132" s="1"/>
  <c r="F2752" i="214"/>
  <c r="G2752" s="1"/>
  <c r="F2754"/>
  <c r="G2754" s="1"/>
  <c r="F2755"/>
  <c r="G2755" s="1"/>
  <c r="E2759"/>
  <c r="F2761"/>
  <c r="G2761" s="1"/>
  <c r="E2764"/>
  <c r="F2766"/>
  <c r="G2766" s="1"/>
  <c r="E2769"/>
  <c r="F2771"/>
  <c r="G2771" s="1"/>
  <c r="E2774"/>
  <c r="F2776"/>
  <c r="G2776" s="1"/>
  <c r="E2779"/>
  <c r="F2781"/>
  <c r="G2781" s="1"/>
  <c r="G2793"/>
  <c r="G2794" s="1"/>
  <c r="G2798"/>
  <c r="G2799" s="1"/>
  <c r="F2804"/>
  <c r="G2804" s="1"/>
  <c r="F2812"/>
  <c r="G2812" s="1"/>
  <c r="F2820"/>
  <c r="G2820" s="1"/>
  <c r="F2827"/>
  <c r="G2827" s="1"/>
  <c r="F2828"/>
  <c r="G2828" s="1"/>
  <c r="F2836"/>
  <c r="G2836" s="1"/>
  <c r="F2838"/>
  <c r="G2838" s="1"/>
  <c r="F2840"/>
  <c r="G2840" s="1"/>
  <c r="F2841"/>
  <c r="G2841" s="1"/>
  <c r="F2848"/>
  <c r="G2848" s="1"/>
  <c r="F2850"/>
  <c r="G2850" s="1"/>
  <c r="F2852"/>
  <c r="G2852" s="1"/>
  <c r="F2853"/>
  <c r="G2853" s="1"/>
  <c r="F2862"/>
  <c r="G2862" s="1"/>
  <c r="F2863"/>
  <c r="G2863" s="1"/>
  <c r="F2864"/>
  <c r="G2864" s="1"/>
  <c r="F2866"/>
  <c r="G2866" s="1"/>
  <c r="F2867"/>
  <c r="G2867" s="1"/>
  <c r="F2868"/>
  <c r="G2868" s="1"/>
  <c r="F2872"/>
  <c r="G2872" s="1"/>
  <c r="F2873"/>
  <c r="G2873" s="1"/>
  <c r="F2877"/>
  <c r="G2877" s="1"/>
  <c r="F2878"/>
  <c r="G2878" s="1"/>
  <c r="F2882"/>
  <c r="G2882" s="1"/>
  <c r="F2883"/>
  <c r="G2883" s="1"/>
  <c r="E2890"/>
  <c r="E2917" s="1"/>
  <c r="E2980" s="1"/>
  <c r="E3008" s="1"/>
  <c r="F2892"/>
  <c r="G2892" s="1"/>
  <c r="F2893"/>
  <c r="G2893" s="1"/>
  <c r="F2894"/>
  <c r="G2894" s="1"/>
  <c r="F2896"/>
  <c r="G2896" s="1"/>
  <c r="F2897"/>
  <c r="G2897" s="1"/>
  <c r="F2898"/>
  <c r="G2898" s="1"/>
  <c r="E2902"/>
  <c r="F2902" s="1"/>
  <c r="E2903"/>
  <c r="F2903"/>
  <c r="G2903"/>
  <c r="E2908"/>
  <c r="F2908" s="1"/>
  <c r="E2909"/>
  <c r="F2909"/>
  <c r="G2909"/>
  <c r="F2919"/>
  <c r="G2919" s="1"/>
  <c r="F2920"/>
  <c r="G2920" s="1"/>
  <c r="F2921"/>
  <c r="G2921" s="1"/>
  <c r="F2923"/>
  <c r="G2923" s="1"/>
  <c r="F2924"/>
  <c r="G2924" s="1"/>
  <c r="F2925"/>
  <c r="G2925" s="1"/>
  <c r="E2929"/>
  <c r="F2929" s="1"/>
  <c r="E2930"/>
  <c r="F2930"/>
  <c r="G2930"/>
  <c r="E2936"/>
  <c r="F2936" s="1"/>
  <c r="E2937"/>
  <c r="E2993" s="1"/>
  <c r="F2937"/>
  <c r="G2937"/>
  <c r="G2993" s="1"/>
  <c r="E2943"/>
  <c r="F2943" s="1"/>
  <c r="E2944"/>
  <c r="E2951" s="1"/>
  <c r="F2944"/>
  <c r="F2951" s="1"/>
  <c r="G2944"/>
  <c r="G2951" s="1"/>
  <c r="E2956"/>
  <c r="F2956" s="1"/>
  <c r="E2957"/>
  <c r="F2957"/>
  <c r="G2957"/>
  <c r="F2982"/>
  <c r="G2982" s="1"/>
  <c r="F2983"/>
  <c r="G2983" s="1"/>
  <c r="F2984"/>
  <c r="G2984" s="1"/>
  <c r="F2986"/>
  <c r="G2986" s="1"/>
  <c r="F2987"/>
  <c r="G2987" s="1"/>
  <c r="F2993"/>
  <c r="E3000"/>
  <c r="F3000"/>
  <c r="G3000"/>
  <c r="F3010"/>
  <c r="G3010" s="1"/>
  <c r="F3011"/>
  <c r="G3011" s="1"/>
  <c r="F3013"/>
  <c r="G3013" s="1"/>
  <c r="F3014"/>
  <c r="G3014" s="1"/>
  <c r="F3015"/>
  <c r="G3015" s="1"/>
  <c r="E3019"/>
  <c r="F3019" s="1"/>
  <c r="G3019" s="1"/>
  <c r="E3020"/>
  <c r="F3020" s="1"/>
  <c r="G3020" s="1"/>
  <c r="F3028"/>
  <c r="G3028" s="1"/>
  <c r="F3030"/>
  <c r="G3030" s="1"/>
  <c r="F3031"/>
  <c r="G3031" s="1"/>
  <c r="F3041"/>
  <c r="G3041" s="1"/>
  <c r="F3042"/>
  <c r="G3042" s="1"/>
  <c r="F3044"/>
  <c r="G3044" s="1"/>
  <c r="F3045"/>
  <c r="G3045" s="1"/>
  <c r="F3046"/>
  <c r="G3046" s="1"/>
  <c r="F3047"/>
  <c r="G3047" s="1"/>
  <c r="F3054"/>
  <c r="G3054" s="1"/>
  <c r="F3055"/>
  <c r="G3055" s="1"/>
  <c r="F3061"/>
  <c r="F3062"/>
  <c r="F3068"/>
  <c r="G3068" s="1"/>
  <c r="F3069"/>
  <c r="G3069" s="1"/>
  <c r="F3070"/>
  <c r="G3070" s="1"/>
  <c r="F3074"/>
  <c r="F3075"/>
  <c r="F3077"/>
  <c r="F3078"/>
  <c r="F3079"/>
  <c r="G3079" s="1"/>
  <c r="G3080"/>
  <c r="G3081"/>
  <c r="G3082"/>
  <c r="F3088"/>
  <c r="F3089"/>
  <c r="F3091"/>
  <c r="F3092"/>
  <c r="F3093"/>
  <c r="G3093" s="1"/>
  <c r="G3094"/>
  <c r="F3098"/>
  <c r="G3098" s="1"/>
  <c r="F3099"/>
  <c r="G3099" s="1"/>
  <c r="F3108"/>
  <c r="G3108" s="1"/>
  <c r="F3109"/>
  <c r="G3109" s="1"/>
  <c r="F3118"/>
  <c r="G3118" s="1"/>
  <c r="F3119"/>
  <c r="G3119" s="1"/>
  <c r="F3120"/>
  <c r="G3120" s="1"/>
  <c r="E3124"/>
  <c r="F3124" s="1"/>
  <c r="E3125"/>
  <c r="F3125"/>
  <c r="G3125"/>
  <c r="F3135"/>
  <c r="G3135" s="1"/>
  <c r="F3136"/>
  <c r="G3136" s="1"/>
  <c r="F3137"/>
  <c r="G3137" s="1"/>
  <c r="E3141"/>
  <c r="F3141" s="1"/>
  <c r="G3141" s="1"/>
  <c r="E3142"/>
  <c r="F3142"/>
  <c r="G3142"/>
  <c r="F3152"/>
  <c r="G3152" s="1"/>
  <c r="F3153"/>
  <c r="G3153" s="1"/>
  <c r="F3154"/>
  <c r="G3154" s="1"/>
  <c r="E3158"/>
  <c r="F3158" s="1"/>
  <c r="G3158" s="1"/>
  <c r="E3159"/>
  <c r="F3159"/>
  <c r="G3159"/>
  <c r="F3166"/>
  <c r="G3166" s="1"/>
  <c r="F3169"/>
  <c r="G3169" s="1"/>
  <c r="F3170"/>
  <c r="G3170" s="1"/>
  <c r="F3171"/>
  <c r="G3171" s="1"/>
  <c r="F3172"/>
  <c r="G3172" s="1"/>
  <c r="E3176"/>
  <c r="F3176" s="1"/>
  <c r="G3176" s="1"/>
  <c r="E3177"/>
  <c r="F3177"/>
  <c r="G3177"/>
  <c r="F3185"/>
  <c r="G3185" s="1"/>
  <c r="F3186"/>
  <c r="G3186" s="1"/>
  <c r="F3187"/>
  <c r="G3187" s="1"/>
  <c r="E3191"/>
  <c r="F3191" s="1"/>
  <c r="E3192"/>
  <c r="F3192"/>
  <c r="G3192"/>
  <c r="F3201"/>
  <c r="G3201" s="1"/>
  <c r="F3202"/>
  <c r="G3202" s="1"/>
  <c r="F3203"/>
  <c r="G3203" s="1"/>
  <c r="E3207"/>
  <c r="F3207" s="1"/>
  <c r="E3208"/>
  <c r="F3208"/>
  <c r="G3208"/>
  <c r="F3217"/>
  <c r="G3217" s="1"/>
  <c r="F3218"/>
  <c r="G3218" s="1"/>
  <c r="F3219"/>
  <c r="G3219" s="1"/>
  <c r="E3223"/>
  <c r="F3223" s="1"/>
  <c r="E3224"/>
  <c r="F3224"/>
  <c r="G3224"/>
  <c r="F3233"/>
  <c r="G3233" s="1"/>
  <c r="F3234"/>
  <c r="G3234" s="1"/>
  <c r="F3235"/>
  <c r="G3235" s="1"/>
  <c r="E3239"/>
  <c r="F3239" s="1"/>
  <c r="E3240"/>
  <c r="F3240"/>
  <c r="G3240"/>
  <c r="F3253"/>
  <c r="G3253" s="1"/>
  <c r="F3254"/>
  <c r="G3254" s="1"/>
  <c r="F3255"/>
  <c r="G3255" s="1"/>
  <c r="E3259"/>
  <c r="F3259" s="1"/>
  <c r="G3259" s="1"/>
  <c r="E3260"/>
  <c r="F3260"/>
  <c r="G3260"/>
  <c r="F3273"/>
  <c r="G3273" s="1"/>
  <c r="F3274"/>
  <c r="G3274" s="1"/>
  <c r="F3275"/>
  <c r="G3275" s="1"/>
  <c r="E3279"/>
  <c r="F3279" s="1"/>
  <c r="G3279" s="1"/>
  <c r="E3280"/>
  <c r="F3280"/>
  <c r="G3280"/>
  <c r="F3287"/>
  <c r="G3287" s="1"/>
  <c r="F3292"/>
  <c r="G3292" s="1"/>
  <c r="F3293"/>
  <c r="G3293" s="1"/>
  <c r="F3294"/>
  <c r="G3294" s="1"/>
  <c r="F3296"/>
  <c r="G3296" s="1"/>
  <c r="E3300"/>
  <c r="F3300"/>
  <c r="E3301"/>
  <c r="F3301"/>
  <c r="F3309"/>
  <c r="G3309" s="1"/>
  <c r="F3311"/>
  <c r="G3311" s="1"/>
  <c r="F3312"/>
  <c r="G3312" s="1"/>
  <c r="F3313"/>
  <c r="G3313" s="1"/>
  <c r="F3324"/>
  <c r="G3324" s="1"/>
  <c r="F3326"/>
  <c r="G3326" s="1"/>
  <c r="F3327"/>
  <c r="G3327" s="1"/>
  <c r="F3328"/>
  <c r="G3328" s="1"/>
  <c r="F3344"/>
  <c r="G3344" s="1"/>
  <c r="F3345"/>
  <c r="G3345" s="1"/>
  <c r="F3346"/>
  <c r="G3346" s="1"/>
  <c r="F3361"/>
  <c r="G3361" s="1"/>
  <c r="F3363"/>
  <c r="G3363" s="1"/>
  <c r="F3364"/>
  <c r="G3364" s="1"/>
  <c r="F3365"/>
  <c r="G3365" s="1"/>
  <c r="F3374"/>
  <c r="G3374" s="1"/>
  <c r="G3375" s="1"/>
  <c r="F3379"/>
  <c r="G3379" s="1"/>
  <c r="F3385"/>
  <c r="G3385" s="1"/>
  <c r="F3386"/>
  <c r="G3386" s="1"/>
  <c r="F3387"/>
  <c r="G3387" s="1"/>
  <c r="F3397"/>
  <c r="G3397" s="1"/>
  <c r="F3401"/>
  <c r="G3401" s="1"/>
  <c r="F3403"/>
  <c r="G3403" s="1"/>
  <c r="F3404"/>
  <c r="G3404" s="1"/>
  <c r="F3405"/>
  <c r="G3405" s="1"/>
  <c r="F3415"/>
  <c r="G3415" s="1"/>
  <c r="F3422"/>
  <c r="G3422" s="1"/>
  <c r="F3423"/>
  <c r="G3423" s="1"/>
  <c r="F3424"/>
  <c r="G3424" s="1"/>
  <c r="F3435"/>
  <c r="G3435" s="1"/>
  <c r="F3439"/>
  <c r="G3439" s="1"/>
  <c r="F3441"/>
  <c r="G3441" s="1"/>
  <c r="F3442"/>
  <c r="G3442" s="1"/>
  <c r="F3443"/>
  <c r="G3443" s="1"/>
  <c r="F3453"/>
  <c r="G3453" s="1"/>
  <c r="F3459"/>
  <c r="G3459" s="1"/>
  <c r="F3460"/>
  <c r="G3460" s="1"/>
  <c r="F3461"/>
  <c r="G3461" s="1"/>
  <c r="F3471"/>
  <c r="G3471" s="1"/>
  <c r="F3477"/>
  <c r="G3477" s="1"/>
  <c r="F3478"/>
  <c r="G3478" s="1"/>
  <c r="F3491"/>
  <c r="G3491" s="1"/>
  <c r="F3492"/>
  <c r="G3492" s="1"/>
  <c r="F3504"/>
  <c r="G3504" s="1"/>
  <c r="F3505"/>
  <c r="G3505" s="1"/>
  <c r="F3506"/>
  <c r="G3506" s="1"/>
  <c r="F3515"/>
  <c r="G3515" s="1"/>
  <c r="F3516"/>
  <c r="G3516" s="1"/>
  <c r="F3525"/>
  <c r="G3525" s="1"/>
  <c r="F3526"/>
  <c r="G3526" s="1"/>
  <c r="F3527"/>
  <c r="G3527" s="1"/>
  <c r="F3537"/>
  <c r="G3537" s="1"/>
  <c r="F3539"/>
  <c r="G3539" s="1"/>
  <c r="F3540"/>
  <c r="G3540" s="1"/>
  <c r="F3551"/>
  <c r="G3551" s="1"/>
  <c r="F3553"/>
  <c r="G3553" s="1"/>
  <c r="F3554"/>
  <c r="G3554" s="1"/>
  <c r="F3555"/>
  <c r="G3555" s="1"/>
  <c r="F3566"/>
  <c r="G3566" s="1"/>
  <c r="F3568"/>
  <c r="G3568" s="1"/>
  <c r="F3569"/>
  <c r="G3569" s="1"/>
  <c r="F3576"/>
  <c r="G3576" s="1"/>
  <c r="F3578"/>
  <c r="G3578" s="1"/>
  <c r="F3579"/>
  <c r="G3579" s="1"/>
  <c r="F3588"/>
  <c r="G3588" s="1"/>
  <c r="F3590"/>
  <c r="G3590" s="1"/>
  <c r="F3591"/>
  <c r="G3591" s="1"/>
  <c r="F3601"/>
  <c r="G3601" s="1"/>
  <c r="F3603"/>
  <c r="G3603" s="1"/>
  <c r="F3604"/>
  <c r="G3604" s="1"/>
  <c r="F3605"/>
  <c r="G3605" s="1"/>
  <c r="F3616"/>
  <c r="G3616" s="1"/>
  <c r="F3618"/>
  <c r="G3618" s="1"/>
  <c r="F3619"/>
  <c r="G3619" s="1"/>
  <c r="F3623"/>
  <c r="G3623" s="1"/>
  <c r="F3625"/>
  <c r="G3625" s="1"/>
  <c r="F3626"/>
  <c r="G3626" s="1"/>
  <c r="G3630"/>
  <c r="G3631" s="1"/>
  <c r="F3634"/>
  <c r="G3634" s="1"/>
  <c r="F3635"/>
  <c r="G3635" s="1"/>
  <c r="F3636"/>
  <c r="G3636" s="1"/>
  <c r="F3637"/>
  <c r="G3637" s="1"/>
  <c r="F3638"/>
  <c r="G3638" s="1"/>
  <c r="G3641"/>
  <c r="G3642" s="1"/>
  <c r="K2368" i="132" s="1"/>
  <c r="F3644" i="214"/>
  <c r="G3644" s="1"/>
  <c r="G3645" s="1"/>
  <c r="K2408" i="132" s="1"/>
  <c r="G3647" i="214"/>
  <c r="G3652"/>
  <c r="G3654" s="1"/>
  <c r="K2428" i="132" s="1"/>
  <c r="G3656" i="214"/>
  <c r="G3661"/>
  <c r="G3663" s="1"/>
  <c r="K2448" i="132" s="1"/>
  <c r="G3665" i="214"/>
  <c r="G3667" s="1"/>
  <c r="K2468" i="132" s="1"/>
  <c r="F3669" i="214"/>
  <c r="G3669" s="1"/>
  <c r="F3670"/>
  <c r="G3670" s="1"/>
  <c r="F3671"/>
  <c r="G3671" s="1"/>
  <c r="F3672"/>
  <c r="G3672" s="1"/>
  <c r="F95" i="211"/>
  <c r="R95" s="1"/>
  <c r="T101"/>
  <c r="T102" s="1"/>
  <c r="J138"/>
  <c r="F140"/>
  <c r="R140" s="1"/>
  <c r="T146"/>
  <c r="Q29" i="196" s="1"/>
  <c r="J183" i="211"/>
  <c r="I959" i="194"/>
  <c r="I917"/>
  <c r="I918"/>
  <c r="I919"/>
  <c r="I886"/>
  <c r="I887"/>
  <c r="I888"/>
  <c r="I889"/>
  <c r="I850"/>
  <c r="I851"/>
  <c r="I852"/>
  <c r="I853"/>
  <c r="I818"/>
  <c r="I819"/>
  <c r="I820"/>
  <c r="I821"/>
  <c r="I826"/>
  <c r="I827"/>
  <c r="I828"/>
  <c r="I829"/>
  <c r="I790"/>
  <c r="I791"/>
  <c r="I796"/>
  <c r="I797"/>
  <c r="I766"/>
  <c r="I767"/>
  <c r="I772"/>
  <c r="I773"/>
  <c r="I740"/>
  <c r="I741"/>
  <c r="I742"/>
  <c r="I747"/>
  <c r="I748"/>
  <c r="I749"/>
  <c r="I712"/>
  <c r="I713"/>
  <c r="I714"/>
  <c r="I719"/>
  <c r="I720"/>
  <c r="I721"/>
  <c r="I684"/>
  <c r="I685"/>
  <c r="I686"/>
  <c r="I691"/>
  <c r="I692"/>
  <c r="I693"/>
  <c r="I656"/>
  <c r="I657"/>
  <c r="I658"/>
  <c r="I663"/>
  <c r="I664"/>
  <c r="I665"/>
  <c r="I628"/>
  <c r="I629"/>
  <c r="I630"/>
  <c r="I635"/>
  <c r="I636"/>
  <c r="I637"/>
  <c r="I600"/>
  <c r="I601"/>
  <c r="I602"/>
  <c r="I607"/>
  <c r="I608"/>
  <c r="I609"/>
  <c r="I574"/>
  <c r="I575"/>
  <c r="I580"/>
  <c r="I581"/>
  <c r="I552"/>
  <c r="I557"/>
  <c r="I528"/>
  <c r="I529"/>
  <c r="I530"/>
  <c r="I492"/>
  <c r="I493"/>
  <c r="I494"/>
  <c r="I455"/>
  <c r="I456"/>
  <c r="I457"/>
  <c r="I458"/>
  <c r="I463"/>
  <c r="I464"/>
  <c r="I465"/>
  <c r="I466"/>
  <c r="I423"/>
  <c r="I424"/>
  <c r="I425"/>
  <c r="I426"/>
  <c r="I431"/>
  <c r="I432"/>
  <c r="I433"/>
  <c r="I434"/>
  <c r="I393"/>
  <c r="I394"/>
  <c r="I395"/>
  <c r="I364"/>
  <c r="I365"/>
  <c r="I366"/>
  <c r="I371"/>
  <c r="I372"/>
  <c r="I373"/>
  <c r="I336"/>
  <c r="I337"/>
  <c r="I310"/>
  <c r="I277"/>
  <c r="I278"/>
  <c r="I279"/>
  <c r="I280"/>
  <c r="I285"/>
  <c r="I286"/>
  <c r="I287"/>
  <c r="I288"/>
  <c r="I252"/>
  <c r="I253"/>
  <c r="I258"/>
  <c r="I259"/>
  <c r="I230"/>
  <c r="I235"/>
  <c r="I210"/>
  <c r="I215"/>
  <c r="E157" i="211" s="1"/>
  <c r="I186" i="194"/>
  <c r="I187"/>
  <c r="I188"/>
  <c r="I193"/>
  <c r="I194"/>
  <c r="I195"/>
  <c r="I160"/>
  <c r="I161"/>
  <c r="I166"/>
  <c r="I167"/>
  <c r="E155" i="211" s="1"/>
  <c r="I136" i="194"/>
  <c r="I137"/>
  <c r="I142"/>
  <c r="I143"/>
  <c r="I119"/>
  <c r="I94"/>
  <c r="I99"/>
  <c r="E152" i="211" s="1"/>
  <c r="I72" i="194"/>
  <c r="I73"/>
  <c r="I78"/>
  <c r="I79"/>
  <c r="I54"/>
  <c r="I55"/>
  <c r="I31"/>
  <c r="D380" i="305"/>
  <c r="I1541" i="192"/>
  <c r="I1496"/>
  <c r="I1497"/>
  <c r="I1498"/>
  <c r="I1337"/>
  <c r="I1338"/>
  <c r="I1339"/>
  <c r="I1340"/>
  <c r="I1341"/>
  <c r="I1342"/>
  <c r="I1262"/>
  <c r="I1263"/>
  <c r="I1264"/>
  <c r="I1265"/>
  <c r="I1266"/>
  <c r="I1271"/>
  <c r="I1272"/>
  <c r="I1273"/>
  <c r="I1274"/>
  <c r="I1275"/>
  <c r="I1228"/>
  <c r="I1229"/>
  <c r="I1230"/>
  <c r="I1231"/>
  <c r="I1236"/>
  <c r="I1237"/>
  <c r="I1238"/>
  <c r="I1239"/>
  <c r="I1193"/>
  <c r="I1194"/>
  <c r="I1195"/>
  <c r="I1200"/>
  <c r="I1166"/>
  <c r="I1167"/>
  <c r="I1168"/>
  <c r="I1173"/>
  <c r="I1137"/>
  <c r="I1138"/>
  <c r="I1139"/>
  <c r="I1144"/>
  <c r="I1145"/>
  <c r="I1146"/>
  <c r="I1103"/>
  <c r="I1104"/>
  <c r="I1105"/>
  <c r="I1106"/>
  <c r="I1111"/>
  <c r="I1112"/>
  <c r="I1113"/>
  <c r="I1114"/>
  <c r="I1060"/>
  <c r="I1061"/>
  <c r="I1062"/>
  <c r="I1020"/>
  <c r="I1021"/>
  <c r="I1022"/>
  <c r="I991"/>
  <c r="I992"/>
  <c r="I993"/>
  <c r="I998"/>
  <c r="I999"/>
  <c r="I1000"/>
  <c r="I952"/>
  <c r="I953"/>
  <c r="I954"/>
  <c r="I959"/>
  <c r="I960"/>
  <c r="I961"/>
  <c r="I921"/>
  <c r="I922"/>
  <c r="I923"/>
  <c r="I928"/>
  <c r="I929"/>
  <c r="I930"/>
  <c r="I893"/>
  <c r="I894"/>
  <c r="I895"/>
  <c r="I826"/>
  <c r="I827"/>
  <c r="I828"/>
  <c r="I729"/>
  <c r="I730"/>
  <c r="I731"/>
  <c r="I732"/>
  <c r="I737"/>
  <c r="I738"/>
  <c r="I739"/>
  <c r="I740"/>
  <c r="I697"/>
  <c r="I698"/>
  <c r="I699"/>
  <c r="I700"/>
  <c r="I705"/>
  <c r="I706"/>
  <c r="I707"/>
  <c r="I708"/>
  <c r="I655"/>
  <c r="I656"/>
  <c r="I657"/>
  <c r="I593"/>
  <c r="I594"/>
  <c r="I599"/>
  <c r="I600"/>
  <c r="I567"/>
  <c r="I568"/>
  <c r="I569"/>
  <c r="I574"/>
  <c r="I575"/>
  <c r="I576"/>
  <c r="I365"/>
  <c r="I366"/>
  <c r="I371"/>
  <c r="I372"/>
  <c r="I341"/>
  <c r="I342"/>
  <c r="I347"/>
  <c r="I348"/>
  <c r="I317"/>
  <c r="I318"/>
  <c r="I323"/>
  <c r="I324"/>
  <c r="I298"/>
  <c r="I299"/>
  <c r="I273"/>
  <c r="I274"/>
  <c r="I218"/>
  <c r="I219"/>
  <c r="I224"/>
  <c r="I225"/>
  <c r="I194"/>
  <c r="I195"/>
  <c r="I200"/>
  <c r="I201"/>
  <c r="I172"/>
  <c r="I177"/>
  <c r="I156"/>
  <c r="I157"/>
  <c r="I131"/>
  <c r="I101"/>
  <c r="I102"/>
  <c r="I33"/>
  <c r="I2492" i="132"/>
  <c r="I2461"/>
  <c r="I2466"/>
  <c r="I2441"/>
  <c r="K2443"/>
  <c r="I2446"/>
  <c r="I2421"/>
  <c r="I2401"/>
  <c r="I2381"/>
  <c r="I2386"/>
  <c r="I2359"/>
  <c r="I2360"/>
  <c r="I2365"/>
  <c r="I2366"/>
  <c r="I2336"/>
  <c r="I2337"/>
  <c r="I2342"/>
  <c r="I1969"/>
  <c r="I1970"/>
  <c r="I1971"/>
  <c r="I1976"/>
  <c r="I1977"/>
  <c r="I1978"/>
  <c r="I1941"/>
  <c r="I1942"/>
  <c r="I1943"/>
  <c r="I1948"/>
  <c r="I1949"/>
  <c r="I1950"/>
  <c r="I1913"/>
  <c r="I1914"/>
  <c r="I1915"/>
  <c r="I1920"/>
  <c r="I1921"/>
  <c r="I1922"/>
  <c r="I1892"/>
  <c r="I1893"/>
  <c r="I1894"/>
  <c r="I1859"/>
  <c r="I1860"/>
  <c r="I1861"/>
  <c r="I1833"/>
  <c r="I1834"/>
  <c r="I1808"/>
  <c r="I1809"/>
  <c r="I1810"/>
  <c r="I1815"/>
  <c r="I1816"/>
  <c r="I1817"/>
  <c r="I1779"/>
  <c r="I1780"/>
  <c r="I1781"/>
  <c r="I1782"/>
  <c r="I1786"/>
  <c r="I1787"/>
  <c r="I1788"/>
  <c r="I1789"/>
  <c r="I1738"/>
  <c r="I1739"/>
  <c r="I1740"/>
  <c r="I1741"/>
  <c r="I1684"/>
  <c r="I1685"/>
  <c r="I1686"/>
  <c r="I1628"/>
  <c r="I1629"/>
  <c r="I1630"/>
  <c r="I1559"/>
  <c r="I1560"/>
  <c r="I1561"/>
  <c r="I1519"/>
  <c r="I1520"/>
  <c r="I1521"/>
  <c r="I1309"/>
  <c r="I1310"/>
  <c r="I1311"/>
  <c r="I1290"/>
  <c r="I1291"/>
  <c r="I1292"/>
  <c r="I1174"/>
  <c r="I1175"/>
  <c r="I1176"/>
  <c r="I1140"/>
  <c r="I1141"/>
  <c r="I1142"/>
  <c r="I1143"/>
  <c r="I1148"/>
  <c r="I1149"/>
  <c r="I1150"/>
  <c r="I1151"/>
  <c r="I1063"/>
  <c r="I1064"/>
  <c r="I1065"/>
  <c r="I851"/>
  <c r="I852"/>
  <c r="I853"/>
  <c r="I858"/>
  <c r="I859"/>
  <c r="I860"/>
  <c r="I825"/>
  <c r="I826"/>
  <c r="I831"/>
  <c r="I832"/>
  <c r="C95" i="195" s="1"/>
  <c r="I95" s="1"/>
  <c r="C85" i="196" s="1"/>
  <c r="I800" i="132"/>
  <c r="I801"/>
  <c r="I806"/>
  <c r="I807"/>
  <c r="I775"/>
  <c r="I776"/>
  <c r="I781"/>
  <c r="I687"/>
  <c r="I688"/>
  <c r="I689"/>
  <c r="I690"/>
  <c r="I691"/>
  <c r="I696"/>
  <c r="I651"/>
  <c r="I652"/>
  <c r="I653"/>
  <c r="I658"/>
  <c r="I659"/>
  <c r="I660"/>
  <c r="I625"/>
  <c r="I626"/>
  <c r="I631"/>
  <c r="I632"/>
  <c r="F601"/>
  <c r="I601" s="1"/>
  <c r="F602"/>
  <c r="I602" s="1"/>
  <c r="F607"/>
  <c r="I607" s="1"/>
  <c r="F608"/>
  <c r="I608" s="1"/>
  <c r="I583"/>
  <c r="I584"/>
  <c r="I558"/>
  <c r="I559"/>
  <c r="I531"/>
  <c r="I532"/>
  <c r="I533"/>
  <c r="I534"/>
  <c r="H444"/>
  <c r="I444" s="1"/>
  <c r="I445"/>
  <c r="H450"/>
  <c r="I450" s="1"/>
  <c r="I451"/>
  <c r="I390"/>
  <c r="I391"/>
  <c r="I392"/>
  <c r="I393"/>
  <c r="I394"/>
  <c r="I395"/>
  <c r="I396"/>
  <c r="I397"/>
  <c r="I402"/>
  <c r="I403"/>
  <c r="I404"/>
  <c r="I405"/>
  <c r="I406"/>
  <c r="I407"/>
  <c r="I408"/>
  <c r="I409"/>
  <c r="I356"/>
  <c r="C46" i="195" s="1"/>
  <c r="I46" s="1"/>
  <c r="C32" i="196" s="1"/>
  <c r="F32" s="1"/>
  <c r="I361" i="132"/>
  <c r="C47" i="195" s="1"/>
  <c r="I47" s="1"/>
  <c r="C33" i="196" s="1"/>
  <c r="F33" s="1"/>
  <c r="I341" i="132"/>
  <c r="C43" i="195" s="1"/>
  <c r="I43" s="1"/>
  <c r="C29" i="196" s="1"/>
  <c r="F29" s="1"/>
  <c r="I307" i="132"/>
  <c r="I308"/>
  <c r="I314"/>
  <c r="I315"/>
  <c r="I267"/>
  <c r="I268"/>
  <c r="I273"/>
  <c r="I274"/>
  <c r="I222"/>
  <c r="H223"/>
  <c r="I223" s="1"/>
  <c r="I228"/>
  <c r="H229"/>
  <c r="I229" s="1"/>
  <c r="I198"/>
  <c r="I199"/>
  <c r="I167"/>
  <c r="I168"/>
  <c r="I169"/>
  <c r="I170"/>
  <c r="I171"/>
  <c r="I176"/>
  <c r="I177"/>
  <c r="I178"/>
  <c r="I179"/>
  <c r="I180"/>
  <c r="K62"/>
  <c r="C15" i="195"/>
  <c r="I15" s="1"/>
  <c r="C13" i="196" s="1"/>
  <c r="F13" s="1"/>
  <c r="K72" i="132"/>
  <c r="I23"/>
  <c r="I24" s="1"/>
  <c r="I25" s="1"/>
  <c r="K26"/>
  <c r="I29"/>
  <c r="I30" s="1"/>
  <c r="I31" s="1"/>
  <c r="C11" i="195" s="1"/>
  <c r="I11" s="1"/>
  <c r="C9" i="196" s="1"/>
  <c r="F9" s="1"/>
  <c r="K32" i="132"/>
  <c r="E111" i="252"/>
  <c r="C111"/>
  <c r="E110"/>
  <c r="C110"/>
  <c r="E11" i="251"/>
  <c r="E12" s="1"/>
  <c r="E13" s="1"/>
  <c r="E14" s="1"/>
  <c r="E15" s="1"/>
  <c r="E16" s="1"/>
  <c r="E17" s="1"/>
  <c r="E18" s="1"/>
  <c r="E19" s="1"/>
  <c r="E20" s="1"/>
  <c r="E21" s="1"/>
  <c r="E22" s="1"/>
  <c r="E23" s="1"/>
  <c r="E24" s="1"/>
  <c r="E25" s="1"/>
  <c r="E26" s="1"/>
  <c r="E27" s="1"/>
  <c r="E28" s="1"/>
  <c r="E29" s="1"/>
  <c r="E30" s="1"/>
  <c r="E31" s="1"/>
  <c r="E32" s="1"/>
  <c r="E33" s="1"/>
  <c r="E34" s="1"/>
  <c r="E35" s="1"/>
  <c r="E36" s="1"/>
  <c r="E37" s="1"/>
  <c r="E38" s="1"/>
  <c r="E39" s="1"/>
  <c r="E40" s="1"/>
  <c r="E41" s="1"/>
  <c r="E42" s="1"/>
  <c r="E43" s="1"/>
  <c r="E44" s="1"/>
  <c r="E45" s="1"/>
  <c r="E46" s="1"/>
  <c r="E47" s="1"/>
  <c r="E48" s="1"/>
  <c r="E49" s="1"/>
  <c r="E50" s="1"/>
  <c r="E51" s="1"/>
  <c r="E52" s="1"/>
  <c r="E53" s="1"/>
  <c r="E54" s="1"/>
  <c r="E55" s="1"/>
  <c r="E56" s="1"/>
  <c r="E57" s="1"/>
  <c r="E58" s="1"/>
  <c r="E59" s="1"/>
  <c r="E60" s="1"/>
  <c r="E61" s="1"/>
  <c r="E62" s="1"/>
  <c r="E63" s="1"/>
  <c r="E64" s="1"/>
  <c r="E65" s="1"/>
  <c r="E66" s="1"/>
  <c r="E67" s="1"/>
  <c r="E68" s="1"/>
  <c r="E69" s="1"/>
  <c r="E70" s="1"/>
  <c r="E71" s="1"/>
  <c r="E72" s="1"/>
  <c r="E73" s="1"/>
  <c r="E74" s="1"/>
  <c r="E75" s="1"/>
  <c r="E76" s="1"/>
  <c r="E77" s="1"/>
  <c r="E78" s="1"/>
  <c r="E79" s="1"/>
  <c r="E80" s="1"/>
  <c r="E81" s="1"/>
  <c r="E82" s="1"/>
  <c r="E83" s="1"/>
  <c r="E84" s="1"/>
  <c r="E85" s="1"/>
  <c r="E86" s="1"/>
  <c r="E87" s="1"/>
  <c r="E88" s="1"/>
  <c r="E89" s="1"/>
  <c r="E90" s="1"/>
  <c r="E91" s="1"/>
  <c r="E92" s="1"/>
  <c r="E93" s="1"/>
  <c r="E94" s="1"/>
  <c r="E95" s="1"/>
  <c r="E96" s="1"/>
  <c r="E97" s="1"/>
  <c r="E98" s="1"/>
  <c r="E99" s="1"/>
  <c r="E100" s="1"/>
  <c r="E101" s="1"/>
  <c r="E102" s="1"/>
  <c r="E103" s="1"/>
  <c r="E104" s="1"/>
  <c r="E105" s="1"/>
  <c r="E106" s="1"/>
  <c r="E107" s="1"/>
  <c r="E108" s="1"/>
  <c r="E109" s="1"/>
  <c r="E110" s="1"/>
  <c r="E111" s="1"/>
  <c r="E112" s="1"/>
  <c r="E113" s="1"/>
  <c r="E114" s="1"/>
  <c r="E115" s="1"/>
  <c r="E116" s="1"/>
  <c r="E117" s="1"/>
  <c r="E118" s="1"/>
  <c r="E119" s="1"/>
  <c r="E120" s="1"/>
  <c r="E121" s="1"/>
  <c r="E122" s="1"/>
  <c r="E123" s="1"/>
  <c r="E124" s="1"/>
  <c r="E125" s="1"/>
  <c r="E126" s="1"/>
  <c r="E127" s="1"/>
  <c r="E128" s="1"/>
  <c r="E129" s="1"/>
  <c r="E130" s="1"/>
  <c r="E131" s="1"/>
  <c r="E132" s="1"/>
  <c r="E133" s="1"/>
  <c r="E134" s="1"/>
  <c r="E135" s="1"/>
  <c r="E136" s="1"/>
  <c r="E137" s="1"/>
  <c r="E138" s="1"/>
  <c r="E139" s="1"/>
  <c r="E140" s="1"/>
  <c r="E141" s="1"/>
  <c r="E142" s="1"/>
  <c r="E143" s="1"/>
  <c r="E144" s="1"/>
  <c r="E145" s="1"/>
  <c r="E146" s="1"/>
  <c r="E147" s="1"/>
  <c r="E148" s="1"/>
  <c r="E149" s="1"/>
  <c r="E150" s="1"/>
  <c r="E151" s="1"/>
  <c r="E152" s="1"/>
  <c r="E153" s="1"/>
  <c r="E154" s="1"/>
  <c r="E155" s="1"/>
  <c r="E156" s="1"/>
  <c r="E157" s="1"/>
  <c r="E158" s="1"/>
  <c r="E159" s="1"/>
  <c r="E160" s="1"/>
  <c r="E161" s="1"/>
  <c r="E162" s="1"/>
  <c r="E163" s="1"/>
  <c r="E164" s="1"/>
  <c r="E165" s="1"/>
  <c r="E166" s="1"/>
  <c r="E167" s="1"/>
  <c r="E168" s="1"/>
  <c r="E169" s="1"/>
  <c r="E170" s="1"/>
  <c r="E171" s="1"/>
  <c r="E172" s="1"/>
  <c r="E173" s="1"/>
  <c r="E174" s="1"/>
  <c r="E175" s="1"/>
  <c r="E176" s="1"/>
  <c r="E177" s="1"/>
  <c r="E178" s="1"/>
  <c r="E179" s="1"/>
  <c r="E180" s="1"/>
  <c r="E181" s="1"/>
  <c r="E182" s="1"/>
  <c r="E183" s="1"/>
  <c r="E184" s="1"/>
  <c r="E185" s="1"/>
  <c r="E186" s="1"/>
  <c r="E187" s="1"/>
  <c r="E188" s="1"/>
  <c r="E189" s="1"/>
  <c r="E190" s="1"/>
  <c r="E191" s="1"/>
  <c r="E192" s="1"/>
  <c r="E193" s="1"/>
  <c r="E194" s="1"/>
  <c r="E195" s="1"/>
  <c r="E196" s="1"/>
  <c r="E197" s="1"/>
  <c r="E198" s="1"/>
  <c r="E199" s="1"/>
  <c r="E200" s="1"/>
  <c r="E201" s="1"/>
  <c r="E202" s="1"/>
  <c r="E203" s="1"/>
  <c r="E204" s="1"/>
  <c r="E205" s="1"/>
  <c r="E206" s="1"/>
  <c r="E207" s="1"/>
  <c r="E208" s="1"/>
  <c r="E209" s="1"/>
  <c r="E210" s="1"/>
  <c r="E211" s="1"/>
  <c r="E212" s="1"/>
  <c r="E213" s="1"/>
  <c r="E214" s="1"/>
  <c r="E215" s="1"/>
  <c r="E216" s="1"/>
  <c r="E217" s="1"/>
  <c r="E218" s="1"/>
  <c r="E219" s="1"/>
  <c r="E220" s="1"/>
  <c r="E221" s="1"/>
  <c r="E222" s="1"/>
  <c r="E223" s="1"/>
  <c r="E224" s="1"/>
  <c r="E225" s="1"/>
  <c r="E226" s="1"/>
  <c r="E227" s="1"/>
  <c r="E228" s="1"/>
  <c r="E229" s="1"/>
  <c r="E230" s="1"/>
  <c r="E231" s="1"/>
  <c r="E232" s="1"/>
  <c r="E233" s="1"/>
  <c r="E234" s="1"/>
  <c r="E235" s="1"/>
  <c r="E236" s="1"/>
  <c r="E237" s="1"/>
  <c r="E238" s="1"/>
  <c r="E239" s="1"/>
  <c r="E240" s="1"/>
  <c r="E241" s="1"/>
  <c r="E242" s="1"/>
  <c r="E243" s="1"/>
  <c r="E244" s="1"/>
  <c r="E245" s="1"/>
  <c r="E246" s="1"/>
  <c r="E247" s="1"/>
  <c r="E248" s="1"/>
  <c r="E249" s="1"/>
  <c r="E250" s="1"/>
  <c r="E251" s="1"/>
  <c r="E252" s="1"/>
  <c r="E253" s="1"/>
  <c r="E254" s="1"/>
  <c r="E255" s="1"/>
  <c r="E256" s="1"/>
  <c r="E257" s="1"/>
  <c r="E258" s="1"/>
  <c r="E259" s="1"/>
  <c r="E260" s="1"/>
  <c r="E261" s="1"/>
  <c r="E262" s="1"/>
  <c r="E263" s="1"/>
  <c r="E264" s="1"/>
  <c r="E265" s="1"/>
  <c r="E266" s="1"/>
  <c r="E267" s="1"/>
  <c r="E268" s="1"/>
  <c r="E269" s="1"/>
  <c r="E270" s="1"/>
  <c r="E271" s="1"/>
  <c r="E272" s="1"/>
  <c r="E273" s="1"/>
  <c r="E274" s="1"/>
  <c r="E275" s="1"/>
  <c r="E276" s="1"/>
  <c r="E277" s="1"/>
  <c r="E278" s="1"/>
  <c r="E279" s="1"/>
  <c r="E280" s="1"/>
  <c r="E281" s="1"/>
  <c r="E282" s="1"/>
  <c r="E283" s="1"/>
  <c r="E284" s="1"/>
  <c r="E285" s="1"/>
  <c r="E286" s="1"/>
  <c r="E287" s="1"/>
  <c r="E288" s="1"/>
  <c r="E289" s="1"/>
  <c r="E290" s="1"/>
  <c r="E291" s="1"/>
  <c r="E292" s="1"/>
  <c r="E293" s="1"/>
  <c r="E294" s="1"/>
  <c r="E295" s="1"/>
  <c r="E296" s="1"/>
  <c r="E297" s="1"/>
  <c r="E298" s="1"/>
  <c r="E299" s="1"/>
  <c r="E300" s="1"/>
  <c r="E301" s="1"/>
  <c r="E302" s="1"/>
  <c r="E303" s="1"/>
  <c r="E304" s="1"/>
  <c r="E305" s="1"/>
  <c r="D11"/>
  <c r="D12" s="1"/>
  <c r="D13" s="1"/>
  <c r="D14" s="1"/>
  <c r="D15" s="1"/>
  <c r="D16" s="1"/>
  <c r="D17" s="1"/>
  <c r="D18" s="1"/>
  <c r="D19" s="1"/>
  <c r="D20" s="1"/>
  <c r="D21" s="1"/>
  <c r="D22" s="1"/>
  <c r="D23" s="1"/>
  <c r="D24" s="1"/>
  <c r="D25" s="1"/>
  <c r="D26" s="1"/>
  <c r="D27" s="1"/>
  <c r="D28" s="1"/>
  <c r="D29" s="1"/>
  <c r="D30" s="1"/>
  <c r="D31" s="1"/>
  <c r="D32" s="1"/>
  <c r="D33" s="1"/>
  <c r="D34" s="1"/>
  <c r="D35" s="1"/>
  <c r="D36" s="1"/>
  <c r="D37" s="1"/>
  <c r="D38" s="1"/>
  <c r="D39" s="1"/>
  <c r="D40" s="1"/>
  <c r="D41" s="1"/>
  <c r="D42" s="1"/>
  <c r="D43" s="1"/>
  <c r="D44" s="1"/>
  <c r="D45" s="1"/>
  <c r="D46" s="1"/>
  <c r="D47" s="1"/>
  <c r="D48" s="1"/>
  <c r="D49" s="1"/>
  <c r="D50" s="1"/>
  <c r="D51" s="1"/>
  <c r="D52" s="1"/>
  <c r="D53" s="1"/>
  <c r="D54" s="1"/>
  <c r="D55" s="1"/>
  <c r="D56" s="1"/>
  <c r="D57" s="1"/>
  <c r="D58" s="1"/>
  <c r="D59" s="1"/>
  <c r="D60" s="1"/>
  <c r="D61" s="1"/>
  <c r="D62" s="1"/>
  <c r="D63" s="1"/>
  <c r="D64" s="1"/>
  <c r="D65" s="1"/>
  <c r="D66" s="1"/>
  <c r="D67" s="1"/>
  <c r="D68" s="1"/>
  <c r="D69" s="1"/>
  <c r="D70" s="1"/>
  <c r="D71" s="1"/>
  <c r="D72" s="1"/>
  <c r="D73" s="1"/>
  <c r="D74" s="1"/>
  <c r="D75" s="1"/>
  <c r="D76" s="1"/>
  <c r="D77" s="1"/>
  <c r="D78" s="1"/>
  <c r="D79" s="1"/>
  <c r="D80" s="1"/>
  <c r="D81" s="1"/>
  <c r="D82" s="1"/>
  <c r="D83" s="1"/>
  <c r="D84" s="1"/>
  <c r="D85" s="1"/>
  <c r="D86" s="1"/>
  <c r="D87" s="1"/>
  <c r="D88" s="1"/>
  <c r="D89" s="1"/>
  <c r="D90" s="1"/>
  <c r="D91" s="1"/>
  <c r="D92" s="1"/>
  <c r="D93" s="1"/>
  <c r="D94" s="1"/>
  <c r="D95" s="1"/>
  <c r="D96" s="1"/>
  <c r="D97" s="1"/>
  <c r="D98" s="1"/>
  <c r="D99" s="1"/>
  <c r="D100" s="1"/>
  <c r="D101" s="1"/>
  <c r="D102" s="1"/>
  <c r="D103" s="1"/>
  <c r="D104" s="1"/>
  <c r="D105" s="1"/>
  <c r="D106" s="1"/>
  <c r="D107" s="1"/>
  <c r="D108" s="1"/>
  <c r="D109" s="1"/>
  <c r="D110" s="1"/>
  <c r="D111" s="1"/>
  <c r="D112" s="1"/>
  <c r="D113" s="1"/>
  <c r="D114" s="1"/>
  <c r="D115" s="1"/>
  <c r="D116" s="1"/>
  <c r="D117" s="1"/>
  <c r="D118" s="1"/>
  <c r="D119" s="1"/>
  <c r="D120" s="1"/>
  <c r="D121" s="1"/>
  <c r="D122" s="1"/>
  <c r="D123" s="1"/>
  <c r="D124" s="1"/>
  <c r="D125" s="1"/>
  <c r="D126" s="1"/>
  <c r="D127" s="1"/>
  <c r="D128" s="1"/>
  <c r="D129" s="1"/>
  <c r="D130" s="1"/>
  <c r="D131" s="1"/>
  <c r="D132" s="1"/>
  <c r="D133" s="1"/>
  <c r="D134" s="1"/>
  <c r="D135" s="1"/>
  <c r="D136" s="1"/>
  <c r="D137" s="1"/>
  <c r="D138" s="1"/>
  <c r="D139" s="1"/>
  <c r="D140" s="1"/>
  <c r="D141" s="1"/>
  <c r="D142" s="1"/>
  <c r="D143" s="1"/>
  <c r="D144" s="1"/>
  <c r="D145" s="1"/>
  <c r="D146" s="1"/>
  <c r="D147" s="1"/>
  <c r="D148" s="1"/>
  <c r="D149" s="1"/>
  <c r="D150" s="1"/>
  <c r="D151" s="1"/>
  <c r="D152" s="1"/>
  <c r="D153" s="1"/>
  <c r="D154" s="1"/>
  <c r="D155" s="1"/>
  <c r="D156" s="1"/>
  <c r="D157" s="1"/>
  <c r="D158" s="1"/>
  <c r="D159" s="1"/>
  <c r="D160" s="1"/>
  <c r="D161" s="1"/>
  <c r="D162" s="1"/>
  <c r="D163" s="1"/>
  <c r="D164" s="1"/>
  <c r="D165" s="1"/>
  <c r="D166" s="1"/>
  <c r="D167" s="1"/>
  <c r="D168" s="1"/>
  <c r="D169" s="1"/>
  <c r="D170" s="1"/>
  <c r="D171" s="1"/>
  <c r="D172" s="1"/>
  <c r="D173" s="1"/>
  <c r="D174" s="1"/>
  <c r="D175" s="1"/>
  <c r="D176" s="1"/>
  <c r="D177" s="1"/>
  <c r="D178" s="1"/>
  <c r="D179" s="1"/>
  <c r="D180" s="1"/>
  <c r="D181" s="1"/>
  <c r="D182" s="1"/>
  <c r="D183" s="1"/>
  <c r="D184" s="1"/>
  <c r="D185" s="1"/>
  <c r="D186" s="1"/>
  <c r="D187" s="1"/>
  <c r="D188" s="1"/>
  <c r="D189" s="1"/>
  <c r="D190" s="1"/>
  <c r="D191" s="1"/>
  <c r="D192" s="1"/>
  <c r="D193" s="1"/>
  <c r="D194" s="1"/>
  <c r="D195" s="1"/>
  <c r="D196" s="1"/>
  <c r="D197" s="1"/>
  <c r="D198" s="1"/>
  <c r="D199" s="1"/>
  <c r="D200" s="1"/>
  <c r="D201" s="1"/>
  <c r="D202" s="1"/>
  <c r="D203" s="1"/>
  <c r="D204" s="1"/>
  <c r="D205" s="1"/>
  <c r="D206" s="1"/>
  <c r="D207" s="1"/>
  <c r="D208" s="1"/>
  <c r="D209" s="1"/>
  <c r="D210" s="1"/>
  <c r="D211" s="1"/>
  <c r="D212" s="1"/>
  <c r="D213" s="1"/>
  <c r="D214" s="1"/>
  <c r="D215" s="1"/>
  <c r="D216" s="1"/>
  <c r="D217" s="1"/>
  <c r="D218" s="1"/>
  <c r="D219" s="1"/>
  <c r="D220" s="1"/>
  <c r="D221" s="1"/>
  <c r="D222" s="1"/>
  <c r="D223" s="1"/>
  <c r="D224" s="1"/>
  <c r="D225" s="1"/>
  <c r="D226" s="1"/>
  <c r="D227" s="1"/>
  <c r="D228" s="1"/>
  <c r="D229" s="1"/>
  <c r="D230" s="1"/>
  <c r="D231" s="1"/>
  <c r="D232" s="1"/>
  <c r="D233" s="1"/>
  <c r="D234" s="1"/>
  <c r="D235" s="1"/>
  <c r="D236" s="1"/>
  <c r="D237" s="1"/>
  <c r="D238" s="1"/>
  <c r="D239" s="1"/>
  <c r="D240" s="1"/>
  <c r="D241" s="1"/>
  <c r="D242" s="1"/>
  <c r="D243" s="1"/>
  <c r="D244" s="1"/>
  <c r="D245" s="1"/>
  <c r="D246" s="1"/>
  <c r="D247" s="1"/>
  <c r="D248" s="1"/>
  <c r="D249" s="1"/>
  <c r="D250" s="1"/>
  <c r="D251" s="1"/>
  <c r="D252" s="1"/>
  <c r="D253" s="1"/>
  <c r="D254" s="1"/>
  <c r="D255" s="1"/>
  <c r="D256" s="1"/>
  <c r="D257" s="1"/>
  <c r="D258" s="1"/>
  <c r="D259" s="1"/>
  <c r="D260" s="1"/>
  <c r="D261" s="1"/>
  <c r="D262" s="1"/>
  <c r="D263" s="1"/>
  <c r="D264" s="1"/>
  <c r="D265" s="1"/>
  <c r="D266" s="1"/>
  <c r="D267" s="1"/>
  <c r="D268" s="1"/>
  <c r="D269" s="1"/>
  <c r="D270" s="1"/>
  <c r="D271" s="1"/>
  <c r="D272" s="1"/>
  <c r="D273" s="1"/>
  <c r="D274" s="1"/>
  <c r="D275" s="1"/>
  <c r="D276" s="1"/>
  <c r="D277" s="1"/>
  <c r="D278" s="1"/>
  <c r="D279" s="1"/>
  <c r="D280" s="1"/>
  <c r="D281" s="1"/>
  <c r="D282" s="1"/>
  <c r="D283" s="1"/>
  <c r="D284" s="1"/>
  <c r="D285" s="1"/>
  <c r="D286" s="1"/>
  <c r="D287" s="1"/>
  <c r="D288" s="1"/>
  <c r="D289" s="1"/>
  <c r="D290" s="1"/>
  <c r="D291" s="1"/>
  <c r="D292" s="1"/>
  <c r="D293" s="1"/>
  <c r="D294" s="1"/>
  <c r="D295" s="1"/>
  <c r="D296" s="1"/>
  <c r="D297" s="1"/>
  <c r="D298" s="1"/>
  <c r="D299" s="1"/>
  <c r="D300" s="1"/>
  <c r="D301" s="1"/>
  <c r="D302" s="1"/>
  <c r="D303" s="1"/>
  <c r="D304" s="1"/>
  <c r="D305" s="1"/>
  <c r="C11"/>
  <c r="C12" s="1"/>
  <c r="C13" s="1"/>
  <c r="C14" s="1"/>
  <c r="C15" s="1"/>
  <c r="C16" s="1"/>
  <c r="C17" s="1"/>
  <c r="C18" s="1"/>
  <c r="C19" s="1"/>
  <c r="C20" s="1"/>
  <c r="C21" s="1"/>
  <c r="C22" s="1"/>
  <c r="C23" s="1"/>
  <c r="C24" s="1"/>
  <c r="C25" s="1"/>
  <c r="C26" s="1"/>
  <c r="C27" s="1"/>
  <c r="C28" s="1"/>
  <c r="C29" s="1"/>
  <c r="C30" s="1"/>
  <c r="C31" s="1"/>
  <c r="C32" s="1"/>
  <c r="C33" s="1"/>
  <c r="C34" s="1"/>
  <c r="C35" s="1"/>
  <c r="C36" s="1"/>
  <c r="C37" s="1"/>
  <c r="C38" s="1"/>
  <c r="C39" s="1"/>
  <c r="C40" s="1"/>
  <c r="C41" s="1"/>
  <c r="C42" s="1"/>
  <c r="C43" s="1"/>
  <c r="C44" s="1"/>
  <c r="C45" s="1"/>
  <c r="C46" s="1"/>
  <c r="C47" s="1"/>
  <c r="C48" s="1"/>
  <c r="C49" s="1"/>
  <c r="C50" s="1"/>
  <c r="C51" s="1"/>
  <c r="C52" s="1"/>
  <c r="C53" s="1"/>
  <c r="C54" s="1"/>
  <c r="C55" s="1"/>
  <c r="C56" s="1"/>
  <c r="C57" s="1"/>
  <c r="C58" s="1"/>
  <c r="C59" s="1"/>
  <c r="C60" s="1"/>
  <c r="C61" s="1"/>
  <c r="C62" s="1"/>
  <c r="C63" s="1"/>
  <c r="C64" s="1"/>
  <c r="C65" s="1"/>
  <c r="C66" s="1"/>
  <c r="C67" s="1"/>
  <c r="C68" s="1"/>
  <c r="C69" s="1"/>
  <c r="C70" s="1"/>
  <c r="C71" s="1"/>
  <c r="C72" s="1"/>
  <c r="C73" s="1"/>
  <c r="C74" s="1"/>
  <c r="C75" s="1"/>
  <c r="C76" s="1"/>
  <c r="C77" s="1"/>
  <c r="C78" s="1"/>
  <c r="C79" s="1"/>
  <c r="C80" s="1"/>
  <c r="C81" s="1"/>
  <c r="C82" s="1"/>
  <c r="C83" s="1"/>
  <c r="C84" s="1"/>
  <c r="C85" s="1"/>
  <c r="C86" s="1"/>
  <c r="C87" s="1"/>
  <c r="C88" s="1"/>
  <c r="C89" s="1"/>
  <c r="C90" s="1"/>
  <c r="C91" s="1"/>
  <c r="C92" s="1"/>
  <c r="C93" s="1"/>
  <c r="C94" s="1"/>
  <c r="C95" s="1"/>
  <c r="C96" s="1"/>
  <c r="C97" s="1"/>
  <c r="C98" s="1"/>
  <c r="C99" s="1"/>
  <c r="C100" s="1"/>
  <c r="C101" s="1"/>
  <c r="C102" s="1"/>
  <c r="C103" s="1"/>
  <c r="C104" s="1"/>
  <c r="C105" s="1"/>
  <c r="C106" s="1"/>
  <c r="C107" s="1"/>
  <c r="C108" s="1"/>
  <c r="C109" s="1"/>
  <c r="C110" s="1"/>
  <c r="C111" s="1"/>
  <c r="C112" s="1"/>
  <c r="C113" s="1"/>
  <c r="C114" s="1"/>
  <c r="C115" s="1"/>
  <c r="C116" s="1"/>
  <c r="C117" s="1"/>
  <c r="C118" s="1"/>
  <c r="C119" s="1"/>
  <c r="C120" s="1"/>
  <c r="C121" s="1"/>
  <c r="C122" s="1"/>
  <c r="C123" s="1"/>
  <c r="C124" s="1"/>
  <c r="C125" s="1"/>
  <c r="C126" s="1"/>
  <c r="C127" s="1"/>
  <c r="C128" s="1"/>
  <c r="C129" s="1"/>
  <c r="C130" s="1"/>
  <c r="C131" s="1"/>
  <c r="C132" s="1"/>
  <c r="C133" s="1"/>
  <c r="C134" s="1"/>
  <c r="C135" s="1"/>
  <c r="C136" s="1"/>
  <c r="C137" s="1"/>
  <c r="C138" s="1"/>
  <c r="C139" s="1"/>
  <c r="C140" s="1"/>
  <c r="C141" s="1"/>
  <c r="C142" s="1"/>
  <c r="C143" s="1"/>
  <c r="C144" s="1"/>
  <c r="C145" s="1"/>
  <c r="C146" s="1"/>
  <c r="C147" s="1"/>
  <c r="C148" s="1"/>
  <c r="C149" s="1"/>
  <c r="C150" s="1"/>
  <c r="C151" s="1"/>
  <c r="C152" s="1"/>
  <c r="C153" s="1"/>
  <c r="C154" s="1"/>
  <c r="C155" s="1"/>
  <c r="C156" s="1"/>
  <c r="C157" s="1"/>
  <c r="C158" s="1"/>
  <c r="C159" s="1"/>
  <c r="C160" s="1"/>
  <c r="C161" s="1"/>
  <c r="C162" s="1"/>
  <c r="C163" s="1"/>
  <c r="C164" s="1"/>
  <c r="C165" s="1"/>
  <c r="C166" s="1"/>
  <c r="C167" s="1"/>
  <c r="C168" s="1"/>
  <c r="C169" s="1"/>
  <c r="C170" s="1"/>
  <c r="C171" s="1"/>
  <c r="C172" s="1"/>
  <c r="C173" s="1"/>
  <c r="C174" s="1"/>
  <c r="C175" s="1"/>
  <c r="C176" s="1"/>
  <c r="C177" s="1"/>
  <c r="C178" s="1"/>
  <c r="C179" s="1"/>
  <c r="C180" s="1"/>
  <c r="C181" s="1"/>
  <c r="C182" s="1"/>
  <c r="C183" s="1"/>
  <c r="C184" s="1"/>
  <c r="C185" s="1"/>
  <c r="C186" s="1"/>
  <c r="C187" s="1"/>
  <c r="C188" s="1"/>
  <c r="C189" s="1"/>
  <c r="C190" s="1"/>
  <c r="C191" s="1"/>
  <c r="C192" s="1"/>
  <c r="C193" s="1"/>
  <c r="C194" s="1"/>
  <c r="C195" s="1"/>
  <c r="C196" s="1"/>
  <c r="C197" s="1"/>
  <c r="C198" s="1"/>
  <c r="C199" s="1"/>
  <c r="C200" s="1"/>
  <c r="C201" s="1"/>
  <c r="C202" s="1"/>
  <c r="C203" s="1"/>
  <c r="C204" s="1"/>
  <c r="C205" s="1"/>
  <c r="C206" s="1"/>
  <c r="C207" s="1"/>
  <c r="C208" s="1"/>
  <c r="C209" s="1"/>
  <c r="C210" s="1"/>
  <c r="C211" s="1"/>
  <c r="C212" s="1"/>
  <c r="C213" s="1"/>
  <c r="C214" s="1"/>
  <c r="C215" s="1"/>
  <c r="C216" s="1"/>
  <c r="C217" s="1"/>
  <c r="C218" s="1"/>
  <c r="C219" s="1"/>
  <c r="C220" s="1"/>
  <c r="C221" s="1"/>
  <c r="C222" s="1"/>
  <c r="C223" s="1"/>
  <c r="C224" s="1"/>
  <c r="C225" s="1"/>
  <c r="C226" s="1"/>
  <c r="C227" s="1"/>
  <c r="C228" s="1"/>
  <c r="C229" s="1"/>
  <c r="C230" s="1"/>
  <c r="C231" s="1"/>
  <c r="C232" s="1"/>
  <c r="C233" s="1"/>
  <c r="C234" s="1"/>
  <c r="C235" s="1"/>
  <c r="C236" s="1"/>
  <c r="C237" s="1"/>
  <c r="C238" s="1"/>
  <c r="C239" s="1"/>
  <c r="C240" s="1"/>
  <c r="C241" s="1"/>
  <c r="C242" s="1"/>
  <c r="C243" s="1"/>
  <c r="C244" s="1"/>
  <c r="C245" s="1"/>
  <c r="C246" s="1"/>
  <c r="C247" s="1"/>
  <c r="C248" s="1"/>
  <c r="C249" s="1"/>
  <c r="C250" s="1"/>
  <c r="C251" s="1"/>
  <c r="C252" s="1"/>
  <c r="C253" s="1"/>
  <c r="C254" s="1"/>
  <c r="C255" s="1"/>
  <c r="C256" s="1"/>
  <c r="C257" s="1"/>
  <c r="C258" s="1"/>
  <c r="C259" s="1"/>
  <c r="C260" s="1"/>
  <c r="C261" s="1"/>
  <c r="C262" s="1"/>
  <c r="C263" s="1"/>
  <c r="C264" s="1"/>
  <c r="C265" s="1"/>
  <c r="C266" s="1"/>
  <c r="C267" s="1"/>
  <c r="C268" s="1"/>
  <c r="C269" s="1"/>
  <c r="C270" s="1"/>
  <c r="C271" s="1"/>
  <c r="C272" s="1"/>
  <c r="C273" s="1"/>
  <c r="C274" s="1"/>
  <c r="C275" s="1"/>
  <c r="C276" s="1"/>
  <c r="C277" s="1"/>
  <c r="C278" s="1"/>
  <c r="C279" s="1"/>
  <c r="C280" s="1"/>
  <c r="C281" s="1"/>
  <c r="C282" s="1"/>
  <c r="C283" s="1"/>
  <c r="C284" s="1"/>
  <c r="C285" s="1"/>
  <c r="C286" s="1"/>
  <c r="C287" s="1"/>
  <c r="C288" s="1"/>
  <c r="C289" s="1"/>
  <c r="C290" s="1"/>
  <c r="C291" s="1"/>
  <c r="C292" s="1"/>
  <c r="C293" s="1"/>
  <c r="C294" s="1"/>
  <c r="C295" s="1"/>
  <c r="C296" s="1"/>
  <c r="C297" s="1"/>
  <c r="C298" s="1"/>
  <c r="C299" s="1"/>
  <c r="C300" s="1"/>
  <c r="C301" s="1"/>
  <c r="C302" s="1"/>
  <c r="C303" s="1"/>
  <c r="C304" s="1"/>
  <c r="C305" s="1"/>
  <c r="B11"/>
  <c r="B12" s="1"/>
  <c r="B13" s="1"/>
  <c r="B14" s="1"/>
  <c r="B15" s="1"/>
  <c r="B16" s="1"/>
  <c r="B17" s="1"/>
  <c r="B18" s="1"/>
  <c r="B19" s="1"/>
  <c r="B20" s="1"/>
  <c r="B21" s="1"/>
  <c r="B22" s="1"/>
  <c r="B23" s="1"/>
  <c r="B24" s="1"/>
  <c r="B25" s="1"/>
  <c r="B26" s="1"/>
  <c r="B27" s="1"/>
  <c r="B28" s="1"/>
  <c r="B29" s="1"/>
  <c r="B30" s="1"/>
  <c r="B31" s="1"/>
  <c r="B32" s="1"/>
  <c r="B33" s="1"/>
  <c r="B34" s="1"/>
  <c r="B35" s="1"/>
  <c r="B36" s="1"/>
  <c r="B37" s="1"/>
  <c r="B38" s="1"/>
  <c r="B39" s="1"/>
  <c r="B40" s="1"/>
  <c r="B41" s="1"/>
  <c r="B42" s="1"/>
  <c r="B43" s="1"/>
  <c r="B44" s="1"/>
  <c r="B45" s="1"/>
  <c r="B46" s="1"/>
  <c r="B47" s="1"/>
  <c r="B48" s="1"/>
  <c r="B49" s="1"/>
  <c r="B50" s="1"/>
  <c r="B51" s="1"/>
  <c r="B52" s="1"/>
  <c r="B53" s="1"/>
  <c r="B54" s="1"/>
  <c r="B55" s="1"/>
  <c r="B56" s="1"/>
  <c r="B57" s="1"/>
  <c r="B58" s="1"/>
  <c r="B59" s="1"/>
  <c r="B60" s="1"/>
  <c r="B61" s="1"/>
  <c r="B62" s="1"/>
  <c r="B63" s="1"/>
  <c r="B64" s="1"/>
  <c r="B65" s="1"/>
  <c r="B66" s="1"/>
  <c r="B67" s="1"/>
  <c r="B68" s="1"/>
  <c r="B69" s="1"/>
  <c r="B70" s="1"/>
  <c r="B71" s="1"/>
  <c r="B72" s="1"/>
  <c r="B73" s="1"/>
  <c r="B74" s="1"/>
  <c r="B75" s="1"/>
  <c r="B76" s="1"/>
  <c r="B77" s="1"/>
  <c r="B78" s="1"/>
  <c r="B79" s="1"/>
  <c r="B80" s="1"/>
  <c r="B81" s="1"/>
  <c r="B82" s="1"/>
  <c r="B83" s="1"/>
  <c r="B84" s="1"/>
  <c r="B85" s="1"/>
  <c r="B86" s="1"/>
  <c r="B87" s="1"/>
  <c r="B88" s="1"/>
  <c r="B89" s="1"/>
  <c r="B90" s="1"/>
  <c r="B91" s="1"/>
  <c r="B92" s="1"/>
  <c r="B93" s="1"/>
  <c r="B94" s="1"/>
  <c r="B95" s="1"/>
  <c r="B96" s="1"/>
  <c r="B97" s="1"/>
  <c r="B98" s="1"/>
  <c r="B99" s="1"/>
  <c r="B100" s="1"/>
  <c r="B101" s="1"/>
  <c r="B102" s="1"/>
  <c r="B103" s="1"/>
  <c r="B104" s="1"/>
  <c r="B105" s="1"/>
  <c r="B106" s="1"/>
  <c r="B107" s="1"/>
  <c r="B108" s="1"/>
  <c r="B109" s="1"/>
  <c r="B110" s="1"/>
  <c r="B111" s="1"/>
  <c r="B112" s="1"/>
  <c r="B113" s="1"/>
  <c r="B114" s="1"/>
  <c r="B115" s="1"/>
  <c r="B116" s="1"/>
  <c r="B117" s="1"/>
  <c r="B118" s="1"/>
  <c r="B119" s="1"/>
  <c r="B120" s="1"/>
  <c r="B121" s="1"/>
  <c r="B122" s="1"/>
  <c r="B123" s="1"/>
  <c r="B124" s="1"/>
  <c r="B125" s="1"/>
  <c r="B126" s="1"/>
  <c r="B127" s="1"/>
  <c r="B128" s="1"/>
  <c r="B129" s="1"/>
  <c r="B130" s="1"/>
  <c r="B131" s="1"/>
  <c r="B132" s="1"/>
  <c r="B133" s="1"/>
  <c r="B134" s="1"/>
  <c r="B135" s="1"/>
  <c r="B136" s="1"/>
  <c r="B137" s="1"/>
  <c r="B138" s="1"/>
  <c r="B139" s="1"/>
  <c r="B140" s="1"/>
  <c r="B141" s="1"/>
  <c r="B142" s="1"/>
  <c r="B143" s="1"/>
  <c r="B144" s="1"/>
  <c r="B145" s="1"/>
  <c r="B146" s="1"/>
  <c r="B147" s="1"/>
  <c r="B148" s="1"/>
  <c r="B149" s="1"/>
  <c r="B150" s="1"/>
  <c r="B151" s="1"/>
  <c r="B152" s="1"/>
  <c r="B153" s="1"/>
  <c r="B154" s="1"/>
  <c r="B155" s="1"/>
  <c r="B156" s="1"/>
  <c r="B157" s="1"/>
  <c r="B158" s="1"/>
  <c r="B159" s="1"/>
  <c r="B160" s="1"/>
  <c r="B161" s="1"/>
  <c r="B162" s="1"/>
  <c r="B163" s="1"/>
  <c r="B164" s="1"/>
  <c r="B165" s="1"/>
  <c r="B166" s="1"/>
  <c r="B167" s="1"/>
  <c r="B168" s="1"/>
  <c r="B169" s="1"/>
  <c r="B170" s="1"/>
  <c r="B171" s="1"/>
  <c r="B172" s="1"/>
  <c r="B173" s="1"/>
  <c r="B174" s="1"/>
  <c r="B175" s="1"/>
  <c r="B176" s="1"/>
  <c r="B177" s="1"/>
  <c r="B178" s="1"/>
  <c r="B179" s="1"/>
  <c r="B180" s="1"/>
  <c r="B181" s="1"/>
  <c r="B182" s="1"/>
  <c r="B183" s="1"/>
  <c r="B184" s="1"/>
  <c r="B185" s="1"/>
  <c r="B186" s="1"/>
  <c r="B187" s="1"/>
  <c r="B188" s="1"/>
  <c r="B189" s="1"/>
  <c r="B190" s="1"/>
  <c r="B191" s="1"/>
  <c r="B192" s="1"/>
  <c r="B193" s="1"/>
  <c r="B194" s="1"/>
  <c r="B195" s="1"/>
  <c r="B196" s="1"/>
  <c r="B197" s="1"/>
  <c r="B198" s="1"/>
  <c r="B199" s="1"/>
  <c r="B200" s="1"/>
  <c r="B201" s="1"/>
  <c r="B202" s="1"/>
  <c r="B203" s="1"/>
  <c r="B204" s="1"/>
  <c r="B205" s="1"/>
  <c r="B206" s="1"/>
  <c r="B207" s="1"/>
  <c r="B208" s="1"/>
  <c r="B209" s="1"/>
  <c r="B210" s="1"/>
  <c r="B211" s="1"/>
  <c r="B212" s="1"/>
  <c r="B213" s="1"/>
  <c r="B214" s="1"/>
  <c r="B215" s="1"/>
  <c r="B216" s="1"/>
  <c r="B217" s="1"/>
  <c r="B218" s="1"/>
  <c r="B219" s="1"/>
  <c r="B220" s="1"/>
  <c r="B221" s="1"/>
  <c r="B222" s="1"/>
  <c r="B223" s="1"/>
  <c r="B224" s="1"/>
  <c r="B225" s="1"/>
  <c r="B226" s="1"/>
  <c r="B227" s="1"/>
  <c r="B228" s="1"/>
  <c r="B229" s="1"/>
  <c r="B230" s="1"/>
  <c r="B231" s="1"/>
  <c r="B232" s="1"/>
  <c r="B233" s="1"/>
  <c r="B234" s="1"/>
  <c r="B235" s="1"/>
  <c r="B236" s="1"/>
  <c r="B237" s="1"/>
  <c r="B238" s="1"/>
  <c r="B239" s="1"/>
  <c r="B240" s="1"/>
  <c r="B241" s="1"/>
  <c r="B242" s="1"/>
  <c r="B243" s="1"/>
  <c r="B244" s="1"/>
  <c r="B245" s="1"/>
  <c r="B246" s="1"/>
  <c r="B247" s="1"/>
  <c r="B248" s="1"/>
  <c r="B249" s="1"/>
  <c r="B250" s="1"/>
  <c r="B251" s="1"/>
  <c r="B252" s="1"/>
  <c r="B253" s="1"/>
  <c r="B254" s="1"/>
  <c r="B255" s="1"/>
  <c r="B256" s="1"/>
  <c r="B257" s="1"/>
  <c r="B258" s="1"/>
  <c r="B259" s="1"/>
  <c r="B260" s="1"/>
  <c r="B261" s="1"/>
  <c r="B262" s="1"/>
  <c r="B263" s="1"/>
  <c r="B264" s="1"/>
  <c r="B265" s="1"/>
  <c r="B266" s="1"/>
  <c r="B267" s="1"/>
  <c r="B268" s="1"/>
  <c r="B269" s="1"/>
  <c r="B270" s="1"/>
  <c r="B271" s="1"/>
  <c r="B272" s="1"/>
  <c r="B273" s="1"/>
  <c r="B274" s="1"/>
  <c r="B275" s="1"/>
  <c r="B276" s="1"/>
  <c r="B277" s="1"/>
  <c r="B278" s="1"/>
  <c r="B279" s="1"/>
  <c r="B280" s="1"/>
  <c r="B281" s="1"/>
  <c r="B282" s="1"/>
  <c r="B283" s="1"/>
  <c r="B284" s="1"/>
  <c r="B285" s="1"/>
  <c r="B286" s="1"/>
  <c r="B287" s="1"/>
  <c r="B288" s="1"/>
  <c r="B289" s="1"/>
  <c r="B290" s="1"/>
  <c r="B291" s="1"/>
  <c r="B292" s="1"/>
  <c r="B293" s="1"/>
  <c r="B294" s="1"/>
  <c r="B295" s="1"/>
  <c r="B296" s="1"/>
  <c r="B297" s="1"/>
  <c r="B298" s="1"/>
  <c r="B299" s="1"/>
  <c r="B300" s="1"/>
  <c r="B301" s="1"/>
  <c r="B302" s="1"/>
  <c r="B303" s="1"/>
  <c r="B304" s="1"/>
  <c r="B305" s="1"/>
  <c r="E111" i="246"/>
  <c r="C111"/>
  <c r="E110"/>
  <c r="C110"/>
  <c r="H594" i="216" l="1"/>
  <c r="F597" s="1"/>
  <c r="H519"/>
  <c r="F520" s="1"/>
  <c r="H520" s="1"/>
  <c r="H503"/>
  <c r="G796"/>
  <c r="H796" s="1"/>
  <c r="H870"/>
  <c r="H765"/>
  <c r="H757"/>
  <c r="H644"/>
  <c r="H512"/>
  <c r="H822"/>
  <c r="H738"/>
  <c r="H530"/>
  <c r="H587"/>
  <c r="F2753" i="214"/>
  <c r="G2753" s="1"/>
  <c r="H521" i="216"/>
  <c r="E2999" i="214"/>
  <c r="F2999" s="1"/>
  <c r="H756" i="216"/>
  <c r="G696"/>
  <c r="H696" s="1"/>
  <c r="H681"/>
  <c r="H663"/>
  <c r="H504"/>
  <c r="H916"/>
  <c r="H898"/>
  <c r="H879"/>
  <c r="H860"/>
  <c r="G856"/>
  <c r="H856" s="1"/>
  <c r="H784"/>
  <c r="G780"/>
  <c r="H780" s="1"/>
  <c r="H747"/>
  <c r="H739"/>
  <c r="H654"/>
  <c r="H606"/>
  <c r="G217" i="309"/>
  <c r="C217" s="1"/>
  <c r="D216" i="305"/>
  <c r="G217" i="140"/>
  <c r="C207" i="195"/>
  <c r="I207" s="1"/>
  <c r="G233" i="309"/>
  <c r="C233" s="1"/>
  <c r="D232" i="305"/>
  <c r="C231" i="195"/>
  <c r="I231" s="1"/>
  <c r="G233" i="140"/>
  <c r="H902" i="215"/>
  <c r="I902" s="1"/>
  <c r="I903" s="1"/>
  <c r="H508" i="216"/>
  <c r="C157" i="310"/>
  <c r="F157" s="1"/>
  <c r="G89" i="309"/>
  <c r="C89" s="1"/>
  <c r="D88" i="305"/>
  <c r="G89" i="140"/>
  <c r="C156" i="310"/>
  <c r="F156" s="1"/>
  <c r="G85" i="309"/>
  <c r="C85" s="1"/>
  <c r="D84" i="305"/>
  <c r="G85" i="140"/>
  <c r="K4476" i="132"/>
  <c r="M4476" s="1"/>
  <c r="K4435"/>
  <c r="M4435" s="1"/>
  <c r="K4486"/>
  <c r="M4486" s="1"/>
  <c r="K4382"/>
  <c r="M4382" s="1"/>
  <c r="K4362"/>
  <c r="M4362" s="1"/>
  <c r="K4293"/>
  <c r="M4293" s="1"/>
  <c r="K4283"/>
  <c r="M4283" s="1"/>
  <c r="K4238"/>
  <c r="M4238" s="1"/>
  <c r="K4186"/>
  <c r="M4186" s="1"/>
  <c r="K4160"/>
  <c r="M4160" s="1"/>
  <c r="K4145"/>
  <c r="M4145" s="1"/>
  <c r="K4095"/>
  <c r="M4095" s="1"/>
  <c r="K4090"/>
  <c r="M4090" s="1"/>
  <c r="K4067"/>
  <c r="M4067" s="1"/>
  <c r="K4057"/>
  <c r="M4057" s="1"/>
  <c r="K4481"/>
  <c r="M4481" s="1"/>
  <c r="K4407"/>
  <c r="M4407" s="1"/>
  <c r="K4387"/>
  <c r="M4387" s="1"/>
  <c r="K4372"/>
  <c r="M4372" s="1"/>
  <c r="K4367"/>
  <c r="M4367" s="1"/>
  <c r="K4316"/>
  <c r="M4316" s="1"/>
  <c r="K4311"/>
  <c r="M4311" s="1"/>
  <c r="K4288"/>
  <c r="M4288" s="1"/>
  <c r="K4278"/>
  <c r="M4278" s="1"/>
  <c r="K4233"/>
  <c r="M4233" s="1"/>
  <c r="K4206"/>
  <c r="M4206" s="1"/>
  <c r="K4243"/>
  <c r="M4243" s="1"/>
  <c r="K4165"/>
  <c r="M4165" s="1"/>
  <c r="K4150"/>
  <c r="M4150" s="1"/>
  <c r="K4140"/>
  <c r="M4140" s="1"/>
  <c r="K4072"/>
  <c r="M4072" s="1"/>
  <c r="K4062"/>
  <c r="M4062" s="1"/>
  <c r="K3538"/>
  <c r="M3538" s="1"/>
  <c r="K3589"/>
  <c r="M3589" s="1"/>
  <c r="K3574"/>
  <c r="M3574" s="1"/>
  <c r="K3584"/>
  <c r="M3584" s="1"/>
  <c r="K3554"/>
  <c r="M3554" s="1"/>
  <c r="K3547"/>
  <c r="M3547" s="1"/>
  <c r="K3477"/>
  <c r="M3477" s="1"/>
  <c r="K3467"/>
  <c r="M3467" s="1"/>
  <c r="K3487"/>
  <c r="M3487" s="1"/>
  <c r="K3513"/>
  <c r="M3513" s="1"/>
  <c r="K3502"/>
  <c r="M3502" s="1"/>
  <c r="K3523"/>
  <c r="M3523" s="1"/>
  <c r="K3400"/>
  <c r="M3400" s="1"/>
  <c r="K3451"/>
  <c r="M3451" s="1"/>
  <c r="K3436"/>
  <c r="M3436" s="1"/>
  <c r="K3446"/>
  <c r="M3446" s="1"/>
  <c r="K3416"/>
  <c r="M3416" s="1"/>
  <c r="K3409"/>
  <c r="M3409" s="1"/>
  <c r="K3336"/>
  <c r="M3336" s="1"/>
  <c r="K3325"/>
  <c r="M3325" s="1"/>
  <c r="K3347"/>
  <c r="M3347" s="1"/>
  <c r="K3375"/>
  <c r="M3375" s="1"/>
  <c r="K3363"/>
  <c r="M3363" s="1"/>
  <c r="K3385"/>
  <c r="M3385" s="1"/>
  <c r="K3594"/>
  <c r="M3594" s="1"/>
  <c r="K3579"/>
  <c r="M3579" s="1"/>
  <c r="K3569"/>
  <c r="M3569" s="1"/>
  <c r="K3564"/>
  <c r="M3564" s="1"/>
  <c r="K3559"/>
  <c r="M3559" s="1"/>
  <c r="K3548"/>
  <c r="M3548" s="1"/>
  <c r="K3546"/>
  <c r="M3546" s="1"/>
  <c r="K3482"/>
  <c r="M3482" s="1"/>
  <c r="K3462"/>
  <c r="M3462" s="1"/>
  <c r="K3472"/>
  <c r="M3472" s="1"/>
  <c r="K3492"/>
  <c r="M3492" s="1"/>
  <c r="K3507"/>
  <c r="M3507" s="1"/>
  <c r="K3497"/>
  <c r="M3497" s="1"/>
  <c r="K3528"/>
  <c r="M3528" s="1"/>
  <c r="K3456"/>
  <c r="M3456" s="1"/>
  <c r="K3441"/>
  <c r="M3441" s="1"/>
  <c r="K3431"/>
  <c r="M3431" s="1"/>
  <c r="K3426"/>
  <c r="M3426" s="1"/>
  <c r="K3421"/>
  <c r="M3421" s="1"/>
  <c r="K3410"/>
  <c r="M3410" s="1"/>
  <c r="K3408"/>
  <c r="M3408" s="1"/>
  <c r="K3342"/>
  <c r="M3342" s="1"/>
  <c r="K3320"/>
  <c r="M3320" s="1"/>
  <c r="K3331"/>
  <c r="M3331" s="1"/>
  <c r="K3352"/>
  <c r="M3352" s="1"/>
  <c r="K3369"/>
  <c r="M3369" s="1"/>
  <c r="K3358"/>
  <c r="M3358" s="1"/>
  <c r="K3390"/>
  <c r="M3390" s="1"/>
  <c r="K2974"/>
  <c r="M2974" s="1"/>
  <c r="K2840"/>
  <c r="M2840" s="1"/>
  <c r="K2836"/>
  <c r="M2836" s="1"/>
  <c r="K2970"/>
  <c r="M2970" s="1"/>
  <c r="K2979"/>
  <c r="M2979" s="1"/>
  <c r="K2966"/>
  <c r="M2966" s="1"/>
  <c r="K2845"/>
  <c r="M2845" s="1"/>
  <c r="K2832"/>
  <c r="M2832" s="1"/>
  <c r="H829" i="216"/>
  <c r="F832" s="1"/>
  <c r="K3038" i="132"/>
  <c r="M3038" s="1"/>
  <c r="K2897"/>
  <c r="M2897" s="1"/>
  <c r="G3545" i="214"/>
  <c r="F3570"/>
  <c r="G3281"/>
  <c r="G3143"/>
  <c r="F3580"/>
  <c r="G3261"/>
  <c r="F3178"/>
  <c r="G3126"/>
  <c r="F2663"/>
  <c r="G2344"/>
  <c r="F2261"/>
  <c r="G2209"/>
  <c r="F2973"/>
  <c r="G2958"/>
  <c r="F2952"/>
  <c r="F2945"/>
  <c r="G2973"/>
  <c r="F2958"/>
  <c r="G2952"/>
  <c r="G2945"/>
  <c r="G2938"/>
  <c r="G3021"/>
  <c r="G3001"/>
  <c r="F2653"/>
  <c r="G2653" s="1"/>
  <c r="G2654" s="1"/>
  <c r="G2655" s="1"/>
  <c r="F2668" s="1"/>
  <c r="G2668" s="1"/>
  <c r="G2675" s="1"/>
  <c r="G2628"/>
  <c r="G2364"/>
  <c r="G2226"/>
  <c r="F3475"/>
  <c r="G3475" s="1"/>
  <c r="G3239"/>
  <c r="G3225"/>
  <c r="G2056"/>
  <c r="G2041"/>
  <c r="G2035"/>
  <c r="G2028"/>
  <c r="G2048"/>
  <c r="F2056"/>
  <c r="F2041"/>
  <c r="F2035"/>
  <c r="G2021"/>
  <c r="G2084"/>
  <c r="G2104"/>
  <c r="E2992"/>
  <c r="F2992" s="1"/>
  <c r="G2936"/>
  <c r="F2558"/>
  <c r="G2558" s="1"/>
  <c r="G2183"/>
  <c r="G2019"/>
  <c r="F220" i="305"/>
  <c r="I221" i="309"/>
  <c r="F223" i="305"/>
  <c r="G223" s="1"/>
  <c r="I224" i="309"/>
  <c r="F211" i="305"/>
  <c r="G211" s="1"/>
  <c r="I212" i="309"/>
  <c r="F2173" i="214"/>
  <c r="E2174" s="1"/>
  <c r="F11" i="305"/>
  <c r="G11" s="1"/>
  <c r="I12" i="309"/>
  <c r="F10" i="305"/>
  <c r="G10" s="1"/>
  <c r="I11" i="309"/>
  <c r="F15" i="305"/>
  <c r="G15" s="1"/>
  <c r="I16" i="309"/>
  <c r="F14" i="305"/>
  <c r="G14" s="1"/>
  <c r="I15" i="309"/>
  <c r="F228" i="305"/>
  <c r="G228" s="1"/>
  <c r="I229" i="309"/>
  <c r="F227" i="305"/>
  <c r="G227" s="1"/>
  <c r="I228" i="309"/>
  <c r="F232" i="305"/>
  <c r="I233" i="309"/>
  <c r="F231" i="305"/>
  <c r="G231" s="1"/>
  <c r="I232" i="309"/>
  <c r="F224" i="305"/>
  <c r="G224" s="1"/>
  <c r="I225" i="309"/>
  <c r="F212" i="305"/>
  <c r="I213" i="309"/>
  <c r="F219" i="305"/>
  <c r="G219" s="1"/>
  <c r="I220" i="309"/>
  <c r="H772" i="216"/>
  <c r="F775" s="1"/>
  <c r="H775" s="1"/>
  <c r="H890"/>
  <c r="H636"/>
  <c r="I1542" i="192"/>
  <c r="I2487" i="132"/>
  <c r="I960" i="194"/>
  <c r="I954"/>
  <c r="G523" i="140" s="1"/>
  <c r="I1058" i="215"/>
  <c r="K4418" i="132" s="1"/>
  <c r="M4418" s="1"/>
  <c r="I774" i="215"/>
  <c r="F3302" i="214"/>
  <c r="G2943"/>
  <c r="G2908"/>
  <c r="F2385"/>
  <c r="E2083"/>
  <c r="G2026"/>
  <c r="G1991"/>
  <c r="G926" i="216"/>
  <c r="H926" s="1"/>
  <c r="G837"/>
  <c r="H837" s="1"/>
  <c r="G697"/>
  <c r="H697" s="1"/>
  <c r="G695"/>
  <c r="H695" s="1"/>
  <c r="G693"/>
  <c r="H693" s="1"/>
  <c r="D212" i="305"/>
  <c r="C203" i="195"/>
  <c r="I203" s="1"/>
  <c r="G213" i="140"/>
  <c r="D357" i="305"/>
  <c r="C356" i="195"/>
  <c r="I356" s="1"/>
  <c r="D161" i="196" s="1"/>
  <c r="G359" i="140"/>
  <c r="D353" i="305"/>
  <c r="G355" i="140"/>
  <c r="C352" i="195"/>
  <c r="I352" s="1"/>
  <c r="D157" i="196" s="1"/>
  <c r="G2306" i="214"/>
  <c r="G2274"/>
  <c r="H736" i="216"/>
  <c r="H848"/>
  <c r="F851" s="1"/>
  <c r="H633"/>
  <c r="F634" s="1"/>
  <c r="H634" s="1"/>
  <c r="F859" i="305"/>
  <c r="G859" s="1"/>
  <c r="G3191" i="214"/>
  <c r="E2144"/>
  <c r="C108" i="165"/>
  <c r="E99" i="139" s="1"/>
  <c r="C103" i="165"/>
  <c r="E95" i="139" s="1"/>
  <c r="C379" i="195"/>
  <c r="I379" s="1"/>
  <c r="D172" i="196" s="1"/>
  <c r="G382" i="140"/>
  <c r="G3351" i="214"/>
  <c r="H852" i="216"/>
  <c r="H833"/>
  <c r="H721"/>
  <c r="H617"/>
  <c r="H597"/>
  <c r="H540"/>
  <c r="F3456" i="214"/>
  <c r="G3456" s="1"/>
  <c r="G3207"/>
  <c r="G2956"/>
  <c r="G2929"/>
  <c r="G2902"/>
  <c r="F2539"/>
  <c r="G2539" s="1"/>
  <c r="G2290"/>
  <c r="F2083"/>
  <c r="F2084" s="1"/>
  <c r="G2039"/>
  <c r="G2012"/>
  <c r="G1985"/>
  <c r="H851" i="216"/>
  <c r="G838"/>
  <c r="H838" s="1"/>
  <c r="G836"/>
  <c r="H836" s="1"/>
  <c r="G834"/>
  <c r="H834" s="1"/>
  <c r="H832"/>
  <c r="H814"/>
  <c r="G800"/>
  <c r="H800" s="1"/>
  <c r="H776"/>
  <c r="H655"/>
  <c r="G622"/>
  <c r="H622" s="1"/>
  <c r="G620"/>
  <c r="H620" s="1"/>
  <c r="G618"/>
  <c r="H618" s="1"/>
  <c r="H598"/>
  <c r="G544"/>
  <c r="H544" s="1"/>
  <c r="H486"/>
  <c r="G366" i="218"/>
  <c r="G368" s="1"/>
  <c r="K3405" i="132" s="1"/>
  <c r="M3405" s="1"/>
  <c r="H810" i="216"/>
  <c r="F813" s="1"/>
  <c r="H813" s="1"/>
  <c r="G798"/>
  <c r="H798" s="1"/>
  <c r="H754"/>
  <c r="F755" s="1"/>
  <c r="H755" s="1"/>
  <c r="H766" s="1"/>
  <c r="H652"/>
  <c r="F653" s="1"/>
  <c r="H653" s="1"/>
  <c r="G2415" i="214"/>
  <c r="G2322"/>
  <c r="G2276"/>
  <c r="T156" i="211"/>
  <c r="T157" s="1"/>
  <c r="G3510" i="214"/>
  <c r="G3317"/>
  <c r="F3090"/>
  <c r="E3091" s="1"/>
  <c r="E3092" s="1"/>
  <c r="G3092" s="1"/>
  <c r="G2453"/>
  <c r="G801" i="216"/>
  <c r="H801" s="1"/>
  <c r="G799"/>
  <c r="H799" s="1"/>
  <c r="G797"/>
  <c r="H797" s="1"/>
  <c r="H791"/>
  <c r="F794" s="1"/>
  <c r="H794" s="1"/>
  <c r="H717"/>
  <c r="F720" s="1"/>
  <c r="H720" s="1"/>
  <c r="G3370" i="214"/>
  <c r="G3223"/>
  <c r="G3100"/>
  <c r="K3030" i="132" s="1"/>
  <c r="M3030" s="1"/>
  <c r="G3035" i="214"/>
  <c r="G2308"/>
  <c r="F3409"/>
  <c r="G3332"/>
  <c r="G3193"/>
  <c r="F3160"/>
  <c r="F3126"/>
  <c r="F3076"/>
  <c r="E3077" s="1"/>
  <c r="G3077" s="1"/>
  <c r="G2992"/>
  <c r="F2474"/>
  <c r="G2075"/>
  <c r="G128" i="140"/>
  <c r="I1080" i="215"/>
  <c r="I969"/>
  <c r="I960"/>
  <c r="I961" s="1"/>
  <c r="I947"/>
  <c r="I948" s="1"/>
  <c r="I926"/>
  <c r="I796"/>
  <c r="I685"/>
  <c r="I676"/>
  <c r="I677" s="1"/>
  <c r="I663"/>
  <c r="I664" s="1"/>
  <c r="I642"/>
  <c r="H1131"/>
  <c r="I1131" s="1"/>
  <c r="I1114"/>
  <c r="I1093"/>
  <c r="I1067"/>
  <c r="I986"/>
  <c r="I867"/>
  <c r="I868" s="1"/>
  <c r="H847"/>
  <c r="I847" s="1"/>
  <c r="I849" s="1"/>
  <c r="I830"/>
  <c r="I809"/>
  <c r="I783"/>
  <c r="I702"/>
  <c r="I583"/>
  <c r="I584" s="1"/>
  <c r="G546" i="218"/>
  <c r="G548" s="1"/>
  <c r="G549" s="1"/>
  <c r="G452"/>
  <c r="G454" s="1"/>
  <c r="G322"/>
  <c r="G324" s="1"/>
  <c r="G466"/>
  <c r="G468" s="1"/>
  <c r="G402"/>
  <c r="G404" s="1"/>
  <c r="G405" s="1"/>
  <c r="G308"/>
  <c r="G310" s="1"/>
  <c r="H730" i="216"/>
  <c r="H541"/>
  <c r="H887"/>
  <c r="F888" s="1"/>
  <c r="H888" s="1"/>
  <c r="H899" s="1"/>
  <c r="H871"/>
  <c r="H868"/>
  <c r="F869" s="1"/>
  <c r="H869" s="1"/>
  <c r="H795"/>
  <c r="H613"/>
  <c r="F616" s="1"/>
  <c r="H616" s="1"/>
  <c r="H575"/>
  <c r="F578" s="1"/>
  <c r="H578" s="1"/>
  <c r="H588" s="1"/>
  <c r="H556"/>
  <c r="F559" s="1"/>
  <c r="H559" s="1"/>
  <c r="H676"/>
  <c r="H501"/>
  <c r="F502" s="1"/>
  <c r="H502" s="1"/>
  <c r="I220" i="140"/>
  <c r="J220" s="1"/>
  <c r="O220" s="1"/>
  <c r="E218" i="195"/>
  <c r="F218" s="1"/>
  <c r="J218" s="1"/>
  <c r="I225" i="140"/>
  <c r="J225" s="1"/>
  <c r="O225" s="1"/>
  <c r="E223" i="195"/>
  <c r="F223" s="1"/>
  <c r="J223" s="1"/>
  <c r="E3078" i="214"/>
  <c r="G3078" s="1"/>
  <c r="E11" i="195"/>
  <c r="F11" s="1"/>
  <c r="J11" s="1"/>
  <c r="H9" i="196" s="1"/>
  <c r="F16" i="139"/>
  <c r="G16" s="1"/>
  <c r="I12" i="140"/>
  <c r="J12" s="1"/>
  <c r="O12" s="1"/>
  <c r="F13" i="139"/>
  <c r="G13" s="1"/>
  <c r="I11" i="140"/>
  <c r="J11" s="1"/>
  <c r="O11" s="1"/>
  <c r="E15" i="195"/>
  <c r="F15" s="1"/>
  <c r="J15" s="1"/>
  <c r="H13" i="196" s="1"/>
  <c r="F17" i="139"/>
  <c r="G17" s="1"/>
  <c r="I16" i="140"/>
  <c r="J16" s="1"/>
  <c r="O16" s="1"/>
  <c r="F14" i="139"/>
  <c r="I15" i="140"/>
  <c r="I221"/>
  <c r="E219" i="195"/>
  <c r="I213" i="140"/>
  <c r="E203" i="195"/>
  <c r="I212" i="140"/>
  <c r="J212" s="1"/>
  <c r="O212" s="1"/>
  <c r="E202" i="195"/>
  <c r="F202" s="1"/>
  <c r="J202" s="1"/>
  <c r="I224" i="140"/>
  <c r="J224" s="1"/>
  <c r="O224" s="1"/>
  <c r="E222" i="195"/>
  <c r="F222" s="1"/>
  <c r="J222" s="1"/>
  <c r="I229" i="140"/>
  <c r="J229" s="1"/>
  <c r="O229" s="1"/>
  <c r="E227" i="195"/>
  <c r="F227" s="1"/>
  <c r="J227" s="1"/>
  <c r="I228" i="140"/>
  <c r="J228" s="1"/>
  <c r="O228" s="1"/>
  <c r="E226" i="195"/>
  <c r="F226" s="1"/>
  <c r="J226" s="1"/>
  <c r="I233" i="140"/>
  <c r="E231" i="195"/>
  <c r="I232" i="140"/>
  <c r="J232" s="1"/>
  <c r="O232" s="1"/>
  <c r="E230" i="195"/>
  <c r="F230" s="1"/>
  <c r="J230" s="1"/>
  <c r="T150" i="211"/>
  <c r="T151" s="1"/>
  <c r="T111"/>
  <c r="T112" s="1"/>
  <c r="F3510" i="214"/>
  <c r="F3391"/>
  <c r="F3351"/>
  <c r="F3317"/>
  <c r="G3209"/>
  <c r="G3124"/>
  <c r="G2999"/>
  <c r="F2593"/>
  <c r="F2434"/>
  <c r="F2400"/>
  <c r="G2292"/>
  <c r="F2118"/>
  <c r="G1912"/>
  <c r="G1913" s="1"/>
  <c r="K311" i="132" s="1"/>
  <c r="I40" i="309" s="1"/>
  <c r="G3517" i="214"/>
  <c r="K1924" i="132" s="1"/>
  <c r="F3370" i="214"/>
  <c r="F3332"/>
  <c r="F3281"/>
  <c r="F3261"/>
  <c r="G3241"/>
  <c r="G3071"/>
  <c r="E3061"/>
  <c r="E3062" s="1"/>
  <c r="G3062" s="1"/>
  <c r="F3021"/>
  <c r="G2829"/>
  <c r="G2830" s="1"/>
  <c r="K318" i="132" s="1"/>
  <c r="G2600" i="214"/>
  <c r="K1917" i="132" s="1"/>
  <c r="G2593" i="214"/>
  <c r="F2492"/>
  <c r="F2453"/>
  <c r="G2434"/>
  <c r="F2415"/>
  <c r="G2400"/>
  <c r="F2364"/>
  <c r="F2344"/>
  <c r="G2324"/>
  <c r="F2243"/>
  <c r="G2207"/>
  <c r="F2159"/>
  <c r="E2160" s="1"/>
  <c r="G2118"/>
  <c r="G2082"/>
  <c r="C138" i="195"/>
  <c r="G140" i="140"/>
  <c r="C142" i="195"/>
  <c r="G144" i="140"/>
  <c r="C178" i="195"/>
  <c r="G180" i="140"/>
  <c r="I186" i="195"/>
  <c r="C190"/>
  <c r="G200" i="140"/>
  <c r="G601"/>
  <c r="C597" i="195"/>
  <c r="G528" i="140"/>
  <c r="C525" i="195"/>
  <c r="G205" i="140"/>
  <c r="C195" i="195"/>
  <c r="H560" i="216"/>
  <c r="T171" i="211"/>
  <c r="T148"/>
  <c r="T105"/>
  <c r="T106" s="1"/>
  <c r="T126"/>
  <c r="T103"/>
  <c r="H482" i="216"/>
  <c r="F485" s="1"/>
  <c r="H485" s="1"/>
  <c r="E14" i="139"/>
  <c r="E14" i="195"/>
  <c r="E10"/>
  <c r="M2408" i="132"/>
  <c r="M2403"/>
  <c r="Q33" i="196"/>
  <c r="I33" s="1"/>
  <c r="Q37"/>
  <c r="Q41"/>
  <c r="Q45"/>
  <c r="Q69"/>
  <c r="Q73" s="1"/>
  <c r="Q77"/>
  <c r="Q28"/>
  <c r="T149" i="211"/>
  <c r="T147"/>
  <c r="T104"/>
  <c r="E171"/>
  <c r="E162"/>
  <c r="E148"/>
  <c r="E126"/>
  <c r="E117"/>
  <c r="E103"/>
  <c r="E158"/>
  <c r="E153"/>
  <c r="E113"/>
  <c r="E112"/>
  <c r="E108"/>
  <c r="E107"/>
  <c r="D153"/>
  <c r="D151"/>
  <c r="D103"/>
  <c r="D148"/>
  <c r="D108"/>
  <c r="D106"/>
  <c r="C159"/>
  <c r="C147"/>
  <c r="F147" s="1"/>
  <c r="C146"/>
  <c r="F146" s="1"/>
  <c r="S146" s="1"/>
  <c r="C110" i="195"/>
  <c r="I110" s="1"/>
  <c r="C96" i="196" s="1"/>
  <c r="C42" i="195"/>
  <c r="I42" s="1"/>
  <c r="C28" i="196" s="1"/>
  <c r="F28" s="1"/>
  <c r="I10" i="195"/>
  <c r="C8" i="196" s="1"/>
  <c r="F8" s="1"/>
  <c r="C117" i="211"/>
  <c r="C102"/>
  <c r="F102" s="1"/>
  <c r="I102" s="1"/>
  <c r="C101"/>
  <c r="F101" s="1"/>
  <c r="S101" s="1"/>
  <c r="L32" i="196"/>
  <c r="I29"/>
  <c r="L29"/>
  <c r="L33"/>
  <c r="O33"/>
  <c r="O32"/>
  <c r="O29"/>
  <c r="G510" i="218"/>
  <c r="G512" s="1"/>
  <c r="H911" i="216"/>
  <c r="H861"/>
  <c r="H687"/>
  <c r="H688" s="1"/>
  <c r="H922"/>
  <c r="H923" s="1"/>
  <c r="H823"/>
  <c r="H664"/>
  <c r="H645"/>
  <c r="H531"/>
  <c r="G933"/>
  <c r="H933" s="1"/>
  <c r="G932"/>
  <c r="H932" s="1"/>
  <c r="G931"/>
  <c r="H931" s="1"/>
  <c r="G930"/>
  <c r="H930" s="1"/>
  <c r="G929"/>
  <c r="H929" s="1"/>
  <c r="G928"/>
  <c r="H928" s="1"/>
  <c r="G841"/>
  <c r="H841" s="1"/>
  <c r="G803"/>
  <c r="H803" s="1"/>
  <c r="G692"/>
  <c r="H692" s="1"/>
  <c r="G691"/>
  <c r="H691" s="1"/>
  <c r="G604"/>
  <c r="H604" s="1"/>
  <c r="G603"/>
  <c r="H603" s="1"/>
  <c r="G602"/>
  <c r="H602" s="1"/>
  <c r="G601"/>
  <c r="H601" s="1"/>
  <c r="G600"/>
  <c r="H600" s="1"/>
  <c r="G599"/>
  <c r="H599" s="1"/>
  <c r="G566"/>
  <c r="H566" s="1"/>
  <c r="H565"/>
  <c r="H564"/>
  <c r="H563"/>
  <c r="H562"/>
  <c r="H561"/>
  <c r="G549"/>
  <c r="I1133" i="215"/>
  <c r="I1104"/>
  <c r="I1074"/>
  <c r="I1046"/>
  <c r="I1036"/>
  <c r="I1037" s="1"/>
  <c r="I1025"/>
  <c r="I1026" s="1"/>
  <c r="I1015"/>
  <c r="I1016" s="1"/>
  <c r="I1005"/>
  <c r="I1006" s="1"/>
  <c r="I820"/>
  <c r="I790"/>
  <c r="I762"/>
  <c r="I752"/>
  <c r="I753" s="1"/>
  <c r="I741"/>
  <c r="I742" s="1"/>
  <c r="I731"/>
  <c r="I732" s="1"/>
  <c r="I721"/>
  <c r="I722" s="1"/>
  <c r="I619"/>
  <c r="I995"/>
  <c r="I996" s="1"/>
  <c r="I711"/>
  <c r="I712" s="1"/>
  <c r="I1085"/>
  <c r="I978"/>
  <c r="I801"/>
  <c r="I694"/>
  <c r="H905"/>
  <c r="I905" s="1"/>
  <c r="I907" s="1"/>
  <c r="H621"/>
  <c r="I621" s="1"/>
  <c r="I623" s="1"/>
  <c r="F3620" i="214"/>
  <c r="G3620" s="1"/>
  <c r="G3627" s="1"/>
  <c r="G3628" s="1"/>
  <c r="K2344" i="132" s="1"/>
  <c r="G3580" i="214"/>
  <c r="G3581" s="1"/>
  <c r="G3582" s="1"/>
  <c r="F3599" s="1"/>
  <c r="G3599" s="1"/>
  <c r="G3606" s="1"/>
  <c r="F3595"/>
  <c r="G3595"/>
  <c r="F3541"/>
  <c r="G3541" s="1"/>
  <c r="G3542" s="1"/>
  <c r="E3544" s="1"/>
  <c r="G3673"/>
  <c r="F3560"/>
  <c r="G3560" s="1"/>
  <c r="G3409"/>
  <c r="G3391"/>
  <c r="F3609"/>
  <c r="G3609"/>
  <c r="G3570"/>
  <c r="G3571" s="1"/>
  <c r="G3572" s="1"/>
  <c r="F3585" s="1"/>
  <c r="G3585" s="1"/>
  <c r="G3592" s="1"/>
  <c r="F3556"/>
  <c r="G3556" s="1"/>
  <c r="G3557" s="1"/>
  <c r="E3559" s="1"/>
  <c r="F3545"/>
  <c r="F3531"/>
  <c r="G3531"/>
  <c r="F3482"/>
  <c r="G3482"/>
  <c r="F3465"/>
  <c r="G3465"/>
  <c r="F3447"/>
  <c r="G3447"/>
  <c r="F3429"/>
  <c r="G3429"/>
  <c r="G3639"/>
  <c r="K2388" i="132" s="1"/>
  <c r="G2994" i="214"/>
  <c r="F3001"/>
  <c r="F2994"/>
  <c r="F2703"/>
  <c r="G2703" s="1"/>
  <c r="G2710" s="1"/>
  <c r="G2711" s="1"/>
  <c r="K2339" i="132" s="1"/>
  <c r="G2663" i="214"/>
  <c r="G2664" s="1"/>
  <c r="G2665" s="1"/>
  <c r="F2682" s="1"/>
  <c r="G2682" s="1"/>
  <c r="G2689" s="1"/>
  <c r="F2678"/>
  <c r="G2678"/>
  <c r="F2624"/>
  <c r="G2624" s="1"/>
  <c r="G2625" s="1"/>
  <c r="E2627" s="1"/>
  <c r="F3225"/>
  <c r="F3193"/>
  <c r="G3178"/>
  <c r="G3160"/>
  <c r="F3035"/>
  <c r="G2756"/>
  <c r="F2643"/>
  <c r="G2643" s="1"/>
  <c r="G2492"/>
  <c r="G2474"/>
  <c r="F2931"/>
  <c r="G2965"/>
  <c r="G2931"/>
  <c r="F2938"/>
  <c r="F2965"/>
  <c r="F2904"/>
  <c r="F2910"/>
  <c r="G2904"/>
  <c r="G2910"/>
  <c r="F2692"/>
  <c r="G2692"/>
  <c r="F2639"/>
  <c r="G2639" s="1"/>
  <c r="G2640" s="1"/>
  <c r="E2642" s="1"/>
  <c r="F2628"/>
  <c r="F2614"/>
  <c r="G2614"/>
  <c r="F2565"/>
  <c r="G2565"/>
  <c r="F2548"/>
  <c r="G2548"/>
  <c r="F2530"/>
  <c r="G2530"/>
  <c r="F2512"/>
  <c r="G2512"/>
  <c r="F3241"/>
  <c r="F3209"/>
  <c r="F3143"/>
  <c r="G2722"/>
  <c r="K2383" i="132" s="1"/>
  <c r="F2209" i="214"/>
  <c r="G2160"/>
  <c r="E2161"/>
  <c r="G2161" s="1"/>
  <c r="F2104"/>
  <c r="G2077"/>
  <c r="F2077"/>
  <c r="E2950"/>
  <c r="F2308"/>
  <c r="F2276"/>
  <c r="G2261"/>
  <c r="G2243"/>
  <c r="G2154"/>
  <c r="E2175"/>
  <c r="G2175" s="1"/>
  <c r="G2174"/>
  <c r="F2014"/>
  <c r="F2028"/>
  <c r="G2014"/>
  <c r="F2021"/>
  <c r="F2048"/>
  <c r="F1987"/>
  <c r="F1993"/>
  <c r="G1987"/>
  <c r="G1993"/>
  <c r="F2324"/>
  <c r="F2292"/>
  <c r="F2226"/>
  <c r="E2033"/>
  <c r="M2448" i="132"/>
  <c r="M2443"/>
  <c r="M2468"/>
  <c r="M2463"/>
  <c r="M2428"/>
  <c r="M2423"/>
  <c r="M32"/>
  <c r="M26"/>
  <c r="M72"/>
  <c r="M62"/>
  <c r="C22" i="195"/>
  <c r="I22" s="1"/>
  <c r="C24" i="196" s="1"/>
  <c r="F24" s="1"/>
  <c r="G25" i="250"/>
  <c r="F25"/>
  <c r="G24"/>
  <c r="F24"/>
  <c r="G23"/>
  <c r="E23"/>
  <c r="F23" s="1"/>
  <c r="G22"/>
  <c r="G21"/>
  <c r="G20"/>
  <c r="I20" s="1"/>
  <c r="G19"/>
  <c r="I19" s="1"/>
  <c r="G18"/>
  <c r="I18" s="1"/>
  <c r="G17"/>
  <c r="I17" s="1"/>
  <c r="D17"/>
  <c r="D18" s="1"/>
  <c r="D19" s="1"/>
  <c r="D20" s="1"/>
  <c r="D21" s="1"/>
  <c r="D22" s="1"/>
  <c r="G16"/>
  <c r="I16" s="1"/>
  <c r="E16"/>
  <c r="E17" s="1"/>
  <c r="K15"/>
  <c r="J15"/>
  <c r="G15"/>
  <c r="E15"/>
  <c r="F15" s="1"/>
  <c r="G14"/>
  <c r="G13"/>
  <c r="D13"/>
  <c r="D14" s="1"/>
  <c r="G12"/>
  <c r="E12"/>
  <c r="F12" s="1"/>
  <c r="G11"/>
  <c r="L11" s="1"/>
  <c r="G10"/>
  <c r="I10" s="1"/>
  <c r="G9"/>
  <c r="I9" s="1"/>
  <c r="G8"/>
  <c r="L8" s="1"/>
  <c r="G25" i="240"/>
  <c r="F25"/>
  <c r="G24"/>
  <c r="F24"/>
  <c r="G23"/>
  <c r="E23"/>
  <c r="F23" s="1"/>
  <c r="G22"/>
  <c r="G21"/>
  <c r="G20"/>
  <c r="I20" s="1"/>
  <c r="G19"/>
  <c r="I19" s="1"/>
  <c r="G18"/>
  <c r="I18" s="1"/>
  <c r="G17"/>
  <c r="I17" s="1"/>
  <c r="D17"/>
  <c r="D18" s="1"/>
  <c r="D19" s="1"/>
  <c r="D20" s="1"/>
  <c r="D21" s="1"/>
  <c r="D22" s="1"/>
  <c r="G16"/>
  <c r="I16" s="1"/>
  <c r="E16"/>
  <c r="E17" s="1"/>
  <c r="K15"/>
  <c r="J15"/>
  <c r="G15"/>
  <c r="E15"/>
  <c r="F15" s="1"/>
  <c r="G14"/>
  <c r="G13"/>
  <c r="D13"/>
  <c r="D14" s="1"/>
  <c r="G12"/>
  <c r="E12"/>
  <c r="E13" s="1"/>
  <c r="G11"/>
  <c r="L11" s="1"/>
  <c r="G10"/>
  <c r="I10" s="1"/>
  <c r="G9"/>
  <c r="G8"/>
  <c r="L8" s="1"/>
  <c r="F155" i="218"/>
  <c r="G155" s="1"/>
  <c r="F156"/>
  <c r="G156" s="1"/>
  <c r="F157"/>
  <c r="G157" s="1"/>
  <c r="F162"/>
  <c r="G162" s="1"/>
  <c r="G163" s="1"/>
  <c r="F165"/>
  <c r="G165" s="1"/>
  <c r="G166" s="1"/>
  <c r="F168"/>
  <c r="G168" s="1"/>
  <c r="F169"/>
  <c r="G169" s="1"/>
  <c r="F170"/>
  <c r="G170" s="1"/>
  <c r="F171"/>
  <c r="G171" s="1"/>
  <c r="F176"/>
  <c r="G176" s="1"/>
  <c r="G178" s="1"/>
  <c r="F181"/>
  <c r="G181" s="1"/>
  <c r="G183" s="1"/>
  <c r="G184" s="1"/>
  <c r="F187"/>
  <c r="G187" s="1"/>
  <c r="G189" s="1"/>
  <c r="G190" s="1"/>
  <c r="F193"/>
  <c r="G193" s="1"/>
  <c r="G195" s="1"/>
  <c r="G196" s="1"/>
  <c r="F198"/>
  <c r="G198" s="1"/>
  <c r="G200" s="1"/>
  <c r="G202"/>
  <c r="G204" s="1"/>
  <c r="F206"/>
  <c r="G206" s="1"/>
  <c r="G208" s="1"/>
  <c r="F210"/>
  <c r="G210" s="1"/>
  <c r="G212" s="1"/>
  <c r="F214"/>
  <c r="G214" s="1"/>
  <c r="F215"/>
  <c r="G215" s="1"/>
  <c r="F220"/>
  <c r="G220" s="1"/>
  <c r="G222" s="1"/>
  <c r="F223"/>
  <c r="G223" s="1"/>
  <c r="G225" s="1"/>
  <c r="F226"/>
  <c r="G226" s="1"/>
  <c r="G228" s="1"/>
  <c r="F229"/>
  <c r="G229" s="1"/>
  <c r="G231" s="1"/>
  <c r="F233"/>
  <c r="G233" s="1"/>
  <c r="G235" s="1"/>
  <c r="F237"/>
  <c r="G237" s="1"/>
  <c r="G239" s="1"/>
  <c r="F241"/>
  <c r="G241" s="1"/>
  <c r="G243" s="1"/>
  <c r="F246"/>
  <c r="G246" s="1"/>
  <c r="F247"/>
  <c r="G247" s="1"/>
  <c r="F248"/>
  <c r="G248" s="1"/>
  <c r="F249"/>
  <c r="G249" s="1"/>
  <c r="F250"/>
  <c r="G250" s="1"/>
  <c r="F251"/>
  <c r="G251" s="1"/>
  <c r="F257"/>
  <c r="G257" s="1"/>
  <c r="F259"/>
  <c r="G259" s="1"/>
  <c r="F261"/>
  <c r="G261" s="1"/>
  <c r="F264"/>
  <c r="G264" s="1"/>
  <c r="G265" s="1"/>
  <c r="F267"/>
  <c r="G267" s="1"/>
  <c r="F276"/>
  <c r="G276" s="1"/>
  <c r="G277" s="1"/>
  <c r="F279"/>
  <c r="G279" s="1"/>
  <c r="G280" s="1"/>
  <c r="F282"/>
  <c r="G282" s="1"/>
  <c r="G283" s="1"/>
  <c r="F285"/>
  <c r="G285" s="1"/>
  <c r="G286" s="1"/>
  <c r="F288"/>
  <c r="G288" s="1"/>
  <c r="G289" s="1"/>
  <c r="F291"/>
  <c r="G291" s="1"/>
  <c r="G292" s="1"/>
  <c r="F294"/>
  <c r="G294" s="1"/>
  <c r="G295" s="1"/>
  <c r="F297"/>
  <c r="G297" s="1"/>
  <c r="G298" s="1"/>
  <c r="F301"/>
  <c r="G301" s="1"/>
  <c r="G302" s="1"/>
  <c r="H245" i="216"/>
  <c r="H246"/>
  <c r="H247" s="1"/>
  <c r="F250" s="1"/>
  <c r="H248"/>
  <c r="H249" s="1"/>
  <c r="F251" s="1"/>
  <c r="G250"/>
  <c r="G251"/>
  <c r="G252"/>
  <c r="H252" s="1"/>
  <c r="G253"/>
  <c r="H253" s="1"/>
  <c r="G254"/>
  <c r="H254" s="1"/>
  <c r="G255"/>
  <c r="H255" s="1"/>
  <c r="G256"/>
  <c r="H256" s="1"/>
  <c r="G257"/>
  <c r="H257" s="1"/>
  <c r="G259"/>
  <c r="H259" s="1"/>
  <c r="L259" s="1"/>
  <c r="L260" s="1"/>
  <c r="H264"/>
  <c r="H265"/>
  <c r="H266" s="1"/>
  <c r="F267" s="1"/>
  <c r="G267"/>
  <c r="F268"/>
  <c r="G268"/>
  <c r="F269"/>
  <c r="G269"/>
  <c r="G270"/>
  <c r="G271"/>
  <c r="G272"/>
  <c r="G273"/>
  <c r="G274"/>
  <c r="G275"/>
  <c r="H275" s="1"/>
  <c r="F277"/>
  <c r="G277"/>
  <c r="H277" s="1"/>
  <c r="H282"/>
  <c r="H283"/>
  <c r="G285"/>
  <c r="F286"/>
  <c r="G286"/>
  <c r="F287"/>
  <c r="G287"/>
  <c r="G288"/>
  <c r="H288" s="1"/>
  <c r="G289"/>
  <c r="H289" s="1"/>
  <c r="G290"/>
  <c r="H290" s="1"/>
  <c r="G291"/>
  <c r="H291" s="1"/>
  <c r="G292"/>
  <c r="H292" s="1"/>
  <c r="G293"/>
  <c r="H293" s="1"/>
  <c r="F295"/>
  <c r="G295"/>
  <c r="H300"/>
  <c r="H301"/>
  <c r="H303"/>
  <c r="H304" s="1"/>
  <c r="F306" s="1"/>
  <c r="G305"/>
  <c r="G324" s="1"/>
  <c r="G306"/>
  <c r="G325" s="1"/>
  <c r="G309"/>
  <c r="H309" s="1"/>
  <c r="G310"/>
  <c r="H310" s="1"/>
  <c r="F314"/>
  <c r="H319"/>
  <c r="H320"/>
  <c r="H322"/>
  <c r="H323" s="1"/>
  <c r="F325" s="1"/>
  <c r="F333"/>
  <c r="H338"/>
  <c r="H339"/>
  <c r="H341"/>
  <c r="H342" s="1"/>
  <c r="F344" s="1"/>
  <c r="G343"/>
  <c r="G344"/>
  <c r="G345"/>
  <c r="H345" s="1"/>
  <c r="G346"/>
  <c r="H346" s="1"/>
  <c r="G347"/>
  <c r="H347" s="1"/>
  <c r="G348"/>
  <c r="H348" s="1"/>
  <c r="G349"/>
  <c r="H349" s="1"/>
  <c r="G350"/>
  <c r="H350" s="1"/>
  <c r="F352"/>
  <c r="G352"/>
  <c r="H357"/>
  <c r="H358"/>
  <c r="H360"/>
  <c r="H361" s="1"/>
  <c r="F363" s="1"/>
  <c r="G362"/>
  <c r="G363"/>
  <c r="G365"/>
  <c r="H365" s="1"/>
  <c r="G369"/>
  <c r="H369" s="1"/>
  <c r="F371"/>
  <c r="H376"/>
  <c r="H377"/>
  <c r="H379"/>
  <c r="H380" s="1"/>
  <c r="F382" s="1"/>
  <c r="G381"/>
  <c r="G382"/>
  <c r="G383"/>
  <c r="H383" s="1"/>
  <c r="G384"/>
  <c r="H384" s="1"/>
  <c r="G385"/>
  <c r="H385" s="1"/>
  <c r="G386"/>
  <c r="H386" s="1"/>
  <c r="G387"/>
  <c r="H387" s="1"/>
  <c r="G388"/>
  <c r="H388" s="1"/>
  <c r="F390"/>
  <c r="G390"/>
  <c r="H396"/>
  <c r="H397"/>
  <c r="G399"/>
  <c r="F400"/>
  <c r="F401" s="1"/>
  <c r="G400"/>
  <c r="K400"/>
  <c r="G401"/>
  <c r="G402"/>
  <c r="G403"/>
  <c r="G404"/>
  <c r="G405"/>
  <c r="G406"/>
  <c r="G407"/>
  <c r="H407" s="1"/>
  <c r="F409"/>
  <c r="G409"/>
  <c r="L410"/>
  <c r="H415"/>
  <c r="H416"/>
  <c r="G418"/>
  <c r="F419"/>
  <c r="F420" s="1"/>
  <c r="G419"/>
  <c r="G420"/>
  <c r="G421"/>
  <c r="H421" s="1"/>
  <c r="G422"/>
  <c r="H422" s="1"/>
  <c r="G423"/>
  <c r="H423" s="1"/>
  <c r="G424"/>
  <c r="H424" s="1"/>
  <c r="G425"/>
  <c r="H425" s="1"/>
  <c r="G426"/>
  <c r="H426" s="1"/>
  <c r="F428"/>
  <c r="G428"/>
  <c r="L429"/>
  <c r="G431"/>
  <c r="H431" s="1"/>
  <c r="G433"/>
  <c r="H433" s="1"/>
  <c r="L435"/>
  <c r="F437"/>
  <c r="H437" s="1"/>
  <c r="F438"/>
  <c r="H438" s="1"/>
  <c r="F439"/>
  <c r="H439" s="1"/>
  <c r="F440"/>
  <c r="H440" s="1"/>
  <c r="G444"/>
  <c r="H444" s="1"/>
  <c r="G445"/>
  <c r="H445" s="1"/>
  <c r="F446"/>
  <c r="G446"/>
  <c r="G447"/>
  <c r="H447" s="1"/>
  <c r="G448"/>
  <c r="H448" s="1"/>
  <c r="G449"/>
  <c r="H449" s="1"/>
  <c r="G450"/>
  <c r="H450" s="1"/>
  <c r="G451"/>
  <c r="H451" s="1"/>
  <c r="G457"/>
  <c r="H457" s="1"/>
  <c r="F458"/>
  <c r="F467"/>
  <c r="H467" s="1"/>
  <c r="H468" s="1"/>
  <c r="F469"/>
  <c r="H469" s="1"/>
  <c r="H470" s="1"/>
  <c r="F471"/>
  <c r="H471" s="1"/>
  <c r="H472" s="1"/>
  <c r="F474"/>
  <c r="H474" s="1"/>
  <c r="H475" s="1"/>
  <c r="H292" i="215"/>
  <c r="I292" s="1"/>
  <c r="H293"/>
  <c r="I293" s="1"/>
  <c r="I294"/>
  <c r="I296"/>
  <c r="H297"/>
  <c r="I297" s="1"/>
  <c r="H298"/>
  <c r="I298" s="1"/>
  <c r="H304"/>
  <c r="I304" s="1"/>
  <c r="H305"/>
  <c r="I305" s="1"/>
  <c r="I306"/>
  <c r="H307"/>
  <c r="I307" s="1"/>
  <c r="H309"/>
  <c r="I309" s="1"/>
  <c r="H310"/>
  <c r="I310" s="1"/>
  <c r="H311"/>
  <c r="I311" s="1"/>
  <c r="H312"/>
  <c r="I312" s="1"/>
  <c r="H318"/>
  <c r="I318" s="1"/>
  <c r="I319" s="1"/>
  <c r="H321"/>
  <c r="I321" s="1"/>
  <c r="I322" s="1"/>
  <c r="H324"/>
  <c r="I324" s="1"/>
  <c r="I325" s="1"/>
  <c r="H327"/>
  <c r="I327" s="1"/>
  <c r="I328" s="1"/>
  <c r="H330"/>
  <c r="I330" s="1"/>
  <c r="I331" s="1"/>
  <c r="H333"/>
  <c r="I333" s="1"/>
  <c r="H338"/>
  <c r="I338" s="1"/>
  <c r="H341"/>
  <c r="I341" s="1"/>
  <c r="I342" s="1"/>
  <c r="H344"/>
  <c r="I344" s="1"/>
  <c r="I345" s="1"/>
  <c r="H347"/>
  <c r="I347" s="1"/>
  <c r="I348" s="1"/>
  <c r="H350"/>
  <c r="I350" s="1"/>
  <c r="I351" s="1"/>
  <c r="H353"/>
  <c r="I353" s="1"/>
  <c r="I354" s="1"/>
  <c r="H356"/>
  <c r="I356" s="1"/>
  <c r="H357"/>
  <c r="I357" s="1"/>
  <c r="H360"/>
  <c r="I360" s="1"/>
  <c r="I361" s="1"/>
  <c r="H364"/>
  <c r="I364" s="1"/>
  <c r="I365" s="1"/>
  <c r="H367"/>
  <c r="I367" s="1"/>
  <c r="I368" s="1"/>
  <c r="H373"/>
  <c r="I373" s="1"/>
  <c r="H374"/>
  <c r="I374" s="1"/>
  <c r="I375"/>
  <c r="H377"/>
  <c r="I377" s="1"/>
  <c r="H378"/>
  <c r="I378" s="1"/>
  <c r="H385"/>
  <c r="I385" s="1"/>
  <c r="H386"/>
  <c r="I386" s="1"/>
  <c r="I387"/>
  <c r="H389"/>
  <c r="I389" s="1"/>
  <c r="H390"/>
  <c r="I390" s="1"/>
  <c r="H391"/>
  <c r="I391" s="1"/>
  <c r="H396"/>
  <c r="I396" s="1"/>
  <c r="I397"/>
  <c r="H399"/>
  <c r="I399" s="1"/>
  <c r="H400"/>
  <c r="I400" s="1"/>
  <c r="H404"/>
  <c r="I404" s="1"/>
  <c r="I405"/>
  <c r="H407"/>
  <c r="I407" s="1"/>
  <c r="H408"/>
  <c r="I408" s="1"/>
  <c r="H409"/>
  <c r="I409" s="1"/>
  <c r="H413"/>
  <c r="I413" s="1"/>
  <c r="I414"/>
  <c r="H416"/>
  <c r="I416" s="1"/>
  <c r="H417"/>
  <c r="I417" s="1"/>
  <c r="H422"/>
  <c r="I422" s="1"/>
  <c r="H423"/>
  <c r="I423" s="1"/>
  <c r="I424"/>
  <c r="H426"/>
  <c r="I426" s="1"/>
  <c r="H433"/>
  <c r="I433" s="1"/>
  <c r="H434"/>
  <c r="I434" s="1"/>
  <c r="I435"/>
  <c r="H436"/>
  <c r="I436" s="1"/>
  <c r="H442"/>
  <c r="I442" s="1"/>
  <c r="H443"/>
  <c r="I443" s="1"/>
  <c r="I444"/>
  <c r="H446"/>
  <c r="I446" s="1"/>
  <c r="H452"/>
  <c r="I452" s="1"/>
  <c r="H453"/>
  <c r="I453" s="1"/>
  <c r="I454"/>
  <c r="H456"/>
  <c r="I456" s="1"/>
  <c r="H461"/>
  <c r="I461" s="1"/>
  <c r="H462"/>
  <c r="I462" s="1"/>
  <c r="I463"/>
  <c r="H465"/>
  <c r="I465" s="1"/>
  <c r="H466"/>
  <c r="I466" s="1"/>
  <c r="H467"/>
  <c r="I467" s="1"/>
  <c r="H473"/>
  <c r="I473" s="1"/>
  <c r="I474"/>
  <c r="H476"/>
  <c r="I476" s="1"/>
  <c r="H477"/>
  <c r="I477" s="1"/>
  <c r="H483"/>
  <c r="I483" s="1"/>
  <c r="I484"/>
  <c r="H486"/>
  <c r="I486" s="1"/>
  <c r="H487"/>
  <c r="I487" s="1"/>
  <c r="H488"/>
  <c r="I488" s="1"/>
  <c r="I489" s="1"/>
  <c r="H492"/>
  <c r="I492" s="1"/>
  <c r="I493" s="1"/>
  <c r="I494" s="1"/>
  <c r="H496"/>
  <c r="I496" s="1"/>
  <c r="H497"/>
  <c r="I497" s="1"/>
  <c r="H502"/>
  <c r="I502" s="1"/>
  <c r="I503"/>
  <c r="H505"/>
  <c r="I505" s="1"/>
  <c r="I509"/>
  <c r="H511"/>
  <c r="I511" s="1"/>
  <c r="H514"/>
  <c r="I514" s="1"/>
  <c r="H515"/>
  <c r="I515" s="1"/>
  <c r="I516"/>
  <c r="H520"/>
  <c r="I520" s="1"/>
  <c r="H521"/>
  <c r="I521" s="1"/>
  <c r="H523"/>
  <c r="I523" s="1"/>
  <c r="H524"/>
  <c r="I524" s="1"/>
  <c r="H529"/>
  <c r="I529" s="1"/>
  <c r="H530"/>
  <c r="I530" s="1"/>
  <c r="I531"/>
  <c r="H533"/>
  <c r="I533" s="1"/>
  <c r="H534"/>
  <c r="I534" s="1"/>
  <c r="H535"/>
  <c r="I535" s="1"/>
  <c r="H539"/>
  <c r="I539" s="1"/>
  <c r="H540"/>
  <c r="I540" s="1"/>
  <c r="H541"/>
  <c r="I541" s="1"/>
  <c r="H543"/>
  <c r="I543" s="1"/>
  <c r="H544"/>
  <c r="I544" s="1"/>
  <c r="I545"/>
  <c r="H549"/>
  <c r="I549" s="1"/>
  <c r="I550"/>
  <c r="H552"/>
  <c r="I552" s="1"/>
  <c r="H553"/>
  <c r="I553" s="1"/>
  <c r="H554"/>
  <c r="I554" s="1"/>
  <c r="H555"/>
  <c r="I555" s="1"/>
  <c r="H556"/>
  <c r="I556" s="1"/>
  <c r="H557"/>
  <c r="I557" s="1"/>
  <c r="H558"/>
  <c r="I558" s="1"/>
  <c r="H559"/>
  <c r="I559" s="1"/>
  <c r="H560"/>
  <c r="I560" s="1"/>
  <c r="H561"/>
  <c r="I561" s="1"/>
  <c r="H562"/>
  <c r="I562" s="1"/>
  <c r="H567"/>
  <c r="I567" s="1"/>
  <c r="I568" s="1"/>
  <c r="H570"/>
  <c r="I570" s="1"/>
  <c r="I571" s="1"/>
  <c r="E925" i="214"/>
  <c r="F927"/>
  <c r="G927" s="1"/>
  <c r="E930"/>
  <c r="F932"/>
  <c r="G932" s="1"/>
  <c r="E935"/>
  <c r="F937"/>
  <c r="G937" s="1"/>
  <c r="E940"/>
  <c r="F942"/>
  <c r="G942" s="1"/>
  <c r="E945"/>
  <c r="F947"/>
  <c r="G947" s="1"/>
  <c r="G959"/>
  <c r="G960" s="1"/>
  <c r="K20" i="132" s="1"/>
  <c r="G964" i="214"/>
  <c r="G965" s="1"/>
  <c r="F970"/>
  <c r="G970" s="1"/>
  <c r="F978"/>
  <c r="G978" s="1"/>
  <c r="F986"/>
  <c r="G986" s="1"/>
  <c r="F993"/>
  <c r="G993" s="1"/>
  <c r="F994"/>
  <c r="G994" s="1"/>
  <c r="F1002"/>
  <c r="G1002" s="1"/>
  <c r="F1004"/>
  <c r="G1004" s="1"/>
  <c r="F1006"/>
  <c r="G1006" s="1"/>
  <c r="F1007"/>
  <c r="G1007" s="1"/>
  <c r="F1014"/>
  <c r="G1014" s="1"/>
  <c r="F1016"/>
  <c r="G1016" s="1"/>
  <c r="F1018"/>
  <c r="G1018" s="1"/>
  <c r="F1019"/>
  <c r="G1019" s="1"/>
  <c r="F1028"/>
  <c r="G1028" s="1"/>
  <c r="F1029"/>
  <c r="G1029" s="1"/>
  <c r="F1030"/>
  <c r="G1030" s="1"/>
  <c r="F1032"/>
  <c r="G1032" s="1"/>
  <c r="F1033"/>
  <c r="G1033" s="1"/>
  <c r="F1034"/>
  <c r="G1034" s="1"/>
  <c r="F1038"/>
  <c r="G1038" s="1"/>
  <c r="F1039"/>
  <c r="G1039" s="1"/>
  <c r="F1043"/>
  <c r="G1043" s="1"/>
  <c r="F1044"/>
  <c r="G1044" s="1"/>
  <c r="F1048"/>
  <c r="G1048" s="1"/>
  <c r="F1049"/>
  <c r="G1049" s="1"/>
  <c r="E1056"/>
  <c r="E1083" s="1"/>
  <c r="E1146" s="1"/>
  <c r="E1174" s="1"/>
  <c r="F1058"/>
  <c r="G1058" s="1"/>
  <c r="F1059"/>
  <c r="G1059" s="1"/>
  <c r="F1060"/>
  <c r="G1060" s="1"/>
  <c r="F1062"/>
  <c r="G1062" s="1"/>
  <c r="F1063"/>
  <c r="G1063" s="1"/>
  <c r="F1064"/>
  <c r="G1064" s="1"/>
  <c r="E1068"/>
  <c r="F1068" s="1"/>
  <c r="E1069"/>
  <c r="F1069"/>
  <c r="G1069"/>
  <c r="E1074"/>
  <c r="F1074" s="1"/>
  <c r="E1075"/>
  <c r="F1075"/>
  <c r="G1075"/>
  <c r="F1085"/>
  <c r="G1085" s="1"/>
  <c r="F1086"/>
  <c r="G1086" s="1"/>
  <c r="F1087"/>
  <c r="G1087" s="1"/>
  <c r="F1089"/>
  <c r="G1089" s="1"/>
  <c r="F1090"/>
  <c r="G1090" s="1"/>
  <c r="F1091"/>
  <c r="G1091" s="1"/>
  <c r="E1095"/>
  <c r="F1095" s="1"/>
  <c r="E1096"/>
  <c r="F1096"/>
  <c r="G1096"/>
  <c r="E1102"/>
  <c r="F1102" s="1"/>
  <c r="E1103"/>
  <c r="E1159" s="1"/>
  <c r="F1103"/>
  <c r="G1103"/>
  <c r="G1159" s="1"/>
  <c r="E1109"/>
  <c r="F1109" s="1"/>
  <c r="E1110"/>
  <c r="E1117" s="1"/>
  <c r="F1110"/>
  <c r="F1117" s="1"/>
  <c r="G1110"/>
  <c r="G1166" s="1"/>
  <c r="E1122"/>
  <c r="F1122" s="1"/>
  <c r="E1123"/>
  <c r="F1123"/>
  <c r="G1123"/>
  <c r="F1148"/>
  <c r="G1148" s="1"/>
  <c r="F1149"/>
  <c r="G1149" s="1"/>
  <c r="F1150"/>
  <c r="G1150" s="1"/>
  <c r="F1152"/>
  <c r="G1152" s="1"/>
  <c r="F1153"/>
  <c r="G1153" s="1"/>
  <c r="F1159"/>
  <c r="E1166"/>
  <c r="F1176"/>
  <c r="G1176" s="1"/>
  <c r="F1177"/>
  <c r="G1177" s="1"/>
  <c r="F1179"/>
  <c r="G1179" s="1"/>
  <c r="F1180"/>
  <c r="G1180" s="1"/>
  <c r="F1181"/>
  <c r="G1181" s="1"/>
  <c r="E1185"/>
  <c r="F1185" s="1"/>
  <c r="G1185" s="1"/>
  <c r="E1186"/>
  <c r="F1186" s="1"/>
  <c r="G1186" s="1"/>
  <c r="F1194"/>
  <c r="G1194" s="1"/>
  <c r="F1196"/>
  <c r="G1196" s="1"/>
  <c r="F1197"/>
  <c r="G1197" s="1"/>
  <c r="F1207"/>
  <c r="G1207" s="1"/>
  <c r="F1208"/>
  <c r="G1208" s="1"/>
  <c r="F1210"/>
  <c r="G1210" s="1"/>
  <c r="F1211"/>
  <c r="G1211" s="1"/>
  <c r="F1212"/>
  <c r="G1212" s="1"/>
  <c r="F1213"/>
  <c r="G1213" s="1"/>
  <c r="F1220"/>
  <c r="G1220" s="1"/>
  <c r="F1221"/>
  <c r="G1221" s="1"/>
  <c r="F1227"/>
  <c r="F1228"/>
  <c r="F1234"/>
  <c r="G1234" s="1"/>
  <c r="F1235"/>
  <c r="G1235" s="1"/>
  <c r="F1236"/>
  <c r="G1236" s="1"/>
  <c r="F1240"/>
  <c r="F1241"/>
  <c r="F1243"/>
  <c r="F1244"/>
  <c r="F1245"/>
  <c r="G1245" s="1"/>
  <c r="G1246"/>
  <c r="G1247"/>
  <c r="G1248"/>
  <c r="F1254"/>
  <c r="F1255"/>
  <c r="F1257"/>
  <c r="F1258"/>
  <c r="F1259"/>
  <c r="G1259" s="1"/>
  <c r="G1260"/>
  <c r="F1264"/>
  <c r="G1264" s="1"/>
  <c r="F1265"/>
  <c r="G1265" s="1"/>
  <c r="F1274"/>
  <c r="G1274" s="1"/>
  <c r="F1275"/>
  <c r="G1275" s="1"/>
  <c r="F1284"/>
  <c r="G1284" s="1"/>
  <c r="F1285"/>
  <c r="G1285" s="1"/>
  <c r="F1286"/>
  <c r="G1286" s="1"/>
  <c r="E1290"/>
  <c r="F1290" s="1"/>
  <c r="E1291"/>
  <c r="F1291"/>
  <c r="G1291"/>
  <c r="F1301"/>
  <c r="G1301" s="1"/>
  <c r="F1302"/>
  <c r="G1302" s="1"/>
  <c r="F1303"/>
  <c r="G1303" s="1"/>
  <c r="E1307"/>
  <c r="F1307" s="1"/>
  <c r="G1307" s="1"/>
  <c r="E1308"/>
  <c r="F1308"/>
  <c r="G1308"/>
  <c r="F1318"/>
  <c r="G1318" s="1"/>
  <c r="F1319"/>
  <c r="G1319" s="1"/>
  <c r="F1320"/>
  <c r="G1320" s="1"/>
  <c r="E1324"/>
  <c r="F1324" s="1"/>
  <c r="G1324" s="1"/>
  <c r="E1325"/>
  <c r="F1325"/>
  <c r="G1325"/>
  <c r="F1332"/>
  <c r="G1332" s="1"/>
  <c r="F1335"/>
  <c r="G1335" s="1"/>
  <c r="F1336"/>
  <c r="G1336" s="1"/>
  <c r="F1337"/>
  <c r="G1337" s="1"/>
  <c r="F1338"/>
  <c r="G1338" s="1"/>
  <c r="E1342"/>
  <c r="F1342" s="1"/>
  <c r="G1342" s="1"/>
  <c r="E1343"/>
  <c r="F1343"/>
  <c r="G1343"/>
  <c r="F1351"/>
  <c r="G1351" s="1"/>
  <c r="F1352"/>
  <c r="G1352" s="1"/>
  <c r="F1353"/>
  <c r="G1353" s="1"/>
  <c r="E1357"/>
  <c r="F1357" s="1"/>
  <c r="E1358"/>
  <c r="F1358"/>
  <c r="G1358"/>
  <c r="F1367"/>
  <c r="G1367" s="1"/>
  <c r="F1368"/>
  <c r="G1368" s="1"/>
  <c r="F1369"/>
  <c r="G1369" s="1"/>
  <c r="E1373"/>
  <c r="F1373" s="1"/>
  <c r="E1374"/>
  <c r="F1374"/>
  <c r="G1374"/>
  <c r="F1383"/>
  <c r="G1383" s="1"/>
  <c r="F1384"/>
  <c r="G1384" s="1"/>
  <c r="F1385"/>
  <c r="G1385" s="1"/>
  <c r="E1389"/>
  <c r="F1389" s="1"/>
  <c r="E1390"/>
  <c r="F1390"/>
  <c r="G1390"/>
  <c r="F1399"/>
  <c r="G1399" s="1"/>
  <c r="F1400"/>
  <c r="G1400" s="1"/>
  <c r="F1401"/>
  <c r="G1401" s="1"/>
  <c r="E1405"/>
  <c r="F1405" s="1"/>
  <c r="E1406"/>
  <c r="F1406"/>
  <c r="G1406"/>
  <c r="F1419"/>
  <c r="G1419" s="1"/>
  <c r="F1420"/>
  <c r="G1420" s="1"/>
  <c r="F1421"/>
  <c r="G1421" s="1"/>
  <c r="E1425"/>
  <c r="F1425" s="1"/>
  <c r="G1425" s="1"/>
  <c r="E1426"/>
  <c r="F1426"/>
  <c r="G1426"/>
  <c r="F1439"/>
  <c r="G1439" s="1"/>
  <c r="F1440"/>
  <c r="G1440" s="1"/>
  <c r="F1441"/>
  <c r="G1441" s="1"/>
  <c r="E1445"/>
  <c r="F1445" s="1"/>
  <c r="G1445" s="1"/>
  <c r="E1446"/>
  <c r="F1446"/>
  <c r="G1446"/>
  <c r="F1453"/>
  <c r="G1453" s="1"/>
  <c r="F1458"/>
  <c r="G1458" s="1"/>
  <c r="F1459"/>
  <c r="G1459" s="1"/>
  <c r="F1460"/>
  <c r="G1460" s="1"/>
  <c r="F1462"/>
  <c r="G1462" s="1"/>
  <c r="E1466"/>
  <c r="F1466"/>
  <c r="E1467"/>
  <c r="F1467"/>
  <c r="F1475"/>
  <c r="G1475" s="1"/>
  <c r="F1477"/>
  <c r="G1477" s="1"/>
  <c r="F1478"/>
  <c r="G1478" s="1"/>
  <c r="F1479"/>
  <c r="G1479" s="1"/>
  <c r="F1490"/>
  <c r="G1490" s="1"/>
  <c r="F1492"/>
  <c r="G1492" s="1"/>
  <c r="F1493"/>
  <c r="G1493" s="1"/>
  <c r="F1494"/>
  <c r="G1494" s="1"/>
  <c r="F1510"/>
  <c r="G1510" s="1"/>
  <c r="F1511"/>
  <c r="G1511" s="1"/>
  <c r="F1512"/>
  <c r="G1512" s="1"/>
  <c r="F1527"/>
  <c r="G1527" s="1"/>
  <c r="F1529"/>
  <c r="G1529" s="1"/>
  <c r="F1530"/>
  <c r="G1530" s="1"/>
  <c r="F1531"/>
  <c r="G1531" s="1"/>
  <c r="F1540"/>
  <c r="G1540" s="1"/>
  <c r="G1541" s="1"/>
  <c r="F1545"/>
  <c r="G1545" s="1"/>
  <c r="F1551"/>
  <c r="G1551" s="1"/>
  <c r="F1552"/>
  <c r="G1552" s="1"/>
  <c r="F1553"/>
  <c r="G1553" s="1"/>
  <c r="F1563"/>
  <c r="G1563" s="1"/>
  <c r="F1567"/>
  <c r="G1567" s="1"/>
  <c r="F1569"/>
  <c r="G1569" s="1"/>
  <c r="F1570"/>
  <c r="G1570" s="1"/>
  <c r="F1571"/>
  <c r="G1571" s="1"/>
  <c r="F1581"/>
  <c r="G1581" s="1"/>
  <c r="F1588"/>
  <c r="G1588" s="1"/>
  <c r="F1589"/>
  <c r="G1589" s="1"/>
  <c r="F1590"/>
  <c r="G1590" s="1"/>
  <c r="F1601"/>
  <c r="G1601" s="1"/>
  <c r="F1605"/>
  <c r="G1605" s="1"/>
  <c r="F1607"/>
  <c r="G1607" s="1"/>
  <c r="F1608"/>
  <c r="G1608" s="1"/>
  <c r="F1609"/>
  <c r="G1609" s="1"/>
  <c r="F1619"/>
  <c r="G1619" s="1"/>
  <c r="F1625"/>
  <c r="G1625" s="1"/>
  <c r="F1626"/>
  <c r="G1626" s="1"/>
  <c r="F1627"/>
  <c r="G1627" s="1"/>
  <c r="F1637"/>
  <c r="G1637" s="1"/>
  <c r="F1641"/>
  <c r="G1641" s="1"/>
  <c r="F1643"/>
  <c r="G1643" s="1"/>
  <c r="F1644"/>
  <c r="G1644" s="1"/>
  <c r="F1657"/>
  <c r="G1657" s="1"/>
  <c r="F1658"/>
  <c r="G1658" s="1"/>
  <c r="F1670"/>
  <c r="G1670" s="1"/>
  <c r="F1671"/>
  <c r="G1671" s="1"/>
  <c r="F1672"/>
  <c r="G1672" s="1"/>
  <c r="F1681"/>
  <c r="G1681" s="1"/>
  <c r="F1682"/>
  <c r="G1682" s="1"/>
  <c r="F1691"/>
  <c r="G1691" s="1"/>
  <c r="F1692"/>
  <c r="G1692" s="1"/>
  <c r="F1693"/>
  <c r="G1693" s="1"/>
  <c r="F1703"/>
  <c r="G1703" s="1"/>
  <c r="F1705"/>
  <c r="G1705" s="1"/>
  <c r="F1706"/>
  <c r="G1706" s="1"/>
  <c r="F1717"/>
  <c r="G1717" s="1"/>
  <c r="F1719"/>
  <c r="G1719" s="1"/>
  <c r="F1720"/>
  <c r="G1720" s="1"/>
  <c r="F1721"/>
  <c r="G1721" s="1"/>
  <c r="F1732"/>
  <c r="G1732" s="1"/>
  <c r="F1734"/>
  <c r="G1734" s="1"/>
  <c r="F1735"/>
  <c r="G1735" s="1"/>
  <c r="F1742"/>
  <c r="G1742" s="1"/>
  <c r="F1744"/>
  <c r="G1744" s="1"/>
  <c r="F1745"/>
  <c r="G1745" s="1"/>
  <c r="F1754"/>
  <c r="G1754" s="1"/>
  <c r="F1756"/>
  <c r="G1756" s="1"/>
  <c r="F1757"/>
  <c r="G1757" s="1"/>
  <c r="F1767"/>
  <c r="G1767" s="1"/>
  <c r="F1769"/>
  <c r="G1769" s="1"/>
  <c r="F1770"/>
  <c r="G1770" s="1"/>
  <c r="F1771"/>
  <c r="G1771" s="1"/>
  <c r="F1782"/>
  <c r="G1782" s="1"/>
  <c r="F1784"/>
  <c r="G1784" s="1"/>
  <c r="F1785"/>
  <c r="G1785" s="1"/>
  <c r="F1789"/>
  <c r="G1789" s="1"/>
  <c r="F1791"/>
  <c r="G1791" s="1"/>
  <c r="F1792"/>
  <c r="G1792" s="1"/>
  <c r="G1796"/>
  <c r="G1797" s="1"/>
  <c r="F1800"/>
  <c r="G1800" s="1"/>
  <c r="F1801"/>
  <c r="G1801" s="1"/>
  <c r="F1802"/>
  <c r="G1802" s="1"/>
  <c r="F1803"/>
  <c r="G1803" s="1"/>
  <c r="F1804"/>
  <c r="G1804" s="1"/>
  <c r="G1807"/>
  <c r="G1808" s="1"/>
  <c r="K2356" i="132" s="1"/>
  <c r="I219" i="309" s="1"/>
  <c r="F1810" i="214"/>
  <c r="G1810" s="1"/>
  <c r="G1811" s="1"/>
  <c r="K2398" i="132" s="1"/>
  <c r="I211" i="309" s="1"/>
  <c r="G1813" i="214"/>
  <c r="G1818"/>
  <c r="G1820" s="1"/>
  <c r="K2418" i="132" s="1"/>
  <c r="I223" i="309" s="1"/>
  <c r="G1822" i="214"/>
  <c r="G1827"/>
  <c r="G1829" s="1"/>
  <c r="K2438" i="132" s="1"/>
  <c r="I227" i="309" s="1"/>
  <c r="G1831" i="214"/>
  <c r="G1833" s="1"/>
  <c r="K2458" i="132" s="1"/>
  <c r="I231" i="309" s="1"/>
  <c r="F1838" i="214"/>
  <c r="G1838" s="1"/>
  <c r="F50" i="211"/>
  <c r="R50" s="1"/>
  <c r="T56"/>
  <c r="Q27" i="196" s="1"/>
  <c r="Q31" s="1"/>
  <c r="J93" i="211"/>
  <c r="G776" i="140"/>
  <c r="C762" i="195"/>
  <c r="I762" s="1"/>
  <c r="G784" i="140"/>
  <c r="C782" i="195"/>
  <c r="I782" s="1"/>
  <c r="C786"/>
  <c r="I786" s="1"/>
  <c r="C790"/>
  <c r="I790" s="1"/>
  <c r="G808" i="140"/>
  <c r="C798" i="195"/>
  <c r="I798" s="1"/>
  <c r="C802"/>
  <c r="I802" s="1"/>
  <c r="C806"/>
  <c r="I806" s="1"/>
  <c r="G824" i="140"/>
  <c r="C818" i="195"/>
  <c r="I818" s="1"/>
  <c r="C814"/>
  <c r="I814" s="1"/>
  <c r="C826"/>
  <c r="I826" s="1"/>
  <c r="C834"/>
  <c r="I834" s="1"/>
  <c r="G904" i="140"/>
  <c r="C898" i="195"/>
  <c r="I898" s="1"/>
  <c r="G625" i="140"/>
  <c r="C625" i="195"/>
  <c r="I625" s="1"/>
  <c r="G633" i="140"/>
  <c r="C633" i="195"/>
  <c r="I633" s="1"/>
  <c r="C641"/>
  <c r="I641" s="1"/>
  <c r="C645"/>
  <c r="I645" s="1"/>
  <c r="C665"/>
  <c r="I665" s="1"/>
  <c r="C669"/>
  <c r="I669" s="1"/>
  <c r="G683" i="140"/>
  <c r="C673" i="195"/>
  <c r="I673" s="1"/>
  <c r="C681"/>
  <c r="I681" s="1"/>
  <c r="C685"/>
  <c r="I685" s="1"/>
  <c r="C689"/>
  <c r="I689" s="1"/>
  <c r="G702" i="140"/>
  <c r="C697" i="195"/>
  <c r="I697" s="1"/>
  <c r="C701"/>
  <c r="I701" s="1"/>
  <c r="C705"/>
  <c r="I705" s="1"/>
  <c r="C556"/>
  <c r="I556" s="1"/>
  <c r="G563" i="140"/>
  <c r="C564" i="195"/>
  <c r="I564" s="1"/>
  <c r="C572"/>
  <c r="I572" s="1"/>
  <c r="C576"/>
  <c r="I576" s="1"/>
  <c r="C580"/>
  <c r="I580" s="1"/>
  <c r="G588" i="140"/>
  <c r="C588" i="195"/>
  <c r="I588" s="1"/>
  <c r="C592"/>
  <c r="I592" s="1"/>
  <c r="C600"/>
  <c r="I600" s="1"/>
  <c r="C604"/>
  <c r="I604" s="1"/>
  <c r="I947" i="194"/>
  <c r="I842"/>
  <c r="I843"/>
  <c r="I844"/>
  <c r="I845"/>
  <c r="I810"/>
  <c r="I811"/>
  <c r="I812"/>
  <c r="I813"/>
  <c r="I784"/>
  <c r="I785"/>
  <c r="I760"/>
  <c r="I761"/>
  <c r="I733"/>
  <c r="I734"/>
  <c r="I735"/>
  <c r="I705"/>
  <c r="I706"/>
  <c r="I707"/>
  <c r="I677"/>
  <c r="I678"/>
  <c r="I679"/>
  <c r="I649"/>
  <c r="I650"/>
  <c r="I651"/>
  <c r="I621"/>
  <c r="I622"/>
  <c r="I623"/>
  <c r="I593"/>
  <c r="I594"/>
  <c r="I595"/>
  <c r="I568"/>
  <c r="I569"/>
  <c r="I547"/>
  <c r="G466" i="140" s="1"/>
  <c r="I447" i="194"/>
  <c r="I448"/>
  <c r="I449"/>
  <c r="I450"/>
  <c r="I415"/>
  <c r="I416"/>
  <c r="I417"/>
  <c r="I418"/>
  <c r="I357"/>
  <c r="I358"/>
  <c r="I359"/>
  <c r="I301"/>
  <c r="I272"/>
  <c r="I246"/>
  <c r="I247"/>
  <c r="I225"/>
  <c r="I205"/>
  <c r="G418" i="140" s="1"/>
  <c r="I179" i="194"/>
  <c r="I180"/>
  <c r="I181"/>
  <c r="I154"/>
  <c r="I155"/>
  <c r="I130"/>
  <c r="I131"/>
  <c r="I109"/>
  <c r="C395" i="195" s="1"/>
  <c r="I395" s="1"/>
  <c r="E55" i="196" s="1"/>
  <c r="I89" i="194"/>
  <c r="I66"/>
  <c r="I67"/>
  <c r="I42"/>
  <c r="I43"/>
  <c r="C383" i="195"/>
  <c r="I383" s="1"/>
  <c r="E35" i="196" s="1"/>
  <c r="I1253" i="192"/>
  <c r="I1254"/>
  <c r="I1255"/>
  <c r="I1256"/>
  <c r="I1257"/>
  <c r="I1220"/>
  <c r="I1221"/>
  <c r="I1222"/>
  <c r="I1223"/>
  <c r="I1126"/>
  <c r="I1092"/>
  <c r="I914"/>
  <c r="I915"/>
  <c r="I916"/>
  <c r="I721"/>
  <c r="I722"/>
  <c r="I723"/>
  <c r="I724"/>
  <c r="I689"/>
  <c r="I690"/>
  <c r="I691"/>
  <c r="I692"/>
  <c r="I587"/>
  <c r="I588"/>
  <c r="I560"/>
  <c r="I561"/>
  <c r="I562"/>
  <c r="I359"/>
  <c r="I360"/>
  <c r="I335"/>
  <c r="I336"/>
  <c r="I285"/>
  <c r="I286"/>
  <c r="I241"/>
  <c r="I212"/>
  <c r="I213"/>
  <c r="I188"/>
  <c r="I189"/>
  <c r="I167"/>
  <c r="G253" i="140" s="1"/>
  <c r="G257"/>
  <c r="I19" i="192"/>
  <c r="G241" i="140" s="1"/>
  <c r="G235" i="309"/>
  <c r="C235" s="1"/>
  <c r="I2456" i="132"/>
  <c r="C229" i="195" s="1"/>
  <c r="I229" s="1"/>
  <c r="I2436" i="132"/>
  <c r="C225" i="195" s="1"/>
  <c r="I225" s="1"/>
  <c r="I2416" i="132"/>
  <c r="C221" i="195" s="1"/>
  <c r="I221" s="1"/>
  <c r="C201"/>
  <c r="I201" s="1"/>
  <c r="I2376" i="132"/>
  <c r="C197" i="195" s="1"/>
  <c r="I197" s="1"/>
  <c r="I2353" i="132"/>
  <c r="I2354"/>
  <c r="I2326"/>
  <c r="I2328"/>
  <c r="I1962"/>
  <c r="I1963"/>
  <c r="I1964"/>
  <c r="I1934"/>
  <c r="I1935"/>
  <c r="I1936"/>
  <c r="I1906"/>
  <c r="I1907"/>
  <c r="I1908"/>
  <c r="I1879"/>
  <c r="I1880"/>
  <c r="I1881"/>
  <c r="I1852"/>
  <c r="I1853"/>
  <c r="I1854"/>
  <c r="I1828"/>
  <c r="I1801"/>
  <c r="I1771"/>
  <c r="I1512"/>
  <c r="I1513"/>
  <c r="I1514"/>
  <c r="I1302"/>
  <c r="I1303"/>
  <c r="I1304"/>
  <c r="I1275"/>
  <c r="I1276"/>
  <c r="I1277"/>
  <c r="I1162"/>
  <c r="I1163"/>
  <c r="I1164"/>
  <c r="I1132"/>
  <c r="I1133"/>
  <c r="I1134"/>
  <c r="I1135"/>
  <c r="I844"/>
  <c r="I845"/>
  <c r="I846"/>
  <c r="I818"/>
  <c r="I820"/>
  <c r="I644"/>
  <c r="I645"/>
  <c r="I646"/>
  <c r="I619"/>
  <c r="I620"/>
  <c r="C45" i="195"/>
  <c r="I45" s="1"/>
  <c r="C31" i="196" s="1"/>
  <c r="F31" s="1"/>
  <c r="C41" i="195"/>
  <c r="I41" s="1"/>
  <c r="C27" i="196" s="1"/>
  <c r="F27" s="1"/>
  <c r="I216" i="132"/>
  <c r="H217"/>
  <c r="I217" s="1"/>
  <c r="I158"/>
  <c r="I159"/>
  <c r="I160"/>
  <c r="I161"/>
  <c r="I162"/>
  <c r="K56"/>
  <c r="I17"/>
  <c r="H495" i="216" l="1"/>
  <c r="H295"/>
  <c r="H287"/>
  <c r="H626"/>
  <c r="H785"/>
  <c r="K2918" i="132" s="1"/>
  <c r="M2918" s="1"/>
  <c r="L24" i="250"/>
  <c r="F2814" i="214" s="1"/>
  <c r="G2814" s="1"/>
  <c r="G2815" s="1"/>
  <c r="G2816" s="1"/>
  <c r="K207" i="132" s="1"/>
  <c r="I28" i="309" s="1"/>
  <c r="E28" s="1"/>
  <c r="F28" s="1"/>
  <c r="I770" i="140"/>
  <c r="J770" s="1"/>
  <c r="O770" s="1"/>
  <c r="I830"/>
  <c r="J830" s="1"/>
  <c r="O830" s="1"/>
  <c r="G232" i="305"/>
  <c r="F726"/>
  <c r="G726" s="1"/>
  <c r="J233" i="140"/>
  <c r="O233" s="1"/>
  <c r="G367" i="216"/>
  <c r="H367" s="1"/>
  <c r="G3061" i="214"/>
  <c r="F1836"/>
  <c r="G1836" s="1"/>
  <c r="G312" i="216"/>
  <c r="G308"/>
  <c r="H804"/>
  <c r="K2923" i="132" s="1"/>
  <c r="M2923" s="1"/>
  <c r="T107" i="211"/>
  <c r="T108" s="1"/>
  <c r="T109" s="1"/>
  <c r="T110" s="1"/>
  <c r="H513" i="216"/>
  <c r="G1117" i="214"/>
  <c r="G1102"/>
  <c r="G329" i="216"/>
  <c r="H329" s="1"/>
  <c r="G311"/>
  <c r="H311" s="1"/>
  <c r="G307"/>
  <c r="H307" s="1"/>
  <c r="H286"/>
  <c r="H842"/>
  <c r="F231" i="195"/>
  <c r="J231" s="1"/>
  <c r="C87" i="310"/>
  <c r="F87" s="1"/>
  <c r="G167" i="309"/>
  <c r="C167" s="1"/>
  <c r="C86" i="310"/>
  <c r="F86" s="1"/>
  <c r="G163" i="309"/>
  <c r="C163" s="1"/>
  <c r="I574" i="140"/>
  <c r="J574" s="1"/>
  <c r="O574" s="1"/>
  <c r="I736"/>
  <c r="J736" s="1"/>
  <c r="O736" s="1"/>
  <c r="I894"/>
  <c r="J894" s="1"/>
  <c r="O894" s="1"/>
  <c r="I866"/>
  <c r="J866" s="1"/>
  <c r="O866" s="1"/>
  <c r="F858" i="305"/>
  <c r="G858" s="1"/>
  <c r="F767"/>
  <c r="G767" s="1"/>
  <c r="I739" i="140"/>
  <c r="J739" s="1"/>
  <c r="O739" s="1"/>
  <c r="I677"/>
  <c r="J677" s="1"/>
  <c r="O677" s="1"/>
  <c r="I758"/>
  <c r="J758" s="1"/>
  <c r="O758" s="1"/>
  <c r="E760" i="195"/>
  <c r="F760" s="1"/>
  <c r="J760" s="1"/>
  <c r="I817" i="140"/>
  <c r="J817" s="1"/>
  <c r="O817" s="1"/>
  <c r="E816" i="195"/>
  <c r="F816" s="1"/>
  <c r="J816" s="1"/>
  <c r="E856"/>
  <c r="F856" s="1"/>
  <c r="J856" s="1"/>
  <c r="F886" i="305"/>
  <c r="G886" s="1"/>
  <c r="F763"/>
  <c r="G763" s="1"/>
  <c r="F823"/>
  <c r="G823" s="1"/>
  <c r="I157" i="310"/>
  <c r="L157"/>
  <c r="S157"/>
  <c r="I156"/>
  <c r="L156"/>
  <c r="S156"/>
  <c r="I663" i="140"/>
  <c r="J663" s="1"/>
  <c r="O663" s="1"/>
  <c r="E639" i="195"/>
  <c r="F639" s="1"/>
  <c r="J639" s="1"/>
  <c r="E638"/>
  <c r="F638" s="1"/>
  <c r="J638" s="1"/>
  <c r="F633" i="305"/>
  <c r="G633" s="1"/>
  <c r="I578" i="140"/>
  <c r="J578" s="1"/>
  <c r="O578" s="1"/>
  <c r="I703"/>
  <c r="J703" s="1"/>
  <c r="O703" s="1"/>
  <c r="E663" i="195"/>
  <c r="F663" s="1"/>
  <c r="J663" s="1"/>
  <c r="I720" i="140"/>
  <c r="J720" s="1"/>
  <c r="O720" s="1"/>
  <c r="E662" i="195"/>
  <c r="E710"/>
  <c r="F710" s="1"/>
  <c r="J710" s="1"/>
  <c r="I631" i="140"/>
  <c r="J631" s="1"/>
  <c r="O631" s="1"/>
  <c r="I865"/>
  <c r="J865" s="1"/>
  <c r="O865" s="1"/>
  <c r="I822"/>
  <c r="J822" s="1"/>
  <c r="O822" s="1"/>
  <c r="I765"/>
  <c r="J765" s="1"/>
  <c r="O765" s="1"/>
  <c r="F887" i="305"/>
  <c r="G887" s="1"/>
  <c r="F576"/>
  <c r="G576" s="1"/>
  <c r="F660"/>
  <c r="G660" s="1"/>
  <c r="F713"/>
  <c r="G713" s="1"/>
  <c r="I757" i="140"/>
  <c r="J757" s="1"/>
  <c r="O757" s="1"/>
  <c r="E618" i="195"/>
  <c r="F618" s="1"/>
  <c r="J618" s="1"/>
  <c r="I581" i="140"/>
  <c r="J581" s="1"/>
  <c r="O581" s="1"/>
  <c r="I573"/>
  <c r="J573" s="1"/>
  <c r="O573" s="1"/>
  <c r="I676"/>
  <c r="J676" s="1"/>
  <c r="O676" s="1"/>
  <c r="I630"/>
  <c r="J630" s="1"/>
  <c r="O630" s="1"/>
  <c r="I735"/>
  <c r="J735" s="1"/>
  <c r="O735" s="1"/>
  <c r="E679" i="195"/>
  <c r="F679" s="1"/>
  <c r="J679" s="1"/>
  <c r="I635" i="140"/>
  <c r="J635" s="1"/>
  <c r="O635" s="1"/>
  <c r="E699" i="195"/>
  <c r="F699" s="1"/>
  <c r="J699" s="1"/>
  <c r="I732" i="140"/>
  <c r="J732" s="1"/>
  <c r="O732" s="1"/>
  <c r="E678" i="195"/>
  <c r="F678" s="1"/>
  <c r="J678" s="1"/>
  <c r="E630"/>
  <c r="F630" s="1"/>
  <c r="J630" s="1"/>
  <c r="E698"/>
  <c r="F698" s="1"/>
  <c r="J698" s="1"/>
  <c r="E722"/>
  <c r="F722" s="1"/>
  <c r="J722" s="1"/>
  <c r="I664" i="140"/>
  <c r="J664" s="1"/>
  <c r="O664" s="1"/>
  <c r="I704"/>
  <c r="J704" s="1"/>
  <c r="O704" s="1"/>
  <c r="E731" i="195"/>
  <c r="F731" s="1"/>
  <c r="J731" s="1"/>
  <c r="I837" i="140"/>
  <c r="J837" s="1"/>
  <c r="O837" s="1"/>
  <c r="I893"/>
  <c r="J893" s="1"/>
  <c r="O893" s="1"/>
  <c r="I774"/>
  <c r="J774" s="1"/>
  <c r="O774" s="1"/>
  <c r="I838"/>
  <c r="J838" s="1"/>
  <c r="O838" s="1"/>
  <c r="I761"/>
  <c r="J761" s="1"/>
  <c r="O761" s="1"/>
  <c r="I785"/>
  <c r="J785" s="1"/>
  <c r="O785" s="1"/>
  <c r="I829"/>
  <c r="J829" s="1"/>
  <c r="O829" s="1"/>
  <c r="F778" i="305"/>
  <c r="G778" s="1"/>
  <c r="F815"/>
  <c r="G815" s="1"/>
  <c r="F810"/>
  <c r="G810" s="1"/>
  <c r="F572"/>
  <c r="G572" s="1"/>
  <c r="F729"/>
  <c r="G729" s="1"/>
  <c r="F673"/>
  <c r="G673" s="1"/>
  <c r="F629"/>
  <c r="G629" s="1"/>
  <c r="I622" i="140"/>
  <c r="J622" s="1"/>
  <c r="O622" s="1"/>
  <c r="E577" i="195"/>
  <c r="F577" s="1"/>
  <c r="J577" s="1"/>
  <c r="E570"/>
  <c r="F570" s="1"/>
  <c r="J570" s="1"/>
  <c r="E569"/>
  <c r="F569" s="1"/>
  <c r="J569" s="1"/>
  <c r="E574"/>
  <c r="F574" s="1"/>
  <c r="J574" s="1"/>
  <c r="E670"/>
  <c r="F670" s="1"/>
  <c r="J670" s="1"/>
  <c r="E658"/>
  <c r="F658" s="1"/>
  <c r="J658" s="1"/>
  <c r="E626"/>
  <c r="F626" s="1"/>
  <c r="J626" s="1"/>
  <c r="E694"/>
  <c r="F694" s="1"/>
  <c r="J694" s="1"/>
  <c r="E726"/>
  <c r="F726" s="1"/>
  <c r="J726" s="1"/>
  <c r="E730"/>
  <c r="F730" s="1"/>
  <c r="J730" s="1"/>
  <c r="I685" i="140"/>
  <c r="J685" s="1"/>
  <c r="O685" s="1"/>
  <c r="I668"/>
  <c r="J668" s="1"/>
  <c r="O668" s="1"/>
  <c r="E631" i="195"/>
  <c r="F631" s="1"/>
  <c r="J631" s="1"/>
  <c r="I644" i="140"/>
  <c r="J644" s="1"/>
  <c r="O644" s="1"/>
  <c r="I708"/>
  <c r="J708" s="1"/>
  <c r="O708" s="1"/>
  <c r="E711" i="195"/>
  <c r="F711" s="1"/>
  <c r="J711" s="1"/>
  <c r="E723"/>
  <c r="F723" s="1"/>
  <c r="J723" s="1"/>
  <c r="I684" i="140"/>
  <c r="J684" s="1"/>
  <c r="O684" s="1"/>
  <c r="I667"/>
  <c r="I634"/>
  <c r="J634" s="1"/>
  <c r="O634" s="1"/>
  <c r="I643"/>
  <c r="J643" s="1"/>
  <c r="O643" s="1"/>
  <c r="I707"/>
  <c r="J707" s="1"/>
  <c r="O707" s="1"/>
  <c r="I719"/>
  <c r="J719" s="1"/>
  <c r="O719" s="1"/>
  <c r="I731"/>
  <c r="J731" s="1"/>
  <c r="O731" s="1"/>
  <c r="E671" i="195"/>
  <c r="F671" s="1"/>
  <c r="J671" s="1"/>
  <c r="E659"/>
  <c r="F659" s="1"/>
  <c r="J659" s="1"/>
  <c r="E627"/>
  <c r="F627" s="1"/>
  <c r="J627" s="1"/>
  <c r="E695"/>
  <c r="F695" s="1"/>
  <c r="J695" s="1"/>
  <c r="E727"/>
  <c r="F727" s="1"/>
  <c r="J727" s="1"/>
  <c r="I740" i="140"/>
  <c r="J740" s="1"/>
  <c r="O740" s="1"/>
  <c r="E827" i="195"/>
  <c r="F827" s="1"/>
  <c r="J827" s="1"/>
  <c r="E855"/>
  <c r="F855" s="1"/>
  <c r="J855" s="1"/>
  <c r="E883"/>
  <c r="F883" s="1"/>
  <c r="J883" s="1"/>
  <c r="E748"/>
  <c r="F748" s="1"/>
  <c r="J748" s="1"/>
  <c r="E764"/>
  <c r="F764" s="1"/>
  <c r="J764" s="1"/>
  <c r="E808"/>
  <c r="F808" s="1"/>
  <c r="J808" s="1"/>
  <c r="E828"/>
  <c r="F828" s="1"/>
  <c r="J828" s="1"/>
  <c r="E884"/>
  <c r="F884" s="1"/>
  <c r="J884" s="1"/>
  <c r="E751"/>
  <c r="F751" s="1"/>
  <c r="J751" s="1"/>
  <c r="E755"/>
  <c r="F755" s="1"/>
  <c r="J755" s="1"/>
  <c r="E771"/>
  <c r="F771" s="1"/>
  <c r="J771" s="1"/>
  <c r="E803"/>
  <c r="F803" s="1"/>
  <c r="J803" s="1"/>
  <c r="E815"/>
  <c r="F815" s="1"/>
  <c r="J815" s="1"/>
  <c r="F758" i="305"/>
  <c r="G758" s="1"/>
  <c r="F830"/>
  <c r="G830" s="1"/>
  <c r="F751"/>
  <c r="G751" s="1"/>
  <c r="F831"/>
  <c r="G831" s="1"/>
  <c r="F754"/>
  <c r="G754" s="1"/>
  <c r="F822"/>
  <c r="G822" s="1"/>
  <c r="F620"/>
  <c r="G620" s="1"/>
  <c r="F571"/>
  <c r="G571" s="1"/>
  <c r="F640"/>
  <c r="G640" s="1"/>
  <c r="F674"/>
  <c r="G674" s="1"/>
  <c r="F714"/>
  <c r="G714" s="1"/>
  <c r="F632"/>
  <c r="G632" s="1"/>
  <c r="F682"/>
  <c r="G682" s="1"/>
  <c r="F702"/>
  <c r="G702" s="1"/>
  <c r="F762"/>
  <c r="G762" s="1"/>
  <c r="F811"/>
  <c r="G811" s="1"/>
  <c r="F895"/>
  <c r="G895" s="1"/>
  <c r="F883"/>
  <c r="G883" s="1"/>
  <c r="E582" i="195"/>
  <c r="F582" s="1"/>
  <c r="J582" s="1"/>
  <c r="F575" i="305"/>
  <c r="G575" s="1"/>
  <c r="F583"/>
  <c r="G583" s="1"/>
  <c r="F580"/>
  <c r="G580" s="1"/>
  <c r="F579"/>
  <c r="G579" s="1"/>
  <c r="F681"/>
  <c r="G681" s="1"/>
  <c r="F628"/>
  <c r="G628" s="1"/>
  <c r="F701"/>
  <c r="G701" s="1"/>
  <c r="F725"/>
  <c r="G725" s="1"/>
  <c r="F661"/>
  <c r="G661" s="1"/>
  <c r="F698"/>
  <c r="G698" s="1"/>
  <c r="F734"/>
  <c r="G734" s="1"/>
  <c r="F664"/>
  <c r="G664" s="1"/>
  <c r="F697"/>
  <c r="G697" s="1"/>
  <c r="F733"/>
  <c r="G733" s="1"/>
  <c r="F665"/>
  <c r="G665" s="1"/>
  <c r="F641"/>
  <c r="G641" s="1"/>
  <c r="F730"/>
  <c r="G730" s="1"/>
  <c r="E647" i="195"/>
  <c r="F647" s="1"/>
  <c r="J647" s="1"/>
  <c r="I727" i="140"/>
  <c r="J727" s="1"/>
  <c r="O727" s="1"/>
  <c r="I901"/>
  <c r="J901" s="1"/>
  <c r="O901" s="1"/>
  <c r="E706" i="195"/>
  <c r="F706" s="1"/>
  <c r="J706" s="1"/>
  <c r="E719"/>
  <c r="F719" s="1"/>
  <c r="J719" s="1"/>
  <c r="E646"/>
  <c r="F646" s="1"/>
  <c r="J646" s="1"/>
  <c r="E623"/>
  <c r="F623" s="1"/>
  <c r="J623" s="1"/>
  <c r="I825" i="140"/>
  <c r="J825" s="1"/>
  <c r="O825" s="1"/>
  <c r="I786"/>
  <c r="J786" s="1"/>
  <c r="O786" s="1"/>
  <c r="E578" i="195"/>
  <c r="F578" s="1"/>
  <c r="J578" s="1"/>
  <c r="E642"/>
  <c r="F642" s="1"/>
  <c r="J642" s="1"/>
  <c r="E734"/>
  <c r="F734" s="1"/>
  <c r="J734" s="1"/>
  <c r="I700" i="140"/>
  <c r="J700" s="1"/>
  <c r="O700" s="1"/>
  <c r="I699"/>
  <c r="J699" s="1"/>
  <c r="O699" s="1"/>
  <c r="I656"/>
  <c r="J656" s="1"/>
  <c r="O656" s="1"/>
  <c r="I724"/>
  <c r="J724" s="1"/>
  <c r="O724" s="1"/>
  <c r="I773"/>
  <c r="J773" s="1"/>
  <c r="O773" s="1"/>
  <c r="I826"/>
  <c r="J826" s="1"/>
  <c r="O826" s="1"/>
  <c r="I762"/>
  <c r="J762" s="1"/>
  <c r="O762" s="1"/>
  <c r="I902"/>
  <c r="J902" s="1"/>
  <c r="O902" s="1"/>
  <c r="I621"/>
  <c r="J621" s="1"/>
  <c r="O621" s="1"/>
  <c r="E581" i="195"/>
  <c r="F581" s="1"/>
  <c r="J581" s="1"/>
  <c r="E573"/>
  <c r="F573" s="1"/>
  <c r="J573" s="1"/>
  <c r="I655" i="140"/>
  <c r="J655" s="1"/>
  <c r="O655" s="1"/>
  <c r="E622" i="195"/>
  <c r="F622" s="1"/>
  <c r="J622" s="1"/>
  <c r="E714"/>
  <c r="F714" s="1"/>
  <c r="J714" s="1"/>
  <c r="I660" i="140"/>
  <c r="J660" s="1"/>
  <c r="O660" s="1"/>
  <c r="I639"/>
  <c r="J639" s="1"/>
  <c r="O639" s="1"/>
  <c r="E703" i="195"/>
  <c r="F703" s="1"/>
  <c r="J703" s="1"/>
  <c r="I689" i="140"/>
  <c r="J689" s="1"/>
  <c r="O689" s="1"/>
  <c r="I659"/>
  <c r="J659" s="1"/>
  <c r="O659" s="1"/>
  <c r="E634" i="195"/>
  <c r="F634" s="1"/>
  <c r="J634" s="1"/>
  <c r="E702"/>
  <c r="F702" s="1"/>
  <c r="J702" s="1"/>
  <c r="I688" i="140"/>
  <c r="J688" s="1"/>
  <c r="O688" s="1"/>
  <c r="E643" i="195"/>
  <c r="F643" s="1"/>
  <c r="J643" s="1"/>
  <c r="E707"/>
  <c r="F707" s="1"/>
  <c r="J707" s="1"/>
  <c r="I744" i="140"/>
  <c r="J744" s="1"/>
  <c r="O744" s="1"/>
  <c r="I769"/>
  <c r="J769" s="1"/>
  <c r="O769" s="1"/>
  <c r="I821"/>
  <c r="J821" s="1"/>
  <c r="O821" s="1"/>
  <c r="I853"/>
  <c r="J853" s="1"/>
  <c r="O853" s="1"/>
  <c r="I854"/>
  <c r="J854" s="1"/>
  <c r="O854" s="1"/>
  <c r="I889"/>
  <c r="J889" s="1"/>
  <c r="O889" s="1"/>
  <c r="I766"/>
  <c r="J766" s="1"/>
  <c r="O766" s="1"/>
  <c r="I818"/>
  <c r="J818" s="1"/>
  <c r="O818" s="1"/>
  <c r="I890"/>
  <c r="J890" s="1"/>
  <c r="O890" s="1"/>
  <c r="F814" i="305"/>
  <c r="G814" s="1"/>
  <c r="F759"/>
  <c r="G759" s="1"/>
  <c r="F894"/>
  <c r="G894" s="1"/>
  <c r="F882"/>
  <c r="G882" s="1"/>
  <c r="E617" i="195"/>
  <c r="F617" s="1"/>
  <c r="J617" s="1"/>
  <c r="I585" i="140"/>
  <c r="J585" s="1"/>
  <c r="O585" s="1"/>
  <c r="I582"/>
  <c r="J582" s="1"/>
  <c r="O582" s="1"/>
  <c r="I577"/>
  <c r="J577" s="1"/>
  <c r="O577" s="1"/>
  <c r="I586"/>
  <c r="J586" s="1"/>
  <c r="O586" s="1"/>
  <c r="E650" i="195"/>
  <c r="F650" s="1"/>
  <c r="J650" s="1"/>
  <c r="I647" i="140"/>
  <c r="J647" s="1"/>
  <c r="O647" s="1"/>
  <c r="I626"/>
  <c r="J626" s="1"/>
  <c r="O626" s="1"/>
  <c r="I715"/>
  <c r="J715" s="1"/>
  <c r="O715" s="1"/>
  <c r="I723"/>
  <c r="J723" s="1"/>
  <c r="O723" s="1"/>
  <c r="I743"/>
  <c r="J743" s="1"/>
  <c r="O743" s="1"/>
  <c r="E655" i="195"/>
  <c r="F655" s="1"/>
  <c r="J655" s="1"/>
  <c r="I652" i="140"/>
  <c r="J652" s="1"/>
  <c r="O652" s="1"/>
  <c r="E635" i="195"/>
  <c r="F635" s="1"/>
  <c r="J635" s="1"/>
  <c r="E691"/>
  <c r="F691" s="1"/>
  <c r="J691" s="1"/>
  <c r="I712" i="140"/>
  <c r="J712" s="1"/>
  <c r="O712" s="1"/>
  <c r="I728"/>
  <c r="J728" s="1"/>
  <c r="O728" s="1"/>
  <c r="E683" i="195"/>
  <c r="F683" s="1"/>
  <c r="J683" s="1"/>
  <c r="E654"/>
  <c r="F654" s="1"/>
  <c r="J654" s="1"/>
  <c r="I651" i="140"/>
  <c r="J651" s="1"/>
  <c r="O651" s="1"/>
  <c r="I638"/>
  <c r="J638" s="1"/>
  <c r="O638" s="1"/>
  <c r="E690" i="195"/>
  <c r="F690" s="1"/>
  <c r="J690" s="1"/>
  <c r="I711" i="140"/>
  <c r="J711" s="1"/>
  <c r="O711" s="1"/>
  <c r="E718" i="195"/>
  <c r="F718" s="1"/>
  <c r="J718" s="1"/>
  <c r="E682"/>
  <c r="F682" s="1"/>
  <c r="J682" s="1"/>
  <c r="E651"/>
  <c r="F651" s="1"/>
  <c r="J651" s="1"/>
  <c r="I648" i="140"/>
  <c r="J648" s="1"/>
  <c r="O648" s="1"/>
  <c r="I627"/>
  <c r="J627" s="1"/>
  <c r="O627" s="1"/>
  <c r="I716"/>
  <c r="J716" s="1"/>
  <c r="O716" s="1"/>
  <c r="E715" i="195"/>
  <c r="F715" s="1"/>
  <c r="J715" s="1"/>
  <c r="E735"/>
  <c r="F735" s="1"/>
  <c r="J735" s="1"/>
  <c r="E747"/>
  <c r="F747" s="1"/>
  <c r="J747" s="1"/>
  <c r="E759"/>
  <c r="F759" s="1"/>
  <c r="J759" s="1"/>
  <c r="E763"/>
  <c r="F763" s="1"/>
  <c r="J763" s="1"/>
  <c r="E807"/>
  <c r="F807" s="1"/>
  <c r="J807" s="1"/>
  <c r="E811"/>
  <c r="F811" s="1"/>
  <c r="J811" s="1"/>
  <c r="E843"/>
  <c r="F843" s="1"/>
  <c r="J843" s="1"/>
  <c r="E812"/>
  <c r="F812" s="1"/>
  <c r="J812" s="1"/>
  <c r="E844"/>
  <c r="F844" s="1"/>
  <c r="J844" s="1"/>
  <c r="E891"/>
  <c r="F891" s="1"/>
  <c r="J891" s="1"/>
  <c r="E879"/>
  <c r="F879" s="1"/>
  <c r="J879" s="1"/>
  <c r="E752"/>
  <c r="F752" s="1"/>
  <c r="J752" s="1"/>
  <c r="E756"/>
  <c r="F756" s="1"/>
  <c r="J756" s="1"/>
  <c r="E772"/>
  <c r="F772" s="1"/>
  <c r="J772" s="1"/>
  <c r="E804"/>
  <c r="F804" s="1"/>
  <c r="J804" s="1"/>
  <c r="E892"/>
  <c r="F892" s="1"/>
  <c r="J892" s="1"/>
  <c r="E880"/>
  <c r="F880" s="1"/>
  <c r="J880" s="1"/>
  <c r="F750" i="305"/>
  <c r="G750" s="1"/>
  <c r="F818"/>
  <c r="G818" s="1"/>
  <c r="F846"/>
  <c r="G846" s="1"/>
  <c r="F779"/>
  <c r="G779" s="1"/>
  <c r="F819"/>
  <c r="G819" s="1"/>
  <c r="F847"/>
  <c r="G847" s="1"/>
  <c r="F766"/>
  <c r="G766" s="1"/>
  <c r="F755"/>
  <c r="G755" s="1"/>
  <c r="F619"/>
  <c r="G619" s="1"/>
  <c r="F584"/>
  <c r="G584" s="1"/>
  <c r="F652"/>
  <c r="G652" s="1"/>
  <c r="F648"/>
  <c r="G648" s="1"/>
  <c r="F624"/>
  <c r="G624" s="1"/>
  <c r="F693"/>
  <c r="G693" s="1"/>
  <c r="F705"/>
  <c r="G705" s="1"/>
  <c r="F717"/>
  <c r="G717" s="1"/>
  <c r="F685"/>
  <c r="G685" s="1"/>
  <c r="F653"/>
  <c r="G653" s="1"/>
  <c r="F645"/>
  <c r="G645" s="1"/>
  <c r="F625"/>
  <c r="G625" s="1"/>
  <c r="F706"/>
  <c r="G706" s="1"/>
  <c r="F718"/>
  <c r="G718" s="1"/>
  <c r="F686"/>
  <c r="G686" s="1"/>
  <c r="F656"/>
  <c r="G656" s="1"/>
  <c r="F644"/>
  <c r="G644" s="1"/>
  <c r="F636"/>
  <c r="G636" s="1"/>
  <c r="F709"/>
  <c r="G709" s="1"/>
  <c r="F721"/>
  <c r="G721" s="1"/>
  <c r="F737"/>
  <c r="G737" s="1"/>
  <c r="F657"/>
  <c r="G657" s="1"/>
  <c r="F649"/>
  <c r="G649" s="1"/>
  <c r="F637"/>
  <c r="G637" s="1"/>
  <c r="F694"/>
  <c r="G694" s="1"/>
  <c r="F710"/>
  <c r="G710" s="1"/>
  <c r="F722"/>
  <c r="G722" s="1"/>
  <c r="F738"/>
  <c r="G738" s="1"/>
  <c r="K4018" i="132"/>
  <c r="M4018" s="1"/>
  <c r="K3965"/>
  <c r="M3965" s="1"/>
  <c r="K3940"/>
  <c r="M3940" s="1"/>
  <c r="K3925"/>
  <c r="M3925" s="1"/>
  <c r="K3877"/>
  <c r="M3877" s="1"/>
  <c r="K3854"/>
  <c r="M3854" s="1"/>
  <c r="K3844"/>
  <c r="M3844" s="1"/>
  <c r="K4301"/>
  <c r="M4301" s="1"/>
  <c r="K4201"/>
  <c r="M4201" s="1"/>
  <c r="K4423"/>
  <c r="M4423" s="1"/>
  <c r="K4115"/>
  <c r="M4115" s="1"/>
  <c r="K4130"/>
  <c r="M4130" s="1"/>
  <c r="K4191"/>
  <c r="M4191" s="1"/>
  <c r="K4249"/>
  <c r="M4249" s="1"/>
  <c r="K4332"/>
  <c r="M4332" s="1"/>
  <c r="K4352"/>
  <c r="M4352" s="1"/>
  <c r="K4412"/>
  <c r="M4412" s="1"/>
  <c r="K4491"/>
  <c r="M4491" s="1"/>
  <c r="K4044"/>
  <c r="M4044" s="1"/>
  <c r="K4211"/>
  <c r="M4211" s="1"/>
  <c r="K4254"/>
  <c r="M4254" s="1"/>
  <c r="K4265"/>
  <c r="M4265" s="1"/>
  <c r="K4447"/>
  <c r="M4447" s="1"/>
  <c r="K4496"/>
  <c r="M4496" s="1"/>
  <c r="K4155"/>
  <c r="M4155" s="1"/>
  <c r="K4109"/>
  <c r="M4109" s="1"/>
  <c r="K4223"/>
  <c r="M4223" s="1"/>
  <c r="K4322"/>
  <c r="M4322" s="1"/>
  <c r="K4397"/>
  <c r="M4397" s="1"/>
  <c r="I761" i="309"/>
  <c r="I769"/>
  <c r="I817"/>
  <c r="I825"/>
  <c r="I837"/>
  <c r="I901"/>
  <c r="I865"/>
  <c r="I889"/>
  <c r="I758"/>
  <c r="I766"/>
  <c r="I774"/>
  <c r="I786"/>
  <c r="I822"/>
  <c r="I826"/>
  <c r="I838"/>
  <c r="I854"/>
  <c r="I894"/>
  <c r="I757"/>
  <c r="I765"/>
  <c r="I773"/>
  <c r="I785"/>
  <c r="I821"/>
  <c r="I829"/>
  <c r="I853"/>
  <c r="I893"/>
  <c r="I762"/>
  <c r="I770"/>
  <c r="I818"/>
  <c r="I830"/>
  <c r="I902"/>
  <c r="I866"/>
  <c r="I890"/>
  <c r="K4013" i="132"/>
  <c r="M4013" s="1"/>
  <c r="K3986"/>
  <c r="M3986" s="1"/>
  <c r="K4023"/>
  <c r="M4023" s="1"/>
  <c r="K3945"/>
  <c r="M3945" s="1"/>
  <c r="K3930"/>
  <c r="M3930" s="1"/>
  <c r="K3920"/>
  <c r="M3920" s="1"/>
  <c r="K3872"/>
  <c r="M3872" s="1"/>
  <c r="K3849"/>
  <c r="M3849" s="1"/>
  <c r="K3839"/>
  <c r="M3839" s="1"/>
  <c r="K4080"/>
  <c r="M4080" s="1"/>
  <c r="K4170"/>
  <c r="M4170" s="1"/>
  <c r="K4392"/>
  <c r="M4392" s="1"/>
  <c r="K4085"/>
  <c r="M4085" s="1"/>
  <c r="K4125"/>
  <c r="M4125" s="1"/>
  <c r="K4135"/>
  <c r="M4135" s="1"/>
  <c r="K4216"/>
  <c r="M4216" s="1"/>
  <c r="K4306"/>
  <c r="M4306" s="1"/>
  <c r="K4347"/>
  <c r="M4347" s="1"/>
  <c r="K4357"/>
  <c r="M4357" s="1"/>
  <c r="K4459"/>
  <c r="M4459" s="1"/>
  <c r="K4501"/>
  <c r="M4501" s="1"/>
  <c r="K4181"/>
  <c r="M4181" s="1"/>
  <c r="K4228"/>
  <c r="M4228" s="1"/>
  <c r="K4259"/>
  <c r="M4259" s="1"/>
  <c r="K4402"/>
  <c r="M4402" s="1"/>
  <c r="K4471"/>
  <c r="M4471" s="1"/>
  <c r="K4102"/>
  <c r="M4102" s="1"/>
  <c r="K4176"/>
  <c r="M4176" s="1"/>
  <c r="K4377"/>
  <c r="M4377" s="1"/>
  <c r="K4327"/>
  <c r="M4327" s="1"/>
  <c r="K4466"/>
  <c r="M4466" s="1"/>
  <c r="K4196"/>
  <c r="I861" i="309" s="1"/>
  <c r="K3258" i="132"/>
  <c r="M3258" s="1"/>
  <c r="K3309"/>
  <c r="M3309" s="1"/>
  <c r="K3294"/>
  <c r="M3294" s="1"/>
  <c r="K3304"/>
  <c r="M3304" s="1"/>
  <c r="K3274"/>
  <c r="M3274" s="1"/>
  <c r="K3267"/>
  <c r="M3267" s="1"/>
  <c r="K3197"/>
  <c r="M3197" s="1"/>
  <c r="K3187"/>
  <c r="M3187" s="1"/>
  <c r="K3207"/>
  <c r="M3207" s="1"/>
  <c r="K3233"/>
  <c r="M3233" s="1"/>
  <c r="K3222"/>
  <c r="M3222" s="1"/>
  <c r="K3243"/>
  <c r="M3243" s="1"/>
  <c r="K3380"/>
  <c r="M3380" s="1"/>
  <c r="K3533"/>
  <c r="M3533" s="1"/>
  <c r="K3518"/>
  <c r="M3518" s="1"/>
  <c r="I684" i="309"/>
  <c r="I655"/>
  <c r="I663"/>
  <c r="I651"/>
  <c r="I634"/>
  <c r="I626"/>
  <c r="I643"/>
  <c r="I699"/>
  <c r="I707"/>
  <c r="I715"/>
  <c r="I719"/>
  <c r="I723"/>
  <c r="I731"/>
  <c r="I743"/>
  <c r="I685"/>
  <c r="I656"/>
  <c r="I664"/>
  <c r="I652"/>
  <c r="I635"/>
  <c r="I627"/>
  <c r="I644"/>
  <c r="I700"/>
  <c r="I708"/>
  <c r="I716"/>
  <c r="I720"/>
  <c r="I724"/>
  <c r="I732"/>
  <c r="I744"/>
  <c r="I676"/>
  <c r="I659"/>
  <c r="I667"/>
  <c r="I647"/>
  <c r="I630"/>
  <c r="I638"/>
  <c r="I703"/>
  <c r="I711"/>
  <c r="I735"/>
  <c r="I727"/>
  <c r="I739"/>
  <c r="I688"/>
  <c r="I677"/>
  <c r="I660"/>
  <c r="I668"/>
  <c r="I648"/>
  <c r="I631"/>
  <c r="I639"/>
  <c r="I704"/>
  <c r="I712"/>
  <c r="I736"/>
  <c r="I728"/>
  <c r="I740"/>
  <c r="I689"/>
  <c r="K3314" i="132"/>
  <c r="M3314" s="1"/>
  <c r="K3299"/>
  <c r="M3299" s="1"/>
  <c r="K3289"/>
  <c r="M3289" s="1"/>
  <c r="K3284"/>
  <c r="M3284" s="1"/>
  <c r="K3268"/>
  <c r="M3268" s="1"/>
  <c r="K3266"/>
  <c r="M3266" s="1"/>
  <c r="K3202"/>
  <c r="M3202" s="1"/>
  <c r="K3182"/>
  <c r="M3182" s="1"/>
  <c r="K3192"/>
  <c r="M3192" s="1"/>
  <c r="K3212"/>
  <c r="M3212" s="1"/>
  <c r="K3227"/>
  <c r="M3227" s="1"/>
  <c r="K3217"/>
  <c r="M3217" s="1"/>
  <c r="K3248"/>
  <c r="M3248" s="1"/>
  <c r="K3543"/>
  <c r="M3543" s="1"/>
  <c r="K3395"/>
  <c r="M3395" s="1"/>
  <c r="K2711"/>
  <c r="M2711" s="1"/>
  <c r="K2696"/>
  <c r="M2696" s="1"/>
  <c r="K2933"/>
  <c r="M2933" s="1"/>
  <c r="K2795"/>
  <c r="M2795" s="1"/>
  <c r="K2954"/>
  <c r="M2954" s="1"/>
  <c r="K2819"/>
  <c r="M2819" s="1"/>
  <c r="K2990"/>
  <c r="M2990" s="1"/>
  <c r="K2855"/>
  <c r="M2855" s="1"/>
  <c r="I573" i="309"/>
  <c r="I585"/>
  <c r="I574"/>
  <c r="I586"/>
  <c r="I578"/>
  <c r="I577"/>
  <c r="I581"/>
  <c r="I582"/>
  <c r="K2706" i="132"/>
  <c r="M2706" s="1"/>
  <c r="K2700"/>
  <c r="M2700" s="1"/>
  <c r="K2780"/>
  <c r="M2780" s="1"/>
  <c r="K2814"/>
  <c r="M2814" s="1"/>
  <c r="K2913"/>
  <c r="M2913" s="1"/>
  <c r="K2807"/>
  <c r="M2807" s="1"/>
  <c r="K2940"/>
  <c r="M2940" s="1"/>
  <c r="K2770"/>
  <c r="M2770" s="1"/>
  <c r="K2775"/>
  <c r="M2775" s="1"/>
  <c r="K2928"/>
  <c r="M2928" s="1"/>
  <c r="K2903"/>
  <c r="M2903" s="1"/>
  <c r="K2871"/>
  <c r="M2871" s="1"/>
  <c r="K3007"/>
  <c r="M3007" s="1"/>
  <c r="K2889"/>
  <c r="I617" i="309" s="1"/>
  <c r="I621"/>
  <c r="I622"/>
  <c r="K2764" i="132"/>
  <c r="M2764" s="1"/>
  <c r="G212" i="305"/>
  <c r="L25" i="250"/>
  <c r="F2822" i="214" s="1"/>
  <c r="G2822" s="1"/>
  <c r="G2823" s="1"/>
  <c r="G2824" s="1"/>
  <c r="K231" i="132" s="1"/>
  <c r="I32" i="309" s="1"/>
  <c r="J32" s="1"/>
  <c r="D522" i="305"/>
  <c r="G524" i="309"/>
  <c r="C524" s="1"/>
  <c r="D521" i="305"/>
  <c r="G523" i="309"/>
  <c r="C523" s="1"/>
  <c r="D381" i="305"/>
  <c r="G383" i="309"/>
  <c r="C383" s="1"/>
  <c r="L23" i="250"/>
  <c r="F3497" i="214" s="1"/>
  <c r="G3497" s="1"/>
  <c r="F1622"/>
  <c r="G1622" s="1"/>
  <c r="G1139"/>
  <c r="G1124"/>
  <c r="G1118"/>
  <c r="G1111"/>
  <c r="F1139"/>
  <c r="F1124"/>
  <c r="F1118"/>
  <c r="G1104"/>
  <c r="G1131"/>
  <c r="F1736"/>
  <c r="G1447"/>
  <c r="G1309"/>
  <c r="G1167"/>
  <c r="F1187"/>
  <c r="G1187"/>
  <c r="F1786"/>
  <c r="F1746"/>
  <c r="G1427"/>
  <c r="F1344"/>
  <c r="G1292"/>
  <c r="D236" i="305"/>
  <c r="G237" i="309"/>
  <c r="C237" s="1"/>
  <c r="D235" i="305"/>
  <c r="G236" i="309"/>
  <c r="C236" s="1"/>
  <c r="F13" i="305"/>
  <c r="G13" s="1"/>
  <c r="I14" i="309"/>
  <c r="J227"/>
  <c r="E227"/>
  <c r="F227" s="1"/>
  <c r="J223"/>
  <c r="E223"/>
  <c r="F223" s="1"/>
  <c r="J211"/>
  <c r="E211"/>
  <c r="F211" s="1"/>
  <c r="J28"/>
  <c r="F207" i="305"/>
  <c r="G207" s="1"/>
  <c r="I208" i="309"/>
  <c r="F208" i="305"/>
  <c r="G208" s="1"/>
  <c r="I209" i="309"/>
  <c r="F216" i="305"/>
  <c r="G216" s="1"/>
  <c r="I217" i="309"/>
  <c r="F40" i="305"/>
  <c r="G40" s="1"/>
  <c r="I41" i="309"/>
  <c r="J40"/>
  <c r="E40"/>
  <c r="F40" s="1"/>
  <c r="J220"/>
  <c r="E220"/>
  <c r="F220" s="1"/>
  <c r="J213"/>
  <c r="E213"/>
  <c r="F213" s="1"/>
  <c r="J225"/>
  <c r="E225"/>
  <c r="F225" s="1"/>
  <c r="J232"/>
  <c r="E232"/>
  <c r="F232" s="1"/>
  <c r="J233"/>
  <c r="E233"/>
  <c r="F233" s="1"/>
  <c r="J228"/>
  <c r="E228"/>
  <c r="F228" s="1"/>
  <c r="J229"/>
  <c r="E229"/>
  <c r="F229" s="1"/>
  <c r="J15"/>
  <c r="E15"/>
  <c r="F15" s="1"/>
  <c r="J16"/>
  <c r="E16"/>
  <c r="F16" s="1"/>
  <c r="J11"/>
  <c r="E11"/>
  <c r="F11" s="1"/>
  <c r="J12"/>
  <c r="E12"/>
  <c r="F12" s="1"/>
  <c r="J231"/>
  <c r="E231"/>
  <c r="F231" s="1"/>
  <c r="J219"/>
  <c r="E219"/>
  <c r="F219" s="1"/>
  <c r="F9" i="305"/>
  <c r="G9" s="1"/>
  <c r="I10" i="309"/>
  <c r="F215" i="305"/>
  <c r="G215" s="1"/>
  <c r="I216" i="309"/>
  <c r="F183" i="305"/>
  <c r="G183" s="1"/>
  <c r="I184" i="309"/>
  <c r="F184" i="305"/>
  <c r="G184" s="1"/>
  <c r="I185" i="309"/>
  <c r="J212"/>
  <c r="E212"/>
  <c r="F212" s="1"/>
  <c r="J224"/>
  <c r="E224"/>
  <c r="F224" s="1"/>
  <c r="J221"/>
  <c r="E221"/>
  <c r="F221" s="1"/>
  <c r="E614" i="195"/>
  <c r="F614" s="1"/>
  <c r="J614" s="1"/>
  <c r="I618" i="309"/>
  <c r="I693" i="140"/>
  <c r="J693" s="1"/>
  <c r="O693" s="1"/>
  <c r="I693" i="309"/>
  <c r="I862"/>
  <c r="F737" i="216"/>
  <c r="H737" s="1"/>
  <c r="H748" s="1"/>
  <c r="G330"/>
  <c r="H330" s="1"/>
  <c r="G328"/>
  <c r="H328" s="1"/>
  <c r="G326"/>
  <c r="H326" s="1"/>
  <c r="H284"/>
  <c r="F285" s="1"/>
  <c r="H285" s="1"/>
  <c r="H296" s="1"/>
  <c r="C521" i="195"/>
  <c r="I521" s="1"/>
  <c r="E173" i="196" s="1"/>
  <c r="C102" i="165"/>
  <c r="E94" i="139" s="1"/>
  <c r="G524" i="140"/>
  <c r="G236"/>
  <c r="C234" i="195"/>
  <c r="I234" s="1"/>
  <c r="C172" i="196" s="1"/>
  <c r="C107" i="165"/>
  <c r="E98" i="139" s="1"/>
  <c r="C106" i="165"/>
  <c r="E97" i="139" s="1"/>
  <c r="I862" i="140"/>
  <c r="J862" s="1"/>
  <c r="O862" s="1"/>
  <c r="F855" i="305"/>
  <c r="G855" s="1"/>
  <c r="G383" i="140"/>
  <c r="C380" i="195"/>
  <c r="I380" s="1"/>
  <c r="D173" i="196" s="1"/>
  <c r="C104" i="165"/>
  <c r="E96" i="139" s="1"/>
  <c r="G237" i="140"/>
  <c r="J213"/>
  <c r="O213" s="1"/>
  <c r="C235" i="195"/>
  <c r="I235" s="1"/>
  <c r="C173" i="196" s="1"/>
  <c r="F173" s="1"/>
  <c r="F203" i="195"/>
  <c r="J203" s="1"/>
  <c r="E852"/>
  <c r="F852" s="1"/>
  <c r="J852" s="1"/>
  <c r="C520"/>
  <c r="I520" s="1"/>
  <c r="E172" i="196" s="1"/>
  <c r="E1165" i="214"/>
  <c r="F1165" s="1"/>
  <c r="E1158"/>
  <c r="F1158" s="1"/>
  <c r="G1109"/>
  <c r="G456" i="216"/>
  <c r="H456" s="1"/>
  <c r="G314"/>
  <c r="H314" s="1"/>
  <c r="D234" i="305"/>
  <c r="D214"/>
  <c r="D347"/>
  <c r="D343"/>
  <c r="D162"/>
  <c r="C419" i="195"/>
  <c r="I419" s="1"/>
  <c r="E79" i="196" s="1"/>
  <c r="D271" i="305"/>
  <c r="G14" i="139"/>
  <c r="G3091" i="214"/>
  <c r="G3095" s="1"/>
  <c r="G3096" s="1"/>
  <c r="K3025" i="132" s="1"/>
  <c r="M3025" s="1"/>
  <c r="T152" i="211"/>
  <c r="T153" s="1"/>
  <c r="T154" s="1"/>
  <c r="T155" s="1"/>
  <c r="E269" i="218"/>
  <c r="G269" s="1"/>
  <c r="G274" s="1"/>
  <c r="D170" i="305"/>
  <c r="D432"/>
  <c r="G430" i="140"/>
  <c r="G394"/>
  <c r="D267" i="305"/>
  <c r="F689"/>
  <c r="G689" s="1"/>
  <c r="H378" i="216"/>
  <c r="F381" s="1"/>
  <c r="E225" i="195"/>
  <c r="F225" s="1"/>
  <c r="J225" s="1"/>
  <c r="F226" i="305"/>
  <c r="G226" s="1"/>
  <c r="I223" i="140"/>
  <c r="F222" i="305"/>
  <c r="G222" s="1"/>
  <c r="E201" i="195"/>
  <c r="F201" s="1"/>
  <c r="J201" s="1"/>
  <c r="F210" i="305"/>
  <c r="G210" s="1"/>
  <c r="F28"/>
  <c r="G28" s="1"/>
  <c r="I40" i="140"/>
  <c r="J40" s="1"/>
  <c r="O40" s="1"/>
  <c r="F39" i="305"/>
  <c r="G39" s="1"/>
  <c r="I231" i="140"/>
  <c r="F230" i="305"/>
  <c r="G230" s="1"/>
  <c r="E217" i="195"/>
  <c r="F218" i="305"/>
  <c r="G218" s="1"/>
  <c r="F616"/>
  <c r="G616" s="1"/>
  <c r="C100" i="165"/>
  <c r="E93" i="139" s="1"/>
  <c r="D520" i="305"/>
  <c r="C99" i="165"/>
  <c r="E92" i="139" s="1"/>
  <c r="D379" i="305"/>
  <c r="C219" i="195"/>
  <c r="I219" s="1"/>
  <c r="D220" i="305"/>
  <c r="J220" s="1"/>
  <c r="M2368" i="132"/>
  <c r="G221" i="140"/>
  <c r="J221" s="1"/>
  <c r="O221" s="1"/>
  <c r="I618"/>
  <c r="J618" s="1"/>
  <c r="O618" s="1"/>
  <c r="E686" i="195"/>
  <c r="F686" s="1"/>
  <c r="J686" s="1"/>
  <c r="D11" i="165"/>
  <c r="F23" i="139" s="1"/>
  <c r="H881" i="215"/>
  <c r="I881" s="1"/>
  <c r="I882" s="1"/>
  <c r="I883" s="1"/>
  <c r="F2764" i="214"/>
  <c r="G2764" s="1"/>
  <c r="F2774"/>
  <c r="G2774" s="1"/>
  <c r="F2833"/>
  <c r="F2890"/>
  <c r="G2890" s="1"/>
  <c r="F2917"/>
  <c r="F3247"/>
  <c r="F3289"/>
  <c r="G3289" s="1"/>
  <c r="F3339"/>
  <c r="F3454"/>
  <c r="F3488"/>
  <c r="G3488" s="1"/>
  <c r="F3522"/>
  <c r="G3522" s="1"/>
  <c r="F2759"/>
  <c r="G2759" s="1"/>
  <c r="F2769"/>
  <c r="G2769" s="1"/>
  <c r="F2779"/>
  <c r="G2779" s="1"/>
  <c r="F2860"/>
  <c r="G2860" s="1"/>
  <c r="F2980"/>
  <c r="G2980" s="1"/>
  <c r="F3104"/>
  <c r="G3104" s="1"/>
  <c r="F3114"/>
  <c r="G3114" s="1"/>
  <c r="F3131"/>
  <c r="G3131" s="1"/>
  <c r="F3148"/>
  <c r="G3148" s="1"/>
  <c r="F3416"/>
  <c r="F3437"/>
  <c r="F3473"/>
  <c r="F3498"/>
  <c r="D10" i="165"/>
  <c r="F22" i="139" s="1"/>
  <c r="H597" i="215"/>
  <c r="I597" s="1"/>
  <c r="I598" s="1"/>
  <c r="I599" s="1"/>
  <c r="K4049" i="132" s="1"/>
  <c r="M4049" s="1"/>
  <c r="F1847" i="214"/>
  <c r="G1847" s="1"/>
  <c r="F1857"/>
  <c r="G1857" s="1"/>
  <c r="F1916"/>
  <c r="F1973"/>
  <c r="G1973" s="1"/>
  <c r="F2000"/>
  <c r="F2063"/>
  <c r="G2063" s="1"/>
  <c r="F2372"/>
  <c r="G2372" s="1"/>
  <c r="F2422"/>
  <c r="F2537"/>
  <c r="F2571"/>
  <c r="G2571" s="1"/>
  <c r="F2605"/>
  <c r="G2605" s="1"/>
  <c r="F1842"/>
  <c r="G1842" s="1"/>
  <c r="F1852"/>
  <c r="G1852" s="1"/>
  <c r="F1862"/>
  <c r="G1862" s="1"/>
  <c r="F1943"/>
  <c r="G1943" s="1"/>
  <c r="F2187"/>
  <c r="G2187" s="1"/>
  <c r="F2197"/>
  <c r="G2197" s="1"/>
  <c r="F2214"/>
  <c r="G2214" s="1"/>
  <c r="F2231"/>
  <c r="G2231" s="1"/>
  <c r="F2330"/>
  <c r="F2499"/>
  <c r="F2520"/>
  <c r="F2556"/>
  <c r="F2581"/>
  <c r="M207" i="132"/>
  <c r="H880" i="216"/>
  <c r="G368"/>
  <c r="H368" s="1"/>
  <c r="G366"/>
  <c r="H366" s="1"/>
  <c r="G364"/>
  <c r="H364" s="1"/>
  <c r="H344"/>
  <c r="H306"/>
  <c r="H267"/>
  <c r="G3083" i="214"/>
  <c r="G3084" s="1"/>
  <c r="G3085" s="1"/>
  <c r="S147" i="211"/>
  <c r="H607" i="216"/>
  <c r="H699"/>
  <c r="H700" s="1"/>
  <c r="H934"/>
  <c r="H935" s="1"/>
  <c r="S102" i="211"/>
  <c r="F1256" i="214"/>
  <c r="E1257" s="1"/>
  <c r="F16" i="250"/>
  <c r="L101" i="211"/>
  <c r="L147"/>
  <c r="I101"/>
  <c r="I146"/>
  <c r="E38" i="195"/>
  <c r="C662"/>
  <c r="I662" s="1"/>
  <c r="G667" i="140"/>
  <c r="G87"/>
  <c r="G112"/>
  <c r="I147" i="211"/>
  <c r="G108" i="140"/>
  <c r="H417" i="216"/>
  <c r="F418" s="1"/>
  <c r="H340"/>
  <c r="F343" s="1"/>
  <c r="H343" s="1"/>
  <c r="H302"/>
  <c r="F305" s="1"/>
  <c r="H305" s="1"/>
  <c r="I217" i="140"/>
  <c r="J217" s="1"/>
  <c r="O217" s="1"/>
  <c r="E207" i="195"/>
  <c r="F207" s="1"/>
  <c r="J207" s="1"/>
  <c r="I208" i="140"/>
  <c r="J208" s="1"/>
  <c r="O208" s="1"/>
  <c r="E198" i="195"/>
  <c r="F198" s="1"/>
  <c r="J198" s="1"/>
  <c r="I209" i="140"/>
  <c r="J209" s="1"/>
  <c r="O209" s="1"/>
  <c r="E199" i="195"/>
  <c r="F199" s="1"/>
  <c r="J199" s="1"/>
  <c r="E39"/>
  <c r="I41" i="140"/>
  <c r="J41" s="1"/>
  <c r="O41" s="1"/>
  <c r="I14"/>
  <c r="F11" i="139"/>
  <c r="G11" s="1"/>
  <c r="E9" i="195"/>
  <c r="F10" i="139"/>
  <c r="G10" s="1"/>
  <c r="I216" i="140"/>
  <c r="J216" s="1"/>
  <c r="O216" s="1"/>
  <c r="E206" i="195"/>
  <c r="F206" s="1"/>
  <c r="J206" s="1"/>
  <c r="E210"/>
  <c r="F210" s="1"/>
  <c r="J210" s="1"/>
  <c r="I184" i="140"/>
  <c r="J184" s="1"/>
  <c r="O184" s="1"/>
  <c r="E211" i="195"/>
  <c r="F211" s="1"/>
  <c r="J211" s="1"/>
  <c r="I185" i="140"/>
  <c r="J185" s="1"/>
  <c r="O185" s="1"/>
  <c r="G2178" i="214"/>
  <c r="G2179" s="1"/>
  <c r="G2166"/>
  <c r="G2167" s="1"/>
  <c r="G2168" s="1"/>
  <c r="I18" i="132"/>
  <c r="I19" s="1"/>
  <c r="C13" i="195"/>
  <c r="I13" s="1"/>
  <c r="C11" i="196" s="1"/>
  <c r="F11" s="1"/>
  <c r="I178" i="195"/>
  <c r="C164" i="196" s="1"/>
  <c r="I142" i="195"/>
  <c r="C128" i="196" s="1"/>
  <c r="I138" i="195"/>
  <c r="C124" i="196" s="1"/>
  <c r="C14" i="195"/>
  <c r="I14" s="1"/>
  <c r="C12" i="196" s="1"/>
  <c r="F12" s="1"/>
  <c r="G15" i="140"/>
  <c r="J15" s="1"/>
  <c r="O15" s="1"/>
  <c r="I190" i="195"/>
  <c r="I525"/>
  <c r="I597"/>
  <c r="I195"/>
  <c r="I28" i="196"/>
  <c r="O28"/>
  <c r="L28"/>
  <c r="T60" i="211"/>
  <c r="T61" s="1"/>
  <c r="L146"/>
  <c r="T66"/>
  <c r="T67" s="1"/>
  <c r="T58"/>
  <c r="E13" i="250"/>
  <c r="E14" s="1"/>
  <c r="F14" s="1"/>
  <c r="L14" s="1"/>
  <c r="L102" i="211"/>
  <c r="F10" i="195"/>
  <c r="J10" s="1"/>
  <c r="H8" i="196" s="1"/>
  <c r="M2383" i="132"/>
  <c r="M2388"/>
  <c r="Q32" i="196"/>
  <c r="I32" s="1"/>
  <c r="Q36"/>
  <c r="Q40"/>
  <c r="Q44"/>
  <c r="Q68"/>
  <c r="Q72" s="1"/>
  <c r="Q76"/>
  <c r="T81" i="211"/>
  <c r="T59"/>
  <c r="T57"/>
  <c r="Q49" i="196"/>
  <c r="Q53"/>
  <c r="Q57" s="1"/>
  <c r="Q61" s="1"/>
  <c r="Q65" s="1"/>
  <c r="E106" i="211"/>
  <c r="E109"/>
  <c r="E159"/>
  <c r="E161"/>
  <c r="E114"/>
  <c r="E121"/>
  <c r="E119"/>
  <c r="E163"/>
  <c r="E122"/>
  <c r="E111"/>
  <c r="E151"/>
  <c r="E128"/>
  <c r="E172"/>
  <c r="E130"/>
  <c r="E129"/>
  <c r="E178"/>
  <c r="E177"/>
  <c r="E176"/>
  <c r="E180"/>
  <c r="E133"/>
  <c r="E134"/>
  <c r="E150"/>
  <c r="E105"/>
  <c r="E156"/>
  <c r="E116"/>
  <c r="E118"/>
  <c r="E167"/>
  <c r="E166"/>
  <c r="E164"/>
  <c r="E123"/>
  <c r="E127"/>
  <c r="E168"/>
  <c r="E154"/>
  <c r="E110"/>
  <c r="E173"/>
  <c r="E175"/>
  <c r="E174"/>
  <c r="E132"/>
  <c r="E131"/>
  <c r="E179"/>
  <c r="E135"/>
  <c r="D105"/>
  <c r="D107"/>
  <c r="D110"/>
  <c r="D112"/>
  <c r="D113"/>
  <c r="D161"/>
  <c r="D156"/>
  <c r="D154"/>
  <c r="D122"/>
  <c r="D120"/>
  <c r="D116"/>
  <c r="D124"/>
  <c r="D168"/>
  <c r="D121"/>
  <c r="D119"/>
  <c r="D118"/>
  <c r="D129"/>
  <c r="D128"/>
  <c r="D127"/>
  <c r="D126"/>
  <c r="D175"/>
  <c r="D133"/>
  <c r="D132"/>
  <c r="D131"/>
  <c r="D134"/>
  <c r="D135"/>
  <c r="D150"/>
  <c r="D109"/>
  <c r="D111"/>
  <c r="D158"/>
  <c r="D162"/>
  <c r="D157"/>
  <c r="D155"/>
  <c r="D152"/>
  <c r="D123"/>
  <c r="D117"/>
  <c r="F117" s="1"/>
  <c r="D169"/>
  <c r="D167"/>
  <c r="D166"/>
  <c r="D164"/>
  <c r="D163"/>
  <c r="D165"/>
  <c r="D174"/>
  <c r="D173"/>
  <c r="D172"/>
  <c r="D171"/>
  <c r="D177"/>
  <c r="D178"/>
  <c r="D130"/>
  <c r="D176"/>
  <c r="D179"/>
  <c r="D180"/>
  <c r="C31" i="195"/>
  <c r="C143" i="211"/>
  <c r="F143" s="1"/>
  <c r="R143" s="1"/>
  <c r="R183" s="1"/>
  <c r="C26" i="195"/>
  <c r="C97" i="211"/>
  <c r="F97" s="1"/>
  <c r="P97" s="1"/>
  <c r="P138" s="1"/>
  <c r="C34" i="195"/>
  <c r="C96" i="211"/>
  <c r="F96" s="1"/>
  <c r="O96" s="1"/>
  <c r="O138" s="1"/>
  <c r="C23" i="165" s="1"/>
  <c r="C51" i="195"/>
  <c r="C148" i="211"/>
  <c r="F148" s="1"/>
  <c r="C35" i="195"/>
  <c r="C141" i="211"/>
  <c r="F141" s="1"/>
  <c r="O141" s="1"/>
  <c r="O183" s="1"/>
  <c r="C24" i="165" s="1"/>
  <c r="C55" i="195"/>
  <c r="C149" i="211"/>
  <c r="F149" s="1"/>
  <c r="C70" i="195"/>
  <c r="C108" i="211"/>
  <c r="F108" s="1"/>
  <c r="C151"/>
  <c r="F151" s="1"/>
  <c r="C67" i="195"/>
  <c r="C78"/>
  <c r="C110" i="211"/>
  <c r="C54" i="195"/>
  <c r="C104" i="211"/>
  <c r="F104" s="1"/>
  <c r="C62" i="195"/>
  <c r="C107" i="211"/>
  <c r="C156"/>
  <c r="C83" i="195"/>
  <c r="C87"/>
  <c r="C157" i="211"/>
  <c r="C154"/>
  <c r="F154" s="1"/>
  <c r="C75" i="195"/>
  <c r="C103"/>
  <c r="C160" i="211"/>
  <c r="F160" s="1"/>
  <c r="C106" i="195"/>
  <c r="C116" i="211"/>
  <c r="C86" i="195"/>
  <c r="C112" i="211"/>
  <c r="C161"/>
  <c r="C107" i="195"/>
  <c r="C165" i="211"/>
  <c r="C123" i="195"/>
  <c r="C127"/>
  <c r="C166" i="211"/>
  <c r="C114" i="195"/>
  <c r="C118" i="211"/>
  <c r="C119" i="195"/>
  <c r="C164" i="211"/>
  <c r="C122"/>
  <c r="C124"/>
  <c r="C98" i="195"/>
  <c r="C126" i="211"/>
  <c r="C125"/>
  <c r="C123"/>
  <c r="C127"/>
  <c r="C129"/>
  <c r="C128"/>
  <c r="C131"/>
  <c r="C176"/>
  <c r="C132"/>
  <c r="C133"/>
  <c r="M1924" i="132"/>
  <c r="C180" i="211"/>
  <c r="C179"/>
  <c r="C181"/>
  <c r="F181" s="1"/>
  <c r="M2362" i="132"/>
  <c r="M2339"/>
  <c r="C27" i="195"/>
  <c r="C142" i="211"/>
  <c r="F142" s="1"/>
  <c r="P142" s="1"/>
  <c r="P183" s="1"/>
  <c r="C30" i="195"/>
  <c r="C98" i="211"/>
  <c r="F98" s="1"/>
  <c r="R98" s="1"/>
  <c r="R138" s="1"/>
  <c r="M311" i="132"/>
  <c r="C38" i="195"/>
  <c r="C103" i="211"/>
  <c r="F103" s="1"/>
  <c r="C50" i="195"/>
  <c r="M318" i="132"/>
  <c r="C39" i="195"/>
  <c r="C63"/>
  <c r="C152" i="211"/>
  <c r="F152" s="1"/>
  <c r="C71" i="195"/>
  <c r="C153" i="211"/>
  <c r="F153" s="1"/>
  <c r="C79" i="195"/>
  <c r="C155" i="211"/>
  <c r="C74" i="195"/>
  <c r="C109" i="211"/>
  <c r="C66" i="195"/>
  <c r="C106" i="211"/>
  <c r="F106" s="1"/>
  <c r="C90" i="195"/>
  <c r="C113" i="211"/>
  <c r="C82" i="195"/>
  <c r="C111" i="211"/>
  <c r="C115"/>
  <c r="F115" s="1"/>
  <c r="C102" i="195"/>
  <c r="C158" i="211"/>
  <c r="C91" i="195"/>
  <c r="C114" i="211"/>
  <c r="C94" i="195"/>
  <c r="C111"/>
  <c r="C162" i="211"/>
  <c r="C163"/>
  <c r="C115" i="195"/>
  <c r="C126"/>
  <c r="C121" i="211"/>
  <c r="C122" i="195"/>
  <c r="C120" i="211"/>
  <c r="F120" s="1"/>
  <c r="C119"/>
  <c r="C118" i="195"/>
  <c r="C168" i="211"/>
  <c r="C167"/>
  <c r="F167" s="1"/>
  <c r="N167" s="1"/>
  <c r="C169"/>
  <c r="C171"/>
  <c r="F171" s="1"/>
  <c r="C99" i="195"/>
  <c r="C170" i="211"/>
  <c r="C173"/>
  <c r="C172"/>
  <c r="C174"/>
  <c r="C130"/>
  <c r="C177"/>
  <c r="C175"/>
  <c r="C178"/>
  <c r="M1917" i="132"/>
  <c r="C135" i="211"/>
  <c r="C134"/>
  <c r="C136"/>
  <c r="F136" s="1"/>
  <c r="M2344" i="132"/>
  <c r="I24" i="196"/>
  <c r="M24"/>
  <c r="O24"/>
  <c r="C19" i="195"/>
  <c r="C23"/>
  <c r="C18"/>
  <c r="C58"/>
  <c r="C59"/>
  <c r="C100" i="211"/>
  <c r="F100" s="1"/>
  <c r="H100" s="1"/>
  <c r="H549" i="216"/>
  <c r="H550" s="1"/>
  <c r="G568"/>
  <c r="H568" s="1"/>
  <c r="H569" s="1"/>
  <c r="H446"/>
  <c r="H452" s="1"/>
  <c r="H453" s="1"/>
  <c r="H428"/>
  <c r="H420"/>
  <c r="H419"/>
  <c r="H409"/>
  <c r="H398"/>
  <c r="F399" s="1"/>
  <c r="H390"/>
  <c r="H382"/>
  <c r="H359"/>
  <c r="F362" s="1"/>
  <c r="H362" s="1"/>
  <c r="H352"/>
  <c r="H321"/>
  <c r="F324" s="1"/>
  <c r="H324" s="1"/>
  <c r="H251"/>
  <c r="G216" i="218"/>
  <c r="G218" s="1"/>
  <c r="I713" i="215"/>
  <c r="I714" s="1"/>
  <c r="I997"/>
  <c r="I998" s="1"/>
  <c r="F2677" i="214"/>
  <c r="F2679" s="1"/>
  <c r="F2680" s="1"/>
  <c r="K1429" i="192" s="1"/>
  <c r="E2677" i="214"/>
  <c r="E2679" s="1"/>
  <c r="E2680" s="1"/>
  <c r="K2207" i="132" s="1"/>
  <c r="G2677" i="214"/>
  <c r="G2679" s="1"/>
  <c r="G2680" s="1"/>
  <c r="K891" i="194" s="1"/>
  <c r="F2691" i="214"/>
  <c r="F2693" s="1"/>
  <c r="F2694" s="1"/>
  <c r="K1500" i="192" s="1"/>
  <c r="E2691" i="214"/>
  <c r="E2693" s="1"/>
  <c r="E2694" s="1"/>
  <c r="K2292" i="132" s="1"/>
  <c r="G2691" i="214"/>
  <c r="G2693" s="1"/>
  <c r="G2694" s="1"/>
  <c r="K921" i="194" s="1"/>
  <c r="F2642" i="214"/>
  <c r="E2644"/>
  <c r="E2645" s="1"/>
  <c r="K2054" i="132" s="1"/>
  <c r="F2627" i="214"/>
  <c r="E2629"/>
  <c r="E2630" s="1"/>
  <c r="K1973" i="132" s="1"/>
  <c r="D159" i="211"/>
  <c r="D125"/>
  <c r="E170"/>
  <c r="F2033" i="214"/>
  <c r="G2033"/>
  <c r="G2144"/>
  <c r="E2145"/>
  <c r="G2145" s="1"/>
  <c r="M921" i="194"/>
  <c r="C144" i="211"/>
  <c r="F144" s="1"/>
  <c r="C145"/>
  <c r="F145" s="1"/>
  <c r="C99"/>
  <c r="F99" s="1"/>
  <c r="C105"/>
  <c r="C150"/>
  <c r="D114"/>
  <c r="D170"/>
  <c r="E169"/>
  <c r="E125"/>
  <c r="E124"/>
  <c r="F2950" i="214"/>
  <c r="G2950"/>
  <c r="F3559"/>
  <c r="E3561"/>
  <c r="E3562" s="1"/>
  <c r="K2078" i="132" s="1"/>
  <c r="F3594" i="214"/>
  <c r="F3596" s="1"/>
  <c r="F3597" s="1"/>
  <c r="K1454" i="192" s="1"/>
  <c r="E3594" i="214"/>
  <c r="E3596" s="1"/>
  <c r="E3597" s="1"/>
  <c r="K2240" i="132" s="1"/>
  <c r="G3594" i="214"/>
  <c r="G3596" s="1"/>
  <c r="G3597" s="1"/>
  <c r="K899" i="194" s="1"/>
  <c r="F3544" i="214"/>
  <c r="E3546"/>
  <c r="E3547" s="1"/>
  <c r="K1980" i="132" s="1"/>
  <c r="F3608" i="214"/>
  <c r="F3610" s="1"/>
  <c r="F3611" s="1"/>
  <c r="K1514" i="192" s="1"/>
  <c r="E3608" i="214"/>
  <c r="E3610" s="1"/>
  <c r="E3611" s="1"/>
  <c r="K2317" i="132" s="1"/>
  <c r="G3608" i="214"/>
  <c r="G3610" s="1"/>
  <c r="G3611" s="1"/>
  <c r="K937" i="194" s="1"/>
  <c r="I520" i="309" s="1"/>
  <c r="F1517" i="214"/>
  <c r="F1242"/>
  <c r="E1243" s="1"/>
  <c r="M891" i="194"/>
  <c r="C890" i="195"/>
  <c r="I890" s="1"/>
  <c r="G900" i="140"/>
  <c r="C878" i="195"/>
  <c r="I878" s="1"/>
  <c r="G888" i="140"/>
  <c r="C858" i="195"/>
  <c r="I858" s="1"/>
  <c r="G868" i="140"/>
  <c r="G880"/>
  <c r="C866" i="195"/>
  <c r="I866" s="1"/>
  <c r="C838"/>
  <c r="I838" s="1"/>
  <c r="G848" i="140"/>
  <c r="C758" i="195"/>
  <c r="I758" s="1"/>
  <c r="G768" i="140"/>
  <c r="C750" i="195"/>
  <c r="I750" s="1"/>
  <c r="G760" i="140"/>
  <c r="C882" i="195"/>
  <c r="I882" s="1"/>
  <c r="G892" i="140"/>
  <c r="C874" i="195"/>
  <c r="I874" s="1"/>
  <c r="G884" i="140"/>
  <c r="C862" i="195"/>
  <c r="I862" s="1"/>
  <c r="G872" i="140"/>
  <c r="C854" i="195"/>
  <c r="I854" s="1"/>
  <c r="G864" i="140"/>
  <c r="C850" i="195"/>
  <c r="I850" s="1"/>
  <c r="G860" i="140"/>
  <c r="C842" i="195"/>
  <c r="I842" s="1"/>
  <c r="G852" i="140"/>
  <c r="G840"/>
  <c r="C830" i="195"/>
  <c r="I830" s="1"/>
  <c r="C754"/>
  <c r="I754" s="1"/>
  <c r="G764" i="140"/>
  <c r="C746" i="195"/>
  <c r="I746" s="1"/>
  <c r="G756" i="140"/>
  <c r="C738" i="195"/>
  <c r="I738" s="1"/>
  <c r="G748" i="140"/>
  <c r="C870" i="195"/>
  <c r="I870" s="1"/>
  <c r="G876" i="140"/>
  <c r="C846" i="195"/>
  <c r="I846" s="1"/>
  <c r="G856" i="140"/>
  <c r="G752"/>
  <c r="C742" i="195"/>
  <c r="I742" s="1"/>
  <c r="G908" i="140"/>
  <c r="G844"/>
  <c r="G836"/>
  <c r="G828"/>
  <c r="G820"/>
  <c r="G812"/>
  <c r="G804"/>
  <c r="G796"/>
  <c r="G772"/>
  <c r="C894" i="195"/>
  <c r="I894" s="1"/>
  <c r="C810"/>
  <c r="I810" s="1"/>
  <c r="C794"/>
  <c r="I794" s="1"/>
  <c r="C770"/>
  <c r="I770" s="1"/>
  <c r="C766"/>
  <c r="I766" s="1"/>
  <c r="G832" i="140"/>
  <c r="G816"/>
  <c r="G800"/>
  <c r="C721" i="195"/>
  <c r="I721" s="1"/>
  <c r="G730" i="140"/>
  <c r="C713" i="195"/>
  <c r="I713" s="1"/>
  <c r="G722" i="140"/>
  <c r="C653" i="195"/>
  <c r="I653" s="1"/>
  <c r="G658" i="140"/>
  <c r="C733" i="195"/>
  <c r="I733" s="1"/>
  <c r="G742" i="140"/>
  <c r="G734"/>
  <c r="C725" i="195"/>
  <c r="I725" s="1"/>
  <c r="G726" i="140"/>
  <c r="C717" i="195"/>
  <c r="I717" s="1"/>
  <c r="C709"/>
  <c r="I709" s="1"/>
  <c r="G718" i="140"/>
  <c r="C657" i="195"/>
  <c r="I657" s="1"/>
  <c r="G662" i="140"/>
  <c r="C649" i="195"/>
  <c r="I649" s="1"/>
  <c r="G654" i="140"/>
  <c r="C729" i="195"/>
  <c r="I729" s="1"/>
  <c r="G738" i="140"/>
  <c r="G714"/>
  <c r="G706"/>
  <c r="G698"/>
  <c r="G687"/>
  <c r="G679"/>
  <c r="G671"/>
  <c r="G646"/>
  <c r="G637"/>
  <c r="G629"/>
  <c r="C693" i="195"/>
  <c r="I693" s="1"/>
  <c r="C677"/>
  <c r="I677" s="1"/>
  <c r="C629"/>
  <c r="I629" s="1"/>
  <c r="C621"/>
  <c r="I621" s="1"/>
  <c r="G710" i="140"/>
  <c r="G692"/>
  <c r="G675"/>
  <c r="G650"/>
  <c r="C544" i="195"/>
  <c r="I544" s="1"/>
  <c r="G543" i="140"/>
  <c r="C536" i="195"/>
  <c r="I536" s="1"/>
  <c r="G535" i="140"/>
  <c r="C524" i="195"/>
  <c r="I524" s="1"/>
  <c r="G527" i="140"/>
  <c r="C616" i="195"/>
  <c r="I616" s="1"/>
  <c r="G620" i="140"/>
  <c r="G612"/>
  <c r="C608" i="195"/>
  <c r="I608" s="1"/>
  <c r="G539" i="140"/>
  <c r="C540" i="195"/>
  <c r="I540" s="1"/>
  <c r="C532"/>
  <c r="I532" s="1"/>
  <c r="G531" i="140"/>
  <c r="G547"/>
  <c r="C548" i="195"/>
  <c r="I548" s="1"/>
  <c r="G616" i="140"/>
  <c r="C612" i="195"/>
  <c r="I612" s="1"/>
  <c r="C528"/>
  <c r="I528" s="1"/>
  <c r="G551" i="140"/>
  <c r="G592"/>
  <c r="G584"/>
  <c r="G576"/>
  <c r="G567"/>
  <c r="G559"/>
  <c r="C584" i="195"/>
  <c r="I584" s="1"/>
  <c r="C560"/>
  <c r="I560" s="1"/>
  <c r="G608" i="140"/>
  <c r="G604"/>
  <c r="G596"/>
  <c r="G580"/>
  <c r="C495" i="195"/>
  <c r="I495" s="1"/>
  <c r="E159" i="196" s="1"/>
  <c r="G506" i="140"/>
  <c r="I227"/>
  <c r="I219"/>
  <c r="I211"/>
  <c r="I10"/>
  <c r="E229" i="195"/>
  <c r="F229" s="1"/>
  <c r="J229" s="1"/>
  <c r="E221"/>
  <c r="F221" s="1"/>
  <c r="J221" s="1"/>
  <c r="E13"/>
  <c r="G522" i="140"/>
  <c r="C519" i="195"/>
  <c r="I519" s="1"/>
  <c r="E171" i="196" s="1"/>
  <c r="E81" i="211"/>
  <c r="E58"/>
  <c r="C463" i="195"/>
  <c r="I463" s="1"/>
  <c r="E75" i="196" s="1"/>
  <c r="C427" i="195"/>
  <c r="I427" s="1"/>
  <c r="E95" i="196" s="1"/>
  <c r="C415" i="195"/>
  <c r="I415" s="1"/>
  <c r="E71" i="196" s="1"/>
  <c r="E89" i="211"/>
  <c r="E68"/>
  <c r="E67"/>
  <c r="E63"/>
  <c r="E62"/>
  <c r="G498" i="140"/>
  <c r="G422"/>
  <c r="G398"/>
  <c r="G386"/>
  <c r="C254" i="195"/>
  <c r="I254" s="1"/>
  <c r="D47" i="196" s="1"/>
  <c r="C378" i="195"/>
  <c r="I378" s="1"/>
  <c r="D171" i="196" s="1"/>
  <c r="G381" i="140"/>
  <c r="D58" i="211"/>
  <c r="C250" i="195"/>
  <c r="I250" s="1"/>
  <c r="D55" i="196" s="1"/>
  <c r="C238" i="195"/>
  <c r="I238" s="1"/>
  <c r="D35" i="196" s="1"/>
  <c r="D63" i="211"/>
  <c r="D61"/>
  <c r="C57"/>
  <c r="F57" s="1"/>
  <c r="C56"/>
  <c r="F56" s="1"/>
  <c r="I56" s="1"/>
  <c r="G235" i="140"/>
  <c r="G231"/>
  <c r="G227"/>
  <c r="G223"/>
  <c r="G211"/>
  <c r="G207"/>
  <c r="G47"/>
  <c r="G43"/>
  <c r="G14"/>
  <c r="L16" i="250"/>
  <c r="F2834" i="214" s="1"/>
  <c r="L9" i="250"/>
  <c r="L12"/>
  <c r="D42" i="165" s="1"/>
  <c r="F49" i="139" s="1"/>
  <c r="L15" i="250"/>
  <c r="L10" i="240"/>
  <c r="L15"/>
  <c r="L23"/>
  <c r="F2580" i="214" s="1"/>
  <c r="G2580" s="1"/>
  <c r="L24" i="240"/>
  <c r="F1897" i="214" s="1"/>
  <c r="G1897" s="1"/>
  <c r="G1898" s="1"/>
  <c r="G1899" s="1"/>
  <c r="K201" i="132" s="1"/>
  <c r="L25" i="240"/>
  <c r="F1905" i="214" s="1"/>
  <c r="G1905" s="1"/>
  <c r="G1906" s="1"/>
  <c r="G1907" s="1"/>
  <c r="K225" i="132" s="1"/>
  <c r="I31" i="309" s="1"/>
  <c r="E14" i="240"/>
  <c r="F14" s="1"/>
  <c r="L14" s="1"/>
  <c r="F13"/>
  <c r="L13" s="1"/>
  <c r="D55" i="165" s="1"/>
  <c r="F60" i="139" s="1"/>
  <c r="E18" i="240"/>
  <c r="F17"/>
  <c r="L17" s="1"/>
  <c r="E1867" i="214" s="1"/>
  <c r="F1867" s="1"/>
  <c r="I9" i="240"/>
  <c r="L9" s="1"/>
  <c r="F12"/>
  <c r="L12" s="1"/>
  <c r="D41" i="165" s="1"/>
  <c r="F48" i="139" s="1"/>
  <c r="F16" i="240"/>
  <c r="L16" s="1"/>
  <c r="F1917" i="214" s="1"/>
  <c r="E18" i="250"/>
  <c r="F17"/>
  <c r="L17" s="1"/>
  <c r="E2784" i="214" s="1"/>
  <c r="F2784" s="1"/>
  <c r="L10" i="250"/>
  <c r="F13"/>
  <c r="L13" s="1"/>
  <c r="D56" i="165" s="1"/>
  <c r="F61" i="139" s="1"/>
  <c r="Q75" i="196"/>
  <c r="Q67"/>
  <c r="Q71" s="1"/>
  <c r="Q43"/>
  <c r="Q47" s="1"/>
  <c r="Q35"/>
  <c r="Q39"/>
  <c r="I31"/>
  <c r="O31"/>
  <c r="L31"/>
  <c r="I27"/>
  <c r="O27"/>
  <c r="L27"/>
  <c r="F1575" i="214"/>
  <c r="H563" i="215"/>
  <c r="I563" s="1"/>
  <c r="I565" s="1"/>
  <c r="F1498" i="214"/>
  <c r="F1427"/>
  <c r="G252" i="218"/>
  <c r="G254" s="1"/>
  <c r="G255" s="1"/>
  <c r="G172"/>
  <c r="G174" s="1"/>
  <c r="G158"/>
  <c r="G160" s="1"/>
  <c r="H418" i="216"/>
  <c r="H399"/>
  <c r="H381"/>
  <c r="H363"/>
  <c r="H325"/>
  <c r="H250"/>
  <c r="H441"/>
  <c r="H278"/>
  <c r="F1837" i="214"/>
  <c r="G1837" s="1"/>
  <c r="F1835"/>
  <c r="G1835" s="1"/>
  <c r="G463" i="216"/>
  <c r="H463" s="1"/>
  <c r="G462"/>
  <c r="H462" s="1"/>
  <c r="G461"/>
  <c r="H461" s="1"/>
  <c r="G460"/>
  <c r="H460" s="1"/>
  <c r="G459"/>
  <c r="H459" s="1"/>
  <c r="G458"/>
  <c r="H458" s="1"/>
  <c r="G371"/>
  <c r="H371" s="1"/>
  <c r="G333"/>
  <c r="H333" s="1"/>
  <c r="F1557" i="214"/>
  <c r="F1447"/>
  <c r="F1407"/>
  <c r="F1375"/>
  <c r="F1536"/>
  <c r="G1201"/>
  <c r="G1074"/>
  <c r="H334" i="215"/>
  <c r="I334" s="1"/>
  <c r="I335" s="1"/>
  <c r="I546"/>
  <c r="I525"/>
  <c r="I499"/>
  <c r="I490"/>
  <c r="I418"/>
  <c r="I299"/>
  <c r="I300" s="1"/>
  <c r="I512"/>
  <c r="I401"/>
  <c r="I392"/>
  <c r="I393" s="1"/>
  <c r="I379"/>
  <c r="I380" s="1"/>
  <c r="I358"/>
  <c r="I536"/>
  <c r="I506"/>
  <c r="I478"/>
  <c r="I468"/>
  <c r="I469" s="1"/>
  <c r="I457"/>
  <c r="I458" s="1"/>
  <c r="I447"/>
  <c r="I448" s="1"/>
  <c r="I437"/>
  <c r="I438" s="1"/>
  <c r="I427"/>
  <c r="I428" s="1"/>
  <c r="I517"/>
  <c r="I410"/>
  <c r="H337"/>
  <c r="I337" s="1"/>
  <c r="I339" s="1"/>
  <c r="F1676" i="214"/>
  <c r="G1676"/>
  <c r="G1359"/>
  <c r="F1359"/>
  <c r="G1405"/>
  <c r="F1391"/>
  <c r="G1373"/>
  <c r="G1357"/>
  <c r="G1290"/>
  <c r="F1166"/>
  <c r="G1165"/>
  <c r="G1122"/>
  <c r="G1095"/>
  <c r="G1068"/>
  <c r="G1683"/>
  <c r="K1910" i="132" s="1"/>
  <c r="F1309" i="214"/>
  <c r="F1201"/>
  <c r="G995"/>
  <c r="G996" s="1"/>
  <c r="K304" i="132" s="1"/>
  <c r="G1786" i="214"/>
  <c r="G1793" s="1"/>
  <c r="G1794" s="1"/>
  <c r="K2333" i="132" s="1"/>
  <c r="G1746" i="214"/>
  <c r="G1747" s="1"/>
  <c r="G1748" s="1"/>
  <c r="F1765" s="1"/>
  <c r="G1765" s="1"/>
  <c r="G1772" s="1"/>
  <c r="G1761"/>
  <c r="F1761"/>
  <c r="F1707"/>
  <c r="G1707" s="1"/>
  <c r="G1708" s="1"/>
  <c r="E1710" s="1"/>
  <c r="F1726"/>
  <c r="G1726" s="1"/>
  <c r="G1575"/>
  <c r="G1557"/>
  <c r="G1775"/>
  <c r="F1775"/>
  <c r="G1736"/>
  <c r="G1737" s="1"/>
  <c r="G1738" s="1"/>
  <c r="F1751" s="1"/>
  <c r="G1751" s="1"/>
  <c r="G1758" s="1"/>
  <c r="F1722"/>
  <c r="G1722" s="1"/>
  <c r="G1723" s="1"/>
  <c r="E1725" s="1"/>
  <c r="G1711"/>
  <c r="F1711"/>
  <c r="G1697"/>
  <c r="F1697"/>
  <c r="G1648"/>
  <c r="F1648"/>
  <c r="G1631"/>
  <c r="F1631"/>
  <c r="G1613"/>
  <c r="F1613"/>
  <c r="G1595"/>
  <c r="F1595"/>
  <c r="G1805"/>
  <c r="K2378" i="132" s="1"/>
  <c r="I207" i="309" s="1"/>
  <c r="F1292" i="214"/>
  <c r="G1243"/>
  <c r="E1244"/>
  <c r="G1244" s="1"/>
  <c r="E1227"/>
  <c r="G1160"/>
  <c r="F1167"/>
  <c r="F1160"/>
  <c r="G1344"/>
  <c r="F1326"/>
  <c r="G1326"/>
  <c r="E1258"/>
  <c r="G1258" s="1"/>
  <c r="G1257"/>
  <c r="F1097"/>
  <c r="F1111"/>
  <c r="G1097"/>
  <c r="F1104"/>
  <c r="F1131"/>
  <c r="F1070"/>
  <c r="F1076"/>
  <c r="G1070"/>
  <c r="G1076"/>
  <c r="G1536"/>
  <c r="G1483"/>
  <c r="F1468"/>
  <c r="G1407"/>
  <c r="G1375"/>
  <c r="G1237"/>
  <c r="M2398" i="132"/>
  <c r="M2418"/>
  <c r="M2438"/>
  <c r="M2458"/>
  <c r="G1517" i="214"/>
  <c r="G1498"/>
  <c r="F1483"/>
  <c r="G1389"/>
  <c r="G1391"/>
  <c r="G1266"/>
  <c r="E1116"/>
  <c r="M56" i="132"/>
  <c r="I28" i="140" l="1"/>
  <c r="J28" s="1"/>
  <c r="O28" s="1"/>
  <c r="E27" i="195"/>
  <c r="H410" i="216"/>
  <c r="F165" i="211"/>
  <c r="F219" i="195"/>
  <c r="J219" s="1"/>
  <c r="F854" i="305"/>
  <c r="G854" s="1"/>
  <c r="H312" i="216"/>
  <c r="G331"/>
  <c r="H331" s="1"/>
  <c r="H308"/>
  <c r="G327"/>
  <c r="H327" s="1"/>
  <c r="H334" s="1"/>
  <c r="K2961" i="132"/>
  <c r="M2961" s="1"/>
  <c r="S87" i="310"/>
  <c r="M87"/>
  <c r="M86"/>
  <c r="S86"/>
  <c r="I784" i="140"/>
  <c r="J784" s="1"/>
  <c r="O784" s="1"/>
  <c r="F753" i="305"/>
  <c r="J753" s="1"/>
  <c r="E776" i="195"/>
  <c r="F776" s="1"/>
  <c r="J776" s="1"/>
  <c r="F803" i="305"/>
  <c r="G803" s="1"/>
  <c r="E864" i="195"/>
  <c r="F864" s="1"/>
  <c r="J864" s="1"/>
  <c r="F787" i="305"/>
  <c r="G787" s="1"/>
  <c r="S183" i="310"/>
  <c r="I183"/>
  <c r="I184" s="1"/>
  <c r="I186" s="1"/>
  <c r="L183"/>
  <c r="L184" s="1"/>
  <c r="L186" s="1"/>
  <c r="F662" i="195"/>
  <c r="J662" s="1"/>
  <c r="E876"/>
  <c r="F876" s="1"/>
  <c r="J876" s="1"/>
  <c r="F821" i="305"/>
  <c r="J821" s="1"/>
  <c r="F879"/>
  <c r="G879" s="1"/>
  <c r="E842" i="195"/>
  <c r="F842" s="1"/>
  <c r="J842" s="1"/>
  <c r="I809" i="140"/>
  <c r="J809" s="1"/>
  <c r="O809" s="1"/>
  <c r="I756"/>
  <c r="J756" s="1"/>
  <c r="O756" s="1"/>
  <c r="E602" i="195"/>
  <c r="F602" s="1"/>
  <c r="J602" s="1"/>
  <c r="E667"/>
  <c r="F667" s="1"/>
  <c r="J667" s="1"/>
  <c r="E896"/>
  <c r="F896" s="1"/>
  <c r="J896" s="1"/>
  <c r="I782" i="140"/>
  <c r="J782" s="1"/>
  <c r="O782" s="1"/>
  <c r="J667"/>
  <c r="O667" s="1"/>
  <c r="F749" i="305"/>
  <c r="G749" s="1"/>
  <c r="F582"/>
  <c r="G582" s="1"/>
  <c r="E895" i="195"/>
  <c r="F895" s="1"/>
  <c r="J895" s="1"/>
  <c r="F777" i="305"/>
  <c r="J777" s="1"/>
  <c r="F885"/>
  <c r="G885" s="1"/>
  <c r="F834"/>
  <c r="G834" s="1"/>
  <c r="F732"/>
  <c r="J732" s="1"/>
  <c r="E878" i="195"/>
  <c r="F878" s="1"/>
  <c r="J878" s="1"/>
  <c r="E526"/>
  <c r="F526" s="1"/>
  <c r="J526" s="1"/>
  <c r="I548" i="140"/>
  <c r="J548" s="1"/>
  <c r="O548" s="1"/>
  <c r="E687" i="195"/>
  <c r="F687" s="1"/>
  <c r="J687" s="1"/>
  <c r="I793" i="140"/>
  <c r="J793" s="1"/>
  <c r="O793" s="1"/>
  <c r="I885"/>
  <c r="J885" s="1"/>
  <c r="O885" s="1"/>
  <c r="I750"/>
  <c r="J750" s="1"/>
  <c r="O750" s="1"/>
  <c r="E859" i="195"/>
  <c r="F859" s="1"/>
  <c r="J859" s="1"/>
  <c r="E887"/>
  <c r="F887" s="1"/>
  <c r="J887" s="1"/>
  <c r="E868"/>
  <c r="F868" s="1"/>
  <c r="J868" s="1"/>
  <c r="F899" i="305"/>
  <c r="G899" s="1"/>
  <c r="F838"/>
  <c r="G838" s="1"/>
  <c r="F761"/>
  <c r="J761" s="1"/>
  <c r="F813"/>
  <c r="J813" s="1"/>
  <c r="F845"/>
  <c r="J845" s="1"/>
  <c r="F871"/>
  <c r="G871" s="1"/>
  <c r="F827"/>
  <c r="G827" s="1"/>
  <c r="F782"/>
  <c r="G782" s="1"/>
  <c r="F843"/>
  <c r="G843" s="1"/>
  <c r="F881"/>
  <c r="G881" s="1"/>
  <c r="F546"/>
  <c r="G546" s="1"/>
  <c r="C69" i="310"/>
  <c r="F69" s="1"/>
  <c r="G95" i="309"/>
  <c r="C95" s="1"/>
  <c r="D94" i="305"/>
  <c r="I545" i="140"/>
  <c r="J545" s="1"/>
  <c r="O545" s="1"/>
  <c r="E589" i="195"/>
  <c r="F589" s="1"/>
  <c r="J589" s="1"/>
  <c r="E561"/>
  <c r="F561" s="1"/>
  <c r="J561" s="1"/>
  <c r="E554"/>
  <c r="F554" s="1"/>
  <c r="J554" s="1"/>
  <c r="E666"/>
  <c r="F666" s="1"/>
  <c r="J666" s="1"/>
  <c r="F771" i="305"/>
  <c r="G771" s="1"/>
  <c r="F604"/>
  <c r="G604" s="1"/>
  <c r="F551"/>
  <c r="G551" s="1"/>
  <c r="F550"/>
  <c r="G550" s="1"/>
  <c r="F623"/>
  <c r="G623" s="1"/>
  <c r="E784" i="195"/>
  <c r="F784" s="1"/>
  <c r="J784" s="1"/>
  <c r="S57" i="211"/>
  <c r="F168"/>
  <c r="N168" s="1"/>
  <c r="F163"/>
  <c r="Q163" s="1"/>
  <c r="F123"/>
  <c r="N123" s="1"/>
  <c r="F166"/>
  <c r="N166" s="1"/>
  <c r="E836" i="195"/>
  <c r="F836" s="1"/>
  <c r="J836" s="1"/>
  <c r="E754"/>
  <c r="F754" s="1"/>
  <c r="J754" s="1"/>
  <c r="E854"/>
  <c r="F854" s="1"/>
  <c r="J854" s="1"/>
  <c r="E882"/>
  <c r="F882" s="1"/>
  <c r="J882" s="1"/>
  <c r="I760" i="140"/>
  <c r="J760" s="1"/>
  <c r="O760" s="1"/>
  <c r="I864"/>
  <c r="J864" s="1"/>
  <c r="O864" s="1"/>
  <c r="E739" i="195"/>
  <c r="F739" s="1"/>
  <c r="J739" s="1"/>
  <c r="E863"/>
  <c r="F863" s="1"/>
  <c r="J863" s="1"/>
  <c r="E780"/>
  <c r="F780" s="1"/>
  <c r="J780" s="1"/>
  <c r="F790" i="305"/>
  <c r="G790" s="1"/>
  <c r="F663"/>
  <c r="G663" s="1"/>
  <c r="E750" i="195"/>
  <c r="F750" s="1"/>
  <c r="J750" s="1"/>
  <c r="I764" i="140"/>
  <c r="J764" s="1"/>
  <c r="O764" s="1"/>
  <c r="I828"/>
  <c r="J828" s="1"/>
  <c r="O828" s="1"/>
  <c r="I892"/>
  <c r="J892" s="1"/>
  <c r="O892" s="1"/>
  <c r="M231" i="132"/>
  <c r="E31" i="195"/>
  <c r="F31" s="1"/>
  <c r="J31" s="1"/>
  <c r="I605" i="140"/>
  <c r="J605" s="1"/>
  <c r="O605" s="1"/>
  <c r="I560"/>
  <c r="J560" s="1"/>
  <c r="O560" s="1"/>
  <c r="E590" i="195"/>
  <c r="F590" s="1"/>
  <c r="J590" s="1"/>
  <c r="E541"/>
  <c r="F541" s="1"/>
  <c r="J541" s="1"/>
  <c r="E542"/>
  <c r="F542" s="1"/>
  <c r="J542" s="1"/>
  <c r="E553"/>
  <c r="F553" s="1"/>
  <c r="J553" s="1"/>
  <c r="I681" i="140"/>
  <c r="J681" s="1"/>
  <c r="O681" s="1"/>
  <c r="E674" i="195"/>
  <c r="F674" s="1"/>
  <c r="J674" s="1"/>
  <c r="E832"/>
  <c r="F832" s="1"/>
  <c r="J832" s="1"/>
  <c r="E871"/>
  <c r="F871" s="1"/>
  <c r="J871" s="1"/>
  <c r="E819"/>
  <c r="F819" s="1"/>
  <c r="J819" s="1"/>
  <c r="E860"/>
  <c r="F860" s="1"/>
  <c r="J860" s="1"/>
  <c r="E839"/>
  <c r="F839" s="1"/>
  <c r="J839" s="1"/>
  <c r="E848"/>
  <c r="F848" s="1"/>
  <c r="J848" s="1"/>
  <c r="E899"/>
  <c r="F899" s="1"/>
  <c r="J899" s="1"/>
  <c r="E791"/>
  <c r="F791" s="1"/>
  <c r="J791" s="1"/>
  <c r="E823"/>
  <c r="F823" s="1"/>
  <c r="J823" s="1"/>
  <c r="E831"/>
  <c r="F831" s="1"/>
  <c r="J831" s="1"/>
  <c r="E792"/>
  <c r="F792" s="1"/>
  <c r="J792" s="1"/>
  <c r="E847"/>
  <c r="F847" s="1"/>
  <c r="J847" s="1"/>
  <c r="E783"/>
  <c r="F783" s="1"/>
  <c r="J783" s="1"/>
  <c r="E867"/>
  <c r="F867" s="1"/>
  <c r="J867" s="1"/>
  <c r="F850" i="305"/>
  <c r="G850" s="1"/>
  <c r="F874"/>
  <c r="G874" s="1"/>
  <c r="F678"/>
  <c r="G678" s="1"/>
  <c r="F696"/>
  <c r="G696" s="1"/>
  <c r="E572" i="195"/>
  <c r="F572" s="1"/>
  <c r="J572" s="1"/>
  <c r="E530"/>
  <c r="F530" s="1"/>
  <c r="J530" s="1"/>
  <c r="E529"/>
  <c r="F529" s="1"/>
  <c r="J529" s="1"/>
  <c r="I898" i="140"/>
  <c r="J898" s="1"/>
  <c r="O898" s="1"/>
  <c r="E796" i="195"/>
  <c r="F796" s="1"/>
  <c r="J796" s="1"/>
  <c r="I813" i="140"/>
  <c r="J813" s="1"/>
  <c r="O813" s="1"/>
  <c r="E767" i="195"/>
  <c r="F767" s="1"/>
  <c r="J767" s="1"/>
  <c r="I845" i="140"/>
  <c r="J845" s="1"/>
  <c r="O845" s="1"/>
  <c r="E872" i="195"/>
  <c r="F872" s="1"/>
  <c r="J872" s="1"/>
  <c r="I834" i="140"/>
  <c r="J834" s="1"/>
  <c r="O834" s="1"/>
  <c r="E775" i="195"/>
  <c r="F775" s="1"/>
  <c r="J775" s="1"/>
  <c r="I850" i="140"/>
  <c r="J850" s="1"/>
  <c r="O850" s="1"/>
  <c r="E900" i="195"/>
  <c r="F900" s="1"/>
  <c r="J900" s="1"/>
  <c r="I814" i="140"/>
  <c r="J814" s="1"/>
  <c r="O814" s="1"/>
  <c r="E768" i="195"/>
  <c r="F768" s="1"/>
  <c r="J768" s="1"/>
  <c r="F783" i="305"/>
  <c r="G783" s="1"/>
  <c r="F862"/>
  <c r="G862" s="1"/>
  <c r="F806"/>
  <c r="G806" s="1"/>
  <c r="F903"/>
  <c r="G903" s="1"/>
  <c r="F817"/>
  <c r="J817" s="1"/>
  <c r="F527"/>
  <c r="J527" s="1"/>
  <c r="F555"/>
  <c r="G555" s="1"/>
  <c r="F543"/>
  <c r="G543" s="1"/>
  <c r="F562"/>
  <c r="G562" s="1"/>
  <c r="F651"/>
  <c r="G651" s="1"/>
  <c r="F712"/>
  <c r="J712" s="1"/>
  <c r="F902"/>
  <c r="G902" s="1"/>
  <c r="F539"/>
  <c r="G539" s="1"/>
  <c r="F526"/>
  <c r="G526" s="1"/>
  <c r="F554"/>
  <c r="G554" s="1"/>
  <c r="F538"/>
  <c r="G538" s="1"/>
  <c r="F570"/>
  <c r="G570" s="1"/>
  <c r="F672"/>
  <c r="G672" s="1"/>
  <c r="F627"/>
  <c r="G627" s="1"/>
  <c r="F728"/>
  <c r="J728" s="1"/>
  <c r="E758" i="195"/>
  <c r="F758" s="1"/>
  <c r="J758" s="1"/>
  <c r="E746"/>
  <c r="F746" s="1"/>
  <c r="J746" s="1"/>
  <c r="E890"/>
  <c r="F890" s="1"/>
  <c r="J890" s="1"/>
  <c r="I768" i="140"/>
  <c r="J768" s="1"/>
  <c r="O768" s="1"/>
  <c r="I824"/>
  <c r="J824" s="1"/>
  <c r="O824" s="1"/>
  <c r="I852"/>
  <c r="J852" s="1"/>
  <c r="O852" s="1"/>
  <c r="I888"/>
  <c r="J888" s="1"/>
  <c r="O888" s="1"/>
  <c r="I900"/>
  <c r="J900" s="1"/>
  <c r="O900" s="1"/>
  <c r="I606"/>
  <c r="J606" s="1"/>
  <c r="O606" s="1"/>
  <c r="E546" i="195"/>
  <c r="F546" s="1"/>
  <c r="J546" s="1"/>
  <c r="I529" i="140"/>
  <c r="J529" s="1"/>
  <c r="O529" s="1"/>
  <c r="I553"/>
  <c r="J553" s="1"/>
  <c r="O553" s="1"/>
  <c r="I593"/>
  <c r="J593" s="1"/>
  <c r="O593" s="1"/>
  <c r="I552"/>
  <c r="J552" s="1"/>
  <c r="O552" s="1"/>
  <c r="I564"/>
  <c r="J564" s="1"/>
  <c r="O564" s="1"/>
  <c r="E549" i="195"/>
  <c r="F549" s="1"/>
  <c r="J549" s="1"/>
  <c r="I557" i="140"/>
  <c r="J557" s="1"/>
  <c r="O557" s="1"/>
  <c r="I673"/>
  <c r="J673" s="1"/>
  <c r="O673" s="1"/>
  <c r="I672"/>
  <c r="J672" s="1"/>
  <c r="O672" s="1"/>
  <c r="I694"/>
  <c r="J694" s="1"/>
  <c r="O694" s="1"/>
  <c r="I790"/>
  <c r="J790" s="1"/>
  <c r="O790" s="1"/>
  <c r="E779" i="195"/>
  <c r="F779" s="1"/>
  <c r="J779" s="1"/>
  <c r="I906" i="140"/>
  <c r="J906" s="1"/>
  <c r="O906" s="1"/>
  <c r="E875" i="195"/>
  <c r="F875" s="1"/>
  <c r="J875" s="1"/>
  <c r="E888"/>
  <c r="F888" s="1"/>
  <c r="J888" s="1"/>
  <c r="I810" i="140"/>
  <c r="J810" s="1"/>
  <c r="O810" s="1"/>
  <c r="E799" i="195"/>
  <c r="F799" s="1"/>
  <c r="J799" s="1"/>
  <c r="I777" i="140"/>
  <c r="J777" s="1"/>
  <c r="O777" s="1"/>
  <c r="E835" i="195"/>
  <c r="F835" s="1"/>
  <c r="J835" s="1"/>
  <c r="I878" i="140"/>
  <c r="J878" s="1"/>
  <c r="O878" s="1"/>
  <c r="E820" i="195"/>
  <c r="F820" s="1"/>
  <c r="J820" s="1"/>
  <c r="I789" i="140"/>
  <c r="J789" s="1"/>
  <c r="O789" s="1"/>
  <c r="E840" i="195"/>
  <c r="F840" s="1"/>
  <c r="J840" s="1"/>
  <c r="E740"/>
  <c r="F740" s="1"/>
  <c r="J740" s="1"/>
  <c r="I869" i="140"/>
  <c r="J869" s="1"/>
  <c r="O869" s="1"/>
  <c r="I910"/>
  <c r="J910" s="1"/>
  <c r="O910" s="1"/>
  <c r="E800" i="195"/>
  <c r="F800" s="1"/>
  <c r="J800" s="1"/>
  <c r="I778" i="140"/>
  <c r="J778" s="1"/>
  <c r="O778" s="1"/>
  <c r="I897"/>
  <c r="J897" s="1"/>
  <c r="O897" s="1"/>
  <c r="E795" i="195"/>
  <c r="F795" s="1"/>
  <c r="J795" s="1"/>
  <c r="I882" i="140"/>
  <c r="J882" s="1"/>
  <c r="O882" s="1"/>
  <c r="E824" i="195"/>
  <c r="F824" s="1"/>
  <c r="J824" s="1"/>
  <c r="F786" i="305"/>
  <c r="G786" s="1"/>
  <c r="F743"/>
  <c r="G743" s="1"/>
  <c r="F891"/>
  <c r="G891" s="1"/>
  <c r="F770"/>
  <c r="G770" s="1"/>
  <c r="F878"/>
  <c r="G878" s="1"/>
  <c r="F807"/>
  <c r="G807" s="1"/>
  <c r="F890"/>
  <c r="G890" s="1"/>
  <c r="F802"/>
  <c r="G802" s="1"/>
  <c r="F875"/>
  <c r="G875" s="1"/>
  <c r="F775"/>
  <c r="G775" s="1"/>
  <c r="F765"/>
  <c r="J765" s="1"/>
  <c r="F893"/>
  <c r="G893" s="1"/>
  <c r="F618"/>
  <c r="G618" s="1"/>
  <c r="F591"/>
  <c r="G591" s="1"/>
  <c r="F531"/>
  <c r="G531" s="1"/>
  <c r="F574"/>
  <c r="G574" s="1"/>
  <c r="F670"/>
  <c r="G670" s="1"/>
  <c r="F669"/>
  <c r="G669" s="1"/>
  <c r="F655"/>
  <c r="G655" s="1"/>
  <c r="F643"/>
  <c r="G643" s="1"/>
  <c r="F635"/>
  <c r="G635" s="1"/>
  <c r="F704"/>
  <c r="J704" s="1"/>
  <c r="F720"/>
  <c r="J720" s="1"/>
  <c r="F684"/>
  <c r="G684" s="1"/>
  <c r="F690"/>
  <c r="G690" s="1"/>
  <c r="F647"/>
  <c r="G647" s="1"/>
  <c r="F692"/>
  <c r="J692" s="1"/>
  <c r="F724"/>
  <c r="J724" s="1"/>
  <c r="E601" i="195"/>
  <c r="F601" s="1"/>
  <c r="J601" s="1"/>
  <c r="E557"/>
  <c r="F557" s="1"/>
  <c r="J557" s="1"/>
  <c r="I594" i="140"/>
  <c r="J594" s="1"/>
  <c r="O594" s="1"/>
  <c r="I540"/>
  <c r="J540" s="1"/>
  <c r="O540" s="1"/>
  <c r="I541"/>
  <c r="J541" s="1"/>
  <c r="O541" s="1"/>
  <c r="I556"/>
  <c r="J556" s="1"/>
  <c r="O556" s="1"/>
  <c r="E675" i="195"/>
  <c r="F675" s="1"/>
  <c r="J675" s="1"/>
  <c r="I680" i="140"/>
  <c r="J680" s="1"/>
  <c r="O680" s="1"/>
  <c r="I842"/>
  <c r="J842" s="1"/>
  <c r="O842" s="1"/>
  <c r="I877"/>
  <c r="J877" s="1"/>
  <c r="O877" s="1"/>
  <c r="I833"/>
  <c r="J833" s="1"/>
  <c r="O833" s="1"/>
  <c r="I870"/>
  <c r="J870" s="1"/>
  <c r="O870" s="1"/>
  <c r="I849"/>
  <c r="J849" s="1"/>
  <c r="O849" s="1"/>
  <c r="I749"/>
  <c r="J749" s="1"/>
  <c r="O749" s="1"/>
  <c r="I858"/>
  <c r="J858" s="1"/>
  <c r="O858" s="1"/>
  <c r="I798"/>
  <c r="J798" s="1"/>
  <c r="O798" s="1"/>
  <c r="I909"/>
  <c r="J909" s="1"/>
  <c r="O909" s="1"/>
  <c r="I873"/>
  <c r="J873" s="1"/>
  <c r="O873" s="1"/>
  <c r="I805"/>
  <c r="J805" s="1"/>
  <c r="O805" s="1"/>
  <c r="I846"/>
  <c r="J846" s="1"/>
  <c r="O846" s="1"/>
  <c r="I781"/>
  <c r="J781" s="1"/>
  <c r="O781" s="1"/>
  <c r="I794"/>
  <c r="J794" s="1"/>
  <c r="O794" s="1"/>
  <c r="I841"/>
  <c r="J841" s="1"/>
  <c r="O841" s="1"/>
  <c r="I886"/>
  <c r="J886" s="1"/>
  <c r="O886" s="1"/>
  <c r="I905"/>
  <c r="J905" s="1"/>
  <c r="O905" s="1"/>
  <c r="I874"/>
  <c r="J874" s="1"/>
  <c r="O874" s="1"/>
  <c r="I806"/>
  <c r="J806" s="1"/>
  <c r="O806" s="1"/>
  <c r="I857"/>
  <c r="J857" s="1"/>
  <c r="O857" s="1"/>
  <c r="I797"/>
  <c r="J797" s="1"/>
  <c r="O797" s="1"/>
  <c r="I881"/>
  <c r="J881" s="1"/>
  <c r="O881" s="1"/>
  <c r="F835" i="305"/>
  <c r="G835" s="1"/>
  <c r="F870"/>
  <c r="G870" s="1"/>
  <c r="F826"/>
  <c r="G826" s="1"/>
  <c r="F863"/>
  <c r="G863" s="1"/>
  <c r="F898"/>
  <c r="G898" s="1"/>
  <c r="F742"/>
  <c r="G742" s="1"/>
  <c r="F851"/>
  <c r="G851" s="1"/>
  <c r="F791"/>
  <c r="G791" s="1"/>
  <c r="F866"/>
  <c r="G866" s="1"/>
  <c r="F798"/>
  <c r="G798" s="1"/>
  <c r="F839"/>
  <c r="G839" s="1"/>
  <c r="F774"/>
  <c r="G774" s="1"/>
  <c r="F842"/>
  <c r="G842" s="1"/>
  <c r="F867"/>
  <c r="G867" s="1"/>
  <c r="F799"/>
  <c r="G799" s="1"/>
  <c r="F757"/>
  <c r="J757" s="1"/>
  <c r="F809"/>
  <c r="J809" s="1"/>
  <c r="F829"/>
  <c r="J829" s="1"/>
  <c r="F857"/>
  <c r="G857" s="1"/>
  <c r="F603"/>
  <c r="G603" s="1"/>
  <c r="F592"/>
  <c r="G592" s="1"/>
  <c r="F563"/>
  <c r="G563" s="1"/>
  <c r="F558"/>
  <c r="G558" s="1"/>
  <c r="F535"/>
  <c r="G535" s="1"/>
  <c r="F578"/>
  <c r="G578" s="1"/>
  <c r="F677"/>
  <c r="G677" s="1"/>
  <c r="F680"/>
  <c r="G680" s="1"/>
  <c r="F659"/>
  <c r="G659" s="1"/>
  <c r="F631"/>
  <c r="G631" s="1"/>
  <c r="F639"/>
  <c r="G639" s="1"/>
  <c r="F700"/>
  <c r="G700" s="1"/>
  <c r="F716"/>
  <c r="J716" s="1"/>
  <c r="F736"/>
  <c r="J736" s="1"/>
  <c r="E613" i="195"/>
  <c r="F613" s="1"/>
  <c r="J613" s="1"/>
  <c r="J861" i="309"/>
  <c r="E861"/>
  <c r="F861" s="1"/>
  <c r="J866"/>
  <c r="E866"/>
  <c r="F866" s="1"/>
  <c r="J830"/>
  <c r="E830"/>
  <c r="F830" s="1"/>
  <c r="J770"/>
  <c r="E770"/>
  <c r="F770" s="1"/>
  <c r="J893"/>
  <c r="E893"/>
  <c r="F893" s="1"/>
  <c r="J829"/>
  <c r="E829"/>
  <c r="F829" s="1"/>
  <c r="J785"/>
  <c r="E785"/>
  <c r="F785" s="1"/>
  <c r="J765"/>
  <c r="E765"/>
  <c r="F765" s="1"/>
  <c r="J894"/>
  <c r="E894"/>
  <c r="F894" s="1"/>
  <c r="J838"/>
  <c r="E838"/>
  <c r="F838" s="1"/>
  <c r="J822"/>
  <c r="E822"/>
  <c r="F822" s="1"/>
  <c r="J774"/>
  <c r="E774"/>
  <c r="F774" s="1"/>
  <c r="J758"/>
  <c r="E758"/>
  <c r="F758" s="1"/>
  <c r="J865"/>
  <c r="E865"/>
  <c r="F865" s="1"/>
  <c r="J837"/>
  <c r="E837"/>
  <c r="F837" s="1"/>
  <c r="J817"/>
  <c r="E817"/>
  <c r="F817" s="1"/>
  <c r="J761"/>
  <c r="E761"/>
  <c r="F761" s="1"/>
  <c r="I878"/>
  <c r="I794"/>
  <c r="I834"/>
  <c r="I841"/>
  <c r="I789"/>
  <c r="I886"/>
  <c r="I850"/>
  <c r="I909"/>
  <c r="I885"/>
  <c r="I849"/>
  <c r="I910"/>
  <c r="I874"/>
  <c r="I814"/>
  <c r="I806"/>
  <c r="I778"/>
  <c r="I873"/>
  <c r="I813"/>
  <c r="I805"/>
  <c r="I777"/>
  <c r="I846"/>
  <c r="I845"/>
  <c r="I781"/>
  <c r="I756"/>
  <c r="I764"/>
  <c r="I772"/>
  <c r="I816"/>
  <c r="I824"/>
  <c r="I836"/>
  <c r="I900"/>
  <c r="I864"/>
  <c r="I888"/>
  <c r="I842"/>
  <c r="I790"/>
  <c r="I877"/>
  <c r="I793"/>
  <c r="I833"/>
  <c r="I906"/>
  <c r="I870"/>
  <c r="I750"/>
  <c r="I905"/>
  <c r="I869"/>
  <c r="I749"/>
  <c r="I898"/>
  <c r="I858"/>
  <c r="I810"/>
  <c r="I798"/>
  <c r="I897"/>
  <c r="I857"/>
  <c r="I809"/>
  <c r="I797"/>
  <c r="I882"/>
  <c r="I881"/>
  <c r="I782"/>
  <c r="I760"/>
  <c r="I768"/>
  <c r="I784"/>
  <c r="I820"/>
  <c r="I828"/>
  <c r="I852"/>
  <c r="I892"/>
  <c r="K3950" i="132"/>
  <c r="M3950" s="1"/>
  <c r="K3905"/>
  <c r="M3905" s="1"/>
  <c r="K3915"/>
  <c r="M3915" s="1"/>
  <c r="K3996"/>
  <c r="M3996" s="1"/>
  <c r="K3935"/>
  <c r="M3935" s="1"/>
  <c r="K3889"/>
  <c r="M3889" s="1"/>
  <c r="K4003"/>
  <c r="M4003" s="1"/>
  <c r="K3960"/>
  <c r="M3960" s="1"/>
  <c r="K3991"/>
  <c r="M3991" s="1"/>
  <c r="K4033"/>
  <c r="M4033" s="1"/>
  <c r="K4341"/>
  <c r="M4341" s="1"/>
  <c r="K3862"/>
  <c r="M3862" s="1"/>
  <c r="K3981"/>
  <c r="M3981" s="1"/>
  <c r="K3895"/>
  <c r="M3895" s="1"/>
  <c r="K3910"/>
  <c r="M3910" s="1"/>
  <c r="K3970"/>
  <c r="M3970" s="1"/>
  <c r="K4028"/>
  <c r="M4028" s="1"/>
  <c r="K3882"/>
  <c r="M3882" s="1"/>
  <c r="K3955"/>
  <c r="M3955" s="1"/>
  <c r="K3825"/>
  <c r="M3825" s="1"/>
  <c r="K3976"/>
  <c r="M3976" s="1"/>
  <c r="K4008"/>
  <c r="M4008" s="1"/>
  <c r="K3867"/>
  <c r="M3867" s="1"/>
  <c r="K4038"/>
  <c r="M4038" s="1"/>
  <c r="K4120"/>
  <c r="M4120" s="1"/>
  <c r="K4270"/>
  <c r="M4270" s="1"/>
  <c r="M4196"/>
  <c r="E851" i="195"/>
  <c r="F851" s="1"/>
  <c r="J851" s="1"/>
  <c r="I861" i="140"/>
  <c r="J861" s="1"/>
  <c r="O861" s="1"/>
  <c r="J890" i="309"/>
  <c r="E890"/>
  <c r="F890" s="1"/>
  <c r="J902"/>
  <c r="E902"/>
  <c r="F902" s="1"/>
  <c r="J818"/>
  <c r="E818"/>
  <c r="F818" s="1"/>
  <c r="J762"/>
  <c r="E762"/>
  <c r="F762" s="1"/>
  <c r="J853"/>
  <c r="E853"/>
  <c r="F853" s="1"/>
  <c r="J821"/>
  <c r="E821"/>
  <c r="F821" s="1"/>
  <c r="J773"/>
  <c r="E773"/>
  <c r="F773" s="1"/>
  <c r="J757"/>
  <c r="E757"/>
  <c r="F757" s="1"/>
  <c r="J854"/>
  <c r="E854"/>
  <c r="F854" s="1"/>
  <c r="J826"/>
  <c r="E826"/>
  <c r="F826" s="1"/>
  <c r="J786"/>
  <c r="E786"/>
  <c r="F786" s="1"/>
  <c r="J766"/>
  <c r="E766"/>
  <c r="F766" s="1"/>
  <c r="J889"/>
  <c r="E889"/>
  <c r="F889" s="1"/>
  <c r="J901"/>
  <c r="E901"/>
  <c r="F901" s="1"/>
  <c r="J825"/>
  <c r="E825"/>
  <c r="F825" s="1"/>
  <c r="J769"/>
  <c r="E769"/>
  <c r="F769" s="1"/>
  <c r="K3253" i="132"/>
  <c r="M3253" s="1"/>
  <c r="K3263"/>
  <c r="M3263" s="1"/>
  <c r="K3279"/>
  <c r="M3279" s="1"/>
  <c r="J740" i="309"/>
  <c r="E740"/>
  <c r="F740" s="1"/>
  <c r="J736"/>
  <c r="E736"/>
  <c r="F736" s="1"/>
  <c r="J704"/>
  <c r="E704"/>
  <c r="F704" s="1"/>
  <c r="J631"/>
  <c r="E631"/>
  <c r="F631" s="1"/>
  <c r="J668"/>
  <c r="E668"/>
  <c r="F668" s="1"/>
  <c r="J677"/>
  <c r="E677"/>
  <c r="F677" s="1"/>
  <c r="J739"/>
  <c r="E739"/>
  <c r="F739" s="1"/>
  <c r="J735"/>
  <c r="E735"/>
  <c r="F735" s="1"/>
  <c r="J703"/>
  <c r="E703"/>
  <c r="F703" s="1"/>
  <c r="J630"/>
  <c r="E630"/>
  <c r="F630" s="1"/>
  <c r="J667"/>
  <c r="E667"/>
  <c r="F667" s="1"/>
  <c r="J676"/>
  <c r="E676"/>
  <c r="F676" s="1"/>
  <c r="J732"/>
  <c r="E732"/>
  <c r="F732" s="1"/>
  <c r="J720"/>
  <c r="E720"/>
  <c r="F720" s="1"/>
  <c r="J708"/>
  <c r="E708"/>
  <c r="F708" s="1"/>
  <c r="J644"/>
  <c r="E644"/>
  <c r="F644" s="1"/>
  <c r="J635"/>
  <c r="E635"/>
  <c r="F635" s="1"/>
  <c r="J664"/>
  <c r="E664"/>
  <c r="F664" s="1"/>
  <c r="J685"/>
  <c r="E685"/>
  <c r="F685" s="1"/>
  <c r="J731"/>
  <c r="E731"/>
  <c r="F731" s="1"/>
  <c r="J719"/>
  <c r="E719"/>
  <c r="F719" s="1"/>
  <c r="J707"/>
  <c r="E707"/>
  <c r="F707" s="1"/>
  <c r="J643"/>
  <c r="E643"/>
  <c r="F643" s="1"/>
  <c r="J634"/>
  <c r="E634"/>
  <c r="F634" s="1"/>
  <c r="J663"/>
  <c r="E663"/>
  <c r="F663" s="1"/>
  <c r="J684"/>
  <c r="E684"/>
  <c r="F684" s="1"/>
  <c r="I680"/>
  <c r="I694"/>
  <c r="I683"/>
  <c r="I654"/>
  <c r="I662"/>
  <c r="I650"/>
  <c r="I633"/>
  <c r="I625"/>
  <c r="I642"/>
  <c r="I698"/>
  <c r="I706"/>
  <c r="I718"/>
  <c r="I722"/>
  <c r="I730"/>
  <c r="I742"/>
  <c r="I673"/>
  <c r="I681"/>
  <c r="I672"/>
  <c r="I675"/>
  <c r="I658"/>
  <c r="I666"/>
  <c r="I646"/>
  <c r="I629"/>
  <c r="I637"/>
  <c r="I702"/>
  <c r="I710"/>
  <c r="I734"/>
  <c r="I726"/>
  <c r="I738"/>
  <c r="I687"/>
  <c r="K3238" i="132"/>
  <c r="M3238" s="1"/>
  <c r="J689" i="309"/>
  <c r="E689"/>
  <c r="F689" s="1"/>
  <c r="J728"/>
  <c r="E728"/>
  <c r="F728" s="1"/>
  <c r="J712"/>
  <c r="E712"/>
  <c r="F712" s="1"/>
  <c r="J639"/>
  <c r="E639"/>
  <c r="F639" s="1"/>
  <c r="J648"/>
  <c r="E648"/>
  <c r="F648" s="1"/>
  <c r="J660"/>
  <c r="E660"/>
  <c r="F660" s="1"/>
  <c r="J688"/>
  <c r="E688"/>
  <c r="F688" s="1"/>
  <c r="J727"/>
  <c r="E727"/>
  <c r="F727" s="1"/>
  <c r="J711"/>
  <c r="E711"/>
  <c r="F711" s="1"/>
  <c r="J638"/>
  <c r="E638"/>
  <c r="F638" s="1"/>
  <c r="J647"/>
  <c r="E647"/>
  <c r="F647" s="1"/>
  <c r="J659"/>
  <c r="E659"/>
  <c r="F659" s="1"/>
  <c r="J744"/>
  <c r="E744"/>
  <c r="F744" s="1"/>
  <c r="J724"/>
  <c r="E724"/>
  <c r="F724" s="1"/>
  <c r="J716"/>
  <c r="E716"/>
  <c r="F716" s="1"/>
  <c r="J700"/>
  <c r="E700"/>
  <c r="F700" s="1"/>
  <c r="J627"/>
  <c r="E627"/>
  <c r="F627" s="1"/>
  <c r="J652"/>
  <c r="E652"/>
  <c r="F652" s="1"/>
  <c r="J656"/>
  <c r="E656"/>
  <c r="F656" s="1"/>
  <c r="J743"/>
  <c r="E743"/>
  <c r="F743" s="1"/>
  <c r="J723"/>
  <c r="E723"/>
  <c r="F723" s="1"/>
  <c r="J715"/>
  <c r="E715"/>
  <c r="F715" s="1"/>
  <c r="J699"/>
  <c r="E699"/>
  <c r="F699" s="1"/>
  <c r="J626"/>
  <c r="E626"/>
  <c r="F626" s="1"/>
  <c r="J651"/>
  <c r="E651"/>
  <c r="F651" s="1"/>
  <c r="J655"/>
  <c r="E655"/>
  <c r="F655" s="1"/>
  <c r="K2637" i="132"/>
  <c r="M2637" s="1"/>
  <c r="K2683"/>
  <c r="M2683" s="1"/>
  <c r="K2678"/>
  <c r="M2678" s="1"/>
  <c r="K2785"/>
  <c r="M2785" s="1"/>
  <c r="K2800"/>
  <c r="M2800" s="1"/>
  <c r="J581" i="309"/>
  <c r="E581"/>
  <c r="F581" s="1"/>
  <c r="J578"/>
  <c r="E578"/>
  <c r="F578" s="1"/>
  <c r="J574"/>
  <c r="E574"/>
  <c r="F574" s="1"/>
  <c r="J573"/>
  <c r="E573"/>
  <c r="F573" s="1"/>
  <c r="I529"/>
  <c r="I541"/>
  <c r="I548"/>
  <c r="I528"/>
  <c r="I557"/>
  <c r="I556"/>
  <c r="I553"/>
  <c r="I560"/>
  <c r="I552"/>
  <c r="I537"/>
  <c r="I576"/>
  <c r="I580"/>
  <c r="I593"/>
  <c r="I594"/>
  <c r="I564"/>
  <c r="I565"/>
  <c r="I533"/>
  <c r="I540"/>
  <c r="I545"/>
  <c r="I572"/>
  <c r="I584"/>
  <c r="K2721" i="132"/>
  <c r="M2721" s="1"/>
  <c r="K2642"/>
  <c r="M2642" s="1"/>
  <c r="K2790"/>
  <c r="M2790" s="1"/>
  <c r="K2826"/>
  <c r="M2826" s="1"/>
  <c r="K2947"/>
  <c r="M2947" s="1"/>
  <c r="K2908"/>
  <c r="M2908" s="1"/>
  <c r="J582" i="309"/>
  <c r="E582"/>
  <c r="F582" s="1"/>
  <c r="J577"/>
  <c r="E577"/>
  <c r="F577" s="1"/>
  <c r="J586"/>
  <c r="E586"/>
  <c r="F586" s="1"/>
  <c r="J585"/>
  <c r="E585"/>
  <c r="F585" s="1"/>
  <c r="E617"/>
  <c r="F617" s="1"/>
  <c r="J617"/>
  <c r="K2884" i="132"/>
  <c r="M2884" s="1"/>
  <c r="E621" i="309"/>
  <c r="F621" s="1"/>
  <c r="J621"/>
  <c r="F615" i="305"/>
  <c r="G615" s="1"/>
  <c r="I620" i="309"/>
  <c r="I606"/>
  <c r="I605"/>
  <c r="K2756" i="132"/>
  <c r="M2756" s="1"/>
  <c r="K2736"/>
  <c r="M2736" s="1"/>
  <c r="K2876"/>
  <c r="M2876" s="1"/>
  <c r="K3017"/>
  <c r="M3017" s="1"/>
  <c r="E622" i="309"/>
  <c r="F622" s="1"/>
  <c r="J622"/>
  <c r="M2889" i="132"/>
  <c r="I617" i="140"/>
  <c r="J617" s="1"/>
  <c r="O617" s="1"/>
  <c r="F32" i="305"/>
  <c r="G32" s="1"/>
  <c r="E32" i="309"/>
  <c r="F32" s="1"/>
  <c r="O32" s="1"/>
  <c r="I32" i="140"/>
  <c r="J32" s="1"/>
  <c r="O32" s="1"/>
  <c r="O221" i="309"/>
  <c r="O224"/>
  <c r="O212"/>
  <c r="O219"/>
  <c r="O231"/>
  <c r="O12"/>
  <c r="O11"/>
  <c r="O16"/>
  <c r="O15"/>
  <c r="O229"/>
  <c r="O228"/>
  <c r="O233"/>
  <c r="O232"/>
  <c r="O225"/>
  <c r="O213"/>
  <c r="O220"/>
  <c r="O40"/>
  <c r="O28"/>
  <c r="O211"/>
  <c r="O223"/>
  <c r="O227"/>
  <c r="J207"/>
  <c r="E207"/>
  <c r="F207" s="1"/>
  <c r="F214" i="305"/>
  <c r="G214" s="1"/>
  <c r="I215" i="309"/>
  <c r="F182" i="305"/>
  <c r="G182" s="1"/>
  <c r="I183" i="309"/>
  <c r="J31"/>
  <c r="E31"/>
  <c r="F31" s="1"/>
  <c r="F204" i="305"/>
  <c r="G204" s="1"/>
  <c r="I205" i="309"/>
  <c r="F192" i="305"/>
  <c r="G192" s="1"/>
  <c r="I193" i="309"/>
  <c r="F514" i="305"/>
  <c r="G514" s="1"/>
  <c r="I516" i="309"/>
  <c r="F373" i="305"/>
  <c r="G373" s="1"/>
  <c r="I375" i="309"/>
  <c r="F203" i="305"/>
  <c r="G203" s="1"/>
  <c r="I204" i="309"/>
  <c r="F513" i="305"/>
  <c r="G513" s="1"/>
  <c r="I515" i="309"/>
  <c r="F372" i="305"/>
  <c r="G372" s="1"/>
  <c r="I374" i="309"/>
  <c r="F38" i="305"/>
  <c r="G38" s="1"/>
  <c r="I39" i="309"/>
  <c r="F27" i="305"/>
  <c r="G27" s="1"/>
  <c r="I27" i="309"/>
  <c r="J520"/>
  <c r="E520"/>
  <c r="F520" s="1"/>
  <c r="F377" i="305"/>
  <c r="G377" s="1"/>
  <c r="I379" i="309"/>
  <c r="F200" i="305"/>
  <c r="G200" s="1"/>
  <c r="I201" i="309"/>
  <c r="F196" i="305"/>
  <c r="G196" s="1"/>
  <c r="I197" i="309"/>
  <c r="F191" i="305"/>
  <c r="G191" s="1"/>
  <c r="I192" i="309"/>
  <c r="F195" i="305"/>
  <c r="G195" s="1"/>
  <c r="I196" i="309"/>
  <c r="F517" i="305"/>
  <c r="G517" s="1"/>
  <c r="I519" i="309"/>
  <c r="F376" i="305"/>
  <c r="G376" s="1"/>
  <c r="I378" i="309"/>
  <c r="F199" i="305"/>
  <c r="G199" s="1"/>
  <c r="I200" i="309"/>
  <c r="J185"/>
  <c r="E185"/>
  <c r="F185" s="1"/>
  <c r="J184"/>
  <c r="E184"/>
  <c r="F184" s="1"/>
  <c r="J216"/>
  <c r="E216"/>
  <c r="F216" s="1"/>
  <c r="J10"/>
  <c r="E10"/>
  <c r="F10" s="1"/>
  <c r="J41"/>
  <c r="E41"/>
  <c r="F41" s="1"/>
  <c r="J217"/>
  <c r="E217"/>
  <c r="F217" s="1"/>
  <c r="J209"/>
  <c r="E209"/>
  <c r="F209" s="1"/>
  <c r="J208"/>
  <c r="E208"/>
  <c r="F208" s="1"/>
  <c r="J14"/>
  <c r="E14"/>
  <c r="F14" s="1"/>
  <c r="F612" i="305"/>
  <c r="G612" s="1"/>
  <c r="I614" i="309"/>
  <c r="E743" i="195"/>
  <c r="F743" s="1"/>
  <c r="J743" s="1"/>
  <c r="I753" i="309"/>
  <c r="E862"/>
  <c r="F862" s="1"/>
  <c r="J862"/>
  <c r="E693"/>
  <c r="F693" s="1"/>
  <c r="J693"/>
  <c r="E618"/>
  <c r="F618" s="1"/>
  <c r="J618"/>
  <c r="H353" i="216"/>
  <c r="F172" i="196"/>
  <c r="I172" s="1"/>
  <c r="G1158" i="214"/>
  <c r="T62" i="211"/>
  <c r="T63" s="1"/>
  <c r="T64" s="1"/>
  <c r="T65" s="1"/>
  <c r="E610" i="195"/>
  <c r="F610" s="1"/>
  <c r="J610" s="1"/>
  <c r="I614" i="140"/>
  <c r="J614" s="1"/>
  <c r="O614" s="1"/>
  <c r="C233" i="195"/>
  <c r="I233" s="1"/>
  <c r="C171" i="196" s="1"/>
  <c r="F171" s="1"/>
  <c r="I171" s="1"/>
  <c r="C98" i="165"/>
  <c r="E91" i="139" s="1"/>
  <c r="D166" i="305"/>
  <c r="D420"/>
  <c r="D388"/>
  <c r="E72" i="211"/>
  <c r="C391" i="195"/>
  <c r="I391" s="1"/>
  <c r="E51" i="196" s="1"/>
  <c r="F159" i="211"/>
  <c r="D392" i="305"/>
  <c r="D428"/>
  <c r="P173" i="196"/>
  <c r="I173"/>
  <c r="J223" i="140"/>
  <c r="O223" s="1"/>
  <c r="J231"/>
  <c r="O231" s="1"/>
  <c r="F105" i="211"/>
  <c r="L105" s="1"/>
  <c r="M2378" i="132"/>
  <c r="F206" i="305"/>
  <c r="G206" s="1"/>
  <c r="M937" i="194"/>
  <c r="F518" i="305"/>
  <c r="G518" s="1"/>
  <c r="I31" i="140"/>
  <c r="J31" s="1"/>
  <c r="O31" s="1"/>
  <c r="F31" i="305"/>
  <c r="G31" s="1"/>
  <c r="F746"/>
  <c r="G746" s="1"/>
  <c r="F177" i="211"/>
  <c r="M177" s="1"/>
  <c r="F174"/>
  <c r="S174" s="1"/>
  <c r="F119"/>
  <c r="M119" s="1"/>
  <c r="F129"/>
  <c r="S129" s="1"/>
  <c r="F121"/>
  <c r="F109"/>
  <c r="L109" s="1"/>
  <c r="F133"/>
  <c r="M133" s="1"/>
  <c r="F128"/>
  <c r="M128" s="1"/>
  <c r="F135"/>
  <c r="M135" s="1"/>
  <c r="F173"/>
  <c r="S173" s="1"/>
  <c r="F158"/>
  <c r="F131"/>
  <c r="M131" s="1"/>
  <c r="F112"/>
  <c r="S112" s="1"/>
  <c r="F157"/>
  <c r="I157" s="1"/>
  <c r="F150"/>
  <c r="I150" s="1"/>
  <c r="F134"/>
  <c r="M134" s="1"/>
  <c r="F130"/>
  <c r="M130" s="1"/>
  <c r="F172"/>
  <c r="S172" s="1"/>
  <c r="F113"/>
  <c r="F122"/>
  <c r="F156"/>
  <c r="S156" s="1"/>
  <c r="J211" i="140"/>
  <c r="O211" s="1"/>
  <c r="I772"/>
  <c r="J772" s="1"/>
  <c r="O772" s="1"/>
  <c r="I820"/>
  <c r="J820" s="1"/>
  <c r="O820" s="1"/>
  <c r="I584"/>
  <c r="J584" s="1"/>
  <c r="O584" s="1"/>
  <c r="J14"/>
  <c r="O14" s="1"/>
  <c r="F13" i="195"/>
  <c r="J13" s="1"/>
  <c r="H11" i="196" s="1"/>
  <c r="I816" i="140"/>
  <c r="J816" s="1"/>
  <c r="O816" s="1"/>
  <c r="I836"/>
  <c r="J836" s="1"/>
  <c r="O836" s="1"/>
  <c r="I580"/>
  <c r="J580" s="1"/>
  <c r="O580" s="1"/>
  <c r="E568" i="195"/>
  <c r="I620" i="140"/>
  <c r="J620" s="1"/>
  <c r="O620" s="1"/>
  <c r="I753"/>
  <c r="J753" s="1"/>
  <c r="O753" s="1"/>
  <c r="I576"/>
  <c r="J576" s="1"/>
  <c r="O576" s="1"/>
  <c r="I27"/>
  <c r="J27" s="1"/>
  <c r="O27" s="1"/>
  <c r="E26" i="195"/>
  <c r="F26" s="1"/>
  <c r="J26" s="1"/>
  <c r="M201" i="132"/>
  <c r="G2556" i="214"/>
  <c r="F2557"/>
  <c r="G2557" s="1"/>
  <c r="G2499"/>
  <c r="F2500"/>
  <c r="G2537"/>
  <c r="F2538"/>
  <c r="G2538" s="1"/>
  <c r="F2091"/>
  <c r="G2091" s="1"/>
  <c r="G2000"/>
  <c r="F1928"/>
  <c r="G1928" s="1"/>
  <c r="G1916"/>
  <c r="G3473"/>
  <c r="F3474"/>
  <c r="G3474" s="1"/>
  <c r="G3416"/>
  <c r="F3417"/>
  <c r="G3454"/>
  <c r="F3455"/>
  <c r="G3455" s="1"/>
  <c r="F3008"/>
  <c r="G3008" s="1"/>
  <c r="G2917"/>
  <c r="F2845"/>
  <c r="G2845" s="1"/>
  <c r="G2833"/>
  <c r="M225" i="132"/>
  <c r="G2581" i="214"/>
  <c r="F2582"/>
  <c r="G2582" s="1"/>
  <c r="G2520"/>
  <c r="F2521"/>
  <c r="G2521" s="1"/>
  <c r="G2330"/>
  <c r="F2350"/>
  <c r="F2333"/>
  <c r="G2333" s="1"/>
  <c r="F2423"/>
  <c r="F2442"/>
  <c r="G2422"/>
  <c r="G3498"/>
  <c r="F3499"/>
  <c r="G3499" s="1"/>
  <c r="G3437"/>
  <c r="F3438"/>
  <c r="G3438" s="1"/>
  <c r="F3340"/>
  <c r="F3359"/>
  <c r="G3339"/>
  <c r="F3250"/>
  <c r="G3250" s="1"/>
  <c r="F3267"/>
  <c r="G3247"/>
  <c r="E30" i="195"/>
  <c r="F30" s="1"/>
  <c r="J30" s="1"/>
  <c r="E576"/>
  <c r="F576" s="1"/>
  <c r="J576" s="1"/>
  <c r="E616"/>
  <c r="F616" s="1"/>
  <c r="J616" s="1"/>
  <c r="E770"/>
  <c r="F770" s="1"/>
  <c r="J770" s="1"/>
  <c r="E806"/>
  <c r="F806" s="1"/>
  <c r="J806" s="1"/>
  <c r="E814"/>
  <c r="F814" s="1"/>
  <c r="J814" s="1"/>
  <c r="E762"/>
  <c r="F762" s="1"/>
  <c r="J762" s="1"/>
  <c r="E802"/>
  <c r="F802" s="1"/>
  <c r="J802" s="1"/>
  <c r="E810"/>
  <c r="F810" s="1"/>
  <c r="J810" s="1"/>
  <c r="E826"/>
  <c r="F826" s="1"/>
  <c r="J826" s="1"/>
  <c r="H391" i="216"/>
  <c r="H429"/>
  <c r="I572" i="140"/>
  <c r="E580" i="195"/>
  <c r="F580" s="1"/>
  <c r="J580" s="1"/>
  <c r="F169" i="211"/>
  <c r="N169" s="1"/>
  <c r="F14" i="195"/>
  <c r="J14" s="1"/>
  <c r="H12" i="196" s="1"/>
  <c r="E538" i="195"/>
  <c r="F538" s="1"/>
  <c r="J538" s="1"/>
  <c r="I537" i="140"/>
  <c r="J537" s="1"/>
  <c r="O537" s="1"/>
  <c r="E562" i="195"/>
  <c r="F562" s="1"/>
  <c r="J562" s="1"/>
  <c r="I565" i="140"/>
  <c r="J565" s="1"/>
  <c r="O565" s="1"/>
  <c r="H260" i="216"/>
  <c r="E525" i="195"/>
  <c r="F525" s="1"/>
  <c r="J525" s="1"/>
  <c r="I528" i="140"/>
  <c r="J528" s="1"/>
  <c r="O528" s="1"/>
  <c r="M2317" i="132"/>
  <c r="I205" i="140"/>
  <c r="J205" s="1"/>
  <c r="O205" s="1"/>
  <c r="E195" i="195"/>
  <c r="F195" s="1"/>
  <c r="J195" s="1"/>
  <c r="M1980" i="132"/>
  <c r="E183" i="195"/>
  <c r="F183" s="1"/>
  <c r="J183" s="1"/>
  <c r="I193" i="140"/>
  <c r="J193" s="1"/>
  <c r="O193" s="1"/>
  <c r="M899" i="194"/>
  <c r="E513" i="195"/>
  <c r="F513" s="1"/>
  <c r="J513" s="1"/>
  <c r="I516" i="140"/>
  <c r="J516" s="1"/>
  <c r="O516" s="1"/>
  <c r="M1454" i="192"/>
  <c r="I375" i="140"/>
  <c r="J375" s="1"/>
  <c r="O375" s="1"/>
  <c r="E372" i="195"/>
  <c r="F372" s="1"/>
  <c r="J372" s="1"/>
  <c r="M2292" i="132"/>
  <c r="E194" i="195"/>
  <c r="F194" s="1"/>
  <c r="J194" s="1"/>
  <c r="I204" i="140"/>
  <c r="J204" s="1"/>
  <c r="O204" s="1"/>
  <c r="E512" i="195"/>
  <c r="F512" s="1"/>
  <c r="J512" s="1"/>
  <c r="I515" i="140"/>
  <c r="J515" s="1"/>
  <c r="O515" s="1"/>
  <c r="M1429" i="192"/>
  <c r="I374" i="140"/>
  <c r="J374" s="1"/>
  <c r="O374" s="1"/>
  <c r="E371" i="195"/>
  <c r="F371" s="1"/>
  <c r="J371" s="1"/>
  <c r="E517"/>
  <c r="F517" s="1"/>
  <c r="J517" s="1"/>
  <c r="I520" i="140"/>
  <c r="J520" s="1"/>
  <c r="O520" s="1"/>
  <c r="M1514" i="192"/>
  <c r="I379" i="140"/>
  <c r="J379" s="1"/>
  <c r="O379" s="1"/>
  <c r="E376" i="195"/>
  <c r="F376" s="1"/>
  <c r="J376" s="1"/>
  <c r="M2240" i="132"/>
  <c r="E191" i="195"/>
  <c r="F191" s="1"/>
  <c r="J191" s="1"/>
  <c r="I201" i="140"/>
  <c r="J201" s="1"/>
  <c r="O201" s="1"/>
  <c r="M2078" i="132"/>
  <c r="I197" i="140"/>
  <c r="J197" s="1"/>
  <c r="O197" s="1"/>
  <c r="E187" i="195"/>
  <c r="F187" s="1"/>
  <c r="J187" s="1"/>
  <c r="M1973" i="132"/>
  <c r="E182" i="195"/>
  <c r="F182" s="1"/>
  <c r="J182" s="1"/>
  <c r="I192" i="140"/>
  <c r="J192" s="1"/>
  <c r="O192" s="1"/>
  <c r="M2054" i="132"/>
  <c r="I196" i="140"/>
  <c r="J196" s="1"/>
  <c r="O196" s="1"/>
  <c r="E186" i="195"/>
  <c r="F186" s="1"/>
  <c r="J186" s="1"/>
  <c r="E516"/>
  <c r="F516" s="1"/>
  <c r="J516" s="1"/>
  <c r="I519" i="140"/>
  <c r="J519" s="1"/>
  <c r="O519" s="1"/>
  <c r="M1500" i="192"/>
  <c r="I378" i="140"/>
  <c r="J378" s="1"/>
  <c r="O378" s="1"/>
  <c r="E375" i="195"/>
  <c r="F375" s="1"/>
  <c r="J375" s="1"/>
  <c r="M2207" i="132"/>
  <c r="E190" i="195"/>
  <c r="F190" s="1"/>
  <c r="J190" s="1"/>
  <c r="I200" i="140"/>
  <c r="J200" s="1"/>
  <c r="O200" s="1"/>
  <c r="F2806" i="214"/>
  <c r="G2806" s="1"/>
  <c r="D24" i="165"/>
  <c r="F39" i="139" s="1"/>
  <c r="F1889" i="214"/>
  <c r="G1889" s="1"/>
  <c r="G1890" s="1"/>
  <c r="G1891" s="1"/>
  <c r="K270" i="132" s="1"/>
  <c r="D23" i="165"/>
  <c r="F38" i="139" s="1"/>
  <c r="G2807" i="214"/>
  <c r="G2808" s="1"/>
  <c r="K276" i="132" s="1"/>
  <c r="F3040" i="214"/>
  <c r="G3040" s="1"/>
  <c r="G3048" s="1"/>
  <c r="G3049" s="1"/>
  <c r="F3059"/>
  <c r="G3059" s="1"/>
  <c r="F3053"/>
  <c r="G3053" s="1"/>
  <c r="G3056" s="1"/>
  <c r="D106" i="165"/>
  <c r="G902" i="216"/>
  <c r="H902" s="1"/>
  <c r="H905" s="1"/>
  <c r="F3027" i="214"/>
  <c r="G3027" s="1"/>
  <c r="G3032" s="1"/>
  <c r="E3034" s="1"/>
  <c r="F3060"/>
  <c r="G3060" s="1"/>
  <c r="F2123"/>
  <c r="G2123" s="1"/>
  <c r="G2131" s="1"/>
  <c r="G2132" s="1"/>
  <c r="F2136"/>
  <c r="G2136" s="1"/>
  <c r="G2139" s="1"/>
  <c r="F2142"/>
  <c r="G2142" s="1"/>
  <c r="D102" i="165"/>
  <c r="G667" i="216"/>
  <c r="H667" s="1"/>
  <c r="H670" s="1"/>
  <c r="F2143" i="214"/>
  <c r="G2143" s="1"/>
  <c r="F2110"/>
  <c r="G2110" s="1"/>
  <c r="G2115" s="1"/>
  <c r="E2117" s="1"/>
  <c r="E39" i="139"/>
  <c r="F24" i="165"/>
  <c r="E38" i="139"/>
  <c r="F23" i="165"/>
  <c r="F3149" i="214"/>
  <c r="G3149" s="1"/>
  <c r="F3115"/>
  <c r="G3115" s="1"/>
  <c r="F3132"/>
  <c r="G3132" s="1"/>
  <c r="G2834"/>
  <c r="F2846"/>
  <c r="G2846" s="1"/>
  <c r="F2760"/>
  <c r="G2760" s="1"/>
  <c r="G2762" s="1"/>
  <c r="F2765"/>
  <c r="G2765" s="1"/>
  <c r="G2767" s="1"/>
  <c r="F2770"/>
  <c r="G2770" s="1"/>
  <c r="G2772" s="1"/>
  <c r="F2775"/>
  <c r="G2775" s="1"/>
  <c r="G2777" s="1"/>
  <c r="F2780"/>
  <c r="G2780" s="1"/>
  <c r="G2782" s="1"/>
  <c r="F3106"/>
  <c r="G3106" s="1"/>
  <c r="F3116"/>
  <c r="G3116" s="1"/>
  <c r="G3121" s="1"/>
  <c r="E3123" s="1"/>
  <c r="F3133"/>
  <c r="G3133" s="1"/>
  <c r="F3150"/>
  <c r="G3150" s="1"/>
  <c r="F3248"/>
  <c r="F3457"/>
  <c r="G3457" s="1"/>
  <c r="F3489"/>
  <c r="G3489" s="1"/>
  <c r="G3493" s="1"/>
  <c r="F3500" s="1"/>
  <c r="G3500" s="1"/>
  <c r="F3342"/>
  <c r="F3383"/>
  <c r="F3419"/>
  <c r="F3436"/>
  <c r="G3436" s="1"/>
  <c r="F3472"/>
  <c r="G3472" s="1"/>
  <c r="F3501"/>
  <c r="F2835"/>
  <c r="F2979"/>
  <c r="G2979" s="1"/>
  <c r="F3523"/>
  <c r="G3523" s="1"/>
  <c r="F2859"/>
  <c r="G2859" s="1"/>
  <c r="F2889"/>
  <c r="G2889" s="1"/>
  <c r="F2916"/>
  <c r="F2215"/>
  <c r="G2215" s="1"/>
  <c r="F2198"/>
  <c r="G2198" s="1"/>
  <c r="F2232"/>
  <c r="G2232" s="1"/>
  <c r="G1917"/>
  <c r="F1929"/>
  <c r="G1929" s="1"/>
  <c r="F2189"/>
  <c r="G2189" s="1"/>
  <c r="F2199"/>
  <c r="G2199" s="1"/>
  <c r="F2425"/>
  <c r="F2466"/>
  <c r="F2502"/>
  <c r="F2519"/>
  <c r="G2519" s="1"/>
  <c r="F2555"/>
  <c r="G2555" s="1"/>
  <c r="F2584"/>
  <c r="F1843"/>
  <c r="G1843" s="1"/>
  <c r="G1845" s="1"/>
  <c r="F1848"/>
  <c r="G1848" s="1"/>
  <c r="G1850" s="1"/>
  <c r="F1853"/>
  <c r="G1853" s="1"/>
  <c r="G1855" s="1"/>
  <c r="F1858"/>
  <c r="G1858" s="1"/>
  <c r="G1860" s="1"/>
  <c r="F1863"/>
  <c r="G1863" s="1"/>
  <c r="G1865" s="1"/>
  <c r="F2216"/>
  <c r="G2216" s="1"/>
  <c r="G2221" s="1"/>
  <c r="E2223" s="1"/>
  <c r="F2233"/>
  <c r="G2233" s="1"/>
  <c r="F2331"/>
  <c r="F2540"/>
  <c r="G2540" s="1"/>
  <c r="F2572"/>
  <c r="G2572" s="1"/>
  <c r="G2576" s="1"/>
  <c r="F2583" s="1"/>
  <c r="G2583" s="1"/>
  <c r="F1942"/>
  <c r="G1942" s="1"/>
  <c r="F1972"/>
  <c r="G1972" s="1"/>
  <c r="F1999"/>
  <c r="F1918"/>
  <c r="F2062"/>
  <c r="G2062" s="1"/>
  <c r="F2606"/>
  <c r="G2606" s="1"/>
  <c r="F124" i="211"/>
  <c r="N124" s="1"/>
  <c r="F114"/>
  <c r="N114" s="1"/>
  <c r="S56"/>
  <c r="F178"/>
  <c r="M178" s="1"/>
  <c r="F162"/>
  <c r="Q162" s="1"/>
  <c r="F111"/>
  <c r="I111" s="1"/>
  <c r="F155"/>
  <c r="L155" s="1"/>
  <c r="F180"/>
  <c r="M180" s="1"/>
  <c r="F132"/>
  <c r="M132" s="1"/>
  <c r="F176"/>
  <c r="M176" s="1"/>
  <c r="F127"/>
  <c r="M127" s="1"/>
  <c r="F126"/>
  <c r="I126" s="1"/>
  <c r="F118"/>
  <c r="M118" s="1"/>
  <c r="F161"/>
  <c r="Q161" s="1"/>
  <c r="F116"/>
  <c r="M116" s="1"/>
  <c r="F107"/>
  <c r="L107" s="1"/>
  <c r="F110"/>
  <c r="I110" s="1"/>
  <c r="Q48" i="196"/>
  <c r="Q52"/>
  <c r="Q56" s="1"/>
  <c r="Q60" s="1"/>
  <c r="Q64" s="1"/>
  <c r="F175" i="211"/>
  <c r="S175" s="1"/>
  <c r="F179"/>
  <c r="M179" s="1"/>
  <c r="F164"/>
  <c r="S164" s="1"/>
  <c r="F96" i="196"/>
  <c r="S117" i="211"/>
  <c r="M117"/>
  <c r="Q117"/>
  <c r="I57"/>
  <c r="S136"/>
  <c r="I136"/>
  <c r="L136"/>
  <c r="F133" i="196"/>
  <c r="F137"/>
  <c r="I99" i="195"/>
  <c r="C77" i="196" s="1"/>
  <c r="N120" i="211"/>
  <c r="S120"/>
  <c r="I122" i="195"/>
  <c r="C108" i="196" s="1"/>
  <c r="I126" i="195"/>
  <c r="C112" i="196" s="1"/>
  <c r="I111" i="195"/>
  <c r="C97" i="196" s="1"/>
  <c r="I94" i="195"/>
  <c r="C84" i="196" s="1"/>
  <c r="I91" i="195"/>
  <c r="C81" i="196" s="1"/>
  <c r="I102" i="195"/>
  <c r="C88" i="196" s="1"/>
  <c r="F88" s="1"/>
  <c r="I82" i="195"/>
  <c r="C68" i="196" s="1"/>
  <c r="S106" i="211"/>
  <c r="I106"/>
  <c r="L106"/>
  <c r="I66" i="195"/>
  <c r="C48" i="196" s="1"/>
  <c r="F48" s="1"/>
  <c r="I79" i="195"/>
  <c r="C65" i="196" s="1"/>
  <c r="S152" i="211"/>
  <c r="I152"/>
  <c r="L152"/>
  <c r="I63" i="195"/>
  <c r="C53" i="196" s="1"/>
  <c r="I39" i="195"/>
  <c r="F39"/>
  <c r="J39" s="1"/>
  <c r="I50"/>
  <c r="C36" i="196" s="1"/>
  <c r="F36" s="1"/>
  <c r="I38" i="195"/>
  <c r="F38"/>
  <c r="J38" s="1"/>
  <c r="I30"/>
  <c r="I27"/>
  <c r="F27"/>
  <c r="J27" s="1"/>
  <c r="I181" i="211"/>
  <c r="L181"/>
  <c r="S181"/>
  <c r="F169" i="196"/>
  <c r="F132"/>
  <c r="F120"/>
  <c r="I98" i="195"/>
  <c r="C76" i="196" s="1"/>
  <c r="F76" s="1"/>
  <c r="I114" i="195"/>
  <c r="C100" i="196" s="1"/>
  <c r="F100" s="1"/>
  <c r="I127" i="195"/>
  <c r="C113" i="196" s="1"/>
  <c r="F113" s="1"/>
  <c r="I123" i="195"/>
  <c r="C109" i="196" s="1"/>
  <c r="F109" s="1"/>
  <c r="I86" i="195"/>
  <c r="C72" i="196" s="1"/>
  <c r="I106" i="195"/>
  <c r="C92" i="196" s="1"/>
  <c r="I75" i="195"/>
  <c r="C61" i="196" s="1"/>
  <c r="I87" i="195"/>
  <c r="C73" i="196" s="1"/>
  <c r="I83" i="195"/>
  <c r="C69" i="196" s="1"/>
  <c r="I104" i="211"/>
  <c r="L104"/>
  <c r="S104"/>
  <c r="I67" i="195"/>
  <c r="C49" i="196" s="1"/>
  <c r="S108" i="211"/>
  <c r="I108"/>
  <c r="L108"/>
  <c r="I35" i="195"/>
  <c r="C17" i="196" s="1"/>
  <c r="F17" s="1"/>
  <c r="J17" s="1"/>
  <c r="I148" i="211"/>
  <c r="L148"/>
  <c r="S148"/>
  <c r="I51" i="195"/>
  <c r="C37" i="196" s="1"/>
  <c r="F37" s="1"/>
  <c r="I34" i="195"/>
  <c r="C16" i="196" s="1"/>
  <c r="F16" s="1"/>
  <c r="J16" s="1"/>
  <c r="F168"/>
  <c r="I171" i="211"/>
  <c r="L171"/>
  <c r="S171"/>
  <c r="S167"/>
  <c r="I118" i="195"/>
  <c r="C104" i="196" s="1"/>
  <c r="I115" i="195"/>
  <c r="C101" i="196" s="1"/>
  <c r="K115" i="211"/>
  <c r="K138" s="1"/>
  <c r="M115"/>
  <c r="S115"/>
  <c r="I90" i="195"/>
  <c r="C80" i="196" s="1"/>
  <c r="I74" i="195"/>
  <c r="C60" i="196" s="1"/>
  <c r="I153" i="211"/>
  <c r="L153"/>
  <c r="S153"/>
  <c r="I71" i="195"/>
  <c r="C57" i="196" s="1"/>
  <c r="F57" s="1"/>
  <c r="S103" i="211"/>
  <c r="I103"/>
  <c r="L103"/>
  <c r="I119" i="195"/>
  <c r="C105" i="196" s="1"/>
  <c r="S165" i="211"/>
  <c r="N165"/>
  <c r="I107" i="195"/>
  <c r="C93" i="196" s="1"/>
  <c r="S160" i="211"/>
  <c r="K160"/>
  <c r="K183" s="1"/>
  <c r="M160"/>
  <c r="I103" i="195"/>
  <c r="C89" i="196" s="1"/>
  <c r="F89" s="1"/>
  <c r="S154" i="211"/>
  <c r="I154"/>
  <c r="L154"/>
  <c r="I62" i="195"/>
  <c r="C52" i="196" s="1"/>
  <c r="I54" i="195"/>
  <c r="C40" i="196" s="1"/>
  <c r="F40" s="1"/>
  <c r="I78" i="195"/>
  <c r="C64" i="196" s="1"/>
  <c r="I151" i="211"/>
  <c r="L151"/>
  <c r="S151"/>
  <c r="I70" i="195"/>
  <c r="C56" i="196" s="1"/>
  <c r="F56" s="1"/>
  <c r="S149" i="211"/>
  <c r="I149"/>
  <c r="L149"/>
  <c r="I55" i="195"/>
  <c r="C41" i="196" s="1"/>
  <c r="F41" s="1"/>
  <c r="I26" i="195"/>
  <c r="I31"/>
  <c r="F170" i="211"/>
  <c r="N170" s="1"/>
  <c r="L100"/>
  <c r="S100"/>
  <c r="I59" i="195"/>
  <c r="C45" i="196" s="1"/>
  <c r="I58" i="195"/>
  <c r="C44" i="196" s="1"/>
  <c r="I18" i="195"/>
  <c r="C20" i="196" s="1"/>
  <c r="F20" s="1"/>
  <c r="I23" i="195"/>
  <c r="C25" i="196" s="1"/>
  <c r="F25" s="1"/>
  <c r="I19" i="195"/>
  <c r="C21" i="196" s="1"/>
  <c r="F21" s="1"/>
  <c r="G3544" i="214"/>
  <c r="G3546" s="1"/>
  <c r="G3547" s="1"/>
  <c r="K831" i="194" s="1"/>
  <c r="F3546" i="214"/>
  <c r="F3547" s="1"/>
  <c r="K1277" i="192" s="1"/>
  <c r="G3559" i="214"/>
  <c r="G3561" s="1"/>
  <c r="G3562" s="1"/>
  <c r="K863" i="194" s="1"/>
  <c r="F3561" i="214"/>
  <c r="F3562" s="1"/>
  <c r="K1369" i="192" s="1"/>
  <c r="S99" i="211"/>
  <c r="H99"/>
  <c r="H138" s="1"/>
  <c r="C81" i="165" s="1"/>
  <c r="L99" i="211"/>
  <c r="H145"/>
  <c r="L145"/>
  <c r="S145"/>
  <c r="H144"/>
  <c r="L144"/>
  <c r="S144"/>
  <c r="G2627" i="214"/>
  <c r="G2629" s="1"/>
  <c r="G2630" s="1"/>
  <c r="K823" i="194" s="1"/>
  <c r="F2629" i="214"/>
  <c r="F2630" s="1"/>
  <c r="K1268" i="192" s="1"/>
  <c r="G2642" i="214"/>
  <c r="G2644" s="1"/>
  <c r="G2645" s="1"/>
  <c r="K855" i="194" s="1"/>
  <c r="F2644" i="214"/>
  <c r="F2645" s="1"/>
  <c r="K1344" i="192" s="1"/>
  <c r="F125" i="211"/>
  <c r="C822" i="195"/>
  <c r="I822" s="1"/>
  <c r="G780" i="140"/>
  <c r="G896"/>
  <c r="C886" i="195"/>
  <c r="I886" s="1"/>
  <c r="G792" i="140"/>
  <c r="C778" i="195"/>
  <c r="I778" s="1"/>
  <c r="C774"/>
  <c r="I774" s="1"/>
  <c r="G788" i="140"/>
  <c r="G642"/>
  <c r="C637" i="195"/>
  <c r="I637" s="1"/>
  <c r="G666" i="140"/>
  <c r="C661" i="195"/>
  <c r="I661" s="1"/>
  <c r="C552"/>
  <c r="I552" s="1"/>
  <c r="G555" i="140"/>
  <c r="C596" i="195"/>
  <c r="G600" i="140"/>
  <c r="G572"/>
  <c r="C568" i="195"/>
  <c r="C503"/>
  <c r="I503" s="1"/>
  <c r="L57" i="211"/>
  <c r="J227" i="140"/>
  <c r="O227" s="1"/>
  <c r="I39"/>
  <c r="E37" i="195"/>
  <c r="I207" i="140"/>
  <c r="J207" s="1"/>
  <c r="O207" s="1"/>
  <c r="E197" i="195"/>
  <c r="F197" s="1"/>
  <c r="J197" s="1"/>
  <c r="I215" i="140"/>
  <c r="E205" i="195"/>
  <c r="E209"/>
  <c r="I183" i="140"/>
  <c r="G406"/>
  <c r="E64" i="211"/>
  <c r="C403" i="195"/>
  <c r="C407"/>
  <c r="G410" i="140"/>
  <c r="E65" i="211"/>
  <c r="C423" i="195"/>
  <c r="G426" i="140"/>
  <c r="E69" i="211"/>
  <c r="G450" i="140"/>
  <c r="C447" i="195"/>
  <c r="E77" i="211"/>
  <c r="G462" i="140"/>
  <c r="E80" i="211"/>
  <c r="C459" i="195"/>
  <c r="G470" i="140"/>
  <c r="C467" i="195"/>
  <c r="E82" i="211"/>
  <c r="C439" i="195"/>
  <c r="G442" i="140"/>
  <c r="E74" i="211"/>
  <c r="C475" i="195"/>
  <c r="G478" i="140"/>
  <c r="E84" i="211"/>
  <c r="C435" i="195"/>
  <c r="G438" i="140"/>
  <c r="E73" i="211"/>
  <c r="C491" i="195"/>
  <c r="G494" i="140"/>
  <c r="E88" i="211"/>
  <c r="C499" i="195"/>
  <c r="G502" i="140"/>
  <c r="E90" i="211"/>
  <c r="C515" i="195"/>
  <c r="G518" i="140"/>
  <c r="G402"/>
  <c r="E61" i="211"/>
  <c r="C399" i="195"/>
  <c r="C387"/>
  <c r="G390" i="140"/>
  <c r="E60" i="211"/>
  <c r="C411" i="195"/>
  <c r="G414" i="140"/>
  <c r="E66" i="211"/>
  <c r="G434" i="140"/>
  <c r="E71" i="211"/>
  <c r="C431" i="195"/>
  <c r="C451"/>
  <c r="G454" i="140"/>
  <c r="E78" i="211"/>
  <c r="C455" i="195"/>
  <c r="G458" i="140"/>
  <c r="E79" i="211"/>
  <c r="G446" i="140"/>
  <c r="E76" i="211"/>
  <c r="C443" i="195"/>
  <c r="C479"/>
  <c r="G482" i="140"/>
  <c r="E85" i="211"/>
  <c r="G474" i="140"/>
  <c r="E83" i="211"/>
  <c r="C471" i="195"/>
  <c r="G486" i="140"/>
  <c r="C483" i="195"/>
  <c r="E86" i="211"/>
  <c r="G490" i="140"/>
  <c r="E87" i="211"/>
  <c r="C487" i="195"/>
  <c r="C511"/>
  <c r="G514" i="140"/>
  <c r="G510"/>
  <c r="C507" i="195"/>
  <c r="C242"/>
  <c r="G245" i="140"/>
  <c r="D60" i="211"/>
  <c r="G269" i="140"/>
  <c r="C266" i="195"/>
  <c r="D66" i="211"/>
  <c r="G305" i="140"/>
  <c r="D76" i="211"/>
  <c r="C302" i="195"/>
  <c r="C318"/>
  <c r="G321" i="140"/>
  <c r="D80" i="211"/>
  <c r="G349" i="140"/>
  <c r="C346" i="195"/>
  <c r="D87" i="211"/>
  <c r="C374" i="195"/>
  <c r="G377" i="140"/>
  <c r="C246" i="195"/>
  <c r="G249" i="140"/>
  <c r="D62" i="211"/>
  <c r="C282" i="195"/>
  <c r="G285" i="140"/>
  <c r="D72" i="211"/>
  <c r="C298" i="195"/>
  <c r="G301" i="140"/>
  <c r="D75" i="211"/>
  <c r="G293" i="140"/>
  <c r="C290" i="195"/>
  <c r="D73" i="211"/>
  <c r="G289" i="140"/>
  <c r="C286" i="195"/>
  <c r="D71" i="211"/>
  <c r="G309" i="140"/>
  <c r="D77" i="211"/>
  <c r="C306" i="195"/>
  <c r="C330"/>
  <c r="G333" i="140"/>
  <c r="D83" i="211"/>
  <c r="G345" i="140"/>
  <c r="D86" i="211"/>
  <c r="C342" i="195"/>
  <c r="C354"/>
  <c r="G357" i="140"/>
  <c r="D89" i="211"/>
  <c r="G365" i="140"/>
  <c r="C362" i="195"/>
  <c r="C262"/>
  <c r="G265" i="140"/>
  <c r="D65" i="211"/>
  <c r="G277" i="140"/>
  <c r="C274" i="195"/>
  <c r="D68" i="211"/>
  <c r="C258" i="195"/>
  <c r="G261" i="140"/>
  <c r="D64" i="211"/>
  <c r="C270" i="195"/>
  <c r="G273" i="140"/>
  <c r="D67" i="211"/>
  <c r="C294" i="195"/>
  <c r="G297" i="140"/>
  <c r="D74" i="211"/>
  <c r="C278" i="195"/>
  <c r="G281" i="140"/>
  <c r="D69" i="211"/>
  <c r="G313" i="140"/>
  <c r="D78" i="211"/>
  <c r="C310" i="195"/>
  <c r="G317" i="140"/>
  <c r="D79" i="211"/>
  <c r="C314" i="195"/>
  <c r="C322"/>
  <c r="G325" i="140"/>
  <c r="D81" i="211"/>
  <c r="C334" i="195"/>
  <c r="G337" i="140"/>
  <c r="D84" i="211"/>
  <c r="G329" i="140"/>
  <c r="D82" i="211"/>
  <c r="C326" i="195"/>
  <c r="G341" i="140"/>
  <c r="C338" i="195"/>
  <c r="D85" i="211"/>
  <c r="G353" i="140"/>
  <c r="C350" i="195"/>
  <c r="D88" i="211"/>
  <c r="C358" i="195"/>
  <c r="G361" i="140"/>
  <c r="D90" i="211"/>
  <c r="G369" i="140"/>
  <c r="C366" i="195"/>
  <c r="G373" i="140"/>
  <c r="C370" i="195"/>
  <c r="M20" i="132"/>
  <c r="C9" i="195"/>
  <c r="G10" i="140"/>
  <c r="J10" s="1"/>
  <c r="O10" s="1"/>
  <c r="C21" i="195"/>
  <c r="C55" i="211"/>
  <c r="F55" s="1"/>
  <c r="G22" i="140"/>
  <c r="C33" i="195"/>
  <c r="C51" i="211"/>
  <c r="F51" s="1"/>
  <c r="O51" s="1"/>
  <c r="O93" s="1"/>
  <c r="C22" i="165" s="1"/>
  <c r="E37" i="139" s="1"/>
  <c r="G34" i="140"/>
  <c r="C69" i="195"/>
  <c r="G71" i="140"/>
  <c r="C63" i="211"/>
  <c r="F63" s="1"/>
  <c r="C101" i="195"/>
  <c r="G103" i="140"/>
  <c r="C70" i="211"/>
  <c r="F70" s="1"/>
  <c r="C117" i="195"/>
  <c r="G119" i="140"/>
  <c r="C74" i="211"/>
  <c r="C97" i="195"/>
  <c r="G99" i="140"/>
  <c r="C81" i="211"/>
  <c r="F81" s="1"/>
  <c r="C145" i="195"/>
  <c r="G147" i="140"/>
  <c r="C82" i="211"/>
  <c r="F82" s="1"/>
  <c r="C185" i="195"/>
  <c r="G195" i="140"/>
  <c r="M304" i="132"/>
  <c r="C37" i="195"/>
  <c r="G39" i="140"/>
  <c r="C53" i="195"/>
  <c r="G55" i="140"/>
  <c r="C59" i="211"/>
  <c r="F59" s="1"/>
  <c r="C73" i="195"/>
  <c r="G75" i="140"/>
  <c r="C64" i="211"/>
  <c r="C85" i="195"/>
  <c r="C67" i="211"/>
  <c r="C89" i="195"/>
  <c r="G91" i="140"/>
  <c r="C68" i="211"/>
  <c r="C73"/>
  <c r="C113" i="195"/>
  <c r="G115" i="140"/>
  <c r="C125" i="195"/>
  <c r="C76" i="211"/>
  <c r="G127" i="140"/>
  <c r="C137" i="195"/>
  <c r="G139" i="140"/>
  <c r="C79" i="211"/>
  <c r="C161" i="195"/>
  <c r="G163" i="140"/>
  <c r="C86" i="211"/>
  <c r="M1910" i="132"/>
  <c r="C209" i="195"/>
  <c r="G183" i="140"/>
  <c r="C89" i="211"/>
  <c r="C173" i="195"/>
  <c r="G175" i="140"/>
  <c r="C153" i="195"/>
  <c r="G155" i="140"/>
  <c r="C84" i="211"/>
  <c r="C91"/>
  <c r="F91" s="1"/>
  <c r="C213" i="195"/>
  <c r="G187" i="140"/>
  <c r="C189" i="195"/>
  <c r="G199" i="140"/>
  <c r="C205" i="195"/>
  <c r="G215" i="140"/>
  <c r="C17" i="195"/>
  <c r="G18" i="140"/>
  <c r="C54" i="211"/>
  <c r="F54" s="1"/>
  <c r="C52"/>
  <c r="F52" s="1"/>
  <c r="P52" s="1"/>
  <c r="P93" s="1"/>
  <c r="C25" i="195"/>
  <c r="G26" i="140"/>
  <c r="C29" i="195"/>
  <c r="G30" i="140"/>
  <c r="C53" i="211"/>
  <c r="F53" s="1"/>
  <c r="R53" s="1"/>
  <c r="R93" s="1"/>
  <c r="C49" i="195"/>
  <c r="G51" i="140"/>
  <c r="C58" i="211"/>
  <c r="F58" s="1"/>
  <c r="C65" i="195"/>
  <c r="G67" i="140"/>
  <c r="C61" i="211"/>
  <c r="F61" s="1"/>
  <c r="C57" i="195"/>
  <c r="G59" i="140"/>
  <c r="C60" i="211"/>
  <c r="C77" i="195"/>
  <c r="G79" i="140"/>
  <c r="C65" i="211"/>
  <c r="C61" i="195"/>
  <c r="G63" i="140"/>
  <c r="C62" i="211"/>
  <c r="C81" i="195"/>
  <c r="G83" i="140"/>
  <c r="C66" i="211"/>
  <c r="C109" i="195"/>
  <c r="G111" i="140"/>
  <c r="C72" i="211"/>
  <c r="C105" i="195"/>
  <c r="C71" i="211"/>
  <c r="G107" i="140"/>
  <c r="C93" i="195"/>
  <c r="C69" i="211"/>
  <c r="G95" i="140"/>
  <c r="C129" i="195"/>
  <c r="G131" i="140"/>
  <c r="C77" i="211"/>
  <c r="C75"/>
  <c r="C121" i="195"/>
  <c r="G123" i="140"/>
  <c r="C78" i="211"/>
  <c r="C133" i="195"/>
  <c r="G135" i="140"/>
  <c r="C141" i="195"/>
  <c r="C80" i="211"/>
  <c r="G143" i="140"/>
  <c r="C165" i="195"/>
  <c r="C87" i="211"/>
  <c r="G167" i="140"/>
  <c r="C169" i="195"/>
  <c r="G171" i="140"/>
  <c r="C88" i="211"/>
  <c r="C177" i="195"/>
  <c r="G179" i="140"/>
  <c r="C90" i="211"/>
  <c r="C85"/>
  <c r="C157" i="195"/>
  <c r="G159" i="140"/>
  <c r="C149" i="195"/>
  <c r="C83" i="211"/>
  <c r="G151" i="140"/>
  <c r="C181" i="195"/>
  <c r="G191" i="140"/>
  <c r="C193" i="195"/>
  <c r="G203" i="140"/>
  <c r="M2356" i="132"/>
  <c r="C217" i="195"/>
  <c r="G219" i="140"/>
  <c r="J219" s="1"/>
  <c r="O219" s="1"/>
  <c r="L56" i="211"/>
  <c r="E19" i="250"/>
  <c r="F18"/>
  <c r="L18" s="1"/>
  <c r="E2785" i="214" s="1"/>
  <c r="F2785" s="1"/>
  <c r="E19" i="240"/>
  <c r="F18"/>
  <c r="L18" s="1"/>
  <c r="E1868" i="214" s="1"/>
  <c r="F1868" s="1"/>
  <c r="Q51" i="196"/>
  <c r="Q55" s="1"/>
  <c r="Q59" s="1"/>
  <c r="Q63" s="1"/>
  <c r="H464" i="216"/>
  <c r="H465" s="1"/>
  <c r="H372"/>
  <c r="G1839" i="214"/>
  <c r="I429" i="215"/>
  <c r="I430" s="1"/>
  <c r="M2333" i="132"/>
  <c r="G1261" i="214"/>
  <c r="G1262" s="1"/>
  <c r="G1249"/>
  <c r="G1250" s="1"/>
  <c r="G1251" s="1"/>
  <c r="F1116"/>
  <c r="G1116"/>
  <c r="G1227"/>
  <c r="E1228"/>
  <c r="G1228" s="1"/>
  <c r="F1725"/>
  <c r="E1727"/>
  <c r="E1728" s="1"/>
  <c r="K2033" i="132" s="1"/>
  <c r="E1760" i="214"/>
  <c r="E1762" s="1"/>
  <c r="E1763" s="1"/>
  <c r="K2147" i="132" s="1"/>
  <c r="G1760" i="214"/>
  <c r="G1762" s="1"/>
  <c r="G1763" s="1"/>
  <c r="K883" i="194" s="1"/>
  <c r="I514" i="309" s="1"/>
  <c r="F1760" i="214"/>
  <c r="F1762" s="1"/>
  <c r="F1763" s="1"/>
  <c r="K1420" i="192" s="1"/>
  <c r="I373" i="309" s="1"/>
  <c r="F1710" i="214"/>
  <c r="E1712"/>
  <c r="E1713" s="1"/>
  <c r="K1966" i="132" s="1"/>
  <c r="I191" i="309" s="1"/>
  <c r="E1774" i="214"/>
  <c r="E1776" s="1"/>
  <c r="E1777" s="1"/>
  <c r="K2262" i="132" s="1"/>
  <c r="I203" i="309" s="1"/>
  <c r="G1774" i="214"/>
  <c r="G1776" s="1"/>
  <c r="G1777" s="1"/>
  <c r="K914" i="194" s="1"/>
  <c r="F1774" i="214"/>
  <c r="F1776" s="1"/>
  <c r="F1777" s="1"/>
  <c r="K1493" i="192" s="1"/>
  <c r="H315" i="216" l="1"/>
  <c r="K2647" i="132" s="1"/>
  <c r="M2647" s="1"/>
  <c r="E566" i="195"/>
  <c r="F566" s="1"/>
  <c r="J566" s="1"/>
  <c r="G3138" i="214"/>
  <c r="E3140" s="1"/>
  <c r="F708" i="305"/>
  <c r="J708" s="1"/>
  <c r="F547"/>
  <c r="G547" s="1"/>
  <c r="F676"/>
  <c r="G676" s="1"/>
  <c r="I569" i="140"/>
  <c r="J569" s="1"/>
  <c r="O569" s="1"/>
  <c r="F567" i="305"/>
  <c r="G567" s="1"/>
  <c r="I569" i="309"/>
  <c r="J569" s="1"/>
  <c r="F785" i="305"/>
  <c r="G785" s="1"/>
  <c r="F789"/>
  <c r="G789" s="1"/>
  <c r="F566"/>
  <c r="G566" s="1"/>
  <c r="K2632" i="132"/>
  <c r="M2632" s="1"/>
  <c r="K2670"/>
  <c r="M2670" s="1"/>
  <c r="M93" i="310"/>
  <c r="M184" s="1"/>
  <c r="M186" s="1"/>
  <c r="E738" i="195"/>
  <c r="F738" s="1"/>
  <c r="J738" s="1"/>
  <c r="S163" i="211"/>
  <c r="E846" i="195"/>
  <c r="F846" s="1"/>
  <c r="J846" s="1"/>
  <c r="G39" i="139"/>
  <c r="G38"/>
  <c r="I804" i="140"/>
  <c r="J804" s="1"/>
  <c r="O804" s="1"/>
  <c r="E858" i="195"/>
  <c r="F858" s="1"/>
  <c r="J858" s="1"/>
  <c r="E548"/>
  <c r="F548" s="1"/>
  <c r="J548" s="1"/>
  <c r="I908" i="140"/>
  <c r="J908" s="1"/>
  <c r="O908" s="1"/>
  <c r="E894" i="195"/>
  <c r="F894" s="1"/>
  <c r="J894" s="1"/>
  <c r="I848" i="140"/>
  <c r="J848" s="1"/>
  <c r="O848" s="1"/>
  <c r="E556" i="195"/>
  <c r="F556" s="1"/>
  <c r="J556" s="1"/>
  <c r="M163" i="211"/>
  <c r="E874" i="195"/>
  <c r="F874" s="1"/>
  <c r="J874" s="1"/>
  <c r="I788" i="140"/>
  <c r="J788" s="1"/>
  <c r="O788" s="1"/>
  <c r="I872"/>
  <c r="J872" s="1"/>
  <c r="O872" s="1"/>
  <c r="E822" i="195"/>
  <c r="F822" s="1"/>
  <c r="J822" s="1"/>
  <c r="I792" i="140"/>
  <c r="J792" s="1"/>
  <c r="O792" s="1"/>
  <c r="I796"/>
  <c r="J796" s="1"/>
  <c r="O796" s="1"/>
  <c r="I531"/>
  <c r="J531" s="1"/>
  <c r="O531" s="1"/>
  <c r="E612" i="195"/>
  <c r="F612" s="1"/>
  <c r="J612" s="1"/>
  <c r="S166" i="211"/>
  <c r="F747" i="305"/>
  <c r="G747" s="1"/>
  <c r="F877"/>
  <c r="G877" s="1"/>
  <c r="S69" i="310"/>
  <c r="S93" s="1"/>
  <c r="S184" s="1"/>
  <c r="S185" s="1"/>
  <c r="N69"/>
  <c r="N93" s="1"/>
  <c r="N184" s="1"/>
  <c r="N186" s="1"/>
  <c r="S123" i="211"/>
  <c r="S168"/>
  <c r="E744" i="195"/>
  <c r="F744" s="1"/>
  <c r="J744" s="1"/>
  <c r="F897" i="305"/>
  <c r="G897" s="1"/>
  <c r="F797"/>
  <c r="G797" s="1"/>
  <c r="F781"/>
  <c r="G781" s="1"/>
  <c r="E830" i="195"/>
  <c r="F830" s="1"/>
  <c r="J830" s="1"/>
  <c r="E766"/>
  <c r="F766" s="1"/>
  <c r="J766" s="1"/>
  <c r="E818"/>
  <c r="F818" s="1"/>
  <c r="J818" s="1"/>
  <c r="E794"/>
  <c r="F794" s="1"/>
  <c r="J794" s="1"/>
  <c r="I604" i="140"/>
  <c r="J604" s="1"/>
  <c r="O604" s="1"/>
  <c r="I544"/>
  <c r="J544" s="1"/>
  <c r="O544" s="1"/>
  <c r="F549" i="305"/>
  <c r="G549" s="1"/>
  <c r="I884" i="140"/>
  <c r="J884" s="1"/>
  <c r="O884" s="1"/>
  <c r="I748"/>
  <c r="J748" s="1"/>
  <c r="O748" s="1"/>
  <c r="E774" i="195"/>
  <c r="F774" s="1"/>
  <c r="J774" s="1"/>
  <c r="E898"/>
  <c r="F898" s="1"/>
  <c r="J898" s="1"/>
  <c r="E862"/>
  <c r="F862" s="1"/>
  <c r="J862" s="1"/>
  <c r="E790"/>
  <c r="F790" s="1"/>
  <c r="J790" s="1"/>
  <c r="I780" i="140"/>
  <c r="J780" s="1"/>
  <c r="O780" s="1"/>
  <c r="I904"/>
  <c r="J904" s="1"/>
  <c r="O904" s="1"/>
  <c r="E838" i="195"/>
  <c r="F838" s="1"/>
  <c r="J838" s="1"/>
  <c r="E778"/>
  <c r="F778" s="1"/>
  <c r="J778" s="1"/>
  <c r="I856" i="140"/>
  <c r="J856" s="1"/>
  <c r="O856" s="1"/>
  <c r="E782" i="195"/>
  <c r="F782" s="1"/>
  <c r="J782" s="1"/>
  <c r="I559" i="140"/>
  <c r="J559" s="1"/>
  <c r="O559" s="1"/>
  <c r="I547"/>
  <c r="J547" s="1"/>
  <c r="O547" s="1"/>
  <c r="I551"/>
  <c r="J551" s="1"/>
  <c r="O551" s="1"/>
  <c r="E605" i="195"/>
  <c r="F605" s="1"/>
  <c r="J605" s="1"/>
  <c r="I568" i="140"/>
  <c r="J568" s="1"/>
  <c r="O568" s="1"/>
  <c r="I754"/>
  <c r="J754" s="1"/>
  <c r="O754" s="1"/>
  <c r="E545" i="195"/>
  <c r="F545" s="1"/>
  <c r="J545" s="1"/>
  <c r="F901" i="305"/>
  <c r="G901" s="1"/>
  <c r="F841"/>
  <c r="G841" s="1"/>
  <c r="F865"/>
  <c r="J865" s="1"/>
  <c r="F773"/>
  <c r="G773" s="1"/>
  <c r="F741"/>
  <c r="G741" s="1"/>
  <c r="F849"/>
  <c r="G849" s="1"/>
  <c r="F557"/>
  <c r="G557" s="1"/>
  <c r="F545"/>
  <c r="G545" s="1"/>
  <c r="E850" i="195"/>
  <c r="F850" s="1"/>
  <c r="J850" s="1"/>
  <c r="E798"/>
  <c r="F798" s="1"/>
  <c r="J798" s="1"/>
  <c r="E866"/>
  <c r="F866" s="1"/>
  <c r="J866" s="1"/>
  <c r="E870"/>
  <c r="F870" s="1"/>
  <c r="J870" s="1"/>
  <c r="E886"/>
  <c r="E834"/>
  <c r="F834" s="1"/>
  <c r="J834" s="1"/>
  <c r="I592" i="140"/>
  <c r="J592" s="1"/>
  <c r="O592" s="1"/>
  <c r="I802"/>
  <c r="J802" s="1"/>
  <c r="O802" s="1"/>
  <c r="I610"/>
  <c r="J610" s="1"/>
  <c r="O610" s="1"/>
  <c r="F873" i="305"/>
  <c r="J873" s="1"/>
  <c r="F795"/>
  <c r="G795" s="1"/>
  <c r="F853"/>
  <c r="G853" s="1"/>
  <c r="F833"/>
  <c r="G833" s="1"/>
  <c r="F889"/>
  <c r="G889" s="1"/>
  <c r="F801"/>
  <c r="G801" s="1"/>
  <c r="F837"/>
  <c r="G837" s="1"/>
  <c r="I860" i="140"/>
  <c r="J860" s="1"/>
  <c r="O860" s="1"/>
  <c r="I840"/>
  <c r="J840" s="1"/>
  <c r="O840" s="1"/>
  <c r="I812"/>
  <c r="J812" s="1"/>
  <c r="O812" s="1"/>
  <c r="I776"/>
  <c r="J776" s="1"/>
  <c r="O776" s="1"/>
  <c r="I880"/>
  <c r="J880" s="1"/>
  <c r="O880" s="1"/>
  <c r="I868"/>
  <c r="J868" s="1"/>
  <c r="O868" s="1"/>
  <c r="I876"/>
  <c r="J876" s="1"/>
  <c r="O876" s="1"/>
  <c r="I832"/>
  <c r="J832" s="1"/>
  <c r="O832" s="1"/>
  <c r="I896"/>
  <c r="J896" s="1"/>
  <c r="O896" s="1"/>
  <c r="I808"/>
  <c r="J808" s="1"/>
  <c r="O808" s="1"/>
  <c r="I844"/>
  <c r="J844" s="1"/>
  <c r="O844" s="1"/>
  <c r="I563"/>
  <c r="J563" s="1"/>
  <c r="O563" s="1"/>
  <c r="E600" i="195"/>
  <c r="F600" s="1"/>
  <c r="J600" s="1"/>
  <c r="E609"/>
  <c r="F609" s="1"/>
  <c r="J609" s="1"/>
  <c r="I801" i="140"/>
  <c r="J801" s="1"/>
  <c r="O801" s="1"/>
  <c r="E606" i="195"/>
  <c r="F606" s="1"/>
  <c r="J606" s="1"/>
  <c r="F794" i="305"/>
  <c r="G794" s="1"/>
  <c r="F602"/>
  <c r="G602" s="1"/>
  <c r="I613" i="140"/>
  <c r="J613" s="1"/>
  <c r="O613" s="1"/>
  <c r="E537" i="195"/>
  <c r="F537" s="1"/>
  <c r="J537" s="1"/>
  <c r="I532" i="140"/>
  <c r="J532" s="1"/>
  <c r="O532" s="1"/>
  <c r="E787" i="195"/>
  <c r="F787" s="1"/>
  <c r="J787" s="1"/>
  <c r="E788"/>
  <c r="F788" s="1"/>
  <c r="J788" s="1"/>
  <c r="I561" i="140"/>
  <c r="J561" s="1"/>
  <c r="O561" s="1"/>
  <c r="F861" i="305"/>
  <c r="G861" s="1"/>
  <c r="F869"/>
  <c r="G869" s="1"/>
  <c r="F825"/>
  <c r="G825" s="1"/>
  <c r="F805"/>
  <c r="J805" s="1"/>
  <c r="F769"/>
  <c r="G769" s="1"/>
  <c r="F611"/>
  <c r="G611" s="1"/>
  <c r="F608"/>
  <c r="G608" s="1"/>
  <c r="O655" i="309"/>
  <c r="O651"/>
  <c r="O626"/>
  <c r="O699"/>
  <c r="O715"/>
  <c r="O723"/>
  <c r="O743"/>
  <c r="O656"/>
  <c r="O652"/>
  <c r="O627"/>
  <c r="O700"/>
  <c r="O716"/>
  <c r="O724"/>
  <c r="O744"/>
  <c r="O659"/>
  <c r="O769"/>
  <c r="O825"/>
  <c r="O901"/>
  <c r="O889"/>
  <c r="O766"/>
  <c r="O786"/>
  <c r="O826"/>
  <c r="E532" i="195"/>
  <c r="F532" s="1"/>
  <c r="J532" s="1"/>
  <c r="E588"/>
  <c r="F588" s="1"/>
  <c r="J588" s="1"/>
  <c r="E560"/>
  <c r="F560" s="1"/>
  <c r="J560" s="1"/>
  <c r="E528"/>
  <c r="F528" s="1"/>
  <c r="J528" s="1"/>
  <c r="I616" i="140"/>
  <c r="J616" s="1"/>
  <c r="O616" s="1"/>
  <c r="I609"/>
  <c r="J609" s="1"/>
  <c r="O609" s="1"/>
  <c r="I536"/>
  <c r="J536" s="1"/>
  <c r="O536" s="1"/>
  <c r="E533" i="195"/>
  <c r="F533" s="1"/>
  <c r="J533" s="1"/>
  <c r="E558"/>
  <c r="F558" s="1"/>
  <c r="J558" s="1"/>
  <c r="E565"/>
  <c r="F565" s="1"/>
  <c r="J565" s="1"/>
  <c r="F614" i="305"/>
  <c r="G614" s="1"/>
  <c r="F607"/>
  <c r="G607" s="1"/>
  <c r="F559"/>
  <c r="G559" s="1"/>
  <c r="F534"/>
  <c r="G534" s="1"/>
  <c r="F561"/>
  <c r="G561" s="1"/>
  <c r="F590"/>
  <c r="G590" s="1"/>
  <c r="F688"/>
  <c r="G688" s="1"/>
  <c r="F668"/>
  <c r="G668" s="1"/>
  <c r="I549" i="140"/>
  <c r="J549" s="1"/>
  <c r="O549" s="1"/>
  <c r="E550" i="195"/>
  <c r="F550" s="1"/>
  <c r="J550" s="1"/>
  <c r="I549" i="309"/>
  <c r="I561"/>
  <c r="I568"/>
  <c r="I536"/>
  <c r="I551"/>
  <c r="I592"/>
  <c r="I531"/>
  <c r="O684"/>
  <c r="O663"/>
  <c r="O634"/>
  <c r="O643"/>
  <c r="O707"/>
  <c r="O719"/>
  <c r="O731"/>
  <c r="O685"/>
  <c r="O664"/>
  <c r="O635"/>
  <c r="O644"/>
  <c r="O708"/>
  <c r="O720"/>
  <c r="O732"/>
  <c r="O676"/>
  <c r="O667"/>
  <c r="O630"/>
  <c r="O703"/>
  <c r="O735"/>
  <c r="O739"/>
  <c r="O677"/>
  <c r="O668"/>
  <c r="O647"/>
  <c r="O638"/>
  <c r="O711"/>
  <c r="O727"/>
  <c r="O688"/>
  <c r="O631"/>
  <c r="O704"/>
  <c r="O660"/>
  <c r="O648"/>
  <c r="O639"/>
  <c r="O712"/>
  <c r="O728"/>
  <c r="O689"/>
  <c r="O573"/>
  <c r="O574"/>
  <c r="O578"/>
  <c r="O581"/>
  <c r="O736"/>
  <c r="O740"/>
  <c r="O854"/>
  <c r="O757"/>
  <c r="O773"/>
  <c r="O821"/>
  <c r="O853"/>
  <c r="O762"/>
  <c r="O818"/>
  <c r="O902"/>
  <c r="O890"/>
  <c r="I754"/>
  <c r="I801"/>
  <c r="I908"/>
  <c r="I776"/>
  <c r="I884"/>
  <c r="I860"/>
  <c r="I748"/>
  <c r="I840"/>
  <c r="I788"/>
  <c r="I896"/>
  <c r="I856"/>
  <c r="I808"/>
  <c r="I796"/>
  <c r="I880"/>
  <c r="I780"/>
  <c r="I802"/>
  <c r="I904"/>
  <c r="I868"/>
  <c r="I848"/>
  <c r="I876"/>
  <c r="I792"/>
  <c r="I832"/>
  <c r="I872"/>
  <c r="I812"/>
  <c r="I804"/>
  <c r="I844"/>
  <c r="O861"/>
  <c r="J852"/>
  <c r="E852"/>
  <c r="F852" s="1"/>
  <c r="J820"/>
  <c r="E820"/>
  <c r="F820" s="1"/>
  <c r="J768"/>
  <c r="E768"/>
  <c r="F768" s="1"/>
  <c r="J782"/>
  <c r="E782"/>
  <c r="F782" s="1"/>
  <c r="J882"/>
  <c r="E882"/>
  <c r="F882" s="1"/>
  <c r="J809"/>
  <c r="E809"/>
  <c r="F809" s="1"/>
  <c r="J897"/>
  <c r="E897"/>
  <c r="F897" s="1"/>
  <c r="E810"/>
  <c r="F810" s="1"/>
  <c r="J810"/>
  <c r="E898"/>
  <c r="F898" s="1"/>
  <c r="J898"/>
  <c r="E869"/>
  <c r="F869" s="1"/>
  <c r="J869"/>
  <c r="E750"/>
  <c r="F750" s="1"/>
  <c r="J750"/>
  <c r="E906"/>
  <c r="F906" s="1"/>
  <c r="J906"/>
  <c r="E793"/>
  <c r="F793" s="1"/>
  <c r="J793"/>
  <c r="E790"/>
  <c r="F790" s="1"/>
  <c r="J790"/>
  <c r="E888"/>
  <c r="F888" s="1"/>
  <c r="J888"/>
  <c r="E900"/>
  <c r="F900" s="1"/>
  <c r="J900"/>
  <c r="E824"/>
  <c r="F824" s="1"/>
  <c r="J824"/>
  <c r="E772"/>
  <c r="F772" s="1"/>
  <c r="J772"/>
  <c r="E756"/>
  <c r="F756" s="1"/>
  <c r="J756"/>
  <c r="E845"/>
  <c r="F845" s="1"/>
  <c r="J845"/>
  <c r="E777"/>
  <c r="F777" s="1"/>
  <c r="J777"/>
  <c r="E813"/>
  <c r="F813" s="1"/>
  <c r="J813"/>
  <c r="J778"/>
  <c r="E778"/>
  <c r="F778" s="1"/>
  <c r="J814"/>
  <c r="E814"/>
  <c r="F814" s="1"/>
  <c r="J910"/>
  <c r="E910"/>
  <c r="F910" s="1"/>
  <c r="J885"/>
  <c r="E885"/>
  <c r="F885" s="1"/>
  <c r="J850"/>
  <c r="E850"/>
  <c r="F850" s="1"/>
  <c r="J789"/>
  <c r="E789"/>
  <c r="F789" s="1"/>
  <c r="J834"/>
  <c r="E834"/>
  <c r="F834" s="1"/>
  <c r="J878"/>
  <c r="E878"/>
  <c r="F878" s="1"/>
  <c r="K3900" i="132"/>
  <c r="M3900" s="1"/>
  <c r="J892" i="309"/>
  <c r="E892"/>
  <c r="F892" s="1"/>
  <c r="J828"/>
  <c r="E828"/>
  <c r="F828" s="1"/>
  <c r="J784"/>
  <c r="E784"/>
  <c r="F784" s="1"/>
  <c r="J760"/>
  <c r="E760"/>
  <c r="F760" s="1"/>
  <c r="J881"/>
  <c r="E881"/>
  <c r="F881" s="1"/>
  <c r="J797"/>
  <c r="E797"/>
  <c r="F797" s="1"/>
  <c r="J857"/>
  <c r="E857"/>
  <c r="F857" s="1"/>
  <c r="E798"/>
  <c r="F798" s="1"/>
  <c r="J798"/>
  <c r="E858"/>
  <c r="F858" s="1"/>
  <c r="J858"/>
  <c r="E749"/>
  <c r="F749" s="1"/>
  <c r="J749"/>
  <c r="E905"/>
  <c r="F905" s="1"/>
  <c r="J905"/>
  <c r="E870"/>
  <c r="F870" s="1"/>
  <c r="J870"/>
  <c r="E833"/>
  <c r="F833" s="1"/>
  <c r="J833"/>
  <c r="E877"/>
  <c r="F877" s="1"/>
  <c r="J877"/>
  <c r="E842"/>
  <c r="F842" s="1"/>
  <c r="J842"/>
  <c r="E864"/>
  <c r="F864" s="1"/>
  <c r="J864"/>
  <c r="E836"/>
  <c r="F836" s="1"/>
  <c r="J836"/>
  <c r="E816"/>
  <c r="F816" s="1"/>
  <c r="J816"/>
  <c r="E764"/>
  <c r="F764" s="1"/>
  <c r="J764"/>
  <c r="E781"/>
  <c r="F781" s="1"/>
  <c r="J781"/>
  <c r="E846"/>
  <c r="F846" s="1"/>
  <c r="J846"/>
  <c r="E805"/>
  <c r="F805" s="1"/>
  <c r="J805"/>
  <c r="E873"/>
  <c r="F873" s="1"/>
  <c r="J873"/>
  <c r="J806"/>
  <c r="E806"/>
  <c r="F806" s="1"/>
  <c r="J874"/>
  <c r="E874"/>
  <c r="F874" s="1"/>
  <c r="J849"/>
  <c r="E849"/>
  <c r="F849" s="1"/>
  <c r="E909"/>
  <c r="F909" s="1"/>
  <c r="J909"/>
  <c r="J886"/>
  <c r="E886"/>
  <c r="F886" s="1"/>
  <c r="J841"/>
  <c r="E841"/>
  <c r="F841" s="1"/>
  <c r="J794"/>
  <c r="E794"/>
  <c r="F794" s="1"/>
  <c r="O761"/>
  <c r="O817"/>
  <c r="O837"/>
  <c r="O865"/>
  <c r="O758"/>
  <c r="O774"/>
  <c r="O822"/>
  <c r="O838"/>
  <c r="O894"/>
  <c r="O765"/>
  <c r="O785"/>
  <c r="O829"/>
  <c r="O893"/>
  <c r="O770"/>
  <c r="O830"/>
  <c r="O866"/>
  <c r="J738"/>
  <c r="E738"/>
  <c r="F738" s="1"/>
  <c r="J734"/>
  <c r="E734"/>
  <c r="F734" s="1"/>
  <c r="J702"/>
  <c r="E702"/>
  <c r="F702" s="1"/>
  <c r="J629"/>
  <c r="E629"/>
  <c r="F629" s="1"/>
  <c r="J666"/>
  <c r="E666"/>
  <c r="F666" s="1"/>
  <c r="J675"/>
  <c r="E675"/>
  <c r="F675" s="1"/>
  <c r="E681"/>
  <c r="F681" s="1"/>
  <c r="J681"/>
  <c r="E742"/>
  <c r="F742" s="1"/>
  <c r="J742"/>
  <c r="E722"/>
  <c r="F722" s="1"/>
  <c r="J722"/>
  <c r="E706"/>
  <c r="F706" s="1"/>
  <c r="J706"/>
  <c r="E642"/>
  <c r="F642" s="1"/>
  <c r="J642"/>
  <c r="E633"/>
  <c r="F633" s="1"/>
  <c r="J633"/>
  <c r="E662"/>
  <c r="F662" s="1"/>
  <c r="J662"/>
  <c r="E683"/>
  <c r="F683" s="1"/>
  <c r="J683"/>
  <c r="J680"/>
  <c r="E680"/>
  <c r="F680" s="1"/>
  <c r="I671"/>
  <c r="I714"/>
  <c r="I692"/>
  <c r="I679"/>
  <c r="J687"/>
  <c r="E687"/>
  <c r="F687" s="1"/>
  <c r="J726"/>
  <c r="E726"/>
  <c r="F726" s="1"/>
  <c r="J710"/>
  <c r="E710"/>
  <c r="F710" s="1"/>
  <c r="J637"/>
  <c r="E637"/>
  <c r="F637" s="1"/>
  <c r="J646"/>
  <c r="E646"/>
  <c r="F646" s="1"/>
  <c r="J658"/>
  <c r="E658"/>
  <c r="F658" s="1"/>
  <c r="E672"/>
  <c r="F672" s="1"/>
  <c r="J672"/>
  <c r="E673"/>
  <c r="F673" s="1"/>
  <c r="J673"/>
  <c r="E730"/>
  <c r="F730" s="1"/>
  <c r="J730"/>
  <c r="E718"/>
  <c r="F718" s="1"/>
  <c r="J718"/>
  <c r="E698"/>
  <c r="F698" s="1"/>
  <c r="J698"/>
  <c r="E625"/>
  <c r="F625" s="1"/>
  <c r="J625"/>
  <c r="E650"/>
  <c r="F650" s="1"/>
  <c r="J650"/>
  <c r="E654"/>
  <c r="F654" s="1"/>
  <c r="J654"/>
  <c r="J694"/>
  <c r="E694"/>
  <c r="F694" s="1"/>
  <c r="K2690" i="132"/>
  <c r="M2690" s="1"/>
  <c r="K2652"/>
  <c r="M2652" s="1"/>
  <c r="K2662"/>
  <c r="M2662" s="1"/>
  <c r="K2984"/>
  <c r="M2984" s="1"/>
  <c r="K2657"/>
  <c r="M2657" s="1"/>
  <c r="E584" i="309"/>
  <c r="F584" s="1"/>
  <c r="J584"/>
  <c r="J545"/>
  <c r="E545"/>
  <c r="F545" s="1"/>
  <c r="J533"/>
  <c r="E533"/>
  <c r="F533" s="1"/>
  <c r="J564"/>
  <c r="E564"/>
  <c r="F564" s="1"/>
  <c r="J593"/>
  <c r="E593"/>
  <c r="F593" s="1"/>
  <c r="J576"/>
  <c r="E576"/>
  <c r="F576" s="1"/>
  <c r="E552"/>
  <c r="F552" s="1"/>
  <c r="J552"/>
  <c r="E553"/>
  <c r="F553" s="1"/>
  <c r="J553"/>
  <c r="E557"/>
  <c r="F557" s="1"/>
  <c r="J557"/>
  <c r="E548"/>
  <c r="F548" s="1"/>
  <c r="J548"/>
  <c r="E529"/>
  <c r="F529" s="1"/>
  <c r="J529"/>
  <c r="F542" i="305"/>
  <c r="G542" s="1"/>
  <c r="F530"/>
  <c r="G530" s="1"/>
  <c r="O585" i="309"/>
  <c r="O586"/>
  <c r="O577"/>
  <c r="O582"/>
  <c r="I544"/>
  <c r="I532"/>
  <c r="I559"/>
  <c r="I563"/>
  <c r="I547"/>
  <c r="K2850" i="132"/>
  <c r="M2850" s="1"/>
  <c r="E572" i="309"/>
  <c r="F572" s="1"/>
  <c r="J572"/>
  <c r="J540"/>
  <c r="E540"/>
  <c r="F540" s="1"/>
  <c r="J565"/>
  <c r="E565"/>
  <c r="F565" s="1"/>
  <c r="J594"/>
  <c r="E594"/>
  <c r="F594" s="1"/>
  <c r="J580"/>
  <c r="E580"/>
  <c r="F580" s="1"/>
  <c r="E537"/>
  <c r="F537" s="1"/>
  <c r="J537"/>
  <c r="E560"/>
  <c r="F560" s="1"/>
  <c r="J560"/>
  <c r="E556"/>
  <c r="F556" s="1"/>
  <c r="J556"/>
  <c r="E528"/>
  <c r="F528" s="1"/>
  <c r="J528"/>
  <c r="E541"/>
  <c r="F541" s="1"/>
  <c r="J541"/>
  <c r="K2751" i="132"/>
  <c r="M2751" s="1"/>
  <c r="E606" i="309"/>
  <c r="F606" s="1"/>
  <c r="J606"/>
  <c r="O622"/>
  <c r="I610"/>
  <c r="I609"/>
  <c r="I604"/>
  <c r="I616"/>
  <c r="O621"/>
  <c r="I613"/>
  <c r="O617"/>
  <c r="K2743" i="132"/>
  <c r="M2743" s="1"/>
  <c r="K2861"/>
  <c r="M2861" s="1"/>
  <c r="K2995"/>
  <c r="M2995" s="1"/>
  <c r="E605" i="309"/>
  <c r="F605" s="1"/>
  <c r="J605"/>
  <c r="E620"/>
  <c r="F620" s="1"/>
  <c r="J620"/>
  <c r="O693"/>
  <c r="O618"/>
  <c r="S122" i="211"/>
  <c r="N122"/>
  <c r="S159"/>
  <c r="N159"/>
  <c r="S113"/>
  <c r="N113"/>
  <c r="S158"/>
  <c r="N158"/>
  <c r="N183" s="1"/>
  <c r="S121"/>
  <c r="N121"/>
  <c r="O862" i="309"/>
  <c r="O31"/>
  <c r="O207"/>
  <c r="J191"/>
  <c r="E191"/>
  <c r="F191" s="1"/>
  <c r="F198" i="305"/>
  <c r="G198" s="1"/>
  <c r="I199" i="309"/>
  <c r="F368" i="305"/>
  <c r="G368" s="1"/>
  <c r="I370" i="309"/>
  <c r="F506" i="305"/>
  <c r="G506" s="1"/>
  <c r="I508" i="309"/>
  <c r="F375" i="305"/>
  <c r="G375" s="1"/>
  <c r="I377" i="309"/>
  <c r="J203"/>
  <c r="E203"/>
  <c r="F203" s="1"/>
  <c r="J514"/>
  <c r="E514"/>
  <c r="F514" s="1"/>
  <c r="F194" i="305"/>
  <c r="G194" s="1"/>
  <c r="I195" i="309"/>
  <c r="F509" i="305"/>
  <c r="G509" s="1"/>
  <c r="I511" i="309"/>
  <c r="F505" i="305"/>
  <c r="G505" s="1"/>
  <c r="I507" i="309"/>
  <c r="F369" i="305"/>
  <c r="G369" s="1"/>
  <c r="I371" i="309"/>
  <c r="F365" i="305"/>
  <c r="G365" s="1"/>
  <c r="I367" i="309"/>
  <c r="F36" i="305"/>
  <c r="G36" s="1"/>
  <c r="I36" i="309"/>
  <c r="F35" i="305"/>
  <c r="G35" s="1"/>
  <c r="I35" i="309"/>
  <c r="G2545" i="214"/>
  <c r="G2562"/>
  <c r="G3444"/>
  <c r="F3446" s="1"/>
  <c r="F3448" s="1"/>
  <c r="F3449" s="1"/>
  <c r="K1002" i="192" s="1"/>
  <c r="F516" i="305"/>
  <c r="G516" s="1"/>
  <c r="I518" i="309"/>
  <c r="J373"/>
  <c r="E373"/>
  <c r="F373" s="1"/>
  <c r="F364" i="305"/>
  <c r="G364" s="1"/>
  <c r="I366" i="309"/>
  <c r="F510" i="305"/>
  <c r="G510" s="1"/>
  <c r="I512" i="309"/>
  <c r="J200"/>
  <c r="E200"/>
  <c r="F200" s="1"/>
  <c r="J378"/>
  <c r="E378"/>
  <c r="F378" s="1"/>
  <c r="J519"/>
  <c r="E519"/>
  <c r="F519" s="1"/>
  <c r="J196"/>
  <c r="E196"/>
  <c r="F196" s="1"/>
  <c r="J192"/>
  <c r="E192"/>
  <c r="F192" s="1"/>
  <c r="J197"/>
  <c r="E197"/>
  <c r="F197" s="1"/>
  <c r="J201"/>
  <c r="E201"/>
  <c r="F201" s="1"/>
  <c r="J379"/>
  <c r="E379"/>
  <c r="F379" s="1"/>
  <c r="J27"/>
  <c r="E27"/>
  <c r="F27" s="1"/>
  <c r="J39"/>
  <c r="E39"/>
  <c r="F39" s="1"/>
  <c r="J374"/>
  <c r="E374"/>
  <c r="F374" s="1"/>
  <c r="J515"/>
  <c r="E515"/>
  <c r="F515" s="1"/>
  <c r="J204"/>
  <c r="E204"/>
  <c r="F204" s="1"/>
  <c r="J375"/>
  <c r="E375"/>
  <c r="F375" s="1"/>
  <c r="J516"/>
  <c r="E516"/>
  <c r="F516" s="1"/>
  <c r="J193"/>
  <c r="E193"/>
  <c r="F193" s="1"/>
  <c r="J205"/>
  <c r="E205"/>
  <c r="F205" s="1"/>
  <c r="J183"/>
  <c r="E183"/>
  <c r="F183" s="1"/>
  <c r="J215"/>
  <c r="E215"/>
  <c r="F215" s="1"/>
  <c r="O14"/>
  <c r="O208"/>
  <c r="O209"/>
  <c r="O217"/>
  <c r="O41"/>
  <c r="O10"/>
  <c r="O216"/>
  <c r="O184"/>
  <c r="O185"/>
  <c r="O520"/>
  <c r="E753"/>
  <c r="F753" s="1"/>
  <c r="J753"/>
  <c r="E614"/>
  <c r="F614" s="1"/>
  <c r="J614"/>
  <c r="P172" i="196"/>
  <c r="S128" i="211"/>
  <c r="Q119"/>
  <c r="S177"/>
  <c r="G2527" i="214"/>
  <c r="G3479"/>
  <c r="E3481" s="1"/>
  <c r="E3483" s="1"/>
  <c r="E3484" s="1"/>
  <c r="K1870" i="132" s="1"/>
  <c r="G3462" i="214"/>
  <c r="F3464" s="1"/>
  <c r="F3466" s="1"/>
  <c r="F3467" s="1"/>
  <c r="K1175" i="192" s="1"/>
  <c r="G3155" i="214"/>
  <c r="F3157" s="1"/>
  <c r="F3161" s="1"/>
  <c r="F3162" s="1"/>
  <c r="K550" i="192" s="1"/>
  <c r="S133" i="211"/>
  <c r="S119"/>
  <c r="I105"/>
  <c r="I109"/>
  <c r="M174"/>
  <c r="S105"/>
  <c r="M129"/>
  <c r="M138" s="1"/>
  <c r="S109"/>
  <c r="M172"/>
  <c r="M2262" i="132"/>
  <c r="F202" i="305"/>
  <c r="G202" s="1"/>
  <c r="M883" i="194"/>
  <c r="F512" i="305"/>
  <c r="G512" s="1"/>
  <c r="M1966" i="132"/>
  <c r="F190" i="305"/>
  <c r="G190" s="1"/>
  <c r="M1420" i="192"/>
  <c r="F371" i="305"/>
  <c r="G371" s="1"/>
  <c r="L150" i="211"/>
  <c r="I156"/>
  <c r="I112"/>
  <c r="S178"/>
  <c r="S176"/>
  <c r="M173"/>
  <c r="S150"/>
  <c r="S180"/>
  <c r="L111"/>
  <c r="S132"/>
  <c r="S131"/>
  <c r="L157"/>
  <c r="S134"/>
  <c r="S130"/>
  <c r="S135"/>
  <c r="S157"/>
  <c r="F87"/>
  <c r="M87" s="1"/>
  <c r="F72"/>
  <c r="S72" s="1"/>
  <c r="F60"/>
  <c r="I60" s="1"/>
  <c r="L156"/>
  <c r="L112"/>
  <c r="F90"/>
  <c r="M90" s="1"/>
  <c r="F80"/>
  <c r="S80" s="1"/>
  <c r="F78"/>
  <c r="N78" s="1"/>
  <c r="F77"/>
  <c r="N77" s="1"/>
  <c r="F69"/>
  <c r="N69" s="1"/>
  <c r="F66"/>
  <c r="I66" s="1"/>
  <c r="F84"/>
  <c r="S84" s="1"/>
  <c r="F76"/>
  <c r="F67"/>
  <c r="L67" s="1"/>
  <c r="F886" i="195"/>
  <c r="J886" s="1"/>
  <c r="J572" i="140"/>
  <c r="O572" s="1"/>
  <c r="F3270" i="214"/>
  <c r="G3270" s="1"/>
  <c r="G3267"/>
  <c r="G3340"/>
  <c r="F3341"/>
  <c r="G3341" s="1"/>
  <c r="F3360"/>
  <c r="G3360" s="1"/>
  <c r="G2442"/>
  <c r="F2463"/>
  <c r="G3417"/>
  <c r="F3418"/>
  <c r="G3418" s="1"/>
  <c r="G2500"/>
  <c r="F2501"/>
  <c r="G2501" s="1"/>
  <c r="G3359"/>
  <c r="F3380"/>
  <c r="G2423"/>
  <c r="F2424"/>
  <c r="G2424" s="1"/>
  <c r="F2443"/>
  <c r="G2443" s="1"/>
  <c r="G2350"/>
  <c r="F2353"/>
  <c r="G2353" s="1"/>
  <c r="M164" i="211"/>
  <c r="L110"/>
  <c r="S169"/>
  <c r="S161"/>
  <c r="S114"/>
  <c r="S124"/>
  <c r="L126"/>
  <c r="S179"/>
  <c r="S107"/>
  <c r="I107"/>
  <c r="M161"/>
  <c r="S126"/>
  <c r="E534" i="195"/>
  <c r="F534" s="1"/>
  <c r="J534" s="1"/>
  <c r="I533" i="140"/>
  <c r="J533" s="1"/>
  <c r="O533" s="1"/>
  <c r="M1344" i="192"/>
  <c r="I370" i="140"/>
  <c r="J370" s="1"/>
  <c r="O370" s="1"/>
  <c r="E367" i="195"/>
  <c r="F367" s="1"/>
  <c r="J367" s="1"/>
  <c r="M1268" i="192"/>
  <c r="I366" i="140"/>
  <c r="J366" s="1"/>
  <c r="O366" s="1"/>
  <c r="E363" i="195"/>
  <c r="F363" s="1"/>
  <c r="J363" s="1"/>
  <c r="M1369" i="192"/>
  <c r="I371" i="140"/>
  <c r="J371" s="1"/>
  <c r="O371" s="1"/>
  <c r="E368" i="195"/>
  <c r="F368" s="1"/>
  <c r="J368" s="1"/>
  <c r="M1277" i="192"/>
  <c r="I367" i="140"/>
  <c r="J367" s="1"/>
  <c r="O367" s="1"/>
  <c r="E364" i="195"/>
  <c r="F364" s="1"/>
  <c r="J364" s="1"/>
  <c r="M855" i="194"/>
  <c r="E508" i="195"/>
  <c r="F508" s="1"/>
  <c r="J508" s="1"/>
  <c r="I511" i="140"/>
  <c r="J511" s="1"/>
  <c r="O511" s="1"/>
  <c r="M823" i="194"/>
  <c r="E504" i="195"/>
  <c r="F504" s="1"/>
  <c r="J504" s="1"/>
  <c r="I507" i="140"/>
  <c r="J507" s="1"/>
  <c r="O507" s="1"/>
  <c r="M863" i="194"/>
  <c r="E509" i="195"/>
  <c r="F509" s="1"/>
  <c r="J509" s="1"/>
  <c r="I512" i="140"/>
  <c r="J512" s="1"/>
  <c r="O512" s="1"/>
  <c r="M831" i="194"/>
  <c r="E505" i="195"/>
  <c r="F505" s="1"/>
  <c r="J505" s="1"/>
  <c r="I508" i="140"/>
  <c r="J508" s="1"/>
  <c r="O508" s="1"/>
  <c r="G2238" i="214"/>
  <c r="G2240" s="1"/>
  <c r="G2244" s="1"/>
  <c r="G2245" s="1"/>
  <c r="K339" i="194" s="1"/>
  <c r="I36" i="140"/>
  <c r="J36" s="1"/>
  <c r="O36" s="1"/>
  <c r="E35" i="195"/>
  <c r="F35" s="1"/>
  <c r="J35" s="1"/>
  <c r="M276" i="132"/>
  <c r="I35" i="140"/>
  <c r="J35" s="1"/>
  <c r="O35" s="1"/>
  <c r="M270" i="132"/>
  <c r="E34" i="195"/>
  <c r="F34" s="1"/>
  <c r="J34" s="1"/>
  <c r="F53" i="196"/>
  <c r="L53" s="1"/>
  <c r="F97"/>
  <c r="K97" s="1"/>
  <c r="F77"/>
  <c r="O77" s="1"/>
  <c r="F161"/>
  <c r="I161" s="1"/>
  <c r="F152"/>
  <c r="I152" s="1"/>
  <c r="F80"/>
  <c r="K80" s="1"/>
  <c r="F45"/>
  <c r="L45" s="1"/>
  <c r="F124"/>
  <c r="K124" s="1"/>
  <c r="F105"/>
  <c r="I105" s="1"/>
  <c r="F148"/>
  <c r="K148" s="1"/>
  <c r="F101"/>
  <c r="K101" s="1"/>
  <c r="F117"/>
  <c r="I117" s="1"/>
  <c r="F144"/>
  <c r="I144" s="1"/>
  <c r="F157"/>
  <c r="K157" s="1"/>
  <c r="F52"/>
  <c r="L52" s="1"/>
  <c r="F49"/>
  <c r="L49" s="1"/>
  <c r="F73"/>
  <c r="O73" s="1"/>
  <c r="F116"/>
  <c r="I116" s="1"/>
  <c r="F156"/>
  <c r="I156" s="1"/>
  <c r="F81"/>
  <c r="I81" s="1"/>
  <c r="F112"/>
  <c r="I112" s="1"/>
  <c r="F153"/>
  <c r="I153" s="1"/>
  <c r="F164"/>
  <c r="I164" s="1"/>
  <c r="F85"/>
  <c r="I85" s="1"/>
  <c r="F149"/>
  <c r="I149" s="1"/>
  <c r="F165"/>
  <c r="K165" s="1"/>
  <c r="F104"/>
  <c r="K104" s="1"/>
  <c r="F141"/>
  <c r="I141" s="1"/>
  <c r="F145"/>
  <c r="I145" s="1"/>
  <c r="F92"/>
  <c r="K92" s="1"/>
  <c r="F136"/>
  <c r="I136" s="1"/>
  <c r="F68"/>
  <c r="L68" s="1"/>
  <c r="F108"/>
  <c r="K108" s="1"/>
  <c r="F121"/>
  <c r="K121" s="1"/>
  <c r="F44"/>
  <c r="I44" s="1"/>
  <c r="F93"/>
  <c r="K93" s="1"/>
  <c r="F140"/>
  <c r="I140" s="1"/>
  <c r="F160"/>
  <c r="I160" s="1"/>
  <c r="S170" i="211"/>
  <c r="G3063" i="214"/>
  <c r="G3064" s="1"/>
  <c r="E3036"/>
  <c r="K2493" i="132" s="1"/>
  <c r="F3034" i="214"/>
  <c r="F97" i="139"/>
  <c r="G97" s="1"/>
  <c r="D107" i="165"/>
  <c r="F106"/>
  <c r="G2146" i="214"/>
  <c r="G2147" s="1"/>
  <c r="F94" i="139"/>
  <c r="G94" s="1"/>
  <c r="D103" i="165"/>
  <c r="F102"/>
  <c r="F2117" i="214"/>
  <c r="E2119"/>
  <c r="K2487" i="132" s="1"/>
  <c r="E80" i="139"/>
  <c r="G2916" i="214"/>
  <c r="F3007"/>
  <c r="G3007" s="1"/>
  <c r="G3419"/>
  <c r="F3420"/>
  <c r="G3420" s="1"/>
  <c r="G3342"/>
  <c r="F3358"/>
  <c r="G3358" s="1"/>
  <c r="G3464"/>
  <c r="G3466" s="1"/>
  <c r="G3467" s="1"/>
  <c r="K751" i="194" s="1"/>
  <c r="E3157" i="214"/>
  <c r="E3161" s="1"/>
  <c r="E3162" s="1"/>
  <c r="K1121" i="132" s="1"/>
  <c r="I117" i="309" s="1"/>
  <c r="F3123" i="214"/>
  <c r="E3127"/>
  <c r="K1010" i="132" s="1"/>
  <c r="I113" i="309" s="1"/>
  <c r="F3215" i="214"/>
  <c r="G3215" s="1"/>
  <c r="G3220" s="1"/>
  <c r="F3199"/>
  <c r="G3199" s="1"/>
  <c r="G3204" s="1"/>
  <c r="F3231"/>
  <c r="G3231" s="1"/>
  <c r="G3236" s="1"/>
  <c r="F3308"/>
  <c r="G3308" s="1"/>
  <c r="G3314" s="1"/>
  <c r="F3183"/>
  <c r="G3183" s="1"/>
  <c r="G3188" s="1"/>
  <c r="F3288"/>
  <c r="G3288" s="1"/>
  <c r="F2847"/>
  <c r="G2847" s="1"/>
  <c r="G2854" s="1"/>
  <c r="K182" i="132" s="1"/>
  <c r="I24" i="309" s="1"/>
  <c r="G2835" i="214"/>
  <c r="G2842" s="1"/>
  <c r="K146" i="132" s="1"/>
  <c r="I20" i="309" s="1"/>
  <c r="G3501" i="214"/>
  <c r="F3502"/>
  <c r="G3502" s="1"/>
  <c r="G3446"/>
  <c r="G3448" s="1"/>
  <c r="G3449" s="1"/>
  <c r="K611" i="194" s="1"/>
  <c r="G3383" i="214"/>
  <c r="F3398"/>
  <c r="G3398" s="1"/>
  <c r="F3251"/>
  <c r="G3251" s="1"/>
  <c r="F3268"/>
  <c r="G3248"/>
  <c r="G3256" s="1"/>
  <c r="E3144"/>
  <c r="K914" i="132" s="1"/>
  <c r="I109" i="309" s="1"/>
  <c r="F3140" i="214"/>
  <c r="F3323"/>
  <c r="G3323" s="1"/>
  <c r="G3329" s="1"/>
  <c r="F3167"/>
  <c r="G3167" s="1"/>
  <c r="G3173" s="1"/>
  <c r="G2204"/>
  <c r="E2206" s="1"/>
  <c r="E2210" s="1"/>
  <c r="K956" i="132" s="1"/>
  <c r="I112" i="309" s="1"/>
  <c r="G1999" i="214"/>
  <c r="F2090"/>
  <c r="G2090" s="1"/>
  <c r="E2547"/>
  <c r="E2549" s="1"/>
  <c r="E2550" s="1"/>
  <c r="K1836" i="132" s="1"/>
  <c r="F2547" i="214"/>
  <c r="F2549" s="1"/>
  <c r="F2550" s="1"/>
  <c r="K1170" i="192" s="1"/>
  <c r="G2547" i="214"/>
  <c r="G2549" s="1"/>
  <c r="G2550" s="1"/>
  <c r="K744" i="194" s="1"/>
  <c r="E2240" i="214"/>
  <c r="E2244" s="1"/>
  <c r="E2245" s="1"/>
  <c r="K1067" i="132" s="1"/>
  <c r="I116" i="309" s="1"/>
  <c r="F2282" i="214"/>
  <c r="G2282" s="1"/>
  <c r="G2287" s="1"/>
  <c r="F2298"/>
  <c r="G2298" s="1"/>
  <c r="G2303" s="1"/>
  <c r="F2266"/>
  <c r="G2266" s="1"/>
  <c r="G2271" s="1"/>
  <c r="F2371"/>
  <c r="G2371" s="1"/>
  <c r="F2314"/>
  <c r="G2314" s="1"/>
  <c r="G2319" s="1"/>
  <c r="F2391"/>
  <c r="G2391" s="1"/>
  <c r="G2397" s="1"/>
  <c r="F2564"/>
  <c r="F2566" s="1"/>
  <c r="F2567" s="1"/>
  <c r="K1197" i="192" s="1"/>
  <c r="G2564" i="214"/>
  <c r="G2566" s="1"/>
  <c r="G2567" s="1"/>
  <c r="K769" i="194" s="1"/>
  <c r="E2564" i="214"/>
  <c r="E2566" s="1"/>
  <c r="E2567" s="1"/>
  <c r="K1863" i="132" s="1"/>
  <c r="G2502" i="214"/>
  <c r="F2503"/>
  <c r="G2503" s="1"/>
  <c r="G2425"/>
  <c r="F2441"/>
  <c r="G2441" s="1"/>
  <c r="G1918"/>
  <c r="G1925" s="1"/>
  <c r="K133" i="132" s="1"/>
  <c r="I19" i="309" s="1"/>
  <c r="F1930" i="214"/>
  <c r="G1930" s="1"/>
  <c r="G1937" s="1"/>
  <c r="K173" i="132" s="1"/>
  <c r="I23" i="309" s="1"/>
  <c r="G2331" i="214"/>
  <c r="F2334"/>
  <c r="G2334" s="1"/>
  <c r="F2351"/>
  <c r="F2223"/>
  <c r="E2227"/>
  <c r="K896" i="132" s="1"/>
  <c r="I108" i="309" s="1"/>
  <c r="F2250" i="214"/>
  <c r="G2250" s="1"/>
  <c r="G2256" s="1"/>
  <c r="F2406"/>
  <c r="G2406" s="1"/>
  <c r="G2412" s="1"/>
  <c r="F2585"/>
  <c r="G2585" s="1"/>
  <c r="G2584"/>
  <c r="E2529"/>
  <c r="E2531" s="1"/>
  <c r="E2532" s="1"/>
  <c r="K1632" i="132" s="1"/>
  <c r="F2529" i="214"/>
  <c r="F2531" s="1"/>
  <c r="F2532" s="1"/>
  <c r="K995" i="192" s="1"/>
  <c r="G2529" i="214"/>
  <c r="G2531" s="1"/>
  <c r="G2532" s="1"/>
  <c r="K604" i="194" s="1"/>
  <c r="G2466" i="214"/>
  <c r="F2481"/>
  <c r="G2481" s="1"/>
  <c r="M162" i="211"/>
  <c r="F125" i="196"/>
  <c r="I125" s="1"/>
  <c r="S155" i="211"/>
  <c r="M175"/>
  <c r="S110"/>
  <c r="Q116"/>
  <c r="Q118"/>
  <c r="S127"/>
  <c r="I155"/>
  <c r="F84" i="196"/>
  <c r="I84" s="1"/>
  <c r="Q164" i="211"/>
  <c r="Q183" s="1"/>
  <c r="S116"/>
  <c r="S118"/>
  <c r="S162"/>
  <c r="P171" i="196"/>
  <c r="F129"/>
  <c r="I129" s="1"/>
  <c r="S111" i="211"/>
  <c r="K96" i="196"/>
  <c r="I96"/>
  <c r="F65"/>
  <c r="F61"/>
  <c r="F60"/>
  <c r="F64"/>
  <c r="F69"/>
  <c r="O69" s="1"/>
  <c r="F72"/>
  <c r="L72" s="1"/>
  <c r="O56"/>
  <c r="L56"/>
  <c r="I56"/>
  <c r="O76"/>
  <c r="L76"/>
  <c r="I76"/>
  <c r="O36"/>
  <c r="L36"/>
  <c r="I36"/>
  <c r="O48"/>
  <c r="L48"/>
  <c r="I48"/>
  <c r="I88"/>
  <c r="K88"/>
  <c r="I41"/>
  <c r="L41"/>
  <c r="O41"/>
  <c r="I40"/>
  <c r="O40"/>
  <c r="L40"/>
  <c r="I89"/>
  <c r="K89"/>
  <c r="O57"/>
  <c r="L57"/>
  <c r="I57"/>
  <c r="I168"/>
  <c r="L168"/>
  <c r="K168"/>
  <c r="O37"/>
  <c r="L37"/>
  <c r="I37"/>
  <c r="K109"/>
  <c r="I109"/>
  <c r="K113"/>
  <c r="I113"/>
  <c r="K100"/>
  <c r="I100"/>
  <c r="K120"/>
  <c r="I120"/>
  <c r="K132"/>
  <c r="I132"/>
  <c r="L169"/>
  <c r="I169"/>
  <c r="K169"/>
  <c r="K137"/>
  <c r="I137"/>
  <c r="K133"/>
  <c r="I133"/>
  <c r="F128"/>
  <c r="O21"/>
  <c r="I21"/>
  <c r="M21"/>
  <c r="I25"/>
  <c r="M25"/>
  <c r="O25"/>
  <c r="I20"/>
  <c r="M20"/>
  <c r="O20"/>
  <c r="H183" i="211"/>
  <c r="C82" i="165" s="1"/>
  <c r="N125" i="211"/>
  <c r="S125"/>
  <c r="I568" i="195"/>
  <c r="F568"/>
  <c r="J568" s="1"/>
  <c r="I596"/>
  <c r="E511"/>
  <c r="F511" s="1"/>
  <c r="J511" s="1"/>
  <c r="I514" i="140"/>
  <c r="J514" s="1"/>
  <c r="O514" s="1"/>
  <c r="M914" i="194"/>
  <c r="E515" i="195"/>
  <c r="I518" i="140"/>
  <c r="J518" s="1"/>
  <c r="O518" s="1"/>
  <c r="F83" i="211"/>
  <c r="S83" s="1"/>
  <c r="F75"/>
  <c r="N75" s="1"/>
  <c r="F62"/>
  <c r="S62" s="1"/>
  <c r="F89"/>
  <c r="S89" s="1"/>
  <c r="F86"/>
  <c r="M86" s="1"/>
  <c r="F65"/>
  <c r="L65" s="1"/>
  <c r="F79"/>
  <c r="S79" s="1"/>
  <c r="F73"/>
  <c r="Q73" s="1"/>
  <c r="F68"/>
  <c r="N68" s="1"/>
  <c r="F85"/>
  <c r="M85" s="1"/>
  <c r="F74"/>
  <c r="M74" s="1"/>
  <c r="E370" i="195"/>
  <c r="F370" s="1"/>
  <c r="J370" s="1"/>
  <c r="I373" i="140"/>
  <c r="J373" s="1"/>
  <c r="O373" s="1"/>
  <c r="M1493" i="192"/>
  <c r="E374" i="195"/>
  <c r="F374" s="1"/>
  <c r="J374" s="1"/>
  <c r="I377" i="140"/>
  <c r="J377" s="1"/>
  <c r="O377" s="1"/>
  <c r="J215"/>
  <c r="O215" s="1"/>
  <c r="J39"/>
  <c r="O39" s="1"/>
  <c r="J183"/>
  <c r="O183" s="1"/>
  <c r="I191"/>
  <c r="J191" s="1"/>
  <c r="O191" s="1"/>
  <c r="E181" i="195"/>
  <c r="F181" s="1"/>
  <c r="J181" s="1"/>
  <c r="M2147" i="132"/>
  <c r="I199" i="140"/>
  <c r="J199" s="1"/>
  <c r="O199" s="1"/>
  <c r="E189" i="195"/>
  <c r="F189" s="1"/>
  <c r="J189" s="1"/>
  <c r="E193"/>
  <c r="F193" s="1"/>
  <c r="J193" s="1"/>
  <c r="I203" i="140"/>
  <c r="J203" s="1"/>
  <c r="O203" s="1"/>
  <c r="M2033" i="132"/>
  <c r="E185" i="195"/>
  <c r="F185" s="1"/>
  <c r="J185" s="1"/>
  <c r="I195" i="140"/>
  <c r="J195" s="1"/>
  <c r="O195" s="1"/>
  <c r="I511" i="195"/>
  <c r="I479"/>
  <c r="E143" i="196" s="1"/>
  <c r="I455" i="195"/>
  <c r="E123" i="196" s="1"/>
  <c r="I431" i="195"/>
  <c r="E91" i="196" s="1"/>
  <c r="I387" i="195"/>
  <c r="E43" i="196" s="1"/>
  <c r="I499" i="195"/>
  <c r="E163" i="196" s="1"/>
  <c r="I435" i="195"/>
  <c r="E99" i="196" s="1"/>
  <c r="I439" i="195"/>
  <c r="E103" i="196" s="1"/>
  <c r="I467" i="195"/>
  <c r="E131" i="196" s="1"/>
  <c r="I459" i="195"/>
  <c r="E127" i="196" s="1"/>
  <c r="I447" i="195"/>
  <c r="E115" i="196" s="1"/>
  <c r="I423" i="195"/>
  <c r="E83" i="196" s="1"/>
  <c r="I403" i="195"/>
  <c r="E59" i="196" s="1"/>
  <c r="F88" i="211"/>
  <c r="M88" s="1"/>
  <c r="F71"/>
  <c r="M71" s="1"/>
  <c r="F64"/>
  <c r="I64" s="1"/>
  <c r="I507" i="195"/>
  <c r="I487"/>
  <c r="E151" i="196" s="1"/>
  <c r="I483" i="195"/>
  <c r="E147" i="196" s="1"/>
  <c r="I471" i="195"/>
  <c r="E135" i="196" s="1"/>
  <c r="I443" i="195"/>
  <c r="E111" i="196" s="1"/>
  <c r="I451" i="195"/>
  <c r="E119" i="196" s="1"/>
  <c r="I411" i="195"/>
  <c r="E67" i="196" s="1"/>
  <c r="I399" i="195"/>
  <c r="E47" i="196" s="1"/>
  <c r="I515" i="195"/>
  <c r="F515"/>
  <c r="J515" s="1"/>
  <c r="I491"/>
  <c r="E155" i="196" s="1"/>
  <c r="I475" i="195"/>
  <c r="E139" i="196" s="1"/>
  <c r="I407" i="195"/>
  <c r="E63" i="196" s="1"/>
  <c r="I338" i="195"/>
  <c r="D143" i="196" s="1"/>
  <c r="I326" i="195"/>
  <c r="D131" i="196" s="1"/>
  <c r="I322" i="195"/>
  <c r="D75" i="196" s="1"/>
  <c r="I310" i="195"/>
  <c r="D119" i="196" s="1"/>
  <c r="I294" i="195"/>
  <c r="D103" i="196" s="1"/>
  <c r="I258" i="195"/>
  <c r="I274"/>
  <c r="D79" i="196" s="1"/>
  <c r="I262" i="195"/>
  <c r="I342"/>
  <c r="D147" i="196" s="1"/>
  <c r="I306" i="195"/>
  <c r="D115" i="196" s="1"/>
  <c r="I286" i="195"/>
  <c r="D91" i="196" s="1"/>
  <c r="I282" i="195"/>
  <c r="D95" i="196" s="1"/>
  <c r="I302" i="195"/>
  <c r="D111" i="196" s="1"/>
  <c r="I266" i="195"/>
  <c r="D67" i="196" s="1"/>
  <c r="I242" i="195"/>
  <c r="D43" i="196" s="1"/>
  <c r="I370" i="195"/>
  <c r="I366"/>
  <c r="I358"/>
  <c r="D163" i="196" s="1"/>
  <c r="I350" i="195"/>
  <c r="D155" i="196" s="1"/>
  <c r="I334" i="195"/>
  <c r="D139" i="196" s="1"/>
  <c r="I314" i="195"/>
  <c r="D123" i="196" s="1"/>
  <c r="I278" i="195"/>
  <c r="D83" i="196" s="1"/>
  <c r="I270" i="195"/>
  <c r="D71" i="196" s="1"/>
  <c r="I362" i="195"/>
  <c r="I354"/>
  <c r="D159" i="196" s="1"/>
  <c r="I330" i="195"/>
  <c r="D135" i="196" s="1"/>
  <c r="I290" i="195"/>
  <c r="D99" i="196" s="1"/>
  <c r="I298" i="195"/>
  <c r="D107" i="196" s="1"/>
  <c r="I246" i="195"/>
  <c r="D51" i="196" s="1"/>
  <c r="I374" i="195"/>
  <c r="I346"/>
  <c r="D151" i="196" s="1"/>
  <c r="I318" i="195"/>
  <c r="D127" i="196" s="1"/>
  <c r="I217" i="195"/>
  <c r="F217"/>
  <c r="J217" s="1"/>
  <c r="I149"/>
  <c r="C135" i="196" s="1"/>
  <c r="I157" i="195"/>
  <c r="C143" i="196" s="1"/>
  <c r="I177" i="195"/>
  <c r="C163" i="196" s="1"/>
  <c r="I165" i="195"/>
  <c r="C151" i="196" s="1"/>
  <c r="I121" i="195"/>
  <c r="C107" i="196" s="1"/>
  <c r="I129" i="195"/>
  <c r="C115" i="196" s="1"/>
  <c r="I105" i="195"/>
  <c r="C91" i="196" s="1"/>
  <c r="I81" i="195"/>
  <c r="C67" i="196" s="1"/>
  <c r="I77" i="195"/>
  <c r="C63" i="196" s="1"/>
  <c r="I61" i="211"/>
  <c r="L61"/>
  <c r="S61"/>
  <c r="I65" i="195"/>
  <c r="C47" i="196" s="1"/>
  <c r="I29" i="195"/>
  <c r="I25"/>
  <c r="S54" i="211"/>
  <c r="H54"/>
  <c r="L54"/>
  <c r="I17" i="195"/>
  <c r="C19" i="196" s="1"/>
  <c r="F19" s="1"/>
  <c r="I205" i="195"/>
  <c r="F205"/>
  <c r="J205" s="1"/>
  <c r="I189"/>
  <c r="I213"/>
  <c r="I153"/>
  <c r="C139" i="196" s="1"/>
  <c r="I173" i="195"/>
  <c r="C159" i="196" s="1"/>
  <c r="I137" i="195"/>
  <c r="C123" i="196" s="1"/>
  <c r="I85" i="195"/>
  <c r="C71" i="196" s="1"/>
  <c r="I59" i="211"/>
  <c r="L59"/>
  <c r="S59"/>
  <c r="I53" i="195"/>
  <c r="C39" i="196" s="1"/>
  <c r="F39" s="1"/>
  <c r="I37" i="195"/>
  <c r="F37"/>
  <c r="J37" s="1"/>
  <c r="S82" i="211"/>
  <c r="M82"/>
  <c r="I145" i="195"/>
  <c r="C131" i="196" s="1"/>
  <c r="I117" i="195"/>
  <c r="C103" i="196" s="1"/>
  <c r="I63" i="211"/>
  <c r="L63"/>
  <c r="S63"/>
  <c r="I69" i="195"/>
  <c r="C55" i="196" s="1"/>
  <c r="F55" s="1"/>
  <c r="I55" s="1"/>
  <c r="I21" i="195"/>
  <c r="C23" i="196" s="1"/>
  <c r="F23" s="1"/>
  <c r="I9" i="195"/>
  <c r="C7" i="196" s="1"/>
  <c r="F7" s="1"/>
  <c r="F9" i="195"/>
  <c r="J9" s="1"/>
  <c r="H7" i="196" s="1"/>
  <c r="I193" i="195"/>
  <c r="I181"/>
  <c r="I169"/>
  <c r="C155" i="196" s="1"/>
  <c r="I141" i="195"/>
  <c r="C127" i="196" s="1"/>
  <c r="I133" i="195"/>
  <c r="C119" i="196" s="1"/>
  <c r="I93" i="195"/>
  <c r="C83" i="196" s="1"/>
  <c r="I109" i="195"/>
  <c r="C95" i="196" s="1"/>
  <c r="I61" i="195"/>
  <c r="C51" i="196" s="1"/>
  <c r="I57" i="195"/>
  <c r="C43" i="196" s="1"/>
  <c r="S58" i="211"/>
  <c r="I58"/>
  <c r="L58"/>
  <c r="I49" i="195"/>
  <c r="C35" i="196" s="1"/>
  <c r="F35" s="1"/>
  <c r="I91" i="211"/>
  <c r="L91"/>
  <c r="S91"/>
  <c r="I209" i="195"/>
  <c r="F209"/>
  <c r="J209" s="1"/>
  <c r="I161"/>
  <c r="C147" i="196" s="1"/>
  <c r="I125" i="195"/>
  <c r="C111" i="196" s="1"/>
  <c r="I113" i="195"/>
  <c r="C99" i="196" s="1"/>
  <c r="I89" i="195"/>
  <c r="C79" i="196" s="1"/>
  <c r="I73" i="195"/>
  <c r="C59" i="196" s="1"/>
  <c r="I185" i="195"/>
  <c r="S81" i="211"/>
  <c r="I81"/>
  <c r="L81"/>
  <c r="I97" i="195"/>
  <c r="C75" i="196" s="1"/>
  <c r="S70" i="211"/>
  <c r="K70"/>
  <c r="K93" s="1"/>
  <c r="M70"/>
  <c r="I101" i="195"/>
  <c r="C87" i="196" s="1"/>
  <c r="F87" s="1"/>
  <c r="I33" i="195"/>
  <c r="C15" i="196" s="1"/>
  <c r="F15" s="1"/>
  <c r="J15" s="1"/>
  <c r="H55" i="211"/>
  <c r="L55"/>
  <c r="S55"/>
  <c r="E20" i="250"/>
  <c r="F19"/>
  <c r="L19" s="1"/>
  <c r="E2786" i="214" s="1"/>
  <c r="F2786" s="1"/>
  <c r="E20" i="240"/>
  <c r="F19"/>
  <c r="L19" s="1"/>
  <c r="E1869" i="214" s="1"/>
  <c r="F1869" s="1"/>
  <c r="G1710"/>
  <c r="G1712" s="1"/>
  <c r="G1713" s="1"/>
  <c r="K815" i="194" s="1"/>
  <c r="F1712" i="214"/>
  <c r="F1713" s="1"/>
  <c r="K1259" i="192" s="1"/>
  <c r="G1725" i="214"/>
  <c r="G1727" s="1"/>
  <c r="G1728" s="1"/>
  <c r="K847" i="194" s="1"/>
  <c r="F1727" i="214"/>
  <c r="F1728" s="1"/>
  <c r="K1334" i="192" s="1"/>
  <c r="F529" i="305" l="1"/>
  <c r="G529" s="1"/>
  <c r="F2240" i="214"/>
  <c r="F2244" s="1"/>
  <c r="F2245" s="1"/>
  <c r="K541" i="192" s="1"/>
  <c r="E569" i="309"/>
  <c r="F569" s="1"/>
  <c r="O569" s="1"/>
  <c r="I597" i="140"/>
  <c r="J597" s="1"/>
  <c r="O597" s="1"/>
  <c r="E524" i="195"/>
  <c r="F524" s="1"/>
  <c r="J524" s="1"/>
  <c r="F525" i="305"/>
  <c r="G525" s="1"/>
  <c r="I527" i="140"/>
  <c r="J527" s="1"/>
  <c r="O527" s="1"/>
  <c r="I555" i="309"/>
  <c r="E555" s="1"/>
  <c r="F555" s="1"/>
  <c r="F533" i="305"/>
  <c r="G533" s="1"/>
  <c r="I555" i="140"/>
  <c r="J555" s="1"/>
  <c r="O555" s="1"/>
  <c r="F553" i="305"/>
  <c r="G553" s="1"/>
  <c r="E552" i="195"/>
  <c r="F552" s="1"/>
  <c r="J552" s="1"/>
  <c r="I527" i="309"/>
  <c r="E527" s="1"/>
  <c r="F527" s="1"/>
  <c r="H187" i="310"/>
  <c r="F3481" i="214"/>
  <c r="F3483" s="1"/>
  <c r="F3484" s="1"/>
  <c r="K1209" i="192" s="1"/>
  <c r="F2206" i="214"/>
  <c r="G3157"/>
  <c r="G3161" s="1"/>
  <c r="G3162" s="1"/>
  <c r="K347" i="194" s="1"/>
  <c r="I440" i="309" s="1"/>
  <c r="G3481" i="214"/>
  <c r="G3483" s="1"/>
  <c r="G3484" s="1"/>
  <c r="K775" i="194" s="1"/>
  <c r="E608" i="195"/>
  <c r="F608" s="1"/>
  <c r="J608" s="1"/>
  <c r="I608" i="140"/>
  <c r="J608" s="1"/>
  <c r="O608" s="1"/>
  <c r="E536" i="195"/>
  <c r="F536" s="1"/>
  <c r="J536" s="1"/>
  <c r="I590" i="140"/>
  <c r="J590" s="1"/>
  <c r="O590" s="1"/>
  <c r="F595" i="305"/>
  <c r="G595" s="1"/>
  <c r="I800" i="140"/>
  <c r="J800" s="1"/>
  <c r="O800" s="1"/>
  <c r="I612"/>
  <c r="J612" s="1"/>
  <c r="O612" s="1"/>
  <c r="E593" i="195"/>
  <c r="F593" s="1"/>
  <c r="J593" s="1"/>
  <c r="F610" i="305"/>
  <c r="G610" s="1"/>
  <c r="E544" i="195"/>
  <c r="F544" s="1"/>
  <c r="J544" s="1"/>
  <c r="E564"/>
  <c r="F564" s="1"/>
  <c r="J564" s="1"/>
  <c r="I598" i="140"/>
  <c r="J598" s="1"/>
  <c r="O598" s="1"/>
  <c r="I543"/>
  <c r="J543" s="1"/>
  <c r="O543" s="1"/>
  <c r="I567"/>
  <c r="J567" s="1"/>
  <c r="O567" s="1"/>
  <c r="I539"/>
  <c r="J539" s="1"/>
  <c r="O539" s="1"/>
  <c r="F565" i="305"/>
  <c r="G565" s="1"/>
  <c r="I589" i="140"/>
  <c r="J589" s="1"/>
  <c r="O589" s="1"/>
  <c r="F596" i="305"/>
  <c r="G596" s="1"/>
  <c r="E531" i="309"/>
  <c r="F531" s="1"/>
  <c r="J531"/>
  <c r="E551"/>
  <c r="F551" s="1"/>
  <c r="J551"/>
  <c r="E568"/>
  <c r="F568" s="1"/>
  <c r="J568"/>
  <c r="E549"/>
  <c r="F549" s="1"/>
  <c r="J549"/>
  <c r="E786" i="195"/>
  <c r="F786" s="1"/>
  <c r="J786" s="1"/>
  <c r="I535" i="140"/>
  <c r="J535" s="1"/>
  <c r="O535" s="1"/>
  <c r="E604" i="195"/>
  <c r="F604" s="1"/>
  <c r="J604" s="1"/>
  <c r="E594"/>
  <c r="F594" s="1"/>
  <c r="J594" s="1"/>
  <c r="E586"/>
  <c r="F586" s="1"/>
  <c r="J586" s="1"/>
  <c r="E585"/>
  <c r="F585" s="1"/>
  <c r="J585" s="1"/>
  <c r="F793" i="305"/>
  <c r="G793" s="1"/>
  <c r="F606"/>
  <c r="J606" s="1"/>
  <c r="F587"/>
  <c r="G587" s="1"/>
  <c r="O541" i="309"/>
  <c r="O528"/>
  <c r="O556"/>
  <c r="O560"/>
  <c r="O572"/>
  <c r="I589"/>
  <c r="O576"/>
  <c r="O593"/>
  <c r="O564"/>
  <c r="O909"/>
  <c r="O873"/>
  <c r="O805"/>
  <c r="O846"/>
  <c r="O781"/>
  <c r="O764"/>
  <c r="O816"/>
  <c r="O836"/>
  <c r="O864"/>
  <c r="O842"/>
  <c r="O877"/>
  <c r="O833"/>
  <c r="O870"/>
  <c r="O905"/>
  <c r="O749"/>
  <c r="O858"/>
  <c r="O798"/>
  <c r="I800"/>
  <c r="O813"/>
  <c r="O777"/>
  <c r="O845"/>
  <c r="O756"/>
  <c r="O772"/>
  <c r="O824"/>
  <c r="O900"/>
  <c r="E592"/>
  <c r="F592" s="1"/>
  <c r="J592"/>
  <c r="E536"/>
  <c r="F536" s="1"/>
  <c r="J536"/>
  <c r="E561"/>
  <c r="F561" s="1"/>
  <c r="J561"/>
  <c r="O694"/>
  <c r="O658"/>
  <c r="O646"/>
  <c r="O637"/>
  <c r="O710"/>
  <c r="O726"/>
  <c r="O533"/>
  <c r="O888"/>
  <c r="O790"/>
  <c r="O793"/>
  <c r="O906"/>
  <c r="O687"/>
  <c r="O680"/>
  <c r="O675"/>
  <c r="O666"/>
  <c r="O629"/>
  <c r="O702"/>
  <c r="O734"/>
  <c r="O738"/>
  <c r="J844"/>
  <c r="E844"/>
  <c r="F844" s="1"/>
  <c r="J812"/>
  <c r="E812"/>
  <c r="F812" s="1"/>
  <c r="J832"/>
  <c r="E832"/>
  <c r="F832" s="1"/>
  <c r="J876"/>
  <c r="E876"/>
  <c r="F876" s="1"/>
  <c r="J868"/>
  <c r="E868"/>
  <c r="F868" s="1"/>
  <c r="J802"/>
  <c r="E802"/>
  <c r="F802" s="1"/>
  <c r="E880"/>
  <c r="F880" s="1"/>
  <c r="J880"/>
  <c r="E808"/>
  <c r="F808" s="1"/>
  <c r="J808"/>
  <c r="E896"/>
  <c r="F896" s="1"/>
  <c r="J896"/>
  <c r="E840"/>
  <c r="F840" s="1"/>
  <c r="J840"/>
  <c r="E860"/>
  <c r="F860" s="1"/>
  <c r="J860"/>
  <c r="E776"/>
  <c r="F776" s="1"/>
  <c r="J776"/>
  <c r="J801"/>
  <c r="E801"/>
  <c r="F801" s="1"/>
  <c r="O750"/>
  <c r="O869"/>
  <c r="O898"/>
  <c r="O810"/>
  <c r="J804"/>
  <c r="E804"/>
  <c r="F804" s="1"/>
  <c r="J872"/>
  <c r="E872"/>
  <c r="F872" s="1"/>
  <c r="J792"/>
  <c r="E792"/>
  <c r="F792" s="1"/>
  <c r="J848"/>
  <c r="E848"/>
  <c r="F848" s="1"/>
  <c r="J904"/>
  <c r="E904"/>
  <c r="F904" s="1"/>
  <c r="E780"/>
  <c r="F780" s="1"/>
  <c r="J780"/>
  <c r="E796"/>
  <c r="F796" s="1"/>
  <c r="J796"/>
  <c r="E856"/>
  <c r="F856" s="1"/>
  <c r="J856"/>
  <c r="E788"/>
  <c r="F788" s="1"/>
  <c r="J788"/>
  <c r="E748"/>
  <c r="F748" s="1"/>
  <c r="J748"/>
  <c r="E884"/>
  <c r="F884" s="1"/>
  <c r="J884"/>
  <c r="J908"/>
  <c r="E908"/>
  <c r="F908" s="1"/>
  <c r="J754"/>
  <c r="E754"/>
  <c r="F754" s="1"/>
  <c r="O537"/>
  <c r="O545"/>
  <c r="O794"/>
  <c r="O841"/>
  <c r="O886"/>
  <c r="O849"/>
  <c r="O874"/>
  <c r="O806"/>
  <c r="O857"/>
  <c r="O797"/>
  <c r="O881"/>
  <c r="O760"/>
  <c r="O784"/>
  <c r="O828"/>
  <c r="O892"/>
  <c r="O878"/>
  <c r="O834"/>
  <c r="O789"/>
  <c r="O850"/>
  <c r="O885"/>
  <c r="O910"/>
  <c r="O814"/>
  <c r="O778"/>
  <c r="O897"/>
  <c r="O809"/>
  <c r="O882"/>
  <c r="O782"/>
  <c r="O768"/>
  <c r="O820"/>
  <c r="O852"/>
  <c r="E692"/>
  <c r="F692" s="1"/>
  <c r="J692"/>
  <c r="E671"/>
  <c r="F671" s="1"/>
  <c r="J671"/>
  <c r="O654"/>
  <c r="O650"/>
  <c r="O625"/>
  <c r="O698"/>
  <c r="O718"/>
  <c r="O730"/>
  <c r="O673"/>
  <c r="O672"/>
  <c r="O683"/>
  <c r="O662"/>
  <c r="O633"/>
  <c r="O642"/>
  <c r="O706"/>
  <c r="O722"/>
  <c r="O742"/>
  <c r="O681"/>
  <c r="J679"/>
  <c r="E679"/>
  <c r="F679" s="1"/>
  <c r="J714"/>
  <c r="E714"/>
  <c r="F714" s="1"/>
  <c r="J547"/>
  <c r="E547"/>
  <c r="F547" s="1"/>
  <c r="J559"/>
  <c r="E559"/>
  <c r="F559" s="1"/>
  <c r="J544"/>
  <c r="E544"/>
  <c r="F544" s="1"/>
  <c r="E540" i="195"/>
  <c r="F540" s="1"/>
  <c r="J540" s="1"/>
  <c r="F537" i="305"/>
  <c r="G537" s="1"/>
  <c r="F588"/>
  <c r="G588" s="1"/>
  <c r="F541"/>
  <c r="G541" s="1"/>
  <c r="O580" i="309"/>
  <c r="O594"/>
  <c r="O565"/>
  <c r="O540"/>
  <c r="O529"/>
  <c r="O548"/>
  <c r="O557"/>
  <c r="O553"/>
  <c r="O552"/>
  <c r="O584"/>
  <c r="I539"/>
  <c r="I590"/>
  <c r="I543"/>
  <c r="I535"/>
  <c r="I567"/>
  <c r="J563"/>
  <c r="E563"/>
  <c r="F563" s="1"/>
  <c r="J532"/>
  <c r="E532"/>
  <c r="F532" s="1"/>
  <c r="K2866" i="132"/>
  <c r="M2866" s="1"/>
  <c r="K3002"/>
  <c r="M3002" s="1"/>
  <c r="E613" i="309"/>
  <c r="F613" s="1"/>
  <c r="J613"/>
  <c r="E616"/>
  <c r="F616" s="1"/>
  <c r="J616"/>
  <c r="E609"/>
  <c r="F609" s="1"/>
  <c r="J609"/>
  <c r="O620"/>
  <c r="O605"/>
  <c r="I598"/>
  <c r="I597"/>
  <c r="I608"/>
  <c r="O606"/>
  <c r="I612"/>
  <c r="E604"/>
  <c r="F604" s="1"/>
  <c r="J604"/>
  <c r="E610"/>
  <c r="F610" s="1"/>
  <c r="J610"/>
  <c r="E3446" i="214"/>
  <c r="E3448" s="1"/>
  <c r="E3449" s="1"/>
  <c r="K1653" i="132" s="1"/>
  <c r="I153" i="309" s="1"/>
  <c r="S76" i="211"/>
  <c r="N76"/>
  <c r="O514" i="309"/>
  <c r="O215"/>
  <c r="O183"/>
  <c r="O205"/>
  <c r="O193"/>
  <c r="O516"/>
  <c r="O375"/>
  <c r="O204"/>
  <c r="O515"/>
  <c r="O374"/>
  <c r="O39"/>
  <c r="O27"/>
  <c r="O379"/>
  <c r="O201"/>
  <c r="O197"/>
  <c r="O192"/>
  <c r="O196"/>
  <c r="O519"/>
  <c r="O378"/>
  <c r="O200"/>
  <c r="O373"/>
  <c r="O191"/>
  <c r="O203"/>
  <c r="F367" i="305"/>
  <c r="G367" s="1"/>
  <c r="I369" i="309"/>
  <c r="F508" i="305"/>
  <c r="G508" s="1"/>
  <c r="I510" i="309"/>
  <c r="F504" i="305"/>
  <c r="G504" s="1"/>
  <c r="I506" i="309"/>
  <c r="F332" i="305"/>
  <c r="G332" s="1"/>
  <c r="I334" i="309"/>
  <c r="J108"/>
  <c r="E108"/>
  <c r="F108" s="1"/>
  <c r="J19"/>
  <c r="E19"/>
  <c r="F19" s="1"/>
  <c r="F497" i="305"/>
  <c r="G497" s="1"/>
  <c r="I499" i="309"/>
  <c r="F437" i="305"/>
  <c r="G437" s="1"/>
  <c r="I439" i="309"/>
  <c r="F292" i="305"/>
  <c r="G292" s="1"/>
  <c r="I294" i="309"/>
  <c r="F352" i="305"/>
  <c r="G352" s="1"/>
  <c r="I354" i="309"/>
  <c r="J112"/>
  <c r="E112"/>
  <c r="F112" s="1"/>
  <c r="J109"/>
  <c r="E109"/>
  <c r="F109" s="1"/>
  <c r="F333" i="305"/>
  <c r="G333" s="1"/>
  <c r="I335" i="309"/>
  <c r="J24"/>
  <c r="E24"/>
  <c r="F24" s="1"/>
  <c r="J117"/>
  <c r="E117"/>
  <c r="F117" s="1"/>
  <c r="F494" i="305"/>
  <c r="G494" s="1"/>
  <c r="I496" i="309"/>
  <c r="F357" i="305"/>
  <c r="G357" s="1"/>
  <c r="I359" i="309"/>
  <c r="J512"/>
  <c r="E512"/>
  <c r="F512" s="1"/>
  <c r="J366"/>
  <c r="E366"/>
  <c r="F366" s="1"/>
  <c r="J518"/>
  <c r="E518"/>
  <c r="F518" s="1"/>
  <c r="F363" i="305"/>
  <c r="G363" s="1"/>
  <c r="I365" i="309"/>
  <c r="F473" i="305"/>
  <c r="G473" s="1"/>
  <c r="I475" i="309"/>
  <c r="F151" i="305"/>
  <c r="G151" s="1"/>
  <c r="I152" i="309"/>
  <c r="J23"/>
  <c r="E23"/>
  <c r="F23" s="1"/>
  <c r="F175" i="305"/>
  <c r="G175" s="1"/>
  <c r="I176" i="309"/>
  <c r="F356" i="305"/>
  <c r="G356" s="1"/>
  <c r="I358" i="309"/>
  <c r="J116"/>
  <c r="E116"/>
  <c r="F116" s="1"/>
  <c r="F493" i="305"/>
  <c r="G493" s="1"/>
  <c r="I495" i="309"/>
  <c r="F171" i="305"/>
  <c r="G171" s="1"/>
  <c r="I172" i="309"/>
  <c r="F474" i="305"/>
  <c r="G474" s="1"/>
  <c r="I476" i="309"/>
  <c r="J20"/>
  <c r="E20"/>
  <c r="F20" s="1"/>
  <c r="J113"/>
  <c r="E113"/>
  <c r="F113" s="1"/>
  <c r="F438" i="305"/>
  <c r="G438" s="1"/>
  <c r="F293"/>
  <c r="G293" s="1"/>
  <c r="I295" i="309"/>
  <c r="F498" i="305"/>
  <c r="G498" s="1"/>
  <c r="I500" i="309"/>
  <c r="F176" i="305"/>
  <c r="G176" s="1"/>
  <c r="I177" i="309"/>
  <c r="F235" i="305"/>
  <c r="G235" s="1"/>
  <c r="I236" i="309"/>
  <c r="F236" i="305"/>
  <c r="G236" s="1"/>
  <c r="I237" i="309"/>
  <c r="F353" i="305"/>
  <c r="G353" s="1"/>
  <c r="I355" i="309"/>
  <c r="J35"/>
  <c r="E35"/>
  <c r="F35" s="1"/>
  <c r="J36"/>
  <c r="E36"/>
  <c r="F36" s="1"/>
  <c r="J367"/>
  <c r="E367"/>
  <c r="F367" s="1"/>
  <c r="J371"/>
  <c r="E371"/>
  <c r="F371" s="1"/>
  <c r="J507"/>
  <c r="E507"/>
  <c r="F507" s="1"/>
  <c r="J511"/>
  <c r="E511"/>
  <c r="F511" s="1"/>
  <c r="J195"/>
  <c r="E195"/>
  <c r="F195" s="1"/>
  <c r="J377"/>
  <c r="E377"/>
  <c r="F377" s="1"/>
  <c r="J508"/>
  <c r="E508"/>
  <c r="F508" s="1"/>
  <c r="J370"/>
  <c r="E370"/>
  <c r="F370" s="1"/>
  <c r="J199"/>
  <c r="E199"/>
  <c r="F199" s="1"/>
  <c r="O614"/>
  <c r="O753"/>
  <c r="E3464" i="214"/>
  <c r="E3466" s="1"/>
  <c r="E3467" s="1"/>
  <c r="K1842" i="132" s="1"/>
  <c r="N80" i="211"/>
  <c r="I67"/>
  <c r="M84"/>
  <c r="S78"/>
  <c r="S90"/>
  <c r="S87"/>
  <c r="S60"/>
  <c r="L60"/>
  <c r="L66"/>
  <c r="M72"/>
  <c r="S67"/>
  <c r="S69"/>
  <c r="N138"/>
  <c r="C41" i="165" s="1"/>
  <c r="I52" i="196"/>
  <c r="I53"/>
  <c r="I183" i="211"/>
  <c r="C69" i="165" s="1"/>
  <c r="E72" i="139" s="1"/>
  <c r="S66" i="211"/>
  <c r="S77"/>
  <c r="I108" i="140"/>
  <c r="J108" s="1"/>
  <c r="O108" s="1"/>
  <c r="F107" i="305"/>
  <c r="G107" s="1"/>
  <c r="I19" i="140"/>
  <c r="J19" s="1"/>
  <c r="O19" s="1"/>
  <c r="F19" i="305"/>
  <c r="G19" s="1"/>
  <c r="I112" i="140"/>
  <c r="J112" s="1"/>
  <c r="O112" s="1"/>
  <c r="F111" i="305"/>
  <c r="G111" s="1"/>
  <c r="I109" i="140"/>
  <c r="J109" s="1"/>
  <c r="O109" s="1"/>
  <c r="F108" i="305"/>
  <c r="G108" s="1"/>
  <c r="I24" i="140"/>
  <c r="J24" s="1"/>
  <c r="O24" s="1"/>
  <c r="F24" i="305"/>
  <c r="G24" s="1"/>
  <c r="I117" i="140"/>
  <c r="J117" s="1"/>
  <c r="O117" s="1"/>
  <c r="F116" i="305"/>
  <c r="G116" s="1"/>
  <c r="I23" i="140"/>
  <c r="J23" s="1"/>
  <c r="O23" s="1"/>
  <c r="F23" i="305"/>
  <c r="G23" s="1"/>
  <c r="I116" i="140"/>
  <c r="J116" s="1"/>
  <c r="O116" s="1"/>
  <c r="F115" i="305"/>
  <c r="G115" s="1"/>
  <c r="I20" i="140"/>
  <c r="J20" s="1"/>
  <c r="O20" s="1"/>
  <c r="F20" i="305"/>
  <c r="G20" s="1"/>
  <c r="I113" i="140"/>
  <c r="J113" s="1"/>
  <c r="O113" s="1"/>
  <c r="F112" i="305"/>
  <c r="G112" s="1"/>
  <c r="I138" i="211"/>
  <c r="C68" i="165" s="1"/>
  <c r="E71" i="139" s="1"/>
  <c r="L183" i="211"/>
  <c r="C56" i="165" s="1"/>
  <c r="E61" i="139" s="1"/>
  <c r="G61" s="1"/>
  <c r="I65" i="211"/>
  <c r="Q72"/>
  <c r="G3380" i="214"/>
  <c r="F3399"/>
  <c r="F3381"/>
  <c r="G2463"/>
  <c r="F2464"/>
  <c r="F2482"/>
  <c r="L138" i="211"/>
  <c r="C55" i="165" s="1"/>
  <c r="E60" i="139" s="1"/>
  <c r="G60" s="1"/>
  <c r="Q71" i="211"/>
  <c r="S75"/>
  <c r="S85"/>
  <c r="S73"/>
  <c r="L77" i="196"/>
  <c r="O53"/>
  <c r="G2590" i="214"/>
  <c r="E2592" s="1"/>
  <c r="E2594" s="1"/>
  <c r="E2595" s="1"/>
  <c r="K1889" i="132" s="1"/>
  <c r="G3507" i="214"/>
  <c r="E3509" s="1"/>
  <c r="E3511" s="1"/>
  <c r="E3512" s="1"/>
  <c r="K1896" i="132" s="1"/>
  <c r="S183" i="211"/>
  <c r="C11" i="165" s="1"/>
  <c r="F11" s="1"/>
  <c r="N79" i="211"/>
  <c r="M89"/>
  <c r="M73"/>
  <c r="S65"/>
  <c r="E234" i="195"/>
  <c r="F234" s="1"/>
  <c r="J234" s="1"/>
  <c r="I236" i="140"/>
  <c r="J236" s="1"/>
  <c r="O236" s="1"/>
  <c r="I237"/>
  <c r="J237" s="1"/>
  <c r="O237" s="1"/>
  <c r="E235" i="195"/>
  <c r="F235" s="1"/>
  <c r="J235" s="1"/>
  <c r="I475" i="140"/>
  <c r="J475" s="1"/>
  <c r="O475" s="1"/>
  <c r="E472" i="195"/>
  <c r="F472" s="1"/>
  <c r="J472" s="1"/>
  <c r="I152" i="140"/>
  <c r="J152" s="1"/>
  <c r="O152" s="1"/>
  <c r="E150" i="195"/>
  <c r="F150" s="1"/>
  <c r="J150" s="1"/>
  <c r="I176" i="140"/>
  <c r="J176" s="1"/>
  <c r="O176" s="1"/>
  <c r="E174" i="195"/>
  <c r="F174" s="1"/>
  <c r="J174" s="1"/>
  <c r="I358" i="140"/>
  <c r="J358" s="1"/>
  <c r="O358" s="1"/>
  <c r="E355" i="195"/>
  <c r="F355" s="1"/>
  <c r="J355" s="1"/>
  <c r="I495" i="140"/>
  <c r="J495" s="1"/>
  <c r="O495" s="1"/>
  <c r="E492" i="195"/>
  <c r="F492" s="1"/>
  <c r="J492" s="1"/>
  <c r="I172" i="140"/>
  <c r="J172" s="1"/>
  <c r="O172" s="1"/>
  <c r="E170" i="195"/>
  <c r="F170" s="1"/>
  <c r="J170" s="1"/>
  <c r="I476" i="140"/>
  <c r="J476" s="1"/>
  <c r="O476" s="1"/>
  <c r="E473" i="195"/>
  <c r="F473" s="1"/>
  <c r="J473" s="1"/>
  <c r="E437"/>
  <c r="F437" s="1"/>
  <c r="J437" s="1"/>
  <c r="I295" i="140"/>
  <c r="J295" s="1"/>
  <c r="O295" s="1"/>
  <c r="E292" i="195"/>
  <c r="F292" s="1"/>
  <c r="J292" s="1"/>
  <c r="I496" i="140"/>
  <c r="J496" s="1"/>
  <c r="O496" s="1"/>
  <c r="E493" i="195"/>
  <c r="F493" s="1"/>
  <c r="J493" s="1"/>
  <c r="I500" i="140"/>
  <c r="J500" s="1"/>
  <c r="O500" s="1"/>
  <c r="E497" i="195"/>
  <c r="F497" s="1"/>
  <c r="J497" s="1"/>
  <c r="I177" i="140"/>
  <c r="J177" s="1"/>
  <c r="O177" s="1"/>
  <c r="E175" i="195"/>
  <c r="F175" s="1"/>
  <c r="J175" s="1"/>
  <c r="I334" i="140"/>
  <c r="J334" s="1"/>
  <c r="O334" s="1"/>
  <c r="E331" i="195"/>
  <c r="F331" s="1"/>
  <c r="J331" s="1"/>
  <c r="I499" i="140"/>
  <c r="J499" s="1"/>
  <c r="O499" s="1"/>
  <c r="E496" i="195"/>
  <c r="F496" s="1"/>
  <c r="J496" s="1"/>
  <c r="I439" i="140"/>
  <c r="J439" s="1"/>
  <c r="O439" s="1"/>
  <c r="E436" i="195"/>
  <c r="F436" s="1"/>
  <c r="J436" s="1"/>
  <c r="I294" i="140"/>
  <c r="J294" s="1"/>
  <c r="O294" s="1"/>
  <c r="E291" i="195"/>
  <c r="F291" s="1"/>
  <c r="J291" s="1"/>
  <c r="I354" i="140"/>
  <c r="J354" s="1"/>
  <c r="O354" s="1"/>
  <c r="E351" i="195"/>
  <c r="F351" s="1"/>
  <c r="J351" s="1"/>
  <c r="I335" i="140"/>
  <c r="J335" s="1"/>
  <c r="O335" s="1"/>
  <c r="E332" i="195"/>
  <c r="F332" s="1"/>
  <c r="J332" s="1"/>
  <c r="I355" i="140"/>
  <c r="J355" s="1"/>
  <c r="O355" s="1"/>
  <c r="E352" i="195"/>
  <c r="F352" s="1"/>
  <c r="J352" s="1"/>
  <c r="I359" i="140"/>
  <c r="J359" s="1"/>
  <c r="O359" s="1"/>
  <c r="E356" i="195"/>
  <c r="F356" s="1"/>
  <c r="J356" s="1"/>
  <c r="G2339" i="214"/>
  <c r="F2341" s="1"/>
  <c r="C167" i="196"/>
  <c r="F167" s="1"/>
  <c r="O45"/>
  <c r="I77"/>
  <c r="K145"/>
  <c r="K105"/>
  <c r="L73"/>
  <c r="I124"/>
  <c r="K140"/>
  <c r="K153"/>
  <c r="I121"/>
  <c r="O49"/>
  <c r="I93"/>
  <c r="I97"/>
  <c r="K161"/>
  <c r="O68"/>
  <c r="I92"/>
  <c r="I157"/>
  <c r="I80"/>
  <c r="K81"/>
  <c r="K117"/>
  <c r="I148"/>
  <c r="K85"/>
  <c r="I68"/>
  <c r="I49"/>
  <c r="K160"/>
  <c r="K141"/>
  <c r="K116"/>
  <c r="I165"/>
  <c r="I45"/>
  <c r="K156"/>
  <c r="K144"/>
  <c r="I108"/>
  <c r="I101"/>
  <c r="K152"/>
  <c r="F75"/>
  <c r="I75" s="1"/>
  <c r="F71"/>
  <c r="O71" s="1"/>
  <c r="K125"/>
  <c r="L44"/>
  <c r="K164"/>
  <c r="K136"/>
  <c r="O52"/>
  <c r="K112"/>
  <c r="I104"/>
  <c r="K149"/>
  <c r="F99"/>
  <c r="K99" s="1"/>
  <c r="F147"/>
  <c r="I147" s="1"/>
  <c r="O44"/>
  <c r="I73"/>
  <c r="K129"/>
  <c r="M2493" i="132"/>
  <c r="D108" i="165"/>
  <c r="F98" i="139"/>
  <c r="G98" s="1"/>
  <c r="F107" i="165"/>
  <c r="G3034" i="214"/>
  <c r="G3036" s="1"/>
  <c r="K960" i="194" s="1"/>
  <c r="F3036" i="214"/>
  <c r="K1542" i="192" s="1"/>
  <c r="M2487" i="132"/>
  <c r="F2119" i="214"/>
  <c r="K1535" i="192" s="1"/>
  <c r="G2117" i="214"/>
  <c r="G2119" s="1"/>
  <c r="K954" i="194" s="1"/>
  <c r="D104" i="165"/>
  <c r="F95" i="139"/>
  <c r="G95" s="1"/>
  <c r="F103" i="165"/>
  <c r="M183" i="211"/>
  <c r="C42" i="165" s="1"/>
  <c r="E81" i="139"/>
  <c r="E3175" i="214"/>
  <c r="E3179" s="1"/>
  <c r="K1153" i="132" s="1"/>
  <c r="I121" i="309" s="1"/>
  <c r="F3175" i="214"/>
  <c r="F3179" s="1"/>
  <c r="K578" i="192" s="1"/>
  <c r="G3175" i="214"/>
  <c r="G3179" s="1"/>
  <c r="K375" i="194" s="1"/>
  <c r="M914" i="132"/>
  <c r="E107" i="195"/>
  <c r="F107" s="1"/>
  <c r="J107" s="1"/>
  <c r="F3271" i="214"/>
  <c r="G3271" s="1"/>
  <c r="G3268"/>
  <c r="M1002" i="192"/>
  <c r="E23" i="195"/>
  <c r="F23" s="1"/>
  <c r="J23" s="1"/>
  <c r="M182" i="132"/>
  <c r="E3316" i="214"/>
  <c r="E3318" s="1"/>
  <c r="E3319" s="1"/>
  <c r="K809" i="132" s="1"/>
  <c r="I93" i="309" s="1"/>
  <c r="F3316" i="214"/>
  <c r="F3318" s="1"/>
  <c r="F3319" s="1"/>
  <c r="K326" i="192" s="1"/>
  <c r="G3316" i="214"/>
  <c r="G3318" s="1"/>
  <c r="G3319" s="1"/>
  <c r="K237" i="194" s="1"/>
  <c r="F3206" i="214"/>
  <c r="F3210" s="1"/>
  <c r="F3211" s="1"/>
  <c r="K710" i="192" s="1"/>
  <c r="E3206" i="214"/>
  <c r="E3210" s="1"/>
  <c r="E3211" s="1"/>
  <c r="K1294" i="132" s="1"/>
  <c r="G3206" i="214"/>
  <c r="G3210" s="1"/>
  <c r="G3211" s="1"/>
  <c r="K436" i="194" s="1"/>
  <c r="M1010" i="132"/>
  <c r="E111" i="195"/>
  <c r="F111" s="1"/>
  <c r="J111" s="1"/>
  <c r="M550" i="192"/>
  <c r="M751" i="194"/>
  <c r="F3366" i="214"/>
  <c r="G3366" s="1"/>
  <c r="M775" i="194"/>
  <c r="M1870" i="132"/>
  <c r="G3509" i="214"/>
  <c r="G3511" s="1"/>
  <c r="G3512" s="1"/>
  <c r="K799" i="194" s="1"/>
  <c r="F3509" i="214"/>
  <c r="F3511" s="1"/>
  <c r="F3512" s="1"/>
  <c r="K1241" i="192" s="1"/>
  <c r="G3331" i="214"/>
  <c r="G3333" s="1"/>
  <c r="G3334" s="1"/>
  <c r="K261" i="194" s="1"/>
  <c r="E3331" i="214"/>
  <c r="E3333" s="1"/>
  <c r="E3334" s="1"/>
  <c r="K834" i="132" s="1"/>
  <c r="I97" i="309" s="1"/>
  <c r="F3331" i="214"/>
  <c r="F3333" s="1"/>
  <c r="F3334" s="1"/>
  <c r="K350" i="192" s="1"/>
  <c r="G3140" i="214"/>
  <c r="G3144" s="1"/>
  <c r="K290" i="194" s="1"/>
  <c r="F3144" i="214"/>
  <c r="K374" i="192" s="1"/>
  <c r="E3258" i="214"/>
  <c r="E3262" s="1"/>
  <c r="E3263" s="1"/>
  <c r="F3258"/>
  <c r="M611" i="194"/>
  <c r="E19" i="195"/>
  <c r="F19" s="1"/>
  <c r="J19" s="1"/>
  <c r="M146" i="132"/>
  <c r="E3190" i="214"/>
  <c r="E3194" s="1"/>
  <c r="E3195" s="1"/>
  <c r="K1265" i="132" s="1"/>
  <c r="I129" i="309" s="1"/>
  <c r="F3190" i="214"/>
  <c r="F3194" s="1"/>
  <c r="F3195" s="1"/>
  <c r="K678" i="192" s="1"/>
  <c r="G3190" i="214"/>
  <c r="G3194" s="1"/>
  <c r="G3195" s="1"/>
  <c r="K404" i="194" s="1"/>
  <c r="G3238" i="214"/>
  <c r="G3242" s="1"/>
  <c r="G3243" s="1"/>
  <c r="F3238"/>
  <c r="F3242" s="1"/>
  <c r="F3243" s="1"/>
  <c r="E3238"/>
  <c r="E3242" s="1"/>
  <c r="E3243" s="1"/>
  <c r="E3222"/>
  <c r="E3226" s="1"/>
  <c r="E3227" s="1"/>
  <c r="K1318" i="132" s="1"/>
  <c r="F3222" i="214"/>
  <c r="F3226" s="1"/>
  <c r="F3227" s="1"/>
  <c r="K742" i="192" s="1"/>
  <c r="G3222" i="214"/>
  <c r="G3226" s="1"/>
  <c r="G3227" s="1"/>
  <c r="K468" i="194" s="1"/>
  <c r="G3123" i="214"/>
  <c r="G3127" s="1"/>
  <c r="K320" i="194" s="1"/>
  <c r="F3127" i="214"/>
  <c r="K460" i="192" s="1"/>
  <c r="M1121" i="132"/>
  <c r="E115" i="195"/>
  <c r="F115" s="1"/>
  <c r="J115" s="1"/>
  <c r="M1175" i="192"/>
  <c r="F3347" i="214"/>
  <c r="G3347" s="1"/>
  <c r="F3425"/>
  <c r="G3425" s="1"/>
  <c r="G3426" s="1"/>
  <c r="M1209" i="192"/>
  <c r="M956" i="132"/>
  <c r="E110" i="195"/>
  <c r="F110" s="1"/>
  <c r="J110" s="1"/>
  <c r="M604" i="194"/>
  <c r="M1632" i="132"/>
  <c r="G2258" i="214"/>
  <c r="G2262" s="1"/>
  <c r="K368" i="194" s="1"/>
  <c r="E2258" i="214"/>
  <c r="E2262" s="1"/>
  <c r="K1145" i="132" s="1"/>
  <c r="I120" i="309" s="1"/>
  <c r="F2258" i="214"/>
  <c r="F2262" s="1"/>
  <c r="K571" i="192" s="1"/>
  <c r="F2227" i="214"/>
  <c r="K368" i="192" s="1"/>
  <c r="G2223" i="214"/>
  <c r="G2227" s="1"/>
  <c r="K282" i="194" s="1"/>
  <c r="M173" i="132"/>
  <c r="E22" i="195"/>
  <c r="F22" s="1"/>
  <c r="J22" s="1"/>
  <c r="F2430" i="214"/>
  <c r="G2430" s="1"/>
  <c r="M769" i="194"/>
  <c r="E2399" i="214"/>
  <c r="E2401" s="1"/>
  <c r="E2402" s="1"/>
  <c r="K803" i="132" s="1"/>
  <c r="I92" i="309" s="1"/>
  <c r="F2399" i="214"/>
  <c r="F2401" s="1"/>
  <c r="F2402" s="1"/>
  <c r="K320" i="192" s="1"/>
  <c r="G2399" i="214"/>
  <c r="G2401" s="1"/>
  <c r="G2402" s="1"/>
  <c r="K232" i="194" s="1"/>
  <c r="E2305" i="214"/>
  <c r="E2309" s="1"/>
  <c r="E2310" s="1"/>
  <c r="K1313" i="132" s="1"/>
  <c r="F2305" i="214"/>
  <c r="F2309" s="1"/>
  <c r="F2310" s="1"/>
  <c r="K734" i="192" s="1"/>
  <c r="G2305" i="214"/>
  <c r="G2309" s="1"/>
  <c r="G2310" s="1"/>
  <c r="K460" i="194" s="1"/>
  <c r="M339"/>
  <c r="M541" i="192"/>
  <c r="M1170"/>
  <c r="F2508" i="214"/>
  <c r="G2508" s="1"/>
  <c r="G2509" s="1"/>
  <c r="G2592"/>
  <c r="G2594" s="1"/>
  <c r="G2595" s="1"/>
  <c r="K793" i="194" s="1"/>
  <c r="F2210" i="214"/>
  <c r="K454" i="192" s="1"/>
  <c r="G2206" i="214"/>
  <c r="G2210" s="1"/>
  <c r="K312" i="194" s="1"/>
  <c r="M995" i="192"/>
  <c r="E2414" i="214"/>
  <c r="E2416" s="1"/>
  <c r="E2417" s="1"/>
  <c r="K828" i="132" s="1"/>
  <c r="I96" i="309" s="1"/>
  <c r="F2414" i="214"/>
  <c r="F2416" s="1"/>
  <c r="F2417" s="1"/>
  <c r="K344" i="192" s="1"/>
  <c r="G2414" i="214"/>
  <c r="G2416" s="1"/>
  <c r="G2417" s="1"/>
  <c r="K255" i="194" s="1"/>
  <c r="M896" i="132"/>
  <c r="E106" i="195"/>
  <c r="F106" s="1"/>
  <c r="J106" s="1"/>
  <c r="G2351" i="214"/>
  <c r="F2354"/>
  <c r="G2354" s="1"/>
  <c r="E2341"/>
  <c r="E2345" s="1"/>
  <c r="E2346" s="1"/>
  <c r="E18" i="195"/>
  <c r="F18" s="1"/>
  <c r="J18" s="1"/>
  <c r="M133" i="132"/>
  <c r="F2449" i="214"/>
  <c r="G2449" s="1"/>
  <c r="M1863" i="132"/>
  <c r="M1197" i="192"/>
  <c r="G2321" i="214"/>
  <c r="G2325" s="1"/>
  <c r="G2326" s="1"/>
  <c r="F2321"/>
  <c r="F2325" s="1"/>
  <c r="F2326" s="1"/>
  <c r="E2321"/>
  <c r="E2325" s="1"/>
  <c r="E2326" s="1"/>
  <c r="F2273"/>
  <c r="F2277" s="1"/>
  <c r="F2278" s="1"/>
  <c r="K659" i="192" s="1"/>
  <c r="G2273" i="214"/>
  <c r="G2277" s="1"/>
  <c r="G2278" s="1"/>
  <c r="K397" i="194" s="1"/>
  <c r="E2273" i="214"/>
  <c r="E2277" s="1"/>
  <c r="E2278" s="1"/>
  <c r="K1247" i="132" s="1"/>
  <c r="I128" i="309" s="1"/>
  <c r="G2289" i="214"/>
  <c r="G2293" s="1"/>
  <c r="G2294" s="1"/>
  <c r="K428" i="194" s="1"/>
  <c r="F2289" i="214"/>
  <c r="F2293" s="1"/>
  <c r="F2294" s="1"/>
  <c r="K702" i="192" s="1"/>
  <c r="E2289" i="214"/>
  <c r="E2293" s="1"/>
  <c r="E2294" s="1"/>
  <c r="K1287" i="132" s="1"/>
  <c r="E114" i="195"/>
  <c r="F114" s="1"/>
  <c r="J114" s="1"/>
  <c r="M1067" i="132"/>
  <c r="M744" i="194"/>
  <c r="M1836" i="132"/>
  <c r="Q138" i="211"/>
  <c r="K84" i="196"/>
  <c r="I72"/>
  <c r="O72"/>
  <c r="S64" i="211"/>
  <c r="S68"/>
  <c r="I62"/>
  <c r="S88"/>
  <c r="L69" i="196"/>
  <c r="L64" i="211"/>
  <c r="S86"/>
  <c r="M83"/>
  <c r="S138"/>
  <c r="C10" i="165" s="1"/>
  <c r="O65" i="196"/>
  <c r="I65"/>
  <c r="L65"/>
  <c r="O60"/>
  <c r="L60"/>
  <c r="I69"/>
  <c r="O61"/>
  <c r="I61"/>
  <c r="L61"/>
  <c r="L64"/>
  <c r="O64"/>
  <c r="I64"/>
  <c r="I60"/>
  <c r="F43"/>
  <c r="L43" s="1"/>
  <c r="F67"/>
  <c r="L67" s="1"/>
  <c r="F51"/>
  <c r="I51" s="1"/>
  <c r="F95"/>
  <c r="I95" s="1"/>
  <c r="F119"/>
  <c r="K119" s="1"/>
  <c r="F155"/>
  <c r="K155" s="1"/>
  <c r="F131"/>
  <c r="K131" s="1"/>
  <c r="F159"/>
  <c r="I159" s="1"/>
  <c r="I128"/>
  <c r="K128"/>
  <c r="F127"/>
  <c r="K127" s="1"/>
  <c r="F47"/>
  <c r="I47" s="1"/>
  <c r="L62" i="211"/>
  <c r="Q74"/>
  <c r="M847" i="194"/>
  <c r="E507" i="195"/>
  <c r="F507" s="1"/>
  <c r="J507" s="1"/>
  <c r="I510" i="140"/>
  <c r="J510" s="1"/>
  <c r="M815" i="194"/>
  <c r="E503" i="195"/>
  <c r="F503" s="1"/>
  <c r="J503" s="1"/>
  <c r="I506" i="140"/>
  <c r="J506" s="1"/>
  <c r="O506" s="1"/>
  <c r="F139" i="196"/>
  <c r="I139" s="1"/>
  <c r="F107"/>
  <c r="K107" s="1"/>
  <c r="F135"/>
  <c r="I135" s="1"/>
  <c r="F79"/>
  <c r="F111"/>
  <c r="K111" s="1"/>
  <c r="F83"/>
  <c r="K83" s="1"/>
  <c r="S74" i="211"/>
  <c r="F151" i="196"/>
  <c r="I151" s="1"/>
  <c r="M1334" i="192"/>
  <c r="E366" i="195"/>
  <c r="F366" s="1"/>
  <c r="J366" s="1"/>
  <c r="I369" i="140"/>
  <c r="J369" s="1"/>
  <c r="O369" s="1"/>
  <c r="M1259" i="192"/>
  <c r="E362" i="195"/>
  <c r="F362" s="1"/>
  <c r="J362" s="1"/>
  <c r="I365" i="140"/>
  <c r="J365" s="1"/>
  <c r="O365" s="1"/>
  <c r="S71" i="211"/>
  <c r="F103" i="196"/>
  <c r="I103" s="1"/>
  <c r="F123"/>
  <c r="I123" s="1"/>
  <c r="F91"/>
  <c r="K91" s="1"/>
  <c r="F115"/>
  <c r="I115" s="1"/>
  <c r="F163"/>
  <c r="I163" s="1"/>
  <c r="F143"/>
  <c r="I143" s="1"/>
  <c r="D63"/>
  <c r="F63" s="1"/>
  <c r="I63" s="1"/>
  <c r="D59"/>
  <c r="F59" s="1"/>
  <c r="I59" s="1"/>
  <c r="I19"/>
  <c r="M19"/>
  <c r="O19"/>
  <c r="H93" i="211"/>
  <c r="C80" i="165" s="1"/>
  <c r="E79" i="139" s="1"/>
  <c r="I87" i="196"/>
  <c r="K87"/>
  <c r="O35"/>
  <c r="L35"/>
  <c r="I35"/>
  <c r="I23"/>
  <c r="O23"/>
  <c r="M23"/>
  <c r="O55"/>
  <c r="L55"/>
  <c r="O39"/>
  <c r="I39"/>
  <c r="L39"/>
  <c r="E21" i="240"/>
  <c r="F21" s="1"/>
  <c r="L21" s="1"/>
  <c r="F2188" i="214" s="1"/>
  <c r="G2188" s="1"/>
  <c r="G2193" s="1"/>
  <c r="K855" i="132" s="1"/>
  <c r="I104" i="309" s="1"/>
  <c r="E22" i="240"/>
  <c r="F22" s="1"/>
  <c r="L22" s="1"/>
  <c r="F2421" i="214" s="1"/>
  <c r="F20" i="240"/>
  <c r="L20" s="1"/>
  <c r="E1870" i="214" s="1"/>
  <c r="F1870" s="1"/>
  <c r="F1871" s="1"/>
  <c r="D68" i="165" s="1"/>
  <c r="F71" i="139" s="1"/>
  <c r="E21" i="250"/>
  <c r="F21" s="1"/>
  <c r="L21" s="1"/>
  <c r="F3105" i="214" s="1"/>
  <c r="G3105" s="1"/>
  <c r="G3110" s="1"/>
  <c r="K862" i="132" s="1"/>
  <c r="I105" i="309" s="1"/>
  <c r="E22" i="250"/>
  <c r="F22" s="1"/>
  <c r="L22" s="1"/>
  <c r="F3338" i="214" s="1"/>
  <c r="F20" i="250"/>
  <c r="L20" s="1"/>
  <c r="E2787" i="214" s="1"/>
  <c r="F2787" s="1"/>
  <c r="F2788" s="1"/>
  <c r="D69" i="165" s="1"/>
  <c r="F72" i="139" s="1"/>
  <c r="F634" i="214"/>
  <c r="F635"/>
  <c r="I79" i="196" l="1"/>
  <c r="K79"/>
  <c r="M347" i="194"/>
  <c r="I440" i="140"/>
  <c r="J440" s="1"/>
  <c r="O440" s="1"/>
  <c r="J527" i="309"/>
  <c r="E597" i="195"/>
  <c r="F597" s="1"/>
  <c r="J597" s="1"/>
  <c r="J555" i="309"/>
  <c r="O555" s="1"/>
  <c r="F600" i="305"/>
  <c r="G600" s="1"/>
  <c r="F599"/>
  <c r="G599" s="1"/>
  <c r="F152"/>
  <c r="G152" s="1"/>
  <c r="I83" i="196"/>
  <c r="I601" i="140"/>
  <c r="J601" s="1"/>
  <c r="O601" s="1"/>
  <c r="E598" i="195"/>
  <c r="F598" s="1"/>
  <c r="J598" s="1"/>
  <c r="M1653" i="132"/>
  <c r="I602" i="140"/>
  <c r="J602" s="1"/>
  <c r="O602" s="1"/>
  <c r="E151" i="195"/>
  <c r="F151" s="1"/>
  <c r="J151" s="1"/>
  <c r="O544" i="309"/>
  <c r="O559"/>
  <c r="O547"/>
  <c r="O754"/>
  <c r="O561"/>
  <c r="O536"/>
  <c r="O592"/>
  <c r="J589"/>
  <c r="E589"/>
  <c r="F589" s="1"/>
  <c r="O549"/>
  <c r="O568"/>
  <c r="O551"/>
  <c r="O531"/>
  <c r="E800"/>
  <c r="F800" s="1"/>
  <c r="J800"/>
  <c r="O714"/>
  <c r="O679"/>
  <c r="O908"/>
  <c r="O904"/>
  <c r="O848"/>
  <c r="O792"/>
  <c r="O872"/>
  <c r="O804"/>
  <c r="O802"/>
  <c r="O801"/>
  <c r="O868"/>
  <c r="O876"/>
  <c r="O832"/>
  <c r="O812"/>
  <c r="O844"/>
  <c r="O610"/>
  <c r="O604"/>
  <c r="O884"/>
  <c r="O748"/>
  <c r="O788"/>
  <c r="O856"/>
  <c r="O796"/>
  <c r="O780"/>
  <c r="O776"/>
  <c r="O860"/>
  <c r="O840"/>
  <c r="O896"/>
  <c r="O808"/>
  <c r="O880"/>
  <c r="O671"/>
  <c r="O692"/>
  <c r="E567"/>
  <c r="F567" s="1"/>
  <c r="J567"/>
  <c r="E543"/>
  <c r="F543" s="1"/>
  <c r="J543"/>
  <c r="E539"/>
  <c r="F539" s="1"/>
  <c r="J539"/>
  <c r="O532"/>
  <c r="O563"/>
  <c r="E535"/>
  <c r="F535" s="1"/>
  <c r="J535"/>
  <c r="E590"/>
  <c r="F590" s="1"/>
  <c r="J590"/>
  <c r="E612"/>
  <c r="F612" s="1"/>
  <c r="J612"/>
  <c r="E608"/>
  <c r="F608" s="1"/>
  <c r="J608"/>
  <c r="E598"/>
  <c r="F598" s="1"/>
  <c r="J598"/>
  <c r="O609"/>
  <c r="O616"/>
  <c r="O613"/>
  <c r="I602"/>
  <c r="I601"/>
  <c r="E597"/>
  <c r="F597" s="1"/>
  <c r="J597"/>
  <c r="F2592" i="214"/>
  <c r="F2594" s="1"/>
  <c r="F2595" s="1"/>
  <c r="K1233" i="192" s="1"/>
  <c r="I362" i="309" s="1"/>
  <c r="I153" i="140"/>
  <c r="J153" s="1"/>
  <c r="O153" s="1"/>
  <c r="O19" i="309"/>
  <c r="O518"/>
  <c r="O366"/>
  <c r="O117"/>
  <c r="O109"/>
  <c r="O108"/>
  <c r="J105"/>
  <c r="E105"/>
  <c r="F105" s="1"/>
  <c r="F131" i="305"/>
  <c r="G131" s="1"/>
  <c r="I132" i="309"/>
  <c r="F449" i="305"/>
  <c r="G449" s="1"/>
  <c r="I451" i="309"/>
  <c r="F445" i="305"/>
  <c r="G445" s="1"/>
  <c r="I447" i="309"/>
  <c r="F280" i="305"/>
  <c r="G280" s="1"/>
  <c r="I282" i="309"/>
  <c r="F284" i="305"/>
  <c r="G284" s="1"/>
  <c r="I286" i="309"/>
  <c r="F501" i="305"/>
  <c r="G501" s="1"/>
  <c r="I503" i="309"/>
  <c r="F312" i="305"/>
  <c r="G312" s="1"/>
  <c r="I314" i="309"/>
  <c r="F421" i="305"/>
  <c r="G421" s="1"/>
  <c r="I423" i="309"/>
  <c r="J92"/>
  <c r="E92"/>
  <c r="F92" s="1"/>
  <c r="F288" i="305"/>
  <c r="G288" s="1"/>
  <c r="I290" i="309"/>
  <c r="J120"/>
  <c r="E120"/>
  <c r="F120" s="1"/>
  <c r="F285" i="305"/>
  <c r="G285" s="1"/>
  <c r="I287" i="309"/>
  <c r="F454" i="305"/>
  <c r="G454" s="1"/>
  <c r="I456" i="309"/>
  <c r="F136" i="305"/>
  <c r="G136" s="1"/>
  <c r="I137" i="309"/>
  <c r="F446" i="305"/>
  <c r="G446" s="1"/>
  <c r="I448" i="309"/>
  <c r="J129"/>
  <c r="E129"/>
  <c r="F129" s="1"/>
  <c r="F289" i="305"/>
  <c r="G289" s="1"/>
  <c r="I291" i="309"/>
  <c r="F281" i="305"/>
  <c r="G281" s="1"/>
  <c r="I283" i="309"/>
  <c r="F426" i="305"/>
  <c r="G426" s="1"/>
  <c r="I428" i="309"/>
  <c r="F502" i="305"/>
  <c r="G502" s="1"/>
  <c r="I504" i="309"/>
  <c r="F132" i="305"/>
  <c r="G132" s="1"/>
  <c r="I133" i="309"/>
  <c r="F422" i="305"/>
  <c r="G422" s="1"/>
  <c r="I424" i="309"/>
  <c r="J93"/>
  <c r="E93"/>
  <c r="F93" s="1"/>
  <c r="F297" i="305"/>
  <c r="G297" s="1"/>
  <c r="I299" i="309"/>
  <c r="F380" i="305"/>
  <c r="G380" s="1"/>
  <c r="I382" i="309"/>
  <c r="F381" i="305"/>
  <c r="G381" s="1"/>
  <c r="I383" i="309"/>
  <c r="F179" i="305"/>
  <c r="G179" s="1"/>
  <c r="I180" i="309"/>
  <c r="F172" i="305"/>
  <c r="G172" s="1"/>
  <c r="I173" i="309"/>
  <c r="J104"/>
  <c r="E104"/>
  <c r="F104" s="1"/>
  <c r="F308" i="305"/>
  <c r="G308" s="1"/>
  <c r="I310" i="309"/>
  <c r="J128"/>
  <c r="E128"/>
  <c r="F128" s="1"/>
  <c r="F304" i="305"/>
  <c r="G304" s="1"/>
  <c r="I306" i="309"/>
  <c r="F425" i="305"/>
  <c r="G425" s="1"/>
  <c r="I427" i="309"/>
  <c r="J96"/>
  <c r="E96"/>
  <c r="F96" s="1"/>
  <c r="F429" i="305"/>
  <c r="G429" s="1"/>
  <c r="I431" i="309"/>
  <c r="F360" i="305"/>
  <c r="G360" s="1"/>
  <c r="F453"/>
  <c r="G453" s="1"/>
  <c r="I455" i="309"/>
  <c r="F135" i="305"/>
  <c r="G135" s="1"/>
  <c r="I136" i="309"/>
  <c r="F276" i="305"/>
  <c r="G276" s="1"/>
  <c r="I278" i="309"/>
  <c r="F433" i="305"/>
  <c r="G433" s="1"/>
  <c r="I435" i="309"/>
  <c r="F296" i="305"/>
  <c r="G296" s="1"/>
  <c r="I298" i="309"/>
  <c r="F441" i="305"/>
  <c r="G441" s="1"/>
  <c r="I443" i="309"/>
  <c r="F430" i="305"/>
  <c r="G430" s="1"/>
  <c r="I432" i="309"/>
  <c r="F313" i="305"/>
  <c r="G313" s="1"/>
  <c r="I315" i="309"/>
  <c r="F305" i="305"/>
  <c r="G305" s="1"/>
  <c r="I307" i="309"/>
  <c r="F434" i="305"/>
  <c r="G434" s="1"/>
  <c r="I436" i="309"/>
  <c r="J97"/>
  <c r="E97"/>
  <c r="F97" s="1"/>
  <c r="F361" i="305"/>
  <c r="G361" s="1"/>
  <c r="I363" i="309"/>
  <c r="F450" i="305"/>
  <c r="G450" s="1"/>
  <c r="I452" i="309"/>
  <c r="F309" i="305"/>
  <c r="G309" s="1"/>
  <c r="I311" i="309"/>
  <c r="F277" i="305"/>
  <c r="G277" s="1"/>
  <c r="I279" i="309"/>
  <c r="F442" i="305"/>
  <c r="G442" s="1"/>
  <c r="I444" i="309"/>
  <c r="J121"/>
  <c r="E121"/>
  <c r="F121" s="1"/>
  <c r="F521" i="305"/>
  <c r="G521" s="1"/>
  <c r="I523" i="309"/>
  <c r="F522" i="305"/>
  <c r="G522" s="1"/>
  <c r="I524" i="309"/>
  <c r="F180" i="305"/>
  <c r="G180" s="1"/>
  <c r="I181" i="309"/>
  <c r="J355"/>
  <c r="E355"/>
  <c r="F355" s="1"/>
  <c r="J237"/>
  <c r="E237"/>
  <c r="F237" s="1"/>
  <c r="J236"/>
  <c r="E236"/>
  <c r="F236" s="1"/>
  <c r="J177"/>
  <c r="E177"/>
  <c r="F177" s="1"/>
  <c r="J500"/>
  <c r="E500"/>
  <c r="F500" s="1"/>
  <c r="J295"/>
  <c r="E295"/>
  <c r="F295" s="1"/>
  <c r="J440"/>
  <c r="E440"/>
  <c r="F440" s="1"/>
  <c r="J476"/>
  <c r="E476"/>
  <c r="F476" s="1"/>
  <c r="J172"/>
  <c r="E172"/>
  <c r="F172" s="1"/>
  <c r="J495"/>
  <c r="E495"/>
  <c r="F495" s="1"/>
  <c r="J358"/>
  <c r="E358"/>
  <c r="F358" s="1"/>
  <c r="J176"/>
  <c r="E176"/>
  <c r="F176" s="1"/>
  <c r="J152"/>
  <c r="E152"/>
  <c r="F152" s="1"/>
  <c r="J475"/>
  <c r="E475"/>
  <c r="F475" s="1"/>
  <c r="J365"/>
  <c r="E365"/>
  <c r="F365" s="1"/>
  <c r="J359"/>
  <c r="E359"/>
  <c r="F359" s="1"/>
  <c r="J496"/>
  <c r="E496"/>
  <c r="F496" s="1"/>
  <c r="J335"/>
  <c r="E335"/>
  <c r="F335" s="1"/>
  <c r="J153"/>
  <c r="E153"/>
  <c r="F153" s="1"/>
  <c r="J354"/>
  <c r="E354"/>
  <c r="F354" s="1"/>
  <c r="J294"/>
  <c r="E294"/>
  <c r="F294" s="1"/>
  <c r="J439"/>
  <c r="E439"/>
  <c r="F439" s="1"/>
  <c r="J499"/>
  <c r="E499"/>
  <c r="F499" s="1"/>
  <c r="J334"/>
  <c r="E334"/>
  <c r="F334" s="1"/>
  <c r="J506"/>
  <c r="E506"/>
  <c r="F506" s="1"/>
  <c r="J510"/>
  <c r="E510"/>
  <c r="F510" s="1"/>
  <c r="J369"/>
  <c r="E369"/>
  <c r="F369" s="1"/>
  <c r="O199"/>
  <c r="O370"/>
  <c r="O508"/>
  <c r="O377"/>
  <c r="O195"/>
  <c r="O511"/>
  <c r="O507"/>
  <c r="O371"/>
  <c r="O367"/>
  <c r="O36"/>
  <c r="O35"/>
  <c r="O113"/>
  <c r="O20"/>
  <c r="O116"/>
  <c r="O23"/>
  <c r="O512"/>
  <c r="O24"/>
  <c r="O112"/>
  <c r="O527"/>
  <c r="M1842" i="132"/>
  <c r="I173" i="140"/>
  <c r="J173" s="1"/>
  <c r="O173" s="1"/>
  <c r="F55" i="165"/>
  <c r="E171" i="195"/>
  <c r="F171" s="1"/>
  <c r="J171" s="1"/>
  <c r="I93" i="211"/>
  <c r="C67" i="165" s="1"/>
  <c r="E70" i="139" s="1"/>
  <c r="N93" i="211"/>
  <c r="I128" i="140"/>
  <c r="J128" s="1"/>
  <c r="O128" s="1"/>
  <c r="F127" i="305"/>
  <c r="G127" s="1"/>
  <c r="I96" i="140"/>
  <c r="J96" s="1"/>
  <c r="O96" s="1"/>
  <c r="F95" i="305"/>
  <c r="G95" s="1"/>
  <c r="I129" i="140"/>
  <c r="J129" s="1"/>
  <c r="O129" s="1"/>
  <c r="F128" i="305"/>
  <c r="G128" s="1"/>
  <c r="I121" i="140"/>
  <c r="J121" s="1"/>
  <c r="O121" s="1"/>
  <c r="F120" i="305"/>
  <c r="G120" s="1"/>
  <c r="I105" i="140"/>
  <c r="J105" s="1"/>
  <c r="O105" s="1"/>
  <c r="F104" i="305"/>
  <c r="G104" s="1"/>
  <c r="I104" i="140"/>
  <c r="J104" s="1"/>
  <c r="O104" s="1"/>
  <c r="F103" i="305"/>
  <c r="G103" s="1"/>
  <c r="I92" i="140"/>
  <c r="J92" s="1"/>
  <c r="O92" s="1"/>
  <c r="F91" i="305"/>
  <c r="G91" s="1"/>
  <c r="I120" i="140"/>
  <c r="J120" s="1"/>
  <c r="O120" s="1"/>
  <c r="F119" i="305"/>
  <c r="G119" s="1"/>
  <c r="I97" i="140"/>
  <c r="J97" s="1"/>
  <c r="O97" s="1"/>
  <c r="F96" i="305"/>
  <c r="G96" s="1"/>
  <c r="I93" i="140"/>
  <c r="J93" s="1"/>
  <c r="O93" s="1"/>
  <c r="F92" i="305"/>
  <c r="G92" s="1"/>
  <c r="Q93" i="211"/>
  <c r="E23" i="139"/>
  <c r="F2465" i="214"/>
  <c r="G2465" s="1"/>
  <c r="G2464"/>
  <c r="G3381"/>
  <c r="F3382"/>
  <c r="G3382" s="1"/>
  <c r="F2483"/>
  <c r="G2483" s="1"/>
  <c r="G2482"/>
  <c r="G3399"/>
  <c r="F3400"/>
  <c r="G3400" s="1"/>
  <c r="G3276"/>
  <c r="E3278" s="1"/>
  <c r="E3282" s="1"/>
  <c r="E3283" s="1"/>
  <c r="K1504" i="132" s="1"/>
  <c r="M93" i="211"/>
  <c r="C40" i="165" s="1"/>
  <c r="E47" i="139" s="1"/>
  <c r="O75" i="196"/>
  <c r="L71"/>
  <c r="E520" i="195"/>
  <c r="F520" s="1"/>
  <c r="J520" s="1"/>
  <c r="I523" i="140"/>
  <c r="J523" s="1"/>
  <c r="O523" s="1"/>
  <c r="I383"/>
  <c r="J383" s="1"/>
  <c r="O383" s="1"/>
  <c r="E380" i="195"/>
  <c r="F380" s="1"/>
  <c r="J380" s="1"/>
  <c r="I382" i="140"/>
  <c r="J382" s="1"/>
  <c r="O382" s="1"/>
  <c r="E379" i="195"/>
  <c r="F379" s="1"/>
  <c r="J379" s="1"/>
  <c r="E521"/>
  <c r="F521" s="1"/>
  <c r="J521" s="1"/>
  <c r="I524" i="140"/>
  <c r="J524" s="1"/>
  <c r="O524" s="1"/>
  <c r="F69" i="165"/>
  <c r="F68"/>
  <c r="I310" i="140"/>
  <c r="J310" s="1"/>
  <c r="O310" s="1"/>
  <c r="E307" i="195"/>
  <c r="F307" s="1"/>
  <c r="J307" s="1"/>
  <c r="I306" i="140"/>
  <c r="J306" s="1"/>
  <c r="O306" s="1"/>
  <c r="E303" i="195"/>
  <c r="F303" s="1"/>
  <c r="J303" s="1"/>
  <c r="I282" i="140"/>
  <c r="J282" s="1"/>
  <c r="O282" s="1"/>
  <c r="E279" i="195"/>
  <c r="F279" s="1"/>
  <c r="J279" s="1"/>
  <c r="I431" i="140"/>
  <c r="J431" s="1"/>
  <c r="O431" s="1"/>
  <c r="E428" i="195"/>
  <c r="F428" s="1"/>
  <c r="J428" s="1"/>
  <c r="I362" i="140"/>
  <c r="J362" s="1"/>
  <c r="O362" s="1"/>
  <c r="I503"/>
  <c r="J503" s="1"/>
  <c r="O503" s="1"/>
  <c r="E500" i="195"/>
  <c r="F500" s="1"/>
  <c r="J500" s="1"/>
  <c r="I314" i="140"/>
  <c r="J314" s="1"/>
  <c r="O314" s="1"/>
  <c r="E311" i="195"/>
  <c r="F311" s="1"/>
  <c r="J311" s="1"/>
  <c r="I423" i="140"/>
  <c r="J423" s="1"/>
  <c r="O423" s="1"/>
  <c r="E420" i="195"/>
  <c r="F420" s="1"/>
  <c r="J420" s="1"/>
  <c r="I290" i="140"/>
  <c r="J290" s="1"/>
  <c r="O290" s="1"/>
  <c r="E287" i="195"/>
  <c r="F287" s="1"/>
  <c r="J287" s="1"/>
  <c r="I287" i="140"/>
  <c r="J287" s="1"/>
  <c r="O287" s="1"/>
  <c r="E284" i="195"/>
  <c r="F284" s="1"/>
  <c r="J284" s="1"/>
  <c r="I456" i="140"/>
  <c r="J456" s="1"/>
  <c r="O456" s="1"/>
  <c r="E453" i="195"/>
  <c r="F453" s="1"/>
  <c r="J453" s="1"/>
  <c r="I137" i="140"/>
  <c r="J137" s="1"/>
  <c r="O137" s="1"/>
  <c r="E135" i="195"/>
  <c r="F135" s="1"/>
  <c r="J135" s="1"/>
  <c r="I448" i="140"/>
  <c r="J448" s="1"/>
  <c r="O448" s="1"/>
  <c r="E445" i="195"/>
  <c r="F445" s="1"/>
  <c r="J445" s="1"/>
  <c r="I436" i="140"/>
  <c r="J436" s="1"/>
  <c r="O436" s="1"/>
  <c r="E433" i="195"/>
  <c r="F433" s="1"/>
  <c r="J433" s="1"/>
  <c r="I363" i="140"/>
  <c r="J363" s="1"/>
  <c r="O363" s="1"/>
  <c r="E360" i="195"/>
  <c r="F360" s="1"/>
  <c r="J360" s="1"/>
  <c r="I504" i="140"/>
  <c r="J504" s="1"/>
  <c r="O504" s="1"/>
  <c r="E501" i="195"/>
  <c r="F501" s="1"/>
  <c r="J501" s="1"/>
  <c r="I133" i="140"/>
  <c r="J133" s="1"/>
  <c r="O133" s="1"/>
  <c r="E131" i="195"/>
  <c r="F131" s="1"/>
  <c r="J131" s="1"/>
  <c r="I424" i="140"/>
  <c r="J424" s="1"/>
  <c r="O424" s="1"/>
  <c r="E421" i="195"/>
  <c r="F421" s="1"/>
  <c r="J421" s="1"/>
  <c r="I444" i="140"/>
  <c r="J444" s="1"/>
  <c r="O444" s="1"/>
  <c r="E441" i="195"/>
  <c r="F441" s="1"/>
  <c r="J441" s="1"/>
  <c r="I132" i="140"/>
  <c r="J132" s="1"/>
  <c r="O132" s="1"/>
  <c r="E130" i="195"/>
  <c r="F130" s="1"/>
  <c r="J130" s="1"/>
  <c r="I451" i="140"/>
  <c r="J451" s="1"/>
  <c r="O451" s="1"/>
  <c r="E448" i="195"/>
  <c r="F448" s="1"/>
  <c r="J448" s="1"/>
  <c r="I447" i="140"/>
  <c r="J447" s="1"/>
  <c r="O447" s="1"/>
  <c r="E444" i="195"/>
  <c r="F444" s="1"/>
  <c r="J444" s="1"/>
  <c r="I427" i="140"/>
  <c r="J427" s="1"/>
  <c r="O427" s="1"/>
  <c r="E424" i="195"/>
  <c r="F424" s="1"/>
  <c r="J424" s="1"/>
  <c r="I286" i="140"/>
  <c r="J286" s="1"/>
  <c r="O286" s="1"/>
  <c r="E283" i="195"/>
  <c r="F283" s="1"/>
  <c r="J283" s="1"/>
  <c r="E178"/>
  <c r="F178" s="1"/>
  <c r="J178" s="1"/>
  <c r="I180" i="140"/>
  <c r="J180" s="1"/>
  <c r="O180" s="1"/>
  <c r="I455"/>
  <c r="J455" s="1"/>
  <c r="O455" s="1"/>
  <c r="E452" i="195"/>
  <c r="F452" s="1"/>
  <c r="J452" s="1"/>
  <c r="I136" i="140"/>
  <c r="J136" s="1"/>
  <c r="O136" s="1"/>
  <c r="E134" i="195"/>
  <c r="F134" s="1"/>
  <c r="J134" s="1"/>
  <c r="I278" i="140"/>
  <c r="J278" s="1"/>
  <c r="O278" s="1"/>
  <c r="E275" i="195"/>
  <c r="F275" s="1"/>
  <c r="J275" s="1"/>
  <c r="I435" i="140"/>
  <c r="J435" s="1"/>
  <c r="O435" s="1"/>
  <c r="E432" i="195"/>
  <c r="F432" s="1"/>
  <c r="J432" s="1"/>
  <c r="I298" i="140"/>
  <c r="J298" s="1"/>
  <c r="O298" s="1"/>
  <c r="E295" i="195"/>
  <c r="F295" s="1"/>
  <c r="J295" s="1"/>
  <c r="I443" i="140"/>
  <c r="J443" s="1"/>
  <c r="O443" s="1"/>
  <c r="E440" i="195"/>
  <c r="F440" s="1"/>
  <c r="J440" s="1"/>
  <c r="I432" i="140"/>
  <c r="J432" s="1"/>
  <c r="O432" s="1"/>
  <c r="E429" i="195"/>
  <c r="F429" s="1"/>
  <c r="J429" s="1"/>
  <c r="I315" i="140"/>
  <c r="J315" s="1"/>
  <c r="O315" s="1"/>
  <c r="E312" i="195"/>
  <c r="F312" s="1"/>
  <c r="J312" s="1"/>
  <c r="I307" i="140"/>
  <c r="J307" s="1"/>
  <c r="O307" s="1"/>
  <c r="E304" i="195"/>
  <c r="F304" s="1"/>
  <c r="J304" s="1"/>
  <c r="I291" i="140"/>
  <c r="J291" s="1"/>
  <c r="O291" s="1"/>
  <c r="E288" i="195"/>
  <c r="F288" s="1"/>
  <c r="J288" s="1"/>
  <c r="I283" i="140"/>
  <c r="J283" s="1"/>
  <c r="O283" s="1"/>
  <c r="E280" i="195"/>
  <c r="F280" s="1"/>
  <c r="J280" s="1"/>
  <c r="I428" i="140"/>
  <c r="J428" s="1"/>
  <c r="O428" s="1"/>
  <c r="E425" i="195"/>
  <c r="F425" s="1"/>
  <c r="J425" s="1"/>
  <c r="E179"/>
  <c r="F179" s="1"/>
  <c r="J179" s="1"/>
  <c r="I181" i="140"/>
  <c r="J181" s="1"/>
  <c r="O181" s="1"/>
  <c r="I452"/>
  <c r="J452" s="1"/>
  <c r="O452" s="1"/>
  <c r="E449" i="195"/>
  <c r="F449" s="1"/>
  <c r="J449" s="1"/>
  <c r="I311" i="140"/>
  <c r="J311" s="1"/>
  <c r="O311" s="1"/>
  <c r="E308" i="195"/>
  <c r="F308" s="1"/>
  <c r="J308" s="1"/>
  <c r="I279" i="140"/>
  <c r="J279" s="1"/>
  <c r="O279" s="1"/>
  <c r="E276" i="195"/>
  <c r="F276" s="1"/>
  <c r="J276" s="1"/>
  <c r="I299" i="140"/>
  <c r="J299" s="1"/>
  <c r="O299" s="1"/>
  <c r="E296" i="195"/>
  <c r="F296" s="1"/>
  <c r="J296" s="1"/>
  <c r="I167" i="196"/>
  <c r="K167"/>
  <c r="L167"/>
  <c r="O510" i="140"/>
  <c r="O43" i="196"/>
  <c r="I99"/>
  <c r="K147"/>
  <c r="I71"/>
  <c r="L75"/>
  <c r="M1542" i="192"/>
  <c r="M960" i="194"/>
  <c r="F99" i="139"/>
  <c r="G99" s="1"/>
  <c r="F108" i="165"/>
  <c r="M954" i="194"/>
  <c r="F96" i="139"/>
  <c r="G96" s="1"/>
  <c r="F104" i="165"/>
  <c r="M1535" i="192"/>
  <c r="E22" i="139"/>
  <c r="F10" i="165"/>
  <c r="E48" i="139"/>
  <c r="F41" i="165"/>
  <c r="F3521" i="214"/>
  <c r="G3521" s="1"/>
  <c r="G3528" s="1"/>
  <c r="F2858"/>
  <c r="F2978"/>
  <c r="G2978" s="1"/>
  <c r="G2988" s="1"/>
  <c r="F2915"/>
  <c r="E103" i="195"/>
  <c r="F103" s="1"/>
  <c r="J103" s="1"/>
  <c r="M862" i="132"/>
  <c r="G3338" i="214"/>
  <c r="G3348" s="1"/>
  <c r="E3350" s="1"/>
  <c r="E3352" s="1"/>
  <c r="E3353" s="1"/>
  <c r="K1706" i="132" s="1"/>
  <c r="F3357" i="214"/>
  <c r="G3357" s="1"/>
  <c r="G3367" s="1"/>
  <c r="G3369" s="1"/>
  <c r="G3371" s="1"/>
  <c r="G3372" s="1"/>
  <c r="K667" i="194" s="1"/>
  <c r="E3428" i="214"/>
  <c r="E3430" s="1"/>
  <c r="E3431" s="1"/>
  <c r="K1579" i="132" s="1"/>
  <c r="F3428" i="214"/>
  <c r="F3430" s="1"/>
  <c r="F3431" s="1"/>
  <c r="K963" i="192" s="1"/>
  <c r="G3428" i="214"/>
  <c r="G3430" s="1"/>
  <c r="G3431" s="1"/>
  <c r="K583" i="194" s="1"/>
  <c r="M460" i="192"/>
  <c r="M468" i="194"/>
  <c r="M1318" i="132"/>
  <c r="M404" i="194"/>
  <c r="M1265" i="132"/>
  <c r="E127" i="195"/>
  <c r="F127" s="1"/>
  <c r="J127" s="1"/>
  <c r="F3290" i="214"/>
  <c r="G3290" s="1"/>
  <c r="G3297" s="1"/>
  <c r="K1451" i="132"/>
  <c r="M290" i="194"/>
  <c r="M834" i="132"/>
  <c r="E95" i="195"/>
  <c r="F95" s="1"/>
  <c r="J95" s="1"/>
  <c r="M1241" i="192"/>
  <c r="M799" i="194"/>
  <c r="M1294" i="132"/>
  <c r="M237" i="194"/>
  <c r="M809" i="132"/>
  <c r="E91" i="195"/>
  <c r="F91" s="1"/>
  <c r="J91" s="1"/>
  <c r="M375" i="194"/>
  <c r="E119" i="195"/>
  <c r="F119" s="1"/>
  <c r="J119" s="1"/>
  <c r="M1153" i="132"/>
  <c r="M320" i="194"/>
  <c r="M742" i="192"/>
  <c r="M678"/>
  <c r="F3262" i="214"/>
  <c r="F3263" s="1"/>
  <c r="K858" i="192" s="1"/>
  <c r="G3258" i="214"/>
  <c r="G3262" s="1"/>
  <c r="G3263" s="1"/>
  <c r="K508" i="194" s="1"/>
  <c r="M374" i="192"/>
  <c r="M350"/>
  <c r="M261" i="194"/>
  <c r="M1896" i="132"/>
  <c r="M436" i="194"/>
  <c r="M710" i="192"/>
  <c r="M326"/>
  <c r="F3278" i="214"/>
  <c r="M578" i="192"/>
  <c r="F2604" i="214"/>
  <c r="G2604" s="1"/>
  <c r="G2611" s="1"/>
  <c r="F1941"/>
  <c r="F2061"/>
  <c r="G2061" s="1"/>
  <c r="G2071" s="1"/>
  <c r="F1998"/>
  <c r="G2421"/>
  <c r="G2431" s="1"/>
  <c r="F2440"/>
  <c r="G2440" s="1"/>
  <c r="G2450" s="1"/>
  <c r="E2452" s="1"/>
  <c r="E2454" s="1"/>
  <c r="E2455" s="1"/>
  <c r="K1743" i="132" s="1"/>
  <c r="E102" i="195"/>
  <c r="F102" s="1"/>
  <c r="J102" s="1"/>
  <c r="M855" i="132"/>
  <c r="M1287"/>
  <c r="M397" i="194"/>
  <c r="M702" i="192"/>
  <c r="M1247" i="132"/>
  <c r="E126" i="195"/>
  <c r="F126" s="1"/>
  <c r="J126" s="1"/>
  <c r="M659" i="192"/>
  <c r="F2345" i="214"/>
  <c r="F2346" s="1"/>
  <c r="K830" i="192" s="1"/>
  <c r="G2341" i="214"/>
  <c r="G2345" s="1"/>
  <c r="G2346" s="1"/>
  <c r="K496" i="194" s="1"/>
  <c r="M255"/>
  <c r="M828" i="132"/>
  <c r="E94" i="195"/>
  <c r="F94" s="1"/>
  <c r="J94" s="1"/>
  <c r="M454" i="192"/>
  <c r="M1889" i="132"/>
  <c r="M734" i="192"/>
  <c r="M232" i="194"/>
  <c r="M803" i="132"/>
  <c r="E90" i="195"/>
  <c r="F90" s="1"/>
  <c r="J90" s="1"/>
  <c r="M282" i="194"/>
  <c r="M571" i="192"/>
  <c r="M368" i="194"/>
  <c r="G2359" i="214"/>
  <c r="M428" i="194"/>
  <c r="K1431" i="132"/>
  <c r="F2373" i="214"/>
  <c r="G2373" s="1"/>
  <c r="G2380" s="1"/>
  <c r="M344" i="192"/>
  <c r="M312" i="194"/>
  <c r="M1233" i="192"/>
  <c r="M793" i="194"/>
  <c r="F2511" i="214"/>
  <c r="F2513" s="1"/>
  <c r="F2514" s="1"/>
  <c r="K956" i="192" s="1"/>
  <c r="G2511" i="214"/>
  <c r="G2513" s="1"/>
  <c r="G2514" s="1"/>
  <c r="K577" i="194" s="1"/>
  <c r="E2511" i="214"/>
  <c r="E2513" s="1"/>
  <c r="E2514" s="1"/>
  <c r="K1563" i="132" s="1"/>
  <c r="M460" i="194"/>
  <c r="M1313" i="132"/>
  <c r="M320" i="192"/>
  <c r="M368"/>
  <c r="M1145" i="132"/>
  <c r="E118" i="195"/>
  <c r="F118" s="1"/>
  <c r="J118" s="1"/>
  <c r="I43" i="196"/>
  <c r="I131"/>
  <c r="O51"/>
  <c r="I127"/>
  <c r="I107"/>
  <c r="K139"/>
  <c r="I111"/>
  <c r="L93" i="211"/>
  <c r="C54" i="165" s="1"/>
  <c r="E59" i="139" s="1"/>
  <c r="I67" i="196"/>
  <c r="O67"/>
  <c r="L47"/>
  <c r="O47"/>
  <c r="I91"/>
  <c r="K159"/>
  <c r="I155"/>
  <c r="K95"/>
  <c r="L51"/>
  <c r="K135"/>
  <c r="I119"/>
  <c r="K151"/>
  <c r="K103"/>
  <c r="S93" i="211"/>
  <c r="C9" i="165" s="1"/>
  <c r="E21" i="139" s="1"/>
  <c r="K123" i="196"/>
  <c r="K163"/>
  <c r="L63"/>
  <c r="O63"/>
  <c r="O59"/>
  <c r="K143"/>
  <c r="K115"/>
  <c r="L59"/>
  <c r="E111" i="217"/>
  <c r="C111"/>
  <c r="E110"/>
  <c r="C110"/>
  <c r="O589" i="309" l="1"/>
  <c r="O800"/>
  <c r="O597"/>
  <c r="O590"/>
  <c r="O535"/>
  <c r="O539"/>
  <c r="O543"/>
  <c r="O567"/>
  <c r="E601"/>
  <c r="F601" s="1"/>
  <c r="J601"/>
  <c r="O598"/>
  <c r="O608"/>
  <c r="O612"/>
  <c r="E602"/>
  <c r="F602" s="1"/>
  <c r="J602"/>
  <c r="E359" i="195"/>
  <c r="F359" s="1"/>
  <c r="J359" s="1"/>
  <c r="O105" i="309"/>
  <c r="O369"/>
  <c r="O510"/>
  <c r="O506"/>
  <c r="O334"/>
  <c r="O499"/>
  <c r="O439"/>
  <c r="O294"/>
  <c r="O354"/>
  <c r="O153"/>
  <c r="O335"/>
  <c r="O496"/>
  <c r="O359"/>
  <c r="O365"/>
  <c r="F147" i="305"/>
  <c r="G147" s="1"/>
  <c r="I148" i="309"/>
  <c r="F328" i="305"/>
  <c r="G328" s="1"/>
  <c r="I330" i="309"/>
  <c r="F139" i="305"/>
  <c r="G139" s="1"/>
  <c r="I140" i="309"/>
  <c r="F316" i="305"/>
  <c r="G316" s="1"/>
  <c r="I318" i="309"/>
  <c r="F458" i="305"/>
  <c r="G458" s="1"/>
  <c r="I460" i="309"/>
  <c r="F329" i="305"/>
  <c r="G329" s="1"/>
  <c r="I331" i="309"/>
  <c r="F482" i="305"/>
  <c r="G482" s="1"/>
  <c r="I484" i="309"/>
  <c r="F144" i="305"/>
  <c r="G144" s="1"/>
  <c r="I145" i="309"/>
  <c r="F469" i="305"/>
  <c r="G469" s="1"/>
  <c r="I471" i="309"/>
  <c r="F457" i="305"/>
  <c r="G457" s="1"/>
  <c r="I459" i="309"/>
  <c r="F159" i="305"/>
  <c r="G159" s="1"/>
  <c r="I160" i="309"/>
  <c r="F317" i="305"/>
  <c r="G317" s="1"/>
  <c r="I319" i="309"/>
  <c r="F140" i="305"/>
  <c r="G140" s="1"/>
  <c r="I141" i="309"/>
  <c r="F470" i="305"/>
  <c r="G470" s="1"/>
  <c r="I472" i="309"/>
  <c r="F148" i="305"/>
  <c r="G148" s="1"/>
  <c r="I149" i="309"/>
  <c r="F156" i="305"/>
  <c r="G156" s="1"/>
  <c r="I157" i="309"/>
  <c r="J181"/>
  <c r="E181"/>
  <c r="F181" s="1"/>
  <c r="J524"/>
  <c r="E524"/>
  <c r="F524" s="1"/>
  <c r="J523"/>
  <c r="E523"/>
  <c r="F523" s="1"/>
  <c r="J444"/>
  <c r="E444"/>
  <c r="F444" s="1"/>
  <c r="J279"/>
  <c r="E279"/>
  <c r="F279" s="1"/>
  <c r="J311"/>
  <c r="E311"/>
  <c r="F311" s="1"/>
  <c r="J452"/>
  <c r="E452"/>
  <c r="F452" s="1"/>
  <c r="J363"/>
  <c r="E363"/>
  <c r="F363" s="1"/>
  <c r="J436"/>
  <c r="E436"/>
  <c r="F436" s="1"/>
  <c r="J307"/>
  <c r="E307"/>
  <c r="F307" s="1"/>
  <c r="J315"/>
  <c r="E315"/>
  <c r="F315" s="1"/>
  <c r="J432"/>
  <c r="E432"/>
  <c r="F432" s="1"/>
  <c r="J443"/>
  <c r="E443"/>
  <c r="F443" s="1"/>
  <c r="J298"/>
  <c r="E298"/>
  <c r="F298" s="1"/>
  <c r="J435"/>
  <c r="E435"/>
  <c r="F435" s="1"/>
  <c r="J278"/>
  <c r="E278"/>
  <c r="F278" s="1"/>
  <c r="J136"/>
  <c r="E136"/>
  <c r="F136" s="1"/>
  <c r="J455"/>
  <c r="E455"/>
  <c r="F455" s="1"/>
  <c r="J362"/>
  <c r="E362"/>
  <c r="F362" s="1"/>
  <c r="J431"/>
  <c r="E431"/>
  <c r="F431" s="1"/>
  <c r="J427"/>
  <c r="E427"/>
  <c r="F427" s="1"/>
  <c r="J306"/>
  <c r="E306"/>
  <c r="F306" s="1"/>
  <c r="J310"/>
  <c r="E310"/>
  <c r="F310" s="1"/>
  <c r="J173"/>
  <c r="E173"/>
  <c r="F173" s="1"/>
  <c r="J180"/>
  <c r="E180"/>
  <c r="F180" s="1"/>
  <c r="J383"/>
  <c r="E383"/>
  <c r="F383" s="1"/>
  <c r="J382"/>
  <c r="E382"/>
  <c r="F382" s="1"/>
  <c r="J299"/>
  <c r="E299"/>
  <c r="F299" s="1"/>
  <c r="J424"/>
  <c r="E424"/>
  <c r="F424" s="1"/>
  <c r="J133"/>
  <c r="E133"/>
  <c r="F133" s="1"/>
  <c r="J504"/>
  <c r="E504"/>
  <c r="F504" s="1"/>
  <c r="J428"/>
  <c r="E428"/>
  <c r="F428" s="1"/>
  <c r="J283"/>
  <c r="E283"/>
  <c r="F283" s="1"/>
  <c r="J291"/>
  <c r="E291"/>
  <c r="F291" s="1"/>
  <c r="J448"/>
  <c r="E448"/>
  <c r="F448" s="1"/>
  <c r="J137"/>
  <c r="E137"/>
  <c r="F137" s="1"/>
  <c r="J456"/>
  <c r="E456"/>
  <c r="F456" s="1"/>
  <c r="J287"/>
  <c r="E287"/>
  <c r="F287" s="1"/>
  <c r="J290"/>
  <c r="E290"/>
  <c r="F290" s="1"/>
  <c r="J423"/>
  <c r="E423"/>
  <c r="F423" s="1"/>
  <c r="J314"/>
  <c r="E314"/>
  <c r="F314" s="1"/>
  <c r="J503"/>
  <c r="E503"/>
  <c r="F503" s="1"/>
  <c r="J286"/>
  <c r="E286"/>
  <c r="F286" s="1"/>
  <c r="J282"/>
  <c r="E282"/>
  <c r="F282" s="1"/>
  <c r="J447"/>
  <c r="E447"/>
  <c r="F447" s="1"/>
  <c r="J451"/>
  <c r="E451"/>
  <c r="F451" s="1"/>
  <c r="J132"/>
  <c r="E132"/>
  <c r="F132" s="1"/>
  <c r="O475"/>
  <c r="O152"/>
  <c r="O176"/>
  <c r="O358"/>
  <c r="O495"/>
  <c r="O172"/>
  <c r="O476"/>
  <c r="O440"/>
  <c r="O295"/>
  <c r="O500"/>
  <c r="O177"/>
  <c r="O236"/>
  <c r="O237"/>
  <c r="O355"/>
  <c r="O121"/>
  <c r="O97"/>
  <c r="O96"/>
  <c r="O128"/>
  <c r="O104"/>
  <c r="O93"/>
  <c r="O129"/>
  <c r="O120"/>
  <c r="O92"/>
  <c r="G3406" i="214"/>
  <c r="E3408" s="1"/>
  <c r="E3410" s="1"/>
  <c r="E3411" s="1"/>
  <c r="K1819" i="132" s="1"/>
  <c r="G3388" i="214"/>
  <c r="E3390" s="1"/>
  <c r="E3392" s="1"/>
  <c r="E3393" s="1"/>
  <c r="K1791" i="132" s="1"/>
  <c r="E3369" i="214"/>
  <c r="E3371" s="1"/>
  <c r="E3372" s="1"/>
  <c r="K1761" i="132" s="1"/>
  <c r="I161" i="140" s="1"/>
  <c r="J161" s="1"/>
  <c r="O161" s="1"/>
  <c r="F3369" i="214"/>
  <c r="F3371" s="1"/>
  <c r="F3372" s="1"/>
  <c r="K1081" i="192" s="1"/>
  <c r="E340" i="195" s="1"/>
  <c r="F340" s="1"/>
  <c r="J340" s="1"/>
  <c r="G2471" i="214"/>
  <c r="E2473" s="1"/>
  <c r="E2475" s="1"/>
  <c r="E2476" s="1"/>
  <c r="K1784" i="132" s="1"/>
  <c r="F3350" i="214"/>
  <c r="F3352" s="1"/>
  <c r="F3353" s="1"/>
  <c r="K1041" i="192" s="1"/>
  <c r="G2489" i="214"/>
  <c r="G3408"/>
  <c r="G3410" s="1"/>
  <c r="G3411" s="1"/>
  <c r="K723" i="194" s="1"/>
  <c r="F3390" i="214"/>
  <c r="F3392" s="1"/>
  <c r="F3393" s="1"/>
  <c r="K1116" i="192" s="1"/>
  <c r="G3350" i="214"/>
  <c r="G3352" s="1"/>
  <c r="G3353" s="1"/>
  <c r="K639" i="194" s="1"/>
  <c r="I480" i="309" s="1"/>
  <c r="F2452" i="214"/>
  <c r="F2454" s="1"/>
  <c r="F2455" s="1"/>
  <c r="K1064" i="192" s="1"/>
  <c r="I342" i="309" s="1"/>
  <c r="I160" i="140"/>
  <c r="J160" s="1"/>
  <c r="O160" s="1"/>
  <c r="E158" i="195"/>
  <c r="F158" s="1"/>
  <c r="J158" s="1"/>
  <c r="I148" i="140"/>
  <c r="J148" s="1"/>
  <c r="O148" s="1"/>
  <c r="E146" i="195"/>
  <c r="F146" s="1"/>
  <c r="J146" s="1"/>
  <c r="I471" i="140"/>
  <c r="J471" s="1"/>
  <c r="O471" s="1"/>
  <c r="E468" i="195"/>
  <c r="F468" s="1"/>
  <c r="J468" s="1"/>
  <c r="E138"/>
  <c r="F138" s="1"/>
  <c r="J138" s="1"/>
  <c r="I140" i="140"/>
  <c r="J140" s="1"/>
  <c r="O140" s="1"/>
  <c r="I459"/>
  <c r="J459" s="1"/>
  <c r="O459" s="1"/>
  <c r="E456" i="195"/>
  <c r="F456" s="1"/>
  <c r="J456" s="1"/>
  <c r="I145" i="140"/>
  <c r="J145" s="1"/>
  <c r="O145" s="1"/>
  <c r="E143" i="195"/>
  <c r="F143" s="1"/>
  <c r="J143" s="1"/>
  <c r="I460" i="140"/>
  <c r="J460" s="1"/>
  <c r="O460" s="1"/>
  <c r="E457" i="195"/>
  <c r="F457" s="1"/>
  <c r="J457" s="1"/>
  <c r="E336"/>
  <c r="F336" s="1"/>
  <c r="J336" s="1"/>
  <c r="E139"/>
  <c r="F139" s="1"/>
  <c r="J139" s="1"/>
  <c r="I141" i="140"/>
  <c r="J141" s="1"/>
  <c r="O141" s="1"/>
  <c r="I472"/>
  <c r="J472" s="1"/>
  <c r="O472" s="1"/>
  <c r="E469" i="195"/>
  <c r="F469" s="1"/>
  <c r="J469" s="1"/>
  <c r="I149" i="140"/>
  <c r="J149" s="1"/>
  <c r="O149" s="1"/>
  <c r="E147" i="195"/>
  <c r="F147" s="1"/>
  <c r="J147" s="1"/>
  <c r="I157" i="140"/>
  <c r="J157" s="1"/>
  <c r="O157" s="1"/>
  <c r="E155" i="195"/>
  <c r="F155" s="1"/>
  <c r="J155" s="1"/>
  <c r="G2452" i="214"/>
  <c r="G2454" s="1"/>
  <c r="G2455" s="1"/>
  <c r="K660" i="194" s="1"/>
  <c r="I483" i="309" s="1"/>
  <c r="I330" i="140"/>
  <c r="J330" s="1"/>
  <c r="O330" s="1"/>
  <c r="E327" i="195"/>
  <c r="F327" s="1"/>
  <c r="J327" s="1"/>
  <c r="I318" i="140"/>
  <c r="J318" s="1"/>
  <c r="O318" s="1"/>
  <c r="E315" i="195"/>
  <c r="F315" s="1"/>
  <c r="J315" s="1"/>
  <c r="I484" i="140"/>
  <c r="J484" s="1"/>
  <c r="O484" s="1"/>
  <c r="E481" i="195"/>
  <c r="F481" s="1"/>
  <c r="J481" s="1"/>
  <c r="I319" i="140"/>
  <c r="J319" s="1"/>
  <c r="O319" s="1"/>
  <c r="E316" i="195"/>
  <c r="F316" s="1"/>
  <c r="J316" s="1"/>
  <c r="I331" i="140"/>
  <c r="J331" s="1"/>
  <c r="O331" s="1"/>
  <c r="E328" i="195"/>
  <c r="F328" s="1"/>
  <c r="J328" s="1"/>
  <c r="E2997" i="214"/>
  <c r="F2990"/>
  <c r="F2991" s="1"/>
  <c r="F2995" s="1"/>
  <c r="K203" i="192" s="1"/>
  <c r="G2990" i="214"/>
  <c r="G2991" s="1"/>
  <c r="G2995" s="1"/>
  <c r="K145" i="194" s="1"/>
  <c r="E2990" i="214"/>
  <c r="E2991" s="1"/>
  <c r="E2995" s="1"/>
  <c r="K634" i="132" s="1"/>
  <c r="I77" i="309" s="1"/>
  <c r="G3530" i="214"/>
  <c r="G3532" s="1"/>
  <c r="G3533" s="1"/>
  <c r="F3530"/>
  <c r="F3532" s="1"/>
  <c r="F3533" s="1"/>
  <c r="E3530"/>
  <c r="E3532" s="1"/>
  <c r="E3533" s="1"/>
  <c r="K1952" i="132" s="1"/>
  <c r="F3006" i="214"/>
  <c r="G3006" s="1"/>
  <c r="G3016" s="1"/>
  <c r="G2915"/>
  <c r="G2926" s="1"/>
  <c r="G2858"/>
  <c r="G2869" s="1"/>
  <c r="F2888"/>
  <c r="G2888" s="1"/>
  <c r="G2899" s="1"/>
  <c r="M1504" i="132"/>
  <c r="M508" i="194"/>
  <c r="E3299" i="214"/>
  <c r="E3303" s="1"/>
  <c r="E3304" s="1"/>
  <c r="K1178" i="132" s="1"/>
  <c r="I125" i="309" s="1"/>
  <c r="F3299" i="214"/>
  <c r="F3303" s="1"/>
  <c r="F3304" s="1"/>
  <c r="K602" i="192" s="1"/>
  <c r="M583" i="194"/>
  <c r="M1579" i="132"/>
  <c r="F3282" i="214"/>
  <c r="F3283" s="1"/>
  <c r="K904" i="192" s="1"/>
  <c r="G3278" i="214"/>
  <c r="G3282" s="1"/>
  <c r="G3283" s="1"/>
  <c r="K539" i="194" s="1"/>
  <c r="M667"/>
  <c r="M858" i="192"/>
  <c r="M1706" i="132"/>
  <c r="M1451"/>
  <c r="M963" i="192"/>
  <c r="F2433" i="214"/>
  <c r="F2435" s="1"/>
  <c r="F2436" s="1"/>
  <c r="K1024" i="192" s="1"/>
  <c r="E2433" i="214"/>
  <c r="E2435" s="1"/>
  <c r="E2436" s="1"/>
  <c r="K1688" i="132" s="1"/>
  <c r="G2433" i="214"/>
  <c r="G2435" s="1"/>
  <c r="G2436" s="1"/>
  <c r="K632" i="194" s="1"/>
  <c r="I479" i="309" s="1"/>
  <c r="F2073" i="214"/>
  <c r="F2074" s="1"/>
  <c r="F2078" s="1"/>
  <c r="K197" i="192" s="1"/>
  <c r="E2080" i="214"/>
  <c r="E2073"/>
  <c r="E2074" s="1"/>
  <c r="E2078" s="1"/>
  <c r="K628" i="132" s="1"/>
  <c r="I76" i="309" s="1"/>
  <c r="G2073" i="214"/>
  <c r="G2074" s="1"/>
  <c r="G2078" s="1"/>
  <c r="K139" i="194" s="1"/>
  <c r="F2613" i="214"/>
  <c r="F2615" s="1"/>
  <c r="F2616" s="1"/>
  <c r="E2613"/>
  <c r="E2615" s="1"/>
  <c r="E2616" s="1"/>
  <c r="K1945" i="132" s="1"/>
  <c r="G2613" i="214"/>
  <c r="G2615" s="1"/>
  <c r="G2616" s="1"/>
  <c r="G1998"/>
  <c r="G2009" s="1"/>
  <c r="F2089"/>
  <c r="G2089" s="1"/>
  <c r="G2099" s="1"/>
  <c r="G1941"/>
  <c r="G1952" s="1"/>
  <c r="F1971"/>
  <c r="G1971" s="1"/>
  <c r="G1982" s="1"/>
  <c r="M1563" i="132"/>
  <c r="M577" i="194"/>
  <c r="M1431" i="132"/>
  <c r="E2361" i="214"/>
  <c r="E2365" s="1"/>
  <c r="E2366" s="1"/>
  <c r="K1482" i="132" s="1"/>
  <c r="F2361" i="214"/>
  <c r="M496" i="194"/>
  <c r="M1024" i="192"/>
  <c r="M1743" i="132"/>
  <c r="M956" i="192"/>
  <c r="E2382" i="214"/>
  <c r="E2386" s="1"/>
  <c r="E2387" s="1"/>
  <c r="K1171" i="132" s="1"/>
  <c r="I124" i="309" s="1"/>
  <c r="F2382" i="214"/>
  <c r="F2386" s="1"/>
  <c r="F2387" s="1"/>
  <c r="K596" i="192" s="1"/>
  <c r="M830"/>
  <c r="H14" i="217"/>
  <c r="E11" i="213"/>
  <c r="E12" s="1"/>
  <c r="E13" s="1"/>
  <c r="E14" s="1"/>
  <c r="E15" s="1"/>
  <c r="E16" s="1"/>
  <c r="E17" s="1"/>
  <c r="E18" s="1"/>
  <c r="E19" s="1"/>
  <c r="E20" s="1"/>
  <c r="E21" s="1"/>
  <c r="E22" s="1"/>
  <c r="E23" s="1"/>
  <c r="E24" s="1"/>
  <c r="E25" s="1"/>
  <c r="E26" s="1"/>
  <c r="E27" s="1"/>
  <c r="E28" s="1"/>
  <c r="E29" s="1"/>
  <c r="E30" s="1"/>
  <c r="E31" s="1"/>
  <c r="E32" s="1"/>
  <c r="E33" s="1"/>
  <c r="E34" s="1"/>
  <c r="E35" s="1"/>
  <c r="E36" s="1"/>
  <c r="E37" s="1"/>
  <c r="E38" s="1"/>
  <c r="E39" s="1"/>
  <c r="E40" s="1"/>
  <c r="E41" s="1"/>
  <c r="E42" s="1"/>
  <c r="E43" s="1"/>
  <c r="E44" s="1"/>
  <c r="E45" s="1"/>
  <c r="E46" s="1"/>
  <c r="E47" s="1"/>
  <c r="E48" s="1"/>
  <c r="E49" s="1"/>
  <c r="E50" s="1"/>
  <c r="E51" s="1"/>
  <c r="E52" s="1"/>
  <c r="E53" s="1"/>
  <c r="E54" s="1"/>
  <c r="E55" s="1"/>
  <c r="E56" s="1"/>
  <c r="E57" s="1"/>
  <c r="E58" s="1"/>
  <c r="E59" s="1"/>
  <c r="E60" s="1"/>
  <c r="E61" s="1"/>
  <c r="E62" s="1"/>
  <c r="E63" s="1"/>
  <c r="E64" s="1"/>
  <c r="E65" s="1"/>
  <c r="E66" s="1"/>
  <c r="E67" s="1"/>
  <c r="E68" s="1"/>
  <c r="E69" s="1"/>
  <c r="E70" s="1"/>
  <c r="E71" s="1"/>
  <c r="E72" s="1"/>
  <c r="E73" s="1"/>
  <c r="E74" s="1"/>
  <c r="E75" s="1"/>
  <c r="E76" s="1"/>
  <c r="E77" s="1"/>
  <c r="E78" s="1"/>
  <c r="E79" s="1"/>
  <c r="E80" s="1"/>
  <c r="E81" s="1"/>
  <c r="E82" s="1"/>
  <c r="E83" s="1"/>
  <c r="E84" s="1"/>
  <c r="E85" s="1"/>
  <c r="E86" s="1"/>
  <c r="E87" s="1"/>
  <c r="E88" s="1"/>
  <c r="E89" s="1"/>
  <c r="E90" s="1"/>
  <c r="E91" s="1"/>
  <c r="E92" s="1"/>
  <c r="E93" s="1"/>
  <c r="E94" s="1"/>
  <c r="E95" s="1"/>
  <c r="E96" s="1"/>
  <c r="E97" s="1"/>
  <c r="E98" s="1"/>
  <c r="E99" s="1"/>
  <c r="E100" s="1"/>
  <c r="E101" s="1"/>
  <c r="E102" s="1"/>
  <c r="E103" s="1"/>
  <c r="E104" s="1"/>
  <c r="E105" s="1"/>
  <c r="E106" s="1"/>
  <c r="E107" s="1"/>
  <c r="E108" s="1"/>
  <c r="E109" s="1"/>
  <c r="E110" s="1"/>
  <c r="E111" s="1"/>
  <c r="E112" s="1"/>
  <c r="E113" s="1"/>
  <c r="E114" s="1"/>
  <c r="E115" s="1"/>
  <c r="E116" s="1"/>
  <c r="E117" s="1"/>
  <c r="E118" s="1"/>
  <c r="E119" s="1"/>
  <c r="E120" s="1"/>
  <c r="E121" s="1"/>
  <c r="E122" s="1"/>
  <c r="E123" s="1"/>
  <c r="E124" s="1"/>
  <c r="E125" s="1"/>
  <c r="E126" s="1"/>
  <c r="E127" s="1"/>
  <c r="E128" s="1"/>
  <c r="E129" s="1"/>
  <c r="E130" s="1"/>
  <c r="E131" s="1"/>
  <c r="E132" s="1"/>
  <c r="E133" s="1"/>
  <c r="E134" s="1"/>
  <c r="E135" s="1"/>
  <c r="E136" s="1"/>
  <c r="E137" s="1"/>
  <c r="E138" s="1"/>
  <c r="E139" s="1"/>
  <c r="E140" s="1"/>
  <c r="E141" s="1"/>
  <c r="E142" s="1"/>
  <c r="E143" s="1"/>
  <c r="E144" s="1"/>
  <c r="E145" s="1"/>
  <c r="E146" s="1"/>
  <c r="E147" s="1"/>
  <c r="E148" s="1"/>
  <c r="E149" s="1"/>
  <c r="E150" s="1"/>
  <c r="E151" s="1"/>
  <c r="E152" s="1"/>
  <c r="E153" s="1"/>
  <c r="E154" s="1"/>
  <c r="E155" s="1"/>
  <c r="E156" s="1"/>
  <c r="E157" s="1"/>
  <c r="E158" s="1"/>
  <c r="E159" s="1"/>
  <c r="E160" s="1"/>
  <c r="E161" s="1"/>
  <c r="E162" s="1"/>
  <c r="E163" s="1"/>
  <c r="E164" s="1"/>
  <c r="E165" s="1"/>
  <c r="E166" s="1"/>
  <c r="E167" s="1"/>
  <c r="E168" s="1"/>
  <c r="E169" s="1"/>
  <c r="E170" s="1"/>
  <c r="E171" s="1"/>
  <c r="E172" s="1"/>
  <c r="E173" s="1"/>
  <c r="E174" s="1"/>
  <c r="E175" s="1"/>
  <c r="E176" s="1"/>
  <c r="E177" s="1"/>
  <c r="E178" s="1"/>
  <c r="E179" s="1"/>
  <c r="E180" s="1"/>
  <c r="E181" s="1"/>
  <c r="E182" s="1"/>
  <c r="E183" s="1"/>
  <c r="E184" s="1"/>
  <c r="E185" s="1"/>
  <c r="E186" s="1"/>
  <c r="E187" s="1"/>
  <c r="E188" s="1"/>
  <c r="E189" s="1"/>
  <c r="E190" s="1"/>
  <c r="E191" s="1"/>
  <c r="E192" s="1"/>
  <c r="E193" s="1"/>
  <c r="E194" s="1"/>
  <c r="E195" s="1"/>
  <c r="E196" s="1"/>
  <c r="E197" s="1"/>
  <c r="E198" s="1"/>
  <c r="E199" s="1"/>
  <c r="E200" s="1"/>
  <c r="E201" s="1"/>
  <c r="E202" s="1"/>
  <c r="E203" s="1"/>
  <c r="E204" s="1"/>
  <c r="E205" s="1"/>
  <c r="E206" s="1"/>
  <c r="E207" s="1"/>
  <c r="E208" s="1"/>
  <c r="E209" s="1"/>
  <c r="E210" s="1"/>
  <c r="E211" s="1"/>
  <c r="E212" s="1"/>
  <c r="E213" s="1"/>
  <c r="E214" s="1"/>
  <c r="E215" s="1"/>
  <c r="E216" s="1"/>
  <c r="E217" s="1"/>
  <c r="E218" s="1"/>
  <c r="E219" s="1"/>
  <c r="E220" s="1"/>
  <c r="E221" s="1"/>
  <c r="E222" s="1"/>
  <c r="E223" s="1"/>
  <c r="E224" s="1"/>
  <c r="E225" s="1"/>
  <c r="E226" s="1"/>
  <c r="E227" s="1"/>
  <c r="E228" s="1"/>
  <c r="E229" s="1"/>
  <c r="E230" s="1"/>
  <c r="E231" s="1"/>
  <c r="E232" s="1"/>
  <c r="E233" s="1"/>
  <c r="E234" s="1"/>
  <c r="E235" s="1"/>
  <c r="E236" s="1"/>
  <c r="E237" s="1"/>
  <c r="E238" s="1"/>
  <c r="E239" s="1"/>
  <c r="E240" s="1"/>
  <c r="E241" s="1"/>
  <c r="E242" s="1"/>
  <c r="E243" s="1"/>
  <c r="E244" s="1"/>
  <c r="E245" s="1"/>
  <c r="E246" s="1"/>
  <c r="E247" s="1"/>
  <c r="E248" s="1"/>
  <c r="E249" s="1"/>
  <c r="E250" s="1"/>
  <c r="E251" s="1"/>
  <c r="E252" s="1"/>
  <c r="E253" s="1"/>
  <c r="E254" s="1"/>
  <c r="E255" s="1"/>
  <c r="E256" s="1"/>
  <c r="E257" s="1"/>
  <c r="E258" s="1"/>
  <c r="E259" s="1"/>
  <c r="E260" s="1"/>
  <c r="E261" s="1"/>
  <c r="E262" s="1"/>
  <c r="E263" s="1"/>
  <c r="E264" s="1"/>
  <c r="E265" s="1"/>
  <c r="E266" s="1"/>
  <c r="E267" s="1"/>
  <c r="E268" s="1"/>
  <c r="E269" s="1"/>
  <c r="E270" s="1"/>
  <c r="E271" s="1"/>
  <c r="E272" s="1"/>
  <c r="E273" s="1"/>
  <c r="E274" s="1"/>
  <c r="E275" s="1"/>
  <c r="E276" s="1"/>
  <c r="E277" s="1"/>
  <c r="E278" s="1"/>
  <c r="E279" s="1"/>
  <c r="E280" s="1"/>
  <c r="E281" s="1"/>
  <c r="E282" s="1"/>
  <c r="E283" s="1"/>
  <c r="E284" s="1"/>
  <c r="E285" s="1"/>
  <c r="E286" s="1"/>
  <c r="E287" s="1"/>
  <c r="D11"/>
  <c r="D12" s="1"/>
  <c r="D13" s="1"/>
  <c r="D14" s="1"/>
  <c r="D15" s="1"/>
  <c r="D16" s="1"/>
  <c r="D17" s="1"/>
  <c r="D18" s="1"/>
  <c r="D19" s="1"/>
  <c r="D20" s="1"/>
  <c r="D21" s="1"/>
  <c r="D22" s="1"/>
  <c r="D23" s="1"/>
  <c r="D24" s="1"/>
  <c r="D25" s="1"/>
  <c r="D26" s="1"/>
  <c r="D27" s="1"/>
  <c r="D28" s="1"/>
  <c r="D29" s="1"/>
  <c r="D30" s="1"/>
  <c r="D31" s="1"/>
  <c r="D32" s="1"/>
  <c r="D33" s="1"/>
  <c r="D34" s="1"/>
  <c r="D35" s="1"/>
  <c r="D36" s="1"/>
  <c r="D37" s="1"/>
  <c r="D38" s="1"/>
  <c r="D39" s="1"/>
  <c r="D40" s="1"/>
  <c r="D41" s="1"/>
  <c r="D42" s="1"/>
  <c r="D43" s="1"/>
  <c r="D44" s="1"/>
  <c r="D45" s="1"/>
  <c r="D46" s="1"/>
  <c r="D47" s="1"/>
  <c r="D48" s="1"/>
  <c r="D49" s="1"/>
  <c r="D50" s="1"/>
  <c r="D51" s="1"/>
  <c r="D52" s="1"/>
  <c r="D53" s="1"/>
  <c r="D54" s="1"/>
  <c r="D55" s="1"/>
  <c r="D56" s="1"/>
  <c r="D57" s="1"/>
  <c r="D58" s="1"/>
  <c r="D59" s="1"/>
  <c r="D60" s="1"/>
  <c r="D61" s="1"/>
  <c r="D62" s="1"/>
  <c r="D63" s="1"/>
  <c r="D64" s="1"/>
  <c r="D65" s="1"/>
  <c r="D66" s="1"/>
  <c r="D67" s="1"/>
  <c r="D68" s="1"/>
  <c r="D69" s="1"/>
  <c r="D70" s="1"/>
  <c r="D71" s="1"/>
  <c r="D72" s="1"/>
  <c r="D73" s="1"/>
  <c r="D74" s="1"/>
  <c r="D75" s="1"/>
  <c r="D76" s="1"/>
  <c r="D77" s="1"/>
  <c r="D78" s="1"/>
  <c r="D79" s="1"/>
  <c r="D80" s="1"/>
  <c r="D81" s="1"/>
  <c r="D82" s="1"/>
  <c r="D83" s="1"/>
  <c r="D84" s="1"/>
  <c r="D85" s="1"/>
  <c r="D86" s="1"/>
  <c r="D87" s="1"/>
  <c r="D88" s="1"/>
  <c r="D89" s="1"/>
  <c r="D90" s="1"/>
  <c r="D91" s="1"/>
  <c r="D92" s="1"/>
  <c r="D93" s="1"/>
  <c r="D94" s="1"/>
  <c r="D95" s="1"/>
  <c r="D96" s="1"/>
  <c r="D97" s="1"/>
  <c r="D98" s="1"/>
  <c r="D99" s="1"/>
  <c r="D100" s="1"/>
  <c r="D101" s="1"/>
  <c r="D102" s="1"/>
  <c r="D103" s="1"/>
  <c r="D104" s="1"/>
  <c r="D105" s="1"/>
  <c r="D106" s="1"/>
  <c r="D107" s="1"/>
  <c r="D108" s="1"/>
  <c r="D109" s="1"/>
  <c r="D110" s="1"/>
  <c r="D111" s="1"/>
  <c r="D112" s="1"/>
  <c r="D113" s="1"/>
  <c r="D114" s="1"/>
  <c r="D115" s="1"/>
  <c r="D116" s="1"/>
  <c r="D117" s="1"/>
  <c r="D118" s="1"/>
  <c r="D119" s="1"/>
  <c r="D120" s="1"/>
  <c r="D121" s="1"/>
  <c r="D122" s="1"/>
  <c r="D123" s="1"/>
  <c r="D124" s="1"/>
  <c r="D125" s="1"/>
  <c r="D126" s="1"/>
  <c r="D127" s="1"/>
  <c r="D128" s="1"/>
  <c r="D129" s="1"/>
  <c r="D130" s="1"/>
  <c r="D131" s="1"/>
  <c r="D132" s="1"/>
  <c r="D133" s="1"/>
  <c r="D134" s="1"/>
  <c r="D135" s="1"/>
  <c r="D136" s="1"/>
  <c r="D137" s="1"/>
  <c r="D138" s="1"/>
  <c r="D139" s="1"/>
  <c r="D140" s="1"/>
  <c r="D141" s="1"/>
  <c r="D142" s="1"/>
  <c r="D143" s="1"/>
  <c r="D144" s="1"/>
  <c r="D145" s="1"/>
  <c r="D146" s="1"/>
  <c r="D147" s="1"/>
  <c r="D148" s="1"/>
  <c r="D149" s="1"/>
  <c r="D150" s="1"/>
  <c r="D151" s="1"/>
  <c r="D152" s="1"/>
  <c r="D153" s="1"/>
  <c r="D154" s="1"/>
  <c r="D155" s="1"/>
  <c r="D156" s="1"/>
  <c r="D157" s="1"/>
  <c r="D158" s="1"/>
  <c r="D159" s="1"/>
  <c r="D160" s="1"/>
  <c r="D161" s="1"/>
  <c r="D162" s="1"/>
  <c r="D163" s="1"/>
  <c r="D164" s="1"/>
  <c r="D165" s="1"/>
  <c r="D166" s="1"/>
  <c r="D167" s="1"/>
  <c r="D168" s="1"/>
  <c r="D169" s="1"/>
  <c r="D170" s="1"/>
  <c r="D171" s="1"/>
  <c r="D172" s="1"/>
  <c r="D173" s="1"/>
  <c r="D174" s="1"/>
  <c r="D175" s="1"/>
  <c r="D176" s="1"/>
  <c r="D177" s="1"/>
  <c r="D178" s="1"/>
  <c r="D179" s="1"/>
  <c r="D180" s="1"/>
  <c r="D181" s="1"/>
  <c r="D182" s="1"/>
  <c r="D183" s="1"/>
  <c r="D184" s="1"/>
  <c r="D185" s="1"/>
  <c r="D186" s="1"/>
  <c r="D187" s="1"/>
  <c r="D188" s="1"/>
  <c r="D189" s="1"/>
  <c r="D190" s="1"/>
  <c r="D191" s="1"/>
  <c r="D192" s="1"/>
  <c r="D193" s="1"/>
  <c r="D194" s="1"/>
  <c r="D195" s="1"/>
  <c r="D196" s="1"/>
  <c r="D197" s="1"/>
  <c r="D198" s="1"/>
  <c r="D199" s="1"/>
  <c r="D200" s="1"/>
  <c r="D201" s="1"/>
  <c r="D202" s="1"/>
  <c r="D203" s="1"/>
  <c r="D204" s="1"/>
  <c r="D205" s="1"/>
  <c r="D206" s="1"/>
  <c r="D207" s="1"/>
  <c r="D208" s="1"/>
  <c r="D209" s="1"/>
  <c r="D210" s="1"/>
  <c r="D211" s="1"/>
  <c r="D212" s="1"/>
  <c r="D213" s="1"/>
  <c r="D214" s="1"/>
  <c r="D215" s="1"/>
  <c r="D216" s="1"/>
  <c r="D217" s="1"/>
  <c r="D218" s="1"/>
  <c r="D219" s="1"/>
  <c r="D220" s="1"/>
  <c r="D221" s="1"/>
  <c r="D222" s="1"/>
  <c r="D223" s="1"/>
  <c r="D224" s="1"/>
  <c r="D225" s="1"/>
  <c r="D226" s="1"/>
  <c r="D227" s="1"/>
  <c r="D228" s="1"/>
  <c r="D229" s="1"/>
  <c r="D230" s="1"/>
  <c r="D231" s="1"/>
  <c r="D232" s="1"/>
  <c r="D233" s="1"/>
  <c r="D234" s="1"/>
  <c r="D235" s="1"/>
  <c r="D236" s="1"/>
  <c r="D237" s="1"/>
  <c r="D238" s="1"/>
  <c r="D239" s="1"/>
  <c r="D240" s="1"/>
  <c r="D241" s="1"/>
  <c r="D242" s="1"/>
  <c r="D243" s="1"/>
  <c r="D244" s="1"/>
  <c r="D245" s="1"/>
  <c r="D246" s="1"/>
  <c r="D247" s="1"/>
  <c r="D248" s="1"/>
  <c r="D249" s="1"/>
  <c r="D250" s="1"/>
  <c r="D251" s="1"/>
  <c r="D252" s="1"/>
  <c r="D253" s="1"/>
  <c r="D254" s="1"/>
  <c r="D255" s="1"/>
  <c r="D256" s="1"/>
  <c r="D257" s="1"/>
  <c r="D258" s="1"/>
  <c r="D259" s="1"/>
  <c r="D260" s="1"/>
  <c r="D261" s="1"/>
  <c r="D262" s="1"/>
  <c r="D263" s="1"/>
  <c r="D264" s="1"/>
  <c r="D265" s="1"/>
  <c r="D266" s="1"/>
  <c r="D267" s="1"/>
  <c r="D268" s="1"/>
  <c r="D269" s="1"/>
  <c r="D270" s="1"/>
  <c r="D271" s="1"/>
  <c r="D272" s="1"/>
  <c r="D273" s="1"/>
  <c r="D274" s="1"/>
  <c r="D275" s="1"/>
  <c r="D276" s="1"/>
  <c r="D277" s="1"/>
  <c r="D278" s="1"/>
  <c r="D279" s="1"/>
  <c r="D280" s="1"/>
  <c r="D281" s="1"/>
  <c r="D282" s="1"/>
  <c r="D283" s="1"/>
  <c r="D284" s="1"/>
  <c r="D285" s="1"/>
  <c r="D286" s="1"/>
  <c r="D287" s="1"/>
  <c r="C11"/>
  <c r="C12" s="1"/>
  <c r="C13" s="1"/>
  <c r="C14" s="1"/>
  <c r="C15" s="1"/>
  <c r="C16" s="1"/>
  <c r="C17" s="1"/>
  <c r="C18" s="1"/>
  <c r="C19" s="1"/>
  <c r="C20" s="1"/>
  <c r="C21" s="1"/>
  <c r="C22" s="1"/>
  <c r="C23" s="1"/>
  <c r="C24" s="1"/>
  <c r="C25" s="1"/>
  <c r="C26" s="1"/>
  <c r="C27" s="1"/>
  <c r="C28" s="1"/>
  <c r="C29" s="1"/>
  <c r="C30" s="1"/>
  <c r="C31" s="1"/>
  <c r="C32" s="1"/>
  <c r="C33" s="1"/>
  <c r="C34" s="1"/>
  <c r="C35" s="1"/>
  <c r="C36" s="1"/>
  <c r="C37" s="1"/>
  <c r="C38" s="1"/>
  <c r="C39" s="1"/>
  <c r="C40" s="1"/>
  <c r="C41" s="1"/>
  <c r="C42" s="1"/>
  <c r="C43" s="1"/>
  <c r="C44" s="1"/>
  <c r="C45" s="1"/>
  <c r="C46" s="1"/>
  <c r="C47" s="1"/>
  <c r="C48" s="1"/>
  <c r="C49" s="1"/>
  <c r="C50" s="1"/>
  <c r="C51" s="1"/>
  <c r="C52" s="1"/>
  <c r="C53" s="1"/>
  <c r="C54" s="1"/>
  <c r="C55" s="1"/>
  <c r="C56" s="1"/>
  <c r="C57" s="1"/>
  <c r="C58" s="1"/>
  <c r="C59" s="1"/>
  <c r="C60" s="1"/>
  <c r="C61" s="1"/>
  <c r="C62" s="1"/>
  <c r="C63" s="1"/>
  <c r="C64" s="1"/>
  <c r="C65" s="1"/>
  <c r="C66" s="1"/>
  <c r="C67" s="1"/>
  <c r="C68" s="1"/>
  <c r="C69" s="1"/>
  <c r="C70" s="1"/>
  <c r="C71" s="1"/>
  <c r="C72" s="1"/>
  <c r="C73" s="1"/>
  <c r="C74" s="1"/>
  <c r="C75" s="1"/>
  <c r="C76" s="1"/>
  <c r="C77" s="1"/>
  <c r="C78" s="1"/>
  <c r="C79" s="1"/>
  <c r="C80" s="1"/>
  <c r="C81" s="1"/>
  <c r="C82" s="1"/>
  <c r="C83" s="1"/>
  <c r="C84" s="1"/>
  <c r="C85" s="1"/>
  <c r="C86" s="1"/>
  <c r="C87" s="1"/>
  <c r="C88" s="1"/>
  <c r="C89" s="1"/>
  <c r="C90" s="1"/>
  <c r="C91" s="1"/>
  <c r="C92" s="1"/>
  <c r="C93" s="1"/>
  <c r="C94" s="1"/>
  <c r="C95" s="1"/>
  <c r="C96" s="1"/>
  <c r="C97" s="1"/>
  <c r="C98" s="1"/>
  <c r="C99" s="1"/>
  <c r="C100" s="1"/>
  <c r="C101" s="1"/>
  <c r="C102" s="1"/>
  <c r="C103" s="1"/>
  <c r="C104" s="1"/>
  <c r="C105" s="1"/>
  <c r="C106" s="1"/>
  <c r="C107" s="1"/>
  <c r="C108" s="1"/>
  <c r="C109" s="1"/>
  <c r="C110" s="1"/>
  <c r="C111" s="1"/>
  <c r="C112" s="1"/>
  <c r="C113" s="1"/>
  <c r="C114" s="1"/>
  <c r="C115" s="1"/>
  <c r="C116" s="1"/>
  <c r="C117" s="1"/>
  <c r="C118" s="1"/>
  <c r="C119" s="1"/>
  <c r="C120" s="1"/>
  <c r="C121" s="1"/>
  <c r="C122" s="1"/>
  <c r="C123" s="1"/>
  <c r="C124" s="1"/>
  <c r="C125" s="1"/>
  <c r="C126" s="1"/>
  <c r="C127" s="1"/>
  <c r="C128" s="1"/>
  <c r="C129" s="1"/>
  <c r="C130" s="1"/>
  <c r="C131" s="1"/>
  <c r="C132" s="1"/>
  <c r="C133" s="1"/>
  <c r="C134" s="1"/>
  <c r="C135" s="1"/>
  <c r="C136" s="1"/>
  <c r="C137" s="1"/>
  <c r="C138" s="1"/>
  <c r="C139" s="1"/>
  <c r="C140" s="1"/>
  <c r="C141" s="1"/>
  <c r="C142" s="1"/>
  <c r="C143" s="1"/>
  <c r="C144" s="1"/>
  <c r="C145" s="1"/>
  <c r="C146" s="1"/>
  <c r="C147" s="1"/>
  <c r="C148" s="1"/>
  <c r="C149" s="1"/>
  <c r="C150" s="1"/>
  <c r="C151" s="1"/>
  <c r="C152" s="1"/>
  <c r="C153" s="1"/>
  <c r="C154" s="1"/>
  <c r="C155" s="1"/>
  <c r="C156" s="1"/>
  <c r="C157" s="1"/>
  <c r="C158" s="1"/>
  <c r="C159" s="1"/>
  <c r="C160" s="1"/>
  <c r="C161" s="1"/>
  <c r="C162" s="1"/>
  <c r="C163" s="1"/>
  <c r="C164" s="1"/>
  <c r="C165" s="1"/>
  <c r="C166" s="1"/>
  <c r="C167" s="1"/>
  <c r="C168" s="1"/>
  <c r="C169" s="1"/>
  <c r="C170" s="1"/>
  <c r="C171" s="1"/>
  <c r="C172" s="1"/>
  <c r="C173" s="1"/>
  <c r="C174" s="1"/>
  <c r="C175" s="1"/>
  <c r="C176" s="1"/>
  <c r="C177" s="1"/>
  <c r="C178" s="1"/>
  <c r="C179" s="1"/>
  <c r="C180" s="1"/>
  <c r="C181" s="1"/>
  <c r="C182" s="1"/>
  <c r="C183" s="1"/>
  <c r="C184" s="1"/>
  <c r="C185" s="1"/>
  <c r="C186" s="1"/>
  <c r="C187" s="1"/>
  <c r="C188" s="1"/>
  <c r="C189" s="1"/>
  <c r="C190" s="1"/>
  <c r="C191" s="1"/>
  <c r="C192" s="1"/>
  <c r="C193" s="1"/>
  <c r="C194" s="1"/>
  <c r="C195" s="1"/>
  <c r="C196" s="1"/>
  <c r="C197" s="1"/>
  <c r="C198" s="1"/>
  <c r="C199" s="1"/>
  <c r="C200" s="1"/>
  <c r="C201" s="1"/>
  <c r="C202" s="1"/>
  <c r="C203" s="1"/>
  <c r="C204" s="1"/>
  <c r="C205" s="1"/>
  <c r="C206" s="1"/>
  <c r="C207" s="1"/>
  <c r="C208" s="1"/>
  <c r="C209" s="1"/>
  <c r="C210" s="1"/>
  <c r="C211" s="1"/>
  <c r="C212" s="1"/>
  <c r="C213" s="1"/>
  <c r="C214" s="1"/>
  <c r="C215" s="1"/>
  <c r="C216" s="1"/>
  <c r="C217" s="1"/>
  <c r="C218" s="1"/>
  <c r="C219" s="1"/>
  <c r="C220" s="1"/>
  <c r="C221" s="1"/>
  <c r="C222" s="1"/>
  <c r="C223" s="1"/>
  <c r="C224" s="1"/>
  <c r="C225" s="1"/>
  <c r="C226" s="1"/>
  <c r="C227" s="1"/>
  <c r="C228" s="1"/>
  <c r="C229" s="1"/>
  <c r="C230" s="1"/>
  <c r="C231" s="1"/>
  <c r="C232" s="1"/>
  <c r="C233" s="1"/>
  <c r="C234" s="1"/>
  <c r="C235" s="1"/>
  <c r="C236" s="1"/>
  <c r="C237" s="1"/>
  <c r="C238" s="1"/>
  <c r="C239" s="1"/>
  <c r="C240" s="1"/>
  <c r="C241" s="1"/>
  <c r="C242" s="1"/>
  <c r="C243" s="1"/>
  <c r="C244" s="1"/>
  <c r="C245" s="1"/>
  <c r="C246" s="1"/>
  <c r="C247" s="1"/>
  <c r="C248" s="1"/>
  <c r="C249" s="1"/>
  <c r="C250" s="1"/>
  <c r="C251" s="1"/>
  <c r="C252" s="1"/>
  <c r="C253" s="1"/>
  <c r="C254" s="1"/>
  <c r="C255" s="1"/>
  <c r="C256" s="1"/>
  <c r="C257" s="1"/>
  <c r="C258" s="1"/>
  <c r="C259" s="1"/>
  <c r="C260" s="1"/>
  <c r="C261" s="1"/>
  <c r="C262" s="1"/>
  <c r="C263" s="1"/>
  <c r="C264" s="1"/>
  <c r="C265" s="1"/>
  <c r="C266" s="1"/>
  <c r="C267" s="1"/>
  <c r="C268" s="1"/>
  <c r="C269" s="1"/>
  <c r="C270" s="1"/>
  <c r="C271" s="1"/>
  <c r="C272" s="1"/>
  <c r="C273" s="1"/>
  <c r="C274" s="1"/>
  <c r="C275" s="1"/>
  <c r="C276" s="1"/>
  <c r="C277" s="1"/>
  <c r="C278" s="1"/>
  <c r="C279" s="1"/>
  <c r="C280" s="1"/>
  <c r="C281" s="1"/>
  <c r="C282" s="1"/>
  <c r="C283" s="1"/>
  <c r="C284" s="1"/>
  <c r="C285" s="1"/>
  <c r="C286" s="1"/>
  <c r="C287" s="1"/>
  <c r="B11"/>
  <c r="B12" s="1"/>
  <c r="B13" s="1"/>
  <c r="B14" s="1"/>
  <c r="B15" s="1"/>
  <c r="B16" s="1"/>
  <c r="B17" s="1"/>
  <c r="B18" s="1"/>
  <c r="B19" s="1"/>
  <c r="B20" s="1"/>
  <c r="B21" s="1"/>
  <c r="B22" s="1"/>
  <c r="B23" s="1"/>
  <c r="B24" s="1"/>
  <c r="B25" s="1"/>
  <c r="B26" s="1"/>
  <c r="B27" s="1"/>
  <c r="B28" s="1"/>
  <c r="B29" s="1"/>
  <c r="B30" s="1"/>
  <c r="B31" s="1"/>
  <c r="B32" s="1"/>
  <c r="B33" s="1"/>
  <c r="B34" s="1"/>
  <c r="B35" s="1"/>
  <c r="B36" s="1"/>
  <c r="B37" s="1"/>
  <c r="B38" s="1"/>
  <c r="B39" s="1"/>
  <c r="B40" s="1"/>
  <c r="B41" s="1"/>
  <c r="B42" s="1"/>
  <c r="B43" s="1"/>
  <c r="B44" s="1"/>
  <c r="B45" s="1"/>
  <c r="B46" s="1"/>
  <c r="B47" s="1"/>
  <c r="B48" s="1"/>
  <c r="B49" s="1"/>
  <c r="B50" s="1"/>
  <c r="B51" s="1"/>
  <c r="B52" s="1"/>
  <c r="B53" s="1"/>
  <c r="B54" s="1"/>
  <c r="B55" s="1"/>
  <c r="B56" s="1"/>
  <c r="B57" s="1"/>
  <c r="B58" s="1"/>
  <c r="B59" s="1"/>
  <c r="B60" s="1"/>
  <c r="B61" s="1"/>
  <c r="B62" s="1"/>
  <c r="B63" s="1"/>
  <c r="B64" s="1"/>
  <c r="B65" s="1"/>
  <c r="B66" s="1"/>
  <c r="B67" s="1"/>
  <c r="B68" s="1"/>
  <c r="B69" s="1"/>
  <c r="B70" s="1"/>
  <c r="B71" s="1"/>
  <c r="B72" s="1"/>
  <c r="B73" s="1"/>
  <c r="B74" s="1"/>
  <c r="B75" s="1"/>
  <c r="B76" s="1"/>
  <c r="B77" s="1"/>
  <c r="B78" s="1"/>
  <c r="B79" s="1"/>
  <c r="B80" s="1"/>
  <c r="B81" s="1"/>
  <c r="B82" s="1"/>
  <c r="B83" s="1"/>
  <c r="B84" s="1"/>
  <c r="B85" s="1"/>
  <c r="B86" s="1"/>
  <c r="B87" s="1"/>
  <c r="B88" s="1"/>
  <c r="B89" s="1"/>
  <c r="B90" s="1"/>
  <c r="B91" s="1"/>
  <c r="B92" s="1"/>
  <c r="B93" s="1"/>
  <c r="B94" s="1"/>
  <c r="B95" s="1"/>
  <c r="B96" s="1"/>
  <c r="B97" s="1"/>
  <c r="B98" s="1"/>
  <c r="B99" s="1"/>
  <c r="B100" s="1"/>
  <c r="B101" s="1"/>
  <c r="B102" s="1"/>
  <c r="B103" s="1"/>
  <c r="B104" s="1"/>
  <c r="B105" s="1"/>
  <c r="B106" s="1"/>
  <c r="B107" s="1"/>
  <c r="B108" s="1"/>
  <c r="B109" s="1"/>
  <c r="B110" s="1"/>
  <c r="B111" s="1"/>
  <c r="B112" s="1"/>
  <c r="B113" s="1"/>
  <c r="B114" s="1"/>
  <c r="B115" s="1"/>
  <c r="B116" s="1"/>
  <c r="B117" s="1"/>
  <c r="B118" s="1"/>
  <c r="B119" s="1"/>
  <c r="B120" s="1"/>
  <c r="B121" s="1"/>
  <c r="B122" s="1"/>
  <c r="B123" s="1"/>
  <c r="B124" s="1"/>
  <c r="B125" s="1"/>
  <c r="B126" s="1"/>
  <c r="B127" s="1"/>
  <c r="B128" s="1"/>
  <c r="B129" s="1"/>
  <c r="B130" s="1"/>
  <c r="B131" s="1"/>
  <c r="B132" s="1"/>
  <c r="B133" s="1"/>
  <c r="B134" s="1"/>
  <c r="B135" s="1"/>
  <c r="B136" s="1"/>
  <c r="B137" s="1"/>
  <c r="B138" s="1"/>
  <c r="B139" s="1"/>
  <c r="B140" s="1"/>
  <c r="B141" s="1"/>
  <c r="B142" s="1"/>
  <c r="B143" s="1"/>
  <c r="B144" s="1"/>
  <c r="B145" s="1"/>
  <c r="B146" s="1"/>
  <c r="B147" s="1"/>
  <c r="B148" s="1"/>
  <c r="B149" s="1"/>
  <c r="B150" s="1"/>
  <c r="B151" s="1"/>
  <c r="B152" s="1"/>
  <c r="B153" s="1"/>
  <c r="B154" s="1"/>
  <c r="B155" s="1"/>
  <c r="B156" s="1"/>
  <c r="B157" s="1"/>
  <c r="B158" s="1"/>
  <c r="B159" s="1"/>
  <c r="B160" s="1"/>
  <c r="B161" s="1"/>
  <c r="B162" s="1"/>
  <c r="B163" s="1"/>
  <c r="B164" s="1"/>
  <c r="B165" s="1"/>
  <c r="B166" s="1"/>
  <c r="B167" s="1"/>
  <c r="B168" s="1"/>
  <c r="B169" s="1"/>
  <c r="B170" s="1"/>
  <c r="B171" s="1"/>
  <c r="B172" s="1"/>
  <c r="B173" s="1"/>
  <c r="B174" s="1"/>
  <c r="B175" s="1"/>
  <c r="B176" s="1"/>
  <c r="B177" s="1"/>
  <c r="B178" s="1"/>
  <c r="B179" s="1"/>
  <c r="B180" s="1"/>
  <c r="B181" s="1"/>
  <c r="B182" s="1"/>
  <c r="B183" s="1"/>
  <c r="B184" s="1"/>
  <c r="B185" s="1"/>
  <c r="B186" s="1"/>
  <c r="B187" s="1"/>
  <c r="B188" s="1"/>
  <c r="B189" s="1"/>
  <c r="B190" s="1"/>
  <c r="B191" s="1"/>
  <c r="B192" s="1"/>
  <c r="B193" s="1"/>
  <c r="B194" s="1"/>
  <c r="B195" s="1"/>
  <c r="B196" s="1"/>
  <c r="B197" s="1"/>
  <c r="B198" s="1"/>
  <c r="B199" s="1"/>
  <c r="B200" s="1"/>
  <c r="B201" s="1"/>
  <c r="B202" s="1"/>
  <c r="B203" s="1"/>
  <c r="B204" s="1"/>
  <c r="B205" s="1"/>
  <c r="B206" s="1"/>
  <c r="B207" s="1"/>
  <c r="B208" s="1"/>
  <c r="B209" s="1"/>
  <c r="B210" s="1"/>
  <c r="B211" s="1"/>
  <c r="B212" s="1"/>
  <c r="B213" s="1"/>
  <c r="B214" s="1"/>
  <c r="B215" s="1"/>
  <c r="B216" s="1"/>
  <c r="B217" s="1"/>
  <c r="B218" s="1"/>
  <c r="B219" s="1"/>
  <c r="B220" s="1"/>
  <c r="B221" s="1"/>
  <c r="B222" s="1"/>
  <c r="B223" s="1"/>
  <c r="B224" s="1"/>
  <c r="B225" s="1"/>
  <c r="B226" s="1"/>
  <c r="B227" s="1"/>
  <c r="B228" s="1"/>
  <c r="B229" s="1"/>
  <c r="B230" s="1"/>
  <c r="B231" s="1"/>
  <c r="B232" s="1"/>
  <c r="B233" s="1"/>
  <c r="B234" s="1"/>
  <c r="B235" s="1"/>
  <c r="B236" s="1"/>
  <c r="B237" s="1"/>
  <c r="B238" s="1"/>
  <c r="B239" s="1"/>
  <c r="B240" s="1"/>
  <c r="B241" s="1"/>
  <c r="B242" s="1"/>
  <c r="B243" s="1"/>
  <c r="B244" s="1"/>
  <c r="B245" s="1"/>
  <c r="B246" s="1"/>
  <c r="B247" s="1"/>
  <c r="B248" s="1"/>
  <c r="B249" s="1"/>
  <c r="B250" s="1"/>
  <c r="B251" s="1"/>
  <c r="B252" s="1"/>
  <c r="B253" s="1"/>
  <c r="B254" s="1"/>
  <c r="B255" s="1"/>
  <c r="B256" s="1"/>
  <c r="B257" s="1"/>
  <c r="B258" s="1"/>
  <c r="B259" s="1"/>
  <c r="B260" s="1"/>
  <c r="B261" s="1"/>
  <c r="B262" s="1"/>
  <c r="B263" s="1"/>
  <c r="B264" s="1"/>
  <c r="B265" s="1"/>
  <c r="B266" s="1"/>
  <c r="B267" s="1"/>
  <c r="B268" s="1"/>
  <c r="B269" s="1"/>
  <c r="B270" s="1"/>
  <c r="B271" s="1"/>
  <c r="B272" s="1"/>
  <c r="B273" s="1"/>
  <c r="B274" s="1"/>
  <c r="B275" s="1"/>
  <c r="B276" s="1"/>
  <c r="B277" s="1"/>
  <c r="B278" s="1"/>
  <c r="B279" s="1"/>
  <c r="B280" s="1"/>
  <c r="B281" s="1"/>
  <c r="B282" s="1"/>
  <c r="B283" s="1"/>
  <c r="B284" s="1"/>
  <c r="B285" s="1"/>
  <c r="B286" s="1"/>
  <c r="B287" s="1"/>
  <c r="F2473" i="214" l="1"/>
  <c r="F2475" s="1"/>
  <c r="F2476" s="1"/>
  <c r="K1108" i="192" s="1"/>
  <c r="M639" i="194"/>
  <c r="I480" i="140"/>
  <c r="J480" s="1"/>
  <c r="O480" s="1"/>
  <c r="O602" i="309"/>
  <c r="O601"/>
  <c r="G3390" i="214"/>
  <c r="G3392" s="1"/>
  <c r="G3393" s="1"/>
  <c r="K695" i="194" s="1"/>
  <c r="F486" i="305" s="1"/>
  <c r="G486" s="1"/>
  <c r="O132" i="309"/>
  <c r="O451"/>
  <c r="O447"/>
  <c r="O282"/>
  <c r="O286"/>
  <c r="O503"/>
  <c r="O314"/>
  <c r="O423"/>
  <c r="O290"/>
  <c r="O287"/>
  <c r="O456"/>
  <c r="O137"/>
  <c r="O448"/>
  <c r="O291"/>
  <c r="O283"/>
  <c r="O428"/>
  <c r="O504"/>
  <c r="O133"/>
  <c r="O424"/>
  <c r="O299"/>
  <c r="O382"/>
  <c r="O383"/>
  <c r="O180"/>
  <c r="O173"/>
  <c r="O310"/>
  <c r="O306"/>
  <c r="O427"/>
  <c r="O431"/>
  <c r="O362"/>
  <c r="O455"/>
  <c r="O136"/>
  <c r="O278"/>
  <c r="O435"/>
  <c r="O298"/>
  <c r="O443"/>
  <c r="O432"/>
  <c r="O315"/>
  <c r="O307"/>
  <c r="O436"/>
  <c r="O363"/>
  <c r="F3408" i="214"/>
  <c r="F3410" s="1"/>
  <c r="F3411" s="1"/>
  <c r="K1148" i="192" s="1"/>
  <c r="F349" i="305" s="1"/>
  <c r="G349" s="1"/>
  <c r="G2473" i="214"/>
  <c r="G2475" s="1"/>
  <c r="G2476" s="1"/>
  <c r="K688" i="194" s="1"/>
  <c r="F485" i="305" s="1"/>
  <c r="G485" s="1"/>
  <c r="F163"/>
  <c r="G163" s="1"/>
  <c r="I164" i="309"/>
  <c r="F168" i="305"/>
  <c r="G168" s="1"/>
  <c r="I169" i="309"/>
  <c r="J124"/>
  <c r="E124"/>
  <c r="F124" s="1"/>
  <c r="F143" i="305"/>
  <c r="G143" s="1"/>
  <c r="I144" i="309"/>
  <c r="J76"/>
  <c r="E76"/>
  <c r="F76" s="1"/>
  <c r="F260" i="305"/>
  <c r="G260" s="1"/>
  <c r="I262" i="309"/>
  <c r="F155" i="305"/>
  <c r="G155" s="1"/>
  <c r="I156" i="309"/>
  <c r="F321" i="305"/>
  <c r="G321" s="1"/>
  <c r="I323" i="309"/>
  <c r="J125"/>
  <c r="E125"/>
  <c r="F125" s="1"/>
  <c r="F188" i="305"/>
  <c r="G188" s="1"/>
  <c r="I189" i="309"/>
  <c r="F406" i="305"/>
  <c r="G406" s="1"/>
  <c r="I408" i="309"/>
  <c r="J342"/>
  <c r="E342"/>
  <c r="F342" s="1"/>
  <c r="I488"/>
  <c r="F345" i="305"/>
  <c r="G345" s="1"/>
  <c r="I347" i="309"/>
  <c r="M1041" i="192"/>
  <c r="I339" i="309"/>
  <c r="M1081" i="192"/>
  <c r="I343" i="309"/>
  <c r="F300" i="305"/>
  <c r="G300" s="1"/>
  <c r="I302" i="309"/>
  <c r="F187" i="305"/>
  <c r="G187" s="1"/>
  <c r="I188" i="309"/>
  <c r="F405" i="305"/>
  <c r="G405" s="1"/>
  <c r="I407" i="309"/>
  <c r="J479"/>
  <c r="E479"/>
  <c r="F479" s="1"/>
  <c r="F336" i="305"/>
  <c r="G336" s="1"/>
  <c r="I338" i="309"/>
  <c r="F462" i="305"/>
  <c r="G462" s="1"/>
  <c r="I464" i="309"/>
  <c r="F301" i="305"/>
  <c r="G301" s="1"/>
  <c r="I303" i="309"/>
  <c r="J77"/>
  <c r="E77"/>
  <c r="F77" s="1"/>
  <c r="F261" i="305"/>
  <c r="G261" s="1"/>
  <c r="I263" i="309"/>
  <c r="J483"/>
  <c r="E483"/>
  <c r="F483" s="1"/>
  <c r="J480"/>
  <c r="E480"/>
  <c r="F480" s="1"/>
  <c r="F164" i="305"/>
  <c r="G164" s="1"/>
  <c r="I165" i="309"/>
  <c r="F490" i="305"/>
  <c r="G490" s="1"/>
  <c r="I492" i="309"/>
  <c r="I351"/>
  <c r="F344" i="305"/>
  <c r="G344" s="1"/>
  <c r="I346" i="309"/>
  <c r="M1761" i="132"/>
  <c r="I161" i="309"/>
  <c r="J157"/>
  <c r="E157"/>
  <c r="F157" s="1"/>
  <c r="J149"/>
  <c r="E149"/>
  <c r="F149" s="1"/>
  <c r="J472"/>
  <c r="E472"/>
  <c r="F472" s="1"/>
  <c r="J141"/>
  <c r="E141"/>
  <c r="F141" s="1"/>
  <c r="J319"/>
  <c r="E319"/>
  <c r="F319" s="1"/>
  <c r="J160"/>
  <c r="E160"/>
  <c r="F160" s="1"/>
  <c r="J459"/>
  <c r="E459"/>
  <c r="F459" s="1"/>
  <c r="J471"/>
  <c r="E471"/>
  <c r="F471" s="1"/>
  <c r="J145"/>
  <c r="E145"/>
  <c r="F145" s="1"/>
  <c r="J484"/>
  <c r="E484"/>
  <c r="F484" s="1"/>
  <c r="J331"/>
  <c r="E331"/>
  <c r="F331" s="1"/>
  <c r="J460"/>
  <c r="E460"/>
  <c r="F460" s="1"/>
  <c r="J318"/>
  <c r="E318"/>
  <c r="F318" s="1"/>
  <c r="J140"/>
  <c r="E140"/>
  <c r="F140" s="1"/>
  <c r="J330"/>
  <c r="E330"/>
  <c r="F330" s="1"/>
  <c r="J148"/>
  <c r="E148"/>
  <c r="F148" s="1"/>
  <c r="O452"/>
  <c r="O311"/>
  <c r="O279"/>
  <c r="O444"/>
  <c r="O523"/>
  <c r="O524"/>
  <c r="O181"/>
  <c r="I124" i="140"/>
  <c r="J124" s="1"/>
  <c r="O124" s="1"/>
  <c r="F123" i="305"/>
  <c r="G123" s="1"/>
  <c r="I76" i="140"/>
  <c r="J76" s="1"/>
  <c r="O76" s="1"/>
  <c r="F75" i="305"/>
  <c r="G75" s="1"/>
  <c r="I77" i="140"/>
  <c r="J77" s="1"/>
  <c r="O77" s="1"/>
  <c r="F76" i="305"/>
  <c r="G76" s="1"/>
  <c r="M660" i="194"/>
  <c r="F481" i="305"/>
  <c r="G481" s="1"/>
  <c r="E477" i="195"/>
  <c r="F477" s="1"/>
  <c r="J477" s="1"/>
  <c r="F478" i="305"/>
  <c r="G478" s="1"/>
  <c r="E159" i="195"/>
  <c r="F159" s="1"/>
  <c r="J159" s="1"/>
  <c r="F160" i="305"/>
  <c r="G160" s="1"/>
  <c r="M632" i="194"/>
  <c r="F477" i="305"/>
  <c r="G477" s="1"/>
  <c r="I125" i="140"/>
  <c r="J125" s="1"/>
  <c r="O125" s="1"/>
  <c r="F124" i="305"/>
  <c r="G124" s="1"/>
  <c r="E339" i="195"/>
  <c r="F339" s="1"/>
  <c r="J339" s="1"/>
  <c r="F340" i="305"/>
  <c r="G340" s="1"/>
  <c r="I339" i="140"/>
  <c r="J339" s="1"/>
  <c r="O339" s="1"/>
  <c r="F337" i="305"/>
  <c r="G337" s="1"/>
  <c r="I343" i="140"/>
  <c r="J343" s="1"/>
  <c r="O343" s="1"/>
  <c r="F341" i="305"/>
  <c r="G341" s="1"/>
  <c r="I342" i="140"/>
  <c r="J342" s="1"/>
  <c r="O342" s="1"/>
  <c r="M1064" i="192"/>
  <c r="I165" i="140"/>
  <c r="J165" s="1"/>
  <c r="O165" s="1"/>
  <c r="E163" i="195"/>
  <c r="F163" s="1"/>
  <c r="J163" s="1"/>
  <c r="M1791" i="132"/>
  <c r="I492" i="140"/>
  <c r="J492" s="1"/>
  <c r="O492" s="1"/>
  <c r="E489" i="195"/>
  <c r="F489" s="1"/>
  <c r="J489" s="1"/>
  <c r="M723" i="194"/>
  <c r="I351" i="140"/>
  <c r="J351" s="1"/>
  <c r="O351" s="1"/>
  <c r="E348" i="195"/>
  <c r="F348" s="1"/>
  <c r="J348" s="1"/>
  <c r="E484"/>
  <c r="F484" s="1"/>
  <c r="J484" s="1"/>
  <c r="I346" i="140"/>
  <c r="J346" s="1"/>
  <c r="O346" s="1"/>
  <c r="E343" i="195"/>
  <c r="F343" s="1"/>
  <c r="J343" s="1"/>
  <c r="M1108" i="192"/>
  <c r="I488" i="140"/>
  <c r="J488" s="1"/>
  <c r="O488" s="1"/>
  <c r="M695" i="194"/>
  <c r="E485" i="195"/>
  <c r="F485" s="1"/>
  <c r="J485" s="1"/>
  <c r="I347" i="140"/>
  <c r="J347" s="1"/>
  <c r="O347" s="1"/>
  <c r="M1116" i="192"/>
  <c r="E344" i="195"/>
  <c r="F344" s="1"/>
  <c r="J344" s="1"/>
  <c r="I169" i="140"/>
  <c r="J169" s="1"/>
  <c r="O169" s="1"/>
  <c r="E167" i="195"/>
  <c r="F167" s="1"/>
  <c r="J167" s="1"/>
  <c r="M1819" i="132"/>
  <c r="F2491" i="214"/>
  <c r="F2493" s="1"/>
  <c r="F2494" s="1"/>
  <c r="K1141" i="192" s="1"/>
  <c r="E2491" i="214"/>
  <c r="E2493" s="1"/>
  <c r="E2494" s="1"/>
  <c r="K1812" i="132" s="1"/>
  <c r="G2491" i="214"/>
  <c r="G2493" s="1"/>
  <c r="G2494" s="1"/>
  <c r="K716" i="194" s="1"/>
  <c r="I164" i="140"/>
  <c r="J164" s="1"/>
  <c r="O164" s="1"/>
  <c r="M1784" i="132"/>
  <c r="E162" i="195"/>
  <c r="F162" s="1"/>
  <c r="J162" s="1"/>
  <c r="E214"/>
  <c r="F214" s="1"/>
  <c r="J214" s="1"/>
  <c r="I188" i="140"/>
  <c r="J188" s="1"/>
  <c r="O188" s="1"/>
  <c r="I407"/>
  <c r="J407" s="1"/>
  <c r="O407" s="1"/>
  <c r="E404" i="195"/>
  <c r="F404" s="1"/>
  <c r="J404" s="1"/>
  <c r="I479" i="140"/>
  <c r="J479" s="1"/>
  <c r="O479" s="1"/>
  <c r="E476" i="195"/>
  <c r="F476" s="1"/>
  <c r="J476" s="1"/>
  <c r="I338" i="140"/>
  <c r="J338" s="1"/>
  <c r="O338" s="1"/>
  <c r="E335" i="195"/>
  <c r="F335" s="1"/>
  <c r="J335" s="1"/>
  <c r="I323" i="140"/>
  <c r="J323" s="1"/>
  <c r="O323" s="1"/>
  <c r="E320" i="195"/>
  <c r="F320" s="1"/>
  <c r="J320" s="1"/>
  <c r="E215"/>
  <c r="F215" s="1"/>
  <c r="J215" s="1"/>
  <c r="I189" i="140"/>
  <c r="J189" s="1"/>
  <c r="O189" s="1"/>
  <c r="I408"/>
  <c r="J408" s="1"/>
  <c r="O408" s="1"/>
  <c r="E405" i="195"/>
  <c r="F405" s="1"/>
  <c r="J405" s="1"/>
  <c r="I483" i="140"/>
  <c r="J483" s="1"/>
  <c r="O483" s="1"/>
  <c r="E480" i="195"/>
  <c r="F480" s="1"/>
  <c r="J480" s="1"/>
  <c r="I302" i="140"/>
  <c r="J302" s="1"/>
  <c r="O302" s="1"/>
  <c r="E299" i="195"/>
  <c r="F299" s="1"/>
  <c r="J299" s="1"/>
  <c r="I144" i="140"/>
  <c r="J144" s="1"/>
  <c r="O144" s="1"/>
  <c r="E142" i="195"/>
  <c r="F142" s="1"/>
  <c r="J142" s="1"/>
  <c r="I262" i="140"/>
  <c r="J262" s="1"/>
  <c r="O262" s="1"/>
  <c r="E259" i="195"/>
  <c r="F259" s="1"/>
  <c r="J259" s="1"/>
  <c r="M1688" i="132"/>
  <c r="I156" i="140"/>
  <c r="J156" s="1"/>
  <c r="O156" s="1"/>
  <c r="E154" i="195"/>
  <c r="F154" s="1"/>
  <c r="J154" s="1"/>
  <c r="I464" i="140"/>
  <c r="J464" s="1"/>
  <c r="O464" s="1"/>
  <c r="E461" i="195"/>
  <c r="F461" s="1"/>
  <c r="J461" s="1"/>
  <c r="I303" i="140"/>
  <c r="J303" s="1"/>
  <c r="O303" s="1"/>
  <c r="E300" i="195"/>
  <c r="F300" s="1"/>
  <c r="J300" s="1"/>
  <c r="I263" i="140"/>
  <c r="J263" s="1"/>
  <c r="O263" s="1"/>
  <c r="E260" i="195"/>
  <c r="F260" s="1"/>
  <c r="J260" s="1"/>
  <c r="F2907" i="214"/>
  <c r="F2911" s="1"/>
  <c r="K276" i="192" s="1"/>
  <c r="G2907" i="214"/>
  <c r="G2911" s="1"/>
  <c r="K197" i="194" s="1"/>
  <c r="E2901" i="214"/>
  <c r="E2905" s="1"/>
  <c r="K411" i="132" s="1"/>
  <c r="I53" i="309" s="1"/>
  <c r="G2901" i="214"/>
  <c r="G2905" s="1"/>
  <c r="K33" i="194" s="1"/>
  <c r="F2901" i="214"/>
  <c r="F2905" s="1"/>
  <c r="K35" i="192" s="1"/>
  <c r="E2907" i="214"/>
  <c r="E2911" s="1"/>
  <c r="K762" i="132" s="1"/>
  <c r="I85" i="309" s="1"/>
  <c r="E2941" i="214"/>
  <c r="E2942" s="1"/>
  <c r="E2946" s="1"/>
  <c r="K586" i="132" s="1"/>
  <c r="I65" i="309" s="1"/>
  <c r="G2954" i="214"/>
  <c r="G2955" s="1"/>
  <c r="G2959" s="1"/>
  <c r="G2934"/>
  <c r="G2935" s="1"/>
  <c r="G2939" s="1"/>
  <c r="K121" i="194" s="1"/>
  <c r="F2954" i="214"/>
  <c r="F2955" s="1"/>
  <c r="F2959" s="1"/>
  <c r="G2941"/>
  <c r="G2942" s="1"/>
  <c r="G2946" s="1"/>
  <c r="K101" i="194" s="1"/>
  <c r="E2928" i="214"/>
  <c r="E2932" s="1"/>
  <c r="K536" i="132" s="1"/>
  <c r="I61" i="309" s="1"/>
  <c r="F2941" i="214"/>
  <c r="F2942" s="1"/>
  <c r="F2946" s="1"/>
  <c r="K159" i="192" s="1"/>
  <c r="E2961" i="214"/>
  <c r="F2928"/>
  <c r="F2932" s="1"/>
  <c r="K104" i="192" s="1"/>
  <c r="F2948" i="214"/>
  <c r="F2949" s="1"/>
  <c r="F2953" s="1"/>
  <c r="K133" i="192" s="1"/>
  <c r="G2928" i="214"/>
  <c r="G2932" s="1"/>
  <c r="K57" i="194" s="1"/>
  <c r="E2948" i="214"/>
  <c r="E2949" s="1"/>
  <c r="E2953" s="1"/>
  <c r="K561" i="132" s="1"/>
  <c r="I69" i="309" s="1"/>
  <c r="F2934" i="214"/>
  <c r="F2935" s="1"/>
  <c r="F2939" s="1"/>
  <c r="K179" i="192" s="1"/>
  <c r="E2954" i="214"/>
  <c r="E2955" s="1"/>
  <c r="E2959" s="1"/>
  <c r="E2934"/>
  <c r="E2935" s="1"/>
  <c r="E2939" s="1"/>
  <c r="K610" i="132" s="1"/>
  <c r="I73" i="309" s="1"/>
  <c r="G2948" i="214"/>
  <c r="G2949" s="1"/>
  <c r="G2953" s="1"/>
  <c r="K81" i="194" s="1"/>
  <c r="M1952" i="132"/>
  <c r="M145" i="194"/>
  <c r="F2997" i="214"/>
  <c r="E2998"/>
  <c r="E3002" s="1"/>
  <c r="K662" i="132" s="1"/>
  <c r="I81" i="309" s="1"/>
  <c r="F2871" i="214"/>
  <c r="G2871" s="1"/>
  <c r="G2874" s="1"/>
  <c r="K343" i="132" s="1"/>
  <c r="I45" i="309" s="1"/>
  <c r="F2876" i="214"/>
  <c r="G2876" s="1"/>
  <c r="G2879" s="1"/>
  <c r="K363" i="132" s="1"/>
  <c r="I49" i="309" s="1"/>
  <c r="F2881" i="214"/>
  <c r="G2881" s="1"/>
  <c r="G2884" s="1"/>
  <c r="K453" i="132" s="1"/>
  <c r="I57" i="309" s="1"/>
  <c r="E3018" i="214"/>
  <c r="E3022" s="1"/>
  <c r="K1528" i="132" s="1"/>
  <c r="I101" i="309" s="1"/>
  <c r="F3018" i="214"/>
  <c r="M634" i="132"/>
  <c r="E75" i="195"/>
  <c r="F75" s="1"/>
  <c r="J75" s="1"/>
  <c r="M203" i="192"/>
  <c r="M904"/>
  <c r="M602"/>
  <c r="M539" i="194"/>
  <c r="M1178" i="132"/>
  <c r="E123" i="195"/>
  <c r="F123" s="1"/>
  <c r="J123" s="1"/>
  <c r="F1964" i="214"/>
  <c r="G1964" s="1"/>
  <c r="G1967" s="1"/>
  <c r="K447" i="132" s="1"/>
  <c r="I56" i="309" s="1"/>
  <c r="F1954" i="214"/>
  <c r="G1954" s="1"/>
  <c r="G1957" s="1"/>
  <c r="K338" i="132" s="1"/>
  <c r="I44" i="309" s="1"/>
  <c r="F1959" i="214"/>
  <c r="G1959" s="1"/>
  <c r="G1962" s="1"/>
  <c r="K358" i="132" s="1"/>
  <c r="I48" i="309" s="1"/>
  <c r="F2017" i="214"/>
  <c r="F2018" s="1"/>
  <c r="F2022" s="1"/>
  <c r="K174" i="192" s="1"/>
  <c r="E2037" i="214"/>
  <c r="E2038" s="1"/>
  <c r="E2042" s="1"/>
  <c r="E2017"/>
  <c r="E2018" s="1"/>
  <c r="E2022" s="1"/>
  <c r="K604" i="132" s="1"/>
  <c r="I72" i="309" s="1"/>
  <c r="G2031" i="214"/>
  <c r="G2032" s="1"/>
  <c r="G2036" s="1"/>
  <c r="K75" i="194" s="1"/>
  <c r="F2011" i="214"/>
  <c r="F2015" s="1"/>
  <c r="K98" i="192" s="1"/>
  <c r="F2031" i="214"/>
  <c r="F2032" s="1"/>
  <c r="F2036" s="1"/>
  <c r="K128" i="192" s="1"/>
  <c r="G2011" i="214"/>
  <c r="G2015" s="1"/>
  <c r="K51" i="194" s="1"/>
  <c r="E2031" i="214"/>
  <c r="E2032" s="1"/>
  <c r="E2036" s="1"/>
  <c r="K555" i="132" s="1"/>
  <c r="I68" i="309" s="1"/>
  <c r="G2024" i="214"/>
  <c r="G2025" s="1"/>
  <c r="G2029" s="1"/>
  <c r="K96" i="194" s="1"/>
  <c r="E2011" i="214"/>
  <c r="E2015" s="1"/>
  <c r="K528" i="132" s="1"/>
  <c r="I60" i="309" s="1"/>
  <c r="F2024" i="214"/>
  <c r="F2025" s="1"/>
  <c r="F2029" s="1"/>
  <c r="K153" i="192" s="1"/>
  <c r="E2044" i="214"/>
  <c r="E2024"/>
  <c r="E2025" s="1"/>
  <c r="E2029" s="1"/>
  <c r="K580" i="132" s="1"/>
  <c r="I64" i="309" s="1"/>
  <c r="G2037" i="214"/>
  <c r="G2038" s="1"/>
  <c r="G2042" s="1"/>
  <c r="G2017"/>
  <c r="G2018" s="1"/>
  <c r="G2022" s="1"/>
  <c r="K116" i="194" s="1"/>
  <c r="F2037" i="214"/>
  <c r="F2038" s="1"/>
  <c r="F2042" s="1"/>
  <c r="M1945" i="132"/>
  <c r="M139" i="194"/>
  <c r="F2080" i="214"/>
  <c r="E2081"/>
  <c r="E2085" s="1"/>
  <c r="K655" i="132" s="1"/>
  <c r="I80" i="309" s="1"/>
  <c r="F1984" i="214"/>
  <c r="F1988" s="1"/>
  <c r="K30" i="192" s="1"/>
  <c r="E1984" i="214"/>
  <c r="E1988" s="1"/>
  <c r="K399" i="132" s="1"/>
  <c r="I52" i="309" s="1"/>
  <c r="E1990" i="214"/>
  <c r="E1994" s="1"/>
  <c r="K693" i="132" s="1"/>
  <c r="I84" i="309" s="1"/>
  <c r="F1990" i="214"/>
  <c r="F1994" s="1"/>
  <c r="K270" i="192" s="1"/>
  <c r="G1984" i="214"/>
  <c r="G1988" s="1"/>
  <c r="K28" i="194" s="1"/>
  <c r="G1990" i="214"/>
  <c r="G1994" s="1"/>
  <c r="K190" i="194" s="1"/>
  <c r="E2101" i="214"/>
  <c r="E2105" s="1"/>
  <c r="K1523" i="132" s="1"/>
  <c r="I100" i="309" s="1"/>
  <c r="F2101" i="214"/>
  <c r="E74" i="195"/>
  <c r="F74" s="1"/>
  <c r="J74" s="1"/>
  <c r="M628" i="132"/>
  <c r="M197" i="192"/>
  <c r="M596"/>
  <c r="M1482" i="132"/>
  <c r="E122" i="195"/>
  <c r="F122" s="1"/>
  <c r="J122" s="1"/>
  <c r="M1171" i="132"/>
  <c r="F2365" i="214"/>
  <c r="F2366" s="1"/>
  <c r="K897" i="192" s="1"/>
  <c r="G2361" i="214"/>
  <c r="G2365" s="1"/>
  <c r="G2366" s="1"/>
  <c r="K532" i="194" s="1"/>
  <c r="E111" i="232"/>
  <c r="C111"/>
  <c r="E110"/>
  <c r="C110"/>
  <c r="E11" i="231"/>
  <c r="E12" s="1"/>
  <c r="E13" s="1"/>
  <c r="E14" s="1"/>
  <c r="E15" s="1"/>
  <c r="E16" s="1"/>
  <c r="E17" s="1"/>
  <c r="E18" s="1"/>
  <c r="E19" s="1"/>
  <c r="E20" s="1"/>
  <c r="E21" s="1"/>
  <c r="E22" s="1"/>
  <c r="E23" s="1"/>
  <c r="E24" s="1"/>
  <c r="E25" s="1"/>
  <c r="E26" s="1"/>
  <c r="E27" s="1"/>
  <c r="E28" s="1"/>
  <c r="E29" s="1"/>
  <c r="E30" s="1"/>
  <c r="E31" s="1"/>
  <c r="E32" s="1"/>
  <c r="E33" s="1"/>
  <c r="E34" s="1"/>
  <c r="E35" s="1"/>
  <c r="E36" s="1"/>
  <c r="E37" s="1"/>
  <c r="E38" s="1"/>
  <c r="E39" s="1"/>
  <c r="E40" s="1"/>
  <c r="E41" s="1"/>
  <c r="E42" s="1"/>
  <c r="E43" s="1"/>
  <c r="E44" s="1"/>
  <c r="E45" s="1"/>
  <c r="E46" s="1"/>
  <c r="E47" s="1"/>
  <c r="E48" s="1"/>
  <c r="E49" s="1"/>
  <c r="E50" s="1"/>
  <c r="E51" s="1"/>
  <c r="E52" s="1"/>
  <c r="E53" s="1"/>
  <c r="E54" s="1"/>
  <c r="E55" s="1"/>
  <c r="E56" s="1"/>
  <c r="E57" s="1"/>
  <c r="E58" s="1"/>
  <c r="E59" s="1"/>
  <c r="E60" s="1"/>
  <c r="E61" s="1"/>
  <c r="E62" s="1"/>
  <c r="E63" s="1"/>
  <c r="E64" s="1"/>
  <c r="E65" s="1"/>
  <c r="E66" s="1"/>
  <c r="E67" s="1"/>
  <c r="E68" s="1"/>
  <c r="E69" s="1"/>
  <c r="E70" s="1"/>
  <c r="E71" s="1"/>
  <c r="E72" s="1"/>
  <c r="E73" s="1"/>
  <c r="E74" s="1"/>
  <c r="E75" s="1"/>
  <c r="E76" s="1"/>
  <c r="E77" s="1"/>
  <c r="E78" s="1"/>
  <c r="E79" s="1"/>
  <c r="E80" s="1"/>
  <c r="E81" s="1"/>
  <c r="E82" s="1"/>
  <c r="E83" s="1"/>
  <c r="E84" s="1"/>
  <c r="E85" s="1"/>
  <c r="E86" s="1"/>
  <c r="E87" s="1"/>
  <c r="E88" s="1"/>
  <c r="E89" s="1"/>
  <c r="E90" s="1"/>
  <c r="E91" s="1"/>
  <c r="E92" s="1"/>
  <c r="E93" s="1"/>
  <c r="E94" s="1"/>
  <c r="E95" s="1"/>
  <c r="E96" s="1"/>
  <c r="E97" s="1"/>
  <c r="E98" s="1"/>
  <c r="E99" s="1"/>
  <c r="E100" s="1"/>
  <c r="E101" s="1"/>
  <c r="E102" s="1"/>
  <c r="E103" s="1"/>
  <c r="E104" s="1"/>
  <c r="E105" s="1"/>
  <c r="E106" s="1"/>
  <c r="E107" s="1"/>
  <c r="E108" s="1"/>
  <c r="E109" s="1"/>
  <c r="E110" s="1"/>
  <c r="E111" s="1"/>
  <c r="E112" s="1"/>
  <c r="E113" s="1"/>
  <c r="E114" s="1"/>
  <c r="E115" s="1"/>
  <c r="E116" s="1"/>
  <c r="E117" s="1"/>
  <c r="E118" s="1"/>
  <c r="E119" s="1"/>
  <c r="E120" s="1"/>
  <c r="E121" s="1"/>
  <c r="E122" s="1"/>
  <c r="E123" s="1"/>
  <c r="E124" s="1"/>
  <c r="E125" s="1"/>
  <c r="E126" s="1"/>
  <c r="E127" s="1"/>
  <c r="E128" s="1"/>
  <c r="E129" s="1"/>
  <c r="E130" s="1"/>
  <c r="E131" s="1"/>
  <c r="E132" s="1"/>
  <c r="E133" s="1"/>
  <c r="E134" s="1"/>
  <c r="E135" s="1"/>
  <c r="E136" s="1"/>
  <c r="E137" s="1"/>
  <c r="E138" s="1"/>
  <c r="E139" s="1"/>
  <c r="E140" s="1"/>
  <c r="E141" s="1"/>
  <c r="E142" s="1"/>
  <c r="E143" s="1"/>
  <c r="E144" s="1"/>
  <c r="E145" s="1"/>
  <c r="E146" s="1"/>
  <c r="E147" s="1"/>
  <c r="E148" s="1"/>
  <c r="E149" s="1"/>
  <c r="E150" s="1"/>
  <c r="E151" s="1"/>
  <c r="E152" s="1"/>
  <c r="E153" s="1"/>
  <c r="E154" s="1"/>
  <c r="E155" s="1"/>
  <c r="E156" s="1"/>
  <c r="E157" s="1"/>
  <c r="E158" s="1"/>
  <c r="E159" s="1"/>
  <c r="E160" s="1"/>
  <c r="E161" s="1"/>
  <c r="E162" s="1"/>
  <c r="E163" s="1"/>
  <c r="E164" s="1"/>
  <c r="E165" s="1"/>
  <c r="E166" s="1"/>
  <c r="E167" s="1"/>
  <c r="E168" s="1"/>
  <c r="E169" s="1"/>
  <c r="E170" s="1"/>
  <c r="E171" s="1"/>
  <c r="E172" s="1"/>
  <c r="E173" s="1"/>
  <c r="E174" s="1"/>
  <c r="E175" s="1"/>
  <c r="E176" s="1"/>
  <c r="E177" s="1"/>
  <c r="E178" s="1"/>
  <c r="E179" s="1"/>
  <c r="E180" s="1"/>
  <c r="E181" s="1"/>
  <c r="E182" s="1"/>
  <c r="E183" s="1"/>
  <c r="E184" s="1"/>
  <c r="E185" s="1"/>
  <c r="E186" s="1"/>
  <c r="E187" s="1"/>
  <c r="E188" s="1"/>
  <c r="E189" s="1"/>
  <c r="E190" s="1"/>
  <c r="E191" s="1"/>
  <c r="E192" s="1"/>
  <c r="E193" s="1"/>
  <c r="E194" s="1"/>
  <c r="E195" s="1"/>
  <c r="E196" s="1"/>
  <c r="E197" s="1"/>
  <c r="E198" s="1"/>
  <c r="E199" s="1"/>
  <c r="E200" s="1"/>
  <c r="E201" s="1"/>
  <c r="E202" s="1"/>
  <c r="E203" s="1"/>
  <c r="E204" s="1"/>
  <c r="E205" s="1"/>
  <c r="E206" s="1"/>
  <c r="E207" s="1"/>
  <c r="E208" s="1"/>
  <c r="E209" s="1"/>
  <c r="E210" s="1"/>
  <c r="E211" s="1"/>
  <c r="E212" s="1"/>
  <c r="E213" s="1"/>
  <c r="E214" s="1"/>
  <c r="E215" s="1"/>
  <c r="E216" s="1"/>
  <c r="E217" s="1"/>
  <c r="E218" s="1"/>
  <c r="E219" s="1"/>
  <c r="E220" s="1"/>
  <c r="E221" s="1"/>
  <c r="E222" s="1"/>
  <c r="E223" s="1"/>
  <c r="E224" s="1"/>
  <c r="E225" s="1"/>
  <c r="E226" s="1"/>
  <c r="E227" s="1"/>
  <c r="E228" s="1"/>
  <c r="E229" s="1"/>
  <c r="E230" s="1"/>
  <c r="E231" s="1"/>
  <c r="E232" s="1"/>
  <c r="E233" s="1"/>
  <c r="E234" s="1"/>
  <c r="E235" s="1"/>
  <c r="E236" s="1"/>
  <c r="E237" s="1"/>
  <c r="E238" s="1"/>
  <c r="E239" s="1"/>
  <c r="E240" s="1"/>
  <c r="E241" s="1"/>
  <c r="E242" s="1"/>
  <c r="E243" s="1"/>
  <c r="E244" s="1"/>
  <c r="E245" s="1"/>
  <c r="E246" s="1"/>
  <c r="E247" s="1"/>
  <c r="E248" s="1"/>
  <c r="E249" s="1"/>
  <c r="E250" s="1"/>
  <c r="E251" s="1"/>
  <c r="E252" s="1"/>
  <c r="E253" s="1"/>
  <c r="E254" s="1"/>
  <c r="E255" s="1"/>
  <c r="E256" s="1"/>
  <c r="E257" s="1"/>
  <c r="E258" s="1"/>
  <c r="E259" s="1"/>
  <c r="E260" s="1"/>
  <c r="E261" s="1"/>
  <c r="E262" s="1"/>
  <c r="E263" s="1"/>
  <c r="E264" s="1"/>
  <c r="E265" s="1"/>
  <c r="E266" s="1"/>
  <c r="E267" s="1"/>
  <c r="E268" s="1"/>
  <c r="E269" s="1"/>
  <c r="E270" s="1"/>
  <c r="E271" s="1"/>
  <c r="E272" s="1"/>
  <c r="E273" s="1"/>
  <c r="E274" s="1"/>
  <c r="E275" s="1"/>
  <c r="E276" s="1"/>
  <c r="E277" s="1"/>
  <c r="E278" s="1"/>
  <c r="E279" s="1"/>
  <c r="E280" s="1"/>
  <c r="E281" s="1"/>
  <c r="E282" s="1"/>
  <c r="E283" s="1"/>
  <c r="E284" s="1"/>
  <c r="E285" s="1"/>
  <c r="E286" s="1"/>
  <c r="E287" s="1"/>
  <c r="E288" s="1"/>
  <c r="E289" s="1"/>
  <c r="E290" s="1"/>
  <c r="E291" s="1"/>
  <c r="E292" s="1"/>
  <c r="E293" s="1"/>
  <c r="E294" s="1"/>
  <c r="E295" s="1"/>
  <c r="E296" s="1"/>
  <c r="E297" s="1"/>
  <c r="E298" s="1"/>
  <c r="E299" s="1"/>
  <c r="E300" s="1"/>
  <c r="E301" s="1"/>
  <c r="E302" s="1"/>
  <c r="E303" s="1"/>
  <c r="E304" s="1"/>
  <c r="E305" s="1"/>
  <c r="G25" i="226"/>
  <c r="F25"/>
  <c r="G24"/>
  <c r="F24"/>
  <c r="G23"/>
  <c r="E23"/>
  <c r="F23" s="1"/>
  <c r="G22"/>
  <c r="G21"/>
  <c r="G20"/>
  <c r="I20" s="1"/>
  <c r="G19"/>
  <c r="I19" s="1"/>
  <c r="G18"/>
  <c r="I18" s="1"/>
  <c r="G17"/>
  <c r="I17" s="1"/>
  <c r="D17"/>
  <c r="D18" s="1"/>
  <c r="D19" s="1"/>
  <c r="D20" s="1"/>
  <c r="D21" s="1"/>
  <c r="D22" s="1"/>
  <c r="I16"/>
  <c r="G16"/>
  <c r="E16"/>
  <c r="E17" s="1"/>
  <c r="K15"/>
  <c r="J15"/>
  <c r="G15"/>
  <c r="E15"/>
  <c r="F15" s="1"/>
  <c r="G14"/>
  <c r="G13"/>
  <c r="D13"/>
  <c r="D14" s="1"/>
  <c r="G12"/>
  <c r="E12"/>
  <c r="F12" s="1"/>
  <c r="G11"/>
  <c r="L11" s="1"/>
  <c r="G10"/>
  <c r="G9"/>
  <c r="G8"/>
  <c r="L8" s="1"/>
  <c r="D9" i="165" s="1"/>
  <c r="F21" i="139" s="1"/>
  <c r="F348" i="214"/>
  <c r="F341"/>
  <c r="F347"/>
  <c r="F340"/>
  <c r="M1148" i="192" l="1"/>
  <c r="L24" i="226"/>
  <c r="F980" i="214" s="1"/>
  <c r="G980" s="1"/>
  <c r="I487" i="309"/>
  <c r="E487" s="1"/>
  <c r="F487" s="1"/>
  <c r="L23" i="226"/>
  <c r="F1663" i="214" s="1"/>
  <c r="G1663" s="1"/>
  <c r="M688" i="194"/>
  <c r="I487" i="140"/>
  <c r="J487" s="1"/>
  <c r="O487" s="1"/>
  <c r="O76" i="309"/>
  <c r="O124"/>
  <c r="F461" i="305"/>
  <c r="G461" s="1"/>
  <c r="I463" i="309"/>
  <c r="J100"/>
  <c r="E100"/>
  <c r="F100" s="1"/>
  <c r="F385" i="305"/>
  <c r="G385" s="1"/>
  <c r="I387" i="309"/>
  <c r="J84"/>
  <c r="E84"/>
  <c r="F84" s="1"/>
  <c r="F240" i="305"/>
  <c r="G240" s="1"/>
  <c r="I242" i="309"/>
  <c r="F397" i="305"/>
  <c r="G397" s="1"/>
  <c r="I399" i="309"/>
  <c r="J64"/>
  <c r="E64"/>
  <c r="F64" s="1"/>
  <c r="F248" i="305"/>
  <c r="G248" s="1"/>
  <c r="I250" i="309"/>
  <c r="F393" i="305"/>
  <c r="G393" s="1"/>
  <c r="I395" i="309"/>
  <c r="F389" i="305"/>
  <c r="G389" s="1"/>
  <c r="I391" i="309"/>
  <c r="F244" i="305"/>
  <c r="G244" s="1"/>
  <c r="I246" i="309"/>
  <c r="J72"/>
  <c r="E72"/>
  <c r="F72" s="1"/>
  <c r="F252" i="305"/>
  <c r="G252" s="1"/>
  <c r="I254" i="309"/>
  <c r="J44"/>
  <c r="E44"/>
  <c r="F44" s="1"/>
  <c r="J57"/>
  <c r="E57"/>
  <c r="F57" s="1"/>
  <c r="J45"/>
  <c r="E45"/>
  <c r="F45" s="1"/>
  <c r="J73"/>
  <c r="E73"/>
  <c r="F73" s="1"/>
  <c r="F253" i="305"/>
  <c r="G253" s="1"/>
  <c r="I255" i="309"/>
  <c r="F390" i="305"/>
  <c r="G390" s="1"/>
  <c r="I392" i="309"/>
  <c r="F245" i="305"/>
  <c r="G245" s="1"/>
  <c r="I247" i="309"/>
  <c r="F249" i="305"/>
  <c r="G249" s="1"/>
  <c r="I251" i="309"/>
  <c r="F394" i="305"/>
  <c r="G394" s="1"/>
  <c r="I396" i="309"/>
  <c r="F398" i="305"/>
  <c r="G398" s="1"/>
  <c r="I400" i="309"/>
  <c r="J65"/>
  <c r="E65"/>
  <c r="F65" s="1"/>
  <c r="F241" i="305"/>
  <c r="G241" s="1"/>
  <c r="I243" i="309"/>
  <c r="J53"/>
  <c r="E53"/>
  <c r="F53" s="1"/>
  <c r="F269" i="305"/>
  <c r="G269" s="1"/>
  <c r="I271" i="309"/>
  <c r="F167" i="305"/>
  <c r="G167" s="1"/>
  <c r="I168" i="309"/>
  <c r="F320" i="305"/>
  <c r="G320" s="1"/>
  <c r="I322" i="309"/>
  <c r="F413" i="305"/>
  <c r="G413" s="1"/>
  <c r="I415" i="309"/>
  <c r="F268" i="305"/>
  <c r="G268" s="1"/>
  <c r="I270" i="309"/>
  <c r="J52"/>
  <c r="E52"/>
  <c r="F52" s="1"/>
  <c r="J80"/>
  <c r="E80"/>
  <c r="F80" s="1"/>
  <c r="J60"/>
  <c r="E60"/>
  <c r="F60" s="1"/>
  <c r="J68"/>
  <c r="E68"/>
  <c r="F68" s="1"/>
  <c r="F256" i="305"/>
  <c r="G256" s="1"/>
  <c r="I258" i="309"/>
  <c r="F401" i="305"/>
  <c r="G401" s="1"/>
  <c r="I403" i="309"/>
  <c r="J48"/>
  <c r="E48"/>
  <c r="F48" s="1"/>
  <c r="J56"/>
  <c r="E56"/>
  <c r="F56" s="1"/>
  <c r="J101"/>
  <c r="E101"/>
  <c r="F101" s="1"/>
  <c r="J49"/>
  <c r="E49"/>
  <c r="F49" s="1"/>
  <c r="J81"/>
  <c r="E81"/>
  <c r="F81" s="1"/>
  <c r="F402" i="305"/>
  <c r="G402" s="1"/>
  <c r="I404" i="309"/>
  <c r="J69"/>
  <c r="E69"/>
  <c r="F69" s="1"/>
  <c r="F257" i="305"/>
  <c r="G257" s="1"/>
  <c r="I259" i="309"/>
  <c r="J61"/>
  <c r="E61"/>
  <c r="F61" s="1"/>
  <c r="J85"/>
  <c r="E85"/>
  <c r="F85" s="1"/>
  <c r="F386" i="305"/>
  <c r="G386" s="1"/>
  <c r="I388" i="309"/>
  <c r="F414" i="305"/>
  <c r="G414" s="1"/>
  <c r="I416" i="309"/>
  <c r="F489" i="305"/>
  <c r="G489" s="1"/>
  <c r="I491" i="309"/>
  <c r="F348" i="305"/>
  <c r="G348" s="1"/>
  <c r="I350" i="309"/>
  <c r="J161"/>
  <c r="E161"/>
  <c r="F161" s="1"/>
  <c r="J346"/>
  <c r="E346"/>
  <c r="F346" s="1"/>
  <c r="J487"/>
  <c r="J351"/>
  <c r="E351"/>
  <c r="F351" s="1"/>
  <c r="J492"/>
  <c r="E492"/>
  <c r="F492" s="1"/>
  <c r="J165"/>
  <c r="E165"/>
  <c r="F165" s="1"/>
  <c r="J263"/>
  <c r="E263"/>
  <c r="F263" s="1"/>
  <c r="J303"/>
  <c r="E303"/>
  <c r="F303" s="1"/>
  <c r="J464"/>
  <c r="E464"/>
  <c r="F464" s="1"/>
  <c r="J338"/>
  <c r="E338"/>
  <c r="F338" s="1"/>
  <c r="J407"/>
  <c r="E407"/>
  <c r="F407" s="1"/>
  <c r="J188"/>
  <c r="E188"/>
  <c r="F188" s="1"/>
  <c r="J302"/>
  <c r="E302"/>
  <c r="F302" s="1"/>
  <c r="J343"/>
  <c r="E343"/>
  <c r="F343" s="1"/>
  <c r="J339"/>
  <c r="E339"/>
  <c r="F339" s="1"/>
  <c r="J347"/>
  <c r="E347"/>
  <c r="F347" s="1"/>
  <c r="J488"/>
  <c r="E488"/>
  <c r="F488" s="1"/>
  <c r="J408"/>
  <c r="E408"/>
  <c r="F408" s="1"/>
  <c r="J189"/>
  <c r="E189"/>
  <c r="F189" s="1"/>
  <c r="J323"/>
  <c r="E323"/>
  <c r="F323" s="1"/>
  <c r="J156"/>
  <c r="E156"/>
  <c r="F156" s="1"/>
  <c r="J262"/>
  <c r="E262"/>
  <c r="F262" s="1"/>
  <c r="J144"/>
  <c r="E144"/>
  <c r="F144" s="1"/>
  <c r="J169"/>
  <c r="E169"/>
  <c r="F169" s="1"/>
  <c r="J164"/>
  <c r="E164"/>
  <c r="F164" s="1"/>
  <c r="O148"/>
  <c r="O330"/>
  <c r="O140"/>
  <c r="O318"/>
  <c r="O460"/>
  <c r="O331"/>
  <c r="O484"/>
  <c r="O145"/>
  <c r="O471"/>
  <c r="O459"/>
  <c r="O160"/>
  <c r="O319"/>
  <c r="O141"/>
  <c r="O472"/>
  <c r="O149"/>
  <c r="O157"/>
  <c r="O480"/>
  <c r="O483"/>
  <c r="O77"/>
  <c r="O479"/>
  <c r="O342"/>
  <c r="O125"/>
  <c r="I52" i="140"/>
  <c r="J52" s="1"/>
  <c r="O52" s="1"/>
  <c r="F51" i="305"/>
  <c r="G51" s="1"/>
  <c r="I80" i="140"/>
  <c r="J80" s="1"/>
  <c r="O80" s="1"/>
  <c r="F79" i="305"/>
  <c r="G79" s="1"/>
  <c r="I60" i="140"/>
  <c r="J60" s="1"/>
  <c r="O60" s="1"/>
  <c r="F59" i="305"/>
  <c r="G59" s="1"/>
  <c r="I68" i="140"/>
  <c r="J68" s="1"/>
  <c r="O68" s="1"/>
  <c r="F67" i="305"/>
  <c r="G67" s="1"/>
  <c r="I48" i="140"/>
  <c r="J48" s="1"/>
  <c r="O48" s="1"/>
  <c r="F47" i="305"/>
  <c r="G47" s="1"/>
  <c r="I56" i="140"/>
  <c r="J56" s="1"/>
  <c r="O56" s="1"/>
  <c r="F55" i="305"/>
  <c r="G55" s="1"/>
  <c r="I101" i="140"/>
  <c r="J101" s="1"/>
  <c r="O101" s="1"/>
  <c r="F100" i="305"/>
  <c r="G100" s="1"/>
  <c r="I49" i="140"/>
  <c r="J49" s="1"/>
  <c r="O49" s="1"/>
  <c r="F48" i="305"/>
  <c r="G48" s="1"/>
  <c r="I81" i="140"/>
  <c r="J81" s="1"/>
  <c r="O81" s="1"/>
  <c r="F80" i="305"/>
  <c r="G80" s="1"/>
  <c r="I69" i="140"/>
  <c r="J69" s="1"/>
  <c r="O69" s="1"/>
  <c r="F68" i="305"/>
  <c r="G68" s="1"/>
  <c r="I61" i="140"/>
  <c r="J61" s="1"/>
  <c r="O61" s="1"/>
  <c r="F60" i="305"/>
  <c r="G60" s="1"/>
  <c r="I85" i="140"/>
  <c r="J85" s="1"/>
  <c r="O85" s="1"/>
  <c r="F84" i="305"/>
  <c r="G84" s="1"/>
  <c r="I100" i="140"/>
  <c r="J100" s="1"/>
  <c r="O100" s="1"/>
  <c r="F99" i="305"/>
  <c r="G99" s="1"/>
  <c r="I84" i="140"/>
  <c r="J84" s="1"/>
  <c r="O84" s="1"/>
  <c r="F83" i="305"/>
  <c r="G83" s="1"/>
  <c r="I64" i="140"/>
  <c r="J64" s="1"/>
  <c r="O64" s="1"/>
  <c r="F63" i="305"/>
  <c r="G63" s="1"/>
  <c r="I72" i="140"/>
  <c r="J72" s="1"/>
  <c r="O72" s="1"/>
  <c r="F71" i="305"/>
  <c r="G71" s="1"/>
  <c r="I44" i="140"/>
  <c r="J44" s="1"/>
  <c r="O44" s="1"/>
  <c r="F43" i="305"/>
  <c r="G43" s="1"/>
  <c r="I57" i="140"/>
  <c r="J57" s="1"/>
  <c r="O57" s="1"/>
  <c r="F56" i="305"/>
  <c r="G56" s="1"/>
  <c r="I45" i="140"/>
  <c r="J45" s="1"/>
  <c r="O45" s="1"/>
  <c r="F44" i="305"/>
  <c r="G44" s="1"/>
  <c r="I73" i="140"/>
  <c r="J73" s="1"/>
  <c r="O73" s="1"/>
  <c r="F72" i="305"/>
  <c r="G72" s="1"/>
  <c r="I65" i="140"/>
  <c r="J65" s="1"/>
  <c r="O65" s="1"/>
  <c r="F64" i="305"/>
  <c r="G64" s="1"/>
  <c r="I53" i="140"/>
  <c r="J53" s="1"/>
  <c r="O53" s="1"/>
  <c r="F52" i="305"/>
  <c r="G52" s="1"/>
  <c r="I491" i="140"/>
  <c r="J491" s="1"/>
  <c r="O491" s="1"/>
  <c r="M716" i="194"/>
  <c r="E488" i="195"/>
  <c r="F488" s="1"/>
  <c r="J488" s="1"/>
  <c r="I350" i="140"/>
  <c r="J350" s="1"/>
  <c r="O350" s="1"/>
  <c r="E347" i="195"/>
  <c r="F347" s="1"/>
  <c r="J347" s="1"/>
  <c r="M1141" i="192"/>
  <c r="I168" i="140"/>
  <c r="J168" s="1"/>
  <c r="O168" s="1"/>
  <c r="E166" i="195"/>
  <c r="F166" s="1"/>
  <c r="J166" s="1"/>
  <c r="M1812" i="132"/>
  <c r="L25" i="226"/>
  <c r="F988" i="214" s="1"/>
  <c r="G988" s="1"/>
  <c r="G989" s="1"/>
  <c r="G990" s="1"/>
  <c r="K219" i="132" s="1"/>
  <c r="I322" i="140"/>
  <c r="J322" s="1"/>
  <c r="O322" s="1"/>
  <c r="E319" i="195"/>
  <c r="F319" s="1"/>
  <c r="J319" s="1"/>
  <c r="I415" i="140"/>
  <c r="J415" s="1"/>
  <c r="O415" s="1"/>
  <c r="E412" i="195"/>
  <c r="F412" s="1"/>
  <c r="J412" s="1"/>
  <c r="I270" i="140"/>
  <c r="J270" s="1"/>
  <c r="O270" s="1"/>
  <c r="E267" i="195"/>
  <c r="F267" s="1"/>
  <c r="J267" s="1"/>
  <c r="I258" i="140"/>
  <c r="J258" s="1"/>
  <c r="O258" s="1"/>
  <c r="E255" i="195"/>
  <c r="F255" s="1"/>
  <c r="J255" s="1"/>
  <c r="I403" i="140"/>
  <c r="J403" s="1"/>
  <c r="O403" s="1"/>
  <c r="E400" i="195"/>
  <c r="F400" s="1"/>
  <c r="J400" s="1"/>
  <c r="I404" i="140"/>
  <c r="J404" s="1"/>
  <c r="O404" s="1"/>
  <c r="E401" i="195"/>
  <c r="F401" s="1"/>
  <c r="J401" s="1"/>
  <c r="I259" i="140"/>
  <c r="J259" s="1"/>
  <c r="O259" s="1"/>
  <c r="E256" i="195"/>
  <c r="F256" s="1"/>
  <c r="J256" s="1"/>
  <c r="I388" i="140"/>
  <c r="J388" s="1"/>
  <c r="O388" s="1"/>
  <c r="E385" i="195"/>
  <c r="F385" s="1"/>
  <c r="J385" s="1"/>
  <c r="I416" i="140"/>
  <c r="J416" s="1"/>
  <c r="O416" s="1"/>
  <c r="E413" i="195"/>
  <c r="F413" s="1"/>
  <c r="J413" s="1"/>
  <c r="I463" i="140"/>
  <c r="J463" s="1"/>
  <c r="O463" s="1"/>
  <c r="E460" i="195"/>
  <c r="F460" s="1"/>
  <c r="J460" s="1"/>
  <c r="I387" i="140"/>
  <c r="J387" s="1"/>
  <c r="O387" s="1"/>
  <c r="E384" i="195"/>
  <c r="F384" s="1"/>
  <c r="J384" s="1"/>
  <c r="I242" i="140"/>
  <c r="J242" s="1"/>
  <c r="O242" s="1"/>
  <c r="E239" i="195"/>
  <c r="F239" s="1"/>
  <c r="J239" s="1"/>
  <c r="I399" i="140"/>
  <c r="J399" s="1"/>
  <c r="O399" s="1"/>
  <c r="E396" i="195"/>
  <c r="F396" s="1"/>
  <c r="J396" s="1"/>
  <c r="I250" i="140"/>
  <c r="J250" s="1"/>
  <c r="O250" s="1"/>
  <c r="E247" i="195"/>
  <c r="F247" s="1"/>
  <c r="J247" s="1"/>
  <c r="I395" i="140"/>
  <c r="J395" s="1"/>
  <c r="O395" s="1"/>
  <c r="E392" i="195"/>
  <c r="F392" s="1"/>
  <c r="J392" s="1"/>
  <c r="I391" i="140"/>
  <c r="J391" s="1"/>
  <c r="O391" s="1"/>
  <c r="E388" i="195"/>
  <c r="F388" s="1"/>
  <c r="J388" s="1"/>
  <c r="I246" i="140"/>
  <c r="J246" s="1"/>
  <c r="O246" s="1"/>
  <c r="E243" i="195"/>
  <c r="F243" s="1"/>
  <c r="J243" s="1"/>
  <c r="I254" i="140"/>
  <c r="J254" s="1"/>
  <c r="O254" s="1"/>
  <c r="E251" i="195"/>
  <c r="F251" s="1"/>
  <c r="J251" s="1"/>
  <c r="I255" i="140"/>
  <c r="J255" s="1"/>
  <c r="O255" s="1"/>
  <c r="E252" i="195"/>
  <c r="F252" s="1"/>
  <c r="J252" s="1"/>
  <c r="I392" i="140"/>
  <c r="J392" s="1"/>
  <c r="O392" s="1"/>
  <c r="E389" i="195"/>
  <c r="F389" s="1"/>
  <c r="J389" s="1"/>
  <c r="I247" i="140"/>
  <c r="J247" s="1"/>
  <c r="O247" s="1"/>
  <c r="E244" i="195"/>
  <c r="F244" s="1"/>
  <c r="J244" s="1"/>
  <c r="I251" i="140"/>
  <c r="J251" s="1"/>
  <c r="O251" s="1"/>
  <c r="E248" i="195"/>
  <c r="F248" s="1"/>
  <c r="J248" s="1"/>
  <c r="I396" i="140"/>
  <c r="J396" s="1"/>
  <c r="O396" s="1"/>
  <c r="E393" i="195"/>
  <c r="F393" s="1"/>
  <c r="J393" s="1"/>
  <c r="I400" i="140"/>
  <c r="J400" s="1"/>
  <c r="O400" s="1"/>
  <c r="E397" i="195"/>
  <c r="F397" s="1"/>
  <c r="J397" s="1"/>
  <c r="I243" i="140"/>
  <c r="J243" s="1"/>
  <c r="O243" s="1"/>
  <c r="E240" i="195"/>
  <c r="F240" s="1"/>
  <c r="J240" s="1"/>
  <c r="I271" i="140"/>
  <c r="J271" s="1"/>
  <c r="O271" s="1"/>
  <c r="E268" i="195"/>
  <c r="F268" s="1"/>
  <c r="J268" s="1"/>
  <c r="G981" i="214"/>
  <c r="G982" s="1"/>
  <c r="K195" i="132" s="1"/>
  <c r="M1528"/>
  <c r="E99" i="195"/>
  <c r="F99" s="1"/>
  <c r="J99" s="1"/>
  <c r="M662" i="132"/>
  <c r="E79" i="195"/>
  <c r="F79" s="1"/>
  <c r="J79" s="1"/>
  <c r="G3018" i="214"/>
  <c r="G3022" s="1"/>
  <c r="K559" i="194" s="1"/>
  <c r="F3022" i="214"/>
  <c r="K932" i="192" s="1"/>
  <c r="E55" i="195"/>
  <c r="F55" s="1"/>
  <c r="J55" s="1"/>
  <c r="M453" i="132"/>
  <c r="E43" i="195"/>
  <c r="F43" s="1"/>
  <c r="J43" s="1"/>
  <c r="M343" i="132"/>
  <c r="G2997" i="214"/>
  <c r="G2998" s="1"/>
  <c r="G3002" s="1"/>
  <c r="K169" i="194" s="1"/>
  <c r="F2998" i="214"/>
  <c r="F3002" s="1"/>
  <c r="K227" i="192" s="1"/>
  <c r="M610" i="132"/>
  <c r="E71" i="195"/>
  <c r="F71" s="1"/>
  <c r="J71" s="1"/>
  <c r="M179" i="192"/>
  <c r="M57" i="194"/>
  <c r="M104" i="192"/>
  <c r="M159"/>
  <c r="M101" i="194"/>
  <c r="M121"/>
  <c r="M586" i="132"/>
  <c r="E63" i="195"/>
  <c r="F63" s="1"/>
  <c r="J63" s="1"/>
  <c r="M35" i="192"/>
  <c r="E51" i="195"/>
  <c r="F51" s="1"/>
  <c r="J51" s="1"/>
  <c r="M411" i="132"/>
  <c r="M276" i="192"/>
  <c r="M363" i="132"/>
  <c r="E47" i="195"/>
  <c r="F47" s="1"/>
  <c r="J47" s="1"/>
  <c r="M81" i="194"/>
  <c r="E67" i="195"/>
  <c r="F67" s="1"/>
  <c r="J67" s="1"/>
  <c r="M561" i="132"/>
  <c r="M133" i="192"/>
  <c r="F2961" i="214"/>
  <c r="E2962"/>
  <c r="E2966" s="1"/>
  <c r="E2969"/>
  <c r="E2970" s="1"/>
  <c r="E2974" s="1"/>
  <c r="K783" i="132" s="1"/>
  <c r="I89" i="309" s="1"/>
  <c r="E59" i="195"/>
  <c r="F59" s="1"/>
  <c r="J59" s="1"/>
  <c r="M536" i="132"/>
  <c r="M762"/>
  <c r="E83" i="195"/>
  <c r="F83" s="1"/>
  <c r="J83" s="1"/>
  <c r="M33" i="194"/>
  <c r="M197"/>
  <c r="G2101" i="214"/>
  <c r="G2105" s="1"/>
  <c r="K554" i="194" s="1"/>
  <c r="F2105" i="214"/>
  <c r="K925" i="192" s="1"/>
  <c r="M190" i="194"/>
  <c r="M270" i="192"/>
  <c r="M399" i="132"/>
  <c r="E50" i="195"/>
  <c r="F50" s="1"/>
  <c r="J50" s="1"/>
  <c r="E78"/>
  <c r="F78" s="1"/>
  <c r="J78" s="1"/>
  <c r="M655" i="132"/>
  <c r="F2044" i="214"/>
  <c r="E2045"/>
  <c r="E2049" s="1"/>
  <c r="E2052"/>
  <c r="E2053" s="1"/>
  <c r="E2057" s="1"/>
  <c r="K778" i="132" s="1"/>
  <c r="I88" i="309" s="1"/>
  <c r="M528" i="132"/>
  <c r="E58" i="195"/>
  <c r="F58" s="1"/>
  <c r="J58" s="1"/>
  <c r="E66"/>
  <c r="F66" s="1"/>
  <c r="J66" s="1"/>
  <c r="M555" i="132"/>
  <c r="M128" i="192"/>
  <c r="M75" i="194"/>
  <c r="M358" i="132"/>
  <c r="E46" i="195"/>
  <c r="F46" s="1"/>
  <c r="J46" s="1"/>
  <c r="M447" i="132"/>
  <c r="E54" i="195"/>
  <c r="F54" s="1"/>
  <c r="J54" s="1"/>
  <c r="M1523" i="132"/>
  <c r="E98" i="195"/>
  <c r="F98" s="1"/>
  <c r="J98" s="1"/>
  <c r="M28" i="194"/>
  <c r="M693" i="132"/>
  <c r="E82" i="195"/>
  <c r="F82" s="1"/>
  <c r="J82" s="1"/>
  <c r="M30" i="192"/>
  <c r="G2080" i="214"/>
  <c r="G2081" s="1"/>
  <c r="G2085" s="1"/>
  <c r="K163" i="194" s="1"/>
  <c r="F2081" i="214"/>
  <c r="F2085" s="1"/>
  <c r="K221" i="192" s="1"/>
  <c r="M116" i="194"/>
  <c r="E62" i="195"/>
  <c r="F62" s="1"/>
  <c r="J62" s="1"/>
  <c r="M580" i="132"/>
  <c r="M153" i="192"/>
  <c r="M96" i="194"/>
  <c r="M51"/>
  <c r="M98" i="192"/>
  <c r="M604" i="132"/>
  <c r="E70" i="195"/>
  <c r="F70" s="1"/>
  <c r="J70" s="1"/>
  <c r="M174" i="192"/>
  <c r="M338" i="132"/>
  <c r="E42" i="195"/>
  <c r="F42" s="1"/>
  <c r="J42" s="1"/>
  <c r="M532" i="194"/>
  <c r="M897" i="192"/>
  <c r="F16" i="226"/>
  <c r="L16" s="1"/>
  <c r="I671" i="140"/>
  <c r="J671" s="1"/>
  <c r="O671" s="1"/>
  <c r="E665" i="195"/>
  <c r="F665" s="1"/>
  <c r="J665" s="1"/>
  <c r="E649"/>
  <c r="F649" s="1"/>
  <c r="J649" s="1"/>
  <c r="I654" i="140"/>
  <c r="J654" s="1"/>
  <c r="O654" s="1"/>
  <c r="E645" i="195"/>
  <c r="F645" s="1"/>
  <c r="J645" s="1"/>
  <c r="I650" i="140"/>
  <c r="J650" s="1"/>
  <c r="O650" s="1"/>
  <c r="I629"/>
  <c r="J629" s="1"/>
  <c r="O629" s="1"/>
  <c r="E625" i="195"/>
  <c r="F625" s="1"/>
  <c r="J625" s="1"/>
  <c r="E669"/>
  <c r="F669" s="1"/>
  <c r="J669" s="1"/>
  <c r="I675" i="140"/>
  <c r="J675" s="1"/>
  <c r="O675" s="1"/>
  <c r="E673" i="195"/>
  <c r="F673" s="1"/>
  <c r="J673" s="1"/>
  <c r="I679" i="140"/>
  <c r="J679" s="1"/>
  <c r="O679" s="1"/>
  <c r="E653" i="195"/>
  <c r="F653" s="1"/>
  <c r="J653" s="1"/>
  <c r="I658" i="140"/>
  <c r="J658" s="1"/>
  <c r="O658" s="1"/>
  <c r="I666"/>
  <c r="J666" s="1"/>
  <c r="O666" s="1"/>
  <c r="E661" i="195"/>
  <c r="F661" s="1"/>
  <c r="J661" s="1"/>
  <c r="I646" i="140"/>
  <c r="J646" s="1"/>
  <c r="O646" s="1"/>
  <c r="E641" i="195"/>
  <c r="F641" s="1"/>
  <c r="J641" s="1"/>
  <c r="I633" i="140"/>
  <c r="J633" s="1"/>
  <c r="O633" s="1"/>
  <c r="E629" i="195"/>
  <c r="F629" s="1"/>
  <c r="J629" s="1"/>
  <c r="I625" i="140"/>
  <c r="J625" s="1"/>
  <c r="O625" s="1"/>
  <c r="E621" i="195"/>
  <c r="F621" s="1"/>
  <c r="J621" s="1"/>
  <c r="I642" i="140"/>
  <c r="J642" s="1"/>
  <c r="O642" s="1"/>
  <c r="E637" i="195"/>
  <c r="F637" s="1"/>
  <c r="J637" s="1"/>
  <c r="I702" i="140"/>
  <c r="J702" s="1"/>
  <c r="O702" s="1"/>
  <c r="E693" i="195"/>
  <c r="F693" s="1"/>
  <c r="J693" s="1"/>
  <c r="I714" i="140"/>
  <c r="J714" s="1"/>
  <c r="O714" s="1"/>
  <c r="E705" i="195"/>
  <c r="F705" s="1"/>
  <c r="J705" s="1"/>
  <c r="E709"/>
  <c r="F709" s="1"/>
  <c r="J709" s="1"/>
  <c r="I718" i="140"/>
  <c r="J718" s="1"/>
  <c r="O718" s="1"/>
  <c r="I722"/>
  <c r="J722" s="1"/>
  <c r="O722" s="1"/>
  <c r="E713" i="195"/>
  <c r="F713" s="1"/>
  <c r="J713" s="1"/>
  <c r="I730" i="140"/>
  <c r="J730" s="1"/>
  <c r="O730" s="1"/>
  <c r="E721" i="195"/>
  <c r="F721" s="1"/>
  <c r="J721" s="1"/>
  <c r="E733"/>
  <c r="F733" s="1"/>
  <c r="J733" s="1"/>
  <c r="I742" i="140"/>
  <c r="J742" s="1"/>
  <c r="O742" s="1"/>
  <c r="I683"/>
  <c r="J683" s="1"/>
  <c r="O683" s="1"/>
  <c r="E677" i="195"/>
  <c r="F677" s="1"/>
  <c r="J677" s="1"/>
  <c r="E657"/>
  <c r="F657" s="1"/>
  <c r="J657" s="1"/>
  <c r="I662" i="140"/>
  <c r="J662" s="1"/>
  <c r="O662" s="1"/>
  <c r="E685" i="195"/>
  <c r="F685" s="1"/>
  <c r="J685" s="1"/>
  <c r="I692" i="140"/>
  <c r="J692" s="1"/>
  <c r="O692" s="1"/>
  <c r="I637"/>
  <c r="J637" s="1"/>
  <c r="O637" s="1"/>
  <c r="E633" i="195"/>
  <c r="F633" s="1"/>
  <c r="J633" s="1"/>
  <c r="E689"/>
  <c r="F689" s="1"/>
  <c r="J689" s="1"/>
  <c r="I698" i="140"/>
  <c r="J698" s="1"/>
  <c r="O698" s="1"/>
  <c r="I706"/>
  <c r="J706" s="1"/>
  <c r="O706" s="1"/>
  <c r="E697" i="195"/>
  <c r="F697" s="1"/>
  <c r="J697" s="1"/>
  <c r="E701"/>
  <c r="F701" s="1"/>
  <c r="J701" s="1"/>
  <c r="I710" i="140"/>
  <c r="J710" s="1"/>
  <c r="O710" s="1"/>
  <c r="I734"/>
  <c r="J734" s="1"/>
  <c r="O734" s="1"/>
  <c r="E725" i="195"/>
  <c r="F725" s="1"/>
  <c r="J725" s="1"/>
  <c r="I726" i="140"/>
  <c r="J726" s="1"/>
  <c r="O726" s="1"/>
  <c r="E717" i="195"/>
  <c r="F717" s="1"/>
  <c r="J717" s="1"/>
  <c r="E729"/>
  <c r="F729" s="1"/>
  <c r="J729" s="1"/>
  <c r="I738" i="140"/>
  <c r="J738" s="1"/>
  <c r="O738" s="1"/>
  <c r="I687"/>
  <c r="J687" s="1"/>
  <c r="O687" s="1"/>
  <c r="E681" i="195"/>
  <c r="F681" s="1"/>
  <c r="J681" s="1"/>
  <c r="H313" i="215"/>
  <c r="I313" s="1"/>
  <c r="I314" s="1"/>
  <c r="I315" s="1"/>
  <c r="F925" i="214"/>
  <c r="G925" s="1"/>
  <c r="F935"/>
  <c r="G935" s="1"/>
  <c r="F945"/>
  <c r="G945" s="1"/>
  <c r="F999"/>
  <c r="F1026"/>
  <c r="G1026" s="1"/>
  <c r="F1056"/>
  <c r="G1056" s="1"/>
  <c r="F1083"/>
  <c r="F1280"/>
  <c r="G1280" s="1"/>
  <c r="F1297"/>
  <c r="G1297" s="1"/>
  <c r="F1314"/>
  <c r="G1314" s="1"/>
  <c r="F1455"/>
  <c r="G1455" s="1"/>
  <c r="F1582"/>
  <c r="F1603"/>
  <c r="F1664"/>
  <c r="F1688"/>
  <c r="G1688" s="1"/>
  <c r="F930"/>
  <c r="G930" s="1"/>
  <c r="F940"/>
  <c r="G940" s="1"/>
  <c r="F1146"/>
  <c r="G1146" s="1"/>
  <c r="F1270"/>
  <c r="G1270" s="1"/>
  <c r="F1413"/>
  <c r="F1505"/>
  <c r="F1620"/>
  <c r="F1639"/>
  <c r="F1654"/>
  <c r="G1654" s="1"/>
  <c r="I9" i="226"/>
  <c r="L9" s="1"/>
  <c r="D98" i="165" s="1"/>
  <c r="L12" i="226"/>
  <c r="F1316" i="214" s="1"/>
  <c r="G1316" s="1"/>
  <c r="L15" i="226"/>
  <c r="F1281" i="214" s="1"/>
  <c r="G1281" s="1"/>
  <c r="F1282"/>
  <c r="G1282" s="1"/>
  <c r="F946"/>
  <c r="G946" s="1"/>
  <c r="F1549"/>
  <c r="F1638"/>
  <c r="G1638" s="1"/>
  <c r="E13" i="226"/>
  <c r="E14" s="1"/>
  <c r="F14" s="1"/>
  <c r="L14" s="1"/>
  <c r="F17"/>
  <c r="L17" s="1"/>
  <c r="E950" i="214" s="1"/>
  <c r="F950" s="1"/>
  <c r="E18" i="226"/>
  <c r="I10"/>
  <c r="L10" s="1"/>
  <c r="F13"/>
  <c r="L13" s="1"/>
  <c r="D54" i="165" s="1"/>
  <c r="G347" i="214"/>
  <c r="G348"/>
  <c r="F936" l="1"/>
  <c r="G936" s="1"/>
  <c r="G938" s="1"/>
  <c r="F1298"/>
  <c r="G1298" s="1"/>
  <c r="K3831" i="132"/>
  <c r="M3831" s="1"/>
  <c r="O164" i="309"/>
  <c r="O169"/>
  <c r="O144"/>
  <c r="O156"/>
  <c r="O189"/>
  <c r="O188"/>
  <c r="O408"/>
  <c r="O488"/>
  <c r="F1655" i="214"/>
  <c r="G1655" s="1"/>
  <c r="G1659" s="1"/>
  <c r="F1666" s="1"/>
  <c r="G1666" s="1"/>
  <c r="F1585"/>
  <c r="F1272"/>
  <c r="G1272" s="1"/>
  <c r="F941"/>
  <c r="G941" s="1"/>
  <c r="F931"/>
  <c r="G931" s="1"/>
  <c r="G933" s="1"/>
  <c r="O407" i="309"/>
  <c r="O464"/>
  <c r="O262"/>
  <c r="O323"/>
  <c r="O347"/>
  <c r="O339"/>
  <c r="O343"/>
  <c r="O302"/>
  <c r="O338"/>
  <c r="O303"/>
  <c r="O100"/>
  <c r="G948" i="214"/>
  <c r="O263" i="309"/>
  <c r="O165"/>
  <c r="O84"/>
  <c r="O492"/>
  <c r="O351"/>
  <c r="O64"/>
  <c r="O487"/>
  <c r="O85"/>
  <c r="O61"/>
  <c r="O69"/>
  <c r="O81"/>
  <c r="O49"/>
  <c r="O101"/>
  <c r="O73"/>
  <c r="O45"/>
  <c r="O57"/>
  <c r="O44"/>
  <c r="F409" i="305"/>
  <c r="G409" s="1"/>
  <c r="I411" i="309"/>
  <c r="F324" i="305"/>
  <c r="G324" s="1"/>
  <c r="I326" i="309"/>
  <c r="J89"/>
  <c r="E89"/>
  <c r="F89" s="1"/>
  <c r="F410" i="305"/>
  <c r="G410" s="1"/>
  <c r="I412" i="309"/>
  <c r="F466" i="305"/>
  <c r="G466" s="1"/>
  <c r="I468" i="309"/>
  <c r="F30" i="305"/>
  <c r="G30" s="1"/>
  <c r="I30" i="309"/>
  <c r="F264" i="305"/>
  <c r="G264" s="1"/>
  <c r="I266" i="309"/>
  <c r="J88"/>
  <c r="E88"/>
  <c r="F88" s="1"/>
  <c r="F465" i="305"/>
  <c r="G465" s="1"/>
  <c r="I467" i="309"/>
  <c r="F265" i="305"/>
  <c r="G265" s="1"/>
  <c r="I267" i="309"/>
  <c r="F325" i="305"/>
  <c r="G325" s="1"/>
  <c r="I327" i="309"/>
  <c r="F26" i="305"/>
  <c r="G26" s="1"/>
  <c r="I26" i="309"/>
  <c r="J350"/>
  <c r="E350"/>
  <c r="F350" s="1"/>
  <c r="J491"/>
  <c r="E491"/>
  <c r="F491" s="1"/>
  <c r="J416"/>
  <c r="E416"/>
  <c r="F416" s="1"/>
  <c r="J388"/>
  <c r="E388"/>
  <c r="F388" s="1"/>
  <c r="J259"/>
  <c r="E259"/>
  <c r="F259" s="1"/>
  <c r="J404"/>
  <c r="E404"/>
  <c r="F404" s="1"/>
  <c r="J403"/>
  <c r="E403"/>
  <c r="F403" s="1"/>
  <c r="J258"/>
  <c r="E258"/>
  <c r="F258" s="1"/>
  <c r="J270"/>
  <c r="E270"/>
  <c r="F270" s="1"/>
  <c r="J415"/>
  <c r="E415"/>
  <c r="F415" s="1"/>
  <c r="J322"/>
  <c r="E322"/>
  <c r="F322" s="1"/>
  <c r="J168"/>
  <c r="E168"/>
  <c r="F168" s="1"/>
  <c r="J271"/>
  <c r="E271"/>
  <c r="F271" s="1"/>
  <c r="J243"/>
  <c r="E243"/>
  <c r="F243" s="1"/>
  <c r="J400"/>
  <c r="E400"/>
  <c r="F400" s="1"/>
  <c r="J396"/>
  <c r="E396"/>
  <c r="F396" s="1"/>
  <c r="J251"/>
  <c r="E251"/>
  <c r="F251" s="1"/>
  <c r="J247"/>
  <c r="E247"/>
  <c r="F247" s="1"/>
  <c r="J392"/>
  <c r="E392"/>
  <c r="F392" s="1"/>
  <c r="J255"/>
  <c r="E255"/>
  <c r="F255" s="1"/>
  <c r="J254"/>
  <c r="E254"/>
  <c r="F254" s="1"/>
  <c r="J246"/>
  <c r="E246"/>
  <c r="F246" s="1"/>
  <c r="J391"/>
  <c r="E391"/>
  <c r="F391" s="1"/>
  <c r="J395"/>
  <c r="E395"/>
  <c r="F395" s="1"/>
  <c r="J250"/>
  <c r="E250"/>
  <c r="F250" s="1"/>
  <c r="J399"/>
  <c r="E399"/>
  <c r="F399" s="1"/>
  <c r="J242"/>
  <c r="E242"/>
  <c r="F242" s="1"/>
  <c r="J387"/>
  <c r="E387"/>
  <c r="F387" s="1"/>
  <c r="J463"/>
  <c r="E463"/>
  <c r="F463" s="1"/>
  <c r="O346"/>
  <c r="O161"/>
  <c r="O56"/>
  <c r="O48"/>
  <c r="O68"/>
  <c r="O60"/>
  <c r="O80"/>
  <c r="O52"/>
  <c r="O53"/>
  <c r="O65"/>
  <c r="O72"/>
  <c r="F1667" i="214"/>
  <c r="F1668" s="1"/>
  <c r="G1668" s="1"/>
  <c r="I89" i="140"/>
  <c r="J89" s="1"/>
  <c r="O89" s="1"/>
  <c r="F88" i="305"/>
  <c r="G88" s="1"/>
  <c r="I88" i="140"/>
  <c r="J88" s="1"/>
  <c r="O88" s="1"/>
  <c r="F87" i="305"/>
  <c r="G87" s="1"/>
  <c r="F1602" i="214"/>
  <c r="G1602" s="1"/>
  <c r="F926"/>
  <c r="G926" s="1"/>
  <c r="G928" s="1"/>
  <c r="F1474" s="1"/>
  <c r="G1474" s="1"/>
  <c r="G1480" s="1"/>
  <c r="F1623"/>
  <c r="G1623" s="1"/>
  <c r="F1414"/>
  <c r="F1417" s="1"/>
  <c r="G1417" s="1"/>
  <c r="G349"/>
  <c r="F59" i="139"/>
  <c r="G59" s="1"/>
  <c r="G943" i="214"/>
  <c r="F1333" s="1"/>
  <c r="G1333" s="1"/>
  <c r="G1339" s="1"/>
  <c r="F1508"/>
  <c r="G1508" s="1"/>
  <c r="F1000"/>
  <c r="D82" i="165"/>
  <c r="D80"/>
  <c r="F79" i="139" s="1"/>
  <c r="G79" s="1"/>
  <c r="D81" i="165"/>
  <c r="F1299" i="214"/>
  <c r="G1299" s="1"/>
  <c r="G1304" s="1"/>
  <c r="E1306" s="1"/>
  <c r="F1306" s="1"/>
  <c r="D40" i="165"/>
  <c r="I411" i="140"/>
  <c r="J411" s="1"/>
  <c r="O411" s="1"/>
  <c r="E408" i="195"/>
  <c r="F408" s="1"/>
  <c r="J408" s="1"/>
  <c r="I326" i="140"/>
  <c r="J326" s="1"/>
  <c r="O326" s="1"/>
  <c r="E323" i="195"/>
  <c r="F323" s="1"/>
  <c r="J323" s="1"/>
  <c r="I412" i="140"/>
  <c r="J412" s="1"/>
  <c r="O412" s="1"/>
  <c r="E409" i="195"/>
  <c r="F409" s="1"/>
  <c r="J409" s="1"/>
  <c r="I468" i="140"/>
  <c r="J468" s="1"/>
  <c r="O468" s="1"/>
  <c r="E465" i="195"/>
  <c r="F465" s="1"/>
  <c r="J465" s="1"/>
  <c r="F972" i="214"/>
  <c r="G972" s="1"/>
  <c r="G973" s="1"/>
  <c r="G974" s="1"/>
  <c r="K264" i="132" s="1"/>
  <c r="D22" i="165"/>
  <c r="F37" i="139" s="1"/>
  <c r="G37" s="1"/>
  <c r="I266" i="140"/>
  <c r="J266" s="1"/>
  <c r="O266" s="1"/>
  <c r="E263" i="195"/>
  <c r="F263" s="1"/>
  <c r="J263" s="1"/>
  <c r="I467" i="140"/>
  <c r="J467" s="1"/>
  <c r="O467" s="1"/>
  <c r="E464" i="195"/>
  <c r="F464" s="1"/>
  <c r="J464" s="1"/>
  <c r="I267" i="140"/>
  <c r="J267" s="1"/>
  <c r="O267" s="1"/>
  <c r="E264" i="195"/>
  <c r="F264" s="1"/>
  <c r="J264" s="1"/>
  <c r="I327" i="140"/>
  <c r="J327" s="1"/>
  <c r="O327" s="1"/>
  <c r="E324" i="195"/>
  <c r="F324" s="1"/>
  <c r="J324" s="1"/>
  <c r="G1287" i="214"/>
  <c r="E1289" s="1"/>
  <c r="E1293" s="1"/>
  <c r="K950" i="132" s="1"/>
  <c r="I30" i="140"/>
  <c r="J30" s="1"/>
  <c r="O30" s="1"/>
  <c r="M219" i="132"/>
  <c r="E29" i="195"/>
  <c r="F29" s="1"/>
  <c r="J29" s="1"/>
  <c r="M195" i="132"/>
  <c r="I26" i="140"/>
  <c r="J26" s="1"/>
  <c r="O26" s="1"/>
  <c r="E25" i="195"/>
  <c r="F25" s="1"/>
  <c r="J25" s="1"/>
  <c r="F91" i="139"/>
  <c r="G91" s="1"/>
  <c r="D99" i="165"/>
  <c r="F98"/>
  <c r="M169" i="194"/>
  <c r="M559"/>
  <c r="E87" i="195"/>
  <c r="F87" s="1"/>
  <c r="J87" s="1"/>
  <c r="M783" i="132"/>
  <c r="G2961" i="214"/>
  <c r="F2962"/>
  <c r="F2966" s="1"/>
  <c r="F2969"/>
  <c r="F2970" s="1"/>
  <c r="F2974" s="1"/>
  <c r="K301" i="192" s="1"/>
  <c r="M227"/>
  <c r="M932"/>
  <c r="M221"/>
  <c r="M778" i="132"/>
  <c r="E86" i="195"/>
  <c r="F86" s="1"/>
  <c r="J86" s="1"/>
  <c r="F2052" i="214"/>
  <c r="F2053" s="1"/>
  <c r="F2057" s="1"/>
  <c r="K295" i="192" s="1"/>
  <c r="G2044" i="214"/>
  <c r="F2045"/>
  <c r="F2049" s="1"/>
  <c r="M554" i="194"/>
  <c r="M163"/>
  <c r="M925" i="192"/>
  <c r="F1315" i="214"/>
  <c r="G1315" s="1"/>
  <c r="G1321" s="1"/>
  <c r="F1323" s="1"/>
  <c r="F1327" s="1"/>
  <c r="F1328" s="1"/>
  <c r="K520" i="192" s="1"/>
  <c r="G432" i="216"/>
  <c r="H432" s="1"/>
  <c r="H435" s="1"/>
  <c r="F1193" i="214"/>
  <c r="G1193" s="1"/>
  <c r="G1198" s="1"/>
  <c r="E1200" s="1"/>
  <c r="F1226"/>
  <c r="G1226" s="1"/>
  <c r="F1206"/>
  <c r="G1206" s="1"/>
  <c r="G1214" s="1"/>
  <c r="G1215" s="1"/>
  <c r="F1219"/>
  <c r="G1219" s="1"/>
  <c r="G1222" s="1"/>
  <c r="F1225"/>
  <c r="G1225" s="1"/>
  <c r="G1620"/>
  <c r="F1621"/>
  <c r="G1621" s="1"/>
  <c r="G1413"/>
  <c r="F1416"/>
  <c r="G1416" s="1"/>
  <c r="F1433"/>
  <c r="G1664"/>
  <c r="F1665"/>
  <c r="G1665" s="1"/>
  <c r="G1582"/>
  <c r="F1583"/>
  <c r="G999"/>
  <c r="F1011"/>
  <c r="G1011" s="1"/>
  <c r="G1639"/>
  <c r="F1640"/>
  <c r="G1640" s="1"/>
  <c r="G1505"/>
  <c r="F1506"/>
  <c r="F1525"/>
  <c r="G1603"/>
  <c r="F1604"/>
  <c r="G1604" s="1"/>
  <c r="G1083"/>
  <c r="F1174"/>
  <c r="G1174" s="1"/>
  <c r="F1001"/>
  <c r="F1082"/>
  <c r="F1145"/>
  <c r="G1145" s="1"/>
  <c r="F1025"/>
  <c r="G1025" s="1"/>
  <c r="F1055"/>
  <c r="G1055" s="1"/>
  <c r="F1689"/>
  <c r="G1689" s="1"/>
  <c r="G1549"/>
  <c r="F1564"/>
  <c r="G1564" s="1"/>
  <c r="F1524"/>
  <c r="G1524" s="1"/>
  <c r="G1585"/>
  <c r="F1586"/>
  <c r="G1586" s="1"/>
  <c r="G1667"/>
  <c r="G1414"/>
  <c r="F1434"/>
  <c r="C611" i="195"/>
  <c r="I611" s="1"/>
  <c r="G615" i="140"/>
  <c r="F18" i="226"/>
  <c r="L18" s="1"/>
  <c r="E951" i="214" s="1"/>
  <c r="F951" s="1"/>
  <c r="E19" i="226"/>
  <c r="F1381" i="214" l="1"/>
  <c r="G1381" s="1"/>
  <c r="G1386" s="1"/>
  <c r="F1365"/>
  <c r="G1365" s="1"/>
  <c r="G1370" s="1"/>
  <c r="F1397"/>
  <c r="G1397" s="1"/>
  <c r="G1402" s="1"/>
  <c r="F1289"/>
  <c r="F745" i="305"/>
  <c r="G745" s="1"/>
  <c r="I752" i="140"/>
  <c r="J752" s="1"/>
  <c r="O752" s="1"/>
  <c r="E742" i="195"/>
  <c r="F742" s="1"/>
  <c r="J742" s="1"/>
  <c r="I752" i="309"/>
  <c r="K2716" i="132"/>
  <c r="M2716" s="1"/>
  <c r="K2726"/>
  <c r="M2726" s="1"/>
  <c r="K2618"/>
  <c r="M2618" s="1"/>
  <c r="F1489" i="214"/>
  <c r="G1489" s="1"/>
  <c r="G1495" s="1"/>
  <c r="F1349"/>
  <c r="G1349" s="1"/>
  <c r="G1354" s="1"/>
  <c r="F1454"/>
  <c r="G1454" s="1"/>
  <c r="O463" i="309"/>
  <c r="O387"/>
  <c r="O242"/>
  <c r="O399"/>
  <c r="O250"/>
  <c r="O395"/>
  <c r="O391"/>
  <c r="O246"/>
  <c r="O254"/>
  <c r="O255"/>
  <c r="O392"/>
  <c r="O247"/>
  <c r="O251"/>
  <c r="O396"/>
  <c r="O400"/>
  <c r="O243"/>
  <c r="O271"/>
  <c r="O168"/>
  <c r="O322"/>
  <c r="O415"/>
  <c r="O270"/>
  <c r="O258"/>
  <c r="O403"/>
  <c r="O404"/>
  <c r="O259"/>
  <c r="O388"/>
  <c r="O89"/>
  <c r="F110" i="305"/>
  <c r="G110" s="1"/>
  <c r="I111" i="309"/>
  <c r="F291" i="305"/>
  <c r="G291" s="1"/>
  <c r="I293" i="309"/>
  <c r="F272" i="305"/>
  <c r="G272" s="1"/>
  <c r="I274" i="309"/>
  <c r="F273" i="305"/>
  <c r="G273" s="1"/>
  <c r="I275" i="309"/>
  <c r="F34" i="305"/>
  <c r="G34" s="1"/>
  <c r="I34" i="309"/>
  <c r="J26"/>
  <c r="E26"/>
  <c r="F26" s="1"/>
  <c r="J327"/>
  <c r="E327"/>
  <c r="F327" s="1"/>
  <c r="J267"/>
  <c r="E267"/>
  <c r="F267" s="1"/>
  <c r="J467"/>
  <c r="E467"/>
  <c r="F467" s="1"/>
  <c r="J266"/>
  <c r="E266"/>
  <c r="F266" s="1"/>
  <c r="J30"/>
  <c r="E30"/>
  <c r="F30" s="1"/>
  <c r="J468"/>
  <c r="E468"/>
  <c r="F468" s="1"/>
  <c r="J412"/>
  <c r="E412"/>
  <c r="F412" s="1"/>
  <c r="J326"/>
  <c r="E326"/>
  <c r="F326" s="1"/>
  <c r="J411"/>
  <c r="E411"/>
  <c r="F411" s="1"/>
  <c r="O416"/>
  <c r="O491"/>
  <c r="O350"/>
  <c r="O88"/>
  <c r="E1323" i="214"/>
  <c r="E1327" s="1"/>
  <c r="E1328" s="1"/>
  <c r="K1060" i="132" s="1"/>
  <c r="F586" i="305"/>
  <c r="G586" s="1"/>
  <c r="F594"/>
  <c r="G594" s="1"/>
  <c r="E1310" i="214"/>
  <c r="K885" i="132" s="1"/>
  <c r="G1628" i="214"/>
  <c r="E1630" s="1"/>
  <c r="E1632" s="1"/>
  <c r="E1633" s="1"/>
  <c r="K1830" i="132" s="1"/>
  <c r="I171" i="309" s="1"/>
  <c r="G1323" i="214"/>
  <c r="G1327" s="1"/>
  <c r="G1328" s="1"/>
  <c r="K333" i="194" s="1"/>
  <c r="I438" i="309" s="1"/>
  <c r="G1422" i="214"/>
  <c r="F1424" s="1"/>
  <c r="G1645"/>
  <c r="F1012"/>
  <c r="G1012" s="1"/>
  <c r="G1000"/>
  <c r="F80" i="139"/>
  <c r="G80" s="1"/>
  <c r="F81" i="165"/>
  <c r="F81" i="139"/>
  <c r="G81" s="1"/>
  <c r="F82" i="165"/>
  <c r="I274" i="140"/>
  <c r="J274" s="1"/>
  <c r="O274" s="1"/>
  <c r="E271" i="195"/>
  <c r="F271" s="1"/>
  <c r="J271" s="1"/>
  <c r="I275" i="140"/>
  <c r="J275" s="1"/>
  <c r="O275" s="1"/>
  <c r="E272" i="195"/>
  <c r="F272" s="1"/>
  <c r="J272" s="1"/>
  <c r="F47" i="139"/>
  <c r="F40" i="165"/>
  <c r="G1673" i="214"/>
  <c r="F1675" s="1"/>
  <c r="F1677" s="1"/>
  <c r="F1678" s="1"/>
  <c r="K1225" i="192" s="1"/>
  <c r="E33" i="195"/>
  <c r="F33" s="1"/>
  <c r="J33" s="1"/>
  <c r="M264" i="132"/>
  <c r="I34" i="140"/>
  <c r="J34" s="1"/>
  <c r="O34" s="1"/>
  <c r="D100" i="165"/>
  <c r="F92" i="139"/>
  <c r="G92" s="1"/>
  <c r="F99" i="165"/>
  <c r="G2962" i="214"/>
  <c r="G2966" s="1"/>
  <c r="G2969"/>
  <c r="G2970" s="1"/>
  <c r="G2974" s="1"/>
  <c r="K217" i="194" s="1"/>
  <c r="M301" i="192"/>
  <c r="M295"/>
  <c r="G2045" i="214"/>
  <c r="G2049" s="1"/>
  <c r="G2052"/>
  <c r="G2053" s="1"/>
  <c r="G2057" s="1"/>
  <c r="K212" i="194" s="1"/>
  <c r="G1610" i="214"/>
  <c r="E1612" s="1"/>
  <c r="E1614" s="1"/>
  <c r="E1615" s="1"/>
  <c r="K1625" i="132" s="1"/>
  <c r="M520" i="192"/>
  <c r="E290" i="195"/>
  <c r="F290" s="1"/>
  <c r="J290" s="1"/>
  <c r="I293" i="140"/>
  <c r="J293" s="1"/>
  <c r="O293" s="1"/>
  <c r="M950" i="132"/>
  <c r="I111" i="140"/>
  <c r="J111" s="1"/>
  <c r="O111" s="1"/>
  <c r="E109" i="195"/>
  <c r="F109" s="1"/>
  <c r="J109" s="1"/>
  <c r="F1647" i="214"/>
  <c r="F1649" s="1"/>
  <c r="F1650" s="1"/>
  <c r="K1190" i="192" s="1"/>
  <c r="E1647" i="214"/>
  <c r="E1649" s="1"/>
  <c r="E1650" s="1"/>
  <c r="K1856" i="132" s="1"/>
  <c r="G1647" i="214"/>
  <c r="G1649" s="1"/>
  <c r="G1650" s="1"/>
  <c r="K763" i="194" s="1"/>
  <c r="G1525" i="214"/>
  <c r="F1546"/>
  <c r="G1583"/>
  <c r="F1584"/>
  <c r="G1584" s="1"/>
  <c r="G1433"/>
  <c r="F1436"/>
  <c r="G1436" s="1"/>
  <c r="F1507"/>
  <c r="G1507" s="1"/>
  <c r="G1506"/>
  <c r="F1526"/>
  <c r="G1526" s="1"/>
  <c r="F1532" s="1"/>
  <c r="G1532" s="1"/>
  <c r="E1202"/>
  <c r="K2482" i="132" s="1"/>
  <c r="F1200" i="214"/>
  <c r="G1229"/>
  <c r="G1230" s="1"/>
  <c r="F1341"/>
  <c r="F1345" s="1"/>
  <c r="K564" i="192" s="1"/>
  <c r="G1341" i="214"/>
  <c r="G1345" s="1"/>
  <c r="K361" i="194" s="1"/>
  <c r="E1341" i="214"/>
  <c r="E1345" s="1"/>
  <c r="K1137" i="132" s="1"/>
  <c r="F1310" i="214"/>
  <c r="K362" i="192" s="1"/>
  <c r="G1306" i="214"/>
  <c r="G1310" s="1"/>
  <c r="K274" i="194" s="1"/>
  <c r="E1356" i="214"/>
  <c r="E1360" s="1"/>
  <c r="E1361" s="1"/>
  <c r="K1220" i="132" s="1"/>
  <c r="F1356" i="214"/>
  <c r="F1360" s="1"/>
  <c r="F1361" s="1"/>
  <c r="K652" i="192" s="1"/>
  <c r="G1356" i="214"/>
  <c r="G1360" s="1"/>
  <c r="G1361" s="1"/>
  <c r="K390" i="194" s="1"/>
  <c r="G1404" i="214"/>
  <c r="G1408" s="1"/>
  <c r="G1409" s="1"/>
  <c r="E1404"/>
  <c r="E1408" s="1"/>
  <c r="E1409" s="1"/>
  <c r="F1404"/>
  <c r="F1408" s="1"/>
  <c r="F1409" s="1"/>
  <c r="G1388"/>
  <c r="G1392" s="1"/>
  <c r="G1393" s="1"/>
  <c r="K452" i="194" s="1"/>
  <c r="E1388" i="214"/>
  <c r="E1392" s="1"/>
  <c r="E1393" s="1"/>
  <c r="K1306" i="132" s="1"/>
  <c r="F1388" i="214"/>
  <c r="F1392" s="1"/>
  <c r="F1393" s="1"/>
  <c r="K726" i="192" s="1"/>
  <c r="F1293" i="214"/>
  <c r="K435" i="192" s="1"/>
  <c r="G1289" i="214"/>
  <c r="G1293" s="1"/>
  <c r="K307" i="194" s="1"/>
  <c r="G1001" i="214"/>
  <c r="G1008" s="1"/>
  <c r="K127" i="132" s="1"/>
  <c r="F1013" i="214"/>
  <c r="G1013" s="1"/>
  <c r="G1434"/>
  <c r="F1437"/>
  <c r="G1437" s="1"/>
  <c r="G1497"/>
  <c r="G1499" s="1"/>
  <c r="G1500" s="1"/>
  <c r="K249" i="194" s="1"/>
  <c r="E1497" i="214"/>
  <c r="E1499" s="1"/>
  <c r="E1500" s="1"/>
  <c r="K822" i="132" s="1"/>
  <c r="F1497" i="214"/>
  <c r="F1499" s="1"/>
  <c r="F1500" s="1"/>
  <c r="K338" i="192" s="1"/>
  <c r="E1482" i="214"/>
  <c r="E1484" s="1"/>
  <c r="E1485" s="1"/>
  <c r="K797" i="132" s="1"/>
  <c r="F1482" i="214"/>
  <c r="F1484" s="1"/>
  <c r="F1485" s="1"/>
  <c r="K314" i="192" s="1"/>
  <c r="G1482" i="214"/>
  <c r="G1484" s="1"/>
  <c r="G1485" s="1"/>
  <c r="K227" i="194" s="1"/>
  <c r="G1372" i="214"/>
  <c r="G1376" s="1"/>
  <c r="G1377" s="1"/>
  <c r="K420" i="194" s="1"/>
  <c r="E1372" i="214"/>
  <c r="E1376" s="1"/>
  <c r="E1377" s="1"/>
  <c r="K1279" i="132" s="1"/>
  <c r="F1372" i="214"/>
  <c r="F1376" s="1"/>
  <c r="F1377" s="1"/>
  <c r="K694" i="192" s="1"/>
  <c r="G1082" i="214"/>
  <c r="F1173"/>
  <c r="G1173" s="1"/>
  <c r="F19" i="226"/>
  <c r="L19" s="1"/>
  <c r="E952" i="214" s="1"/>
  <c r="F952" s="1"/>
  <c r="E20" i="226"/>
  <c r="I588" i="140" l="1"/>
  <c r="J588" s="1"/>
  <c r="O588" s="1"/>
  <c r="F613" i="305"/>
  <c r="G613" s="1"/>
  <c r="I596" i="140"/>
  <c r="J596" s="1"/>
  <c r="O596" s="1"/>
  <c r="E592" i="195"/>
  <c r="F592" s="1"/>
  <c r="J592" s="1"/>
  <c r="E584"/>
  <c r="F584" s="1"/>
  <c r="J584" s="1"/>
  <c r="E611"/>
  <c r="F611" s="1"/>
  <c r="J611" s="1"/>
  <c r="I615" i="140"/>
  <c r="J615" s="1"/>
  <c r="K615" s="1"/>
  <c r="J752" i="309"/>
  <c r="E752"/>
  <c r="F752" s="1"/>
  <c r="I588"/>
  <c r="K2731" i="132"/>
  <c r="M2731" s="1"/>
  <c r="I615" i="309"/>
  <c r="I596"/>
  <c r="G1675" i="214"/>
  <c r="G1677" s="1"/>
  <c r="G1678" s="1"/>
  <c r="K787" i="194" s="1"/>
  <c r="I502" i="309" s="1"/>
  <c r="G1612" i="214"/>
  <c r="G1614" s="1"/>
  <c r="G1615" s="1"/>
  <c r="K597" i="194" s="1"/>
  <c r="F472" i="305" s="1"/>
  <c r="G472" s="1"/>
  <c r="E1424" i="214"/>
  <c r="E1428" s="1"/>
  <c r="E1429" s="1"/>
  <c r="F1456" s="1"/>
  <c r="G1456" s="1"/>
  <c r="G1463" s="1"/>
  <c r="G1020"/>
  <c r="K164" i="132" s="1"/>
  <c r="I22" i="309" s="1"/>
  <c r="O411"/>
  <c r="O326"/>
  <c r="O412"/>
  <c r="O468"/>
  <c r="O30"/>
  <c r="O266"/>
  <c r="O467"/>
  <c r="O267"/>
  <c r="O327"/>
  <c r="F307" i="305"/>
  <c r="G307" s="1"/>
  <c r="I309" i="309"/>
  <c r="F130" i="305"/>
  <c r="G130" s="1"/>
  <c r="I131" i="309"/>
  <c r="F420" i="305"/>
  <c r="G420" s="1"/>
  <c r="I422" i="309"/>
  <c r="F90" i="305"/>
  <c r="G90" s="1"/>
  <c r="I91" i="309"/>
  <c r="F94" i="305"/>
  <c r="G94" s="1"/>
  <c r="I95" i="309"/>
  <c r="F22" i="305"/>
  <c r="G22" s="1"/>
  <c r="F428"/>
  <c r="G428" s="1"/>
  <c r="I430" i="309"/>
  <c r="F311" i="305"/>
  <c r="G311" s="1"/>
  <c r="I313" i="309"/>
  <c r="F452" i="305"/>
  <c r="G452" s="1"/>
  <c r="I454" i="309"/>
  <c r="F444" i="305"/>
  <c r="G444" s="1"/>
  <c r="I446" i="309"/>
  <c r="F126" i="305"/>
  <c r="G126" s="1"/>
  <c r="I127" i="309"/>
  <c r="F287" i="305"/>
  <c r="G287" s="1"/>
  <c r="I289" i="309"/>
  <c r="F440" i="305"/>
  <c r="G440" s="1"/>
  <c r="I442" i="309"/>
  <c r="F234" i="305"/>
  <c r="G234" s="1"/>
  <c r="I235" i="309"/>
  <c r="F496" i="305"/>
  <c r="G496" s="1"/>
  <c r="I498" i="309"/>
  <c r="F355" i="305"/>
  <c r="G355" s="1"/>
  <c r="I357" i="309"/>
  <c r="F150" i="305"/>
  <c r="G150" s="1"/>
  <c r="I151" i="309"/>
  <c r="J438"/>
  <c r="E438"/>
  <c r="F438" s="1"/>
  <c r="F448" i="305"/>
  <c r="G448" s="1"/>
  <c r="I450" i="309"/>
  <c r="F275" i="305"/>
  <c r="J275" s="1"/>
  <c r="I277" i="309"/>
  <c r="F279" i="305"/>
  <c r="G279" s="1"/>
  <c r="I281" i="309"/>
  <c r="F424" i="305"/>
  <c r="G424" s="1"/>
  <c r="I426" i="309"/>
  <c r="F500" i="305"/>
  <c r="G500" s="1"/>
  <c r="F18"/>
  <c r="G18" s="1"/>
  <c r="I18" i="309"/>
  <c r="F283" i="305"/>
  <c r="G283" s="1"/>
  <c r="I285" i="309"/>
  <c r="F134" i="305"/>
  <c r="G134" s="1"/>
  <c r="I135" i="309"/>
  <c r="F303" i="305"/>
  <c r="G303" s="1"/>
  <c r="I305" i="309"/>
  <c r="F432" i="305"/>
  <c r="G432" s="1"/>
  <c r="I434" i="309"/>
  <c r="F118" i="305"/>
  <c r="G118" s="1"/>
  <c r="I119" i="309"/>
  <c r="F295" i="305"/>
  <c r="G295" s="1"/>
  <c r="I297" i="309"/>
  <c r="F174" i="305"/>
  <c r="G174" s="1"/>
  <c r="I175" i="309"/>
  <c r="I474"/>
  <c r="F417" i="305"/>
  <c r="G417" s="1"/>
  <c r="I419" i="309"/>
  <c r="F418" i="305"/>
  <c r="G418" s="1"/>
  <c r="I420" i="309"/>
  <c r="F359" i="305"/>
  <c r="G359" s="1"/>
  <c r="I361" i="309"/>
  <c r="J171"/>
  <c r="E171"/>
  <c r="F171" s="1"/>
  <c r="E105" i="195"/>
  <c r="F105" s="1"/>
  <c r="J105" s="1"/>
  <c r="I107" i="309"/>
  <c r="F114" i="305"/>
  <c r="G114" s="1"/>
  <c r="I115" i="309"/>
  <c r="J34"/>
  <c r="E34"/>
  <c r="F34" s="1"/>
  <c r="J275"/>
  <c r="E275"/>
  <c r="F275" s="1"/>
  <c r="J274"/>
  <c r="E274"/>
  <c r="F274" s="1"/>
  <c r="J293"/>
  <c r="E293"/>
  <c r="F293" s="1"/>
  <c r="J111"/>
  <c r="E111"/>
  <c r="F111" s="1"/>
  <c r="O26"/>
  <c r="E113" i="195"/>
  <c r="F113" s="1"/>
  <c r="J113" s="1"/>
  <c r="I115" i="140"/>
  <c r="J115" s="1"/>
  <c r="O115" s="1"/>
  <c r="M1060" i="132"/>
  <c r="G1630" i="214"/>
  <c r="G1632" s="1"/>
  <c r="G1633" s="1"/>
  <c r="K737" i="194" s="1"/>
  <c r="M737" s="1"/>
  <c r="E169" i="195"/>
  <c r="F169" s="1"/>
  <c r="J169" s="1"/>
  <c r="F170" i="305"/>
  <c r="G170" s="1"/>
  <c r="F1630" i="214"/>
  <c r="F1632" s="1"/>
  <c r="F1633" s="1"/>
  <c r="K1163" i="192" s="1"/>
  <c r="M333" i="194"/>
  <c r="F436" i="305"/>
  <c r="G436" s="1"/>
  <c r="M885" i="132"/>
  <c r="F106" i="305"/>
  <c r="G106" s="1"/>
  <c r="M1830" i="132"/>
  <c r="E1675" i="214"/>
  <c r="E1677" s="1"/>
  <c r="E1678" s="1"/>
  <c r="K1883" i="132" s="1"/>
  <c r="I179" i="309" s="1"/>
  <c r="I107" i="140"/>
  <c r="J107" s="1"/>
  <c r="O107" s="1"/>
  <c r="E435" i="195"/>
  <c r="F435" s="1"/>
  <c r="J435" s="1"/>
  <c r="I438" i="140"/>
  <c r="J438" s="1"/>
  <c r="O438" s="1"/>
  <c r="I171"/>
  <c r="J171" s="1"/>
  <c r="O171" s="1"/>
  <c r="F1513" i="214"/>
  <c r="G1513" s="1"/>
  <c r="F1591"/>
  <c r="G1591" s="1"/>
  <c r="G1592" s="1"/>
  <c r="E1594" s="1"/>
  <c r="E1596" s="1"/>
  <c r="E1597" s="1"/>
  <c r="K1556" i="132" s="1"/>
  <c r="I419" i="140"/>
  <c r="J419" s="1"/>
  <c r="O419" s="1"/>
  <c r="E416" i="195"/>
  <c r="F416" s="1"/>
  <c r="J416" s="1"/>
  <c r="I420" i="140"/>
  <c r="J420" s="1"/>
  <c r="O420" s="1"/>
  <c r="E417" i="195"/>
  <c r="F417" s="1"/>
  <c r="J417" s="1"/>
  <c r="F1612" i="214"/>
  <c r="F1614" s="1"/>
  <c r="F1615" s="1"/>
  <c r="K988" i="192" s="1"/>
  <c r="I333" i="309" s="1"/>
  <c r="O615" i="140"/>
  <c r="F93" i="139"/>
  <c r="G93" s="1"/>
  <c r="F100" i="165"/>
  <c r="M217" i="194"/>
  <c r="M212"/>
  <c r="M227"/>
  <c r="E419" i="195"/>
  <c r="F419" s="1"/>
  <c r="J419" s="1"/>
  <c r="I422" i="140"/>
  <c r="J422" s="1"/>
  <c r="O422" s="1"/>
  <c r="M274" i="194"/>
  <c r="E431" i="195"/>
  <c r="F431" s="1"/>
  <c r="J431" s="1"/>
  <c r="I434" i="140"/>
  <c r="J434" s="1"/>
  <c r="O434" s="1"/>
  <c r="M420" i="194"/>
  <c r="E447" i="195"/>
  <c r="F447" s="1"/>
  <c r="J447" s="1"/>
  <c r="I450" i="140"/>
  <c r="J450" s="1"/>
  <c r="O450" s="1"/>
  <c r="M249" i="194"/>
  <c r="E423" i="195"/>
  <c r="F423" s="1"/>
  <c r="J423" s="1"/>
  <c r="I426" i="140"/>
  <c r="J426" s="1"/>
  <c r="O426" s="1"/>
  <c r="E499" i="195"/>
  <c r="F499" s="1"/>
  <c r="J499" s="1"/>
  <c r="M307" i="194"/>
  <c r="E427" i="195"/>
  <c r="F427" s="1"/>
  <c r="J427" s="1"/>
  <c r="I430" i="140"/>
  <c r="J430" s="1"/>
  <c r="O430" s="1"/>
  <c r="M452" i="194"/>
  <c r="E451" i="195"/>
  <c r="F451" s="1"/>
  <c r="J451" s="1"/>
  <c r="I454" i="140"/>
  <c r="J454" s="1"/>
  <c r="O454" s="1"/>
  <c r="M390" i="194"/>
  <c r="E443" i="195"/>
  <c r="F443" s="1"/>
  <c r="J443" s="1"/>
  <c r="I446" i="140"/>
  <c r="J446" s="1"/>
  <c r="O446" s="1"/>
  <c r="M361" i="194"/>
  <c r="E439" i="195"/>
  <c r="F439" s="1"/>
  <c r="J439" s="1"/>
  <c r="I442" i="140"/>
  <c r="J442" s="1"/>
  <c r="O442" s="1"/>
  <c r="M763" i="194"/>
  <c r="E495" i="195"/>
  <c r="F495" s="1"/>
  <c r="J495" s="1"/>
  <c r="I498" i="140"/>
  <c r="J498" s="1"/>
  <c r="O498" s="1"/>
  <c r="M597" i="194"/>
  <c r="E471" i="195"/>
  <c r="F471" s="1"/>
  <c r="J471" s="1"/>
  <c r="I474" i="140"/>
  <c r="J474" s="1"/>
  <c r="O474" s="1"/>
  <c r="M694" i="192"/>
  <c r="E306" i="195"/>
  <c r="F306" s="1"/>
  <c r="J306" s="1"/>
  <c r="I309" i="140"/>
  <c r="J309" s="1"/>
  <c r="O309" s="1"/>
  <c r="M314" i="192"/>
  <c r="E274" i="195"/>
  <c r="F274" s="1"/>
  <c r="J274" s="1"/>
  <c r="I277" i="140"/>
  <c r="J277" s="1"/>
  <c r="O277" s="1"/>
  <c r="M338" i="192"/>
  <c r="E278" i="195"/>
  <c r="F278" s="1"/>
  <c r="J278" s="1"/>
  <c r="I281" i="140"/>
  <c r="J281" s="1"/>
  <c r="O281" s="1"/>
  <c r="M726" i="192"/>
  <c r="E310" i="195"/>
  <c r="F310" s="1"/>
  <c r="J310" s="1"/>
  <c r="I313" i="140"/>
  <c r="J313" s="1"/>
  <c r="O313" s="1"/>
  <c r="M362" i="192"/>
  <c r="E286" i="195"/>
  <c r="F286" s="1"/>
  <c r="J286" s="1"/>
  <c r="I289" i="140"/>
  <c r="J289" s="1"/>
  <c r="O289" s="1"/>
  <c r="M1190" i="192"/>
  <c r="E354" i="195"/>
  <c r="F354" s="1"/>
  <c r="J354" s="1"/>
  <c r="I357" i="140"/>
  <c r="J357" s="1"/>
  <c r="O357" s="1"/>
  <c r="M1225" i="192"/>
  <c r="E358" i="195"/>
  <c r="F358" s="1"/>
  <c r="J358" s="1"/>
  <c r="I361" i="140"/>
  <c r="J361" s="1"/>
  <c r="O361" s="1"/>
  <c r="M435" i="192"/>
  <c r="E282" i="195"/>
  <c r="F282" s="1"/>
  <c r="J282" s="1"/>
  <c r="I285" i="140"/>
  <c r="J285" s="1"/>
  <c r="O285" s="1"/>
  <c r="M652" i="192"/>
  <c r="E302" i="195"/>
  <c r="F302" s="1"/>
  <c r="J302" s="1"/>
  <c r="I305" i="140"/>
  <c r="J305" s="1"/>
  <c r="O305" s="1"/>
  <c r="M564" i="192"/>
  <c r="E294" i="195"/>
  <c r="F294" s="1"/>
  <c r="J294" s="1"/>
  <c r="I297" i="140"/>
  <c r="J297" s="1"/>
  <c r="O297" s="1"/>
  <c r="M822" i="132"/>
  <c r="I95" i="140"/>
  <c r="J95" s="1"/>
  <c r="O95" s="1"/>
  <c r="E93" i="195"/>
  <c r="F93" s="1"/>
  <c r="J93" s="1"/>
  <c r="M127" i="132"/>
  <c r="E17" i="195"/>
  <c r="F17" s="1"/>
  <c r="J17" s="1"/>
  <c r="I18" i="140"/>
  <c r="J18" s="1"/>
  <c r="O18" s="1"/>
  <c r="M1306" i="132"/>
  <c r="I135" i="140"/>
  <c r="J135" s="1"/>
  <c r="O135" s="1"/>
  <c r="E133" i="195"/>
  <c r="F133" s="1"/>
  <c r="J133" s="1"/>
  <c r="M1856" i="132"/>
  <c r="I175" i="140"/>
  <c r="J175" s="1"/>
  <c r="O175" s="1"/>
  <c r="E173" i="195"/>
  <c r="F173" s="1"/>
  <c r="J173" s="1"/>
  <c r="M1220" i="132"/>
  <c r="I127" i="140"/>
  <c r="J127" s="1"/>
  <c r="O127" s="1"/>
  <c r="E125" i="195"/>
  <c r="F125" s="1"/>
  <c r="J125" s="1"/>
  <c r="M2482" i="132"/>
  <c r="E233" i="195"/>
  <c r="F233" s="1"/>
  <c r="J233" s="1"/>
  <c r="I235" i="140"/>
  <c r="J235" s="1"/>
  <c r="O235" s="1"/>
  <c r="M1279" i="132"/>
  <c r="E129" i="195"/>
  <c r="F129" s="1"/>
  <c r="J129" s="1"/>
  <c r="I131" i="140"/>
  <c r="J131" s="1"/>
  <c r="O131" s="1"/>
  <c r="M797" i="132"/>
  <c r="E89" i="195"/>
  <c r="F89" s="1"/>
  <c r="J89" s="1"/>
  <c r="I91" i="140"/>
  <c r="J91" s="1"/>
  <c r="O91" s="1"/>
  <c r="M1137" i="132"/>
  <c r="I119" i="140"/>
  <c r="J119" s="1"/>
  <c r="O119" s="1"/>
  <c r="E117" i="195"/>
  <c r="F117" s="1"/>
  <c r="J117" s="1"/>
  <c r="M1625" i="132"/>
  <c r="I151" i="140"/>
  <c r="J151" s="1"/>
  <c r="O151" s="1"/>
  <c r="E149" i="195"/>
  <c r="F149" s="1"/>
  <c r="J149" s="1"/>
  <c r="G1200" i="214"/>
  <c r="G1202" s="1"/>
  <c r="K948" i="194" s="1"/>
  <c r="F1202" i="214"/>
  <c r="K1527" i="192" s="1"/>
  <c r="G1546" i="214"/>
  <c r="F1565"/>
  <c r="F1547"/>
  <c r="K1379" i="132"/>
  <c r="G1442" i="214"/>
  <c r="F1428"/>
  <c r="F1429" s="1"/>
  <c r="K823" i="192" s="1"/>
  <c r="G1424" i="214"/>
  <c r="G1428" s="1"/>
  <c r="G1429" s="1"/>
  <c r="K489" i="194" s="1"/>
  <c r="G1594" i="214"/>
  <c r="G1596" s="1"/>
  <c r="G1597" s="1"/>
  <c r="K571" i="194" s="1"/>
  <c r="E22" i="226"/>
  <c r="F22" s="1"/>
  <c r="L22" s="1"/>
  <c r="F1504" i="214" s="1"/>
  <c r="F20" i="226"/>
  <c r="L20" s="1"/>
  <c r="E953" i="214" s="1"/>
  <c r="F953" s="1"/>
  <c r="F954" s="1"/>
  <c r="D67" i="165" s="1"/>
  <c r="E21" i="226"/>
  <c r="F21" s="1"/>
  <c r="L21" s="1"/>
  <c r="F1271" i="214" s="1"/>
  <c r="G1271" s="1"/>
  <c r="G1276" s="1"/>
  <c r="K848" i="132" s="1"/>
  <c r="L615" i="140" l="1"/>
  <c r="M787" i="194"/>
  <c r="I502" i="140"/>
  <c r="J502" s="1"/>
  <c r="O502" s="1"/>
  <c r="O752" i="309"/>
  <c r="E596" i="195"/>
  <c r="F596" s="1"/>
  <c r="J596" s="1"/>
  <c r="F598" i="305"/>
  <c r="J598" s="1"/>
  <c r="I600" i="140"/>
  <c r="J600" s="1"/>
  <c r="O600" s="1"/>
  <c r="I494"/>
  <c r="J494" s="1"/>
  <c r="O494" s="1"/>
  <c r="E588" i="309"/>
  <c r="F588" s="1"/>
  <c r="J588"/>
  <c r="J615"/>
  <c r="E615"/>
  <c r="F615" s="1"/>
  <c r="I600"/>
  <c r="E596"/>
  <c r="F596" s="1"/>
  <c r="J596"/>
  <c r="E177" i="195"/>
  <c r="F177" s="1"/>
  <c r="J177" s="1"/>
  <c r="I22" i="140"/>
  <c r="J22" s="1"/>
  <c r="O22" s="1"/>
  <c r="E21" i="195"/>
  <c r="F21" s="1"/>
  <c r="J21" s="1"/>
  <c r="M164" i="132"/>
  <c r="F315" i="305"/>
  <c r="G315" s="1"/>
  <c r="I317" i="309"/>
  <c r="F146" i="305"/>
  <c r="G146" s="1"/>
  <c r="I147" i="309"/>
  <c r="E350" i="195"/>
  <c r="F350" s="1"/>
  <c r="J350" s="1"/>
  <c r="I353" i="309"/>
  <c r="F468" i="305"/>
  <c r="G468" s="1"/>
  <c r="I470" i="309"/>
  <c r="F520" i="305"/>
  <c r="G520" s="1"/>
  <c r="I522" i="309"/>
  <c r="F102" i="305"/>
  <c r="G102" s="1"/>
  <c r="I103" i="309"/>
  <c r="F456" i="305"/>
  <c r="G456" s="1"/>
  <c r="I458" i="309"/>
  <c r="F138" i="305"/>
  <c r="G138" s="1"/>
  <c r="I139" i="309"/>
  <c r="F379" i="305"/>
  <c r="G379" s="1"/>
  <c r="I381" i="309"/>
  <c r="J333"/>
  <c r="E333"/>
  <c r="F333" s="1"/>
  <c r="J179"/>
  <c r="E179"/>
  <c r="F179" s="1"/>
  <c r="F492" i="305"/>
  <c r="G492" s="1"/>
  <c r="I494" i="309"/>
  <c r="J115"/>
  <c r="E115"/>
  <c r="F115" s="1"/>
  <c r="J107"/>
  <c r="E107"/>
  <c r="F107" s="1"/>
  <c r="J361"/>
  <c r="E361"/>
  <c r="F361" s="1"/>
  <c r="J420"/>
  <c r="E420"/>
  <c r="F420" s="1"/>
  <c r="J419"/>
  <c r="E419"/>
  <c r="F419" s="1"/>
  <c r="J474"/>
  <c r="E474"/>
  <c r="F474" s="1"/>
  <c r="J175"/>
  <c r="E175"/>
  <c r="F175" s="1"/>
  <c r="J297"/>
  <c r="E297"/>
  <c r="F297" s="1"/>
  <c r="J119"/>
  <c r="E119"/>
  <c r="F119" s="1"/>
  <c r="J434"/>
  <c r="E434"/>
  <c r="F434" s="1"/>
  <c r="J305"/>
  <c r="E305"/>
  <c r="F305" s="1"/>
  <c r="J135"/>
  <c r="E135"/>
  <c r="F135" s="1"/>
  <c r="J285"/>
  <c r="E285"/>
  <c r="F285" s="1"/>
  <c r="J18"/>
  <c r="E18"/>
  <c r="F18" s="1"/>
  <c r="J502"/>
  <c r="E502"/>
  <c r="F502" s="1"/>
  <c r="J426"/>
  <c r="E426"/>
  <c r="F426" s="1"/>
  <c r="J281"/>
  <c r="E281"/>
  <c r="F281" s="1"/>
  <c r="J277"/>
  <c r="E277"/>
  <c r="F277" s="1"/>
  <c r="J450"/>
  <c r="E450"/>
  <c r="F450" s="1"/>
  <c r="J151"/>
  <c r="E151"/>
  <c r="F151" s="1"/>
  <c r="J357"/>
  <c r="E357"/>
  <c r="F357" s="1"/>
  <c r="J498"/>
  <c r="E498"/>
  <c r="F498" s="1"/>
  <c r="J235"/>
  <c r="E235"/>
  <c r="F235" s="1"/>
  <c r="J442"/>
  <c r="E442"/>
  <c r="F442" s="1"/>
  <c r="J289"/>
  <c r="E289"/>
  <c r="F289" s="1"/>
  <c r="J127"/>
  <c r="E127"/>
  <c r="F127" s="1"/>
  <c r="J446"/>
  <c r="E446"/>
  <c r="F446" s="1"/>
  <c r="J454"/>
  <c r="E454"/>
  <c r="F454" s="1"/>
  <c r="J313"/>
  <c r="E313"/>
  <c r="F313" s="1"/>
  <c r="J430"/>
  <c r="E430"/>
  <c r="F430" s="1"/>
  <c r="J22"/>
  <c r="E22"/>
  <c r="F22" s="1"/>
  <c r="J95"/>
  <c r="E95"/>
  <c r="F95" s="1"/>
  <c r="J91"/>
  <c r="E91"/>
  <c r="F91" s="1"/>
  <c r="J422"/>
  <c r="E422"/>
  <c r="F422" s="1"/>
  <c r="J131"/>
  <c r="E131"/>
  <c r="F131" s="1"/>
  <c r="J309"/>
  <c r="E309"/>
  <c r="F309" s="1"/>
  <c r="O111"/>
  <c r="O293"/>
  <c r="O274"/>
  <c r="O275"/>
  <c r="O34"/>
  <c r="O171"/>
  <c r="O438"/>
  <c r="F1594" i="214"/>
  <c r="F1596" s="1"/>
  <c r="F1597" s="1"/>
  <c r="K949" i="192" s="1"/>
  <c r="E326" i="195" s="1"/>
  <c r="F326" s="1"/>
  <c r="J326" s="1"/>
  <c r="E491"/>
  <c r="F491" s="1"/>
  <c r="J491" s="1"/>
  <c r="I353" i="140"/>
  <c r="J353" s="1"/>
  <c r="O353" s="1"/>
  <c r="M1883" i="132"/>
  <c r="F178" i="305"/>
  <c r="G178" s="1"/>
  <c r="M1163" i="192"/>
  <c r="F351" i="305"/>
  <c r="G351" s="1"/>
  <c r="M988" i="192"/>
  <c r="F331" i="305"/>
  <c r="G331" s="1"/>
  <c r="I179" i="140"/>
  <c r="J179" s="1"/>
  <c r="O179" s="1"/>
  <c r="E330" i="195"/>
  <c r="F330" s="1"/>
  <c r="J330" s="1"/>
  <c r="I333" i="140"/>
  <c r="J333" s="1"/>
  <c r="O333" s="1"/>
  <c r="F70" i="139"/>
  <c r="F67" i="165"/>
  <c r="M571" i="194"/>
  <c r="E467" i="195"/>
  <c r="F467" s="1"/>
  <c r="J467" s="1"/>
  <c r="I470" i="140"/>
  <c r="J470" s="1"/>
  <c r="O470" s="1"/>
  <c r="M489" i="194"/>
  <c r="E455" i="195"/>
  <c r="F455" s="1"/>
  <c r="J455" s="1"/>
  <c r="I458" i="140"/>
  <c r="J458" s="1"/>
  <c r="O458" s="1"/>
  <c r="M948" i="194"/>
  <c r="E519" i="195"/>
  <c r="F519" s="1"/>
  <c r="J519" s="1"/>
  <c r="I522" i="140"/>
  <c r="J522" s="1"/>
  <c r="O522" s="1"/>
  <c r="M1527" i="192"/>
  <c r="E378" i="195"/>
  <c r="F378" s="1"/>
  <c r="J378" s="1"/>
  <c r="I381" i="140"/>
  <c r="J381" s="1"/>
  <c r="O381" s="1"/>
  <c r="M823" i="192"/>
  <c r="E314" i="195"/>
  <c r="F314" s="1"/>
  <c r="J314" s="1"/>
  <c r="I317" i="140"/>
  <c r="J317" s="1"/>
  <c r="O317" s="1"/>
  <c r="M848" i="132"/>
  <c r="I103" i="140"/>
  <c r="J103" s="1"/>
  <c r="O103" s="1"/>
  <c r="E101" i="195"/>
  <c r="F101" s="1"/>
  <c r="J101" s="1"/>
  <c r="M1556" i="132"/>
  <c r="E145" i="195"/>
  <c r="F145" s="1"/>
  <c r="J145" s="1"/>
  <c r="I147" i="140"/>
  <c r="J147" s="1"/>
  <c r="O147" s="1"/>
  <c r="M1379" i="132"/>
  <c r="E137" i="195"/>
  <c r="F137" s="1"/>
  <c r="J137" s="1"/>
  <c r="I139" i="140"/>
  <c r="J139" s="1"/>
  <c r="O139" s="1"/>
  <c r="G1547" i="214"/>
  <c r="F1548"/>
  <c r="G1548" s="1"/>
  <c r="G1565"/>
  <c r="F1566"/>
  <c r="G1566" s="1"/>
  <c r="F1687"/>
  <c r="G1687" s="1"/>
  <c r="G1694" s="1"/>
  <c r="F1024"/>
  <c r="F1144"/>
  <c r="G1144" s="1"/>
  <c r="G1154" s="1"/>
  <c r="F1081"/>
  <c r="F1465"/>
  <c r="F1469" s="1"/>
  <c r="F1470" s="1"/>
  <c r="K590" i="192" s="1"/>
  <c r="E1465" i="214"/>
  <c r="E1469" s="1"/>
  <c r="E1470" s="1"/>
  <c r="K1166" i="132" s="1"/>
  <c r="G1504" i="214"/>
  <c r="G1514" s="1"/>
  <c r="F1523"/>
  <c r="G1523" s="1"/>
  <c r="G1533" s="1"/>
  <c r="F1444"/>
  <c r="E1444"/>
  <c r="E1448" s="1"/>
  <c r="E1449" s="1"/>
  <c r="K1463" i="132" s="1"/>
  <c r="O596" i="309" l="1"/>
  <c r="O615"/>
  <c r="O588"/>
  <c r="E600"/>
  <c r="F600" s="1"/>
  <c r="J600"/>
  <c r="K615"/>
  <c r="L615"/>
  <c r="O309"/>
  <c r="O131"/>
  <c r="O422"/>
  <c r="O91"/>
  <c r="O95"/>
  <c r="O22"/>
  <c r="O430"/>
  <c r="O313"/>
  <c r="O454"/>
  <c r="O446"/>
  <c r="O127"/>
  <c r="O289"/>
  <c r="O442"/>
  <c r="O235"/>
  <c r="O498"/>
  <c r="O357"/>
  <c r="O151"/>
  <c r="O450"/>
  <c r="O277"/>
  <c r="O281"/>
  <c r="O426"/>
  <c r="O502"/>
  <c r="O18"/>
  <c r="O285"/>
  <c r="O135"/>
  <c r="O305"/>
  <c r="O434"/>
  <c r="O119"/>
  <c r="O297"/>
  <c r="O175"/>
  <c r="O474"/>
  <c r="O419"/>
  <c r="O420"/>
  <c r="F142" i="305"/>
  <c r="G142" s="1"/>
  <c r="I143" i="309"/>
  <c r="F122" i="305"/>
  <c r="G122" s="1"/>
  <c r="I123" i="309"/>
  <c r="F327" i="305"/>
  <c r="G327" s="1"/>
  <c r="I329" i="309"/>
  <c r="F299" i="305"/>
  <c r="G299" s="1"/>
  <c r="I301" i="309"/>
  <c r="J494"/>
  <c r="E494"/>
  <c r="F494" s="1"/>
  <c r="J381"/>
  <c r="E381"/>
  <c r="F381" s="1"/>
  <c r="J139"/>
  <c r="E139"/>
  <c r="F139" s="1"/>
  <c r="J458"/>
  <c r="E458"/>
  <c r="F458" s="1"/>
  <c r="J103"/>
  <c r="E103"/>
  <c r="F103" s="1"/>
  <c r="J522"/>
  <c r="E522"/>
  <c r="F522" s="1"/>
  <c r="J470"/>
  <c r="E470"/>
  <c r="F470" s="1"/>
  <c r="J353"/>
  <c r="E353"/>
  <c r="F353" s="1"/>
  <c r="J147"/>
  <c r="E147"/>
  <c r="F147" s="1"/>
  <c r="J317"/>
  <c r="E317"/>
  <c r="F317" s="1"/>
  <c r="O361"/>
  <c r="O107"/>
  <c r="O115"/>
  <c r="O179"/>
  <c r="O333"/>
  <c r="I329" i="140"/>
  <c r="J329" s="1"/>
  <c r="O329" s="1"/>
  <c r="M949" i="192"/>
  <c r="G1554" i="214"/>
  <c r="F1556" s="1"/>
  <c r="F1558" s="1"/>
  <c r="F1559" s="1"/>
  <c r="K1100" i="192" s="1"/>
  <c r="M590"/>
  <c r="E298" i="195"/>
  <c r="F298" s="1"/>
  <c r="J298" s="1"/>
  <c r="I301" i="140"/>
  <c r="J301" s="1"/>
  <c r="O301" s="1"/>
  <c r="M1463" i="132"/>
  <c r="I143" i="140"/>
  <c r="J143" s="1"/>
  <c r="O143" s="1"/>
  <c r="E141" i="195"/>
  <c r="F141" s="1"/>
  <c r="J141" s="1"/>
  <c r="M1166" i="132"/>
  <c r="E121" i="195"/>
  <c r="F121" s="1"/>
  <c r="J121" s="1"/>
  <c r="I123" i="140"/>
  <c r="J123" s="1"/>
  <c r="O123" s="1"/>
  <c r="E1556" i="214"/>
  <c r="E1558" s="1"/>
  <c r="E1559" s="1"/>
  <c r="K1777" i="132" s="1"/>
  <c r="G1572" i="214"/>
  <c r="F1448"/>
  <c r="F1449" s="1"/>
  <c r="K890" i="192" s="1"/>
  <c r="G1444" i="214"/>
  <c r="G1448" s="1"/>
  <c r="G1449" s="1"/>
  <c r="K525" i="194" s="1"/>
  <c r="E1516" i="214"/>
  <c r="E1518" s="1"/>
  <c r="E1519" s="1"/>
  <c r="K1681" i="132" s="1"/>
  <c r="G1516" i="214"/>
  <c r="G1518" s="1"/>
  <c r="G1519" s="1"/>
  <c r="K625" i="194" s="1"/>
  <c r="F1516" i="214"/>
  <c r="F1518" s="1"/>
  <c r="F1519" s="1"/>
  <c r="K1017" i="192" s="1"/>
  <c r="E1163" i="214"/>
  <c r="G1156"/>
  <c r="G1157" s="1"/>
  <c r="G1161" s="1"/>
  <c r="K133" i="194" s="1"/>
  <c r="F1156" i="214"/>
  <c r="F1157" s="1"/>
  <c r="F1161" s="1"/>
  <c r="K191" i="192" s="1"/>
  <c r="E1156" i="214"/>
  <c r="E1157" s="1"/>
  <c r="E1161" s="1"/>
  <c r="K622" i="132" s="1"/>
  <c r="G1696" i="214"/>
  <c r="G1698" s="1"/>
  <c r="G1699" s="1"/>
  <c r="E1696"/>
  <c r="E1698" s="1"/>
  <c r="E1699" s="1"/>
  <c r="K1938" i="132" s="1"/>
  <c r="F1696" i="214"/>
  <c r="F1698" s="1"/>
  <c r="F1699" s="1"/>
  <c r="E1535"/>
  <c r="E1537" s="1"/>
  <c r="E1538" s="1"/>
  <c r="K1735" i="132" s="1"/>
  <c r="G1535" i="214"/>
  <c r="G1537" s="1"/>
  <c r="G1538" s="1"/>
  <c r="K653" i="194" s="1"/>
  <c r="F1535" i="214"/>
  <c r="F1537" s="1"/>
  <c r="F1538" s="1"/>
  <c r="K1057" i="192" s="1"/>
  <c r="F1172" i="214"/>
  <c r="G1172" s="1"/>
  <c r="G1182" s="1"/>
  <c r="G1081"/>
  <c r="G1092" s="1"/>
  <c r="F1054"/>
  <c r="G1054" s="1"/>
  <c r="G1065" s="1"/>
  <c r="G1024"/>
  <c r="G1035" s="1"/>
  <c r="O600" i="309" l="1"/>
  <c r="O317"/>
  <c r="O147"/>
  <c r="O353"/>
  <c r="O470"/>
  <c r="O522"/>
  <c r="O103"/>
  <c r="O458"/>
  <c r="O139"/>
  <c r="O381"/>
  <c r="F158" i="305"/>
  <c r="J158" s="1"/>
  <c r="I159" i="309"/>
  <c r="F74" i="305"/>
  <c r="G74" s="1"/>
  <c r="I75" i="309"/>
  <c r="F480" i="305"/>
  <c r="G480" s="1"/>
  <c r="I482" i="309"/>
  <c r="F259" i="305"/>
  <c r="G259" s="1"/>
  <c r="I261" i="309"/>
  <c r="F476" i="305"/>
  <c r="G476" s="1"/>
  <c r="I478" i="309"/>
  <c r="F460" i="305"/>
  <c r="G460" s="1"/>
  <c r="I462" i="309"/>
  <c r="F339" i="305"/>
  <c r="J339" s="1"/>
  <c r="I341" i="309"/>
  <c r="F186" i="305"/>
  <c r="G186" s="1"/>
  <c r="I187" i="309"/>
  <c r="F404" i="305"/>
  <c r="G404" s="1"/>
  <c r="I406" i="309"/>
  <c r="F335" i="305"/>
  <c r="G335" s="1"/>
  <c r="I337" i="309"/>
  <c r="F154" i="305"/>
  <c r="G154" s="1"/>
  <c r="I155" i="309"/>
  <c r="F319" i="305"/>
  <c r="G319" s="1"/>
  <c r="I321" i="309"/>
  <c r="F162" i="305"/>
  <c r="G162" s="1"/>
  <c r="I163" i="309"/>
  <c r="F343" i="305"/>
  <c r="G343" s="1"/>
  <c r="I345" i="309"/>
  <c r="J301"/>
  <c r="E301"/>
  <c r="F301" s="1"/>
  <c r="J329"/>
  <c r="E329"/>
  <c r="F329" s="1"/>
  <c r="J123"/>
  <c r="E123"/>
  <c r="F123" s="1"/>
  <c r="J143"/>
  <c r="E143"/>
  <c r="F143" s="1"/>
  <c r="O494"/>
  <c r="G1556" i="214"/>
  <c r="G1558" s="1"/>
  <c r="G1559" s="1"/>
  <c r="K681" i="194" s="1"/>
  <c r="M653"/>
  <c r="E479" i="195"/>
  <c r="F479" s="1"/>
  <c r="J479" s="1"/>
  <c r="I482" i="140"/>
  <c r="J482" s="1"/>
  <c r="O482" s="1"/>
  <c r="M625" i="194"/>
  <c r="E475" i="195"/>
  <c r="F475" s="1"/>
  <c r="J475" s="1"/>
  <c r="I478" i="140"/>
  <c r="J478" s="1"/>
  <c r="O478" s="1"/>
  <c r="M525" i="194"/>
  <c r="E459" i="195"/>
  <c r="F459" s="1"/>
  <c r="J459" s="1"/>
  <c r="I462" i="140"/>
  <c r="J462" s="1"/>
  <c r="O462" s="1"/>
  <c r="M133" i="194"/>
  <c r="E403" i="195"/>
  <c r="F403" s="1"/>
  <c r="J403" s="1"/>
  <c r="I406" i="140"/>
  <c r="J406" s="1"/>
  <c r="O406" s="1"/>
  <c r="M1057" i="192"/>
  <c r="E338" i="195"/>
  <c r="F338" s="1"/>
  <c r="J338" s="1"/>
  <c r="I341" i="140"/>
  <c r="J341" s="1"/>
  <c r="O341" s="1"/>
  <c r="M1017" i="192"/>
  <c r="E334" i="195"/>
  <c r="F334" s="1"/>
  <c r="J334" s="1"/>
  <c r="I337" i="140"/>
  <c r="J337" s="1"/>
  <c r="O337" s="1"/>
  <c r="M890" i="192"/>
  <c r="E318" i="195"/>
  <c r="F318" s="1"/>
  <c r="J318" s="1"/>
  <c r="I321" i="140"/>
  <c r="J321" s="1"/>
  <c r="O321" s="1"/>
  <c r="M191" i="192"/>
  <c r="E258" i="195"/>
  <c r="F258" s="1"/>
  <c r="J258" s="1"/>
  <c r="I261" i="140"/>
  <c r="J261" s="1"/>
  <c r="O261" s="1"/>
  <c r="M1100" i="192"/>
  <c r="E342" i="195"/>
  <c r="F342" s="1"/>
  <c r="J342" s="1"/>
  <c r="I345" i="140"/>
  <c r="J345" s="1"/>
  <c r="O345" s="1"/>
  <c r="M1735" i="132"/>
  <c r="I159" i="140"/>
  <c r="J159" s="1"/>
  <c r="O159" s="1"/>
  <c r="E157" i="195"/>
  <c r="F157" s="1"/>
  <c r="J157" s="1"/>
  <c r="M1938" i="132"/>
  <c r="E213" i="195"/>
  <c r="F213" s="1"/>
  <c r="J213" s="1"/>
  <c r="I187" i="140"/>
  <c r="J187" s="1"/>
  <c r="O187" s="1"/>
  <c r="M622" i="132"/>
  <c r="E73" i="195"/>
  <c r="F73" s="1"/>
  <c r="J73" s="1"/>
  <c r="I75" i="140"/>
  <c r="J75" s="1"/>
  <c r="O75" s="1"/>
  <c r="M1681" i="132"/>
  <c r="E153" i="195"/>
  <c r="F153" s="1"/>
  <c r="J153" s="1"/>
  <c r="I155" i="140"/>
  <c r="J155" s="1"/>
  <c r="O155" s="1"/>
  <c r="M1777" i="132"/>
  <c r="E161" i="195"/>
  <c r="F161" s="1"/>
  <c r="J161" s="1"/>
  <c r="I163" i="140"/>
  <c r="J163" s="1"/>
  <c r="O163" s="1"/>
  <c r="G1574" i="214"/>
  <c r="G1576" s="1"/>
  <c r="G1577" s="1"/>
  <c r="K709" i="194" s="1"/>
  <c r="E1574" i="214"/>
  <c r="E1576" s="1"/>
  <c r="E1577" s="1"/>
  <c r="K1805" i="132" s="1"/>
  <c r="F1574" i="214"/>
  <c r="F1576" s="1"/>
  <c r="F1577" s="1"/>
  <c r="K1134" i="192" s="1"/>
  <c r="F1037" i="214"/>
  <c r="G1037" s="1"/>
  <c r="G1040" s="1"/>
  <c r="K332" i="132" s="1"/>
  <c r="F1042" i="214"/>
  <c r="G1042" s="1"/>
  <c r="G1045" s="1"/>
  <c r="K353" i="132" s="1"/>
  <c r="F1047" i="214"/>
  <c r="G1047" s="1"/>
  <c r="G1050" s="1"/>
  <c r="K441" i="132" s="1"/>
  <c r="F1094" i="214"/>
  <c r="F1098" s="1"/>
  <c r="K74" i="192" s="1"/>
  <c r="E1107" i="214"/>
  <c r="E1108" s="1"/>
  <c r="E1112" s="1"/>
  <c r="K573" i="132" s="1"/>
  <c r="F1114" i="214"/>
  <c r="F1115" s="1"/>
  <c r="F1119" s="1"/>
  <c r="K120" i="192" s="1"/>
  <c r="G1120" i="214"/>
  <c r="G1121" s="1"/>
  <c r="G1125" s="1"/>
  <c r="G1094"/>
  <c r="G1098" s="1"/>
  <c r="K45" i="194" s="1"/>
  <c r="G1100" i="214"/>
  <c r="G1101" s="1"/>
  <c r="G1105" s="1"/>
  <c r="K111" i="194" s="1"/>
  <c r="E1114" i="214"/>
  <c r="E1115" s="1"/>
  <c r="E1119" s="1"/>
  <c r="K550" i="132" s="1"/>
  <c r="F1120" i="214"/>
  <c r="F1121" s="1"/>
  <c r="F1125" s="1"/>
  <c r="F1100"/>
  <c r="F1101" s="1"/>
  <c r="F1105" s="1"/>
  <c r="K169" i="192" s="1"/>
  <c r="G1107" i="214"/>
  <c r="G1108" s="1"/>
  <c r="G1112" s="1"/>
  <c r="K91" i="194" s="1"/>
  <c r="E1120" i="214"/>
  <c r="E1121" s="1"/>
  <c r="E1125" s="1"/>
  <c r="E1094"/>
  <c r="E1098" s="1"/>
  <c r="K501" i="132" s="1"/>
  <c r="E1100" i="214"/>
  <c r="E1101" s="1"/>
  <c r="E1105" s="1"/>
  <c r="K598" i="132" s="1"/>
  <c r="F1107" i="214"/>
  <c r="F1108" s="1"/>
  <c r="F1112" s="1"/>
  <c r="K146" i="192" s="1"/>
  <c r="G1114" i="214"/>
  <c r="G1115" s="1"/>
  <c r="G1119" s="1"/>
  <c r="K69" i="194" s="1"/>
  <c r="E1127" i="214"/>
  <c r="F1073"/>
  <c r="F1077" s="1"/>
  <c r="K259" i="192" s="1"/>
  <c r="G1067" i="214"/>
  <c r="G1071" s="1"/>
  <c r="K21" i="194" s="1"/>
  <c r="G1073" i="214"/>
  <c r="G1077" s="1"/>
  <c r="K183" i="194" s="1"/>
  <c r="F1067" i="214"/>
  <c r="F1071" s="1"/>
  <c r="K21" i="192" s="1"/>
  <c r="E1067" i="214"/>
  <c r="E1071" s="1"/>
  <c r="K387" i="132" s="1"/>
  <c r="E1073" i="214"/>
  <c r="E1077" s="1"/>
  <c r="K684" i="132" s="1"/>
  <c r="E1184" i="214"/>
  <c r="E1188" s="1"/>
  <c r="K1516" i="132" s="1"/>
  <c r="F1184" i="214"/>
  <c r="E1164"/>
  <c r="E1168" s="1"/>
  <c r="K648" i="132" s="1"/>
  <c r="F1163" i="214"/>
  <c r="F78" i="305" l="1"/>
  <c r="G78" s="1"/>
  <c r="I79" i="309"/>
  <c r="F50" i="305"/>
  <c r="G50" s="1"/>
  <c r="I51" i="309"/>
  <c r="F412" i="305"/>
  <c r="G412" s="1"/>
  <c r="I414" i="309"/>
  <c r="F267" i="305"/>
  <c r="G267" s="1"/>
  <c r="I269" i="309"/>
  <c r="F400" i="305"/>
  <c r="G400" s="1"/>
  <c r="I402" i="309"/>
  <c r="F70" i="305"/>
  <c r="G70" s="1"/>
  <c r="I71" i="309"/>
  <c r="F251" i="305"/>
  <c r="G251" s="1"/>
  <c r="I253" i="309"/>
  <c r="F66" i="305"/>
  <c r="G66" s="1"/>
  <c r="I67" i="309"/>
  <c r="F388" i="305"/>
  <c r="G388" s="1"/>
  <c r="I390" i="309"/>
  <c r="F255" i="305"/>
  <c r="G255" s="1"/>
  <c r="I257" i="309"/>
  <c r="F243" i="305"/>
  <c r="G243" s="1"/>
  <c r="I245" i="309"/>
  <c r="F46" i="305"/>
  <c r="G46" s="1"/>
  <c r="I47" i="309"/>
  <c r="F347" i="305"/>
  <c r="G347" s="1"/>
  <c r="I349" i="309"/>
  <c r="F488" i="305"/>
  <c r="G488" s="1"/>
  <c r="I490" i="309"/>
  <c r="F98" i="305"/>
  <c r="G98" s="1"/>
  <c r="I99" i="309"/>
  <c r="F82" i="305"/>
  <c r="G82" s="1"/>
  <c r="I83" i="309"/>
  <c r="F239" i="305"/>
  <c r="G239" s="1"/>
  <c r="I241" i="309"/>
  <c r="F384" i="305"/>
  <c r="G384" s="1"/>
  <c r="I386" i="309"/>
  <c r="F247" i="305"/>
  <c r="G247" s="1"/>
  <c r="I249" i="309"/>
  <c r="F58" i="305"/>
  <c r="G58" s="1"/>
  <c r="I59" i="309"/>
  <c r="F392" i="305"/>
  <c r="G392" s="1"/>
  <c r="I394" i="309"/>
  <c r="F396" i="305"/>
  <c r="G396" s="1"/>
  <c r="I398" i="309"/>
  <c r="F62" i="305"/>
  <c r="G62" s="1"/>
  <c r="I63" i="309"/>
  <c r="F54" i="305"/>
  <c r="G54" s="1"/>
  <c r="I55" i="309"/>
  <c r="F42" i="305"/>
  <c r="G42" s="1"/>
  <c r="I43" i="309"/>
  <c r="F166" i="305"/>
  <c r="G166" s="1"/>
  <c r="I167" i="309"/>
  <c r="F484" i="305"/>
  <c r="G484" s="1"/>
  <c r="I486" i="309"/>
  <c r="J345"/>
  <c r="E345"/>
  <c r="F345" s="1"/>
  <c r="J163"/>
  <c r="E163"/>
  <c r="F163" s="1"/>
  <c r="J321"/>
  <c r="E321"/>
  <c r="F321" s="1"/>
  <c r="J155"/>
  <c r="E155"/>
  <c r="F155" s="1"/>
  <c r="J337"/>
  <c r="E337"/>
  <c r="F337" s="1"/>
  <c r="J406"/>
  <c r="E406"/>
  <c r="F406" s="1"/>
  <c r="J187"/>
  <c r="E187"/>
  <c r="F187" s="1"/>
  <c r="J341"/>
  <c r="E341"/>
  <c r="F341" s="1"/>
  <c r="J462"/>
  <c r="E462"/>
  <c r="F462" s="1"/>
  <c r="J478"/>
  <c r="E478"/>
  <c r="F478" s="1"/>
  <c r="J261"/>
  <c r="E261"/>
  <c r="F261" s="1"/>
  <c r="J482"/>
  <c r="E482"/>
  <c r="F482" s="1"/>
  <c r="J75"/>
  <c r="E75"/>
  <c r="F75" s="1"/>
  <c r="J159"/>
  <c r="E159"/>
  <c r="F159" s="1"/>
  <c r="O143"/>
  <c r="O123"/>
  <c r="O329"/>
  <c r="O301"/>
  <c r="E483" i="195"/>
  <c r="F483" s="1"/>
  <c r="J483" s="1"/>
  <c r="I486" i="140"/>
  <c r="J486" s="1"/>
  <c r="O486" s="1"/>
  <c r="M681" i="194"/>
  <c r="M21"/>
  <c r="E383" i="195"/>
  <c r="F383" s="1"/>
  <c r="J383" s="1"/>
  <c r="I386" i="140"/>
  <c r="J386" s="1"/>
  <c r="O386" s="1"/>
  <c r="M91" i="194"/>
  <c r="E391" i="195"/>
  <c r="F391" s="1"/>
  <c r="J391" s="1"/>
  <c r="I394" i="140"/>
  <c r="J394" s="1"/>
  <c r="O394" s="1"/>
  <c r="M111" i="194"/>
  <c r="E395" i="195"/>
  <c r="F395" s="1"/>
  <c r="J395" s="1"/>
  <c r="I398" i="140"/>
  <c r="J398" s="1"/>
  <c r="O398" s="1"/>
  <c r="M183" i="194"/>
  <c r="E411" i="195"/>
  <c r="F411" s="1"/>
  <c r="J411" s="1"/>
  <c r="I414" i="140"/>
  <c r="J414" s="1"/>
  <c r="O414" s="1"/>
  <c r="M69" i="194"/>
  <c r="E399" i="195"/>
  <c r="F399" s="1"/>
  <c r="J399" s="1"/>
  <c r="I402" i="140"/>
  <c r="J402" s="1"/>
  <c r="O402" s="1"/>
  <c r="M45" i="194"/>
  <c r="E387" i="195"/>
  <c r="F387" s="1"/>
  <c r="J387" s="1"/>
  <c r="I390" i="140"/>
  <c r="J390" s="1"/>
  <c r="O390" s="1"/>
  <c r="M709" i="194"/>
  <c r="E487" i="195"/>
  <c r="F487" s="1"/>
  <c r="J487" s="1"/>
  <c r="I490" i="140"/>
  <c r="J490" s="1"/>
  <c r="O490" s="1"/>
  <c r="M21" i="192"/>
  <c r="E238" i="195"/>
  <c r="F238" s="1"/>
  <c r="J238" s="1"/>
  <c r="I241" i="140"/>
  <c r="J241" s="1"/>
  <c r="O241" s="1"/>
  <c r="M146" i="192"/>
  <c r="E246" i="195"/>
  <c r="F246" s="1"/>
  <c r="J246" s="1"/>
  <c r="I249" i="140"/>
  <c r="J249" s="1"/>
  <c r="O249" s="1"/>
  <c r="M259" i="192"/>
  <c r="E266" i="195"/>
  <c r="F266" s="1"/>
  <c r="J266" s="1"/>
  <c r="I269" i="140"/>
  <c r="J269" s="1"/>
  <c r="O269" s="1"/>
  <c r="M169" i="192"/>
  <c r="E250" i="195"/>
  <c r="F250" s="1"/>
  <c r="J250" s="1"/>
  <c r="I253" i="140"/>
  <c r="J253" s="1"/>
  <c r="O253" s="1"/>
  <c r="M120" i="192"/>
  <c r="E254" i="195"/>
  <c r="F254" s="1"/>
  <c r="J254" s="1"/>
  <c r="I257" i="140"/>
  <c r="J257" s="1"/>
  <c r="O257" s="1"/>
  <c r="M74" i="192"/>
  <c r="E242" i="195"/>
  <c r="F242" s="1"/>
  <c r="J242" s="1"/>
  <c r="I245" i="140"/>
  <c r="J245" s="1"/>
  <c r="O245" s="1"/>
  <c r="M1134" i="192"/>
  <c r="E346" i="195"/>
  <c r="F346" s="1"/>
  <c r="J346" s="1"/>
  <c r="I349" i="140"/>
  <c r="J349" s="1"/>
  <c r="O349" s="1"/>
  <c r="M648" i="132"/>
  <c r="I79" i="140"/>
  <c r="J79" s="1"/>
  <c r="O79" s="1"/>
  <c r="E77" i="195"/>
  <c r="F77" s="1"/>
  <c r="J77" s="1"/>
  <c r="M1516" i="132"/>
  <c r="E97" i="195"/>
  <c r="F97" s="1"/>
  <c r="J97" s="1"/>
  <c r="I99" i="140"/>
  <c r="J99" s="1"/>
  <c r="O99" s="1"/>
  <c r="M387" i="132"/>
  <c r="E49" i="195"/>
  <c r="F49" s="1"/>
  <c r="J49" s="1"/>
  <c r="I51" i="140"/>
  <c r="J51" s="1"/>
  <c r="O51" s="1"/>
  <c r="M598" i="132"/>
  <c r="I71" i="140"/>
  <c r="J71" s="1"/>
  <c r="O71" s="1"/>
  <c r="E69" i="195"/>
  <c r="F69" s="1"/>
  <c r="J69" s="1"/>
  <c r="M550" i="132"/>
  <c r="E65" i="195"/>
  <c r="F65" s="1"/>
  <c r="J65" s="1"/>
  <c r="I67" i="140"/>
  <c r="J67" s="1"/>
  <c r="O67" s="1"/>
  <c r="M353" i="132"/>
  <c r="I47" i="140"/>
  <c r="J47" s="1"/>
  <c r="O47" s="1"/>
  <c r="E45" i="195"/>
  <c r="F45" s="1"/>
  <c r="J45" s="1"/>
  <c r="M684" i="132"/>
  <c r="E81" i="195"/>
  <c r="F81" s="1"/>
  <c r="J81" s="1"/>
  <c r="I83" i="140"/>
  <c r="J83" s="1"/>
  <c r="O83" s="1"/>
  <c r="M501" i="132"/>
  <c r="E57" i="195"/>
  <c r="F57" s="1"/>
  <c r="J57" s="1"/>
  <c r="I59" i="140"/>
  <c r="J59" s="1"/>
  <c r="O59" s="1"/>
  <c r="M573" i="132"/>
  <c r="I63" i="140"/>
  <c r="J63" s="1"/>
  <c r="O63" s="1"/>
  <c r="E61" i="195"/>
  <c r="F61" s="1"/>
  <c r="J61" s="1"/>
  <c r="M441" i="132"/>
  <c r="I55" i="140"/>
  <c r="J55" s="1"/>
  <c r="O55" s="1"/>
  <c r="E53" i="195"/>
  <c r="F53" s="1"/>
  <c r="J53" s="1"/>
  <c r="M332" i="132"/>
  <c r="E41" i="195"/>
  <c r="F41" s="1"/>
  <c r="J41" s="1"/>
  <c r="I43" i="140"/>
  <c r="J43" s="1"/>
  <c r="O43" s="1"/>
  <c r="M1805" i="132"/>
  <c r="I167" i="140"/>
  <c r="J167" s="1"/>
  <c r="O167" s="1"/>
  <c r="E165" i="195"/>
  <c r="F165" s="1"/>
  <c r="J165" s="1"/>
  <c r="F1164" i="214"/>
  <c r="F1168" s="1"/>
  <c r="K215" i="192" s="1"/>
  <c r="G1163" i="214"/>
  <c r="G1164" s="1"/>
  <c r="G1168" s="1"/>
  <c r="K157" i="194" s="1"/>
  <c r="F1188" i="214"/>
  <c r="K918" i="192" s="1"/>
  <c r="G1184" i="214"/>
  <c r="G1188" s="1"/>
  <c r="K549" i="194" s="1"/>
  <c r="E1128" i="214"/>
  <c r="E1132" s="1"/>
  <c r="F1127"/>
  <c r="E1135"/>
  <c r="E1136" s="1"/>
  <c r="E1140" s="1"/>
  <c r="K772" i="132" s="1"/>
  <c r="F464" i="305" l="1"/>
  <c r="G464" s="1"/>
  <c r="I466" i="309"/>
  <c r="F408" i="305"/>
  <c r="G408" s="1"/>
  <c r="I410" i="309"/>
  <c r="F86" i="305"/>
  <c r="G86" s="1"/>
  <c r="I87" i="309"/>
  <c r="F323" i="305"/>
  <c r="G323" s="1"/>
  <c r="I325" i="309"/>
  <c r="F263" i="305"/>
  <c r="G263" s="1"/>
  <c r="I265" i="309"/>
  <c r="J486"/>
  <c r="E486"/>
  <c r="F486" s="1"/>
  <c r="J167"/>
  <c r="E167"/>
  <c r="F167" s="1"/>
  <c r="J43"/>
  <c r="E43"/>
  <c r="F43" s="1"/>
  <c r="J55"/>
  <c r="E55"/>
  <c r="F55" s="1"/>
  <c r="J63"/>
  <c r="E63"/>
  <c r="F63" s="1"/>
  <c r="J398"/>
  <c r="E398"/>
  <c r="F398" s="1"/>
  <c r="J394"/>
  <c r="E394"/>
  <c r="F394" s="1"/>
  <c r="J59"/>
  <c r="E59"/>
  <c r="F59" s="1"/>
  <c r="J249"/>
  <c r="E249"/>
  <c r="F249" s="1"/>
  <c r="J386"/>
  <c r="E386"/>
  <c r="F386" s="1"/>
  <c r="J241"/>
  <c r="E241"/>
  <c r="F241" s="1"/>
  <c r="J83"/>
  <c r="E83"/>
  <c r="F83" s="1"/>
  <c r="J99"/>
  <c r="E99"/>
  <c r="F99" s="1"/>
  <c r="J490"/>
  <c r="E490"/>
  <c r="F490" s="1"/>
  <c r="J349"/>
  <c r="E349"/>
  <c r="F349" s="1"/>
  <c r="J47"/>
  <c r="E47"/>
  <c r="F47" s="1"/>
  <c r="J245"/>
  <c r="E245"/>
  <c r="F245" s="1"/>
  <c r="J257"/>
  <c r="E257"/>
  <c r="F257" s="1"/>
  <c r="J390"/>
  <c r="E390"/>
  <c r="F390" s="1"/>
  <c r="J67"/>
  <c r="E67"/>
  <c r="F67" s="1"/>
  <c r="J253"/>
  <c r="E253"/>
  <c r="F253" s="1"/>
  <c r="J71"/>
  <c r="E71"/>
  <c r="F71" s="1"/>
  <c r="J402"/>
  <c r="E402"/>
  <c r="F402" s="1"/>
  <c r="J269"/>
  <c r="E269"/>
  <c r="F269" s="1"/>
  <c r="J414"/>
  <c r="E414"/>
  <c r="F414" s="1"/>
  <c r="J51"/>
  <c r="E51"/>
  <c r="F51" s="1"/>
  <c r="J79"/>
  <c r="E79"/>
  <c r="F79" s="1"/>
  <c r="O159"/>
  <c r="O75"/>
  <c r="O482"/>
  <c r="O261"/>
  <c r="O478"/>
  <c r="O462"/>
  <c r="O341"/>
  <c r="O187"/>
  <c r="O406"/>
  <c r="O337"/>
  <c r="O155"/>
  <c r="O321"/>
  <c r="O163"/>
  <c r="O345"/>
  <c r="M549" i="194"/>
  <c r="E463" i="195"/>
  <c r="F463" s="1"/>
  <c r="J463" s="1"/>
  <c r="I466" i="140"/>
  <c r="J466" s="1"/>
  <c r="O466" s="1"/>
  <c r="M157" i="194"/>
  <c r="E407" i="195"/>
  <c r="F407" s="1"/>
  <c r="J407" s="1"/>
  <c r="I410" i="140"/>
  <c r="J410" s="1"/>
  <c r="O410" s="1"/>
  <c r="M918" i="192"/>
  <c r="E322" i="195"/>
  <c r="F322" s="1"/>
  <c r="J322" s="1"/>
  <c r="I325" i="140"/>
  <c r="J325" s="1"/>
  <c r="O325" s="1"/>
  <c r="M215" i="192"/>
  <c r="E262" i="195"/>
  <c r="F262" s="1"/>
  <c r="J262" s="1"/>
  <c r="I265" i="140"/>
  <c r="J265" s="1"/>
  <c r="O265" s="1"/>
  <c r="M772" i="132"/>
  <c r="I87" i="140"/>
  <c r="J87" s="1"/>
  <c r="E85" i="195"/>
  <c r="F85" s="1"/>
  <c r="J85" s="1"/>
  <c r="F1128" i="214"/>
  <c r="F1132" s="1"/>
  <c r="G1127"/>
  <c r="F1135"/>
  <c r="F1136" s="1"/>
  <c r="F1140" s="1"/>
  <c r="K288" i="192" s="1"/>
  <c r="O269" i="309" l="1"/>
  <c r="O253"/>
  <c r="O414"/>
  <c r="O402"/>
  <c r="O390"/>
  <c r="O257"/>
  <c r="O245"/>
  <c r="O79"/>
  <c r="O51"/>
  <c r="O71"/>
  <c r="O67"/>
  <c r="O47"/>
  <c r="O349"/>
  <c r="O490"/>
  <c r="O99"/>
  <c r="O83"/>
  <c r="O241"/>
  <c r="O386"/>
  <c r="O249"/>
  <c r="O59"/>
  <c r="O394"/>
  <c r="O398"/>
  <c r="O63"/>
  <c r="O55"/>
  <c r="O43"/>
  <c r="O167"/>
  <c r="O486"/>
  <c r="F271" i="305"/>
  <c r="G271" s="1"/>
  <c r="I273" i="309"/>
  <c r="J265"/>
  <c r="E265"/>
  <c r="F265" s="1"/>
  <c r="J325"/>
  <c r="E325"/>
  <c r="F325" s="1"/>
  <c r="J87"/>
  <c r="E87"/>
  <c r="F87" s="1"/>
  <c r="J410"/>
  <c r="E410"/>
  <c r="F410" s="1"/>
  <c r="J466"/>
  <c r="E466"/>
  <c r="F466" s="1"/>
  <c r="O87" i="140"/>
  <c r="M288" i="192"/>
  <c r="E270" i="195"/>
  <c r="F270" s="1"/>
  <c r="J270" s="1"/>
  <c r="I273" i="140"/>
  <c r="J273" s="1"/>
  <c r="O273" s="1"/>
  <c r="G1135" i="214"/>
  <c r="G1136" s="1"/>
  <c r="G1140" s="1"/>
  <c r="K207" i="194" s="1"/>
  <c r="G1128" i="214"/>
  <c r="G1132" s="1"/>
  <c r="O466" i="309" l="1"/>
  <c r="O410"/>
  <c r="O87"/>
  <c r="O325"/>
  <c r="O265"/>
  <c r="F416" i="305"/>
  <c r="G416" s="1"/>
  <c r="I418" i="309"/>
  <c r="J273"/>
  <c r="E273"/>
  <c r="F273" s="1"/>
  <c r="M207" i="194"/>
  <c r="E415" i="195"/>
  <c r="F415" s="1"/>
  <c r="J415" s="1"/>
  <c r="I418" i="140"/>
  <c r="J418" s="1"/>
  <c r="O418" s="1"/>
  <c r="C579" i="195"/>
  <c r="I579" s="1"/>
  <c r="F239" i="216"/>
  <c r="H239" s="1"/>
  <c r="H240" s="1"/>
  <c r="K2573" i="132" l="1"/>
  <c r="M2573" s="1"/>
  <c r="O273" i="309"/>
  <c r="J418"/>
  <c r="E418"/>
  <c r="F418" s="1"/>
  <c r="G583" i="140"/>
  <c r="F581" i="305" l="1"/>
  <c r="G581" s="1"/>
  <c r="I583" i="309"/>
  <c r="O418"/>
  <c r="I583" i="140"/>
  <c r="J583" s="1"/>
  <c r="E579" i="195"/>
  <c r="F579" s="1"/>
  <c r="J579" s="1"/>
  <c r="J583" i="309" l="1"/>
  <c r="E583"/>
  <c r="F583" s="1"/>
  <c r="K583" i="140"/>
  <c r="L583"/>
  <c r="O583"/>
  <c r="I1901" i="132"/>
  <c r="I1900"/>
  <c r="I1899"/>
  <c r="H286" i="215"/>
  <c r="F765" i="214"/>
  <c r="F764"/>
  <c r="F776"/>
  <c r="F775"/>
  <c r="F774"/>
  <c r="O583" i="309" l="1"/>
  <c r="L583"/>
  <c r="K583"/>
  <c r="C208" i="195"/>
  <c r="I208" s="1"/>
  <c r="I1929" i="132"/>
  <c r="I1928"/>
  <c r="I1927"/>
  <c r="I2348"/>
  <c r="I2347"/>
  <c r="I286" i="215"/>
  <c r="I287" s="1"/>
  <c r="G776" i="214"/>
  <c r="G775"/>
  <c r="G774"/>
  <c r="G765"/>
  <c r="G764"/>
  <c r="K3796" i="132" l="1"/>
  <c r="M3796" s="1"/>
  <c r="C785" i="195"/>
  <c r="I785" s="1"/>
  <c r="G799" i="140"/>
  <c r="C881" i="195"/>
  <c r="I881" s="1"/>
  <c r="G891" i="140"/>
  <c r="G182"/>
  <c r="G218"/>
  <c r="C46" i="211"/>
  <c r="F46" s="1"/>
  <c r="G766" i="214"/>
  <c r="K1903" i="132" s="1"/>
  <c r="G780" i="214"/>
  <c r="F780"/>
  <c r="E881" i="195" l="1"/>
  <c r="F881" s="1"/>
  <c r="J881" s="1"/>
  <c r="I891" i="140"/>
  <c r="J891" s="1"/>
  <c r="F884" i="305"/>
  <c r="G884" s="1"/>
  <c r="I891" i="309"/>
  <c r="F181" i="305"/>
  <c r="G181" s="1"/>
  <c r="I182" i="309"/>
  <c r="C212" i="195"/>
  <c r="I212" s="1"/>
  <c r="C166" i="196" s="1"/>
  <c r="F166" s="1"/>
  <c r="K166" s="1"/>
  <c r="C216" i="195"/>
  <c r="I216" s="1"/>
  <c r="G186" i="140"/>
  <c r="I46" i="211"/>
  <c r="S46"/>
  <c r="L46"/>
  <c r="E208" i="195"/>
  <c r="F208" s="1"/>
  <c r="J208" s="1"/>
  <c r="I182" i="140"/>
  <c r="J182" s="1"/>
  <c r="M1903" i="132"/>
  <c r="E891" i="309" l="1"/>
  <c r="F891" s="1"/>
  <c r="J891"/>
  <c r="J182"/>
  <c r="E182"/>
  <c r="F182" s="1"/>
  <c r="K182" i="140"/>
  <c r="L182"/>
  <c r="K891"/>
  <c r="L891"/>
  <c r="O182"/>
  <c r="O891"/>
  <c r="I166" i="196"/>
  <c r="L166"/>
  <c r="C2" i="132"/>
  <c r="K3" i="140"/>
  <c r="A2"/>
  <c r="I942" i="194"/>
  <c r="C2"/>
  <c r="I1373" i="192"/>
  <c r="I1374"/>
  <c r="I1375"/>
  <c r="I1376"/>
  <c r="I1372"/>
  <c r="C2"/>
  <c r="G234" i="309"/>
  <c r="C234" s="1"/>
  <c r="O891" l="1"/>
  <c r="K891"/>
  <c r="L891"/>
  <c r="O182"/>
  <c r="L182"/>
  <c r="K182"/>
  <c r="D378" i="305"/>
  <c r="D233"/>
  <c r="A2" i="196"/>
  <c r="G3" i="195"/>
  <c r="A2"/>
  <c r="A2" i="176" s="1"/>
  <c r="E3" i="165"/>
  <c r="A2"/>
  <c r="K1169" i="140"/>
  <c r="K1168"/>
  <c r="K1167"/>
  <c r="H1169"/>
  <c r="H1168"/>
  <c r="H1167"/>
  <c r="C125" i="165"/>
  <c r="C124"/>
  <c r="C123"/>
  <c r="H970" i="194"/>
  <c r="H969"/>
  <c r="H968"/>
  <c r="H1551" i="192"/>
  <c r="H1550"/>
  <c r="H1549"/>
  <c r="C130" i="139"/>
  <c r="C129"/>
  <c r="C128"/>
  <c r="E14" i="141"/>
  <c r="E13"/>
  <c r="E12"/>
  <c r="E125" i="165"/>
  <c r="E124"/>
  <c r="E123"/>
  <c r="L970" i="194"/>
  <c r="L969"/>
  <c r="L968"/>
  <c r="L1551" i="192"/>
  <c r="L1550"/>
  <c r="L1549"/>
  <c r="G130" i="139"/>
  <c r="G129"/>
  <c r="G128"/>
  <c r="H14" i="141"/>
  <c r="H13"/>
  <c r="H12"/>
  <c r="H4516" i="132"/>
  <c r="H4517"/>
  <c r="H4518"/>
  <c r="L4518"/>
  <c r="L4517"/>
  <c r="L4516"/>
  <c r="F3" i="139"/>
  <c r="A2"/>
  <c r="H5" i="141"/>
  <c r="A4"/>
  <c r="G27" i="131"/>
  <c r="G23"/>
  <c r="G72" i="139"/>
  <c r="G71"/>
  <c r="G70"/>
  <c r="G48"/>
  <c r="G47"/>
  <c r="G21"/>
  <c r="G22"/>
  <c r="G23"/>
  <c r="D41" i="307" l="1"/>
  <c r="D40"/>
  <c r="B39"/>
  <c r="B41"/>
  <c r="D39"/>
  <c r="B40"/>
  <c r="D519" i="305"/>
  <c r="G521" i="309"/>
  <c r="C521" s="1"/>
  <c r="F174" i="216"/>
  <c r="F60" l="1"/>
  <c r="G60"/>
  <c r="G117"/>
  <c r="G50"/>
  <c r="G108"/>
  <c r="G58"/>
  <c r="G57"/>
  <c r="G56"/>
  <c r="G55"/>
  <c r="G54"/>
  <c r="G53"/>
  <c r="G40"/>
  <c r="G39"/>
  <c r="G38"/>
  <c r="G37"/>
  <c r="G36"/>
  <c r="G35"/>
  <c r="H58"/>
  <c r="H57"/>
  <c r="H56"/>
  <c r="H55"/>
  <c r="H54"/>
  <c r="H53"/>
  <c r="G52"/>
  <c r="F52"/>
  <c r="G51"/>
  <c r="F51"/>
  <c r="H48"/>
  <c r="H47"/>
  <c r="I1152" i="192"/>
  <c r="I1153"/>
  <c r="I1046"/>
  <c r="I1045"/>
  <c r="I1007"/>
  <c r="I1006"/>
  <c r="I1005"/>
  <c r="I936"/>
  <c r="I937"/>
  <c r="I869" i="194"/>
  <c r="I868"/>
  <c r="I867"/>
  <c r="I866"/>
  <c r="I904"/>
  <c r="I903"/>
  <c r="I902"/>
  <c r="I1459" i="192"/>
  <c r="I1458"/>
  <c r="I1457"/>
  <c r="H49" i="216" l="1"/>
  <c r="H60"/>
  <c r="H51"/>
  <c r="H52"/>
  <c r="G550" i="140"/>
  <c r="F50" i="216"/>
  <c r="H50" s="1"/>
  <c r="G34"/>
  <c r="G33"/>
  <c r="F165"/>
  <c r="K165"/>
  <c r="I935" i="192"/>
  <c r="I442" i="194"/>
  <c r="I441"/>
  <c r="I440"/>
  <c r="I439"/>
  <c r="I716" i="192"/>
  <c r="I715"/>
  <c r="I714"/>
  <c r="I713"/>
  <c r="I410" i="194"/>
  <c r="I409"/>
  <c r="I408"/>
  <c r="I407"/>
  <c r="I684" i="192"/>
  <c r="I683"/>
  <c r="I682"/>
  <c r="I681"/>
  <c r="I1270" i="132"/>
  <c r="I1269"/>
  <c r="C527" i="195" l="1"/>
  <c r="I527" s="1"/>
  <c r="H61" i="216"/>
  <c r="I967" i="192"/>
  <c r="I968"/>
  <c r="K2509" i="132" l="1"/>
  <c r="M2509" s="1"/>
  <c r="F548" i="305" l="1"/>
  <c r="G548" s="1"/>
  <c r="I550" i="309"/>
  <c r="E527" i="195"/>
  <c r="F527" s="1"/>
  <c r="J527" s="1"/>
  <c r="I550" i="140"/>
  <c r="J550" s="1"/>
  <c r="C94" i="165"/>
  <c r="E88" i="139" s="1"/>
  <c r="F193" i="216"/>
  <c r="G193"/>
  <c r="G191"/>
  <c r="H191" s="1"/>
  <c r="G190"/>
  <c r="G189"/>
  <c r="G188"/>
  <c r="H188" s="1"/>
  <c r="G187"/>
  <c r="H187" s="1"/>
  <c r="G186"/>
  <c r="G174"/>
  <c r="G172"/>
  <c r="G171"/>
  <c r="G170"/>
  <c r="G169"/>
  <c r="G168"/>
  <c r="G167"/>
  <c r="F184"/>
  <c r="F185" s="1"/>
  <c r="L194"/>
  <c r="H190"/>
  <c r="H189"/>
  <c r="H186"/>
  <c r="G185"/>
  <c r="G184"/>
  <c r="G183"/>
  <c r="H181"/>
  <c r="H180"/>
  <c r="J550" i="309" l="1"/>
  <c r="E550"/>
  <c r="F550" s="1"/>
  <c r="K550" i="140"/>
  <c r="O550"/>
  <c r="L550"/>
  <c r="H193" i="216"/>
  <c r="H185"/>
  <c r="H184"/>
  <c r="H182"/>
  <c r="F183" s="1"/>
  <c r="H183" s="1"/>
  <c r="G166"/>
  <c r="G165"/>
  <c r="G164"/>
  <c r="G146"/>
  <c r="H152" i="215"/>
  <c r="I152" s="1"/>
  <c r="I151"/>
  <c r="H150"/>
  <c r="I150" s="1"/>
  <c r="H149"/>
  <c r="I149" s="1"/>
  <c r="O550" i="309" l="1"/>
  <c r="K550"/>
  <c r="L550"/>
  <c r="C781" i="195"/>
  <c r="I781" s="1"/>
  <c r="G795" i="140"/>
  <c r="H194" i="216"/>
  <c r="I153" i="215"/>
  <c r="K2524" i="132" l="1"/>
  <c r="M2524" s="1"/>
  <c r="I154" i="215"/>
  <c r="K3673" i="132" l="1"/>
  <c r="M3673" s="1"/>
  <c r="F536" i="305"/>
  <c r="G536" s="1"/>
  <c r="I538" i="309"/>
  <c r="E781" i="195" l="1"/>
  <c r="F781" s="1"/>
  <c r="J781" s="1"/>
  <c r="I795" i="140"/>
  <c r="J795" s="1"/>
  <c r="K795" s="1"/>
  <c r="F788" i="305"/>
  <c r="G788" s="1"/>
  <c r="I795" i="309"/>
  <c r="E538"/>
  <c r="F538" s="1"/>
  <c r="J538"/>
  <c r="E23" i="212"/>
  <c r="F23" s="1"/>
  <c r="E15"/>
  <c r="E16"/>
  <c r="E12"/>
  <c r="L795" i="140" l="1"/>
  <c r="O795"/>
  <c r="E795" i="309"/>
  <c r="F795" s="1"/>
  <c r="J795"/>
  <c r="O538"/>
  <c r="K538"/>
  <c r="L538"/>
  <c r="C132" i="195"/>
  <c r="I132" s="1"/>
  <c r="C118" i="196" s="1"/>
  <c r="C172" i="195"/>
  <c r="I172" s="1"/>
  <c r="C158" i="196" s="1"/>
  <c r="F236" i="195"/>
  <c r="J236" s="1"/>
  <c r="I236"/>
  <c r="C305"/>
  <c r="I305" s="1"/>
  <c r="D114" i="196" s="1"/>
  <c r="F381" i="195"/>
  <c r="J381" s="1"/>
  <c r="I381"/>
  <c r="C382"/>
  <c r="I382" s="1"/>
  <c r="E34" i="196" s="1"/>
  <c r="C386" i="195"/>
  <c r="I386" s="1"/>
  <c r="E42" i="196" s="1"/>
  <c r="C446" i="195"/>
  <c r="I446" s="1"/>
  <c r="E114" i="196" s="1"/>
  <c r="C450" i="195"/>
  <c r="I450" s="1"/>
  <c r="E118" i="196" s="1"/>
  <c r="I522" i="195"/>
  <c r="J522"/>
  <c r="F619"/>
  <c r="J619" s="1"/>
  <c r="I619"/>
  <c r="I736"/>
  <c r="J736"/>
  <c r="C801"/>
  <c r="I801" s="1"/>
  <c r="C805"/>
  <c r="I805" s="1"/>
  <c r="C809"/>
  <c r="I809" s="1"/>
  <c r="C813"/>
  <c r="I813" s="1"/>
  <c r="C825"/>
  <c r="I825" s="1"/>
  <c r="C833"/>
  <c r="I833" s="1"/>
  <c r="G134" i="140"/>
  <c r="G174"/>
  <c r="G308"/>
  <c r="G385"/>
  <c r="G389"/>
  <c r="G449"/>
  <c r="G453"/>
  <c r="G815"/>
  <c r="G819"/>
  <c r="G823"/>
  <c r="G827"/>
  <c r="G835"/>
  <c r="G843"/>
  <c r="O795" i="309" l="1"/>
  <c r="L795"/>
  <c r="K795"/>
  <c r="F223" i="216"/>
  <c r="G566" i="140" l="1"/>
  <c r="C789" i="195" l="1"/>
  <c r="I789" s="1"/>
  <c r="G803" i="140"/>
  <c r="C628" i="195"/>
  <c r="I628" s="1"/>
  <c r="G632" i="140"/>
  <c r="C873" i="195"/>
  <c r="I873" s="1"/>
  <c r="G883" i="140"/>
  <c r="G747"/>
  <c r="C829" i="195"/>
  <c r="I829" s="1"/>
  <c r="C845"/>
  <c r="I845" s="1"/>
  <c r="G855" i="140"/>
  <c r="C865" i="195"/>
  <c r="I865" s="1"/>
  <c r="G879" i="140"/>
  <c r="C849" i="195"/>
  <c r="I849" s="1"/>
  <c r="G859" i="140"/>
  <c r="C797" i="195"/>
  <c r="I797" s="1"/>
  <c r="G811" i="140"/>
  <c r="C773" i="195"/>
  <c r="I773" s="1"/>
  <c r="G751" i="140"/>
  <c r="C737" i="195"/>
  <c r="I737" s="1"/>
  <c r="G526" i="140"/>
  <c r="C523" i="195"/>
  <c r="I523" s="1"/>
  <c r="G575" i="140"/>
  <c r="C571" i="195"/>
  <c r="I571" s="1"/>
  <c r="C563"/>
  <c r="I563" s="1"/>
  <c r="C684"/>
  <c r="G691" i="140"/>
  <c r="C672" i="195"/>
  <c r="G678" i="140"/>
  <c r="G628"/>
  <c r="C652" i="195"/>
  <c r="G657" i="140"/>
  <c r="C664" i="195"/>
  <c r="G670" i="140"/>
  <c r="C700" i="195"/>
  <c r="G709" i="140"/>
  <c r="G717"/>
  <c r="C708" i="195"/>
  <c r="C716"/>
  <c r="G725" i="140"/>
  <c r="C724" i="195"/>
  <c r="G733" i="140"/>
  <c r="C732" i="195"/>
  <c r="G741" i="140"/>
  <c r="C648" i="195"/>
  <c r="G653" i="140"/>
  <c r="C656" i="195"/>
  <c r="C688"/>
  <c r="G697" i="140"/>
  <c r="C704" i="195"/>
  <c r="G713" i="140"/>
  <c r="C712" i="195"/>
  <c r="G721" i="140"/>
  <c r="G729"/>
  <c r="C720" i="195"/>
  <c r="C728"/>
  <c r="G737" i="140"/>
  <c r="C514" i="195"/>
  <c r="I514" s="1"/>
  <c r="G661" i="140" l="1"/>
  <c r="C624" i="195"/>
  <c r="C660"/>
  <c r="G839" i="140"/>
  <c r="G787"/>
  <c r="C741" i="195"/>
  <c r="I741" s="1"/>
  <c r="G665" i="140"/>
  <c r="G571"/>
  <c r="C567" i="195"/>
  <c r="I567" s="1"/>
  <c r="G599" i="140"/>
  <c r="C595" i="195"/>
  <c r="I595" s="1"/>
  <c r="I720"/>
  <c r="I648"/>
  <c r="I708"/>
  <c r="G641" i="140"/>
  <c r="C636" i="195"/>
  <c r="I672"/>
  <c r="I684"/>
  <c r="I728"/>
  <c r="I712"/>
  <c r="I704"/>
  <c r="I688"/>
  <c r="I656"/>
  <c r="I732"/>
  <c r="I724"/>
  <c r="I716"/>
  <c r="I700"/>
  <c r="I664"/>
  <c r="I652"/>
  <c r="I624"/>
  <c r="C426"/>
  <c r="G429" i="140"/>
  <c r="G517"/>
  <c r="I1178" i="192"/>
  <c r="I1151"/>
  <c r="I966"/>
  <c r="I636" i="195" l="1"/>
  <c r="I660"/>
  <c r="C454"/>
  <c r="G457" i="140"/>
  <c r="C434" i="195"/>
  <c r="G437" i="140"/>
  <c r="C506" i="195"/>
  <c r="C442"/>
  <c r="G445" i="140"/>
  <c r="C458" i="195"/>
  <c r="G461" i="140"/>
  <c r="G513"/>
  <c r="C510" i="195"/>
  <c r="I426"/>
  <c r="E94" i="196" s="1"/>
  <c r="C269" i="195"/>
  <c r="G272" i="140"/>
  <c r="D22" i="211"/>
  <c r="I2391" i="132"/>
  <c r="I458" i="195" l="1"/>
  <c r="E126" i="196" s="1"/>
  <c r="I506" i="195"/>
  <c r="I434"/>
  <c r="E98" i="196" s="1"/>
  <c r="I510" i="195"/>
  <c r="I442"/>
  <c r="E110" i="196" s="1"/>
  <c r="I454" i="195"/>
  <c r="E122" i="196" s="1"/>
  <c r="C265" i="195"/>
  <c r="G268" i="140"/>
  <c r="C289" i="195"/>
  <c r="G292" i="140"/>
  <c r="C313" i="195"/>
  <c r="G316" i="140"/>
  <c r="C329" i="195"/>
  <c r="G332" i="140"/>
  <c r="C325" i="195"/>
  <c r="G328" i="140"/>
  <c r="C353" i="195"/>
  <c r="G356" i="140"/>
  <c r="C369" i="195"/>
  <c r="G372" i="140"/>
  <c r="C281" i="195"/>
  <c r="G284" i="140"/>
  <c r="C301" i="195"/>
  <c r="G304" i="140"/>
  <c r="C317" i="195"/>
  <c r="G320" i="140"/>
  <c r="C333" i="195"/>
  <c r="G336" i="140"/>
  <c r="G352"/>
  <c r="C349" i="195"/>
  <c r="C373"/>
  <c r="G376" i="140"/>
  <c r="C365" i="195"/>
  <c r="G368" i="140"/>
  <c r="I269" i="195"/>
  <c r="D70" i="196" s="1"/>
  <c r="C200" i="195"/>
  <c r="G210" i="140"/>
  <c r="C39" i="211"/>
  <c r="C31"/>
  <c r="D44"/>
  <c r="C44"/>
  <c r="D43"/>
  <c r="C43"/>
  <c r="D39"/>
  <c r="D38"/>
  <c r="D37"/>
  <c r="E35"/>
  <c r="D35"/>
  <c r="E34"/>
  <c r="D34"/>
  <c r="E33"/>
  <c r="C33"/>
  <c r="E32"/>
  <c r="D32"/>
  <c r="E31"/>
  <c r="D31"/>
  <c r="E28"/>
  <c r="D28"/>
  <c r="C28"/>
  <c r="E27"/>
  <c r="D27"/>
  <c r="D21"/>
  <c r="E15"/>
  <c r="E13"/>
  <c r="T11"/>
  <c r="C9"/>
  <c r="F9" s="1"/>
  <c r="L9" s="1"/>
  <c r="F5"/>
  <c r="R5" s="1"/>
  <c r="I60" i="194"/>
  <c r="I61"/>
  <c r="I124"/>
  <c r="I125"/>
  <c r="I148"/>
  <c r="I149"/>
  <c r="I172"/>
  <c r="I173"/>
  <c r="I174"/>
  <c r="I200"/>
  <c r="E22" i="211" s="1"/>
  <c r="I220" i="194"/>
  <c r="I240"/>
  <c r="I241"/>
  <c r="I264"/>
  <c r="I265"/>
  <c r="I266"/>
  <c r="I267"/>
  <c r="I350"/>
  <c r="I351"/>
  <c r="I352"/>
  <c r="I542"/>
  <c r="I562"/>
  <c r="I563"/>
  <c r="I586"/>
  <c r="I587"/>
  <c r="I588"/>
  <c r="I614"/>
  <c r="I615"/>
  <c r="I616"/>
  <c r="I642"/>
  <c r="I643"/>
  <c r="I644"/>
  <c r="I670"/>
  <c r="I671"/>
  <c r="I672"/>
  <c r="I698"/>
  <c r="I699"/>
  <c r="I700"/>
  <c r="I726"/>
  <c r="I727"/>
  <c r="I728"/>
  <c r="I754"/>
  <c r="I755"/>
  <c r="I778"/>
  <c r="I779"/>
  <c r="I802"/>
  <c r="I803"/>
  <c r="I804"/>
  <c r="I805"/>
  <c r="C96" i="165"/>
  <c r="E90" i="139" s="1"/>
  <c r="D13" i="211"/>
  <c r="I162" i="192"/>
  <c r="I182"/>
  <c r="I183"/>
  <c r="I206"/>
  <c r="I207"/>
  <c r="I329"/>
  <c r="I330"/>
  <c r="I353"/>
  <c r="I354"/>
  <c r="I553"/>
  <c r="I554"/>
  <c r="I555"/>
  <c r="I581"/>
  <c r="I582"/>
  <c r="D33" i="211"/>
  <c r="I907" i="192"/>
  <c r="I908"/>
  <c r="I909"/>
  <c r="I1044"/>
  <c r="G340" i="140" s="1"/>
  <c r="I1084" i="192"/>
  <c r="I1085"/>
  <c r="I1086"/>
  <c r="I1087"/>
  <c r="I1119"/>
  <c r="I1120"/>
  <c r="I1121"/>
  <c r="I1212"/>
  <c r="I1213"/>
  <c r="I1214"/>
  <c r="I1215"/>
  <c r="I1244"/>
  <c r="I1245"/>
  <c r="I1246"/>
  <c r="I1247"/>
  <c r="I1248"/>
  <c r="C95" i="165"/>
  <c r="I11" i="132"/>
  <c r="I12" s="1"/>
  <c r="I149"/>
  <c r="I150"/>
  <c r="I151"/>
  <c r="I152"/>
  <c r="I153"/>
  <c r="I210"/>
  <c r="H211"/>
  <c r="I211" s="1"/>
  <c r="I613"/>
  <c r="I614"/>
  <c r="I637"/>
  <c r="I638"/>
  <c r="I639"/>
  <c r="I812"/>
  <c r="I813"/>
  <c r="I837"/>
  <c r="I838"/>
  <c r="I839"/>
  <c r="I1124"/>
  <c r="I1125"/>
  <c r="I1126"/>
  <c r="I1127"/>
  <c r="I1268"/>
  <c r="I1763"/>
  <c r="I1764"/>
  <c r="I1765"/>
  <c r="I1766"/>
  <c r="I1794"/>
  <c r="I1795"/>
  <c r="I1796"/>
  <c r="I1955"/>
  <c r="I1956"/>
  <c r="I1957"/>
  <c r="I2320"/>
  <c r="I2321"/>
  <c r="I2371"/>
  <c r="I2411"/>
  <c r="I2431"/>
  <c r="I2451"/>
  <c r="F595" i="218"/>
  <c r="C595"/>
  <c r="F594"/>
  <c r="C594"/>
  <c r="F593"/>
  <c r="C593"/>
  <c r="F151"/>
  <c r="G151" s="1"/>
  <c r="G152" s="1"/>
  <c r="F147"/>
  <c r="G147" s="1"/>
  <c r="G148" s="1"/>
  <c r="F144"/>
  <c r="G144" s="1"/>
  <c r="G145" s="1"/>
  <c r="F141"/>
  <c r="G141" s="1"/>
  <c r="G142" s="1"/>
  <c r="F138"/>
  <c r="G138" s="1"/>
  <c r="G139" s="1"/>
  <c r="F135"/>
  <c r="G135" s="1"/>
  <c r="G136" s="1"/>
  <c r="F132"/>
  <c r="G132" s="1"/>
  <c r="G133" s="1"/>
  <c r="F129"/>
  <c r="G129" s="1"/>
  <c r="G130" s="1"/>
  <c r="F126"/>
  <c r="G126" s="1"/>
  <c r="G127" s="1"/>
  <c r="F118"/>
  <c r="G118" s="1"/>
  <c r="F115"/>
  <c r="G115" s="1"/>
  <c r="F112"/>
  <c r="G112" s="1"/>
  <c r="F110"/>
  <c r="G110" s="1"/>
  <c r="F108"/>
  <c r="G108" s="1"/>
  <c r="F102"/>
  <c r="G102" s="1"/>
  <c r="F101"/>
  <c r="G101" s="1"/>
  <c r="F100"/>
  <c r="G100" s="1"/>
  <c r="F99"/>
  <c r="G99" s="1"/>
  <c r="F98"/>
  <c r="G98" s="1"/>
  <c r="F97"/>
  <c r="G97" s="1"/>
  <c r="F92"/>
  <c r="G92" s="1"/>
  <c r="G94" s="1"/>
  <c r="F88"/>
  <c r="G88" s="1"/>
  <c r="G90" s="1"/>
  <c r="F84"/>
  <c r="G84" s="1"/>
  <c r="G86" s="1"/>
  <c r="F80"/>
  <c r="G80" s="1"/>
  <c r="G82" s="1"/>
  <c r="F77"/>
  <c r="G77" s="1"/>
  <c r="G79" s="1"/>
  <c r="F74"/>
  <c r="G74" s="1"/>
  <c r="G76" s="1"/>
  <c r="F71"/>
  <c r="G71" s="1"/>
  <c r="G73" s="1"/>
  <c r="F66"/>
  <c r="G66" s="1"/>
  <c r="F65"/>
  <c r="G65" s="1"/>
  <c r="F61"/>
  <c r="G61" s="1"/>
  <c r="G63" s="1"/>
  <c r="F57"/>
  <c r="G57" s="1"/>
  <c r="G59" s="1"/>
  <c r="F53"/>
  <c r="G53" s="1"/>
  <c r="G55" s="1"/>
  <c r="F49"/>
  <c r="G49" s="1"/>
  <c r="G51" s="1"/>
  <c r="F44"/>
  <c r="G44" s="1"/>
  <c r="G46" s="1"/>
  <c r="G47" s="1"/>
  <c r="F38"/>
  <c r="G38" s="1"/>
  <c r="G40" s="1"/>
  <c r="G41" s="1"/>
  <c r="F32"/>
  <c r="G32" s="1"/>
  <c r="G34" s="1"/>
  <c r="G35" s="1"/>
  <c r="F27"/>
  <c r="G27" s="1"/>
  <c r="G29" s="1"/>
  <c r="F22"/>
  <c r="G22" s="1"/>
  <c r="F21"/>
  <c r="G21" s="1"/>
  <c r="F20"/>
  <c r="G20" s="1"/>
  <c r="F19"/>
  <c r="G19" s="1"/>
  <c r="F16"/>
  <c r="G16" s="1"/>
  <c r="G17" s="1"/>
  <c r="F13"/>
  <c r="G13" s="1"/>
  <c r="G14" s="1"/>
  <c r="F8"/>
  <c r="G8" s="1"/>
  <c r="F7"/>
  <c r="G7" s="1"/>
  <c r="F6"/>
  <c r="G6" s="1"/>
  <c r="G950" i="216"/>
  <c r="D950"/>
  <c r="G949"/>
  <c r="D949"/>
  <c r="G948"/>
  <c r="D948"/>
  <c r="F236"/>
  <c r="H236" s="1"/>
  <c r="H237" s="1"/>
  <c r="F234"/>
  <c r="H234" s="1"/>
  <c r="H235" s="1"/>
  <c r="F232"/>
  <c r="H232" s="1"/>
  <c r="H233" s="1"/>
  <c r="G216"/>
  <c r="G215"/>
  <c r="G214"/>
  <c r="G213"/>
  <c r="G212"/>
  <c r="G211"/>
  <c r="G223" s="1"/>
  <c r="H223" s="1"/>
  <c r="F211"/>
  <c r="G210"/>
  <c r="G209"/>
  <c r="F205"/>
  <c r="H205" s="1"/>
  <c r="F204"/>
  <c r="H204" s="1"/>
  <c r="F203"/>
  <c r="H203" s="1"/>
  <c r="F202"/>
  <c r="H202" s="1"/>
  <c r="L200"/>
  <c r="G198"/>
  <c r="H198" s="1"/>
  <c r="G196"/>
  <c r="H196" s="1"/>
  <c r="L175"/>
  <c r="H172"/>
  <c r="H171"/>
  <c r="H170"/>
  <c r="H169"/>
  <c r="H168"/>
  <c r="H167"/>
  <c r="F166"/>
  <c r="H166" s="1"/>
  <c r="H165"/>
  <c r="H162"/>
  <c r="H161"/>
  <c r="F155"/>
  <c r="G147"/>
  <c r="H144"/>
  <c r="H145" s="1"/>
  <c r="F147" s="1"/>
  <c r="H142"/>
  <c r="H141"/>
  <c r="H143" s="1"/>
  <c r="F146" s="1"/>
  <c r="H146" s="1"/>
  <c r="F136"/>
  <c r="G128"/>
  <c r="G127"/>
  <c r="H125"/>
  <c r="H126" s="1"/>
  <c r="F128" s="1"/>
  <c r="H128" s="1"/>
  <c r="H123"/>
  <c r="H122"/>
  <c r="H124" s="1"/>
  <c r="F127" s="1"/>
  <c r="G136"/>
  <c r="F117"/>
  <c r="H117" s="1"/>
  <c r="G115"/>
  <c r="G134" s="1"/>
  <c r="H134" s="1"/>
  <c r="G114"/>
  <c r="G133" s="1"/>
  <c r="H133" s="1"/>
  <c r="G113"/>
  <c r="G132" s="1"/>
  <c r="H132" s="1"/>
  <c r="G112"/>
  <c r="G131" s="1"/>
  <c r="H131" s="1"/>
  <c r="G111"/>
  <c r="G130" s="1"/>
  <c r="H130" s="1"/>
  <c r="G110"/>
  <c r="G129" s="1"/>
  <c r="H129" s="1"/>
  <c r="G109"/>
  <c r="H106"/>
  <c r="H107" s="1"/>
  <c r="F109" s="1"/>
  <c r="H109" s="1"/>
  <c r="H104"/>
  <c r="H103"/>
  <c r="F98"/>
  <c r="H87"/>
  <c r="H88" s="1"/>
  <c r="F90" s="1"/>
  <c r="H85"/>
  <c r="H84"/>
  <c r="F79"/>
  <c r="G71"/>
  <c r="G90" s="1"/>
  <c r="G70"/>
  <c r="G89" s="1"/>
  <c r="H68"/>
  <c r="H69" s="1"/>
  <c r="F71" s="1"/>
  <c r="H66"/>
  <c r="H65"/>
  <c r="G42"/>
  <c r="F42"/>
  <c r="H40"/>
  <c r="H39"/>
  <c r="H38"/>
  <c r="H37"/>
  <c r="H36"/>
  <c r="H35"/>
  <c r="F34"/>
  <c r="F33"/>
  <c r="G32"/>
  <c r="H30"/>
  <c r="H29"/>
  <c r="G24"/>
  <c r="G79" s="1"/>
  <c r="G98" s="1"/>
  <c r="G22"/>
  <c r="G153" s="1"/>
  <c r="H153" s="1"/>
  <c r="G21"/>
  <c r="G152" s="1"/>
  <c r="H152" s="1"/>
  <c r="G20"/>
  <c r="G151" s="1"/>
  <c r="H151" s="1"/>
  <c r="G19"/>
  <c r="G150" s="1"/>
  <c r="H150" s="1"/>
  <c r="G18"/>
  <c r="G149" s="1"/>
  <c r="H149" s="1"/>
  <c r="G17"/>
  <c r="G148" s="1"/>
  <c r="H148" s="1"/>
  <c r="G16"/>
  <c r="G15"/>
  <c r="H13"/>
  <c r="H14" s="1"/>
  <c r="F16" s="1"/>
  <c r="H16" s="1"/>
  <c r="H11"/>
  <c r="H10"/>
  <c r="F3"/>
  <c r="A2"/>
  <c r="G1145" i="215"/>
  <c r="C1145"/>
  <c r="G1144"/>
  <c r="C1144"/>
  <c r="G1143"/>
  <c r="C1143"/>
  <c r="H283"/>
  <c r="I283" s="1"/>
  <c r="I284" s="1"/>
  <c r="H278"/>
  <c r="I278" s="1"/>
  <c r="H277"/>
  <c r="I277" s="1"/>
  <c r="H276"/>
  <c r="I276" s="1"/>
  <c r="H275"/>
  <c r="I275" s="1"/>
  <c r="H274"/>
  <c r="I274" s="1"/>
  <c r="H273"/>
  <c r="I273" s="1"/>
  <c r="H272"/>
  <c r="I272" s="1"/>
  <c r="H271"/>
  <c r="I271" s="1"/>
  <c r="H270"/>
  <c r="I270" s="1"/>
  <c r="H269"/>
  <c r="I269" s="1"/>
  <c r="H268"/>
  <c r="I268" s="1"/>
  <c r="I266"/>
  <c r="H265"/>
  <c r="I265" s="1"/>
  <c r="I261"/>
  <c r="H260"/>
  <c r="I260" s="1"/>
  <c r="H259"/>
  <c r="I259" s="1"/>
  <c r="H257"/>
  <c r="I257" s="1"/>
  <c r="H256"/>
  <c r="I256" s="1"/>
  <c r="H255"/>
  <c r="I255" s="1"/>
  <c r="H251"/>
  <c r="I251" s="1"/>
  <c r="H250"/>
  <c r="I250" s="1"/>
  <c r="H249"/>
  <c r="I249" s="1"/>
  <c r="I247"/>
  <c r="H246"/>
  <c r="I246" s="1"/>
  <c r="H245"/>
  <c r="I245" s="1"/>
  <c r="H240"/>
  <c r="I240" s="1"/>
  <c r="H239"/>
  <c r="I239" s="1"/>
  <c r="H237"/>
  <c r="I237" s="1"/>
  <c r="H236"/>
  <c r="I236" s="1"/>
  <c r="I232"/>
  <c r="H231"/>
  <c r="I231" s="1"/>
  <c r="H230"/>
  <c r="I230" s="1"/>
  <c r="H227"/>
  <c r="I227" s="1"/>
  <c r="I225"/>
  <c r="H221"/>
  <c r="I221" s="1"/>
  <c r="I219"/>
  <c r="H218"/>
  <c r="I218" s="1"/>
  <c r="H213"/>
  <c r="I213" s="1"/>
  <c r="H212"/>
  <c r="I212" s="1"/>
  <c r="H208"/>
  <c r="I208" s="1"/>
  <c r="H204"/>
  <c r="I204" s="1"/>
  <c r="I205" s="1"/>
  <c r="H203"/>
  <c r="I203" s="1"/>
  <c r="H202"/>
  <c r="I202" s="1"/>
  <c r="I200"/>
  <c r="H199"/>
  <c r="I199" s="1"/>
  <c r="H193"/>
  <c r="I193" s="1"/>
  <c r="H192"/>
  <c r="I192" s="1"/>
  <c r="I190"/>
  <c r="H189"/>
  <c r="I189" s="1"/>
  <c r="H183"/>
  <c r="I183" s="1"/>
  <c r="H182"/>
  <c r="I182" s="1"/>
  <c r="H181"/>
  <c r="I181" s="1"/>
  <c r="I179"/>
  <c r="H178"/>
  <c r="I178" s="1"/>
  <c r="H177"/>
  <c r="I177" s="1"/>
  <c r="H172"/>
  <c r="I172" s="1"/>
  <c r="I170"/>
  <c r="H169"/>
  <c r="I169" s="1"/>
  <c r="H168"/>
  <c r="I168" s="1"/>
  <c r="H162"/>
  <c r="I162" s="1"/>
  <c r="I160"/>
  <c r="H159"/>
  <c r="I159" s="1"/>
  <c r="H158"/>
  <c r="I158" s="1"/>
  <c r="H142"/>
  <c r="I142" s="1"/>
  <c r="I140"/>
  <c r="H139"/>
  <c r="I139" s="1"/>
  <c r="H138"/>
  <c r="I138" s="1"/>
  <c r="H133"/>
  <c r="I133" s="1"/>
  <c r="H132"/>
  <c r="I132" s="1"/>
  <c r="I130"/>
  <c r="H129"/>
  <c r="I129" s="1"/>
  <c r="H125"/>
  <c r="I125" s="1"/>
  <c r="H124"/>
  <c r="I124" s="1"/>
  <c r="H123"/>
  <c r="I123" s="1"/>
  <c r="I121"/>
  <c r="H120"/>
  <c r="I120" s="1"/>
  <c r="H116"/>
  <c r="I116" s="1"/>
  <c r="H115"/>
  <c r="I115" s="1"/>
  <c r="I113"/>
  <c r="H112"/>
  <c r="I112" s="1"/>
  <c r="H107"/>
  <c r="I107" s="1"/>
  <c r="H106"/>
  <c r="I106" s="1"/>
  <c r="H105"/>
  <c r="I105" s="1"/>
  <c r="I103"/>
  <c r="H102"/>
  <c r="I102" s="1"/>
  <c r="H101"/>
  <c r="I101" s="1"/>
  <c r="H94"/>
  <c r="I94" s="1"/>
  <c r="H93"/>
  <c r="I93" s="1"/>
  <c r="I91"/>
  <c r="H90"/>
  <c r="I90" s="1"/>
  <c r="H89"/>
  <c r="I89" s="1"/>
  <c r="H83"/>
  <c r="I83" s="1"/>
  <c r="I84" s="1"/>
  <c r="H80"/>
  <c r="I80" s="1"/>
  <c r="I81" s="1"/>
  <c r="H76"/>
  <c r="I76" s="1"/>
  <c r="I77" s="1"/>
  <c r="H73"/>
  <c r="I73" s="1"/>
  <c r="H72"/>
  <c r="I72" s="1"/>
  <c r="H69"/>
  <c r="I69" s="1"/>
  <c r="I70" s="1"/>
  <c r="H66"/>
  <c r="I66" s="1"/>
  <c r="I67" s="1"/>
  <c r="H63"/>
  <c r="I63" s="1"/>
  <c r="I64" s="1"/>
  <c r="H60"/>
  <c r="I60" s="1"/>
  <c r="I61" s="1"/>
  <c r="H57"/>
  <c r="I57" s="1"/>
  <c r="I58" s="1"/>
  <c r="H54"/>
  <c r="I54" s="1"/>
  <c r="H46"/>
  <c r="I46" s="1"/>
  <c r="I47" s="1"/>
  <c r="H43"/>
  <c r="H50" s="1"/>
  <c r="I50" s="1"/>
  <c r="H40"/>
  <c r="I40" s="1"/>
  <c r="I41" s="1"/>
  <c r="H37"/>
  <c r="H49" s="1"/>
  <c r="I49" s="1"/>
  <c r="H34"/>
  <c r="I34" s="1"/>
  <c r="I35" s="1"/>
  <c r="H28"/>
  <c r="I28" s="1"/>
  <c r="H27"/>
  <c r="I27" s="1"/>
  <c r="H26"/>
  <c r="I26" s="1"/>
  <c r="H25"/>
  <c r="I25" s="1"/>
  <c r="H23"/>
  <c r="I23" s="1"/>
  <c r="I22"/>
  <c r="H21"/>
  <c r="I21" s="1"/>
  <c r="H20"/>
  <c r="I20" s="1"/>
  <c r="H14"/>
  <c r="I14" s="1"/>
  <c r="H13"/>
  <c r="I13" s="1"/>
  <c r="I12"/>
  <c r="I10"/>
  <c r="H9"/>
  <c r="I9" s="1"/>
  <c r="H8"/>
  <c r="I8" s="1"/>
  <c r="E3678" i="214"/>
  <c r="C3678"/>
  <c r="E3677"/>
  <c r="C3677"/>
  <c r="E3676"/>
  <c r="C3676"/>
  <c r="F921"/>
  <c r="G921" s="1"/>
  <c r="F920"/>
  <c r="G920" s="1"/>
  <c r="F919"/>
  <c r="G919" s="1"/>
  <c r="F918"/>
  <c r="G918" s="1"/>
  <c r="G914"/>
  <c r="G916" s="1"/>
  <c r="K2453" i="132" s="1"/>
  <c r="G910" i="214"/>
  <c r="G912" s="1"/>
  <c r="K2433" i="132" s="1"/>
  <c r="G905" i="214"/>
  <c r="G901"/>
  <c r="G903" s="1"/>
  <c r="K2413" i="132" s="1"/>
  <c r="G896" i="214"/>
  <c r="F893"/>
  <c r="G893" s="1"/>
  <c r="G894" s="1"/>
  <c r="K2393" i="132" s="1"/>
  <c r="G890" i="214"/>
  <c r="G891" s="1"/>
  <c r="K2350" i="132" s="1"/>
  <c r="F887" i="214"/>
  <c r="G887" s="1"/>
  <c r="F886"/>
  <c r="G886" s="1"/>
  <c r="F885"/>
  <c r="G885" s="1"/>
  <c r="F884"/>
  <c r="G884" s="1"/>
  <c r="F883"/>
  <c r="G883" s="1"/>
  <c r="G879"/>
  <c r="G880" s="1"/>
  <c r="F875"/>
  <c r="G875" s="1"/>
  <c r="F874"/>
  <c r="G874" s="1"/>
  <c r="F872"/>
  <c r="G872" s="1"/>
  <c r="F868"/>
  <c r="G868" s="1"/>
  <c r="F867"/>
  <c r="G867" s="1"/>
  <c r="F865"/>
  <c r="G865" s="1"/>
  <c r="F854"/>
  <c r="G854" s="1"/>
  <c r="F853"/>
  <c r="G853" s="1"/>
  <c r="F852"/>
  <c r="G852" s="1"/>
  <c r="F850"/>
  <c r="G850" s="1"/>
  <c r="F840"/>
  <c r="G840" s="1"/>
  <c r="F839"/>
  <c r="G839" s="1"/>
  <c r="F837"/>
  <c r="G837" s="1"/>
  <c r="F828"/>
  <c r="G828" s="1"/>
  <c r="F827"/>
  <c r="G827" s="1"/>
  <c r="F825"/>
  <c r="G825" s="1"/>
  <c r="F818"/>
  <c r="G818" s="1"/>
  <c r="F817"/>
  <c r="G817" s="1"/>
  <c r="F815"/>
  <c r="G815" s="1"/>
  <c r="F804"/>
  <c r="G804" s="1"/>
  <c r="F803"/>
  <c r="G803" s="1"/>
  <c r="F802"/>
  <c r="G802" s="1"/>
  <c r="F800"/>
  <c r="G800" s="1"/>
  <c r="F789"/>
  <c r="G789" s="1"/>
  <c r="F788"/>
  <c r="G788" s="1"/>
  <c r="F786"/>
  <c r="G786" s="1"/>
  <c r="F755"/>
  <c r="G755" s="1"/>
  <c r="F754"/>
  <c r="G754" s="1"/>
  <c r="F753"/>
  <c r="G753" s="1"/>
  <c r="F741"/>
  <c r="G741" s="1"/>
  <c r="F740"/>
  <c r="G740" s="1"/>
  <c r="F727"/>
  <c r="G727" s="1"/>
  <c r="F726"/>
  <c r="G726" s="1"/>
  <c r="F720"/>
  <c r="G720" s="1"/>
  <c r="F710"/>
  <c r="G710" s="1"/>
  <c r="F709"/>
  <c r="G709" s="1"/>
  <c r="F708"/>
  <c r="G708" s="1"/>
  <c r="F702"/>
  <c r="G702" s="1"/>
  <c r="F692"/>
  <c r="G692" s="1"/>
  <c r="F691"/>
  <c r="G691" s="1"/>
  <c r="F690"/>
  <c r="G690" s="1"/>
  <c r="F688"/>
  <c r="F724" s="1"/>
  <c r="G724" s="1"/>
  <c r="F684"/>
  <c r="G684" s="1"/>
  <c r="F673"/>
  <c r="G673" s="1"/>
  <c r="F672"/>
  <c r="G672" s="1"/>
  <c r="F671"/>
  <c r="G671" s="1"/>
  <c r="F664"/>
  <c r="G664" s="1"/>
  <c r="F654"/>
  <c r="G654" s="1"/>
  <c r="F653"/>
  <c r="G653" s="1"/>
  <c r="F652"/>
  <c r="G652" s="1"/>
  <c r="F650"/>
  <c r="G650" s="1"/>
  <c r="F646"/>
  <c r="G646" s="1"/>
  <c r="F636"/>
  <c r="G636" s="1"/>
  <c r="G635"/>
  <c r="G634"/>
  <c r="F628"/>
  <c r="G628" s="1"/>
  <c r="F623"/>
  <c r="G623" s="1"/>
  <c r="G624" s="1"/>
  <c r="F614"/>
  <c r="G614" s="1"/>
  <c r="F613"/>
  <c r="G613" s="1"/>
  <c r="F612"/>
  <c r="G612" s="1"/>
  <c r="F610"/>
  <c r="G610" s="1"/>
  <c r="F595"/>
  <c r="G595" s="1"/>
  <c r="F594"/>
  <c r="G594" s="1"/>
  <c r="F593"/>
  <c r="G593" s="1"/>
  <c r="F577"/>
  <c r="G577" s="1"/>
  <c r="F576"/>
  <c r="G576" s="1"/>
  <c r="F575"/>
  <c r="G575" s="1"/>
  <c r="F573"/>
  <c r="G573" s="1"/>
  <c r="F562"/>
  <c r="G562" s="1"/>
  <c r="F561"/>
  <c r="G561" s="1"/>
  <c r="F560"/>
  <c r="G560" s="1"/>
  <c r="F558"/>
  <c r="G558" s="1"/>
  <c r="F550"/>
  <c r="E550"/>
  <c r="F549"/>
  <c r="E549"/>
  <c r="F545"/>
  <c r="G545" s="1"/>
  <c r="F543"/>
  <c r="G543" s="1"/>
  <c r="F542"/>
  <c r="G542" s="1"/>
  <c r="F541"/>
  <c r="G541" s="1"/>
  <c r="F536"/>
  <c r="G536" s="1"/>
  <c r="G529"/>
  <c r="F529"/>
  <c r="E529"/>
  <c r="E528"/>
  <c r="F528" s="1"/>
  <c r="G528" s="1"/>
  <c r="F524"/>
  <c r="G524" s="1"/>
  <c r="F523"/>
  <c r="G523" s="1"/>
  <c r="F522"/>
  <c r="G522" s="1"/>
  <c r="G509"/>
  <c r="F509"/>
  <c r="E509"/>
  <c r="E508"/>
  <c r="F508" s="1"/>
  <c r="G508" s="1"/>
  <c r="F504"/>
  <c r="G504" s="1"/>
  <c r="F503"/>
  <c r="G503" s="1"/>
  <c r="F502"/>
  <c r="G502" s="1"/>
  <c r="G489"/>
  <c r="F489"/>
  <c r="E489"/>
  <c r="E488"/>
  <c r="G488" s="1"/>
  <c r="F484"/>
  <c r="G484" s="1"/>
  <c r="F483"/>
  <c r="G483" s="1"/>
  <c r="F482"/>
  <c r="G482" s="1"/>
  <c r="G473"/>
  <c r="F473"/>
  <c r="E473"/>
  <c r="E472"/>
  <c r="G472" s="1"/>
  <c r="F468"/>
  <c r="G468" s="1"/>
  <c r="F467"/>
  <c r="G467" s="1"/>
  <c r="F466"/>
  <c r="G466" s="1"/>
  <c r="G457"/>
  <c r="F457"/>
  <c r="E457"/>
  <c r="E456"/>
  <c r="G456" s="1"/>
  <c r="F452"/>
  <c r="G452" s="1"/>
  <c r="F451"/>
  <c r="G451" s="1"/>
  <c r="F450"/>
  <c r="G450" s="1"/>
  <c r="G441"/>
  <c r="F441"/>
  <c r="E441"/>
  <c r="E440"/>
  <c r="G440" s="1"/>
  <c r="F436"/>
  <c r="G436" s="1"/>
  <c r="F435"/>
  <c r="G435" s="1"/>
  <c r="F434"/>
  <c r="G434" s="1"/>
  <c r="G426"/>
  <c r="F426"/>
  <c r="E426"/>
  <c r="E425"/>
  <c r="F425" s="1"/>
  <c r="G425" s="1"/>
  <c r="F421"/>
  <c r="G421" s="1"/>
  <c r="F420"/>
  <c r="G420" s="1"/>
  <c r="F419"/>
  <c r="G419" s="1"/>
  <c r="F418"/>
  <c r="G418" s="1"/>
  <c r="F415"/>
  <c r="G415" s="1"/>
  <c r="G408"/>
  <c r="F408"/>
  <c r="E408"/>
  <c r="E407"/>
  <c r="F407" s="1"/>
  <c r="G407" s="1"/>
  <c r="F403"/>
  <c r="G403" s="1"/>
  <c r="F402"/>
  <c r="G402" s="1"/>
  <c r="F401"/>
  <c r="G401" s="1"/>
  <c r="G391"/>
  <c r="F391"/>
  <c r="E391"/>
  <c r="E390"/>
  <c r="F390" s="1"/>
  <c r="G390" s="1"/>
  <c r="F386"/>
  <c r="G386" s="1"/>
  <c r="F385"/>
  <c r="G385" s="1"/>
  <c r="F384"/>
  <c r="G384" s="1"/>
  <c r="G374"/>
  <c r="F374"/>
  <c r="E374"/>
  <c r="E373"/>
  <c r="G373" s="1"/>
  <c r="F369"/>
  <c r="G369" s="1"/>
  <c r="F368"/>
  <c r="G368" s="1"/>
  <c r="F367"/>
  <c r="G367" s="1"/>
  <c r="F358"/>
  <c r="G358" s="1"/>
  <c r="F357"/>
  <c r="G357" s="1"/>
  <c r="G343"/>
  <c r="F342"/>
  <c r="G342" s="1"/>
  <c r="F338"/>
  <c r="F337"/>
  <c r="G331"/>
  <c r="G330"/>
  <c r="G329"/>
  <c r="F328"/>
  <c r="G328" s="1"/>
  <c r="F327"/>
  <c r="F326"/>
  <c r="F324"/>
  <c r="F323"/>
  <c r="F319"/>
  <c r="G319" s="1"/>
  <c r="F318"/>
  <c r="G318" s="1"/>
  <c r="F317"/>
  <c r="G317" s="1"/>
  <c r="F311"/>
  <c r="F310"/>
  <c r="F305"/>
  <c r="G305" s="1"/>
  <c r="F304"/>
  <c r="G304" s="1"/>
  <c r="F297"/>
  <c r="G297" s="1"/>
  <c r="F296"/>
  <c r="G296" s="1"/>
  <c r="F295"/>
  <c r="G295" s="1"/>
  <c r="F294"/>
  <c r="G294" s="1"/>
  <c r="F292"/>
  <c r="G292" s="1"/>
  <c r="F291"/>
  <c r="G291" s="1"/>
  <c r="F281"/>
  <c r="G281" s="1"/>
  <c r="F280"/>
  <c r="G280" s="1"/>
  <c r="F278"/>
  <c r="G278" s="1"/>
  <c r="E270"/>
  <c r="F270" s="1"/>
  <c r="G270" s="1"/>
  <c r="E269"/>
  <c r="F269" s="1"/>
  <c r="G269" s="1"/>
  <c r="F265"/>
  <c r="G265" s="1"/>
  <c r="F264"/>
  <c r="G264" s="1"/>
  <c r="F263"/>
  <c r="G263" s="1"/>
  <c r="F261"/>
  <c r="G261" s="1"/>
  <c r="F260"/>
  <c r="G260" s="1"/>
  <c r="F237"/>
  <c r="G237" s="1"/>
  <c r="F236"/>
  <c r="G236" s="1"/>
  <c r="F234"/>
  <c r="G234" s="1"/>
  <c r="F233"/>
  <c r="G233" s="1"/>
  <c r="F232"/>
  <c r="G232" s="1"/>
  <c r="G207"/>
  <c r="F207"/>
  <c r="E207"/>
  <c r="E206"/>
  <c r="F206" s="1"/>
  <c r="G194"/>
  <c r="G250" s="1"/>
  <c r="F194"/>
  <c r="F201" s="1"/>
  <c r="E194"/>
  <c r="E250" s="1"/>
  <c r="E193"/>
  <c r="G193" s="1"/>
  <c r="G187"/>
  <c r="G243" s="1"/>
  <c r="F187"/>
  <c r="F243" s="1"/>
  <c r="E187"/>
  <c r="E243" s="1"/>
  <c r="E186"/>
  <c r="E242" s="1"/>
  <c r="G242" s="1"/>
  <c r="G180"/>
  <c r="F180"/>
  <c r="E180"/>
  <c r="E179"/>
  <c r="F179" s="1"/>
  <c r="F175"/>
  <c r="G175" s="1"/>
  <c r="F174"/>
  <c r="G174" s="1"/>
  <c r="F173"/>
  <c r="G173" s="1"/>
  <c r="F171"/>
  <c r="G171" s="1"/>
  <c r="F170"/>
  <c r="G170" s="1"/>
  <c r="F169"/>
  <c r="G169" s="1"/>
  <c r="G159"/>
  <c r="F159"/>
  <c r="E159"/>
  <c r="E158"/>
  <c r="F158" s="1"/>
  <c r="G153"/>
  <c r="F153"/>
  <c r="E153"/>
  <c r="E152"/>
  <c r="F152" s="1"/>
  <c r="F148"/>
  <c r="G148" s="1"/>
  <c r="F147"/>
  <c r="G147" s="1"/>
  <c r="F146"/>
  <c r="G146" s="1"/>
  <c r="F144"/>
  <c r="G144" s="1"/>
  <c r="F143"/>
  <c r="G143" s="1"/>
  <c r="F142"/>
  <c r="G142" s="1"/>
  <c r="E140"/>
  <c r="E167" s="1"/>
  <c r="F133"/>
  <c r="G133" s="1"/>
  <c r="F132"/>
  <c r="G132" s="1"/>
  <c r="F128"/>
  <c r="G128" s="1"/>
  <c r="F127"/>
  <c r="G127" s="1"/>
  <c r="F123"/>
  <c r="G123" s="1"/>
  <c r="F122"/>
  <c r="G122" s="1"/>
  <c r="F118"/>
  <c r="G118" s="1"/>
  <c r="F117"/>
  <c r="G117" s="1"/>
  <c r="F116"/>
  <c r="G116" s="1"/>
  <c r="F114"/>
  <c r="G114" s="1"/>
  <c r="F113"/>
  <c r="G113" s="1"/>
  <c r="F112"/>
  <c r="G112" s="1"/>
  <c r="F103"/>
  <c r="G103" s="1"/>
  <c r="F102"/>
  <c r="G102" s="1"/>
  <c r="F100"/>
  <c r="G100" s="1"/>
  <c r="F98"/>
  <c r="G98" s="1"/>
  <c r="F91"/>
  <c r="G91" s="1"/>
  <c r="F90"/>
  <c r="G90" s="1"/>
  <c r="F88"/>
  <c r="G88" s="1"/>
  <c r="F86"/>
  <c r="G86" s="1"/>
  <c r="F78"/>
  <c r="G78" s="1"/>
  <c r="F77"/>
  <c r="G77" s="1"/>
  <c r="F70"/>
  <c r="G70" s="1"/>
  <c r="F62"/>
  <c r="G62" s="1"/>
  <c r="F54"/>
  <c r="G54" s="1"/>
  <c r="G48"/>
  <c r="G49" s="1"/>
  <c r="K49" i="132" s="1"/>
  <c r="G43" i="214"/>
  <c r="G44" s="1"/>
  <c r="K14" i="132" s="1"/>
  <c r="F31" i="214"/>
  <c r="G31" s="1"/>
  <c r="E29"/>
  <c r="F26"/>
  <c r="G26" s="1"/>
  <c r="E24"/>
  <c r="F21"/>
  <c r="G21" s="1"/>
  <c r="E19"/>
  <c r="F16"/>
  <c r="G16" s="1"/>
  <c r="E14"/>
  <c r="F11"/>
  <c r="G11" s="1"/>
  <c r="E9"/>
  <c r="F4"/>
  <c r="A2"/>
  <c r="G25" i="212"/>
  <c r="F25"/>
  <c r="F24"/>
  <c r="G23"/>
  <c r="G22"/>
  <c r="G21"/>
  <c r="G20"/>
  <c r="I20" s="1"/>
  <c r="G19"/>
  <c r="I19" s="1"/>
  <c r="G18"/>
  <c r="I18" s="1"/>
  <c r="G17"/>
  <c r="I17" s="1"/>
  <c r="D17"/>
  <c r="D18" s="1"/>
  <c r="D19" s="1"/>
  <c r="D20" s="1"/>
  <c r="D21" s="1"/>
  <c r="D22" s="1"/>
  <c r="G16"/>
  <c r="I16" s="1"/>
  <c r="E17"/>
  <c r="K15"/>
  <c r="J15"/>
  <c r="G15"/>
  <c r="F15"/>
  <c r="G14"/>
  <c r="G13"/>
  <c r="D13"/>
  <c r="D14" s="1"/>
  <c r="G12"/>
  <c r="E13"/>
  <c r="E14" s="1"/>
  <c r="G11"/>
  <c r="L11" s="1"/>
  <c r="G10"/>
  <c r="I10" s="1"/>
  <c r="G9"/>
  <c r="G8"/>
  <c r="L8" s="1"/>
  <c r="R193" i="211"/>
  <c r="M193"/>
  <c r="R192"/>
  <c r="M192"/>
  <c r="R191"/>
  <c r="M191"/>
  <c r="J48"/>
  <c r="J184" s="1"/>
  <c r="A2"/>
  <c r="A2" i="264" s="1"/>
  <c r="H71" i="216" l="1"/>
  <c r="G392" i="214"/>
  <c r="F819"/>
  <c r="G819" s="1"/>
  <c r="G820" s="1"/>
  <c r="G821" s="1"/>
  <c r="F834" s="1"/>
  <c r="G834" s="1"/>
  <c r="G841" s="1"/>
  <c r="K3615" i="132"/>
  <c r="M3615" s="1"/>
  <c r="K3625"/>
  <c r="M3625" s="1"/>
  <c r="K3648"/>
  <c r="M3648" s="1"/>
  <c r="K3653"/>
  <c r="M3653" s="1"/>
  <c r="K3703"/>
  <c r="M3703" s="1"/>
  <c r="K3718"/>
  <c r="M3718" s="1"/>
  <c r="K3744"/>
  <c r="M3744" s="1"/>
  <c r="K3698"/>
  <c r="M3698" s="1"/>
  <c r="K3708"/>
  <c r="M3708" s="1"/>
  <c r="K3723"/>
  <c r="M3723" s="1"/>
  <c r="K3801"/>
  <c r="M3801" s="1"/>
  <c r="K3791"/>
  <c r="M3791" s="1"/>
  <c r="K3110"/>
  <c r="M3110" s="1"/>
  <c r="K3079"/>
  <c r="M3079" s="1"/>
  <c r="K3089"/>
  <c r="M3089" s="1"/>
  <c r="K3074"/>
  <c r="M3074" s="1"/>
  <c r="K3054"/>
  <c r="M3054" s="1"/>
  <c r="K3044"/>
  <c r="M3044" s="1"/>
  <c r="K3064"/>
  <c r="M3064" s="1"/>
  <c r="K3128"/>
  <c r="M3128" s="1"/>
  <c r="K3130"/>
  <c r="M3130" s="1"/>
  <c r="K3146"/>
  <c r="M3146" s="1"/>
  <c r="K3151"/>
  <c r="M3151" s="1"/>
  <c r="K3161"/>
  <c r="M3161" s="1"/>
  <c r="K3176"/>
  <c r="M3176" s="1"/>
  <c r="K3105"/>
  <c r="M3105" s="1"/>
  <c r="K3084"/>
  <c r="M3084" s="1"/>
  <c r="K3095"/>
  <c r="M3095" s="1"/>
  <c r="K3069"/>
  <c r="M3069" s="1"/>
  <c r="K3049"/>
  <c r="M3049" s="1"/>
  <c r="K3059"/>
  <c r="M3059" s="1"/>
  <c r="K3129"/>
  <c r="M3129" s="1"/>
  <c r="K3136"/>
  <c r="M3136" s="1"/>
  <c r="K3166"/>
  <c r="M3166" s="1"/>
  <c r="K3156"/>
  <c r="M3156" s="1"/>
  <c r="K3171"/>
  <c r="M3171" s="1"/>
  <c r="K3120"/>
  <c r="M3120" s="1"/>
  <c r="K2560"/>
  <c r="M2560" s="1"/>
  <c r="K2564"/>
  <c r="M2564" s="1"/>
  <c r="K2568"/>
  <c r="M2568" s="1"/>
  <c r="K2626"/>
  <c r="M2626" s="1"/>
  <c r="F829" i="214"/>
  <c r="F869"/>
  <c r="F427"/>
  <c r="G510"/>
  <c r="F223"/>
  <c r="G223"/>
  <c r="G208"/>
  <c r="G195"/>
  <c r="F208"/>
  <c r="F202"/>
  <c r="G188"/>
  <c r="G251"/>
  <c r="G375"/>
  <c r="G271"/>
  <c r="G530"/>
  <c r="F12" i="305"/>
  <c r="G12" s="1"/>
  <c r="I13" i="309"/>
  <c r="F209" i="305"/>
  <c r="G209" s="1"/>
  <c r="I210" i="309"/>
  <c r="F221" i="305"/>
  <c r="G221" s="1"/>
  <c r="I222" i="309"/>
  <c r="F225" i="305"/>
  <c r="G225" s="1"/>
  <c r="I226" i="309"/>
  <c r="F8" i="305"/>
  <c r="I9" i="309"/>
  <c r="F217" i="305"/>
  <c r="G217" s="1"/>
  <c r="I218" i="309"/>
  <c r="F229" i="305"/>
  <c r="G229" s="1"/>
  <c r="I230" i="309"/>
  <c r="E120" i="218"/>
  <c r="G120" s="1"/>
  <c r="G124" s="1"/>
  <c r="G116"/>
  <c r="J186" i="211"/>
  <c r="F650" i="305"/>
  <c r="G650" s="1"/>
  <c r="C110" i="165"/>
  <c r="E89" i="139"/>
  <c r="G23" i="218"/>
  <c r="G25" s="1"/>
  <c r="H12" i="216"/>
  <c r="F15" s="1"/>
  <c r="H15" s="1"/>
  <c r="F771" i="214"/>
  <c r="G771" s="1"/>
  <c r="D8" i="165"/>
  <c r="F20" i="139" s="1"/>
  <c r="L23" i="212"/>
  <c r="F746" i="214" s="1"/>
  <c r="G746" s="1"/>
  <c r="L24" i="212"/>
  <c r="F64" i="214" s="1"/>
  <c r="G64" s="1"/>
  <c r="G65" s="1"/>
  <c r="G66" s="1"/>
  <c r="K189" i="132" s="1"/>
  <c r="L25" i="212"/>
  <c r="F72" i="214" s="1"/>
  <c r="G72" s="1"/>
  <c r="G73" s="1"/>
  <c r="G74" s="1"/>
  <c r="E216" i="195"/>
  <c r="F216" s="1"/>
  <c r="J216" s="1"/>
  <c r="M2350" i="132"/>
  <c r="I218" i="140"/>
  <c r="J218" s="1"/>
  <c r="G794" i="214"/>
  <c r="G858"/>
  <c r="H22" i="216"/>
  <c r="I143" i="215"/>
  <c r="I144" s="1"/>
  <c r="I145" s="1"/>
  <c r="I146" s="1"/>
  <c r="I126"/>
  <c r="F809" i="214"/>
  <c r="G809" s="1"/>
  <c r="G844"/>
  <c r="G888"/>
  <c r="K2373" i="132" s="1"/>
  <c r="I206" i="309" s="1"/>
  <c r="G320" i="214"/>
  <c r="F551"/>
  <c r="F186"/>
  <c r="C599" i="195"/>
  <c r="I599" s="1"/>
  <c r="G603" i="140"/>
  <c r="G595"/>
  <c r="C591" i="195"/>
  <c r="I591" s="1"/>
  <c r="C583"/>
  <c r="I583" s="1"/>
  <c r="G587" i="140"/>
  <c r="C668" i="195"/>
  <c r="I668" s="1"/>
  <c r="G674" i="140"/>
  <c r="C620" i="195"/>
  <c r="I620" s="1"/>
  <c r="G624" i="140"/>
  <c r="C644" i="195"/>
  <c r="I644" s="1"/>
  <c r="G649" i="140"/>
  <c r="G636"/>
  <c r="C632" i="195"/>
  <c r="I632" s="1"/>
  <c r="C889"/>
  <c r="I889" s="1"/>
  <c r="G899" i="140"/>
  <c r="C224" i="195"/>
  <c r="I224" s="1"/>
  <c r="G226" i="140"/>
  <c r="C196" i="195"/>
  <c r="I196" s="1"/>
  <c r="G206" i="140"/>
  <c r="C228" i="195"/>
  <c r="I228" s="1"/>
  <c r="G230" i="140"/>
  <c r="C220" i="195"/>
  <c r="I220" s="1"/>
  <c r="G222" i="140"/>
  <c r="G847"/>
  <c r="C837" i="195"/>
  <c r="I837" s="1"/>
  <c r="C817"/>
  <c r="I817" s="1"/>
  <c r="G831" i="140"/>
  <c r="C765" i="195"/>
  <c r="I765" s="1"/>
  <c r="G775" i="140"/>
  <c r="G542"/>
  <c r="C543" i="195"/>
  <c r="I543" s="1"/>
  <c r="C535"/>
  <c r="I535" s="1"/>
  <c r="G534" i="140"/>
  <c r="G530"/>
  <c r="C531" i="195"/>
  <c r="I531" s="1"/>
  <c r="G501" i="140"/>
  <c r="C494" i="195"/>
  <c r="I494" s="1"/>
  <c r="E158" i="196" s="1"/>
  <c r="E37" i="211"/>
  <c r="C462" i="195"/>
  <c r="I462" s="1"/>
  <c r="E74" i="196" s="1"/>
  <c r="G465" i="140"/>
  <c r="E36" i="211"/>
  <c r="E24"/>
  <c r="C430" i="195"/>
  <c r="C418"/>
  <c r="I418" s="1"/>
  <c r="E78" i="196" s="1"/>
  <c r="G421" i="140"/>
  <c r="C414" i="195"/>
  <c r="I414" s="1"/>
  <c r="E70" i="196" s="1"/>
  <c r="G417" i="140"/>
  <c r="E23" i="211"/>
  <c r="C394" i="195"/>
  <c r="I394" s="1"/>
  <c r="E54" i="196" s="1"/>
  <c r="G397" i="140"/>
  <c r="E18" i="211"/>
  <c r="D17"/>
  <c r="G256" i="140"/>
  <c r="C253" i="195"/>
  <c r="I253" s="1"/>
  <c r="D46" i="196" s="1"/>
  <c r="D16" i="211"/>
  <c r="C249" i="195"/>
  <c r="I249" s="1"/>
  <c r="D54" i="196" s="1"/>
  <c r="G252" i="140"/>
  <c r="D18" i="211"/>
  <c r="C237" i="195"/>
  <c r="I237" s="1"/>
  <c r="D34" i="196" s="1"/>
  <c r="G240" i="140"/>
  <c r="C24" i="211"/>
  <c r="G74" i="140"/>
  <c r="C18" i="211"/>
  <c r="C17"/>
  <c r="C36" i="195"/>
  <c r="I36" s="1"/>
  <c r="G46" i="140"/>
  <c r="C44" i="195"/>
  <c r="I44" s="1"/>
  <c r="C30" i="196" s="1"/>
  <c r="F30" s="1"/>
  <c r="G38" i="140"/>
  <c r="C12" i="211"/>
  <c r="F12" s="1"/>
  <c r="L12" s="1"/>
  <c r="I13" i="132"/>
  <c r="G686" i="140"/>
  <c r="C680" i="195"/>
  <c r="I680" s="1"/>
  <c r="G645" i="140"/>
  <c r="C640" i="195"/>
  <c r="I640" s="1"/>
  <c r="C676"/>
  <c r="I676" s="1"/>
  <c r="G682" i="140"/>
  <c r="C40" i="211"/>
  <c r="H21" i="216"/>
  <c r="H24"/>
  <c r="L24" s="1"/>
  <c r="L25" s="1"/>
  <c r="G783" i="140"/>
  <c r="C769" i="195"/>
  <c r="I769" s="1"/>
  <c r="C309"/>
  <c r="I309" s="1"/>
  <c r="D118" i="196" s="1"/>
  <c r="F118" s="1"/>
  <c r="K118" s="1"/>
  <c r="G312" i="140"/>
  <c r="C575" i="195"/>
  <c r="I575" s="1"/>
  <c r="G579" i="140"/>
  <c r="C587" i="195"/>
  <c r="I587" s="1"/>
  <c r="G591" i="140"/>
  <c r="F154" i="214"/>
  <c r="C793" i="195"/>
  <c r="I793" s="1"/>
  <c r="G807" i="140"/>
  <c r="G9" i="218"/>
  <c r="G11" s="1"/>
  <c r="G103"/>
  <c r="G105" s="1"/>
  <c r="G106" s="1"/>
  <c r="G201" i="214"/>
  <c r="G202" s="1"/>
  <c r="E249"/>
  <c r="F249" s="1"/>
  <c r="G442"/>
  <c r="G474"/>
  <c r="G566"/>
  <c r="F600"/>
  <c r="H17" i="216"/>
  <c r="H18"/>
  <c r="H19"/>
  <c r="H20"/>
  <c r="L10" i="212"/>
  <c r="L15"/>
  <c r="F398" i="214" s="1"/>
  <c r="G398" s="1"/>
  <c r="G158"/>
  <c r="E201"/>
  <c r="H147" i="216"/>
  <c r="H210"/>
  <c r="G222"/>
  <c r="H222" s="1"/>
  <c r="H213"/>
  <c r="G225"/>
  <c r="H225" s="1"/>
  <c r="H215"/>
  <c r="G227"/>
  <c r="H227" s="1"/>
  <c r="H209"/>
  <c r="G221"/>
  <c r="H221" s="1"/>
  <c r="H212"/>
  <c r="G224"/>
  <c r="H224" s="1"/>
  <c r="H214"/>
  <c r="G226"/>
  <c r="H226" s="1"/>
  <c r="H216"/>
  <c r="G228"/>
  <c r="H228" s="1"/>
  <c r="H33"/>
  <c r="H34"/>
  <c r="H42"/>
  <c r="H174"/>
  <c r="H211"/>
  <c r="G922" i="214"/>
  <c r="C539" i="195"/>
  <c r="I539" s="1"/>
  <c r="G538" i="140"/>
  <c r="H86" i="216"/>
  <c r="F89" s="1"/>
  <c r="F339" i="214"/>
  <c r="E340" s="1"/>
  <c r="G458"/>
  <c r="G490"/>
  <c r="C893" i="195"/>
  <c r="I893" s="1"/>
  <c r="G903" i="140"/>
  <c r="C885" i="195"/>
  <c r="I885" s="1"/>
  <c r="G895" i="140"/>
  <c r="G887"/>
  <c r="C877" i="195"/>
  <c r="I877" s="1"/>
  <c r="C547"/>
  <c r="I547" s="1"/>
  <c r="G546" i="140"/>
  <c r="C555" i="195"/>
  <c r="I555" s="1"/>
  <c r="G558" i="140"/>
  <c r="H31" i="216"/>
  <c r="F32" s="1"/>
  <c r="H32" s="1"/>
  <c r="H105"/>
  <c r="F108" s="1"/>
  <c r="H108" s="1"/>
  <c r="C761" i="195"/>
  <c r="I761" s="1"/>
  <c r="G771" i="140"/>
  <c r="I228" i="215"/>
  <c r="I37"/>
  <c r="I38" s="1"/>
  <c r="I206"/>
  <c r="I215"/>
  <c r="I241"/>
  <c r="I262"/>
  <c r="I43"/>
  <c r="I44" s="1"/>
  <c r="H53"/>
  <c r="I53" s="1"/>
  <c r="I55" s="1"/>
  <c r="C757" i="195"/>
  <c r="I757" s="1"/>
  <c r="G767" i="140"/>
  <c r="C753" i="195"/>
  <c r="I753" s="1"/>
  <c r="G763" i="140"/>
  <c r="C861" i="195"/>
  <c r="I861" s="1"/>
  <c r="G871" i="140"/>
  <c r="E728" i="195"/>
  <c r="F728" s="1"/>
  <c r="J728" s="1"/>
  <c r="C857"/>
  <c r="I857" s="1"/>
  <c r="G867" i="140"/>
  <c r="C853" i="195"/>
  <c r="I853" s="1"/>
  <c r="G863" i="140"/>
  <c r="C841" i="195"/>
  <c r="I841" s="1"/>
  <c r="G851" i="140"/>
  <c r="C337" i="195"/>
  <c r="I337" s="1"/>
  <c r="D142" i="196" s="1"/>
  <c r="D40" i="211"/>
  <c r="G705" i="140"/>
  <c r="C696" i="195"/>
  <c r="C692"/>
  <c r="G701" i="140"/>
  <c r="H206" i="216"/>
  <c r="H67"/>
  <c r="F70" s="1"/>
  <c r="H70" s="1"/>
  <c r="H163"/>
  <c r="F164" s="1"/>
  <c r="H164" s="1"/>
  <c r="I15" i="215"/>
  <c r="I16" s="1"/>
  <c r="I95"/>
  <c r="I96" s="1"/>
  <c r="I117"/>
  <c r="I134"/>
  <c r="I163"/>
  <c r="I164" s="1"/>
  <c r="I173"/>
  <c r="I174" s="1"/>
  <c r="I184"/>
  <c r="I185" s="1"/>
  <c r="I194"/>
  <c r="I222"/>
  <c r="I252"/>
  <c r="F8" i="139"/>
  <c r="E12" i="195"/>
  <c r="I13" i="140"/>
  <c r="M2413" i="132"/>
  <c r="E220" i="195"/>
  <c r="I222" i="140"/>
  <c r="E224" i="195"/>
  <c r="I226" i="140"/>
  <c r="M2453" i="132"/>
  <c r="E228" i="195"/>
  <c r="I230" i="140"/>
  <c r="F7" i="139"/>
  <c r="E8" i="195"/>
  <c r="I9" i="140"/>
  <c r="M2393" i="132"/>
  <c r="E200" i="195"/>
  <c r="F200" s="1"/>
  <c r="J200" s="1"/>
  <c r="I210" i="140"/>
  <c r="G215" i="214"/>
  <c r="F242"/>
  <c r="F325"/>
  <c r="E326" s="1"/>
  <c r="G326" s="1"/>
  <c r="F440"/>
  <c r="F456"/>
  <c r="F472"/>
  <c r="F488"/>
  <c r="T21" i="211"/>
  <c r="T22" s="1"/>
  <c r="Q26" i="196"/>
  <c r="G759" i="214"/>
  <c r="C518" i="195"/>
  <c r="G521" i="140"/>
  <c r="I349" i="195"/>
  <c r="D154" i="196" s="1"/>
  <c r="I333" i="195"/>
  <c r="D138" i="196" s="1"/>
  <c r="I301" i="195"/>
  <c r="D110" i="196" s="1"/>
  <c r="I369" i="195"/>
  <c r="I353"/>
  <c r="D158" i="196" s="1"/>
  <c r="I329" i="195"/>
  <c r="D134" i="196" s="1"/>
  <c r="I289" i="195"/>
  <c r="D98" i="196" s="1"/>
  <c r="C377" i="195"/>
  <c r="G380" i="140"/>
  <c r="I365" i="195"/>
  <c r="I373"/>
  <c r="I317"/>
  <c r="D126" i="196" s="1"/>
  <c r="I281" i="195"/>
  <c r="D94" i="196" s="1"/>
  <c r="I325" i="195"/>
  <c r="D130" i="196" s="1"/>
  <c r="I313" i="195"/>
  <c r="D122" i="196" s="1"/>
  <c r="I265" i="195"/>
  <c r="D66" i="196" s="1"/>
  <c r="C232" i="195"/>
  <c r="G234" i="140"/>
  <c r="C16" i="195"/>
  <c r="G17" i="140"/>
  <c r="C23" i="211"/>
  <c r="C88" i="195"/>
  <c r="G90" i="140"/>
  <c r="C26" i="211"/>
  <c r="C104" i="195"/>
  <c r="G106" i="140"/>
  <c r="G114"/>
  <c r="C112" i="195"/>
  <c r="C124"/>
  <c r="G126" i="140"/>
  <c r="C35" i="211"/>
  <c r="F35" s="1"/>
  <c r="S35" s="1"/>
  <c r="C140" i="195"/>
  <c r="G142" i="140"/>
  <c r="C152" i="195"/>
  <c r="G154" i="140"/>
  <c r="C168" i="195"/>
  <c r="G170" i="140"/>
  <c r="C192" i="195"/>
  <c r="G202" i="140"/>
  <c r="I200" i="195"/>
  <c r="C80"/>
  <c r="G82" i="140"/>
  <c r="C84" i="195"/>
  <c r="C22" i="211"/>
  <c r="F22" s="1"/>
  <c r="L22" s="1"/>
  <c r="C27"/>
  <c r="F27" s="1"/>
  <c r="Q27" s="1"/>
  <c r="G110" i="140"/>
  <c r="C108" i="195"/>
  <c r="C34" i="211"/>
  <c r="F34" s="1"/>
  <c r="S34" s="1"/>
  <c r="C136" i="195"/>
  <c r="G138" i="140"/>
  <c r="C37" i="211"/>
  <c r="C144" i="195"/>
  <c r="G146" i="140"/>
  <c r="C38" i="211"/>
  <c r="C148" i="195"/>
  <c r="G150" i="140"/>
  <c r="C184" i="195"/>
  <c r="G194" i="140"/>
  <c r="G198"/>
  <c r="C188" i="195"/>
  <c r="H79" i="216"/>
  <c r="H90"/>
  <c r="H98"/>
  <c r="H110"/>
  <c r="H111"/>
  <c r="H112"/>
  <c r="H113"/>
  <c r="H114"/>
  <c r="H115"/>
  <c r="G155"/>
  <c r="H155" s="1"/>
  <c r="H127"/>
  <c r="F28" i="211"/>
  <c r="Q28" s="1"/>
  <c r="F31"/>
  <c r="F33"/>
  <c r="C21"/>
  <c r="M2433" i="132"/>
  <c r="H9" i="211"/>
  <c r="S9"/>
  <c r="T36"/>
  <c r="T12"/>
  <c r="T13"/>
  <c r="T14"/>
  <c r="T15"/>
  <c r="F14" i="212"/>
  <c r="L14" s="1"/>
  <c r="F13"/>
  <c r="L13" s="1"/>
  <c r="G79" i="214"/>
  <c r="G80" s="1"/>
  <c r="K293" i="132" s="1"/>
  <c r="H29" i="215"/>
  <c r="I29" s="1"/>
  <c r="I30" s="1"/>
  <c r="I31" s="1"/>
  <c r="F737" i="214"/>
  <c r="G737" s="1"/>
  <c r="F722"/>
  <c r="F703"/>
  <c r="F686"/>
  <c r="F665"/>
  <c r="F397"/>
  <c r="G397" s="1"/>
  <c r="F363"/>
  <c r="G363" s="1"/>
  <c r="F747"/>
  <c r="F588"/>
  <c r="F538"/>
  <c r="G538" s="1"/>
  <c r="F496"/>
  <c r="F380"/>
  <c r="G380" s="1"/>
  <c r="F353"/>
  <c r="G353" s="1"/>
  <c r="F110"/>
  <c r="G110" s="1"/>
  <c r="F83"/>
  <c r="F230"/>
  <c r="F167"/>
  <c r="F258" s="1"/>
  <c r="F140"/>
  <c r="F29"/>
  <c r="G29" s="1"/>
  <c r="F24"/>
  <c r="G24" s="1"/>
  <c r="F19"/>
  <c r="G19" s="1"/>
  <c r="F14"/>
  <c r="G14" s="1"/>
  <c r="F9"/>
  <c r="G9" s="1"/>
  <c r="F308"/>
  <c r="F303"/>
  <c r="G303" s="1"/>
  <c r="G306" s="1"/>
  <c r="F290"/>
  <c r="G290" s="1"/>
  <c r="G298" s="1"/>
  <c r="G299" s="1"/>
  <c r="F364"/>
  <c r="G364" s="1"/>
  <c r="E18" i="212"/>
  <c r="F17"/>
  <c r="L17" s="1"/>
  <c r="E34" i="214" s="1"/>
  <c r="F34" s="1"/>
  <c r="K213" i="132"/>
  <c r="E200" i="214"/>
  <c r="F193"/>
  <c r="G427"/>
  <c r="G619"/>
  <c r="F619"/>
  <c r="G640"/>
  <c r="F696"/>
  <c r="G696"/>
  <c r="F714"/>
  <c r="G714"/>
  <c r="F731"/>
  <c r="G731"/>
  <c r="I9" i="212"/>
  <c r="L9" s="1"/>
  <c r="D94" i="165" s="1"/>
  <c r="F12" i="212"/>
  <c r="L12" s="1"/>
  <c r="F16"/>
  <c r="L16" s="1"/>
  <c r="G152" i="214"/>
  <c r="G179"/>
  <c r="F181"/>
  <c r="G206"/>
  <c r="G244"/>
  <c r="F271"/>
  <c r="F285"/>
  <c r="G409"/>
  <c r="G581"/>
  <c r="F658"/>
  <c r="I51" i="215"/>
  <c r="I74"/>
  <c r="I108"/>
  <c r="I109" s="1"/>
  <c r="I233"/>
  <c r="H279"/>
  <c r="I279" s="1"/>
  <c r="I281" s="1"/>
  <c r="H43" i="216"/>
  <c r="H217"/>
  <c r="H218" s="1"/>
  <c r="G67" i="218"/>
  <c r="G69" s="1"/>
  <c r="E230" i="214"/>
  <c r="G160"/>
  <c r="G154"/>
  <c r="F215"/>
  <c r="F188"/>
  <c r="G181"/>
  <c r="F244"/>
  <c r="G340"/>
  <c r="E341"/>
  <c r="G341" s="1"/>
  <c r="F375"/>
  <c r="F678"/>
  <c r="G678"/>
  <c r="F160"/>
  <c r="F195"/>
  <c r="F250"/>
  <c r="F251" s="1"/>
  <c r="G285"/>
  <c r="F409"/>
  <c r="F640"/>
  <c r="G658"/>
  <c r="H89" i="216"/>
  <c r="H136"/>
  <c r="G140" i="214"/>
  <c r="G186"/>
  <c r="F373"/>
  <c r="F392"/>
  <c r="F442"/>
  <c r="F458"/>
  <c r="F474"/>
  <c r="F490"/>
  <c r="F510"/>
  <c r="F530"/>
  <c r="F566"/>
  <c r="F581"/>
  <c r="G600"/>
  <c r="G688"/>
  <c r="F759"/>
  <c r="F790"/>
  <c r="G790" s="1"/>
  <c r="G791" s="1"/>
  <c r="E793" s="1"/>
  <c r="F794"/>
  <c r="F805"/>
  <c r="G805" s="1"/>
  <c r="G806" s="1"/>
  <c r="E808" s="1"/>
  <c r="G829"/>
  <c r="G830" s="1"/>
  <c r="G831" s="1"/>
  <c r="F848" s="1"/>
  <c r="G848" s="1"/>
  <c r="G855" s="1"/>
  <c r="F844"/>
  <c r="F858"/>
  <c r="G869"/>
  <c r="G876" s="1"/>
  <c r="G877" s="1"/>
  <c r="K2323" i="132" s="1"/>
  <c r="I209" i="215"/>
  <c r="I210" s="1"/>
  <c r="G72" i="216"/>
  <c r="G73"/>
  <c r="G74"/>
  <c r="G75"/>
  <c r="G76"/>
  <c r="G77"/>
  <c r="F705" i="214"/>
  <c r="G705" s="1"/>
  <c r="C114" i="165" l="1"/>
  <c r="C115" s="1"/>
  <c r="C119" s="1"/>
  <c r="H137" i="216"/>
  <c r="H156"/>
  <c r="E877" i="195"/>
  <c r="F877" s="1"/>
  <c r="J877" s="1"/>
  <c r="I665" i="140"/>
  <c r="J665" s="1"/>
  <c r="E648" i="195"/>
  <c r="F648" s="1"/>
  <c r="J648" s="1"/>
  <c r="E801"/>
  <c r="F801" s="1"/>
  <c r="J801" s="1"/>
  <c r="E769"/>
  <c r="F769" s="1"/>
  <c r="J769" s="1"/>
  <c r="I628" i="140"/>
  <c r="J628" s="1"/>
  <c r="E724" i="195"/>
  <c r="F724" s="1"/>
  <c r="J724" s="1"/>
  <c r="E688"/>
  <c r="F688" s="1"/>
  <c r="J688" s="1"/>
  <c r="E825"/>
  <c r="F825" s="1"/>
  <c r="J825" s="1"/>
  <c r="E753"/>
  <c r="F753" s="1"/>
  <c r="J753" s="1"/>
  <c r="E813"/>
  <c r="F813" s="1"/>
  <c r="J813" s="1"/>
  <c r="I649" i="140"/>
  <c r="J649" s="1"/>
  <c r="I717"/>
  <c r="J717" s="1"/>
  <c r="E620" i="195"/>
  <c r="E668"/>
  <c r="F668" s="1"/>
  <c r="J668" s="1"/>
  <c r="I729" i="140"/>
  <c r="J729" s="1"/>
  <c r="I835"/>
  <c r="J835" s="1"/>
  <c r="I815"/>
  <c r="J815" s="1"/>
  <c r="I763"/>
  <c r="J763" s="1"/>
  <c r="I887"/>
  <c r="J887" s="1"/>
  <c r="I827"/>
  <c r="J827" s="1"/>
  <c r="I783"/>
  <c r="J783" s="1"/>
  <c r="E624" i="195"/>
  <c r="F624" s="1"/>
  <c r="J624" s="1"/>
  <c r="E644"/>
  <c r="F644" s="1"/>
  <c r="J644" s="1"/>
  <c r="E660"/>
  <c r="F660" s="1"/>
  <c r="J660" s="1"/>
  <c r="E708"/>
  <c r="F708" s="1"/>
  <c r="J708" s="1"/>
  <c r="I624" i="140"/>
  <c r="J624" s="1"/>
  <c r="I653"/>
  <c r="J653" s="1"/>
  <c r="I674"/>
  <c r="J674" s="1"/>
  <c r="I697"/>
  <c r="E692" i="195"/>
  <c r="F692" s="1"/>
  <c r="J692" s="1"/>
  <c r="E720"/>
  <c r="F720" s="1"/>
  <c r="J720" s="1"/>
  <c r="G9" i="309"/>
  <c r="C9" s="1"/>
  <c r="D8" i="305"/>
  <c r="G8" s="1"/>
  <c r="E805" i="195"/>
  <c r="F805" s="1"/>
  <c r="J805" s="1"/>
  <c r="I686" i="140"/>
  <c r="J686" s="1"/>
  <c r="I636"/>
  <c r="J636" s="1"/>
  <c r="F577" i="305"/>
  <c r="G577" s="1"/>
  <c r="E889" i="195"/>
  <c r="F889" s="1"/>
  <c r="J889" s="1"/>
  <c r="E761"/>
  <c r="F761" s="1"/>
  <c r="J761" s="1"/>
  <c r="E640"/>
  <c r="F640" s="1"/>
  <c r="J640" s="1"/>
  <c r="E716"/>
  <c r="F716" s="1"/>
  <c r="J716" s="1"/>
  <c r="I741" i="140"/>
  <c r="J741" s="1"/>
  <c r="E676" i="195"/>
  <c r="F676" s="1"/>
  <c r="J676" s="1"/>
  <c r="E696"/>
  <c r="F696" s="1"/>
  <c r="J696" s="1"/>
  <c r="F626" i="305"/>
  <c r="G626" s="1"/>
  <c r="F808"/>
  <c r="G808" s="1"/>
  <c r="F569"/>
  <c r="G569" s="1"/>
  <c r="F711"/>
  <c r="J711" s="1"/>
  <c r="I851" i="140"/>
  <c r="J851" s="1"/>
  <c r="E809" i="195"/>
  <c r="F809" s="1"/>
  <c r="J809" s="1"/>
  <c r="E745"/>
  <c r="I641" i="140"/>
  <c r="J641" s="1"/>
  <c r="I657"/>
  <c r="J657" s="1"/>
  <c r="E700" i="195"/>
  <c r="F700" s="1"/>
  <c r="J700" s="1"/>
  <c r="I632" i="140"/>
  <c r="J632" s="1"/>
  <c r="I661"/>
  <c r="J661" s="1"/>
  <c r="E712" i="195"/>
  <c r="F712" s="1"/>
  <c r="J712" s="1"/>
  <c r="I899" i="140"/>
  <c r="J899" s="1"/>
  <c r="E841" i="195"/>
  <c r="F841" s="1"/>
  <c r="J841" s="1"/>
  <c r="I819" i="140"/>
  <c r="J819" s="1"/>
  <c r="I823"/>
  <c r="J823" s="1"/>
  <c r="I771"/>
  <c r="J771" s="1"/>
  <c r="I755"/>
  <c r="E636" i="195"/>
  <c r="F636" s="1"/>
  <c r="J636" s="1"/>
  <c r="I645" i="140"/>
  <c r="J645" s="1"/>
  <c r="E652" i="195"/>
  <c r="F652" s="1"/>
  <c r="J652" s="1"/>
  <c r="E680"/>
  <c r="F680" s="1"/>
  <c r="J680" s="1"/>
  <c r="I709" i="140"/>
  <c r="J709" s="1"/>
  <c r="E732" i="195"/>
  <c r="F732" s="1"/>
  <c r="J732" s="1"/>
  <c r="E628"/>
  <c r="F628" s="1"/>
  <c r="J628" s="1"/>
  <c r="E632"/>
  <c r="F632" s="1"/>
  <c r="J632" s="1"/>
  <c r="E656"/>
  <c r="F656" s="1"/>
  <c r="J656" s="1"/>
  <c r="I682" i="140"/>
  <c r="J682" s="1"/>
  <c r="I705"/>
  <c r="J705" s="1"/>
  <c r="I721"/>
  <c r="J721" s="1"/>
  <c r="F573" i="305"/>
  <c r="G573" s="1"/>
  <c r="F880"/>
  <c r="G880" s="1"/>
  <c r="F776"/>
  <c r="G776" s="1"/>
  <c r="F727"/>
  <c r="J727" s="1"/>
  <c r="F671"/>
  <c r="G671" s="1"/>
  <c r="F622"/>
  <c r="G622" s="1"/>
  <c r="F828"/>
  <c r="G828" s="1"/>
  <c r="F820"/>
  <c r="G820" s="1"/>
  <c r="F756"/>
  <c r="G756" s="1"/>
  <c r="F731"/>
  <c r="J731" s="1"/>
  <c r="F695"/>
  <c r="J695" s="1"/>
  <c r="F662"/>
  <c r="G662" s="1"/>
  <c r="F723"/>
  <c r="J723" s="1"/>
  <c r="F691"/>
  <c r="J691" s="1"/>
  <c r="F646"/>
  <c r="G646" s="1"/>
  <c r="K3667" i="132"/>
  <c r="M3667" s="1"/>
  <c r="K3607"/>
  <c r="M3607" s="1"/>
  <c r="K3807"/>
  <c r="M3807" s="1"/>
  <c r="K3749"/>
  <c r="M3749" s="1"/>
  <c r="K3688"/>
  <c r="M3688" s="1"/>
  <c r="K3739"/>
  <c r="M3739" s="1"/>
  <c r="K3754"/>
  <c r="M3754" s="1"/>
  <c r="K3764"/>
  <c r="M3764" s="1"/>
  <c r="K3759"/>
  <c r="M3759" s="1"/>
  <c r="K3713"/>
  <c r="M3713" s="1"/>
  <c r="K3774"/>
  <c r="M3774" s="1"/>
  <c r="K3693"/>
  <c r="M3693" s="1"/>
  <c r="K3683"/>
  <c r="M3683" s="1"/>
  <c r="K3734"/>
  <c r="M3734" s="1"/>
  <c r="K3602"/>
  <c r="M3602" s="1"/>
  <c r="K3638"/>
  <c r="M3638" s="1"/>
  <c r="K3812"/>
  <c r="M3812" s="1"/>
  <c r="K3769"/>
  <c r="M3769" s="1"/>
  <c r="K3620"/>
  <c r="M3620" s="1"/>
  <c r="K3728"/>
  <c r="M3728" s="1"/>
  <c r="F892" i="305"/>
  <c r="G892" s="1"/>
  <c r="F816"/>
  <c r="G816" s="1"/>
  <c r="F844"/>
  <c r="G844" s="1"/>
  <c r="F812"/>
  <c r="G812" s="1"/>
  <c r="F764"/>
  <c r="G764" s="1"/>
  <c r="F748"/>
  <c r="G748" s="1"/>
  <c r="I887" i="309"/>
  <c r="I899"/>
  <c r="I835"/>
  <c r="I823"/>
  <c r="I815"/>
  <c r="I851"/>
  <c r="I827"/>
  <c r="I819"/>
  <c r="I783"/>
  <c r="I771"/>
  <c r="I763"/>
  <c r="I755"/>
  <c r="K3817" i="132"/>
  <c r="M3817" s="1"/>
  <c r="K3643"/>
  <c r="M3643" s="1"/>
  <c r="K3660"/>
  <c r="M3660" s="1"/>
  <c r="K3630"/>
  <c r="M3630" s="1"/>
  <c r="K3786"/>
  <c r="M3786" s="1"/>
  <c r="K3781"/>
  <c r="M3781" s="1"/>
  <c r="K3678"/>
  <c r="M3678" s="1"/>
  <c r="K3125"/>
  <c r="M3125" s="1"/>
  <c r="K3100"/>
  <c r="M3100" s="1"/>
  <c r="K3115"/>
  <c r="I678" i="309" s="1"/>
  <c r="I725" i="140"/>
  <c r="J725" s="1"/>
  <c r="I733"/>
  <c r="J733" s="1"/>
  <c r="I701"/>
  <c r="J701" s="1"/>
  <c r="I737"/>
  <c r="J737" s="1"/>
  <c r="F683" i="305"/>
  <c r="G683" s="1"/>
  <c r="F719"/>
  <c r="J719" s="1"/>
  <c r="F703"/>
  <c r="J703" s="1"/>
  <c r="F634"/>
  <c r="G634" s="1"/>
  <c r="F642"/>
  <c r="G642" s="1"/>
  <c r="F654"/>
  <c r="G654" s="1"/>
  <c r="F735"/>
  <c r="J735" s="1"/>
  <c r="F715"/>
  <c r="J715" s="1"/>
  <c r="F699"/>
  <c r="G699" s="1"/>
  <c r="F638"/>
  <c r="G638" s="1"/>
  <c r="F630"/>
  <c r="G630" s="1"/>
  <c r="F658"/>
  <c r="G658" s="1"/>
  <c r="F679"/>
  <c r="G679" s="1"/>
  <c r="I686" i="309"/>
  <c r="I737"/>
  <c r="I725"/>
  <c r="I733"/>
  <c r="I709"/>
  <c r="I701"/>
  <c r="I636"/>
  <c r="I628"/>
  <c r="I645"/>
  <c r="I665"/>
  <c r="I657"/>
  <c r="I674"/>
  <c r="I741"/>
  <c r="I729"/>
  <c r="I721"/>
  <c r="I717"/>
  <c r="I705"/>
  <c r="I697"/>
  <c r="I641"/>
  <c r="I624"/>
  <c r="I632"/>
  <c r="I649"/>
  <c r="I661"/>
  <c r="I653"/>
  <c r="I682"/>
  <c r="K3141" i="132"/>
  <c r="M3141" s="1"/>
  <c r="K2529"/>
  <c r="M2529" s="1"/>
  <c r="K2548"/>
  <c r="M2548" s="1"/>
  <c r="K2504"/>
  <c r="M2504" s="1"/>
  <c r="I579" i="309"/>
  <c r="I575"/>
  <c r="I571"/>
  <c r="K2536" i="132"/>
  <c r="M2536" s="1"/>
  <c r="K2583"/>
  <c r="M2583" s="1"/>
  <c r="K2588"/>
  <c r="M2588" s="1"/>
  <c r="F617" i="305"/>
  <c r="G617" s="1"/>
  <c r="I619" i="309"/>
  <c r="K2600" i="132"/>
  <c r="M2600" s="1"/>
  <c r="F213" i="305"/>
  <c r="G213" s="1"/>
  <c r="I214" i="309"/>
  <c r="F37" i="305"/>
  <c r="G37" s="1"/>
  <c r="I38" i="309"/>
  <c r="J206"/>
  <c r="E206"/>
  <c r="F206" s="1"/>
  <c r="F29" i="305"/>
  <c r="G29" s="1"/>
  <c r="I29" i="309"/>
  <c r="F25" i="305"/>
  <c r="G25" s="1"/>
  <c r="I25" i="309"/>
  <c r="J230"/>
  <c r="E230"/>
  <c r="F230" s="1"/>
  <c r="J218"/>
  <c r="E218"/>
  <c r="F218" s="1"/>
  <c r="J9"/>
  <c r="E9"/>
  <c r="J226"/>
  <c r="E226"/>
  <c r="F226" s="1"/>
  <c r="J222"/>
  <c r="E222"/>
  <c r="F222" s="1"/>
  <c r="J210"/>
  <c r="E210"/>
  <c r="F210" s="1"/>
  <c r="J13"/>
  <c r="E13"/>
  <c r="F13" s="1"/>
  <c r="S31" i="211"/>
  <c r="N31"/>
  <c r="S33"/>
  <c r="N33"/>
  <c r="F381" i="214"/>
  <c r="G381" s="1"/>
  <c r="I206" i="140"/>
  <c r="J206" s="1"/>
  <c r="F205" i="305"/>
  <c r="G205" s="1"/>
  <c r="F864"/>
  <c r="G864" s="1"/>
  <c r="F804"/>
  <c r="G804" s="1"/>
  <c r="F796"/>
  <c r="G796" s="1"/>
  <c r="F836"/>
  <c r="G836" s="1"/>
  <c r="I575" i="140"/>
  <c r="J575" s="1"/>
  <c r="I571"/>
  <c r="J571" s="1"/>
  <c r="K571" s="1"/>
  <c r="I579"/>
  <c r="J579" s="1"/>
  <c r="I619"/>
  <c r="E615" i="195"/>
  <c r="E567"/>
  <c r="F567" s="1"/>
  <c r="J567" s="1"/>
  <c r="E575"/>
  <c r="F575" s="1"/>
  <c r="J575" s="1"/>
  <c r="E571"/>
  <c r="F571" s="1"/>
  <c r="J571" s="1"/>
  <c r="K218" i="140"/>
  <c r="L218"/>
  <c r="E327" i="214"/>
  <c r="G327" s="1"/>
  <c r="O218" i="140"/>
  <c r="D95" i="165"/>
  <c r="F88" i="139"/>
  <c r="G88" s="1"/>
  <c r="E100"/>
  <c r="P178" i="196" s="1"/>
  <c r="M2373" i="132"/>
  <c r="H175" i="216"/>
  <c r="F37" i="211"/>
  <c r="S37" s="1"/>
  <c r="I430" i="195"/>
  <c r="E90" i="196" s="1"/>
  <c r="F158"/>
  <c r="I158" s="1"/>
  <c r="F620" i="195"/>
  <c r="J620" s="1"/>
  <c r="H25" i="216"/>
  <c r="H118"/>
  <c r="E539" i="195" s="1"/>
  <c r="F539" s="1"/>
  <c r="J539" s="1"/>
  <c r="E44" i="211"/>
  <c r="F44" s="1"/>
  <c r="S44" s="1"/>
  <c r="G497" i="140"/>
  <c r="F228" i="195"/>
  <c r="J228" s="1"/>
  <c r="S12" i="211"/>
  <c r="I12"/>
  <c r="F224" i="195"/>
  <c r="J224" s="1"/>
  <c r="F220"/>
  <c r="J220" s="1"/>
  <c r="E196"/>
  <c r="F196" s="1"/>
  <c r="J196" s="1"/>
  <c r="D39" i="165"/>
  <c r="F56" i="214"/>
  <c r="D21" i="165"/>
  <c r="F84" i="214"/>
  <c r="G84" s="1"/>
  <c r="D79" i="165"/>
  <c r="F78" i="139" s="1"/>
  <c r="F772" i="214"/>
  <c r="G772" s="1"/>
  <c r="D53" i="165"/>
  <c r="G249" i="214"/>
  <c r="G167"/>
  <c r="G611" i="140"/>
  <c r="C607" i="195"/>
  <c r="I607" s="1"/>
  <c r="F18" i="211"/>
  <c r="L18" s="1"/>
  <c r="G875" i="140"/>
  <c r="C869" i="195"/>
  <c r="I869" s="1"/>
  <c r="G791" i="140"/>
  <c r="C777" i="195"/>
  <c r="I777" s="1"/>
  <c r="C745"/>
  <c r="I745" s="1"/>
  <c r="G755" i="140"/>
  <c r="C821" i="195"/>
  <c r="I821" s="1"/>
  <c r="G779" i="140"/>
  <c r="C551" i="195"/>
  <c r="I551" s="1"/>
  <c r="G554" i="140"/>
  <c r="C498" i="195"/>
  <c r="I498" s="1"/>
  <c r="E162" i="196" s="1"/>
  <c r="E45" i="211"/>
  <c r="C502" i="195"/>
  <c r="I502" s="1"/>
  <c r="G505" i="140"/>
  <c r="G469"/>
  <c r="G493"/>
  <c r="C490" i="195"/>
  <c r="I490" s="1"/>
  <c r="E154" i="196" s="1"/>
  <c r="E43" i="211"/>
  <c r="F43" s="1"/>
  <c r="S43" s="1"/>
  <c r="C486" i="195"/>
  <c r="I486" s="1"/>
  <c r="E150" i="196" s="1"/>
  <c r="G489" i="140"/>
  <c r="E42" i="211"/>
  <c r="C466" i="195"/>
  <c r="I466" s="1"/>
  <c r="E130" i="196" s="1"/>
  <c r="G485" i="140"/>
  <c r="C482" i="195"/>
  <c r="I482" s="1"/>
  <c r="E146" i="196" s="1"/>
  <c r="E41" i="211"/>
  <c r="C478" i="195"/>
  <c r="I478" s="1"/>
  <c r="E142" i="196" s="1"/>
  <c r="G481" i="140"/>
  <c r="E40" i="211"/>
  <c r="F40" s="1"/>
  <c r="M40" s="1"/>
  <c r="G477" i="140"/>
  <c r="C474" i="195"/>
  <c r="I474" s="1"/>
  <c r="E138" i="196" s="1"/>
  <c r="E39" i="211"/>
  <c r="F39" s="1"/>
  <c r="S39" s="1"/>
  <c r="C470" i="195"/>
  <c r="I470" s="1"/>
  <c r="E134" i="196" s="1"/>
  <c r="G473" i="140"/>
  <c r="E38" i="211"/>
  <c r="F38" s="1"/>
  <c r="G425" i="140"/>
  <c r="C422" i="195"/>
  <c r="I422" s="1"/>
  <c r="E82" i="196" s="1"/>
  <c r="G441" i="140"/>
  <c r="C438" i="195"/>
  <c r="I438" s="1"/>
  <c r="E102" i="196" s="1"/>
  <c r="E29" i="211"/>
  <c r="E20"/>
  <c r="G433" i="140"/>
  <c r="E26" i="211"/>
  <c r="G409" i="140"/>
  <c r="C406" i="195"/>
  <c r="I406" s="1"/>
  <c r="E62" i="196" s="1"/>
  <c r="C410" i="195"/>
  <c r="I410" s="1"/>
  <c r="E66" i="196" s="1"/>
  <c r="G413" i="140"/>
  <c r="E21" i="211"/>
  <c r="F21" s="1"/>
  <c r="E16"/>
  <c r="C398" i="195"/>
  <c r="I398" s="1"/>
  <c r="E46" i="196" s="1"/>
  <c r="G401" i="140"/>
  <c r="C402" i="195"/>
  <c r="I402" s="1"/>
  <c r="E58" i="196" s="1"/>
  <c r="G405" i="140"/>
  <c r="E19" i="211"/>
  <c r="G364" i="140"/>
  <c r="C361" i="195"/>
  <c r="I361" s="1"/>
  <c r="C357"/>
  <c r="I357" s="1"/>
  <c r="D162" i="196" s="1"/>
  <c r="G360" i="140"/>
  <c r="D45" i="211"/>
  <c r="G348" i="140"/>
  <c r="C345" i="195"/>
  <c r="I345" s="1"/>
  <c r="D150" i="196" s="1"/>
  <c r="D42" i="211"/>
  <c r="C341" i="195"/>
  <c r="I341" s="1"/>
  <c r="D146" i="196" s="1"/>
  <c r="G344" i="140"/>
  <c r="D41" i="211"/>
  <c r="C321" i="195"/>
  <c r="I321" s="1"/>
  <c r="D74" i="196" s="1"/>
  <c r="G324" i="140"/>
  <c r="D36" i="211"/>
  <c r="C293" i="195"/>
  <c r="I293" s="1"/>
  <c r="D102" i="196" s="1"/>
  <c r="G296" i="140"/>
  <c r="D29" i="211"/>
  <c r="G300" i="140"/>
  <c r="C297" i="195"/>
  <c r="I297" s="1"/>
  <c r="D106" i="196" s="1"/>
  <c r="D30" i="211"/>
  <c r="C285" i="195"/>
  <c r="I285" s="1"/>
  <c r="D90" i="196" s="1"/>
  <c r="G288" i="140"/>
  <c r="D26" i="211"/>
  <c r="C277" i="195"/>
  <c r="I277" s="1"/>
  <c r="D82" i="196" s="1"/>
  <c r="G280" i="140"/>
  <c r="D24" i="211"/>
  <c r="F24" s="1"/>
  <c r="N24" s="1"/>
  <c r="C273" i="195"/>
  <c r="I273" s="1"/>
  <c r="D78" i="196" s="1"/>
  <c r="G276" i="140"/>
  <c r="D23" i="211"/>
  <c r="F23" s="1"/>
  <c r="N23" s="1"/>
  <c r="C261" i="195"/>
  <c r="I261" s="1"/>
  <c r="G264" i="140"/>
  <c r="D20" i="211"/>
  <c r="C245" i="195"/>
  <c r="I245" s="1"/>
  <c r="D50" i="196" s="1"/>
  <c r="C257" i="195"/>
  <c r="I257" s="1"/>
  <c r="G260" i="140"/>
  <c r="D19" i="211"/>
  <c r="G248" i="140"/>
  <c r="C241" i="195"/>
  <c r="I241" s="1"/>
  <c r="D42" i="196" s="1"/>
  <c r="G244" i="140"/>
  <c r="D15" i="211"/>
  <c r="C204" i="195"/>
  <c r="I204" s="1"/>
  <c r="G214" i="140"/>
  <c r="C180" i="195"/>
  <c r="I180" s="1"/>
  <c r="G190" i="140"/>
  <c r="G166"/>
  <c r="C164" i="195"/>
  <c r="I164" s="1"/>
  <c r="C150" i="196" s="1"/>
  <c r="C42" i="211"/>
  <c r="G178" i="140"/>
  <c r="C176" i="195"/>
  <c r="I176" s="1"/>
  <c r="C162" i="196" s="1"/>
  <c r="C45" i="211"/>
  <c r="C160" i="195"/>
  <c r="I160" s="1"/>
  <c r="C146" i="196" s="1"/>
  <c r="G162" i="140"/>
  <c r="C41" i="211"/>
  <c r="C96" i="195"/>
  <c r="I96" s="1"/>
  <c r="C74" i="196" s="1"/>
  <c r="G98" i="140"/>
  <c r="C36" i="211"/>
  <c r="C120" i="195"/>
  <c r="I120" s="1"/>
  <c r="C106" i="196" s="1"/>
  <c r="G122" i="140"/>
  <c r="C30" i="211"/>
  <c r="G118" i="140"/>
  <c r="C116" i="195"/>
  <c r="I116" s="1"/>
  <c r="C102" i="196" s="1"/>
  <c r="C29" i="211"/>
  <c r="C60" i="195"/>
  <c r="I60" s="1"/>
  <c r="C50" i="196" s="1"/>
  <c r="G70" i="140"/>
  <c r="C72" i="195"/>
  <c r="I72" s="1"/>
  <c r="C58" i="196" s="1"/>
  <c r="C92" i="195"/>
  <c r="I92" s="1"/>
  <c r="C82" i="196" s="1"/>
  <c r="C100" i="195"/>
  <c r="I100" s="1"/>
  <c r="C86" i="196" s="1"/>
  <c r="F86" s="1"/>
  <c r="G102" i="140"/>
  <c r="C25" i="211"/>
  <c r="F25" s="1"/>
  <c r="C19"/>
  <c r="G94" i="140"/>
  <c r="G62"/>
  <c r="C68" i="195"/>
  <c r="I68" s="1"/>
  <c r="C54" i="196" s="1"/>
  <c r="F54" s="1"/>
  <c r="O54" s="1"/>
  <c r="G78" i="140"/>
  <c r="C76" i="195"/>
  <c r="I76" s="1"/>
  <c r="C62" i="196" s="1"/>
  <c r="C20" i="211"/>
  <c r="C64" i="195"/>
  <c r="I64" s="1"/>
  <c r="C46" i="196" s="1"/>
  <c r="G66" i="140"/>
  <c r="C16" i="211"/>
  <c r="G58" i="140"/>
  <c r="C56" i="195"/>
  <c r="I56" s="1"/>
  <c r="C42" i="196" s="1"/>
  <c r="C15" i="211"/>
  <c r="C52" i="195"/>
  <c r="I52" s="1"/>
  <c r="C38" i="196" s="1"/>
  <c r="F38" s="1"/>
  <c r="G54" i="140"/>
  <c r="C14" i="211"/>
  <c r="F14" s="1"/>
  <c r="S14" s="1"/>
  <c r="C48" i="195"/>
  <c r="I48" s="1"/>
  <c r="C34" i="196" s="1"/>
  <c r="F34" s="1"/>
  <c r="G50" i="140"/>
  <c r="C13" i="211"/>
  <c r="F13" s="1"/>
  <c r="L13" s="1"/>
  <c r="C8" i="195"/>
  <c r="I8" s="1"/>
  <c r="C6" i="196" s="1"/>
  <c r="F6" s="1"/>
  <c r="G9" i="140"/>
  <c r="J9" s="1"/>
  <c r="E7" i="139"/>
  <c r="G7" s="1"/>
  <c r="M14" i="132"/>
  <c r="C24" i="195"/>
  <c r="I24" s="1"/>
  <c r="G25" i="140"/>
  <c r="C7" i="211"/>
  <c r="F7" s="1"/>
  <c r="P7" s="1"/>
  <c r="P48" s="1"/>
  <c r="P184" s="1"/>
  <c r="C32" i="195"/>
  <c r="I32" s="1"/>
  <c r="C14" i="196" s="1"/>
  <c r="F14" s="1"/>
  <c r="J14" s="1"/>
  <c r="J176" s="1"/>
  <c r="G33" i="140"/>
  <c r="C6" i="211"/>
  <c r="F6" s="1"/>
  <c r="O6" s="1"/>
  <c r="O48" s="1"/>
  <c r="O184" s="1"/>
  <c r="O30" i="196"/>
  <c r="L30"/>
  <c r="F8" i="195"/>
  <c r="J8" s="1"/>
  <c r="H6" i="196" s="1"/>
  <c r="G21" i="140"/>
  <c r="C20" i="195"/>
  <c r="I20" s="1"/>
  <c r="C22" i="196" s="1"/>
  <c r="F22" s="1"/>
  <c r="C10" i="211"/>
  <c r="F10" s="1"/>
  <c r="G29" i="140"/>
  <c r="C28" i="195"/>
  <c r="I28" s="1"/>
  <c r="C8" i="211"/>
  <c r="F8" s="1"/>
  <c r="R8" s="1"/>
  <c r="R48" s="1"/>
  <c r="R184" s="1"/>
  <c r="C40" i="195"/>
  <c r="I40" s="1"/>
  <c r="C26" i="196" s="1"/>
  <c r="F26" s="1"/>
  <c r="I26" s="1"/>
  <c r="G42" i="140"/>
  <c r="C11" i="211"/>
  <c r="F11" s="1"/>
  <c r="C603" i="195"/>
  <c r="I603" s="1"/>
  <c r="G607" i="140"/>
  <c r="I118" i="196"/>
  <c r="C156" i="195"/>
  <c r="I156" s="1"/>
  <c r="C142" i="196" s="1"/>
  <c r="G332" i="214"/>
  <c r="G333" s="1"/>
  <c r="G334" s="1"/>
  <c r="C559" i="195"/>
  <c r="I559" s="1"/>
  <c r="G562" i="140"/>
  <c r="G158"/>
  <c r="C128" i="195"/>
  <c r="I128" s="1"/>
  <c r="C114" i="196" s="1"/>
  <c r="F114" s="1"/>
  <c r="G130" i="140"/>
  <c r="C32" i="211"/>
  <c r="F32" s="1"/>
  <c r="G344" i="214"/>
  <c r="G345" s="1"/>
  <c r="H229" i="216"/>
  <c r="H230" s="1"/>
  <c r="G393" i="140"/>
  <c r="E17" i="211"/>
  <c r="F17" s="1"/>
  <c r="I17" s="1"/>
  <c r="C390" i="195"/>
  <c r="I390" s="1"/>
  <c r="E50" i="196" s="1"/>
  <c r="G619" i="140"/>
  <c r="C615" i="195"/>
  <c r="I615" s="1"/>
  <c r="C749"/>
  <c r="I749" s="1"/>
  <c r="G759" i="140"/>
  <c r="C897" i="195"/>
  <c r="I897" s="1"/>
  <c r="G907" i="140"/>
  <c r="J697"/>
  <c r="I692" i="195"/>
  <c r="I696"/>
  <c r="J210" i="140"/>
  <c r="E204" i="195"/>
  <c r="I214" i="140"/>
  <c r="M189" i="132"/>
  <c r="E24" i="195"/>
  <c r="I25" i="140"/>
  <c r="J230"/>
  <c r="J222"/>
  <c r="M2323" i="132"/>
  <c r="M213"/>
  <c r="E28" i="195"/>
  <c r="I29" i="140"/>
  <c r="M293" i="132"/>
  <c r="E36" i="195"/>
  <c r="F36" s="1"/>
  <c r="J36" s="1"/>
  <c r="I38" i="140"/>
  <c r="Q30" i="196"/>
  <c r="I30" s="1"/>
  <c r="Q74"/>
  <c r="Q38"/>
  <c r="Q42"/>
  <c r="Q66"/>
  <c r="Q70" s="1"/>
  <c r="Q34"/>
  <c r="J226" i="140"/>
  <c r="I518" i="195"/>
  <c r="E170" i="196" s="1"/>
  <c r="I377" i="195"/>
  <c r="D170" i="196" s="1"/>
  <c r="I188" i="195"/>
  <c r="I184"/>
  <c r="I148"/>
  <c r="C134" i="196" s="1"/>
  <c r="I144" i="195"/>
  <c r="C130" i="196" s="1"/>
  <c r="I136" i="195"/>
  <c r="C122" i="196" s="1"/>
  <c r="F122" s="1"/>
  <c r="I84" i="195"/>
  <c r="C70" i="196" s="1"/>
  <c r="F70" s="1"/>
  <c r="I80" i="195"/>
  <c r="C66" i="196" s="1"/>
  <c r="I192" i="195"/>
  <c r="I168"/>
  <c r="C154" i="196" s="1"/>
  <c r="I140" i="195"/>
  <c r="C126" i="196" s="1"/>
  <c r="F126" s="1"/>
  <c r="I124" i="195"/>
  <c r="C110" i="196" s="1"/>
  <c r="F110" s="1"/>
  <c r="K110" s="1"/>
  <c r="I112" i="195"/>
  <c r="C98" i="196" s="1"/>
  <c r="F98" s="1"/>
  <c r="I104" i="195"/>
  <c r="C90" i="196" s="1"/>
  <c r="I88" i="195"/>
  <c r="C78" i="196" s="1"/>
  <c r="I16" i="195"/>
  <c r="C18" i="196" s="1"/>
  <c r="F18" s="1"/>
  <c r="I108" i="195"/>
  <c r="C94" i="196" s="1"/>
  <c r="F94" s="1"/>
  <c r="I152" i="195"/>
  <c r="C138" i="196" s="1"/>
  <c r="I232" i="195"/>
  <c r="C170" i="196" s="1"/>
  <c r="I538" i="140"/>
  <c r="M28" i="211"/>
  <c r="N35"/>
  <c r="S28"/>
  <c r="N34"/>
  <c r="I22"/>
  <c r="S22"/>
  <c r="S27"/>
  <c r="M27"/>
  <c r="T17"/>
  <c r="T16"/>
  <c r="G857" i="214"/>
  <c r="G859" s="1"/>
  <c r="G860" s="1"/>
  <c r="K906" i="194" s="1"/>
  <c r="E857" i="214"/>
  <c r="E859" s="1"/>
  <c r="E860" s="1"/>
  <c r="K2251" i="132" s="1"/>
  <c r="F857" i="214"/>
  <c r="F859" s="1"/>
  <c r="F860" s="1"/>
  <c r="K1461" i="192" s="1"/>
  <c r="E795" i="214"/>
  <c r="E796" s="1"/>
  <c r="K1959" i="132" s="1"/>
  <c r="F793" i="214"/>
  <c r="G843"/>
  <c r="G845" s="1"/>
  <c r="G846" s="1"/>
  <c r="K871" i="194" s="1"/>
  <c r="E843" i="214"/>
  <c r="E845" s="1"/>
  <c r="E846" s="1"/>
  <c r="K2111" i="132" s="1"/>
  <c r="F843" i="214"/>
  <c r="F845" s="1"/>
  <c r="F846" s="1"/>
  <c r="K1378" i="192" s="1"/>
  <c r="I372" i="309" s="1"/>
  <c r="G197" i="216"/>
  <c r="H197" s="1"/>
  <c r="H200" s="1"/>
  <c r="F309" i="214"/>
  <c r="G309" s="1"/>
  <c r="F277"/>
  <c r="E810"/>
  <c r="E811" s="1"/>
  <c r="K2004" i="132" s="1"/>
  <c r="I194" i="309" s="1"/>
  <c r="F808" i="214"/>
  <c r="G95" i="216"/>
  <c r="H95" s="1"/>
  <c r="H76"/>
  <c r="G93"/>
  <c r="H93" s="1"/>
  <c r="H74"/>
  <c r="G91"/>
  <c r="H91" s="1"/>
  <c r="H72"/>
  <c r="E258" i="214"/>
  <c r="G258" s="1"/>
  <c r="G230"/>
  <c r="E310"/>
  <c r="G308"/>
  <c r="F738"/>
  <c r="G738" s="1"/>
  <c r="G742" s="1"/>
  <c r="F749" s="1"/>
  <c r="G749" s="1"/>
  <c r="F721"/>
  <c r="G721" s="1"/>
  <c r="F706"/>
  <c r="G706" s="1"/>
  <c r="F685"/>
  <c r="G685" s="1"/>
  <c r="F668"/>
  <c r="F632"/>
  <c r="F399"/>
  <c r="G399" s="1"/>
  <c r="F365"/>
  <c r="G365" s="1"/>
  <c r="G370" s="1"/>
  <c r="E372" s="1"/>
  <c r="F750"/>
  <c r="F591"/>
  <c r="F497"/>
  <c r="F382"/>
  <c r="G382" s="1"/>
  <c r="F355"/>
  <c r="G355" s="1"/>
  <c r="F30"/>
  <c r="G30" s="1"/>
  <c r="G32" s="1"/>
  <c r="F25"/>
  <c r="G25" s="1"/>
  <c r="G27" s="1"/>
  <c r="F20"/>
  <c r="G20" s="1"/>
  <c r="F15"/>
  <c r="G15" s="1"/>
  <c r="G17" s="1"/>
  <c r="F10"/>
  <c r="G10" s="1"/>
  <c r="G12" s="1"/>
  <c r="G200"/>
  <c r="F200"/>
  <c r="E19" i="212"/>
  <c r="F18"/>
  <c r="L18" s="1"/>
  <c r="E35" i="214" s="1"/>
  <c r="F35" s="1"/>
  <c r="F95"/>
  <c r="G95" s="1"/>
  <c r="G83"/>
  <c r="G496"/>
  <c r="F516"/>
  <c r="F499"/>
  <c r="G499" s="1"/>
  <c r="F608"/>
  <c r="G588"/>
  <c r="F589"/>
  <c r="F666"/>
  <c r="G665"/>
  <c r="F704"/>
  <c r="G704" s="1"/>
  <c r="G703"/>
  <c r="G56"/>
  <c r="G22"/>
  <c r="G96" i="216"/>
  <c r="H96" s="1"/>
  <c r="H77"/>
  <c r="G94"/>
  <c r="H94" s="1"/>
  <c r="H75"/>
  <c r="G92"/>
  <c r="H92" s="1"/>
  <c r="H73"/>
  <c r="F96" i="214"/>
  <c r="G96" s="1"/>
  <c r="G747"/>
  <c r="F748"/>
  <c r="G748" s="1"/>
  <c r="F687"/>
  <c r="G687" s="1"/>
  <c r="G686"/>
  <c r="F723"/>
  <c r="G723" s="1"/>
  <c r="G722"/>
  <c r="F229"/>
  <c r="G229" s="1"/>
  <c r="F166"/>
  <c r="F139"/>
  <c r="G139" s="1"/>
  <c r="F109"/>
  <c r="G109" s="1"/>
  <c r="F85"/>
  <c r="G404"/>
  <c r="F784" i="305" l="1"/>
  <c r="G784" s="1"/>
  <c r="F876"/>
  <c r="G876" s="1"/>
  <c r="F740"/>
  <c r="G740" s="1"/>
  <c r="E777" i="195"/>
  <c r="F872" i="305"/>
  <c r="G872" s="1"/>
  <c r="F760"/>
  <c r="G760" s="1"/>
  <c r="E684" i="195"/>
  <c r="F684" s="1"/>
  <c r="J684" s="1"/>
  <c r="F832" i="305"/>
  <c r="G832" s="1"/>
  <c r="F744"/>
  <c r="G744" s="1"/>
  <c r="I895" i="140"/>
  <c r="J895" s="1"/>
  <c r="I747"/>
  <c r="J747" s="1"/>
  <c r="E861" i="195"/>
  <c r="F861" s="1"/>
  <c r="J861" s="1"/>
  <c r="I863" i="140"/>
  <c r="J863" s="1"/>
  <c r="E869" i="195"/>
  <c r="F869" s="1"/>
  <c r="J869" s="1"/>
  <c r="I807" i="140"/>
  <c r="J807" s="1"/>
  <c r="I879"/>
  <c r="J879" s="1"/>
  <c r="I803"/>
  <c r="J803" s="1"/>
  <c r="I907"/>
  <c r="J907" s="1"/>
  <c r="E773" i="195"/>
  <c r="F773" s="1"/>
  <c r="J773" s="1"/>
  <c r="I883" i="140"/>
  <c r="J883" s="1"/>
  <c r="E873" i="195"/>
  <c r="F873" s="1"/>
  <c r="J873" s="1"/>
  <c r="I903" i="140"/>
  <c r="J903" s="1"/>
  <c r="K903" s="1"/>
  <c r="E829" i="195"/>
  <c r="F829" s="1"/>
  <c r="J829" s="1"/>
  <c r="I855" i="140"/>
  <c r="J855" s="1"/>
  <c r="E821" i="195"/>
  <c r="F821" s="1"/>
  <c r="J821" s="1"/>
  <c r="F9" i="309"/>
  <c r="O9" s="1"/>
  <c r="I554" i="140"/>
  <c r="J554" s="1"/>
  <c r="I542"/>
  <c r="J542" s="1"/>
  <c r="I831"/>
  <c r="J831" s="1"/>
  <c r="I595"/>
  <c r="J595" s="1"/>
  <c r="K595" s="1"/>
  <c r="I847"/>
  <c r="J847" s="1"/>
  <c r="E797" i="195"/>
  <c r="F797" s="1"/>
  <c r="J797" s="1"/>
  <c r="I775" i="140"/>
  <c r="J775" s="1"/>
  <c r="I751"/>
  <c r="J751" s="1"/>
  <c r="K751" s="1"/>
  <c r="E591" i="195"/>
  <c r="F591" s="1"/>
  <c r="J591" s="1"/>
  <c r="I839" i="140"/>
  <c r="J839" s="1"/>
  <c r="E845" i="195"/>
  <c r="F845" s="1"/>
  <c r="J845" s="1"/>
  <c r="I779" i="140"/>
  <c r="J779" s="1"/>
  <c r="E837" i="195"/>
  <c r="F837" s="1"/>
  <c r="J837" s="1"/>
  <c r="I811" i="140"/>
  <c r="J811" s="1"/>
  <c r="E765" i="195"/>
  <c r="F765" s="1"/>
  <c r="J765" s="1"/>
  <c r="E817"/>
  <c r="F817" s="1"/>
  <c r="J817" s="1"/>
  <c r="E741"/>
  <c r="F741" s="1"/>
  <c r="J741" s="1"/>
  <c r="E853"/>
  <c r="F853" s="1"/>
  <c r="J853" s="1"/>
  <c r="I875" i="140"/>
  <c r="J875" s="1"/>
  <c r="I691"/>
  <c r="J691" s="1"/>
  <c r="K691" s="1"/>
  <c r="F745" i="195"/>
  <c r="J745" s="1"/>
  <c r="E737"/>
  <c r="F737" s="1"/>
  <c r="J737" s="1"/>
  <c r="E793"/>
  <c r="F793" s="1"/>
  <c r="J793" s="1"/>
  <c r="E885"/>
  <c r="F885" s="1"/>
  <c r="J885" s="1"/>
  <c r="E865"/>
  <c r="F865" s="1"/>
  <c r="J865" s="1"/>
  <c r="E897"/>
  <c r="F897" s="1"/>
  <c r="J897" s="1"/>
  <c r="I787" i="140"/>
  <c r="J787" s="1"/>
  <c r="E789" i="195"/>
  <c r="F789" s="1"/>
  <c r="J789" s="1"/>
  <c r="I871" i="140"/>
  <c r="J871" s="1"/>
  <c r="I791"/>
  <c r="J791" s="1"/>
  <c r="I859"/>
  <c r="J859" s="1"/>
  <c r="L859" s="1"/>
  <c r="E849" i="195"/>
  <c r="F849" s="1"/>
  <c r="J849" s="1"/>
  <c r="E893"/>
  <c r="F893" s="1"/>
  <c r="J893" s="1"/>
  <c r="J755" i="140"/>
  <c r="K755" s="1"/>
  <c r="I799"/>
  <c r="J799" s="1"/>
  <c r="L799" s="1"/>
  <c r="F896" i="305"/>
  <c r="G896" s="1"/>
  <c r="E833" i="195"/>
  <c r="F833" s="1"/>
  <c r="J833" s="1"/>
  <c r="I678" i="140"/>
  <c r="J678" s="1"/>
  <c r="L678" s="1"/>
  <c r="F792" i="305"/>
  <c r="G792" s="1"/>
  <c r="F800"/>
  <c r="G800" s="1"/>
  <c r="F544"/>
  <c r="G544" s="1"/>
  <c r="F540"/>
  <c r="G540" s="1"/>
  <c r="E785" i="195"/>
  <c r="F785" s="1"/>
  <c r="J785" s="1"/>
  <c r="F752" i="305"/>
  <c r="G752" s="1"/>
  <c r="F780"/>
  <c r="G780" s="1"/>
  <c r="F888"/>
  <c r="G888" s="1"/>
  <c r="F900"/>
  <c r="G900" s="1"/>
  <c r="F852"/>
  <c r="G852" s="1"/>
  <c r="F589"/>
  <c r="G589" s="1"/>
  <c r="F560"/>
  <c r="G560" s="1"/>
  <c r="F860"/>
  <c r="G860" s="1"/>
  <c r="F772"/>
  <c r="G772" s="1"/>
  <c r="F840"/>
  <c r="G840" s="1"/>
  <c r="F848"/>
  <c r="G848" s="1"/>
  <c r="F768"/>
  <c r="G768" s="1"/>
  <c r="F868"/>
  <c r="G868" s="1"/>
  <c r="F824"/>
  <c r="G824" s="1"/>
  <c r="F856"/>
  <c r="G856" s="1"/>
  <c r="F552"/>
  <c r="G552" s="1"/>
  <c r="F675"/>
  <c r="G675" s="1"/>
  <c r="F601"/>
  <c r="G601" s="1"/>
  <c r="E704" i="195"/>
  <c r="F704" s="1"/>
  <c r="J704" s="1"/>
  <c r="F593" i="305"/>
  <c r="G593" s="1"/>
  <c r="I554" i="309"/>
  <c r="I591"/>
  <c r="J763"/>
  <c r="E763"/>
  <c r="F763" s="1"/>
  <c r="J783"/>
  <c r="E783"/>
  <c r="F783" s="1"/>
  <c r="J827"/>
  <c r="E827"/>
  <c r="F827" s="1"/>
  <c r="J815"/>
  <c r="E815"/>
  <c r="F815" s="1"/>
  <c r="J835"/>
  <c r="E835"/>
  <c r="F835" s="1"/>
  <c r="J887"/>
  <c r="E887"/>
  <c r="F887" s="1"/>
  <c r="I799"/>
  <c r="I875"/>
  <c r="I883"/>
  <c r="I767"/>
  <c r="I787"/>
  <c r="I775"/>
  <c r="I907"/>
  <c r="I843"/>
  <c r="I759"/>
  <c r="I867"/>
  <c r="I903"/>
  <c r="I779"/>
  <c r="I747"/>
  <c r="I839"/>
  <c r="I803"/>
  <c r="I811"/>
  <c r="I871"/>
  <c r="I831"/>
  <c r="I879"/>
  <c r="I863"/>
  <c r="I859"/>
  <c r="I847"/>
  <c r="I807"/>
  <c r="I855"/>
  <c r="I895"/>
  <c r="I751"/>
  <c r="I791"/>
  <c r="J755"/>
  <c r="E755"/>
  <c r="F755" s="1"/>
  <c r="J771"/>
  <c r="E771"/>
  <c r="F771" s="1"/>
  <c r="J819"/>
  <c r="E819"/>
  <c r="F819" s="1"/>
  <c r="J851"/>
  <c r="E851"/>
  <c r="F851" s="1"/>
  <c r="J823"/>
  <c r="E823"/>
  <c r="F823" s="1"/>
  <c r="J899"/>
  <c r="E899"/>
  <c r="F899" s="1"/>
  <c r="J678"/>
  <c r="E678"/>
  <c r="F678" s="1"/>
  <c r="E653"/>
  <c r="F653" s="1"/>
  <c r="J653"/>
  <c r="E649"/>
  <c r="F649" s="1"/>
  <c r="J649"/>
  <c r="E624"/>
  <c r="F624" s="1"/>
  <c r="J624"/>
  <c r="E697"/>
  <c r="F697" s="1"/>
  <c r="J697"/>
  <c r="E717"/>
  <c r="F717" s="1"/>
  <c r="J717"/>
  <c r="E729"/>
  <c r="F729" s="1"/>
  <c r="J729"/>
  <c r="E674"/>
  <c r="F674" s="1"/>
  <c r="J674"/>
  <c r="E665"/>
  <c r="F665" s="1"/>
  <c r="J665"/>
  <c r="E628"/>
  <c r="F628" s="1"/>
  <c r="J628"/>
  <c r="E701"/>
  <c r="F701" s="1"/>
  <c r="J701"/>
  <c r="E733"/>
  <c r="F733" s="1"/>
  <c r="J733"/>
  <c r="E737"/>
  <c r="F737" s="1"/>
  <c r="J737"/>
  <c r="F687" i="305"/>
  <c r="G687" s="1"/>
  <c r="F667"/>
  <c r="G667" s="1"/>
  <c r="I713" i="140"/>
  <c r="J713" s="1"/>
  <c r="L713" s="1"/>
  <c r="F707" i="305"/>
  <c r="J707" s="1"/>
  <c r="I713" i="309"/>
  <c r="I670"/>
  <c r="I691"/>
  <c r="E682"/>
  <c r="F682" s="1"/>
  <c r="J682"/>
  <c r="E661"/>
  <c r="F661" s="1"/>
  <c r="J661"/>
  <c r="E632"/>
  <c r="F632" s="1"/>
  <c r="J632"/>
  <c r="E641"/>
  <c r="F641" s="1"/>
  <c r="J641"/>
  <c r="E705"/>
  <c r="F705" s="1"/>
  <c r="J705"/>
  <c r="E721"/>
  <c r="F721" s="1"/>
  <c r="J721"/>
  <c r="E741"/>
  <c r="F741" s="1"/>
  <c r="J741"/>
  <c r="E657"/>
  <c r="F657" s="1"/>
  <c r="J657"/>
  <c r="E645"/>
  <c r="F645" s="1"/>
  <c r="J645"/>
  <c r="E636"/>
  <c r="F636" s="1"/>
  <c r="J636"/>
  <c r="E709"/>
  <c r="F709" s="1"/>
  <c r="J709"/>
  <c r="E725"/>
  <c r="F725" s="1"/>
  <c r="J725"/>
  <c r="E686"/>
  <c r="F686" s="1"/>
  <c r="J686"/>
  <c r="M3115" i="132"/>
  <c r="E672" i="195"/>
  <c r="F672" s="1"/>
  <c r="J672" s="1"/>
  <c r="K2578" i="132"/>
  <c r="M2578" s="1"/>
  <c r="K2499"/>
  <c r="M2499" s="1"/>
  <c r="J571" i="309"/>
  <c r="E571"/>
  <c r="F571" s="1"/>
  <c r="J579"/>
  <c r="E579"/>
  <c r="F579" s="1"/>
  <c r="I546"/>
  <c r="I562"/>
  <c r="I542"/>
  <c r="K2555" i="132"/>
  <c r="M2555" s="1"/>
  <c r="K2543"/>
  <c r="M2543" s="1"/>
  <c r="J575" i="309"/>
  <c r="E575"/>
  <c r="F575" s="1"/>
  <c r="I603"/>
  <c r="I595"/>
  <c r="K2605" i="132"/>
  <c r="M2605" s="1"/>
  <c r="K2613"/>
  <c r="M2613" s="1"/>
  <c r="E619" i="309"/>
  <c r="F619" s="1"/>
  <c r="J619"/>
  <c r="S32" i="211"/>
  <c r="N32"/>
  <c r="O13" i="309"/>
  <c r="O210"/>
  <c r="O222"/>
  <c r="O226"/>
  <c r="O218"/>
  <c r="O230"/>
  <c r="O206"/>
  <c r="J194"/>
  <c r="E194"/>
  <c r="F194" s="1"/>
  <c r="J372"/>
  <c r="E372"/>
  <c r="F372" s="1"/>
  <c r="F511" i="305"/>
  <c r="G511" s="1"/>
  <c r="I513" i="309"/>
  <c r="F189" i="305"/>
  <c r="G189" s="1"/>
  <c r="I190" i="309"/>
  <c r="F201" i="305"/>
  <c r="G201" s="1"/>
  <c r="I202" i="309"/>
  <c r="L13"/>
  <c r="K13"/>
  <c r="K210"/>
  <c r="L210"/>
  <c r="L222"/>
  <c r="K222"/>
  <c r="L226"/>
  <c r="K226"/>
  <c r="K9"/>
  <c r="L218"/>
  <c r="K218"/>
  <c r="L230"/>
  <c r="K230"/>
  <c r="L206"/>
  <c r="K206"/>
  <c r="F197" i="305"/>
  <c r="G197" s="1"/>
  <c r="I198" i="309"/>
  <c r="F374" i="305"/>
  <c r="G374" s="1"/>
  <c r="I376" i="309"/>
  <c r="F515" i="305"/>
  <c r="G515" s="1"/>
  <c r="I517" i="309"/>
  <c r="J25"/>
  <c r="E25"/>
  <c r="F25" s="1"/>
  <c r="J29"/>
  <c r="E29"/>
  <c r="F29" s="1"/>
  <c r="J38"/>
  <c r="E38"/>
  <c r="F38" s="1"/>
  <c r="J214"/>
  <c r="E214"/>
  <c r="F214" s="1"/>
  <c r="K725" i="140"/>
  <c r="L725"/>
  <c r="K721"/>
  <c r="L721"/>
  <c r="R186" i="211"/>
  <c r="G387" i="214"/>
  <c r="E389" s="1"/>
  <c r="F389" s="1"/>
  <c r="F564" i="305"/>
  <c r="G564" s="1"/>
  <c r="F556"/>
  <c r="G556" s="1"/>
  <c r="M2004" i="132"/>
  <c r="F193" i="305"/>
  <c r="G193" s="1"/>
  <c r="M1378" i="192"/>
  <c r="F370" i="305"/>
  <c r="G370" s="1"/>
  <c r="K628" i="140"/>
  <c r="L628"/>
  <c r="K636"/>
  <c r="L636"/>
  <c r="K632"/>
  <c r="L632"/>
  <c r="K641"/>
  <c r="L641"/>
  <c r="M37" i="211"/>
  <c r="I546" i="140"/>
  <c r="J546" s="1"/>
  <c r="I562"/>
  <c r="J562" s="1"/>
  <c r="I591"/>
  <c r="J591" s="1"/>
  <c r="K591" s="1"/>
  <c r="I670"/>
  <c r="J670" s="1"/>
  <c r="K670" s="1"/>
  <c r="E749" i="195"/>
  <c r="F749" s="1"/>
  <c r="J749" s="1"/>
  <c r="I603" i="140"/>
  <c r="J603" s="1"/>
  <c r="L603" s="1"/>
  <c r="I767"/>
  <c r="J767" s="1"/>
  <c r="E857" i="195"/>
  <c r="F857" s="1"/>
  <c r="J857" s="1"/>
  <c r="E599"/>
  <c r="F599" s="1"/>
  <c r="J599" s="1"/>
  <c r="E664"/>
  <c r="F664" s="1"/>
  <c r="J664" s="1"/>
  <c r="E551"/>
  <c r="F551" s="1"/>
  <c r="J551" s="1"/>
  <c r="E757"/>
  <c r="F757" s="1"/>
  <c r="J757" s="1"/>
  <c r="I759" i="140"/>
  <c r="J759" s="1"/>
  <c r="I867"/>
  <c r="J867" s="1"/>
  <c r="K867" s="1"/>
  <c r="I843"/>
  <c r="J843" s="1"/>
  <c r="K843" s="1"/>
  <c r="E587" i="195"/>
  <c r="F587" s="1"/>
  <c r="J587" s="1"/>
  <c r="E547"/>
  <c r="F547" s="1"/>
  <c r="J547" s="1"/>
  <c r="E559"/>
  <c r="F559" s="1"/>
  <c r="J559" s="1"/>
  <c r="E543"/>
  <c r="F543" s="1"/>
  <c r="J543" s="1"/>
  <c r="L571" i="140"/>
  <c r="K579"/>
  <c r="L579"/>
  <c r="K222"/>
  <c r="L222"/>
  <c r="K783"/>
  <c r="L783"/>
  <c r="K887"/>
  <c r="L887"/>
  <c r="K851"/>
  <c r="L851"/>
  <c r="K771"/>
  <c r="L771"/>
  <c r="K763"/>
  <c r="L763"/>
  <c r="K705"/>
  <c r="L705"/>
  <c r="K729"/>
  <c r="L729"/>
  <c r="K697"/>
  <c r="L697"/>
  <c r="K657"/>
  <c r="L657"/>
  <c r="K737"/>
  <c r="L737"/>
  <c r="K682"/>
  <c r="L682"/>
  <c r="K661"/>
  <c r="L661"/>
  <c r="K624"/>
  <c r="L624"/>
  <c r="K717"/>
  <c r="L717"/>
  <c r="K686"/>
  <c r="L686"/>
  <c r="K649"/>
  <c r="L649"/>
  <c r="K9"/>
  <c r="L9"/>
  <c r="K575"/>
  <c r="L575"/>
  <c r="K226"/>
  <c r="L226"/>
  <c r="K206"/>
  <c r="L206"/>
  <c r="K230"/>
  <c r="L230"/>
  <c r="K827"/>
  <c r="L827"/>
  <c r="K819"/>
  <c r="L819"/>
  <c r="K899"/>
  <c r="L899"/>
  <c r="K823"/>
  <c r="L823"/>
  <c r="K815"/>
  <c r="L815"/>
  <c r="K835"/>
  <c r="L835"/>
  <c r="K210"/>
  <c r="L210"/>
  <c r="K701"/>
  <c r="L701"/>
  <c r="K653"/>
  <c r="L653"/>
  <c r="K741"/>
  <c r="L741"/>
  <c r="K674"/>
  <c r="L674"/>
  <c r="K733"/>
  <c r="L733"/>
  <c r="K709"/>
  <c r="L709"/>
  <c r="K665"/>
  <c r="L665"/>
  <c r="K645"/>
  <c r="L645"/>
  <c r="P186" i="211"/>
  <c r="G57" i="214"/>
  <c r="G58" s="1"/>
  <c r="K248" i="132" s="1"/>
  <c r="O575" i="140"/>
  <c r="O222"/>
  <c r="O783"/>
  <c r="O887"/>
  <c r="O851"/>
  <c r="O771"/>
  <c r="O763"/>
  <c r="O705"/>
  <c r="O697"/>
  <c r="O632"/>
  <c r="O657"/>
  <c r="O737"/>
  <c r="O682"/>
  <c r="O661"/>
  <c r="O624"/>
  <c r="O717"/>
  <c r="O686"/>
  <c r="O649"/>
  <c r="O641"/>
  <c r="O571"/>
  <c r="O579"/>
  <c r="O226"/>
  <c r="O206"/>
  <c r="O230"/>
  <c r="O827"/>
  <c r="O819"/>
  <c r="O899"/>
  <c r="O823"/>
  <c r="O815"/>
  <c r="O835"/>
  <c r="O210"/>
  <c r="O701"/>
  <c r="O653"/>
  <c r="O628"/>
  <c r="O674"/>
  <c r="O636"/>
  <c r="O709"/>
  <c r="O665"/>
  <c r="O645"/>
  <c r="O9"/>
  <c r="F777" i="195"/>
  <c r="J777" s="1"/>
  <c r="D96" i="165"/>
  <c r="F90" i="139" s="1"/>
  <c r="G90" s="1"/>
  <c r="F89"/>
  <c r="G89" s="1"/>
  <c r="O186" i="211"/>
  <c r="C21" i="165"/>
  <c r="F58" i="139"/>
  <c r="F46"/>
  <c r="F36"/>
  <c r="K158" i="196"/>
  <c r="F142"/>
  <c r="I142" s="1"/>
  <c r="F134"/>
  <c r="I134" s="1"/>
  <c r="F138"/>
  <c r="K138" s="1"/>
  <c r="M44" i="211"/>
  <c r="F154" i="196"/>
  <c r="K154" s="1"/>
  <c r="F130"/>
  <c r="I130" s="1"/>
  <c r="M39" i="211"/>
  <c r="S24"/>
  <c r="M43"/>
  <c r="F78" i="196"/>
  <c r="K78" s="1"/>
  <c r="I18" i="211"/>
  <c r="F204" i="195"/>
  <c r="J204" s="1"/>
  <c r="F102" i="196"/>
  <c r="K102" s="1"/>
  <c r="H99" i="216"/>
  <c r="F50" i="196"/>
  <c r="O50" s="1"/>
  <c r="F106"/>
  <c r="K106" s="1"/>
  <c r="F66"/>
  <c r="L66" s="1"/>
  <c r="S38" i="211"/>
  <c r="M38"/>
  <c r="F16"/>
  <c r="I16" s="1"/>
  <c r="F162" i="196"/>
  <c r="I162" s="1"/>
  <c r="F26" i="211"/>
  <c r="M26" s="1"/>
  <c r="L21"/>
  <c r="S21"/>
  <c r="I21"/>
  <c r="F46" i="196"/>
  <c r="L46" s="1"/>
  <c r="F150"/>
  <c r="I150" s="1"/>
  <c r="F90"/>
  <c r="I90" s="1"/>
  <c r="F45" i="211"/>
  <c r="F42"/>
  <c r="F41"/>
  <c r="F146" i="196"/>
  <c r="K146" s="1"/>
  <c r="S13" i="211"/>
  <c r="F36"/>
  <c r="F74" i="196"/>
  <c r="I74" s="1"/>
  <c r="F29" i="211"/>
  <c r="F30"/>
  <c r="I13"/>
  <c r="S23"/>
  <c r="F82" i="196"/>
  <c r="K82" s="1"/>
  <c r="F15" i="211"/>
  <c r="F20"/>
  <c r="F19"/>
  <c r="D58" i="196"/>
  <c r="F58" s="1"/>
  <c r="D62"/>
  <c r="F62" s="1"/>
  <c r="F42"/>
  <c r="O42" s="1"/>
  <c r="L54"/>
  <c r="M25" i="211"/>
  <c r="K25"/>
  <c r="K48" s="1"/>
  <c r="K184" s="1"/>
  <c r="S25"/>
  <c r="I86" i="196"/>
  <c r="K86"/>
  <c r="I38"/>
  <c r="I34"/>
  <c r="L14" i="211"/>
  <c r="I14"/>
  <c r="L38" i="196"/>
  <c r="O38"/>
  <c r="L34"/>
  <c r="O34"/>
  <c r="L11" i="211"/>
  <c r="I11"/>
  <c r="S11"/>
  <c r="O26" i="196"/>
  <c r="L26"/>
  <c r="H10" i="211"/>
  <c r="H48" s="1"/>
  <c r="H184" s="1"/>
  <c r="S10"/>
  <c r="L10"/>
  <c r="F28" i="195"/>
  <c r="J28" s="1"/>
  <c r="F24"/>
  <c r="J24" s="1"/>
  <c r="M22" i="196"/>
  <c r="I22"/>
  <c r="O22"/>
  <c r="L17" i="211"/>
  <c r="I114" i="196"/>
  <c r="K114"/>
  <c r="S40" i="211"/>
  <c r="J619" i="140"/>
  <c r="F615" i="195"/>
  <c r="J615" s="1"/>
  <c r="M2111" i="132"/>
  <c r="E188" i="195"/>
  <c r="F188" s="1"/>
  <c r="J188" s="1"/>
  <c r="I198" i="140"/>
  <c r="E373" i="195"/>
  <c r="F373" s="1"/>
  <c r="J373" s="1"/>
  <c r="I376" i="140"/>
  <c r="M1461" i="192"/>
  <c r="M906" i="194"/>
  <c r="E514" i="195"/>
  <c r="F514" s="1"/>
  <c r="J514" s="1"/>
  <c r="I517" i="140"/>
  <c r="J38"/>
  <c r="J214"/>
  <c r="I194"/>
  <c r="E184" i="195"/>
  <c r="F184" s="1"/>
  <c r="J184" s="1"/>
  <c r="I372" i="140"/>
  <c r="E369" i="195"/>
  <c r="F369" s="1"/>
  <c r="J369" s="1"/>
  <c r="M871" i="194"/>
  <c r="E510" i="195"/>
  <c r="F510" s="1"/>
  <c r="J510" s="1"/>
  <c r="I513" i="140"/>
  <c r="E180" i="195"/>
  <c r="F180" s="1"/>
  <c r="J180" s="1"/>
  <c r="I190" i="140"/>
  <c r="M1959" i="132"/>
  <c r="I202" i="140"/>
  <c r="E192" i="195"/>
  <c r="F192" s="1"/>
  <c r="J192" s="1"/>
  <c r="M2251" i="132"/>
  <c r="Q46" i="196"/>
  <c r="Q50"/>
  <c r="J29" i="140"/>
  <c r="J25"/>
  <c r="F170" i="196"/>
  <c r="P170" s="1"/>
  <c r="P176" s="1"/>
  <c r="I98"/>
  <c r="K98"/>
  <c r="I110"/>
  <c r="I126"/>
  <c r="K126"/>
  <c r="I94"/>
  <c r="K94"/>
  <c r="I18"/>
  <c r="M18"/>
  <c r="O18"/>
  <c r="L70"/>
  <c r="O70"/>
  <c r="I70"/>
  <c r="I122"/>
  <c r="K122"/>
  <c r="J538" i="140"/>
  <c r="F22" i="165"/>
  <c r="T18" i="211"/>
  <c r="S17"/>
  <c r="F416" i="214"/>
  <c r="G416" s="1"/>
  <c r="G422" s="1"/>
  <c r="F572"/>
  <c r="G572" s="1"/>
  <c r="G578" s="1"/>
  <c r="F257"/>
  <c r="G257" s="1"/>
  <c r="G166"/>
  <c r="E376"/>
  <c r="K934" i="132" s="1"/>
  <c r="F372" i="214"/>
  <c r="F464"/>
  <c r="G464" s="1"/>
  <c r="G469" s="1"/>
  <c r="F448"/>
  <c r="G448" s="1"/>
  <c r="G453" s="1"/>
  <c r="F609"/>
  <c r="G609" s="1"/>
  <c r="G589"/>
  <c r="F590"/>
  <c r="G590" s="1"/>
  <c r="F629"/>
  <c r="G608"/>
  <c r="G516"/>
  <c r="F519"/>
  <c r="G519" s="1"/>
  <c r="G497"/>
  <c r="F517"/>
  <c r="F500"/>
  <c r="G500" s="1"/>
  <c r="G750"/>
  <c r="F751"/>
  <c r="G751" s="1"/>
  <c r="F669"/>
  <c r="G669" s="1"/>
  <c r="G668"/>
  <c r="E311"/>
  <c r="G311" s="1"/>
  <c r="G310"/>
  <c r="F810"/>
  <c r="F811" s="1"/>
  <c r="K1302" i="192" s="1"/>
  <c r="G808" i="214"/>
  <c r="G810" s="1"/>
  <c r="G811" s="1"/>
  <c r="K839" i="194" s="1"/>
  <c r="I509" i="309" s="1"/>
  <c r="G711" i="214"/>
  <c r="F406"/>
  <c r="F410" s="1"/>
  <c r="F411" s="1"/>
  <c r="K487" i="192" s="1"/>
  <c r="G406" i="214"/>
  <c r="G410" s="1"/>
  <c r="G411" s="1"/>
  <c r="K328" i="194" s="1"/>
  <c r="E406" i="214"/>
  <c r="E410" s="1"/>
  <c r="E411" s="1"/>
  <c r="K1037" i="132" s="1"/>
  <c r="F557" i="214"/>
  <c r="G557" s="1"/>
  <c r="G563" s="1"/>
  <c r="F537"/>
  <c r="G537" s="1"/>
  <c r="F480"/>
  <c r="G480" s="1"/>
  <c r="G485" s="1"/>
  <c r="F432"/>
  <c r="G432" s="1"/>
  <c r="G437" s="1"/>
  <c r="F97"/>
  <c r="G97" s="1"/>
  <c r="G104" s="1"/>
  <c r="K155" i="132" s="1"/>
  <c r="G85" i="214"/>
  <c r="G92" s="1"/>
  <c r="K108" i="132" s="1"/>
  <c r="F667" i="214"/>
  <c r="G667" s="1"/>
  <c r="G666"/>
  <c r="E20" i="212"/>
  <c r="F19"/>
  <c r="L19" s="1"/>
  <c r="E36" i="214" s="1"/>
  <c r="F36" s="1"/>
  <c r="F607"/>
  <c r="G607" s="1"/>
  <c r="G591"/>
  <c r="F647"/>
  <c r="G647" s="1"/>
  <c r="G632"/>
  <c r="G277"/>
  <c r="G282" s="1"/>
  <c r="E284" s="1"/>
  <c r="F795"/>
  <c r="F796" s="1"/>
  <c r="K1250" i="192" s="1"/>
  <c r="G793" i="214"/>
  <c r="G795" s="1"/>
  <c r="G796" s="1"/>
  <c r="K807" i="194" s="1"/>
  <c r="G693" i="214"/>
  <c r="G728"/>
  <c r="H80" i="216"/>
  <c r="E523" i="195" l="1"/>
  <c r="F523" s="1"/>
  <c r="J523" s="1"/>
  <c r="E393" i="214"/>
  <c r="K876" i="132" s="1"/>
  <c r="I106" i="309" s="1"/>
  <c r="I611" i="140"/>
  <c r="J611" s="1"/>
  <c r="L611" s="1"/>
  <c r="L903"/>
  <c r="K799"/>
  <c r="E583" i="195"/>
  <c r="F583" s="1"/>
  <c r="J583" s="1"/>
  <c r="O903" i="140"/>
  <c r="L9" i="309"/>
  <c r="K859" i="140"/>
  <c r="O678"/>
  <c r="O691"/>
  <c r="K678"/>
  <c r="L755"/>
  <c r="L691"/>
  <c r="L595"/>
  <c r="I587"/>
  <c r="J587" s="1"/>
  <c r="O755"/>
  <c r="O595"/>
  <c r="E563" i="195"/>
  <c r="F563" s="1"/>
  <c r="J563" s="1"/>
  <c r="O859" i="140"/>
  <c r="K713"/>
  <c r="O799"/>
  <c r="I566"/>
  <c r="J566" s="1"/>
  <c r="F605" i="305"/>
  <c r="G605" s="1"/>
  <c r="F524"/>
  <c r="G524" s="1"/>
  <c r="K678" i="309"/>
  <c r="E555" i="195"/>
  <c r="F555" s="1"/>
  <c r="J555" s="1"/>
  <c r="F609" i="305"/>
  <c r="G609" s="1"/>
  <c r="F585"/>
  <c r="G585" s="1"/>
  <c r="E554" i="309"/>
  <c r="F554" s="1"/>
  <c r="J554"/>
  <c r="I558"/>
  <c r="I566"/>
  <c r="O579"/>
  <c r="O571"/>
  <c r="O737"/>
  <c r="O701"/>
  <c r="O628"/>
  <c r="O665"/>
  <c r="O674"/>
  <c r="O717"/>
  <c r="O697"/>
  <c r="O624"/>
  <c r="O649"/>
  <c r="O653"/>
  <c r="O678"/>
  <c r="E591"/>
  <c r="F591" s="1"/>
  <c r="J591"/>
  <c r="O887"/>
  <c r="O835"/>
  <c r="O815"/>
  <c r="O827"/>
  <c r="O783"/>
  <c r="O763"/>
  <c r="J791"/>
  <c r="E791"/>
  <c r="F791" s="1"/>
  <c r="J895"/>
  <c r="E895"/>
  <c r="F895" s="1"/>
  <c r="J807"/>
  <c r="E807"/>
  <c r="F807" s="1"/>
  <c r="J859"/>
  <c r="E859"/>
  <c r="F859" s="1"/>
  <c r="J879"/>
  <c r="E879"/>
  <c r="F879" s="1"/>
  <c r="J871"/>
  <c r="E871"/>
  <c r="F871" s="1"/>
  <c r="J803"/>
  <c r="E803"/>
  <c r="F803" s="1"/>
  <c r="J747"/>
  <c r="E747"/>
  <c r="F747" s="1"/>
  <c r="J903"/>
  <c r="E903"/>
  <c r="F903" s="1"/>
  <c r="J759"/>
  <c r="E759"/>
  <c r="F759" s="1"/>
  <c r="J907"/>
  <c r="E907"/>
  <c r="F907" s="1"/>
  <c r="J787"/>
  <c r="E787"/>
  <c r="F787" s="1"/>
  <c r="J883"/>
  <c r="E883"/>
  <c r="F883" s="1"/>
  <c r="J799"/>
  <c r="E799"/>
  <c r="F799" s="1"/>
  <c r="K887"/>
  <c r="L887"/>
  <c r="K835"/>
  <c r="L835"/>
  <c r="K815"/>
  <c r="L815"/>
  <c r="K827"/>
  <c r="L827"/>
  <c r="K783"/>
  <c r="L783"/>
  <c r="K763"/>
  <c r="L763"/>
  <c r="O899"/>
  <c r="O823"/>
  <c r="O851"/>
  <c r="O819"/>
  <c r="O771"/>
  <c r="O755"/>
  <c r="K899"/>
  <c r="L899"/>
  <c r="K823"/>
  <c r="L823"/>
  <c r="K851"/>
  <c r="L851"/>
  <c r="K819"/>
  <c r="L819"/>
  <c r="K771"/>
  <c r="L771"/>
  <c r="L755"/>
  <c r="K755"/>
  <c r="J751"/>
  <c r="E751"/>
  <c r="F751" s="1"/>
  <c r="J855"/>
  <c r="E855"/>
  <c r="F855" s="1"/>
  <c r="J847"/>
  <c r="E847"/>
  <c r="F847" s="1"/>
  <c r="J863"/>
  <c r="E863"/>
  <c r="F863" s="1"/>
  <c r="J831"/>
  <c r="E831"/>
  <c r="F831" s="1"/>
  <c r="J811"/>
  <c r="E811"/>
  <c r="F811" s="1"/>
  <c r="J839"/>
  <c r="E839"/>
  <c r="F839" s="1"/>
  <c r="J779"/>
  <c r="E779"/>
  <c r="F779" s="1"/>
  <c r="J867"/>
  <c r="E867"/>
  <c r="F867" s="1"/>
  <c r="J843"/>
  <c r="E843"/>
  <c r="F843" s="1"/>
  <c r="J775"/>
  <c r="E775"/>
  <c r="F775" s="1"/>
  <c r="J767"/>
  <c r="E767"/>
  <c r="F767" s="1"/>
  <c r="J875"/>
  <c r="E875"/>
  <c r="F875" s="1"/>
  <c r="K686"/>
  <c r="L686"/>
  <c r="K725"/>
  <c r="L725"/>
  <c r="L709"/>
  <c r="K709"/>
  <c r="L636"/>
  <c r="K636"/>
  <c r="L645"/>
  <c r="K645"/>
  <c r="K657"/>
  <c r="L657"/>
  <c r="K741"/>
  <c r="L741"/>
  <c r="L721"/>
  <c r="K721"/>
  <c r="K705"/>
  <c r="L705"/>
  <c r="K641"/>
  <c r="L641"/>
  <c r="K632"/>
  <c r="L632"/>
  <c r="L661"/>
  <c r="K661"/>
  <c r="L682"/>
  <c r="K682"/>
  <c r="J691"/>
  <c r="E691"/>
  <c r="F691" s="1"/>
  <c r="J713"/>
  <c r="E713"/>
  <c r="F713" s="1"/>
  <c r="J670"/>
  <c r="E670"/>
  <c r="F670" s="1"/>
  <c r="L737"/>
  <c r="K737"/>
  <c r="K733"/>
  <c r="L733"/>
  <c r="K701"/>
  <c r="L701"/>
  <c r="L628"/>
  <c r="K628"/>
  <c r="K665"/>
  <c r="L665"/>
  <c r="K674"/>
  <c r="L674"/>
  <c r="L729"/>
  <c r="K729"/>
  <c r="L717"/>
  <c r="K717"/>
  <c r="K697"/>
  <c r="L697"/>
  <c r="L624"/>
  <c r="K624"/>
  <c r="K649"/>
  <c r="L649"/>
  <c r="L653"/>
  <c r="K653"/>
  <c r="O713" i="140"/>
  <c r="L678" i="309"/>
  <c r="O686"/>
  <c r="O709"/>
  <c r="O636"/>
  <c r="O645"/>
  <c r="O657"/>
  <c r="O705"/>
  <c r="O641"/>
  <c r="O632"/>
  <c r="O661"/>
  <c r="O682"/>
  <c r="K2519" i="132"/>
  <c r="M2519" s="1"/>
  <c r="J542" i="309"/>
  <c r="E542"/>
  <c r="F542" s="1"/>
  <c r="J546"/>
  <c r="E546"/>
  <c r="F546" s="1"/>
  <c r="K579"/>
  <c r="L579"/>
  <c r="K571"/>
  <c r="L571"/>
  <c r="O575"/>
  <c r="I526"/>
  <c r="I587"/>
  <c r="K2514" i="132"/>
  <c r="M2514" s="1"/>
  <c r="K575" i="309"/>
  <c r="L575"/>
  <c r="J562"/>
  <c r="E562"/>
  <c r="F562" s="1"/>
  <c r="J603"/>
  <c r="E603"/>
  <c r="F603" s="1"/>
  <c r="O619"/>
  <c r="I611"/>
  <c r="I607"/>
  <c r="K619"/>
  <c r="L619"/>
  <c r="E595"/>
  <c r="F595" s="1"/>
  <c r="J595"/>
  <c r="O214"/>
  <c r="O38"/>
  <c r="O372"/>
  <c r="O194"/>
  <c r="O29"/>
  <c r="F362" i="305"/>
  <c r="G362" s="1"/>
  <c r="I364" i="309"/>
  <c r="F17" i="305"/>
  <c r="G17" s="1"/>
  <c r="I17" i="309"/>
  <c r="F113" i="305"/>
  <c r="G113" s="1"/>
  <c r="I114" i="309"/>
  <c r="F290" i="305"/>
  <c r="G290" s="1"/>
  <c r="I292" i="309"/>
  <c r="J509"/>
  <c r="E509"/>
  <c r="F509" s="1"/>
  <c r="K214"/>
  <c r="L214"/>
  <c r="L38"/>
  <c r="K38"/>
  <c r="K29"/>
  <c r="L29"/>
  <c r="L25"/>
  <c r="K25"/>
  <c r="K372"/>
  <c r="L372"/>
  <c r="L194"/>
  <c r="K194"/>
  <c r="F503" i="305"/>
  <c r="G503" s="1"/>
  <c r="I505" i="309"/>
  <c r="F21" i="305"/>
  <c r="G21" s="1"/>
  <c r="I21" i="309"/>
  <c r="F435" i="305"/>
  <c r="G435" s="1"/>
  <c r="I437" i="309"/>
  <c r="F366" i="305"/>
  <c r="G366" s="1"/>
  <c r="I368" i="309"/>
  <c r="F109" i="305"/>
  <c r="G109" s="1"/>
  <c r="I110" i="309"/>
  <c r="F33" i="305"/>
  <c r="G33" s="1"/>
  <c r="I33" i="309"/>
  <c r="J517"/>
  <c r="E517"/>
  <c r="F517" s="1"/>
  <c r="J376"/>
  <c r="E376"/>
  <c r="F376" s="1"/>
  <c r="J198"/>
  <c r="E198"/>
  <c r="F198" s="1"/>
  <c r="J202"/>
  <c r="E202"/>
  <c r="F202" s="1"/>
  <c r="J190"/>
  <c r="E190"/>
  <c r="F190" s="1"/>
  <c r="J513"/>
  <c r="E513"/>
  <c r="F513" s="1"/>
  <c r="O25"/>
  <c r="C185" i="196"/>
  <c r="K186" i="211"/>
  <c r="I509" i="140"/>
  <c r="J509" s="1"/>
  <c r="K509" s="1"/>
  <c r="F507" i="305"/>
  <c r="G507" s="1"/>
  <c r="O591" i="140"/>
  <c r="L670"/>
  <c r="L591"/>
  <c r="O670"/>
  <c r="O867"/>
  <c r="K603"/>
  <c r="I607"/>
  <c r="J607" s="1"/>
  <c r="K607" s="1"/>
  <c r="O603"/>
  <c r="O843"/>
  <c r="L867"/>
  <c r="L843"/>
  <c r="E607" i="195"/>
  <c r="F607" s="1"/>
  <c r="J607" s="1"/>
  <c r="E603"/>
  <c r="F603" s="1"/>
  <c r="J603" s="1"/>
  <c r="I526" i="140"/>
  <c r="J526" s="1"/>
  <c r="K526" s="1"/>
  <c r="I558"/>
  <c r="J558" s="1"/>
  <c r="L558" s="1"/>
  <c r="I138" i="196"/>
  <c r="K542" i="140"/>
  <c r="L542"/>
  <c r="K562"/>
  <c r="L562"/>
  <c r="L29"/>
  <c r="K29"/>
  <c r="K554"/>
  <c r="L554"/>
  <c r="K25"/>
  <c r="L25"/>
  <c r="K38"/>
  <c r="L38"/>
  <c r="K863"/>
  <c r="L863"/>
  <c r="K811"/>
  <c r="L811"/>
  <c r="K847"/>
  <c r="L847"/>
  <c r="K895"/>
  <c r="L895"/>
  <c r="K791"/>
  <c r="L791"/>
  <c r="K831"/>
  <c r="L831"/>
  <c r="K787"/>
  <c r="L787"/>
  <c r="K779"/>
  <c r="L779"/>
  <c r="K839"/>
  <c r="L839"/>
  <c r="K619"/>
  <c r="L619"/>
  <c r="K875"/>
  <c r="L875"/>
  <c r="K538"/>
  <c r="L538"/>
  <c r="K546"/>
  <c r="L546"/>
  <c r="K214"/>
  <c r="L214"/>
  <c r="K775"/>
  <c r="L775"/>
  <c r="K803"/>
  <c r="L803"/>
  <c r="K879"/>
  <c r="L879"/>
  <c r="K807"/>
  <c r="L807"/>
  <c r="L751"/>
  <c r="K871"/>
  <c r="L871"/>
  <c r="K907"/>
  <c r="L907"/>
  <c r="K855"/>
  <c r="L855"/>
  <c r="K747"/>
  <c r="L747"/>
  <c r="K759"/>
  <c r="L759"/>
  <c r="K883"/>
  <c r="L883"/>
  <c r="K767"/>
  <c r="L767"/>
  <c r="G100" i="139"/>
  <c r="M248" i="132"/>
  <c r="E32" i="195"/>
  <c r="F32" s="1"/>
  <c r="J32" s="1"/>
  <c r="I33" i="140"/>
  <c r="J33" s="1"/>
  <c r="O542"/>
  <c r="O538"/>
  <c r="O562"/>
  <c r="O546"/>
  <c r="O29"/>
  <c r="O214"/>
  <c r="O863"/>
  <c r="O811"/>
  <c r="O847"/>
  <c r="O895"/>
  <c r="O791"/>
  <c r="O831"/>
  <c r="O787"/>
  <c r="O779"/>
  <c r="O839"/>
  <c r="O619"/>
  <c r="O875"/>
  <c r="O554"/>
  <c r="O25"/>
  <c r="O38"/>
  <c r="O775"/>
  <c r="O803"/>
  <c r="O879"/>
  <c r="O807"/>
  <c r="O751"/>
  <c r="O871"/>
  <c r="O907"/>
  <c r="O855"/>
  <c r="O747"/>
  <c r="O759"/>
  <c r="O883"/>
  <c r="O767"/>
  <c r="C79" i="165"/>
  <c r="E36" i="139"/>
  <c r="E40" s="1"/>
  <c r="J178" i="196" s="1"/>
  <c r="C25" i="165"/>
  <c r="C27" s="1"/>
  <c r="K134" i="196"/>
  <c r="I154"/>
  <c r="K142"/>
  <c r="K130"/>
  <c r="M176"/>
  <c r="O66"/>
  <c r="I102"/>
  <c r="K90"/>
  <c r="I78"/>
  <c r="I106"/>
  <c r="L50"/>
  <c r="I66"/>
  <c r="K162"/>
  <c r="I46"/>
  <c r="O46"/>
  <c r="K150"/>
  <c r="S16" i="211"/>
  <c r="L16"/>
  <c r="S26"/>
  <c r="Q26"/>
  <c r="L74" i="196"/>
  <c r="I146"/>
  <c r="M45" i="211"/>
  <c r="S45"/>
  <c r="S42"/>
  <c r="M42"/>
  <c r="S41"/>
  <c r="M41"/>
  <c r="O74" i="196"/>
  <c r="L36" i="211"/>
  <c r="S36"/>
  <c r="I36"/>
  <c r="L42" i="196"/>
  <c r="I42"/>
  <c r="S29" i="211"/>
  <c r="M29"/>
  <c r="Q29"/>
  <c r="S30"/>
  <c r="N30"/>
  <c r="N48" s="1"/>
  <c r="N184" s="1"/>
  <c r="I82" i="196"/>
  <c r="L15" i="211"/>
  <c r="I15"/>
  <c r="S15"/>
  <c r="I20"/>
  <c r="L20"/>
  <c r="O62" i="196"/>
  <c r="L62"/>
  <c r="O58"/>
  <c r="L58"/>
  <c r="L19" i="211"/>
  <c r="I19"/>
  <c r="G312" i="214"/>
  <c r="G313" s="1"/>
  <c r="G505"/>
  <c r="F507" s="1"/>
  <c r="F596"/>
  <c r="G596" s="1"/>
  <c r="I170" i="196"/>
  <c r="F674" i="214"/>
  <c r="G674" s="1"/>
  <c r="G675" s="1"/>
  <c r="M155" i="132"/>
  <c r="E20" i="195"/>
  <c r="F20" s="1"/>
  <c r="J20" s="1"/>
  <c r="I21" i="140"/>
  <c r="M1250" i="192"/>
  <c r="E361" i="195"/>
  <c r="F361" s="1"/>
  <c r="J361" s="1"/>
  <c r="I364" i="140"/>
  <c r="M1302" i="192"/>
  <c r="E365" i="195"/>
  <c r="F365" s="1"/>
  <c r="J365" s="1"/>
  <c r="I368" i="140"/>
  <c r="M807" i="194"/>
  <c r="I505" i="140"/>
  <c r="E502" i="195"/>
  <c r="F502" s="1"/>
  <c r="J502" s="1"/>
  <c r="M108" i="132"/>
  <c r="E16" i="195"/>
  <c r="F16" s="1"/>
  <c r="J16" s="1"/>
  <c r="I17" i="140"/>
  <c r="M1037" i="132"/>
  <c r="E112" i="195"/>
  <c r="F112" s="1"/>
  <c r="J112" s="1"/>
  <c r="I114" i="140"/>
  <c r="M487" i="192"/>
  <c r="E289" i="195"/>
  <c r="F289" s="1"/>
  <c r="J289" s="1"/>
  <c r="I292" i="140"/>
  <c r="M839" i="194"/>
  <c r="E506" i="195"/>
  <c r="F506" s="1"/>
  <c r="J506" s="1"/>
  <c r="M876" i="132"/>
  <c r="J190" i="140"/>
  <c r="J513"/>
  <c r="F615" i="214"/>
  <c r="G615" s="1"/>
  <c r="G756"/>
  <c r="E758" s="1"/>
  <c r="E760" s="1"/>
  <c r="E761" s="1"/>
  <c r="K1876" i="132" s="1"/>
  <c r="M328" i="194"/>
  <c r="I437" i="140"/>
  <c r="E434" i="195"/>
  <c r="F434" s="1"/>
  <c r="J434" s="1"/>
  <c r="M934" i="132"/>
  <c r="E108" i="195"/>
  <c r="F108" s="1"/>
  <c r="J108" s="1"/>
  <c r="I110" i="140"/>
  <c r="Q54" i="196"/>
  <c r="I50"/>
  <c r="J202" i="140"/>
  <c r="K202" s="1"/>
  <c r="J372"/>
  <c r="J194"/>
  <c r="K194" s="1"/>
  <c r="J517"/>
  <c r="J376"/>
  <c r="J198"/>
  <c r="K198" s="1"/>
  <c r="F80" i="165"/>
  <c r="T19" i="211"/>
  <c r="S18"/>
  <c r="F730" i="214"/>
  <c r="F732" s="1"/>
  <c r="F733" s="1"/>
  <c r="K1182" i="192" s="1"/>
  <c r="G730" i="214"/>
  <c r="G732" s="1"/>
  <c r="G733" s="1"/>
  <c r="K757" i="194" s="1"/>
  <c r="E730" i="214"/>
  <c r="E732" s="1"/>
  <c r="E733" s="1"/>
  <c r="K1849" i="132" s="1"/>
  <c r="E286" i="214"/>
  <c r="K2476" i="132" s="1"/>
  <c r="I234" i="309" s="1"/>
  <c r="F284" i="214"/>
  <c r="E21" i="212"/>
  <c r="F21" s="1"/>
  <c r="L21" s="1"/>
  <c r="F354" i="214" s="1"/>
  <c r="G354" s="1"/>
  <c r="G359" s="1"/>
  <c r="K841" i="132" s="1"/>
  <c r="E22" i="212"/>
  <c r="F22" s="1"/>
  <c r="L22" s="1"/>
  <c r="F587" i="214" s="1"/>
  <c r="F20" i="212"/>
  <c r="L20" s="1"/>
  <c r="E37" i="214" s="1"/>
  <c r="F37" s="1"/>
  <c r="F38" s="1"/>
  <c r="F770" s="1"/>
  <c r="G770" s="1"/>
  <c r="G777" s="1"/>
  <c r="G487"/>
  <c r="G491" s="1"/>
  <c r="G492" s="1"/>
  <c r="E487"/>
  <c r="E491" s="1"/>
  <c r="E492" s="1"/>
  <c r="F487"/>
  <c r="F491" s="1"/>
  <c r="F492" s="1"/>
  <c r="G565"/>
  <c r="G567" s="1"/>
  <c r="G568" s="1"/>
  <c r="K222" i="194" s="1"/>
  <c r="E565" i="214"/>
  <c r="E567" s="1"/>
  <c r="E568" s="1"/>
  <c r="K790" i="132" s="1"/>
  <c r="F565" i="214"/>
  <c r="F567" s="1"/>
  <c r="F568" s="1"/>
  <c r="K307" i="192" s="1"/>
  <c r="G517" i="214"/>
  <c r="F520"/>
  <c r="G520" s="1"/>
  <c r="G455"/>
  <c r="G459" s="1"/>
  <c r="G460" s="1"/>
  <c r="K412" i="194" s="1"/>
  <c r="E455" i="214"/>
  <c r="E459" s="1"/>
  <c r="E460" s="1"/>
  <c r="K1272" i="132" s="1"/>
  <c r="F455" i="214"/>
  <c r="F459" s="1"/>
  <c r="F460" s="1"/>
  <c r="K686" i="192" s="1"/>
  <c r="F376" i="214"/>
  <c r="K396" i="192" s="1"/>
  <c r="G372" i="214"/>
  <c r="G376" s="1"/>
  <c r="K298" i="194" s="1"/>
  <c r="F393" i="214"/>
  <c r="K356" i="192" s="1"/>
  <c r="G389" i="214"/>
  <c r="G393" s="1"/>
  <c r="K269" i="194" s="1"/>
  <c r="I433" i="309" s="1"/>
  <c r="G580" i="214"/>
  <c r="G582" s="1"/>
  <c r="G583" s="1"/>
  <c r="K243" i="194" s="1"/>
  <c r="E580" i="214"/>
  <c r="E582" s="1"/>
  <c r="E583" s="1"/>
  <c r="K815" i="132" s="1"/>
  <c r="F580" i="214"/>
  <c r="F582" s="1"/>
  <c r="F583" s="1"/>
  <c r="K332" i="192" s="1"/>
  <c r="F695" i="214"/>
  <c r="F697" s="1"/>
  <c r="F698" s="1"/>
  <c r="K970" i="192" s="1"/>
  <c r="G695" i="214"/>
  <c r="G697" s="1"/>
  <c r="G698" s="1"/>
  <c r="K590" i="194" s="1"/>
  <c r="E695" i="214"/>
  <c r="E697" s="1"/>
  <c r="E698" s="1"/>
  <c r="K1600" i="132" s="1"/>
  <c r="G439" i="214"/>
  <c r="G443" s="1"/>
  <c r="G444" s="1"/>
  <c r="K382" i="194" s="1"/>
  <c r="E439" i="214"/>
  <c r="E443" s="1"/>
  <c r="E444" s="1"/>
  <c r="K1200" i="132" s="1"/>
  <c r="F439" i="214"/>
  <c r="F443" s="1"/>
  <c r="F444" s="1"/>
  <c r="K621" i="192" s="1"/>
  <c r="F713" i="214"/>
  <c r="F715" s="1"/>
  <c r="F716" s="1"/>
  <c r="K1155" i="192" s="1"/>
  <c r="G713" i="214"/>
  <c r="G715" s="1"/>
  <c r="G716" s="1"/>
  <c r="K730" i="194" s="1"/>
  <c r="E713" i="214"/>
  <c r="E715" s="1"/>
  <c r="E716" s="1"/>
  <c r="K1825" i="132" s="1"/>
  <c r="G758" i="214"/>
  <c r="G760" s="1"/>
  <c r="G761" s="1"/>
  <c r="K781" i="194" s="1"/>
  <c r="F648" i="214"/>
  <c r="F630"/>
  <c r="G629"/>
  <c r="G471"/>
  <c r="G475" s="1"/>
  <c r="G476" s="1"/>
  <c r="K444" i="194" s="1"/>
  <c r="E471" i="214"/>
  <c r="E475" s="1"/>
  <c r="E476" s="1"/>
  <c r="K1299" i="132" s="1"/>
  <c r="F471" i="214"/>
  <c r="F475" s="1"/>
  <c r="F476" s="1"/>
  <c r="K718" i="192" s="1"/>
  <c r="F424" i="214"/>
  <c r="F428" s="1"/>
  <c r="K557" i="192" s="1"/>
  <c r="G424" i="214"/>
  <c r="G428" s="1"/>
  <c r="K354" i="194" s="1"/>
  <c r="E424" i="214"/>
  <c r="E428" s="1"/>
  <c r="K1129" i="132" s="1"/>
  <c r="E104" i="195" l="1"/>
  <c r="F104" s="1"/>
  <c r="J104" s="1"/>
  <c r="F105" i="305"/>
  <c r="G105" s="1"/>
  <c r="I106" i="140"/>
  <c r="K611"/>
  <c r="E531" i="195"/>
  <c r="F531" s="1"/>
  <c r="J531" s="1"/>
  <c r="I534" i="140"/>
  <c r="J534" s="1"/>
  <c r="K534" s="1"/>
  <c r="F528" i="305"/>
  <c r="G528" s="1"/>
  <c r="O611" i="140"/>
  <c r="I530"/>
  <c r="J530" s="1"/>
  <c r="O554" i="309"/>
  <c r="K554"/>
  <c r="L554"/>
  <c r="E558"/>
  <c r="F558" s="1"/>
  <c r="J558"/>
  <c r="F532" i="305"/>
  <c r="G532" s="1"/>
  <c r="O875" i="309"/>
  <c r="O767"/>
  <c r="O775"/>
  <c r="O843"/>
  <c r="O867"/>
  <c r="O779"/>
  <c r="O839"/>
  <c r="O811"/>
  <c r="O831"/>
  <c r="O863"/>
  <c r="O847"/>
  <c r="O855"/>
  <c r="O751"/>
  <c r="O799"/>
  <c r="O883"/>
  <c r="O787"/>
  <c r="O907"/>
  <c r="O759"/>
  <c r="O903"/>
  <c r="E566"/>
  <c r="F566" s="1"/>
  <c r="J566"/>
  <c r="O803"/>
  <c r="O871"/>
  <c r="O879"/>
  <c r="O859"/>
  <c r="O595"/>
  <c r="O747"/>
  <c r="O807"/>
  <c r="O895"/>
  <c r="O791"/>
  <c r="O603"/>
  <c r="O591"/>
  <c r="L591"/>
  <c r="K591"/>
  <c r="I530"/>
  <c r="O546"/>
  <c r="O542"/>
  <c r="K875"/>
  <c r="L875"/>
  <c r="K767"/>
  <c r="L767"/>
  <c r="K775"/>
  <c r="L775"/>
  <c r="K843"/>
  <c r="L843"/>
  <c r="K867"/>
  <c r="L867"/>
  <c r="K779"/>
  <c r="L779"/>
  <c r="L839"/>
  <c r="K839"/>
  <c r="L811"/>
  <c r="K811"/>
  <c r="K831"/>
  <c r="L831"/>
  <c r="L863"/>
  <c r="K863"/>
  <c r="L847"/>
  <c r="K847"/>
  <c r="K855"/>
  <c r="L855"/>
  <c r="L751"/>
  <c r="K751"/>
  <c r="L799"/>
  <c r="K799"/>
  <c r="L883"/>
  <c r="K883"/>
  <c r="L787"/>
  <c r="K787"/>
  <c r="K907"/>
  <c r="L907"/>
  <c r="K759"/>
  <c r="L759"/>
  <c r="L903"/>
  <c r="K903"/>
  <c r="K747"/>
  <c r="L747"/>
  <c r="L803"/>
  <c r="K803"/>
  <c r="L871"/>
  <c r="K871"/>
  <c r="K879"/>
  <c r="L879"/>
  <c r="K859"/>
  <c r="L859"/>
  <c r="L807"/>
  <c r="K807"/>
  <c r="K895"/>
  <c r="L895"/>
  <c r="K791"/>
  <c r="L791"/>
  <c r="K670"/>
  <c r="L670"/>
  <c r="L713"/>
  <c r="K713"/>
  <c r="L691"/>
  <c r="K691"/>
  <c r="O670"/>
  <c r="O713"/>
  <c r="O691"/>
  <c r="J587"/>
  <c r="E587"/>
  <c r="F587" s="1"/>
  <c r="K546"/>
  <c r="L546"/>
  <c r="K542"/>
  <c r="L542"/>
  <c r="O562"/>
  <c r="I534"/>
  <c r="K562"/>
  <c r="L562"/>
  <c r="J526"/>
  <c r="E526"/>
  <c r="F526" s="1"/>
  <c r="K2595" i="132"/>
  <c r="M2595" s="1"/>
  <c r="K595" i="309"/>
  <c r="L595"/>
  <c r="J607"/>
  <c r="E607"/>
  <c r="F607" s="1"/>
  <c r="L603"/>
  <c r="K603"/>
  <c r="E611"/>
  <c r="F611" s="1"/>
  <c r="J611"/>
  <c r="F133" i="305"/>
  <c r="G133" s="1"/>
  <c r="I134" i="309"/>
  <c r="F439" i="305"/>
  <c r="G439" s="1"/>
  <c r="I441" i="309"/>
  <c r="F310" i="305"/>
  <c r="G310" s="1"/>
  <c r="I312" i="309"/>
  <c r="F451" i="305"/>
  <c r="G451" s="1"/>
  <c r="I453" i="309"/>
  <c r="F499" i="305"/>
  <c r="G499" s="1"/>
  <c r="I501" i="309"/>
  <c r="F491" i="305"/>
  <c r="G491" s="1"/>
  <c r="I493" i="309"/>
  <c r="F302" i="305"/>
  <c r="G302" s="1"/>
  <c r="I304" i="309"/>
  <c r="F443" i="305"/>
  <c r="G443" s="1"/>
  <c r="I445" i="309"/>
  <c r="F471" i="305"/>
  <c r="G471" s="1"/>
  <c r="I473" i="309"/>
  <c r="F93" i="305"/>
  <c r="G93" s="1"/>
  <c r="I94" i="309"/>
  <c r="J433"/>
  <c r="E433"/>
  <c r="F433" s="1"/>
  <c r="F427" i="305"/>
  <c r="G427" s="1"/>
  <c r="I429" i="309"/>
  <c r="F306" i="305"/>
  <c r="G306" s="1"/>
  <c r="I308" i="309"/>
  <c r="F447" i="305"/>
  <c r="G447" s="1"/>
  <c r="I449" i="309"/>
  <c r="F89" i="305"/>
  <c r="G89" s="1"/>
  <c r="I90" i="309"/>
  <c r="F173" i="305"/>
  <c r="G173" s="1"/>
  <c r="I174" i="309"/>
  <c r="F354" i="305"/>
  <c r="G354" s="1"/>
  <c r="I356" i="309"/>
  <c r="F177" i="305"/>
  <c r="G177" s="1"/>
  <c r="I178" i="309"/>
  <c r="L513"/>
  <c r="K513"/>
  <c r="K190"/>
  <c r="L190"/>
  <c r="L202"/>
  <c r="K202"/>
  <c r="K198"/>
  <c r="L198"/>
  <c r="K376"/>
  <c r="L376"/>
  <c r="K517"/>
  <c r="L517"/>
  <c r="K509"/>
  <c r="L509"/>
  <c r="F117" i="305"/>
  <c r="G117" s="1"/>
  <c r="I118" i="309"/>
  <c r="F294" i="305"/>
  <c r="G294" s="1"/>
  <c r="I296" i="309"/>
  <c r="F169" i="305"/>
  <c r="G169" s="1"/>
  <c r="I170" i="309"/>
  <c r="F350" i="305"/>
  <c r="G350" s="1"/>
  <c r="I352" i="309"/>
  <c r="F125" i="305"/>
  <c r="G125" s="1"/>
  <c r="I126" i="309"/>
  <c r="F149" i="305"/>
  <c r="G149" s="1"/>
  <c r="I150" i="309"/>
  <c r="F330" i="305"/>
  <c r="G330" s="1"/>
  <c r="I332" i="309"/>
  <c r="F278" i="305"/>
  <c r="G278" s="1"/>
  <c r="I280" i="309"/>
  <c r="F423" i="305"/>
  <c r="G423" s="1"/>
  <c r="I425" i="309"/>
  <c r="F286" i="305"/>
  <c r="G286" s="1"/>
  <c r="I288" i="309"/>
  <c r="F282" i="305"/>
  <c r="G282" s="1"/>
  <c r="I284" i="309"/>
  <c r="F129" i="305"/>
  <c r="G129" s="1"/>
  <c r="I130" i="309"/>
  <c r="F274" i="305"/>
  <c r="J274" s="1"/>
  <c r="J1136" s="1"/>
  <c r="I276" i="309"/>
  <c r="F419" i="305"/>
  <c r="G419" s="1"/>
  <c r="I421" i="309"/>
  <c r="F101" i="305"/>
  <c r="G101" s="1"/>
  <c r="I102" i="309"/>
  <c r="J234"/>
  <c r="E234"/>
  <c r="F234" s="1"/>
  <c r="F495" i="305"/>
  <c r="G495" s="1"/>
  <c r="I497" i="309"/>
  <c r="J33"/>
  <c r="E33"/>
  <c r="F33" s="1"/>
  <c r="J110"/>
  <c r="E110"/>
  <c r="F110" s="1"/>
  <c r="J368"/>
  <c r="E368"/>
  <c r="F368" s="1"/>
  <c r="J437"/>
  <c r="E437"/>
  <c r="F437" s="1"/>
  <c r="J21"/>
  <c r="E21"/>
  <c r="F21" s="1"/>
  <c r="J505"/>
  <c r="E505"/>
  <c r="F505" s="1"/>
  <c r="J106"/>
  <c r="E106"/>
  <c r="F106" s="1"/>
  <c r="J292"/>
  <c r="E292"/>
  <c r="F292" s="1"/>
  <c r="J114"/>
  <c r="E114"/>
  <c r="F114" s="1"/>
  <c r="J17"/>
  <c r="E17"/>
  <c r="F17" s="1"/>
  <c r="J364"/>
  <c r="E364"/>
  <c r="F364" s="1"/>
  <c r="O513"/>
  <c r="O190"/>
  <c r="O202"/>
  <c r="O198"/>
  <c r="O376"/>
  <c r="O517"/>
  <c r="O509"/>
  <c r="N186" i="211"/>
  <c r="L509" i="140"/>
  <c r="K558"/>
  <c r="O509"/>
  <c r="E430" i="195"/>
  <c r="F430" s="1"/>
  <c r="J430" s="1"/>
  <c r="F431" i="305"/>
  <c r="G431" s="1"/>
  <c r="M2041" i="304"/>
  <c r="F94" i="165"/>
  <c r="F233" i="305"/>
  <c r="G233" s="1"/>
  <c r="L607" i="140"/>
  <c r="O607"/>
  <c r="O558"/>
  <c r="E507" i="214"/>
  <c r="E511" s="1"/>
  <c r="E512" s="1"/>
  <c r="K1350" i="132" s="1"/>
  <c r="I138" i="309" s="1"/>
  <c r="O526" i="140"/>
  <c r="L526"/>
  <c r="E535" i="195"/>
  <c r="F535" s="1"/>
  <c r="J535" s="1"/>
  <c r="G36" i="139"/>
  <c r="G40" s="1"/>
  <c r="Q48" i="211"/>
  <c r="Q184" s="1"/>
  <c r="M48"/>
  <c r="M184" s="1"/>
  <c r="K376" i="140"/>
  <c r="L376"/>
  <c r="L202"/>
  <c r="L198"/>
  <c r="K517"/>
  <c r="L517"/>
  <c r="K372"/>
  <c r="L372"/>
  <c r="K33"/>
  <c r="L33"/>
  <c r="K190"/>
  <c r="L190"/>
  <c r="L194"/>
  <c r="K513"/>
  <c r="L513"/>
  <c r="K587"/>
  <c r="L587"/>
  <c r="K566"/>
  <c r="L566"/>
  <c r="H186" i="211"/>
  <c r="O198" i="140"/>
  <c r="O517"/>
  <c r="O372"/>
  <c r="O33"/>
  <c r="O190"/>
  <c r="O534"/>
  <c r="O376"/>
  <c r="O194"/>
  <c r="O202"/>
  <c r="O513"/>
  <c r="O587"/>
  <c r="O566"/>
  <c r="E78" i="139"/>
  <c r="G78" s="1"/>
  <c r="C83" i="165"/>
  <c r="C85" s="1"/>
  <c r="K176" i="196"/>
  <c r="L176"/>
  <c r="O176"/>
  <c r="E779" i="214"/>
  <c r="E781" s="1"/>
  <c r="E782" s="1"/>
  <c r="K1931" i="132" s="1"/>
  <c r="G779" i="214"/>
  <c r="G781" s="1"/>
  <c r="G782" s="1"/>
  <c r="F779"/>
  <c r="F781" s="1"/>
  <c r="F782" s="1"/>
  <c r="D66" i="165"/>
  <c r="L48" i="211"/>
  <c r="L184" s="1"/>
  <c r="I48"/>
  <c r="I184" s="1"/>
  <c r="F758" i="214"/>
  <c r="F760" s="1"/>
  <c r="F761" s="1"/>
  <c r="K1217" i="192" s="1"/>
  <c r="I360" i="309" s="1"/>
  <c r="G525" i="214"/>
  <c r="E527" s="1"/>
  <c r="E531" s="1"/>
  <c r="E532" s="1"/>
  <c r="K1457" i="132" s="1"/>
  <c r="F9" i="165"/>
  <c r="M557" i="192"/>
  <c r="E293" i="195"/>
  <c r="F293" s="1"/>
  <c r="J293" s="1"/>
  <c r="I296" i="140"/>
  <c r="M1825" i="132"/>
  <c r="E168" i="195"/>
  <c r="F168" s="1"/>
  <c r="J168" s="1"/>
  <c r="I170" i="140"/>
  <c r="M1155" i="192"/>
  <c r="I352" i="140"/>
  <c r="E349" i="195"/>
  <c r="F349" s="1"/>
  <c r="J349" s="1"/>
  <c r="M1600" i="132"/>
  <c r="E148" i="195"/>
  <c r="F148" s="1"/>
  <c r="J148" s="1"/>
  <c r="I150" i="140"/>
  <c r="M815" i="132"/>
  <c r="I94" i="140"/>
  <c r="E92" i="195"/>
  <c r="F92" s="1"/>
  <c r="J92" s="1"/>
  <c r="M298" i="194"/>
  <c r="E426" i="195"/>
  <c r="F426" s="1"/>
  <c r="J426" s="1"/>
  <c r="I429" i="140"/>
  <c r="M412" i="194"/>
  <c r="E446" i="195"/>
  <c r="F446" s="1"/>
  <c r="J446" s="1"/>
  <c r="I449" i="140"/>
  <c r="M790" i="132"/>
  <c r="I90" i="140"/>
  <c r="E88" i="195"/>
  <c r="F88" s="1"/>
  <c r="J88" s="1"/>
  <c r="M1849" i="132"/>
  <c r="E172" i="195"/>
  <c r="F172" s="1"/>
  <c r="J172" s="1"/>
  <c r="I174" i="140"/>
  <c r="J110"/>
  <c r="M354" i="194"/>
  <c r="I441" i="140"/>
  <c r="E438" i="195"/>
  <c r="F438" s="1"/>
  <c r="J438" s="1"/>
  <c r="M718" i="192"/>
  <c r="E309" i="195"/>
  <c r="F309" s="1"/>
  <c r="J309" s="1"/>
  <c r="I312" i="140"/>
  <c r="M444" i="194"/>
  <c r="E450" i="195"/>
  <c r="F450" s="1"/>
  <c r="J450" s="1"/>
  <c r="I453" i="140"/>
  <c r="M781" i="194"/>
  <c r="E498" i="195"/>
  <c r="F498" s="1"/>
  <c r="J498" s="1"/>
  <c r="I501" i="140"/>
  <c r="M730" i="194"/>
  <c r="E490" i="195"/>
  <c r="F490" s="1"/>
  <c r="J490" s="1"/>
  <c r="I493" i="140"/>
  <c r="M621" i="192"/>
  <c r="I304" i="140"/>
  <c r="E301" i="195"/>
  <c r="F301" s="1"/>
  <c r="J301" s="1"/>
  <c r="M382" i="194"/>
  <c r="E442" i="195"/>
  <c r="F442" s="1"/>
  <c r="J442" s="1"/>
  <c r="I445" i="140"/>
  <c r="M590" i="194"/>
  <c r="I473" i="140"/>
  <c r="E470" i="195"/>
  <c r="F470" s="1"/>
  <c r="J470" s="1"/>
  <c r="M332" i="192"/>
  <c r="E277" i="195"/>
  <c r="F277" s="1"/>
  <c r="J277" s="1"/>
  <c r="I280" i="140"/>
  <c r="M243" i="194"/>
  <c r="I425" i="140"/>
  <c r="E422" i="195"/>
  <c r="F422" s="1"/>
  <c r="J422" s="1"/>
  <c r="M356" i="192"/>
  <c r="E285" i="195"/>
  <c r="F285" s="1"/>
  <c r="J285" s="1"/>
  <c r="I288" i="140"/>
  <c r="M396" i="192"/>
  <c r="E281" i="195"/>
  <c r="F281" s="1"/>
  <c r="J281" s="1"/>
  <c r="I284" i="140"/>
  <c r="M1272" i="132"/>
  <c r="E128" i="195"/>
  <c r="F128" s="1"/>
  <c r="J128" s="1"/>
  <c r="I130" i="140"/>
  <c r="M307" i="192"/>
  <c r="E273" i="195"/>
  <c r="F273" s="1"/>
  <c r="J273" s="1"/>
  <c r="I276" i="140"/>
  <c r="M222" i="194"/>
  <c r="I421" i="140"/>
  <c r="E418" i="195"/>
  <c r="F418" s="1"/>
  <c r="J418" s="1"/>
  <c r="M841" i="132"/>
  <c r="E100" i="195"/>
  <c r="F100" s="1"/>
  <c r="J100" s="1"/>
  <c r="I102" i="140"/>
  <c r="M2476" i="132"/>
  <c r="I234" i="140"/>
  <c r="E232" i="195"/>
  <c r="F232" s="1"/>
  <c r="J232" s="1"/>
  <c r="M757" i="194"/>
  <c r="E494" i="195"/>
  <c r="F494" s="1"/>
  <c r="J494" s="1"/>
  <c r="I497" i="140"/>
  <c r="Q58" i="196"/>
  <c r="I54"/>
  <c r="J106" i="140"/>
  <c r="K106" s="1"/>
  <c r="J114"/>
  <c r="J505"/>
  <c r="J21"/>
  <c r="M1129" i="132"/>
  <c r="E116" i="195"/>
  <c r="F116" s="1"/>
  <c r="J116" s="1"/>
  <c r="I118" i="140"/>
  <c r="M1299" i="132"/>
  <c r="E132" i="195"/>
  <c r="F132" s="1"/>
  <c r="J132" s="1"/>
  <c r="I134" i="140"/>
  <c r="M1876" i="132"/>
  <c r="E176" i="195"/>
  <c r="F176" s="1"/>
  <c r="J176" s="1"/>
  <c r="I178" i="140"/>
  <c r="M1200" i="132"/>
  <c r="E124" i="195"/>
  <c r="F124" s="1"/>
  <c r="J124" s="1"/>
  <c r="I126" i="140"/>
  <c r="M970" i="192"/>
  <c r="E329" i="195"/>
  <c r="F329" s="1"/>
  <c r="J329" s="1"/>
  <c r="I332" i="140"/>
  <c r="M269" i="194"/>
  <c r="I433" i="140"/>
  <c r="M686" i="192"/>
  <c r="I308" i="140"/>
  <c r="E305" i="195"/>
  <c r="F305" s="1"/>
  <c r="J305" s="1"/>
  <c r="M1182" i="192"/>
  <c r="E353" i="195"/>
  <c r="F353" s="1"/>
  <c r="J353" s="1"/>
  <c r="I356" i="140"/>
  <c r="J437"/>
  <c r="J292"/>
  <c r="J17"/>
  <c r="J368"/>
  <c r="J364"/>
  <c r="T20" i="211"/>
  <c r="S20" s="1"/>
  <c r="S19"/>
  <c r="F228" i="214"/>
  <c r="G228" s="1"/>
  <c r="G238" s="1"/>
  <c r="F165"/>
  <c r="F108"/>
  <c r="F649"/>
  <c r="G649" s="1"/>
  <c r="G648"/>
  <c r="F677"/>
  <c r="F679" s="1"/>
  <c r="F680" s="1"/>
  <c r="K939" i="192" s="1"/>
  <c r="G677" i="214"/>
  <c r="G679" s="1"/>
  <c r="G680" s="1"/>
  <c r="K565" i="194" s="1"/>
  <c r="E677" i="214"/>
  <c r="E679" s="1"/>
  <c r="E680" s="1"/>
  <c r="K1544" i="132" s="1"/>
  <c r="F606" i="214"/>
  <c r="G606" s="1"/>
  <c r="G616" s="1"/>
  <c r="G587"/>
  <c r="G597" s="1"/>
  <c r="F286"/>
  <c r="K1522" i="192" s="1"/>
  <c r="I380" i="309" s="1"/>
  <c r="G284" i="214"/>
  <c r="G286" s="1"/>
  <c r="K943" i="194" s="1"/>
  <c r="I521" i="309" s="1"/>
  <c r="F631" i="214"/>
  <c r="G631" s="1"/>
  <c r="G630"/>
  <c r="F511"/>
  <c r="F512" s="1"/>
  <c r="K770" i="192" s="1"/>
  <c r="G507" i="214"/>
  <c r="G511" s="1"/>
  <c r="G512" s="1"/>
  <c r="K480" i="194" s="1"/>
  <c r="F539" i="214" l="1"/>
  <c r="G539" s="1"/>
  <c r="G546" s="1"/>
  <c r="L534" i="140"/>
  <c r="F527" i="214"/>
  <c r="F597" i="305"/>
  <c r="G597" s="1"/>
  <c r="O566" i="309"/>
  <c r="O558"/>
  <c r="K566"/>
  <c r="L566"/>
  <c r="K558"/>
  <c r="L558"/>
  <c r="E530"/>
  <c r="F530" s="1"/>
  <c r="J530"/>
  <c r="O607"/>
  <c r="O526"/>
  <c r="O587"/>
  <c r="L526"/>
  <c r="K526"/>
  <c r="K587"/>
  <c r="L587"/>
  <c r="J534"/>
  <c r="E534"/>
  <c r="F534" s="1"/>
  <c r="L607"/>
  <c r="K607"/>
  <c r="O611"/>
  <c r="I599"/>
  <c r="L611"/>
  <c r="K611"/>
  <c r="F455" i="305"/>
  <c r="G455" s="1"/>
  <c r="I457" i="309"/>
  <c r="J521"/>
  <c r="E521"/>
  <c r="F521" s="1"/>
  <c r="F145" i="305"/>
  <c r="G145" s="1"/>
  <c r="I146" i="309"/>
  <c r="F141" i="305"/>
  <c r="G141" s="1"/>
  <c r="I142" i="309"/>
  <c r="F314" i="305"/>
  <c r="G314" s="1"/>
  <c r="I316" i="309"/>
  <c r="J380"/>
  <c r="E380"/>
  <c r="F380" s="1"/>
  <c r="F467" i="305"/>
  <c r="G467" s="1"/>
  <c r="I469" i="309"/>
  <c r="J360"/>
  <c r="E360"/>
  <c r="F360" s="1"/>
  <c r="F185" i="305"/>
  <c r="G185" s="1"/>
  <c r="I186" i="309"/>
  <c r="J138"/>
  <c r="E138"/>
  <c r="F138" s="1"/>
  <c r="L364"/>
  <c r="K364"/>
  <c r="L17"/>
  <c r="K17"/>
  <c r="L114"/>
  <c r="K114"/>
  <c r="K292"/>
  <c r="L292"/>
  <c r="L106"/>
  <c r="K106"/>
  <c r="L505"/>
  <c r="K505"/>
  <c r="K21"/>
  <c r="L21"/>
  <c r="K437"/>
  <c r="L437"/>
  <c r="K368"/>
  <c r="L368"/>
  <c r="K110"/>
  <c r="L110"/>
  <c r="K33"/>
  <c r="L33"/>
  <c r="K234"/>
  <c r="L234"/>
  <c r="L433"/>
  <c r="K433"/>
  <c r="F326" i="305"/>
  <c r="G326" s="1"/>
  <c r="I328" i="309"/>
  <c r="J497"/>
  <c r="E497"/>
  <c r="F497" s="1"/>
  <c r="J102"/>
  <c r="E102"/>
  <c r="F102" s="1"/>
  <c r="J421"/>
  <c r="E421"/>
  <c r="F421" s="1"/>
  <c r="J276"/>
  <c r="E276"/>
  <c r="F276" s="1"/>
  <c r="J130"/>
  <c r="E130"/>
  <c r="F130" s="1"/>
  <c r="J284"/>
  <c r="E284"/>
  <c r="F284" s="1"/>
  <c r="J288"/>
  <c r="E288"/>
  <c r="F288" s="1"/>
  <c r="J425"/>
  <c r="E425"/>
  <c r="F425" s="1"/>
  <c r="J280"/>
  <c r="E280"/>
  <c r="F280" s="1"/>
  <c r="J332"/>
  <c r="E332"/>
  <c r="F332" s="1"/>
  <c r="J150"/>
  <c r="E150"/>
  <c r="F150" s="1"/>
  <c r="J126"/>
  <c r="E126"/>
  <c r="F126" s="1"/>
  <c r="J352"/>
  <c r="E352"/>
  <c r="F352" s="1"/>
  <c r="J170"/>
  <c r="E170"/>
  <c r="F170" s="1"/>
  <c r="J296"/>
  <c r="E296"/>
  <c r="F296" s="1"/>
  <c r="J118"/>
  <c r="E118"/>
  <c r="F118" s="1"/>
  <c r="J178"/>
  <c r="E178"/>
  <c r="F178" s="1"/>
  <c r="J356"/>
  <c r="E356"/>
  <c r="F356" s="1"/>
  <c r="J174"/>
  <c r="E174"/>
  <c r="F174" s="1"/>
  <c r="J90"/>
  <c r="E90"/>
  <c r="F90" s="1"/>
  <c r="J449"/>
  <c r="E449"/>
  <c r="F449" s="1"/>
  <c r="J308"/>
  <c r="E308"/>
  <c r="F308" s="1"/>
  <c r="J429"/>
  <c r="E429"/>
  <c r="F429" s="1"/>
  <c r="J94"/>
  <c r="E94"/>
  <c r="F94" s="1"/>
  <c r="J473"/>
  <c r="E473"/>
  <c r="F473" s="1"/>
  <c r="J445"/>
  <c r="E445"/>
  <c r="F445" s="1"/>
  <c r="J304"/>
  <c r="E304"/>
  <c r="F304" s="1"/>
  <c r="J493"/>
  <c r="E493"/>
  <c r="F493" s="1"/>
  <c r="J501"/>
  <c r="E501"/>
  <c r="F501" s="1"/>
  <c r="J453"/>
  <c r="E453"/>
  <c r="F453" s="1"/>
  <c r="J312"/>
  <c r="E312"/>
  <c r="F312" s="1"/>
  <c r="J441"/>
  <c r="E441"/>
  <c r="F441" s="1"/>
  <c r="J134"/>
  <c r="E134"/>
  <c r="F134" s="1"/>
  <c r="O364"/>
  <c r="O17"/>
  <c r="O114"/>
  <c r="O292"/>
  <c r="O106"/>
  <c r="O505"/>
  <c r="O21"/>
  <c r="O437"/>
  <c r="O368"/>
  <c r="O110"/>
  <c r="O33"/>
  <c r="O234"/>
  <c r="O433"/>
  <c r="M186" i="211"/>
  <c r="C184" i="196"/>
  <c r="E84" i="139"/>
  <c r="F96" i="165"/>
  <c r="F519" i="305"/>
  <c r="G519" s="1"/>
  <c r="F95" i="165"/>
  <c r="F378" i="305"/>
  <c r="G378" s="1"/>
  <c r="M1217" i="192"/>
  <c r="F358" i="305"/>
  <c r="G358" s="1"/>
  <c r="I138" i="140"/>
  <c r="J138" s="1"/>
  <c r="K138" s="1"/>
  <c r="F137" i="305"/>
  <c r="G137" s="1"/>
  <c r="E82" i="139"/>
  <c r="M178" i="196" s="1"/>
  <c r="C39" i="165"/>
  <c r="E46" i="139" s="1"/>
  <c r="G46" s="1"/>
  <c r="Q186" i="211"/>
  <c r="E136" i="195"/>
  <c r="F136" s="1"/>
  <c r="J136" s="1"/>
  <c r="M1350" i="132"/>
  <c r="I599" i="140"/>
  <c r="J599" s="1"/>
  <c r="L599" s="1"/>
  <c r="E595" i="195"/>
  <c r="F595" s="1"/>
  <c r="J595" s="1"/>
  <c r="K364" i="140"/>
  <c r="L364"/>
  <c r="K368"/>
  <c r="L368"/>
  <c r="K292"/>
  <c r="L292"/>
  <c r="K505"/>
  <c r="L505"/>
  <c r="L106"/>
  <c r="K530"/>
  <c r="L530"/>
  <c r="K17"/>
  <c r="L17"/>
  <c r="K437"/>
  <c r="L437"/>
  <c r="K21"/>
  <c r="L21"/>
  <c r="K114"/>
  <c r="L114"/>
  <c r="K110"/>
  <c r="L110"/>
  <c r="O364"/>
  <c r="O17"/>
  <c r="O437"/>
  <c r="O21"/>
  <c r="O114"/>
  <c r="O110"/>
  <c r="O368"/>
  <c r="O292"/>
  <c r="O505"/>
  <c r="O106"/>
  <c r="O530"/>
  <c r="L186" i="211"/>
  <c r="F56" i="165"/>
  <c r="C66"/>
  <c r="E49" i="139"/>
  <c r="G49" s="1"/>
  <c r="F42" i="165"/>
  <c r="F69" i="139"/>
  <c r="M1931" i="132"/>
  <c r="E212" i="195"/>
  <c r="F212" s="1"/>
  <c r="J212" s="1"/>
  <c r="I186" i="140"/>
  <c r="J186" s="1"/>
  <c r="C53" i="165"/>
  <c r="E357" i="195"/>
  <c r="F357" s="1"/>
  <c r="J357" s="1"/>
  <c r="I360" i="140"/>
  <c r="F54" i="165"/>
  <c r="M480" i="194"/>
  <c r="I457" i="140"/>
  <c r="E454" i="195"/>
  <c r="F454" s="1"/>
  <c r="J454" s="1"/>
  <c r="M1544" i="132"/>
  <c r="I146" i="140"/>
  <c r="E144" i="195"/>
  <c r="F144" s="1"/>
  <c r="J144" s="1"/>
  <c r="M770" i="192"/>
  <c r="E313" i="195"/>
  <c r="F313" s="1"/>
  <c r="J313" s="1"/>
  <c r="I316" i="140"/>
  <c r="M1522" i="192"/>
  <c r="I380" i="140"/>
  <c r="E377" i="195"/>
  <c r="F377" s="1"/>
  <c r="J377" s="1"/>
  <c r="M565" i="194"/>
  <c r="I469" i="140"/>
  <c r="E466" i="195"/>
  <c r="F466" s="1"/>
  <c r="J466" s="1"/>
  <c r="J356" i="140"/>
  <c r="J308"/>
  <c r="J433"/>
  <c r="J126"/>
  <c r="K126" s="1"/>
  <c r="J134"/>
  <c r="Q62" i="196"/>
  <c r="I62" s="1"/>
  <c r="I58"/>
  <c r="J130" i="140"/>
  <c r="J288"/>
  <c r="J425"/>
  <c r="J280"/>
  <c r="J473"/>
  <c r="J445"/>
  <c r="J304"/>
  <c r="J493"/>
  <c r="J360"/>
  <c r="J312"/>
  <c r="J441"/>
  <c r="J174"/>
  <c r="J90"/>
  <c r="K90" s="1"/>
  <c r="J449"/>
  <c r="J296"/>
  <c r="G637" i="214"/>
  <c r="F639" s="1"/>
  <c r="F641" s="1"/>
  <c r="F642" s="1"/>
  <c r="K1089" i="192" s="1"/>
  <c r="G655" i="214"/>
  <c r="G657" s="1"/>
  <c r="G659" s="1"/>
  <c r="G660" s="1"/>
  <c r="K702" i="194" s="1"/>
  <c r="M1457" i="132"/>
  <c r="E140" i="195"/>
  <c r="F140" s="1"/>
  <c r="J140" s="1"/>
  <c r="I142" i="140"/>
  <c r="M943" i="194"/>
  <c r="I521" i="140"/>
  <c r="E518" i="195"/>
  <c r="F518" s="1"/>
  <c r="J518" s="1"/>
  <c r="M939" i="192"/>
  <c r="E325" i="195"/>
  <c r="F325" s="1"/>
  <c r="J325" s="1"/>
  <c r="I328" i="140"/>
  <c r="J332"/>
  <c r="J178"/>
  <c r="K178" s="1"/>
  <c r="J118"/>
  <c r="J497"/>
  <c r="J234"/>
  <c r="K234" s="1"/>
  <c r="J102"/>
  <c r="J421"/>
  <c r="J276"/>
  <c r="J284"/>
  <c r="J501"/>
  <c r="J453"/>
  <c r="J429"/>
  <c r="J94"/>
  <c r="J150"/>
  <c r="J352"/>
  <c r="J170"/>
  <c r="S48" i="211"/>
  <c r="S184" s="1"/>
  <c r="G639" i="214"/>
  <c r="G641" s="1"/>
  <c r="G642" s="1"/>
  <c r="K674" i="194" s="1"/>
  <c r="F531" i="214"/>
  <c r="F532" s="1"/>
  <c r="K865" i="192" s="1"/>
  <c r="G527" i="214"/>
  <c r="G531" s="1"/>
  <c r="G532" s="1"/>
  <c r="K515" i="194" s="1"/>
  <c r="E548" i="214"/>
  <c r="E552" s="1"/>
  <c r="E553" s="1"/>
  <c r="K1159" i="132" s="1"/>
  <c r="F548" i="214"/>
  <c r="F552" s="1"/>
  <c r="F553" s="1"/>
  <c r="K584" i="192" s="1"/>
  <c r="G618" i="214"/>
  <c r="G620" s="1"/>
  <c r="G621" s="1"/>
  <c r="K646" i="194" s="1"/>
  <c r="E618" i="214"/>
  <c r="E620" s="1"/>
  <c r="E621" s="1"/>
  <c r="K1724" i="132" s="1"/>
  <c r="F618" i="214"/>
  <c r="F620" s="1"/>
  <c r="F621" s="1"/>
  <c r="K1048" i="192" s="1"/>
  <c r="I340" i="309" s="1"/>
  <c r="F256" i="214"/>
  <c r="G256" s="1"/>
  <c r="G266" s="1"/>
  <c r="G165"/>
  <c r="G176" s="1"/>
  <c r="F599"/>
  <c r="F601" s="1"/>
  <c r="F602" s="1"/>
  <c r="K1009" i="192" s="1"/>
  <c r="G599" i="214"/>
  <c r="G601" s="1"/>
  <c r="G602" s="1"/>
  <c r="K618" i="194" s="1"/>
  <c r="E599" i="214"/>
  <c r="E601" s="1"/>
  <c r="E602" s="1"/>
  <c r="K1671" i="132" s="1"/>
  <c r="F138" i="214"/>
  <c r="G138" s="1"/>
  <c r="G149" s="1"/>
  <c r="G108"/>
  <c r="G119" s="1"/>
  <c r="G240"/>
  <c r="G241" s="1"/>
  <c r="G245" s="1"/>
  <c r="K127" i="194" s="1"/>
  <c r="E240" i="214"/>
  <c r="E241" s="1"/>
  <c r="E245" s="1"/>
  <c r="K616" i="132" s="1"/>
  <c r="E247" i="214"/>
  <c r="F240"/>
  <c r="F241" s="1"/>
  <c r="F245" s="1"/>
  <c r="K185" i="192" s="1"/>
  <c r="O534" i="309" l="1"/>
  <c r="O530"/>
  <c r="L530"/>
  <c r="K530"/>
  <c r="K534"/>
  <c r="L534"/>
  <c r="E599"/>
  <c r="F599" s="1"/>
  <c r="J599"/>
  <c r="O130"/>
  <c r="O425"/>
  <c r="O421"/>
  <c r="O332"/>
  <c r="O280"/>
  <c r="O288"/>
  <c r="O284"/>
  <c r="O276"/>
  <c r="O102"/>
  <c r="O134"/>
  <c r="O441"/>
  <c r="O312"/>
  <c r="O453"/>
  <c r="O501"/>
  <c r="O493"/>
  <c r="O304"/>
  <c r="O445"/>
  <c r="O473"/>
  <c r="O94"/>
  <c r="O429"/>
  <c r="O308"/>
  <c r="O449"/>
  <c r="O90"/>
  <c r="O174"/>
  <c r="O356"/>
  <c r="O178"/>
  <c r="O118"/>
  <c r="O296"/>
  <c r="O170"/>
  <c r="O352"/>
  <c r="O126"/>
  <c r="O150"/>
  <c r="O497"/>
  <c r="O521"/>
  <c r="F403" i="305"/>
  <c r="G403" s="1"/>
  <c r="I405" i="309"/>
  <c r="F475" i="305"/>
  <c r="G475" s="1"/>
  <c r="I477" i="309"/>
  <c r="F258" i="305"/>
  <c r="G258" s="1"/>
  <c r="I260" i="309"/>
  <c r="F73" i="305"/>
  <c r="G73" s="1"/>
  <c r="I74" i="309"/>
  <c r="F153" i="305"/>
  <c r="G153" s="1"/>
  <c r="I154" i="309"/>
  <c r="F334" i="305"/>
  <c r="G334" s="1"/>
  <c r="I336" i="309"/>
  <c r="F157" i="305"/>
  <c r="G157" s="1"/>
  <c r="I158" i="309"/>
  <c r="F298" i="305"/>
  <c r="G298" s="1"/>
  <c r="I300" i="309"/>
  <c r="F459" i="305"/>
  <c r="G459" s="1"/>
  <c r="I461" i="309"/>
  <c r="F483" i="305"/>
  <c r="G483" s="1"/>
  <c r="I485" i="309"/>
  <c r="F342" i="305"/>
  <c r="G342" s="1"/>
  <c r="I344" i="309"/>
  <c r="L134"/>
  <c r="K134"/>
  <c r="L441"/>
  <c r="K441"/>
  <c r="K312"/>
  <c r="L312"/>
  <c r="K453"/>
  <c r="L453"/>
  <c r="K501"/>
  <c r="L501"/>
  <c r="K493"/>
  <c r="L493"/>
  <c r="K304"/>
  <c r="L304"/>
  <c r="K445"/>
  <c r="L445"/>
  <c r="L473"/>
  <c r="K473"/>
  <c r="L94"/>
  <c r="K94"/>
  <c r="K429"/>
  <c r="L429"/>
  <c r="L308"/>
  <c r="K308"/>
  <c r="L449"/>
  <c r="K449"/>
  <c r="L90"/>
  <c r="K90"/>
  <c r="L174"/>
  <c r="K174"/>
  <c r="L356"/>
  <c r="K356"/>
  <c r="L178"/>
  <c r="K178"/>
  <c r="K118"/>
  <c r="L118"/>
  <c r="L296"/>
  <c r="K296"/>
  <c r="L170"/>
  <c r="K170"/>
  <c r="K352"/>
  <c r="L352"/>
  <c r="K126"/>
  <c r="L126"/>
  <c r="L150"/>
  <c r="K150"/>
  <c r="L332"/>
  <c r="K332"/>
  <c r="K280"/>
  <c r="L280"/>
  <c r="L425"/>
  <c r="K425"/>
  <c r="K288"/>
  <c r="L288"/>
  <c r="L284"/>
  <c r="K284"/>
  <c r="L130"/>
  <c r="K130"/>
  <c r="L276"/>
  <c r="K276"/>
  <c r="K421"/>
  <c r="L421"/>
  <c r="L102"/>
  <c r="K102"/>
  <c r="L497"/>
  <c r="K497"/>
  <c r="L138"/>
  <c r="K138"/>
  <c r="K360"/>
  <c r="L360"/>
  <c r="K380"/>
  <c r="L380"/>
  <c r="L521"/>
  <c r="K521"/>
  <c r="J340"/>
  <c r="E340"/>
  <c r="F340" s="1"/>
  <c r="F479" i="305"/>
  <c r="G479" s="1"/>
  <c r="I481" i="309"/>
  <c r="F121" i="305"/>
  <c r="G121" s="1"/>
  <c r="I122" i="309"/>
  <c r="F318" i="305"/>
  <c r="G318" s="1"/>
  <c r="I320" i="309"/>
  <c r="F487" i="305"/>
  <c r="G487" s="1"/>
  <c r="I489" i="309"/>
  <c r="J328"/>
  <c r="E328"/>
  <c r="F328" s="1"/>
  <c r="J186"/>
  <c r="E186"/>
  <c r="F186" s="1"/>
  <c r="J469"/>
  <c r="E469"/>
  <c r="F469" s="1"/>
  <c r="J316"/>
  <c r="E316"/>
  <c r="F316" s="1"/>
  <c r="J142"/>
  <c r="E142"/>
  <c r="F142" s="1"/>
  <c r="J146"/>
  <c r="E146"/>
  <c r="F146" s="1"/>
  <c r="J457"/>
  <c r="E457"/>
  <c r="F457" s="1"/>
  <c r="O138"/>
  <c r="O360"/>
  <c r="O380"/>
  <c r="C24" i="307"/>
  <c r="K599" i="140"/>
  <c r="F110" i="165"/>
  <c r="C183" i="196"/>
  <c r="S185" i="211"/>
  <c r="I340" i="140"/>
  <c r="J340" s="1"/>
  <c r="L340" s="1"/>
  <c r="F338" i="305"/>
  <c r="G338" s="1"/>
  <c r="C44" i="165"/>
  <c r="C47" s="1"/>
  <c r="O599" i="140"/>
  <c r="G50" i="139"/>
  <c r="E50"/>
  <c r="K178" i="196" s="1"/>
  <c r="C58" i="165"/>
  <c r="C60" s="1"/>
  <c r="E58" i="139"/>
  <c r="G58" s="1"/>
  <c r="G62" s="1"/>
  <c r="K94" i="140"/>
  <c r="L94"/>
  <c r="K284"/>
  <c r="L284"/>
  <c r="K170"/>
  <c r="L170"/>
  <c r="K150"/>
  <c r="L150"/>
  <c r="K429"/>
  <c r="L429"/>
  <c r="K501"/>
  <c r="L501"/>
  <c r="K276"/>
  <c r="L276"/>
  <c r="K102"/>
  <c r="L102"/>
  <c r="K497"/>
  <c r="L497"/>
  <c r="L178"/>
  <c r="K449"/>
  <c r="L449"/>
  <c r="K174"/>
  <c r="L174"/>
  <c r="K441"/>
  <c r="L441"/>
  <c r="K360"/>
  <c r="L360"/>
  <c r="K304"/>
  <c r="L304"/>
  <c r="K473"/>
  <c r="L473"/>
  <c r="K425"/>
  <c r="L425"/>
  <c r="K130"/>
  <c r="L130"/>
  <c r="L126"/>
  <c r="K308"/>
  <c r="L308"/>
  <c r="K340"/>
  <c r="K352"/>
  <c r="L352"/>
  <c r="K453"/>
  <c r="L453"/>
  <c r="K421"/>
  <c r="L421"/>
  <c r="L234"/>
  <c r="K118"/>
  <c r="L118"/>
  <c r="K332"/>
  <c r="L332"/>
  <c r="K296"/>
  <c r="L296"/>
  <c r="L90"/>
  <c r="L138"/>
  <c r="K312"/>
  <c r="L312"/>
  <c r="K493"/>
  <c r="L493"/>
  <c r="K445"/>
  <c r="L445"/>
  <c r="K280"/>
  <c r="L280"/>
  <c r="K288"/>
  <c r="L288"/>
  <c r="K134"/>
  <c r="L134"/>
  <c r="K433"/>
  <c r="L433"/>
  <c r="K356"/>
  <c r="L356"/>
  <c r="K186"/>
  <c r="L186"/>
  <c r="I186" i="211"/>
  <c r="H187" s="1"/>
  <c r="C182" i="196"/>
  <c r="O352" i="140"/>
  <c r="O453"/>
  <c r="O170"/>
  <c r="O150"/>
  <c r="O429"/>
  <c r="O501"/>
  <c r="O276"/>
  <c r="O102"/>
  <c r="O497"/>
  <c r="O178"/>
  <c r="O449"/>
  <c r="O174"/>
  <c r="O441"/>
  <c r="O360"/>
  <c r="O304"/>
  <c r="O473"/>
  <c r="O425"/>
  <c r="O130"/>
  <c r="O126"/>
  <c r="O308"/>
  <c r="O94"/>
  <c r="O284"/>
  <c r="O421"/>
  <c r="O234"/>
  <c r="O118"/>
  <c r="O332"/>
  <c r="O296"/>
  <c r="O90"/>
  <c r="O138"/>
  <c r="O312"/>
  <c r="O493"/>
  <c r="O445"/>
  <c r="O280"/>
  <c r="O288"/>
  <c r="O134"/>
  <c r="O433"/>
  <c r="O356"/>
  <c r="O186"/>
  <c r="C71" i="165"/>
  <c r="E69" i="139"/>
  <c r="E73" s="1"/>
  <c r="L178" i="196" s="1"/>
  <c r="E639" i="214"/>
  <c r="E641" s="1"/>
  <c r="E642" s="1"/>
  <c r="K1768" i="132" s="1"/>
  <c r="I162" i="309" s="1"/>
  <c r="E657" i="214"/>
  <c r="E659" s="1"/>
  <c r="E660" s="1"/>
  <c r="K1798" i="132" s="1"/>
  <c r="I166" i="309" s="1"/>
  <c r="F657" i="214"/>
  <c r="F659" s="1"/>
  <c r="F660" s="1"/>
  <c r="K1123" i="192" s="1"/>
  <c r="I348" i="309" s="1"/>
  <c r="I176" i="196"/>
  <c r="C8" i="165"/>
  <c r="M127" i="194"/>
  <c r="I405" i="140"/>
  <c r="E402" i="195"/>
  <c r="F402" s="1"/>
  <c r="J402" s="1"/>
  <c r="M702" i="194"/>
  <c r="E486" i="195"/>
  <c r="F486" s="1"/>
  <c r="J486" s="1"/>
  <c r="I489" i="140"/>
  <c r="M1671" i="132"/>
  <c r="I154" i="140"/>
  <c r="E152" i="195"/>
  <c r="F152" s="1"/>
  <c r="J152" s="1"/>
  <c r="M1009" i="192"/>
  <c r="E333" i="195"/>
  <c r="F333" s="1"/>
  <c r="J333" s="1"/>
  <c r="I336" i="140"/>
  <c r="M1724" i="132"/>
  <c r="I158" i="140"/>
  <c r="E156" i="195"/>
  <c r="F156" s="1"/>
  <c r="J156" s="1"/>
  <c r="M584" i="192"/>
  <c r="E297" i="195"/>
  <c r="F297" s="1"/>
  <c r="J297" s="1"/>
  <c r="I300" i="140"/>
  <c r="M515" i="194"/>
  <c r="E458" i="195"/>
  <c r="F458" s="1"/>
  <c r="J458" s="1"/>
  <c r="I461" i="140"/>
  <c r="M1089" i="192"/>
  <c r="E341" i="195"/>
  <c r="F341" s="1"/>
  <c r="J341" s="1"/>
  <c r="I344" i="140"/>
  <c r="J380"/>
  <c r="J316"/>
  <c r="J146"/>
  <c r="M185" i="192"/>
  <c r="E257" i="195"/>
  <c r="F257" s="1"/>
  <c r="J257" s="1"/>
  <c r="I260" i="140"/>
  <c r="M616" i="132"/>
  <c r="E72" i="195"/>
  <c r="F72" s="1"/>
  <c r="J72" s="1"/>
  <c r="I74" i="140"/>
  <c r="M618" i="194"/>
  <c r="E474" i="195"/>
  <c r="F474" s="1"/>
  <c r="J474" s="1"/>
  <c r="I477" i="140"/>
  <c r="M1048" i="192"/>
  <c r="E337" i="195"/>
  <c r="F337" s="1"/>
  <c r="J337" s="1"/>
  <c r="M646" i="194"/>
  <c r="I481" i="140"/>
  <c r="E478" i="195"/>
  <c r="F478" s="1"/>
  <c r="J478" s="1"/>
  <c r="M1159" i="132"/>
  <c r="E120" i="195"/>
  <c r="F120" s="1"/>
  <c r="J120" s="1"/>
  <c r="I122" i="140"/>
  <c r="M865" i="192"/>
  <c r="E317" i="195"/>
  <c r="F317" s="1"/>
  <c r="J317" s="1"/>
  <c r="I320" i="140"/>
  <c r="M674" i="194"/>
  <c r="E482" i="195"/>
  <c r="F482" s="1"/>
  <c r="J482" s="1"/>
  <c r="I485" i="140"/>
  <c r="J328"/>
  <c r="J521"/>
  <c r="J142"/>
  <c r="J469"/>
  <c r="J457"/>
  <c r="F126" i="214"/>
  <c r="G126" s="1"/>
  <c r="G129" s="1"/>
  <c r="K348" i="132" s="1"/>
  <c r="F131" i="214"/>
  <c r="G131" s="1"/>
  <c r="G134" s="1"/>
  <c r="K430" i="132" s="1"/>
  <c r="F121" i="214"/>
  <c r="G121" s="1"/>
  <c r="G124" s="1"/>
  <c r="K325" i="132" s="1"/>
  <c r="E248" i="214"/>
  <c r="E252" s="1"/>
  <c r="K641" i="132" s="1"/>
  <c r="F247" i="214"/>
  <c r="G157"/>
  <c r="G161" s="1"/>
  <c r="K176" i="194" s="1"/>
  <c r="E157" i="214"/>
  <c r="E161" s="1"/>
  <c r="K672" i="132" s="1"/>
  <c r="G151" i="214"/>
  <c r="G155" s="1"/>
  <c r="K14" i="194" s="1"/>
  <c r="E151" i="214"/>
  <c r="E155" s="1"/>
  <c r="K376" i="132" s="1"/>
  <c r="F157" i="214"/>
  <c r="F161" s="1"/>
  <c r="K238" i="192" s="1"/>
  <c r="F151" i="214"/>
  <c r="F155" s="1"/>
  <c r="K16" i="192" s="1"/>
  <c r="E211" i="214"/>
  <c r="F204"/>
  <c r="F205" s="1"/>
  <c r="F209" s="1"/>
  <c r="G198"/>
  <c r="G199" s="1"/>
  <c r="G203" s="1"/>
  <c r="K63" i="194" s="1"/>
  <c r="E198" i="214"/>
  <c r="E199" s="1"/>
  <c r="E203" s="1"/>
  <c r="K544" i="132" s="1"/>
  <c r="F191" i="214"/>
  <c r="F192" s="1"/>
  <c r="F196" s="1"/>
  <c r="K140" i="192" s="1"/>
  <c r="G184" i="214"/>
  <c r="G185" s="1"/>
  <c r="G189" s="1"/>
  <c r="K106" i="194" s="1"/>
  <c r="E184" i="214"/>
  <c r="E185" s="1"/>
  <c r="E189" s="1"/>
  <c r="K592" i="132" s="1"/>
  <c r="G178" i="214"/>
  <c r="G182" s="1"/>
  <c r="K39" i="194" s="1"/>
  <c r="E178" i="214"/>
  <c r="E182" s="1"/>
  <c r="K477" i="132" s="1"/>
  <c r="G204" i="214"/>
  <c r="G205" s="1"/>
  <c r="G209" s="1"/>
  <c r="E191"/>
  <c r="E192" s="1"/>
  <c r="E196" s="1"/>
  <c r="K567" i="132" s="1"/>
  <c r="F184" i="214"/>
  <c r="F185" s="1"/>
  <c r="F189" s="1"/>
  <c r="K164" i="192" s="1"/>
  <c r="E204" i="214"/>
  <c r="E205" s="1"/>
  <c r="E209" s="1"/>
  <c r="F198"/>
  <c r="F199" s="1"/>
  <c r="F203" s="1"/>
  <c r="K112" i="192" s="1"/>
  <c r="G191" i="214"/>
  <c r="G192" s="1"/>
  <c r="G196" s="1"/>
  <c r="K86" i="194" s="1"/>
  <c r="F178" i="214"/>
  <c r="F182" s="1"/>
  <c r="K59" i="192" s="1"/>
  <c r="F268" i="214"/>
  <c r="E268"/>
  <c r="E272" s="1"/>
  <c r="K1509" i="132" s="1"/>
  <c r="C73" i="165" l="1"/>
  <c r="C74" s="1"/>
  <c r="E54" i="139"/>
  <c r="F48" i="165"/>
  <c r="M4508" i="132"/>
  <c r="J922" i="309" s="1"/>
  <c r="E62" i="139"/>
  <c r="O178" i="196" s="1"/>
  <c r="O599" i="309"/>
  <c r="K599"/>
  <c r="L599"/>
  <c r="F97" i="305"/>
  <c r="G97" s="1"/>
  <c r="I98" i="309"/>
  <c r="F254" i="305"/>
  <c r="G254" s="1"/>
  <c r="I256" i="309"/>
  <c r="F387" i="305"/>
  <c r="G387" s="1"/>
  <c r="I389" i="309"/>
  <c r="F395" i="305"/>
  <c r="G395" s="1"/>
  <c r="I397" i="309"/>
  <c r="F65" i="305"/>
  <c r="G65" s="1"/>
  <c r="I66" i="309"/>
  <c r="F238" i="305"/>
  <c r="G238" s="1"/>
  <c r="I240" i="309"/>
  <c r="F49" i="305"/>
  <c r="G49" s="1"/>
  <c r="I50" i="309"/>
  <c r="F81" i="305"/>
  <c r="G81" s="1"/>
  <c r="I82" i="309"/>
  <c r="F41" i="305"/>
  <c r="G41" s="1"/>
  <c r="I42" i="309"/>
  <c r="F45" i="305"/>
  <c r="G45" s="1"/>
  <c r="I46" i="309"/>
  <c r="J166"/>
  <c r="E166"/>
  <c r="F166" s="1"/>
  <c r="L457"/>
  <c r="K457"/>
  <c r="L146"/>
  <c r="K146"/>
  <c r="L142"/>
  <c r="K142"/>
  <c r="K316"/>
  <c r="L316"/>
  <c r="K469"/>
  <c r="L469"/>
  <c r="L186"/>
  <c r="K186"/>
  <c r="K328"/>
  <c r="L328"/>
  <c r="L340"/>
  <c r="K340"/>
  <c r="F242" i="305"/>
  <c r="G242" s="1"/>
  <c r="I244" i="309"/>
  <c r="F250" i="305"/>
  <c r="G250" s="1"/>
  <c r="I252" i="309"/>
  <c r="F391" i="305"/>
  <c r="G391" s="1"/>
  <c r="I393" i="309"/>
  <c r="F61" i="305"/>
  <c r="G61" s="1"/>
  <c r="I62" i="309"/>
  <c r="F57" i="305"/>
  <c r="G57" s="1"/>
  <c r="I58" i="309"/>
  <c r="F69" i="305"/>
  <c r="G69" s="1"/>
  <c r="I70" i="309"/>
  <c r="F246" i="305"/>
  <c r="G246" s="1"/>
  <c r="I248" i="309"/>
  <c r="F399" i="305"/>
  <c r="G399" s="1"/>
  <c r="I401" i="309"/>
  <c r="F266" i="305"/>
  <c r="G266" s="1"/>
  <c r="I268" i="309"/>
  <c r="F383" i="305"/>
  <c r="G383" s="1"/>
  <c r="I385" i="309"/>
  <c r="F411" i="305"/>
  <c r="G411" s="1"/>
  <c r="I413" i="309"/>
  <c r="F77" i="305"/>
  <c r="G77" s="1"/>
  <c r="I78" i="309"/>
  <c r="F53" i="305"/>
  <c r="G53" s="1"/>
  <c r="I54" i="309"/>
  <c r="J348"/>
  <c r="E348"/>
  <c r="F348" s="1"/>
  <c r="J162"/>
  <c r="E162"/>
  <c r="F162" s="1"/>
  <c r="J489"/>
  <c r="E489"/>
  <c r="F489" s="1"/>
  <c r="J320"/>
  <c r="E320"/>
  <c r="F320" s="1"/>
  <c r="J122"/>
  <c r="E122"/>
  <c r="F122" s="1"/>
  <c r="J481"/>
  <c r="E481"/>
  <c r="F481" s="1"/>
  <c r="J344"/>
  <c r="E344"/>
  <c r="F344" s="1"/>
  <c r="J485"/>
  <c r="E485"/>
  <c r="F485" s="1"/>
  <c r="J461"/>
  <c r="E461"/>
  <c r="F461" s="1"/>
  <c r="J300"/>
  <c r="E300"/>
  <c r="F300" s="1"/>
  <c r="J158"/>
  <c r="E158"/>
  <c r="F158" s="1"/>
  <c r="J336"/>
  <c r="E336"/>
  <c r="F336" s="1"/>
  <c r="J154"/>
  <c r="E154"/>
  <c r="F154" s="1"/>
  <c r="J74"/>
  <c r="E74"/>
  <c r="F74" s="1"/>
  <c r="J260"/>
  <c r="E260"/>
  <c r="F260" s="1"/>
  <c r="J477"/>
  <c r="E477"/>
  <c r="F477" s="1"/>
  <c r="J405"/>
  <c r="E405"/>
  <c r="F405" s="1"/>
  <c r="O457"/>
  <c r="O146"/>
  <c r="O142"/>
  <c r="O316"/>
  <c r="O469"/>
  <c r="O186"/>
  <c r="O328"/>
  <c r="O340"/>
  <c r="O340" i="140"/>
  <c r="E345" i="195"/>
  <c r="F345" s="1"/>
  <c r="J345" s="1"/>
  <c r="F346" i="305"/>
  <c r="G346" s="1"/>
  <c r="I162" i="140"/>
  <c r="J162" s="1"/>
  <c r="F161" i="305"/>
  <c r="G161" s="1"/>
  <c r="E164" i="195"/>
  <c r="F164" s="1"/>
  <c r="J164" s="1"/>
  <c r="F165" i="305"/>
  <c r="G165" s="1"/>
  <c r="E53" i="139"/>
  <c r="C20" i="307" s="1"/>
  <c r="M1123" i="192"/>
  <c r="M1768" i="132"/>
  <c r="M1798"/>
  <c r="K457" i="140"/>
  <c r="L457"/>
  <c r="K142"/>
  <c r="L142"/>
  <c r="K146"/>
  <c r="L146"/>
  <c r="K469"/>
  <c r="L469"/>
  <c r="K521"/>
  <c r="L521"/>
  <c r="K316"/>
  <c r="L316"/>
  <c r="K328"/>
  <c r="L328"/>
  <c r="K380"/>
  <c r="L380"/>
  <c r="O142"/>
  <c r="O328"/>
  <c r="O380"/>
  <c r="O469"/>
  <c r="O521"/>
  <c r="O316"/>
  <c r="O457"/>
  <c r="O146"/>
  <c r="G69" i="139"/>
  <c r="G73" s="1"/>
  <c r="E20"/>
  <c r="C12" i="165"/>
  <c r="C14" s="1"/>
  <c r="I348" i="140"/>
  <c r="J348" s="1"/>
  <c r="I166"/>
  <c r="J166" s="1"/>
  <c r="E160" i="195"/>
  <c r="F160" s="1"/>
  <c r="J160" s="1"/>
  <c r="M112" i="192"/>
  <c r="E253" i="195"/>
  <c r="F253" s="1"/>
  <c r="J253" s="1"/>
  <c r="I256" i="140"/>
  <c r="M106" i="194"/>
  <c r="E394" i="195"/>
  <c r="F394" s="1"/>
  <c r="J394" s="1"/>
  <c r="I397" i="140"/>
  <c r="M376" i="132"/>
  <c r="E48" i="195"/>
  <c r="F48" s="1"/>
  <c r="J48" s="1"/>
  <c r="I50" i="140"/>
  <c r="M325" i="132"/>
  <c r="E40" i="195"/>
  <c r="F40" s="1"/>
  <c r="J40" s="1"/>
  <c r="I42" i="140"/>
  <c r="M86" i="194"/>
  <c r="I393" i="140"/>
  <c r="E390" i="195"/>
  <c r="F390" s="1"/>
  <c r="J390" s="1"/>
  <c r="M567" i="132"/>
  <c r="E60" i="195"/>
  <c r="F60" s="1"/>
  <c r="J60" s="1"/>
  <c r="I62" i="140"/>
  <c r="M477" i="132"/>
  <c r="E56" i="195"/>
  <c r="F56" s="1"/>
  <c r="J56" s="1"/>
  <c r="I58" i="140"/>
  <c r="M592" i="132"/>
  <c r="E68" i="195"/>
  <c r="F68" s="1"/>
  <c r="J68" s="1"/>
  <c r="I70" i="140"/>
  <c r="M140" i="192"/>
  <c r="I248" i="140"/>
  <c r="E245" i="195"/>
  <c r="F245" s="1"/>
  <c r="J245" s="1"/>
  <c r="M63" i="194"/>
  <c r="E398" i="195"/>
  <c r="F398" s="1"/>
  <c r="J398" s="1"/>
  <c r="I401" i="140"/>
  <c r="M238" i="192"/>
  <c r="E265" i="195"/>
  <c r="F265" s="1"/>
  <c r="J265" s="1"/>
  <c r="I268" i="140"/>
  <c r="M14" i="194"/>
  <c r="E382" i="195"/>
  <c r="F382" s="1"/>
  <c r="J382" s="1"/>
  <c r="I385" i="140"/>
  <c r="M176" i="194"/>
  <c r="E410" i="195"/>
  <c r="F410" s="1"/>
  <c r="J410" s="1"/>
  <c r="I413" i="140"/>
  <c r="M641" i="132"/>
  <c r="E76" i="195"/>
  <c r="F76" s="1"/>
  <c r="J76" s="1"/>
  <c r="I78" i="140"/>
  <c r="M430" i="132"/>
  <c r="E52" i="195"/>
  <c r="F52" s="1"/>
  <c r="J52" s="1"/>
  <c r="I54" i="140"/>
  <c r="J485"/>
  <c r="J122"/>
  <c r="J481"/>
  <c r="J74"/>
  <c r="J344"/>
  <c r="J461"/>
  <c r="M1509" i="132"/>
  <c r="I98" i="140"/>
  <c r="E96" i="195"/>
  <c r="F96" s="1"/>
  <c r="J96" s="1"/>
  <c r="M59" i="192"/>
  <c r="E241" i="195"/>
  <c r="F241" s="1"/>
  <c r="J241" s="1"/>
  <c r="I244" i="140"/>
  <c r="M164" i="192"/>
  <c r="E249" i="195"/>
  <c r="F249" s="1"/>
  <c r="J249" s="1"/>
  <c r="I252" i="140"/>
  <c r="M39" i="194"/>
  <c r="I389" i="140"/>
  <c r="E386" i="195"/>
  <c r="F386" s="1"/>
  <c r="J386" s="1"/>
  <c r="M544" i="132"/>
  <c r="E64" i="195"/>
  <c r="F64" s="1"/>
  <c r="J64" s="1"/>
  <c r="I66" i="140"/>
  <c r="M16" i="192"/>
  <c r="E237" i="195"/>
  <c r="F237" s="1"/>
  <c r="J237" s="1"/>
  <c r="I240" i="140"/>
  <c r="M672" i="132"/>
  <c r="I82" i="140"/>
  <c r="E80" i="195"/>
  <c r="F80" s="1"/>
  <c r="J80" s="1"/>
  <c r="M348" i="132"/>
  <c r="E44" i="195"/>
  <c r="F44" s="1"/>
  <c r="J44" s="1"/>
  <c r="I46" i="140"/>
  <c r="J320"/>
  <c r="J477"/>
  <c r="J260"/>
  <c r="J300"/>
  <c r="J158"/>
  <c r="J336"/>
  <c r="J154"/>
  <c r="J489"/>
  <c r="J405"/>
  <c r="F272" i="214"/>
  <c r="K911" i="192" s="1"/>
  <c r="G268" i="214"/>
  <c r="G272" s="1"/>
  <c r="K544" i="194" s="1"/>
  <c r="F211" i="214"/>
  <c r="E219"/>
  <c r="E220" s="1"/>
  <c r="E224" s="1"/>
  <c r="K767" i="132" s="1"/>
  <c r="E212" i="214"/>
  <c r="E216" s="1"/>
  <c r="G247"/>
  <c r="G248" s="1"/>
  <c r="G252" s="1"/>
  <c r="K151" i="194" s="1"/>
  <c r="F248" i="214"/>
  <c r="F252" s="1"/>
  <c r="K209" i="192" s="1"/>
  <c r="F14" i="165" l="1"/>
  <c r="B26" i="171"/>
  <c r="C21" i="307"/>
  <c r="E21" s="1"/>
  <c r="G54" i="139"/>
  <c r="H48" i="165"/>
  <c r="F322" i="305"/>
  <c r="G322" s="1"/>
  <c r="I324" i="309"/>
  <c r="K405"/>
  <c r="L405"/>
  <c r="K477"/>
  <c r="L477"/>
  <c r="L260"/>
  <c r="K260"/>
  <c r="L74"/>
  <c r="K74"/>
  <c r="L154"/>
  <c r="K154"/>
  <c r="K336"/>
  <c r="L336"/>
  <c r="L158"/>
  <c r="K158"/>
  <c r="L300"/>
  <c r="K300"/>
  <c r="K461"/>
  <c r="L461"/>
  <c r="K485"/>
  <c r="L485"/>
  <c r="K344"/>
  <c r="L344"/>
  <c r="L481"/>
  <c r="K481"/>
  <c r="L122"/>
  <c r="K122"/>
  <c r="K320"/>
  <c r="L320"/>
  <c r="L489"/>
  <c r="K489"/>
  <c r="L162"/>
  <c r="K162"/>
  <c r="L348"/>
  <c r="K348"/>
  <c r="L166"/>
  <c r="K166"/>
  <c r="F262" i="305"/>
  <c r="G262" s="1"/>
  <c r="I264" i="309"/>
  <c r="F407" i="305"/>
  <c r="G407" s="1"/>
  <c r="I409" i="309"/>
  <c r="F85" i="305"/>
  <c r="G85" s="1"/>
  <c r="I86" i="309"/>
  <c r="F463" i="305"/>
  <c r="G463" s="1"/>
  <c r="I465" i="309"/>
  <c r="J54"/>
  <c r="E54"/>
  <c r="F54" s="1"/>
  <c r="J78"/>
  <c r="E78"/>
  <c r="F78" s="1"/>
  <c r="J413"/>
  <c r="E413"/>
  <c r="F413" s="1"/>
  <c r="J385"/>
  <c r="E385"/>
  <c r="F385" s="1"/>
  <c r="J268"/>
  <c r="E268"/>
  <c r="F268" s="1"/>
  <c r="J401"/>
  <c r="E401"/>
  <c r="F401" s="1"/>
  <c r="J248"/>
  <c r="E248"/>
  <c r="F248" s="1"/>
  <c r="J70"/>
  <c r="E70"/>
  <c r="F70" s="1"/>
  <c r="J58"/>
  <c r="E58"/>
  <c r="F58" s="1"/>
  <c r="J62"/>
  <c r="E62"/>
  <c r="F62" s="1"/>
  <c r="J393"/>
  <c r="E393"/>
  <c r="F393" s="1"/>
  <c r="J252"/>
  <c r="E252"/>
  <c r="F252" s="1"/>
  <c r="J244"/>
  <c r="E244"/>
  <c r="F244" s="1"/>
  <c r="J46"/>
  <c r="E46"/>
  <c r="F46" s="1"/>
  <c r="J42"/>
  <c r="E42"/>
  <c r="F42" s="1"/>
  <c r="J82"/>
  <c r="E82"/>
  <c r="F82" s="1"/>
  <c r="J50"/>
  <c r="E50"/>
  <c r="F50" s="1"/>
  <c r="J240"/>
  <c r="E240"/>
  <c r="F240" s="1"/>
  <c r="J66"/>
  <c r="E66"/>
  <c r="F66" s="1"/>
  <c r="J397"/>
  <c r="E397"/>
  <c r="F397" s="1"/>
  <c r="J389"/>
  <c r="E389"/>
  <c r="F389" s="1"/>
  <c r="J256"/>
  <c r="E256"/>
  <c r="F256" s="1"/>
  <c r="J98"/>
  <c r="E98"/>
  <c r="F98" s="1"/>
  <c r="O405"/>
  <c r="O477"/>
  <c r="O260"/>
  <c r="O74"/>
  <c r="O154"/>
  <c r="O336"/>
  <c r="O158"/>
  <c r="O300"/>
  <c r="O461"/>
  <c r="O485"/>
  <c r="O344"/>
  <c r="O481"/>
  <c r="O122"/>
  <c r="O320"/>
  <c r="O489"/>
  <c r="O162"/>
  <c r="O348"/>
  <c r="O166"/>
  <c r="J922" i="140"/>
  <c r="F922" i="309" s="1"/>
  <c r="O922" s="1"/>
  <c r="G1133" i="305"/>
  <c r="H117" i="139"/>
  <c r="K154" i="140"/>
  <c r="L154"/>
  <c r="K158"/>
  <c r="L158"/>
  <c r="K477"/>
  <c r="L477"/>
  <c r="K489"/>
  <c r="L489"/>
  <c r="K336"/>
  <c r="L336"/>
  <c r="K300"/>
  <c r="L300"/>
  <c r="K166"/>
  <c r="L166"/>
  <c r="K320"/>
  <c r="L320"/>
  <c r="K162"/>
  <c r="L162"/>
  <c r="K74"/>
  <c r="L74"/>
  <c r="K122"/>
  <c r="L122"/>
  <c r="K405"/>
  <c r="L405"/>
  <c r="K260"/>
  <c r="L260"/>
  <c r="K461"/>
  <c r="L461"/>
  <c r="K344"/>
  <c r="L344"/>
  <c r="K481"/>
  <c r="L481"/>
  <c r="K485"/>
  <c r="L485"/>
  <c r="K348"/>
  <c r="L348"/>
  <c r="O154"/>
  <c r="O260"/>
  <c r="O489"/>
  <c r="O336"/>
  <c r="O300"/>
  <c r="O166"/>
  <c r="O320"/>
  <c r="O162"/>
  <c r="O74"/>
  <c r="O122"/>
  <c r="O405"/>
  <c r="O158"/>
  <c r="O477"/>
  <c r="O461"/>
  <c r="O344"/>
  <c r="O481"/>
  <c r="O485"/>
  <c r="O348"/>
  <c r="G20" i="139"/>
  <c r="G24" s="1"/>
  <c r="E24"/>
  <c r="I178" i="196" s="1"/>
  <c r="M767" i="132"/>
  <c r="E84" i="195"/>
  <c r="F84" s="1"/>
  <c r="J84" s="1"/>
  <c r="I86" i="140"/>
  <c r="J86" s="1"/>
  <c r="M209" i="192"/>
  <c r="I264" i="140"/>
  <c r="E261" i="195"/>
  <c r="F261" s="1"/>
  <c r="J261" s="1"/>
  <c r="M911" i="192"/>
  <c r="E321" i="195"/>
  <c r="F321" s="1"/>
  <c r="J321" s="1"/>
  <c r="I324" i="140"/>
  <c r="J46"/>
  <c r="J82"/>
  <c r="K82" s="1"/>
  <c r="J240"/>
  <c r="J244"/>
  <c r="J98"/>
  <c r="J54"/>
  <c r="J413"/>
  <c r="J268"/>
  <c r="J58"/>
  <c r="K58" s="1"/>
  <c r="J50"/>
  <c r="J256"/>
  <c r="M151" i="194"/>
  <c r="I409" i="140"/>
  <c r="E406" i="195"/>
  <c r="F406" s="1"/>
  <c r="J406" s="1"/>
  <c r="M544" i="194"/>
  <c r="E462" i="195"/>
  <c r="F462" s="1"/>
  <c r="J462" s="1"/>
  <c r="I465" i="140"/>
  <c r="J66"/>
  <c r="J389"/>
  <c r="J252"/>
  <c r="J78"/>
  <c r="J385"/>
  <c r="J401"/>
  <c r="J248"/>
  <c r="J70"/>
  <c r="K70" s="1"/>
  <c r="J62"/>
  <c r="K62" s="1"/>
  <c r="J393"/>
  <c r="J42"/>
  <c r="J397"/>
  <c r="F219" i="214"/>
  <c r="F220" s="1"/>
  <c r="F224" s="1"/>
  <c r="K282" i="192" s="1"/>
  <c r="F212" i="214"/>
  <c r="F216" s="1"/>
  <c r="G211"/>
  <c r="D26" i="171" l="1"/>
  <c r="H26"/>
  <c r="I26" s="1"/>
  <c r="B18"/>
  <c r="G16" i="302" s="1"/>
  <c r="O98" i="309"/>
  <c r="O256"/>
  <c r="O389"/>
  <c r="O397"/>
  <c r="O66"/>
  <c r="O240"/>
  <c r="O50"/>
  <c r="O82"/>
  <c r="O42"/>
  <c r="O46"/>
  <c r="O244"/>
  <c r="O252"/>
  <c r="O393"/>
  <c r="O62"/>
  <c r="O58"/>
  <c r="O70"/>
  <c r="O248"/>
  <c r="O401"/>
  <c r="O268"/>
  <c r="O385"/>
  <c r="O413"/>
  <c r="O78"/>
  <c r="O54"/>
  <c r="F270" i="305"/>
  <c r="G270" s="1"/>
  <c r="I272" i="309"/>
  <c r="L98"/>
  <c r="K98"/>
  <c r="K256"/>
  <c r="L256"/>
  <c r="K389"/>
  <c r="L389"/>
  <c r="K397"/>
  <c r="L397"/>
  <c r="L66"/>
  <c r="K66"/>
  <c r="L240"/>
  <c r="K240"/>
  <c r="L50"/>
  <c r="K50"/>
  <c r="L82"/>
  <c r="K82"/>
  <c r="K42"/>
  <c r="L42"/>
  <c r="L46"/>
  <c r="K46"/>
  <c r="K244"/>
  <c r="L244"/>
  <c r="L252"/>
  <c r="K252"/>
  <c r="L393"/>
  <c r="K393"/>
  <c r="L62"/>
  <c r="K62"/>
  <c r="L58"/>
  <c r="K58"/>
  <c r="L70"/>
  <c r="K70"/>
  <c r="L248"/>
  <c r="K248"/>
  <c r="L401"/>
  <c r="K401"/>
  <c r="K268"/>
  <c r="L268"/>
  <c r="L385"/>
  <c r="K385"/>
  <c r="K413"/>
  <c r="L413"/>
  <c r="L78"/>
  <c r="K78"/>
  <c r="L54"/>
  <c r="K54"/>
  <c r="J465"/>
  <c r="E465"/>
  <c r="F465" s="1"/>
  <c r="J86"/>
  <c r="E86"/>
  <c r="F86" s="1"/>
  <c r="J409"/>
  <c r="E409"/>
  <c r="F409" s="1"/>
  <c r="J264"/>
  <c r="E264"/>
  <c r="F264" s="1"/>
  <c r="J324"/>
  <c r="E324"/>
  <c r="F324" s="1"/>
  <c r="D32" i="307"/>
  <c r="E32" s="1"/>
  <c r="C7"/>
  <c r="E7" s="1"/>
  <c r="L922" i="309"/>
  <c r="K922"/>
  <c r="L86" i="140"/>
  <c r="K86"/>
  <c r="K397"/>
  <c r="L397"/>
  <c r="L70"/>
  <c r="K42"/>
  <c r="L42"/>
  <c r="L62"/>
  <c r="K248"/>
  <c r="L248"/>
  <c r="K385"/>
  <c r="L385"/>
  <c r="K252"/>
  <c r="L252"/>
  <c r="K66"/>
  <c r="L66"/>
  <c r="K50"/>
  <c r="L50"/>
  <c r="K268"/>
  <c r="L268"/>
  <c r="K54"/>
  <c r="L54"/>
  <c r="K244"/>
  <c r="L244"/>
  <c r="L82"/>
  <c r="K393"/>
  <c r="L393"/>
  <c r="K401"/>
  <c r="L401"/>
  <c r="K78"/>
  <c r="L78"/>
  <c r="K389"/>
  <c r="L389"/>
  <c r="K256"/>
  <c r="L256"/>
  <c r="L58"/>
  <c r="K413"/>
  <c r="L413"/>
  <c r="K98"/>
  <c r="L98"/>
  <c r="K240"/>
  <c r="L240"/>
  <c r="K46"/>
  <c r="L46"/>
  <c r="O397"/>
  <c r="O42"/>
  <c r="O62"/>
  <c r="O248"/>
  <c r="O385"/>
  <c r="O252"/>
  <c r="O66"/>
  <c r="O50"/>
  <c r="O268"/>
  <c r="O54"/>
  <c r="O244"/>
  <c r="O82"/>
  <c r="O393"/>
  <c r="O70"/>
  <c r="O401"/>
  <c r="O78"/>
  <c r="O389"/>
  <c r="O256"/>
  <c r="O58"/>
  <c r="O413"/>
  <c r="O98"/>
  <c r="O240"/>
  <c r="O46"/>
  <c r="M282" i="192"/>
  <c r="E269" i="195"/>
  <c r="F269" s="1"/>
  <c r="J269" s="1"/>
  <c r="I272" i="140"/>
  <c r="J465"/>
  <c r="J409"/>
  <c r="J324"/>
  <c r="J264"/>
  <c r="G219" i="214"/>
  <c r="G220" s="1"/>
  <c r="G224" s="1"/>
  <c r="K202" i="194" s="1"/>
  <c r="G212" i="214"/>
  <c r="G216" s="1"/>
  <c r="F415" i="305" l="1"/>
  <c r="G415" s="1"/>
  <c r="I417" i="309"/>
  <c r="L324"/>
  <c r="K324"/>
  <c r="K264"/>
  <c r="L264"/>
  <c r="L409"/>
  <c r="K409"/>
  <c r="K86"/>
  <c r="L86"/>
  <c r="L465"/>
  <c r="K465"/>
  <c r="J272"/>
  <c r="E272"/>
  <c r="F272" s="1"/>
  <c r="O324"/>
  <c r="O264"/>
  <c r="O409"/>
  <c r="O86"/>
  <c r="O465"/>
  <c r="K409" i="140"/>
  <c r="L409"/>
  <c r="K324"/>
  <c r="L324"/>
  <c r="K465"/>
  <c r="L465"/>
  <c r="K264"/>
  <c r="L264"/>
  <c r="O409"/>
  <c r="O264"/>
  <c r="O86"/>
  <c r="O465"/>
  <c r="O324"/>
  <c r="J272"/>
  <c r="M202" i="194"/>
  <c r="E414" i="195"/>
  <c r="F414" s="1"/>
  <c r="J414" s="1"/>
  <c r="I417" i="140"/>
  <c r="O272" i="309" l="1"/>
  <c r="K272"/>
  <c r="L272"/>
  <c r="J417"/>
  <c r="E417"/>
  <c r="F417" s="1"/>
  <c r="K272" i="140"/>
  <c r="L272"/>
  <c r="O272"/>
  <c r="J417"/>
  <c r="O417" i="309" l="1"/>
  <c r="L417"/>
  <c r="K417"/>
  <c r="K417" i="140"/>
  <c r="L417"/>
  <c r="O417"/>
  <c r="E23" i="176"/>
  <c r="E24"/>
  <c r="E25"/>
  <c r="E26"/>
  <c r="E27"/>
  <c r="E21"/>
  <c r="E19"/>
  <c r="E17"/>
  <c r="E15"/>
  <c r="E11"/>
  <c r="E13"/>
  <c r="E14"/>
  <c r="E16"/>
  <c r="E18"/>
  <c r="E20"/>
  <c r="E22"/>
  <c r="I901" i="195"/>
  <c r="I902"/>
  <c r="I903"/>
  <c r="I905"/>
  <c r="E43" i="139" l="1"/>
  <c r="F43"/>
  <c r="G43" l="1"/>
  <c r="F32"/>
  <c r="E32"/>
  <c r="F31"/>
  <c r="F34" i="165"/>
  <c r="B21" i="171" l="1"/>
  <c r="D21" s="1"/>
  <c r="C15" i="307"/>
  <c r="F20" i="171"/>
  <c r="D14" i="307"/>
  <c r="F21" i="171"/>
  <c r="D15" i="307"/>
  <c r="G32" i="139"/>
  <c r="H21" i="171" l="1"/>
  <c r="I21" s="1"/>
  <c r="E15" i="307"/>
  <c r="G13" i="140"/>
  <c r="C12" i="195"/>
  <c r="E8" i="139"/>
  <c r="G8" s="1"/>
  <c r="G18" s="1"/>
  <c r="M49" i="132"/>
  <c r="H178" i="196" l="1"/>
  <c r="J13" i="140"/>
  <c r="I12" i="195"/>
  <c r="C10" i="196" s="1"/>
  <c r="F10" s="1"/>
  <c r="F12" i="195"/>
  <c r="K13" i="140" l="1"/>
  <c r="L13"/>
  <c r="O13"/>
  <c r="J12" i="195"/>
  <c r="H10" i="196" s="1"/>
  <c r="H176" s="1"/>
  <c r="H179" s="1"/>
  <c r="H1131" i="195"/>
  <c r="G1131"/>
  <c r="J905"/>
  <c r="J903"/>
  <c r="F107" i="139"/>
  <c r="F39" i="171" s="1"/>
  <c r="N27" i="176" s="1"/>
  <c r="J27" s="1"/>
  <c r="F106" i="139"/>
  <c r="F105"/>
  <c r="F104"/>
  <c r="F103"/>
  <c r="F102"/>
  <c r="E104"/>
  <c r="C27" i="307" s="1"/>
  <c r="E105" i="139"/>
  <c r="C28" i="307" s="1"/>
  <c r="E106" i="139"/>
  <c r="E107"/>
  <c r="B39" i="171" s="1"/>
  <c r="E102" i="139"/>
  <c r="F114" i="165"/>
  <c r="F115"/>
  <c r="F116"/>
  <c r="F117"/>
  <c r="F112"/>
  <c r="F85" i="139"/>
  <c r="F30" i="171" s="1"/>
  <c r="N19" i="176" s="1"/>
  <c r="J19" s="1"/>
  <c r="F84" i="139"/>
  <c r="F75"/>
  <c r="F74"/>
  <c r="F65"/>
  <c r="F64"/>
  <c r="E64"/>
  <c r="F60" i="165"/>
  <c r="F53" i="139"/>
  <c r="F52"/>
  <c r="E52"/>
  <c r="E55" s="1"/>
  <c r="F46" i="165"/>
  <c r="F23" i="171"/>
  <c r="N13" i="176" s="1"/>
  <c r="J13" s="1"/>
  <c r="B23" i="171"/>
  <c r="F42" i="139"/>
  <c r="F28" i="165"/>
  <c r="F27" i="139"/>
  <c r="F19" i="171" s="1"/>
  <c r="J11" i="176" s="1"/>
  <c r="F26" i="139"/>
  <c r="F25" i="171" l="1"/>
  <c r="N15" i="176" s="1"/>
  <c r="D20" i="307"/>
  <c r="E20" s="1"/>
  <c r="F33" i="171"/>
  <c r="N21" i="176" s="1"/>
  <c r="J21" s="1"/>
  <c r="D18" i="307"/>
  <c r="F28" i="171"/>
  <c r="N17" i="176" s="1"/>
  <c r="J17" s="1"/>
  <c r="D23" i="307"/>
  <c r="B38" i="171"/>
  <c r="D38" s="1"/>
  <c r="D26" i="176" s="1"/>
  <c r="H26" s="1"/>
  <c r="C29" i="307"/>
  <c r="F37" i="171"/>
  <c r="N25" i="176" s="1"/>
  <c r="J25" s="1"/>
  <c r="D28" i="307"/>
  <c r="E28" s="1"/>
  <c r="F36" i="171"/>
  <c r="N24" i="176" s="1"/>
  <c r="J24" s="1"/>
  <c r="D27" i="307"/>
  <c r="E27" s="1"/>
  <c r="F38" i="171"/>
  <c r="N26" i="176" s="1"/>
  <c r="J26" s="1"/>
  <c r="D29" i="307"/>
  <c r="C25"/>
  <c r="F35" i="171"/>
  <c r="N23" i="176" s="1"/>
  <c r="J23" s="1"/>
  <c r="D26" i="307"/>
  <c r="F22" i="171"/>
  <c r="N12" i="176" s="1"/>
  <c r="D16" i="307"/>
  <c r="F18" i="171"/>
  <c r="J10" i="176" s="1"/>
  <c r="D13" i="307"/>
  <c r="F24" i="171"/>
  <c r="D19" i="307"/>
  <c r="F32" i="171"/>
  <c r="N20" i="176" s="1"/>
  <c r="D17" i="307"/>
  <c r="F27" i="171"/>
  <c r="D22" i="307"/>
  <c r="F29" i="171"/>
  <c r="D24" i="307"/>
  <c r="E24" s="1"/>
  <c r="F34" i="171"/>
  <c r="N22" i="176" s="1"/>
  <c r="D25" i="307"/>
  <c r="B24" i="171"/>
  <c r="C19" i="307"/>
  <c r="E19" s="1"/>
  <c r="B32" i="171"/>
  <c r="C17" i="307"/>
  <c r="B34" i="171"/>
  <c r="J15" i="176"/>
  <c r="G104" i="139"/>
  <c r="B36" i="171"/>
  <c r="D36" s="1"/>
  <c r="H24" i="176" s="1"/>
  <c r="K24" s="1"/>
  <c r="H39" i="171"/>
  <c r="I39" s="1"/>
  <c r="L27" i="176" s="1"/>
  <c r="D39" i="171"/>
  <c r="D27" i="176" s="1"/>
  <c r="H27" s="1"/>
  <c r="K27" s="1"/>
  <c r="G105" i="139"/>
  <c r="B37" i="171"/>
  <c r="G107" i="139"/>
  <c r="G106"/>
  <c r="E17" i="307" l="1"/>
  <c r="E29"/>
  <c r="H38" i="171"/>
  <c r="I38" s="1"/>
  <c r="L26" i="176" s="1"/>
  <c r="K26"/>
  <c r="E25" i="307"/>
  <c r="H36" i="171"/>
  <c r="I36" s="1"/>
  <c r="L24" i="176" s="1"/>
  <c r="H37" i="171"/>
  <c r="I37" s="1"/>
  <c r="L25" i="176" s="1"/>
  <c r="D37" i="171"/>
  <c r="D25" i="176" s="1"/>
  <c r="H25" s="1"/>
  <c r="K25" s="1"/>
  <c r="G102" i="139" l="1"/>
  <c r="G52" l="1"/>
  <c r="E103" l="1"/>
  <c r="F113" i="165"/>
  <c r="F119" s="1"/>
  <c r="E108" i="139" l="1"/>
  <c r="C26" i="307"/>
  <c r="E26" s="1"/>
  <c r="G103" i="139"/>
  <c r="G108" s="1"/>
  <c r="H108" s="1"/>
  <c r="B35" i="171"/>
  <c r="P179" i="196"/>
  <c r="D35" i="171" l="1"/>
  <c r="D23" i="176" s="1"/>
  <c r="H23" s="1"/>
  <c r="H35" i="171"/>
  <c r="I35" s="1"/>
  <c r="L23" i="176" s="1"/>
  <c r="E12" l="1"/>
  <c r="E28"/>
  <c r="E10"/>
  <c r="J36"/>
  <c r="J35"/>
  <c r="J34"/>
  <c r="N16"/>
  <c r="J16" s="1"/>
  <c r="I13" i="182" s="1"/>
  <c r="E8" i="170"/>
  <c r="E2" i="171" s="1"/>
  <c r="B3" i="176" s="1"/>
  <c r="B1" i="183"/>
  <c r="G1" s="1"/>
  <c r="E16" i="182"/>
  <c r="E19" s="1"/>
  <c r="C8"/>
  <c r="H8" s="1"/>
  <c r="B2" i="183"/>
  <c r="G2" s="1"/>
  <c r="M28" i="176"/>
  <c r="M7"/>
  <c r="B5"/>
  <c r="C3" i="174"/>
  <c r="D4" i="175" s="1"/>
  <c r="K50" i="171"/>
  <c r="L46"/>
  <c r="H47" s="1"/>
  <c r="H17"/>
  <c r="I17" s="1"/>
  <c r="D17"/>
  <c r="B5"/>
  <c r="H4" i="170"/>
  <c r="D34" i="171" l="1"/>
  <c r="H22" i="176" s="1"/>
  <c r="J22"/>
  <c r="K29"/>
  <c r="L29" l="1"/>
  <c r="J384" i="140" l="1"/>
  <c r="H34" i="171" l="1"/>
  <c r="I34" s="1"/>
  <c r="L22" i="176" s="1"/>
  <c r="N14" l="1"/>
  <c r="J12" l="1"/>
  <c r="J14"/>
  <c r="J20" l="1"/>
  <c r="K22" l="1"/>
  <c r="D2" i="180" l="1"/>
  <c r="N18" i="176" l="1"/>
  <c r="J18" s="1"/>
  <c r="I12" i="182" s="1"/>
  <c r="E42" i="139" l="1"/>
  <c r="F21" i="165"/>
  <c r="F25" s="1"/>
  <c r="B22" i="171" l="1"/>
  <c r="C16" i="307"/>
  <c r="E16" s="1"/>
  <c r="F27" i="165"/>
  <c r="F29" s="1"/>
  <c r="G42" i="139"/>
  <c r="G44" s="1"/>
  <c r="H44" s="1"/>
  <c r="F30" i="165" l="1"/>
  <c r="G64" i="139"/>
  <c r="L8" i="140" l="1"/>
  <c r="K8"/>
  <c r="E85" i="139" l="1"/>
  <c r="B30" i="171" s="1"/>
  <c r="F86" i="165"/>
  <c r="G85" i="139" l="1"/>
  <c r="D30" i="171"/>
  <c r="D19" i="176" s="1"/>
  <c r="M19" s="1"/>
  <c r="H19" s="1"/>
  <c r="K19" s="1"/>
  <c r="H30" i="171"/>
  <c r="I30" s="1"/>
  <c r="L19" i="176" s="1"/>
  <c r="F39" i="165" l="1"/>
  <c r="F184" i="196" l="1"/>
  <c r="F44" i="165"/>
  <c r="J239" i="140" l="1"/>
  <c r="J623"/>
  <c r="L924" l="1"/>
  <c r="K924"/>
  <c r="K923"/>
  <c r="L923"/>
  <c r="H119" i="139"/>
  <c r="H40" i="171" l="1"/>
  <c r="I40" s="1"/>
  <c r="N28" i="176"/>
  <c r="E74" i="139" l="1"/>
  <c r="C22" i="307" l="1"/>
  <c r="E22" s="1"/>
  <c r="F47" i="165"/>
  <c r="F8"/>
  <c r="F12" s="1"/>
  <c r="F53"/>
  <c r="F58" s="1"/>
  <c r="H47" l="1"/>
  <c r="F49"/>
  <c r="F50" s="1"/>
  <c r="F74"/>
  <c r="E75" i="139"/>
  <c r="F73" i="165"/>
  <c r="B25" i="171"/>
  <c r="G53" i="139"/>
  <c r="E65"/>
  <c r="F61" i="165"/>
  <c r="G55" i="139" l="1"/>
  <c r="H55" s="1"/>
  <c r="E66"/>
  <c r="C18" i="307"/>
  <c r="E18" s="1"/>
  <c r="E76" i="139"/>
  <c r="C23" i="307"/>
  <c r="E23" s="1"/>
  <c r="F62" i="165"/>
  <c r="F63" s="1"/>
  <c r="H61"/>
  <c r="B28" i="171"/>
  <c r="D28" s="1"/>
  <c r="M17" i="176" s="1"/>
  <c r="H17" s="1"/>
  <c r="K17" s="1"/>
  <c r="G82" i="139"/>
  <c r="G75"/>
  <c r="F75" i="165"/>
  <c r="B27" i="171"/>
  <c r="G74" i="139"/>
  <c r="K40"/>
  <c r="B33" i="171"/>
  <c r="G65" i="139"/>
  <c r="G66" s="1"/>
  <c r="H66" s="1"/>
  <c r="H28" i="171" l="1"/>
  <c r="I28" s="1"/>
  <c r="F79" i="165"/>
  <c r="F83" s="1"/>
  <c r="G76" i="139"/>
  <c r="H76" l="1"/>
  <c r="F85" i="165"/>
  <c r="F87" s="1"/>
  <c r="E86" i="139" l="1"/>
  <c r="G84"/>
  <c r="G86" s="1"/>
  <c r="H86" s="1"/>
  <c r="B29" i="171"/>
  <c r="K16"/>
  <c r="L16" s="1"/>
  <c r="H18" i="139"/>
  <c r="E9" i="307" s="1"/>
  <c r="C9" l="1"/>
  <c r="M179" i="196"/>
  <c r="F185"/>
  <c r="J179"/>
  <c r="I179" l="1"/>
  <c r="D29" i="171"/>
  <c r="D22"/>
  <c r="H22"/>
  <c r="H29"/>
  <c r="I29" s="1"/>
  <c r="K179" i="196" l="1"/>
  <c r="L179"/>
  <c r="F182"/>
  <c r="M18" i="176"/>
  <c r="H18" s="1"/>
  <c r="H23" i="171"/>
  <c r="I23" s="1"/>
  <c r="L13" i="176" s="1"/>
  <c r="I22" i="171"/>
  <c r="L12" i="176" s="1"/>
  <c r="F183" i="196" l="1"/>
  <c r="F186" s="1"/>
  <c r="O179"/>
  <c r="H12" i="182"/>
  <c r="J12" s="1"/>
  <c r="K18" i="176"/>
  <c r="F120" i="165"/>
  <c r="F66"/>
  <c r="F71" s="1"/>
  <c r="D27" i="171"/>
  <c r="D23"/>
  <c r="H25"/>
  <c r="M4502" i="132" l="1"/>
  <c r="M12" i="176"/>
  <c r="H12" s="1"/>
  <c r="D13"/>
  <c r="M16"/>
  <c r="H16" s="1"/>
  <c r="H27" i="171"/>
  <c r="I27" s="1"/>
  <c r="I25"/>
  <c r="L15" i="176" s="1"/>
  <c r="D25" i="171"/>
  <c r="G1129" i="305" l="1"/>
  <c r="J918" i="309"/>
  <c r="D15" i="176"/>
  <c r="M15" s="1"/>
  <c r="H15" s="1"/>
  <c r="K15" s="1"/>
  <c r="O922" i="140"/>
  <c r="K922"/>
  <c r="L922"/>
  <c r="F902" i="195"/>
  <c r="J902" s="1"/>
  <c r="J918" i="140"/>
  <c r="M13" i="176"/>
  <c r="H13" s="1"/>
  <c r="K13" s="1"/>
  <c r="H4" i="177"/>
  <c r="K12" i="176"/>
  <c r="H13" i="182"/>
  <c r="J13" s="1"/>
  <c r="J19" s="1"/>
  <c r="K16" i="176"/>
  <c r="D24" i="171"/>
  <c r="D14" i="176" s="1"/>
  <c r="H24" i="171"/>
  <c r="I24" s="1"/>
  <c r="L14" i="176" s="1"/>
  <c r="K918" i="140" l="1"/>
  <c r="F918" i="309"/>
  <c r="O918" s="1"/>
  <c r="H4" i="178"/>
  <c r="L918" i="140"/>
  <c r="O918"/>
  <c r="D2" i="177"/>
  <c r="H33" i="171"/>
  <c r="I33" s="1"/>
  <c r="L21" i="176" s="1"/>
  <c r="D33" i="171"/>
  <c r="M14" i="176"/>
  <c r="H14" s="1"/>
  <c r="K14" s="1"/>
  <c r="D2" i="178" s="1"/>
  <c r="D21" i="176" l="1"/>
  <c r="M21" s="1"/>
  <c r="H21" s="1"/>
  <c r="K21" s="1"/>
  <c r="L918" i="309"/>
  <c r="K918"/>
  <c r="H32" i="171"/>
  <c r="D32"/>
  <c r="H4" i="179" s="1"/>
  <c r="I32" i="171" l="1"/>
  <c r="M20" i="176"/>
  <c r="H20" s="1"/>
  <c r="K20" s="1"/>
  <c r="D2" i="179" s="1"/>
  <c r="M1544" i="192" l="1"/>
  <c r="M963" i="194" l="1"/>
  <c r="H4" i="180" l="1"/>
  <c r="E31" i="139" l="1"/>
  <c r="F33" i="165"/>
  <c r="F35" s="1"/>
  <c r="F36" s="1"/>
  <c r="G31" i="139" l="1"/>
  <c r="G34" s="1"/>
  <c r="H34" s="1"/>
  <c r="C14" i="307"/>
  <c r="E14" s="1"/>
  <c r="B20" i="171"/>
  <c r="H20" l="1"/>
  <c r="D20"/>
  <c r="I20" l="1"/>
  <c r="H110" i="139" l="1"/>
  <c r="H111" s="1"/>
  <c r="F15" i="165" l="1"/>
  <c r="E27" i="139"/>
  <c r="G27" s="1"/>
  <c r="E26"/>
  <c r="E29" l="1"/>
  <c r="C13" i="307" s="1"/>
  <c r="E13" s="1"/>
  <c r="F16" i="165"/>
  <c r="G26" i="139"/>
  <c r="G29" s="1"/>
  <c r="H29" s="1"/>
  <c r="B19" i="171"/>
  <c r="G17" i="302" s="1"/>
  <c r="I17" s="1"/>
  <c r="F17" i="165" l="1"/>
  <c r="F89" s="1"/>
  <c r="M4503" i="132" s="1"/>
  <c r="J917" i="309" s="1"/>
  <c r="I16" i="302"/>
  <c r="I19" s="1"/>
  <c r="G19"/>
  <c r="J16" s="1"/>
  <c r="L16" s="1"/>
  <c r="H19" i="171"/>
  <c r="I19" s="1"/>
  <c r="L11" i="176" s="1"/>
  <c r="D19" i="171"/>
  <c r="D11" i="176" s="1"/>
  <c r="D18" i="171"/>
  <c r="D10" i="176" s="1"/>
  <c r="H18" i="171"/>
  <c r="M4506" i="132" l="1"/>
  <c r="F1135" i="195" s="1"/>
  <c r="J917" i="140"/>
  <c r="F917" i="309" s="1"/>
  <c r="O917" s="1"/>
  <c r="F901" i="195"/>
  <c r="J901" s="1"/>
  <c r="J1131" s="1"/>
  <c r="G1128" i="305"/>
  <c r="F1131" i="195"/>
  <c r="N10" i="176"/>
  <c r="M10"/>
  <c r="H10" s="1"/>
  <c r="K10" s="1"/>
  <c r="I18" i="171"/>
  <c r="N11" i="176"/>
  <c r="M11"/>
  <c r="H11" s="1"/>
  <c r="K11" s="1"/>
  <c r="J109" i="139" l="1"/>
  <c r="G109" s="1"/>
  <c r="N178" i="196" s="1"/>
  <c r="I4507" i="132"/>
  <c r="M4507" s="1"/>
  <c r="N4511" s="1"/>
  <c r="M4511" s="1"/>
  <c r="H121" i="139" s="1"/>
  <c r="D34" i="307" s="1"/>
  <c r="E34" s="1"/>
  <c r="L917" i="140"/>
  <c r="K917"/>
  <c r="O917"/>
  <c r="L917" i="309"/>
  <c r="K917"/>
  <c r="F1136" i="195"/>
  <c r="L10" i="176"/>
  <c r="J921" i="309" l="1"/>
  <c r="J1155" s="1"/>
  <c r="F1156" s="1"/>
  <c r="M4512" i="132"/>
  <c r="G8" i="303" s="1"/>
  <c r="G10" s="1"/>
  <c r="H109" i="139"/>
  <c r="N174" i="196" s="1"/>
  <c r="N176" s="1"/>
  <c r="N179" s="1"/>
  <c r="J921" i="140"/>
  <c r="F921" i="309" s="1"/>
  <c r="G1136" i="305"/>
  <c r="G1132"/>
  <c r="G1138" s="1"/>
  <c r="H116" i="139"/>
  <c r="C6" i="307" s="1"/>
  <c r="E6" s="1"/>
  <c r="J925" i="140"/>
  <c r="J1162" s="1"/>
  <c r="F1163" s="1"/>
  <c r="F1164" s="1"/>
  <c r="K44" i="171"/>
  <c r="D31" i="307" l="1"/>
  <c r="E31" s="1"/>
  <c r="O921" i="309"/>
  <c r="F925"/>
  <c r="O925" s="1"/>
  <c r="O921" i="140"/>
  <c r="L921"/>
  <c r="K921"/>
  <c r="L925"/>
  <c r="L1162" s="1"/>
  <c r="H115" i="139"/>
  <c r="H122" s="1"/>
  <c r="O925" i="140"/>
  <c r="K925"/>
  <c r="K43" i="171"/>
  <c r="F31" s="1"/>
  <c r="C8" i="307"/>
  <c r="E8" s="1"/>
  <c r="E10" s="1"/>
  <c r="D30"/>
  <c r="E30" s="1"/>
  <c r="E35" s="1"/>
  <c r="K921" i="309"/>
  <c r="F1155"/>
  <c r="F1157" s="1"/>
  <c r="L921"/>
  <c r="K1162" i="140" l="1"/>
  <c r="L1163" s="1"/>
  <c r="L1164" s="1"/>
  <c r="K925" i="309"/>
  <c r="K1155" s="1"/>
  <c r="L1156" s="1"/>
  <c r="L925"/>
  <c r="L1155" s="1"/>
  <c r="K45" i="171"/>
  <c r="B31" s="1"/>
  <c r="H31" s="1"/>
  <c r="I31" s="1"/>
  <c r="D31" l="1"/>
  <c r="L1157" i="309"/>
  <c r="H46" i="171"/>
  <c r="H48" s="1"/>
  <c r="M31" i="176" s="1"/>
  <c r="L28"/>
  <c r="I46" i="171"/>
  <c r="J28" i="176" l="1"/>
  <c r="K28" s="1"/>
  <c r="L31"/>
  <c r="D2" i="181" l="1"/>
  <c r="K31" i="176"/>
  <c r="M32" s="1"/>
  <c r="N31"/>
</calcChain>
</file>

<file path=xl/sharedStrings.xml><?xml version="1.0" encoding="utf-8"?>
<sst xmlns="http://schemas.openxmlformats.org/spreadsheetml/2006/main" count="70035" uniqueCount="4024">
  <si>
    <t xml:space="preserve"> </t>
  </si>
  <si>
    <t>Frames : Sal Wood</t>
  </si>
  <si>
    <t>Vertical posts</t>
  </si>
  <si>
    <t>Local</t>
  </si>
  <si>
    <t>Kg</t>
  </si>
  <si>
    <t>Cum</t>
  </si>
  <si>
    <t>Quantity</t>
  </si>
  <si>
    <t>Description of the work</t>
  </si>
  <si>
    <t>Rate</t>
  </si>
  <si>
    <t>Per</t>
  </si>
  <si>
    <t>Amount</t>
  </si>
  <si>
    <t>No's</t>
  </si>
  <si>
    <t>L</t>
  </si>
  <si>
    <t>B</t>
  </si>
  <si>
    <t>D</t>
  </si>
  <si>
    <t>-</t>
  </si>
  <si>
    <t>Unit</t>
  </si>
  <si>
    <t>Blasting charges</t>
  </si>
  <si>
    <t>a)</t>
  </si>
  <si>
    <t>Mazdoor (Un-Skilled)</t>
  </si>
  <si>
    <t>b)</t>
  </si>
  <si>
    <t>hour</t>
  </si>
  <si>
    <t>Material</t>
  </si>
  <si>
    <t>S No</t>
  </si>
  <si>
    <t>Index Code</t>
  </si>
  <si>
    <t>Description of the Work</t>
  </si>
  <si>
    <t xml:space="preserve">Labour </t>
  </si>
  <si>
    <t>day</t>
  </si>
  <si>
    <t>Rate per 1 Cum</t>
  </si>
  <si>
    <t>MT</t>
  </si>
  <si>
    <t>Lit</t>
  </si>
  <si>
    <t>Unit = Cum</t>
  </si>
  <si>
    <t>Sand for filling</t>
  </si>
  <si>
    <t xml:space="preserve">Cement  </t>
  </si>
  <si>
    <t>t</t>
  </si>
  <si>
    <t>cum</t>
  </si>
  <si>
    <t>Unit = tonne</t>
  </si>
  <si>
    <t>HYSD Bars including 5% for overlaps &amp; wastage</t>
  </si>
  <si>
    <t>Binding wire</t>
  </si>
  <si>
    <t>Rate per 1.000 tonne</t>
  </si>
  <si>
    <t>Taking Output 1.000 tonne</t>
  </si>
  <si>
    <t>Bricks</t>
  </si>
  <si>
    <t>Unit = 10 Sqm</t>
  </si>
  <si>
    <t>Cement Mortar (1:3)</t>
  </si>
  <si>
    <t xml:space="preserve">Cost of Cement  </t>
  </si>
  <si>
    <t>Man Mazdoor for mixing mortar</t>
  </si>
  <si>
    <t>BLD-CSTN    -1-4</t>
  </si>
  <si>
    <t>Cement Mortar (1:4)</t>
  </si>
  <si>
    <t>Cement Mortar (1:5)</t>
  </si>
  <si>
    <t>Cement Mortar (1:6)</t>
  </si>
  <si>
    <t>Cement Mortar (1:8)</t>
  </si>
  <si>
    <t>BLD-CSTN    -1-5</t>
  </si>
  <si>
    <t>BLD-CSTN    -1-6</t>
  </si>
  <si>
    <t>BLD-CSTN    -1-7</t>
  </si>
  <si>
    <t>BLD-CSTN    -1-8</t>
  </si>
  <si>
    <t>Filling with Sand in trenches, sides of foundations &amp; basement by watering and ramming including all operational, incidental, labour charges, hire charges of T&amp;P etc complete including cost and conveyance of material and labour charges etc complete for finished item of the work (APSS No 309&amp; 310) per 1 Cum</t>
  </si>
  <si>
    <t>Coarse aggregate 40mm metal</t>
  </si>
  <si>
    <t>water (including for curing)</t>
  </si>
  <si>
    <t>kl</t>
  </si>
  <si>
    <t>Kl</t>
  </si>
  <si>
    <t>A. Materials</t>
  </si>
  <si>
    <t>B. Machinery</t>
  </si>
  <si>
    <t>Concrete mixer 10/7 cft (0.2/0.8cum) capacity</t>
  </si>
  <si>
    <t>C. Labour</t>
  </si>
  <si>
    <t>Mason 1st class</t>
  </si>
  <si>
    <t>BLD-CSTN-2-7</t>
  </si>
  <si>
    <t>BLD-CSTN-2-13-A</t>
  </si>
  <si>
    <t xml:space="preserve">Plain Cement Concrete (1:5:10) proportion Nominal mix for foundations using 40mm size SS-5 metal including cost and conveyance of all materials and curing charges, labour charges, machine mixing and laying concrete in foundations ramming etc complete for Bed Concrete  (APSS No 402)  </t>
  </si>
  <si>
    <t>B. Labour</t>
  </si>
  <si>
    <t>Mason 2nd class</t>
  </si>
  <si>
    <t>Mazdoor (both Men and Women)</t>
  </si>
  <si>
    <t>Basic Cost for 1.00 Cum</t>
  </si>
  <si>
    <t>Columns Footings</t>
  </si>
  <si>
    <t>Rate for M-20 Nominal Basic Cost 1.00 Cum</t>
  </si>
  <si>
    <t>Columns Pedastals</t>
  </si>
  <si>
    <t>Plinth Beams</t>
  </si>
  <si>
    <t>BLD-CSTN-2-13-B</t>
  </si>
  <si>
    <t>sqm</t>
  </si>
  <si>
    <t>BLD-CSTN-2-13-C</t>
  </si>
  <si>
    <t>Roof Slabs and Beams</t>
  </si>
  <si>
    <t>Columns, Lintels and  RCC Walls in Buildings</t>
  </si>
  <si>
    <t>Foundations, plinth Beams and  Pedastals</t>
  </si>
  <si>
    <t>RM</t>
  </si>
  <si>
    <t>BLD-CSTN-    3-1a (iv)</t>
  </si>
  <si>
    <t>Unit = 1 Cum</t>
  </si>
  <si>
    <t>Mazdoor (un-skilled)</t>
  </si>
  <si>
    <t>Rate per 1.00 Cum</t>
  </si>
  <si>
    <t>BLD-CSTN-6-1</t>
  </si>
  <si>
    <t>Rate per 10.00 Sqm</t>
  </si>
  <si>
    <t>BLD-CSTN-6-3</t>
  </si>
  <si>
    <t>kg</t>
  </si>
  <si>
    <t>Cement for CM (1:8) proportion for basecoat</t>
  </si>
  <si>
    <t>Cement for slurry</t>
  </si>
  <si>
    <t>Cement for jointing</t>
  </si>
  <si>
    <t>Painter 1st class</t>
  </si>
  <si>
    <t>Sundries including brushes @ 1% overall above</t>
  </si>
  <si>
    <t>BLD-CSTN -10-6 &amp; 10-12 (iii)</t>
  </si>
  <si>
    <t>Primary Coat on New Wood Work</t>
  </si>
  <si>
    <t>Painting Two Coats on New Wood Work</t>
  </si>
  <si>
    <t>Total Rate per Primary &amp;Two coats 10.00 Sqm</t>
  </si>
  <si>
    <t>Unit = Each</t>
  </si>
  <si>
    <t>Earthwork Excavation</t>
  </si>
  <si>
    <t>Sqm</t>
  </si>
  <si>
    <t>Total Qty</t>
  </si>
  <si>
    <t>Rs</t>
  </si>
  <si>
    <t>Cement for CM (1:3) for basecoat</t>
  </si>
  <si>
    <t>a) Material</t>
  </si>
  <si>
    <t xml:space="preserve">Cement </t>
  </si>
  <si>
    <t>Day</t>
  </si>
  <si>
    <t>Sand for Concrete</t>
  </si>
  <si>
    <t>Sand for Plastering including 5% wastage</t>
  </si>
  <si>
    <t>Sand for Mortar including 5% wastage</t>
  </si>
  <si>
    <t xml:space="preserve">Sand for Concrete </t>
  </si>
  <si>
    <t xml:space="preserve">Fine aggregate (Sand) for Mortar </t>
  </si>
  <si>
    <t xml:space="preserve">Sand for Mortar CM (1:8) proportion </t>
  </si>
  <si>
    <t>No</t>
  </si>
  <si>
    <t>Grant</t>
  </si>
  <si>
    <t>Total</t>
  </si>
  <si>
    <t xml:space="preserve">Mazdoor (Un-Skilled) </t>
  </si>
  <si>
    <t xml:space="preserve">Rate per 1 Cum </t>
  </si>
  <si>
    <t xml:space="preserve">Bar bender  </t>
  </si>
  <si>
    <t>Rate per 1.00 Sqm</t>
  </si>
  <si>
    <t>Unskilled Labour Charges</t>
  </si>
  <si>
    <t>Measurements</t>
  </si>
  <si>
    <t xml:space="preserve">Supplying, fitting &amp; placing HYSD bar reinforcement in foundation complete including labour charges for cutting, bending to required sizes and shapes, placing in position and tying with binding wire, forming grills for reinforcement work including c/c of steel bars below 36mm dia including overlaps and wastage, where they are not welded </t>
  </si>
  <si>
    <t xml:space="preserve">Ceiling Plastering to Ceiling in CM (1:3) 12mm thick with dubara sponge finishing  including c/c of all materials including labour charges such as mixing cement mortar and curing etc complete for finished item of work (APSS 901 &amp; 903) </t>
  </si>
  <si>
    <t xml:space="preserve">Plastering in CM (1:5) 12mm thick  single coat including c/c of all materials and labour charges such as mixing cement mortar etc and curing etc complete for finished item of work (APSS 901,  903 &amp; 904) </t>
  </si>
  <si>
    <t>RCC  Columns</t>
  </si>
  <si>
    <t xml:space="preserve">RCC  Plinth Beam </t>
  </si>
  <si>
    <t>RCC Lintels</t>
  </si>
  <si>
    <t>RCC  Sunshades</t>
  </si>
  <si>
    <t>RCC  Roof Beams</t>
  </si>
  <si>
    <t>RCC Footings</t>
  </si>
  <si>
    <t>RCC Pedastals</t>
  </si>
  <si>
    <t>BM CM (1:8) Super</t>
  </si>
  <si>
    <t>Sand Filling</t>
  </si>
  <si>
    <t>Cement required</t>
  </si>
  <si>
    <t>Ceiling Plaster CM (1:3) 12mm</t>
  </si>
  <si>
    <t>Qty</t>
  </si>
  <si>
    <t>Metal</t>
  </si>
  <si>
    <t xml:space="preserve">Total  </t>
  </si>
  <si>
    <t>Kgs</t>
  </si>
  <si>
    <t>Bags</t>
  </si>
  <si>
    <t>Task Name</t>
  </si>
  <si>
    <t>Task Code</t>
  </si>
  <si>
    <t>Rate per Unit in Rs</t>
  </si>
  <si>
    <t>days</t>
  </si>
  <si>
    <t>CW09.40 mm nominal HBG/HBT Graded Metal</t>
  </si>
  <si>
    <t>BLD-CSTN- 8 -25</t>
  </si>
  <si>
    <t>Deputy Executive Engineer</t>
  </si>
  <si>
    <t>Painter</t>
  </si>
  <si>
    <t xml:space="preserve">Providing impervious coat to exposed RCC Roof Slab surface with CM (1:3) 12mm thick with 1Kg of water proof compound per bag of Cement laid over roof when it is green including c/c of all materials and labour charges for mixing mortar, laying, rendering smooth and thread lining of wall &amp; slab etc complete for finished item of work (APSS 901,903) </t>
  </si>
  <si>
    <t>Footings</t>
  </si>
  <si>
    <t>Grand Total :</t>
  </si>
  <si>
    <t>20mm HBG Machine Crushed Chips</t>
  </si>
  <si>
    <t>\</t>
  </si>
  <si>
    <t>Skilled Electrician</t>
  </si>
  <si>
    <t>Helper</t>
  </si>
  <si>
    <t>BLD-CSTN-2-5</t>
  </si>
  <si>
    <t xml:space="preserve">Plain Cement Concrete (1:4:8) proportion Nominal mix for foundations using 40mm size SS-5 metal including cost and conveyance of all materials and curing charges, labour charges, machine mixing and laying concrete in foundations ramming etc complete for Bed Concrete  (APSS No 402)  </t>
  </si>
  <si>
    <t>Needle Vibrator 40mm (Petrole)</t>
  </si>
  <si>
    <t>GF</t>
  </si>
  <si>
    <t>FF</t>
  </si>
  <si>
    <t>SF</t>
  </si>
  <si>
    <t xml:space="preserve">Centering charges for Columns material hire charges </t>
  </si>
  <si>
    <t xml:space="preserve">Centering charges for Columns Labour charges </t>
  </si>
  <si>
    <t xml:space="preserve">Centering charges for Lintels material hire charges </t>
  </si>
  <si>
    <t xml:space="preserve">Centering charges for Lintels Labour charges </t>
  </si>
  <si>
    <t>Basic Rate Chajja 1.00 Cum</t>
  </si>
  <si>
    <t>2.0M X 0.5M X 0.05M = 0.05Cum / 1.00 Sqm</t>
  </si>
  <si>
    <t>Add Lift Charges @ 10%, 20% on Labour charges on B</t>
  </si>
  <si>
    <t xml:space="preserve">Centering charges for Chajja material hire charges </t>
  </si>
  <si>
    <t xml:space="preserve">Centering charges for Chajja Labour charges </t>
  </si>
  <si>
    <t>Sunshades of 0.60M width with 3" &amp; 2" thick</t>
  </si>
  <si>
    <t>Basic Rate Sunshade 1.00 Cum</t>
  </si>
  <si>
    <t xml:space="preserve"> 1.00 Sqm</t>
  </si>
  <si>
    <t xml:space="preserve"> 1.00 RM</t>
  </si>
  <si>
    <t xml:space="preserve">Centering charges for Beams material hire charges </t>
  </si>
  <si>
    <t xml:space="preserve">Centering charges for Beams Labour charges </t>
  </si>
  <si>
    <t xml:space="preserve">Centering charges for Roof Slab material hire charges </t>
  </si>
  <si>
    <t xml:space="preserve">Centering charges for Roof Slab Labour charges </t>
  </si>
  <si>
    <t>1.00 Sqm</t>
  </si>
  <si>
    <t>1.00 Cum</t>
  </si>
  <si>
    <t xml:space="preserve">Centering charges for Waist Slab material hire charges </t>
  </si>
  <si>
    <t xml:space="preserve">Centering charges for Waist Slab Labour charges </t>
  </si>
  <si>
    <t>Supplying  &amp; fixing of Iron Doors and Windows Grills including labour charges for fabricating steel including cost of welding rods, power charges &amp; fixing the grill in position etc complete</t>
  </si>
  <si>
    <t>Unit = Kg</t>
  </si>
  <si>
    <t>Structural steel angles for grills including wastage</t>
  </si>
  <si>
    <t>Labour charge  fabricating steel grills BMM.V.14</t>
  </si>
  <si>
    <t>Labour charg fixing grill in position BMM.V.15</t>
  </si>
  <si>
    <t>Rate per 1.00 Kg</t>
  </si>
  <si>
    <t>scaffolding material hire charge Rs 10.32 / Sqm</t>
  </si>
  <si>
    <t>Basic Rate for Walls</t>
  </si>
  <si>
    <t>scaffolding Lab cha 79.46, 113.78 &amp; 148.09/Sqm</t>
  </si>
  <si>
    <t>10.00 Sqm</t>
  </si>
  <si>
    <t>BLD-CSTN-7-5</t>
  </si>
  <si>
    <t>Cement for pointing with CM (1:3)</t>
  </si>
  <si>
    <t xml:space="preserve">Sand for Mortar for CM (1:8) proportion </t>
  </si>
  <si>
    <t>Sand for Moratr for pointing</t>
  </si>
  <si>
    <t>BLD-CSTN-7-20</t>
  </si>
  <si>
    <t xml:space="preserve">Sand for Mortar for CM (1:5) proportion </t>
  </si>
  <si>
    <t>Cement for CM (1:5) base coat</t>
  </si>
  <si>
    <t>Cement for Slurry</t>
  </si>
  <si>
    <t>Vitrified tiles  600X600X8mm th BMT-C.09</t>
  </si>
  <si>
    <t>White Cement jointing &amp; pointing BMS.W.68</t>
  </si>
  <si>
    <t>BLD-CSTN-7-6</t>
  </si>
  <si>
    <t xml:space="preserve">Non-Skid Ceramic tiles 300X300 BMT.C.01 </t>
  </si>
  <si>
    <t>BLD-CSTN-7-18</t>
  </si>
  <si>
    <t>Glazed Ceramic wall tiles 6mm BMT.C.21</t>
  </si>
  <si>
    <t xml:space="preserve">Sand for Mortar CM (1:3) proportion </t>
  </si>
  <si>
    <t>Cement for CM (1:3) base coat</t>
  </si>
  <si>
    <t xml:space="preserve">Flooring with Ceramic non skid tiles of not less than 7-8mm thick 1st quality laid over floor bed / VRCC slab set over base coat of CM (1:8), 12mm thick and neat grey Cement slurry of honey like consistency spread @ 3.30 Kgs per Sqm &amp; jointed with neat white Cement paste to full depth mixed with pigment of matching shade including c/c of all materials to site including cost of mixing of mortar and watering and levelling to proper slope and curing including all labour charges etc for finished item of work  </t>
  </si>
  <si>
    <t xml:space="preserve">Flooring with Porcelain Vitrified tiles stain free double charged of 1st quality and of size not less than 600X600X8mm thickness glossy finish premium colours, set over base coat of CM (1:8), 12mm thick over already laid CC bed / RCC Roof slab, including neat Cement slurry of honey like consistency spread @ 3.30 Kgs per Sqm &amp; jointed with neat white Cement paste to full depth mixed with pigment of matching shade including c/c of all materials like Cement, Sand and Water and tiles etc complete including labour charges etc complete for finished item of work </t>
  </si>
  <si>
    <t xml:space="preserve">Providing Skirting to internal walls to 15cm height / risers of steps with Porcelain Vitrified tiles length equal to flooring stones, set over base coat of CM (1:5) 12mm thick with Cement slurry of honey like consistency spread @ 3.30 Kgs per Sqm &amp; jointed with white Cement paste mixed with pigment of matching shade to full depth, including c/c of materials like Cement, Sand and Water and tiles etc complete for finished item of work </t>
  </si>
  <si>
    <t xml:space="preserve">Providing Daddooing to walls with 5 to 7mm thick Glazed Ceramic wall tiles of 1st quality of 6mm thick set over base coat of CM (1:3) 12mm thick with Cement slurry of honey like consistency spread @ 3.30 Kgs per Sqm &amp; jointed with neat white Cement paste to full depth mixed with pigment of matching shade including c/c of all materials to site, cost of all materials like tiles, Cement, sand and water etc complete for finished item of work  </t>
  </si>
  <si>
    <t xml:space="preserve">White Cement for jointing and pointing </t>
  </si>
  <si>
    <t>Wood primer BMT.J.05</t>
  </si>
  <si>
    <t>Synthatic Enamil Paint at 20sqm/Lt BMT.J.29</t>
  </si>
  <si>
    <t xml:space="preserve">Man Mazdoor  </t>
  </si>
  <si>
    <t xml:space="preserve">Semi Skilled Electrician </t>
  </si>
  <si>
    <t>Ground Floor</t>
  </si>
  <si>
    <t>BLD-CSTN-     3-3</t>
  </si>
  <si>
    <t>Unit = 1 sqm</t>
  </si>
  <si>
    <t>Meeting Hall</t>
  </si>
  <si>
    <t>First Floor</t>
  </si>
  <si>
    <t xml:space="preserve">Reinforced Cement Concrete  M-25 Nominal mix (Cement: Fine aggregates: Coarse aggregates) corresponding Table 9 of IS 456 using 20mm size graded machine crushed hard granite metal (coarse aggregate) from approved quarry including cost and conveyance of all materials like Cement, fine aggregate( Sand), coarse aggregate, water etc to site and including sales and other taxes on all marerilas including all operational, incidental and labour charges such as machine mixing, laying concrete, curing etc complete but excluding cost of steel and its fabrication charges for finished item of work, but excluding centering, shttering </t>
  </si>
  <si>
    <t xml:space="preserve">Reinforced Cement Concrete  M-25 Nominal mix (Cement: Fine aggregates: Coarse aggregates) corresponding Table 9 of IS 456 using 20mm size graded machine crushed hard granite metal (coarse aggregate) from approved quarry including cost and conveyance of all materials like Cement, fine aggregate( Sand), coarse aggregate, water etc to site and including sales and other taxes on all marerilas including all operational, incidental and labour charges suxh as machine mixing, laying concrete, curing etc complete but excluding cost of steel and its fabrication charges for finished item of work, but excluding centering, shttering </t>
  </si>
  <si>
    <t xml:space="preserve">Total Quantity </t>
  </si>
  <si>
    <t xml:space="preserve">40mm Metal </t>
  </si>
  <si>
    <t>20mm HBG Chips</t>
  </si>
  <si>
    <t>20mm-12mm Chips</t>
  </si>
  <si>
    <t>Sand  Mortar</t>
  </si>
  <si>
    <t>Sand  Concrete</t>
  </si>
  <si>
    <t>Sand Plastering</t>
  </si>
  <si>
    <t>Rough Stone</t>
  </si>
  <si>
    <t>PCC (1:4:8)</t>
  </si>
  <si>
    <t>RCC Landing Slab 150mm th</t>
  </si>
  <si>
    <t>RCC  Roof Slab 125mm th</t>
  </si>
  <si>
    <t>Plaster'ing CM (1:5) 12mm th</t>
  </si>
  <si>
    <t>Ceramic Tiles Flooring</t>
  </si>
  <si>
    <t>Daddooing wall tiles</t>
  </si>
  <si>
    <t>Flooring Vetrified Tiles</t>
  </si>
  <si>
    <t>Skirting Vetrified Tiles</t>
  </si>
  <si>
    <t xml:space="preserve">CW-G01.Amount for wage component </t>
  </si>
  <si>
    <t>CW-G02.cement</t>
  </si>
  <si>
    <t>CW-G10.Cost towards engaging skilled labour,semi skilled labour,other materials and equipment charges including all other materials not covered above</t>
  </si>
  <si>
    <t>CW-G12.QC @0.50%</t>
  </si>
  <si>
    <t>CW-G13.Seigniorage charges</t>
  </si>
  <si>
    <t>CW-G14.cost of NP, other Pipes and Precast chambers etc.,</t>
  </si>
  <si>
    <t>Workwise File</t>
  </si>
  <si>
    <t>CW-G15.LS amount for unforcen items.</t>
  </si>
  <si>
    <t>Name Board using Brick Masonary of size 2'0"X3'0''</t>
  </si>
  <si>
    <t>CW-G20.cost and supply of Steel</t>
  </si>
  <si>
    <t>Lead in KM</t>
  </si>
  <si>
    <t>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t>
  </si>
  <si>
    <t>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t>
  </si>
  <si>
    <t>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t>
  </si>
  <si>
    <t>PANCHAYATI RAJ ENGINEERING DEPARTMENT</t>
  </si>
  <si>
    <t>NAME OF THE WORK</t>
  </si>
  <si>
    <t>:</t>
  </si>
  <si>
    <t>NAME OF THE MANDAL</t>
  </si>
  <si>
    <t>NAME OF SUB.DIVISION.</t>
  </si>
  <si>
    <t>NAME OF THE DIVISION</t>
  </si>
  <si>
    <t>NAME OF CIRCLE</t>
  </si>
  <si>
    <t>ONGOLE</t>
  </si>
  <si>
    <t>NAME OF DISTRICT</t>
  </si>
  <si>
    <t xml:space="preserve">PRAKASAM </t>
  </si>
  <si>
    <t>Landing slab</t>
  </si>
  <si>
    <t>Alround the building</t>
  </si>
  <si>
    <t>WORKING ESTIMATE</t>
  </si>
  <si>
    <t>Est.Rs.</t>
  </si>
  <si>
    <t>S.No</t>
  </si>
  <si>
    <t>Description of Item</t>
  </si>
  <si>
    <t>x</t>
  </si>
  <si>
    <t>1Cum</t>
  </si>
  <si>
    <t>1No</t>
  </si>
  <si>
    <t>Supply and Fixing of Premium make CPVC Pipes and Fittings to meet the requirement of ASTM-D 2846 and are produced in CTS (Copper Tube Sizes 1/2" ton 2" Ashirvad  lowgurard SDR 11 and SDR 13.5 pipes are made from  dential CPVC compounds having the same physical  roperties for Hot and Cold Water (IS 15778:2007)</t>
  </si>
  <si>
    <t>Rm</t>
  </si>
  <si>
    <t>Labour charges for laying, joining, welding, fixing and commissioning the C-PVC pipes including all specials such ascouplers/ bends/ tees etc including fixing necessary fittings like bends, plugs, couplers, junctions, tees, etc with welding the joint as per standard practice - up to 40 mm dia</t>
  </si>
  <si>
    <t>1Rm</t>
  </si>
  <si>
    <t>1MT</t>
  </si>
  <si>
    <t>Deduct columns</t>
  </si>
  <si>
    <t>Filling in foundation with excavated soil as per drawing and technical specification Clause 305.3.9 MORD &amp; 304 MORTH.</t>
  </si>
  <si>
    <t xml:space="preserve">S&amp; F 40  mm HDPE pipe 12.5 kg/sqcm  properties &amp; weight as per IS 1239 ISI mark with GI fittings including the cost of pipe &amp; its fittings &amp; labour charges </t>
  </si>
  <si>
    <t>S&amp;F of 180mm dia bore cap</t>
  </si>
  <si>
    <t>S&amp;F of 25mm dia GI pipe</t>
  </si>
  <si>
    <t>S&amp;F of 25mm dia GI Bends</t>
  </si>
  <si>
    <t>S&amp;F of 25mm dia Clamp set</t>
  </si>
  <si>
    <t>Supply of 3 core 1.50 sqm flat copper cable as per for submersible motors of makes polycab for service mains including cost of material and labour charges and taxes etc., complete.</t>
  </si>
  <si>
    <t>1rm</t>
  </si>
  <si>
    <t>Providing &amp; placing on Terrace polyethylene water storage tank with Double layer approved brand &amp; manufacture with cover and suitable locking arrangement &amp; making necessary holes for inlet &amp; outlets and overflow pipes but without fittings &amp; base support for tanks</t>
  </si>
  <si>
    <t>Ltr</t>
  </si>
  <si>
    <t>Unforseen items such as if any</t>
  </si>
  <si>
    <t>GROUND FLOOR</t>
  </si>
  <si>
    <t>Clearing light  jungle including up-rooting and removing of Juliflora stumps.</t>
  </si>
  <si>
    <t>Deduct Voids @ 40%</t>
  </si>
  <si>
    <t>Engaging Unskilled Labour for Earth work excavation &amp; depositing on bank with an initial lead &amp; initial lift in Loamy, Clayey soils like BC Soils, Red Earth &amp; Chodu Soils for Column Foundations RSSR</t>
  </si>
  <si>
    <t xml:space="preserve">Plain Cement Concrete (1:4:8) proportion Nominal mix for foundations using 40mm size SS-5 metal including c/c of all materials &amp; labour charges, machine mixing &amp; laying concrete in foundations ramming etc complete for Bed Concrete  (APSS No 402)  </t>
  </si>
  <si>
    <t>F1 footings</t>
  </si>
  <si>
    <t>F2 footings</t>
  </si>
  <si>
    <r>
      <t xml:space="preserve">~do~ for  </t>
    </r>
    <r>
      <rPr>
        <b/>
        <sz val="10"/>
        <rFont val="Calibri"/>
        <family val="2"/>
        <scheme val="minor"/>
      </rPr>
      <t>Pedastal concrete etc., complete</t>
    </r>
  </si>
  <si>
    <r>
      <t xml:space="preserve">~do~ for  </t>
    </r>
    <r>
      <rPr>
        <b/>
        <sz val="10"/>
        <rFont val="Calibri"/>
        <family val="2"/>
        <scheme val="minor"/>
      </rPr>
      <t>Columns etc., complete</t>
    </r>
  </si>
  <si>
    <r>
      <t xml:space="preserve">~do~ for  </t>
    </r>
    <r>
      <rPr>
        <b/>
        <sz val="10"/>
        <rFont val="Calibri"/>
        <family val="2"/>
        <scheme val="minor"/>
      </rPr>
      <t>Plinth beam etc., complete</t>
    </r>
  </si>
  <si>
    <r>
      <t xml:space="preserve">~do~ for  </t>
    </r>
    <r>
      <rPr>
        <b/>
        <sz val="10"/>
        <rFont val="Calibri"/>
        <family val="2"/>
        <scheme val="minor"/>
      </rPr>
      <t>Beams etc., complete</t>
    </r>
  </si>
  <si>
    <r>
      <t xml:space="preserve">~do~ for  </t>
    </r>
    <r>
      <rPr>
        <b/>
        <sz val="10"/>
        <rFont val="Calibri"/>
        <family val="2"/>
        <scheme val="minor"/>
      </rPr>
      <t>Waist slab 150mm thick etc., complete</t>
    </r>
  </si>
  <si>
    <r>
      <t xml:space="preserve">~do~ for  </t>
    </r>
    <r>
      <rPr>
        <b/>
        <sz val="10"/>
        <rFont val="Calibri"/>
        <family val="2"/>
        <scheme val="minor"/>
      </rPr>
      <t>Roof slab 125mm thick etc., complete</t>
    </r>
  </si>
  <si>
    <t xml:space="preserve">Brick Masonary for Superstructure with CM (1:8) proportion using 2nd class traditional bricks of size 23X11X7 cms having minimum crushing strength of 40kg/cm2  including c/c of all materials like Cement, Sand, Bricks, water etc including  labour charges such as mixing cement mortar, Scaffolding charges etc complete for finished item of work (APSS No 501 &amp; 504) </t>
  </si>
  <si>
    <t xml:space="preserve">Supplying and Fixing of 25mm dia 2.2 mm thick PVC Conduit pipe concealed in wall with all required accessories including chiseling the wall wherever necessity including masonry work for Light, Fan and separate plug point with wooden.Deep box including all labour charges etc </t>
  </si>
  <si>
    <r>
      <t>Supply and Fixing of Premium make CPVC Pipes and Fittings to meet the requirement of ASTM-D 2846 and are produced in CTS (Copper Tube Sizes 1/2" ton 2" Ashirvad  lowgurard SDR 11 and SDR 13.5 pipes are made from  dential CPVC compounds having the same physical  roperties for Hot and Cold Water (IS 15778:2007)</t>
    </r>
    <r>
      <rPr>
        <b/>
        <sz val="10"/>
        <rFont val="Calibri"/>
        <family val="2"/>
        <scheme val="minor"/>
      </rPr>
      <t>for  32mm dia</t>
    </r>
  </si>
  <si>
    <r>
      <t>Supply and Fixing of Premium make CPVC Pipes and Fittings to meet the requirement of ASTM-D 2846 and are produced in CTS (Copper Tube Sizes 1/2" ton 2" Ashirvad  lowgurard SDR 11 and SDR 13.5 pipes are made from  dential CPVC compounds having the same physical  roperties for Hot and Cold Water (IS 15778:2007)</t>
    </r>
    <r>
      <rPr>
        <b/>
        <sz val="10"/>
        <rFont val="Calibri"/>
        <family val="2"/>
        <scheme val="minor"/>
      </rPr>
      <t>for  25mm dia</t>
    </r>
  </si>
  <si>
    <t>Tiolets</t>
  </si>
  <si>
    <t xml:space="preserve">Mazdoor </t>
  </si>
  <si>
    <t>Taking output-6 Cum</t>
  </si>
  <si>
    <t>Rate per 6 cum</t>
  </si>
  <si>
    <t>Steps</t>
  </si>
  <si>
    <t xml:space="preserve">Plain Cement Concrete  M-25 Nominal mix (Cement: Sand: Metal) corresponding Table 9 of IS 456 using 20mm size graded machine crushed hard granite metal from approved quarry including c/c of all materials like Cement, Sand, coarse aggregate, water etc to site, all marerials including labour charges such as machine mixing, laying concrete, curing etc complete but excluding cost of steel and its fabrication charges for finished item of work </t>
  </si>
  <si>
    <t xml:space="preserve">Plastering to brick masonary wall with  20mm thick double coat in CM (1:6) 16 mm thick base coat and CM (1:4) of 4mm thick top coat with dubara sponge finish including c/c of all materials including all operational, incidental and labour charges such as mixing cement mortar and curing etc complete for finished item of work (APSS 901,  903 &amp; 904) </t>
  </si>
  <si>
    <t>Base Coat in CM(1:6), 16 mm thick</t>
  </si>
  <si>
    <t>Sand Aggregate</t>
  </si>
  <si>
    <t>Base Coat in CM(1:4), 4 mm thick</t>
  </si>
  <si>
    <t>Shutters : Medium Teak Wood</t>
  </si>
  <si>
    <t>Index-code</t>
  </si>
  <si>
    <t>Description</t>
  </si>
  <si>
    <t>Rate Rs.</t>
  </si>
  <si>
    <t>Amount
 Rs.</t>
  </si>
  <si>
    <t>Nos</t>
  </si>
  <si>
    <t>10</t>
  </si>
  <si>
    <t>b) Material</t>
  </si>
  <si>
    <t>Supplying and Fixing European Water Closet of 1st quality make white glazed with 'P' trap with low down porcelain flushing tank 10 Lit Capacity internal components and Fixing best Indian make plastic seat and lid for European water closets with rubber or plastic Buffers including all labour charges for fixing etc., complete.</t>
  </si>
  <si>
    <t>European Water Closet of 1st quality BMW-D.13</t>
  </si>
  <si>
    <t>Flushing Tank 10 Lit capacity BMW-D.11</t>
  </si>
  <si>
    <t>plastic seat and lid BMW-D.16</t>
  </si>
  <si>
    <t>Contract profit @ 13.615%</t>
  </si>
  <si>
    <t>Supplying and fixing Indian make Flat Back Wash Hand Basin (HSW/Parryware/ Neycer) 1st quality conforming to IS:2556-Part-4:1972 of size 450mm x 300mm with 32 mm nominal size C.P. Fitting with parallel pipe thread onforming to IS:2963-1979 and fitted with 15 mm nominal bore Chromium Plated Pillar Tap of 1st quality Indian make 400 grams Seiko/Senior/Nice or equivalent complete with  tandard CI brackets including wooden blocks ,1 No.12.70mm PVC connection with brass union nuts CP  oated , 1 No.12.70mm NP bib tap 400 gms Seiko or equivalent , 31.75mm dia. PVC flexible waste pipe 914.4mm length of 1st quality including cost and  onveyance of all materials to site, labour charges , overheads &amp; contractors profit for finished item of work</t>
  </si>
  <si>
    <t>Cost of wash hand basin SSR  BMW-D.26   S.No.158</t>
  </si>
  <si>
    <t>12.70mm NP bib tap (400gms) BMW-E.07</t>
  </si>
  <si>
    <t>12.70mm dia PVC connection with brass union nuts BMW-I.48</t>
  </si>
  <si>
    <t>31.75mm dia. PVC flexible waste pipe BMW-G.05</t>
  </si>
  <si>
    <t>Initial cost BMW-G.118</t>
  </si>
  <si>
    <t>Supplying and fixing 4" (101.6 mm ) Floor Trap - UPVC/SWR Pipe fittings 1st quality ISI marked conforming to IS:1729-1979 with C.P. Grating fixing with  hite cement as per site requirements with standard practice for all floors  ncluding cost and conveyance of all materials to site, labour charges etc., complete for finished item of work.</t>
  </si>
  <si>
    <t>Initial cost BMW-G.125</t>
  </si>
  <si>
    <t xml:space="preserve">Prince/ Sudhakar make or equivalent quality PVC /SWR pipes &amp; fittings ( as per ISI standards) 4kg/cm2 110mm dia. double socket </t>
  </si>
  <si>
    <t>Taking out put = 3Mts</t>
  </si>
  <si>
    <t>110mm dia pipe BMW-G.13</t>
  </si>
  <si>
    <t>Rate per 3Mts</t>
  </si>
  <si>
    <t>Rate per 1Mts</t>
  </si>
  <si>
    <t xml:space="preserve">Prince/ Sudhakar make or equivalent quality PVC /SWR pipes &amp; fittings ( as per ISI standards) 4kg/cm2 90mm dia. double socket </t>
  </si>
  <si>
    <t>90mm dia pipe BMW-G.15</t>
  </si>
  <si>
    <t xml:space="preserve">Prince/ Sudhakar make or equivalent quality PVC /SWR pipes &amp; fittings ( as per ISI standards) 4kg/cm2 75mm dia. double socket </t>
  </si>
  <si>
    <t>75mm dia pipe BMW-G.14</t>
  </si>
  <si>
    <t>Labour charges for laying, fixing and commissioning the PVC pipes including couplers/ bends/ tees etc any diameter including fixing necessary fittings like bends, plugs, couplers, junctions, tees, etc with solvent jointing as per standard practice</t>
  </si>
  <si>
    <t>Initial cost BMW-G.152</t>
  </si>
  <si>
    <t>Supply &amp; fixing of tested NP bib taps at all levels of 12.70mm dia of Indian make 400g first quality including cost &amp; conveyance of all materials, labour charges for finished item of work, and all taxes complete for all floors</t>
  </si>
  <si>
    <t>Initial cost BMW-E.07</t>
  </si>
  <si>
    <t>Supply &amp; fixing bib cock cum health faucet with 1 m long flexible tube and wall hook of Jaquar make queen series with 7 years warranty Chrome plated / Jupiter Aqua Lines-JALor equivalent series including cost and conveyance of all materials, labour charges , overheads &amp; contractors profit complete for finished item of work in all floors.</t>
  </si>
  <si>
    <t>Initial cost BMW-I.141</t>
  </si>
  <si>
    <t>Cost of Liters(BMW-G.01)</t>
  </si>
  <si>
    <t>Litrs</t>
  </si>
  <si>
    <t>Labour charges(BMW-G.02)</t>
  </si>
  <si>
    <t>15.90mm ODPipe - SDR 13.5 BMW-I.220</t>
  </si>
  <si>
    <t>22.20mm ODPipe - SDR 13.5 BMW-I.221</t>
  </si>
  <si>
    <t>28.60mm ODPipe - SDR 13.5 BMW-I.221</t>
  </si>
  <si>
    <t>34.90mm ODPipe - SDR 13.5 BMW-I.223</t>
  </si>
  <si>
    <t>Labour charges for laying, joining, welding, fixing and
commissioning the C-PVC pipes including all specials such ascouplers/ bends/ tees etc including fixing necessary fittings like bends, plugs, couplers, junctions, tees, etc with welding the joint as per standard practice - up to 40 mm dia</t>
  </si>
  <si>
    <t>Initial cost BMW-I.415</t>
  </si>
  <si>
    <t>Supplying and fixing Gunmetal Gate ( GM peet ) valve as per IS-778 Class - I , Indian make heavy type including cost and conveyance of all materials , labour charges etc.  omplete for finished item of work.</t>
  </si>
  <si>
    <t>25mm Nominal bore BMW-F.17</t>
  </si>
  <si>
    <t>Supply and fixing of 110mm dia ISI mark PVC rain water spouts of 4 Kg/cm2 pressure including Cost of necessary pvc bends, shoes and M.S.clamps and all other accessories and fixing in position including cost and conveyance of all materials to site , seigniorage charges sales and other taxes on all materials, all operational, incidental and labour cahrges such as fixing in alignment etc., complete for finished item of work.(APSS NO1328) in All Floors</t>
  </si>
  <si>
    <t>Taking out put=3 Rm</t>
  </si>
  <si>
    <t>Basic rate as per ssr item BMW-G.13</t>
  </si>
  <si>
    <t>3Rm</t>
  </si>
  <si>
    <t>Cost of P.V.C. Bend BMW-G.57</t>
  </si>
  <si>
    <t>Cost of Clips BMW-G.106</t>
  </si>
  <si>
    <t>Plumber 1st Class</t>
  </si>
  <si>
    <t>Plumber 2nd class</t>
  </si>
  <si>
    <t>Man Mazdoor</t>
  </si>
  <si>
    <t>Cost of 3Rm</t>
  </si>
  <si>
    <t>Rate per 1.00 Rm</t>
  </si>
  <si>
    <t xml:space="preserve">6Kg per / cm2 </t>
  </si>
  <si>
    <t xml:space="preserve">Initial cost </t>
  </si>
  <si>
    <t>Initial cost</t>
  </si>
  <si>
    <t xml:space="preserve">Supply and Transportation of control panel for single phasesubmersible motors up to 3 HP @ 220V 50Hz operating range between 80 to 240V including supply and fixing of Direct - on - Line LTLK / SIEMENS / CROMPTON make Volt meter and Ammeter with starting and running capacitors assembled with ISI mark contactors and fitted with Legrand make ISI mark MCB etc., complete. 
</t>
  </si>
  <si>
    <t>Initial cost ELEC-5.4.15</t>
  </si>
  <si>
    <t>Unite</t>
  </si>
  <si>
    <t>a) Labour charges :</t>
  </si>
  <si>
    <t>Mtr</t>
  </si>
  <si>
    <t>Material Rate for 100 Mtrs</t>
  </si>
  <si>
    <t>Material Rate for  1 Mtr</t>
  </si>
  <si>
    <t>Total Cost of Material + Labour Charges</t>
  </si>
  <si>
    <t>Labour charges for Grooves 2-3mm thick for PVC pipes</t>
  </si>
  <si>
    <t xml:space="preserve"> Initial cost BMM-V.51</t>
  </si>
  <si>
    <t>Copper Cable Makes:Makes: Finolex / RR kabel / Havells /KEI/Polycab/Gloster</t>
  </si>
  <si>
    <t>Accessories Makes:Makes: Legrand Arteor / Schneider Zen celo/ Crabtree Murano or Amare/L&amp;Tenglaze/GM-Zenova/ Goldmedal (GIFA)</t>
  </si>
  <si>
    <t>Supply of  3 Plate Jumbo Ceiling Rose  of makes Anchor / Gold Medal Olive / Million Zoom.(ELEC-19-20-1.7.1-M)</t>
  </si>
  <si>
    <t>Supply of 14/0.3mm (1.0 Sqmm) FRLS / HFFR  PVC insulated 1100V grade as per IS:694/1990 specification for Copper cable of makes Makes: Finolex / RR kabel / Havells /KEI/Polycab/Gloster. (ELEC-19-20-1.5.1)</t>
  </si>
  <si>
    <t>Mtrs</t>
  </si>
  <si>
    <t>Cost of Material for 6 Points</t>
  </si>
  <si>
    <t>Cost of Material Rate per 1 Point</t>
  </si>
  <si>
    <t>Supply of 22/0.3mm (1.5 Sqmm) FRLS / HFFR  PVC insulated 1100V grade as per IS:694/1990 specification for Copper cable of makes Finolex / RR kabel / KEI. (ELEC-19-20-1.5.1-B)</t>
  </si>
  <si>
    <t>Cost of Material for 100 Metres</t>
  </si>
  <si>
    <t>Cost of Material Rate per Mtr= C/100</t>
  </si>
  <si>
    <t>Supply and  Run of 2 of 36/0.3mm (2.50 Sq.mm) with  Run 1 of 22/0.3mm(1.5Sqmm)  FRLS / HFFR PVC insulated flexible ISI mark copper cable in existing pipe for run of mains inlcuding all labour charges etc., complete.(Data No.             )</t>
  </si>
  <si>
    <t>Supply and  Run of 2 of 56/0.3mm (4.00 Sq.mm) with  Run 1 of 22/0.3mm(1.5Sqmm)  FRLS / HFFR PVC insulated flexible ISI mark copper cable in existing pipe for run of mains inlcuding all labour charges etc., complete.(Data No.             )</t>
  </si>
  <si>
    <t>Copper Cable Makes: Finolex / RR kabel / Havells /KEI/Polycab/Gloster</t>
  </si>
  <si>
    <t>BH Makes: GM G Home / Gold Medal Olive / Million Zoom / Great whiteOmega/Koncept/Vimal opel/ Anchor/Vihan/CPL</t>
  </si>
  <si>
    <t>Cost of Material</t>
  </si>
  <si>
    <r>
      <t xml:space="preserve">Supply, Transportation and Fixing of 48" (1200mm) Sweep </t>
    </r>
    <r>
      <rPr>
        <b/>
        <sz val="8"/>
        <color indexed="8"/>
        <rFont val="Calibri"/>
        <family val="2"/>
        <scheme val="minor"/>
      </rPr>
      <t>5 Star rated Ceiling Fan</t>
    </r>
    <r>
      <rPr>
        <sz val="8"/>
        <color indexed="8"/>
        <rFont val="Calibri"/>
        <family val="2"/>
        <scheme val="minor"/>
      </rPr>
      <t xml:space="preserve"> with double ball bearings but without regulator including all standard accessories and all labour charges etc., complete.(Data No.             )</t>
    </r>
  </si>
  <si>
    <t>Ceiling Fan Makes:  Crompton HS Decora / Bajaj Regal Star /
Havells Spark deco / Orient summer crown
/Halonix(Zephyr) /Polycab(India Glory</t>
  </si>
  <si>
    <t>Twin Core Wire Makes:  Finolex / Polycab / Havells / V-Guard / GoldMedal / GM / Million / Vimal /Airson/CRI/ Tamra/
ollvin/Avocab</t>
  </si>
  <si>
    <t xml:space="preserve">a) Labour charges  </t>
  </si>
  <si>
    <t xml:space="preserve">b) Material </t>
  </si>
  <si>
    <t>Transportation Charges on Unit Cost @1%</t>
  </si>
  <si>
    <t>Supply and Transportation and fixing of 1200 mm length,Box type powder coatedtube light luminaire with necessary wiring suitable for fixing 2 Nos retrofit T8 LED tubes but without tube and
choke Makes: Phillips / Crompton /Bajaj/Surya/Havells/HPL</t>
  </si>
  <si>
    <t>Providing independent earthling by excavating a pit to a depth of 2.25Mt in all soils, as per size specified in the Data, using 40mm dia 'B' class GI pipe of 2.5 Mtrs length with necessary No.8 G.I. double earth wire and accessories with 18" dia 2" thick hume pipe ring duly providing staggered holes  including filling with 20Kg Salt and 40Kg Charcoal or 40Kg bentonite powder in layers and all labour charges etc., complete.(Data No.             )</t>
  </si>
  <si>
    <t xml:space="preserve">b) labour charges for fixing pipe ring and connections </t>
  </si>
  <si>
    <t>Sets</t>
  </si>
  <si>
    <t>Set</t>
  </si>
  <si>
    <t>25% extra for narrow trench &amp; pit and back filling with Sand, Coke, Salt etc., and leveling</t>
  </si>
  <si>
    <t>Sundries such as Lugs and Saddles</t>
  </si>
  <si>
    <t>25mm dia</t>
  </si>
  <si>
    <r>
      <t xml:space="preserve">Cement Qty in </t>
    </r>
    <r>
      <rPr>
        <b/>
        <sz val="10"/>
        <rFont val="Calibri"/>
        <family val="2"/>
        <scheme val="minor"/>
      </rPr>
      <t>Kg</t>
    </r>
  </si>
  <si>
    <r>
      <t>M</t>
    </r>
    <r>
      <rPr>
        <vertAlign val="superscript"/>
        <sz val="10"/>
        <rFont val="Calibri"/>
        <family val="2"/>
        <scheme val="minor"/>
      </rPr>
      <t>3</t>
    </r>
  </si>
  <si>
    <r>
      <t>M</t>
    </r>
    <r>
      <rPr>
        <vertAlign val="superscript"/>
        <sz val="10"/>
        <rFont val="Calibri"/>
        <family val="2"/>
        <scheme val="minor"/>
      </rPr>
      <t>2</t>
    </r>
  </si>
  <si>
    <r>
      <t>Rate / M</t>
    </r>
    <r>
      <rPr>
        <vertAlign val="superscript"/>
        <sz val="10"/>
        <rFont val="Calibri"/>
        <family val="2"/>
        <scheme val="minor"/>
      </rPr>
      <t>3</t>
    </r>
  </si>
  <si>
    <t>To be done</t>
  </si>
  <si>
    <t>110mm dia</t>
  </si>
  <si>
    <t>Providing Electrification items</t>
  </si>
  <si>
    <t>Supply of  Hot Dip galvanized 20/18 SWG Module box with earthing terminal for 12 Module box</t>
  </si>
  <si>
    <t>Supply of  Hot Dip galvanized 20/18 SWG Module box with earthing terminal for 2 Module box</t>
  </si>
  <si>
    <t>Supply and  Run of 2 of 36/0.3mm (2.50 Sq.mm) with  Run 1 of 22/0.3mm(1.5Sqmm)  FRLS / HFFR PVC insulated flexible ISI mark copper cable in existing pipe for run of mains inlcuding all labour charges etc., complete.</t>
  </si>
  <si>
    <t>Supply and  Run of 2 of 56/0.3mm (4.00 Sq.mm) with  Run 1 of 22/0.3mm(1.5Sqmm)  FRLS / HFFR PVC insulated flexible ISI mark copper cable in existing pipe for run of mains inlcuding all labour charges etc., complete</t>
  </si>
  <si>
    <t>Point</t>
  </si>
  <si>
    <t>Supply and fixing of 6A 3/2 pin wall plug socket with 6A switch control on a common switch board with earth continuity including wire leads, earth connections along with all labour charges etc., complete.</t>
  </si>
  <si>
    <t xml:space="preserve"> Initial cost ELEC-1.3.1 f</t>
  </si>
  <si>
    <t xml:space="preserve"> Initial cost ELEC-1.3.1 a</t>
  </si>
  <si>
    <t>Wiring with run of 2 of 14/0.3mm (1.0 Sq.mm) FRLS / HFFR PVC insulated flexible ISI mark copper cable in existing PVC conduit pipe including Supply and fixing of Jumbo Ceiling rose and 6A/10A ISI Mark 1way Modular switch  in existing Surface or Concealed pipe wiring including cost and conveyance of all material and all labour charges etc., complete for Fan points</t>
  </si>
  <si>
    <t>Wiring with run of 2 of 14/0.3mm (1.0 Sq.mm) FRLS / HFFR PVC insulated flexible ISI mark copper cable in existing PVC conduit pipe including Supply and fixing of  6A/10A ISI Mark 1way Modular switch  in existing Surface or Concealed pipe wiring including cost and conveyance of all material and all labour charges etc., complete for light and bell  points</t>
  </si>
  <si>
    <t>Supply of Cover frames for 12 module box</t>
  </si>
  <si>
    <t xml:space="preserve"> Initial cost ELEC-1.8.3 f</t>
  </si>
  <si>
    <t>Supply of Cover frames for 2 module box</t>
  </si>
  <si>
    <t xml:space="preserve"> Initial cost ELEC-1.8.3 a</t>
  </si>
  <si>
    <t>ELE 2.1.4</t>
  </si>
  <si>
    <t>Supply and Transportation and fixing of 1200 mm length,Box type powder coatedtube light luminaire with necessary wiring suitable for fixing 2 Nos retrofit T8 LED tubes but without tube and choke</t>
  </si>
  <si>
    <t>S.No.</t>
  </si>
  <si>
    <t>Provision for Seignorage charges</t>
  </si>
  <si>
    <t>Provision for Name board</t>
  </si>
  <si>
    <t>PCC (1:5:10)</t>
  </si>
  <si>
    <t>CC Steps</t>
  </si>
  <si>
    <t>Drilling of 165mm dia Bore well by down the hole hammer at a fiished dia of 165mm dia in all formations suitable for down the hole hammer drilling such as meduim hard rock formation, all consolidated frormation etc and reaming the borewell to subinsertation of required casing pipe etc including insertion of casing pipe with couplings, caps any other relevant materials upto required depth as directed by the dept, transportation of drilling rigs and supporting vehicle and including bore development. Flushing of Borewell at an avarage pressure of 150PSI conducting yield test, crew charegs required in fixation of pipe assembly completely done to the satisfaction of the dept and incuding all labour charges, but excluding the cost of casing pipe etc. The entire work should be carried out as per IS-2800 part I and II 1979</t>
  </si>
  <si>
    <t>Providing PVC Casing pipe 180mm dia of 6 Kgs/cm2 including cost and conveyance of Pipe and labour charges etc complete for Borewell of 165mm dia. Item No 20 of PH items in SoR 2019-20 Page 67 Rs 636-00 per 1.00 RM</t>
  </si>
  <si>
    <t>Providing independent earthling by excavating a pit to a depth of 2.25Mt in all soils, as per size specified in the Data, using 40mm dia 'B' class GI pipe of 2.5 Mtrs length with necessary No.8 G.I. double earth wire and accessories with 18" dia 2" thick hume pipe ring duly providing staggered holes  including filling with 20Kg Salt and 40Kg Charcoal or 40Kg bentonite powder in layers and all labour charges etc., complete.</t>
  </si>
  <si>
    <t>COMPARATIVE STATEMENT</t>
  </si>
  <si>
    <t>Est Rs.</t>
  </si>
  <si>
    <t>As per Revised estimate</t>
  </si>
  <si>
    <t xml:space="preserve">Difference </t>
  </si>
  <si>
    <t>Remarks</t>
  </si>
  <si>
    <t xml:space="preserve">Quantity </t>
  </si>
  <si>
    <t xml:space="preserve">Rate </t>
  </si>
  <si>
    <t>Excess</t>
  </si>
  <si>
    <t>Less</t>
  </si>
  <si>
    <t>1</t>
  </si>
  <si>
    <t>2</t>
  </si>
  <si>
    <t>3</t>
  </si>
  <si>
    <t>4</t>
  </si>
  <si>
    <t>5</t>
  </si>
  <si>
    <t>6</t>
  </si>
  <si>
    <t>7</t>
  </si>
  <si>
    <t>8</t>
  </si>
  <si>
    <t>9</t>
  </si>
  <si>
    <t>11</t>
  </si>
  <si>
    <t>Construction of Ground floor</t>
  </si>
  <si>
    <t>Earthwork excavation for foundation</t>
  </si>
  <si>
    <t>12</t>
  </si>
  <si>
    <t>13</t>
  </si>
  <si>
    <t>14</t>
  </si>
  <si>
    <t>15</t>
  </si>
  <si>
    <t>16</t>
  </si>
  <si>
    <t>Cost of steel</t>
  </si>
  <si>
    <t>17</t>
  </si>
  <si>
    <t>18</t>
  </si>
  <si>
    <t>20</t>
  </si>
  <si>
    <t>Ornamental Plastering 12mm thick to ceiling</t>
  </si>
  <si>
    <t>21</t>
  </si>
  <si>
    <t>22</t>
  </si>
  <si>
    <t>23</t>
  </si>
  <si>
    <t>24</t>
  </si>
  <si>
    <t>25</t>
  </si>
  <si>
    <t>26</t>
  </si>
  <si>
    <t>27</t>
  </si>
  <si>
    <t>28</t>
  </si>
  <si>
    <t>29</t>
  </si>
  <si>
    <t>30</t>
  </si>
  <si>
    <t>32</t>
  </si>
  <si>
    <t>33</t>
  </si>
  <si>
    <t>34</t>
  </si>
  <si>
    <t>35</t>
  </si>
  <si>
    <t>Construction of First Floor</t>
  </si>
  <si>
    <t>41</t>
  </si>
  <si>
    <t>42</t>
  </si>
  <si>
    <t>43</t>
  </si>
  <si>
    <t>44</t>
  </si>
  <si>
    <t>45</t>
  </si>
  <si>
    <t>46</t>
  </si>
  <si>
    <t>47</t>
  </si>
  <si>
    <t>48</t>
  </si>
  <si>
    <t xml:space="preserve">Plastering 12mm thick inside in single coats </t>
  </si>
  <si>
    <t>49</t>
  </si>
  <si>
    <t xml:space="preserve">Flooring with vitrified tiles </t>
  </si>
  <si>
    <t>50</t>
  </si>
  <si>
    <t>Providing skirting to internal walls to 15 cm height</t>
  </si>
  <si>
    <t>51</t>
  </si>
  <si>
    <t>Flooring with Ceramic non skid tiles</t>
  </si>
  <si>
    <t>53</t>
  </si>
  <si>
    <t>54</t>
  </si>
  <si>
    <t>55</t>
  </si>
  <si>
    <t>56</t>
  </si>
  <si>
    <t>57</t>
  </si>
  <si>
    <t>58</t>
  </si>
  <si>
    <t>59</t>
  </si>
  <si>
    <t>60</t>
  </si>
  <si>
    <t>61</t>
  </si>
  <si>
    <t>62</t>
  </si>
  <si>
    <t>63</t>
  </si>
  <si>
    <t>Providing &amp; Supply of Water supply  and Sanitation items</t>
  </si>
  <si>
    <t>64</t>
  </si>
  <si>
    <t>65</t>
  </si>
  <si>
    <t>66</t>
  </si>
  <si>
    <t>67</t>
  </si>
  <si>
    <t>69</t>
  </si>
  <si>
    <t>71</t>
  </si>
  <si>
    <t>72</t>
  </si>
  <si>
    <t>73</t>
  </si>
  <si>
    <t>74</t>
  </si>
  <si>
    <t>76</t>
  </si>
  <si>
    <t>77</t>
  </si>
  <si>
    <t>TOTAL</t>
  </si>
  <si>
    <t>Difference in estimate</t>
  </si>
  <si>
    <t xml:space="preserve">Clearing light  jungle </t>
  </si>
  <si>
    <t>PCC (1:4:8) for bed concrete</t>
  </si>
  <si>
    <t>PCC (1:5:10) for bed concrete</t>
  </si>
  <si>
    <t>Refilling with excavated soil</t>
  </si>
  <si>
    <t>Plastering 20mm thick double coat</t>
  </si>
  <si>
    <t xml:space="preserve">Supplying  &amp; fixing of Iron  Grills </t>
  </si>
  <si>
    <t>S&amp;F of 32mm dia CPVC pipes</t>
  </si>
  <si>
    <t>S&amp;F of 25mm dia CPVC pipes</t>
  </si>
  <si>
    <t xml:space="preserve">Labour charges for CPVC PIPes </t>
  </si>
  <si>
    <t>S&amp;F of Bib Type Taps</t>
  </si>
  <si>
    <t>S&amp;F of 110mm dia PVC Pipes</t>
  </si>
  <si>
    <t>S&amp;F of 90mm dia PVC Pipes</t>
  </si>
  <si>
    <t>S&amp;F of 75mm dia PVC Pipes</t>
  </si>
  <si>
    <t xml:space="preserve">Labour charges for PVC PIPes </t>
  </si>
  <si>
    <t>S&amp;F of European type water closet</t>
  </si>
  <si>
    <t>S&amp;F of Synthatic Water storage tank</t>
  </si>
  <si>
    <t>Drilling with165mm dia borewell</t>
  </si>
  <si>
    <t>S&amp;F of 180mm dia casing pipe</t>
  </si>
  <si>
    <t xml:space="preserve">S&amp;F  of 25mm dia 2.2 mm thick PVC Conduit pipe </t>
  </si>
  <si>
    <t>200/18 SWG Module box w for 12 Module box</t>
  </si>
  <si>
    <t>200/18 SWG Module box w for 2 Module box</t>
  </si>
  <si>
    <t xml:space="preserve">Wiring with run of 2 of 14/0.3mm (1.0 Sq.mm) </t>
  </si>
  <si>
    <t>Supply and  Run of 2 of 36/0.3mm (2.50 Sq.mm)</t>
  </si>
  <si>
    <t>Supply and  Run of 2 of 56/0.3mm (4.00 Sq.mm)</t>
  </si>
  <si>
    <t>Supply and fixing of 6A 3/2 pin wall plug socket</t>
  </si>
  <si>
    <t>S&amp;F of ISI mark batten holder / angle holder</t>
  </si>
  <si>
    <t>S&amp;F of ceiling fan</t>
  </si>
  <si>
    <t>S&amp;F of Tube light</t>
  </si>
  <si>
    <t>Providng Independent earthing</t>
  </si>
  <si>
    <t xml:space="preserve">Provision for QC @0.5% </t>
  </si>
  <si>
    <t>Provision for Work file</t>
  </si>
  <si>
    <t>Poi</t>
  </si>
  <si>
    <t>As per working estimate</t>
  </si>
  <si>
    <t>Dadoing with Glazed tiles</t>
  </si>
  <si>
    <t>Painting  with Emulsion paint for inernal walls</t>
  </si>
  <si>
    <t>Labour  for Grooves 2-3mm thick for PVC pipes</t>
  </si>
  <si>
    <t>As per revised estimate</t>
  </si>
  <si>
    <t>lt</t>
  </si>
  <si>
    <t>SPECIFICATION REPORT</t>
  </si>
  <si>
    <t xml:space="preserve">                             Specification Report to accompany the working estimate for the work "</t>
  </si>
  <si>
    <t>Estt. Rs.</t>
  </si>
  <si>
    <t>Verandah</t>
  </si>
  <si>
    <t>Deduct door</t>
  </si>
  <si>
    <r>
      <t xml:space="preserve">~do~ for  </t>
    </r>
    <r>
      <rPr>
        <b/>
        <sz val="10"/>
        <rFont val="Calibri"/>
        <family val="2"/>
        <scheme val="minor"/>
      </rPr>
      <t>lintels etc., complete</t>
    </r>
  </si>
  <si>
    <t>Deduct ventilators</t>
  </si>
  <si>
    <r>
      <t xml:space="preserve">~do~ for  </t>
    </r>
    <r>
      <rPr>
        <b/>
        <sz val="10"/>
        <rFont val="Calibri"/>
        <family val="2"/>
        <scheme val="minor"/>
      </rPr>
      <t>Roof slab 100mm thick etc., complete</t>
    </r>
  </si>
  <si>
    <t>Ground floor</t>
  </si>
  <si>
    <t>First floor</t>
  </si>
  <si>
    <t>Supply and Fixing of ISI  25mm outer dia medium (1.80mm thickness) grade with IS:9537 part 3 regid PVC pipe with PVC / Metallic Junction boxes and all accessories  including Fixing of existing suitable size Consealed box PVC / MS with hook for fan including all labour charges etc., complete.</t>
  </si>
  <si>
    <t>Carridor</t>
  </si>
  <si>
    <t>Sarpanch room</t>
  </si>
  <si>
    <t>Upto 90 Mts</t>
  </si>
  <si>
    <t>90Mts to 150 Mts</t>
  </si>
  <si>
    <t>150Mts to 240 Mts</t>
  </si>
  <si>
    <t>S&amp; F 40  mm HDPE pipe pipe properties &amp; weight as per IS 1239 ISI mark with GI fittings including the cost of pipe &amp; its fittings &amp; labour charges.</t>
  </si>
  <si>
    <t>Supply and Transportation of 2.00HP single phase ISI  submersible mortor Pumpset subitable for 4" bore well Makes:Kirloskar/ Crompton/ CRI/ KSB/ Texmo/Aryan Varsha</t>
  </si>
  <si>
    <t xml:space="preserve">Plastering in CM (1:5) 20mm thick  single coat including c/c of all materials including all operational, incidental and labour charges such as mixing cement mortar and curing etc complete for finished item of work (APSS 901,  903 &amp; 904)  </t>
  </si>
  <si>
    <t>Frames : Medium Teak Wood</t>
  </si>
  <si>
    <t>Drilling of 165 mm dia Bore well by down the hole hammer drilling in all formations suitable for drilling with hammer drilling such as medium hard rock upto deepth specified by department including cost of trasportation charges crew charge
(Addendum minutes (LR No. RC/ENC (AW)/ADA/AEE/ 24686/Vol.XII/2019 Dt 03.03.2020 of the Engineer in Chief, Water resource department.</t>
  </si>
  <si>
    <t>Intial cost for Upto 90mts</t>
  </si>
  <si>
    <t>Intial cost for  90mts to 150mts</t>
  </si>
  <si>
    <t>Intial cost for  150mts to 250mts</t>
  </si>
  <si>
    <t>Initial cost  ELEC-5.4.1 e</t>
  </si>
  <si>
    <t>180mm dia PVC pipe for casing etc., complete
(Addendum minutes (LR No. RC/ENC (AW)/ADA/AEE/ 24686/Vol.XII/2019 Dt 03.03.2020 of the Engineer in Chief, Water resource department.</t>
  </si>
  <si>
    <t>Supply of 3 core 2.5 sqm flat copper cable as per for submersible motors of makes polycab for service mains including cost of material and labour charges and taxes etc., complete.</t>
  </si>
  <si>
    <t>Initial cost ELEC-1.6.3</t>
  </si>
  <si>
    <t>Plaster'ing 20mm thick double</t>
  </si>
  <si>
    <t>Plaster'ing 20mm thick single</t>
  </si>
  <si>
    <t>RCC  Roof Slab 100mm th</t>
  </si>
  <si>
    <t xml:space="preserve">Painting New Wood / iron work with Two coats of ready mixed Synthatic Enamil paint first quality of shades over primary coat of wood primary making Three coats in all given as even shade after thoroughly brushes the surface to remove all remains of loose provided materials including c/c of all materials and labour charges etc complete for finished item of work </t>
  </si>
  <si>
    <t>Qty.P.No.     of M.B.No.</t>
  </si>
  <si>
    <t>Supplying &amp; Fixing Indian pattern white glazed W.C 1st quality ISI marked conforming to IS:2556-Part-3-1981 with"P" or "S" trap: 630 mm Long</t>
  </si>
  <si>
    <t>Initial cost BMW-D.02</t>
  </si>
  <si>
    <t>Supply of  Hot Dip galvanized 20/18 SWG Module box with earthing terminal for 8 Module box</t>
  </si>
  <si>
    <t xml:space="preserve"> Initial cost ELEC-1.3.1 e</t>
  </si>
  <si>
    <t>Supply of  Hot Dip galvanized 20/18 SWG Module box with earthing terminal for 18 Module box</t>
  </si>
  <si>
    <t xml:space="preserve"> Initial cost ELEC-1.3.1 d 6M</t>
  </si>
  <si>
    <t xml:space="preserve"> Initial cost ELEC-1.3.1 f 12M</t>
  </si>
  <si>
    <t>Supply of Cover frames for 8 module box</t>
  </si>
  <si>
    <t xml:space="preserve"> Initial cost ELEC-1.8.3 e</t>
  </si>
  <si>
    <t>Supply of Cover frames for 18 module box</t>
  </si>
  <si>
    <t xml:space="preserve"> Initial cost ELEC-1.8.3 f 12M</t>
  </si>
  <si>
    <t xml:space="preserve"> Initial cost ELEC-1.8.3 d 6M</t>
  </si>
  <si>
    <t>Supply and fixing of 6A 2 pin wall plug socket with 6A switch control on a common switch board with earth continuity including wire leads, earth connections along with all labour charges etc., complete.</t>
  </si>
  <si>
    <t>Supply of  6A / 10A 1 Way flush type switch 1.7.1 a</t>
  </si>
  <si>
    <t>Supply of  6A / 10A 3/2 Pin flush type socket 1.7.1 d</t>
  </si>
  <si>
    <t>Supply of  6A / 10A 2 Pin flush type socket 1.7.1 c</t>
  </si>
  <si>
    <t>Supply and fixing of 6A flush type Neon Indicator.</t>
  </si>
  <si>
    <t xml:space="preserve"> Initial cost ELEC-1.7.1 e</t>
  </si>
  <si>
    <t>Supplying  &amp; fixing of MS tubes of any design including labour charges for fabricating steel including cost of welding rods, power charges &amp; fixing the grill in position etc complete</t>
  </si>
  <si>
    <t>Supplying  &amp; fixing of MS tubes &amp; Pipes including labour charges for fabricating steel including cost of welding rods, power charges &amp; fixing the grill in position etc complete</t>
  </si>
  <si>
    <t>MS Tubes and pipes BMT-F.04</t>
  </si>
  <si>
    <t>Labour charge  fabricating steel grills BMM.V.16</t>
  </si>
  <si>
    <t>Labour charg fixing grill in position BMM.V.17</t>
  </si>
  <si>
    <t>Plastering 20mm thick single coat</t>
  </si>
  <si>
    <t>Supplying  &amp; fixing of MS tube</t>
  </si>
  <si>
    <t>S&amp;F of Indian type water closet</t>
  </si>
  <si>
    <t>S&amp;F of Wash basin</t>
  </si>
  <si>
    <t>S&amp;F of 2 HP Submersible mortor</t>
  </si>
  <si>
    <t>S&amp; F 40  mm HDPE pip</t>
  </si>
  <si>
    <t>Supply of 3 core 1.50 sqm flat copper cable</t>
  </si>
  <si>
    <t xml:space="preserve">Supply and Transportation of control panel </t>
  </si>
  <si>
    <t>200/18 SWG Module box w for 8 Module box</t>
  </si>
  <si>
    <t>200/18 SWG Module box w for 18 Module box</t>
  </si>
  <si>
    <t>Supply and fixing of 6A 2 pin wall plug socket</t>
  </si>
  <si>
    <t>78</t>
  </si>
  <si>
    <t>79</t>
  </si>
  <si>
    <t>80</t>
  </si>
  <si>
    <t>86</t>
  </si>
  <si>
    <t>89</t>
  </si>
  <si>
    <t>94</t>
  </si>
  <si>
    <r>
      <t xml:space="preserve">~do~ for  </t>
    </r>
    <r>
      <rPr>
        <b/>
        <sz val="10"/>
        <rFont val="Calibri"/>
        <family val="2"/>
        <scheme val="minor"/>
      </rPr>
      <t>sunshades etc., complete</t>
    </r>
  </si>
  <si>
    <t xml:space="preserve">Brick Masonary for Superstructure with CM (1:6) proportion using 2nd class traditional bricks of size 23X11X7 cms having minimum crushing strength of 40kg/cm2  including c/c of all materials like Cement, Sand, Bricks, water etc including  labour charges such as mixing cement mortar, Scaffolding charges etc complete for finished item of work (APSS No 501 &amp; 504) </t>
  </si>
  <si>
    <t>Secretary room</t>
  </si>
  <si>
    <t>Front beam</t>
  </si>
  <si>
    <t>Verandah alround</t>
  </si>
  <si>
    <t>Store platform</t>
  </si>
  <si>
    <t>Ramp</t>
  </si>
  <si>
    <t>Front ramp</t>
  </si>
  <si>
    <t>Filling Basement with Gravel by watering and ramming including all operational, incidental and including c/c of material and labour charges etc complete for finished item of the work (APSS No 309&amp; 310) per 1 Cum</t>
  </si>
  <si>
    <t>Back side stair</t>
  </si>
  <si>
    <t>Front verandah</t>
  </si>
  <si>
    <t>Ladies tiolet</t>
  </si>
  <si>
    <t>Godown</t>
  </si>
  <si>
    <t>Staircase ventilators</t>
  </si>
  <si>
    <t>Filling Basement with Gravel in trenches, sides of foundations &amp; basement by watering and ramming including all operational, incidental, labour charges, hire charges of T&amp;P etc complete including cost and conveyance of material and labour charges etc complete for finished item of the work (APSS No 309&amp; 310) per 1 Cum</t>
  </si>
  <si>
    <t>Gravel filling</t>
  </si>
  <si>
    <t>Gravel</t>
  </si>
  <si>
    <t>Flooring with high polished granite 16 to 18 mm mm thick slabs other than black set over base coat of cement mortar (1:8), 20 mm thick over CC bed already laid or RCC roof slab, including neat cement slurry of honey like consistency spread @ 3.3.kgs per sqm &amp; jointed neatly with white cement paste mixed with pigment of matching shade to full depth, including cost of all materials like cement, sand water and tilesetc., complete, including seigniorage charges, labour charges for dressing of tilesetc., complete for finished item of work, but excluding the cost of conveyance of all materials</t>
  </si>
  <si>
    <t>BLD-CSTN-7-7</t>
  </si>
  <si>
    <t>High polished granite 16 to 18 mm thick slab other than black</t>
  </si>
  <si>
    <t>BLD-CSTN-7-21</t>
  </si>
  <si>
    <t xml:space="preserve">Sand for Moratr CM (1:3) proportion </t>
  </si>
  <si>
    <t>White cement</t>
  </si>
  <si>
    <t>Providing skirting to internal walls to 15 cm height/risers of steps with 16-18 mm thick  polished granite tiles length equal to flooring stones, set over base coat of CM (1:3) 12 mm thick with cement slurry of honey like consistency spread at the rate of 3.30 kgs per sqm and jointed with white cement paste mixed with pigment of matching shade to full depth, including cost of all materials like tiles, cement, sand and water etc., complete including seigniorage charges, etc., complete for finished item of work</t>
  </si>
  <si>
    <t>Flooring with chequrred terrazzo tiles of 22 mm thick (medium shade) set over base coat of cement mortar (1:6) 12 mm thick over CC bed already laid or RCC roof slab, including near cement slurry of honey like consistency spread @ 3.3.kgs per sqm &amp; jointed with neat cement to full depth mixed with pigment of matching shade including cost of all materials like cement, sand water and tiles etc., complete, including seigniorage charges, complete for finished item of work,</t>
  </si>
  <si>
    <t>Flooring with chequrred terrazzo tiles of 22 mm thick (medium shade) set over base coat of cement mortar (1:6) 12 mm thick over CC bed already laid or RCC roof slab, including near cement slurry of honey like consistency spread @ 3.3.kgs per sqm &amp; jointed with neat cement to full depth mixed with pigment of matching shade including cost of all materials like cement, sand water and tiles etc., complete, including seigniorage charges, complete for finished item of work</t>
  </si>
  <si>
    <t>BLD-CSTN-7-4</t>
  </si>
  <si>
    <t>Cement for CM (1:6) proportion for basecoat</t>
  </si>
  <si>
    <t xml:space="preserve">Sand for Mortar CM (1:6) proportion </t>
  </si>
  <si>
    <t>Chequerred terrazzo tiles of 22 mm thick (medium shade) BMT-D.01</t>
  </si>
  <si>
    <t>Providing skirting to internal walls to 15 cm height/risers of steps with chequrred terrazzo tiles length equal to flooring stones, set over base coat of CM (1:5) 12 mm thick with cement slurry of honey like consistency spread at the rate of 3.30 kgs per sqm and jointed with white cement paste mixed with pigment of matching shade to full depth, including cost of all materials like tiles, cement, sand and water etc., complete including seigniorage charges, etc., complete for finished item of work,</t>
  </si>
  <si>
    <t xml:space="preserve">Providing Skirting to internal walls to 15cm height / risers of steps with chequrred terrazzo tiles length equal to flooring stones, set over base coat of CM (1:5) 12mm thick with Cement slurry of honey like consistency spread @ 3.30 Kgs per Sqm &amp; jointed with white Cement paste mixed with pigment of matching shade to full depth, including c/c of materials like Cement, Sand and Water and tiles etc complete for finished item of work </t>
  </si>
  <si>
    <t>Supply &amp; fixing of Rolling shutter made of 80 x 1.25 mm machine rolled CRCA laths, interlocked together through their entire length and jointed together at the ends by endlocks, mounted on specially designed pipe shaft of 50mm dia nominal bore MS B class pipe with brackets, plates, guide channels, stoppers, bottom locking plates and arrangements for inside &amp; outside locking with push-pull operations including cost of hood cover and springs complete, painted with one coat of approved steel primer, locks, ball bearings, all accessories etc complete for finished item of work as per special spn: 1108</t>
  </si>
  <si>
    <t>Flooring Granite stone</t>
  </si>
  <si>
    <t>Skirting Granite stone</t>
  </si>
  <si>
    <t>Flooring Terrazo tiles</t>
  </si>
  <si>
    <t>Skirting Terrazo tiles</t>
  </si>
  <si>
    <t>Supplying &amp; fixing 15 mm bib tap with flange Chromeum plated Jaquar make queen series</t>
  </si>
  <si>
    <t>Initial cost BMW-I.140</t>
  </si>
  <si>
    <t>For water pipes</t>
  </si>
  <si>
    <t>Gents tiolet</t>
  </si>
  <si>
    <t>Sarpanch tiolet</t>
  </si>
  <si>
    <t>Supply of  Hot Dip galvanized 20/18 SWG Module box with earthing terminal for 6 Module box</t>
  </si>
  <si>
    <t xml:space="preserve"> Initial cost ELEC-1.3.1 d</t>
  </si>
  <si>
    <t>Wiring with run of 2 of 14/0.3mm (1.0 Sq.mm) FRLS / HFFR PVC insulated flexible ISI mark copper cable in existing PVC conduit pipe including Supply and fixing of Jumbo Ceiling rose and 6A/10A ISI Mark 1way flush type switch  in existing Surface or Concealed pipe wiring including cost and conveyance of all material and all labour charges etc., complete for light and bell  points</t>
  </si>
  <si>
    <t>Wiring with run of 2 of 14/0.3mm (1.0 Sq.mm) FRLS / HFFR PVC insulated flexible ISI mark copper cable in existing PVC conduit pipe including Supply and fixing of Jumbo Ceiling rose and 6A/10A ISI Mark 1way flush type switch  in existing Surface or Concealed pipe wiring including cost and conveyance of all material and all labour charges etc., complete for Fan points</t>
  </si>
  <si>
    <t>Supply of Cover frames for 6 module box</t>
  </si>
  <si>
    <t xml:space="preserve">Sal Wood </t>
  </si>
  <si>
    <t>Stainless Steel Tubes BMT-F.06</t>
  </si>
  <si>
    <t>Labour charge  fabricating stainless steel railing BMM-V.18</t>
  </si>
  <si>
    <t>Supply and fixing SPN Distribution board with IP-20 protection suitable for single phase Earth Leakage Circute Braker (ELCB) / Residual Current Circute Braker (RCCB) / Double Pole (DP) Isolator as incomer and 10kA SP MCBs as out going including internal connections and labour charges for surface / flush mounting etc., complete.</t>
  </si>
  <si>
    <t xml:space="preserve">Skilled Electrician. </t>
  </si>
  <si>
    <t>Helper (Electrical)</t>
  </si>
  <si>
    <t>SPN 4way D.B with IP-20 Protection suitable for single phase ECCB / RCCB/ DP Isolator. ELEC-2.13.1a</t>
  </si>
  <si>
    <t>40A D.P.Isolator / ECCB / RCCB ELEC-2.11.1 b</t>
  </si>
  <si>
    <t>10 kA - 6-32A range SP MCBs ELEC-2.10.1 a</t>
  </si>
  <si>
    <t>Filling basement with Sand filling</t>
  </si>
  <si>
    <t>Reinforced Brick Masonry for partition walls (11.5 cm thick) i</t>
  </si>
  <si>
    <t xml:space="preserve">Cost, Supply and Fixing of rolling shutter to Godown </t>
  </si>
  <si>
    <t xml:space="preserve">White washing three coats with whiting </t>
  </si>
  <si>
    <t>Flooring with Granite stones</t>
  </si>
  <si>
    <t>skirting to internal walls  with Granite stones</t>
  </si>
  <si>
    <t>Flooring with Terrazo tiles</t>
  </si>
  <si>
    <t>skirting to internal walls  with Terrazo tiles</t>
  </si>
  <si>
    <t>Supplying and fixing of  ventilator</t>
  </si>
  <si>
    <t>S&amp;F of Bib Type Taps  flange Chromeum plated Jaquar make queen series</t>
  </si>
  <si>
    <t>200/18 SWG Module box w for 6 Module box</t>
  </si>
  <si>
    <t>Supply and fixing SPN Distribution board</t>
  </si>
  <si>
    <t>Filling basement with Gravel</t>
  </si>
  <si>
    <t>Providing and fixing factory made uPVC white colour sliding glazed windowupto 1.50 m in height dimension comprising of uPVC multi-chamberedframe with in-built roller track and sash extruded profiles duly reinforcedwith 1.60 ± 0.2 mm thick galvanized mild steel section made from rollforming process of required length (shape &amp; size according to uPVCprofile), appropriate dimension of uPVC extruded glazing beads anduPVC extruded interlocks, EPDM gasket, wool pile, zinc alloy (whitepowder coated) touch locks withhook, zinc alloy body with single nylonrollers (weight bearing capacity to be 40 kg), G.I fasteners 100 x 8 mmsize for fixing frame to finished wall and necessary stainless steel screwsetc. Profile of frame &amp; sash shall be mitred cut and fusion welded at allcorners, including drilling of holes for fixing hardware's and drainage ofwater etc. After fixing frame the gap between frame and adjacent finishedwall shall be filled with weather proof silicon sealent over backer rod ofrequired size and of approved quality, all complete as per approved drawing&amp; direction of Engineer-in-Charge inclusive of cost of Single / double glass panes,and silicon sealent
Two track two panels sliding window made of (small series) frame 52 x 44 mm &amp;sash 32 x 60 mm both having wall thickness of 1.9 ± 0.2 mm and single glazing bead of appropriate dimension. (Area of window upto 1.75 sqm)</t>
  </si>
  <si>
    <t>Supplying &amp; fixing 4" (101.6 mm ) Nahany trap with Jali-  PVC/SWR Pipe fittings</t>
  </si>
  <si>
    <t>Nahany trap with Jali-  PVC/SWR Pipe fittings</t>
  </si>
  <si>
    <t>For septic tank</t>
  </si>
  <si>
    <t>BLD-ELEC-2.1.1</t>
  </si>
  <si>
    <t>BLD-ELEC-2.1.4</t>
  </si>
  <si>
    <t>BLD-ELEC-3.1.4</t>
  </si>
  <si>
    <t>BLD-ELEC-3.1.5</t>
  </si>
  <si>
    <t>BLD-ELEC-2.1.8</t>
  </si>
  <si>
    <t>BLD-ELEC- 8.2.2 and 
7.9.3</t>
  </si>
  <si>
    <t xml:space="preserve"> BLD ELE 4.4.1</t>
  </si>
  <si>
    <t xml:space="preserve"> BLD ELE 5.1.1</t>
  </si>
  <si>
    <t>40mm Nominal Bore Medium grade G.I.Pipe. ELEC-8.4.17d</t>
  </si>
  <si>
    <t>25mm x 6 mm G.I.Strip (ELEC-8.3.6</t>
  </si>
  <si>
    <t>No.8 G.I.Wire (ELEC-8.3.6)</t>
  </si>
  <si>
    <t>Drilling of 16 Nos through holes of 12mm dia to G.I pipe. ELEC-8.4.20</t>
  </si>
  <si>
    <t>G.I Nuts, Bolts an Washers each set. ELEC-8.4.21</t>
  </si>
  <si>
    <t>18" dia  2" thick hume pipe ring. ELEC-8.4.22</t>
  </si>
  <si>
    <t>2" thick  CC cover for hume pipe ring with handle.ELEC-8.4.24</t>
  </si>
  <si>
    <t>Hard Coke  ELEC-8.1.10</t>
  </si>
  <si>
    <t>Salt. ELEC-8.1.11</t>
  </si>
  <si>
    <t>Earth Work Excavation of Hard gravel Soil with small boulder for trench 1st step of size 1.2 x 0.6 x 0.9 m (4'x2'x3') ELEC-8.4.19</t>
  </si>
  <si>
    <t>Excavation of Hard disteggrated rocks and boulders for trench 2nd Step of size 0.9 x 0.6 x 1.2 m  (3'x2'x4') ELEC-8.4.19</t>
  </si>
  <si>
    <t>Qty.p. 2 of M.B.No.435-C/2017-18</t>
  </si>
  <si>
    <t>Horizontal Top &amp; Bottom</t>
  </si>
  <si>
    <t>1) Name of the Work:</t>
  </si>
  <si>
    <t>2) Estimate Cost:</t>
  </si>
  <si>
    <t>3) Grant:</t>
  </si>
  <si>
    <t>CERTIFICATES</t>
  </si>
  <si>
    <t>STATEMENT OF VOUCHER WISE PARTCICULARS OF MGNREGS WORKS</t>
  </si>
  <si>
    <t>ID No</t>
  </si>
  <si>
    <t>Mandal</t>
  </si>
  <si>
    <t xml:space="preserve">Estt. Rs </t>
  </si>
  <si>
    <t>M.B.No.</t>
  </si>
  <si>
    <t>Description of Material</t>
  </si>
  <si>
    <t>Executive Quantity</t>
  </si>
  <si>
    <t>Voucher</t>
  </si>
  <si>
    <t>Net Amount</t>
  </si>
  <si>
    <t>VO No. &amp; Date</t>
  </si>
  <si>
    <t>CW-02 Cement</t>
  </si>
  <si>
    <t>CW-03 Sand for Filing</t>
  </si>
  <si>
    <t>Units</t>
  </si>
  <si>
    <t>CW-04 Sand for Mortor</t>
  </si>
  <si>
    <t>CW-09 40MM HBG Metal</t>
  </si>
  <si>
    <t>CW-19 Sand for Concrete</t>
  </si>
  <si>
    <t>CW-20 Steel</t>
  </si>
  <si>
    <t>CW-10 Other component</t>
  </si>
  <si>
    <t>HAND RECEIPT</t>
  </si>
  <si>
    <t xml:space="preserve">       Received an amount of Rs </t>
  </si>
  <si>
    <t>(Rupees</t>
  </si>
  <si>
    <t>purpose for which payment is made :</t>
  </si>
  <si>
    <t>Sand for Filling</t>
  </si>
  <si>
    <t>Payee</t>
  </si>
  <si>
    <t>Receiver</t>
  </si>
  <si>
    <t>Sand for Mortor</t>
  </si>
  <si>
    <t>Supply and cost of steel</t>
  </si>
  <si>
    <t>Building Labour Component total amount</t>
  </si>
  <si>
    <t>No.                         Receipt:                       Date:</t>
  </si>
  <si>
    <t>SRI VENKATESWARA LORRY SERVICE</t>
  </si>
  <si>
    <t>(SAI LAKSHMI STORE CRUSHERS)</t>
  </si>
  <si>
    <t>BUDAWADA, CHEEMAKURTHI MANDAL</t>
  </si>
  <si>
    <t>RAMATHERDHAM, CHEEMAKURTHI MANDAL</t>
  </si>
  <si>
    <t>Party Name:</t>
  </si>
  <si>
    <t>Sizes</t>
  </si>
  <si>
    <t>40mm</t>
  </si>
  <si>
    <t>20-12mm</t>
  </si>
  <si>
    <t>20MM</t>
  </si>
  <si>
    <t>12MM</t>
  </si>
  <si>
    <t>9.50 to 475mm</t>
  </si>
  <si>
    <t>4.75 to 2.36mm</t>
  </si>
  <si>
    <t>Dust</t>
  </si>
  <si>
    <t>Signature</t>
  </si>
  <si>
    <t>RELEASE AND DISCHARGE CERTIFICATE</t>
  </si>
  <si>
    <t>Supply of  Hot Dip galvanized 20/18 SWG Module box with earthing terminal for 4 Module box</t>
  </si>
  <si>
    <t xml:space="preserve"> Initial cost ELEC-1.3.1 c</t>
  </si>
  <si>
    <t>Supply of Cover frames for 4 module box</t>
  </si>
  <si>
    <t xml:space="preserve"> Initial cost ELEC-1.8.3 c </t>
  </si>
  <si>
    <t>Supply of 9" (225mm), Light duty exhaust fan with double ball bearing and wire guard etc complete.</t>
  </si>
  <si>
    <t xml:space="preserve"> Initial cost ELEC-5.1.12</t>
  </si>
  <si>
    <t>200/18 SWG Module box w for 4 Module box</t>
  </si>
  <si>
    <t>Light duty exhaust fan</t>
  </si>
  <si>
    <t>Deduct ventilator</t>
  </si>
  <si>
    <t>Hall</t>
  </si>
  <si>
    <t>2nd flight</t>
  </si>
  <si>
    <t>1st flight</t>
  </si>
  <si>
    <t>Staircase portion</t>
  </si>
  <si>
    <t>Supplying and fixing of  Door of size 1.20X2.10M with two panels of frames made with teak wood and Shutter made with medium Teak wood including  MS Z hold fasts , Alluminium tower bolts, handle and butt hinges with all furniture fittings including c/c of all materials and furniture fittings etc complete as per specification  (APSS No 1001 &amp; 1002) Door Frame with Shutters</t>
  </si>
  <si>
    <t>Supplying and fixing of  Door of size 1.05X2.10M with single panels of frames made with teak wood and Shutter made with medium Teak wood including  MS Z hold fasts , Alluminium tower bolts, handle and butt hinges with all furniture fittings including c/c of all materials and furniture fittings etc complete as per specification  (APSS No 1001 &amp; 1002) Door Frame with Shutters</t>
  </si>
  <si>
    <t xml:space="preserve">Plastering 20mm thick inside in single coats </t>
  </si>
  <si>
    <t>WORK ID</t>
  </si>
  <si>
    <t>Providing and fixing factory made uPVC white colour sliding glazed windowupto 1.50 m in height dimension comprising of uPVC multi-chamberedframe with in-built roller track and sash extruded profiles duly reinforcedwith 1.60 ± 0.2 mm thick galvanized mild steel section made from rollforming process of required length (shape &amp; size according to uPVCprofile), appropriate dimension of uPVC extruded glazing beads anduPVC extruded interlocks, EPDM gasket, wool pile, zinc alloy (whitepowder coated) touch locks withhook, zinc alloy body with single nylonrollers (weight bearing capacity to be 40 kg), G.I fasteners 100 x 8 mmsize for fixing frame to finished wall and necessary stainless steel screwsetc. Profile of frame &amp; sash shall be mitred cut and fusion welded at allcorners, including drilling of holes for fixing hardware's and drainage ofwater etc. After fixing frame the gap between frame and adjacent finishedwall shall be filled with weather proof silicon sealent over backer rod ofrequired size and of approved quality, all complete as per approved drawing&amp; direction of Engineer-in-Charge inclusive of cost of Single / double glass panes,and silicon sealent Two track two panels sliding window made of (small series) frame 52 x 44 mm &amp;sash 32 x 60 mm both having wall thickness of 1.9 ± 0.2 mm and single glazing bead of appropriate dimension. (Area of window upto 1.75 sqm)</t>
  </si>
  <si>
    <t xml:space="preserve">Plastering to brick masonary wall with  12mm thick double coat in CM (1:5) 8 mm thick base coat and CM (1:3) of 4mm thick top coat with dubara sponge finish including c/c of all materials including all operational, incidental and labour charges such as mixing cement mortar and curing etc complete for finished item of work (APSS 901,  903 &amp; 904) </t>
  </si>
  <si>
    <t>Long walls A1 to E1</t>
  </si>
  <si>
    <t>Steps bottom</t>
  </si>
  <si>
    <t>1st step</t>
  </si>
  <si>
    <t>2nd step</t>
  </si>
  <si>
    <t>Front projection</t>
  </si>
  <si>
    <t>East side</t>
  </si>
  <si>
    <t>Room-1</t>
  </si>
  <si>
    <t>West side</t>
  </si>
  <si>
    <t>North side</t>
  </si>
  <si>
    <t>Hall alround</t>
  </si>
  <si>
    <t>Front entrane</t>
  </si>
  <si>
    <t>GF 1st flight raisers</t>
  </si>
  <si>
    <t>2nd flight raisers</t>
  </si>
  <si>
    <t>20 mm HBG  metal(SS 5)</t>
  </si>
  <si>
    <t>12 mm HBG  metal(SS 5)</t>
  </si>
  <si>
    <t>10 mm HBG  metal(SS 5)</t>
  </si>
  <si>
    <t>6 mm HBG  metal(SS 5)</t>
  </si>
  <si>
    <t>Rate per Cum</t>
  </si>
  <si>
    <t>20 mm GRADED METAL( CW 07 20 mm(48%) and 12 mm(12%)10 mm(12%) 6 mm(8)%  (34822))</t>
  </si>
  <si>
    <t>Brick masonery in CM (1:8) for basement</t>
  </si>
  <si>
    <t>Brick masonery in CM (1:6) for superstructure</t>
  </si>
  <si>
    <t>Plastering 12mm thick double coat</t>
  </si>
  <si>
    <t>Fan regulator</t>
  </si>
  <si>
    <t xml:space="preserve"> steel tube down rod for ceiling  fan</t>
  </si>
  <si>
    <t>Supply and  Run of  4 of 84/0.3mm (6.0 Sq.mm)</t>
  </si>
  <si>
    <t xml:space="preserve">Centering charges SS material hire charges </t>
  </si>
  <si>
    <t xml:space="preserve">Centering charges SS Labour charges </t>
  </si>
  <si>
    <t xml:space="preserve">Name of the Work: </t>
  </si>
  <si>
    <t>Sand</t>
  </si>
  <si>
    <t>Work ID</t>
  </si>
  <si>
    <t>Est. Rs.</t>
  </si>
  <si>
    <t>Sl. No.</t>
  </si>
  <si>
    <t>unit</t>
  </si>
  <si>
    <t>Quarry</t>
  </si>
  <si>
    <t>Convey-ance Charges</t>
  </si>
  <si>
    <t xml:space="preserve">Initial Cost </t>
  </si>
  <si>
    <t>Crushing charges</t>
  </si>
  <si>
    <t>Brick</t>
  </si>
  <si>
    <t>Cement</t>
  </si>
  <si>
    <t xml:space="preserve">MS Flats </t>
  </si>
  <si>
    <t>6mm Ms roads</t>
  </si>
  <si>
    <t>Sand for Mortar (screened)</t>
  </si>
  <si>
    <t>Sand for Mortar (concrete)</t>
  </si>
  <si>
    <t>1000 nos</t>
  </si>
  <si>
    <t>40mm HBG metal SS5, M/C</t>
  </si>
  <si>
    <t>20mm HBG SS5 M/c chips</t>
  </si>
  <si>
    <t>Aggregates 12 mm nominal size</t>
  </si>
  <si>
    <t>Aggregates 10mm nominal size</t>
  </si>
  <si>
    <t>Aggregates 6mm nominal size</t>
  </si>
  <si>
    <t>PRI Sub Division</t>
  </si>
  <si>
    <t>Mandal Praja parishad</t>
  </si>
  <si>
    <t>Selected earth</t>
  </si>
  <si>
    <t>Loading</t>
  </si>
  <si>
    <t>Unloading</t>
  </si>
  <si>
    <t>A. MATERIALS:</t>
  </si>
  <si>
    <t>Mazdoor (unskilled)</t>
  </si>
  <si>
    <t>1st Class Mason</t>
  </si>
  <si>
    <t>Lintels</t>
  </si>
  <si>
    <t xml:space="preserve">Basic Rate </t>
  </si>
  <si>
    <t>Unit = 10 sqm</t>
  </si>
  <si>
    <t>BASIC COST per 10 sqm</t>
  </si>
  <si>
    <t>Add Labour Comp on LC</t>
  </si>
  <si>
    <t>BASIC COST per 1 sqm GF</t>
  </si>
  <si>
    <t>kgs</t>
  </si>
  <si>
    <t>Cement for CM (1:8) for base coat</t>
  </si>
  <si>
    <t>Painter 2nd class</t>
  </si>
  <si>
    <t>Sundries including brushes, soaps, putty etc.,</t>
  </si>
  <si>
    <t>Painter 2nd Class</t>
  </si>
  <si>
    <t>Skirting with Granite stones</t>
  </si>
  <si>
    <t>BLD-CSTN-9-4</t>
  </si>
  <si>
    <t>White washing one coat with whiting of approved quality to give an even shade after thoroughly brushing the surface to remove all dirt and remains of loose powdered materials including cost of all materials, labour charges and incidental such as scaffolding, lift charges etc., complete for finished item of work, but excluding conveyance charges of materials</t>
  </si>
  <si>
    <t>Sundries including brushes, ladders, etc.,5%</t>
  </si>
  <si>
    <t>BLD-ELEC-6.1.1</t>
  </si>
  <si>
    <t>Supply and Run of 2 of 6 Sq.mm WPSC Aluminium cable along with No.10 SWG G.I bearer wire through PVC cleats with all accessories including labour charges etc., complete for service mains.</t>
  </si>
  <si>
    <t>6 Sq.mm WPSC Aluminium cable ELEC-1.6.1</t>
  </si>
  <si>
    <t>No.10 SWG G.I wire. (0.026 Kg / Mtr) Length 100 RM ELEC-8.3.6</t>
  </si>
  <si>
    <t>PVC Cleats ELEC-8.1.13</t>
  </si>
  <si>
    <t xml:space="preserve">Semi Skilled Electrician / Lineman </t>
  </si>
  <si>
    <t>75mm dia</t>
  </si>
  <si>
    <t xml:space="preserve">Providing and applying synthetic plaster putty </t>
  </si>
  <si>
    <t>Construction of Second Floor</t>
  </si>
  <si>
    <t>Providing Door, Windows, Ventilators and Grills</t>
  </si>
  <si>
    <t>Providing and applying Wall putty of White Cement or Polymer or Cement based of average 1 to 2 mm thickness over plastered surface to prepare the surface even and smooth after thoroughly brushing the surface to remove all dirt and remains of loose powdered materials, applying emery paper, Sand the surface, clean &amp; wipe off loose dust, applying knifing paste filler by putty knife / muslin pad, air dry for 2 - 3 hrs, sand with 180 and 320 No., emery paper for the surface preparation including cost and conveyance of all materials and all operational, incidental and all labour charges etc., complete for finished item of work in all floors for internal walls</t>
  </si>
  <si>
    <t>wall putty (BMT-J.31)</t>
  </si>
  <si>
    <t>Sundries</t>
  </si>
  <si>
    <t>Rate per 1.00 MT</t>
  </si>
  <si>
    <t>Water charges 1%</t>
  </si>
  <si>
    <t>Name of the  work</t>
  </si>
  <si>
    <t>Name of the  Sub work</t>
  </si>
  <si>
    <t xml:space="preserve">WORKING ESTIMATE </t>
  </si>
  <si>
    <t xml:space="preserve">Providing impervious coat to exposed RCC Roof Slab surface with CM (1:3) 20mm thick with 1Kg of water proof compound per bag of Cement laid over roof when it is green including c/c of all materials and labour charges for mixing mortar, laying, rendering smooth and thread lining, cutting, rounding off junctions of wall and slab etc for finished item of work (APSS 901,  903) </t>
  </si>
  <si>
    <t>Rate per 10 Sqm</t>
  </si>
  <si>
    <t xml:space="preserve">Reinforced Brick Masonry for partition walls (11.0 cm thick) in CM (1:6) prop. (Cement : Sand) using common burnt clay bricks of class as per Table- I of IS:1077-1992, Non- Modular or traditional size    23 x 11 x 7 cms from approved source having minimum crushing strength of 40 Kg/Sq.cm and placing 2 Nos. of 6mm M.S plain rods in every third layer with free ends of the reinforcement pegged into mortar joints of main brick walls where applicable including cost and conveyance of all materials and  all operational, incidental charges such as labour charges for mixing cement mortar, scaffolding charges, lift charges,and all labour charges etc., but excluding cost of steel and its fabrication charges complete for finished item of work. </t>
  </si>
  <si>
    <t>Or</t>
  </si>
  <si>
    <t>LEAD STATEMENT (2019-20)</t>
  </si>
  <si>
    <t>Plaster'ing 12mm thick double</t>
  </si>
  <si>
    <t>second floor</t>
  </si>
  <si>
    <t xml:space="preserve">BM CM (1:6) </t>
  </si>
  <si>
    <t>KANDUKUR</t>
  </si>
  <si>
    <t xml:space="preserve">CW.G07.20mm to 12mm HBG </t>
  </si>
  <si>
    <t>Rate per 2.556 Sqm</t>
  </si>
  <si>
    <t>Supply and fixing of  Wood Polymer Composite(WPC)  Door Frame section of 63.5x100 MM .The two Vertical members are to be joined together with the horizontal member using 8x75 MM long MS Star full thread screws to be used with reverse forward speed control hand drilling machine. The ready/assembled door frame is fixed to the wall using hold fast or bolt fasteners. A minimum of 4 No.s of screws to be provided for each vertical member &amp; minimum 2no.s for horizontal member, and fixing 28 -30 MM thick solid Wood Polymer Composite (WPC)  double extruded door shutter with 3MM top and bottom rigid layer with an overall density of 750kg/Cum. It will be fixed to the frame using 3 inch /4 inch hinges. A minimum of 4 hinges will be required for fixing the door with the frame 1200 x 2130mm</t>
  </si>
  <si>
    <t>Taking output Unit = 2.556 Sqm</t>
  </si>
  <si>
    <t>Cost of Aluminium door stopper</t>
  </si>
  <si>
    <t>50mm dia SS pipe ( 1 x 4.60)</t>
  </si>
  <si>
    <t>25mm dia SS pipe (8 x 0.90)</t>
  </si>
  <si>
    <t>Drilling of 25mm dia hole(13 x 0.10)</t>
  </si>
  <si>
    <t xml:space="preserve">Base Plate 75mm dia. </t>
  </si>
  <si>
    <t>Add for anchor bars</t>
  </si>
  <si>
    <t>Add for bonding</t>
  </si>
  <si>
    <t>Taking output = 4.60 Rm</t>
  </si>
  <si>
    <t>Rate per 4.60 Rm</t>
  </si>
  <si>
    <t>Rate per 1.00 Sqm (Rm Quantity / 0.90)</t>
  </si>
  <si>
    <t>50mm dia SS pipe ( 1 x 10.00)</t>
  </si>
  <si>
    <t>25mm dia SS pipe (9 x 0.30)</t>
  </si>
  <si>
    <t>Taking output = 10.00 Rm</t>
  </si>
  <si>
    <t xml:space="preserve">Base Plate 25mm dia. </t>
  </si>
  <si>
    <t>Rate per 10.00 Rm</t>
  </si>
  <si>
    <t>Drilling of 25mm dia hole(9 x 0.10)</t>
  </si>
  <si>
    <r>
      <t>Supplying and fixing of stainless steel (grade 304)</t>
    </r>
    <r>
      <rPr>
        <b/>
        <sz val="10"/>
        <rFont val="Calibri"/>
        <family val="2"/>
        <scheme val="minor"/>
      </rPr>
      <t xml:space="preserve"> hand railing </t>
    </r>
    <r>
      <rPr>
        <sz val="10"/>
        <rFont val="Calibri"/>
        <family val="2"/>
        <scheme val="minor"/>
      </rPr>
      <t>as per approved drawing with top rail of 50mm dia pipe and 2mm thick medium class and vertical posts of  25mm dia and 1.6mm thick medium class  1 No for each step fixed with base plate of  75mm dia using bonding agent and anchor fastner and welding,  drilling of 25mm dia holes with pneumatic compressor for fixing railing, buffing, polishing all members of the railing  thouroughly  , lacquer finishing to present seamless finish including cost and conveyance of all materials, electrodes, welding charges, cost of all consumables, labour charges , overheads &amp; contractors profit etc., complete for finished item of work.</t>
    </r>
  </si>
  <si>
    <t>1st class mason</t>
  </si>
  <si>
    <t>2nd class mason</t>
  </si>
  <si>
    <t>Mazdoor(unskilled)</t>
  </si>
  <si>
    <t>S&amp;F of Cement Jolleys 50mm thick</t>
  </si>
  <si>
    <t>Supply and fixing of ornamental grill made of 25mm x 10mm MS flats for fixing in fan light portion and side fixed panels for door cum window as per the approved drawing including cutting the flat to required length, welding, painting with red oxide single coat including cost and conveyance of all materials, labour charges etc., complete for finished otem of work.</t>
  </si>
  <si>
    <t>Cost of MS flats</t>
  </si>
  <si>
    <t>Cost of MS Grill</t>
  </si>
  <si>
    <t>Rate per 2.025 Sqm</t>
  </si>
  <si>
    <t>Full Rounding the edges of Marble/ Granite stone slabs of all thicknesses including polishing the same.</t>
  </si>
  <si>
    <t>Initial Cost BMM-V.11</t>
  </si>
  <si>
    <t>Staircase 1st flight</t>
  </si>
  <si>
    <t>Staircase 2nd flight</t>
  </si>
  <si>
    <t>Supply and fixing of 2 Nos of 32A, 240V Porcelain Rewirable Fuse Units of  makes : GM / Sputnik / Kundancab / Million / Gold Medal  / Vimal / Star / Benlo on 12" x 18" peta board with connections and labour charges etc complete.</t>
  </si>
  <si>
    <t>32 A  240V Porcelain Rewirable Fuse Units.2.7.1.a</t>
  </si>
  <si>
    <t>Supply of 6.0 Sqmm PVC  insulated flexible Copper cable. 1.5.2.e</t>
  </si>
  <si>
    <t>Peeta Board of Size 15" x 20" 1.4.3.c</t>
  </si>
  <si>
    <t>Cost of Material Rate</t>
  </si>
  <si>
    <t>Supply and Transportation of 48" (1200mm) Sweep 5 star rated Ceiling Fan , with double ball bearings, air delivery more than 200 cubic meter/min but without Regulator.</t>
  </si>
  <si>
    <t>Supply and fixing of Modular type Electronic fan regulator hum free step type socket size in the existing switch board.</t>
  </si>
  <si>
    <t>Labour charges for fixing of ceiling fan with regulator including transportation, 3 core  wire leads etc complete</t>
  </si>
  <si>
    <t xml:space="preserve">Supply of 23 / 0060 twin core twisted </t>
  </si>
  <si>
    <t>Supply and erecting 19/20mm steel tube down rod of one meter length with bolts &amp; nuts duly painted with matching colour of  fan complete</t>
  </si>
  <si>
    <t xml:space="preserve">S&amp;F of 48" dia(1.20Mts) 2" thick Precasted rcc hume rings including cost and conveyance of all material and labour charges etc., complete for septic Tank </t>
  </si>
  <si>
    <t xml:space="preserve">S&amp;F of 1200 mm dia 2" thick Precasted  cc cover for hume pipe including cost and conveyance of all material and labour charges etc., complete for septic Tank </t>
  </si>
  <si>
    <t>48" dia(1.20Mts) 2" thick hume pipe ring</t>
  </si>
  <si>
    <t>0.45= 250.00 : 1.20 = ?</t>
  </si>
  <si>
    <t>?=1.20 x 250.00 / 0.45</t>
  </si>
  <si>
    <t>?=666.66</t>
  </si>
  <si>
    <t>48.00" dia(1.20Mts) 2" thick hume pipe ring</t>
  </si>
  <si>
    <t>Full Rounding the edges of  Granite stone slabs of all thicknesses including polishing the same.</t>
  </si>
  <si>
    <t xml:space="preserve">White washing one coat with whiting </t>
  </si>
  <si>
    <t xml:space="preserve">Providing and applying Wall putty </t>
  </si>
  <si>
    <t>Painting New Wood / iron work with Two coats of ready mixed Synthatic Enamil paint</t>
  </si>
  <si>
    <t>Full Rounding the edges of  Granite stone slabs</t>
  </si>
  <si>
    <t>Supply and fixing of  Door  of size 1.05  x 2.10mt GF</t>
  </si>
  <si>
    <t>Supply and fixing of  Door  of size 1.05  x 2.10mt FF</t>
  </si>
  <si>
    <t>Providing and fixing factory made uPVC  windows 3track</t>
  </si>
  <si>
    <t>Providing and fixing factory made uPVC  windows single track</t>
  </si>
  <si>
    <t>Labour charges for fixing fan</t>
  </si>
  <si>
    <t>Supply and fixing of 2 Nos of 32A, 240V Porcelain Rewirable Fuse Units</t>
  </si>
  <si>
    <t>Supply and fixing of ornamental grill made of 20mm x 10mm MS flats and MS Grill 8mm x 8mm for fixing in fan light portion and side fixed panels for door cum window as per the approved drawing including cutting the flat to required length, welding, painting with red oxide single coat including cost and conveyance of all materials, labour charges etc., complete for finished otem of work.</t>
  </si>
  <si>
    <t>Cost of 48" Fan ELEC-5.1.4</t>
  </si>
  <si>
    <t>CW03.sand for filling</t>
  </si>
  <si>
    <t>CW-G04.Sand for Mortar</t>
  </si>
  <si>
    <t>CW-G19.Sand for Concrete</t>
  </si>
  <si>
    <t>BILL</t>
  </si>
  <si>
    <t>P.No.</t>
  </si>
  <si>
    <t>CW01</t>
  </si>
  <si>
    <t>CW02</t>
  </si>
  <si>
    <t>CW03</t>
  </si>
  <si>
    <t>CW10</t>
  </si>
  <si>
    <t xml:space="preserve">Metal </t>
  </si>
  <si>
    <t xml:space="preserve">Sand </t>
  </si>
  <si>
    <t>Steel</t>
  </si>
  <si>
    <t>Material Wise Abstract</t>
  </si>
  <si>
    <t>Sub Divisional Bill No.</t>
  </si>
  <si>
    <t>SUB DIVISION CHECK SLIP TO ACCOMPANYING  ALL WORK BILLS</t>
  </si>
  <si>
    <t>Name of the Grant:</t>
  </si>
  <si>
    <t>Name of the Sub Division</t>
  </si>
  <si>
    <t>Name of the Mandal</t>
  </si>
  <si>
    <t>Name of the Work:-</t>
  </si>
  <si>
    <t>Work ID No.</t>
  </si>
  <si>
    <t>Estimate Amount</t>
  </si>
  <si>
    <t>Admn. Sanction No. &amp; Date</t>
  </si>
  <si>
    <t>Rc.No. T3 / MGNREGS / 2020 Dt 30-6-20 of the District Collector &amp; District Programme Co-Ordinator,MGNREGS, Prakasam District, Ongole</t>
  </si>
  <si>
    <t>Tech. Sanction No. &amp; Date</t>
  </si>
  <si>
    <r>
      <t xml:space="preserve">DR.No. </t>
    </r>
    <r>
      <rPr>
        <sz val="10"/>
        <color theme="0"/>
        <rFont val="Calibri"/>
        <family val="2"/>
        <scheme val="minor"/>
      </rPr>
      <t xml:space="preserve">      </t>
    </r>
    <r>
      <rPr>
        <b/>
        <sz val="10"/>
        <color theme="0"/>
        <rFont val="Calibri"/>
        <family val="2"/>
        <scheme val="minor"/>
      </rPr>
      <t xml:space="preserve"> /18-19/MGNREGS</t>
    </r>
    <r>
      <rPr>
        <sz val="10"/>
        <rFont val="Calibri"/>
        <family val="2"/>
        <scheme val="minor"/>
      </rPr>
      <t xml:space="preserve"> Dt. </t>
    </r>
    <r>
      <rPr>
        <sz val="10"/>
        <color theme="0"/>
        <rFont val="Calibri"/>
        <family val="2"/>
        <scheme val="minor"/>
      </rPr>
      <t>10.07.2018</t>
    </r>
    <r>
      <rPr>
        <sz val="10"/>
        <rFont val="Calibri"/>
        <family val="2"/>
        <scheme val="minor"/>
      </rPr>
      <t xml:space="preserve">  of the Executive Engineer, PRI  Division, Kandukur</t>
    </r>
  </si>
  <si>
    <t>Work commencement order reference for MGRENS</t>
  </si>
  <si>
    <t>Name &amp; Address of the Contractor with PAN No.</t>
  </si>
  <si>
    <t>Bank Account Number (For NREGS works)</t>
  </si>
  <si>
    <t>No of Musters enclosed to this bill for NREGS works</t>
  </si>
  <si>
    <t>Nil</t>
  </si>
  <si>
    <t>Working estimate Amount</t>
  </si>
  <si>
    <t>Supplimental Agt. No./Dt &amp; Value</t>
  </si>
  <si>
    <t>Nature Contract</t>
  </si>
  <si>
    <t>Nomination basis</t>
  </si>
  <si>
    <t>Date of Agreement i.e DHS</t>
  </si>
  <si>
    <t>Date fixed for completion (DFC)</t>
  </si>
  <si>
    <t>Date of last recording of Measurement of Present bill</t>
  </si>
  <si>
    <t>Whether the work is completed with in the Agreement period, if not sanction of EOAT period &amp; Reference nO. &amp; date &amp; Fine if any</t>
  </si>
  <si>
    <t>Yes</t>
  </si>
  <si>
    <t>Date of Measurements recorded in M.Book by section Officer</t>
  </si>
  <si>
    <t>Date of Check measured by Dy. Executive Engineer</t>
  </si>
  <si>
    <t>Date of Check measured by Executive Engineer</t>
  </si>
  <si>
    <t>Date</t>
  </si>
  <si>
    <t>Super Check Measurement of work (Date/MB Page NO. &amp; % of value)</t>
  </si>
  <si>
    <t>i) By Executive Engineer</t>
  </si>
  <si>
    <t>ii) By Superintending Engineer</t>
  </si>
  <si>
    <t>Whether the Supercheck measurement statement enclosed</t>
  </si>
  <si>
    <t>Whether the Contractor has accepted the measurements</t>
  </si>
  <si>
    <t>Whether the contractor signed the bill</t>
  </si>
  <si>
    <t>Whether released &amp; Discharge certificate furnished by the Contractor for Final Bill</t>
  </si>
  <si>
    <t>QC inspection Date &amp; Recovery proposed if any</t>
  </si>
  <si>
    <t>Other Remarks of the DEE</t>
  </si>
  <si>
    <t>DIVISIONAL CHECK</t>
  </si>
  <si>
    <t>Seineorage charges amount &amp; OTP on Sand Vide Page of M.B.</t>
  </si>
  <si>
    <t>Whether the photos of the work in three stages Name board. Km, HM stones for NREGS work enclosed.</t>
  </si>
  <si>
    <t>EMD details DDs (or) B.G, if B.G its No. / Dt &amp; Validity. Whether extended if EOAT is sanctioned</t>
  </si>
  <si>
    <t>Insurance policty No. Date, Amount &amp; Validity Whether the insurance is extended if EOAT is sanctioned (For Tender works)</t>
  </si>
  <si>
    <t>Whether T.A Appointment letters willingness &amp; qualification certificates furnished or not Mensioned the Name ( for Tender works)</t>
  </si>
  <si>
    <t>Wheter the DEE has furnished the certificate in M.Book for engagement of techncial agents with Name (For tender works)</t>
  </si>
  <si>
    <t>Whether the contractor opted under VAT composition and produced the CTO letter or No</t>
  </si>
  <si>
    <t>Whether the asset Handling over to the concerned Dept certificate furnished.</t>
  </si>
  <si>
    <t>i) BY Executive Engineer</t>
  </si>
  <si>
    <t>Completion Reporst are received along with final bills</t>
  </si>
  <si>
    <t>Amount                 Approved by                      Date</t>
  </si>
  <si>
    <t>Whether the Quantities and Rate are as per approved estimate</t>
  </si>
  <si>
    <t>Remarks of the case worker in B.D.</t>
  </si>
  <si>
    <t>CONTRACT CERTIFICATE</t>
  </si>
  <si>
    <t xml:space="preserve">Work ID </t>
  </si>
  <si>
    <r>
      <t>Last Certificate if any</t>
    </r>
    <r>
      <rPr>
        <sz val="10"/>
        <rFont val="Calibri"/>
        <family val="2"/>
        <scheme val="minor"/>
      </rPr>
      <t xml:space="preserve"> : </t>
    </r>
  </si>
  <si>
    <r>
      <t xml:space="preserve">Month </t>
    </r>
    <r>
      <rPr>
        <sz val="10"/>
        <rFont val="Calibri"/>
        <family val="2"/>
        <scheme val="minor"/>
      </rPr>
      <t xml:space="preserve">:  </t>
    </r>
  </si>
  <si>
    <r>
      <t>Number and month of the last schedule if any</t>
    </r>
    <r>
      <rPr>
        <sz val="10"/>
        <rFont val="Calibri"/>
        <family val="2"/>
        <scheme val="minor"/>
      </rPr>
      <t xml:space="preserve"> :- </t>
    </r>
  </si>
  <si>
    <t>Voucher No:</t>
  </si>
  <si>
    <t>Overseer's No.</t>
  </si>
  <si>
    <t>Authority Covering list No.</t>
  </si>
  <si>
    <t>Schedule No.</t>
  </si>
  <si>
    <t>Quantity executed or Supplied</t>
  </si>
  <si>
    <t>Description of Items.</t>
  </si>
  <si>
    <t>Rate in Rs.</t>
  </si>
  <si>
    <t>Upto Date</t>
  </si>
  <si>
    <t>Since last certificate</t>
  </si>
  <si>
    <t>Upto Date in Rs.</t>
  </si>
  <si>
    <t>Since last certificate in Rs.</t>
  </si>
  <si>
    <t>Page No.</t>
  </si>
  <si>
    <t>Qty.</t>
  </si>
  <si>
    <t>amount</t>
  </si>
  <si>
    <t>CW01 Amount of wage component</t>
  </si>
  <si>
    <t>1day</t>
  </si>
  <si>
    <t>cement</t>
  </si>
  <si>
    <t>Bag</t>
  </si>
  <si>
    <t xml:space="preserve">CW02 Cement </t>
  </si>
  <si>
    <t>1Bag</t>
  </si>
  <si>
    <t>CW03 Sand for filling</t>
  </si>
  <si>
    <t>CW04 Sand for Mortor</t>
  </si>
  <si>
    <t>CW07  20-12MM HBG Metal</t>
  </si>
  <si>
    <t>CW09  40MM HBG Metal</t>
  </si>
  <si>
    <t>CW10 Other component</t>
  </si>
  <si>
    <t>CW G19 Sand for concrete</t>
  </si>
  <si>
    <t>CW G20 .Cost and supply of Steel</t>
  </si>
  <si>
    <t xml:space="preserve">Total value o work done or suplies made to date </t>
  </si>
  <si>
    <t>=</t>
  </si>
  <si>
    <t xml:space="preserve">Deduct value of work supplies shown on last certificate. </t>
  </si>
  <si>
    <t>Net value of work/supplies since lst certificate</t>
  </si>
  <si>
    <t xml:space="preserve">Signature of Contractor </t>
  </si>
  <si>
    <t>Date…………..……200</t>
  </si>
  <si>
    <t xml:space="preserve">CHECK MEASUREMENT CERTIFICATE </t>
  </si>
  <si>
    <t xml:space="preserve">Certified also that the materials billed for have been recived and brought to account.                                </t>
  </si>
  <si>
    <t>Certified that the work and materials were duly Checked and Measured by me on (Date………….)</t>
  </si>
  <si>
    <t>Date………….. OFFICE INCHARGE</t>
  </si>
  <si>
    <t>Date………………200</t>
  </si>
  <si>
    <t>DESIGNATION</t>
  </si>
  <si>
    <t xml:space="preserve">     MEMORANDUM OF PAYMENTS MADE</t>
  </si>
  <si>
    <t>Rs.</t>
  </si>
  <si>
    <t>P.</t>
  </si>
  <si>
    <t>Total value of work done</t>
  </si>
  <si>
    <t>Amount of prevont payment from last certificate No………………….</t>
  </si>
  <si>
    <t>of</t>
  </si>
  <si>
    <t>Forward</t>
  </si>
  <si>
    <t>With accouts for…………………………………</t>
  </si>
  <si>
    <t>Fines and other deduction up to date</t>
  </si>
  <si>
    <t>Payments now made</t>
  </si>
  <si>
    <t>By Cash</t>
  </si>
  <si>
    <t>By Cheque No………………..</t>
  </si>
  <si>
    <t>By Value of Stock supplied</t>
  </si>
  <si>
    <t>Balance due</t>
  </si>
  <si>
    <t>Allotment of the year</t>
  </si>
  <si>
    <t xml:space="preserve">              Rs       P</t>
  </si>
  <si>
    <t>Expenditure included in this bill</t>
  </si>
  <si>
    <t>Balance availabe</t>
  </si>
  <si>
    <t>PAY RUPEES (             ) RECEIVED (               )</t>
  </si>
  <si>
    <t xml:space="preserve">Only as final payments in settlement of all demands                                                                                                          </t>
  </si>
  <si>
    <t>……………………………………………………………………………….</t>
  </si>
  <si>
    <t>Witness</t>
  </si>
  <si>
    <t>Head Clerk</t>
  </si>
  <si>
    <t>Presented of</t>
  </si>
  <si>
    <t>Head Account</t>
  </si>
  <si>
    <t>Engineer</t>
  </si>
  <si>
    <t>Date …………………………..</t>
  </si>
  <si>
    <t>Payee……………………</t>
  </si>
  <si>
    <t>AUDIT ENFACEMENT</t>
  </si>
  <si>
    <t>Admitted Rs. ………………………….</t>
  </si>
  <si>
    <t>Objected Rs. ………………………….</t>
  </si>
  <si>
    <t>Total Rs. ………………..…………….</t>
  </si>
  <si>
    <t xml:space="preserve">                                             Date</t>
  </si>
  <si>
    <t>200</t>
  </si>
  <si>
    <t>Auditor</t>
  </si>
  <si>
    <t xml:space="preserve">                               INVERNACULAR</t>
  </si>
  <si>
    <t>DISTRICT ENGINEET'S REMARKS</t>
  </si>
  <si>
    <t xml:space="preserve">                                                               NOTES</t>
  </si>
  <si>
    <t xml:space="preserve">1. This form is intended for use in the case of running account i.e for works in progress or supplies in course  </t>
  </si>
  <si>
    <t>of delivery when the liability is discharged in full single payment Form No. of A should be used.</t>
  </si>
  <si>
    <t>2. Payment will be made only up to nineteenth of the total value of the work done. The balance being returned</t>
  </si>
  <si>
    <t xml:space="preserve">as a security both for the due performance of the contracts or to cover posible over payment which may be detected on                        cheque measurement in the case of work whose estimated cost does not exceed Rs. 50/- Payment may be made in full </t>
  </si>
  <si>
    <t>on the measuring officer's certificate subject to subsequent check measurement by the proper check measuring authority.</t>
  </si>
  <si>
    <t xml:space="preserve">3. In calculating the amount of each item dur to the contractor in this bill, sums of five pieces or less shall be </t>
  </si>
  <si>
    <t>omitted and sums exceeding five pieces shall be recorded.</t>
  </si>
  <si>
    <t>4. Payment made in case of sum exceeding Rs. 100/- should be attested by two witness and for smaller sum</t>
  </si>
  <si>
    <t>by one witness payment made by cheque to recognised firms of institutions need not be so witnessed.</t>
  </si>
  <si>
    <r>
      <t xml:space="preserve">5.  When the payee signs in </t>
    </r>
    <r>
      <rPr>
        <sz val="7"/>
        <rFont val="Arial"/>
        <family val="2"/>
      </rPr>
      <t>the vernacullar the</t>
    </r>
    <r>
      <rPr>
        <sz val="8"/>
        <rFont val="Arial"/>
        <family val="2"/>
      </rPr>
      <t xml:space="preserve"> amount acknowledged should also noted in the some vernacullar </t>
    </r>
  </si>
  <si>
    <t>as well as in English.</t>
  </si>
  <si>
    <r>
      <t xml:space="preserve">6. In the case of other </t>
    </r>
    <r>
      <rPr>
        <sz val="7"/>
        <rFont val="Arial"/>
        <family val="2"/>
      </rPr>
      <t>than well known</t>
    </r>
    <r>
      <rPr>
        <sz val="8"/>
        <rFont val="Arial"/>
        <family val="2"/>
      </rPr>
      <t xml:space="preserve"> firms all parties must sign if there by more the on contractor or the payee </t>
    </r>
  </si>
  <si>
    <t>must produce a power of atorney from the firm.</t>
  </si>
  <si>
    <r>
      <t xml:space="preserve">7. No contract certificate </t>
    </r>
    <r>
      <rPr>
        <sz val="7"/>
        <rFont val="Arial"/>
        <family val="2"/>
      </rPr>
      <t>bearing no remarks</t>
    </r>
    <r>
      <rPr>
        <sz val="8"/>
        <rFont val="Arial"/>
        <family val="2"/>
      </rPr>
      <t xml:space="preserve"> should be accepted if any corrections are necessary the incorrect</t>
    </r>
  </si>
  <si>
    <t xml:space="preserve">figures should be neatly scored out and initialed by the officer concerned in the case of corrections made in the Engineers         office the Head Accountant may be authorised no attest those due to clerical errors Etc. But the Engineer should affix his </t>
  </si>
  <si>
    <t>initials coare osnin the rate column as well as those in the total or the bill and the pass order. This rule applies MUIATIS MUTANDIS to payments from miscellaneous grants.</t>
  </si>
  <si>
    <t xml:space="preserve">8. In case in which the materials billed for are taken over charged an officer other than the officer sign in the </t>
  </si>
  <si>
    <t>certificate from of the bill the names of the form should be noted in the remarks column of the bill necessary amendment                                   being made at the same time of the excluding portion of the certificate relating to materials.</t>
  </si>
  <si>
    <t>CW-07 20-12MM HBG Metal</t>
  </si>
  <si>
    <t>Labour component</t>
  </si>
  <si>
    <t>Two lakhs fifty five thousand seven hundred and fifty only)</t>
  </si>
  <si>
    <t>Gram Panchayat</t>
  </si>
  <si>
    <t>/</t>
  </si>
  <si>
    <t>Certified that the item was recorded vide page no.      of M.B.No.  ……………………….  for the work</t>
  </si>
  <si>
    <t>84</t>
  </si>
  <si>
    <t>90</t>
  </si>
  <si>
    <t>100</t>
  </si>
  <si>
    <t>105</t>
  </si>
  <si>
    <t>106</t>
  </si>
  <si>
    <t>107</t>
  </si>
  <si>
    <t>108</t>
  </si>
  <si>
    <t>109</t>
  </si>
  <si>
    <t>110</t>
  </si>
  <si>
    <t>111</t>
  </si>
  <si>
    <t>113</t>
  </si>
  <si>
    <t>114</t>
  </si>
  <si>
    <t>116</t>
  </si>
  <si>
    <t>117</t>
  </si>
  <si>
    <t>119</t>
  </si>
  <si>
    <t>122</t>
  </si>
  <si>
    <t>137</t>
  </si>
  <si>
    <t>140</t>
  </si>
  <si>
    <t>144</t>
  </si>
  <si>
    <t>145</t>
  </si>
  <si>
    <t>154</t>
  </si>
  <si>
    <t>seigneorage statement</t>
  </si>
  <si>
    <t>Painting  with Emulsion paint for inernal walls GF</t>
  </si>
  <si>
    <t>Painting  with Emulsion paint for external walls  GF</t>
  </si>
  <si>
    <t>Painting to new walls with 2 coats of acrylic Emulsion paint Asian or equivalent and shade over Priming coat with Cement primer water base interior Gr-1 Asian or equivalent on new plastered surface after throughly brushing the surace remove all dirt and remains of loose powdered materials including cost and conveyance of all materials to worksite and all oparational, incidental, labour charges etc complete for  finished item of work as per SS 911 for internal walls</t>
  </si>
  <si>
    <t>Painting to new walls with 2 coats of acrylic Emulsion paint Asian or equivalent and shade over Priming coat with Cement primer water base interior Gr-1 Asian or equivalent on new plastered surface after throughly brushing the surace remove all dirt and remains of loose powdered materials including cost and conveyance of all materials to worksite and all oparational, incidental, labour charges etc complete for  finished item of work as per SS 911 for external walls</t>
  </si>
  <si>
    <t>EA room</t>
  </si>
  <si>
    <t>Visting Waiting area</t>
  </si>
  <si>
    <t>RCM facia 5cm thick in CM (1:3) for drop walls, fins  with rabbit wire mesh &amp; nominal reinforcement as directed by Engineer-in-charge with dubara sponge finishing, including cost &amp; conveyance of all materials to site, seigniorage charges, sales &amp; other taxes on all materials, operational &amp; incidental, cost and conveyance of cement, wire mesh, water to work site, centering, scaffolding and form work, lift charges etc., complete for finished items of work but excluding cost of steel &amp; its fabrication charges, for finished item of work. (APSS No.403 &amp; 903)</t>
  </si>
  <si>
    <t>Rabbit wire mesh (1.0 M panna for 0.6 M drop)</t>
  </si>
  <si>
    <t xml:space="preserve">Cement Mortar 1:3 for 25 mm thick </t>
  </si>
  <si>
    <t xml:space="preserve">Dry Cement for making Lumps </t>
  </si>
  <si>
    <t>12 mm Plastering 2 coats in 1:4 &amp; 1:2 cm both sides</t>
  </si>
  <si>
    <t>B) LABOUR CHARGES</t>
  </si>
  <si>
    <t>Miller Operator</t>
  </si>
  <si>
    <t>c) Machinery</t>
  </si>
  <si>
    <t>Machine Mixing Mortar with Miller - Hire charges</t>
  </si>
  <si>
    <t>Hrs</t>
  </si>
  <si>
    <t>Supply &amp; application of One Coat Water based Cement Primer, One coat of Deco / PMCC Orient Base Exterior Texture &amp; two coats of Altek Harmony (Emulsion paint exterior grade) inclusive of all taxes for finished item of work</t>
  </si>
  <si>
    <t>Basic coat per 1 sqm</t>
  </si>
  <si>
    <t>Supply &amp; applying Poly-Urethane Water Proof Polish Glossy/ Matt finish to the wood works duly cleaning the surface and applying emery paper, Sand the wood with 180 No., emery paper and then with 320 No., emery paper, clean &amp; wipe off loose dust, applying suitable knifing paste filler / wood filler by putty knife / muslin pad, air dry for 2 - 3 hrs, sand with 180 and 320 No., emery paper, applying two component wood sealer, after the surface preparation applying one coat of approved spraying PU thinner (for spraying) / applying one coat of approved brushing PU thinner or general purpose thinner (for brushing) and apply one coat of PU by brush or spray, air-dry overnight, Sand again with 180 No. emery paper and removing dust, applying second coat of PU, air drying for 4 - 6 Hrs, Sand with 320 No emery paper, and applying (either with spray or brush) two coats of approved brand PU including cost &amp; labour charges, emery papers, cost of thinner &amp; PU of approved brands such as Jenson &amp; Nicholson, Asian Paints, Berger Paints or equivalent etc., complete for finished item</t>
  </si>
  <si>
    <t xml:space="preserve">Painting, Lettering and Picturing to walls with  two coats over primary coat with Emulsion paint (Like Birds, Animals, Cartoons, Numbers etc.,) to Angnwadi center building as per the instructions of Engineer - in - charge including cost and conveyance of all paints and all labour charges etc complete. </t>
  </si>
  <si>
    <t>As per quotation rate</t>
  </si>
  <si>
    <t>Random Rubble mansonary in CM(1:6)  including Cost and Conveyance of all materials and curing charges but excluding unskilled wages etc., complete for finished item of work</t>
  </si>
  <si>
    <t>Filling Basement with Selected earth by watering and ramming including all operational, incidental and including c/c of material and labour charges etc complete for finished item of the work (APSS No 309&amp; 310) per 1 Cum</t>
  </si>
  <si>
    <t>Roofing tiles</t>
  </si>
  <si>
    <t>Filling Basement with Selected earth in trenches, sides of foundations &amp; basement by watering and ramming including all operational, incidental, labour charges, hire charges of T&amp;P etc complete including cost and conveyance of material and labour charges etc complete for finished item of the work (APSS No 309&amp; 310) per 1 Cum</t>
  </si>
  <si>
    <t>S.Earth</t>
  </si>
  <si>
    <t>Selected Filling</t>
  </si>
  <si>
    <t>White washing one coat with whiting of approved quality to give an even shade after thoroughly brushing the surface to remove all dirt and remains of loose powdered materials including cost of all materials, labour charges and incidental such as scaffolding, lift charges etc., complete for finished item of wor</t>
  </si>
  <si>
    <t>Rough stone</t>
  </si>
  <si>
    <t>Masonry work in CM (1:8) prop with Flyash Cement solid blocks of size 290 x 225 x 140 mm for manufacturing of flyash solid blocks using flyash of 80 kgs, cement of 15 kgs. Gypsum of 5 kgs. and stone dust including cost and conveyance of all materials, labour charges, seiniorage charges, scaffolding and curing etc., cpomplete with a compresive streangth not lessthan 50 kg/sqm for walls for Superstructure Walls.</t>
  </si>
  <si>
    <t>Cost of Cement Mortar (1:6)</t>
  </si>
  <si>
    <t>Woman Mazdoor</t>
  </si>
  <si>
    <t>No of blocks required for one cum of Masonry BMT-A.03</t>
  </si>
  <si>
    <t>8mm dia rods</t>
  </si>
  <si>
    <t>Supplying and fixing of  ventilator of size 0.60 x 0.45 Mts including fixing of 8mm dia roads and 4mm plain glass including all labour charges etc., complete</t>
  </si>
  <si>
    <t>Masonry work in CM (1:8) prop with Flyash Cement solid blocks of size 290 x 150 x 140 mm for manufacturing of flyash solid blocks using flyash of 80 kgs, cement of 15 kgs. Gypsum of 5 kgs. and stone dust including cost and conveyance of all materials, labour charges, seiniorage charges, scaffolding and curing etc., cpomplete with a compresive streangth not lessthan 50 kg/sqm for walls for Superstructure Walls.</t>
  </si>
  <si>
    <t>Flush Pointing with CM (1:3) to Brick Masonry</t>
  </si>
  <si>
    <t xml:space="preserve">Flooring with pressed clay flooring tiles, set over base coat of cement mortar (1:8) 12 mm thick over CC bed already laid or RCC roof slab, including neat cement slurry of honey like consistency spread @ 3.3.kgs per sqm &amp; jointed neatly with cement mixed with pigment of matching shade to full depth, including cost of all materials like cement, sand water and tiles etc., complete, for finished item of work,     </t>
  </si>
  <si>
    <t>20 X 20 cm pressed clay flooring tiles</t>
  </si>
  <si>
    <t>Cement for jointing &amp; pointing</t>
  </si>
  <si>
    <t>Pointing with CM (1:3)</t>
  </si>
  <si>
    <t>Deduct CM (1:3)</t>
  </si>
  <si>
    <t>Sand for CM (1:8)</t>
  </si>
  <si>
    <t>Pressed type tiles</t>
  </si>
  <si>
    <t>Ongole</t>
  </si>
  <si>
    <t xml:space="preserve">for  platforms and shelves.  </t>
  </si>
  <si>
    <t xml:space="preserve">Hire charges of centering and scaffolding 
(50% of roof slab) </t>
  </si>
  <si>
    <t xml:space="preserve">Centering charges for Roof Slab Labour charges  (50% of roof slab) </t>
  </si>
  <si>
    <t>Fly cement bricks</t>
  </si>
  <si>
    <t>RCM drop wall</t>
  </si>
  <si>
    <t>Pressed tiles</t>
  </si>
  <si>
    <t>VKC</t>
  </si>
  <si>
    <t>Fine aggregate (Sand) for Mortor</t>
  </si>
  <si>
    <t>Filling basement with Selected earth</t>
  </si>
  <si>
    <t>RR Masonary in CM (1:6) for basement</t>
  </si>
  <si>
    <t xml:space="preserve">Add water charges 1% </t>
  </si>
  <si>
    <t>Fly ash cement bricks</t>
  </si>
  <si>
    <t>Pressed floor tiles</t>
  </si>
  <si>
    <t>Supply &amp; applying Poly-Urethane Water Proof Polish</t>
  </si>
  <si>
    <t>PCC M30 for Steps</t>
  </si>
  <si>
    <t>Acco Plaster'g CM (1:3) 20mm</t>
  </si>
  <si>
    <t>Painting  with Emulsion paint for external walls</t>
  </si>
  <si>
    <t>Supply and fixing of  Door  of size 1.20 x 2.10mt</t>
  </si>
  <si>
    <t xml:space="preserve">Supply and fixing of  Door  of size 1.20 x 2.10mt </t>
  </si>
  <si>
    <t>50mm thick</t>
  </si>
  <si>
    <t>Precasted slab 50mm</t>
  </si>
  <si>
    <t xml:space="preserve">S&amp;F of 36" dia(0.90Mts) 2" thick Precasted rcc hume rings including cost and conveyance of all material and labour charges etc., complete for septic Tank </t>
  </si>
  <si>
    <t>0.45= 250.00 : 0.90 = ?</t>
  </si>
  <si>
    <t>?=0.90 x 250.00 / 0.45</t>
  </si>
  <si>
    <t>?=500.00</t>
  </si>
  <si>
    <t>36" dia(0.90Mts) 2" thick hume pipe ring</t>
  </si>
  <si>
    <t xml:space="preserve">CW G19 Sand for concrete </t>
  </si>
  <si>
    <t>Supply and fixing of 16A 3pin / 6A 3pin  plug socket with indicator lamp and 16Amps  fuse unit and 16 Amps  switch control (5 in one) on decolam sheet covered board including earth connection and all labour charges etc., complete on wall.</t>
  </si>
  <si>
    <t>Five thousand and six hundred only)</t>
  </si>
  <si>
    <t>Mid landing beam</t>
  </si>
  <si>
    <t>Septic tank</t>
  </si>
  <si>
    <t>Plantation walls</t>
  </si>
  <si>
    <t>For water tank</t>
  </si>
  <si>
    <t>Beam sides</t>
  </si>
  <si>
    <t>Waiting room</t>
  </si>
  <si>
    <t>Front side</t>
  </si>
  <si>
    <t>Below staircase</t>
  </si>
  <si>
    <t xml:space="preserve">Hall </t>
  </si>
  <si>
    <t>Landing</t>
  </si>
  <si>
    <t>Steps godown</t>
  </si>
  <si>
    <t>Staircase steps</t>
  </si>
  <si>
    <t>Entrance steps risers</t>
  </si>
  <si>
    <t>Manufacture, Supply and Delivery of Unplasticised PVCs Pipes for potable water supplies conforming to IS : 4985/2000 (3rd revision) with bell ends (Socket) as per specification.</t>
  </si>
  <si>
    <t>Supplying &amp; Fixing white glazed flat back half stall urinals 1st quality conforming to IS:2556-1995 with standard C.P. Spreader of overall size 95 x 95 x 57 mm conforming to IS:2556-Part6, Sec-6-1974 fixed with screws complete Indian make : 410 x 265 x 305 mm</t>
  </si>
  <si>
    <t>Initial cost BMW-D.34</t>
  </si>
  <si>
    <t>S&amp;F of 25mm dia PVC pies</t>
  </si>
  <si>
    <t>S&amp;F of Urinals</t>
  </si>
  <si>
    <t>Supply and fixing of 16A 3/2 pin wall plug socket</t>
  </si>
  <si>
    <t>123</t>
  </si>
  <si>
    <t>126</t>
  </si>
  <si>
    <t>142</t>
  </si>
  <si>
    <t>Manufacture, Supply and Delivery of Unplasticised PVCs Pipes for potable water supplies conforming to IS : 4985/2000 (3rd revision) with bell ends (Socket) as per specification. 25mm dia</t>
  </si>
  <si>
    <t>BLD-ELEC-2.1.5</t>
  </si>
  <si>
    <t>20 x 15 cms (8" x6") Decolam sheet covered board ELEC-1.4.2 d</t>
  </si>
  <si>
    <t>16A 3 pin / 6A 3pin Plug socket with indicator lamp, fuse unit (5 in 1) ELEC-1.8.1 g</t>
  </si>
  <si>
    <t>16A / 20A 1 Way 1 Module Modular Switch. ELEC-1.8.1 h</t>
  </si>
  <si>
    <t>0.5W LED bulb ELEC-3.7.5 a</t>
  </si>
  <si>
    <t xml:space="preserve">Supply and fixing of ISI mark batten holder / angle holder on existing block, but with bulb including all connections etc., complete </t>
  </si>
  <si>
    <r>
      <rPr>
        <sz val="10"/>
        <rFont val="Calibri"/>
        <family val="2"/>
        <scheme val="minor"/>
      </rPr>
      <t>Roof Slabs 100mm Basic Rat</t>
    </r>
    <r>
      <rPr>
        <b/>
        <sz val="10"/>
        <rFont val="Calibri"/>
        <family val="2"/>
        <scheme val="minor"/>
      </rPr>
      <t xml:space="preserve">e </t>
    </r>
    <r>
      <rPr>
        <sz val="10"/>
        <rFont val="Calibri"/>
        <family val="2"/>
        <scheme val="minor"/>
      </rPr>
      <t>1sqm</t>
    </r>
  </si>
  <si>
    <r>
      <rPr>
        <sz val="10"/>
        <rFont val="Calibri"/>
        <family val="2"/>
        <scheme val="minor"/>
      </rPr>
      <t>Roof Slabs 125mm Basic Rat</t>
    </r>
    <r>
      <rPr>
        <b/>
        <sz val="10"/>
        <rFont val="Calibri"/>
        <family val="2"/>
        <scheme val="minor"/>
      </rPr>
      <t xml:space="preserve">e </t>
    </r>
    <r>
      <rPr>
        <sz val="10"/>
        <rFont val="Calibri"/>
        <family val="2"/>
        <scheme val="minor"/>
      </rPr>
      <t>1sqm</t>
    </r>
  </si>
  <si>
    <r>
      <t>1.0MX0.6MX(0.075+0.05)2 = 0.0375Cum/</t>
    </r>
    <r>
      <rPr>
        <b/>
        <sz val="10"/>
        <rFont val="Calibri"/>
        <family val="2"/>
        <scheme val="minor"/>
      </rPr>
      <t>1M</t>
    </r>
  </si>
  <si>
    <r>
      <rPr>
        <sz val="10"/>
        <rFont val="Calibri"/>
        <family val="2"/>
        <scheme val="minor"/>
      </rPr>
      <t>Roof Slabs 50mm Basic Rat</t>
    </r>
    <r>
      <rPr>
        <b/>
        <sz val="10"/>
        <rFont val="Calibri"/>
        <family val="2"/>
        <scheme val="minor"/>
      </rPr>
      <t xml:space="preserve">e </t>
    </r>
    <r>
      <rPr>
        <sz val="10"/>
        <rFont val="Calibri"/>
        <family val="2"/>
        <scheme val="minor"/>
      </rPr>
      <t>1sqm</t>
    </r>
  </si>
  <si>
    <r>
      <t xml:space="preserve">Labour </t>
    </r>
    <r>
      <rPr>
        <sz val="10"/>
        <rFont val="Calibri"/>
        <family val="2"/>
        <scheme val="minor"/>
      </rPr>
      <t>for cutting, bending, shifting to site, tying and placing in position</t>
    </r>
  </si>
  <si>
    <r>
      <rPr>
        <sz val="10"/>
        <rFont val="Calibri"/>
        <family val="2"/>
        <scheme val="minor"/>
      </rPr>
      <t>Basic Rate</t>
    </r>
    <r>
      <rPr>
        <b/>
        <sz val="10"/>
        <rFont val="Calibri"/>
        <family val="2"/>
        <scheme val="minor"/>
      </rPr>
      <t xml:space="preserve"> </t>
    </r>
    <r>
      <rPr>
        <sz val="10"/>
        <rFont val="Calibri"/>
        <family val="2"/>
        <scheme val="minor"/>
      </rPr>
      <t>10.00sqm</t>
    </r>
  </si>
  <si>
    <r>
      <rPr>
        <sz val="10"/>
        <rFont val="Calibri"/>
        <family val="2"/>
        <scheme val="minor"/>
      </rPr>
      <t>Basic Rate</t>
    </r>
    <r>
      <rPr>
        <b/>
        <sz val="10"/>
        <rFont val="Calibri"/>
        <family val="2"/>
        <scheme val="minor"/>
      </rPr>
      <t xml:space="preserve"> </t>
    </r>
    <r>
      <rPr>
        <sz val="10"/>
        <rFont val="Calibri"/>
        <family val="2"/>
        <scheme val="minor"/>
      </rPr>
      <t>10sqm</t>
    </r>
  </si>
  <si>
    <r>
      <t xml:space="preserve">Whiting / White Cement / </t>
    </r>
    <r>
      <rPr>
        <b/>
        <sz val="10"/>
        <rFont val="Calibri"/>
        <family val="2"/>
        <scheme val="minor"/>
      </rPr>
      <t>BMT-J.31</t>
    </r>
  </si>
  <si>
    <r>
      <rPr>
        <sz val="10"/>
        <rFont val="Calibri"/>
        <family val="2"/>
        <scheme val="minor"/>
      </rPr>
      <t>Basic Rate</t>
    </r>
    <r>
      <rPr>
        <b/>
        <sz val="10"/>
        <rFont val="Calibri"/>
        <family val="2"/>
        <scheme val="minor"/>
      </rPr>
      <t xml:space="preserve"> </t>
    </r>
    <r>
      <rPr>
        <sz val="10"/>
        <rFont val="Calibri"/>
        <family val="2"/>
        <scheme val="minor"/>
      </rPr>
      <t>10 sqm</t>
    </r>
  </si>
  <si>
    <r>
      <t xml:space="preserve">Engaging </t>
    </r>
    <r>
      <rPr>
        <b/>
        <sz val="10"/>
        <rFont val="Calibri"/>
        <family val="2"/>
        <scheme val="minor"/>
      </rPr>
      <t>Unskilled Labour</t>
    </r>
    <r>
      <rPr>
        <sz val="10"/>
        <rFont val="Calibri"/>
        <family val="2"/>
        <scheme val="minor"/>
      </rPr>
      <t xml:space="preserve"> for Earth work excavation and depositing on bank with an initial lead &amp; initial lift in Loamy and Clayey soils like BC Soils, Red Earth Soils (Ordinary Soils)</t>
    </r>
  </si>
  <si>
    <r>
      <t xml:space="preserve">Centering </t>
    </r>
    <r>
      <rPr>
        <b/>
        <sz val="10"/>
        <rFont val="Calibri"/>
        <family val="2"/>
        <scheme val="minor"/>
      </rPr>
      <t>:</t>
    </r>
    <r>
      <rPr>
        <sz val="10"/>
        <rFont val="Calibri"/>
        <family val="2"/>
        <scheme val="minor"/>
      </rPr>
      <t xml:space="preserve"> Columns Footings material hire charges </t>
    </r>
  </si>
  <si>
    <r>
      <t xml:space="preserve">Centering </t>
    </r>
    <r>
      <rPr>
        <b/>
        <sz val="10"/>
        <rFont val="Calibri"/>
        <family val="2"/>
        <scheme val="minor"/>
      </rPr>
      <t>:</t>
    </r>
    <r>
      <rPr>
        <sz val="10"/>
        <rFont val="Calibri"/>
        <family val="2"/>
        <scheme val="minor"/>
      </rPr>
      <t xml:space="preserve"> Columns Footings Labour charges</t>
    </r>
  </si>
  <si>
    <r>
      <t xml:space="preserve">Centering </t>
    </r>
    <r>
      <rPr>
        <b/>
        <sz val="10"/>
        <rFont val="Calibri"/>
        <family val="2"/>
        <scheme val="minor"/>
      </rPr>
      <t>:</t>
    </r>
    <r>
      <rPr>
        <sz val="10"/>
        <rFont val="Calibri"/>
        <family val="2"/>
        <scheme val="minor"/>
      </rPr>
      <t xml:space="preserve"> Column Pedastals material hire charges </t>
    </r>
  </si>
  <si>
    <r>
      <t xml:space="preserve">Centering </t>
    </r>
    <r>
      <rPr>
        <b/>
        <sz val="10"/>
        <rFont val="Calibri"/>
        <family val="2"/>
        <scheme val="minor"/>
      </rPr>
      <t>:</t>
    </r>
    <r>
      <rPr>
        <sz val="10"/>
        <rFont val="Calibri"/>
        <family val="2"/>
        <scheme val="minor"/>
      </rPr>
      <t xml:space="preserve"> Column Pedastals  Labour charges</t>
    </r>
  </si>
  <si>
    <r>
      <t xml:space="preserve">Centering </t>
    </r>
    <r>
      <rPr>
        <b/>
        <sz val="10"/>
        <rFont val="Calibri"/>
        <family val="2"/>
        <scheme val="minor"/>
      </rPr>
      <t>:</t>
    </r>
    <r>
      <rPr>
        <sz val="10"/>
        <rFont val="Calibri"/>
        <family val="2"/>
        <scheme val="minor"/>
      </rPr>
      <t xml:space="preserve"> Plinth Beams material hire charges </t>
    </r>
  </si>
  <si>
    <r>
      <t xml:space="preserve">Centering </t>
    </r>
    <r>
      <rPr>
        <b/>
        <sz val="10"/>
        <rFont val="Calibri"/>
        <family val="2"/>
        <scheme val="minor"/>
      </rPr>
      <t>:</t>
    </r>
    <r>
      <rPr>
        <sz val="10"/>
        <rFont val="Calibri"/>
        <family val="2"/>
        <scheme val="minor"/>
      </rPr>
      <t xml:space="preserve"> Plinth Beam  Labour charges</t>
    </r>
  </si>
  <si>
    <r>
      <t xml:space="preserve">Columns Basic Rate </t>
    </r>
    <r>
      <rPr>
        <sz val="10"/>
        <rFont val="Calibri"/>
        <family val="2"/>
        <scheme val="minor"/>
      </rPr>
      <t>for 1.00 Cum</t>
    </r>
  </si>
  <si>
    <r>
      <t xml:space="preserve">Add Lift Charges @ 10%, 20% on Labour charges </t>
    </r>
    <r>
      <rPr>
        <b/>
        <sz val="10"/>
        <rFont val="Calibri"/>
        <family val="2"/>
        <scheme val="minor"/>
      </rPr>
      <t>B</t>
    </r>
  </si>
  <si>
    <r>
      <t xml:space="preserve">Lintels Basic Rate </t>
    </r>
    <r>
      <rPr>
        <sz val="10"/>
        <rFont val="Calibri"/>
        <family val="2"/>
        <scheme val="minor"/>
      </rPr>
      <t>for 1.00 Cum</t>
    </r>
  </si>
  <si>
    <r>
      <t xml:space="preserve">Roof Beams Basic Rate </t>
    </r>
    <r>
      <rPr>
        <sz val="10"/>
        <rFont val="Calibri"/>
        <family val="2"/>
        <scheme val="minor"/>
      </rPr>
      <t>1.00 Cum</t>
    </r>
  </si>
  <si>
    <r>
      <t xml:space="preserve">Roof Slabs 100mm Basic Rate </t>
    </r>
    <r>
      <rPr>
        <sz val="10"/>
        <rFont val="Calibri"/>
        <family val="2"/>
        <scheme val="minor"/>
      </rPr>
      <t>1sqm</t>
    </r>
  </si>
  <si>
    <r>
      <t xml:space="preserve">Add Lift Charges @ 10%, 20% on Labour charges  </t>
    </r>
    <r>
      <rPr>
        <b/>
        <sz val="10"/>
        <rFont val="Calibri"/>
        <family val="2"/>
        <scheme val="minor"/>
      </rPr>
      <t>B</t>
    </r>
  </si>
  <si>
    <r>
      <t xml:space="preserve">Roof Slabs 125mm Basic Rate </t>
    </r>
    <r>
      <rPr>
        <sz val="10"/>
        <rFont val="Calibri"/>
        <family val="2"/>
        <scheme val="minor"/>
      </rPr>
      <t>1sqm</t>
    </r>
  </si>
  <si>
    <r>
      <t xml:space="preserve">Roof Slabs 150mm Basic Rate </t>
    </r>
    <r>
      <rPr>
        <sz val="10"/>
        <rFont val="Calibri"/>
        <family val="2"/>
        <scheme val="minor"/>
      </rPr>
      <t>1sqm</t>
    </r>
  </si>
  <si>
    <r>
      <t xml:space="preserve">Waist Slab 175mm Basic Rate </t>
    </r>
    <r>
      <rPr>
        <sz val="10"/>
        <rFont val="Calibri"/>
        <family val="2"/>
        <scheme val="minor"/>
      </rPr>
      <t>1sqm</t>
    </r>
  </si>
  <si>
    <r>
      <t xml:space="preserve">Chajjas of 0.50M width </t>
    </r>
    <r>
      <rPr>
        <sz val="10"/>
        <rFont val="Calibri"/>
        <family val="2"/>
        <scheme val="minor"/>
      </rPr>
      <t>with 2" thick</t>
    </r>
  </si>
  <si>
    <r>
      <t xml:space="preserve">50mm thick platforms / lofts: </t>
    </r>
    <r>
      <rPr>
        <sz val="10"/>
        <rFont val="Calibri"/>
        <family val="2"/>
        <scheme val="minor"/>
      </rPr>
      <t>1sqm</t>
    </r>
  </si>
  <si>
    <r>
      <t xml:space="preserve">25mm thick platforms / lofts: </t>
    </r>
    <r>
      <rPr>
        <sz val="10"/>
        <rFont val="Calibri"/>
        <family val="2"/>
        <scheme val="minor"/>
      </rPr>
      <t>1sqm</t>
    </r>
  </si>
  <si>
    <r>
      <t xml:space="preserve">For Steps Basic Rate </t>
    </r>
    <r>
      <rPr>
        <sz val="10"/>
        <rFont val="Calibri"/>
        <family val="2"/>
        <scheme val="minor"/>
      </rPr>
      <t>1.00 Cum</t>
    </r>
  </si>
  <si>
    <r>
      <t xml:space="preserve">Supplying and fixing of stainless steel (grade 304) </t>
    </r>
    <r>
      <rPr>
        <b/>
        <sz val="10"/>
        <rFont val="Calibri"/>
        <family val="2"/>
        <scheme val="minor"/>
      </rPr>
      <t>hand railing</t>
    </r>
    <r>
      <rPr>
        <sz val="10"/>
        <rFont val="Calibri"/>
        <family val="2"/>
        <scheme val="minor"/>
      </rPr>
      <t xml:space="preserve"> as per approved drawing with top rail of 50mm dia pipe and 2mm thick medium class and vertical posts of  25mm dia and 1.6mm thick medium class  1 No for each step fixed with base plate of  75mm dia using bonding agent and anchor fastner and welding,  drilling of 25mm dia holes with pneumatic compressor for fixing railing, buffing, polishing all members of the railing  thouroughly  , lacquer finishing to present seamless finish including cost and conveyance of all materials, electrodes, welding charges, cost of all consumables, labour charges , overheads &amp; contractors profit etc., complete for finished item of work.</t>
    </r>
  </si>
  <si>
    <r>
      <t xml:space="preserve">Supplying and fixing of stainless steel (grade 304) </t>
    </r>
    <r>
      <rPr>
        <b/>
        <sz val="10"/>
        <rFont val="Calibri"/>
        <family val="2"/>
        <scheme val="minor"/>
      </rPr>
      <t>railing for ramp</t>
    </r>
    <r>
      <rPr>
        <sz val="10"/>
        <rFont val="Calibri"/>
        <family val="2"/>
        <scheme val="minor"/>
      </rPr>
      <t xml:space="preserve"> as per approved drawing with top rail of 50mm dia pipe and 2mm thick medium class fixed in to wall with 25mm dia pipe of 0.30m length @ 1m centre to centre and welding, buffing, polishing all members of the railing  thouroughly  , lacquer finishing to present seamless finish including cost and conveyance of all materials, electrodes, welding charges, cost of all consumables, labour charges , overheads &amp; contractors profit etc., complete for finished item of work.</t>
    </r>
  </si>
  <si>
    <r>
      <t>Brick Masonary for Basement with CM (1:6) proportion using 2nd class traditional bricks of size 23X11X7 cms having minimum crushing strength of 40kg/cm</t>
    </r>
    <r>
      <rPr>
        <vertAlign val="superscript"/>
        <sz val="10"/>
        <rFont val="Calibri"/>
        <family val="2"/>
        <scheme val="minor"/>
      </rPr>
      <t>2</t>
    </r>
    <r>
      <rPr>
        <sz val="10"/>
        <rFont val="Calibri"/>
        <family val="2"/>
        <scheme val="minor"/>
      </rPr>
      <t xml:space="preserve">  including c/c of all materials like Cement, Sand, Bricks, water etc including seigniorage, sales and other taxes on all marerilas including all operational, incidental and labour charges such as mixing cement mortar , Scaffolding charges, etc complete for finished item of work (APSS No 501 &amp; 504)</t>
    </r>
  </si>
  <si>
    <t>Bricks traditional size 23X11X7cms 2nd class</t>
  </si>
  <si>
    <r>
      <t>Brick Masonary for Superstructure with CM (1:8) proportion using 2nd class traditional bricks of size 23X11X7 cms having minimum crushing strength of 40kg/cm</t>
    </r>
    <r>
      <rPr>
        <vertAlign val="superscript"/>
        <sz val="10"/>
        <rFont val="Calibri"/>
        <family val="2"/>
        <scheme val="minor"/>
      </rPr>
      <t>2</t>
    </r>
    <r>
      <rPr>
        <sz val="10"/>
        <rFont val="Calibri"/>
        <family val="2"/>
        <scheme val="minor"/>
      </rPr>
      <t xml:space="preserve">  including c/c of all materials like Cement, Sand, Bricks, water etc including seigniorage, sales and other taxes on all marerilas including all operational, incidental and labour charges such as mixing cement mortar , Scaffolding charges, etc complete for finished item of work (APSS No 501 &amp; 504)</t>
    </r>
  </si>
  <si>
    <t>Bricks traditional size 23X11X7cm 2nd class</t>
  </si>
  <si>
    <r>
      <t xml:space="preserve">Ceiling Plastering in CM (1:3) 12mm thick with dubara sponge finishing  including cost and conveyance of all materials including all labour charges such as mixing cement mortar and curing etc complete for finished item of work (APSS 901 &amp; 903) </t>
    </r>
    <r>
      <rPr>
        <b/>
        <sz val="10"/>
        <rFont val="Calibri"/>
        <family val="2"/>
        <scheme val="minor"/>
      </rPr>
      <t>as per Amendment Data SoR 16-17</t>
    </r>
  </si>
  <si>
    <r>
      <t xml:space="preserve">Plastering in CM (1:5) 12mm thick  single coat including c/c of all materials including all operational, incidental and labour charges such as mixing cement mortar and curing etc complete for finished item of work (APSS 901,  903 &amp; 904)  for internal walls </t>
    </r>
    <r>
      <rPr>
        <b/>
        <sz val="10"/>
        <rFont val="Calibri"/>
        <family val="2"/>
        <scheme val="minor"/>
      </rPr>
      <t>as per Amendment Data SoR 16-17</t>
    </r>
  </si>
  <si>
    <r>
      <t xml:space="preserve">Plastering in CM (1:5) 20mm thick  single coat including c/c of all materials including all operational, incidental and labour charges such as mixing cement mortar and curing etc complete for finished item of work (APSS 901,  903 &amp; 904)  for External walls </t>
    </r>
    <r>
      <rPr>
        <b/>
        <sz val="10"/>
        <rFont val="Calibri"/>
        <family val="2"/>
        <scheme val="minor"/>
      </rPr>
      <t>as per Amendment Data SoR 16-17</t>
    </r>
  </si>
  <si>
    <r>
      <t xml:space="preserve">Plastering in CM (1:3) 20mm thick  single coat including c/c of all materials including all operational, incidental and labour charges such as mixing cement mortar and curing etc complete for finished item of work (APSS 901,  903 &amp; 904)  for External walls </t>
    </r>
    <r>
      <rPr>
        <b/>
        <sz val="10"/>
        <rFont val="Calibri"/>
        <family val="2"/>
        <scheme val="minor"/>
      </rPr>
      <t>as per Amendment Data SoR 16-17</t>
    </r>
  </si>
  <si>
    <r>
      <rPr>
        <b/>
        <sz val="10"/>
        <rFont val="Calibri"/>
        <family val="2"/>
        <scheme val="minor"/>
      </rPr>
      <t>Painting New Wood work</t>
    </r>
    <r>
      <rPr>
        <sz val="10"/>
        <rFont val="Calibri"/>
        <family val="2"/>
        <scheme val="minor"/>
      </rPr>
      <t xml:space="preserve"> with Two coats of ready mixed Synthatic Enamil paint first quality of shades over primary coat of wood primary making Three coats in all given as even shade after thoroughly brushes the surface to remove all remains of loose provided materials including cost and conveyance of all materials, cost of brushes and other opartational incidental ,seigniorage charges, labour charges, scaffolding charges etc complete for finished item of work as per APSS </t>
    </r>
  </si>
  <si>
    <r>
      <t xml:space="preserve">Supplying and fixing of  </t>
    </r>
    <r>
      <rPr>
        <b/>
        <sz val="10"/>
        <rFont val="Calibri"/>
        <family val="2"/>
        <scheme val="minor"/>
      </rPr>
      <t>Door</t>
    </r>
    <r>
      <rPr>
        <sz val="10"/>
        <rFont val="Calibri"/>
        <family val="2"/>
        <scheme val="minor"/>
      </rPr>
      <t xml:space="preserve"> of size </t>
    </r>
    <r>
      <rPr>
        <b/>
        <sz val="10"/>
        <rFont val="Calibri"/>
        <family val="2"/>
        <scheme val="minor"/>
      </rPr>
      <t>1.20X2.10M</t>
    </r>
    <r>
      <rPr>
        <sz val="10"/>
        <rFont val="Calibri"/>
        <family val="2"/>
        <scheme val="minor"/>
      </rPr>
      <t xml:space="preserve"> with two panels of frames made with teak wood and Shutter made with </t>
    </r>
    <r>
      <rPr>
        <b/>
        <sz val="10"/>
        <rFont val="Calibri"/>
        <family val="2"/>
        <scheme val="minor"/>
      </rPr>
      <t>medium Teak wood</t>
    </r>
    <r>
      <rPr>
        <sz val="10"/>
        <rFont val="Calibri"/>
        <family val="2"/>
        <scheme val="minor"/>
      </rPr>
      <t xml:space="preserve"> including  MS Z hold fasts , brass tower bolts, handle and butt hinges with all furniture fittings including c/c of all materials and furniture fittings etc complete as per specification  (APSS No 1001 &amp; 1002) </t>
    </r>
    <r>
      <rPr>
        <b/>
        <sz val="10"/>
        <rFont val="Calibri"/>
        <family val="2"/>
        <scheme val="minor"/>
      </rPr>
      <t>Door Frame with Shutters</t>
    </r>
  </si>
  <si>
    <r>
      <t xml:space="preserve">Supplying and fixing of  </t>
    </r>
    <r>
      <rPr>
        <b/>
        <sz val="10"/>
        <rFont val="Calibri"/>
        <family val="2"/>
        <scheme val="minor"/>
      </rPr>
      <t>Door</t>
    </r>
    <r>
      <rPr>
        <sz val="10"/>
        <rFont val="Calibri"/>
        <family val="2"/>
        <scheme val="minor"/>
      </rPr>
      <t xml:space="preserve"> of size </t>
    </r>
    <r>
      <rPr>
        <b/>
        <sz val="10"/>
        <rFont val="Calibri"/>
        <family val="2"/>
        <scheme val="minor"/>
      </rPr>
      <t>1.20X2.10M</t>
    </r>
    <r>
      <rPr>
        <sz val="10"/>
        <rFont val="Calibri"/>
        <family val="2"/>
        <scheme val="minor"/>
      </rPr>
      <t xml:space="preserve"> with single panels of frames made with sal wood and Shutter made with </t>
    </r>
    <r>
      <rPr>
        <b/>
        <sz val="10"/>
        <rFont val="Calibri"/>
        <family val="2"/>
        <scheme val="minor"/>
      </rPr>
      <t>Flush door shutters</t>
    </r>
    <r>
      <rPr>
        <sz val="10"/>
        <rFont val="Calibri"/>
        <family val="2"/>
        <scheme val="minor"/>
      </rPr>
      <t xml:space="preserve"> including  MS Z hold fasts , Alluminium tower bolts, handle and butt hinges with all furniture fittings including c/c of all materials and furniture fittings etc complete as per specification  (APSS No 1001 &amp; 1002) </t>
    </r>
    <r>
      <rPr>
        <b/>
        <sz val="10"/>
        <rFont val="Calibri"/>
        <family val="2"/>
        <scheme val="minor"/>
      </rPr>
      <t>Door Frame with Shutters</t>
    </r>
  </si>
  <si>
    <r>
      <t xml:space="preserve">Supplying and fixing of  </t>
    </r>
    <r>
      <rPr>
        <b/>
        <sz val="10"/>
        <rFont val="Calibri"/>
        <family val="2"/>
        <scheme val="minor"/>
      </rPr>
      <t>Door</t>
    </r>
    <r>
      <rPr>
        <sz val="10"/>
        <rFont val="Calibri"/>
        <family val="2"/>
        <scheme val="minor"/>
      </rPr>
      <t xml:space="preserve"> of size </t>
    </r>
    <r>
      <rPr>
        <b/>
        <sz val="10"/>
        <rFont val="Calibri"/>
        <family val="2"/>
        <scheme val="minor"/>
      </rPr>
      <t>1.05X2.10M</t>
    </r>
    <r>
      <rPr>
        <sz val="10"/>
        <rFont val="Calibri"/>
        <family val="2"/>
        <scheme val="minor"/>
      </rPr>
      <t xml:space="preserve"> with single panels of frames made with teak wood and Shutter made with </t>
    </r>
    <r>
      <rPr>
        <b/>
        <sz val="10"/>
        <rFont val="Calibri"/>
        <family val="2"/>
        <scheme val="minor"/>
      </rPr>
      <t>medium Teak wood</t>
    </r>
    <r>
      <rPr>
        <sz val="10"/>
        <rFont val="Calibri"/>
        <family val="2"/>
        <scheme val="minor"/>
      </rPr>
      <t xml:space="preserve"> including  MS Z hold fasts , Alluminium tower bolts, handle and butt hinges with all furniture fittings including c/c of all materials and furniture fittings etc complete as per specification  (APSS No 1001 &amp; 1002) </t>
    </r>
    <r>
      <rPr>
        <b/>
        <sz val="10"/>
        <rFont val="Calibri"/>
        <family val="2"/>
        <scheme val="minor"/>
      </rPr>
      <t>Door Frame with Shutters</t>
    </r>
  </si>
  <si>
    <t xml:space="preserve">Providing impervious coat to exposed RCC Roof Slab surface with CM (1:3) 12mm thick with 1Kg of water proof compound per bag of Cement laid over roof when it is green including c/c of all materials and labour charges for mixing mortar, laying, rendering smooth and thread lining, cutting, rounding off junctions of wall and slab etc for finished item of work (APSS 901,  903) </t>
  </si>
  <si>
    <t>BLD-CSTN-8-25</t>
  </si>
  <si>
    <t xml:space="preserve">Providing impervious coat to exposed RCC Roof Slab surface with CM (1:3) 20mm thick with 1Kg of water proof compound per bag of Cement laid over roof when it is green including c/c of all materials and labour charges for mixing mortar, laying, rendering smooth and thread lining of wall &amp; slab etc complete for finished item of work (APSS 901,903) </t>
  </si>
  <si>
    <r>
      <t xml:space="preserve">~do~ for  </t>
    </r>
    <r>
      <rPr>
        <b/>
        <sz val="10"/>
        <rFont val="Calibri"/>
        <family val="2"/>
        <scheme val="minor"/>
      </rPr>
      <t>Roof slab 50mm thick etc., complete</t>
    </r>
  </si>
  <si>
    <t xml:space="preserve">Reinforced Cement Concrete  M 25 nominal mix using 12mm size hard granite machine crushed graded metal (coarse aggregate - as per IS 383 - 1970 and IS 2386 Part 1 to Part 8) from approved quarry, using a minimum quantity of 350 kgs. of cement per 1 cum of concrete using concrete Mixer 10 / 7 cft (0.2 / 0.8 cum) capacity including cost and conveyance of  all materials  like cement,  fine aggregate (Sand), coarse aggregate, water etc., to site including centering, shuttering, labour charges such as weigh batching, machine mixing, hire charges of concrete mixer, laying concrete, lift charges, curing etc.,   for finished item of work (APSS No. 402 &amp; 403) </t>
  </si>
  <si>
    <r>
      <t xml:space="preserve">~do~ for  </t>
    </r>
    <r>
      <rPr>
        <b/>
        <sz val="10"/>
        <rFont val="Calibri"/>
        <family val="2"/>
        <scheme val="minor"/>
      </rPr>
      <t>Roof slab 25mm thick etc., complete</t>
    </r>
  </si>
  <si>
    <t>BLD-CSTN-6-18</t>
  </si>
  <si>
    <t xml:space="preserve">Common burnt clay bricks of class </t>
  </si>
  <si>
    <t xml:space="preserve">Loading charges
</t>
  </si>
  <si>
    <t xml:space="preserve">High Polished Granite 16 to 18 mm </t>
  </si>
  <si>
    <t>unloading charges</t>
  </si>
  <si>
    <t>RSSR 19-20</t>
  </si>
  <si>
    <t>BLD-CSTN-2-9
Amendment as per 2015-16</t>
  </si>
  <si>
    <t>RBR-FNDN    -2- (I)
Amendment as per 2015-16</t>
  </si>
  <si>
    <t>RBR-FNDN -        2- (I)
Amendment as per 2015-16</t>
  </si>
  <si>
    <t xml:space="preserve">BLD-CSTN-    2-18
Amendment </t>
  </si>
  <si>
    <t>Supplying, fitting &amp; placing HYSD bar reinforcement in foundation complete as per drawings and  technical Specifications including labour charges for cutting, bending to required sizes and shapes, placing in position and tying with binding wire, forming grills for reinforcement work including cost and conveyance of steel bars below 36mm dia including overlaps and wastage, where they are not welded</t>
  </si>
  <si>
    <t>Amendment ofasper Building SSR 2011-12</t>
  </si>
  <si>
    <t>Providing  Mild Steel (MS) steel bars  of different diameters for RCC works , including labour charges for straightening, cutting, bending to required sizes and shapes, placing in position with cover blocks of approved materials and size and tying and welding using electrodes, forming grills for reinforcement work as per approved designs and drawings, including cost and conveyance of steel bars, including all wastages such as overlaps, couplings, welding, chairs, spacer bars including cost and conveyance of binding wire, cover blocks and all incidental, operational, labour charges such as cutting, bending, placing in position, welding including sales and other taxes on all materials etc., complete for finished item of work.</t>
  </si>
  <si>
    <t>Unit = t</t>
  </si>
  <si>
    <t>(a) Material</t>
  </si>
  <si>
    <t>HYSD/ TMT/ MS bars including 2.5 per cent for wastage</t>
  </si>
  <si>
    <t>Welding Electrodes @ 5 per joint (14 joints / ton)</t>
  </si>
  <si>
    <t>each</t>
  </si>
  <si>
    <t>Binding wire ( MATERIAL &amp; WORK ITEM
RATES S.No.173)</t>
  </si>
  <si>
    <t>(b) Labour for cutting, bending, shifting to site, tying and placing in position</t>
  </si>
  <si>
    <t>Welder</t>
  </si>
  <si>
    <t>Black smith</t>
  </si>
  <si>
    <t>Mazdoor (Unskilled)</t>
  </si>
  <si>
    <t>Welding Charges (Hire charges of Welding Machine)</t>
  </si>
  <si>
    <t>Hr</t>
  </si>
  <si>
    <t>Rate per tonne</t>
  </si>
  <si>
    <t>Rate per Kg</t>
  </si>
  <si>
    <t>BLD-CSTN-4-9</t>
  </si>
  <si>
    <t>BLD-CSTN-    3-1a (v)</t>
  </si>
  <si>
    <t>BLD-CSTN-6-10</t>
  </si>
  <si>
    <t>BLD-CSTN-6-9</t>
  </si>
  <si>
    <t xml:space="preserve">Add Lift Charges @ 10%, 20% on Labour charges </t>
  </si>
  <si>
    <t>BLD-CSTN-5-1</t>
  </si>
  <si>
    <t>BLD-CSTN-7-11</t>
  </si>
  <si>
    <t>20Kg</t>
  </si>
  <si>
    <t>BLD-CSTN-10-2</t>
  </si>
  <si>
    <t>Painting, Priming Coat on New Plastered Surface for internal walls</t>
  </si>
  <si>
    <t>Unit: 10 sqm</t>
  </si>
  <si>
    <t>A. MATERIALS :</t>
  </si>
  <si>
    <t>B. LABOUR</t>
  </si>
  <si>
    <t>Total cost for 10 sqm</t>
  </si>
  <si>
    <t>Painting, Priming Coat on New Plastered Surface for external walls</t>
  </si>
  <si>
    <t>PRIMARY COAT:</t>
  </si>
  <si>
    <t>10 Sqm</t>
  </si>
  <si>
    <t xml:space="preserve">A) MATERIALS : </t>
  </si>
  <si>
    <t xml:space="preserve">acrylic Emulsion paint (at 20 sqm / liter as per British Paints (I) Ltd. </t>
  </si>
  <si>
    <t xml:space="preserve">B) LABOUR </t>
  </si>
  <si>
    <t xml:space="preserve">Painter - 1st Class </t>
  </si>
  <si>
    <t xml:space="preserve">Painter - 2nd class </t>
  </si>
  <si>
    <t>Lift Charges per 10 Sqmt.</t>
  </si>
  <si>
    <t>BASIC COST per 1 sqm</t>
  </si>
  <si>
    <t>Painting to new walls with 2 coats of acrylic Emulsion paint Asian  or equivalent and shade over Priming coat with Cement primer water base exterior Gr-2 Asian or equivalent on new plastered surface after throughly brushing the surace remove all dirt and remains of loose powdered materials including c/c of all materials to worksite and all oparational, incidental ,labour charges etc complete for finished item of work as per SS 912 for External walls</t>
  </si>
  <si>
    <t xml:space="preserve">Painting, Priming Coat with Cement Primer </t>
  </si>
  <si>
    <t xml:space="preserve">acrylic Emulsion paint </t>
  </si>
  <si>
    <t>BMT-F.29</t>
  </si>
  <si>
    <t xml:space="preserve">Teak Wood for Scantlings/Frames  </t>
  </si>
  <si>
    <t>BMT-E.01</t>
  </si>
  <si>
    <t xml:space="preserve">Teak Wood for Planks/Shutters </t>
  </si>
  <si>
    <t>BMT-E.04</t>
  </si>
  <si>
    <r>
      <t xml:space="preserve">150mm </t>
    </r>
    <r>
      <rPr>
        <sz val="10"/>
        <color rgb="FFFF0000"/>
        <rFont val="Calibri"/>
        <family val="2"/>
        <scheme val="minor"/>
      </rPr>
      <t>Brass</t>
    </r>
    <r>
      <rPr>
        <sz val="10"/>
        <rFont val="Calibri"/>
        <family val="2"/>
        <scheme val="minor"/>
      </rPr>
      <t xml:space="preserve"> tower bolts </t>
    </r>
  </si>
  <si>
    <t>BMT-G.02</t>
  </si>
  <si>
    <r>
      <t xml:space="preserve">Butt Hinges 125mm  </t>
    </r>
    <r>
      <rPr>
        <sz val="10"/>
        <color rgb="FFFF0000"/>
        <rFont val="Calibri"/>
        <family val="2"/>
        <scheme val="minor"/>
      </rPr>
      <t>Brass</t>
    </r>
    <r>
      <rPr>
        <sz val="10"/>
        <rFont val="Calibri"/>
        <family val="2"/>
        <scheme val="minor"/>
      </rPr>
      <t xml:space="preserve"> </t>
    </r>
  </si>
  <si>
    <t>BMT-G.21</t>
  </si>
  <si>
    <t xml:space="preserve">150mm Alluminium Door handle </t>
  </si>
  <si>
    <t>BMT-G.34</t>
  </si>
  <si>
    <r>
      <t xml:space="preserve">300mm </t>
    </r>
    <r>
      <rPr>
        <sz val="10"/>
        <color rgb="FFFF0000"/>
        <rFont val="Calibri"/>
        <family val="2"/>
        <scheme val="minor"/>
      </rPr>
      <t>Brass</t>
    </r>
    <r>
      <rPr>
        <sz val="10"/>
        <rFont val="Calibri"/>
        <family val="2"/>
        <scheme val="minor"/>
      </rPr>
      <t xml:space="preserve"> Aldrop </t>
    </r>
  </si>
  <si>
    <t>BMT-G.37</t>
  </si>
  <si>
    <t xml:space="preserve">Brass door stoppers </t>
  </si>
  <si>
    <t>BMT-G.46</t>
  </si>
  <si>
    <t xml:space="preserve">MS Z Hold fasts 300mm Long </t>
  </si>
  <si>
    <t>BMS-W.69</t>
  </si>
  <si>
    <t xml:space="preserve">wrought &amp; Putup Labour charges </t>
  </si>
  <si>
    <t>BMM-V.25</t>
  </si>
  <si>
    <t xml:space="preserve">WPC shutter door </t>
  </si>
  <si>
    <t>BMT-N.88</t>
  </si>
  <si>
    <t>BMM-V.42</t>
  </si>
  <si>
    <t xml:space="preserve">150mm Alluminium tower bolts </t>
  </si>
  <si>
    <t>BMT-G.08</t>
  </si>
  <si>
    <t xml:space="preserve">Butt Hinges 125mm  Alluminiu </t>
  </si>
  <si>
    <t>BMT-G.25</t>
  </si>
  <si>
    <t xml:space="preserve">300mm Alluminium Aldrop </t>
  </si>
  <si>
    <t>BMT-G.42</t>
  </si>
  <si>
    <t xml:space="preserve">Door stopper MS Powder coated </t>
  </si>
  <si>
    <t>BMT-G.53</t>
  </si>
  <si>
    <t>wrought &amp; Putup Labour charges 
For frames only (1/3)</t>
  </si>
  <si>
    <t>Rate per 1 Sqm</t>
  </si>
  <si>
    <t>Rate per 1 No</t>
  </si>
  <si>
    <t xml:space="preserve">Plain float glass </t>
  </si>
  <si>
    <t>BMT-I.01</t>
  </si>
  <si>
    <t>BMS-W.17</t>
  </si>
  <si>
    <t xml:space="preserve">Cost of  Frame  </t>
  </si>
  <si>
    <t>BMT-N.83.C</t>
  </si>
  <si>
    <t xml:space="preserve">Labour charges for frame work </t>
  </si>
  <si>
    <t xml:space="preserve">BMM-V.42 </t>
  </si>
  <si>
    <t xml:space="preserve">Labour charges for Shutter </t>
  </si>
  <si>
    <t xml:space="preserve">200mm Alluminium tower bolts </t>
  </si>
  <si>
    <t>BMT-G.09</t>
  </si>
  <si>
    <t>Initial cost  two track panels</t>
  </si>
  <si>
    <t>BMT-P.80.A</t>
  </si>
  <si>
    <t xml:space="preserve">Initial cost  Three track </t>
  </si>
  <si>
    <t>Initial cost  Glazed window</t>
  </si>
  <si>
    <t>BMT-P.79</t>
  </si>
  <si>
    <t>Initial cost  (SSR 2012-13)</t>
  </si>
  <si>
    <t>BMT-J.46</t>
  </si>
  <si>
    <t xml:space="preserve">Poly-Urethene Polish - exteritor Grade </t>
  </si>
  <si>
    <t>BMT-J.13</t>
  </si>
  <si>
    <t xml:space="preserve">Thinner for Polyurethane polish </t>
  </si>
  <si>
    <t xml:space="preserve">18" dia(0.45Mts) 2" thick hume pipe ring </t>
  </si>
  <si>
    <t>ELEC-8.4.22</t>
  </si>
  <si>
    <t xml:space="preserve">CC Cover for hume pipe </t>
  </si>
  <si>
    <t>ELEC-8.4.24</t>
  </si>
  <si>
    <t>Jungle</t>
  </si>
  <si>
    <t>Total tasl Amount</t>
  </si>
  <si>
    <t>Earthwork</t>
  </si>
  <si>
    <t>Selected earth filling</t>
  </si>
  <si>
    <t>Sand filling</t>
  </si>
  <si>
    <t>Columns</t>
  </si>
  <si>
    <t>Plinth beam</t>
  </si>
  <si>
    <t>Plain Cement Concrete  M30 Nominal mix (Cement: Sand: Metal) corresponding Table 9 of IS 456 using 20mm size graded machine crushed hard granite metal from approved quarry including c/c of all materials like Cement, Sand, coarse aggregate, water etc to site, all marerials including labour charges such as machine mixing, laying concrete, curing etc complete but excluding cost of steel and its fabrication charges for finished item of work for Steps</t>
  </si>
  <si>
    <t>Poly-Urethane Water Proof Polish</t>
  </si>
  <si>
    <t xml:space="preserve">S&amp;F of 1200 &amp; 900 mm dia 2" thick Precasted  cc cover for hume pipe including cost and conveyance of all material and labour charges etc., complete for septic Tank </t>
  </si>
  <si>
    <t>Precasted slab 25mm</t>
  </si>
  <si>
    <t>Acco Plaster'g CM (1:3) 12mm</t>
  </si>
  <si>
    <t>As per Paid bill</t>
  </si>
  <si>
    <t>110mm dia pvc pipe</t>
  </si>
  <si>
    <t>90mm dia pvc pipe</t>
  </si>
  <si>
    <t>75mm dia pvc pipe</t>
  </si>
  <si>
    <t>Nahany trap</t>
  </si>
  <si>
    <t>180mm dia bore cap</t>
  </si>
  <si>
    <t>12 Module box</t>
  </si>
  <si>
    <t>8 Module box</t>
  </si>
  <si>
    <t>6 Module box</t>
  </si>
  <si>
    <t>18 Module box</t>
  </si>
  <si>
    <t>4 Module box</t>
  </si>
  <si>
    <t>2 Module box</t>
  </si>
  <si>
    <t>6A flush type Neon Indicator.</t>
  </si>
  <si>
    <t>exhaust fan</t>
  </si>
  <si>
    <t>Difference in cost of Steel rate</t>
  </si>
  <si>
    <t>Certified that the above leads are correct to the best of my knowledge.</t>
  </si>
  <si>
    <t>1)</t>
  </si>
  <si>
    <t>2)</t>
  </si>
  <si>
    <t>Certified that the rates are provided as per SSR 2019-20</t>
  </si>
  <si>
    <t>DIFFERENCE IN COST OF MATERIAL RATES</t>
  </si>
  <si>
    <t>CEMENT</t>
  </si>
  <si>
    <t>(As per working)</t>
  </si>
  <si>
    <t>(As per Bill)</t>
  </si>
  <si>
    <t>Sand filling Difference</t>
  </si>
  <si>
    <t>As per  bill</t>
  </si>
  <si>
    <t>SAND FOR MORTOR</t>
  </si>
  <si>
    <t>SAND FOR FILLING</t>
  </si>
  <si>
    <t>Sand for Mortor Difference</t>
  </si>
  <si>
    <t>SAND FOR CONCRETE</t>
  </si>
  <si>
    <t>Sand for Concrete Difference</t>
  </si>
  <si>
    <t>20 to 12mm graded material</t>
  </si>
  <si>
    <t>20-12 mm Graded Material</t>
  </si>
  <si>
    <t>20-12 mm Graded Material Difference</t>
  </si>
  <si>
    <t>40MM HBG Material</t>
  </si>
  <si>
    <t>40mm HBG Material</t>
  </si>
  <si>
    <t>40mm HBG Material Difference</t>
  </si>
  <si>
    <t>HYSD -500 steel</t>
  </si>
  <si>
    <t>Type of Material</t>
  </si>
  <si>
    <t>impervious coat over roof slab-12mm</t>
  </si>
  <si>
    <t>impervious coat over roof slab-20mm</t>
  </si>
  <si>
    <t xml:space="preserve">Providing skirting to vitrified tiles </t>
  </si>
  <si>
    <t>1200mm dia  2" thick Precasted rcc hume rings</t>
  </si>
  <si>
    <t>900mm dia  2" thick Precasted rcc hume rings</t>
  </si>
  <si>
    <t>Precasted hume ring slab</t>
  </si>
  <si>
    <t>CW-04</t>
  </si>
  <si>
    <t>cw-07</t>
  </si>
  <si>
    <t>CW-09</t>
  </si>
  <si>
    <t>CW-19</t>
  </si>
  <si>
    <t>CW-20</t>
  </si>
  <si>
    <t>50 thick</t>
  </si>
  <si>
    <t>Parapet wall</t>
  </si>
  <si>
    <t>Dummy columns</t>
  </si>
  <si>
    <t>Demo quipment</t>
  </si>
  <si>
    <t>Agristore</t>
  </si>
  <si>
    <t>Certified that the work is completed in all respect</t>
  </si>
  <si>
    <t>Ele 1.4.2 (b)</t>
  </si>
  <si>
    <t>Taking Output = 100 M</t>
  </si>
  <si>
    <t>25mm dia 1,2,3 &amp; 4 way deep Junction Box</t>
  </si>
  <si>
    <t>25mm PVC bends</t>
  </si>
  <si>
    <t>Semi Skilled Electrician</t>
  </si>
  <si>
    <t xml:space="preserve">Helper (Electrical) </t>
  </si>
  <si>
    <t>ELEC-1.2.6 b</t>
  </si>
  <si>
    <t>ELEC-1.2.8 b</t>
  </si>
  <si>
    <t>ELEC-1.2.2 b</t>
  </si>
  <si>
    <t>Supply and Fixing of 25mm dia 1.8mm thick PVC pipe (ISI MARK) concealed in Roof Slabs with all required accessories including masonary work  and labour charges etc., complete.</t>
  </si>
  <si>
    <t>U' Links</t>
  </si>
  <si>
    <t>Mason Ist class</t>
  </si>
  <si>
    <t>25mm dia 1.8mm thick PVC pipe</t>
  </si>
  <si>
    <t>Supply and Fixing of 25mm dia 1.8mm thick PVC pipe (ISI MARK) concealed in wall with all required accessories including masonary work  and labour charges etc., complete.</t>
  </si>
  <si>
    <t>ELEC-8.1.4</t>
  </si>
  <si>
    <t>Supply of  Hot Dip galvanized 20/18 SWG Module box with earthing terminal for 16 Module box</t>
  </si>
  <si>
    <t xml:space="preserve"> Initial cost ELEC-1.8.3 c  4M</t>
  </si>
  <si>
    <t>200/18 SWG Module box w for 16 Module box</t>
  </si>
  <si>
    <t>INPUT SHEET</t>
  </si>
  <si>
    <t>31</t>
  </si>
  <si>
    <t>36</t>
  </si>
  <si>
    <t>37</t>
  </si>
  <si>
    <t>38</t>
  </si>
  <si>
    <t>39</t>
  </si>
  <si>
    <t>40</t>
  </si>
  <si>
    <t>52</t>
  </si>
  <si>
    <t>Tiles</t>
  </si>
  <si>
    <t>Motravulapadu</t>
  </si>
  <si>
    <t>Kanigiri</t>
  </si>
  <si>
    <t>KANIGIRI</t>
  </si>
  <si>
    <t>Deduct staircase</t>
  </si>
  <si>
    <t>Mid landing beam-1</t>
  </si>
  <si>
    <t>Mid landing beam-2</t>
  </si>
  <si>
    <t>B1E1 &amp; B3E3</t>
  </si>
  <si>
    <t>Landing side</t>
  </si>
  <si>
    <t>B2C2</t>
  </si>
  <si>
    <t>C2D2</t>
  </si>
  <si>
    <t>Deduct counter</t>
  </si>
  <si>
    <t>Deduct opening</t>
  </si>
  <si>
    <t>Supply and Transportation of 1.00HP single phase ISI  submersible mortor Pumpset subitable for 4" bore well Makes:Kirloskar/ Crompton/ CRI/ KSB/ Texmo/Aryan Varsha</t>
  </si>
  <si>
    <t>windows grills</t>
  </si>
  <si>
    <t>Septic tank sides</t>
  </si>
  <si>
    <t>Left side</t>
  </si>
  <si>
    <t>Secretary room alround</t>
  </si>
  <si>
    <t>Sunshade</t>
  </si>
  <si>
    <t>Staircase opening</t>
  </si>
  <si>
    <t>Ceiling</t>
  </si>
  <si>
    <t>long side</t>
  </si>
  <si>
    <t>Short side</t>
  </si>
  <si>
    <t>Back side</t>
  </si>
  <si>
    <t>Aqua room</t>
  </si>
  <si>
    <t>Staircase sides</t>
  </si>
  <si>
    <t>( Three Tracks)</t>
  </si>
  <si>
    <t>GF windows</t>
  </si>
  <si>
    <t>two tracks</t>
  </si>
  <si>
    <t>Frame and shutter</t>
  </si>
  <si>
    <t>8MM</t>
  </si>
  <si>
    <t>10MM</t>
  </si>
  <si>
    <t>16MM</t>
  </si>
  <si>
    <t>P.Beam</t>
  </si>
  <si>
    <t>SF beams</t>
  </si>
  <si>
    <t>GF Lintels</t>
  </si>
  <si>
    <t>FF Lintels</t>
  </si>
  <si>
    <t>GF sunshades</t>
  </si>
  <si>
    <t>FF sunshades</t>
  </si>
  <si>
    <t>SAND (DEPARTMENT SUPPLY)</t>
  </si>
  <si>
    <t>Sand cost</t>
  </si>
  <si>
    <t>Sand Difference amount</t>
  </si>
  <si>
    <t>Cost of sand</t>
  </si>
  <si>
    <t>Conveyance of sand</t>
  </si>
  <si>
    <t>SPN Distribution board</t>
  </si>
  <si>
    <t>Street light</t>
  </si>
  <si>
    <t>Stainless steel</t>
  </si>
  <si>
    <t>Initial cost  ELEC-5.4.1 c</t>
  </si>
  <si>
    <t>Reinforced Cement Concrete  M25 Nominal mix (Cement: Sand: Metal) corresponding Table 9 of IS 456 using 20mm size graded machine crushed hard granite metal from approved quarry including c/c of all materials like Cement, Sand, coarse aggregate, water etc to site, all marerials including labour charges such as machine mixing, laying concrete, curing etc complete but excluding cost of steel and its fabrication charges for finished item of work for column footings</t>
  </si>
  <si>
    <r>
      <t xml:space="preserve">Reinforced Cement Concrete  M25 Nominal mix (Cement: Sand: Metal) corresponding Table 9 of IS 456 using 20mm size graded machine crushed hard granite metal from approved quarry including c/c of all materials like Cement, Sand, coarse aggregate, water etc to site, all marerials including labour charges such as machine mixing, laying concrete, curing etc complete but excluding cost of steel and its fabrication charges for finished item of work for </t>
    </r>
    <r>
      <rPr>
        <b/>
        <sz val="10"/>
        <rFont val="Calibri"/>
        <family val="2"/>
        <scheme val="minor"/>
      </rPr>
      <t>Columns etc., complete</t>
    </r>
  </si>
  <si>
    <t>S&amp;F of 12 / 15 MS plain rod fan hook</t>
  </si>
  <si>
    <t xml:space="preserve"> Initial cost ELEC-8.1.20</t>
  </si>
  <si>
    <t>Fan hook</t>
  </si>
  <si>
    <t>81</t>
  </si>
  <si>
    <t>96</t>
  </si>
  <si>
    <t>98</t>
  </si>
  <si>
    <t>99</t>
  </si>
  <si>
    <t>68</t>
  </si>
  <si>
    <t>70</t>
  </si>
  <si>
    <t>75</t>
  </si>
  <si>
    <t>82</t>
  </si>
  <si>
    <t>83</t>
  </si>
  <si>
    <t>85</t>
  </si>
  <si>
    <t>87</t>
  </si>
  <si>
    <t>88</t>
  </si>
  <si>
    <t>91</t>
  </si>
  <si>
    <t>92</t>
  </si>
  <si>
    <t>93</t>
  </si>
  <si>
    <t>95</t>
  </si>
  <si>
    <t>97</t>
  </si>
  <si>
    <t>101</t>
  </si>
  <si>
    <t>102</t>
  </si>
  <si>
    <t>103</t>
  </si>
  <si>
    <t>104</t>
  </si>
  <si>
    <t>124</t>
  </si>
  <si>
    <t>146</t>
  </si>
  <si>
    <t>148</t>
  </si>
  <si>
    <t>Name board</t>
  </si>
  <si>
    <t>F1 footing</t>
  </si>
  <si>
    <t>F2 footing</t>
  </si>
  <si>
    <t>Middle long wall</t>
  </si>
  <si>
    <t>Cross walls long</t>
  </si>
  <si>
    <t>Block-8</t>
  </si>
  <si>
    <t>C1/F1</t>
  </si>
  <si>
    <t>C1/F2</t>
  </si>
  <si>
    <t>C2/F2</t>
  </si>
  <si>
    <t>Deductions</t>
  </si>
  <si>
    <t>C2/F2 To C2/F2</t>
  </si>
  <si>
    <t>B1 to B4</t>
  </si>
  <si>
    <t>Deduction</t>
  </si>
  <si>
    <t>FB112</t>
  </si>
  <si>
    <t>Dead slab (1st flight)</t>
  </si>
  <si>
    <t>Dead slab (2nd flight)</t>
  </si>
  <si>
    <t>Elevation sides</t>
  </si>
  <si>
    <t>Middle</t>
  </si>
  <si>
    <t>1st landing step</t>
  </si>
  <si>
    <t>2nd landing step</t>
  </si>
  <si>
    <t>Lab</t>
  </si>
  <si>
    <t>Staff room windows grills</t>
  </si>
  <si>
    <t>Digital room</t>
  </si>
  <si>
    <t>Door frame and shutter</t>
  </si>
  <si>
    <t>Beam and slab</t>
  </si>
  <si>
    <t>1st flight (dead slab)</t>
  </si>
  <si>
    <t>Over first slab</t>
  </si>
  <si>
    <t>3rd landing step</t>
  </si>
  <si>
    <t>4th landing steps</t>
  </si>
  <si>
    <t>Head room slab</t>
  </si>
  <si>
    <t>North and south side</t>
  </si>
  <si>
    <t>head room side</t>
  </si>
  <si>
    <t>Supplying and fixing of  Door of size 0.90X2.10M with single panels of frames made with teak wood and Shutter made with medium Teak wood including  MS Z hold fasts , Alluminium tower bolts, handle and butt hinges with all furniture fittings including c/c of all materials and furniture fittings etc complete as per specification  (APSS No 1001 &amp; 1002) Door Frame with Shutters</t>
  </si>
  <si>
    <t>Supplying and fixing of  Door of size 0.80X2.10M with single panels of frames made with teak wood and Shutter made with medium Teak wood including  MS Z hold fasts , Alluminium tower bolts, handle and butt hinges with all furniture fittings including c/c of all materials and furniture fittings etc complete as per specification  (APSS No 1001 &amp; 1002) Door Frame with Shutters</t>
  </si>
  <si>
    <t>Supplying and fixing of  Door of size 0.80X2.10M with single panels of frames made with sal wood and Shutter made with sal wood including  MS Z hold fasts , Alluminium tower bolts, handle and butt hinges with all furniture fittings including c/c of all materials and furniture fittings etc complete as per specification  (APSS No 1001 &amp; 1002) Door Frame with Shutters</t>
  </si>
  <si>
    <t>( Single Tracks)</t>
  </si>
  <si>
    <t>Supplying and fixing of stainless steel (grade 304) railing for ramp as per approved drawing with top rail of 50mm dia pipe and 2mm thick medium class fixed in to wall with 25mm dia pipe of 0.30m length @ 1m centre to centre and welding, buffing, polishing all members of the railing  thouroughly  , lacquer finishing to present seamless finish including cost and conveyance of all materials, electrodes, welding charges, cost of all consumables, labour charges , overheads &amp; contractors profit etc., complete for finished item of work.</t>
  </si>
  <si>
    <r>
      <t>Supply and Fixing of Premium make CPVC Pipes and Fittings to meet the requirement of ASTM-D 2846 and are produced in CTS (Copper Tube Sizes 1/2" ton 2" Ashirvad  lowgurard SDR 11 and SDR 13.5 pipes are made from  dential CPVC compounds having the same physical  roperties for Hot and Cold Water (IS 15778:2007)</t>
    </r>
    <r>
      <rPr>
        <b/>
        <sz val="10"/>
        <rFont val="Calibri"/>
        <family val="2"/>
        <scheme val="minor"/>
      </rPr>
      <t>for  20mm dia</t>
    </r>
  </si>
  <si>
    <t>Lead Chart based on Common SOR-2020-21</t>
  </si>
  <si>
    <t>Conveyance charges-2020-21</t>
  </si>
  <si>
    <t>As per Machinery</t>
  </si>
  <si>
    <t>Earth/Sand/Gravel</t>
  </si>
  <si>
    <t xml:space="preserve">Bricks 1000Nos </t>
  </si>
  <si>
    <t>stone</t>
  </si>
  <si>
    <t xml:space="preserve">Initial lead Rete </t>
  </si>
  <si>
    <t xml:space="preserve">Add Loading &amp; Unloading </t>
  </si>
  <si>
    <t xml:space="preserve">Net Lead Charges </t>
  </si>
  <si>
    <t xml:space="preserve">scaffoldi material hire charge </t>
  </si>
  <si>
    <t>scaffold Lab charges</t>
  </si>
  <si>
    <t xml:space="preserve">scaffolding material hire charge </t>
  </si>
  <si>
    <t>scaffolding Lab charges</t>
  </si>
  <si>
    <t xml:space="preserve">scaffolding material hire charges </t>
  </si>
  <si>
    <t xml:space="preserve">scfolding Lab charg  </t>
  </si>
  <si>
    <t>scfolding Lab charges</t>
  </si>
  <si>
    <t xml:space="preserve">scfolding Lab charg </t>
  </si>
  <si>
    <t>Add extra for Scaffolding Material  Charges</t>
  </si>
  <si>
    <t xml:space="preserve">Add extra for Scaffolding labour  Charges  @   </t>
  </si>
  <si>
    <t>Ele 1.4.2 (a)</t>
  </si>
  <si>
    <t>Skilled Electrician.</t>
  </si>
  <si>
    <t>Semi Skilled Electrician / Lineman</t>
  </si>
  <si>
    <t xml:space="preserve">Supply of 3 Module box </t>
  </si>
  <si>
    <t>Ele 3.1.3</t>
  </si>
  <si>
    <t>Supply and run of 2 of 22/0.3mm (1.5 Sq.mm) F.R P.V.C. insulated flexible copper cable in existing pipe for mains inlcuding all labour charges etc., complete</t>
  </si>
  <si>
    <t>Supply of 36/0.3mm (2.5 Sqmm) FRLS / HFFR  PVC insulated 1100V grade as per IS:694/1990 specification for Copper cable of Finolex / RR kabel / Havells /KEI/Polycab/Gloster</t>
  </si>
  <si>
    <t xml:space="preserve">Supply of 56/0.3mm (4.0 Sqmm) FRLS / HFFR  PVC insulated 1100V grade as per IS:694/1990 specification for Copper cable of makes Finolex / RR kabel / Havells /KEI/Polycab/Gloster. </t>
  </si>
  <si>
    <t>Supply of  BH / SBH of makes GM G Home / Gold Medal Olive / Million Zoom / Great whiteOmega/Koncept/Vimal opel/ Anchor/Vihan/CPL.(ELEC--1.7.1-N)</t>
  </si>
  <si>
    <t>Ele 9.7.35</t>
  </si>
  <si>
    <t>Supply of 23 / 0060 twin core twisted  ELEC-1.5.6</t>
  </si>
  <si>
    <t>Stepped type fan regulator ELEC-1.7.1 I</t>
  </si>
  <si>
    <t xml:space="preserve">Supply of 48" (1200mm) Sweep 5 Star rated Ceiling Fan ELEC-5.1.4 </t>
  </si>
  <si>
    <t>Ele 9.7.2</t>
  </si>
  <si>
    <t>Ele 9.7.26</t>
  </si>
  <si>
    <t>Supply and fixing of  Stepped Electronic fan regulator hum free step type socket size in the existing switch board.</t>
  </si>
  <si>
    <t>Ele 9.7.25</t>
  </si>
  <si>
    <t>19/20mm steel tube down rod with bolts &amp; nuts for  fan with maching colour.</t>
  </si>
  <si>
    <t>Ele 9.7.24</t>
  </si>
  <si>
    <t>Supply and erecting fan hook of 12/15mm dia M.S. rod / bar grouted in RCC slab with making the slab as original.</t>
  </si>
  <si>
    <t>Mason</t>
  </si>
  <si>
    <t xml:space="preserve">Helper </t>
  </si>
  <si>
    <t>Supply of 23 / 0060 twin core twisted  ELEC-1.5.6)</t>
  </si>
  <si>
    <r>
      <t xml:space="preserve">Supplying and fixing of  </t>
    </r>
    <r>
      <rPr>
        <b/>
        <sz val="10"/>
        <rFont val="Calibri"/>
        <family val="2"/>
        <scheme val="minor"/>
      </rPr>
      <t>Door</t>
    </r>
    <r>
      <rPr>
        <sz val="10"/>
        <rFont val="Calibri"/>
        <family val="2"/>
        <scheme val="minor"/>
      </rPr>
      <t xml:space="preserve"> of size </t>
    </r>
    <r>
      <rPr>
        <b/>
        <sz val="10"/>
        <rFont val="Calibri"/>
        <family val="2"/>
        <scheme val="minor"/>
      </rPr>
      <t>0.90X2.10M</t>
    </r>
    <r>
      <rPr>
        <sz val="10"/>
        <rFont val="Calibri"/>
        <family val="2"/>
        <scheme val="minor"/>
      </rPr>
      <t xml:space="preserve"> with single panels of frames made with teak wood and Shutter made with </t>
    </r>
    <r>
      <rPr>
        <b/>
        <sz val="10"/>
        <rFont val="Calibri"/>
        <family val="2"/>
        <scheme val="minor"/>
      </rPr>
      <t>medium Teak wood</t>
    </r>
    <r>
      <rPr>
        <sz val="10"/>
        <rFont val="Calibri"/>
        <family val="2"/>
        <scheme val="minor"/>
      </rPr>
      <t xml:space="preserve"> including  MS Z hold fasts , Alluminium tower bolts, handle and butt hinges with all furniture fittings including c/c of all materials and furniture fittings etc complete as per specification  (APSS No 1001 &amp; 1002) </t>
    </r>
    <r>
      <rPr>
        <b/>
        <sz val="10"/>
        <rFont val="Calibri"/>
        <family val="2"/>
        <scheme val="minor"/>
      </rPr>
      <t>Door Frame with Shutters</t>
    </r>
  </si>
  <si>
    <r>
      <t xml:space="preserve">Supplying and fixing of  </t>
    </r>
    <r>
      <rPr>
        <b/>
        <sz val="10"/>
        <rFont val="Calibri"/>
        <family val="2"/>
        <scheme val="minor"/>
      </rPr>
      <t>Door</t>
    </r>
    <r>
      <rPr>
        <sz val="10"/>
        <rFont val="Calibri"/>
        <family val="2"/>
        <scheme val="minor"/>
      </rPr>
      <t xml:space="preserve"> of size </t>
    </r>
    <r>
      <rPr>
        <b/>
        <sz val="10"/>
        <rFont val="Calibri"/>
        <family val="2"/>
        <scheme val="minor"/>
      </rPr>
      <t>0.80X2.10M</t>
    </r>
    <r>
      <rPr>
        <sz val="10"/>
        <rFont val="Calibri"/>
        <family val="2"/>
        <scheme val="minor"/>
      </rPr>
      <t xml:space="preserve"> with single panels of frames made with teak wood and Shutter made with </t>
    </r>
    <r>
      <rPr>
        <b/>
        <sz val="10"/>
        <rFont val="Calibri"/>
        <family val="2"/>
        <scheme val="minor"/>
      </rPr>
      <t>medium Teak wood</t>
    </r>
    <r>
      <rPr>
        <sz val="10"/>
        <rFont val="Calibri"/>
        <family val="2"/>
        <scheme val="minor"/>
      </rPr>
      <t xml:space="preserve"> including  MS Z hold fasts , Alluminium tower bolts, handle and butt hinges with all furniture fittings including c/c of all materials and furniture fittings etc complete as per specification  (APSS No 1001 &amp; 1002) </t>
    </r>
    <r>
      <rPr>
        <b/>
        <sz val="10"/>
        <rFont val="Calibri"/>
        <family val="2"/>
        <scheme val="minor"/>
      </rPr>
      <t>Door Frame with Shutters</t>
    </r>
  </si>
  <si>
    <r>
      <t xml:space="preserve">Supplying and fixing of  </t>
    </r>
    <r>
      <rPr>
        <b/>
        <sz val="10"/>
        <rFont val="Calibri"/>
        <family val="2"/>
        <scheme val="minor"/>
      </rPr>
      <t>Door</t>
    </r>
    <r>
      <rPr>
        <sz val="10"/>
        <rFont val="Calibri"/>
        <family val="2"/>
        <scheme val="minor"/>
      </rPr>
      <t xml:space="preserve"> of size </t>
    </r>
    <r>
      <rPr>
        <b/>
        <sz val="10"/>
        <rFont val="Calibri"/>
        <family val="2"/>
        <scheme val="minor"/>
      </rPr>
      <t>0.90X2.10M</t>
    </r>
    <r>
      <rPr>
        <sz val="10"/>
        <rFont val="Calibri"/>
        <family val="2"/>
        <scheme val="minor"/>
      </rPr>
      <t xml:space="preserve"> with single panels of frames made with sal wood and Shutter made with </t>
    </r>
    <r>
      <rPr>
        <b/>
        <sz val="10"/>
        <rFont val="Calibri"/>
        <family val="2"/>
        <scheme val="minor"/>
      </rPr>
      <t>sal wood</t>
    </r>
    <r>
      <rPr>
        <sz val="10"/>
        <rFont val="Calibri"/>
        <family val="2"/>
        <scheme val="minor"/>
      </rPr>
      <t xml:space="preserve"> including  MS Z hold fasts , Alluminium tower bolts, handle and butt hinges with all furniture fittings including c/c of all materials and furniture fittings etc complete as per specification  (APSS No 1001 &amp; 1002) </t>
    </r>
    <r>
      <rPr>
        <b/>
        <sz val="10"/>
        <rFont val="Calibri"/>
        <family val="2"/>
        <scheme val="minor"/>
      </rPr>
      <t>Door Frame with Shutters</t>
    </r>
  </si>
  <si>
    <t>Shutters : Sal Wood</t>
  </si>
  <si>
    <t>BMT-E.15</t>
  </si>
  <si>
    <t xml:space="preserve">Sal Wood for Scantlings/Frames  </t>
  </si>
  <si>
    <t>BMT-E.16</t>
  </si>
  <si>
    <t xml:space="preserve">Sal Wood for Planks/Shutters </t>
  </si>
  <si>
    <r>
      <t xml:space="preserve">150mm </t>
    </r>
    <r>
      <rPr>
        <sz val="10"/>
        <color rgb="FFFF0000"/>
        <rFont val="Calibri"/>
        <family val="2"/>
        <scheme val="minor"/>
      </rPr>
      <t>Alluminium</t>
    </r>
    <r>
      <rPr>
        <sz val="10"/>
        <rFont val="Calibri"/>
        <family val="2"/>
        <scheme val="minor"/>
      </rPr>
      <t xml:space="preserve"> tower bolts </t>
    </r>
  </si>
  <si>
    <r>
      <t xml:space="preserve">300mm </t>
    </r>
    <r>
      <rPr>
        <sz val="10"/>
        <color rgb="FFFF0000"/>
        <rFont val="Calibri"/>
        <family val="2"/>
        <scheme val="minor"/>
      </rPr>
      <t>Alluminium</t>
    </r>
    <r>
      <rPr>
        <sz val="10"/>
        <rFont val="Calibri"/>
        <family val="2"/>
        <scheme val="minor"/>
      </rPr>
      <t xml:space="preserve"> Aldrop </t>
    </r>
  </si>
  <si>
    <t>BMT-G.57</t>
  </si>
  <si>
    <t xml:space="preserve">Alluminium door stoppers </t>
  </si>
  <si>
    <t>BMM-V.38</t>
  </si>
  <si>
    <r>
      <t xml:space="preserve">Supplying and fixing of  </t>
    </r>
    <r>
      <rPr>
        <b/>
        <sz val="10"/>
        <rFont val="Calibri"/>
        <family val="2"/>
        <scheme val="minor"/>
      </rPr>
      <t>Door</t>
    </r>
    <r>
      <rPr>
        <sz val="10"/>
        <rFont val="Calibri"/>
        <family val="2"/>
        <scheme val="minor"/>
      </rPr>
      <t xml:space="preserve"> of size </t>
    </r>
    <r>
      <rPr>
        <b/>
        <sz val="10"/>
        <rFont val="Calibri"/>
        <family val="2"/>
        <scheme val="minor"/>
      </rPr>
      <t>0.80X2.10M</t>
    </r>
    <r>
      <rPr>
        <sz val="10"/>
        <rFont val="Calibri"/>
        <family val="2"/>
        <scheme val="minor"/>
      </rPr>
      <t xml:space="preserve"> with single panels of frames made with sal wood and Shutter made with </t>
    </r>
    <r>
      <rPr>
        <b/>
        <sz val="10"/>
        <rFont val="Calibri"/>
        <family val="2"/>
        <scheme val="minor"/>
      </rPr>
      <t>sal wood</t>
    </r>
    <r>
      <rPr>
        <sz val="10"/>
        <rFont val="Calibri"/>
        <family val="2"/>
        <scheme val="minor"/>
      </rPr>
      <t xml:space="preserve"> including  MS Z hold fasts , Alluminium tower bolts, handle and butt hinges with all furniture fittings including c/c of all materials and furniture fittings etc complete as per specification  (APSS No 1001 &amp; 1002) </t>
    </r>
    <r>
      <rPr>
        <b/>
        <sz val="10"/>
        <rFont val="Calibri"/>
        <family val="2"/>
        <scheme val="minor"/>
      </rPr>
      <t>Door Frame with Shutters</t>
    </r>
  </si>
  <si>
    <t>MINI SSR 2020-21 OF BUILDING ITEMS</t>
  </si>
  <si>
    <t>Name</t>
  </si>
  <si>
    <t xml:space="preserve">Code </t>
  </si>
  <si>
    <t>Code</t>
  </si>
  <si>
    <t>Mason skilled</t>
  </si>
  <si>
    <t>LAB-00011</t>
  </si>
  <si>
    <t>MAT-00005</t>
  </si>
  <si>
    <t>Mason Semi skilled</t>
  </si>
  <si>
    <t>LAB-00091</t>
  </si>
  <si>
    <t xml:space="preserve">Steel Fe 500 </t>
  </si>
  <si>
    <t>Mazdoor</t>
  </si>
  <si>
    <t>LAB-00120</t>
  </si>
  <si>
    <t>Steel Fe 415</t>
  </si>
  <si>
    <t>Bar bender</t>
  </si>
  <si>
    <t>LAB-00001</t>
  </si>
  <si>
    <t>Painter skilled</t>
  </si>
  <si>
    <t>LAB-00035</t>
  </si>
  <si>
    <t>MAT-00029</t>
  </si>
  <si>
    <t>Painter semi skilled</t>
  </si>
  <si>
    <t>LAB-00093</t>
  </si>
  <si>
    <t>MAT-00027</t>
  </si>
  <si>
    <t>LAB-00041</t>
  </si>
  <si>
    <t>MAT-00028</t>
  </si>
  <si>
    <t>LAB-00002</t>
  </si>
  <si>
    <t>Common burnt clay bricks</t>
  </si>
  <si>
    <t>BMT-A.01</t>
  </si>
  <si>
    <t>MAT-00220</t>
  </si>
  <si>
    <t>Plumber skilled</t>
  </si>
  <si>
    <t>LAB-00036</t>
  </si>
  <si>
    <t>MAT-00218</t>
  </si>
  <si>
    <t>Plumber semi skilled</t>
  </si>
  <si>
    <t>12 mm nominal size</t>
  </si>
  <si>
    <t>MAT-00217</t>
  </si>
  <si>
    <t>10mm nominal size</t>
  </si>
  <si>
    <t>MAT-00216</t>
  </si>
  <si>
    <t>LAB-00005</t>
  </si>
  <si>
    <t>6mm nominal size</t>
  </si>
  <si>
    <t>MAT-00215</t>
  </si>
  <si>
    <t>LAB-00079</t>
  </si>
  <si>
    <t>MAT-00302</t>
  </si>
  <si>
    <t xml:space="preserve">Granite 16 to 18 mm </t>
  </si>
  <si>
    <t>BMT-B.11</t>
  </si>
  <si>
    <t>Terrazo tiles</t>
  </si>
  <si>
    <t>BMT-D.01</t>
  </si>
  <si>
    <t>Vitrified tiles double</t>
  </si>
  <si>
    <t>BMT-C.09</t>
  </si>
  <si>
    <t>Ceramic tiles non skid</t>
  </si>
  <si>
    <t xml:space="preserve">BMT.C.01 </t>
  </si>
  <si>
    <t>Glazed tiles for walls</t>
  </si>
  <si>
    <t>BMT.C.21</t>
  </si>
  <si>
    <t>RSSR</t>
  </si>
  <si>
    <t>MAT-00252</t>
  </si>
  <si>
    <t>MAT-05253</t>
  </si>
  <si>
    <t>Fly ash cement brick</t>
  </si>
  <si>
    <t>BMT-A.03</t>
  </si>
  <si>
    <t>Brick work scaffolding</t>
  </si>
  <si>
    <t>Water for Rural</t>
  </si>
  <si>
    <t>MAT- 00333</t>
  </si>
  <si>
    <t>Hire</t>
  </si>
  <si>
    <t>Labour-GF</t>
  </si>
  <si>
    <t>Labour-FF</t>
  </si>
  <si>
    <t>Labour-SF</t>
  </si>
  <si>
    <t>Concrete mixer</t>
  </si>
  <si>
    <t>HIR-00018</t>
  </si>
  <si>
    <t>needle Vibration 40 petrol</t>
  </si>
  <si>
    <t>HIR-00040
HIR-00174</t>
  </si>
  <si>
    <t>Ceiling plastering</t>
  </si>
  <si>
    <t>MAT-00003</t>
  </si>
  <si>
    <t>Welding eletrodes</t>
  </si>
  <si>
    <t>MAT-00082</t>
  </si>
  <si>
    <t>Welding set</t>
  </si>
  <si>
    <t>HIR-00065
HIR-00199</t>
  </si>
  <si>
    <t xml:space="preserve"> plastering</t>
  </si>
  <si>
    <t>Grills Fabrication of steel</t>
  </si>
  <si>
    <t>BMM-V.14</t>
  </si>
  <si>
    <t xml:space="preserve">Grills  Labour charges </t>
  </si>
  <si>
    <t>BMM-V.15</t>
  </si>
  <si>
    <t xml:space="preserve">MS Tubes </t>
  </si>
  <si>
    <t>BMT-F.04</t>
  </si>
  <si>
    <t>Tube Fabrication of steel</t>
  </si>
  <si>
    <t>BMM-V.16</t>
  </si>
  <si>
    <t xml:space="preserve">Tube  Labour charges </t>
  </si>
  <si>
    <t>BMM-V.17</t>
  </si>
  <si>
    <t>BMT-F.06</t>
  </si>
  <si>
    <t>Wallputty</t>
  </si>
  <si>
    <t>BMT-J.31</t>
  </si>
  <si>
    <t>S.S.Steel  Fabrication</t>
  </si>
  <si>
    <t>BMM-V.18</t>
  </si>
  <si>
    <t>Cement Primer</t>
  </si>
  <si>
    <t>BMT-J.01</t>
  </si>
  <si>
    <t>Drilling hard rock</t>
  </si>
  <si>
    <t>BMS-W.76</t>
  </si>
  <si>
    <t>BMT-J.02</t>
  </si>
  <si>
    <t>Rabbit wire mesh</t>
  </si>
  <si>
    <t>BMT-F.28</t>
  </si>
  <si>
    <t>BMT-J.24</t>
  </si>
  <si>
    <t>Water proof compound</t>
  </si>
  <si>
    <t>BMT-J.34</t>
  </si>
  <si>
    <t>MAT-00478</t>
  </si>
  <si>
    <t>Wood primer</t>
  </si>
  <si>
    <t>BMT-J.05</t>
  </si>
  <si>
    <t>Full Rounding the edges</t>
  </si>
  <si>
    <t>BMM-V.11</t>
  </si>
  <si>
    <t>Enamel paint</t>
  </si>
  <si>
    <t>BMT-J.29</t>
  </si>
  <si>
    <t>Rolling shutter</t>
  </si>
  <si>
    <t>Poly-Urethene Polish</t>
  </si>
  <si>
    <t>BMT-J.18</t>
  </si>
  <si>
    <t>Hume pipe</t>
  </si>
  <si>
    <t>CC cover</t>
  </si>
  <si>
    <t>Labour</t>
  </si>
  <si>
    <t>Bed blocks</t>
  </si>
  <si>
    <t>Pedastal</t>
  </si>
  <si>
    <t>Beams</t>
  </si>
  <si>
    <t>Slab upto 150mm</t>
  </si>
  <si>
    <t>Slab upto 150 to 300mm</t>
  </si>
  <si>
    <t xml:space="preserve">European Water Closet of 1st quality </t>
  </si>
  <si>
    <t>BMW-D.13</t>
  </si>
  <si>
    <t>Water storage tank</t>
  </si>
  <si>
    <t>BMW-G.01)</t>
  </si>
  <si>
    <t xml:space="preserve">Flushing Tank 10 Lit capacity </t>
  </si>
  <si>
    <t>BMW-D.11</t>
  </si>
  <si>
    <t>Tank labour</t>
  </si>
  <si>
    <t>BMW-G.02)</t>
  </si>
  <si>
    <t xml:space="preserve">plastic seat and lid </t>
  </si>
  <si>
    <t>BMW-D.16</t>
  </si>
  <si>
    <t>15.90mm CPVC</t>
  </si>
  <si>
    <t>BMW-I.220</t>
  </si>
  <si>
    <t>Indian type WC</t>
  </si>
  <si>
    <t>BMW-D.02</t>
  </si>
  <si>
    <t>22.20mm CPVC</t>
  </si>
  <si>
    <t>BMW-I.221</t>
  </si>
  <si>
    <t>Urinals</t>
  </si>
  <si>
    <t>BMW-D.34</t>
  </si>
  <si>
    <t>28.60mm CPVC</t>
  </si>
  <si>
    <t>BMW-I.222</t>
  </si>
  <si>
    <t>Hand wash basin</t>
  </si>
  <si>
    <t>BMW-D.26</t>
  </si>
  <si>
    <t>34.90mm CPVC</t>
  </si>
  <si>
    <t>BMW-I.223</t>
  </si>
  <si>
    <t xml:space="preserve">NP bib taps </t>
  </si>
  <si>
    <t>BMW-E.07</t>
  </si>
  <si>
    <t>25mm PVC</t>
  </si>
  <si>
    <t>MAT-07665</t>
  </si>
  <si>
    <t>PVC connections</t>
  </si>
  <si>
    <t>BMW-I.48</t>
  </si>
  <si>
    <t>Labour for pvc</t>
  </si>
  <si>
    <t>BMW-I.415</t>
  </si>
  <si>
    <t>Waste pipe</t>
  </si>
  <si>
    <t>BMW-G.05</t>
  </si>
  <si>
    <t xml:space="preserve">Gunmetal Gate </t>
  </si>
  <si>
    <t>BMW-F.17</t>
  </si>
  <si>
    <t>BMW-G.118</t>
  </si>
  <si>
    <t>110mm bend</t>
  </si>
  <si>
    <t>BMW-G.57</t>
  </si>
  <si>
    <t>Nahany trap cover</t>
  </si>
  <si>
    <t>BMW-I.12</t>
  </si>
  <si>
    <t xml:space="preserve">Clips </t>
  </si>
  <si>
    <t>BMW-G.106</t>
  </si>
  <si>
    <t>Floor Trap - UPVC/SWR Pipe</t>
  </si>
  <si>
    <t>BMW-G.125</t>
  </si>
  <si>
    <t>BMW-G.13</t>
  </si>
  <si>
    <t>BMW-G.15</t>
  </si>
  <si>
    <t>BMW-G.14</t>
  </si>
  <si>
    <t>PVC Labour charges</t>
  </si>
  <si>
    <t>BMW-G.152</t>
  </si>
  <si>
    <t>Chromeum plated  tap</t>
  </si>
  <si>
    <t>BMW-I.140</t>
  </si>
  <si>
    <t xml:space="preserve"> health faucet</t>
  </si>
  <si>
    <t>BMW-I.141</t>
  </si>
  <si>
    <t>Drilling 0 to 90</t>
  </si>
  <si>
    <t>P.No.193</t>
  </si>
  <si>
    <t>Drilling 90 to 150</t>
  </si>
  <si>
    <t>Drilling 150 to 250</t>
  </si>
  <si>
    <t>2.00HP single phase</t>
  </si>
  <si>
    <t>ELEC-5.4.1 e</t>
  </si>
  <si>
    <t>ELEC-5.4.1 c</t>
  </si>
  <si>
    <t>180mm dia PVC pipe</t>
  </si>
  <si>
    <t>P.No.195</t>
  </si>
  <si>
    <t>40mm HDPE pipe</t>
  </si>
  <si>
    <t>MAT- 07334</t>
  </si>
  <si>
    <t>25mm dia clamp set</t>
  </si>
  <si>
    <t xml:space="preserve">MAT- 00260 </t>
  </si>
  <si>
    <t>32mm dia GI pipe</t>
  </si>
  <si>
    <t>32mm dia GI Bends</t>
  </si>
  <si>
    <t>BMW-F.09</t>
  </si>
  <si>
    <t>2.5 sqm flat copper</t>
  </si>
  <si>
    <t>ELEC-1.6.3</t>
  </si>
  <si>
    <t>Controle panel board</t>
  </si>
  <si>
    <t>ELEC-5.4.15</t>
  </si>
  <si>
    <t>Grooves</t>
  </si>
  <si>
    <t>BMM-V.51</t>
  </si>
  <si>
    <t>Box</t>
  </si>
  <si>
    <t>Cover</t>
  </si>
  <si>
    <t>ELEC-1.3.1 f</t>
  </si>
  <si>
    <t>ELEC-1.8.3 f</t>
  </si>
  <si>
    <t>ELEC-1.3.1 e</t>
  </si>
  <si>
    <t>ELEC-1.8.3 e</t>
  </si>
  <si>
    <t>ELEC-1.3.1 d</t>
  </si>
  <si>
    <t>ELEC-1.8.3 d</t>
  </si>
  <si>
    <t>ELEC-1.3.1 c</t>
  </si>
  <si>
    <t xml:space="preserve">ELEC-1.8.3 c </t>
  </si>
  <si>
    <t>18Module box</t>
  </si>
  <si>
    <t>16Module box</t>
  </si>
  <si>
    <t>2Module box</t>
  </si>
  <si>
    <t>ELEC-1.3.1 a</t>
  </si>
  <si>
    <t>ELEC-1.8.3 a</t>
  </si>
  <si>
    <t>Neon Indicator.</t>
  </si>
  <si>
    <t>ELEC-1.7.1 e</t>
  </si>
  <si>
    <t>battan holders</t>
  </si>
  <si>
    <t>1.7.1-N)</t>
  </si>
  <si>
    <t>ELEC-5.1.12</t>
  </si>
  <si>
    <t>0.5W LED bulb</t>
  </si>
  <si>
    <t xml:space="preserve"> ELEC-3.7.5 a</t>
  </si>
  <si>
    <t xml:space="preserve">6A / 10A 1 Way flush type switch </t>
  </si>
  <si>
    <t>1.7.1 a</t>
  </si>
  <si>
    <t>Supply of 23 / 0060 twin</t>
  </si>
  <si>
    <t>ELEC-1.5.6</t>
  </si>
  <si>
    <t xml:space="preserve"> flush type socket 2 pin</t>
  </si>
  <si>
    <t>1.7.1 c</t>
  </si>
  <si>
    <t>Stepped type fan regulator</t>
  </si>
  <si>
    <t xml:space="preserve"> ELEC-1.7.1 I</t>
  </si>
  <si>
    <t xml:space="preserve"> flush type socket 3/2 pin</t>
  </si>
  <si>
    <t>1.7.1 d</t>
  </si>
  <si>
    <t xml:space="preserve"> Ceiling Fan</t>
  </si>
  <si>
    <t xml:space="preserve">ELEC-5.1.4 </t>
  </si>
  <si>
    <t>Supply of 14/0.3mm (1.0 Sqmm)</t>
  </si>
  <si>
    <t>1.5.1</t>
  </si>
  <si>
    <t>19/20mm steel tube down</t>
  </si>
  <si>
    <t>ELEC-8.1.21</t>
  </si>
  <si>
    <t>Ceiling rose</t>
  </si>
  <si>
    <t>1.7.1-M)</t>
  </si>
  <si>
    <t>ELEC-8.1.20</t>
  </si>
  <si>
    <t xml:space="preserve">Decolam sheet </t>
  </si>
  <si>
    <t>ELEC-1.4.2 d</t>
  </si>
  <si>
    <t>Supply of 1200 mm length,Box type</t>
  </si>
  <si>
    <t>ELEC-3.8.18</t>
  </si>
  <si>
    <t xml:space="preserve">Module Modular Switch. </t>
  </si>
  <si>
    <t>ELEC-1.8.1 h</t>
  </si>
  <si>
    <t xml:space="preserve">SPN 4way D.B with IP-20 </t>
  </si>
  <si>
    <t>ELEC-2.13.1a</t>
  </si>
  <si>
    <t xml:space="preserve">16A 3 pin / 6A 3pin Plug socket with indicator lamp, fuse unit (5 in 1) </t>
  </si>
  <si>
    <t>ELEC-1.8.1 g</t>
  </si>
  <si>
    <t xml:space="preserve">40A D.P.Isolator / ECCB / RCCB </t>
  </si>
  <si>
    <t>ELEC-2.11.1 b</t>
  </si>
  <si>
    <t>Supply of  6A / 10A 1 Way Modular Switch</t>
  </si>
  <si>
    <t>1.8.1-A)</t>
  </si>
  <si>
    <t xml:space="preserve">10 kA - 6-32A range SP MCBs </t>
  </si>
  <si>
    <t>ELEC-2.10.1 a</t>
  </si>
  <si>
    <t>Supply of  6A / 10A 3/2 Pin Modular Socke</t>
  </si>
  <si>
    <t>1.8.1-D)</t>
  </si>
  <si>
    <t>32 A  240V Porcelain Rewirable Fuse Units.</t>
  </si>
  <si>
    <t>2.7.1.a</t>
  </si>
  <si>
    <t xml:space="preserve">1.3.1-B) </t>
  </si>
  <si>
    <t xml:space="preserve">Supply of 6.0 Sqmm PVC  insulated flexible Copper cable. </t>
  </si>
  <si>
    <t>1.5.2.e</t>
  </si>
  <si>
    <t>Supply of 3 Modular Cover Frame</t>
  </si>
  <si>
    <t>1.8.3 b</t>
  </si>
  <si>
    <t xml:space="preserve">Peeta Board of Size 15" x 20" </t>
  </si>
  <si>
    <t>1.4.3.c</t>
  </si>
  <si>
    <t xml:space="preserve">Supply of 22/0.3mm (1.5 Sqmm) </t>
  </si>
  <si>
    <t xml:space="preserve">40mm Nominal Bore Medium grade G.I.Pipe. </t>
  </si>
  <si>
    <t>ELEC-8.4.17d</t>
  </si>
  <si>
    <t>Supply of 36/0.3mm (2.5 Sqmm)</t>
  </si>
  <si>
    <t>1.5.1-c</t>
  </si>
  <si>
    <t xml:space="preserve">25mm x 6 mm G.I.Strip </t>
  </si>
  <si>
    <t>(ELEC-8.3.6</t>
  </si>
  <si>
    <t>Supply of 56/0.3mm (4.0 Sqmm)</t>
  </si>
  <si>
    <t>1.5.1-d</t>
  </si>
  <si>
    <t xml:space="preserve">No.8 G.I.Wire </t>
  </si>
  <si>
    <t>(ELEC-8.3.6)</t>
  </si>
  <si>
    <t xml:space="preserve">6 Sq.mm WPSC Aluminium cable </t>
  </si>
  <si>
    <t>ELEC-1.6.1</t>
  </si>
  <si>
    <t xml:space="preserve">Drilling of 16 Nos through holes of 12mm dia to G.I pipe. </t>
  </si>
  <si>
    <t>ELEC-8.4.20</t>
  </si>
  <si>
    <t>No.10 SWG G.I wire.</t>
  </si>
  <si>
    <t>ELEC-8.3.6</t>
  </si>
  <si>
    <t xml:space="preserve">G.I Nuts, Bolts an Washers each set. </t>
  </si>
  <si>
    <t>ELEC-8.4.21</t>
  </si>
  <si>
    <t>PVC Cleats</t>
  </si>
  <si>
    <t>ELEC-8.1.13</t>
  </si>
  <si>
    <t xml:space="preserve">18" dia  2" thick hume pipe ring. </t>
  </si>
  <si>
    <t>2" thick  CC cover for hume pipe ring with handle.</t>
  </si>
  <si>
    <t xml:space="preserve">Hard Coke  </t>
  </si>
  <si>
    <t>ELEC-8.1.10</t>
  </si>
  <si>
    <t xml:space="preserve">Salt. </t>
  </si>
  <si>
    <t>ELEC-8.1.11</t>
  </si>
  <si>
    <t xml:space="preserve">Earth Work Excavation </t>
  </si>
  <si>
    <t>ELEC-8.4.19</t>
  </si>
  <si>
    <t xml:space="preserve">Teak Wood Frames  </t>
  </si>
  <si>
    <t xml:space="preserve">Teak Wood Shutters </t>
  </si>
  <si>
    <t xml:space="preserve">Sal wood Frames  </t>
  </si>
  <si>
    <t xml:space="preserve">Sal Wood Shutters </t>
  </si>
  <si>
    <t>WPC Frame</t>
  </si>
  <si>
    <t>Door Labour (Teak wood)</t>
  </si>
  <si>
    <t>Door Labour (Sal wood)</t>
  </si>
  <si>
    <t>Door Labour (Flush)</t>
  </si>
  <si>
    <t>UPVC windows -3 Tier</t>
  </si>
  <si>
    <t>BMT-P.80.B</t>
  </si>
  <si>
    <t>UPVC windows -2 Tier</t>
  </si>
  <si>
    <t>Plain glass</t>
  </si>
  <si>
    <t>UPVC windows -1 Tier</t>
  </si>
  <si>
    <t>Cement Jolleys 50mm thick</t>
  </si>
  <si>
    <t>Door stopper Alluminum</t>
  </si>
  <si>
    <t>S&amp;F of 32mm dia GI pipe</t>
  </si>
  <si>
    <t>S&amp;F of 32mm dia GI Bends</t>
  </si>
  <si>
    <t xml:space="preserve">Supply and fixing of  Door  of size 0.90 x 2.10mt </t>
  </si>
  <si>
    <t xml:space="preserve">Supply and fixing of  Door  of size 0.80 x 2.10mt </t>
  </si>
  <si>
    <t xml:space="preserve">Supply and fixing of  Door  of size 0.75 x 2.10mt </t>
  </si>
  <si>
    <t>Supplying  &amp; fixing of stainless steel hand rail</t>
  </si>
  <si>
    <t>S&amp;F of 20mm dia CPVC pipes</t>
  </si>
  <si>
    <t>~do~ for pedastal concrete</t>
  </si>
  <si>
    <t>~do~ for columns</t>
  </si>
  <si>
    <t>~do~ for Plinth beam</t>
  </si>
  <si>
    <t>~do~ for Roof beams</t>
  </si>
  <si>
    <t xml:space="preserve">~do~   for Slab 125mm </t>
  </si>
  <si>
    <t xml:space="preserve">~do~   for Slab 150mm </t>
  </si>
  <si>
    <t>~do~   for Lintels</t>
  </si>
  <si>
    <t>~do~   for Sunshades</t>
  </si>
  <si>
    <t xml:space="preserve">Rolling shutter to Godown </t>
  </si>
  <si>
    <t>Painting  with Synthatic Enamil paint</t>
  </si>
  <si>
    <t>~do~   for Beams</t>
  </si>
  <si>
    <t xml:space="preserve">~do~  for Slab 125mm </t>
  </si>
  <si>
    <t>AS PER SSR 2019-20</t>
  </si>
  <si>
    <t>AS PER SSR 2020-21</t>
  </si>
  <si>
    <t>Ramatherdham</t>
  </si>
  <si>
    <t>Cement (ssr 2019-20)</t>
  </si>
  <si>
    <t>Cement (ssr 2020-21)</t>
  </si>
  <si>
    <t>Sand filling(ssr 2019-20)</t>
  </si>
  <si>
    <t>Sand filling(ssr 2020-21)</t>
  </si>
  <si>
    <t>Sand for Mortor (ssr 2019-20)</t>
  </si>
  <si>
    <t>Sand for Mortor (ssr 2020-21)</t>
  </si>
  <si>
    <t>Sand for Concrete  (ssr 2019-20)</t>
  </si>
  <si>
    <t>Sand for Concrete  (ssr 2020-21)</t>
  </si>
  <si>
    <t>20-12 mm  Material   (ssr 2019-20)</t>
  </si>
  <si>
    <t>20-12 mm  Material  (ssr 2020-21)</t>
  </si>
  <si>
    <t>40mm HBG Material (ssr 2019-20)</t>
  </si>
  <si>
    <t>40mm HBG Material (ssr 2020-21)</t>
  </si>
  <si>
    <t>WPC door with with Bottom frame</t>
  </si>
  <si>
    <t>WPC door with without Bottom frame</t>
  </si>
  <si>
    <t>150</t>
  </si>
  <si>
    <t>152</t>
  </si>
  <si>
    <t>155</t>
  </si>
  <si>
    <t>156</t>
  </si>
  <si>
    <t>158</t>
  </si>
  <si>
    <t>159</t>
  </si>
  <si>
    <t>160</t>
  </si>
  <si>
    <t>162</t>
  </si>
  <si>
    <t>164</t>
  </si>
  <si>
    <t>165</t>
  </si>
  <si>
    <t>166</t>
  </si>
  <si>
    <t>167</t>
  </si>
  <si>
    <t>168</t>
  </si>
  <si>
    <t>169</t>
  </si>
  <si>
    <t>171</t>
  </si>
  <si>
    <t>173</t>
  </si>
  <si>
    <t>175</t>
  </si>
  <si>
    <t>177</t>
  </si>
  <si>
    <t>178</t>
  </si>
  <si>
    <t>181</t>
  </si>
  <si>
    <t>182</t>
  </si>
  <si>
    <t>199</t>
  </si>
  <si>
    <t>WPC door with bottom frame</t>
  </si>
  <si>
    <t>WPC door without bottom frame</t>
  </si>
  <si>
    <r>
      <t xml:space="preserve">Reinforced Cement Concrete  M25 Nominal mix (Cement: Sand: Metal) corresponding Table 9 of IS 456 using 20mm size graded machine crushed hard granite metal from approved quarry including c/c of all materials like Cement, Sand, coarse aggregate, water etc to site, all marerials including labour charges such as machine mixing, laying concrete, curing etc complete but excluding cost of steel and its fabrication charges for finished item of work for  </t>
    </r>
    <r>
      <rPr>
        <b/>
        <sz val="10"/>
        <rFont val="Calibri"/>
        <family val="2"/>
        <scheme val="minor"/>
      </rPr>
      <t>lintels etc., complete</t>
    </r>
  </si>
  <si>
    <r>
      <t xml:space="preserve">Reinforced Cement Concrete  M25 Nominal mix (Cement: Sand: Metal) corresponding Table 9 of IS 456 using 20mm size graded machine crushed hard granite metal from approved quarry including c/c of all materials like Cement, Sand, coarse aggregate, water etc to site, all marerials including labour charges such as machine mixing, laying concrete, curing etc complete but excluding cost of steel and its fabrication charges for finished item of work for </t>
    </r>
    <r>
      <rPr>
        <b/>
        <sz val="10"/>
        <rFont val="Calibri"/>
        <family val="2"/>
        <scheme val="minor"/>
      </rPr>
      <t>Lintels etc., complete</t>
    </r>
  </si>
  <si>
    <t>Plain Cement Concrete  M25 Nominal mix (Cement: Sand: Metal) corresponding Table 9 of IS 456 using 20mm size graded machine crushed hard granite metal from approved quarry including c/c of all materials like Cement, Sand, coarse aggregate, water etc to site, all marerials including labour charges such as machine mixing, laying concrete, curing etc complete but excluding cost of steel and its fabrication charges for finished item of work for Steps</t>
  </si>
  <si>
    <t>VRCC M25 design mix Concrete  for column footings</t>
  </si>
  <si>
    <t>VRCC M25 design mix Concrete  for Pedastal</t>
  </si>
  <si>
    <t>VRCC M25 design mix Concrete  for Columns</t>
  </si>
  <si>
    <t>VRCC M25 design mix Concrete  for Plinth beam</t>
  </si>
  <si>
    <t>VRCC M25 design mix Concrete  for Beams</t>
  </si>
  <si>
    <t xml:space="preserve">VRCC M25 design mix Concrete  for Slab 125mm </t>
  </si>
  <si>
    <t xml:space="preserve">VRCC M25 design mix Concrete  for Slab 150mm </t>
  </si>
  <si>
    <t xml:space="preserve">VRCC M25 design mix Concrete  for Slab 100mm </t>
  </si>
  <si>
    <t>VRCC M25 design mix Concrete  for Slab 50mm</t>
  </si>
  <si>
    <t>VRCC M25 design mix Concrete  for Slab 25mm</t>
  </si>
  <si>
    <t>VRCC M25 design mix Concrete  for Lintels</t>
  </si>
  <si>
    <t>VRCC M25 design mix Concrete  for Sunshades</t>
  </si>
  <si>
    <t>PCC M25 for Steps</t>
  </si>
  <si>
    <t xml:space="preserve">VRCC M25 design mix Concrete  for Slab 50mm </t>
  </si>
  <si>
    <t xml:space="preserve">VRCC M25 design mix Concrete  for Slab 25mm </t>
  </si>
  <si>
    <t>Sub Division : Kanigiri</t>
  </si>
  <si>
    <t>Supply, Transportation and Fixing of 48" (1200mm) Sweep 5 Star rated Ceiling Fan with double ball bearings but with regulator including all standard accessories and all labour charges etc., complete.</t>
  </si>
  <si>
    <t>Supplying  &amp; fixing of stainless steel RamP</t>
  </si>
  <si>
    <t>147</t>
  </si>
  <si>
    <t>161</t>
  </si>
  <si>
    <t>verandah</t>
  </si>
  <si>
    <t>GF and FF</t>
  </si>
  <si>
    <t>Ele 3.1.2</t>
  </si>
  <si>
    <t>14/0.3mm FR PVC copper wire 1.00 sqm</t>
  </si>
  <si>
    <t xml:space="preserve">Supply of 14/0.3mm (1.0 Sqmm) </t>
  </si>
  <si>
    <t>1.5.1-A</t>
  </si>
  <si>
    <t>1.5.1-B</t>
  </si>
  <si>
    <t>Supply and  run of 1 of 14 /0.3mm (1.0 Sq.mm) FR P.V.C. insulated flexible copper cable in existing pipe for earth and invertor continuity including all labour charges etc., complete.</t>
  </si>
  <si>
    <t>For Earthing &amp; invertor</t>
  </si>
  <si>
    <t xml:space="preserve"> ELEC-3.8.23 a</t>
  </si>
  <si>
    <t>Initial Cost ELEC-3.8.23 a</t>
  </si>
  <si>
    <t>Supply, transportation and fixing of 20Watt LED Street light Luminaire made of pressure diecast alluminium body with powder coated, having protective toughned glass, Supply Input voltage 120 - 270 V AC, P.F &gt; 0.90, high power LED's System efficacy &gt;110 lm/W and junction temprature &lt; 70°C, with Ingrees protection IP66,</t>
  </si>
  <si>
    <t>Supplying and fixing of  Door of size 1.05X2.10M with single panels of frames made with teak wood and Shutter made with Flush door shutters including  MS Z hold fasts , Alluminium tower bolts, handle and butt hinges with all furniture fittings including c/c of all materials and furniture fittings etc complete as per specification  (APSS No 1001 &amp; 1002) Door Frame with Shutters</t>
  </si>
  <si>
    <t>BMT-N.12</t>
  </si>
  <si>
    <t xml:space="preserve">Flush shutter door </t>
  </si>
  <si>
    <t>BMM-V.23</t>
  </si>
  <si>
    <t xml:space="preserve">Fixing flush door door </t>
  </si>
  <si>
    <t>Supplying and fixing of  Door of size 1.20X2.10M with single panels of frames made with teak wood and Shutter made with flush door shutters including  MS Z hold fasts , Alluminium tower bolts, handle and butt hinges with all furniture fittings including c/c of all materials and furniture fittings etc complete as per specification  (APSS No 1001 &amp; 1002) Door Frame with Shutters</t>
  </si>
  <si>
    <r>
      <t xml:space="preserve">Supplying and fixing of  </t>
    </r>
    <r>
      <rPr>
        <b/>
        <sz val="10"/>
        <rFont val="Calibri"/>
        <family val="2"/>
        <scheme val="minor"/>
      </rPr>
      <t>Door</t>
    </r>
    <r>
      <rPr>
        <sz val="10"/>
        <rFont val="Calibri"/>
        <family val="2"/>
        <scheme val="minor"/>
      </rPr>
      <t xml:space="preserve"> of size </t>
    </r>
    <r>
      <rPr>
        <b/>
        <sz val="10"/>
        <rFont val="Calibri"/>
        <family val="2"/>
        <scheme val="minor"/>
      </rPr>
      <t>1.20X2.10M</t>
    </r>
    <r>
      <rPr>
        <sz val="10"/>
        <rFont val="Calibri"/>
        <family val="2"/>
        <scheme val="minor"/>
      </rPr>
      <t xml:space="preserve"> with single panels of frames made with teak wood and Shutter made with </t>
    </r>
    <r>
      <rPr>
        <b/>
        <sz val="10"/>
        <rFont val="Calibri"/>
        <family val="2"/>
        <scheme val="minor"/>
      </rPr>
      <t>Flush door shutters</t>
    </r>
    <r>
      <rPr>
        <sz val="10"/>
        <rFont val="Calibri"/>
        <family val="2"/>
        <scheme val="minor"/>
      </rPr>
      <t xml:space="preserve"> including  MS Z hold fasts , Alluminium tower bolts, handle and butt hinges with all furniture fittings including c/c of all materials and furniture fittings etc complete as per specification  (APSS No 1001 &amp; 1002) </t>
    </r>
    <r>
      <rPr>
        <b/>
        <sz val="10"/>
        <rFont val="Calibri"/>
        <family val="2"/>
        <scheme val="minor"/>
      </rPr>
      <t>Door Frame with Shutters</t>
    </r>
  </si>
  <si>
    <t>Fixing flush door</t>
  </si>
  <si>
    <t>Supply of 1200 mm length,Box typ. (ELEC--3.8.18)</t>
  </si>
  <si>
    <t>Qty.p.     of M.B.No.</t>
  </si>
  <si>
    <t>Earthwork excavation</t>
  </si>
  <si>
    <t>~do~  for Beams</t>
  </si>
  <si>
    <t>VRCC M25 grade  for Columns</t>
  </si>
  <si>
    <t xml:space="preserve">~do~  for Slab 150mm </t>
  </si>
  <si>
    <t>BM in CM (1:8)</t>
  </si>
  <si>
    <t xml:space="preserve">Ornamental Plastering </t>
  </si>
  <si>
    <t>Plastering 12mm thick 2 coats</t>
  </si>
  <si>
    <t>Plastering 20mm thick 2 coats</t>
  </si>
  <si>
    <t>~do~ for skirting</t>
  </si>
  <si>
    <t>Ceramic non skid tiles</t>
  </si>
  <si>
    <t>Wall putty for internal walls</t>
  </si>
  <si>
    <t>UPVC windows for 3 tracks</t>
  </si>
  <si>
    <t xml:space="preserve">S&amp;F of Iron  Grills </t>
  </si>
  <si>
    <t>Granite stone full rounding</t>
  </si>
  <si>
    <t>180mm dia casing pipe</t>
  </si>
  <si>
    <t>3 core 1.50 sqm flat copper cable</t>
  </si>
  <si>
    <t xml:space="preserve"> control panel for pump set</t>
  </si>
  <si>
    <t>25mm dia pvc pipes for roof slab</t>
  </si>
  <si>
    <t>25mm dia pvc pipes for walls</t>
  </si>
  <si>
    <t>Wiring for bulb and fan points</t>
  </si>
  <si>
    <t>1Sqm copper cable</t>
  </si>
  <si>
    <t>6.0 Sqm copper cable</t>
  </si>
  <si>
    <t>2.5 Sqm copper cable</t>
  </si>
  <si>
    <t>~do~ for 8 M</t>
  </si>
  <si>
    <t>~do~ for 6 M</t>
  </si>
  <si>
    <t>~do~ for 4 M</t>
  </si>
  <si>
    <t>6A 3/2 pin wall plug socket</t>
  </si>
  <si>
    <t>S&amp;F of Fuse point</t>
  </si>
  <si>
    <t>Long walls</t>
  </si>
  <si>
    <t>cross wall left</t>
  </si>
  <si>
    <t>B1E2 A1A2</t>
  </si>
  <si>
    <t>E2E3 &amp; A2A3</t>
  </si>
  <si>
    <t>E1D1 &amp; E2D3</t>
  </si>
  <si>
    <t>deduct ventilators</t>
  </si>
  <si>
    <t>Qty.p.2 of M.B.No.114/A/ZP/20</t>
  </si>
  <si>
    <t>ramp</t>
  </si>
  <si>
    <t>Supplying and fixing of  Door of size 0.90X2.10M with single panels of frames made with teak wood and Shutter made with Flush door shutters including  MS Z hold fasts , Alluminium tower bolts, handle and butt hinges with all furniture fittings including c/c of all materials and furniture fittings etc complete as per specification  (APSS No 1001 &amp; 1002) Door Frame with Shutters</t>
  </si>
  <si>
    <r>
      <t xml:space="preserve">Supplying and fixing of  </t>
    </r>
    <r>
      <rPr>
        <b/>
        <sz val="10"/>
        <rFont val="Calibri"/>
        <family val="2"/>
        <scheme val="minor"/>
      </rPr>
      <t>Door</t>
    </r>
    <r>
      <rPr>
        <sz val="10"/>
        <rFont val="Calibri"/>
        <family val="2"/>
        <scheme val="minor"/>
      </rPr>
      <t xml:space="preserve"> of size 0.90</t>
    </r>
    <r>
      <rPr>
        <b/>
        <sz val="10"/>
        <rFont val="Calibri"/>
        <family val="2"/>
        <scheme val="minor"/>
      </rPr>
      <t>X2.10M</t>
    </r>
    <r>
      <rPr>
        <sz val="10"/>
        <rFont val="Calibri"/>
        <family val="2"/>
        <scheme val="minor"/>
      </rPr>
      <t xml:space="preserve"> with single panels of frames made with teak wood and Shutter made with </t>
    </r>
    <r>
      <rPr>
        <b/>
        <sz val="10"/>
        <rFont val="Calibri"/>
        <family val="2"/>
        <scheme val="minor"/>
      </rPr>
      <t>Flush door shutters</t>
    </r>
    <r>
      <rPr>
        <sz val="10"/>
        <rFont val="Calibri"/>
        <family val="2"/>
        <scheme val="minor"/>
      </rPr>
      <t xml:space="preserve"> including  MS Z hold fasts , Alluminium tower bolts, handle and butt hinges with all furniture fittings including c/c of all materials and furniture fittings etc complete as per specification  (APSS No 1001 &amp; 1002) </t>
    </r>
    <r>
      <rPr>
        <b/>
        <sz val="10"/>
        <rFont val="Calibri"/>
        <family val="2"/>
        <scheme val="minor"/>
      </rPr>
      <t>Door Frame with Shutters</t>
    </r>
  </si>
  <si>
    <t>BM in CM (1:6)</t>
  </si>
  <si>
    <t>RBM in CM (1:6)</t>
  </si>
  <si>
    <t xml:space="preserve">BM in CM (1:6) </t>
  </si>
  <si>
    <t xml:space="preserve">RBM in CM (1:6) </t>
  </si>
  <si>
    <t>VRCC M25  mix Concrete  for Columns</t>
  </si>
  <si>
    <t xml:space="preserve">RBM for (1:6) </t>
  </si>
  <si>
    <t>Door of size 1.20 x 1.20</t>
  </si>
  <si>
    <t>Door of size 0.90 x 1.20</t>
  </si>
  <si>
    <t>4 Sqm copper cable</t>
  </si>
  <si>
    <t>Battan holder</t>
  </si>
  <si>
    <t>Slab 125mm</t>
  </si>
  <si>
    <t>BM CM (1:8)</t>
  </si>
  <si>
    <t xml:space="preserve">RBM CM (1:6) </t>
  </si>
  <si>
    <t>Ornamental platering</t>
  </si>
  <si>
    <t>Plaster'ing 12mm</t>
  </si>
  <si>
    <t>Plaster'ing 20mm</t>
  </si>
  <si>
    <t>~do~ skirting</t>
  </si>
  <si>
    <t>Ramp wall</t>
  </si>
  <si>
    <t>Alround sarpanch</t>
  </si>
  <si>
    <t>Dummy pillars sides</t>
  </si>
  <si>
    <t xml:space="preserve">Projection </t>
  </si>
  <si>
    <t>left side</t>
  </si>
  <si>
    <t>Deduct landing sides</t>
  </si>
  <si>
    <t>1st flight steps</t>
  </si>
  <si>
    <t>2nd flight steps</t>
  </si>
  <si>
    <t>FF 1st and 2nd flight raisers</t>
  </si>
  <si>
    <t>~do~  for Lintels</t>
  </si>
  <si>
    <t>Plastering 12mm thick 1 coat</t>
  </si>
  <si>
    <t xml:space="preserve">Emulsion  for internal walls </t>
  </si>
  <si>
    <t xml:space="preserve">Emulsion  for external walls </t>
  </si>
  <si>
    <t>Emulsion  for internal walls</t>
  </si>
  <si>
    <t>Emulsion  for external walls</t>
  </si>
  <si>
    <t>UPVC windows for 1 track</t>
  </si>
  <si>
    <t>25mm dia cement jolleys</t>
  </si>
  <si>
    <t xml:space="preserve"> 25mm dia CPVC pipes</t>
  </si>
  <si>
    <t>20mm dia CPVC pipes</t>
  </si>
  <si>
    <t>110mm dia PVC Pipes</t>
  </si>
  <si>
    <t>75mm dia PVC Pipes</t>
  </si>
  <si>
    <t>Vetrified Tiles</t>
  </si>
  <si>
    <t>Granite stone</t>
  </si>
  <si>
    <t>Deduct landing slab</t>
  </si>
  <si>
    <t>Deduct staircase landing side</t>
  </si>
  <si>
    <t>Deduct staircase opening</t>
  </si>
  <si>
    <t xml:space="preserve">Front verandah </t>
  </si>
  <si>
    <t>Deduct beam</t>
  </si>
  <si>
    <t>Qty.p.      of M.B.No.</t>
  </si>
  <si>
    <t>GF &amp; FF</t>
  </si>
  <si>
    <t>tiolet doors</t>
  </si>
  <si>
    <t xml:space="preserve">GF &amp; FF </t>
  </si>
  <si>
    <t>184</t>
  </si>
  <si>
    <t>Plastering 20mm thick 1 coat</t>
  </si>
  <si>
    <t>SS for Hand rail</t>
  </si>
  <si>
    <t>~do~ for 2 M</t>
  </si>
  <si>
    <t>16A 3/2 pin wall plug socket</t>
  </si>
  <si>
    <t>steps at main door</t>
  </si>
  <si>
    <t>sapranch room</t>
  </si>
  <si>
    <t>survey room</t>
  </si>
  <si>
    <t>window sides</t>
  </si>
  <si>
    <t>deduct tiolet door</t>
  </si>
  <si>
    <t>parapet wall</t>
  </si>
  <si>
    <t>surveyor room</t>
  </si>
  <si>
    <t>Supplying and fixing of  Door of size 1.20X2.10M with single panels of frames made with sal wood and Shutter made with flush door shutters including  MS Z hold fasts , Alluminium tower bolts, handle and butt hinges with all furniture fittings including c/c of all materials and furniture fittings etc complete as per specification  (APSS No 1001 &amp; 1002) Door Frame with Shutters</t>
  </si>
  <si>
    <t>GF secretary room</t>
  </si>
  <si>
    <t xml:space="preserve">Difference in cost of Sand </t>
  </si>
  <si>
    <t>DIFFERENCE IN COST OF STEEL RATES</t>
  </si>
  <si>
    <r>
      <t xml:space="preserve">Supplying and fixing of  </t>
    </r>
    <r>
      <rPr>
        <b/>
        <sz val="10"/>
        <rFont val="Calibri"/>
        <family val="2"/>
        <scheme val="minor"/>
      </rPr>
      <t>Door</t>
    </r>
    <r>
      <rPr>
        <sz val="10"/>
        <rFont val="Calibri"/>
        <family val="2"/>
        <scheme val="minor"/>
      </rPr>
      <t xml:space="preserve"> of size </t>
    </r>
    <r>
      <rPr>
        <b/>
        <sz val="10"/>
        <rFont val="Calibri"/>
        <family val="2"/>
        <scheme val="minor"/>
      </rPr>
      <t>1.05X2.10M</t>
    </r>
    <r>
      <rPr>
        <sz val="10"/>
        <rFont val="Calibri"/>
        <family val="2"/>
        <scheme val="minor"/>
      </rPr>
      <t xml:space="preserve"> with single panels of frames made with teak wood and Shutter made with </t>
    </r>
    <r>
      <rPr>
        <b/>
        <sz val="10"/>
        <rFont val="Calibri"/>
        <family val="2"/>
        <scheme val="minor"/>
      </rPr>
      <t>Flush door shutters</t>
    </r>
    <r>
      <rPr>
        <sz val="10"/>
        <rFont val="Calibri"/>
        <family val="2"/>
        <scheme val="minor"/>
      </rPr>
      <t xml:space="preserve"> including  MS Z hold fasts , Alluminium tower bolts, handle and butt hinges with all furniture fittings including c/c of all materials and furniture fittings etc complete as per specification  (APSS No 1001 &amp; 1002) </t>
    </r>
    <r>
      <rPr>
        <b/>
        <sz val="10"/>
        <rFont val="Calibri"/>
        <family val="2"/>
        <scheme val="minor"/>
      </rPr>
      <t>Door Frame with Shutters</t>
    </r>
  </si>
  <si>
    <t>12 M  box - cover frame</t>
  </si>
  <si>
    <t>European  water closet</t>
  </si>
  <si>
    <t>~do~ 2 tracks</t>
  </si>
  <si>
    <t>Door of size 1.05 x 1.20</t>
  </si>
  <si>
    <t>SSR 19-20</t>
  </si>
  <si>
    <t>As per SSR 2019-20</t>
  </si>
  <si>
    <t>As per SSR 2020-21</t>
  </si>
  <si>
    <t>As per SSR 2021-22</t>
  </si>
  <si>
    <t>As per SSR 2022-23</t>
  </si>
  <si>
    <t>HYSD -500 steel -GF</t>
  </si>
  <si>
    <t>HYSD -500 steel -FF</t>
  </si>
  <si>
    <t>HYSD -500 steel -SF</t>
  </si>
  <si>
    <t>19-20</t>
  </si>
  <si>
    <t xml:space="preserve">~do~   for Slab 100mm </t>
  </si>
  <si>
    <t xml:space="preserve">~do~   for Slab 50mm </t>
  </si>
  <si>
    <t xml:space="preserve">~do~   for Slab 25mm </t>
  </si>
  <si>
    <t>impervious coat-12mm</t>
  </si>
  <si>
    <t>impervious coat-20mm</t>
  </si>
  <si>
    <t>VRCC M25  grade  for column footings</t>
  </si>
  <si>
    <t>RR Masonary in CM (1:6)</t>
  </si>
  <si>
    <t>White washing one coat</t>
  </si>
  <si>
    <t>1200mm dia  rcc hume rings</t>
  </si>
  <si>
    <t>900mm dia  rcc hume rings</t>
  </si>
  <si>
    <t>impervious coat -12mm</t>
  </si>
  <si>
    <t>impervious coat -20mm</t>
  </si>
  <si>
    <t>White washing single coat</t>
  </si>
  <si>
    <t xml:space="preserve">~do~  for Slab 100mm </t>
  </si>
  <si>
    <t xml:space="preserve">~do~  for Slab 50mm </t>
  </si>
  <si>
    <t xml:space="preserve">~do~  for Slab 25mm </t>
  </si>
  <si>
    <t>~do~  for Sunshades</t>
  </si>
  <si>
    <t xml:space="preserve"> Door  of size 0.90 x 2.10mt </t>
  </si>
  <si>
    <t xml:space="preserve">Door  of size 0.80 x 2.10mt </t>
  </si>
  <si>
    <t xml:space="preserve"> Door  of size 0.80 x 2.10mt </t>
  </si>
  <si>
    <t>Door  of size 1.05  x 2.10mt GF</t>
  </si>
  <si>
    <t>S&amp;F of MS tube</t>
  </si>
  <si>
    <t>S&amp;F of  ventilator</t>
  </si>
  <si>
    <t>Wiring for bulb and light points</t>
  </si>
  <si>
    <t>~do~ for 18 M</t>
  </si>
  <si>
    <t>~do~ for 16 M</t>
  </si>
  <si>
    <t>6A 2 pin wall plug socket</t>
  </si>
  <si>
    <t>Other component</t>
  </si>
  <si>
    <t>Supply of precast concrete blocks for paving of M-35 grade and thickness not less than 60 mm for Light traffic areas conforming to IS 15658:2006 in all shapes and designs for laying &amp; fixing of precast concrete blocks for paving of all grades, any thickness, all sizes &amp; shapes including all labour charges for loading &amp; unloading, laying to desired lines and levels complete</t>
  </si>
  <si>
    <t>Precasted concrete blocks BMT-D.13</t>
  </si>
  <si>
    <t>Labour charges  BMT-D.17</t>
  </si>
  <si>
    <t>BLD-CSTN-7-13</t>
  </si>
  <si>
    <t>Gronolithie Concrete Flooring 20 mm thick with (1:1:2), using 6mm to 12 mm size hard granite machine crushed metal laid over CC bed already laid or RCC roof slab, in alternate panels of size not exceeding 1.50 m x 1.50 m and finishing the top surface to required smoothness and slopes and thread lining including cost of all materials like cement, metal, sand and water etc., complete, including seigniorage charges, etc., complete for finished item of work, but excluding the cost of conveyance of all materials</t>
  </si>
  <si>
    <t>6mm to 12 mm H.G. Metal (Machine crushed)</t>
  </si>
  <si>
    <t xml:space="preserve">Supply and transportation of 20 W LED Street light Luminaire made of pressure diecast alluminium body with powder coated, having protective toughned glass, Supply Input voltage 120 - 270 V AC, P.F &gt; 0.90, high power LED's having System efficacy &gt; 100 lm/W and junction temprature &lt; 70°C, with Ingrees protection IP66, Luminaire performance complies to IS 10322 (Part 5 / Sec-3), Driver surge protection 4KV, external Surge protection 10 KV with optics distribution , THD&lt;10% at 110 Volts AC, driver efficiency &gt;90%, CCT: 3000K - 5700K, minimum CRI&gt;70, etc.,
complete </t>
  </si>
  <si>
    <t xml:space="preserve">Supply and transportation of 60 W LED Street light Luminaire made of pressure diecast alluminium body with powder coated, having protective toughned glass, Supply Input voltage 120 - 270 V AC, P.F &gt; 0.90, high power LED's having System efficacy &gt; 100 lm/W and junction temprature &lt; 70°C, with Ingrees protection IP66, Luminaire performance complies to IS 10322 (Part 5 / Sec-3), Driver surge protection 4KV, external Surge protection 10 KV with optics distribution , THD&lt;10% at 110 Volts AC, driver efficiency &gt;90%, CCT: 3000K - 5700K, minimum CRI&gt;70, etc.,
complete </t>
  </si>
  <si>
    <t>Supply and transportation of 60 W LED Street light Luminaire made of pressure diecast alluminium body with powder coated, having protective toughned glass, Supply Input voltage 120 - 270 V AC, P.F &gt; 0.90, high power LED's having System efficacy &gt; 100 lm/W and junction temprature &lt; 70°C, with Ingrees protection IP66, Luminaire performance complies to IS 10322 (Part 5 / Sec-3), Driver surge protection 4KV, external Surge protection 10 KV with optics distribution , THD&lt;10% at 110 Volts AC, driver efficiency &gt;90%, CCT: 3000K - 5700K, minimum CRI&gt;70, etc.,</t>
  </si>
  <si>
    <t>Supply and  Run of 2 of 22/0.3mm (1.50 Sq.mm) with  Run 1 of 22/0.3mm(1.5Sqmm)  FRLS / HFFR PVC insulated flexible ISI mark copper cable in existing pipe for run of mains inlcuding all labour charges etc., complete.</t>
  </si>
  <si>
    <t>Precasted concrete blocks</t>
  </si>
  <si>
    <t>BMT-D.13</t>
  </si>
  <si>
    <t>Labour charges</t>
  </si>
  <si>
    <t>BMT-D.17</t>
  </si>
  <si>
    <t>Initial Cost ELEC-3.8.23 d</t>
  </si>
  <si>
    <t xml:space="preserve"> ELEC-3.8.23 d</t>
  </si>
  <si>
    <t>Precasted blocks for flooring</t>
  </si>
  <si>
    <t>Gronolithic flooring</t>
  </si>
  <si>
    <t>Supply and  Run of 1 of 14/0.3mm (1.00 Sq.mm)</t>
  </si>
  <si>
    <t>Supply and  Run of 2 of 22/0.3mm (1.50 Sq.mm)</t>
  </si>
  <si>
    <t xml:space="preserve">S&amp;F of street 20 W light </t>
  </si>
  <si>
    <t>S&amp;F of street 60 W light</t>
  </si>
  <si>
    <t>Painting, Lettering and Picturing to walls</t>
  </si>
  <si>
    <t>SEIGNEORAGE CHARGES AND MATERIAL ABSTRACT</t>
  </si>
  <si>
    <t xml:space="preserve">Gronolithie Concrete </t>
  </si>
  <si>
    <t>Precasted floor tiles</t>
  </si>
  <si>
    <t>Gronolithic concrete</t>
  </si>
  <si>
    <t>1.50 Sqm copper cable</t>
  </si>
  <si>
    <t>Painting cartoon on walls</t>
  </si>
  <si>
    <t>S&amp;F of street 20W light</t>
  </si>
  <si>
    <t>S&amp;F of street 60W light</t>
  </si>
  <si>
    <t>granolithic concrete</t>
  </si>
  <si>
    <t>Carried over to Previous bill</t>
  </si>
  <si>
    <t>Add and Dedubt quantity in previous bill</t>
  </si>
  <si>
    <t>Flush  door shutter</t>
  </si>
  <si>
    <t>Door Labour (WPC)</t>
  </si>
  <si>
    <t>BMT-P.59</t>
  </si>
  <si>
    <t>Louvers Ventilator</t>
  </si>
  <si>
    <t>supply and fixing of Single fixed Louvers Ventilator including cost and labour charges etc., complete</t>
  </si>
  <si>
    <t>Single fixed Louvers Ventilator</t>
  </si>
  <si>
    <t>Supplying  &amp; fixing of Stainless Steel Tubes using stainless steel welding rods including buffing, polishing, lacquer finishing, to present seamless finish</t>
  </si>
  <si>
    <t>Rate per 1Kg</t>
  </si>
  <si>
    <t xml:space="preserve">Supplying  &amp; fixing of stainless steel </t>
  </si>
  <si>
    <t>SS for Ramp</t>
  </si>
  <si>
    <t>Conveyance charges-2019-20</t>
  </si>
  <si>
    <t>MINI SSR 2019-20 OF BUILDING ITEMS</t>
  </si>
  <si>
    <t>BMW-G.119</t>
  </si>
  <si>
    <t>1.00HP single phase</t>
  </si>
  <si>
    <t>DATA  SHEET</t>
  </si>
  <si>
    <t xml:space="preserve"> DATA SHEET (Electrification)</t>
  </si>
  <si>
    <t xml:space="preserve"> DATA SHEET (WATER AND SANITATION ITEMS)</t>
  </si>
  <si>
    <t>SSR 20-21</t>
  </si>
  <si>
    <t>LEAD STATEMENT (2020-21)</t>
  </si>
  <si>
    <t>20-21</t>
  </si>
  <si>
    <t>1 HP Submersible mortor</t>
  </si>
  <si>
    <t>LEAD STATEMENT (2021-22)</t>
  </si>
  <si>
    <t>Lead Chart based on Common SOR-2021-22</t>
  </si>
  <si>
    <t>Lead Chart based on Common SOR-2019-20</t>
  </si>
  <si>
    <t>Conveyance charges-2021-22</t>
  </si>
  <si>
    <t>MINI SSR 2021-22 OF BUILDING ITEMS</t>
  </si>
  <si>
    <t>Conveyance charges-2022-23</t>
  </si>
  <si>
    <t>MINI SSR 2022-23 OF BUILDING ITEMS</t>
  </si>
  <si>
    <t>SSR 21-22</t>
  </si>
  <si>
    <t>SSR 22-23</t>
  </si>
  <si>
    <t>AS PER SSR 2021-22</t>
  </si>
  <si>
    <t>AS PER SSR 2022-23</t>
  </si>
  <si>
    <t>21-22</t>
  </si>
  <si>
    <t>22-23</t>
  </si>
  <si>
    <t>Grand total</t>
  </si>
  <si>
    <t>Qty.p.4 of M.B.No.299/A/ZP/19</t>
  </si>
  <si>
    <t>Qty.p.7 of M.B.No.299/A/ZP/19</t>
  </si>
  <si>
    <t>Qty.p.23 of M.B.No.299/A/ZP/19</t>
  </si>
  <si>
    <t>Qty.p.62 of M.B.No.299/A/ZP/19</t>
  </si>
  <si>
    <t>Qty.p.60 of M.B.No.299/A/ZP/19</t>
  </si>
  <si>
    <t>Qty.p.8 of M.B.No.299/A/ZP/19</t>
  </si>
  <si>
    <t>Qty.p.11 of M.B.No.299/A/ZP/19</t>
  </si>
  <si>
    <t>Qty.p.     of M.B.No.299/A/ZP/19</t>
  </si>
  <si>
    <t>Qty.p.61 of M.B.No.299/A/ZP/19</t>
  </si>
  <si>
    <t>Qty.p.12 of M.B.No.299/A/ZP/19</t>
  </si>
  <si>
    <t>Qty.p.86 of M.B.No.299/A/ZP/19</t>
  </si>
  <si>
    <t>Qty.p.15 of M.B.No.299/A/ZP/19</t>
  </si>
  <si>
    <t>Qty.p.54 of M.B.No.299/A/ZP/19</t>
  </si>
  <si>
    <t>Qty.p.55 of M.B.No.299/A/ZP/19</t>
  </si>
  <si>
    <t>Qty.p.72   of M.B.No.299/A/ZP/19</t>
  </si>
  <si>
    <t>Qty.p.66 of M.B.No.299/A/ZP/19</t>
  </si>
  <si>
    <t>Qty.p. 28 of M.B.No.299/A/ZP/19</t>
  </si>
  <si>
    <t>Qty.p.53 of M.B.No.299/A/ZP/19</t>
  </si>
  <si>
    <t>Qty.p. 31 of M.B.No.299/A/ZP/19</t>
  </si>
  <si>
    <t>Qty.P.No. 72 of M.B.No.299/A/ZP/19</t>
  </si>
  <si>
    <t>Qty.p. 32 of M.B.No.299/A/ZP/19</t>
  </si>
  <si>
    <t>Qty.p.58  of M.B.No.299/A/ZP/19</t>
  </si>
  <si>
    <t>Qty.p.5 of M.B.No.299/A/ZP/19</t>
  </si>
  <si>
    <t>Qty.P.No. 99 of M.B.No.299/A/ZP/19</t>
  </si>
  <si>
    <t>Qty.p.22  of M.B.No.299/A/ZP/19</t>
  </si>
  <si>
    <t>Qty.p.9 of M.B.No.299/A/ZP/19</t>
  </si>
  <si>
    <t>Qty.p.    of M.B.No.299/A/ZP/19</t>
  </si>
  <si>
    <t>Qty.p. 1 of M.B.No.299/A/ZP/19</t>
  </si>
  <si>
    <t>Qty.p. 2 of M.B.No.299/A/ZP/19</t>
  </si>
  <si>
    <t>Qty.p.90 of M.B.No.299/A/ZP/19</t>
  </si>
  <si>
    <t>Qty.p. 3 of M.B.No.299/A/ZP/19</t>
  </si>
  <si>
    <t>Qty.p.6 of M.B.No.299/A/ZP/19</t>
  </si>
  <si>
    <t>Qty.p.3 of M.B.No.299/A/ZP/19</t>
  </si>
  <si>
    <t>Qty.p.10 of M.B.No.299/A/ZP/19</t>
  </si>
  <si>
    <t>Qty.p.       of M.B.No.299/A/ZP/19</t>
  </si>
  <si>
    <t>Qty.p.88 of M.B.No.299/A/ZP/19</t>
  </si>
  <si>
    <t>PB 107, 108, 110, 111</t>
  </si>
  <si>
    <t>PB 106, 109, 112</t>
  </si>
  <si>
    <t>Deduct junctions</t>
  </si>
  <si>
    <t>Deduct windows</t>
  </si>
  <si>
    <t>Living room</t>
  </si>
  <si>
    <t>Staff room</t>
  </si>
  <si>
    <t>Kitchen</t>
  </si>
  <si>
    <t>Bed room</t>
  </si>
  <si>
    <t>Tiolet</t>
  </si>
  <si>
    <t>Examination room</t>
  </si>
  <si>
    <t>Lab room</t>
  </si>
  <si>
    <t>Staff wash room</t>
  </si>
  <si>
    <t>Clinic wash room</t>
  </si>
  <si>
    <t>Qty.p.59  of M.B.No.299/A/ZP/19</t>
  </si>
  <si>
    <t>20mm dia</t>
  </si>
  <si>
    <t>Living room steps</t>
  </si>
  <si>
    <t>Sunshades</t>
  </si>
  <si>
    <t>Ventilator sides</t>
  </si>
  <si>
    <t>Living room door sides</t>
  </si>
  <si>
    <t>deduct windows</t>
  </si>
  <si>
    <t>LEAD STATEMENT (2022-23)</t>
  </si>
  <si>
    <t>Lead Chart based on Common SOR-2022-23</t>
  </si>
  <si>
    <t>Certified that the rates are provided as per SSR 2020-21</t>
  </si>
  <si>
    <t>Certified that the rates are provided as per SSR 2021-22</t>
  </si>
  <si>
    <t>Certified that the rates are provided as per SSR 2022-23</t>
  </si>
  <si>
    <t>As per SSR 2019-20-GF</t>
  </si>
  <si>
    <t>As per SSR 2019-20-FF</t>
  </si>
  <si>
    <t>As per SSR 2019-20-SF</t>
  </si>
  <si>
    <t>As per SSR 2020-21-GF</t>
  </si>
  <si>
    <t>As per SSR 2021-22-FF</t>
  </si>
  <si>
    <t>As per SSR 2022-23-SF</t>
  </si>
  <si>
    <t>As per SSR 2021-22-GF</t>
  </si>
  <si>
    <t>As per SSR 2021-22-SF</t>
  </si>
  <si>
    <t>As per SSR 2022-23-GF</t>
  </si>
  <si>
    <t>As per SSR 2022-23-FF</t>
  </si>
  <si>
    <t>As per SSR 2020-21-FF</t>
  </si>
  <si>
    <t>As per SSR 2020-21-SF</t>
  </si>
  <si>
    <t>Cement (ssr 2021-22)</t>
  </si>
  <si>
    <t>Cement (ssr 2022-23)</t>
  </si>
  <si>
    <t>Sand filling(ssr 2021-22)</t>
  </si>
  <si>
    <t>Sand filling(ssr 2022-23)</t>
  </si>
  <si>
    <t>Sand for Mortor (ssr 2021-22)</t>
  </si>
  <si>
    <t>Sand for Mortor (ssr 2022-23)</t>
  </si>
  <si>
    <t>Sand for Concrete  (ssr 2021-22)</t>
  </si>
  <si>
    <t>Sand for Concrete  (ssr 2022-23)</t>
  </si>
  <si>
    <t>20-12 mm  Material  (ssr 2021-22)</t>
  </si>
  <si>
    <t>20-12 mm  Material  (ssr 2022-23)</t>
  </si>
  <si>
    <t>40mm HBG Material (ssr 2021-22)</t>
  </si>
  <si>
    <t>40mm HBG Material (ssr 2022-23)</t>
  </si>
  <si>
    <t>Sep.20</t>
  </si>
  <si>
    <t>June.20</t>
  </si>
  <si>
    <t>Sep.21</t>
  </si>
  <si>
    <t>Sep.22</t>
  </si>
  <si>
    <r>
      <t xml:space="preserve">Supplying and fixing of  </t>
    </r>
    <r>
      <rPr>
        <b/>
        <sz val="10"/>
        <rFont val="Calibri"/>
        <family val="2"/>
        <scheme val="minor"/>
      </rPr>
      <t>Door</t>
    </r>
    <r>
      <rPr>
        <sz val="10"/>
        <rFont val="Calibri"/>
        <family val="2"/>
        <scheme val="minor"/>
      </rPr>
      <t xml:space="preserve"> of size </t>
    </r>
    <r>
      <rPr>
        <b/>
        <sz val="10"/>
        <rFont val="Calibri"/>
        <family val="2"/>
        <scheme val="minor"/>
      </rPr>
      <t>0.90X2.10M</t>
    </r>
    <r>
      <rPr>
        <sz val="10"/>
        <rFont val="Calibri"/>
        <family val="2"/>
        <scheme val="minor"/>
      </rPr>
      <t xml:space="preserve"> with single panels of frames made with teak wood and Shutter made with Sal</t>
    </r>
    <r>
      <rPr>
        <b/>
        <sz val="10"/>
        <rFont val="Calibri"/>
        <family val="2"/>
        <scheme val="minor"/>
      </rPr>
      <t xml:space="preserve"> wood</t>
    </r>
    <r>
      <rPr>
        <sz val="10"/>
        <rFont val="Calibri"/>
        <family val="2"/>
        <scheme val="minor"/>
      </rPr>
      <t xml:space="preserve"> including  MS Z hold fasts , Alluminium tower bolts, handle and butt hinges with all furniture fittings including c/c of all materials and furniture fittings etc complete as per specification  (APSS No 1001 &amp; 1002) </t>
    </r>
    <r>
      <rPr>
        <b/>
        <sz val="10"/>
        <rFont val="Calibri"/>
        <family val="2"/>
        <scheme val="minor"/>
      </rPr>
      <t>Door Frame with Shutters</t>
    </r>
  </si>
  <si>
    <t>Taking Output 6 Cum</t>
  </si>
  <si>
    <t>Rate per 6 Cum</t>
  </si>
  <si>
    <t>Unit = 6 Cum</t>
  </si>
  <si>
    <t xml:space="preserve"> Selected earth</t>
  </si>
  <si>
    <t>PRI Sub Division : Kanigiri</t>
  </si>
  <si>
    <t>Total amount difference amount in cost of sand (1+2+3)</t>
  </si>
  <si>
    <t>FIRST FLOOR</t>
  </si>
  <si>
    <t>SECOND FLOOR</t>
  </si>
  <si>
    <t>DOORS AND WINDOWS</t>
  </si>
  <si>
    <t>WATER AND SANITATION ITEMS</t>
  </si>
  <si>
    <t>Electrification items</t>
  </si>
  <si>
    <t>3.30 lakhs</t>
  </si>
  <si>
    <t>DATA  SHEET (SSR 2022-23)</t>
  </si>
  <si>
    <t>Provision for QC charges @ 0.50%</t>
  </si>
  <si>
    <t>1Sqm</t>
  </si>
  <si>
    <t>1Mt</t>
  </si>
  <si>
    <t>1Kg</t>
  </si>
  <si>
    <t>1Ltr</t>
  </si>
  <si>
    <t>1point</t>
  </si>
  <si>
    <t>Local vagu</t>
  </si>
  <si>
    <t>PART-A</t>
  </si>
  <si>
    <t>CW 21</t>
  </si>
  <si>
    <t>CW 22</t>
  </si>
  <si>
    <t>Certified that the Gram Panchayat has accepted all measurements recorded</t>
  </si>
  <si>
    <t>Certified that the Gram Panchayat has conveyed for all materials from the approved quarry for use on the work as per lead statement.</t>
  </si>
  <si>
    <t>Certified that the materials used the above work were brought from approved quarry</t>
  </si>
  <si>
    <t>Certified to the effect that no recoveries are out standing against the Gram Panchayat</t>
  </si>
  <si>
    <t>Certified that the contractor has engaged Technical persons Namely</t>
  </si>
  <si>
    <t>and they are available through out the execution</t>
  </si>
  <si>
    <t>Certified that there are no IR Paras/ Audit objections pending against this work.</t>
  </si>
  <si>
    <t>ESTIMATE COST &amp; Grant</t>
  </si>
  <si>
    <t>Inspection chamber</t>
  </si>
  <si>
    <t>Supplying and fixing 4" (101.6 mm ) Floor Trap</t>
  </si>
  <si>
    <t>Gunmetal gate value</t>
  </si>
  <si>
    <t>PVC water spouts</t>
  </si>
  <si>
    <t>DB with 1 No 20A single phase</t>
  </si>
  <si>
    <t>Modular telephone jack</t>
  </si>
  <si>
    <t>Supply,laying ,testing and commisioning of 4-pair</t>
  </si>
  <si>
    <t>Supply and run of 5 pair telephone copper wire</t>
  </si>
  <si>
    <t>Provision for GST charges</t>
  </si>
  <si>
    <t>VRCC M25  mix Concrete  for column footings</t>
  </si>
  <si>
    <t>2 Nos of 32A, 240V Porcelain Rewirable Fuse Units</t>
  </si>
  <si>
    <t xml:space="preserve">RBM for partition walls (11.5 cm thick) </t>
  </si>
  <si>
    <t>bed room</t>
  </si>
  <si>
    <t>Tiolet-1</t>
  </si>
  <si>
    <t>Tiolet door shutters</t>
  </si>
  <si>
    <t>Buld point</t>
  </si>
  <si>
    <t>Supply and fixing of  Wood Polymer Composite(WPC)  fixing 28 -30 MM thick solid Wood Polymer Composite (WPC)  double extruded door shutter with 3MM top and bottom rigid layer with an overall density of 750kg/Cum. It will be fixed to the frame using 3 inch /4 inch hinges. A minimum of 4 hinges will be required for fixing the door with the frame 1200 x 2130mm</t>
  </si>
  <si>
    <t>provision for Navaratnalu logo</t>
  </si>
  <si>
    <t>provision for navaratnalu logo</t>
  </si>
  <si>
    <t>19</t>
  </si>
  <si>
    <t>Part-B</t>
  </si>
  <si>
    <t xml:space="preserve">SUPPLEMENTAL DATA  SHEET </t>
  </si>
  <si>
    <t>PART-B</t>
  </si>
  <si>
    <t xml:space="preserve">Earthwork </t>
  </si>
  <si>
    <t>Slab 100mm</t>
  </si>
  <si>
    <t>Impervious coat</t>
  </si>
  <si>
    <t>Name of the work:</t>
  </si>
  <si>
    <t>Esimate Rs.</t>
  </si>
  <si>
    <t>Four thousand and five hundred only)</t>
  </si>
  <si>
    <t>May.23</t>
  </si>
  <si>
    <t xml:space="preserve"> DATA SHEET (WATER AND SANITATION ITEMS) (2022-23)</t>
  </si>
  <si>
    <t>PROFORMA-I</t>
  </si>
  <si>
    <t>Name of the GP</t>
  </si>
  <si>
    <t>Name of the Habitation</t>
  </si>
  <si>
    <t>Name of the work</t>
  </si>
  <si>
    <t>Est Cost in Lakhs</t>
  </si>
  <si>
    <t>NREGS %</t>
  </si>
  <si>
    <t>Convergence %</t>
  </si>
  <si>
    <t>Indent Details</t>
  </si>
  <si>
    <t>Total Qty. Supplied by Firm</t>
  </si>
  <si>
    <t>Total Quantity Utilized</t>
  </si>
  <si>
    <t>Balance Quantity</t>
  </si>
  <si>
    <t>Name of the Firm</t>
  </si>
  <si>
    <t>Invoice No.</t>
  </si>
  <si>
    <t>Indent Qty.</t>
  </si>
  <si>
    <t>Value</t>
  </si>
  <si>
    <t>Page and M.B.no.</t>
  </si>
  <si>
    <t>Mandal Praja Parishad</t>
  </si>
  <si>
    <t xml:space="preserve">                            The working estimate is prepared as per the agreement rates based on the SSR of  2019-2020, 2020-21, 2021-22 &amp; 2022-23 and the work has been  carried out as per APSS.</t>
  </si>
  <si>
    <t>F2 Footings</t>
  </si>
  <si>
    <t>Dummy pillar</t>
  </si>
  <si>
    <t>Hospital hall</t>
  </si>
  <si>
    <t>tiolet-2</t>
  </si>
  <si>
    <t>Out side carrdor slab</t>
  </si>
  <si>
    <t>Projection @ front</t>
  </si>
  <si>
    <t>RCM facia drop @ front</t>
  </si>
  <si>
    <t>Slab projection right and left</t>
  </si>
  <si>
    <t>Slab projection @ back</t>
  </si>
  <si>
    <t>space before tiolet-1</t>
  </si>
  <si>
    <t>deduct door</t>
  </si>
  <si>
    <t>deduct tiolet opening</t>
  </si>
  <si>
    <t>Tiolet-2</t>
  </si>
  <si>
    <t>space before tiolet-2</t>
  </si>
  <si>
    <t>Opening</t>
  </si>
  <si>
    <t>deduct opening</t>
  </si>
  <si>
    <t>Door sides main door</t>
  </si>
  <si>
    <t>Kitchen room door sides</t>
  </si>
  <si>
    <t>front side</t>
  </si>
  <si>
    <t>right side</t>
  </si>
  <si>
    <t>dummy pillars</t>
  </si>
  <si>
    <t>Steps sides</t>
  </si>
  <si>
    <t>tiolet opening</t>
  </si>
  <si>
    <t>134km</t>
  </si>
  <si>
    <t>Difference in cost of Sand rate</t>
  </si>
  <si>
    <t>DOORS, WINDOWS, GRILLS</t>
  </si>
  <si>
    <t>Water and Sanitation items</t>
  </si>
  <si>
    <t>Steps front side</t>
  </si>
  <si>
    <t>Platform walls in kitchen</t>
  </si>
  <si>
    <t>Platform walls in lab</t>
  </si>
  <si>
    <t>Qty.p.2 of M.B.No.559/A/ZP/20</t>
  </si>
  <si>
    <t>Qty.p.5 of M.B.No.559/A/ZP/20</t>
  </si>
  <si>
    <t>For steps</t>
  </si>
  <si>
    <t>Front side steps risers</t>
  </si>
  <si>
    <t>Platfrom walls in kitchen</t>
  </si>
  <si>
    <t>Platfrom walls in Lab</t>
  </si>
  <si>
    <t>Lab and store room</t>
  </si>
  <si>
    <t>Infront of tiolet</t>
  </si>
  <si>
    <t>steps</t>
  </si>
  <si>
    <t>Qty.p.15 of M.B.No.559/A/ZP/20</t>
  </si>
  <si>
    <t>Qty.p.23 of M.B.No.559/A/ZP/20</t>
  </si>
  <si>
    <t>Qty.p.24 of M.B.No.559/A/ZP/20</t>
  </si>
  <si>
    <t>Qty.p.25 of M.B.No.559/A/ZP/20</t>
  </si>
  <si>
    <t>Provision for Soil investigation charges</t>
  </si>
  <si>
    <t>CW-22</t>
  </si>
  <si>
    <t>CW-21</t>
  </si>
  <si>
    <t>SEIGNEORAGE CHARGES AND MATERIAL ABSTRACT (PART-B)</t>
  </si>
  <si>
    <t xml:space="preserve">Earth </t>
  </si>
  <si>
    <t xml:space="preserve">CW04 Sand for Mortor </t>
  </si>
  <si>
    <t>PROFORMA-II</t>
  </si>
  <si>
    <t>Qty of cement transferred</t>
  </si>
  <si>
    <t>Dy.Executive Engineer</t>
  </si>
  <si>
    <t>logo</t>
  </si>
  <si>
    <t>Steps for 1st flight</t>
  </si>
  <si>
    <t>deduct staircase portion</t>
  </si>
  <si>
    <t>D2D3</t>
  </si>
  <si>
    <t>Landing slab bottom</t>
  </si>
  <si>
    <t>Qty.p.46 of M.B.No.108/A/ZP/20</t>
  </si>
  <si>
    <t>Qty.p.47 of M.B.No.108/A/ZP/20</t>
  </si>
  <si>
    <t>1st flight sides</t>
  </si>
  <si>
    <t>FB 201, 202</t>
  </si>
  <si>
    <t>FB 203, 204, 205</t>
  </si>
  <si>
    <t>FB 208, 209</t>
  </si>
  <si>
    <t>FB 207</t>
  </si>
  <si>
    <t>FB 206</t>
  </si>
  <si>
    <t>deduct staircase</t>
  </si>
  <si>
    <t>B2E2</t>
  </si>
  <si>
    <t>B1B2 C1C2 D1D2</t>
  </si>
  <si>
    <t>gents tiolet</t>
  </si>
  <si>
    <t>SF column</t>
  </si>
  <si>
    <t>Qty.p.55 of M.B.No.108/A/ZP/20</t>
  </si>
  <si>
    <t>Qty.p.6 of M.B.No.824/B/ZP/19</t>
  </si>
  <si>
    <t>Qty.p.       of M.B.No.824/B/ZP/19</t>
  </si>
  <si>
    <t>Qty.p.8 of M.B.No.824/B/ZP/19</t>
  </si>
  <si>
    <t>Qty.p.    of M.B.No.824/B/ZP/19</t>
  </si>
  <si>
    <t>Supply &amp; Fixing of Bibcock cum Health Faucet with 1m long tube and wall hook</t>
  </si>
  <si>
    <t>Initial cost BMW-I.170</t>
  </si>
  <si>
    <t>Wall art</t>
  </si>
  <si>
    <t xml:space="preserve"> TOTAL</t>
  </si>
  <si>
    <t>Painting  with Emulsion paint for internal walls</t>
  </si>
  <si>
    <t>S&amp; F 40  mm HDPE pipe</t>
  </si>
  <si>
    <t>30mm thick Solid panel PVC door</t>
  </si>
  <si>
    <t>8 Way TPN DB Horizontal with IP 20</t>
  </si>
  <si>
    <t>112</t>
  </si>
  <si>
    <t>115</t>
  </si>
  <si>
    <t xml:space="preserve">                             During execution of work  the working estimate is prepared As per the instructions of higher authorities  items rates as per recording dates (adopting SSR 2019-20, SSR 2020-21, SSR 2021-22 and SSR 2022-23) and same may be submitted for your kind approval.</t>
  </si>
  <si>
    <t>ACTIVITY MASTER</t>
  </si>
  <si>
    <t>Material Task No.</t>
  </si>
  <si>
    <t>ACT1338</t>
  </si>
  <si>
    <t>Wage Component</t>
  </si>
  <si>
    <t>Material Component</t>
  </si>
  <si>
    <t>ACT0001</t>
  </si>
  <si>
    <t>ACT0026</t>
  </si>
  <si>
    <t>ACT0027</t>
  </si>
  <si>
    <t>ACT0409</t>
  </si>
  <si>
    <t>ACT0256</t>
  </si>
  <si>
    <t>ACT0020</t>
  </si>
  <si>
    <t>ACT0021</t>
  </si>
  <si>
    <t>ACT0029</t>
  </si>
  <si>
    <t>ACT0030</t>
  </si>
  <si>
    <t>ACT0031</t>
  </si>
  <si>
    <t>ACT0033</t>
  </si>
  <si>
    <t>ACT0036</t>
  </si>
  <si>
    <t>ACT0037</t>
  </si>
  <si>
    <t>ACT0034</t>
  </si>
  <si>
    <t>ACT0035</t>
  </si>
  <si>
    <t>ACT0052</t>
  </si>
  <si>
    <t>ACT0596</t>
  </si>
  <si>
    <t>ACT0198</t>
  </si>
  <si>
    <t>ACT0201</t>
  </si>
  <si>
    <t>ACT0202</t>
  </si>
  <si>
    <t>ACT0594</t>
  </si>
  <si>
    <t>ACT0197</t>
  </si>
  <si>
    <t>ACT0203</t>
  </si>
  <si>
    <t>ACT0204</t>
  </si>
  <si>
    <t>ACT0205</t>
  </si>
  <si>
    <t>ACT0061</t>
  </si>
  <si>
    <t>ACT0441</t>
  </si>
  <si>
    <t>ACT0079</t>
  </si>
  <si>
    <t>ACT0080</t>
  </si>
  <si>
    <t>ACT0200</t>
  </si>
  <si>
    <t>ACT0251</t>
  </si>
  <si>
    <t>ACT0081</t>
  </si>
  <si>
    <t>ACT0071</t>
  </si>
  <si>
    <t>ACT0062</t>
  </si>
  <si>
    <t>ACT0078</t>
  </si>
  <si>
    <t>ACT0084</t>
  </si>
  <si>
    <t>ACT0085</t>
  </si>
  <si>
    <t>ACT0060</t>
  </si>
  <si>
    <t>ACT0527</t>
  </si>
  <si>
    <t>ACT0087</t>
  </si>
  <si>
    <t>ACT0053</t>
  </si>
  <si>
    <t>ACT0584</t>
  </si>
  <si>
    <t>ACT0585</t>
  </si>
  <si>
    <t>ACT0586</t>
  </si>
  <si>
    <t>ACT0587</t>
  </si>
  <si>
    <t>ACT0588</t>
  </si>
  <si>
    <t>ACT0590</t>
  </si>
  <si>
    <t>ACT0589</t>
  </si>
  <si>
    <t>ACT0591</t>
  </si>
  <si>
    <t>ACT0592</t>
  </si>
  <si>
    <t>ACT0595</t>
  </si>
  <si>
    <t>ACT00052</t>
  </si>
  <si>
    <t>ACT0537</t>
  </si>
  <si>
    <t>ACT0598</t>
  </si>
  <si>
    <t xml:space="preserve">Reinforced Brick Masonry for partition walls </t>
  </si>
  <si>
    <t>ACT0602</t>
  </si>
  <si>
    <t>ACT0055</t>
  </si>
  <si>
    <t>ACT0056</t>
  </si>
  <si>
    <t>Supply and fixing of  Door  of size 1.05  x 2.10mt</t>
  </si>
  <si>
    <t>ACT0523</t>
  </si>
  <si>
    <t>ACT0526</t>
  </si>
  <si>
    <t>Providing and fixing factory made uPVC  windows 2track</t>
  </si>
  <si>
    <t>ACT0525</t>
  </si>
  <si>
    <t>ACT0077</t>
  </si>
  <si>
    <t>ACT0532</t>
  </si>
  <si>
    <t>ACT0064</t>
  </si>
  <si>
    <t>ACT0076</t>
  </si>
  <si>
    <t>ACT0125</t>
  </si>
  <si>
    <t>ACT0126</t>
  </si>
  <si>
    <t>ACT0127</t>
  </si>
  <si>
    <t>ACT0179</t>
  </si>
  <si>
    <t>ACT0115</t>
  </si>
  <si>
    <t>Bibcock cum Health Faucet with 1m long tube and wall hook</t>
  </si>
  <si>
    <t>ACT0141</t>
  </si>
  <si>
    <t>ACT0120</t>
  </si>
  <si>
    <t>ACT0121</t>
  </si>
  <si>
    <t>ACT0108</t>
  </si>
  <si>
    <t>ACT0175</t>
  </si>
  <si>
    <t>ACT0114</t>
  </si>
  <si>
    <t>ACT0174</t>
  </si>
  <si>
    <t>ACT0131</t>
  </si>
  <si>
    <t>ACT0135</t>
  </si>
  <si>
    <t>ACT0089</t>
  </si>
  <si>
    <t>ACT0092</t>
  </si>
  <si>
    <t>ACT0093</t>
  </si>
  <si>
    <t>ACT0094</t>
  </si>
  <si>
    <t>ACT0091</t>
  </si>
  <si>
    <t>ACT0095</t>
  </si>
  <si>
    <t>ACT0096</t>
  </si>
  <si>
    <t>ACT0098</t>
  </si>
  <si>
    <t>ACT0097</t>
  </si>
  <si>
    <t>ACT0099</t>
  </si>
  <si>
    <t>ACT0100</t>
  </si>
  <si>
    <t>ACT0102</t>
  </si>
  <si>
    <t>ACT0103</t>
  </si>
  <si>
    <t>ACT0104</t>
  </si>
  <si>
    <t>ACT0106</t>
  </si>
  <si>
    <t>ACT0090</t>
  </si>
  <si>
    <t>ACT0210</t>
  </si>
  <si>
    <t>ACT0212</t>
  </si>
  <si>
    <t>ACT0211</t>
  </si>
  <si>
    <t>ACT0214</t>
  </si>
  <si>
    <t>ACT0213</t>
  </si>
  <si>
    <t>ACT0216</t>
  </si>
  <si>
    <t>ACT0196</t>
  </si>
  <si>
    <t>ACT0066</t>
  </si>
  <si>
    <t>118</t>
  </si>
  <si>
    <t>120</t>
  </si>
  <si>
    <t>121</t>
  </si>
  <si>
    <t>125</t>
  </si>
  <si>
    <t>127</t>
  </si>
  <si>
    <t>128</t>
  </si>
  <si>
    <t>129</t>
  </si>
  <si>
    <t>130</t>
  </si>
  <si>
    <t>131</t>
  </si>
  <si>
    <t>132</t>
  </si>
  <si>
    <t>133</t>
  </si>
  <si>
    <t>134</t>
  </si>
  <si>
    <t>135</t>
  </si>
  <si>
    <t>136</t>
  </si>
  <si>
    <t>138</t>
  </si>
  <si>
    <t>139</t>
  </si>
  <si>
    <t>157</t>
  </si>
  <si>
    <t>170</t>
  </si>
  <si>
    <t>172</t>
  </si>
  <si>
    <t>174</t>
  </si>
  <si>
    <t>176</t>
  </si>
  <si>
    <t>179</t>
  </si>
  <si>
    <t>183</t>
  </si>
  <si>
    <t>185</t>
  </si>
  <si>
    <t>186</t>
  </si>
  <si>
    <t>187</t>
  </si>
  <si>
    <t>189</t>
  </si>
  <si>
    <t>190</t>
  </si>
  <si>
    <t>191</t>
  </si>
  <si>
    <t>193</t>
  </si>
  <si>
    <t>195</t>
  </si>
  <si>
    <t>197</t>
  </si>
  <si>
    <t>201</t>
  </si>
  <si>
    <t>203</t>
  </si>
  <si>
    <t>204</t>
  </si>
  <si>
    <t>K.Bitragunta</t>
  </si>
  <si>
    <t>Deduct doors</t>
  </si>
  <si>
    <t>Dummy pillars</t>
  </si>
  <si>
    <t>3rd flight bottom</t>
  </si>
  <si>
    <t>4th flight bottom</t>
  </si>
  <si>
    <t>Head room</t>
  </si>
  <si>
    <t>Digital store</t>
  </si>
  <si>
    <t>Verandah steps</t>
  </si>
  <si>
    <t>landing</t>
  </si>
  <si>
    <t>Qty.p.17 of M.B.No.113/A/ZP/20</t>
  </si>
  <si>
    <t>Qty.p.19 of M.B.No.113/A/ZP/20</t>
  </si>
  <si>
    <t>3rd flight steps</t>
  </si>
  <si>
    <t>4th flight steps</t>
  </si>
  <si>
    <t>Qty.p.20 of M.B.No.113/A/ZP/20</t>
  </si>
  <si>
    <t>Qty.p.21 of M.B.No.113/A/ZP/20</t>
  </si>
  <si>
    <t>landing slab bottom</t>
  </si>
  <si>
    <t>Ventilators sides</t>
  </si>
  <si>
    <t>FF windows</t>
  </si>
  <si>
    <t>GF 1st and 2nd flight</t>
  </si>
  <si>
    <t>FF 1st and 2nd flight</t>
  </si>
  <si>
    <t>Frame</t>
  </si>
  <si>
    <t>Qty.p.43 of M.B.No.113/A/ZP/20</t>
  </si>
  <si>
    <t>Qty.p.3 of M.B.No.558/A/ZP/20</t>
  </si>
  <si>
    <t>Qty.p.4 of M.B.No.558/A/ZP/20</t>
  </si>
  <si>
    <t>Qty.p.6 of M.B.No.558/A/ZP/20</t>
  </si>
  <si>
    <t>Qty.p.10 of M.B.No.558/A/ZP/20</t>
  </si>
  <si>
    <t>Qty.p.5 of M.B.No.558/A/ZP/20</t>
  </si>
  <si>
    <t>Qty.p.8 of M.B.No.558/A/ZP/20</t>
  </si>
  <si>
    <t>Qty.p.7 of M.B.No.558/A/ZP/20</t>
  </si>
  <si>
    <t>Qty.p.9 of M.B.No.558/A/ZP/20</t>
  </si>
  <si>
    <t>Qty.p.       of M.B.No.558/A/ZP/20</t>
  </si>
  <si>
    <t>Supply and erecting, ISI mark submersible 1.0 HP,Single Phase  18stages pumpset suitable for 106 / 156mm dia borewell with high quality water resistant and dynamically balanced bronze impeller with stainless steel shaft sleeves, pump coupling and pivot of Single phase 250V, 50Hz.. A.C. power supply copper winding with water proof insulation and high precision strength not  to be effected by chemical in water and suitable bronze bearings with nut and bolts etc., with  necessary H-type clamp of suitable size and strength.</t>
  </si>
  <si>
    <t>1HP, Single Phase 18 stage submerisible pump set including all taxes  ELEC-5.4.1 c</t>
  </si>
  <si>
    <t>Transportation Charges on Unit Cost</t>
  </si>
  <si>
    <t>Skilled Fitter</t>
  </si>
  <si>
    <t>Plumber</t>
  </si>
  <si>
    <t>Special M.S. clamps with bolts and nuts ELEC-8.1.18</t>
  </si>
  <si>
    <t>Qty.p.      of M.B.No.558/A/ZP/20</t>
  </si>
  <si>
    <t>3.60 lakhs</t>
  </si>
  <si>
    <t>WPC doors</t>
  </si>
  <si>
    <t>uPVC  windows 3track</t>
  </si>
  <si>
    <t>Grand Total</t>
  </si>
  <si>
    <t>Supplying and fixing of  Door of size 1.20X2.10M with single panels of frames made with teak wood  including c/c of all materials and furniture fittings etc complete as per specification  (APSS No 1001 &amp; 1002) Door Frames only</t>
  </si>
  <si>
    <t>Supplying and fixing of  Door of size 1.05X2.10M with single panels of frames made with teak wood  including c/c of all materials and furniture fittings etc complete as per specification  (APSS No 1001 &amp; 1002) Door Frames only</t>
  </si>
  <si>
    <t>Qty.p.42 of M.B.No.558/B/ZP/20</t>
  </si>
  <si>
    <t>Qty.p.43 of M.B.No.558/B/ZP/20</t>
  </si>
  <si>
    <t>Qty.p.41 of M.B.No.558/B/ZP/20</t>
  </si>
  <si>
    <t>Qty.p.15 of M.B.No.558/B/ZP/20</t>
  </si>
  <si>
    <t>Qty.p.16 of M.B.No.558/B/ZP/20</t>
  </si>
  <si>
    <t>Qty.p.11 of M.B.No.558/B/ZP/20</t>
  </si>
  <si>
    <t>Qty.p.12 of M.B.No.558/B/ZP/20</t>
  </si>
  <si>
    <t>Qty.p.13 of M.B.No.558/B/ZP/20</t>
  </si>
  <si>
    <t>Qty.p.14 of M.B.No.558/B/ZP/20</t>
  </si>
  <si>
    <t>Qty.p.     of M.B.No.558/A/ZP/20</t>
  </si>
  <si>
    <t>Frames : Teak wood</t>
  </si>
  <si>
    <t>Qty.p.      of M.B.No.558/B/ZP/20</t>
  </si>
  <si>
    <t>Supplying and fixing of  Door of size 1.20X2.10M with single panels of Shutter made with flush door shutters including  Alluminium tower bolts, handle and butt hinges with all furniture fittings including c/c of all materials and furniture fittings etc complete as per specification  (APSS No 1001 &amp; 1002) Door Shutter only</t>
  </si>
  <si>
    <t>Supplying and fixing of  Door of size 1.05X2.10M with single panels of Shutter made with flush door shutters including  Alluminium tower bolts, handle and butt hinges with all furniture fittings including c/c of all materials and furniture fittings etc complete as per specification  (APSS No 1001 &amp; 1002) Door Shutter only</t>
  </si>
  <si>
    <t>206</t>
  </si>
  <si>
    <t>208</t>
  </si>
  <si>
    <t>214</t>
  </si>
  <si>
    <t>215</t>
  </si>
  <si>
    <t>221</t>
  </si>
  <si>
    <t xml:space="preserve">Nahany trap </t>
  </si>
  <si>
    <t>25mm dia GI pipe</t>
  </si>
  <si>
    <t>40  mm HDPE pip</t>
  </si>
  <si>
    <t>25mm dia GI Bends</t>
  </si>
  <si>
    <t>25mm dia Clamp set</t>
  </si>
  <si>
    <t xml:space="preserve">3 core 1.50 sqm </t>
  </si>
  <si>
    <t xml:space="preserve"> control panel </t>
  </si>
  <si>
    <t>6A 3/2  socket</t>
  </si>
  <si>
    <t>16A 3/2  socket</t>
  </si>
  <si>
    <t>Independent earthing</t>
  </si>
  <si>
    <t xml:space="preserve"> Soil investigation charges</t>
  </si>
  <si>
    <t>Qty.p.91 of M.B.No.441/A/ZP/19</t>
  </si>
  <si>
    <t>Qty.p.62 of M.B.No.441/A/ZP/19</t>
  </si>
  <si>
    <t>Qty.p.11 of M.B.No.441/A/ZP/19</t>
  </si>
  <si>
    <t>Qty.p.15 of M.B.No.441/A/ZP/19</t>
  </si>
  <si>
    <t>Qty.p.65 of M.B.No.441/A/ZP/19</t>
  </si>
  <si>
    <t>Qty.p.69 of M.B.No.441/A/ZP/19</t>
  </si>
  <si>
    <t>Qty.p.13 of M.B.No.441/A/ZP/19</t>
  </si>
  <si>
    <t>Qty.p.21 of M.B.No.441/A/ZP/19</t>
  </si>
  <si>
    <t>Qty.p.49 of M.B.No.441/A/ZP/19</t>
  </si>
  <si>
    <t>Qty.p.39 of M.B.No.441/A/ZP/19</t>
  </si>
  <si>
    <t>Qty.p.68 of M.B.No.441/A/ZP/19</t>
  </si>
  <si>
    <t>Qty.p.48 of M.B.No.441/A/ZP/19</t>
  </si>
  <si>
    <t>Qty.p.80 of M.B.No.441/A/ZP/19</t>
  </si>
  <si>
    <t>Qty.p.56 of M.B.No.441/A/ZP/19</t>
  </si>
  <si>
    <t>Qty.p.12 of M.B.No.441/A/ZP/19</t>
  </si>
  <si>
    <t>Qty.p.94 of M.B.No.441/A/ZP/19</t>
  </si>
  <si>
    <t>Qty.p.42 of M.B.No.441/A/ZP/19</t>
  </si>
  <si>
    <t>Qty.p.71 of M.B.No.441/A/ZP/19</t>
  </si>
  <si>
    <t>Qty.p.44 of M.B.No.441/A/ZP/19</t>
  </si>
  <si>
    <t>Qty.p.51 of M.B.No.441/A/ZP/19</t>
  </si>
  <si>
    <t>Qty.p.86 of M.B.No.441/A/ZP/19</t>
  </si>
  <si>
    <t>Qty.p.60 of M.B.No.441/A/ZP/19</t>
  </si>
  <si>
    <t>Qty.p.47 of M.B.No.441/A/ZP/19</t>
  </si>
  <si>
    <t>Qty.p.100 of M.B.No.441/A/ZP/19</t>
  </si>
  <si>
    <t>Qty.p.77  of M.B.No.441/A/ZP/19</t>
  </si>
  <si>
    <t>Qty.p.43 of M.B.No.441/A/ZP/19</t>
  </si>
  <si>
    <t>Qty.p.45 of M.B.No.441/A/ZP/19</t>
  </si>
  <si>
    <t>Qty.p.46 of M.B.No.441/A/ZP/19</t>
  </si>
  <si>
    <t>Qty.p.14 of M.B.No.441/A/ZP/19</t>
  </si>
  <si>
    <t>Qty.p.31 of M.B.No.441/A/ZP/19</t>
  </si>
  <si>
    <t>Qty.p.17 of M.B.No.441/A/ZP/19</t>
  </si>
  <si>
    <t>Qty.p.88 of M.B.No.441/A/ZP/19</t>
  </si>
  <si>
    <t>Qty.p.78 of M.B.No.441/A/ZP/19</t>
  </si>
  <si>
    <t>Qty.p.20 of M.B.No.441/A/ZP/19</t>
  </si>
  <si>
    <t>Qty.p.35 of M.B.No.441/A/ZP/19</t>
  </si>
  <si>
    <t>Qty.p.64 of M.B.No.441/A/ZP/19</t>
  </si>
  <si>
    <t>Qty.p.76 of M.B.No.441/A/ZP/19</t>
  </si>
  <si>
    <t>Qty.p.14  of M.B.No.441/A/ZP/19</t>
  </si>
  <si>
    <t>Qty.p.44  of M.B.No.441/A/ZP/19</t>
  </si>
  <si>
    <t>Qty.p.52  of M.B.No.441/A/ZP/19</t>
  </si>
  <si>
    <t>Qty.p.55  of M.B.No.441/A/ZP/19</t>
  </si>
  <si>
    <t>Qty.p.17  of M.B.No.441/A/ZP/19</t>
  </si>
  <si>
    <t>Qty.p.45  of M.B.No.441/A/ZP/19</t>
  </si>
  <si>
    <t>Qty.p.95 of M.B.No.441/A/ZP/19</t>
  </si>
  <si>
    <t>Qty.p.81 of M.B.No.441/A/ZP/19</t>
  </si>
  <si>
    <t>Qty.p.83 of M.B.No.441/A/ZP/19</t>
  </si>
  <si>
    <t>Qty.p.72 of M.B.No.441/A/ZP/19</t>
  </si>
  <si>
    <t>Qty.p.12  of M.B.No.441/A/ZP/19</t>
  </si>
  <si>
    <t>Qty.p.     of M.B.No.441/A/ZP/19</t>
  </si>
  <si>
    <t>Qty.p.78  of M.B.No.441/A/ZP/19</t>
  </si>
  <si>
    <t>Qty.p.79 of M.B.No.441/A/ZP/19</t>
  </si>
  <si>
    <t>Qty.p.89 of M.B.No.441/A/ZP/19</t>
  </si>
  <si>
    <t>Qty.p.99 of M.B.No.441/A/ZP/19</t>
  </si>
  <si>
    <t>Qty.p.87 of M.B.No.441/A/ZP/19</t>
  </si>
  <si>
    <t>Qty.p.16 of M.B.No.441/A/ZP/19</t>
  </si>
  <si>
    <t>Qty.p.50 of M.B.No.441/A/ZP/19</t>
  </si>
  <si>
    <t>Qty.P.No. 53 of M.B.No.441/A/ZP/19</t>
  </si>
  <si>
    <t>Qty.p.65  of M.B.No.441/A/ZP/19</t>
  </si>
  <si>
    <t>Qty.p.26 of M.B.No.441/A/ZP/19</t>
  </si>
  <si>
    <t>Qty.p.57 of M.B.No.441/A/ZP/19</t>
  </si>
  <si>
    <t>Qty.p.96  of M.B.No.441/A/ZP/19</t>
  </si>
  <si>
    <t>Qty.P.No. 18 of M.B.No.441/A/ZP/19</t>
  </si>
  <si>
    <t>Qty.p.85  of M.B.No.441/A/ZP/19</t>
  </si>
  <si>
    <t>Qty.p.52 of M.B.No.441/A/ZP/19</t>
  </si>
  <si>
    <t>Qty.p. 72 of M.B.No.441/A/ZP/19</t>
  </si>
  <si>
    <t>Qty.P.No. 73 of M.B.No.441/A/ZP/19</t>
  </si>
  <si>
    <t>Qty.p.54  of M.B.No.441/A/ZP/19</t>
  </si>
  <si>
    <t>Qty.p.90 of M.B.No.441/A/ZP/19</t>
  </si>
  <si>
    <t>Short walls</t>
  </si>
  <si>
    <t>PB 105</t>
  </si>
  <si>
    <t>FB 204, 205</t>
  </si>
  <si>
    <t>FB 204</t>
  </si>
  <si>
    <t>FB 205</t>
  </si>
  <si>
    <t>FB 208</t>
  </si>
  <si>
    <t>FB 209</t>
  </si>
  <si>
    <t>Portico portion</t>
  </si>
  <si>
    <t>Qty.p.62  of M.B.No.441/A/ZP/19</t>
  </si>
  <si>
    <t>SF beam &amp; slab</t>
  </si>
  <si>
    <t>FB 206, 207, 208</t>
  </si>
  <si>
    <t>Deduct column portion</t>
  </si>
  <si>
    <t>B3 - E3 I/I</t>
  </si>
  <si>
    <t>E3-E1 I/I</t>
  </si>
  <si>
    <t>E1-B1 I/I</t>
  </si>
  <si>
    <t>A1-A1 &amp; B1-B1</t>
  </si>
  <si>
    <t>A1-B1</t>
  </si>
  <si>
    <t>Deduct Elevation opening</t>
  </si>
  <si>
    <t>A1-A2</t>
  </si>
  <si>
    <t>A2-A3</t>
  </si>
  <si>
    <t>A3-B3</t>
  </si>
  <si>
    <t>Deduct door opening</t>
  </si>
  <si>
    <t>B1-B3 I/I</t>
  </si>
  <si>
    <t>C1-C2 D1-D2</t>
  </si>
  <si>
    <t>B2-E2</t>
  </si>
  <si>
    <t>B2-E2 I/I</t>
  </si>
  <si>
    <t>Deduct bathroom door</t>
  </si>
  <si>
    <t>D2-D3</t>
  </si>
  <si>
    <t>Tiolet long wall D2-D3</t>
  </si>
  <si>
    <t>Tiolet block cross wall</t>
  </si>
  <si>
    <t>B1-E1</t>
  </si>
  <si>
    <t>Deduct column</t>
  </si>
  <si>
    <t>E1-E3</t>
  </si>
  <si>
    <t>E3-B3</t>
  </si>
  <si>
    <t>B1-B2 C1-C2 D1-D2</t>
  </si>
  <si>
    <t>B2-B3</t>
  </si>
  <si>
    <t>B2-C2</t>
  </si>
  <si>
    <t>C2-D2</t>
  </si>
  <si>
    <t>D2-E2</t>
  </si>
  <si>
    <t>Over tiolet cross wall</t>
  </si>
  <si>
    <t>E1-E2</t>
  </si>
  <si>
    <t>E2-E3</t>
  </si>
  <si>
    <t>Qty.p.85 of M.B.No.441/A/ZP/19</t>
  </si>
  <si>
    <t>Tiolet block ventilators</t>
  </si>
  <si>
    <t>B2E3</t>
  </si>
  <si>
    <t>Deduct beam portion</t>
  </si>
  <si>
    <t>Tiolet block long wall to D2-D3</t>
  </si>
  <si>
    <t>Deduct opening elevation portion</t>
  </si>
  <si>
    <t>Qty.p.93  of M.B.No.441/A/ZP/19</t>
  </si>
  <si>
    <t>2nd flight slab bottom</t>
  </si>
  <si>
    <t>N/S RB sides</t>
  </si>
  <si>
    <t>W/S RB sides</t>
  </si>
  <si>
    <t>S/S</t>
  </si>
  <si>
    <t>Tiolet - Sarpanch</t>
  </si>
  <si>
    <t>Combined bath room</t>
  </si>
  <si>
    <t>waiting hall</t>
  </si>
  <si>
    <t>Carridor cross beam sides</t>
  </si>
  <si>
    <t>meeting Hall RB sides</t>
  </si>
  <si>
    <t>Waiting hall RB sides</t>
  </si>
  <si>
    <t>Staircase 1st flight slab</t>
  </si>
  <si>
    <t>MLB1 sides</t>
  </si>
  <si>
    <t>Slab projection N/S</t>
  </si>
  <si>
    <t>W/S</t>
  </si>
  <si>
    <t>E/S</t>
  </si>
  <si>
    <t>E/S RB sides</t>
  </si>
  <si>
    <t>slab projection bottom</t>
  </si>
  <si>
    <t>Sides</t>
  </si>
  <si>
    <t>Slab edges</t>
  </si>
  <si>
    <t>Window sunshades</t>
  </si>
  <si>
    <t>A1-A2 &amp; B1-B2</t>
  </si>
  <si>
    <t>Qty.p.8 of M.B.No.432/A/ZP/19</t>
  </si>
  <si>
    <t>Carridor alround</t>
  </si>
  <si>
    <t>Sarpanch room alround</t>
  </si>
  <si>
    <t>Digital store room alround</t>
  </si>
  <si>
    <t>Staff room alround</t>
  </si>
  <si>
    <t>B1-B3</t>
  </si>
  <si>
    <t>Visitors room wall inside</t>
  </si>
  <si>
    <t>Staircase portion A1-B1 upto MLB</t>
  </si>
  <si>
    <t>Deduct opening for elevation</t>
  </si>
  <si>
    <t>Above MLB A1-B1</t>
  </si>
  <si>
    <t>Opening portion sides doors</t>
  </si>
  <si>
    <t>Tiolet doors</t>
  </si>
  <si>
    <t>Windows opening sides</t>
  </si>
  <si>
    <t>tiolet ventilators sides</t>
  </si>
  <si>
    <t>Elevation Glass fitting sides</t>
  </si>
  <si>
    <t>Staircase room alround</t>
  </si>
  <si>
    <t>Deduct Elevation glass fitting</t>
  </si>
  <si>
    <t>RB sides</t>
  </si>
  <si>
    <t>Elevation glass fittings sides</t>
  </si>
  <si>
    <t>South side</t>
  </si>
  <si>
    <t>Qty.p.12 of M.B.No.432/A/ZP/19</t>
  </si>
  <si>
    <t>west side</t>
  </si>
  <si>
    <t>Visitors  walls</t>
  </si>
  <si>
    <t>South side Staircase portion</t>
  </si>
  <si>
    <t>Deduct Staircase elevation opening</t>
  </si>
  <si>
    <t>Qty.p.13 of M.B.No.432/A/ZP/19</t>
  </si>
  <si>
    <t>head room alround</t>
  </si>
  <si>
    <t>Staircase elevation fitting</t>
  </si>
  <si>
    <t>Verandah portion</t>
  </si>
  <si>
    <t>Ramp portion</t>
  </si>
  <si>
    <t>Front verandah portion</t>
  </si>
  <si>
    <t>Qty.p.26 of M.B.No.432/A/ZP/19</t>
  </si>
  <si>
    <t>staff room</t>
  </si>
  <si>
    <t>Visitors waiting hall</t>
  </si>
  <si>
    <t>Qty.p.29 of M.B.No.432/A/ZP/19</t>
  </si>
  <si>
    <t>Qty.p.31 of M.B.No.432/A/ZP/19</t>
  </si>
  <si>
    <t>Verandah portion E/S</t>
  </si>
  <si>
    <t>Deduct wall column</t>
  </si>
  <si>
    <t>Qty.p.33 of M.B.No.432/A/ZP/19</t>
  </si>
  <si>
    <t>Deduct North side</t>
  </si>
  <si>
    <t>Deduct west side</t>
  </si>
  <si>
    <t>Spandana counter</t>
  </si>
  <si>
    <t>Elevation opening fixing panel</t>
  </si>
  <si>
    <t>Qty.p.38 of M.B.No.432/A/ZP/19</t>
  </si>
  <si>
    <t>Meeting Hall alround</t>
  </si>
  <si>
    <t>RB in Meeting Hall</t>
  </si>
  <si>
    <t>Sarpanch room ceiling</t>
  </si>
  <si>
    <t>Digital &amp; Staff room ceiling</t>
  </si>
  <si>
    <t>Visitors waiting hall ceiling</t>
  </si>
  <si>
    <t>spandana counter</t>
  </si>
  <si>
    <t>FF Windows</t>
  </si>
  <si>
    <t>Elevation grills</t>
  </si>
  <si>
    <t>Above landing</t>
  </si>
  <si>
    <t>Qty.p.49 of M.B.No.432/A/ZP/19</t>
  </si>
  <si>
    <t>Qty.p.50 of M.B.No.432/A/ZP/19</t>
  </si>
  <si>
    <t>Front projection bottom</t>
  </si>
  <si>
    <t>Slab thickness</t>
  </si>
  <si>
    <t>Qty.p.54 of M.B.No.432/A/ZP/19</t>
  </si>
  <si>
    <t>Slab projection E/S</t>
  </si>
  <si>
    <t>R/B sides</t>
  </si>
  <si>
    <t>Qty.p.55 of M.B.No.432/A/ZP/19</t>
  </si>
  <si>
    <t>GF doors</t>
  </si>
  <si>
    <t>FF doors</t>
  </si>
  <si>
    <t>Qty.p.59 of M.B.No.432/A/ZP/19</t>
  </si>
  <si>
    <t>Tiolet flooring</t>
  </si>
  <si>
    <t>Qty.p.60 of M.B.No.432/A/ZP/19</t>
  </si>
  <si>
    <t>Sarpanch bath room</t>
  </si>
  <si>
    <t>gents Bath room</t>
  </si>
  <si>
    <t>PS room</t>
  </si>
  <si>
    <t>Agri cum and aqua store</t>
  </si>
  <si>
    <t>First floor digital asst room</t>
  </si>
  <si>
    <t>Qty.p.5 of M.B.No.148/B/ZP/22</t>
  </si>
  <si>
    <t>Qty.p.12 of M.B.No.148/B/ZP/22</t>
  </si>
  <si>
    <t>Sarpa</t>
  </si>
  <si>
    <t>Visitor Waiting Hall</t>
  </si>
  <si>
    <t>Qty.p.13 of M.B.No.148/B/ZP/22</t>
  </si>
  <si>
    <t>Qty.p.14 of M.B.No.148/B/ZP/22</t>
  </si>
  <si>
    <t>Qty.p.15 of M.B.No.148/B/ZP/22</t>
  </si>
  <si>
    <t>Qty.p.17 of M.B.No.148/B/ZP/22</t>
  </si>
  <si>
    <t>Qty.p.23 of M.B.No.148/B/ZP/22</t>
  </si>
  <si>
    <r>
      <t>Supply and Fixing of Premium make CPVC Pipes and Fittings to meet the requirement of ASTM-D 2846 and are produced in CTS (Copper Tube Sizes 1/2" ton 2" Ashirvad  lowgurard SDR 11 and SDR 13.5 pipes are made from  dential CPVC compounds having the same physical  roperties for Hot and Cold Water (IS 15778:2007)</t>
    </r>
    <r>
      <rPr>
        <b/>
        <sz val="10"/>
        <rFont val="Calibri"/>
        <family val="2"/>
        <scheme val="minor"/>
      </rPr>
      <t>for  15mm dia</t>
    </r>
  </si>
  <si>
    <t>25mm</t>
  </si>
  <si>
    <t>32mm</t>
  </si>
  <si>
    <t>FF Open place</t>
  </si>
  <si>
    <t>Qty.p.26 of M.B.No.148/B/ZP/22</t>
  </si>
  <si>
    <t>Qty.p.2 of M.B.No.1186/A/ZP/20</t>
  </si>
  <si>
    <t>Qty.p.4 of M.B.No.1186/A/ZP/20</t>
  </si>
  <si>
    <t>Qty.p.24 of M.B.No.1186/A/ZP/20</t>
  </si>
  <si>
    <t>Qty.p.45 of M.B.No.1186/A/ZP/20</t>
  </si>
  <si>
    <t>MLB</t>
  </si>
  <si>
    <t>Qty.p.20 of M.B.No.605/B/ZP/20</t>
  </si>
  <si>
    <t>Qty.p.23 of M.B.No.605/B/ZP/20</t>
  </si>
  <si>
    <t>Qty.p.33 of M.B.No.605/B/ZP/20</t>
  </si>
  <si>
    <t>Qty.p.31 of M.B.No.605/B/ZP/20</t>
  </si>
  <si>
    <t>Qty.p.47 of M.B.No.605/B/ZP/20</t>
  </si>
  <si>
    <t>Qty.p.48 of M.B.No.605/B/ZP/20</t>
  </si>
  <si>
    <t>Qty.p.42 of M.B.No.605/B/ZP/20</t>
  </si>
  <si>
    <t>Qty.p.49 of M.B.No.605/B/ZP/20</t>
  </si>
  <si>
    <t>Qty.p.44 of M.B.No.605/B/ZP/20</t>
  </si>
  <si>
    <t>Qty.p.50 of M.B.No.605/B/ZP/20</t>
  </si>
  <si>
    <t>Qty.p.18 of M.B.No.1186/A/ZP/20</t>
  </si>
  <si>
    <t>Qty.p.22 of M.B.No.1186/A/ZP/20</t>
  </si>
  <si>
    <t>Qty.p.32 of M.B.No.1186/A/ZP/20</t>
  </si>
  <si>
    <t>Qty.p.35 of M.B.No.1186/A/ZP/20</t>
  </si>
  <si>
    <t>Qty.p.29 of M.B.No.1186/A/ZP/20</t>
  </si>
  <si>
    <t>Qty.p.42 of M.B.No.1186/A/ZP/20</t>
  </si>
  <si>
    <t>Qty.p.46 of M.B.No.1186/A/ZP/20</t>
  </si>
  <si>
    <t>Qty.p.18 of M.B.No.605/B/ZP/20</t>
  </si>
  <si>
    <t>Qty.p.21 of M.B.No.605/B/ZP/20</t>
  </si>
  <si>
    <t>Qty.p.30 of M.B.No.605/B/ZP/20</t>
  </si>
  <si>
    <t>Qty.p.45 of M.B.No.605/B/ZP/20</t>
  </si>
  <si>
    <t>Qty.p.37 of M.B.No.605/B/ZP/20</t>
  </si>
  <si>
    <t>Qty.p.40 of M.B.No.605/B/ZP/20</t>
  </si>
  <si>
    <t>Qty.p.5 of M.B.No.1186/A/ZP/20</t>
  </si>
  <si>
    <t>Qty.p.23 of M.B.No.1186/A/ZP/20</t>
  </si>
  <si>
    <t>Qty.p.35 of M.B.No.605/B/ZP/20</t>
  </si>
  <si>
    <t>Qty.p.38 of M.B.No.605/B/ZP/20</t>
  </si>
  <si>
    <t>Spandana desk</t>
  </si>
  <si>
    <t>C1</t>
  </si>
  <si>
    <t>C2</t>
  </si>
  <si>
    <t>C3</t>
  </si>
  <si>
    <t>Cross walls</t>
  </si>
  <si>
    <t>Cross wall front side</t>
  </si>
  <si>
    <t>PB 104</t>
  </si>
  <si>
    <t xml:space="preserve">2nd flight </t>
  </si>
  <si>
    <t>Extra beam</t>
  </si>
  <si>
    <t>3rd flight</t>
  </si>
  <si>
    <t>4th flight</t>
  </si>
  <si>
    <t>FB 201</t>
  </si>
  <si>
    <t>FB 202</t>
  </si>
  <si>
    <t>FB 203</t>
  </si>
  <si>
    <t>Two walls</t>
  </si>
  <si>
    <t>Cross wall between PS and Digital steps</t>
  </si>
  <si>
    <t>Between tiole and meeting hall</t>
  </si>
  <si>
    <t>At bath room</t>
  </si>
  <si>
    <t>Parapet wall at back side</t>
  </si>
  <si>
    <t>Deduct tiolet door</t>
  </si>
  <si>
    <t>Front wall</t>
  </si>
  <si>
    <t>back wall</t>
  </si>
  <si>
    <t>Side wall</t>
  </si>
  <si>
    <t>above landing</t>
  </si>
  <si>
    <t>below landing</t>
  </si>
  <si>
    <t>Front side parapet front wall</t>
  </si>
  <si>
    <t>Slope portion</t>
  </si>
  <si>
    <t>Cross wall</t>
  </si>
  <si>
    <t>Godown flooring</t>
  </si>
  <si>
    <t>tiolet room</t>
  </si>
  <si>
    <t>meeting Hall</t>
  </si>
  <si>
    <t>Front projecton</t>
  </si>
  <si>
    <t>back projection</t>
  </si>
  <si>
    <t>Sides of beam in carridor</t>
  </si>
  <si>
    <t>Head room ceiling</t>
  </si>
  <si>
    <t>Side projection</t>
  </si>
  <si>
    <t>Carridor two sides</t>
  </si>
  <si>
    <t>Front and back side</t>
  </si>
  <si>
    <t>meet</t>
  </si>
  <si>
    <t>Parapet back side</t>
  </si>
  <si>
    <t>At steps below landing</t>
  </si>
  <si>
    <t>Side of wall</t>
  </si>
  <si>
    <t>Wall at front side</t>
  </si>
  <si>
    <t>Two side wall</t>
  </si>
  <si>
    <t>Back wall</t>
  </si>
  <si>
    <t>fRont wall</t>
  </si>
  <si>
    <t>head room</t>
  </si>
  <si>
    <t>Meeting hall</t>
  </si>
  <si>
    <t>Wall staff room</t>
  </si>
  <si>
    <t>digital room</t>
  </si>
  <si>
    <t>Steps below landing</t>
  </si>
  <si>
    <t>Sides of wall</t>
  </si>
  <si>
    <t>carridor</t>
  </si>
  <si>
    <t>Open area back side</t>
  </si>
  <si>
    <t>Open area front side</t>
  </si>
  <si>
    <t>steps 3rd flight</t>
  </si>
  <si>
    <t>steps 4th flight</t>
  </si>
  <si>
    <t>At steps</t>
  </si>
  <si>
    <t>Supplying and fixing of  Door of size 1.20X2.10M with single panels of frames made with Sal wood and Shutter made with flush door shutters including  MS Z hold fasts , Alluminium tower bolts, handle and butt hinges with all furniture fittings including c/c of all materials and furniture fittings etc complete as per specification  (APSS No 1001 &amp; 1002) Door Frame with Shutters</t>
  </si>
  <si>
    <t>For wall staff room</t>
  </si>
  <si>
    <t>meeting hall</t>
  </si>
  <si>
    <t>Qty.p.43 of M.B.No.1186/A/ZP/20</t>
  </si>
  <si>
    <t>For sunshades</t>
  </si>
  <si>
    <t>Back wall of front wall</t>
  </si>
  <si>
    <t>ACT0564</t>
  </si>
  <si>
    <t>ACT0571</t>
  </si>
  <si>
    <t>ACT0572</t>
  </si>
  <si>
    <t>ACT0054</t>
  </si>
  <si>
    <t>Ltd to</t>
  </si>
  <si>
    <t>APSPDCL ELECTRICAL CHARGES</t>
  </si>
  <si>
    <t>Drilling  borewell</t>
  </si>
  <si>
    <t>1.50 sqm  copper cable</t>
  </si>
  <si>
    <t>32mm dia CPVC pipes</t>
  </si>
  <si>
    <t>Slab 150mm</t>
  </si>
  <si>
    <t xml:space="preserve">Plaster'ing 20mm </t>
  </si>
  <si>
    <t xml:space="preserve">Provision towards QC Charges at 0.5% </t>
  </si>
  <si>
    <t>Provision for Seigniorage charges</t>
  </si>
  <si>
    <t>Provision towards unforeseen items of work</t>
  </si>
  <si>
    <t>D34816-CW-G01.Amount for wage component</t>
  </si>
  <si>
    <t>Unit Price</t>
  </si>
  <si>
    <t>D16033-CW-G02.cement</t>
  </si>
  <si>
    <t>D16901-Cost of Sand</t>
  </si>
  <si>
    <t>D16048-CW-G19.sand for Concrete</t>
  </si>
  <si>
    <t>D16034-CW-G03.sand for filling</t>
  </si>
  <si>
    <t>D16035-CW-G04.sand for mortar</t>
  </si>
  <si>
    <t>D16038-CW-G07.20mm to 12mm HBG/HBT graded Metal:Consisting of 20mm metal 60% and12mm metal 40%</t>
  </si>
  <si>
    <t>D16040-CW-G09.40 mm nominal HBG/HBT Graded Metal</t>
  </si>
  <si>
    <t>D16041-CW-G10.Cost towards engaging skilled labour,semi skilled labour,other materials and equipment charges including all other materials</t>
  </si>
  <si>
    <t>D16042-CW-G12.QC @0.5%</t>
  </si>
  <si>
    <t>D16043-CW-G13.Seignorage charges</t>
  </si>
  <si>
    <t>D16327-Provision For Work Wise File</t>
  </si>
  <si>
    <t>D16045-CW-G15.LS amount for unforcen items.</t>
  </si>
  <si>
    <t>As per M.Book</t>
  </si>
  <si>
    <t>COMPLETION REPORT</t>
  </si>
  <si>
    <t>D16902-Transportion of Sand</t>
  </si>
  <si>
    <t>Cement Primer Interior Grade  BMT-J.01</t>
  </si>
  <si>
    <t>Cement Primer external Grade  BMT-J.02</t>
  </si>
  <si>
    <t>acrylic Emulsion paint  BMT-J.24</t>
  </si>
  <si>
    <t>acrylic Emulsion paint  BMT-J.34</t>
  </si>
  <si>
    <t>0.45= 275.00 : 0.90 = ?</t>
  </si>
  <si>
    <t>?=0.90 x 275.00 / 0.45</t>
  </si>
  <si>
    <t>?=550.00</t>
  </si>
  <si>
    <t>0.45= 303.00 : 1.20 = ?</t>
  </si>
  <si>
    <t>?=1.20 x 303.00 / 0.45</t>
  </si>
  <si>
    <t>?=808.00</t>
  </si>
  <si>
    <t>0.45= 303.00 : 0.90 = ?</t>
  </si>
  <si>
    <t>?=0.90 x 303.00 / 0.45</t>
  </si>
  <si>
    <t>?=606.00</t>
  </si>
  <si>
    <t>0.45= 275.00 : 1.20 = ?</t>
  </si>
  <si>
    <t>?=733.33</t>
  </si>
  <si>
    <t>?=1.20 x 275.00 / 0.45</t>
  </si>
  <si>
    <t>Helper Electrician</t>
  </si>
  <si>
    <t>heleer Electrician</t>
  </si>
  <si>
    <t>Helerb Electrician</t>
  </si>
  <si>
    <t>28.60mm ODPipe - SDR 13.5 BMW-I.222</t>
  </si>
  <si>
    <t>Other items like door, windows, Grills, Sanitation and Electrification</t>
  </si>
  <si>
    <t>BMT-D.23</t>
  </si>
  <si>
    <t>ELEC-1.1.3.a</t>
  </si>
  <si>
    <t>25mm dia 1,2,3 &amp; 4 way  Junction Box</t>
  </si>
  <si>
    <t>ELEC-1.1.3 a</t>
  </si>
  <si>
    <t>ELEC-1.1.3a</t>
  </si>
  <si>
    <t>pressed clay flooring tiles</t>
  </si>
  <si>
    <t>Cement Primer external Grade BMT-J.02</t>
  </si>
  <si>
    <t>acrylic Emulsion paint  BMT-J.28</t>
  </si>
  <si>
    <t>Initial cost  MAT- 07334</t>
  </si>
  <si>
    <t xml:space="preserve">Initial cost  MAT- 00260 </t>
  </si>
  <si>
    <t xml:space="preserve">Initial cost  </t>
  </si>
  <si>
    <t>Initial cost BMW-F.09</t>
  </si>
  <si>
    <t>Roof tiles   BMT-D.23</t>
  </si>
  <si>
    <r>
      <t xml:space="preserve">Engaging Unskilled Labour for </t>
    </r>
    <r>
      <rPr>
        <b/>
        <sz val="10"/>
        <rFont val="Calibri"/>
        <family val="2"/>
        <scheme val="minor"/>
      </rPr>
      <t xml:space="preserve">Earth work </t>
    </r>
    <r>
      <rPr>
        <sz val="10"/>
        <rFont val="Calibri"/>
        <family val="2"/>
        <scheme val="minor"/>
      </rPr>
      <t>excavation &amp; depositing on bank with an initial lead &amp; initial lift in Loamy, Clayey soils like BC Soils, Red Earth &amp; Chodu Soils</t>
    </r>
  </si>
  <si>
    <r>
      <rPr>
        <b/>
        <sz val="10"/>
        <rFont val="Calibri"/>
        <family val="2"/>
        <scheme val="minor"/>
      </rPr>
      <t>Plain Cement Concrete (1:4:8)</t>
    </r>
    <r>
      <rPr>
        <sz val="10"/>
        <rFont val="Calibri"/>
        <family val="2"/>
        <scheme val="minor"/>
      </rPr>
      <t xml:space="preserve"> proportion Nominal mix for foundations using 40mm size SS-5 metal including c/c of all materials &amp; labour charges, machine mixing &amp; laying concrete in foundation</t>
    </r>
  </si>
  <si>
    <r>
      <t>Filling Basement with</t>
    </r>
    <r>
      <rPr>
        <b/>
        <sz val="10"/>
        <rFont val="Calibri"/>
        <family val="2"/>
        <scheme val="minor"/>
      </rPr>
      <t xml:space="preserve"> Selected earth</t>
    </r>
    <r>
      <rPr>
        <sz val="10"/>
        <rFont val="Calibri"/>
        <family val="2"/>
        <scheme val="minor"/>
      </rPr>
      <t xml:space="preserve"> by watering and ramming including all operational, incidental and including c/c of material and labour charges etc complete for finished item of the work (APSS No 309&amp; 310) per 1 Cum</t>
    </r>
  </si>
  <si>
    <r>
      <rPr>
        <b/>
        <sz val="10"/>
        <rFont val="Calibri"/>
        <family val="2"/>
        <scheme val="minor"/>
      </rPr>
      <t>Filling with Sand</t>
    </r>
    <r>
      <rPr>
        <sz val="10"/>
        <rFont val="Calibri"/>
        <family val="2"/>
        <scheme val="minor"/>
      </rPr>
      <t xml:space="preserve"> in trenches, sides of foundations &amp; basement by watering and ramming including all operational, incidental, labour charges, hire charges of T&amp;P etc complete including cost and conveyance of material and labour charges etc complete for finished item of the work</t>
    </r>
  </si>
  <si>
    <r>
      <t xml:space="preserve">Spreading of </t>
    </r>
    <r>
      <rPr>
        <b/>
        <sz val="10"/>
        <rFont val="Calibri"/>
        <family val="2"/>
        <scheme val="minor"/>
      </rPr>
      <t>sand filling</t>
    </r>
  </si>
  <si>
    <r>
      <t xml:space="preserve">Filling in foundation with </t>
    </r>
    <r>
      <rPr>
        <b/>
        <sz val="10"/>
        <rFont val="Calibri"/>
        <family val="2"/>
        <scheme val="minor"/>
      </rPr>
      <t>excavated soil</t>
    </r>
    <r>
      <rPr>
        <sz val="10"/>
        <rFont val="Calibri"/>
        <family val="2"/>
        <scheme val="minor"/>
      </rPr>
      <t xml:space="preserve"> as per drawing and technical specification Clause 305.3.9 MORD &amp; 304 MORTH.</t>
    </r>
  </si>
  <si>
    <r>
      <t xml:space="preserve">RCC  M25 Nominal mix (Cement: Sand: Metal)  using 20mm size graded material including cost and conveyance of all material and labour charges etc., complete </t>
    </r>
    <r>
      <rPr>
        <b/>
        <sz val="10"/>
        <rFont val="Calibri"/>
        <family val="2"/>
        <scheme val="minor"/>
      </rPr>
      <t>for column footings</t>
    </r>
  </si>
  <si>
    <r>
      <t xml:space="preserve">RCC  M25 Nominal mix (Cement: Sand: Metal)  using 20mm size graded material including cost and conveyance of all material and labour charges etc., complete </t>
    </r>
    <r>
      <rPr>
        <b/>
        <sz val="10"/>
        <rFont val="Calibri"/>
        <family val="2"/>
        <scheme val="minor"/>
      </rPr>
      <t>for Pedastal</t>
    </r>
  </si>
  <si>
    <r>
      <t xml:space="preserve">RCC  M25 Nominal mix (Cement: Sand: Metal)  using 20mm size graded material including cost and conveyance of all material and labour charges etc., complete </t>
    </r>
    <r>
      <rPr>
        <b/>
        <sz val="10"/>
        <rFont val="Calibri"/>
        <family val="2"/>
        <scheme val="minor"/>
      </rPr>
      <t>for Columns</t>
    </r>
  </si>
  <si>
    <r>
      <t>RCC  M25 Nominal mix (Cement: Sand: Metal)  using 20mm size graded material including cost and conveyance of all material and labour charges etc., complete</t>
    </r>
    <r>
      <rPr>
        <b/>
        <sz val="10"/>
        <rFont val="Calibri"/>
        <family val="2"/>
        <scheme val="minor"/>
      </rPr>
      <t xml:space="preserve"> for Plinth beam</t>
    </r>
  </si>
  <si>
    <r>
      <t xml:space="preserve">RCC  M25 Nominal mix (Cement: Sand: Metal)  using 20mm size graded material including cost and conveyance of all material and labour charges etc., complete </t>
    </r>
    <r>
      <rPr>
        <b/>
        <sz val="10"/>
        <rFont val="Calibri"/>
        <family val="2"/>
        <scheme val="minor"/>
      </rPr>
      <t>for Roof beam</t>
    </r>
  </si>
  <si>
    <r>
      <t xml:space="preserve">RCC  M25 Nominal mix (Cement: Sand: Metal)  using 20mm size graded material including cost and conveyance of all material and labour charges etc., complete </t>
    </r>
    <r>
      <rPr>
        <b/>
        <sz val="10"/>
        <rFont val="Calibri"/>
        <family val="2"/>
        <scheme val="minor"/>
      </rPr>
      <t>for Roof slab 125mm</t>
    </r>
  </si>
  <si>
    <r>
      <t xml:space="preserve">RCC  M25 Nominal mix (Cement: Sand: Metal)  using 20mm size graded material including cost and conveyance of all material and labour charges etc., complete </t>
    </r>
    <r>
      <rPr>
        <b/>
        <sz val="10"/>
        <rFont val="Calibri"/>
        <family val="2"/>
        <scheme val="minor"/>
      </rPr>
      <t>for Roof slab 150mm</t>
    </r>
  </si>
  <si>
    <r>
      <t>RCC  M25 Nominal mix (Cement: Sand: Metal)  using 20mm size graded material including cost and conveyance of all material and labour charges etc., complete</t>
    </r>
    <r>
      <rPr>
        <b/>
        <sz val="10"/>
        <rFont val="Calibri"/>
        <family val="2"/>
        <scheme val="minor"/>
      </rPr>
      <t xml:space="preserve"> for Lintels</t>
    </r>
  </si>
  <si>
    <r>
      <t xml:space="preserve">RCC  M25 Nominal mix (Cement: Sand: Metal)  using 20mm size graded material including cost and conveyance of all material and labour charges etc., complete </t>
    </r>
    <r>
      <rPr>
        <b/>
        <sz val="10"/>
        <rFont val="Calibri"/>
        <family val="2"/>
        <scheme val="minor"/>
      </rPr>
      <t>for Sunshade</t>
    </r>
  </si>
  <si>
    <r>
      <t>PCC  M25 Nominal mix (Cement: Sand: Metal)  using 20mm size graded material including cost and conveyance of all material and labour charges etc., complete</t>
    </r>
    <r>
      <rPr>
        <b/>
        <sz val="10"/>
        <rFont val="Calibri"/>
        <family val="2"/>
        <scheme val="minor"/>
      </rPr>
      <t xml:space="preserve"> for Steps</t>
    </r>
  </si>
  <si>
    <r>
      <rPr>
        <b/>
        <sz val="10"/>
        <rFont val="Calibri"/>
        <family val="2"/>
        <scheme val="minor"/>
      </rPr>
      <t>Brick Masonary</t>
    </r>
    <r>
      <rPr>
        <sz val="10"/>
        <rFont val="Calibri"/>
        <family val="2"/>
        <scheme val="minor"/>
      </rPr>
      <t xml:space="preserve"> for Superstructure with </t>
    </r>
    <r>
      <rPr>
        <b/>
        <sz val="10"/>
        <rFont val="Calibri"/>
        <family val="2"/>
        <scheme val="minor"/>
      </rPr>
      <t>CM (1:8</t>
    </r>
    <r>
      <rPr>
        <sz val="10"/>
        <rFont val="Calibri"/>
        <family val="2"/>
        <scheme val="minor"/>
      </rPr>
      <t>) proportion using 2nd class traditional bricks including c/c of all materials like Cement, Sand, Bricks, water etc including  labour charges etc. complete</t>
    </r>
  </si>
  <si>
    <r>
      <rPr>
        <b/>
        <sz val="10"/>
        <rFont val="Calibri"/>
        <family val="2"/>
        <scheme val="minor"/>
      </rPr>
      <t xml:space="preserve">Brick Masonary </t>
    </r>
    <r>
      <rPr>
        <sz val="10"/>
        <rFont val="Calibri"/>
        <family val="2"/>
        <scheme val="minor"/>
      </rPr>
      <t>for Superstructure with</t>
    </r>
    <r>
      <rPr>
        <b/>
        <sz val="10"/>
        <rFont val="Calibri"/>
        <family val="2"/>
        <scheme val="minor"/>
      </rPr>
      <t xml:space="preserve"> CM (1:6) </t>
    </r>
    <r>
      <rPr>
        <sz val="10"/>
        <rFont val="Calibri"/>
        <family val="2"/>
        <scheme val="minor"/>
      </rPr>
      <t>proportion using 2nd class traditional bricks including c/c of all materials like Cement, Sand, Bricks, water etc including  labour charges etc. complete</t>
    </r>
  </si>
  <si>
    <r>
      <rPr>
        <b/>
        <sz val="10"/>
        <rFont val="Calibri"/>
        <family val="2"/>
        <scheme val="minor"/>
      </rPr>
      <t>Reinforced Brick Masonry</t>
    </r>
    <r>
      <rPr>
        <sz val="10"/>
        <rFont val="Calibri"/>
        <family val="2"/>
        <scheme val="minor"/>
      </rPr>
      <t xml:space="preserve"> for partition walls (11.0 cm thick) in </t>
    </r>
    <r>
      <rPr>
        <b/>
        <sz val="10"/>
        <rFont val="Calibri"/>
        <family val="2"/>
        <scheme val="minor"/>
      </rPr>
      <t>CM (1:6)</t>
    </r>
    <r>
      <rPr>
        <sz val="10"/>
        <rFont val="Calibri"/>
        <family val="2"/>
        <scheme val="minor"/>
      </rPr>
      <t xml:space="preserve"> prop. (Cement : Sand) using common burnt clay bricks including cost and conveyance of all materials etc., complete</t>
    </r>
  </si>
  <si>
    <r>
      <rPr>
        <b/>
        <sz val="10"/>
        <rFont val="Calibri"/>
        <family val="2"/>
        <scheme val="minor"/>
      </rPr>
      <t>Ceiling Plastering to Ceiling in CM (1:3)</t>
    </r>
    <r>
      <rPr>
        <sz val="10"/>
        <rFont val="Calibri"/>
        <family val="2"/>
        <scheme val="minor"/>
      </rPr>
      <t xml:space="preserve"> 12mm thick with dubara sponge finishing  including c/c of all materials including labour charges such as mixing cement mortar and curing etc complete for finished item of work (APSS 901 &amp; 903) </t>
    </r>
  </si>
  <si>
    <r>
      <rPr>
        <b/>
        <sz val="10"/>
        <rFont val="Calibri"/>
        <family val="2"/>
        <scheme val="minor"/>
      </rPr>
      <t xml:space="preserve">Plastering in CM (1:5) 20mm thick </t>
    </r>
    <r>
      <rPr>
        <sz val="10"/>
        <rFont val="Calibri"/>
        <family val="2"/>
        <scheme val="minor"/>
      </rPr>
      <t xml:space="preserve"> single coat including c/c of all materials including all operational, incidental and labour charges such as mixing cement mortar and curing etc complete for finished item of work (APSS 901,  903 &amp; 904)  </t>
    </r>
  </si>
  <si>
    <r>
      <rPr>
        <b/>
        <sz val="10"/>
        <rFont val="Calibri"/>
        <family val="2"/>
        <scheme val="minor"/>
      </rPr>
      <t>Plastering to brick masonary</t>
    </r>
    <r>
      <rPr>
        <sz val="10"/>
        <rFont val="Calibri"/>
        <family val="2"/>
        <scheme val="minor"/>
      </rPr>
      <t xml:space="preserve"> wall with  </t>
    </r>
    <r>
      <rPr>
        <b/>
        <sz val="10"/>
        <rFont val="Calibri"/>
        <family val="2"/>
        <scheme val="minor"/>
      </rPr>
      <t>12mm</t>
    </r>
    <r>
      <rPr>
        <sz val="10"/>
        <rFont val="Calibri"/>
        <family val="2"/>
        <scheme val="minor"/>
      </rPr>
      <t xml:space="preserve"> thick double coat in CM (1:5) 8 mm thick base coat and CM (1:3) of 4mm thick top coat with dubara sponge finish  etc., complete</t>
    </r>
  </si>
  <si>
    <r>
      <rPr>
        <b/>
        <sz val="10"/>
        <rFont val="Calibri"/>
        <family val="2"/>
        <scheme val="minor"/>
      </rPr>
      <t>Plastering to brick masonary</t>
    </r>
    <r>
      <rPr>
        <sz val="10"/>
        <rFont val="Calibri"/>
        <family val="2"/>
        <scheme val="minor"/>
      </rPr>
      <t xml:space="preserve"> wall with  </t>
    </r>
    <r>
      <rPr>
        <b/>
        <sz val="10"/>
        <rFont val="Calibri"/>
        <family val="2"/>
        <scheme val="minor"/>
      </rPr>
      <t>20mm</t>
    </r>
    <r>
      <rPr>
        <sz val="10"/>
        <rFont val="Calibri"/>
        <family val="2"/>
        <scheme val="minor"/>
      </rPr>
      <t xml:space="preserve"> thick double coat in CM (1:6) 16 mm thick base coat and CM (1:4) of 4mm thick top coat with dubara sponge finish  etc., complete</t>
    </r>
  </si>
  <si>
    <r>
      <rPr>
        <b/>
        <sz val="10"/>
        <rFont val="Calibri"/>
        <family val="2"/>
        <scheme val="minor"/>
      </rPr>
      <t>Flooring</t>
    </r>
    <r>
      <rPr>
        <sz val="10"/>
        <rFont val="Calibri"/>
        <family val="2"/>
        <scheme val="minor"/>
      </rPr>
      <t xml:space="preserve"> with Porcelain </t>
    </r>
    <r>
      <rPr>
        <b/>
        <sz val="10"/>
        <rFont val="Calibri"/>
        <family val="2"/>
        <scheme val="minor"/>
      </rPr>
      <t xml:space="preserve">Vitrified tiles stain free </t>
    </r>
    <r>
      <rPr>
        <sz val="10"/>
        <rFont val="Calibri"/>
        <family val="2"/>
        <scheme val="minor"/>
      </rPr>
      <t xml:space="preserve">double charged  including c/c of all materials like Cement, Sand and Water and tiles etc complete including labour charges etc complete for finished item of work </t>
    </r>
  </si>
  <si>
    <r>
      <t xml:space="preserve">Providing </t>
    </r>
    <r>
      <rPr>
        <b/>
        <sz val="10"/>
        <rFont val="Calibri"/>
        <family val="2"/>
        <scheme val="minor"/>
      </rPr>
      <t>Skirting</t>
    </r>
    <r>
      <rPr>
        <sz val="10"/>
        <rFont val="Calibri"/>
        <family val="2"/>
        <scheme val="minor"/>
      </rPr>
      <t xml:space="preserve"> to internal walls to 15cm height / risers of steps with </t>
    </r>
    <r>
      <rPr>
        <b/>
        <sz val="10"/>
        <rFont val="Calibri"/>
        <family val="2"/>
        <scheme val="minor"/>
      </rPr>
      <t xml:space="preserve">Porcelain Vitrified tiles </t>
    </r>
    <r>
      <rPr>
        <sz val="10"/>
        <rFont val="Calibri"/>
        <family val="2"/>
        <scheme val="minor"/>
      </rPr>
      <t xml:space="preserve">including c/c of materials like Cement, Sand and Water and tiles etc complete for finished item of work </t>
    </r>
  </si>
  <si>
    <r>
      <rPr>
        <b/>
        <sz val="10"/>
        <rFont val="Calibri"/>
        <family val="2"/>
        <scheme val="minor"/>
      </rPr>
      <t>Flooring</t>
    </r>
    <r>
      <rPr>
        <sz val="10"/>
        <rFont val="Calibri"/>
        <family val="2"/>
        <scheme val="minor"/>
      </rPr>
      <t xml:space="preserve"> with high </t>
    </r>
    <r>
      <rPr>
        <b/>
        <sz val="10"/>
        <rFont val="Calibri"/>
        <family val="2"/>
        <scheme val="minor"/>
      </rPr>
      <t>polished granite 16 to 18 mm</t>
    </r>
    <r>
      <rPr>
        <sz val="10"/>
        <rFont val="Calibri"/>
        <family val="2"/>
        <scheme val="minor"/>
      </rPr>
      <t xml:space="preserve">  thick slabs other than black set over base coat of cement mortar (1:8) including labour charges for dressing of tilesetc., complete for finished item of work,</t>
    </r>
  </si>
  <si>
    <r>
      <t xml:space="preserve">Providing </t>
    </r>
    <r>
      <rPr>
        <b/>
        <sz val="10"/>
        <rFont val="Calibri"/>
        <family val="2"/>
        <scheme val="minor"/>
      </rPr>
      <t>skirting</t>
    </r>
    <r>
      <rPr>
        <sz val="10"/>
        <rFont val="Calibri"/>
        <family val="2"/>
        <scheme val="minor"/>
      </rPr>
      <t xml:space="preserve"> to internal walls to 15 cm height/risers of steps with 16-18 mm thick </t>
    </r>
    <r>
      <rPr>
        <b/>
        <sz val="10"/>
        <rFont val="Calibri"/>
        <family val="2"/>
        <scheme val="minor"/>
      </rPr>
      <t xml:space="preserve"> polished granite stone </t>
    </r>
    <r>
      <rPr>
        <sz val="10"/>
        <rFont val="Calibri"/>
        <family val="2"/>
        <scheme val="minor"/>
      </rPr>
      <t>length equal to flooring stones,including cost of all materials like tiles, cement, sand and water etc., complete</t>
    </r>
  </si>
  <si>
    <r>
      <rPr>
        <b/>
        <sz val="10"/>
        <rFont val="Calibri"/>
        <family val="2"/>
        <scheme val="minor"/>
      </rPr>
      <t>Gronolithie Concrete Flooring 20 mm</t>
    </r>
    <r>
      <rPr>
        <sz val="10"/>
        <rFont val="Calibri"/>
        <family val="2"/>
        <scheme val="minor"/>
      </rPr>
      <t xml:space="preserve"> thick with (1:1:2), using 6mm to 12 mm size hard granite machine  including cost of all materials like cement, metal, sand and water etc., complete</t>
    </r>
  </si>
  <si>
    <r>
      <t xml:space="preserve">Providing and applying </t>
    </r>
    <r>
      <rPr>
        <b/>
        <sz val="10"/>
        <rFont val="Calibri"/>
        <family val="2"/>
        <scheme val="minor"/>
      </rPr>
      <t>Wall putty</t>
    </r>
    <r>
      <rPr>
        <sz val="10"/>
        <rFont val="Calibri"/>
        <family val="2"/>
        <scheme val="minor"/>
      </rPr>
      <t xml:space="preserve"> of White Cement or Polymer or Cement based of average 1 to 2 mm thickness  including all labour charges etc., complete</t>
    </r>
  </si>
  <si>
    <r>
      <t xml:space="preserve">Painting to new walls with 2 coats of acrylic </t>
    </r>
    <r>
      <rPr>
        <b/>
        <sz val="10"/>
        <rFont val="Calibri"/>
        <family val="2"/>
        <scheme val="minor"/>
      </rPr>
      <t>Emulsion</t>
    </r>
    <r>
      <rPr>
        <sz val="10"/>
        <rFont val="Calibri"/>
        <family val="2"/>
        <scheme val="minor"/>
      </rPr>
      <t xml:space="preserve"> paint Asian or equivalent and shade over Priming coat including all labour charges etc., complete </t>
    </r>
    <r>
      <rPr>
        <b/>
        <sz val="10"/>
        <rFont val="Calibri"/>
        <family val="2"/>
        <scheme val="minor"/>
      </rPr>
      <t>for internal wall</t>
    </r>
  </si>
  <si>
    <r>
      <t xml:space="preserve">Painting to new walls with 2 coats of acrylic </t>
    </r>
    <r>
      <rPr>
        <b/>
        <sz val="10"/>
        <rFont val="Calibri"/>
        <family val="2"/>
        <scheme val="minor"/>
      </rPr>
      <t>Emulsion</t>
    </r>
    <r>
      <rPr>
        <sz val="10"/>
        <rFont val="Calibri"/>
        <family val="2"/>
        <scheme val="minor"/>
      </rPr>
      <t xml:space="preserve"> paint Asian or equivalent and shade over Priming coat including all labour charges etc., complete </t>
    </r>
    <r>
      <rPr>
        <b/>
        <sz val="10"/>
        <rFont val="Calibri"/>
        <family val="2"/>
        <scheme val="minor"/>
      </rPr>
      <t>for external wall</t>
    </r>
  </si>
  <si>
    <r>
      <t xml:space="preserve">Supply &amp; fixing of </t>
    </r>
    <r>
      <rPr>
        <b/>
        <sz val="10"/>
        <rFont val="Calibri"/>
        <family val="2"/>
        <scheme val="minor"/>
      </rPr>
      <t xml:space="preserve">Rolling shutter </t>
    </r>
    <r>
      <rPr>
        <sz val="10"/>
        <rFont val="Calibri"/>
        <family val="2"/>
        <scheme val="minor"/>
      </rPr>
      <t>made of 80 x 1.25 mm machine rolled CRCA laths, interlocked together through their entire length and jointed together at the ends by endlocks</t>
    </r>
  </si>
  <si>
    <r>
      <t xml:space="preserve">Painting New Wood / iron work with Two coats of ready mixed </t>
    </r>
    <r>
      <rPr>
        <b/>
        <sz val="10"/>
        <rFont val="Calibri"/>
        <family val="2"/>
        <scheme val="minor"/>
      </rPr>
      <t xml:space="preserve">Synthatic Enamil paint </t>
    </r>
    <r>
      <rPr>
        <sz val="10"/>
        <rFont val="Calibri"/>
        <family val="2"/>
        <scheme val="minor"/>
      </rPr>
      <t xml:space="preserve"> including all labour charges etc., complete</t>
    </r>
  </si>
  <si>
    <r>
      <t xml:space="preserve">Supplying, fitting &amp; placing </t>
    </r>
    <r>
      <rPr>
        <b/>
        <sz val="10"/>
        <rFont val="Calibri"/>
        <family val="2"/>
        <scheme val="minor"/>
      </rPr>
      <t>HYSD fe-500</t>
    </r>
    <r>
      <rPr>
        <sz val="10"/>
        <rFont val="Calibri"/>
        <family val="2"/>
        <scheme val="minor"/>
      </rPr>
      <t xml:space="preserve"> bar reinforcement in foundation complete including labour charges for cutting, bending  etc., complete</t>
    </r>
  </si>
  <si>
    <r>
      <t xml:space="preserve">Supplying  &amp; fixing of Iron Doors and </t>
    </r>
    <r>
      <rPr>
        <b/>
        <sz val="10"/>
        <rFont val="Calibri"/>
        <family val="2"/>
        <scheme val="minor"/>
      </rPr>
      <t xml:space="preserve">Windows Grills </t>
    </r>
    <r>
      <rPr>
        <sz val="10"/>
        <rFont val="Calibri"/>
        <family val="2"/>
        <scheme val="minor"/>
      </rPr>
      <t>including labour charges for fabricating steel including cost of welding rods, power charges &amp; fixing the grill in position etc complete</t>
    </r>
  </si>
  <si>
    <r>
      <t xml:space="preserve">Providing </t>
    </r>
    <r>
      <rPr>
        <b/>
        <sz val="10"/>
        <rFont val="Calibri"/>
        <family val="2"/>
        <scheme val="minor"/>
      </rPr>
      <t>impervious</t>
    </r>
    <r>
      <rPr>
        <sz val="10"/>
        <rFont val="Calibri"/>
        <family val="2"/>
        <scheme val="minor"/>
      </rPr>
      <t xml:space="preserve"> coat to exposed RCC Roof Slab surface with CM (1:3) </t>
    </r>
    <r>
      <rPr>
        <b/>
        <sz val="10"/>
        <rFont val="Calibri"/>
        <family val="2"/>
        <scheme val="minor"/>
      </rPr>
      <t xml:space="preserve">20mm </t>
    </r>
    <r>
      <rPr>
        <sz val="10"/>
        <rFont val="Calibri"/>
        <family val="2"/>
        <scheme val="minor"/>
      </rPr>
      <t>thick including cost and conveyance of all material and labour charges etc., complete</t>
    </r>
  </si>
  <si>
    <r>
      <t xml:space="preserve">Flooring with </t>
    </r>
    <r>
      <rPr>
        <b/>
        <sz val="10"/>
        <rFont val="Calibri"/>
        <family val="2"/>
        <scheme val="minor"/>
      </rPr>
      <t>Ceramic</t>
    </r>
    <r>
      <rPr>
        <sz val="10"/>
        <rFont val="Calibri"/>
        <family val="2"/>
        <scheme val="minor"/>
      </rPr>
      <t xml:space="preserve"> non skid tiles of not less than 7-8mm thick 1st quality laid over floor bed  including cost and conveyance of all material and labour charges etc complete</t>
    </r>
  </si>
  <si>
    <r>
      <t xml:space="preserve">Providing </t>
    </r>
    <r>
      <rPr>
        <b/>
        <sz val="10"/>
        <rFont val="Calibri"/>
        <family val="2"/>
        <scheme val="minor"/>
      </rPr>
      <t>Daddooing</t>
    </r>
    <r>
      <rPr>
        <sz val="10"/>
        <rFont val="Calibri"/>
        <family val="2"/>
        <scheme val="minor"/>
      </rPr>
      <t xml:space="preserve"> to walls with 5 to 7mm thick Glazed </t>
    </r>
    <r>
      <rPr>
        <b/>
        <sz val="10"/>
        <rFont val="Calibri"/>
        <family val="2"/>
        <scheme val="minor"/>
      </rPr>
      <t>Ceramic</t>
    </r>
    <r>
      <rPr>
        <sz val="10"/>
        <rFont val="Calibri"/>
        <family val="2"/>
        <scheme val="minor"/>
      </rPr>
      <t xml:space="preserve"> wall tiles of 1st quality of 6mm thick set over base coat of CM (1:3) 12mm thick including cost and conveyance of all material and labour charges etc complete </t>
    </r>
  </si>
  <si>
    <r>
      <t xml:space="preserve">RCC  M25 Nominal mix (Cement: Sand: Metal)  using 20mm size graded material including cost and conveyance of all material and labour charges etc., complete </t>
    </r>
    <r>
      <rPr>
        <b/>
        <sz val="10"/>
        <rFont val="Calibri"/>
        <family val="2"/>
        <scheme val="minor"/>
      </rPr>
      <t>for Roof slab 100mm</t>
    </r>
  </si>
  <si>
    <r>
      <t xml:space="preserve">S&amp;F  Door  of size </t>
    </r>
    <r>
      <rPr>
        <b/>
        <sz val="10"/>
        <rFont val="Calibri"/>
        <family val="2"/>
        <scheme val="minor"/>
      </rPr>
      <t>1.20 x 2.10mt</t>
    </r>
    <r>
      <rPr>
        <sz val="10"/>
        <rFont val="Calibri"/>
        <family val="2"/>
        <scheme val="minor"/>
      </rPr>
      <t xml:space="preserve">   including c/c of all materials and furniture fittings etc complete as per specification  (APSS No 1001 &amp; 1002) Door Frame with Shutters</t>
    </r>
  </si>
  <si>
    <r>
      <t xml:space="preserve">S&amp;F  Door  of size </t>
    </r>
    <r>
      <rPr>
        <b/>
        <sz val="10"/>
        <rFont val="Calibri"/>
        <family val="2"/>
        <scheme val="minor"/>
      </rPr>
      <t>1.05 x 2.10mt</t>
    </r>
    <r>
      <rPr>
        <sz val="10"/>
        <rFont val="Calibri"/>
        <family val="2"/>
        <scheme val="minor"/>
      </rPr>
      <t xml:space="preserve">   including c/c of all materials and furniture fittings etc complete as per specification  (APSS No 1001 &amp; 1002) Door Frame with Shutters</t>
    </r>
  </si>
  <si>
    <r>
      <t xml:space="preserve">S&amp;F of </t>
    </r>
    <r>
      <rPr>
        <b/>
        <sz val="10"/>
        <rFont val="Calibri"/>
        <family val="2"/>
        <scheme val="minor"/>
      </rPr>
      <t>WPC door frame</t>
    </r>
    <r>
      <rPr>
        <sz val="10"/>
        <rFont val="Calibri"/>
        <family val="2"/>
        <scheme val="minor"/>
      </rPr>
      <t xml:space="preserve"> including c/c of all materials and furniture fittings etc complete as per specification  (APSS No 1001 &amp; 1002) </t>
    </r>
  </si>
  <si>
    <r>
      <t>S&amp;F o</t>
    </r>
    <r>
      <rPr>
        <b/>
        <sz val="10"/>
        <rFont val="Calibri"/>
        <family val="2"/>
        <scheme val="minor"/>
      </rPr>
      <t xml:space="preserve">f 30mm thick Solid panel PVC door </t>
    </r>
    <r>
      <rPr>
        <sz val="10"/>
        <rFont val="Calibri"/>
        <family val="2"/>
        <scheme val="minor"/>
      </rPr>
      <t xml:space="preserve">including c/c of all materials and furniture fittings etc complete as per specification  (APSS No 1001 &amp; 1002) </t>
    </r>
  </si>
  <si>
    <r>
      <t xml:space="preserve">Providing and fixing factory made </t>
    </r>
    <r>
      <rPr>
        <b/>
        <sz val="10"/>
        <rFont val="Calibri"/>
        <family val="2"/>
        <scheme val="minor"/>
      </rPr>
      <t>uPVC</t>
    </r>
    <r>
      <rPr>
        <sz val="10"/>
        <rFont val="Calibri"/>
        <family val="2"/>
        <scheme val="minor"/>
      </rPr>
      <t xml:space="preserve"> white colour sliding glazed </t>
    </r>
    <r>
      <rPr>
        <b/>
        <sz val="10"/>
        <rFont val="Calibri"/>
        <family val="2"/>
        <scheme val="minor"/>
      </rPr>
      <t>window</t>
    </r>
    <r>
      <rPr>
        <sz val="10"/>
        <rFont val="Calibri"/>
        <family val="2"/>
        <scheme val="minor"/>
      </rPr>
      <t xml:space="preserve"> including cost and labour charges etc., complete</t>
    </r>
  </si>
  <si>
    <r>
      <t>Supplying  &amp; fixing of Iron Doors and</t>
    </r>
    <r>
      <rPr>
        <b/>
        <sz val="10"/>
        <rFont val="Calibri"/>
        <family val="2"/>
        <scheme val="minor"/>
      </rPr>
      <t xml:space="preserve"> Windows Grills </t>
    </r>
    <r>
      <rPr>
        <sz val="10"/>
        <rFont val="Calibri"/>
        <family val="2"/>
        <scheme val="minor"/>
      </rPr>
      <t>including labour charges for fabricating steel including cost of welding rods, power charges &amp; fixing the grill in position etc complete</t>
    </r>
  </si>
  <si>
    <r>
      <t xml:space="preserve">Supplying and fixing of </t>
    </r>
    <r>
      <rPr>
        <b/>
        <sz val="10"/>
        <rFont val="Calibri"/>
        <family val="2"/>
        <scheme val="minor"/>
      </rPr>
      <t xml:space="preserve">stainless steel </t>
    </r>
    <r>
      <rPr>
        <sz val="10"/>
        <rFont val="Calibri"/>
        <family val="2"/>
        <scheme val="minor"/>
      </rPr>
      <t>(grade 304) hand railing as per approved drawing with top rail of 50mm dia pipe and 2mm thick</t>
    </r>
  </si>
  <si>
    <r>
      <t xml:space="preserve">Supply and Fixing of Premium make </t>
    </r>
    <r>
      <rPr>
        <b/>
        <sz val="10"/>
        <rFont val="Calibri"/>
        <family val="2"/>
        <scheme val="minor"/>
      </rPr>
      <t xml:space="preserve">CPVC Pipes </t>
    </r>
    <r>
      <rPr>
        <sz val="10"/>
        <rFont val="Calibri"/>
        <family val="2"/>
        <scheme val="minor"/>
      </rPr>
      <t xml:space="preserve">and Fittings to meet the requirement of ASTM-D 2846  for </t>
    </r>
    <r>
      <rPr>
        <b/>
        <sz val="10"/>
        <rFont val="Calibri"/>
        <family val="2"/>
        <scheme val="minor"/>
      </rPr>
      <t>32mm dia</t>
    </r>
  </si>
  <si>
    <r>
      <t xml:space="preserve">Supply and Fixing of Premium make </t>
    </r>
    <r>
      <rPr>
        <b/>
        <sz val="10"/>
        <rFont val="Calibri"/>
        <family val="2"/>
        <scheme val="minor"/>
      </rPr>
      <t xml:space="preserve">CPVC Pipes </t>
    </r>
    <r>
      <rPr>
        <sz val="10"/>
        <rFont val="Calibri"/>
        <family val="2"/>
        <scheme val="minor"/>
      </rPr>
      <t xml:space="preserve">and Fittings to meet the requirement of ASTM-D 2846  for </t>
    </r>
    <r>
      <rPr>
        <b/>
        <sz val="10"/>
        <rFont val="Calibri"/>
        <family val="2"/>
        <scheme val="minor"/>
      </rPr>
      <t>25mm dia</t>
    </r>
  </si>
  <si>
    <r>
      <t xml:space="preserve">Supply and Fixing of Premium make </t>
    </r>
    <r>
      <rPr>
        <b/>
        <sz val="10"/>
        <rFont val="Calibri"/>
        <family val="2"/>
        <scheme val="minor"/>
      </rPr>
      <t xml:space="preserve">PVC Pipes </t>
    </r>
    <r>
      <rPr>
        <sz val="10"/>
        <rFont val="Calibri"/>
        <family val="2"/>
        <scheme val="minor"/>
      </rPr>
      <t xml:space="preserve">and Fittings to meet the requirement of ASTM-D 2846  for </t>
    </r>
    <r>
      <rPr>
        <b/>
        <sz val="10"/>
        <rFont val="Calibri"/>
        <family val="2"/>
        <scheme val="minor"/>
      </rPr>
      <t>25mm dia</t>
    </r>
  </si>
  <si>
    <r>
      <t xml:space="preserve">Supply and Fixing of Premium make </t>
    </r>
    <r>
      <rPr>
        <b/>
        <sz val="10"/>
        <rFont val="Calibri"/>
        <family val="2"/>
        <scheme val="minor"/>
      </rPr>
      <t xml:space="preserve">CPVC Pipes </t>
    </r>
    <r>
      <rPr>
        <sz val="10"/>
        <rFont val="Calibri"/>
        <family val="2"/>
        <scheme val="minor"/>
      </rPr>
      <t xml:space="preserve">and Fittings to meet the requirement of ASTM-D 2846  for </t>
    </r>
    <r>
      <rPr>
        <b/>
        <sz val="10"/>
        <rFont val="Calibri"/>
        <family val="2"/>
        <scheme val="minor"/>
      </rPr>
      <t>15mm dia</t>
    </r>
  </si>
  <si>
    <r>
      <rPr>
        <b/>
        <sz val="10"/>
        <rFont val="Calibri"/>
        <family val="2"/>
        <scheme val="minor"/>
      </rPr>
      <t xml:space="preserve">Labour charges </t>
    </r>
    <r>
      <rPr>
        <sz val="10"/>
        <rFont val="Calibri"/>
        <family val="2"/>
        <scheme val="minor"/>
      </rPr>
      <t>for laying, joining, welding, fixing and commissioning the</t>
    </r>
    <r>
      <rPr>
        <b/>
        <sz val="10"/>
        <rFont val="Calibri"/>
        <family val="2"/>
        <scheme val="minor"/>
      </rPr>
      <t xml:space="preserve"> C-PVC pipes &amp; PVC pipes</t>
    </r>
  </si>
  <si>
    <r>
      <t xml:space="preserve">Supply &amp; fixing of tested </t>
    </r>
    <r>
      <rPr>
        <b/>
        <sz val="10"/>
        <rFont val="Calibri"/>
        <family val="2"/>
        <scheme val="minor"/>
      </rPr>
      <t>NP bib taps</t>
    </r>
    <r>
      <rPr>
        <sz val="10"/>
        <rFont val="Calibri"/>
        <family val="2"/>
        <scheme val="minor"/>
      </rPr>
      <t xml:space="preserve"> at all levels of 12.70mm dia of Indian make 400g first quality </t>
    </r>
  </si>
  <si>
    <r>
      <t xml:space="preserve">Prince/ Sudhakar make or equivalent quality </t>
    </r>
    <r>
      <rPr>
        <b/>
        <sz val="10"/>
        <rFont val="Calibri"/>
        <family val="2"/>
        <scheme val="minor"/>
      </rPr>
      <t>PVC</t>
    </r>
    <r>
      <rPr>
        <sz val="10"/>
        <rFont val="Calibri"/>
        <family val="2"/>
        <scheme val="minor"/>
      </rPr>
      <t xml:space="preserve"> /SWR pipes &amp; fittings ( as per ISI standards) 4kg/cm2 </t>
    </r>
    <r>
      <rPr>
        <b/>
        <sz val="10"/>
        <rFont val="Calibri"/>
        <family val="2"/>
        <scheme val="minor"/>
      </rPr>
      <t>110mm</t>
    </r>
    <r>
      <rPr>
        <sz val="10"/>
        <rFont val="Calibri"/>
        <family val="2"/>
        <scheme val="minor"/>
      </rPr>
      <t xml:space="preserve"> dia. double socket </t>
    </r>
  </si>
  <si>
    <r>
      <t xml:space="preserve">Prince/ Sudhakar make or equivalent quality </t>
    </r>
    <r>
      <rPr>
        <b/>
        <sz val="10"/>
        <rFont val="Calibri"/>
        <family val="2"/>
        <scheme val="minor"/>
      </rPr>
      <t>PVC</t>
    </r>
    <r>
      <rPr>
        <sz val="10"/>
        <rFont val="Calibri"/>
        <family val="2"/>
        <scheme val="minor"/>
      </rPr>
      <t xml:space="preserve"> /SWR pipes &amp; fittings ( as per ISI standards) 4kg/cm2 </t>
    </r>
    <r>
      <rPr>
        <b/>
        <sz val="10"/>
        <rFont val="Calibri"/>
        <family val="2"/>
        <scheme val="minor"/>
      </rPr>
      <t>90mm</t>
    </r>
    <r>
      <rPr>
        <sz val="10"/>
        <rFont val="Calibri"/>
        <family val="2"/>
        <scheme val="minor"/>
      </rPr>
      <t xml:space="preserve"> dia. double socket </t>
    </r>
  </si>
  <si>
    <r>
      <t xml:space="preserve">Prince/ Sudhakar make or equivalent quality </t>
    </r>
    <r>
      <rPr>
        <b/>
        <sz val="10"/>
        <rFont val="Calibri"/>
        <family val="2"/>
        <scheme val="minor"/>
      </rPr>
      <t>PVC</t>
    </r>
    <r>
      <rPr>
        <sz val="10"/>
        <rFont val="Calibri"/>
        <family val="2"/>
        <scheme val="minor"/>
      </rPr>
      <t xml:space="preserve"> /SWR pipes &amp; fittings ( as per ISI standards) 4kg/cm2 75</t>
    </r>
    <r>
      <rPr>
        <b/>
        <sz val="10"/>
        <rFont val="Calibri"/>
        <family val="2"/>
        <scheme val="minor"/>
      </rPr>
      <t>mm</t>
    </r>
    <r>
      <rPr>
        <sz val="10"/>
        <rFont val="Calibri"/>
        <family val="2"/>
        <scheme val="minor"/>
      </rPr>
      <t xml:space="preserve"> dia. double socket </t>
    </r>
  </si>
  <si>
    <r>
      <rPr>
        <b/>
        <sz val="10"/>
        <rFont val="Calibri"/>
        <family val="2"/>
        <scheme val="minor"/>
      </rPr>
      <t>Labour</t>
    </r>
    <r>
      <rPr>
        <sz val="10"/>
        <rFont val="Calibri"/>
        <family val="2"/>
        <scheme val="minor"/>
      </rPr>
      <t xml:space="preserve"> charges for laying, fixing and commissioning the </t>
    </r>
    <r>
      <rPr>
        <b/>
        <sz val="10"/>
        <rFont val="Calibri"/>
        <family val="2"/>
        <scheme val="minor"/>
      </rPr>
      <t>PVC pipes</t>
    </r>
  </si>
  <si>
    <r>
      <t xml:space="preserve">Supplying and Fixing </t>
    </r>
    <r>
      <rPr>
        <b/>
        <sz val="10"/>
        <rFont val="Calibri"/>
        <family val="2"/>
        <scheme val="minor"/>
      </rPr>
      <t>European Water Closet</t>
    </r>
    <r>
      <rPr>
        <sz val="10"/>
        <rFont val="Calibri"/>
        <family val="2"/>
        <scheme val="minor"/>
      </rPr>
      <t xml:space="preserve"> of 1st quality make white glazed including all labour charges for fixing etc., complete.</t>
    </r>
  </si>
  <si>
    <r>
      <t xml:space="preserve">Supplying and fixing Indian make Flat Back </t>
    </r>
    <r>
      <rPr>
        <b/>
        <sz val="10"/>
        <rFont val="Calibri"/>
        <family val="2"/>
        <scheme val="minor"/>
      </rPr>
      <t xml:space="preserve">Wash Hand Basin </t>
    </r>
    <r>
      <rPr>
        <sz val="10"/>
        <rFont val="Calibri"/>
        <family val="2"/>
        <scheme val="minor"/>
      </rPr>
      <t>(HSW/Parryware/ Neycer) 1st quality conforming</t>
    </r>
  </si>
  <si>
    <r>
      <t xml:space="preserve">Supplying &amp; fixing 4" (101.6 mm ) </t>
    </r>
    <r>
      <rPr>
        <b/>
        <sz val="10"/>
        <rFont val="Calibri"/>
        <family val="2"/>
        <scheme val="minor"/>
      </rPr>
      <t>Nahany trap</t>
    </r>
    <r>
      <rPr>
        <sz val="10"/>
        <rFont val="Calibri"/>
        <family val="2"/>
        <scheme val="minor"/>
      </rPr>
      <t xml:space="preserve"> with Jali-  PVC/SWR Pipe fittings</t>
    </r>
  </si>
  <si>
    <r>
      <t xml:space="preserve">Providing &amp; placing on </t>
    </r>
    <r>
      <rPr>
        <b/>
        <sz val="10"/>
        <rFont val="Calibri"/>
        <family val="2"/>
        <scheme val="minor"/>
      </rPr>
      <t>Terrace polyethylene water storage tank</t>
    </r>
    <r>
      <rPr>
        <sz val="10"/>
        <rFont val="Calibri"/>
        <family val="2"/>
        <scheme val="minor"/>
      </rPr>
      <t xml:space="preserve"> with Double layer approved brand</t>
    </r>
  </si>
  <si>
    <t xml:space="preserve">Drilling of 165mm dia Bore well by down the hole hammer at a fiished dia of 165mm dia </t>
  </si>
  <si>
    <t xml:space="preserve">Providing PVC Casing pipe 180mm dia of 6 Kgs/cm2 including cost and conveyance of Pipe </t>
  </si>
  <si>
    <t>Supply and Transportation of 2HP single phase ISI  submersible mortor Pumpset subitable for 4" bore well Makes:Kirloskar/ Crompton/ CRI/ KSB/ Texmo/Aryan Varsha</t>
  </si>
  <si>
    <t>Supply and Transportation of control panel for single phasesubmersible motors up to 3 HP</t>
  </si>
  <si>
    <t>Supply and Fixing of ISI  25mm outer dia medium (1.80mm thickness) grade with IS:9537 part 3 regid PVC pipe with PVC</t>
  </si>
  <si>
    <t>Wiring with run of 2 of 14/0.3mm (1.0 Sq.mm) FRLS / HFFR PVC insulated flexible ISI mark copper cable for light and tube point</t>
  </si>
  <si>
    <t>Wiring with run of 2 of 14/0.3mm (1.0 Sq.mm) FRLS / HFFR PVC insulated flexible ISI mark copper cable for fan point</t>
  </si>
  <si>
    <t>Supply and fixing of 6A 3/2 pin wall plug socket with 6A switch control on a common switch board</t>
  </si>
  <si>
    <t>Supply, Transportation and Fixing of 48" (1200mm) Sweep 5 Star rated Ceiling Fan  all labour charges etc., complete.</t>
  </si>
  <si>
    <t xml:space="preserve">Supply and fixing SPN Distribution board with IP-20 protection suitable for single phase Earth Leakage Circute Braker (ELCB) </t>
  </si>
  <si>
    <t xml:space="preserve">Providing independent earthling by excavating a pit to a depth of 2.25Mt in all soils, as per size specified </t>
  </si>
  <si>
    <t>21.02.2021</t>
  </si>
  <si>
    <t>16.06.2021</t>
  </si>
  <si>
    <t>16.05.2023</t>
  </si>
  <si>
    <t>02.06.2023</t>
  </si>
  <si>
    <t>12.06.2023</t>
  </si>
  <si>
    <t>26.06.2023</t>
  </si>
  <si>
    <t>10.07.2023</t>
  </si>
  <si>
    <t>24.07.2023</t>
  </si>
  <si>
    <t>12.12.2023</t>
  </si>
  <si>
    <t>21.12.2023</t>
  </si>
  <si>
    <t>29.12.2023</t>
  </si>
  <si>
    <t>01.06.2022</t>
  </si>
  <si>
    <t>13.06.2022</t>
  </si>
  <si>
    <t>21.06.2022</t>
  </si>
  <si>
    <t>01.07.2022</t>
  </si>
  <si>
    <t>01.07.22</t>
  </si>
  <si>
    <t>06.07.22</t>
  </si>
  <si>
    <t>14.07.2022</t>
  </si>
  <si>
    <t>22.07.2022</t>
  </si>
  <si>
    <t>29.07.2022</t>
  </si>
  <si>
    <t>05.08.2022</t>
  </si>
  <si>
    <t>17.08.2022</t>
  </si>
  <si>
    <t>GENERAL ABSTRACT</t>
  </si>
  <si>
    <t>Qty.p.50 of M.B.No.477/A/ZP/20</t>
  </si>
  <si>
    <t>Traingle portion</t>
  </si>
  <si>
    <t>Qty.p.9 of M.B.No.1581/B/ZP/22</t>
  </si>
  <si>
    <t>Qty.p.3 of M.B.No.158/B/ZP/22</t>
  </si>
  <si>
    <t>examination room</t>
  </si>
  <si>
    <t>Agri input</t>
  </si>
  <si>
    <t>Qty.p.5 of M.B.No.158/B/ZP/22</t>
  </si>
  <si>
    <t>Qty.p.6 of M.B.No.158/B/ZP/22</t>
  </si>
  <si>
    <t>tube light</t>
  </si>
  <si>
    <t>bulb point</t>
  </si>
  <si>
    <t>Qty.p.7 of M.B.No.158/B/ZP/22</t>
  </si>
  <si>
    <t>Qty.p.8 of M.B.No.158/B/ZP/22</t>
  </si>
  <si>
    <t>Qty.p.9 of M.B.No.158/B/ZP/22</t>
  </si>
  <si>
    <t xml:space="preserve">Provision for Name board </t>
  </si>
  <si>
    <t>PART-A Total</t>
  </si>
  <si>
    <t>HYSD -fe 500 steel -GF</t>
  </si>
  <si>
    <t>HYSD -fe 500 steel</t>
  </si>
  <si>
    <t>Supply of 14/0.3mm (1.0 Sqmm) FRLS / HFFR  PVC insulated 1100V grade as per IS:694/1990 specification for Copper cable of makes Makes: Finolex / RR kabel / Havells /KEI/Polycab/Gloster. (ELEC-1.5.1)</t>
  </si>
  <si>
    <t>Supply of 36/0.3mm (2.5 Sqmm)ELE 1.5.1 C</t>
  </si>
  <si>
    <t>Supply of  BH / SBH of makes .(ELEC--1.7.1-N)</t>
  </si>
  <si>
    <t>Provision for GST as per calculation sheets</t>
  </si>
  <si>
    <t>Providing impervious coat to exposed RCC Roof Slab surface with CM (1:3) 12mm thick ncluding cost and conveyance of all material and labour charges etc., complete</t>
  </si>
  <si>
    <t xml:space="preserve">RCM facia 5cm thick in CM (1:3) for drop walls, fins  with rabbit wire mesh &amp; nominal reinforcement </t>
  </si>
  <si>
    <t xml:space="preserve">Flooring with high polished granite 16 to 18 mm mm thick slabs other than black set over base coat of cement mortar (1:8)  including c/c of materials like Cement, Sand and Water and tiles etc complete for finished item of work </t>
  </si>
  <si>
    <t>Providing skirting to internal walls to 15 cm height/risers of steps with 16-18 mm thick  polished granite stone length equal to flooring stones, set over base coat of CM (1:3) 12 mm thick with cement slurry of honey like consistency spread at the rate of 3.30 kgs per sqm and jointed with white cement paste mixed with pigment of matching shade to full depth, including cost of all materials like tiles, cement, sand and water etc., complete including seigniorage charges, etc., complete for finished item of work</t>
  </si>
  <si>
    <t xml:space="preserve">Providing skirting to internal walls to 15 cm height/risers of steps with 16-18 mm thick  polished granite stone including c/c of materials like Cement, Sand and Water and tiles etc complete for finished item of work </t>
  </si>
  <si>
    <t xml:space="preserve">Flooring with Ceramic non skid tiles of not less  than 7-8mm thick 1st quality laid over floor bed  including c/c of materials like Cement, Sand and Water and tiles etc complete for finished item of work </t>
  </si>
  <si>
    <t xml:space="preserve">Providing Daddooing to walls with 5 to 7mm thick Glazed Ceramic wall tiles of 1st quality of 6mm thick  including c/c of materials like Cement, Sand and Water and tiles etc complete for finished item of work </t>
  </si>
  <si>
    <t>Flooring with pressed clay flooring tiles, set over base coat of cement mortar (1:8) 12 mm thick over CC bed already laid</t>
  </si>
  <si>
    <r>
      <t xml:space="preserve">RCC  M25 Nominal mix (Cement: Sand: Metal)  using 20mm size graded material including cost and conveyance of all material and labour charges etc., complete </t>
    </r>
    <r>
      <rPr>
        <b/>
        <sz val="10"/>
        <rFont val="Calibri"/>
        <family val="2"/>
        <scheme val="minor"/>
      </rPr>
      <t>for Roof slab 50mm</t>
    </r>
  </si>
  <si>
    <t>Supply and  Run of 2 of 22/0.3mm (1.50 Sq.mm) FRLS / HFFR PVC insulated flexible ISI mark copper cable for light and tube point</t>
  </si>
  <si>
    <r>
      <t xml:space="preserve">Reinforced Cement Concrete  M25 Nominal mix (Cement: Sand: Metal) corresponding Table 9 of IS 456 using 20mm size graded machine crushed hard granite metal from approved quarry including c/c of all materials like Cement, Sand, coarse aggregate, water etc to site, all marerials including labour charges such as machine mixing, laying concrete, curing etc complete but excluding cost of steel and its fabrication charges for finished item of work for  </t>
    </r>
    <r>
      <rPr>
        <b/>
        <sz val="10"/>
        <rFont val="Calibri"/>
        <family val="2"/>
        <scheme val="minor"/>
      </rPr>
      <t xml:space="preserve">lintels </t>
    </r>
  </si>
  <si>
    <t>06.12.2022</t>
  </si>
  <si>
    <t>F3 Footings</t>
  </si>
  <si>
    <t>PB 109</t>
  </si>
  <si>
    <t>tiolet</t>
  </si>
  <si>
    <t>At medicine center</t>
  </si>
  <si>
    <t>FB 105</t>
  </si>
  <si>
    <t>FB 115</t>
  </si>
  <si>
    <t>Kitchen room</t>
  </si>
  <si>
    <t>Slab projection</t>
  </si>
  <si>
    <t>Tiolet room</t>
  </si>
  <si>
    <t>Parapet wall alround</t>
  </si>
  <si>
    <t>WORKING ESTIMATE (PART-B)</t>
  </si>
  <si>
    <t>Qty.p.4  of M.B.No.1187/A/ZP/20</t>
  </si>
  <si>
    <t>Clinic &amp; Lobby</t>
  </si>
  <si>
    <t>In verandah</t>
  </si>
  <si>
    <t>Qty.p.2  of M.B.No.1187/A/ZP/20</t>
  </si>
  <si>
    <t>Plain Cement Concrete  M30 Nominal mix (Cement: Sand: Metal) corresponding Table 9 of IS 456 using 20mm size graded machine crushed hard granite metal from approved quarry including c/c of all materials like Cement, Sand, coarse aggregate, water etc to site, all marerials including labour charges such as machine mixing, laying concrete, curing etc complete but excluding cost of steel and its fabrication charges for finished item of work for Flooring</t>
  </si>
  <si>
    <t>Doors</t>
  </si>
  <si>
    <t>Supplying and fixing of  Door of size 0.90X2.10M with two panels of frames made with sal wood and Shutter made with sal wood including  MS Z hold fasts , Alluminium tower bolts, handle and butt hinges with all furniture fittings including c/c of all materials and furniture fittings etc complete as per specification  (APSS No 1001 &amp; 1002) Door Frame with Shutters</t>
  </si>
  <si>
    <t>Providing Architectural drawing on front elevation of YSR health clinic building with infographics for façade banding as commincated and approved by the government including planning the design making the design template painting lcoal craft painting the illustration painting the colors patterns illustration etc., complete.</t>
  </si>
  <si>
    <t>Provision for Seigneorage charges</t>
  </si>
  <si>
    <t>PART-B TOTAL</t>
  </si>
  <si>
    <t>PART-B Total</t>
  </si>
  <si>
    <t>Steps &amp; Flooring</t>
  </si>
  <si>
    <r>
      <t xml:space="preserve">Supplying and fixing of  </t>
    </r>
    <r>
      <rPr>
        <b/>
        <sz val="10"/>
        <rFont val="Calibri"/>
        <family val="2"/>
        <scheme val="minor"/>
      </rPr>
      <t>Door</t>
    </r>
    <r>
      <rPr>
        <sz val="10"/>
        <rFont val="Calibri"/>
        <family val="2"/>
        <scheme val="minor"/>
      </rPr>
      <t xml:space="preserve"> of size </t>
    </r>
    <r>
      <rPr>
        <b/>
        <sz val="10"/>
        <rFont val="Calibri"/>
        <family val="2"/>
        <scheme val="minor"/>
      </rPr>
      <t>0.90X2.10M</t>
    </r>
    <r>
      <rPr>
        <sz val="10"/>
        <rFont val="Calibri"/>
        <family val="2"/>
        <scheme val="minor"/>
      </rPr>
      <t xml:space="preserve"> with two panels of frames made with sal wood and Shutter made with </t>
    </r>
    <r>
      <rPr>
        <b/>
        <sz val="10"/>
        <rFont val="Calibri"/>
        <family val="2"/>
        <scheme val="minor"/>
      </rPr>
      <t>sal wood</t>
    </r>
    <r>
      <rPr>
        <sz val="10"/>
        <rFont val="Calibri"/>
        <family val="2"/>
        <scheme val="minor"/>
      </rPr>
      <t xml:space="preserve"> including  MS Z hold fasts , Alluminium tower bolts, handle and butt hinges with all furniture fittings including c/c of all materials and furniture fittings etc complete as per specification  (APSS No 1001 &amp; 1002) </t>
    </r>
    <r>
      <rPr>
        <b/>
        <sz val="10"/>
        <rFont val="Calibri"/>
        <family val="2"/>
        <scheme val="minor"/>
      </rPr>
      <t>Door Frame with Shutters</t>
    </r>
  </si>
  <si>
    <r>
      <t xml:space="preserve">Butt Hinges 125mm  </t>
    </r>
    <r>
      <rPr>
        <sz val="10"/>
        <color rgb="FFFF0000"/>
        <rFont val="Calibri"/>
        <family val="2"/>
        <scheme val="minor"/>
      </rPr>
      <t>Alluminium</t>
    </r>
    <r>
      <rPr>
        <sz val="10"/>
        <rFont val="Calibri"/>
        <family val="2"/>
        <scheme val="minor"/>
      </rPr>
      <t xml:space="preserve"> </t>
    </r>
  </si>
  <si>
    <t>Providing impervious coat to exposed RCC Roof Slab surface with CM (1:3) 20mm thick ncluding cost and conveyance of all material and labour charges etc., complete</t>
  </si>
  <si>
    <r>
      <t xml:space="preserve">S&amp;F  Door  of size </t>
    </r>
    <r>
      <rPr>
        <b/>
        <sz val="10"/>
        <rFont val="Calibri"/>
        <family val="2"/>
        <scheme val="minor"/>
      </rPr>
      <t>0.90 x 2.10mt</t>
    </r>
    <r>
      <rPr>
        <sz val="10"/>
        <rFont val="Calibri"/>
        <family val="2"/>
        <scheme val="minor"/>
      </rPr>
      <t xml:space="preserve">   including c/c of all materials and furniture fittings etc complete as per specification  (APSS No 1001 &amp; 1002) Door Frame with Shutters</t>
    </r>
  </si>
  <si>
    <r>
      <t xml:space="preserve">Supply and Fixing of Premium make </t>
    </r>
    <r>
      <rPr>
        <b/>
        <sz val="10"/>
        <rFont val="Calibri"/>
        <family val="2"/>
        <scheme val="minor"/>
      </rPr>
      <t xml:space="preserve">CPVC Pipes </t>
    </r>
    <r>
      <rPr>
        <sz val="10"/>
        <rFont val="Calibri"/>
        <family val="2"/>
        <scheme val="minor"/>
      </rPr>
      <t xml:space="preserve">and Fittings to meet the requirement of ASTM-D 2846  for </t>
    </r>
    <r>
      <rPr>
        <b/>
        <sz val="10"/>
        <rFont val="Calibri"/>
        <family val="2"/>
        <scheme val="minor"/>
      </rPr>
      <t>20mm dia</t>
    </r>
  </si>
  <si>
    <r>
      <t>RCC  M25 Nominal mix (Cement: Sand: Metal)  using 20mm size graded material including cost and conveyance of all material and labour charges etc., complete</t>
    </r>
    <r>
      <rPr>
        <b/>
        <sz val="10"/>
        <rFont val="Calibri"/>
        <family val="2"/>
        <scheme val="minor"/>
      </rPr>
      <t xml:space="preserve"> for Flooring</t>
    </r>
  </si>
  <si>
    <t xml:space="preserve">Flooring with pressed clay flooring tiles, set over base coat of cement mortar (1:8) 12 mm thick over CC bed already laid </t>
  </si>
  <si>
    <t xml:space="preserve">Providing and applying Wall putty of White Cement or Polymer or Cement based of average 1 to 2 mm thickness over plastered surface to prepare the surface </t>
  </si>
  <si>
    <t>Supply &amp; applying Poly-Urethane Water Proof Polish Glossy/ Matt finish to the wood works duly cleaning the surface and applying emery paper,</t>
  </si>
  <si>
    <t>Painting New Wood / iron work with Two coats of ready mixed Synthatic Enamil paint first quality of shades over primary coat</t>
  </si>
  <si>
    <t>Supplying and fixing of  Door of size 1.20X2.10M with two panels of frames made with teak wood and Shutter made with medium Teak wood including all laboru charges etc., complete</t>
  </si>
  <si>
    <t>Supplying and fixing of  Door of size 0.90X2.10M with two panels of frames made with Sal wood and Shutter made with medium Sal wood including all laboru charges etc., complete</t>
  </si>
  <si>
    <t>Providing and fixing factory made uPVC white colour sliding glazed windowupto 1.50 m in height dimension comprising of uPVC multi-chamberedframe for 3 track</t>
  </si>
  <si>
    <t>.00001</t>
  </si>
  <si>
    <t xml:space="preserve"> Synthatic Enamil paint</t>
  </si>
  <si>
    <t>Water Proof Polish</t>
  </si>
  <si>
    <t>PCC M25 for Flooring</t>
  </si>
  <si>
    <t>Impervious coat 12mm</t>
  </si>
  <si>
    <t>06.07.2023</t>
  </si>
  <si>
    <t>Qty.p.1 of M.B.No.800/A/ZP/19</t>
  </si>
  <si>
    <t>Qty.p.11 of M.B.No.1101/A/ZP/20</t>
  </si>
  <si>
    <t>Qty.p.4 of M.B.No.1101/A/ZP/20</t>
  </si>
  <si>
    <t>Qty.p.13 of M.B.No.1101/A/ZP/20</t>
  </si>
  <si>
    <t>Qty.p.17 of M.B.No.1101/A/ZP/20</t>
  </si>
  <si>
    <t>Qty.p.15 of M.B.No.1101/A/ZP/20</t>
  </si>
  <si>
    <t>Qty.p.10 of M.B.No.1101/A/ZP/20</t>
  </si>
  <si>
    <t>Qty.p.8 of M.B.No.1101/A/ZP/20</t>
  </si>
  <si>
    <t>Qty.p.21 of M.B.No.1101/A/ZP/20</t>
  </si>
  <si>
    <t>Qty.p.14 of M.B.No.1101/A/ZP/20</t>
  </si>
  <si>
    <t>Qty.p.6 of M.B.No.1101/A/ZP/20</t>
  </si>
  <si>
    <t>Qty.p.61 of M.B.No.1101/A/ZP/20</t>
  </si>
  <si>
    <t>Qty.p.12 of M.B.No.1101/A/ZP/20</t>
  </si>
  <si>
    <t>Qty.p.63 of M.B.No.1101/A/ZP/20</t>
  </si>
  <si>
    <t>Qty.p.69 of M.B.No.1101/A/ZP/20</t>
  </si>
  <si>
    <t>Qty.p.51 of M.B.No.1101/A/ZP/20</t>
  </si>
  <si>
    <t>Qty.p.52 of M.B.No.1101/A/ZP/20</t>
  </si>
  <si>
    <t>Qty.p.20 of M.B.No.1101/A/ZP/20</t>
  </si>
  <si>
    <t>Qty.p.79 of M.B.No.1101/A/ZP/20</t>
  </si>
  <si>
    <t>Qty.p.65 of M.B.No.1101/A/ZP/20</t>
  </si>
  <si>
    <t>Qty.p.22 of M.B.No.1101/A/ZP/20</t>
  </si>
  <si>
    <t>Qty.p.67 of M.B.No.1101/A/ZP/20</t>
  </si>
  <si>
    <t>Qty.p.16 of M.B.No.1101/A/ZP/20</t>
  </si>
  <si>
    <t>Qty.p.68 of M.B.No.1101/A/ZP/20</t>
  </si>
  <si>
    <t>Qty.p.74 of M.B.No.1101/A/ZP/20</t>
  </si>
  <si>
    <t>Qty.p.78 of M.B.No.1101/A/ZP/20</t>
  </si>
  <si>
    <t>Qty.p.48 of M.B.No.1101/A/ZP/20</t>
  </si>
  <si>
    <t>Qty.p.23 of M.B.No.1101/A/ZP/20</t>
  </si>
  <si>
    <t>Qty.p.17  of M.B.No.1101/A/ZP/20</t>
  </si>
  <si>
    <t>Qty.p.31 of M.B.No.1101/A/ZP/20</t>
  </si>
  <si>
    <t>Qty.p.45 of M.B.No.1101/A/ZP/20</t>
  </si>
  <si>
    <t>Qty.p.40 of M.B.No.1101/A/ZP/20</t>
  </si>
  <si>
    <t>Qty.p.47 of M.B.No.1101/A/ZP/20</t>
  </si>
  <si>
    <t>Qty.p.42 of M.B.No.1101/A/ZP/20</t>
  </si>
  <si>
    <t>Qty.p.49 of M.B.No.1101/A/ZP/20</t>
  </si>
  <si>
    <t>Qty.p.35 of M.B.No.1101/A/ZP/20</t>
  </si>
  <si>
    <t>Qty.p.43 of M.B.No.1101/A/ZP/20</t>
  </si>
  <si>
    <t>Qty.p.57 of M.B.No.1101/A/ZP/20</t>
  </si>
  <si>
    <t>Qty.p.59 of M.B.No.1101/A/ZP/20</t>
  </si>
  <si>
    <t>Qty.p.60 of M.B.No.1101/A/ZP/20</t>
  </si>
  <si>
    <t>Qty.p.82 of M.B.No.1101/A/ZP/20</t>
  </si>
  <si>
    <t>Qty.p.86 of M.B.No.1101/A/ZP/20</t>
  </si>
  <si>
    <t>Qty.p.1 of M.B.No.1101/A/ZP/20</t>
  </si>
  <si>
    <t>Qty.p.62 of M.B.No.1101/A/ZP/20</t>
  </si>
  <si>
    <t>Qty.p.34 of M.B.No.1101/A/ZP/20</t>
  </si>
  <si>
    <t>Qty.p.7 of M.B.No.1101/A/ZP/20</t>
  </si>
  <si>
    <t>Qty.p.93 of M.B.No.1101/A/ZP/20</t>
  </si>
  <si>
    <t>Qty.p.97 of M.B.No.1101/A/ZP/20</t>
  </si>
  <si>
    <t>Qty.p. 27  of M.B.No.1101/A/ZP/20</t>
  </si>
  <si>
    <t>Qty.p.39 of M.B.No.1101/A/ZP/20</t>
  </si>
  <si>
    <t>Qty.p.77  of M.B.No.1101/A/ZP/20</t>
  </si>
  <si>
    <t>Qty.p.46 of M.B.No.1101/A/ZP/20</t>
  </si>
  <si>
    <t>Qty.p.75 of M.B.No.1101/A/ZP/20</t>
  </si>
  <si>
    <t>Qty.p.91 of M.B.No.1101/A/ZP/20</t>
  </si>
  <si>
    <t>Qty.p.88 of M.B.No.1101/A/ZP/20</t>
  </si>
  <si>
    <t>Qty.p.14  of M.B.No.1101/A/ZP/20</t>
  </si>
  <si>
    <t>Qty.p.45  of M.B.No.1101/A/ZP/20</t>
  </si>
  <si>
    <t>Qty.p.95 of M.B.No.1101/A/ZP/20</t>
  </si>
  <si>
    <t>Qty.p.83 of M.B.No.1101/A/ZP/20</t>
  </si>
  <si>
    <t>Qty.p.12  of M.B.No.1101/A/ZP/20</t>
  </si>
  <si>
    <t>Qty.p.     of M.B.No.1101/A/ZP/20</t>
  </si>
  <si>
    <t>Qty.p.78  of M.B.No.1101/A/ZP/20</t>
  </si>
  <si>
    <t>Qty.p.44 of M.B.No.1101/A/ZP/20</t>
  </si>
  <si>
    <t>Qty.p.50 of M.B.No.1101/A/ZP/20</t>
  </si>
  <si>
    <t>Qty.P.No. 53 of M.B.No.1101/A/ZP/20</t>
  </si>
  <si>
    <t>Qty.p.65  of M.B.No.1101/A/ZP/20</t>
  </si>
  <si>
    <t>Qty.p.56 of M.B.No.1101/A/ZP/20</t>
  </si>
  <si>
    <t>Qty.p.26 of M.B.No.1101/A/ZP/20</t>
  </si>
  <si>
    <t>Qty.p.96  of M.B.No.1101/A/ZP/20</t>
  </si>
  <si>
    <t>Qty.p.89 of M.B.No.1101/A/ZP/20</t>
  </si>
  <si>
    <t>Qty.P.No. 18 of M.B.No.1101/A/ZP/20</t>
  </si>
  <si>
    <t>Qty.p.85  of M.B.No.1101/A/ZP/20</t>
  </si>
  <si>
    <t>Qty.p. 72 of M.B.No.1101/A/ZP/20</t>
  </si>
  <si>
    <t>Qty.P.No. 73 of M.B.No.1101/A/ZP/20</t>
  </si>
  <si>
    <t>Qty.p.54  of M.B.No.1101/A/ZP/20</t>
  </si>
  <si>
    <t>Qty.p.55  of M.B.No.1101/A/ZP/20</t>
  </si>
  <si>
    <t>Qty.p.55 of M.B.No.1101/A/ZP/20</t>
  </si>
  <si>
    <t>Qty.p.53 of M.B.No.1101/A/ZP/20</t>
  </si>
  <si>
    <t>Qty.p. 31 of M.B.No.1101/A/ZP/20</t>
  </si>
  <si>
    <t>Qty.P.No. 72 of M.B.No.1101/A/ZP/20</t>
  </si>
  <si>
    <t>Qty.p. 32 of M.B.No.1101/A/ZP/20</t>
  </si>
  <si>
    <t>Qty.p.5 of M.B.No.1101/A/ZP/20</t>
  </si>
  <si>
    <t>Qty.p.22  of M.B.No.1101/A/ZP/20</t>
  </si>
  <si>
    <t>Qty.p.    of M.B.No.1101/A/ZP/20</t>
  </si>
  <si>
    <t>Qty.p. 1 of M.B.No.1101/A/ZP/20</t>
  </si>
  <si>
    <t>Qty.p. 2 of M.B.No.1101/A/ZP/20</t>
  </si>
  <si>
    <t>Qty.p.90 of M.B.No.1101/A/ZP/20</t>
  </si>
  <si>
    <t>Qty.p. 3 of M.B.No.1101/A/ZP/20</t>
  </si>
  <si>
    <t>F1 Footings</t>
  </si>
  <si>
    <t>F1</t>
  </si>
  <si>
    <t>F2</t>
  </si>
  <si>
    <t>F3</t>
  </si>
  <si>
    <t>Bed concrete</t>
  </si>
  <si>
    <t>Column footings</t>
  </si>
  <si>
    <t xml:space="preserve">Pedastal </t>
  </si>
  <si>
    <t>08.05.2021</t>
  </si>
  <si>
    <t>A1 C1 C5 A5 A1</t>
  </si>
  <si>
    <t>Deduct Plinth beam</t>
  </si>
  <si>
    <t>PB 107 108 110 111</t>
  </si>
  <si>
    <t>PB 102</t>
  </si>
  <si>
    <t>PB 103</t>
  </si>
  <si>
    <t>PB 101 104 105</t>
  </si>
  <si>
    <t>PB 106 112</t>
  </si>
  <si>
    <t>Deduct beam junction</t>
  </si>
  <si>
    <t>15.05.2021</t>
  </si>
  <si>
    <t>slab</t>
  </si>
  <si>
    <t>06.09.2023</t>
  </si>
  <si>
    <t>North side wall</t>
  </si>
  <si>
    <t>South side wall</t>
  </si>
  <si>
    <t>East side wall</t>
  </si>
  <si>
    <t>West side wall</t>
  </si>
  <si>
    <t>Examination room West side wall</t>
  </si>
  <si>
    <t>tiolet north side wall</t>
  </si>
  <si>
    <t>Lab and store room east side wall</t>
  </si>
  <si>
    <t>Bed room west side wall</t>
  </si>
  <si>
    <t>tiolet-2 north side wall</t>
  </si>
  <si>
    <t>Kitchen east side wall</t>
  </si>
  <si>
    <t>Lobby and living room separate wall</t>
  </si>
  <si>
    <t>sill</t>
  </si>
  <si>
    <t>Sill level concrete</t>
  </si>
  <si>
    <t>13.09.2023</t>
  </si>
  <si>
    <t>south side wall</t>
  </si>
  <si>
    <t>Examination west side wall</t>
  </si>
  <si>
    <t>tiolet-1 north side wall</t>
  </si>
  <si>
    <t>Lintel</t>
  </si>
  <si>
    <t>20.09.2023</t>
  </si>
  <si>
    <t>27.09.2023</t>
  </si>
  <si>
    <t>09.10.2023</t>
  </si>
  <si>
    <t>Deduct kitchen door</t>
  </si>
  <si>
    <t>Top</t>
  </si>
  <si>
    <t>Qty.p.5 of M.B.No.142/C/ZP/22</t>
  </si>
  <si>
    <t>Examination room alround</t>
  </si>
  <si>
    <t>deduct ventilator</t>
  </si>
  <si>
    <t>Lobby and clinic room alround</t>
  </si>
  <si>
    <t>Deduct main door</t>
  </si>
  <si>
    <t>Deduct open space</t>
  </si>
  <si>
    <t>tiolet-1 alround</t>
  </si>
  <si>
    <t>Tiilet front open space alround</t>
  </si>
  <si>
    <t>Lab and store room alround</t>
  </si>
  <si>
    <t>Bed room alround</t>
  </si>
  <si>
    <t>Living room alround</t>
  </si>
  <si>
    <t>Deduct bed room door</t>
  </si>
  <si>
    <t>deduct kitchen door</t>
  </si>
  <si>
    <t>Deduct ventiltor</t>
  </si>
  <si>
    <t>Tiolet 2 alround</t>
  </si>
  <si>
    <t>tiolet-2 front open space</t>
  </si>
  <si>
    <t>Kitchen alround</t>
  </si>
  <si>
    <t>window alround horizantal</t>
  </si>
  <si>
    <t>window alround vertical</t>
  </si>
  <si>
    <t>Qty.p.7 of M.B.No.142/C/ZP/22</t>
  </si>
  <si>
    <t xml:space="preserve">Lobby and clinic room </t>
  </si>
  <si>
    <t>Tiolet fron open space</t>
  </si>
  <si>
    <t>living room</t>
  </si>
  <si>
    <t>North side slab protection</t>
  </si>
  <si>
    <t>beam side</t>
  </si>
  <si>
    <t>Side slab projection</t>
  </si>
  <si>
    <t>Front dome alround</t>
  </si>
  <si>
    <t>Work to be executed</t>
  </si>
  <si>
    <t>Heler Electrician</t>
  </si>
  <si>
    <t xml:space="preserve"> DATA SHEET (Electrification) - 2022-23</t>
  </si>
  <si>
    <t>Constructing 457.2 mm x 457.2 mm (1'6"x1'6") brick in CM 1:6 prop. Masonry. Inspection chamber upto 914.4 mm (3'0")</t>
  </si>
  <si>
    <t xml:space="preserve">Supply and fixing of 110mm dia ISI mark PVC rain water spouts of 4 Kg/cm2 pressure including Cost of necessary pvc bends, shoes and M.S.clamps </t>
  </si>
  <si>
    <t xml:space="preserve">Supply and fixing 8 way SPN Distribution board with IP-20 protection suitable for single phase Earth Leakage Circute Braker (ELCB) </t>
  </si>
  <si>
    <r>
      <t xml:space="preserve">Prince/ Sudhakar make or equivalent quality </t>
    </r>
    <r>
      <rPr>
        <b/>
        <sz val="10"/>
        <rFont val="Calibri"/>
        <family val="2"/>
        <scheme val="minor"/>
      </rPr>
      <t>PVC</t>
    </r>
    <r>
      <rPr>
        <sz val="10"/>
        <rFont val="Calibri"/>
        <family val="2"/>
        <scheme val="minor"/>
      </rPr>
      <t xml:space="preserve"> /SWR pipes &amp; fittings ( as per ISI standards) 4kg/cm2 </t>
    </r>
    <r>
      <rPr>
        <b/>
        <sz val="10"/>
        <rFont val="Calibri"/>
        <family val="2"/>
        <scheme val="minor"/>
      </rPr>
      <t>75mm</t>
    </r>
    <r>
      <rPr>
        <sz val="10"/>
        <rFont val="Calibri"/>
        <family val="2"/>
        <scheme val="minor"/>
      </rPr>
      <t xml:space="preserve"> dia. double socket </t>
    </r>
  </si>
  <si>
    <t>09.07.2020</t>
  </si>
  <si>
    <t xml:space="preserve">Cement Difference </t>
  </si>
  <si>
    <t>Qty.p.1 of M.B.No.790/A/ZP/19</t>
  </si>
  <si>
    <t>Qty.p.12 of M.B.No.790/A/ZP/19</t>
  </si>
  <si>
    <t>Qty.p.4 of M.B.No.790/A/ZP/19</t>
  </si>
  <si>
    <t>Qty.p.13 of M.B.No.790/A/ZP/19</t>
  </si>
  <si>
    <t>Qty.p.20 of M.B.No.790/A/ZP/19</t>
  </si>
  <si>
    <t>Qty.p.19 of M.B.No.790/A/ZP/19</t>
  </si>
  <si>
    <t>Qty.p.26 of M.B.No.790/A/ZP/19</t>
  </si>
  <si>
    <t>Qty.p.9  of M.B.No.790/A/ZP/19</t>
  </si>
  <si>
    <t>Qty.p.8 of M.B.No.790/A/ZP/19</t>
  </si>
  <si>
    <t>Qty.p.43 of M.B.No.790/A/ZP/19</t>
  </si>
  <si>
    <t>Qty.p.56 of M.B.No.790/A/ZP/19</t>
  </si>
  <si>
    <t>Qty.p.67 of M.B.No.790/A/ZP/19</t>
  </si>
  <si>
    <t>Qty.p.68 of M.B.No.790/A/ZP/19</t>
  </si>
  <si>
    <t>Qty.p.46 of M.B.No.790/A/ZP/19</t>
  </si>
  <si>
    <t>Qty.p.48 of M.B.No.790/A/ZP/19</t>
  </si>
  <si>
    <t>Qty.p.58 of M.B.No.790/A/ZP/19</t>
  </si>
  <si>
    <t>Qty.p.71 of M.B.No.790/A/ZP/19</t>
  </si>
  <si>
    <t>Qty.p.51 of M.B.No.790/A/ZP/19</t>
  </si>
  <si>
    <t>Qty.p.61 of M.B.No.790/A/ZP/19</t>
  </si>
  <si>
    <t>Qty.p.73 of M.B.No.790/A/ZP/19</t>
  </si>
  <si>
    <t>Qty.p.17 of M.B.No.790/A/ZP/19</t>
  </si>
  <si>
    <t>Qty.p.77 of M.B.No.790/A/ZP/19</t>
  </si>
  <si>
    <t>Qty.p.6 of M.B.No.790/A/ZP/19</t>
  </si>
  <si>
    <t>Qty.p.41 of M.B.No.790/A/ZP/19</t>
  </si>
  <si>
    <t>Qty.p.52 of M.B.No.790/A/ZP/19</t>
  </si>
  <si>
    <t>Qty.p.63 of M.B.No.790/A/ZP/19</t>
  </si>
  <si>
    <t>Qty.p.74 of M.B.No.790/A/ZP/19</t>
  </si>
  <si>
    <t>Qty.p.6 &amp; 7 of M.B.No.790/A/ZP/19</t>
  </si>
  <si>
    <t>Qty.p.7 of M.B.No.790/A/ZP/19</t>
  </si>
  <si>
    <t>Qty.p.7 &amp; 8  of M.B.No.790/A/ZP/19</t>
  </si>
  <si>
    <t>Qty.p.22 of M.B.No.790/A/ZP/19</t>
  </si>
  <si>
    <t>Qty.p.23 of M.B.No.790/A/ZP/19</t>
  </si>
  <si>
    <t>Qty.p.39 of M.B.No.790/A/ZP/19</t>
  </si>
  <si>
    <t>Qty.p.42 &amp; 43 of M.B.No.790/A/ZP/19</t>
  </si>
  <si>
    <t>A3-C3</t>
  </si>
  <si>
    <t>B4-C4</t>
  </si>
  <si>
    <t>Qty.p.11 of M.B.No.790/A/ZP/19</t>
  </si>
  <si>
    <t>Qty.p.62 of M.B.No.790/A/ZP/19</t>
  </si>
  <si>
    <t>Qty.p.65 of M.B.No.790/A/ZP/19</t>
  </si>
  <si>
    <t>Qty.p.69 of M.B.No.790/A/ZP/19</t>
  </si>
  <si>
    <t>Qty.p.34 of M.B.No.790/A/ZP/19</t>
  </si>
  <si>
    <t>Qty.p.15 of M.B.No.790/A/ZP/19</t>
  </si>
  <si>
    <t>Qty.p.21 of M.B.No.790/A/ZP/19</t>
  </si>
  <si>
    <t>Qty.p.49 of M.B.No.790/A/ZP/19</t>
  </si>
  <si>
    <t>Qty.p.37 of M.B.No.790/A/ZP/19</t>
  </si>
  <si>
    <t>Qty.p.16 of M.B.No.790/A/ZP/19</t>
  </si>
  <si>
    <t>Qty.p.93 of M.B.No.790/A/ZP/19</t>
  </si>
  <si>
    <t>Qty.p.45 of M.B.No.790/A/ZP/19</t>
  </si>
  <si>
    <t>Qty.p.82 of M.B.No.790/A/ZP/19</t>
  </si>
  <si>
    <t>Qty.p.97 of M.B.No.790/A/ZP/19</t>
  </si>
  <si>
    <t>Qty.p. 27  of M.B.No.790/A/ZP/19</t>
  </si>
  <si>
    <t>Qty.p.40 of M.B.No.790/A/ZP/19</t>
  </si>
  <si>
    <t>Qty.p.14 of M.B.No.790/A/ZP/19</t>
  </si>
  <si>
    <t>Qty.p.59 of M.B.No.790/A/ZP/19</t>
  </si>
  <si>
    <t>Qty.p.60 of M.B.No.790/A/ZP/19</t>
  </si>
  <si>
    <t>Qty.p.64 of M.B.No.790/A/ZP/19</t>
  </si>
  <si>
    <t>Qty.p.47 of M.B.No.790/A/ZP/19</t>
  </si>
  <si>
    <t>Qty.p.78 of M.B.No.790/A/ZP/19</t>
  </si>
  <si>
    <t>Qty.p.77  of M.B.No.790/A/ZP/19</t>
  </si>
  <si>
    <t>Qty.p.31 of M.B.No.790/A/ZP/19</t>
  </si>
  <si>
    <t>Qty.p.35 of M.B.No.790/A/ZP/19</t>
  </si>
  <si>
    <t>Qty.p.85 of M.B.No.790/A/ZP/19</t>
  </si>
  <si>
    <t>Qty.p.19  of M.B.No.790/A/ZP/19</t>
  </si>
  <si>
    <t>Qty.p.42 of M.B.No.790/A/ZP/19</t>
  </si>
  <si>
    <t>Qty.p.76  of M.B.No.790/A/ZP/19</t>
  </si>
  <si>
    <t>Qty.p.36 of M.B.No.790/A/ZP/19</t>
  </si>
  <si>
    <t>Qty.p.87 of M.B.No.790/A/ZP/19</t>
  </si>
  <si>
    <t>Qty.p.50 of M.B.No.790/A/ZP/19</t>
  </si>
  <si>
    <t>Qty.p. 48     of M.B.No.790/A/ZP/19</t>
  </si>
  <si>
    <t>Qty.p. 53  of M.B.No.790/A/ZP/19</t>
  </si>
  <si>
    <t>Qty.p.3 of M.B.No.790/A/ZP/19</t>
  </si>
  <si>
    <t>Qty.p. 54  of M.B.No.790/A/ZP/19</t>
  </si>
  <si>
    <t>Qty.p. 55  of M.B.No.790/A/ZP/19</t>
  </si>
  <si>
    <t>Qty.p. 56  of M.B.No.790/A/ZP/19</t>
  </si>
  <si>
    <t>Qty.p. 57  of M.B.No.790/A/ZP/19</t>
  </si>
  <si>
    <t>Qty.p. 62  of M.B.No.790/A/ZP/19</t>
  </si>
  <si>
    <t>Qty.p. 65  of M.B.No.790/A/ZP/19</t>
  </si>
  <si>
    <t>Qty.p.58 &amp; 59 of M.B.No.790/A/ZP/20</t>
  </si>
  <si>
    <t>Tiolet front carridor</t>
  </si>
  <si>
    <t>Living room ceiling</t>
  </si>
  <si>
    <t>Bed room ceiling</t>
  </si>
  <si>
    <t>Kitchen ceiling</t>
  </si>
  <si>
    <t>tiolet ceiling</t>
  </si>
  <si>
    <t>Qty.p.70 &amp; 71 of M.B.No.790/A/ZP/19</t>
  </si>
  <si>
    <t>Lobby room</t>
  </si>
  <si>
    <t>Wash basin room</t>
  </si>
  <si>
    <t>Qty.p.71 to 74 of M.B.No.790/A/ZP/19</t>
  </si>
  <si>
    <t>Kitchen room steps</t>
  </si>
  <si>
    <t>Qty.p.81 &amp; 82 of M.B.No.790/A/ZP/19</t>
  </si>
  <si>
    <t>Verandah flooring</t>
  </si>
  <si>
    <t>Ramp flooring</t>
  </si>
  <si>
    <t>Living room steps treads</t>
  </si>
  <si>
    <t>Kitchen steps treads</t>
  </si>
  <si>
    <t>Qty.p.82 &amp; 83 of M.B.No.790/A/ZP/19</t>
  </si>
  <si>
    <t xml:space="preserve">Verandah </t>
  </si>
  <si>
    <t>Qty.p.84 of M.B.No.790/A/ZP/19</t>
  </si>
  <si>
    <t>Qty.p.90 to 92 of M.B.No.790/A/ZP/19</t>
  </si>
  <si>
    <t>East side slab projection</t>
  </si>
  <si>
    <t>North and south side slab projection</t>
  </si>
  <si>
    <t>West side slab projection</t>
  </si>
  <si>
    <t>North &amp; south side slab projection</t>
  </si>
  <si>
    <t>Beam side south &amp; north side</t>
  </si>
  <si>
    <t>Qty.p. 1 &amp; 2  of M.B.No.161/A/ZP/22</t>
  </si>
  <si>
    <t>Kitchen door</t>
  </si>
  <si>
    <t>Living room door</t>
  </si>
  <si>
    <t>Providing and fixing factory made uPVC white colour sliding glazed windowupto 1.50 m in height dimension comprising of uPVC multi-chamberedframe with in-built roller track and sash extruded profiles duly reinforcedwith 1.60 ± 0.2 mm thick galvanized mild steel section made from rollforming process of required length (shape &amp; size according to uPVCprofile), appropriate dimension of uPVC extruded glazing beads anduPVC extruded interlocks, EPDM gasket, wool pile, zinc alloy (whitepowder coated) touch locks withhook, zinc alloy body with single nylonrollers (weight bearing capacity to be 40 kg), G.I fasteners 100 x 8 mmsize for fixing frame to finished wall and necessary stainless steel screwsetc. Profile of frame &amp; sash shall be mitred cut and fusion welded at allcorners, including drilling of holes for fixing hardware's and drainage ofwater etc. After fixing frame the gap between frame and adjacent finishedwall shall be filled with weather proof silicon sealent over backer rod ofrequired size and of approved quality, all complete as per approved drawing&amp; direction of Engineer-in-Charge</t>
  </si>
  <si>
    <t>Qty.p. 16 of M.B.No.161/A/ZP/22</t>
  </si>
  <si>
    <t>Qty.p.       of M.B.No.790/A/ZP/19</t>
  </si>
  <si>
    <t>Qty.p.     of M.B.No.790/A/ZP/19</t>
  </si>
  <si>
    <t>Window grills</t>
  </si>
  <si>
    <t>Fan point</t>
  </si>
  <si>
    <t>20.80 Lakhs</t>
  </si>
  <si>
    <t>MAT-00081</t>
  </si>
  <si>
    <t>Impervious water proofing compound Mat-00081</t>
  </si>
  <si>
    <t>Impervious water proofing compound mat-00081</t>
  </si>
  <si>
    <r>
      <t xml:space="preserve">Amount of estimate : </t>
    </r>
    <r>
      <rPr>
        <b/>
        <sz val="10"/>
        <color rgb="FFFF0000"/>
        <rFont val="Calibri"/>
        <family val="2"/>
        <scheme val="minor"/>
      </rPr>
      <t>20.80</t>
    </r>
    <r>
      <rPr>
        <b/>
        <sz val="10"/>
        <rFont val="Calibri"/>
        <family val="2"/>
        <scheme val="minor"/>
      </rPr>
      <t xml:space="preserve"> Lakhs</t>
    </r>
  </si>
  <si>
    <t>UltraTech Cement Limited</t>
  </si>
  <si>
    <r>
      <t xml:space="preserve">Flooring with </t>
    </r>
    <r>
      <rPr>
        <b/>
        <sz val="10"/>
        <rFont val="Calibri"/>
        <family val="2"/>
        <scheme val="minor"/>
      </rPr>
      <t>chequrred terrazzo</t>
    </r>
    <r>
      <rPr>
        <sz val="10"/>
        <rFont val="Calibri"/>
        <family val="2"/>
        <scheme val="minor"/>
      </rPr>
      <t xml:space="preserve"> tiles of 22 mm thick (medium shade) set over base coat of cement mortar (1:6) 12 mm thick </t>
    </r>
  </si>
  <si>
    <r>
      <t xml:space="preserve">Providing skirting to internal walls to 15 cm height/risers of steps with </t>
    </r>
    <r>
      <rPr>
        <b/>
        <sz val="10"/>
        <rFont val="Calibri"/>
        <family val="2"/>
        <scheme val="minor"/>
      </rPr>
      <t xml:space="preserve">chequrred terrazzo tiles </t>
    </r>
  </si>
  <si>
    <t>Supply and  Run of 2 of 22/0.3mm (1.50 Sq.mm) with in existing pipe for run of mains inlcuding all labour charges etc., complete.</t>
  </si>
  <si>
    <t>Supply and  Run of 2 of 36/0.3mm (2.50 Sq.mm) with in existing pipe for run of mains inlcuding all labour charges etc., complete.</t>
  </si>
  <si>
    <t>Supply and  Run of 2 of 56/0.3mm (4.00 Sq.mm) with in existing pipe for run of mains inlcuding all labour charges etc., complete</t>
  </si>
  <si>
    <t>WPC door frame and shutter</t>
  </si>
  <si>
    <t>Supply, transportation and fixing of 60Watt LED Street light Luminaire made of pressure</t>
  </si>
  <si>
    <r>
      <rPr>
        <b/>
        <sz val="10"/>
        <rFont val="Calibri"/>
        <family val="2"/>
        <scheme val="minor"/>
      </rPr>
      <t xml:space="preserve">Brick Masonary </t>
    </r>
    <r>
      <rPr>
        <sz val="10"/>
        <rFont val="Calibri"/>
        <family val="2"/>
        <scheme val="minor"/>
      </rPr>
      <t xml:space="preserve"> with</t>
    </r>
    <r>
      <rPr>
        <b/>
        <sz val="10"/>
        <rFont val="Calibri"/>
        <family val="2"/>
        <scheme val="minor"/>
      </rPr>
      <t xml:space="preserve"> CM (1:8) </t>
    </r>
    <r>
      <rPr>
        <sz val="10"/>
        <rFont val="Calibri"/>
        <family val="2"/>
        <scheme val="minor"/>
      </rPr>
      <t>proportion using 2nd class traditional bricks including c/c of all materials like Cement, Sand, Bricks, water etc including  labour charges etc. complete</t>
    </r>
  </si>
  <si>
    <r>
      <rPr>
        <b/>
        <sz val="10"/>
        <rFont val="Calibri"/>
        <family val="2"/>
        <scheme val="minor"/>
      </rPr>
      <t xml:space="preserve">Brick Masonary </t>
    </r>
    <r>
      <rPr>
        <sz val="10"/>
        <rFont val="Calibri"/>
        <family val="2"/>
        <scheme val="minor"/>
      </rPr>
      <t xml:space="preserve"> with</t>
    </r>
    <r>
      <rPr>
        <b/>
        <sz val="10"/>
        <rFont val="Calibri"/>
        <family val="2"/>
        <scheme val="minor"/>
      </rPr>
      <t xml:space="preserve"> CM (1:6) </t>
    </r>
    <r>
      <rPr>
        <sz val="10"/>
        <rFont val="Calibri"/>
        <family val="2"/>
        <scheme val="minor"/>
      </rPr>
      <t>proportion using 2nd class traditional bricks including c/c of all materials like Cement, Sand, Bricks, water etc including  labour charges etc. complete</t>
    </r>
  </si>
  <si>
    <t>Supply and  Run of 2 of 14/0.3mm (1.00 Sq.mm) with in existing pipe for run of mains inlcuding all labour charges etc., complete.</t>
  </si>
  <si>
    <t>20.10.2020</t>
  </si>
  <si>
    <t>23.11.2020</t>
  </si>
  <si>
    <t>15.11.2020</t>
  </si>
  <si>
    <t>15.10.2020</t>
  </si>
  <si>
    <t>03.03.2021</t>
  </si>
  <si>
    <t>05.01.2021</t>
  </si>
  <si>
    <t>10.04.2021</t>
  </si>
  <si>
    <t>20.06.2021</t>
  </si>
  <si>
    <t>04.12.2023</t>
  </si>
  <si>
    <t>13.02.2023</t>
  </si>
  <si>
    <t>18.12.2023</t>
  </si>
  <si>
    <t>Assistant  Engineer</t>
  </si>
  <si>
    <t>Qty.p.26 of M.B.No.478/A/ZP/19</t>
  </si>
  <si>
    <t>Qty.p.51 of M.B.No.478/A/ZP/19</t>
  </si>
  <si>
    <t>Qty.p.27 of M.B.No.478/A/ZP/19</t>
  </si>
  <si>
    <t>Qty.p.30 of M.B.No.478/A/ZP/19</t>
  </si>
  <si>
    <t>Qty.p.52 of M.B.No.478/A/ZP/19</t>
  </si>
  <si>
    <t>Qty.p.29 of M.B.No.478/A/ZP/19</t>
  </si>
  <si>
    <t>Qty.p.61 of M.B.No.478/A/ZP/19</t>
  </si>
  <si>
    <t>Qty.p.48 of M.B.No.1269/B/ZP/18</t>
  </si>
  <si>
    <t>Qty.p.49 of M.B.No.1269/B/ZP/18</t>
  </si>
  <si>
    <t>Qty.p.17 of M.B.No.478/A/ZP/20</t>
  </si>
  <si>
    <t>Qty.p.60 of M.B.No.478/A/ZP/20</t>
  </si>
  <si>
    <t>Qty.p.41 of M.B.No.478/A/ZP/19</t>
  </si>
  <si>
    <t>Plinth Beam</t>
  </si>
  <si>
    <t>Qty.p.55 of M.B.No.478/A/ZP/19</t>
  </si>
  <si>
    <t>Qty.p.56 of M.B.No.478/A/ZP/19</t>
  </si>
  <si>
    <t>Qty.p.58 of M.B.No.478/A/ZP/19</t>
  </si>
  <si>
    <t>Qty.p.62 of M.B.No.478/A/ZP/19</t>
  </si>
  <si>
    <t>septic tank</t>
  </si>
  <si>
    <t>Infront of Tiolet</t>
  </si>
  <si>
    <t>Deduct for platform</t>
  </si>
  <si>
    <t>Over platform</t>
  </si>
  <si>
    <t>clinic and lobby</t>
  </si>
  <si>
    <t xml:space="preserve">In lab and store </t>
  </si>
  <si>
    <t>In bed room</t>
  </si>
  <si>
    <t>In kitchen</t>
  </si>
  <si>
    <t>In clinic and lobby</t>
  </si>
  <si>
    <t>In tiolet</t>
  </si>
  <si>
    <t>Wall of tiolet</t>
  </si>
  <si>
    <t>Deduct for door</t>
  </si>
  <si>
    <t>tube light point</t>
  </si>
  <si>
    <r>
      <t xml:space="preserve">Supplying and fixing of  </t>
    </r>
    <r>
      <rPr>
        <b/>
        <sz val="10"/>
        <rFont val="Calibri"/>
        <family val="2"/>
        <scheme val="minor"/>
      </rPr>
      <t>Door</t>
    </r>
    <r>
      <rPr>
        <sz val="10"/>
        <rFont val="Calibri"/>
        <family val="2"/>
        <scheme val="minor"/>
      </rPr>
      <t xml:space="preserve"> of size </t>
    </r>
    <r>
      <rPr>
        <b/>
        <sz val="10"/>
        <rFont val="Calibri"/>
        <family val="2"/>
        <scheme val="minor"/>
      </rPr>
      <t>1.20X2.10M</t>
    </r>
    <r>
      <rPr>
        <sz val="10"/>
        <rFont val="Calibri"/>
        <family val="2"/>
        <scheme val="minor"/>
      </rPr>
      <t xml:space="preserve"> with two panels of frames made with teak wood and Shutter made with </t>
    </r>
    <r>
      <rPr>
        <b/>
        <sz val="10"/>
        <rFont val="Calibri"/>
        <family val="2"/>
        <scheme val="minor"/>
      </rPr>
      <t>medium Teak wood</t>
    </r>
    <r>
      <rPr>
        <sz val="10"/>
        <rFont val="Calibri"/>
        <family val="2"/>
        <scheme val="minor"/>
      </rPr>
      <t xml:space="preserve"> including  MS Z hold fasts , alluminium tower bolts, handle and butt hinges with all furniture fittings including c/c of all materials and furniture fittings etc complete as per specification  (APSS No 1001 &amp; 1002) </t>
    </r>
    <r>
      <rPr>
        <b/>
        <sz val="10"/>
        <rFont val="Calibri"/>
        <family val="2"/>
        <scheme val="minor"/>
      </rPr>
      <t>Door Frame with Shutters</t>
    </r>
  </si>
  <si>
    <t>Supplying and fixing of  Door of size 1.20X2.10M with two panels of frames made with teak wood and Shutter made with medium Teak wood including  MS Z hold fasts , alluminium tower bolts, handle and butt hinges with all furniture fittings including c/c of all materials and furniture fittings etc complete as per specification  (APSS No 1001 &amp; 1002) Door Frame with Shutters</t>
  </si>
  <si>
    <t>Supplying and fixing of  Door of size 0.90X2.10M with double panels of frames made with teak wood and Shutter made with Teak wood including  MS Z hold fasts , Alluminium tower bolts, handle and butt hinges with all furniture fittings including c/c of all materials and furniture fittings etc complete as per specification  (APSS No 1001 &amp; 1002) Door Frame with Shutters</t>
  </si>
  <si>
    <r>
      <t xml:space="preserve">Supplying and fixing of  </t>
    </r>
    <r>
      <rPr>
        <b/>
        <sz val="10"/>
        <rFont val="Calibri"/>
        <family val="2"/>
        <scheme val="minor"/>
      </rPr>
      <t>Door</t>
    </r>
    <r>
      <rPr>
        <sz val="10"/>
        <rFont val="Calibri"/>
        <family val="2"/>
        <scheme val="minor"/>
      </rPr>
      <t xml:space="preserve"> of size </t>
    </r>
    <r>
      <rPr>
        <b/>
        <sz val="10"/>
        <rFont val="Calibri"/>
        <family val="2"/>
        <scheme val="minor"/>
      </rPr>
      <t>0.75X2.10M</t>
    </r>
    <r>
      <rPr>
        <sz val="10"/>
        <rFont val="Calibri"/>
        <family val="2"/>
        <scheme val="minor"/>
      </rPr>
      <t xml:space="preserve"> with single panels of frames made with teak wood and Shutter made with </t>
    </r>
    <r>
      <rPr>
        <b/>
        <sz val="10"/>
        <rFont val="Calibri"/>
        <family val="2"/>
        <scheme val="minor"/>
      </rPr>
      <t>teak wood</t>
    </r>
    <r>
      <rPr>
        <sz val="10"/>
        <rFont val="Calibri"/>
        <family val="2"/>
        <scheme val="minor"/>
      </rPr>
      <t xml:space="preserve"> including  MS Z hold fasts , Alluminium tower bolts, handle and butt hinges with all furniture fittings including c/c of all materials and furniture fittings etc complete as per specification  (APSS No 1001 &amp; 1002) </t>
    </r>
    <r>
      <rPr>
        <b/>
        <sz val="10"/>
        <rFont val="Calibri"/>
        <family val="2"/>
        <scheme val="minor"/>
      </rPr>
      <t>Door Frame with Shutters</t>
    </r>
  </si>
  <si>
    <t>Supplying and fixing of  Door of size 0.75X2.10M with single panels of frames made with teak wood and Shutter made with teak wood including  MS Z hold fasts , Alluminium tower bolts, handle and butt hinges with all furniture fittings including c/c of all materials and furniture fittings etc complete as per specification  (APSS No 1001 &amp; 1002) Door Frame with Shutters</t>
  </si>
  <si>
    <t>11.5 cm wide Brick masonry for super-structure on ground floor in cm (1:4) using second class traditional size bricks including cost of all materials, seigniorage charges, labour and all operations for constructing half brick masonry, mixing cement mortar, curing etc., complete for finished item of work, but excluding conveyance charges of materials.</t>
  </si>
  <si>
    <t xml:space="preserve">Reinforced Brick Masonry for partition walls (11.0 cm thick) in CM (1:4) prop. (Cement : Sand) using common burnt clay bricks of class as per Table- I of IS:1077-1992, Non- Modular or traditional size    23 x 11 x 7 cms from approved source having minimum crushing strength of 40 Kg/Sq.cm and placing 2 Nos. of 6mm M.S plain rods in every third layer with free ends of the reinforcement pegged into mortar joints of main brick walls where applicable including cost and conveyance of all materials and  all operational, incidental charges such as labour charges for mixing cement mortar, scaffolding charges, lift charges,and all labour charges etc., but excluding cost of steel and its fabrication charges complete for finished item of work. </t>
  </si>
  <si>
    <t>BM CM (1:4) 115mm</t>
  </si>
  <si>
    <t>RBM in CM (1:4)</t>
  </si>
  <si>
    <t xml:space="preserve">F1 Footings </t>
  </si>
  <si>
    <t xml:space="preserve">F2 Footings </t>
  </si>
  <si>
    <t xml:space="preserve">F3 Footings </t>
  </si>
  <si>
    <t>PB 101</t>
  </si>
  <si>
    <t>PB 106</t>
  </si>
  <si>
    <t>Deduct crossing</t>
  </si>
  <si>
    <t>PB 107</t>
  </si>
  <si>
    <t>PB 108</t>
  </si>
  <si>
    <t>PB 110</t>
  </si>
  <si>
    <t>PB 111</t>
  </si>
  <si>
    <t>PB 112</t>
  </si>
  <si>
    <t>Qty.p.32 &amp; 33 of M.B.No.1269/B/ZP/18</t>
  </si>
  <si>
    <t>Clinic and lab</t>
  </si>
  <si>
    <t>Qty.p.33 to 44 of M.B.No.1269/B/ZP/18</t>
  </si>
  <si>
    <t>Qty.p.44  &amp; 45 of M.B.No.1269/B/ZP/18</t>
  </si>
  <si>
    <t>Qty.p.46 to 48 of M.B.No.1269/B/ZP/18</t>
  </si>
  <si>
    <t>FB 101</t>
  </si>
  <si>
    <t>FB 102</t>
  </si>
  <si>
    <t>FB 103</t>
  </si>
  <si>
    <t>FB 104</t>
  </si>
  <si>
    <t>FB 106</t>
  </si>
  <si>
    <t>FB 107</t>
  </si>
  <si>
    <t>FB 108</t>
  </si>
  <si>
    <t>FB 109</t>
  </si>
  <si>
    <t>FB 110</t>
  </si>
  <si>
    <t>FB 111</t>
  </si>
  <si>
    <t>FB 112</t>
  </si>
  <si>
    <t>FB 113</t>
  </si>
  <si>
    <t>FB 114</t>
  </si>
  <si>
    <t>Qty.p.1 &amp; 2 of M.B.No.478/A/ZP/20</t>
  </si>
  <si>
    <t>A1-A5 &amp; C1 - C5</t>
  </si>
  <si>
    <t>Cross wall A1-C1 &amp; A5-C5</t>
  </si>
  <si>
    <t>Qty.p.2 to 4  of M.B.No.478/A/ZP/20</t>
  </si>
  <si>
    <t>Qty.p.4 to 6 of M.B.No.478/A/ZP/20</t>
  </si>
  <si>
    <t>Tiolet long wall</t>
  </si>
  <si>
    <t>Deduct door gap</t>
  </si>
  <si>
    <t>Qty.p.7 &amp; 8 of M.B.No.478/A/ZP/20</t>
  </si>
  <si>
    <t>1 to 2</t>
  </si>
  <si>
    <t>2 to 3</t>
  </si>
  <si>
    <t>3 to 4</t>
  </si>
  <si>
    <t>4 to 5</t>
  </si>
  <si>
    <t>A to B</t>
  </si>
  <si>
    <t>B to C</t>
  </si>
  <si>
    <t>Over door D2</t>
  </si>
  <si>
    <t>Over door D3</t>
  </si>
  <si>
    <t>Qty.p.8 &amp; 9 of M.B.No.478/A/ZP/20</t>
  </si>
  <si>
    <t>Qty.p.9 &amp; 10 of M.B.No.478/A/ZP/20</t>
  </si>
  <si>
    <t>Qty.p.10 to 12 of M.B.No.478/A/ZP/20</t>
  </si>
  <si>
    <t>Qty.p.13 to 15 of M.B.No.478/A/ZP/20</t>
  </si>
  <si>
    <t>Lab and store</t>
  </si>
  <si>
    <t>For window sunshade</t>
  </si>
  <si>
    <t>Vertical projection</t>
  </si>
  <si>
    <t>Sloped projection front</t>
  </si>
  <si>
    <t>Qty.p.15 to 17 of M.B.No.478/A/ZP/20</t>
  </si>
  <si>
    <t>Lobby and store room</t>
  </si>
  <si>
    <t>long walls</t>
  </si>
  <si>
    <t>Verandah front</t>
  </si>
  <si>
    <t>Verandah wall sides</t>
  </si>
  <si>
    <t>Qty.p.28  &amp; 29 of M.B.No.478/A/ZP/19</t>
  </si>
  <si>
    <t>Verandah portion alround</t>
  </si>
  <si>
    <t>For platform</t>
  </si>
  <si>
    <t>For steps-1</t>
  </si>
  <si>
    <t>For steps-2</t>
  </si>
  <si>
    <t>Qty.p.30 to 32 of M.B.No.478/A/ZP/19</t>
  </si>
  <si>
    <t>Qty.p.32 &amp; 33 of M.B.No.478/A/ZP/19</t>
  </si>
  <si>
    <t>Roof slab center portion</t>
  </si>
  <si>
    <t>hall portion</t>
  </si>
  <si>
    <t>Deduct dummy columns</t>
  </si>
  <si>
    <t>Qty.p.34  &amp; 35 of M.B.No.478/A/ZP/20</t>
  </si>
  <si>
    <t>Slope portion center</t>
  </si>
  <si>
    <t>Slope portion left</t>
  </si>
  <si>
    <t>Slope portion Midlle</t>
  </si>
  <si>
    <t>Verandah basement</t>
  </si>
  <si>
    <t>Deduct step</t>
  </si>
  <si>
    <t>Qty.p.35 to 37 of M.B.No.478/A/ZP/19</t>
  </si>
  <si>
    <t>For walls</t>
  </si>
  <si>
    <t>Examination room ceiling</t>
  </si>
  <si>
    <t>Lab and store room ceiling</t>
  </si>
  <si>
    <t>tiolet outer walls</t>
  </si>
  <si>
    <t>clinic and lobby ceiling</t>
  </si>
  <si>
    <t>Qty.p.38 to 40 of M.B.No.478/A/ZP/19</t>
  </si>
  <si>
    <t>Bed room tiolet ceiling</t>
  </si>
  <si>
    <t>clinic and lobby walls</t>
  </si>
  <si>
    <t>for window sunshades</t>
  </si>
  <si>
    <t>Verandah projection</t>
  </si>
  <si>
    <t>Slope projection front</t>
  </si>
  <si>
    <t>Slope projection sides</t>
  </si>
  <si>
    <t>Qty.p.40  &amp; 41 of M.B.No.478/A/ZP/19</t>
  </si>
  <si>
    <t>Front face</t>
  </si>
  <si>
    <t>For short walls</t>
  </si>
  <si>
    <t>For verandah basement</t>
  </si>
  <si>
    <t>Deduct steps</t>
  </si>
  <si>
    <t>Projection wall alround</t>
  </si>
  <si>
    <t>For windows</t>
  </si>
  <si>
    <t>Qty.p.53 &amp; 54 of M.B.No.478/A/ZP/19</t>
  </si>
  <si>
    <t>step-1</t>
  </si>
  <si>
    <t>step-2</t>
  </si>
  <si>
    <t>step-3</t>
  </si>
  <si>
    <t>Platform for examination room</t>
  </si>
  <si>
    <t>Platform for lab</t>
  </si>
  <si>
    <t>Main door</t>
  </si>
  <si>
    <t>Qty.p.54 &amp; 55 of M.B.No.478/A/ZP/19</t>
  </si>
  <si>
    <t>Qty.p.55 &amp; 56 of M.B.No.478/A/ZP/19</t>
  </si>
  <si>
    <t>Qty.p.56 to 58 of M.B.No.478/A/ZP/19</t>
  </si>
  <si>
    <t>Three track three panels sliding window  with fly proof SS wire mesh (Two nos. glazed &amp; one no.  wire mesh panels) made of (small series) frame 92 x 44  mm &amp; sash 32 x 60 mmboth having wall  thickness of 1.9 ± 0.2 mm and single  glazingbead of appropriate dimension  (Area of window upto 1.75 sqm).</t>
  </si>
  <si>
    <t>Qty.p.58 &amp; 59 of M.B.No.478/A/ZP/19</t>
  </si>
  <si>
    <t>Platform walls</t>
  </si>
  <si>
    <t>Platform slab</t>
  </si>
  <si>
    <t>Qty.p.60 &amp; 61 of M.B.No.478/A/ZP/19</t>
  </si>
  <si>
    <t>Qty.p.1 &amp; 2 of M.B.No.469/A/ZP/20</t>
  </si>
  <si>
    <t>Qty.p.2 &amp; 4 of M.B.No.469/A/ZP/20</t>
  </si>
  <si>
    <t>Qty.p.4 &amp; 5 of M.B.No.469/A/ZP/20</t>
  </si>
  <si>
    <t>Qty.p.6 &amp; 7 of M.B.No.469/A/ZP/20</t>
  </si>
  <si>
    <t>Qty.p. 7 &amp; 8  of M.B.No.469/A/ZP/20</t>
  </si>
  <si>
    <t>Qty.p. 9  of M.B.No.469/A/ZP/20</t>
  </si>
  <si>
    <t>Qty.p. 16 &amp; 17  of M.B.No.469/A/ZP/20</t>
  </si>
  <si>
    <t>Qty.p.  18 &amp; 19  of M.B.No.469/A/ZP/20</t>
  </si>
  <si>
    <t>Qty.p. 21  of M.B.No.469/A/ZP/20</t>
  </si>
  <si>
    <t>Window Grills</t>
  </si>
  <si>
    <t>Supply and  Run of 2 of 36/0.3mm (2.50 Sq.mm) with  in existing pipe for run of mains inlcuding all labour charges etc., complete.</t>
  </si>
  <si>
    <t xml:space="preserve">Door  of size 0.75 x 2.10mt </t>
  </si>
  <si>
    <t xml:space="preserve">RBM CM (1:4) </t>
  </si>
  <si>
    <r>
      <t>Mandal</t>
    </r>
    <r>
      <rPr>
        <sz val="10"/>
        <rFont val="Calibri"/>
        <family val="2"/>
        <scheme val="minor"/>
      </rPr>
      <t xml:space="preserve"> : Kanigiri</t>
    </r>
  </si>
  <si>
    <t>Assistant   Engineer</t>
  </si>
  <si>
    <t>12.07.2021</t>
  </si>
  <si>
    <t>16.09.2021</t>
  </si>
  <si>
    <t>11.05.2021</t>
  </si>
  <si>
    <t>22.07.2021</t>
  </si>
  <si>
    <t>21.09.2021</t>
  </si>
  <si>
    <t>22.10.2021</t>
  </si>
  <si>
    <t>28.05.2021</t>
  </si>
  <si>
    <t>11.10.2021</t>
  </si>
  <si>
    <t>07.06.2021</t>
  </si>
  <si>
    <t>29.06.2021</t>
  </si>
  <si>
    <t>02.08.2021</t>
  </si>
  <si>
    <t>11.08.2021</t>
  </si>
  <si>
    <t>10.08.2023</t>
  </si>
  <si>
    <t>04.07.2023</t>
  </si>
  <si>
    <t>20.07.2023</t>
  </si>
  <si>
    <t>SEIGNEORAGE CHARGES AND MATERIAL ABSTRACT (PART-A)</t>
  </si>
  <si>
    <t>Qty.p.35 of M.B.No.103/A/ZP/22</t>
  </si>
  <si>
    <t>Qty.p.37 of M.B.No.103/A/ZP/22</t>
  </si>
  <si>
    <t>Qty.p.43 of M.B.No.103/A/ZP/22</t>
  </si>
  <si>
    <t>Basement</t>
  </si>
  <si>
    <t>Deduct cross columns</t>
  </si>
  <si>
    <t>Under PB 107 108 110 111</t>
  </si>
  <si>
    <t>Pb 102 103</t>
  </si>
  <si>
    <t>C1 C2 C3</t>
  </si>
  <si>
    <t>B1-B5</t>
  </si>
  <si>
    <t>Slope portion front side</t>
  </si>
  <si>
    <t>Side portion</t>
  </si>
  <si>
    <t>Two sides</t>
  </si>
  <si>
    <t>Drop</t>
  </si>
  <si>
    <t>Qty.p.26 &amp; 27 of M.B.No.103/A/ZP/22</t>
  </si>
  <si>
    <t>Clinic &amp; lobby</t>
  </si>
  <si>
    <t>Platform wall</t>
  </si>
  <si>
    <t>Qty.p.33 to 35 of M.B.No.103/A/ZP/22</t>
  </si>
  <si>
    <t>Deduct platform walls</t>
  </si>
  <si>
    <t>Tiolet gap</t>
  </si>
  <si>
    <t>Over platform E.Room</t>
  </si>
  <si>
    <t>Qty.p.35 to 37 of M.B.No.103/A/ZP/22</t>
  </si>
  <si>
    <t>Laboratory room E.Wall</t>
  </si>
  <si>
    <t>Infront of tiolet front</t>
  </si>
  <si>
    <t>tiolets</t>
  </si>
  <si>
    <t>Qty.p.41 to 43 of M.B.No.103/A/ZP/22</t>
  </si>
  <si>
    <t>ceiling</t>
  </si>
  <si>
    <t>Tiolet room walls</t>
  </si>
  <si>
    <t>Walls</t>
  </si>
  <si>
    <t>Lab and store room walls</t>
  </si>
  <si>
    <t>tiolet walls</t>
  </si>
  <si>
    <t>Kitchen walls</t>
  </si>
  <si>
    <t xml:space="preserve">Clinic and lobby </t>
  </si>
  <si>
    <t>Laboratory e.wall</t>
  </si>
  <si>
    <t>deduct open door</t>
  </si>
  <si>
    <t>Verandah front side</t>
  </si>
  <si>
    <t>Supplying and fixing of  Door of size 0.90X2.10M with single panels of frames made with Sal wood and Shutter made with WPC door shutters including  MS Z hold fasts , Alluminium tower bolts, handle and butt hinges with all furniture fittings including c/c of all materials and furniture fittings etc complete as per specification  (APSS No 1001 &amp; 1002) Door Frame with Shutters</t>
  </si>
  <si>
    <r>
      <t xml:space="preserve">Supplying and fixing of  </t>
    </r>
    <r>
      <rPr>
        <b/>
        <sz val="10"/>
        <rFont val="Calibri"/>
        <family val="2"/>
        <scheme val="minor"/>
      </rPr>
      <t>Door</t>
    </r>
    <r>
      <rPr>
        <sz val="10"/>
        <rFont val="Calibri"/>
        <family val="2"/>
        <scheme val="minor"/>
      </rPr>
      <t xml:space="preserve"> of size 0.90</t>
    </r>
    <r>
      <rPr>
        <b/>
        <sz val="10"/>
        <rFont val="Calibri"/>
        <family val="2"/>
        <scheme val="minor"/>
      </rPr>
      <t>X2.10M</t>
    </r>
    <r>
      <rPr>
        <sz val="10"/>
        <rFont val="Calibri"/>
        <family val="2"/>
        <scheme val="minor"/>
      </rPr>
      <t xml:space="preserve"> with single panels of frames made with sal wood and Shutter made with </t>
    </r>
    <r>
      <rPr>
        <b/>
        <sz val="10"/>
        <rFont val="Calibri"/>
        <family val="2"/>
        <scheme val="minor"/>
      </rPr>
      <t>WPC door shutters</t>
    </r>
    <r>
      <rPr>
        <sz val="10"/>
        <rFont val="Calibri"/>
        <family val="2"/>
        <scheme val="minor"/>
      </rPr>
      <t xml:space="preserve"> including  MS Z hold fasts , Alluminium tower bolts, handle and butt hinges with all furniture fittings including c/c of all materials and furniture fittings etc complete as per specification  (APSS No 1001 &amp; 1002) </t>
    </r>
    <r>
      <rPr>
        <b/>
        <sz val="10"/>
        <rFont val="Calibri"/>
        <family val="2"/>
        <scheme val="minor"/>
      </rPr>
      <t>Door Frame with Shutters</t>
    </r>
  </si>
  <si>
    <t>WPC  door - Labour</t>
  </si>
  <si>
    <t>S.No. of the Bill: 5th  &amp;  Final</t>
  </si>
  <si>
    <r>
      <t>Voucher</t>
    </r>
    <r>
      <rPr>
        <sz val="10"/>
        <rFont val="Calibri"/>
        <family val="2"/>
        <scheme val="minor"/>
      </rPr>
      <t xml:space="preserve"> : CC  5th &amp; Final</t>
    </r>
  </si>
  <si>
    <t>Vangapadu</t>
  </si>
  <si>
    <t>Providing Additional Space for Health Staff in Vangapadu GP of Kanigiri Mandal</t>
  </si>
  <si>
    <t>087043126033090025</t>
  </si>
  <si>
    <t>06.10.2023</t>
  </si>
  <si>
    <t>17.10.2023</t>
  </si>
  <si>
    <t>10.11.2023</t>
  </si>
  <si>
    <t>17.11.2023</t>
  </si>
  <si>
    <t>02.11.2023</t>
  </si>
  <si>
    <t>Providing Additional Space for Health Staff in Grama Sachivalayam of Baduguleru GP of Kanigiri Mandal</t>
  </si>
  <si>
    <t>No: 087043102002090039</t>
  </si>
  <si>
    <t>Qty.p.1 of M.B.No.1198/B/ZP/18</t>
  </si>
  <si>
    <t>Qty.p.15 of M.B.No.1198/B/ZP/18</t>
  </si>
  <si>
    <t>Qty.p.2 of M.B.No.604/B/ZP/20</t>
  </si>
  <si>
    <t>Qty.p.7 of M.B.No.1198/B/ZP/18</t>
  </si>
  <si>
    <t>Qty.p.23 of M.B.No.1198/B/ZP/18</t>
  </si>
  <si>
    <t>Qty.p.19 of M.B.No.604/B/ZP/20</t>
  </si>
  <si>
    <t>Qty.p.20 of M.B.No.604/B/ZP/20</t>
  </si>
  <si>
    <t>Qty.p.28 of M.B.No.604/B/ZP/20</t>
  </si>
  <si>
    <t>Qty.p.38 of M.B.No.604/B/ZP/20</t>
  </si>
  <si>
    <t>Qty.p.16 of M.B.No.111/A/ZP/22</t>
  </si>
  <si>
    <t>Qty.p.17 of M.B.No.111/A/ZP/22</t>
  </si>
  <si>
    <t>beam and slab</t>
  </si>
  <si>
    <t>75mm</t>
  </si>
  <si>
    <t xml:space="preserve">Beam room and </t>
  </si>
  <si>
    <t>Clinic and lobby</t>
  </si>
  <si>
    <t>Top parapet wall</t>
  </si>
  <si>
    <t>Qty.p.2 &amp; 3 of M.B.No.1198/B/ZP/18</t>
  </si>
  <si>
    <t>Qty.p.3 to 5 of M.B.No.1198/B/ZP/18</t>
  </si>
  <si>
    <t>Qty.p.6 &amp; 7 of M.B.No.1198/B/ZP/18</t>
  </si>
  <si>
    <t>Qty.p.7 &amp; 8 of M.B.No.1198/B/ZP/18</t>
  </si>
  <si>
    <t>A3C1</t>
  </si>
  <si>
    <t>A1C1 C5C1 A5C1 A1C1 B5C1</t>
  </si>
  <si>
    <t>B2C1 B4C1 C4 C1</t>
  </si>
  <si>
    <t>C1C1 C3C1</t>
  </si>
  <si>
    <t>C2C1</t>
  </si>
  <si>
    <t>A2C3 A4C3</t>
  </si>
  <si>
    <t>B3C2</t>
  </si>
  <si>
    <t>Qty.p.9 &amp; 10 of M.B.No.1198/B/ZP/18</t>
  </si>
  <si>
    <t>DEDUCTION</t>
  </si>
  <si>
    <t>columns</t>
  </si>
  <si>
    <t>Qty.p.10 &amp; 11 of M.B.No.1198/B/ZP/18</t>
  </si>
  <si>
    <t>Qty.p.12 &amp; 13 of M.B.No.1198/B/ZP/18</t>
  </si>
  <si>
    <t>Qty.p.13 &amp; 14 of M.B.No.1198/B/ZP/18</t>
  </si>
  <si>
    <t>cross wall</t>
  </si>
  <si>
    <t>Qty.p.15 &amp; 16 of M.B.No.1198/B/ZP/18</t>
  </si>
  <si>
    <t>Qty.p.16 to 20 of M.B.No.1198/B/ZP/18</t>
  </si>
  <si>
    <t>Qty.p.21 to 23 of M.B.No.1198/B/ZP/18</t>
  </si>
  <si>
    <t>Qty.p.3 &amp; 4 of M.B.No.604/B/ZP/20</t>
  </si>
  <si>
    <t>Qty.p.4 to 15 of M.B.No.604/B/ZP/20</t>
  </si>
  <si>
    <t>Qty.p.15 &amp; 16 of M.B.No.604/B/ZP/20</t>
  </si>
  <si>
    <t>Qty.p.17 to 19 of M.B.No.604/B/ZP/20</t>
  </si>
  <si>
    <t>Qty.p.21 &amp; 22 of M.B.No.604/B/ZP/20</t>
  </si>
  <si>
    <t>Qty.p.22 to 25 of M.B.No.604/B/ZP/20</t>
  </si>
  <si>
    <t>Qty.p.25 &amp; 26 of M.B.No.604/B/ZP/20</t>
  </si>
  <si>
    <t>Qty.p.27 &amp; 28 of M.B.No.604/B/ZP/20</t>
  </si>
  <si>
    <t>a to b</t>
  </si>
  <si>
    <t>Qty.p.28 to 30 of M.B.No.604/B/ZP/20</t>
  </si>
  <si>
    <t>Qty.p.30 to 32 of M.B.No.604/B/ZP/20</t>
  </si>
  <si>
    <t>Qty.p.33 to 35 of M.B.No.604/B/ZP/20</t>
  </si>
  <si>
    <t>Living roo</t>
  </si>
  <si>
    <t>Slab projection back side</t>
  </si>
  <si>
    <t>Qty.p.35 to 37 of M.B.No.604/B/ZP/20</t>
  </si>
  <si>
    <t>Kitc</t>
  </si>
  <si>
    <t>Qty.p.37 &amp; 38 of M.B.No.604/B/ZP/20</t>
  </si>
  <si>
    <t xml:space="preserve">Kitchen </t>
  </si>
  <si>
    <t>Qty.p.10 to 12 of M.B.No.111/A/ZP/22</t>
  </si>
  <si>
    <t xml:space="preserve">Bed room </t>
  </si>
  <si>
    <t>Qty.p.12 to 14 of M.B.No.111/A/ZP/22</t>
  </si>
  <si>
    <t>at tiolet</t>
  </si>
  <si>
    <t>Medicine center</t>
  </si>
  <si>
    <t>Qty.p.14 to 16 of M.B.No.111/A/ZP/22</t>
  </si>
  <si>
    <t>Clinic room</t>
  </si>
  <si>
    <t>for platform</t>
  </si>
  <si>
    <t>for tiolet</t>
  </si>
  <si>
    <r>
      <t xml:space="preserve">Butt Hinges 125mm  </t>
    </r>
    <r>
      <rPr>
        <sz val="10"/>
        <color rgb="FFFF0000"/>
        <rFont val="Calibri"/>
        <family val="2"/>
        <scheme val="minor"/>
      </rPr>
      <t/>
    </r>
  </si>
  <si>
    <r>
      <t xml:space="preserve">Supplying and fixing of  </t>
    </r>
    <r>
      <rPr>
        <b/>
        <sz val="10"/>
        <rFont val="Calibri"/>
        <family val="2"/>
        <scheme val="minor"/>
      </rPr>
      <t>Door</t>
    </r>
    <r>
      <rPr>
        <sz val="10"/>
        <rFont val="Calibri"/>
        <family val="2"/>
        <scheme val="minor"/>
      </rPr>
      <t xml:space="preserve"> of size </t>
    </r>
    <r>
      <rPr>
        <b/>
        <sz val="10"/>
        <rFont val="Calibri"/>
        <family val="2"/>
        <scheme val="minor"/>
      </rPr>
      <t>1.05X2.10M</t>
    </r>
    <r>
      <rPr>
        <sz val="10"/>
        <rFont val="Calibri"/>
        <family val="2"/>
        <scheme val="minor"/>
      </rPr>
      <t xml:space="preserve"> with single panels of frames made with sal wood and Shutter made with </t>
    </r>
    <r>
      <rPr>
        <b/>
        <sz val="10"/>
        <rFont val="Calibri"/>
        <family val="2"/>
        <scheme val="minor"/>
      </rPr>
      <t>sal wood</t>
    </r>
    <r>
      <rPr>
        <sz val="10"/>
        <rFont val="Calibri"/>
        <family val="2"/>
        <scheme val="minor"/>
      </rPr>
      <t xml:space="preserve"> including  MS Z hold fasts , Alluminium tower bolts, handle and butt hinges with all furniture fittings including c/c of all materials and furniture fittings etc complete as per specification  (APSS No 1001 &amp; 1002) </t>
    </r>
    <r>
      <rPr>
        <b/>
        <sz val="10"/>
        <rFont val="Calibri"/>
        <family val="2"/>
        <scheme val="minor"/>
      </rPr>
      <t>Door Frame with Shutters</t>
    </r>
  </si>
  <si>
    <t>Supplying and fixing of  Door of size 1.05X2.10M with single panels of frames made with sal wood and Shutter made with sal wood including  MS Z hold fasts , Alluminium tower bolts, handle and butt hinges with all furniture fittings including c/c of all materials and furniture fittings etc complete as per specification  (APSS No 1001 &amp; 1002) Door Frame with Shutters</t>
  </si>
  <si>
    <t>Qty.p.58 of M.B.No.111/A/ZP/22</t>
  </si>
  <si>
    <t>Qty.p.58 &amp; 59 of M.B.No.111/A/ZP/22</t>
  </si>
  <si>
    <t>Qty.p.67 of M.B.No.111/A/ZP/22</t>
  </si>
  <si>
    <t>Qty.p.17 &amp; 18 of M.B.No.111/A/ZP/22</t>
  </si>
  <si>
    <t>Qty.p.49 &amp; 50 of M.B.No.111/A/ZP/22</t>
  </si>
  <si>
    <t>Qty.p.18 &amp; 19 of M.B.No.111/A/ZP/22</t>
  </si>
  <si>
    <t>Qty.p.54 of M.B.No.111/A/ZP/22</t>
  </si>
  <si>
    <t>Qty.p.61 of M.B.No.111/A/ZP/22</t>
  </si>
  <si>
    <t>Qty.p.64 of M.B.No.111/A/ZP/22</t>
  </si>
  <si>
    <t>Provision Navaratnalu Logo Qty.p.70 of M.B.No.111/A/ZP/22</t>
  </si>
  <si>
    <t>Qty.p.19 of M.B.No.111/A/ZP/22</t>
  </si>
  <si>
    <t>Qty.p.19 to 21 of M.B.No.111/A/ZP/22</t>
  </si>
  <si>
    <t>Qty.p.22 of M.B.No.111/A/ZP/22</t>
  </si>
  <si>
    <t>Qty.p.23 to 25 of M.B.No.111/A/ZP/22</t>
  </si>
  <si>
    <t xml:space="preserve">Living room </t>
  </si>
  <si>
    <t>platform</t>
  </si>
  <si>
    <t>Qty.p.25 to 27 of M.B.No.111/A/ZP/22</t>
  </si>
  <si>
    <t>side portion</t>
  </si>
  <si>
    <t>sides</t>
  </si>
  <si>
    <t>slab projection back side</t>
  </si>
  <si>
    <t>two sides</t>
  </si>
  <si>
    <t>drop</t>
  </si>
  <si>
    <t>for pressed tiles</t>
  </si>
  <si>
    <t>Qty.p.28 &amp; 29 of M.B.No.111/A/ZP/22</t>
  </si>
  <si>
    <t>Qty.p.31 of M.B.No.111/A/ZP/22</t>
  </si>
  <si>
    <t>Qty.p.31 &amp; 32 of M.B.No.111/A/ZP/22</t>
  </si>
  <si>
    <t>Qty.p.32 of M.B.No.111/A/ZP/22</t>
  </si>
  <si>
    <t>Qty.p.32 &amp; 33 of M.B.No.111/A/ZP/22</t>
  </si>
  <si>
    <t>Qty.p.33 of M.B.No.111/A/ZP/22</t>
  </si>
  <si>
    <t>Qty.p.33 &amp; 34 of M.B.No.111/A/ZP/22</t>
  </si>
  <si>
    <t>Qty.p.34 &amp; 35 of M.B.No.111/A/ZP/22</t>
  </si>
  <si>
    <t>Qty.p.36 of M.B.No.111/A/ZP/22</t>
  </si>
  <si>
    <t>Qty.p.36 &amp; 37 of M.B.No.1101/A/ZP/20</t>
  </si>
  <si>
    <t>Qty.p.37 of M.B.No.111/A/ZP/22</t>
  </si>
  <si>
    <t>Qty.p.37 &amp; 38 of M.B.No.111/A/ZP/22</t>
  </si>
  <si>
    <t>Qty.p.38 of M.B.No.111/A/ZP/22</t>
  </si>
  <si>
    <t>Qty.p.38 &amp; 39 of M.B.No.111/A/ZP/22</t>
  </si>
  <si>
    <t>Supply of Cover frames for 16 module box</t>
  </si>
  <si>
    <t>Qty.p.39 &amp; 40 of M.B.No.111/A/ZP/22</t>
  </si>
  <si>
    <t>Qty.p.40 of M.B.No.111/A/ZP/22</t>
  </si>
  <si>
    <t>Qty.p.41 of M.B.No.111/A/ZP/22</t>
  </si>
  <si>
    <t>Qty.p.42 of M.B.No.111/A/ZP/22</t>
  </si>
  <si>
    <t>Qty.p.43 of M.B.No.111/A/ZP/22</t>
  </si>
  <si>
    <t xml:space="preserve">                              The above road has been administratively sancationed for Rs. 17.50 Lakhs  vide Progs.Rc No  T3/MGNREGS/2020 Dt 30-06-2020 of the District Collector &amp; District Programme Co-Ordinator, MGNREGS, Prakasam District. Ongole under MGNREGS 50%  and Health Department Grant 50% Grant during the year 2019-20. and Additional amount of Rs.3.30 lakhs was sanctioned vide progs. Rc.No.T3/YSR health Clinics buildings-Admn. Sanctions / 2023-24 Dt   05.2023 of the District Collector &amp; DPC, MGNREGS, Prakasam District under 15th FC funds HM (1.52 lakhs) &amp; FW and APHSSP (1.78 lakhs).  The work was entrusted to Grama Panchayat, Baduguleru</t>
  </si>
  <si>
    <t xml:space="preserve">Door  of size 1.05  x 2.10mt </t>
  </si>
  <si>
    <t>Dt 12.06.2020 of the Executive Engineer, PRI  Division, Kandukur</t>
  </si>
  <si>
    <t>Grama Panchayat, Baduguleru</t>
  </si>
  <si>
    <t xml:space="preserve">Certificate that the proceeding claim is correct that the necessary measurements have been made by me on 200         and record on pages …………..  of 1198/B/ZP/18, 604/B/ZP/20 &amp; 111/A/ZP/22   of  and the work has been satisfactory performed </t>
  </si>
  <si>
    <t>Connected M.Book Nos: 1198/B/ZP/18, 604/B/ZP/20 &amp; 111/A/ZP/22</t>
  </si>
  <si>
    <t xml:space="preserve">                            I do here by release and discharge with the Executive Engineer, PRI Division, Kandukur all claims and demand what so ever arising out of the work or contracts with the contract vide commencement letter  Dt 12.06.2020 with full and final settlement of my all claims and demands of the work</t>
  </si>
  <si>
    <t>Three thousand only)</t>
  </si>
  <si>
    <t>Thirty six thousand and one hundred only)</t>
  </si>
  <si>
    <t>20.07.2020</t>
  </si>
  <si>
    <t>22.02.2021</t>
  </si>
  <si>
    <t>Qty.p.1 of M.B.No.111/A/ZP/22</t>
  </si>
  <si>
    <t>08.11.2023</t>
  </si>
  <si>
    <t>Qty.p.2 &amp; 3 of M.B.No.111/A/ZP/22</t>
  </si>
  <si>
    <t>Qty.p.8 &amp; 9 of M.B.No.111/A/ZP/22</t>
  </si>
  <si>
    <t>Qty.p.7 &amp; 8 of M.B.No.111/A/ZP/22</t>
  </si>
  <si>
    <t>Qty.p.4 of M.B.No.111/A/ZP/22</t>
  </si>
  <si>
    <t>Qty.p.5 of M.B.No.111/A/ZP/22</t>
  </si>
  <si>
    <t>Qty.p.6 &amp; 7 of M.B.No.111/A/ZP/22</t>
  </si>
  <si>
    <t>04.02.2021</t>
  </si>
  <si>
    <t>05.03.2021</t>
  </si>
  <si>
    <t>15.03.2021</t>
  </si>
  <si>
    <t>09.06.2021</t>
  </si>
  <si>
    <t>15.11.2023</t>
  </si>
  <si>
    <t>23.11.2023</t>
  </si>
  <si>
    <t>20.05.2021</t>
  </si>
  <si>
    <t>15.02.2021</t>
  </si>
  <si>
    <t>19.03.2021</t>
  </si>
  <si>
    <t>23.06.2021</t>
  </si>
  <si>
    <t>15.07.2022</t>
  </si>
  <si>
    <t>03.07.2022</t>
  </si>
  <si>
    <t>02.08.2022</t>
  </si>
  <si>
    <t>07.12.2023</t>
  </si>
  <si>
    <t>20.12.2023</t>
  </si>
  <si>
    <t>11.01.2024</t>
  </si>
  <si>
    <t>19.01.2024</t>
  </si>
</sst>
</file>

<file path=xl/styles.xml><?xml version="1.0" encoding="utf-8"?>
<styleSheet xmlns="http://schemas.openxmlformats.org/spreadsheetml/2006/main">
  <numFmts count="16">
    <numFmt numFmtId="7" formatCode="&quot;$&quot;#,##0.00_);\(&quot;$&quot;#,##0.00\)"/>
    <numFmt numFmtId="44" formatCode="_(&quot;$&quot;* #,##0.00_);_(&quot;$&quot;* \(#,##0.00\);_(&quot;$&quot;* &quot;-&quot;??_);_(@_)"/>
    <numFmt numFmtId="43" formatCode="_(* #,##0.00_);_(* \(#,##0.00\);_(* &quot;-&quot;??_);_(@_)"/>
    <numFmt numFmtId="164" formatCode="_ * #,##0_ ;_ * \-#,##0_ ;_ * &quot;-&quot;_ ;_ @_ "/>
    <numFmt numFmtId="165" formatCode="_ * #,##0.00_ ;_ * \-#,##0.00_ ;_ * &quot;-&quot;??_ ;_ @_ "/>
    <numFmt numFmtId="166" formatCode="0.000"/>
    <numFmt numFmtId="167" formatCode="0.0"/>
    <numFmt numFmtId="168" formatCode="0.0000"/>
    <numFmt numFmtId="169" formatCode="0.00;[Red]0.00"/>
    <numFmt numFmtId="170" formatCode="_-* #,##0_-;\-* #,##0_-;_-* &quot;-&quot;_-;_-@_-"/>
    <numFmt numFmtId="171" formatCode="0;[Red]0"/>
    <numFmt numFmtId="172" formatCode="#,##0.00;[Red]#,##0.00"/>
    <numFmt numFmtId="173" formatCode="0.000_)"/>
    <numFmt numFmtId="174" formatCode="_([$€-2]* #,##0.00_);_([$€-2]* \(#,##0.00\);_([$€-2]* &quot;-&quot;??_)"/>
    <numFmt numFmtId="175" formatCode="0.00_)"/>
    <numFmt numFmtId="176" formatCode="."/>
  </numFmts>
  <fonts count="189">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2"/>
      <name val="Arial"/>
      <family val="2"/>
    </font>
    <font>
      <b/>
      <sz val="10"/>
      <name val="Arial"/>
      <family val="2"/>
    </font>
    <font>
      <sz val="10"/>
      <name val="Arial"/>
      <family val="2"/>
    </font>
    <font>
      <sz val="8"/>
      <name val="Arial"/>
      <family val="2"/>
    </font>
    <font>
      <sz val="10"/>
      <color indexed="8"/>
      <name val="Arial"/>
      <family val="2"/>
    </font>
    <font>
      <sz val="10"/>
      <name val="MS Serif"/>
      <family val="1"/>
    </font>
    <font>
      <sz val="10"/>
      <color indexed="16"/>
      <name val="MS Serif"/>
      <family val="1"/>
    </font>
    <font>
      <sz val="8"/>
      <name val="Helv"/>
    </font>
    <font>
      <b/>
      <sz val="8"/>
      <color indexed="8"/>
      <name val="Helv"/>
    </font>
    <font>
      <sz val="9"/>
      <name val="Arial"/>
      <family val="2"/>
    </font>
    <font>
      <sz val="10"/>
      <name val="Arial"/>
      <family val="2"/>
    </font>
    <font>
      <b/>
      <sz val="9"/>
      <name val="Arial"/>
      <family val="2"/>
    </font>
    <font>
      <b/>
      <sz val="16"/>
      <name val="Arial"/>
      <family val="2"/>
    </font>
    <font>
      <b/>
      <sz val="10"/>
      <name val="Times New Roman"/>
      <family val="1"/>
    </font>
    <font>
      <b/>
      <sz val="9"/>
      <name val="Verdana"/>
      <family val="2"/>
    </font>
    <font>
      <sz val="7"/>
      <name val="Small Fonts"/>
      <family val="2"/>
    </font>
    <font>
      <b/>
      <sz val="12"/>
      <name val="MS Sans Serif"/>
      <family val="2"/>
    </font>
    <font>
      <sz val="12"/>
      <name val="MS Sans Serif"/>
      <family val="2"/>
    </font>
    <font>
      <u/>
      <sz val="12"/>
      <name val="Verdana"/>
      <family val="2"/>
    </font>
    <font>
      <sz val="11"/>
      <color indexed="8"/>
      <name val="Calibri"/>
      <family val="2"/>
    </font>
    <font>
      <sz val="12"/>
      <name val="Arial"/>
      <family val="2"/>
    </font>
    <font>
      <sz val="10"/>
      <name val="Times New Roman"/>
      <family val="1"/>
    </font>
    <font>
      <sz val="10"/>
      <name val="Arial"/>
      <family val="2"/>
    </font>
    <font>
      <sz val="11"/>
      <color indexed="9"/>
      <name val="Calibri"/>
      <family val="2"/>
    </font>
    <font>
      <b/>
      <sz val="11"/>
      <color indexed="8"/>
      <name val="Calibri"/>
      <family val="2"/>
    </font>
    <font>
      <b/>
      <sz val="18"/>
      <color indexed="62"/>
      <name val="Cambria"/>
      <family val="2"/>
    </font>
    <font>
      <b/>
      <sz val="11"/>
      <name val="Times New Roman"/>
      <family val="1"/>
    </font>
    <font>
      <sz val="11"/>
      <name val="Times New Roman"/>
      <family val="1"/>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sz val="11"/>
      <color indexed="10"/>
      <name val="Calibri"/>
      <family val="2"/>
    </font>
    <font>
      <u/>
      <sz val="11"/>
      <color indexed="12"/>
      <name val="Calibri"/>
      <family val="2"/>
    </font>
    <font>
      <sz val="11.5"/>
      <name val="Times New Roman"/>
      <family val="1"/>
    </font>
    <font>
      <sz val="10"/>
      <name val="Helv"/>
      <charset val="204"/>
    </font>
    <font>
      <sz val="11"/>
      <color theme="1"/>
      <name val="Calibri"/>
      <family val="2"/>
      <scheme val="minor"/>
    </font>
    <font>
      <b/>
      <sz val="11"/>
      <color rgb="FFFA7D00"/>
      <name val="Calibri"/>
      <family val="2"/>
      <scheme val="minor"/>
    </font>
    <font>
      <sz val="10"/>
      <name val="Webdings"/>
      <family val="1"/>
      <charset val="2"/>
    </font>
    <font>
      <u/>
      <sz val="16"/>
      <name val="Arial Black"/>
      <family val="2"/>
    </font>
    <font>
      <u/>
      <sz val="12"/>
      <name val="Century"/>
      <family val="1"/>
    </font>
    <font>
      <u/>
      <sz val="16"/>
      <name val="Century"/>
      <family val="1"/>
    </font>
    <font>
      <sz val="16"/>
      <name val="Century"/>
      <family val="1"/>
    </font>
    <font>
      <sz val="10"/>
      <name val="Century"/>
      <family val="1"/>
    </font>
    <font>
      <sz val="14"/>
      <name val="Century"/>
      <family val="1"/>
    </font>
    <font>
      <sz val="11"/>
      <name val="Century"/>
      <family val="1"/>
    </font>
    <font>
      <sz val="12"/>
      <name val="Century"/>
      <family val="1"/>
    </font>
    <font>
      <sz val="10"/>
      <name val="Wingdings"/>
      <charset val="2"/>
    </font>
    <font>
      <sz val="11"/>
      <color indexed="16"/>
      <name val="Calibri"/>
      <family val="2"/>
    </font>
    <font>
      <b/>
      <sz val="11"/>
      <color indexed="53"/>
      <name val="Calibri"/>
      <family val="2"/>
    </font>
    <font>
      <b/>
      <sz val="15"/>
      <color indexed="62"/>
      <name val="Calibri"/>
      <family val="2"/>
    </font>
    <font>
      <b/>
      <sz val="13"/>
      <color indexed="62"/>
      <name val="Calibri"/>
      <family val="2"/>
    </font>
    <font>
      <b/>
      <sz val="11"/>
      <color indexed="62"/>
      <name val="Calibri"/>
      <family val="2"/>
    </font>
    <font>
      <u/>
      <sz val="10"/>
      <color indexed="12"/>
      <name val="Arial"/>
      <family val="2"/>
    </font>
    <font>
      <u/>
      <sz val="11"/>
      <color indexed="12"/>
      <name val="Times New Roman"/>
      <family val="1"/>
    </font>
    <font>
      <u/>
      <sz val="10"/>
      <color theme="10"/>
      <name val="Arial"/>
      <family val="2"/>
    </font>
    <font>
      <sz val="11"/>
      <color indexed="53"/>
      <name val="Calibri"/>
      <family val="2"/>
    </font>
    <font>
      <b/>
      <sz val="12"/>
      <name val="Courier New"/>
      <family val="3"/>
    </font>
    <font>
      <sz val="10"/>
      <name val="Century Gothic"/>
      <family val="2"/>
    </font>
    <font>
      <sz val="10"/>
      <name val="Bradley Hand ITC"/>
      <family val="4"/>
    </font>
    <font>
      <sz val="10"/>
      <name val="Helv"/>
      <family val="2"/>
    </font>
    <font>
      <sz val="10"/>
      <name val="Helv"/>
    </font>
    <font>
      <sz val="10"/>
      <color theme="1"/>
      <name val="Arial"/>
      <family val="2"/>
    </font>
    <font>
      <u/>
      <sz val="14"/>
      <name val="Calibri"/>
      <family val="2"/>
      <scheme val="minor"/>
    </font>
    <font>
      <sz val="10"/>
      <name val="Calibri"/>
      <family val="2"/>
      <scheme val="minor"/>
    </font>
    <font>
      <sz val="12"/>
      <name val="Calibri"/>
      <family val="2"/>
      <scheme val="minor"/>
    </font>
    <font>
      <b/>
      <sz val="12"/>
      <name val="Calibri"/>
      <family val="2"/>
      <scheme val="minor"/>
    </font>
    <font>
      <sz val="9"/>
      <name val="Calibri"/>
      <family val="2"/>
      <scheme val="minor"/>
    </font>
    <font>
      <sz val="10"/>
      <name val="Calibri"/>
      <family val="2"/>
    </font>
    <font>
      <sz val="10"/>
      <color theme="1" tint="4.9989318521683403E-2"/>
      <name val="Calibri"/>
      <family val="2"/>
      <scheme val="minor"/>
    </font>
    <font>
      <sz val="11"/>
      <name val="Calibri"/>
      <family val="2"/>
      <scheme val="minor"/>
    </font>
    <font>
      <b/>
      <sz val="10"/>
      <name val="Calibri"/>
      <family val="2"/>
      <scheme val="minor"/>
    </font>
    <font>
      <sz val="10"/>
      <name val="Tahoma"/>
      <family val="2"/>
    </font>
    <font>
      <b/>
      <u/>
      <sz val="10"/>
      <name val="Calibri"/>
      <family val="2"/>
      <scheme val="minor"/>
    </font>
    <font>
      <sz val="8"/>
      <name val="Calibri"/>
      <family val="2"/>
      <scheme val="minor"/>
    </font>
    <font>
      <b/>
      <i/>
      <sz val="9"/>
      <name val="Calibri"/>
      <family val="2"/>
      <scheme val="minor"/>
    </font>
    <font>
      <b/>
      <sz val="8"/>
      <name val="Calibri"/>
      <family val="2"/>
      <scheme val="minor"/>
    </font>
    <font>
      <b/>
      <sz val="9"/>
      <name val="Calibri"/>
      <family val="2"/>
      <scheme val="minor"/>
    </font>
    <font>
      <sz val="9"/>
      <color indexed="8"/>
      <name val="Calibri"/>
      <family val="2"/>
      <scheme val="minor"/>
    </font>
    <font>
      <sz val="10"/>
      <color indexed="8"/>
      <name val="Calibri"/>
      <family val="2"/>
      <scheme val="minor"/>
    </font>
    <font>
      <sz val="7"/>
      <name val="Calibri"/>
      <family val="2"/>
      <scheme val="minor"/>
    </font>
    <font>
      <sz val="14"/>
      <name val="Calibri"/>
      <family val="2"/>
      <scheme val="minor"/>
    </font>
    <font>
      <sz val="8"/>
      <color theme="1"/>
      <name val="Calibri"/>
      <family val="2"/>
      <scheme val="minor"/>
    </font>
    <font>
      <b/>
      <sz val="8"/>
      <color theme="1"/>
      <name val="Calibri"/>
      <family val="2"/>
      <scheme val="minor"/>
    </font>
    <font>
      <b/>
      <sz val="8"/>
      <color indexed="8"/>
      <name val="Calibri"/>
      <family val="2"/>
      <scheme val="minor"/>
    </font>
    <font>
      <sz val="8"/>
      <color indexed="8"/>
      <name val="Calibri"/>
      <family val="2"/>
      <scheme val="minor"/>
    </font>
    <font>
      <sz val="10"/>
      <color theme="1"/>
      <name val="Calibri"/>
      <family val="2"/>
      <scheme val="minor"/>
    </font>
    <font>
      <b/>
      <sz val="16"/>
      <name val="Calibri"/>
      <family val="2"/>
      <scheme val="minor"/>
    </font>
    <font>
      <vertAlign val="superscript"/>
      <sz val="10"/>
      <name val="Calibri"/>
      <family val="2"/>
      <scheme val="minor"/>
    </font>
    <font>
      <b/>
      <sz val="14"/>
      <name val="Calibri"/>
      <family val="2"/>
      <scheme val="minor"/>
    </font>
    <font>
      <b/>
      <u/>
      <sz val="13"/>
      <name val="Calibri"/>
      <family val="2"/>
      <scheme val="minor"/>
    </font>
    <font>
      <sz val="13"/>
      <name val="Calibri"/>
      <family val="2"/>
      <scheme val="minor"/>
    </font>
    <font>
      <b/>
      <sz val="11"/>
      <name val="Calibri"/>
      <family val="2"/>
      <scheme val="minor"/>
    </font>
    <font>
      <b/>
      <i/>
      <u/>
      <sz val="16"/>
      <name val="Calibri"/>
      <family val="2"/>
    </font>
    <font>
      <i/>
      <sz val="10"/>
      <name val="Calibri"/>
      <family val="2"/>
    </font>
    <font>
      <b/>
      <i/>
      <sz val="12"/>
      <name val="Calibri"/>
      <family val="2"/>
    </font>
    <font>
      <i/>
      <sz val="12"/>
      <name val="Calibri"/>
      <family val="2"/>
    </font>
    <font>
      <b/>
      <i/>
      <u/>
      <sz val="12"/>
      <name val="Calibri"/>
      <family val="2"/>
    </font>
    <font>
      <i/>
      <sz val="12"/>
      <name val="Calibri"/>
      <family val="2"/>
      <scheme val="minor"/>
    </font>
    <font>
      <sz val="11"/>
      <name val="Calibri"/>
      <family val="2"/>
    </font>
    <font>
      <i/>
      <sz val="11"/>
      <name val="Calibri"/>
      <family val="2"/>
    </font>
    <font>
      <sz val="10"/>
      <color theme="0"/>
      <name val="Calibri"/>
      <family val="2"/>
      <scheme val="minor"/>
    </font>
    <font>
      <b/>
      <sz val="11"/>
      <color theme="1"/>
      <name val="Calibri"/>
      <family val="2"/>
      <scheme val="minor"/>
    </font>
    <font>
      <sz val="12"/>
      <name val="Calibri"/>
      <family val="2"/>
    </font>
    <font>
      <b/>
      <u/>
      <sz val="12"/>
      <name val="Aharoni"/>
      <charset val="177"/>
    </font>
    <font>
      <u/>
      <sz val="12"/>
      <name val="Aharoni"/>
      <charset val="177"/>
    </font>
    <font>
      <b/>
      <u/>
      <sz val="13"/>
      <name val="Calibri"/>
      <family val="2"/>
    </font>
    <font>
      <sz val="13"/>
      <name val="Calibri"/>
      <family val="2"/>
    </font>
    <font>
      <b/>
      <sz val="11"/>
      <name val="Calibri"/>
      <family val="2"/>
    </font>
    <font>
      <sz val="8"/>
      <name val="Calibri"/>
      <family val="2"/>
    </font>
    <font>
      <sz val="8"/>
      <name val="Tahoma"/>
      <family val="2"/>
    </font>
    <font>
      <b/>
      <sz val="10"/>
      <name val="Calibri"/>
      <family val="2"/>
    </font>
    <font>
      <b/>
      <sz val="13"/>
      <color theme="1"/>
      <name val="Calibri"/>
      <family val="2"/>
      <scheme val="minor"/>
    </font>
    <font>
      <b/>
      <sz val="9"/>
      <color theme="1"/>
      <name val="Calibri"/>
      <family val="2"/>
      <scheme val="minor"/>
    </font>
    <font>
      <b/>
      <u/>
      <sz val="11"/>
      <color theme="1"/>
      <name val="Calibri"/>
      <family val="2"/>
      <scheme val="minor"/>
    </font>
    <font>
      <sz val="10"/>
      <color theme="0"/>
      <name val="Aharoni"/>
      <charset val="177"/>
    </font>
    <font>
      <sz val="10"/>
      <name val="Aharoni"/>
      <charset val="177"/>
    </font>
    <font>
      <sz val="8"/>
      <color theme="0"/>
      <name val="Aharoni"/>
      <charset val="177"/>
    </font>
    <font>
      <sz val="8"/>
      <name val="Aharoni"/>
      <charset val="177"/>
    </font>
    <font>
      <sz val="6"/>
      <name val="Aharoni"/>
      <charset val="177"/>
    </font>
    <font>
      <b/>
      <sz val="10"/>
      <color theme="0"/>
      <name val="Calibri"/>
      <family val="2"/>
      <scheme val="minor"/>
    </font>
    <font>
      <b/>
      <sz val="8"/>
      <color theme="0"/>
      <name val="Calibri"/>
      <family val="2"/>
      <scheme val="minor"/>
    </font>
    <font>
      <sz val="10"/>
      <color rgb="FFFF0000"/>
      <name val="Calibri"/>
      <family val="2"/>
      <scheme val="minor"/>
    </font>
    <font>
      <u/>
      <sz val="10"/>
      <name val="Calibri"/>
      <family val="2"/>
      <scheme val="minor"/>
    </font>
    <font>
      <u/>
      <sz val="10"/>
      <color rgb="FFFF0000"/>
      <name val="Calibri"/>
      <family val="2"/>
      <scheme val="minor"/>
    </font>
    <font>
      <b/>
      <i/>
      <sz val="8"/>
      <name val="Calibri"/>
      <family val="2"/>
      <scheme val="minor"/>
    </font>
    <font>
      <b/>
      <u/>
      <sz val="14"/>
      <name val="Calibri"/>
      <family val="2"/>
      <scheme val="minor"/>
    </font>
    <font>
      <b/>
      <u/>
      <sz val="14"/>
      <name val="Calibri"/>
      <family val="2"/>
    </font>
    <font>
      <u/>
      <sz val="11"/>
      <name val="Calibri"/>
      <family val="2"/>
    </font>
    <font>
      <b/>
      <i/>
      <u/>
      <sz val="12"/>
      <name val="Calibri"/>
      <family val="2"/>
      <scheme val="minor"/>
    </font>
    <font>
      <b/>
      <i/>
      <sz val="11"/>
      <name val="Calibri"/>
      <family val="2"/>
      <scheme val="minor"/>
    </font>
    <font>
      <b/>
      <i/>
      <sz val="12"/>
      <name val="Calibri"/>
      <family val="2"/>
      <scheme val="minor"/>
    </font>
    <font>
      <b/>
      <i/>
      <u/>
      <sz val="11"/>
      <name val="Calibri"/>
      <family val="2"/>
      <scheme val="minor"/>
    </font>
    <font>
      <b/>
      <u/>
      <sz val="9"/>
      <color rgb="FFFF0000"/>
      <name val="Calibri"/>
      <family val="2"/>
      <scheme val="minor"/>
    </font>
    <font>
      <sz val="8.5"/>
      <name val="Calibri"/>
      <family val="2"/>
      <scheme val="minor"/>
    </font>
    <font>
      <i/>
      <sz val="9"/>
      <name val="Calibri"/>
      <family val="2"/>
      <scheme val="minor"/>
    </font>
    <font>
      <sz val="7"/>
      <name val="Arial"/>
      <family val="2"/>
    </font>
    <font>
      <i/>
      <sz val="10"/>
      <name val="Calibri"/>
      <family val="2"/>
      <scheme val="minor"/>
    </font>
    <font>
      <b/>
      <i/>
      <sz val="10"/>
      <name val="Calibri"/>
      <family val="2"/>
      <scheme val="minor"/>
    </font>
    <font>
      <b/>
      <u/>
      <sz val="12"/>
      <name val="Calibri"/>
      <family val="2"/>
      <scheme val="minor"/>
    </font>
    <font>
      <b/>
      <sz val="10"/>
      <color indexed="8"/>
      <name val="Calibri"/>
      <family val="2"/>
      <scheme val="minor"/>
    </font>
    <font>
      <b/>
      <sz val="10"/>
      <color theme="1"/>
      <name val="Calibri"/>
      <family val="2"/>
      <scheme val="minor"/>
    </font>
    <font>
      <sz val="18"/>
      <name val="Arial"/>
      <family val="2"/>
    </font>
    <font>
      <b/>
      <sz val="14"/>
      <name val="Arial"/>
      <family val="2"/>
    </font>
    <font>
      <sz val="11"/>
      <name val="Tahoma"/>
      <family val="2"/>
    </font>
    <font>
      <b/>
      <sz val="11"/>
      <name val="Tahoma"/>
      <family val="2"/>
    </font>
    <font>
      <b/>
      <i/>
      <sz val="11"/>
      <name val="Tahoma"/>
      <family val="2"/>
    </font>
    <font>
      <sz val="10"/>
      <name val="Arial Narrow"/>
      <family val="2"/>
    </font>
    <font>
      <sz val="10"/>
      <color rgb="FF000099"/>
      <name val="Tahoma"/>
      <family val="2"/>
    </font>
    <font>
      <sz val="10"/>
      <color rgb="FFFF0000"/>
      <name val="Arial Narrow"/>
      <family val="2"/>
    </font>
    <font>
      <sz val="8"/>
      <color theme="1" tint="4.9989318521683403E-2"/>
      <name val="Calibri"/>
      <family val="2"/>
      <scheme val="minor"/>
    </font>
    <font>
      <b/>
      <sz val="11"/>
      <color theme="0"/>
      <name val="Calibri"/>
      <family val="2"/>
      <scheme val="minor"/>
    </font>
    <font>
      <b/>
      <i/>
      <u/>
      <sz val="10"/>
      <color rgb="FFFF0000"/>
      <name val="Calibri"/>
      <family val="2"/>
      <scheme val="minor"/>
    </font>
    <font>
      <b/>
      <u/>
      <sz val="14"/>
      <name val="Aharoni"/>
      <charset val="177"/>
    </font>
    <font>
      <b/>
      <u/>
      <sz val="13"/>
      <color theme="1"/>
      <name val="Calibri"/>
      <family val="2"/>
      <scheme val="minor"/>
    </font>
    <font>
      <b/>
      <sz val="10"/>
      <color theme="1" tint="4.9989318521683403E-2"/>
      <name val="Calibri"/>
      <family val="2"/>
      <scheme val="minor"/>
    </font>
    <font>
      <sz val="10"/>
      <color rgb="FF000000"/>
      <name val="Times New Roman"/>
      <family val="1"/>
    </font>
    <font>
      <b/>
      <sz val="10"/>
      <color rgb="FFFF0000"/>
      <name val="Calibri"/>
      <family val="2"/>
      <scheme val="minor"/>
    </font>
    <font>
      <sz val="11"/>
      <color rgb="FFFF0000"/>
      <name val="Calibri"/>
      <family val="2"/>
      <scheme val="minor"/>
    </font>
  </fonts>
  <fills count="50">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31"/>
        <bgColor indexed="31"/>
      </patternFill>
    </fill>
    <fill>
      <patternFill patternType="solid">
        <fgColor indexed="44"/>
        <bgColor indexed="44"/>
      </patternFill>
    </fill>
    <fill>
      <patternFill patternType="solid">
        <fgColor indexed="10"/>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57"/>
      </patternFill>
    </fill>
    <fill>
      <patternFill patternType="solid">
        <fgColor indexed="42"/>
        <bgColor indexed="42"/>
      </patternFill>
    </fill>
    <fill>
      <patternFill patternType="solid">
        <fgColor indexed="27"/>
        <bgColor indexed="27"/>
      </patternFill>
    </fill>
    <fill>
      <patternFill patternType="solid">
        <fgColor indexed="53"/>
      </patternFill>
    </fill>
    <fill>
      <patternFill patternType="solid">
        <fgColor indexed="47"/>
        <bgColor indexed="47"/>
      </patternFill>
    </fill>
    <fill>
      <patternFill patternType="solid">
        <fgColor indexed="22"/>
      </patternFill>
    </fill>
    <fill>
      <patternFill patternType="solid">
        <fgColor indexed="55"/>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22"/>
        <bgColor indexed="64"/>
      </patternFill>
    </fill>
    <fill>
      <patternFill patternType="solid">
        <fgColor indexed="26"/>
        <bgColor indexed="64"/>
      </patternFill>
    </fill>
    <fill>
      <patternFill patternType="solid">
        <fgColor indexed="43"/>
      </patternFill>
    </fill>
    <fill>
      <patternFill patternType="solid">
        <fgColor indexed="26"/>
      </patternFill>
    </fill>
    <fill>
      <patternFill patternType="solid">
        <fgColor indexed="9"/>
        <bgColor indexed="9"/>
      </patternFill>
    </fill>
    <fill>
      <patternFill patternType="solid">
        <fgColor rgb="FFF2F2F2"/>
      </patternFill>
    </fill>
    <fill>
      <patternFill patternType="solid">
        <fgColor indexed="54"/>
        <bgColor indexed="54"/>
      </patternFill>
    </fill>
    <fill>
      <patternFill patternType="solid">
        <fgColor indexed="25"/>
        <bgColor indexed="25"/>
      </patternFill>
    </fill>
    <fill>
      <patternFill patternType="solid">
        <fgColor indexed="49"/>
        <bgColor indexed="49"/>
      </patternFill>
    </fill>
    <fill>
      <patternFill patternType="solid">
        <fgColor indexed="52"/>
        <bgColor indexed="52"/>
      </patternFill>
    </fill>
    <fill>
      <patternFill patternType="solid">
        <fgColor indexed="45"/>
        <bgColor indexed="45"/>
      </patternFill>
    </fill>
    <fill>
      <patternFill patternType="solid">
        <fgColor indexed="43"/>
        <bgColor indexed="43"/>
      </patternFill>
    </fill>
    <fill>
      <patternFill patternType="solid">
        <fgColor rgb="FFFFFF00"/>
        <bgColor indexed="64"/>
      </patternFill>
    </fill>
    <fill>
      <patternFill patternType="solid">
        <fgColor rgb="FF00B050"/>
        <bgColor indexed="64"/>
      </patternFill>
    </fill>
    <fill>
      <patternFill patternType="solid">
        <fgColor theme="0" tint="-0.249977111117893"/>
        <bgColor indexed="64"/>
      </patternFill>
    </fill>
    <fill>
      <patternFill patternType="solid">
        <fgColor theme="9" tint="-0.249977111117893"/>
        <bgColor indexed="64"/>
      </patternFill>
    </fill>
    <fill>
      <patternFill patternType="solid">
        <fgColor rgb="FF92D050"/>
        <bgColor indexed="64"/>
      </patternFill>
    </fill>
  </fills>
  <borders count="48">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style="medium">
        <color indexed="64"/>
      </top>
      <bottom style="medium">
        <color indexed="64"/>
      </bottom>
      <diagonal/>
    </border>
    <border>
      <left/>
      <right/>
      <top style="thin">
        <color indexed="64"/>
      </top>
      <bottom style="thin">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4"/>
      </left>
      <right style="thin">
        <color indexed="64"/>
      </right>
      <top style="thin">
        <color indexed="64"/>
      </top>
      <bottom style="thin">
        <color indexed="64"/>
      </bottom>
      <diagonal/>
    </border>
    <border>
      <left/>
      <right/>
      <top/>
      <bottom style="double">
        <color indexed="52"/>
      </bottom>
      <diagonal/>
    </border>
    <border>
      <left/>
      <right style="thin">
        <color indexed="64"/>
      </right>
      <top/>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bottom style="hair">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right/>
      <top style="thin">
        <color indexed="64"/>
      </top>
      <bottom style="double">
        <color indexed="64"/>
      </bottom>
      <diagonal/>
    </border>
    <border>
      <left style="hair">
        <color indexed="64"/>
      </left>
      <right/>
      <top/>
      <bottom style="hair">
        <color indexed="64"/>
      </bottom>
      <diagonal/>
    </border>
    <border>
      <left/>
      <right/>
      <top/>
      <bottom style="hair">
        <color indexed="64"/>
      </bottom>
      <diagonal/>
    </border>
    <border>
      <left style="thin">
        <color rgb="FF7F7F7F"/>
      </left>
      <right style="thin">
        <color rgb="FF7F7F7F"/>
      </right>
      <top style="thin">
        <color rgb="FF7F7F7F"/>
      </top>
      <bottom style="thin">
        <color rgb="FF7F7F7F"/>
      </bottom>
      <diagonal/>
    </border>
    <border>
      <left/>
      <right/>
      <top/>
      <bottom style="thick">
        <color indexed="54"/>
      </bottom>
      <diagonal/>
    </border>
    <border>
      <left/>
      <right/>
      <top/>
      <bottom style="medium">
        <color indexed="44"/>
      </bottom>
      <diagonal/>
    </border>
    <border>
      <left style="thin">
        <color indexed="64"/>
      </left>
      <right style="thin">
        <color indexed="64"/>
      </right>
      <top style="hair">
        <color indexed="64"/>
      </top>
      <bottom style="hair">
        <color indexed="64"/>
      </bottom>
      <diagonal/>
    </border>
    <border>
      <left/>
      <right/>
      <top style="thin">
        <color indexed="54"/>
      </top>
      <bottom style="double">
        <color indexed="5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right style="thick">
        <color auto="1"/>
      </right>
      <top/>
      <bottom/>
      <diagonal/>
    </border>
    <border>
      <left style="thick">
        <color auto="1"/>
      </left>
      <right style="thin">
        <color indexed="64"/>
      </right>
      <top style="thin">
        <color indexed="64"/>
      </top>
      <bottom style="thin">
        <color indexed="64"/>
      </bottom>
      <diagonal/>
    </border>
    <border>
      <left style="thin">
        <color indexed="64"/>
      </left>
      <right style="thick">
        <color auto="1"/>
      </right>
      <top style="thin">
        <color indexed="64"/>
      </top>
      <bottom style="thin">
        <color indexed="64"/>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
      <left style="thin">
        <color indexed="64"/>
      </left>
      <right/>
      <top/>
      <bottom/>
      <diagonal/>
    </border>
    <border>
      <left/>
      <right style="hair">
        <color indexed="64"/>
      </right>
      <top/>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hair">
        <color indexed="64"/>
      </left>
      <right style="hair">
        <color indexed="64"/>
      </right>
      <top/>
      <bottom/>
      <diagonal/>
    </border>
    <border>
      <left style="hair">
        <color indexed="64"/>
      </left>
      <right style="hair">
        <color indexed="64"/>
      </right>
      <top style="hair">
        <color indexed="64"/>
      </top>
      <bottom/>
      <diagonal/>
    </border>
  </borders>
  <cellStyleXfs count="1944">
    <xf numFmtId="0" fontId="0" fillId="0" borderId="0"/>
    <xf numFmtId="0" fontId="40" fillId="2" borderId="0" applyNumberFormat="0" applyBorder="0" applyAlignment="0" applyProtection="0"/>
    <xf numFmtId="0" fontId="40" fillId="3" borderId="0" applyNumberFormat="0" applyBorder="0" applyAlignment="0" applyProtection="0"/>
    <xf numFmtId="0" fontId="40" fillId="4" borderId="0" applyNumberFormat="0" applyBorder="0" applyAlignment="0" applyProtection="0"/>
    <xf numFmtId="0" fontId="40" fillId="5" borderId="0" applyNumberFormat="0" applyBorder="0" applyAlignment="0" applyProtection="0"/>
    <xf numFmtId="0" fontId="40" fillId="6" borderId="0" applyNumberFormat="0" applyBorder="0" applyAlignment="0" applyProtection="0"/>
    <xf numFmtId="0" fontId="40" fillId="7" borderId="0" applyNumberFormat="0" applyBorder="0" applyAlignment="0" applyProtection="0"/>
    <xf numFmtId="0" fontId="40" fillId="8" borderId="0" applyNumberFormat="0" applyBorder="0" applyAlignment="0" applyProtection="0"/>
    <xf numFmtId="0" fontId="40" fillId="9" borderId="0" applyNumberFormat="0" applyBorder="0" applyAlignment="0" applyProtection="0"/>
    <xf numFmtId="0" fontId="40" fillId="10" borderId="0" applyNumberFormat="0" applyBorder="0" applyAlignment="0" applyProtection="0"/>
    <xf numFmtId="0" fontId="40" fillId="5" borderId="0" applyNumberFormat="0" applyBorder="0" applyAlignment="0" applyProtection="0"/>
    <xf numFmtId="0" fontId="40" fillId="8" borderId="0" applyNumberFormat="0" applyBorder="0" applyAlignment="0" applyProtection="0"/>
    <xf numFmtId="0" fontId="40" fillId="11" borderId="0" applyNumberFormat="0" applyBorder="0" applyAlignment="0" applyProtection="0"/>
    <xf numFmtId="0" fontId="44" fillId="12" borderId="0" applyNumberFormat="0" applyBorder="0" applyAlignment="0" applyProtection="0"/>
    <xf numFmtId="0" fontId="44" fillId="9" borderId="0" applyNumberFormat="0" applyBorder="0" applyAlignment="0" applyProtection="0"/>
    <xf numFmtId="0" fontId="44" fillId="10" borderId="0" applyNumberFormat="0" applyBorder="0" applyAlignment="0" applyProtection="0"/>
    <xf numFmtId="0" fontId="44" fillId="13" borderId="0" applyNumberFormat="0" applyBorder="0" applyAlignment="0" applyProtection="0"/>
    <xf numFmtId="0" fontId="44" fillId="14" borderId="0" applyNumberFormat="0" applyBorder="0" applyAlignment="0" applyProtection="0"/>
    <xf numFmtId="0" fontId="44" fillId="15" borderId="0" applyNumberFormat="0" applyBorder="0" applyAlignment="0" applyProtection="0"/>
    <xf numFmtId="0" fontId="40" fillId="17" borderId="0" applyNumberFormat="0" applyBorder="0" applyAlignment="0" applyProtection="0"/>
    <xf numFmtId="0" fontId="40" fillId="17" borderId="0" applyNumberFormat="0" applyBorder="0" applyAlignment="0" applyProtection="0"/>
    <xf numFmtId="0" fontId="44" fillId="18" borderId="0" applyNumberFormat="0" applyBorder="0" applyAlignment="0" applyProtection="0"/>
    <xf numFmtId="0" fontId="44" fillId="16" borderId="0" applyNumberFormat="0" applyBorder="0" applyAlignment="0" applyProtection="0"/>
    <xf numFmtId="0" fontId="40" fillId="20" borderId="0" applyNumberFormat="0" applyBorder="0" applyAlignment="0" applyProtection="0"/>
    <xf numFmtId="0" fontId="40" fillId="21" borderId="0" applyNumberFormat="0" applyBorder="0" applyAlignment="0" applyProtection="0"/>
    <xf numFmtId="0" fontId="44" fillId="22" borderId="0" applyNumberFormat="0" applyBorder="0" applyAlignment="0" applyProtection="0"/>
    <xf numFmtId="0" fontId="44" fillId="19" borderId="0" applyNumberFormat="0" applyBorder="0" applyAlignment="0" applyProtection="0"/>
    <xf numFmtId="0" fontId="40" fillId="20" borderId="0" applyNumberFormat="0" applyBorder="0" applyAlignment="0" applyProtection="0"/>
    <xf numFmtId="0" fontId="40" fillId="24" borderId="0" applyNumberFormat="0" applyBorder="0" applyAlignment="0" applyProtection="0"/>
    <xf numFmtId="0" fontId="44" fillId="21" borderId="0" applyNumberFormat="0" applyBorder="0" applyAlignment="0" applyProtection="0"/>
    <xf numFmtId="0" fontId="44" fillId="23" borderId="0" applyNumberFormat="0" applyBorder="0" applyAlignment="0" applyProtection="0"/>
    <xf numFmtId="0" fontId="40" fillId="17" borderId="0" applyNumberFormat="0" applyBorder="0" applyAlignment="0" applyProtection="0"/>
    <xf numFmtId="0" fontId="40" fillId="21" borderId="0" applyNumberFormat="0" applyBorder="0" applyAlignment="0" applyProtection="0"/>
    <xf numFmtId="0" fontId="44" fillId="21" borderId="0" applyNumberFormat="0" applyBorder="0" applyAlignment="0" applyProtection="0"/>
    <xf numFmtId="0" fontId="44" fillId="13" borderId="0" applyNumberFormat="0" applyBorder="0" applyAlignment="0" applyProtection="0"/>
    <xf numFmtId="0" fontId="40" fillId="25" borderId="0" applyNumberFormat="0" applyBorder="0" applyAlignment="0" applyProtection="0"/>
    <xf numFmtId="0" fontId="40" fillId="17" borderId="0" applyNumberFormat="0" applyBorder="0" applyAlignment="0" applyProtection="0"/>
    <xf numFmtId="0" fontId="44" fillId="18" borderId="0" applyNumberFormat="0" applyBorder="0" applyAlignment="0" applyProtection="0"/>
    <xf numFmtId="0" fontId="44" fillId="14" borderId="0" applyNumberFormat="0" applyBorder="0" applyAlignment="0" applyProtection="0"/>
    <xf numFmtId="0" fontId="40" fillId="20" borderId="0" applyNumberFormat="0" applyBorder="0" applyAlignment="0" applyProtection="0"/>
    <xf numFmtId="0" fontId="40" fillId="27" borderId="0" applyNumberFormat="0" applyBorder="0" applyAlignment="0" applyProtection="0"/>
    <xf numFmtId="0" fontId="44" fillId="27" borderId="0" applyNumberFormat="0" applyBorder="0" applyAlignment="0" applyProtection="0"/>
    <xf numFmtId="0" fontId="44" fillId="26" borderId="0" applyNumberFormat="0" applyBorder="0" applyAlignment="0" applyProtection="0"/>
    <xf numFmtId="0" fontId="49" fillId="3" borderId="0" applyNumberFormat="0" applyBorder="0" applyAlignment="0" applyProtection="0"/>
    <xf numFmtId="0" fontId="25" fillId="0" borderId="0" applyFill="0" applyBorder="0" applyAlignment="0"/>
    <xf numFmtId="0" fontId="50" fillId="28" borderId="1" applyNumberFormat="0" applyAlignment="0" applyProtection="0"/>
    <xf numFmtId="0" fontId="51" fillId="29" borderId="2" applyNumberFormat="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171" fontId="42" fillId="0" borderId="0" applyFont="0" applyFill="0" applyBorder="0" applyAlignment="0" applyProtection="0"/>
    <xf numFmtId="43" fontId="23" fillId="0" borderId="0" applyFont="0" applyFill="0" applyBorder="0" applyAlignment="0" applyProtection="0"/>
    <xf numFmtId="7" fontId="42" fillId="0" borderId="0" applyFont="0" applyFill="0" applyBorder="0" applyAlignment="0" applyProtection="0"/>
    <xf numFmtId="169" fontId="42"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7" fontId="42" fillId="0" borderId="0" applyFont="0" applyFill="0" applyBorder="0" applyAlignment="0" applyProtection="0"/>
    <xf numFmtId="7" fontId="42" fillId="0" borderId="0" applyFont="0" applyFill="0" applyBorder="0" applyAlignment="0" applyProtection="0"/>
    <xf numFmtId="0" fontId="26" fillId="0" borderId="0" applyNumberFormat="0" applyAlignment="0">
      <alignment horizontal="left"/>
    </xf>
    <xf numFmtId="0" fontId="45" fillId="30" borderId="0" applyNumberFormat="0" applyBorder="0" applyAlignment="0" applyProtection="0"/>
    <xf numFmtId="0" fontId="45" fillId="31" borderId="0" applyNumberFormat="0" applyBorder="0" applyAlignment="0" applyProtection="0"/>
    <xf numFmtId="0" fontId="45" fillId="32" borderId="0" applyNumberFormat="0" applyBorder="0" applyAlignment="0" applyProtection="0"/>
    <xf numFmtId="0" fontId="27" fillId="0" borderId="0" applyNumberFormat="0" applyAlignment="0">
      <alignment horizontal="left"/>
    </xf>
    <xf numFmtId="0" fontId="52" fillId="0" borderId="0" applyNumberFormat="0" applyFill="0" applyBorder="0" applyAlignment="0" applyProtection="0"/>
    <xf numFmtId="2" fontId="23" fillId="0" borderId="0" applyFont="0" applyFill="0" applyBorder="0" applyAlignment="0" applyProtection="0"/>
    <xf numFmtId="1" fontId="31" fillId="0" borderId="0"/>
    <xf numFmtId="1" fontId="23" fillId="0" borderId="0"/>
    <xf numFmtId="1" fontId="23" fillId="0" borderId="0"/>
    <xf numFmtId="1" fontId="23" fillId="0" borderId="0"/>
    <xf numFmtId="0" fontId="53" fillId="4" borderId="0" applyNumberFormat="0" applyBorder="0" applyAlignment="0" applyProtection="0"/>
    <xf numFmtId="38" fontId="24" fillId="33" borderId="0" applyNumberFormat="0" applyBorder="0" applyAlignment="0" applyProtection="0"/>
    <xf numFmtId="0" fontId="21" fillId="0" borderId="3" applyNumberFormat="0" applyAlignment="0" applyProtection="0">
      <alignment horizontal="left" vertical="center"/>
    </xf>
    <xf numFmtId="0" fontId="21" fillId="0" borderId="4">
      <alignment horizontal="left" vertical="center"/>
    </xf>
    <xf numFmtId="0" fontId="54" fillId="0" borderId="5" applyNumberFormat="0" applyFill="0" applyAlignment="0" applyProtection="0"/>
    <xf numFmtId="0" fontId="55" fillId="0" borderId="6" applyNumberFormat="0" applyFill="0" applyAlignment="0" applyProtection="0"/>
    <xf numFmtId="0" fontId="56" fillId="0" borderId="7" applyNumberFormat="0" applyFill="0" applyAlignment="0" applyProtection="0"/>
    <xf numFmtId="0" fontId="56" fillId="0" borderId="0" applyNumberFormat="0" applyFill="0" applyBorder="0" applyAlignment="0" applyProtection="0"/>
    <xf numFmtId="0" fontId="63" fillId="0" borderId="0" applyNumberFormat="0" applyFill="0" applyBorder="0" applyAlignment="0" applyProtection="0">
      <alignment vertical="top"/>
      <protection locked="0"/>
    </xf>
    <xf numFmtId="10" fontId="24" fillId="34" borderId="8" applyNumberFormat="0" applyBorder="0" applyAlignment="0" applyProtection="0"/>
    <xf numFmtId="0" fontId="57" fillId="7" borderId="1" applyNumberFormat="0" applyAlignment="0" applyProtection="0"/>
    <xf numFmtId="0" fontId="58" fillId="0" borderId="9" applyNumberFormat="0" applyFill="0" applyAlignment="0" applyProtection="0"/>
    <xf numFmtId="0" fontId="33" fillId="0" borderId="0" applyProtection="0">
      <alignment horizontal="center" vertical="center"/>
    </xf>
    <xf numFmtId="167" fontId="34" fillId="0" borderId="10">
      <alignment horizontal="right"/>
    </xf>
    <xf numFmtId="167" fontId="34" fillId="0" borderId="10">
      <alignment horizontal="right"/>
    </xf>
    <xf numFmtId="167" fontId="34" fillId="0" borderId="10">
      <alignment horizontal="right"/>
    </xf>
    <xf numFmtId="0" fontId="35" fillId="0" borderId="8">
      <alignment wrapText="1"/>
    </xf>
    <xf numFmtId="0" fontId="59" fillId="35" borderId="0" applyNumberFormat="0" applyBorder="0" applyAlignment="0" applyProtection="0"/>
    <xf numFmtId="37" fontId="36" fillId="0" borderId="0"/>
    <xf numFmtId="0" fontId="20" fillId="0" borderId="0"/>
    <xf numFmtId="0" fontId="23" fillId="0" borderId="0"/>
    <xf numFmtId="0" fontId="23" fillId="0" borderId="0"/>
    <xf numFmtId="0" fontId="23" fillId="0" borderId="0"/>
    <xf numFmtId="0" fontId="43" fillId="0" borderId="0"/>
    <xf numFmtId="0" fontId="23" fillId="0" borderId="0"/>
    <xf numFmtId="0" fontId="23" fillId="0" borderId="0"/>
    <xf numFmtId="0" fontId="23" fillId="0" borderId="0"/>
    <xf numFmtId="0" fontId="23" fillId="0" borderId="0"/>
    <xf numFmtId="0" fontId="40" fillId="0" borderId="0"/>
    <xf numFmtId="0" fontId="23" fillId="0" borderId="0"/>
    <xf numFmtId="0" fontId="23" fillId="0" borderId="0"/>
    <xf numFmtId="0" fontId="23" fillId="0" borderId="0"/>
    <xf numFmtId="0" fontId="42" fillId="0" borderId="0"/>
    <xf numFmtId="0" fontId="42" fillId="0" borderId="0"/>
    <xf numFmtId="0" fontId="42" fillId="0" borderId="0"/>
    <xf numFmtId="0" fontId="23" fillId="0" borderId="0"/>
    <xf numFmtId="0" fontId="31" fillId="0" borderId="0"/>
    <xf numFmtId="0" fontId="4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40" fillId="0" borderId="0"/>
    <xf numFmtId="0" fontId="42" fillId="0" borderId="0"/>
    <xf numFmtId="0" fontId="6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1" fillId="0" borderId="0"/>
    <xf numFmtId="0" fontId="23" fillId="0" borderId="0"/>
    <xf numFmtId="0" fontId="23" fillId="0" borderId="0"/>
    <xf numFmtId="0" fontId="23" fillId="0" borderId="0"/>
    <xf numFmtId="0" fontId="66" fillId="0" borderId="0"/>
    <xf numFmtId="0" fontId="66" fillId="0" borderId="0"/>
    <xf numFmtId="0" fontId="42" fillId="0" borderId="0"/>
    <xf numFmtId="0" fontId="66" fillId="0" borderId="0"/>
    <xf numFmtId="0" fontId="23" fillId="36" borderId="11" applyNumberFormat="0" applyFont="0" applyAlignment="0" applyProtection="0"/>
    <xf numFmtId="0" fontId="60" fillId="28" borderId="12" applyNumberFormat="0" applyAlignment="0" applyProtection="0"/>
    <xf numFmtId="10" fontId="20" fillId="0" borderId="0" applyFont="0" applyFill="0" applyBorder="0" applyAlignment="0" applyProtection="0"/>
    <xf numFmtId="10" fontId="23" fillId="0" borderId="0" applyFont="0" applyFill="0" applyBorder="0" applyAlignment="0" applyProtection="0"/>
    <xf numFmtId="10" fontId="23" fillId="0" borderId="0" applyFont="0" applyFill="0" applyBorder="0" applyAlignment="0" applyProtection="0"/>
    <xf numFmtId="10" fontId="43"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3" fillId="0" borderId="0" applyFont="0" applyFill="0" applyBorder="0" applyAlignment="0" applyProtection="0"/>
    <xf numFmtId="9" fontId="42" fillId="0" borderId="0" applyFont="0" applyFill="0" applyBorder="0" applyAlignment="0" applyProtection="0"/>
    <xf numFmtId="9" fontId="66" fillId="0" borderId="0" applyFont="0" applyFill="0" applyBorder="0" applyAlignment="0" applyProtection="0"/>
    <xf numFmtId="9" fontId="42" fillId="0" borderId="0" applyFont="0" applyFill="0" applyBorder="0" applyAlignment="0" applyProtection="0"/>
    <xf numFmtId="14" fontId="28" fillId="0" borderId="0" applyNumberFormat="0" applyFill="0" applyBorder="0" applyAlignment="0" applyProtection="0">
      <alignment horizontal="left"/>
    </xf>
    <xf numFmtId="0" fontId="46" fillId="0" borderId="0" applyNumberFormat="0" applyFill="0" applyBorder="0" applyAlignment="0" applyProtection="0"/>
    <xf numFmtId="0" fontId="37" fillId="0" borderId="8">
      <alignment horizontal="center"/>
    </xf>
    <xf numFmtId="0" fontId="65" fillId="0" borderId="0"/>
    <xf numFmtId="0" fontId="37" fillId="0" borderId="8">
      <alignment horizontal="center"/>
    </xf>
    <xf numFmtId="0" fontId="37" fillId="0" borderId="0">
      <alignment horizontal="center" vertical="center"/>
    </xf>
    <xf numFmtId="0" fontId="38" fillId="37" borderId="0" applyNumberFormat="0" applyFill="0">
      <alignment horizontal="left" vertical="center"/>
    </xf>
    <xf numFmtId="0" fontId="39" fillId="0" borderId="8">
      <alignment horizontal="center" vertical="center" wrapText="1"/>
    </xf>
    <xf numFmtId="40" fontId="29" fillId="0" borderId="0" applyBorder="0">
      <alignment horizontal="right"/>
    </xf>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0" fontId="31" fillId="0" borderId="0"/>
    <xf numFmtId="0" fontId="23" fillId="0" borderId="0"/>
    <xf numFmtId="0" fontId="23" fillId="0" borderId="0"/>
    <xf numFmtId="0" fontId="23" fillId="0" borderId="0"/>
    <xf numFmtId="40" fontId="47" fillId="0" borderId="0"/>
    <xf numFmtId="0" fontId="61" fillId="0" borderId="0" applyNumberFormat="0" applyFill="0" applyBorder="0" applyAlignment="0" applyProtection="0"/>
    <xf numFmtId="0" fontId="45" fillId="0" borderId="13" applyNumberFormat="0" applyFill="0" applyAlignment="0" applyProtection="0"/>
    <xf numFmtId="0" fontId="23" fillId="0" borderId="14">
      <alignment horizontal="center"/>
    </xf>
    <xf numFmtId="0" fontId="62" fillId="0" borderId="0" applyNumberFormat="0" applyFill="0" applyBorder="0" applyAlignment="0" applyProtection="0"/>
    <xf numFmtId="0" fontId="42" fillId="0" borderId="0"/>
    <xf numFmtId="0" fontId="19" fillId="0" borderId="0"/>
    <xf numFmtId="0" fontId="48" fillId="0" borderId="0"/>
    <xf numFmtId="0" fontId="40" fillId="2" borderId="0" applyNumberFormat="0" applyBorder="0" applyAlignment="0" applyProtection="0"/>
    <xf numFmtId="0" fontId="40" fillId="2" borderId="0" applyNumberFormat="0" applyBorder="0" applyAlignment="0" applyProtection="0"/>
    <xf numFmtId="0" fontId="40" fillId="2" borderId="0" applyNumberFormat="0" applyBorder="0" applyAlignment="0" applyProtection="0"/>
    <xf numFmtId="0" fontId="40" fillId="2" borderId="0" applyNumberFormat="0" applyBorder="0" applyAlignment="0" applyProtection="0"/>
    <xf numFmtId="0" fontId="40" fillId="2" borderId="0" applyNumberFormat="0" applyBorder="0" applyAlignment="0" applyProtection="0"/>
    <xf numFmtId="0" fontId="40" fillId="2" borderId="0" applyNumberFormat="0" applyBorder="0" applyAlignment="0" applyProtection="0"/>
    <xf numFmtId="0" fontId="40" fillId="2" borderId="0" applyNumberFormat="0" applyBorder="0" applyAlignment="0" applyProtection="0"/>
    <xf numFmtId="0" fontId="40" fillId="2" borderId="0" applyNumberFormat="0" applyBorder="0" applyAlignment="0" applyProtection="0"/>
    <xf numFmtId="0" fontId="40" fillId="2" borderId="0" applyNumberFormat="0" applyBorder="0" applyAlignment="0" applyProtection="0"/>
    <xf numFmtId="0" fontId="40" fillId="3" borderId="0" applyNumberFormat="0" applyBorder="0" applyAlignment="0" applyProtection="0"/>
    <xf numFmtId="0" fontId="40" fillId="3" borderId="0" applyNumberFormat="0" applyBorder="0" applyAlignment="0" applyProtection="0"/>
    <xf numFmtId="0" fontId="40" fillId="3" borderId="0" applyNumberFormat="0" applyBorder="0" applyAlignment="0" applyProtection="0"/>
    <xf numFmtId="0" fontId="40" fillId="3" borderId="0" applyNumberFormat="0" applyBorder="0" applyAlignment="0" applyProtection="0"/>
    <xf numFmtId="0" fontId="40" fillId="3" borderId="0" applyNumberFormat="0" applyBorder="0" applyAlignment="0" applyProtection="0"/>
    <xf numFmtId="0" fontId="40" fillId="3" borderId="0" applyNumberFormat="0" applyBorder="0" applyAlignment="0" applyProtection="0"/>
    <xf numFmtId="0" fontId="40" fillId="3" borderId="0" applyNumberFormat="0" applyBorder="0" applyAlignment="0" applyProtection="0"/>
    <xf numFmtId="0" fontId="40" fillId="3" borderId="0" applyNumberFormat="0" applyBorder="0" applyAlignment="0" applyProtection="0"/>
    <xf numFmtId="0" fontId="40" fillId="3" borderId="0" applyNumberFormat="0" applyBorder="0" applyAlignment="0" applyProtection="0"/>
    <xf numFmtId="0" fontId="40" fillId="4" borderId="0" applyNumberFormat="0" applyBorder="0" applyAlignment="0" applyProtection="0"/>
    <xf numFmtId="0" fontId="40" fillId="4" borderId="0" applyNumberFormat="0" applyBorder="0" applyAlignment="0" applyProtection="0"/>
    <xf numFmtId="0" fontId="40" fillId="4" borderId="0" applyNumberFormat="0" applyBorder="0" applyAlignment="0" applyProtection="0"/>
    <xf numFmtId="0" fontId="40" fillId="4" borderId="0" applyNumberFormat="0" applyBorder="0" applyAlignment="0" applyProtection="0"/>
    <xf numFmtId="0" fontId="40" fillId="4" borderId="0" applyNumberFormat="0" applyBorder="0" applyAlignment="0" applyProtection="0"/>
    <xf numFmtId="0" fontId="40" fillId="4" borderId="0" applyNumberFormat="0" applyBorder="0" applyAlignment="0" applyProtection="0"/>
    <xf numFmtId="0" fontId="40" fillId="4" borderId="0" applyNumberFormat="0" applyBorder="0" applyAlignment="0" applyProtection="0"/>
    <xf numFmtId="0" fontId="40" fillId="4" borderId="0" applyNumberFormat="0" applyBorder="0" applyAlignment="0" applyProtection="0"/>
    <xf numFmtId="0" fontId="40" fillId="4" borderId="0" applyNumberFormat="0" applyBorder="0" applyAlignment="0" applyProtection="0"/>
    <xf numFmtId="0" fontId="40" fillId="5" borderId="0" applyNumberFormat="0" applyBorder="0" applyAlignment="0" applyProtection="0"/>
    <xf numFmtId="0" fontId="40" fillId="5" borderId="0" applyNumberFormat="0" applyBorder="0" applyAlignment="0" applyProtection="0"/>
    <xf numFmtId="0" fontId="40" fillId="5" borderId="0" applyNumberFormat="0" applyBorder="0" applyAlignment="0" applyProtection="0"/>
    <xf numFmtId="0" fontId="40" fillId="5" borderId="0" applyNumberFormat="0" applyBorder="0" applyAlignment="0" applyProtection="0"/>
    <xf numFmtId="0" fontId="40" fillId="5" borderId="0" applyNumberFormat="0" applyBorder="0" applyAlignment="0" applyProtection="0"/>
    <xf numFmtId="0" fontId="40" fillId="5" borderId="0" applyNumberFormat="0" applyBorder="0" applyAlignment="0" applyProtection="0"/>
    <xf numFmtId="0" fontId="40" fillId="5" borderId="0" applyNumberFormat="0" applyBorder="0" applyAlignment="0" applyProtection="0"/>
    <xf numFmtId="0" fontId="40" fillId="5" borderId="0" applyNumberFormat="0" applyBorder="0" applyAlignment="0" applyProtection="0"/>
    <xf numFmtId="0" fontId="40" fillId="5" borderId="0" applyNumberFormat="0" applyBorder="0" applyAlignment="0" applyProtection="0"/>
    <xf numFmtId="0" fontId="40" fillId="6" borderId="0" applyNumberFormat="0" applyBorder="0" applyAlignment="0" applyProtection="0"/>
    <xf numFmtId="0" fontId="40" fillId="6" borderId="0" applyNumberFormat="0" applyBorder="0" applyAlignment="0" applyProtection="0"/>
    <xf numFmtId="0" fontId="40" fillId="6" borderId="0" applyNumberFormat="0" applyBorder="0" applyAlignment="0" applyProtection="0"/>
    <xf numFmtId="0" fontId="40" fillId="6" borderId="0" applyNumberFormat="0" applyBorder="0" applyAlignment="0" applyProtection="0"/>
    <xf numFmtId="0" fontId="40" fillId="6" borderId="0" applyNumberFormat="0" applyBorder="0" applyAlignment="0" applyProtection="0"/>
    <xf numFmtId="0" fontId="40" fillId="6" borderId="0" applyNumberFormat="0" applyBorder="0" applyAlignment="0" applyProtection="0"/>
    <xf numFmtId="0" fontId="40" fillId="6" borderId="0" applyNumberFormat="0" applyBorder="0" applyAlignment="0" applyProtection="0"/>
    <xf numFmtId="0" fontId="40" fillId="6" borderId="0" applyNumberFormat="0" applyBorder="0" applyAlignment="0" applyProtection="0"/>
    <xf numFmtId="0" fontId="40" fillId="6" borderId="0" applyNumberFormat="0" applyBorder="0" applyAlignment="0" applyProtection="0"/>
    <xf numFmtId="0" fontId="40" fillId="7" borderId="0" applyNumberFormat="0" applyBorder="0" applyAlignment="0" applyProtection="0"/>
    <xf numFmtId="0" fontId="40" fillId="7" borderId="0" applyNumberFormat="0" applyBorder="0" applyAlignment="0" applyProtection="0"/>
    <xf numFmtId="0" fontId="40" fillId="7" borderId="0" applyNumberFormat="0" applyBorder="0" applyAlignment="0" applyProtection="0"/>
    <xf numFmtId="0" fontId="40" fillId="7" borderId="0" applyNumberFormat="0" applyBorder="0" applyAlignment="0" applyProtection="0"/>
    <xf numFmtId="0" fontId="40" fillId="7" borderId="0" applyNumberFormat="0" applyBorder="0" applyAlignment="0" applyProtection="0"/>
    <xf numFmtId="0" fontId="40" fillId="7" borderId="0" applyNumberFormat="0" applyBorder="0" applyAlignment="0" applyProtection="0"/>
    <xf numFmtId="0" fontId="40" fillId="7" borderId="0" applyNumberFormat="0" applyBorder="0" applyAlignment="0" applyProtection="0"/>
    <xf numFmtId="0" fontId="40" fillId="7" borderId="0" applyNumberFormat="0" applyBorder="0" applyAlignment="0" applyProtection="0"/>
    <xf numFmtId="0" fontId="40" fillId="7" borderId="0" applyNumberFormat="0" applyBorder="0" applyAlignment="0" applyProtection="0"/>
    <xf numFmtId="0" fontId="40" fillId="8" borderId="0" applyNumberFormat="0" applyBorder="0" applyAlignment="0" applyProtection="0"/>
    <xf numFmtId="0" fontId="40" fillId="8" borderId="0" applyNumberFormat="0" applyBorder="0" applyAlignment="0" applyProtection="0"/>
    <xf numFmtId="0" fontId="40" fillId="8" borderId="0" applyNumberFormat="0" applyBorder="0" applyAlignment="0" applyProtection="0"/>
    <xf numFmtId="0" fontId="40" fillId="8" borderId="0" applyNumberFormat="0" applyBorder="0" applyAlignment="0" applyProtection="0"/>
    <xf numFmtId="0" fontId="40" fillId="8" borderId="0" applyNumberFormat="0" applyBorder="0" applyAlignment="0" applyProtection="0"/>
    <xf numFmtId="0" fontId="40" fillId="8" borderId="0" applyNumberFormat="0" applyBorder="0" applyAlignment="0" applyProtection="0"/>
    <xf numFmtId="0" fontId="40" fillId="8" borderId="0" applyNumberFormat="0" applyBorder="0" applyAlignment="0" applyProtection="0"/>
    <xf numFmtId="0" fontId="40" fillId="8" borderId="0" applyNumberFormat="0" applyBorder="0" applyAlignment="0" applyProtection="0"/>
    <xf numFmtId="0" fontId="40" fillId="8" borderId="0" applyNumberFormat="0" applyBorder="0" applyAlignment="0" applyProtection="0"/>
    <xf numFmtId="0" fontId="40" fillId="9" borderId="0" applyNumberFormat="0" applyBorder="0" applyAlignment="0" applyProtection="0"/>
    <xf numFmtId="0" fontId="40" fillId="9" borderId="0" applyNumberFormat="0" applyBorder="0" applyAlignment="0" applyProtection="0"/>
    <xf numFmtId="0" fontId="40" fillId="9" borderId="0" applyNumberFormat="0" applyBorder="0" applyAlignment="0" applyProtection="0"/>
    <xf numFmtId="0" fontId="40" fillId="9" borderId="0" applyNumberFormat="0" applyBorder="0" applyAlignment="0" applyProtection="0"/>
    <xf numFmtId="0" fontId="40" fillId="9" borderId="0" applyNumberFormat="0" applyBorder="0" applyAlignment="0" applyProtection="0"/>
    <xf numFmtId="0" fontId="40" fillId="9" borderId="0" applyNumberFormat="0" applyBorder="0" applyAlignment="0" applyProtection="0"/>
    <xf numFmtId="0" fontId="40" fillId="9" borderId="0" applyNumberFormat="0" applyBorder="0" applyAlignment="0" applyProtection="0"/>
    <xf numFmtId="0" fontId="40" fillId="9" borderId="0" applyNumberFormat="0" applyBorder="0" applyAlignment="0" applyProtection="0"/>
    <xf numFmtId="0" fontId="40" fillId="9" borderId="0" applyNumberFormat="0" applyBorder="0" applyAlignment="0" applyProtection="0"/>
    <xf numFmtId="0" fontId="40" fillId="10" borderId="0" applyNumberFormat="0" applyBorder="0" applyAlignment="0" applyProtection="0"/>
    <xf numFmtId="0" fontId="40" fillId="10" borderId="0" applyNumberFormat="0" applyBorder="0" applyAlignment="0" applyProtection="0"/>
    <xf numFmtId="0" fontId="40" fillId="10" borderId="0" applyNumberFormat="0" applyBorder="0" applyAlignment="0" applyProtection="0"/>
    <xf numFmtId="0" fontId="40" fillId="10" borderId="0" applyNumberFormat="0" applyBorder="0" applyAlignment="0" applyProtection="0"/>
    <xf numFmtId="0" fontId="40" fillId="10" borderId="0" applyNumberFormat="0" applyBorder="0" applyAlignment="0" applyProtection="0"/>
    <xf numFmtId="0" fontId="40" fillId="10" borderId="0" applyNumberFormat="0" applyBorder="0" applyAlignment="0" applyProtection="0"/>
    <xf numFmtId="0" fontId="40" fillId="10" borderId="0" applyNumberFormat="0" applyBorder="0" applyAlignment="0" applyProtection="0"/>
    <xf numFmtId="0" fontId="40" fillId="10" borderId="0" applyNumberFormat="0" applyBorder="0" applyAlignment="0" applyProtection="0"/>
    <xf numFmtId="0" fontId="40" fillId="10" borderId="0" applyNumberFormat="0" applyBorder="0" applyAlignment="0" applyProtection="0"/>
    <xf numFmtId="0" fontId="40" fillId="5" borderId="0" applyNumberFormat="0" applyBorder="0" applyAlignment="0" applyProtection="0"/>
    <xf numFmtId="0" fontId="40" fillId="5" borderId="0" applyNumberFormat="0" applyBorder="0" applyAlignment="0" applyProtection="0"/>
    <xf numFmtId="0" fontId="40" fillId="5" borderId="0" applyNumberFormat="0" applyBorder="0" applyAlignment="0" applyProtection="0"/>
    <xf numFmtId="0" fontId="40" fillId="5" borderId="0" applyNumberFormat="0" applyBorder="0" applyAlignment="0" applyProtection="0"/>
    <xf numFmtId="0" fontId="40" fillId="5" borderId="0" applyNumberFormat="0" applyBorder="0" applyAlignment="0" applyProtection="0"/>
    <xf numFmtId="0" fontId="40" fillId="5" borderId="0" applyNumberFormat="0" applyBorder="0" applyAlignment="0" applyProtection="0"/>
    <xf numFmtId="0" fontId="40" fillId="5" borderId="0" applyNumberFormat="0" applyBorder="0" applyAlignment="0" applyProtection="0"/>
    <xf numFmtId="0" fontId="40" fillId="5" borderId="0" applyNumberFormat="0" applyBorder="0" applyAlignment="0" applyProtection="0"/>
    <xf numFmtId="0" fontId="40" fillId="5" borderId="0" applyNumberFormat="0" applyBorder="0" applyAlignment="0" applyProtection="0"/>
    <xf numFmtId="0" fontId="40" fillId="8" borderId="0" applyNumberFormat="0" applyBorder="0" applyAlignment="0" applyProtection="0"/>
    <xf numFmtId="0" fontId="40" fillId="8" borderId="0" applyNumberFormat="0" applyBorder="0" applyAlignment="0" applyProtection="0"/>
    <xf numFmtId="0" fontId="40" fillId="8" borderId="0" applyNumberFormat="0" applyBorder="0" applyAlignment="0" applyProtection="0"/>
    <xf numFmtId="0" fontId="40" fillId="8" borderId="0" applyNumberFormat="0" applyBorder="0" applyAlignment="0" applyProtection="0"/>
    <xf numFmtId="0" fontId="40" fillId="8" borderId="0" applyNumberFormat="0" applyBorder="0" applyAlignment="0" applyProtection="0"/>
    <xf numFmtId="0" fontId="40" fillId="8" borderId="0" applyNumberFormat="0" applyBorder="0" applyAlignment="0" applyProtection="0"/>
    <xf numFmtId="0" fontId="40" fillId="8" borderId="0" applyNumberFormat="0" applyBorder="0" applyAlignment="0" applyProtection="0"/>
    <xf numFmtId="0" fontId="40" fillId="8" borderId="0" applyNumberFormat="0" applyBorder="0" applyAlignment="0" applyProtection="0"/>
    <xf numFmtId="0" fontId="40" fillId="8" borderId="0" applyNumberFormat="0" applyBorder="0" applyAlignment="0" applyProtection="0"/>
    <xf numFmtId="0" fontId="40" fillId="11" borderId="0" applyNumberFormat="0" applyBorder="0" applyAlignment="0" applyProtection="0"/>
    <xf numFmtId="0" fontId="40" fillId="11" borderId="0" applyNumberFormat="0" applyBorder="0" applyAlignment="0" applyProtection="0"/>
    <xf numFmtId="0" fontId="40" fillId="11" borderId="0" applyNumberFormat="0" applyBorder="0" applyAlignment="0" applyProtection="0"/>
    <xf numFmtId="0" fontId="40" fillId="11" borderId="0" applyNumberFormat="0" applyBorder="0" applyAlignment="0" applyProtection="0"/>
    <xf numFmtId="0" fontId="40" fillId="11" borderId="0" applyNumberFormat="0" applyBorder="0" applyAlignment="0" applyProtection="0"/>
    <xf numFmtId="0" fontId="40" fillId="11" borderId="0" applyNumberFormat="0" applyBorder="0" applyAlignment="0" applyProtection="0"/>
    <xf numFmtId="0" fontId="40" fillId="11" borderId="0" applyNumberFormat="0" applyBorder="0" applyAlignment="0" applyProtection="0"/>
    <xf numFmtId="0" fontId="40" fillId="11" borderId="0" applyNumberFormat="0" applyBorder="0" applyAlignment="0" applyProtection="0"/>
    <xf numFmtId="0" fontId="40" fillId="11" borderId="0" applyNumberFormat="0" applyBorder="0" applyAlignment="0" applyProtection="0"/>
    <xf numFmtId="0" fontId="44" fillId="12" borderId="0" applyNumberFormat="0" applyBorder="0" applyAlignment="0" applyProtection="0"/>
    <xf numFmtId="0" fontId="44" fillId="12" borderId="0" applyNumberFormat="0" applyBorder="0" applyAlignment="0" applyProtection="0"/>
    <xf numFmtId="0" fontId="44" fillId="12" borderId="0" applyNumberFormat="0" applyBorder="0" applyAlignment="0" applyProtection="0"/>
    <xf numFmtId="0" fontId="44" fillId="12" borderId="0" applyNumberFormat="0" applyBorder="0" applyAlignment="0" applyProtection="0"/>
    <xf numFmtId="0" fontId="44" fillId="12" borderId="0" applyNumberFormat="0" applyBorder="0" applyAlignment="0" applyProtection="0"/>
    <xf numFmtId="0" fontId="44" fillId="12" borderId="0" applyNumberFormat="0" applyBorder="0" applyAlignment="0" applyProtection="0"/>
    <xf numFmtId="0" fontId="44" fillId="12" borderId="0" applyNumberFormat="0" applyBorder="0" applyAlignment="0" applyProtection="0"/>
    <xf numFmtId="0" fontId="44" fillId="12" borderId="0" applyNumberFormat="0" applyBorder="0" applyAlignment="0" applyProtection="0"/>
    <xf numFmtId="0" fontId="44" fillId="12" borderId="0" applyNumberFormat="0" applyBorder="0" applyAlignment="0" applyProtection="0"/>
    <xf numFmtId="0" fontId="44" fillId="9" borderId="0" applyNumberFormat="0" applyBorder="0" applyAlignment="0" applyProtection="0"/>
    <xf numFmtId="0" fontId="44" fillId="9" borderId="0" applyNumberFormat="0" applyBorder="0" applyAlignment="0" applyProtection="0"/>
    <xf numFmtId="0" fontId="44" fillId="9" borderId="0" applyNumberFormat="0" applyBorder="0" applyAlignment="0" applyProtection="0"/>
    <xf numFmtId="0" fontId="44" fillId="9" borderId="0" applyNumberFormat="0" applyBorder="0" applyAlignment="0" applyProtection="0"/>
    <xf numFmtId="0" fontId="44" fillId="9" borderId="0" applyNumberFormat="0" applyBorder="0" applyAlignment="0" applyProtection="0"/>
    <xf numFmtId="0" fontId="44" fillId="9" borderId="0" applyNumberFormat="0" applyBorder="0" applyAlignment="0" applyProtection="0"/>
    <xf numFmtId="0" fontId="44" fillId="9" borderId="0" applyNumberFormat="0" applyBorder="0" applyAlignment="0" applyProtection="0"/>
    <xf numFmtId="0" fontId="44" fillId="9" borderId="0" applyNumberFormat="0" applyBorder="0" applyAlignment="0" applyProtection="0"/>
    <xf numFmtId="0" fontId="44" fillId="9" borderId="0" applyNumberFormat="0" applyBorder="0" applyAlignment="0" applyProtection="0"/>
    <xf numFmtId="0" fontId="44" fillId="10" borderId="0" applyNumberFormat="0" applyBorder="0" applyAlignment="0" applyProtection="0"/>
    <xf numFmtId="0" fontId="44" fillId="10" borderId="0" applyNumberFormat="0" applyBorder="0" applyAlignment="0" applyProtection="0"/>
    <xf numFmtId="0" fontId="44" fillId="10" borderId="0" applyNumberFormat="0" applyBorder="0" applyAlignment="0" applyProtection="0"/>
    <xf numFmtId="0" fontId="44" fillId="10" borderId="0" applyNumberFormat="0" applyBorder="0" applyAlignment="0" applyProtection="0"/>
    <xf numFmtId="0" fontId="44" fillId="10" borderId="0" applyNumberFormat="0" applyBorder="0" applyAlignment="0" applyProtection="0"/>
    <xf numFmtId="0" fontId="44" fillId="10" borderId="0" applyNumberFormat="0" applyBorder="0" applyAlignment="0" applyProtection="0"/>
    <xf numFmtId="0" fontId="44" fillId="10" borderId="0" applyNumberFormat="0" applyBorder="0" applyAlignment="0" applyProtection="0"/>
    <xf numFmtId="0" fontId="44" fillId="10" borderId="0" applyNumberFormat="0" applyBorder="0" applyAlignment="0" applyProtection="0"/>
    <xf numFmtId="0" fontId="44" fillId="10" borderId="0" applyNumberFormat="0" applyBorder="0" applyAlignment="0" applyProtection="0"/>
    <xf numFmtId="0" fontId="44" fillId="13" borderId="0" applyNumberFormat="0" applyBorder="0" applyAlignment="0" applyProtection="0"/>
    <xf numFmtId="0" fontId="44" fillId="13" borderId="0" applyNumberFormat="0" applyBorder="0" applyAlignment="0" applyProtection="0"/>
    <xf numFmtId="0" fontId="44" fillId="13" borderId="0" applyNumberFormat="0" applyBorder="0" applyAlignment="0" applyProtection="0"/>
    <xf numFmtId="0" fontId="44" fillId="13" borderId="0" applyNumberFormat="0" applyBorder="0" applyAlignment="0" applyProtection="0"/>
    <xf numFmtId="0" fontId="44" fillId="13" borderId="0" applyNumberFormat="0" applyBorder="0" applyAlignment="0" applyProtection="0"/>
    <xf numFmtId="0" fontId="44" fillId="13" borderId="0" applyNumberFormat="0" applyBorder="0" applyAlignment="0" applyProtection="0"/>
    <xf numFmtId="0" fontId="44" fillId="13" borderId="0" applyNumberFormat="0" applyBorder="0" applyAlignment="0" applyProtection="0"/>
    <xf numFmtId="0" fontId="44" fillId="13" borderId="0" applyNumberFormat="0" applyBorder="0" applyAlignment="0" applyProtection="0"/>
    <xf numFmtId="0" fontId="44" fillId="13" borderId="0" applyNumberFormat="0" applyBorder="0" applyAlignment="0" applyProtection="0"/>
    <xf numFmtId="0" fontId="44" fillId="14" borderId="0" applyNumberFormat="0" applyBorder="0" applyAlignment="0" applyProtection="0"/>
    <xf numFmtId="0" fontId="44" fillId="14" borderId="0" applyNumberFormat="0" applyBorder="0" applyAlignment="0" applyProtection="0"/>
    <xf numFmtId="0" fontId="44" fillId="14" borderId="0" applyNumberFormat="0" applyBorder="0" applyAlignment="0" applyProtection="0"/>
    <xf numFmtId="0" fontId="44" fillId="14" borderId="0" applyNumberFormat="0" applyBorder="0" applyAlignment="0" applyProtection="0"/>
    <xf numFmtId="0" fontId="44" fillId="14" borderId="0" applyNumberFormat="0" applyBorder="0" applyAlignment="0" applyProtection="0"/>
    <xf numFmtId="0" fontId="44" fillId="14" borderId="0" applyNumberFormat="0" applyBorder="0" applyAlignment="0" applyProtection="0"/>
    <xf numFmtId="0" fontId="44" fillId="14" borderId="0" applyNumberFormat="0" applyBorder="0" applyAlignment="0" applyProtection="0"/>
    <xf numFmtId="0" fontId="44" fillId="14" borderId="0" applyNumberFormat="0" applyBorder="0" applyAlignment="0" applyProtection="0"/>
    <xf numFmtId="0" fontId="44" fillId="14" borderId="0" applyNumberFormat="0" applyBorder="0" applyAlignment="0" applyProtection="0"/>
    <xf numFmtId="0" fontId="44" fillId="15" borderId="0" applyNumberFormat="0" applyBorder="0" applyAlignment="0" applyProtection="0"/>
    <xf numFmtId="0" fontId="44" fillId="15" borderId="0" applyNumberFormat="0" applyBorder="0" applyAlignment="0" applyProtection="0"/>
    <xf numFmtId="0" fontId="44" fillId="15" borderId="0" applyNumberFormat="0" applyBorder="0" applyAlignment="0" applyProtection="0"/>
    <xf numFmtId="0" fontId="44" fillId="15" borderId="0" applyNumberFormat="0" applyBorder="0" applyAlignment="0" applyProtection="0"/>
    <xf numFmtId="0" fontId="44" fillId="15" borderId="0" applyNumberFormat="0" applyBorder="0" applyAlignment="0" applyProtection="0"/>
    <xf numFmtId="0" fontId="44" fillId="15" borderId="0" applyNumberFormat="0" applyBorder="0" applyAlignment="0" applyProtection="0"/>
    <xf numFmtId="0" fontId="44" fillId="15" borderId="0" applyNumberFormat="0" applyBorder="0" applyAlignment="0" applyProtection="0"/>
    <xf numFmtId="0" fontId="44" fillId="15" borderId="0" applyNumberFormat="0" applyBorder="0" applyAlignment="0" applyProtection="0"/>
    <xf numFmtId="0" fontId="44" fillId="15" borderId="0" applyNumberFormat="0" applyBorder="0" applyAlignment="0" applyProtection="0"/>
    <xf numFmtId="0" fontId="40" fillId="17" borderId="0" applyNumberFormat="0" applyBorder="0" applyAlignment="0" applyProtection="0"/>
    <xf numFmtId="0" fontId="40" fillId="17" borderId="0" applyNumberFormat="0" applyBorder="0" applyAlignment="0" applyProtection="0"/>
    <xf numFmtId="0" fontId="40" fillId="17" borderId="0" applyNumberFormat="0" applyBorder="0" applyAlignment="0" applyProtection="0"/>
    <xf numFmtId="0" fontId="40" fillId="17" borderId="0" applyNumberFormat="0" applyBorder="0" applyAlignment="0" applyProtection="0"/>
    <xf numFmtId="0" fontId="40" fillId="17" borderId="0" applyNumberFormat="0" applyBorder="0" applyAlignment="0" applyProtection="0"/>
    <xf numFmtId="0" fontId="40" fillId="17" borderId="0" applyNumberFormat="0" applyBorder="0" applyAlignment="0" applyProtection="0"/>
    <xf numFmtId="0" fontId="44" fillId="39" borderId="0" applyNumberFormat="0" applyBorder="0" applyAlignment="0" applyProtection="0"/>
    <xf numFmtId="0" fontId="44" fillId="39" borderId="0" applyNumberFormat="0" applyBorder="0" applyAlignment="0" applyProtection="0"/>
    <xf numFmtId="0" fontId="44" fillId="39" borderId="0" applyNumberFormat="0" applyBorder="0" applyAlignment="0" applyProtection="0"/>
    <xf numFmtId="0" fontId="44" fillId="39" borderId="0" applyNumberFormat="0" applyBorder="0" applyAlignment="0" applyProtection="0"/>
    <xf numFmtId="0" fontId="44" fillId="39" borderId="0" applyNumberFormat="0" applyBorder="0" applyAlignment="0" applyProtection="0"/>
    <xf numFmtId="0" fontId="44" fillId="39" borderId="0" applyNumberFormat="0" applyBorder="0" applyAlignment="0" applyProtection="0"/>
    <xf numFmtId="0" fontId="44" fillId="16" borderId="0" applyNumberFormat="0" applyBorder="0" applyAlignment="0" applyProtection="0"/>
    <xf numFmtId="0" fontId="44" fillId="39" borderId="0" applyNumberFormat="0" applyBorder="0" applyAlignment="0" applyProtection="0"/>
    <xf numFmtId="0" fontId="44" fillId="16" borderId="0" applyNumberFormat="0" applyBorder="0" applyAlignment="0" applyProtection="0"/>
    <xf numFmtId="0" fontId="44" fillId="16" borderId="0" applyNumberFormat="0" applyBorder="0" applyAlignment="0" applyProtection="0"/>
    <xf numFmtId="0" fontId="44" fillId="39" borderId="0" applyNumberFormat="0" applyBorder="0" applyAlignment="0" applyProtection="0"/>
    <xf numFmtId="0" fontId="44" fillId="39" borderId="0" applyNumberFormat="0" applyBorder="0" applyAlignment="0" applyProtection="0"/>
    <xf numFmtId="0" fontId="44" fillId="39" borderId="0" applyNumberFormat="0" applyBorder="0" applyAlignment="0" applyProtection="0"/>
    <xf numFmtId="0" fontId="44" fillId="39" borderId="0" applyNumberFormat="0" applyBorder="0" applyAlignment="0" applyProtection="0"/>
    <xf numFmtId="0" fontId="44" fillId="39" borderId="0" applyNumberFormat="0" applyBorder="0" applyAlignment="0" applyProtection="0"/>
    <xf numFmtId="0" fontId="44" fillId="39" borderId="0" applyNumberFormat="0" applyBorder="0" applyAlignment="0" applyProtection="0"/>
    <xf numFmtId="0" fontId="44" fillId="39" borderId="0" applyNumberFormat="0" applyBorder="0" applyAlignment="0" applyProtection="0"/>
    <xf numFmtId="0" fontId="40" fillId="20" borderId="0" applyNumberFormat="0" applyBorder="0" applyAlignment="0" applyProtection="0"/>
    <xf numFmtId="0" fontId="40" fillId="20" borderId="0" applyNumberFormat="0" applyBorder="0" applyAlignment="0" applyProtection="0"/>
    <xf numFmtId="0" fontId="40" fillId="20" borderId="0" applyNumberFormat="0" applyBorder="0" applyAlignment="0" applyProtection="0"/>
    <xf numFmtId="0" fontId="40" fillId="21" borderId="0" applyNumberFormat="0" applyBorder="0" applyAlignment="0" applyProtection="0"/>
    <xf numFmtId="0" fontId="40" fillId="21" borderId="0" applyNumberFormat="0" applyBorder="0" applyAlignment="0" applyProtection="0"/>
    <xf numFmtId="0" fontId="40" fillId="21"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19" borderId="0" applyNumberFormat="0" applyBorder="0" applyAlignment="0" applyProtection="0"/>
    <xf numFmtId="0" fontId="44" fillId="40" borderId="0" applyNumberFormat="0" applyBorder="0" applyAlignment="0" applyProtection="0"/>
    <xf numFmtId="0" fontId="44" fillId="19" borderId="0" applyNumberFormat="0" applyBorder="0" applyAlignment="0" applyProtection="0"/>
    <xf numFmtId="0" fontId="44" fillId="19"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0" fillId="20" borderId="0" applyNumberFormat="0" applyBorder="0" applyAlignment="0" applyProtection="0"/>
    <xf numFmtId="0" fontId="40" fillId="20" borderId="0" applyNumberFormat="0" applyBorder="0" applyAlignment="0" applyProtection="0"/>
    <xf numFmtId="0" fontId="40" fillId="20" borderId="0" applyNumberFormat="0" applyBorder="0" applyAlignment="0" applyProtection="0"/>
    <xf numFmtId="0" fontId="40" fillId="24" borderId="0" applyNumberFormat="0" applyBorder="0" applyAlignment="0" applyProtection="0"/>
    <xf numFmtId="0" fontId="40" fillId="24" borderId="0" applyNumberFormat="0" applyBorder="0" applyAlignment="0" applyProtection="0"/>
    <xf numFmtId="0" fontId="40" fillId="24" borderId="0" applyNumberFormat="0" applyBorder="0" applyAlignment="0" applyProtection="0"/>
    <xf numFmtId="0" fontId="44" fillId="22" borderId="0" applyNumberFormat="0" applyBorder="0" applyAlignment="0" applyProtection="0"/>
    <xf numFmtId="0" fontId="44" fillId="22" borderId="0" applyNumberFormat="0" applyBorder="0" applyAlignment="0" applyProtection="0"/>
    <xf numFmtId="0" fontId="44" fillId="22" borderId="0" applyNumberFormat="0" applyBorder="0" applyAlignment="0" applyProtection="0"/>
    <xf numFmtId="0" fontId="44" fillId="22" borderId="0" applyNumberFormat="0" applyBorder="0" applyAlignment="0" applyProtection="0"/>
    <xf numFmtId="0" fontId="44" fillId="22" borderId="0" applyNumberFormat="0" applyBorder="0" applyAlignment="0" applyProtection="0"/>
    <xf numFmtId="0" fontId="44" fillId="22" borderId="0" applyNumberFormat="0" applyBorder="0" applyAlignment="0" applyProtection="0"/>
    <xf numFmtId="0" fontId="44" fillId="23" borderId="0" applyNumberFormat="0" applyBorder="0" applyAlignment="0" applyProtection="0"/>
    <xf numFmtId="0" fontId="44" fillId="22" borderId="0" applyNumberFormat="0" applyBorder="0" applyAlignment="0" applyProtection="0"/>
    <xf numFmtId="0" fontId="44" fillId="23" borderId="0" applyNumberFormat="0" applyBorder="0" applyAlignment="0" applyProtection="0"/>
    <xf numFmtId="0" fontId="44" fillId="23" borderId="0" applyNumberFormat="0" applyBorder="0" applyAlignment="0" applyProtection="0"/>
    <xf numFmtId="0" fontId="44" fillId="22" borderId="0" applyNumberFormat="0" applyBorder="0" applyAlignment="0" applyProtection="0"/>
    <xf numFmtId="0" fontId="44" fillId="22" borderId="0" applyNumberFormat="0" applyBorder="0" applyAlignment="0" applyProtection="0"/>
    <xf numFmtId="0" fontId="44" fillId="22" borderId="0" applyNumberFormat="0" applyBorder="0" applyAlignment="0" applyProtection="0"/>
    <xf numFmtId="0" fontId="44" fillId="22" borderId="0" applyNumberFormat="0" applyBorder="0" applyAlignment="0" applyProtection="0"/>
    <xf numFmtId="0" fontId="44" fillId="22" borderId="0" applyNumberFormat="0" applyBorder="0" applyAlignment="0" applyProtection="0"/>
    <xf numFmtId="0" fontId="44" fillId="22" borderId="0" applyNumberFormat="0" applyBorder="0" applyAlignment="0" applyProtection="0"/>
    <xf numFmtId="0" fontId="44" fillId="22" borderId="0" applyNumberFormat="0" applyBorder="0" applyAlignment="0" applyProtection="0"/>
    <xf numFmtId="0" fontId="40" fillId="17" borderId="0" applyNumberFormat="0" applyBorder="0" applyAlignment="0" applyProtection="0"/>
    <xf numFmtId="0" fontId="40" fillId="17" borderId="0" applyNumberFormat="0" applyBorder="0" applyAlignment="0" applyProtection="0"/>
    <xf numFmtId="0" fontId="40" fillId="17" borderId="0" applyNumberFormat="0" applyBorder="0" applyAlignment="0" applyProtection="0"/>
    <xf numFmtId="0" fontId="40" fillId="21" borderId="0" applyNumberFormat="0" applyBorder="0" applyAlignment="0" applyProtection="0"/>
    <xf numFmtId="0" fontId="40" fillId="21" borderId="0" applyNumberFormat="0" applyBorder="0" applyAlignment="0" applyProtection="0"/>
    <xf numFmtId="0" fontId="40" fillId="21" borderId="0" applyNumberFormat="0" applyBorder="0" applyAlignment="0" applyProtection="0"/>
    <xf numFmtId="0" fontId="44" fillId="39" borderId="0" applyNumberFormat="0" applyBorder="0" applyAlignment="0" applyProtection="0"/>
    <xf numFmtId="0" fontId="44" fillId="39" borderId="0" applyNumberFormat="0" applyBorder="0" applyAlignment="0" applyProtection="0"/>
    <xf numFmtId="0" fontId="44" fillId="39" borderId="0" applyNumberFormat="0" applyBorder="0" applyAlignment="0" applyProtection="0"/>
    <xf numFmtId="0" fontId="44" fillId="39" borderId="0" applyNumberFormat="0" applyBorder="0" applyAlignment="0" applyProtection="0"/>
    <xf numFmtId="0" fontId="44" fillId="39" borderId="0" applyNumberFormat="0" applyBorder="0" applyAlignment="0" applyProtection="0"/>
    <xf numFmtId="0" fontId="44" fillId="39" borderId="0" applyNumberFormat="0" applyBorder="0" applyAlignment="0" applyProtection="0"/>
    <xf numFmtId="0" fontId="44" fillId="13" borderId="0" applyNumberFormat="0" applyBorder="0" applyAlignment="0" applyProtection="0"/>
    <xf numFmtId="0" fontId="44" fillId="39" borderId="0" applyNumberFormat="0" applyBorder="0" applyAlignment="0" applyProtection="0"/>
    <xf numFmtId="0" fontId="44" fillId="13" borderId="0" applyNumberFormat="0" applyBorder="0" applyAlignment="0" applyProtection="0"/>
    <xf numFmtId="0" fontId="44" fillId="13" borderId="0" applyNumberFormat="0" applyBorder="0" applyAlignment="0" applyProtection="0"/>
    <xf numFmtId="0" fontId="44" fillId="39" borderId="0" applyNumberFormat="0" applyBorder="0" applyAlignment="0" applyProtection="0"/>
    <xf numFmtId="0" fontId="44" fillId="39" borderId="0" applyNumberFormat="0" applyBorder="0" applyAlignment="0" applyProtection="0"/>
    <xf numFmtId="0" fontId="44" fillId="39" borderId="0" applyNumberFormat="0" applyBorder="0" applyAlignment="0" applyProtection="0"/>
    <xf numFmtId="0" fontId="44" fillId="39" borderId="0" applyNumberFormat="0" applyBorder="0" applyAlignment="0" applyProtection="0"/>
    <xf numFmtId="0" fontId="44" fillId="39" borderId="0" applyNumberFormat="0" applyBorder="0" applyAlignment="0" applyProtection="0"/>
    <xf numFmtId="0" fontId="44" fillId="39" borderId="0" applyNumberFormat="0" applyBorder="0" applyAlignment="0" applyProtection="0"/>
    <xf numFmtId="0" fontId="44" fillId="39" borderId="0" applyNumberFormat="0" applyBorder="0" applyAlignment="0" applyProtection="0"/>
    <xf numFmtId="0" fontId="40" fillId="25" borderId="0" applyNumberFormat="0" applyBorder="0" applyAlignment="0" applyProtection="0"/>
    <xf numFmtId="0" fontId="40" fillId="25" borderId="0" applyNumberFormat="0" applyBorder="0" applyAlignment="0" applyProtection="0"/>
    <xf numFmtId="0" fontId="40" fillId="25" borderId="0" applyNumberFormat="0" applyBorder="0" applyAlignment="0" applyProtection="0"/>
    <xf numFmtId="0" fontId="40" fillId="17" borderId="0" applyNumberFormat="0" applyBorder="0" applyAlignment="0" applyProtection="0"/>
    <xf numFmtId="0" fontId="40" fillId="17" borderId="0" applyNumberFormat="0" applyBorder="0" applyAlignment="0" applyProtection="0"/>
    <xf numFmtId="0" fontId="40" fillId="17" borderId="0" applyNumberFormat="0" applyBorder="0" applyAlignment="0" applyProtection="0"/>
    <xf numFmtId="0" fontId="44" fillId="41" borderId="0" applyNumberFormat="0" applyBorder="0" applyAlignment="0" applyProtection="0"/>
    <xf numFmtId="0" fontId="44" fillId="41" borderId="0" applyNumberFormat="0" applyBorder="0" applyAlignment="0" applyProtection="0"/>
    <xf numFmtId="0" fontId="44" fillId="41" borderId="0" applyNumberFormat="0" applyBorder="0" applyAlignment="0" applyProtection="0"/>
    <xf numFmtId="0" fontId="44" fillId="41" borderId="0" applyNumberFormat="0" applyBorder="0" applyAlignment="0" applyProtection="0"/>
    <xf numFmtId="0" fontId="44" fillId="41" borderId="0" applyNumberFormat="0" applyBorder="0" applyAlignment="0" applyProtection="0"/>
    <xf numFmtId="0" fontId="44" fillId="41" borderId="0" applyNumberFormat="0" applyBorder="0" applyAlignment="0" applyProtection="0"/>
    <xf numFmtId="0" fontId="44" fillId="14" borderId="0" applyNumberFormat="0" applyBorder="0" applyAlignment="0" applyProtection="0"/>
    <xf numFmtId="0" fontId="44" fillId="41" borderId="0" applyNumberFormat="0" applyBorder="0" applyAlignment="0" applyProtection="0"/>
    <xf numFmtId="0" fontId="44" fillId="14" borderId="0" applyNumberFormat="0" applyBorder="0" applyAlignment="0" applyProtection="0"/>
    <xf numFmtId="0" fontId="44" fillId="14" borderId="0" applyNumberFormat="0" applyBorder="0" applyAlignment="0" applyProtection="0"/>
    <xf numFmtId="0" fontId="44" fillId="41" borderId="0" applyNumberFormat="0" applyBorder="0" applyAlignment="0" applyProtection="0"/>
    <xf numFmtId="0" fontId="44" fillId="41" borderId="0" applyNumberFormat="0" applyBorder="0" applyAlignment="0" applyProtection="0"/>
    <xf numFmtId="0" fontId="44" fillId="41" borderId="0" applyNumberFormat="0" applyBorder="0" applyAlignment="0" applyProtection="0"/>
    <xf numFmtId="0" fontId="44" fillId="41" borderId="0" applyNumberFormat="0" applyBorder="0" applyAlignment="0" applyProtection="0"/>
    <xf numFmtId="0" fontId="44" fillId="41" borderId="0" applyNumberFormat="0" applyBorder="0" applyAlignment="0" applyProtection="0"/>
    <xf numFmtId="0" fontId="44" fillId="41" borderId="0" applyNumberFormat="0" applyBorder="0" applyAlignment="0" applyProtection="0"/>
    <xf numFmtId="0" fontId="44" fillId="41" borderId="0" applyNumberFormat="0" applyBorder="0" applyAlignment="0" applyProtection="0"/>
    <xf numFmtId="0" fontId="40" fillId="20" borderId="0" applyNumberFormat="0" applyBorder="0" applyAlignment="0" applyProtection="0"/>
    <xf numFmtId="0" fontId="40" fillId="20" borderId="0" applyNumberFormat="0" applyBorder="0" applyAlignment="0" applyProtection="0"/>
    <xf numFmtId="0" fontId="40" fillId="20" borderId="0" applyNumberFormat="0" applyBorder="0" applyAlignment="0" applyProtection="0"/>
    <xf numFmtId="0" fontId="40" fillId="27" borderId="0" applyNumberFormat="0" applyBorder="0" applyAlignment="0" applyProtection="0"/>
    <xf numFmtId="0" fontId="40" fillId="27" borderId="0" applyNumberFormat="0" applyBorder="0" applyAlignment="0" applyProtection="0"/>
    <xf numFmtId="0" fontId="40" fillId="27"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26" borderId="0" applyNumberFormat="0" applyBorder="0" applyAlignment="0" applyProtection="0"/>
    <xf numFmtId="0" fontId="44" fillId="42" borderId="0" applyNumberFormat="0" applyBorder="0" applyAlignment="0" applyProtection="0"/>
    <xf numFmtId="0" fontId="44" fillId="26" borderId="0" applyNumberFormat="0" applyBorder="0" applyAlignment="0" applyProtection="0"/>
    <xf numFmtId="0" fontId="44" fillId="26"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78" fillId="43" borderId="0" applyNumberFormat="0" applyBorder="0" applyAlignment="0" applyProtection="0"/>
    <xf numFmtId="0" fontId="78" fillId="43" borderId="0" applyNumberFormat="0" applyBorder="0" applyAlignment="0" applyProtection="0"/>
    <xf numFmtId="0" fontId="78" fillId="43" borderId="0" applyNumberFormat="0" applyBorder="0" applyAlignment="0" applyProtection="0"/>
    <xf numFmtId="0" fontId="78" fillId="43" borderId="0" applyNumberFormat="0" applyBorder="0" applyAlignment="0" applyProtection="0"/>
    <xf numFmtId="0" fontId="78" fillId="43" borderId="0" applyNumberFormat="0" applyBorder="0" applyAlignment="0" applyProtection="0"/>
    <xf numFmtId="0" fontId="78" fillId="43" borderId="0" applyNumberFormat="0" applyBorder="0" applyAlignment="0" applyProtection="0"/>
    <xf numFmtId="0" fontId="49" fillId="3" borderId="0" applyNumberFormat="0" applyBorder="0" applyAlignment="0" applyProtection="0"/>
    <xf numFmtId="0" fontId="78" fillId="4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78" fillId="43" borderId="0" applyNumberFormat="0" applyBorder="0" applyAlignment="0" applyProtection="0"/>
    <xf numFmtId="0" fontId="78" fillId="43" borderId="0" applyNumberFormat="0" applyBorder="0" applyAlignment="0" applyProtection="0"/>
    <xf numFmtId="0" fontId="78" fillId="43" borderId="0" applyNumberFormat="0" applyBorder="0" applyAlignment="0" applyProtection="0"/>
    <xf numFmtId="0" fontId="78" fillId="43" borderId="0" applyNumberFormat="0" applyBorder="0" applyAlignment="0" applyProtection="0"/>
    <xf numFmtId="0" fontId="78" fillId="43" borderId="0" applyNumberFormat="0" applyBorder="0" applyAlignment="0" applyProtection="0"/>
    <xf numFmtId="0" fontId="78" fillId="43" borderId="0" applyNumberFormat="0" applyBorder="0" applyAlignment="0" applyProtection="0"/>
    <xf numFmtId="0" fontId="78" fillId="43" borderId="0" applyNumberFormat="0" applyBorder="0" applyAlignment="0" applyProtection="0"/>
    <xf numFmtId="0" fontId="23" fillId="0" borderId="0"/>
    <xf numFmtId="0" fontId="79" fillId="37" borderId="1" applyNumberFormat="0" applyAlignment="0" applyProtection="0"/>
    <xf numFmtId="0" fontId="79" fillId="37" borderId="1" applyNumberFormat="0" applyAlignment="0" applyProtection="0"/>
    <xf numFmtId="0" fontId="79" fillId="37" borderId="1" applyNumberFormat="0" applyAlignment="0" applyProtection="0"/>
    <xf numFmtId="0" fontId="79" fillId="37" borderId="1" applyNumberFormat="0" applyAlignment="0" applyProtection="0"/>
    <xf numFmtId="0" fontId="79" fillId="37" borderId="1" applyNumberFormat="0" applyAlignment="0" applyProtection="0"/>
    <xf numFmtId="0" fontId="79" fillId="37" borderId="1" applyNumberFormat="0" applyAlignment="0" applyProtection="0"/>
    <xf numFmtId="0" fontId="50" fillId="28" borderId="1" applyNumberFormat="0" applyAlignment="0" applyProtection="0"/>
    <xf numFmtId="0" fontId="79" fillId="37" borderId="1" applyNumberFormat="0" applyAlignment="0" applyProtection="0"/>
    <xf numFmtId="0" fontId="50" fillId="28" borderId="1" applyNumberFormat="0" applyAlignment="0" applyProtection="0"/>
    <xf numFmtId="0" fontId="67" fillId="38" borderId="23" applyNumberFormat="0" applyAlignment="0" applyProtection="0"/>
    <xf numFmtId="0" fontId="50" fillId="28" borderId="1" applyNumberFormat="0" applyAlignment="0" applyProtection="0"/>
    <xf numFmtId="0" fontId="79" fillId="37" borderId="1" applyNumberFormat="0" applyAlignment="0" applyProtection="0"/>
    <xf numFmtId="0" fontId="79" fillId="37" borderId="1" applyNumberFormat="0" applyAlignment="0" applyProtection="0"/>
    <xf numFmtId="0" fontId="79" fillId="37" borderId="1" applyNumberFormat="0" applyAlignment="0" applyProtection="0"/>
    <xf numFmtId="0" fontId="79" fillId="37" borderId="1" applyNumberFormat="0" applyAlignment="0" applyProtection="0"/>
    <xf numFmtId="0" fontId="79" fillId="37" borderId="1" applyNumberFormat="0" applyAlignment="0" applyProtection="0"/>
    <xf numFmtId="0" fontId="79" fillId="37" borderId="1" applyNumberFormat="0" applyAlignment="0" applyProtection="0"/>
    <xf numFmtId="0" fontId="79" fillId="37" borderId="1" applyNumberFormat="0" applyAlignment="0" applyProtection="0"/>
    <xf numFmtId="0" fontId="51" fillId="22" borderId="2" applyNumberFormat="0" applyAlignment="0" applyProtection="0"/>
    <xf numFmtId="0" fontId="51" fillId="22" borderId="2" applyNumberFormat="0" applyAlignment="0" applyProtection="0"/>
    <xf numFmtId="0" fontId="51" fillId="22" borderId="2" applyNumberFormat="0" applyAlignment="0" applyProtection="0"/>
    <xf numFmtId="0" fontId="51" fillId="22" borderId="2" applyNumberFormat="0" applyAlignment="0" applyProtection="0"/>
    <xf numFmtId="0" fontId="51" fillId="22" borderId="2" applyNumberFormat="0" applyAlignment="0" applyProtection="0"/>
    <xf numFmtId="0" fontId="51" fillId="22" borderId="2" applyNumberFormat="0" applyAlignment="0" applyProtection="0"/>
    <xf numFmtId="0" fontId="51" fillId="29" borderId="2" applyNumberFormat="0" applyAlignment="0" applyProtection="0"/>
    <xf numFmtId="0" fontId="51" fillId="22" borderId="2" applyNumberFormat="0" applyAlignment="0" applyProtection="0"/>
    <xf numFmtId="0" fontId="51" fillId="29" borderId="2" applyNumberFormat="0" applyAlignment="0" applyProtection="0"/>
    <xf numFmtId="0" fontId="51" fillId="29" borderId="2" applyNumberFormat="0" applyAlignment="0" applyProtection="0"/>
    <xf numFmtId="0" fontId="51" fillId="22" borderId="2" applyNumberFormat="0" applyAlignment="0" applyProtection="0"/>
    <xf numFmtId="0" fontId="51" fillId="22" borderId="2" applyNumberFormat="0" applyAlignment="0" applyProtection="0"/>
    <xf numFmtId="0" fontId="51" fillId="22" borderId="2" applyNumberFormat="0" applyAlignment="0" applyProtection="0"/>
    <xf numFmtId="0" fontId="51" fillId="22" borderId="2" applyNumberFormat="0" applyAlignment="0" applyProtection="0"/>
    <xf numFmtId="0" fontId="51" fillId="22" borderId="2" applyNumberFormat="0" applyAlignment="0" applyProtection="0"/>
    <xf numFmtId="0" fontId="51" fillId="22" borderId="2" applyNumberFormat="0" applyAlignment="0" applyProtection="0"/>
    <xf numFmtId="0" fontId="51" fillId="22" borderId="2" applyNumberFormat="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applyFont="0" applyFill="0" applyBorder="0" applyAlignment="0" applyProtection="0"/>
    <xf numFmtId="171" fontId="42" fillId="0" borderId="0" applyFont="0" applyFill="0" applyBorder="0" applyAlignment="0" applyProtection="0"/>
    <xf numFmtId="171" fontId="42" fillId="0" borderId="0" applyFont="0" applyFill="0" applyBorder="0" applyAlignment="0" applyProtection="0"/>
    <xf numFmtId="171" fontId="42" fillId="0" borderId="0" applyFont="0" applyFill="0" applyBorder="0" applyAlignment="0" applyProtection="0"/>
    <xf numFmtId="43" fontId="48" fillId="0" borderId="0" applyFont="0" applyFill="0" applyBorder="0" applyAlignment="0" applyProtection="0"/>
    <xf numFmtId="171" fontId="42" fillId="0" borderId="0" applyFont="0" applyFill="0" applyBorder="0" applyAlignment="0" applyProtection="0"/>
    <xf numFmtId="171" fontId="42" fillId="0" borderId="0" applyFont="0" applyFill="0" applyBorder="0" applyAlignment="0" applyProtection="0"/>
    <xf numFmtId="171" fontId="42" fillId="0" borderId="0" applyFont="0" applyFill="0" applyBorder="0" applyAlignment="0" applyProtection="0"/>
    <xf numFmtId="171" fontId="42" fillId="0" borderId="0" applyFont="0" applyFill="0" applyBorder="0" applyAlignment="0" applyProtection="0"/>
    <xf numFmtId="171" fontId="42" fillId="0" borderId="0" applyFont="0" applyFill="0" applyBorder="0" applyAlignment="0" applyProtection="0"/>
    <xf numFmtId="171" fontId="42" fillId="0" borderId="0" applyFont="0" applyFill="0" applyBorder="0" applyAlignment="0" applyProtection="0"/>
    <xf numFmtId="171" fontId="42" fillId="0" borderId="0" applyFont="0" applyFill="0" applyBorder="0" applyAlignment="0" applyProtection="0"/>
    <xf numFmtId="43" fontId="40"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43" fontId="48" fillId="0" borderId="0" applyFont="0" applyFill="0" applyBorder="0" applyAlignment="0" applyProtection="0"/>
    <xf numFmtId="43" fontId="40" fillId="0" borderId="0" applyFont="0" applyFill="0" applyBorder="0" applyAlignment="0" applyProtection="0"/>
    <xf numFmtId="43" fontId="48"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173" fontId="23" fillId="0" borderId="0" applyFont="0" applyFill="0" applyBorder="0" applyAlignment="0" applyProtection="0"/>
    <xf numFmtId="43" fontId="48" fillId="0" borderId="0" applyFont="0" applyFill="0" applyBorder="0" applyAlignment="0" applyProtection="0"/>
    <xf numFmtId="167" fontId="42" fillId="0" borderId="0" applyFont="0" applyFill="0" applyBorder="0" applyAlignment="0" applyProtection="0"/>
    <xf numFmtId="166" fontId="23" fillId="0" borderId="0" applyFill="0" applyBorder="0" applyAlignment="0" applyProtection="0"/>
    <xf numFmtId="166" fontId="23" fillId="0" borderId="0" applyFill="0" applyBorder="0" applyAlignment="0" applyProtection="0"/>
    <xf numFmtId="166" fontId="23" fillId="0" borderId="0" applyFill="0" applyBorder="0" applyAlignment="0" applyProtection="0"/>
    <xf numFmtId="167" fontId="23" fillId="0" borderId="0" applyFill="0" applyBorder="0" applyAlignment="0" applyProtection="0"/>
    <xf numFmtId="167" fontId="23" fillId="0" borderId="0" applyFill="0" applyBorder="0" applyAlignment="0" applyProtection="0"/>
    <xf numFmtId="167" fontId="23" fillId="0" borderId="0" applyFill="0" applyBorder="0" applyAlignment="0" applyProtection="0"/>
    <xf numFmtId="166" fontId="23" fillId="0" borderId="0" applyFill="0" applyBorder="0" applyAlignment="0" applyProtection="0"/>
    <xf numFmtId="43" fontId="48" fillId="0" borderId="0" applyFont="0" applyFill="0" applyBorder="0" applyAlignment="0" applyProtection="0"/>
    <xf numFmtId="43" fontId="23"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23"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0" fillId="0" borderId="0" applyFont="0" applyFill="0" applyBorder="0" applyAlignment="0" applyProtection="0"/>
    <xf numFmtId="43" fontId="23"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0" fontId="26" fillId="0" borderId="0" applyNumberFormat="0" applyAlignment="0">
      <alignment horizontal="left"/>
    </xf>
    <xf numFmtId="0" fontId="26" fillId="0" borderId="0" applyNumberFormat="0" applyAlignment="0">
      <alignment horizontal="left"/>
    </xf>
    <xf numFmtId="0" fontId="26" fillId="0" borderId="0" applyNumberFormat="0" applyAlignment="0">
      <alignment horizontal="left"/>
    </xf>
    <xf numFmtId="0" fontId="26" fillId="0" borderId="0" applyNumberFormat="0" applyAlignment="0">
      <alignment horizontal="left"/>
    </xf>
    <xf numFmtId="0" fontId="26" fillId="0" borderId="0" applyNumberFormat="0" applyAlignment="0">
      <alignment horizontal="left"/>
    </xf>
    <xf numFmtId="0" fontId="26" fillId="0" borderId="0" applyNumberFormat="0" applyAlignment="0">
      <alignment horizontal="left"/>
    </xf>
    <xf numFmtId="44" fontId="23" fillId="0" borderId="0" applyFont="0" applyFill="0" applyBorder="0" applyAlignment="0" applyProtection="0"/>
    <xf numFmtId="44" fontId="23" fillId="0" borderId="0" applyFont="0" applyFill="0" applyBorder="0" applyAlignment="0" applyProtection="0"/>
    <xf numFmtId="44" fontId="4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40" fillId="0" borderId="0" applyFont="0" applyFill="0" applyBorder="0" applyAlignment="0" applyProtection="0"/>
    <xf numFmtId="0" fontId="27" fillId="0" borderId="0" applyNumberFormat="0" applyAlignment="0">
      <alignment horizontal="left"/>
    </xf>
    <xf numFmtId="0" fontId="27" fillId="0" borderId="0" applyNumberFormat="0" applyAlignment="0">
      <alignment horizontal="left"/>
    </xf>
    <xf numFmtId="0" fontId="27" fillId="0" borderId="0" applyNumberFormat="0" applyAlignment="0">
      <alignment horizontal="left"/>
    </xf>
    <xf numFmtId="0" fontId="27" fillId="0" borderId="0" applyNumberFormat="0" applyAlignment="0">
      <alignment horizontal="left"/>
    </xf>
    <xf numFmtId="0" fontId="27" fillId="0" borderId="0" applyNumberFormat="0" applyAlignment="0">
      <alignment horizontal="left"/>
    </xf>
    <xf numFmtId="0" fontId="27" fillId="0" borderId="0" applyNumberFormat="0" applyAlignment="0">
      <alignment horizontal="left"/>
    </xf>
    <xf numFmtId="174" fontId="23" fillId="0" borderId="0" applyFont="0" applyFill="0" applyBorder="0" applyAlignment="0" applyProtection="0"/>
    <xf numFmtId="0" fontId="40" fillId="0" borderId="0"/>
    <xf numFmtId="0" fontId="40" fillId="0" borderId="0"/>
    <xf numFmtId="0" fontId="45" fillId="0" borderId="13" applyNumberFormat="0" applyFill="0" applyAlignment="0" applyProtection="0"/>
    <xf numFmtId="0" fontId="52" fillId="0" borderId="0" applyNumberFormat="0" applyFill="0" applyBorder="0" applyAlignment="0" applyProtection="0"/>
    <xf numFmtId="0" fontId="52" fillId="0" borderId="0" applyNumberFormat="0" applyFill="0" applyBorder="0" applyAlignment="0" applyProtection="0"/>
    <xf numFmtId="0" fontId="52" fillId="0" borderId="0" applyNumberFormat="0" applyFill="0" applyBorder="0" applyAlignment="0" applyProtection="0"/>
    <xf numFmtId="0" fontId="52" fillId="0" borderId="0" applyNumberFormat="0" applyFill="0" applyBorder="0" applyAlignment="0" applyProtection="0"/>
    <xf numFmtId="0" fontId="52" fillId="0" borderId="0" applyNumberFormat="0" applyFill="0" applyBorder="0" applyAlignment="0" applyProtection="0"/>
    <xf numFmtId="0" fontId="52" fillId="0" borderId="0" applyNumberFormat="0" applyFill="0" applyBorder="0" applyAlignment="0" applyProtection="0"/>
    <xf numFmtId="0" fontId="52" fillId="0" borderId="0" applyNumberFormat="0" applyFill="0" applyBorder="0" applyAlignment="0" applyProtection="0"/>
    <xf numFmtId="0" fontId="52" fillId="0" borderId="0" applyNumberFormat="0" applyFill="0" applyBorder="0" applyAlignment="0" applyProtection="0"/>
    <xf numFmtId="0" fontId="52" fillId="0" borderId="0" applyNumberFormat="0" applyFill="0" applyBorder="0" applyAlignment="0" applyProtection="0"/>
    <xf numFmtId="2" fontId="23" fillId="0" borderId="0" applyFont="0" applyFill="0" applyBorder="0" applyAlignment="0" applyProtection="0"/>
    <xf numFmtId="2" fontId="23" fillId="0" borderId="0" applyFont="0" applyFill="0" applyBorder="0" applyAlignment="0" applyProtection="0"/>
    <xf numFmtId="1" fontId="23" fillId="0" borderId="0"/>
    <xf numFmtId="1" fontId="23" fillId="0" borderId="0"/>
    <xf numFmtId="1" fontId="23" fillId="0" borderId="0"/>
    <xf numFmtId="0" fontId="53" fillId="24" borderId="0" applyNumberFormat="0" applyBorder="0" applyAlignment="0" applyProtection="0"/>
    <xf numFmtId="0" fontId="53" fillId="24" borderId="0" applyNumberFormat="0" applyBorder="0" applyAlignment="0" applyProtection="0"/>
    <xf numFmtId="0" fontId="53" fillId="24" borderId="0" applyNumberFormat="0" applyBorder="0" applyAlignment="0" applyProtection="0"/>
    <xf numFmtId="0" fontId="53" fillId="24" borderId="0" applyNumberFormat="0" applyBorder="0" applyAlignment="0" applyProtection="0"/>
    <xf numFmtId="0" fontId="53" fillId="24" borderId="0" applyNumberFormat="0" applyBorder="0" applyAlignment="0" applyProtection="0"/>
    <xf numFmtId="0" fontId="53" fillId="24" borderId="0" applyNumberFormat="0" applyBorder="0" applyAlignment="0" applyProtection="0"/>
    <xf numFmtId="0" fontId="53" fillId="4" borderId="0" applyNumberFormat="0" applyBorder="0" applyAlignment="0" applyProtection="0"/>
    <xf numFmtId="0" fontId="53" fillId="2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24" borderId="0" applyNumberFormat="0" applyBorder="0" applyAlignment="0" applyProtection="0"/>
    <xf numFmtId="0" fontId="53" fillId="24" borderId="0" applyNumberFormat="0" applyBorder="0" applyAlignment="0" applyProtection="0"/>
    <xf numFmtId="0" fontId="53" fillId="24" borderId="0" applyNumberFormat="0" applyBorder="0" applyAlignment="0" applyProtection="0"/>
    <xf numFmtId="0" fontId="53" fillId="24" borderId="0" applyNumberFormat="0" applyBorder="0" applyAlignment="0" applyProtection="0"/>
    <xf numFmtId="0" fontId="53" fillId="24" borderId="0" applyNumberFormat="0" applyBorder="0" applyAlignment="0" applyProtection="0"/>
    <xf numFmtId="0" fontId="53" fillId="24" borderId="0" applyNumberFormat="0" applyBorder="0" applyAlignment="0" applyProtection="0"/>
    <xf numFmtId="0" fontId="53" fillId="24" borderId="0" applyNumberFormat="0" applyBorder="0" applyAlignment="0" applyProtection="0"/>
    <xf numFmtId="38" fontId="24" fillId="33" borderId="0" applyNumberFormat="0" applyBorder="0" applyAlignment="0" applyProtection="0"/>
    <xf numFmtId="0" fontId="80" fillId="0" borderId="24" applyNumberFormat="0" applyFill="0" applyAlignment="0" applyProtection="0"/>
    <xf numFmtId="0" fontId="80" fillId="0" borderId="24" applyNumberFormat="0" applyFill="0" applyAlignment="0" applyProtection="0"/>
    <xf numFmtId="0" fontId="80" fillId="0" borderId="24" applyNumberFormat="0" applyFill="0" applyAlignment="0" applyProtection="0"/>
    <xf numFmtId="0" fontId="80" fillId="0" borderId="24" applyNumberFormat="0" applyFill="0" applyAlignment="0" applyProtection="0"/>
    <xf numFmtId="0" fontId="80" fillId="0" borderId="24" applyNumberFormat="0" applyFill="0" applyAlignment="0" applyProtection="0"/>
    <xf numFmtId="0" fontId="80" fillId="0" borderId="24" applyNumberFormat="0" applyFill="0" applyAlignment="0" applyProtection="0"/>
    <xf numFmtId="0" fontId="54" fillId="0" borderId="5" applyNumberFormat="0" applyFill="0" applyAlignment="0" applyProtection="0"/>
    <xf numFmtId="0" fontId="80" fillId="0" borderId="24" applyNumberFormat="0" applyFill="0" applyAlignment="0" applyProtection="0"/>
    <xf numFmtId="0" fontId="54" fillId="0" borderId="5" applyNumberFormat="0" applyFill="0" applyAlignment="0" applyProtection="0"/>
    <xf numFmtId="0" fontId="54" fillId="0" borderId="5" applyNumberFormat="0" applyFill="0" applyAlignment="0" applyProtection="0"/>
    <xf numFmtId="0" fontId="80" fillId="0" borderId="24" applyNumberFormat="0" applyFill="0" applyAlignment="0" applyProtection="0"/>
    <xf numFmtId="0" fontId="80" fillId="0" borderId="24" applyNumberFormat="0" applyFill="0" applyAlignment="0" applyProtection="0"/>
    <xf numFmtId="0" fontId="80" fillId="0" borderId="24" applyNumberFormat="0" applyFill="0" applyAlignment="0" applyProtection="0"/>
    <xf numFmtId="0" fontId="80" fillId="0" borderId="24" applyNumberFormat="0" applyFill="0" applyAlignment="0" applyProtection="0"/>
    <xf numFmtId="0" fontId="80" fillId="0" borderId="24" applyNumberFormat="0" applyFill="0" applyAlignment="0" applyProtection="0"/>
    <xf numFmtId="0" fontId="80" fillId="0" borderId="24" applyNumberFormat="0" applyFill="0" applyAlignment="0" applyProtection="0"/>
    <xf numFmtId="0" fontId="80" fillId="0" borderId="24" applyNumberFormat="0" applyFill="0" applyAlignment="0" applyProtection="0"/>
    <xf numFmtId="0" fontId="81" fillId="0" borderId="6" applyNumberFormat="0" applyFill="0" applyAlignment="0" applyProtection="0"/>
    <xf numFmtId="0" fontId="81" fillId="0" borderId="6" applyNumberFormat="0" applyFill="0" applyAlignment="0" applyProtection="0"/>
    <xf numFmtId="0" fontId="81" fillId="0" borderId="6" applyNumberFormat="0" applyFill="0" applyAlignment="0" applyProtection="0"/>
    <xf numFmtId="0" fontId="81" fillId="0" borderId="6" applyNumberFormat="0" applyFill="0" applyAlignment="0" applyProtection="0"/>
    <xf numFmtId="0" fontId="81" fillId="0" borderId="6" applyNumberFormat="0" applyFill="0" applyAlignment="0" applyProtection="0"/>
    <xf numFmtId="0" fontId="81" fillId="0" borderId="6" applyNumberFormat="0" applyFill="0" applyAlignment="0" applyProtection="0"/>
    <xf numFmtId="0" fontId="55" fillId="0" borderId="6" applyNumberFormat="0" applyFill="0" applyAlignment="0" applyProtection="0"/>
    <xf numFmtId="0" fontId="81" fillId="0" borderId="6" applyNumberFormat="0" applyFill="0" applyAlignment="0" applyProtection="0"/>
    <xf numFmtId="0" fontId="55" fillId="0" borderId="6" applyNumberFormat="0" applyFill="0" applyAlignment="0" applyProtection="0"/>
    <xf numFmtId="0" fontId="55" fillId="0" borderId="6" applyNumberFormat="0" applyFill="0" applyAlignment="0" applyProtection="0"/>
    <xf numFmtId="0" fontId="81" fillId="0" borderId="6" applyNumberFormat="0" applyFill="0" applyAlignment="0" applyProtection="0"/>
    <xf numFmtId="0" fontId="81" fillId="0" borderId="6" applyNumberFormat="0" applyFill="0" applyAlignment="0" applyProtection="0"/>
    <xf numFmtId="0" fontId="81" fillId="0" borderId="6" applyNumberFormat="0" applyFill="0" applyAlignment="0" applyProtection="0"/>
    <xf numFmtId="0" fontId="81" fillId="0" borderId="6" applyNumberFormat="0" applyFill="0" applyAlignment="0" applyProtection="0"/>
    <xf numFmtId="0" fontId="81" fillId="0" borderId="6" applyNumberFormat="0" applyFill="0" applyAlignment="0" applyProtection="0"/>
    <xf numFmtId="0" fontId="81" fillId="0" borderId="6" applyNumberFormat="0" applyFill="0" applyAlignment="0" applyProtection="0"/>
    <xf numFmtId="0" fontId="81" fillId="0" borderId="6" applyNumberFormat="0" applyFill="0" applyAlignment="0" applyProtection="0"/>
    <xf numFmtId="0" fontId="82" fillId="0" borderId="25" applyNumberFormat="0" applyFill="0" applyAlignment="0" applyProtection="0"/>
    <xf numFmtId="0" fontId="82" fillId="0" borderId="25" applyNumberFormat="0" applyFill="0" applyAlignment="0" applyProtection="0"/>
    <xf numFmtId="0" fontId="82" fillId="0" borderId="25" applyNumberFormat="0" applyFill="0" applyAlignment="0" applyProtection="0"/>
    <xf numFmtId="0" fontId="82" fillId="0" borderId="25" applyNumberFormat="0" applyFill="0" applyAlignment="0" applyProtection="0"/>
    <xf numFmtId="0" fontId="82" fillId="0" borderId="25" applyNumberFormat="0" applyFill="0" applyAlignment="0" applyProtection="0"/>
    <xf numFmtId="0" fontId="82" fillId="0" borderId="25" applyNumberFormat="0" applyFill="0" applyAlignment="0" applyProtection="0"/>
    <xf numFmtId="0" fontId="56" fillId="0" borderId="7" applyNumberFormat="0" applyFill="0" applyAlignment="0" applyProtection="0"/>
    <xf numFmtId="0" fontId="82" fillId="0" borderId="25" applyNumberFormat="0" applyFill="0" applyAlignment="0" applyProtection="0"/>
    <xf numFmtId="0" fontId="56" fillId="0" borderId="7" applyNumberFormat="0" applyFill="0" applyAlignment="0" applyProtection="0"/>
    <xf numFmtId="0" fontId="56" fillId="0" borderId="7" applyNumberFormat="0" applyFill="0" applyAlignment="0" applyProtection="0"/>
    <xf numFmtId="0" fontId="82" fillId="0" borderId="25" applyNumberFormat="0" applyFill="0" applyAlignment="0" applyProtection="0"/>
    <xf numFmtId="0" fontId="82" fillId="0" borderId="25" applyNumberFormat="0" applyFill="0" applyAlignment="0" applyProtection="0"/>
    <xf numFmtId="0" fontId="82" fillId="0" borderId="25" applyNumberFormat="0" applyFill="0" applyAlignment="0" applyProtection="0"/>
    <xf numFmtId="0" fontId="82" fillId="0" borderId="25" applyNumberFormat="0" applyFill="0" applyAlignment="0" applyProtection="0"/>
    <xf numFmtId="0" fontId="82" fillId="0" borderId="25" applyNumberFormat="0" applyFill="0" applyAlignment="0" applyProtection="0"/>
    <xf numFmtId="0" fontId="82" fillId="0" borderId="25" applyNumberFormat="0" applyFill="0" applyAlignment="0" applyProtection="0"/>
    <xf numFmtId="0" fontId="82" fillId="0" borderId="25" applyNumberFormat="0" applyFill="0" applyAlignment="0" applyProtection="0"/>
    <xf numFmtId="0" fontId="82" fillId="0" borderId="0" applyNumberFormat="0" applyFill="0" applyBorder="0" applyAlignment="0" applyProtection="0"/>
    <xf numFmtId="0" fontId="82" fillId="0" borderId="0" applyNumberFormat="0" applyFill="0" applyBorder="0" applyAlignment="0" applyProtection="0"/>
    <xf numFmtId="0" fontId="82" fillId="0" borderId="0" applyNumberFormat="0" applyFill="0" applyBorder="0" applyAlignment="0" applyProtection="0"/>
    <xf numFmtId="0" fontId="82" fillId="0" borderId="0" applyNumberFormat="0" applyFill="0" applyBorder="0" applyAlignment="0" applyProtection="0"/>
    <xf numFmtId="0" fontId="82" fillId="0" borderId="0" applyNumberFormat="0" applyFill="0" applyBorder="0" applyAlignment="0" applyProtection="0"/>
    <xf numFmtId="0" fontId="82" fillId="0" borderId="0" applyNumberFormat="0" applyFill="0" applyBorder="0" applyAlignment="0" applyProtection="0"/>
    <xf numFmtId="0" fontId="56" fillId="0" borderId="0" applyNumberFormat="0" applyFill="0" applyBorder="0" applyAlignment="0" applyProtection="0"/>
    <xf numFmtId="0" fontId="82"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82" fillId="0" borderId="0" applyNumberFormat="0" applyFill="0" applyBorder="0" applyAlignment="0" applyProtection="0"/>
    <xf numFmtId="0" fontId="82" fillId="0" borderId="0" applyNumberFormat="0" applyFill="0" applyBorder="0" applyAlignment="0" applyProtection="0"/>
    <xf numFmtId="0" fontId="82" fillId="0" borderId="0" applyNumberFormat="0" applyFill="0" applyBorder="0" applyAlignment="0" applyProtection="0"/>
    <xf numFmtId="0" fontId="82" fillId="0" borderId="0" applyNumberFormat="0" applyFill="0" applyBorder="0" applyAlignment="0" applyProtection="0"/>
    <xf numFmtId="0" fontId="82" fillId="0" borderId="0" applyNumberFormat="0" applyFill="0" applyBorder="0" applyAlignment="0" applyProtection="0"/>
    <xf numFmtId="0" fontId="82" fillId="0" borderId="0" applyNumberFormat="0" applyFill="0" applyBorder="0" applyAlignment="0" applyProtection="0"/>
    <xf numFmtId="0" fontId="82" fillId="0" borderId="0" applyNumberFormat="0" applyFill="0" applyBorder="0" applyAlignment="0" applyProtection="0"/>
    <xf numFmtId="0" fontId="83" fillId="0" borderId="0" applyNumberFormat="0" applyFill="0" applyBorder="0" applyAlignment="0" applyProtection="0">
      <alignment vertical="top"/>
      <protection locked="0"/>
    </xf>
    <xf numFmtId="0" fontId="84" fillId="0" borderId="0" applyNumberFormat="0" applyFill="0" applyBorder="0" applyAlignment="0" applyProtection="0">
      <alignment vertical="top"/>
      <protection locked="0"/>
    </xf>
    <xf numFmtId="0" fontId="83" fillId="0" borderId="0" applyNumberFormat="0" applyFill="0" applyBorder="0" applyAlignment="0" applyProtection="0">
      <alignment vertical="top"/>
      <protection locked="0"/>
    </xf>
    <xf numFmtId="0" fontId="85" fillId="0" borderId="0" applyNumberFormat="0" applyFill="0" applyBorder="0" applyAlignment="0" applyProtection="0">
      <alignment vertical="top"/>
      <protection locked="0"/>
    </xf>
    <xf numFmtId="10" fontId="24" fillId="34" borderId="8" applyNumberFormat="0" applyBorder="0" applyAlignment="0" applyProtection="0"/>
    <xf numFmtId="0" fontId="57" fillId="27" borderId="1" applyNumberFormat="0" applyAlignment="0" applyProtection="0"/>
    <xf numFmtId="0" fontId="57" fillId="27" borderId="1" applyNumberFormat="0" applyAlignment="0" applyProtection="0"/>
    <xf numFmtId="0" fontId="57" fillId="27" borderId="1" applyNumberFormat="0" applyAlignment="0" applyProtection="0"/>
    <xf numFmtId="0" fontId="57" fillId="27" borderId="1" applyNumberFormat="0" applyAlignment="0" applyProtection="0"/>
    <xf numFmtId="0" fontId="57" fillId="27" borderId="1" applyNumberFormat="0" applyAlignment="0" applyProtection="0"/>
    <xf numFmtId="0" fontId="57" fillId="27" borderId="1" applyNumberFormat="0" applyAlignment="0" applyProtection="0"/>
    <xf numFmtId="0" fontId="57" fillId="7" borderId="1" applyNumberFormat="0" applyAlignment="0" applyProtection="0"/>
    <xf numFmtId="0" fontId="57" fillId="27" borderId="1" applyNumberFormat="0" applyAlignment="0" applyProtection="0"/>
    <xf numFmtId="0" fontId="57" fillId="7" borderId="1" applyNumberFormat="0" applyAlignment="0" applyProtection="0"/>
    <xf numFmtId="0" fontId="57" fillId="7" borderId="1" applyNumberFormat="0" applyAlignment="0" applyProtection="0"/>
    <xf numFmtId="0" fontId="57" fillId="27" borderId="1" applyNumberFormat="0" applyAlignment="0" applyProtection="0"/>
    <xf numFmtId="0" fontId="57" fillId="27" borderId="1" applyNumberFormat="0" applyAlignment="0" applyProtection="0"/>
    <xf numFmtId="0" fontId="57" fillId="27" borderId="1" applyNumberFormat="0" applyAlignment="0" applyProtection="0"/>
    <xf numFmtId="0" fontId="57" fillId="27" borderId="1" applyNumberFormat="0" applyAlignment="0" applyProtection="0"/>
    <xf numFmtId="0" fontId="57" fillId="27" borderId="1" applyNumberFormat="0" applyAlignment="0" applyProtection="0"/>
    <xf numFmtId="0" fontId="57" fillId="27" borderId="1" applyNumberFormat="0" applyAlignment="0" applyProtection="0"/>
    <xf numFmtId="0" fontId="57" fillId="27" borderId="1" applyNumberFormat="0" applyAlignment="0" applyProtection="0"/>
    <xf numFmtId="0" fontId="86" fillId="0" borderId="9" applyNumberFormat="0" applyFill="0" applyAlignment="0" applyProtection="0"/>
    <xf numFmtId="0" fontId="86" fillId="0" borderId="9" applyNumberFormat="0" applyFill="0" applyAlignment="0" applyProtection="0"/>
    <xf numFmtId="0" fontId="86" fillId="0" borderId="9" applyNumberFormat="0" applyFill="0" applyAlignment="0" applyProtection="0"/>
    <xf numFmtId="0" fontId="86" fillId="0" borderId="9" applyNumberFormat="0" applyFill="0" applyAlignment="0" applyProtection="0"/>
    <xf numFmtId="0" fontId="86" fillId="0" borderId="9" applyNumberFormat="0" applyFill="0" applyAlignment="0" applyProtection="0"/>
    <xf numFmtId="0" fontId="86" fillId="0" borderId="9" applyNumberFormat="0" applyFill="0" applyAlignment="0" applyProtection="0"/>
    <xf numFmtId="0" fontId="58" fillId="0" borderId="9" applyNumberFormat="0" applyFill="0" applyAlignment="0" applyProtection="0"/>
    <xf numFmtId="0" fontId="86" fillId="0" borderId="9" applyNumberFormat="0" applyFill="0" applyAlignment="0" applyProtection="0"/>
    <xf numFmtId="0" fontId="58" fillId="0" borderId="9" applyNumberFormat="0" applyFill="0" applyAlignment="0" applyProtection="0"/>
    <xf numFmtId="0" fontId="58" fillId="0" borderId="9" applyNumberFormat="0" applyFill="0" applyAlignment="0" applyProtection="0"/>
    <xf numFmtId="0" fontId="86" fillId="0" borderId="9" applyNumberFormat="0" applyFill="0" applyAlignment="0" applyProtection="0"/>
    <xf numFmtId="0" fontId="86" fillId="0" borderId="9" applyNumberFormat="0" applyFill="0" applyAlignment="0" applyProtection="0"/>
    <xf numFmtId="0" fontId="86" fillId="0" borderId="9" applyNumberFormat="0" applyFill="0" applyAlignment="0" applyProtection="0"/>
    <xf numFmtId="0" fontId="86" fillId="0" borderId="9" applyNumberFormat="0" applyFill="0" applyAlignment="0" applyProtection="0"/>
    <xf numFmtId="0" fontId="86" fillId="0" borderId="9" applyNumberFormat="0" applyFill="0" applyAlignment="0" applyProtection="0"/>
    <xf numFmtId="0" fontId="86" fillId="0" borderId="9" applyNumberFormat="0" applyFill="0" applyAlignment="0" applyProtection="0"/>
    <xf numFmtId="0" fontId="86" fillId="0" borderId="9" applyNumberFormat="0" applyFill="0" applyAlignment="0" applyProtection="0"/>
    <xf numFmtId="0" fontId="33" fillId="0" borderId="0" applyProtection="0">
      <alignment horizontal="center" vertical="center"/>
    </xf>
    <xf numFmtId="0" fontId="33" fillId="0" borderId="0" applyProtection="0">
      <alignment horizontal="center" vertical="center"/>
    </xf>
    <xf numFmtId="0" fontId="33" fillId="0" borderId="0" applyProtection="0">
      <alignment horizontal="center" vertical="center"/>
    </xf>
    <xf numFmtId="0" fontId="87" fillId="0" borderId="0">
      <alignment vertical="top"/>
    </xf>
    <xf numFmtId="167" fontId="34" fillId="0" borderId="10">
      <alignment horizontal="right"/>
    </xf>
    <xf numFmtId="167" fontId="34" fillId="0" borderId="10">
      <alignment horizontal="right"/>
    </xf>
    <xf numFmtId="167" fontId="34" fillId="0" borderId="10">
      <alignment horizontal="right"/>
    </xf>
    <xf numFmtId="167" fontId="34" fillId="0" borderId="10">
      <alignment horizontal="right"/>
    </xf>
    <xf numFmtId="0" fontId="59" fillId="44" borderId="0" applyNumberFormat="0" applyBorder="0" applyAlignment="0" applyProtection="0"/>
    <xf numFmtId="0" fontId="59" fillId="44" borderId="0" applyNumberFormat="0" applyBorder="0" applyAlignment="0" applyProtection="0"/>
    <xf numFmtId="0" fontId="59" fillId="44" borderId="0" applyNumberFormat="0" applyBorder="0" applyAlignment="0" applyProtection="0"/>
    <xf numFmtId="0" fontId="59" fillId="44" borderId="0" applyNumberFormat="0" applyBorder="0" applyAlignment="0" applyProtection="0"/>
    <xf numFmtId="0" fontId="59" fillId="44" borderId="0" applyNumberFormat="0" applyBorder="0" applyAlignment="0" applyProtection="0"/>
    <xf numFmtId="0" fontId="59" fillId="44" borderId="0" applyNumberFormat="0" applyBorder="0" applyAlignment="0" applyProtection="0"/>
    <xf numFmtId="0" fontId="59" fillId="35" borderId="0" applyNumberFormat="0" applyBorder="0" applyAlignment="0" applyProtection="0"/>
    <xf numFmtId="0" fontId="59" fillId="44" borderId="0" applyNumberFormat="0" applyBorder="0" applyAlignment="0" applyProtection="0"/>
    <xf numFmtId="0" fontId="59" fillId="35" borderId="0" applyNumberFormat="0" applyBorder="0" applyAlignment="0" applyProtection="0"/>
    <xf numFmtId="0" fontId="59" fillId="35" borderId="0" applyNumberFormat="0" applyBorder="0" applyAlignment="0" applyProtection="0"/>
    <xf numFmtId="0" fontId="59" fillId="44" borderId="0" applyNumberFormat="0" applyBorder="0" applyAlignment="0" applyProtection="0"/>
    <xf numFmtId="0" fontId="59" fillId="44" borderId="0" applyNumberFormat="0" applyBorder="0" applyAlignment="0" applyProtection="0"/>
    <xf numFmtId="0" fontId="59" fillId="44" borderId="0" applyNumberFormat="0" applyBorder="0" applyAlignment="0" applyProtection="0"/>
    <xf numFmtId="0" fontId="59" fillId="44" borderId="0" applyNumberFormat="0" applyBorder="0" applyAlignment="0" applyProtection="0"/>
    <xf numFmtId="0" fontId="59" fillId="44" borderId="0" applyNumberFormat="0" applyBorder="0" applyAlignment="0" applyProtection="0"/>
    <xf numFmtId="0" fontId="59" fillId="44" borderId="0" applyNumberFormat="0" applyBorder="0" applyAlignment="0" applyProtection="0"/>
    <xf numFmtId="0" fontId="59" fillId="44" borderId="0" applyNumberFormat="0" applyBorder="0" applyAlignment="0" applyProtection="0"/>
    <xf numFmtId="37" fontId="36" fillId="0" borderId="0"/>
    <xf numFmtId="37" fontId="36" fillId="0" borderId="0"/>
    <xf numFmtId="37" fontId="36" fillId="0" borderId="0"/>
    <xf numFmtId="37" fontId="36" fillId="0" borderId="0"/>
    <xf numFmtId="37" fontId="36" fillId="0" borderId="0"/>
    <xf numFmtId="37" fontId="36" fillId="0" borderId="0"/>
    <xf numFmtId="0" fontId="23" fillId="0" borderId="0"/>
    <xf numFmtId="0" fontId="23" fillId="0" borderId="0"/>
    <xf numFmtId="0" fontId="23" fillId="0" borderId="0"/>
    <xf numFmtId="0" fontId="23" fillId="0" borderId="0"/>
    <xf numFmtId="164" fontId="23" fillId="0" borderId="0"/>
    <xf numFmtId="164" fontId="23" fillId="0" borderId="0"/>
    <xf numFmtId="0" fontId="23" fillId="0" borderId="0"/>
    <xf numFmtId="0" fontId="23" fillId="0" borderId="0"/>
    <xf numFmtId="0" fontId="48" fillId="0" borderId="0"/>
    <xf numFmtId="0" fontId="48" fillId="0" borderId="0"/>
    <xf numFmtId="0" fontId="48" fillId="0" borderId="0"/>
    <xf numFmtId="0" fontId="18" fillId="0" borderId="0"/>
    <xf numFmtId="0" fontId="23" fillId="0" borderId="0"/>
    <xf numFmtId="0" fontId="18" fillId="0" borderId="0"/>
    <xf numFmtId="0" fontId="18" fillId="0" borderId="0"/>
    <xf numFmtId="0" fontId="48" fillId="0" borderId="0"/>
    <xf numFmtId="0" fontId="18" fillId="0" borderId="0"/>
    <xf numFmtId="0" fontId="18" fillId="0" borderId="0"/>
    <xf numFmtId="0" fontId="40" fillId="0" borderId="0"/>
    <xf numFmtId="0" fontId="48" fillId="0" borderId="0"/>
    <xf numFmtId="0" fontId="23" fillId="0" borderId="0"/>
    <xf numFmtId="0" fontId="48" fillId="0" borderId="0"/>
    <xf numFmtId="0" fontId="23" fillId="0" borderId="0">
      <alignment vertical="center"/>
    </xf>
    <xf numFmtId="0" fontId="48" fillId="0" borderId="0"/>
    <xf numFmtId="0" fontId="48" fillId="0" borderId="0"/>
    <xf numFmtId="0" fontId="48" fillId="0" borderId="0"/>
    <xf numFmtId="0" fontId="48" fillId="0" borderId="0"/>
    <xf numFmtId="0" fontId="48" fillId="0" borderId="0"/>
    <xf numFmtId="0" fontId="48" fillId="0" borderId="0"/>
    <xf numFmtId="0" fontId="23" fillId="0" borderId="0"/>
    <xf numFmtId="0" fontId="48" fillId="0" borderId="0"/>
    <xf numFmtId="0" fontId="23" fillId="0" borderId="0"/>
    <xf numFmtId="0" fontId="40" fillId="0" borderId="0"/>
    <xf numFmtId="0" fontId="48"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48" fillId="0" borderId="0"/>
    <xf numFmtId="0" fontId="23" fillId="0" borderId="0"/>
    <xf numFmtId="0" fontId="42" fillId="0" borderId="0"/>
    <xf numFmtId="0" fontId="40" fillId="0" borderId="0"/>
    <xf numFmtId="0" fontId="48" fillId="0" borderId="0"/>
    <xf numFmtId="0" fontId="48" fillId="0" borderId="0"/>
    <xf numFmtId="0" fontId="4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48" fillId="0" borderId="0"/>
    <xf numFmtId="0" fontId="48" fillId="0" borderId="0"/>
    <xf numFmtId="0" fontId="48" fillId="0" borderId="0"/>
    <xf numFmtId="0" fontId="48" fillId="0" borderId="0"/>
    <xf numFmtId="0" fontId="48" fillId="0" borderId="0"/>
    <xf numFmtId="0" fontId="23" fillId="0" borderId="0"/>
    <xf numFmtId="0" fontId="48" fillId="0" borderId="0"/>
    <xf numFmtId="0" fontId="23" fillId="0" borderId="0"/>
    <xf numFmtId="0" fontId="18" fillId="0" borderId="0"/>
    <xf numFmtId="0" fontId="23" fillId="0" borderId="0"/>
    <xf numFmtId="0" fontId="23" fillId="0" borderId="0"/>
    <xf numFmtId="0" fontId="48" fillId="0" borderId="0"/>
    <xf numFmtId="0" fontId="42" fillId="0" borderId="0"/>
    <xf numFmtId="0" fontId="23" fillId="0" borderId="0"/>
    <xf numFmtId="0" fontId="48" fillId="0" borderId="0"/>
    <xf numFmtId="0" fontId="18" fillId="0" borderId="0"/>
    <xf numFmtId="0" fontId="48" fillId="0" borderId="0"/>
    <xf numFmtId="0" fontId="48" fillId="0" borderId="0"/>
    <xf numFmtId="0" fontId="48" fillId="0" borderId="0"/>
    <xf numFmtId="0" fontId="48" fillId="0" borderId="0"/>
    <xf numFmtId="0" fontId="18" fillId="0" borderId="0"/>
    <xf numFmtId="0" fontId="48" fillId="0" borderId="0"/>
    <xf numFmtId="0" fontId="48" fillId="0" borderId="0"/>
    <xf numFmtId="0" fontId="23" fillId="0" borderId="0"/>
    <xf numFmtId="0" fontId="23" fillId="0" borderId="0"/>
    <xf numFmtId="0" fontId="18" fillId="0" borderId="0"/>
    <xf numFmtId="0" fontId="18" fillId="0" borderId="0"/>
    <xf numFmtId="0" fontId="23" fillId="0" borderId="0"/>
    <xf numFmtId="0" fontId="23" fillId="0" borderId="0"/>
    <xf numFmtId="0" fontId="23" fillId="0" borderId="0"/>
    <xf numFmtId="0" fontId="18" fillId="0" borderId="0"/>
    <xf numFmtId="0" fontId="23" fillId="0" borderId="0"/>
    <xf numFmtId="0" fontId="18" fillId="0" borderId="0"/>
    <xf numFmtId="0" fontId="23" fillId="0" borderId="0"/>
    <xf numFmtId="0" fontId="23" fillId="0" borderId="0"/>
    <xf numFmtId="0" fontId="23" fillId="0" borderId="0"/>
    <xf numFmtId="0" fontId="18" fillId="0" borderId="0"/>
    <xf numFmtId="0" fontId="18" fillId="0" borderId="0"/>
    <xf numFmtId="0" fontId="23" fillId="0" borderId="0"/>
    <xf numFmtId="0" fontId="18" fillId="0" borderId="0"/>
    <xf numFmtId="0" fontId="23" fillId="0" borderId="0"/>
    <xf numFmtId="0" fontId="23" fillId="0" borderId="0"/>
    <xf numFmtId="0" fontId="23" fillId="0" borderId="0"/>
    <xf numFmtId="0" fontId="18" fillId="0" borderId="0"/>
    <xf numFmtId="0" fontId="18" fillId="0" borderId="0"/>
    <xf numFmtId="0" fontId="23" fillId="0" borderId="0"/>
    <xf numFmtId="0" fontId="18" fillId="0" borderId="0"/>
    <xf numFmtId="0" fontId="23" fillId="0" borderId="0"/>
    <xf numFmtId="0" fontId="23" fillId="0" borderId="0"/>
    <xf numFmtId="0" fontId="23" fillId="0" borderId="0"/>
    <xf numFmtId="0" fontId="18" fillId="0" borderId="0"/>
    <xf numFmtId="0" fontId="18" fillId="0" borderId="0"/>
    <xf numFmtId="0" fontId="23" fillId="0" borderId="0"/>
    <xf numFmtId="0" fontId="18" fillId="0" borderId="0"/>
    <xf numFmtId="0" fontId="23" fillId="0" borderId="0"/>
    <xf numFmtId="0" fontId="23" fillId="0" borderId="0"/>
    <xf numFmtId="0" fontId="23" fillId="0" borderId="0"/>
    <xf numFmtId="0" fontId="18" fillId="0" borderId="0"/>
    <xf numFmtId="0" fontId="18" fillId="0" borderId="0"/>
    <xf numFmtId="0" fontId="18" fillId="0" borderId="0"/>
    <xf numFmtId="0" fontId="18" fillId="0" borderId="0"/>
    <xf numFmtId="0" fontId="23" fillId="0" borderId="0"/>
    <xf numFmtId="0" fontId="23"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3" fillId="0" borderId="0"/>
    <xf numFmtId="0" fontId="23" fillId="0" borderId="0"/>
    <xf numFmtId="0" fontId="18" fillId="0" borderId="0"/>
    <xf numFmtId="0" fontId="18" fillId="0" borderId="0"/>
    <xf numFmtId="0" fontId="23" fillId="0" borderId="0"/>
    <xf numFmtId="0" fontId="23" fillId="0" borderId="0"/>
    <xf numFmtId="0" fontId="23" fillId="0" borderId="0"/>
    <xf numFmtId="0" fontId="48" fillId="0" borderId="0"/>
    <xf numFmtId="0" fontId="40" fillId="0" borderId="0"/>
    <xf numFmtId="0" fontId="40" fillId="0" borderId="0"/>
    <xf numFmtId="0" fontId="40" fillId="0" borderId="0"/>
    <xf numFmtId="0" fontId="40" fillId="0" borderId="0"/>
    <xf numFmtId="0" fontId="23" fillId="0" borderId="0"/>
    <xf numFmtId="0" fontId="23" fillId="0" borderId="0"/>
    <xf numFmtId="0" fontId="23" fillId="0" borderId="0"/>
    <xf numFmtId="0" fontId="40" fillId="0" borderId="0"/>
    <xf numFmtId="0" fontId="18" fillId="0" borderId="0"/>
    <xf numFmtId="0" fontId="18" fillId="0" borderId="0"/>
    <xf numFmtId="0" fontId="18" fillId="0" borderId="0"/>
    <xf numFmtId="0" fontId="18" fillId="0" borderId="0"/>
    <xf numFmtId="0" fontId="23" fillId="0" borderId="0"/>
    <xf numFmtId="0" fontId="23" fillId="0" borderId="0"/>
    <xf numFmtId="0" fontId="18" fillId="0" borderId="0"/>
    <xf numFmtId="0" fontId="23"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3" fillId="0" borderId="0"/>
    <xf numFmtId="0" fontId="18" fillId="0" borderId="0"/>
    <xf numFmtId="0" fontId="23" fillId="0" borderId="0"/>
    <xf numFmtId="0" fontId="23" fillId="0" borderId="0"/>
    <xf numFmtId="0" fontId="23" fillId="0" borderId="0"/>
    <xf numFmtId="0" fontId="18" fillId="0" borderId="0"/>
    <xf numFmtId="0" fontId="18" fillId="0" borderId="0"/>
    <xf numFmtId="0" fontId="23" fillId="0" borderId="0"/>
    <xf numFmtId="0" fontId="18" fillId="0" borderId="0"/>
    <xf numFmtId="0" fontId="23" fillId="0" borderId="0"/>
    <xf numFmtId="0" fontId="23" fillId="0" borderId="0"/>
    <xf numFmtId="0" fontId="23" fillId="0" borderId="0"/>
    <xf numFmtId="0" fontId="18" fillId="0" borderId="0"/>
    <xf numFmtId="0" fontId="18" fillId="0" borderId="0"/>
    <xf numFmtId="0" fontId="23" fillId="0" borderId="0"/>
    <xf numFmtId="0" fontId="18" fillId="0" borderId="0"/>
    <xf numFmtId="0" fontId="23" fillId="0" borderId="0"/>
    <xf numFmtId="0" fontId="23" fillId="0" borderId="0"/>
    <xf numFmtId="0" fontId="23" fillId="0" borderId="0"/>
    <xf numFmtId="0" fontId="18" fillId="0" borderId="0"/>
    <xf numFmtId="0" fontId="18" fillId="0" borderId="0"/>
    <xf numFmtId="0" fontId="23" fillId="0" borderId="0"/>
    <xf numFmtId="0" fontId="18" fillId="0" borderId="0"/>
    <xf numFmtId="0" fontId="23" fillId="0" borderId="0"/>
    <xf numFmtId="0" fontId="23" fillId="0" borderId="0"/>
    <xf numFmtId="0" fontId="23" fillId="0" borderId="0"/>
    <xf numFmtId="0" fontId="18" fillId="0" borderId="0"/>
    <xf numFmtId="0" fontId="18" fillId="0" borderId="0"/>
    <xf numFmtId="0" fontId="23" fillId="0" borderId="0"/>
    <xf numFmtId="0" fontId="23" fillId="0" borderId="0"/>
    <xf numFmtId="0" fontId="18" fillId="0" borderId="0"/>
    <xf numFmtId="0" fontId="18" fillId="0" borderId="0"/>
    <xf numFmtId="0" fontId="18" fillId="0" borderId="0"/>
    <xf numFmtId="0" fontId="18" fillId="0" borderId="0"/>
    <xf numFmtId="0" fontId="18" fillId="0" borderId="0"/>
    <xf numFmtId="0" fontId="23" fillId="0" borderId="0"/>
    <xf numFmtId="0" fontId="23" fillId="0" borderId="0"/>
    <xf numFmtId="0" fontId="23" fillId="0" borderId="0"/>
    <xf numFmtId="0" fontId="18" fillId="0" borderId="0"/>
    <xf numFmtId="0" fontId="23" fillId="0" borderId="0"/>
    <xf numFmtId="0" fontId="23" fillId="0" borderId="0"/>
    <xf numFmtId="0" fontId="40" fillId="0" borderId="0"/>
    <xf numFmtId="0" fontId="23" fillId="0" borderId="0"/>
    <xf numFmtId="0" fontId="23" fillId="0" borderId="0"/>
    <xf numFmtId="0" fontId="23" fillId="0" borderId="0"/>
    <xf numFmtId="0" fontId="40" fillId="0" borderId="0"/>
    <xf numFmtId="0" fontId="23" fillId="0" borderId="0"/>
    <xf numFmtId="0" fontId="23" fillId="0" borderId="0"/>
    <xf numFmtId="0" fontId="23" fillId="0" borderId="0"/>
    <xf numFmtId="0" fontId="48" fillId="0" borderId="0"/>
    <xf numFmtId="0" fontId="18" fillId="0" borderId="0"/>
    <xf numFmtId="0" fontId="48" fillId="0" borderId="0"/>
    <xf numFmtId="0" fontId="18" fillId="0" borderId="0"/>
    <xf numFmtId="0" fontId="18" fillId="0" borderId="0"/>
    <xf numFmtId="0" fontId="18" fillId="0" borderId="0"/>
    <xf numFmtId="0" fontId="18" fillId="0" borderId="0"/>
    <xf numFmtId="0" fontId="18" fillId="0" borderId="0"/>
    <xf numFmtId="0" fontId="48" fillId="0" borderId="0"/>
    <xf numFmtId="0" fontId="23" fillId="0" borderId="0"/>
    <xf numFmtId="0" fontId="18" fillId="0" borderId="0"/>
    <xf numFmtId="0" fontId="18" fillId="0" borderId="0"/>
    <xf numFmtId="0" fontId="18" fillId="0" borderId="0"/>
    <xf numFmtId="0" fontId="4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8" fillId="0" borderId="0"/>
    <xf numFmtId="0" fontId="18" fillId="0" borderId="0"/>
    <xf numFmtId="0" fontId="23" fillId="0" borderId="0"/>
    <xf numFmtId="0" fontId="18" fillId="0" borderId="0"/>
    <xf numFmtId="0" fontId="42" fillId="0" borderId="0"/>
    <xf numFmtId="0" fontId="42" fillId="0" borderId="0"/>
    <xf numFmtId="0" fontId="42" fillId="0" borderId="0"/>
    <xf numFmtId="0" fontId="23" fillId="0" borderId="0"/>
    <xf numFmtId="0" fontId="23" fillId="0" borderId="0"/>
    <xf numFmtId="0" fontId="23" fillId="0" borderId="0"/>
    <xf numFmtId="0" fontId="23" fillId="0" borderId="0"/>
    <xf numFmtId="0" fontId="88" fillId="0" borderId="0"/>
    <xf numFmtId="0" fontId="23" fillId="0" borderId="0"/>
    <xf numFmtId="0" fontId="41" fillId="0" borderId="0"/>
    <xf numFmtId="0" fontId="41" fillId="0" borderId="0"/>
    <xf numFmtId="0" fontId="23" fillId="0" borderId="0"/>
    <xf numFmtId="0" fontId="23" fillId="0" borderId="0"/>
    <xf numFmtId="0" fontId="40" fillId="0" borderId="0"/>
    <xf numFmtId="0" fontId="18" fillId="0" borderId="0"/>
    <xf numFmtId="0" fontId="42" fillId="0" borderId="0"/>
    <xf numFmtId="0" fontId="42" fillId="0" borderId="0"/>
    <xf numFmtId="0" fontId="42" fillId="0" borderId="0"/>
    <xf numFmtId="0" fontId="42" fillId="0" borderId="0"/>
    <xf numFmtId="0" fontId="41" fillId="0" borderId="0"/>
    <xf numFmtId="0" fontId="23" fillId="0" borderId="0"/>
    <xf numFmtId="0" fontId="23" fillId="0" borderId="0"/>
    <xf numFmtId="0" fontId="23" fillId="0" borderId="0"/>
    <xf numFmtId="0" fontId="42" fillId="0" borderId="0"/>
    <xf numFmtId="0" fontId="42" fillId="0" borderId="0"/>
    <xf numFmtId="0" fontId="48" fillId="0" borderId="0"/>
    <xf numFmtId="0" fontId="23" fillId="0" borderId="0"/>
    <xf numFmtId="0" fontId="48"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48" fillId="0" borderId="0"/>
    <xf numFmtId="0" fontId="48" fillId="0" borderId="0"/>
    <xf numFmtId="0" fontId="48" fillId="0" borderId="0"/>
    <xf numFmtId="0" fontId="42" fillId="0" borderId="0"/>
    <xf numFmtId="0" fontId="40" fillId="0" borderId="0"/>
    <xf numFmtId="0" fontId="23" fillId="0" borderId="0"/>
    <xf numFmtId="0" fontId="23" fillId="0" borderId="0"/>
    <xf numFmtId="0" fontId="42" fillId="0" borderId="0"/>
    <xf numFmtId="0" fontId="23" fillId="20" borderId="11" applyNumberFormat="0" applyFont="0" applyAlignment="0" applyProtection="0"/>
    <xf numFmtId="0" fontId="23" fillId="20" borderId="11" applyNumberFormat="0" applyFont="0" applyAlignment="0" applyProtection="0"/>
    <xf numFmtId="0" fontId="23" fillId="20" borderId="11" applyNumberFormat="0" applyFont="0" applyAlignment="0" applyProtection="0"/>
    <xf numFmtId="0" fontId="23" fillId="20" borderId="11" applyNumberFormat="0" applyFont="0" applyAlignment="0" applyProtection="0"/>
    <xf numFmtId="0" fontId="23" fillId="20" borderId="11" applyNumberFormat="0" applyFont="0" applyAlignment="0" applyProtection="0"/>
    <xf numFmtId="0" fontId="23" fillId="20" borderId="11" applyNumberFormat="0" applyFont="0" applyAlignment="0" applyProtection="0"/>
    <xf numFmtId="0" fontId="23" fillId="36" borderId="11" applyNumberFormat="0" applyFont="0" applyAlignment="0" applyProtection="0"/>
    <xf numFmtId="0" fontId="23" fillId="20" borderId="11" applyNumberFormat="0" applyFont="0" applyAlignment="0" applyProtection="0"/>
    <xf numFmtId="0" fontId="23" fillId="36" borderId="11" applyNumberFormat="0" applyFont="0" applyAlignment="0" applyProtection="0"/>
    <xf numFmtId="0" fontId="23" fillId="36" borderId="11" applyNumberFormat="0" applyFont="0" applyAlignment="0" applyProtection="0"/>
    <xf numFmtId="0" fontId="23" fillId="20" borderId="11" applyNumberFormat="0" applyFont="0" applyAlignment="0" applyProtection="0"/>
    <xf numFmtId="0" fontId="23" fillId="20" borderId="11" applyNumberFormat="0" applyFont="0" applyAlignment="0" applyProtection="0"/>
    <xf numFmtId="0" fontId="23" fillId="20" borderId="11" applyNumberFormat="0" applyFont="0" applyAlignment="0" applyProtection="0"/>
    <xf numFmtId="0" fontId="23" fillId="20" borderId="11" applyNumberFormat="0" applyFont="0" applyAlignment="0" applyProtection="0"/>
    <xf numFmtId="0" fontId="23" fillId="20" borderId="11" applyNumberFormat="0" applyFont="0" applyAlignment="0" applyProtection="0"/>
    <xf numFmtId="0" fontId="23" fillId="20" borderId="11" applyNumberFormat="0" applyFont="0" applyAlignment="0" applyProtection="0"/>
    <xf numFmtId="0" fontId="23" fillId="20" borderId="11" applyNumberFormat="0" applyFont="0" applyAlignment="0" applyProtection="0"/>
    <xf numFmtId="0" fontId="60" fillId="37" borderId="12" applyNumberFormat="0" applyAlignment="0" applyProtection="0"/>
    <xf numFmtId="0" fontId="60" fillId="37" borderId="12" applyNumberFormat="0" applyAlignment="0" applyProtection="0"/>
    <xf numFmtId="0" fontId="60" fillId="37" borderId="12" applyNumberFormat="0" applyAlignment="0" applyProtection="0"/>
    <xf numFmtId="0" fontId="60" fillId="37" borderId="12" applyNumberFormat="0" applyAlignment="0" applyProtection="0"/>
    <xf numFmtId="0" fontId="60" fillId="37" borderId="12" applyNumberFormat="0" applyAlignment="0" applyProtection="0"/>
    <xf numFmtId="0" fontId="60" fillId="37" borderId="12" applyNumberFormat="0" applyAlignment="0" applyProtection="0"/>
    <xf numFmtId="0" fontId="60" fillId="28" borderId="12" applyNumberFormat="0" applyAlignment="0" applyProtection="0"/>
    <xf numFmtId="0" fontId="60" fillId="37" borderId="12" applyNumberFormat="0" applyAlignment="0" applyProtection="0"/>
    <xf numFmtId="0" fontId="60" fillId="28" borderId="12" applyNumberFormat="0" applyAlignment="0" applyProtection="0"/>
    <xf numFmtId="0" fontId="60" fillId="28" borderId="12" applyNumberFormat="0" applyAlignment="0" applyProtection="0"/>
    <xf numFmtId="0" fontId="60" fillId="37" borderId="12" applyNumberFormat="0" applyAlignment="0" applyProtection="0"/>
    <xf numFmtId="0" fontId="60" fillId="37" borderId="12" applyNumberFormat="0" applyAlignment="0" applyProtection="0"/>
    <xf numFmtId="0" fontId="60" fillId="37" borderId="12" applyNumberFormat="0" applyAlignment="0" applyProtection="0"/>
    <xf numFmtId="0" fontId="60" fillId="37" borderId="12" applyNumberFormat="0" applyAlignment="0" applyProtection="0"/>
    <xf numFmtId="0" fontId="60" fillId="37" borderId="12" applyNumberFormat="0" applyAlignment="0" applyProtection="0"/>
    <xf numFmtId="0" fontId="60" fillId="37" borderId="12" applyNumberFormat="0" applyAlignment="0" applyProtection="0"/>
    <xf numFmtId="0" fontId="60" fillId="37" borderId="12" applyNumberFormat="0" applyAlignment="0" applyProtection="0"/>
    <xf numFmtId="10" fontId="23" fillId="0" borderId="0" applyFont="0" applyFill="0" applyBorder="0" applyAlignment="0" applyProtection="0"/>
    <xf numFmtId="10" fontId="23" fillId="0" borderId="0" applyFont="0" applyFill="0" applyBorder="0" applyAlignment="0" applyProtection="0"/>
    <xf numFmtId="9" fontId="23"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2"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48"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2" fillId="0" borderId="0" applyFont="0" applyFill="0" applyBorder="0" applyAlignment="0" applyProtection="0"/>
    <xf numFmtId="9" fontId="42"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42" fillId="0" borderId="0" applyFont="0" applyFill="0" applyBorder="0" applyAlignment="0" applyProtection="0"/>
    <xf numFmtId="9" fontId="42" fillId="0" borderId="0" applyFont="0" applyFill="0" applyBorder="0" applyAlignment="0" applyProtection="0"/>
    <xf numFmtId="9" fontId="42" fillId="0" borderId="0" applyFont="0" applyFill="0" applyBorder="0" applyAlignment="0" applyProtection="0"/>
    <xf numFmtId="9" fontId="42" fillId="0" borderId="0" applyFont="0" applyFill="0" applyBorder="0" applyAlignment="0" applyProtection="0"/>
    <xf numFmtId="9" fontId="42" fillId="0" borderId="0" applyFont="0" applyFill="0" applyBorder="0" applyAlignment="0" applyProtection="0"/>
    <xf numFmtId="9" fontId="42" fillId="0" borderId="0" applyFont="0" applyFill="0" applyBorder="0" applyAlignment="0" applyProtection="0"/>
    <xf numFmtId="9" fontId="48" fillId="0" borderId="0" applyFont="0" applyFill="0" applyBorder="0" applyAlignment="0" applyProtection="0"/>
    <xf numFmtId="9" fontId="48" fillId="0" borderId="0" applyFont="0" applyFill="0" applyBorder="0" applyAlignment="0" applyProtection="0"/>
    <xf numFmtId="9" fontId="40"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89" fillId="0" borderId="0">
      <alignment vertical="top"/>
    </xf>
    <xf numFmtId="14" fontId="28" fillId="0" borderId="0" applyNumberFormat="0" applyFill="0" applyBorder="0" applyAlignment="0" applyProtection="0">
      <alignment horizontal="left"/>
    </xf>
    <xf numFmtId="0" fontId="90" fillId="0" borderId="0"/>
    <xf numFmtId="0" fontId="65" fillId="0" borderId="0"/>
    <xf numFmtId="0" fontId="91" fillId="0" borderId="0"/>
    <xf numFmtId="0" fontId="91" fillId="0" borderId="0"/>
    <xf numFmtId="0" fontId="92" fillId="0" borderId="26">
      <alignment wrapText="1"/>
    </xf>
    <xf numFmtId="0" fontId="37" fillId="0" borderId="8">
      <alignment horizontal="center"/>
    </xf>
    <xf numFmtId="0" fontId="37" fillId="0" borderId="8">
      <alignment horizontal="center"/>
    </xf>
    <xf numFmtId="0" fontId="37" fillId="0" borderId="8">
      <alignment horizontal="center"/>
    </xf>
    <xf numFmtId="0" fontId="37" fillId="0" borderId="8">
      <alignment horizontal="center"/>
    </xf>
    <xf numFmtId="0" fontId="37" fillId="0" borderId="0">
      <alignment horizontal="center" vertical="center"/>
    </xf>
    <xf numFmtId="0" fontId="37" fillId="0" borderId="0">
      <alignment horizontal="center" vertical="center"/>
    </xf>
    <xf numFmtId="0" fontId="37" fillId="0" borderId="0">
      <alignment horizontal="center" vertical="center"/>
    </xf>
    <xf numFmtId="0" fontId="37" fillId="0" borderId="0">
      <alignment horizontal="center" vertical="center"/>
    </xf>
    <xf numFmtId="0" fontId="37" fillId="0" borderId="0">
      <alignment horizontal="center" vertical="center"/>
    </xf>
    <xf numFmtId="0" fontId="37" fillId="0" borderId="0">
      <alignment horizontal="center" vertical="center"/>
    </xf>
    <xf numFmtId="0" fontId="38" fillId="37" borderId="0" applyNumberFormat="0" applyFill="0">
      <alignment horizontal="left" vertical="center"/>
    </xf>
    <xf numFmtId="0" fontId="38" fillId="37" borderId="0" applyNumberFormat="0" applyFill="0">
      <alignment horizontal="left" vertical="center"/>
    </xf>
    <xf numFmtId="0" fontId="38" fillId="37" borderId="0" applyNumberFormat="0" applyFill="0">
      <alignment horizontal="left" vertical="center"/>
    </xf>
    <xf numFmtId="0" fontId="38" fillId="37" borderId="0" applyNumberFormat="0" applyFill="0">
      <alignment horizontal="left" vertical="center"/>
    </xf>
    <xf numFmtId="0" fontId="38" fillId="37" borderId="0" applyNumberFormat="0" applyFill="0">
      <alignment horizontal="left" vertical="center"/>
    </xf>
    <xf numFmtId="0" fontId="38" fillId="37" borderId="0" applyNumberFormat="0" applyFill="0">
      <alignment horizontal="left" vertical="center"/>
    </xf>
    <xf numFmtId="49" fontId="23" fillId="0" borderId="0"/>
    <xf numFmtId="170" fontId="23" fillId="0" borderId="0" applyFont="0" applyFill="0" applyBorder="0" applyAlignment="0" applyProtection="0"/>
    <xf numFmtId="170" fontId="23" fillId="0" borderId="0" applyFont="0" applyFill="0" applyBorder="0" applyAlignment="0" applyProtection="0"/>
    <xf numFmtId="0" fontId="23" fillId="0" borderId="0"/>
    <xf numFmtId="0" fontId="23" fillId="0" borderId="0"/>
    <xf numFmtId="0" fontId="61" fillId="0" borderId="0" applyNumberFormat="0" applyFill="0" applyBorder="0" applyAlignment="0" applyProtection="0"/>
    <xf numFmtId="0" fontId="61" fillId="0" borderId="0" applyNumberFormat="0" applyFill="0" applyBorder="0" applyAlignment="0" applyProtection="0"/>
    <xf numFmtId="0" fontId="61" fillId="0" borderId="0" applyNumberFormat="0" applyFill="0" applyBorder="0" applyAlignment="0" applyProtection="0"/>
    <xf numFmtId="0" fontId="61" fillId="0" borderId="0" applyNumberFormat="0" applyFill="0" applyBorder="0" applyAlignment="0" applyProtection="0"/>
    <xf numFmtId="0" fontId="61" fillId="0" borderId="0" applyNumberFormat="0" applyFill="0" applyBorder="0" applyAlignment="0" applyProtection="0"/>
    <xf numFmtId="0" fontId="61" fillId="0" borderId="0" applyNumberFormat="0" applyFill="0" applyBorder="0" applyAlignment="0" applyProtection="0"/>
    <xf numFmtId="0" fontId="61" fillId="0" borderId="0" applyNumberFormat="0" applyFill="0" applyBorder="0" applyAlignment="0" applyProtection="0"/>
    <xf numFmtId="0" fontId="61" fillId="0" borderId="0" applyNumberFormat="0" applyFill="0" applyBorder="0" applyAlignment="0" applyProtection="0"/>
    <xf numFmtId="0" fontId="61" fillId="0" borderId="0" applyNumberFormat="0" applyFill="0" applyBorder="0" applyAlignment="0" applyProtection="0"/>
    <xf numFmtId="0" fontId="45" fillId="0" borderId="27" applyNumberFormat="0" applyFill="0" applyAlignment="0" applyProtection="0"/>
    <xf numFmtId="0" fontId="45" fillId="0" borderId="27" applyNumberFormat="0" applyFill="0" applyAlignment="0" applyProtection="0"/>
    <xf numFmtId="0" fontId="45" fillId="0" borderId="27" applyNumberFormat="0" applyFill="0" applyAlignment="0" applyProtection="0"/>
    <xf numFmtId="0" fontId="45" fillId="0" borderId="27" applyNumberFormat="0" applyFill="0" applyAlignment="0" applyProtection="0"/>
    <xf numFmtId="0" fontId="45" fillId="0" borderId="27" applyNumberFormat="0" applyFill="0" applyAlignment="0" applyProtection="0"/>
    <xf numFmtId="0" fontId="45" fillId="0" borderId="27" applyNumberFormat="0" applyFill="0" applyAlignment="0" applyProtection="0"/>
    <xf numFmtId="0" fontId="45" fillId="0" borderId="13" applyNumberFormat="0" applyFill="0" applyAlignment="0" applyProtection="0"/>
    <xf numFmtId="0" fontId="45" fillId="0" borderId="27" applyNumberFormat="0" applyFill="0" applyAlignment="0" applyProtection="0"/>
    <xf numFmtId="0" fontId="45" fillId="0" borderId="13" applyNumberFormat="0" applyFill="0" applyAlignment="0" applyProtection="0"/>
    <xf numFmtId="0" fontId="45" fillId="0" borderId="13" applyNumberFormat="0" applyFill="0" applyAlignment="0" applyProtection="0"/>
    <xf numFmtId="0" fontId="45" fillId="0" borderId="27" applyNumberFormat="0" applyFill="0" applyAlignment="0" applyProtection="0"/>
    <xf numFmtId="0" fontId="45" fillId="0" borderId="27" applyNumberFormat="0" applyFill="0" applyAlignment="0" applyProtection="0"/>
    <xf numFmtId="0" fontId="45" fillId="0" borderId="27" applyNumberFormat="0" applyFill="0" applyAlignment="0" applyProtection="0"/>
    <xf numFmtId="0" fontId="45" fillId="0" borderId="27" applyNumberFormat="0" applyFill="0" applyAlignment="0" applyProtection="0"/>
    <xf numFmtId="0" fontId="45" fillId="0" borderId="27" applyNumberFormat="0" applyFill="0" applyAlignment="0" applyProtection="0"/>
    <xf numFmtId="0" fontId="45" fillId="0" borderId="27" applyNumberFormat="0" applyFill="0" applyAlignment="0" applyProtection="0"/>
    <xf numFmtId="0" fontId="45" fillId="0" borderId="27" applyNumberFormat="0" applyFill="0" applyAlignment="0" applyProtection="0"/>
    <xf numFmtId="175" fontId="32" fillId="0" borderId="8">
      <alignment horizontal="center" vertical="center"/>
    </xf>
    <xf numFmtId="175" fontId="32" fillId="0" borderId="8">
      <alignment horizontal="center" vertical="center"/>
    </xf>
    <xf numFmtId="175" fontId="32" fillId="0" borderId="8">
      <alignment horizontal="center" vertical="center"/>
    </xf>
    <xf numFmtId="175" fontId="32" fillId="0" borderId="8">
      <alignment horizontal="center" vertical="center"/>
    </xf>
    <xf numFmtId="175" fontId="32" fillId="0" borderId="8">
      <alignment horizontal="center" vertical="center"/>
    </xf>
    <xf numFmtId="175" fontId="32" fillId="0" borderId="8">
      <alignment horizontal="center" vertical="center"/>
    </xf>
    <xf numFmtId="175" fontId="32" fillId="0" borderId="8">
      <alignment horizontal="center" vertical="center"/>
    </xf>
    <xf numFmtId="175" fontId="32" fillId="0" borderId="8">
      <alignment horizontal="center" vertical="center"/>
    </xf>
    <xf numFmtId="0" fontId="23" fillId="0" borderId="14">
      <alignment horizontal="center"/>
    </xf>
    <xf numFmtId="0" fontId="23" fillId="0" borderId="14">
      <alignment horizontal="center"/>
    </xf>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17" fillId="0" borderId="0"/>
    <xf numFmtId="0" fontId="42" fillId="0" borderId="0"/>
    <xf numFmtId="0" fontId="16" fillId="0" borderId="0"/>
    <xf numFmtId="170" fontId="23"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23" fillId="0" borderId="0"/>
    <xf numFmtId="0" fontId="15" fillId="0" borderId="0"/>
    <xf numFmtId="0" fontId="15" fillId="0" borderId="0"/>
    <xf numFmtId="0" fontId="15" fillId="0" borderId="0"/>
    <xf numFmtId="0" fontId="15" fillId="0" borderId="0"/>
    <xf numFmtId="0" fontId="23" fillId="0" borderId="0"/>
    <xf numFmtId="0" fontId="23" fillId="0" borderId="0"/>
    <xf numFmtId="0" fontId="23" fillId="0" borderId="0"/>
    <xf numFmtId="0" fontId="23" fillId="0" borderId="0"/>
    <xf numFmtId="0" fontId="15" fillId="0" borderId="0"/>
    <xf numFmtId="0" fontId="15" fillId="0" borderId="0"/>
    <xf numFmtId="0" fontId="15" fillId="0" borderId="0"/>
    <xf numFmtId="0" fontId="23" fillId="0" borderId="0"/>
    <xf numFmtId="0" fontId="23" fillId="0" borderId="0"/>
    <xf numFmtId="0" fontId="23" fillId="0" borderId="0"/>
    <xf numFmtId="0" fontId="23" fillId="0" borderId="0"/>
    <xf numFmtId="0" fontId="14" fillId="0" borderId="0"/>
    <xf numFmtId="169" fontId="42" fillId="0" borderId="0" applyFont="0" applyFill="0" applyBorder="0" applyAlignment="0" applyProtection="0"/>
    <xf numFmtId="174" fontId="23" fillId="0" borderId="0" applyFont="0" applyFill="0" applyBorder="0" applyAlignment="0" applyProtection="0"/>
    <xf numFmtId="2" fontId="23" fillId="0" borderId="0" applyFont="0" applyFill="0" applyBorder="0" applyAlignment="0" applyProtection="0"/>
    <xf numFmtId="0" fontId="23" fillId="0" borderId="0"/>
    <xf numFmtId="0" fontId="23" fillId="0" borderId="0"/>
    <xf numFmtId="0" fontId="23" fillId="0" borderId="0"/>
    <xf numFmtId="0" fontId="42" fillId="0" borderId="0"/>
    <xf numFmtId="0" fontId="42" fillId="0" borderId="0"/>
    <xf numFmtId="0" fontId="4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4" fontId="42" fillId="0" borderId="8" applyProtection="0"/>
    <xf numFmtId="0" fontId="42" fillId="0" borderId="0"/>
    <xf numFmtId="0" fontId="23" fillId="0" borderId="0"/>
    <xf numFmtId="0" fontId="42" fillId="0" borderId="0"/>
    <xf numFmtId="0" fontId="42" fillId="0" borderId="0"/>
    <xf numFmtId="0" fontId="42" fillId="0" borderId="0"/>
    <xf numFmtId="0" fontId="42" fillId="0" borderId="0"/>
    <xf numFmtId="0" fontId="4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42" fillId="0" borderId="0"/>
    <xf numFmtId="9" fontId="23" fillId="0" borderId="0" applyFont="0" applyFill="0" applyBorder="0" applyAlignment="0" applyProtection="0"/>
    <xf numFmtId="9" fontId="23" fillId="0" borderId="0" applyFill="0" applyBorder="0" applyAlignment="0" applyProtection="0"/>
    <xf numFmtId="0" fontId="23" fillId="0" borderId="0"/>
    <xf numFmtId="0" fontId="23" fillId="0" borderId="14">
      <alignment horizontal="center"/>
    </xf>
    <xf numFmtId="0" fontId="23" fillId="0" borderId="14">
      <alignment horizontal="center"/>
    </xf>
    <xf numFmtId="0" fontId="23" fillId="0" borderId="14">
      <alignment horizontal="center"/>
    </xf>
    <xf numFmtId="0" fontId="23" fillId="0" borderId="14">
      <alignment horizontal="center"/>
    </xf>
    <xf numFmtId="0" fontId="20" fillId="0" borderId="0"/>
    <xf numFmtId="0" fontId="20" fillId="0" borderId="0"/>
    <xf numFmtId="0" fontId="13" fillId="0" borderId="0"/>
    <xf numFmtId="0" fontId="42" fillId="0" borderId="0"/>
    <xf numFmtId="0" fontId="20" fillId="0" borderId="0"/>
    <xf numFmtId="0" fontId="20" fillId="0" borderId="0"/>
    <xf numFmtId="0" fontId="20" fillId="0" borderId="0"/>
    <xf numFmtId="0" fontId="12" fillId="0" borderId="0"/>
    <xf numFmtId="0" fontId="11" fillId="0" borderId="0"/>
    <xf numFmtId="0" fontId="1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48" fillId="0" borderId="0" applyFont="0" applyFill="0" applyBorder="0" applyAlignment="0" applyProtection="0"/>
    <xf numFmtId="9" fontId="48" fillId="0" borderId="0" applyFont="0" applyFill="0" applyBorder="0" applyAlignment="0" applyProtection="0"/>
    <xf numFmtId="9" fontId="48" fillId="0" borderId="0" applyFont="0" applyFill="0" applyBorder="0" applyAlignment="0" applyProtection="0"/>
    <xf numFmtId="9" fontId="48" fillId="0" borderId="0" applyFont="0" applyFill="0" applyBorder="0" applyAlignment="0" applyProtection="0"/>
    <xf numFmtId="9" fontId="48"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20" fillId="0" borderId="0"/>
    <xf numFmtId="0" fontId="9" fillId="0" borderId="0"/>
    <xf numFmtId="0" fontId="9" fillId="0" borderId="0"/>
    <xf numFmtId="0" fontId="9" fillId="0" borderId="0"/>
    <xf numFmtId="0" fontId="20" fillId="0" borderId="0"/>
    <xf numFmtId="0" fontId="9" fillId="0" borderId="0"/>
    <xf numFmtId="0" fontId="20" fillId="0" borderId="0"/>
    <xf numFmtId="0" fontId="20" fillId="0" borderId="0"/>
    <xf numFmtId="0" fontId="9" fillId="0" borderId="0"/>
    <xf numFmtId="0" fontId="20" fillId="0" borderId="0"/>
    <xf numFmtId="0" fontId="20" fillId="0" borderId="0"/>
    <xf numFmtId="0" fontId="8" fillId="0" borderId="0"/>
    <xf numFmtId="0" fontId="7" fillId="0" borderId="0"/>
    <xf numFmtId="0" fontId="186" fillId="0" borderId="0"/>
    <xf numFmtId="0" fontId="186"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165" fontId="20"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2" fontId="20" fillId="0" borderId="0" applyFont="0" applyFill="0" applyBorder="0" applyAlignment="0" applyProtection="0"/>
    <xf numFmtId="1" fontId="20" fillId="0" borderId="0"/>
    <xf numFmtId="1" fontId="20" fillId="0" borderId="0"/>
    <xf numFmtId="1" fontId="20" fillId="0" borderId="0"/>
    <xf numFmtId="1"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4" fillId="0" borderId="0"/>
    <xf numFmtId="0" fontId="4" fillId="0" borderId="0"/>
    <xf numFmtId="0" fontId="4" fillId="0" borderId="0"/>
    <xf numFmtId="0" fontId="20" fillId="36" borderId="11" applyNumberFormat="0" applyFont="0" applyAlignment="0" applyProtection="0"/>
    <xf numFmtId="10" fontId="20" fillId="0" borderId="0" applyFont="0" applyFill="0" applyBorder="0" applyAlignment="0" applyProtection="0"/>
    <xf numFmtId="10" fontId="20" fillId="0" borderId="0" applyFont="0" applyFill="0" applyBorder="0" applyAlignment="0" applyProtection="0"/>
    <xf numFmtId="10" fontId="20" fillId="0" borderId="0" applyFont="0" applyFill="0" applyBorder="0" applyAlignment="0" applyProtection="0"/>
    <xf numFmtId="9" fontId="20" fillId="0" borderId="0" applyFont="0" applyFill="0" applyBorder="0" applyAlignment="0" applyProtection="0"/>
    <xf numFmtId="9" fontId="4"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14">
      <alignment horizontal="center"/>
    </xf>
    <xf numFmtId="0" fontId="4"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165" fontId="20" fillId="0" borderId="0" applyFont="0" applyFill="0" applyBorder="0" applyAlignment="0" applyProtection="0"/>
    <xf numFmtId="165" fontId="20" fillId="0" borderId="0" applyFont="0" applyFill="0" applyBorder="0" applyAlignment="0" applyProtection="0"/>
    <xf numFmtId="0" fontId="20" fillId="0" borderId="0" applyFont="0" applyFill="0" applyBorder="0" applyAlignment="0" applyProtection="0"/>
    <xf numFmtId="165" fontId="48" fillId="0" borderId="0" applyFont="0" applyFill="0" applyBorder="0" applyAlignment="0" applyProtection="0"/>
    <xf numFmtId="165" fontId="40" fillId="0" borderId="0" applyFont="0" applyFill="0" applyBorder="0" applyAlignment="0" applyProtection="0"/>
    <xf numFmtId="172" fontId="20" fillId="0" borderId="0" applyFont="0" applyFill="0" applyBorder="0" applyAlignment="0" applyProtection="0"/>
    <xf numFmtId="172" fontId="20" fillId="0" borderId="0" applyFont="0" applyFill="0" applyBorder="0" applyAlignment="0" applyProtection="0"/>
    <xf numFmtId="172" fontId="20" fillId="0" borderId="0" applyFont="0" applyFill="0" applyBorder="0" applyAlignment="0" applyProtection="0"/>
    <xf numFmtId="165" fontId="48" fillId="0" borderId="0" applyFont="0" applyFill="0" applyBorder="0" applyAlignment="0" applyProtection="0"/>
    <xf numFmtId="165" fontId="40" fillId="0" borderId="0" applyFont="0" applyFill="0" applyBorder="0" applyAlignment="0" applyProtection="0"/>
    <xf numFmtId="165" fontId="48"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48" fillId="0" borderId="0" applyFont="0" applyFill="0" applyBorder="0" applyAlignment="0" applyProtection="0"/>
    <xf numFmtId="166" fontId="20" fillId="0" borderId="0" applyFill="0" applyBorder="0" applyAlignment="0" applyProtection="0"/>
    <xf numFmtId="166" fontId="20" fillId="0" borderId="0" applyFill="0" applyBorder="0" applyAlignment="0" applyProtection="0"/>
    <xf numFmtId="166" fontId="20" fillId="0" borderId="0" applyFill="0" applyBorder="0" applyAlignment="0" applyProtection="0"/>
    <xf numFmtId="167" fontId="20" fillId="0" borderId="0" applyFill="0" applyBorder="0" applyAlignment="0" applyProtection="0"/>
    <xf numFmtId="167" fontId="20" fillId="0" borderId="0" applyFill="0" applyBorder="0" applyAlignment="0" applyProtection="0"/>
    <xf numFmtId="167" fontId="20" fillId="0" borderId="0" applyFill="0" applyBorder="0" applyAlignment="0" applyProtection="0"/>
    <xf numFmtId="165" fontId="48" fillId="0" borderId="0" applyFont="0" applyFill="0" applyBorder="0" applyAlignment="0" applyProtection="0"/>
    <xf numFmtId="165" fontId="20" fillId="0" borderId="0" applyFont="0" applyFill="0" applyBorder="0" applyAlignment="0" applyProtection="0"/>
    <xf numFmtId="165" fontId="48" fillId="0" borderId="0" applyFont="0" applyFill="0" applyBorder="0" applyAlignment="0" applyProtection="0"/>
    <xf numFmtId="165" fontId="48" fillId="0" borderId="0" applyFont="0" applyFill="0" applyBorder="0" applyAlignment="0" applyProtection="0"/>
    <xf numFmtId="165" fontId="48" fillId="0" borderId="0" applyFont="0" applyFill="0" applyBorder="0" applyAlignment="0" applyProtection="0"/>
    <xf numFmtId="165" fontId="48" fillId="0" borderId="0" applyFont="0" applyFill="0" applyBorder="0" applyAlignment="0" applyProtection="0"/>
    <xf numFmtId="165" fontId="48" fillId="0" borderId="0" applyFont="0" applyFill="0" applyBorder="0" applyAlignment="0" applyProtection="0"/>
    <xf numFmtId="165" fontId="48" fillId="0" borderId="0" applyFont="0" applyFill="0" applyBorder="0" applyAlignment="0" applyProtection="0"/>
    <xf numFmtId="165" fontId="48" fillId="0" borderId="0" applyFont="0" applyFill="0" applyBorder="0" applyAlignment="0" applyProtection="0"/>
    <xf numFmtId="165" fontId="48" fillId="0" borderId="0" applyFont="0" applyFill="0" applyBorder="0" applyAlignment="0" applyProtection="0"/>
    <xf numFmtId="165" fontId="40" fillId="0" borderId="0" applyFont="0" applyFill="0" applyBorder="0" applyAlignment="0" applyProtection="0"/>
    <xf numFmtId="165" fontId="48" fillId="0" borderId="0" applyFont="0" applyFill="0" applyBorder="0" applyAlignment="0" applyProtection="0"/>
    <xf numFmtId="165" fontId="48" fillId="0" borderId="0" applyFont="0" applyFill="0" applyBorder="0" applyAlignment="0" applyProtection="0"/>
    <xf numFmtId="165" fontId="48" fillId="0" borderId="0" applyFont="0" applyFill="0" applyBorder="0" applyAlignment="0" applyProtection="0"/>
    <xf numFmtId="165" fontId="48" fillId="0" borderId="0" applyFont="0" applyFill="0" applyBorder="0" applyAlignment="0" applyProtection="0"/>
    <xf numFmtId="165" fontId="40" fillId="0" borderId="0" applyFont="0" applyFill="0" applyBorder="0" applyAlignment="0" applyProtection="0"/>
    <xf numFmtId="165" fontId="4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174" fontId="20" fillId="0" borderId="0" applyFont="0" applyFill="0" applyBorder="0" applyAlignment="0" applyProtection="0"/>
    <xf numFmtId="2" fontId="20" fillId="0" borderId="0" applyFont="0" applyFill="0" applyBorder="0" applyAlignment="0" applyProtection="0"/>
    <xf numFmtId="2" fontId="20" fillId="0" borderId="0" applyFont="0" applyFill="0" applyBorder="0" applyAlignment="0" applyProtection="0"/>
    <xf numFmtId="1" fontId="20" fillId="0" borderId="0"/>
    <xf numFmtId="1" fontId="20" fillId="0" borderId="0"/>
    <xf numFmtId="0" fontId="20" fillId="0" borderId="0"/>
    <xf numFmtId="0" fontId="20" fillId="0" borderId="0"/>
    <xf numFmtId="164" fontId="20" fillId="0" borderId="0"/>
    <xf numFmtId="164" fontId="20" fillId="0" borderId="0"/>
    <xf numFmtId="0" fontId="20" fillId="0" borderId="0"/>
    <xf numFmtId="0" fontId="20" fillId="0" borderId="0"/>
    <xf numFmtId="0" fontId="4" fillId="0" borderId="0"/>
    <xf numFmtId="0" fontId="4" fillId="0" borderId="0"/>
    <xf numFmtId="0" fontId="4" fillId="0" borderId="0"/>
    <xf numFmtId="0" fontId="4" fillId="0" borderId="0"/>
    <xf numFmtId="0" fontId="4" fillId="0" borderId="0"/>
    <xf numFmtId="0" fontId="20" fillId="0" borderId="0"/>
    <xf numFmtId="0" fontId="20" fillId="0" borderId="0">
      <alignment vertical="center"/>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0" fillId="0" borderId="0"/>
    <xf numFmtId="0" fontId="20" fillId="0" borderId="0"/>
    <xf numFmtId="0" fontId="4" fillId="0" borderId="0"/>
    <xf numFmtId="0" fontId="20" fillId="0" borderId="0"/>
    <xf numFmtId="0" fontId="20" fillId="0" borderId="0"/>
    <xf numFmtId="0" fontId="4" fillId="0" borderId="0"/>
    <xf numFmtId="0" fontId="4" fillId="0" borderId="0"/>
    <xf numFmtId="0" fontId="20" fillId="0" borderId="0"/>
    <xf numFmtId="0" fontId="20" fillId="0" borderId="0"/>
    <xf numFmtId="0" fontId="4" fillId="0" borderId="0"/>
    <xf numFmtId="0" fontId="4" fillId="0" borderId="0"/>
    <xf numFmtId="0" fontId="20" fillId="0" borderId="0"/>
    <xf numFmtId="0" fontId="20" fillId="0" borderId="0"/>
    <xf numFmtId="0" fontId="20" fillId="0" borderId="0"/>
    <xf numFmtId="0" fontId="4" fillId="0" borderId="0"/>
    <xf numFmtId="0" fontId="20" fillId="0" borderId="0"/>
    <xf numFmtId="0" fontId="4" fillId="0" borderId="0"/>
    <xf numFmtId="0" fontId="20" fillId="0" borderId="0"/>
    <xf numFmtId="0" fontId="20" fillId="0" borderId="0"/>
    <xf numFmtId="0" fontId="20" fillId="0" borderId="0"/>
    <xf numFmtId="0" fontId="4" fillId="0" borderId="0"/>
    <xf numFmtId="0" fontId="4" fillId="0" borderId="0"/>
    <xf numFmtId="0" fontId="20" fillId="0" borderId="0"/>
    <xf numFmtId="0" fontId="4" fillId="0" borderId="0"/>
    <xf numFmtId="0" fontId="20" fillId="0" borderId="0"/>
    <xf numFmtId="0" fontId="20" fillId="0" borderId="0"/>
    <xf numFmtId="0" fontId="20" fillId="0" borderId="0"/>
    <xf numFmtId="0" fontId="4" fillId="0" borderId="0"/>
    <xf numFmtId="0" fontId="4" fillId="0" borderId="0"/>
    <xf numFmtId="0" fontId="20" fillId="0" borderId="0"/>
    <xf numFmtId="0" fontId="4" fillId="0" borderId="0"/>
    <xf numFmtId="0" fontId="20" fillId="0" borderId="0"/>
    <xf numFmtId="0" fontId="20" fillId="0" borderId="0"/>
    <xf numFmtId="0" fontId="20" fillId="0" borderId="0"/>
    <xf numFmtId="0" fontId="4" fillId="0" borderId="0"/>
    <xf numFmtId="0" fontId="4" fillId="0" borderId="0"/>
    <xf numFmtId="0" fontId="20" fillId="0" borderId="0"/>
    <xf numFmtId="0" fontId="4" fillId="0" borderId="0"/>
    <xf numFmtId="0" fontId="20" fillId="0" borderId="0"/>
    <xf numFmtId="0" fontId="20" fillId="0" borderId="0"/>
    <xf numFmtId="0" fontId="20" fillId="0" borderId="0"/>
    <xf numFmtId="0" fontId="4" fillId="0" borderId="0"/>
    <xf numFmtId="0" fontId="4" fillId="0" borderId="0"/>
    <xf numFmtId="0" fontId="4" fillId="0" borderId="0"/>
    <xf numFmtId="0" fontId="4" fillId="0" borderId="0"/>
    <xf numFmtId="0" fontId="20" fillId="0" borderId="0"/>
    <xf numFmtId="0" fontId="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0" fillId="0" borderId="0"/>
    <xf numFmtId="0" fontId="20" fillId="0" borderId="0"/>
    <xf numFmtId="0" fontId="4" fillId="0" borderId="0"/>
    <xf numFmtId="0" fontId="4" fillId="0" borderId="0"/>
    <xf numFmtId="0" fontId="20" fillId="0" borderId="0"/>
    <xf numFmtId="0" fontId="20" fillId="0" borderId="0"/>
    <xf numFmtId="0" fontId="20" fillId="0" borderId="0"/>
    <xf numFmtId="0" fontId="20" fillId="0" borderId="0"/>
    <xf numFmtId="0" fontId="20" fillId="0" borderId="0"/>
    <xf numFmtId="0" fontId="4" fillId="0" borderId="0"/>
    <xf numFmtId="0" fontId="4" fillId="0" borderId="0"/>
    <xf numFmtId="0" fontId="4" fillId="0" borderId="0"/>
    <xf numFmtId="0" fontId="4" fillId="0" borderId="0"/>
    <xf numFmtId="0" fontId="20" fillId="0" borderId="0"/>
    <xf numFmtId="0" fontId="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0" fillId="0" borderId="0"/>
    <xf numFmtId="0" fontId="4" fillId="0" borderId="0"/>
    <xf numFmtId="0" fontId="20" fillId="0" borderId="0"/>
    <xf numFmtId="0" fontId="20" fillId="0" borderId="0"/>
    <xf numFmtId="0" fontId="20" fillId="0" borderId="0"/>
    <xf numFmtId="0" fontId="4" fillId="0" borderId="0"/>
    <xf numFmtId="0" fontId="4" fillId="0" borderId="0"/>
    <xf numFmtId="0" fontId="20" fillId="0" borderId="0"/>
    <xf numFmtId="0" fontId="4" fillId="0" borderId="0"/>
    <xf numFmtId="0" fontId="20" fillId="0" borderId="0"/>
    <xf numFmtId="0" fontId="20" fillId="0" borderId="0"/>
    <xf numFmtId="0" fontId="20" fillId="0" borderId="0"/>
    <xf numFmtId="0" fontId="4" fillId="0" borderId="0"/>
    <xf numFmtId="0" fontId="4" fillId="0" borderId="0"/>
    <xf numFmtId="0" fontId="20" fillId="0" borderId="0"/>
    <xf numFmtId="0" fontId="4" fillId="0" borderId="0"/>
    <xf numFmtId="0" fontId="20" fillId="0" borderId="0"/>
    <xf numFmtId="0" fontId="20" fillId="0" borderId="0"/>
    <xf numFmtId="0" fontId="20" fillId="0" borderId="0"/>
    <xf numFmtId="0" fontId="4" fillId="0" borderId="0"/>
    <xf numFmtId="0" fontId="4" fillId="0" borderId="0"/>
    <xf numFmtId="0" fontId="20" fillId="0" borderId="0"/>
    <xf numFmtId="0" fontId="4" fillId="0" borderId="0"/>
    <xf numFmtId="0" fontId="20" fillId="0" borderId="0"/>
    <xf numFmtId="0" fontId="20" fillId="0" borderId="0"/>
    <xf numFmtId="0" fontId="20" fillId="0" borderId="0"/>
    <xf numFmtId="0" fontId="4" fillId="0" borderId="0"/>
    <xf numFmtId="0" fontId="4" fillId="0" borderId="0"/>
    <xf numFmtId="0" fontId="20" fillId="0" borderId="0"/>
    <xf numFmtId="0" fontId="20" fillId="0" borderId="0"/>
    <xf numFmtId="0" fontId="4" fillId="0" borderId="0"/>
    <xf numFmtId="0" fontId="4" fillId="0" borderId="0"/>
    <xf numFmtId="0" fontId="4" fillId="0" borderId="0"/>
    <xf numFmtId="0" fontId="4" fillId="0" borderId="0"/>
    <xf numFmtId="0" fontId="4" fillId="0" borderId="0"/>
    <xf numFmtId="0" fontId="20" fillId="0" borderId="0"/>
    <xf numFmtId="0" fontId="20" fillId="0" borderId="0"/>
    <xf numFmtId="0" fontId="20" fillId="0" borderId="0"/>
    <xf numFmtId="0" fontId="4"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4" fillId="0" borderId="0"/>
    <xf numFmtId="0" fontId="4" fillId="0" borderId="0"/>
    <xf numFmtId="0" fontId="4" fillId="0" borderId="0"/>
    <xf numFmtId="0" fontId="4" fillId="0" borderId="0"/>
    <xf numFmtId="0" fontId="4" fillId="0" borderId="0"/>
    <xf numFmtId="0" fontId="4" fillId="0" borderId="0"/>
    <xf numFmtId="0" fontId="20" fillId="0" borderId="0"/>
    <xf numFmtId="0" fontId="4" fillId="0" borderId="0"/>
    <xf numFmtId="0" fontId="4" fillId="0" borderId="0"/>
    <xf numFmtId="0" fontId="4"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4" fillId="0" borderId="0"/>
    <xf numFmtId="0" fontId="4" fillId="0" borderId="0"/>
    <xf numFmtId="0" fontId="20" fillId="0" borderId="0"/>
    <xf numFmtId="0" fontId="4" fillId="0" borderId="0"/>
    <xf numFmtId="0" fontId="20" fillId="0" borderId="0"/>
    <xf numFmtId="0" fontId="20" fillId="0" borderId="0"/>
    <xf numFmtId="0" fontId="20" fillId="0" borderId="0"/>
    <xf numFmtId="0" fontId="20" fillId="0" borderId="0"/>
    <xf numFmtId="0" fontId="20" fillId="0" borderId="0"/>
    <xf numFmtId="0" fontId="20" fillId="0" borderId="0"/>
    <xf numFmtId="0" fontId="4"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20" borderId="11" applyNumberFormat="0" applyFont="0" applyAlignment="0" applyProtection="0"/>
    <xf numFmtId="0" fontId="20" fillId="20" borderId="11" applyNumberFormat="0" applyFont="0" applyAlignment="0" applyProtection="0"/>
    <xf numFmtId="0" fontId="20" fillId="20" borderId="11" applyNumberFormat="0" applyFont="0" applyAlignment="0" applyProtection="0"/>
    <xf numFmtId="0" fontId="20" fillId="20" borderId="11" applyNumberFormat="0" applyFont="0" applyAlignment="0" applyProtection="0"/>
    <xf numFmtId="0" fontId="20" fillId="20" borderId="11" applyNumberFormat="0" applyFont="0" applyAlignment="0" applyProtection="0"/>
    <xf numFmtId="0" fontId="20" fillId="20" borderId="11" applyNumberFormat="0" applyFont="0" applyAlignment="0" applyProtection="0"/>
    <xf numFmtId="0" fontId="20" fillId="36" borderId="11" applyNumberFormat="0" applyFont="0" applyAlignment="0" applyProtection="0"/>
    <xf numFmtId="0" fontId="20" fillId="20" borderId="11" applyNumberFormat="0" applyFont="0" applyAlignment="0" applyProtection="0"/>
    <xf numFmtId="0" fontId="20" fillId="36" borderId="11" applyNumberFormat="0" applyFont="0" applyAlignment="0" applyProtection="0"/>
    <xf numFmtId="0" fontId="20" fillId="36" borderId="11" applyNumberFormat="0" applyFont="0" applyAlignment="0" applyProtection="0"/>
    <xf numFmtId="0" fontId="20" fillId="20" borderId="11" applyNumberFormat="0" applyFont="0" applyAlignment="0" applyProtection="0"/>
    <xf numFmtId="0" fontId="20" fillId="20" borderId="11" applyNumberFormat="0" applyFont="0" applyAlignment="0" applyProtection="0"/>
    <xf numFmtId="0" fontId="20" fillId="20" borderId="11" applyNumberFormat="0" applyFont="0" applyAlignment="0" applyProtection="0"/>
    <xf numFmtId="0" fontId="20" fillId="20" borderId="11" applyNumberFormat="0" applyFont="0" applyAlignment="0" applyProtection="0"/>
    <xf numFmtId="0" fontId="20" fillId="20" borderId="11" applyNumberFormat="0" applyFont="0" applyAlignment="0" applyProtection="0"/>
    <xf numFmtId="0" fontId="20" fillId="20" borderId="11" applyNumberFormat="0" applyFont="0" applyAlignment="0" applyProtection="0"/>
    <xf numFmtId="0" fontId="20" fillId="20" borderId="11" applyNumberFormat="0" applyFont="0" applyAlignment="0" applyProtection="0"/>
    <xf numFmtId="10" fontId="20" fillId="0" borderId="0" applyFont="0" applyFill="0" applyBorder="0" applyAlignment="0" applyProtection="0"/>
    <xf numFmtId="10"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49" fontId="20" fillId="0" borderId="0"/>
    <xf numFmtId="170" fontId="20" fillId="0" borderId="0" applyFont="0" applyFill="0" applyBorder="0" applyAlignment="0" applyProtection="0"/>
    <xf numFmtId="170" fontId="20" fillId="0" borderId="0" applyFont="0" applyFill="0" applyBorder="0" applyAlignment="0" applyProtection="0"/>
    <xf numFmtId="0" fontId="20" fillId="0" borderId="0"/>
    <xf numFmtId="0" fontId="20" fillId="0" borderId="0"/>
    <xf numFmtId="0" fontId="20" fillId="0" borderId="14">
      <alignment horizontal="center"/>
    </xf>
    <xf numFmtId="0" fontId="20" fillId="0" borderId="14">
      <alignment horizontal="center"/>
    </xf>
    <xf numFmtId="0" fontId="4" fillId="0" borderId="0"/>
    <xf numFmtId="0" fontId="4" fillId="0" borderId="0"/>
    <xf numFmtId="170" fontId="20"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0" fillId="0" borderId="0"/>
    <xf numFmtId="0" fontId="4" fillId="0" borderId="0"/>
    <xf numFmtId="0" fontId="4" fillId="0" borderId="0"/>
    <xf numFmtId="0" fontId="4" fillId="0" borderId="0"/>
    <xf numFmtId="0" fontId="4" fillId="0" borderId="0"/>
    <xf numFmtId="0" fontId="20" fillId="0" borderId="0"/>
    <xf numFmtId="0" fontId="20" fillId="0" borderId="0"/>
    <xf numFmtId="0" fontId="20" fillId="0" borderId="0"/>
    <xf numFmtId="0" fontId="20" fillId="0" borderId="0"/>
    <xf numFmtId="0" fontId="4" fillId="0" borderId="0"/>
    <xf numFmtId="0" fontId="4" fillId="0" borderId="0"/>
    <xf numFmtId="0" fontId="4" fillId="0" borderId="0"/>
    <xf numFmtId="0" fontId="20" fillId="0" borderId="0"/>
    <xf numFmtId="0" fontId="20" fillId="0" borderId="0"/>
    <xf numFmtId="0" fontId="20" fillId="0" borderId="0"/>
    <xf numFmtId="0" fontId="20" fillId="0" borderId="0"/>
    <xf numFmtId="0" fontId="4" fillId="0" borderId="0"/>
    <xf numFmtId="174" fontId="20" fillId="0" borderId="0" applyFont="0" applyFill="0" applyBorder="0" applyAlignment="0" applyProtection="0"/>
    <xf numFmtId="2"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14">
      <alignment horizontal="center"/>
    </xf>
    <xf numFmtId="0" fontId="20" fillId="0" borderId="14">
      <alignment horizontal="center"/>
    </xf>
    <xf numFmtId="0" fontId="20" fillId="0" borderId="14">
      <alignment horizontal="center"/>
    </xf>
    <xf numFmtId="0" fontId="4" fillId="0" borderId="0"/>
    <xf numFmtId="0" fontId="4" fillId="0" borderId="0"/>
    <xf numFmtId="0" fontId="4" fillId="0" borderId="0"/>
    <xf numFmtId="0" fontId="4" fillId="0" borderId="0"/>
    <xf numFmtId="0" fontId="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cellStyleXfs>
  <cellXfs count="1835">
    <xf numFmtId="0" fontId="0" fillId="0" borderId="0" xfId="0"/>
    <xf numFmtId="0" fontId="23" fillId="0" borderId="0" xfId="121" applyAlignment="1">
      <alignment vertical="center"/>
    </xf>
    <xf numFmtId="0" fontId="23" fillId="0" borderId="0" xfId="121" applyAlignment="1">
      <alignment horizontal="center"/>
    </xf>
    <xf numFmtId="0" fontId="70" fillId="0" borderId="0" xfId="121" applyFont="1" applyAlignment="1">
      <alignment horizontal="center" vertical="center"/>
    </xf>
    <xf numFmtId="0" fontId="73" fillId="0" borderId="0" xfId="121" applyFont="1"/>
    <xf numFmtId="0" fontId="74" fillId="0" borderId="0" xfId="121" applyFont="1" applyAlignment="1">
      <alignment horizontal="center"/>
    </xf>
    <xf numFmtId="0" fontId="74" fillId="0" borderId="0" xfId="121" applyFont="1" applyAlignment="1">
      <alignment horizontal="center" vertical="top"/>
    </xf>
    <xf numFmtId="0" fontId="74" fillId="0" borderId="0" xfId="121" applyFont="1" applyAlignment="1">
      <alignment horizontal="center" vertical="center"/>
    </xf>
    <xf numFmtId="0" fontId="77" fillId="0" borderId="0" xfId="121" applyFont="1" applyAlignment="1">
      <alignment horizontal="center" vertical="center"/>
    </xf>
    <xf numFmtId="2" fontId="94" fillId="0" borderId="15" xfId="0" applyNumberFormat="1" applyFont="1" applyBorder="1" applyAlignment="1">
      <alignment horizontal="right" vertical="top"/>
    </xf>
    <xf numFmtId="2" fontId="94" fillId="0" borderId="15" xfId="0" applyNumberFormat="1" applyFont="1" applyBorder="1" applyAlignment="1">
      <alignment horizontal="center" vertical="top"/>
    </xf>
    <xf numFmtId="2" fontId="94" fillId="0" borderId="15" xfId="95" applyNumberFormat="1" applyFont="1" applyBorder="1" applyAlignment="1">
      <alignment vertical="top"/>
    </xf>
    <xf numFmtId="0" fontId="94" fillId="0" borderId="0" xfId="0" applyFont="1" applyAlignment="1">
      <alignment horizontal="center" vertical="top"/>
    </xf>
    <xf numFmtId="0" fontId="94" fillId="0" borderId="15" xfId="95" applyFont="1" applyBorder="1" applyAlignment="1">
      <alignment horizontal="center" vertical="top" wrapText="1"/>
    </xf>
    <xf numFmtId="0" fontId="94" fillId="0" borderId="0" xfId="95" applyFont="1" applyAlignment="1">
      <alignment horizontal="center" vertical="top"/>
    </xf>
    <xf numFmtId="2" fontId="94" fillId="0" borderId="15" xfId="0" applyNumberFormat="1" applyFont="1" applyBorder="1" applyAlignment="1">
      <alignment horizontal="center"/>
    </xf>
    <xf numFmtId="0" fontId="94" fillId="0" borderId="15" xfId="0" applyFont="1" applyBorder="1" applyAlignment="1">
      <alignment horizontal="center" vertical="top"/>
    </xf>
    <xf numFmtId="49" fontId="94" fillId="0" borderId="0" xfId="969" applyNumberFormat="1" applyFont="1" applyAlignment="1">
      <alignment horizontal="center" vertical="center" wrapText="1"/>
    </xf>
    <xf numFmtId="49" fontId="100" fillId="0" borderId="0" xfId="969" applyNumberFormat="1" applyFont="1" applyAlignment="1">
      <alignment horizontal="center" vertical="center" wrapText="1"/>
    </xf>
    <xf numFmtId="49" fontId="122" fillId="0" borderId="0" xfId="969" applyNumberFormat="1" applyFont="1" applyAlignment="1">
      <alignment horizontal="left" vertical="center" wrapText="1"/>
    </xf>
    <xf numFmtId="0" fontId="100" fillId="0" borderId="0" xfId="969" applyFont="1" applyAlignment="1">
      <alignment horizontal="left"/>
    </xf>
    <xf numFmtId="2" fontId="100" fillId="0" borderId="0" xfId="969" applyNumberFormat="1" applyFont="1" applyAlignment="1">
      <alignment horizontal="right"/>
    </xf>
    <xf numFmtId="0" fontId="100" fillId="0" borderId="0" xfId="969" applyFont="1"/>
    <xf numFmtId="49" fontId="94" fillId="0" borderId="15" xfId="969" applyNumberFormat="1" applyFont="1" applyBorder="1" applyAlignment="1">
      <alignment horizontal="center" vertical="top" wrapText="1"/>
    </xf>
    <xf numFmtId="2" fontId="94" fillId="0" borderId="19" xfId="95" applyNumberFormat="1" applyFont="1" applyBorder="1" applyAlignment="1">
      <alignment horizontal="left" vertical="top"/>
    </xf>
    <xf numFmtId="2" fontId="94" fillId="0" borderId="15" xfId="95" applyNumberFormat="1" applyFont="1" applyBorder="1" applyAlignment="1">
      <alignment horizontal="right" vertical="top" wrapText="1"/>
    </xf>
    <xf numFmtId="49" fontId="94" fillId="0" borderId="0" xfId="969" applyNumberFormat="1" applyFont="1" applyAlignment="1">
      <alignment horizontal="center" vertical="top" wrapText="1"/>
    </xf>
    <xf numFmtId="0" fontId="94" fillId="0" borderId="15" xfId="96" applyFont="1" applyBorder="1" applyAlignment="1">
      <alignment horizontal="justify" vertical="top" wrapText="1"/>
    </xf>
    <xf numFmtId="2" fontId="94" fillId="0" borderId="17" xfId="969" applyNumberFormat="1" applyFont="1" applyBorder="1" applyAlignment="1">
      <alignment horizontal="right" vertical="top" wrapText="1"/>
    </xf>
    <xf numFmtId="2" fontId="94" fillId="0" borderId="15" xfId="969" applyNumberFormat="1" applyFont="1" applyBorder="1" applyAlignment="1">
      <alignment horizontal="center" vertical="top" wrapText="1"/>
    </xf>
    <xf numFmtId="49" fontId="94" fillId="0" borderId="15" xfId="969" applyNumberFormat="1" applyFont="1" applyBorder="1" applyAlignment="1">
      <alignment horizontal="justify" vertical="top" wrapText="1"/>
    </xf>
    <xf numFmtId="2" fontId="101" fillId="0" borderId="15" xfId="969" applyNumberFormat="1" applyFont="1" applyBorder="1" applyAlignment="1">
      <alignment horizontal="right" vertical="top" wrapText="1"/>
    </xf>
    <xf numFmtId="49" fontId="94" fillId="0" borderId="0" xfId="969" applyNumberFormat="1" applyFont="1" applyAlignment="1">
      <alignment horizontal="justify" vertical="center" wrapText="1"/>
    </xf>
    <xf numFmtId="2" fontId="94" fillId="0" borderId="0" xfId="969" applyNumberFormat="1" applyFont="1" applyAlignment="1">
      <alignment horizontal="right" vertical="center" wrapText="1"/>
    </xf>
    <xf numFmtId="49" fontId="94" fillId="0" borderId="0" xfId="969" applyNumberFormat="1" applyFont="1" applyAlignment="1">
      <alignment vertical="center" wrapText="1"/>
    </xf>
    <xf numFmtId="49" fontId="94" fillId="0" borderId="0" xfId="969" applyNumberFormat="1" applyFont="1" applyAlignment="1">
      <alignment horizontal="right" vertical="center" wrapText="1"/>
    </xf>
    <xf numFmtId="0" fontId="100" fillId="0" borderId="0" xfId="969" applyFont="1" applyAlignment="1">
      <alignment horizontal="center"/>
    </xf>
    <xf numFmtId="2" fontId="94" fillId="0" borderId="17" xfId="969" applyNumberFormat="1" applyFont="1" applyBorder="1" applyAlignment="1">
      <alignment horizontal="center" vertical="top" wrapText="1"/>
    </xf>
    <xf numFmtId="0" fontId="94" fillId="0" borderId="15" xfId="0" applyFont="1" applyBorder="1" applyAlignment="1">
      <alignment horizontal="right" vertical="top"/>
    </xf>
    <xf numFmtId="0" fontId="94" fillId="0" borderId="15" xfId="0" applyFont="1" applyBorder="1" applyAlignment="1">
      <alignment vertical="top"/>
    </xf>
    <xf numFmtId="166" fontId="94" fillId="0" borderId="15" xfId="0" applyNumberFormat="1" applyFont="1" applyBorder="1" applyAlignment="1">
      <alignment vertical="top"/>
    </xf>
    <xf numFmtId="0" fontId="94" fillId="0" borderId="0" xfId="95" applyFont="1" applyAlignment="1">
      <alignment vertical="top"/>
    </xf>
    <xf numFmtId="0" fontId="124" fillId="0" borderId="0" xfId="859" applyFont="1"/>
    <xf numFmtId="0" fontId="125" fillId="0" borderId="0" xfId="859" applyFont="1"/>
    <xf numFmtId="0" fontId="126" fillId="0" borderId="0" xfId="859" applyFont="1"/>
    <xf numFmtId="2" fontId="127" fillId="0" borderId="0" xfId="859" applyNumberFormat="1" applyFont="1"/>
    <xf numFmtId="0" fontId="127" fillId="0" borderId="0" xfId="859" applyFont="1"/>
    <xf numFmtId="0" fontId="128" fillId="0" borderId="0" xfId="96" applyFont="1"/>
    <xf numFmtId="0" fontId="129" fillId="0" borderId="0" xfId="0" applyFont="1" applyAlignment="1">
      <alignment horizontal="center"/>
    </xf>
    <xf numFmtId="0" fontId="129" fillId="0" borderId="0" xfId="0" applyFont="1" applyAlignment="1">
      <alignment vertical="top"/>
    </xf>
    <xf numFmtId="0" fontId="98" fillId="0" borderId="0" xfId="0" applyFont="1" applyAlignment="1">
      <alignment horizontal="center"/>
    </xf>
    <xf numFmtId="0" fontId="98" fillId="0" borderId="0" xfId="0" applyFont="1" applyAlignment="1">
      <alignment horizontal="right"/>
    </xf>
    <xf numFmtId="0" fontId="130" fillId="0" borderId="0" xfId="859" applyFont="1"/>
    <xf numFmtId="2" fontId="94" fillId="0" borderId="15" xfId="0" applyNumberFormat="1" applyFont="1" applyBorder="1" applyAlignment="1">
      <alignment vertical="top"/>
    </xf>
    <xf numFmtId="0" fontId="94" fillId="0" borderId="15" xfId="95" applyFont="1" applyBorder="1" applyAlignment="1">
      <alignment vertical="top" wrapText="1"/>
    </xf>
    <xf numFmtId="0" fontId="102" fillId="0" borderId="0" xfId="0" applyFont="1" applyAlignment="1">
      <alignment horizontal="center" vertical="top"/>
    </xf>
    <xf numFmtId="2" fontId="94" fillId="0" borderId="0" xfId="969" applyNumberFormat="1" applyFont="1" applyAlignment="1">
      <alignment horizontal="center" vertical="center" wrapText="1"/>
    </xf>
    <xf numFmtId="0" fontId="101" fillId="0" borderId="0" xfId="0" applyFont="1" applyAlignment="1">
      <alignment horizontal="right" vertical="center" wrapText="1"/>
    </xf>
    <xf numFmtId="0" fontId="94" fillId="0" borderId="0" xfId="0" applyFont="1" applyAlignment="1">
      <alignment vertical="top"/>
    </xf>
    <xf numFmtId="0" fontId="101" fillId="0" borderId="0" xfId="0" applyFont="1" applyAlignment="1">
      <alignment vertical="top"/>
    </xf>
    <xf numFmtId="0" fontId="94" fillId="0" borderId="0" xfId="0" applyFont="1"/>
    <xf numFmtId="0" fontId="98" fillId="0" borderId="0" xfId="1384" applyFont="1" applyAlignment="1">
      <alignment vertical="top"/>
    </xf>
    <xf numFmtId="0" fontId="158" fillId="0" borderId="22" xfId="1384" applyFont="1" applyBorder="1" applyAlignment="1">
      <alignment horizontal="center" vertical="center" wrapText="1"/>
    </xf>
    <xf numFmtId="0" fontId="158" fillId="0" borderId="22" xfId="1384" applyFont="1" applyBorder="1" applyAlignment="1">
      <alignment horizontal="right" vertical="center" wrapText="1"/>
    </xf>
    <xf numFmtId="0" fontId="158" fillId="0" borderId="0" xfId="1384" applyFont="1" applyAlignment="1">
      <alignment horizontal="right" vertical="center" wrapText="1"/>
    </xf>
    <xf numFmtId="2" fontId="129" fillId="0" borderId="22" xfId="1384" applyNumberFormat="1" applyFont="1" applyBorder="1" applyAlignment="1">
      <alignment horizontal="center" vertical="center" wrapText="1"/>
    </xf>
    <xf numFmtId="0" fontId="129" fillId="0" borderId="15" xfId="1384" applyFont="1" applyBorder="1" applyAlignment="1">
      <alignment horizontal="center" vertical="center"/>
    </xf>
    <xf numFmtId="0" fontId="129" fillId="0" borderId="15" xfId="1384" applyFont="1" applyBorder="1" applyAlignment="1">
      <alignment horizontal="center" vertical="center" wrapText="1"/>
    </xf>
    <xf numFmtId="0" fontId="129" fillId="0" borderId="0" xfId="1384" applyFont="1" applyAlignment="1">
      <alignment vertical="center"/>
    </xf>
    <xf numFmtId="0" fontId="129" fillId="0" borderId="15" xfId="1384" applyFont="1" applyBorder="1" applyAlignment="1">
      <alignment horizontal="center" vertical="top"/>
    </xf>
    <xf numFmtId="0" fontId="129" fillId="0" borderId="15" xfId="1384" applyFont="1" applyBorder="1" applyAlignment="1">
      <alignment vertical="top" wrapText="1"/>
    </xf>
    <xf numFmtId="2" fontId="138" fillId="0" borderId="15" xfId="1384" applyNumberFormat="1" applyFont="1" applyBorder="1" applyAlignment="1">
      <alignment vertical="top"/>
    </xf>
    <xf numFmtId="2" fontId="138" fillId="0" borderId="15" xfId="1384" applyNumberFormat="1" applyFont="1" applyBorder="1" applyAlignment="1">
      <alignment horizontal="center" vertical="top"/>
    </xf>
    <xf numFmtId="0" fontId="129" fillId="0" borderId="0" xfId="1384" applyFont="1" applyAlignment="1">
      <alignment vertical="top"/>
    </xf>
    <xf numFmtId="2" fontId="129" fillId="0" borderId="15" xfId="1384" applyNumberFormat="1" applyFont="1" applyBorder="1" applyAlignment="1">
      <alignment vertical="top"/>
    </xf>
    <xf numFmtId="0" fontId="129" fillId="0" borderId="0" xfId="1384" applyFont="1" applyAlignment="1">
      <alignment horizontal="center" vertical="top"/>
    </xf>
    <xf numFmtId="0" fontId="129" fillId="0" borderId="0" xfId="1384" applyFont="1" applyAlignment="1">
      <alignment vertical="top" wrapText="1"/>
    </xf>
    <xf numFmtId="2" fontId="129" fillId="0" borderId="0" xfId="1384" applyNumberFormat="1" applyFont="1" applyAlignment="1">
      <alignment vertical="top"/>
    </xf>
    <xf numFmtId="2" fontId="129" fillId="0" borderId="0" xfId="1384" applyNumberFormat="1" applyFont="1" applyAlignment="1">
      <alignment horizontal="right" vertical="top"/>
    </xf>
    <xf numFmtId="0" fontId="129" fillId="0" borderId="0" xfId="1384" applyFont="1" applyAlignment="1">
      <alignment horizontal="right" vertical="top"/>
    </xf>
    <xf numFmtId="0" fontId="98" fillId="0" borderId="0" xfId="1384" applyFont="1" applyAlignment="1">
      <alignment horizontal="right" vertical="top"/>
    </xf>
    <xf numFmtId="166" fontId="138" fillId="0" borderId="15" xfId="1384" applyNumberFormat="1" applyFont="1" applyBorder="1" applyAlignment="1">
      <alignment horizontal="center" vertical="top"/>
    </xf>
    <xf numFmtId="0" fontId="94" fillId="0" borderId="15" xfId="0" applyFont="1" applyBorder="1" applyAlignment="1">
      <alignment horizontal="center" wrapText="1"/>
    </xf>
    <xf numFmtId="0" fontId="162" fillId="0" borderId="0" xfId="1387" applyFont="1" applyAlignment="1">
      <alignment horizontal="center" vertical="top"/>
    </xf>
    <xf numFmtId="0" fontId="94" fillId="0" borderId="0" xfId="1388" applyFont="1" applyAlignment="1">
      <alignment vertical="top"/>
    </xf>
    <xf numFmtId="0" fontId="94" fillId="0" borderId="0" xfId="1388" applyFont="1"/>
    <xf numFmtId="0" fontId="116" fillId="0" borderId="0" xfId="1388" applyFont="1"/>
    <xf numFmtId="0" fontId="94" fillId="0" borderId="0" xfId="1388" applyFont="1" applyAlignment="1">
      <alignment horizontal="center"/>
    </xf>
    <xf numFmtId="2" fontId="101" fillId="0" borderId="0" xfId="1388" applyNumberFormat="1" applyFont="1" applyAlignment="1">
      <alignment horizontal="right" vertical="center"/>
    </xf>
    <xf numFmtId="0" fontId="101" fillId="0" borderId="0" xfId="1388" applyFont="1" applyAlignment="1">
      <alignment horizontal="justify" vertical="center"/>
    </xf>
    <xf numFmtId="2" fontId="101" fillId="0" borderId="0" xfId="1388" applyNumberFormat="1" applyFont="1" applyAlignment="1">
      <alignment horizontal="justify" vertical="center"/>
    </xf>
    <xf numFmtId="0" fontId="97" fillId="0" borderId="0" xfId="1388" applyFont="1" applyAlignment="1">
      <alignment vertical="top"/>
    </xf>
    <xf numFmtId="0" fontId="97" fillId="0" borderId="0" xfId="1388" applyFont="1"/>
    <xf numFmtId="2" fontId="107" fillId="0" borderId="8" xfId="1388" applyNumberFormat="1" applyFont="1" applyBorder="1" applyAlignment="1">
      <alignment horizontal="center" vertical="center" wrapText="1"/>
    </xf>
    <xf numFmtId="0" fontId="97" fillId="0" borderId="0" xfId="1388" applyFont="1" applyAlignment="1">
      <alignment horizontal="center" vertical="top"/>
    </xf>
    <xf numFmtId="49" fontId="107" fillId="0" borderId="8" xfId="1388" applyNumberFormat="1" applyFont="1" applyBorder="1" applyAlignment="1">
      <alignment horizontal="right" vertical="center" wrapText="1"/>
    </xf>
    <xf numFmtId="0" fontId="164" fillId="0" borderId="10" xfId="1388" applyFont="1" applyBorder="1" applyAlignment="1">
      <alignment horizontal="center" vertical="top"/>
    </xf>
    <xf numFmtId="2" fontId="164" fillId="0" borderId="40" xfId="1388" applyNumberFormat="1" applyFont="1" applyBorder="1" applyAlignment="1">
      <alignment horizontal="right" vertical="top" wrapText="1"/>
    </xf>
    <xf numFmtId="49" fontId="122" fillId="0" borderId="41" xfId="1389" applyNumberFormat="1" applyFont="1" applyBorder="1" applyAlignment="1">
      <alignment horizontal="center" vertical="center" wrapText="1"/>
    </xf>
    <xf numFmtId="2" fontId="164" fillId="0" borderId="42" xfId="1388" applyNumberFormat="1" applyFont="1" applyBorder="1" applyAlignment="1">
      <alignment horizontal="center" vertical="top" wrapText="1"/>
    </xf>
    <xf numFmtId="0" fontId="97" fillId="0" borderId="42" xfId="1384" applyFont="1" applyBorder="1" applyAlignment="1">
      <alignment horizontal="justify" vertical="top" wrapText="1"/>
    </xf>
    <xf numFmtId="49" fontId="164" fillId="0" borderId="42" xfId="1384" applyNumberFormat="1" applyFont="1" applyBorder="1" applyAlignment="1">
      <alignment horizontal="center" vertical="top" wrapText="1"/>
    </xf>
    <xf numFmtId="2" fontId="164" fillId="0" borderId="42" xfId="1388" applyNumberFormat="1" applyFont="1" applyBorder="1" applyAlignment="1">
      <alignment horizontal="right" vertical="top" wrapText="1"/>
    </xf>
    <xf numFmtId="49" fontId="164" fillId="0" borderId="40" xfId="1384" applyNumberFormat="1" applyFont="1" applyBorder="1" applyAlignment="1">
      <alignment horizontal="justify" vertical="top" wrapText="1"/>
    </xf>
    <xf numFmtId="2" fontId="164" fillId="0" borderId="0" xfId="1384" applyNumberFormat="1" applyFont="1" applyAlignment="1">
      <alignment vertical="top"/>
    </xf>
    <xf numFmtId="0" fontId="164" fillId="0" borderId="0" xfId="1384" applyFont="1" applyAlignment="1">
      <alignment vertical="top"/>
    </xf>
    <xf numFmtId="2" fontId="164" fillId="0" borderId="0" xfId="1388" applyNumberFormat="1" applyFont="1" applyAlignment="1">
      <alignment vertical="top"/>
    </xf>
    <xf numFmtId="49" fontId="94" fillId="0" borderId="41" xfId="1389" applyNumberFormat="1" applyFont="1" applyBorder="1" applyAlignment="1">
      <alignment vertical="top" wrapText="1"/>
    </xf>
    <xf numFmtId="1" fontId="164" fillId="0" borderId="42" xfId="1388" applyNumberFormat="1" applyFont="1" applyBorder="1" applyAlignment="1">
      <alignment horizontal="center" vertical="top" wrapText="1"/>
    </xf>
    <xf numFmtId="49" fontId="94" fillId="0" borderId="10" xfId="1389" applyNumberFormat="1" applyFont="1" applyBorder="1" applyAlignment="1">
      <alignment vertical="top" wrapText="1"/>
    </xf>
    <xf numFmtId="2" fontId="164" fillId="0" borderId="42" xfId="1384" applyNumberFormat="1" applyFont="1" applyBorder="1" applyAlignment="1">
      <alignment horizontal="center" vertical="top" wrapText="1"/>
    </xf>
    <xf numFmtId="1" fontId="164" fillId="0" borderId="0" xfId="1384" applyNumberFormat="1" applyFont="1" applyAlignment="1">
      <alignment vertical="top"/>
    </xf>
    <xf numFmtId="0" fontId="97" fillId="0" borderId="43" xfId="1384" applyFont="1" applyBorder="1" applyAlignment="1">
      <alignment horizontal="center" vertical="top"/>
    </xf>
    <xf numFmtId="2" fontId="97" fillId="0" borderId="44" xfId="1384" applyNumberFormat="1" applyFont="1" applyBorder="1" applyAlignment="1">
      <alignment horizontal="right" vertical="top" wrapText="1"/>
    </xf>
    <xf numFmtId="49" fontId="97" fillId="0" borderId="43" xfId="1384" applyNumberFormat="1" applyFont="1" applyBorder="1" applyAlignment="1">
      <alignment horizontal="left" vertical="top" wrapText="1"/>
    </xf>
    <xf numFmtId="2" fontId="97" fillId="0" borderId="45" xfId="1384" applyNumberFormat="1" applyFont="1" applyBorder="1" applyAlignment="1">
      <alignment horizontal="center" vertical="top" wrapText="1"/>
    </xf>
    <xf numFmtId="49" fontId="107" fillId="0" borderId="45" xfId="1384" applyNumberFormat="1" applyFont="1" applyBorder="1" applyAlignment="1">
      <alignment horizontal="right" vertical="top" wrapText="1"/>
    </xf>
    <xf numFmtId="2" fontId="107" fillId="0" borderId="45" xfId="1384" applyNumberFormat="1" applyFont="1" applyBorder="1" applyAlignment="1">
      <alignment horizontal="center" vertical="top" wrapText="1"/>
    </xf>
    <xf numFmtId="49" fontId="97" fillId="0" borderId="45" xfId="1384" applyNumberFormat="1" applyFont="1" applyBorder="1" applyAlignment="1">
      <alignment horizontal="center" vertical="top" wrapText="1"/>
    </xf>
    <xf numFmtId="2" fontId="97" fillId="0" borderId="45" xfId="1384" applyNumberFormat="1" applyFont="1" applyBorder="1" applyAlignment="1">
      <alignment horizontal="right" vertical="top" wrapText="1"/>
    </xf>
    <xf numFmtId="49" fontId="97" fillId="0" borderId="45" xfId="1384" applyNumberFormat="1" applyFont="1" applyBorder="1" applyAlignment="1">
      <alignment horizontal="justify" vertical="top" wrapText="1"/>
    </xf>
    <xf numFmtId="49" fontId="97" fillId="0" borderId="44" xfId="1384" applyNumberFormat="1" applyFont="1" applyBorder="1" applyAlignment="1">
      <alignment horizontal="justify" vertical="top" wrapText="1"/>
    </xf>
    <xf numFmtId="0" fontId="97" fillId="0" borderId="0" xfId="1384" applyFont="1" applyAlignment="1">
      <alignment vertical="top"/>
    </xf>
    <xf numFmtId="0" fontId="97" fillId="0" borderId="10" xfId="1389" applyFont="1" applyBorder="1" applyAlignment="1">
      <alignment horizontal="center" vertical="top"/>
    </xf>
    <xf numFmtId="2" fontId="97" fillId="0" borderId="40" xfId="1389" applyNumberFormat="1" applyFont="1" applyBorder="1" applyAlignment="1">
      <alignment horizontal="right" vertical="top" wrapText="1"/>
    </xf>
    <xf numFmtId="49" fontId="97" fillId="0" borderId="10" xfId="1389" applyNumberFormat="1" applyFont="1" applyBorder="1" applyAlignment="1">
      <alignment horizontal="left" vertical="top" wrapText="1"/>
    </xf>
    <xf numFmtId="2" fontId="97" fillId="0" borderId="42" xfId="1389" applyNumberFormat="1" applyFont="1" applyBorder="1" applyAlignment="1">
      <alignment horizontal="center" vertical="top" wrapText="1"/>
    </xf>
    <xf numFmtId="2" fontId="165" fillId="0" borderId="42" xfId="1389" applyNumberFormat="1" applyFont="1" applyBorder="1" applyAlignment="1">
      <alignment horizontal="center" vertical="center" wrapText="1"/>
    </xf>
    <xf numFmtId="2" fontId="155" fillId="0" borderId="42" xfId="1389" applyNumberFormat="1" applyFont="1" applyBorder="1" applyAlignment="1">
      <alignment horizontal="right" vertical="top" wrapText="1"/>
    </xf>
    <xf numFmtId="49" fontId="104" fillId="0" borderId="40" xfId="1389" applyNumberFormat="1" applyFont="1" applyBorder="1" applyAlignment="1">
      <alignment horizontal="center" vertical="top" wrapText="1"/>
    </xf>
    <xf numFmtId="0" fontId="100" fillId="0" borderId="0" xfId="1389" applyFont="1" applyAlignment="1">
      <alignment vertical="top"/>
    </xf>
    <xf numFmtId="49" fontId="155" fillId="0" borderId="42" xfId="1389" applyNumberFormat="1" applyFont="1" applyBorder="1" applyAlignment="1">
      <alignment horizontal="center" vertical="center" wrapText="1"/>
    </xf>
    <xf numFmtId="0" fontId="97" fillId="0" borderId="43" xfId="1389" applyFont="1" applyBorder="1" applyAlignment="1">
      <alignment horizontal="center" vertical="top"/>
    </xf>
    <xf numFmtId="2" fontId="97" fillId="0" borderId="44" xfId="1389" applyNumberFormat="1" applyFont="1" applyBorder="1" applyAlignment="1">
      <alignment horizontal="right" vertical="top" wrapText="1"/>
    </xf>
    <xf numFmtId="49" fontId="97" fillId="0" borderId="43" xfId="1389" applyNumberFormat="1" applyFont="1" applyBorder="1" applyAlignment="1">
      <alignment horizontal="left" vertical="top" wrapText="1"/>
    </xf>
    <xf numFmtId="2" fontId="97" fillId="0" borderId="45" xfId="1389" applyNumberFormat="1" applyFont="1" applyBorder="1" applyAlignment="1">
      <alignment horizontal="center" vertical="top" wrapText="1"/>
    </xf>
    <xf numFmtId="2" fontId="165" fillId="0" borderId="45" xfId="1389" applyNumberFormat="1" applyFont="1" applyBorder="1" applyAlignment="1">
      <alignment horizontal="center" vertical="center" wrapText="1"/>
    </xf>
    <xf numFmtId="2" fontId="155" fillId="0" borderId="45" xfId="1389" applyNumberFormat="1" applyFont="1" applyBorder="1" applyAlignment="1">
      <alignment horizontal="right" vertical="center" wrapText="1"/>
    </xf>
    <xf numFmtId="2" fontId="97" fillId="0" borderId="0" xfId="1388" applyNumberFormat="1" applyFont="1" applyAlignment="1">
      <alignment horizontal="right" vertical="center" wrapText="1"/>
    </xf>
    <xf numFmtId="49" fontId="97" fillId="0" borderId="0" xfId="1388" applyNumberFormat="1" applyFont="1" applyAlignment="1">
      <alignment horizontal="center" vertical="center" wrapText="1"/>
    </xf>
    <xf numFmtId="2" fontId="94" fillId="0" borderId="0" xfId="1388" applyNumberFormat="1" applyFont="1" applyAlignment="1">
      <alignment horizontal="right" vertical="center" wrapText="1"/>
    </xf>
    <xf numFmtId="49" fontId="94" fillId="0" borderId="0" xfId="1388" applyNumberFormat="1" applyFont="1" applyAlignment="1">
      <alignment horizontal="center" vertical="center" wrapText="1"/>
    </xf>
    <xf numFmtId="2" fontId="101" fillId="0" borderId="0" xfId="1388" applyNumberFormat="1" applyFont="1" applyAlignment="1">
      <alignment horizontal="center" vertical="center" wrapText="1"/>
    </xf>
    <xf numFmtId="0" fontId="94" fillId="0" borderId="0" xfId="1384" applyFont="1" applyAlignment="1">
      <alignment horizontal="center" vertical="top"/>
    </xf>
    <xf numFmtId="2" fontId="104" fillId="0" borderId="0" xfId="1388" applyNumberFormat="1" applyFont="1" applyAlignment="1">
      <alignment horizontal="right" vertical="center" wrapText="1"/>
    </xf>
    <xf numFmtId="49" fontId="104" fillId="0" borderId="0" xfId="1388" applyNumberFormat="1" applyFont="1" applyAlignment="1">
      <alignment horizontal="center" vertical="center" wrapText="1"/>
    </xf>
    <xf numFmtId="2" fontId="104" fillId="0" borderId="0" xfId="1388" applyNumberFormat="1" applyFont="1" applyAlignment="1">
      <alignment horizontal="center" vertical="center" wrapText="1"/>
    </xf>
    <xf numFmtId="2" fontId="94" fillId="0" borderId="0" xfId="1388" applyNumberFormat="1" applyFont="1" applyAlignment="1">
      <alignment horizontal="center" vertical="center" wrapText="1"/>
    </xf>
    <xf numFmtId="2" fontId="94" fillId="0" borderId="0" xfId="1388" applyNumberFormat="1" applyFont="1" applyAlignment="1">
      <alignment horizontal="right"/>
    </xf>
    <xf numFmtId="2" fontId="94" fillId="0" borderId="0" xfId="1388" applyNumberFormat="1" applyFont="1"/>
    <xf numFmtId="0" fontId="98" fillId="0" borderId="0" xfId="1384" applyFont="1" applyAlignment="1">
      <alignment horizontal="center" vertical="center"/>
    </xf>
    <xf numFmtId="0" fontId="98" fillId="0" borderId="0" xfId="1384" applyFont="1" applyAlignment="1">
      <alignment horizontal="center" vertical="top"/>
    </xf>
    <xf numFmtId="2" fontId="30" fillId="0" borderId="0" xfId="1384" applyNumberFormat="1" applyFont="1" applyAlignment="1">
      <alignment horizontal="center" vertical="top"/>
    </xf>
    <xf numFmtId="49" fontId="98" fillId="0" borderId="0" xfId="1389" applyNumberFormat="1" applyFont="1" applyAlignment="1">
      <alignment horizontal="center" vertical="center" wrapText="1"/>
    </xf>
    <xf numFmtId="49" fontId="129" fillId="0" borderId="0" xfId="1389" applyNumberFormat="1" applyFont="1" applyAlignment="1">
      <alignment horizontal="center" vertical="center" wrapText="1"/>
    </xf>
    <xf numFmtId="0" fontId="138" fillId="0" borderId="0" xfId="1389" applyFont="1" applyAlignment="1">
      <alignment horizontal="left" vertical="center" wrapText="1"/>
    </xf>
    <xf numFmtId="0" fontId="129" fillId="0" borderId="0" xfId="1389" applyFont="1" applyAlignment="1">
      <alignment horizontal="left"/>
    </xf>
    <xf numFmtId="0" fontId="129" fillId="0" borderId="0" xfId="1389" applyFont="1" applyAlignment="1">
      <alignment horizontal="center"/>
    </xf>
    <xf numFmtId="2" fontId="129" fillId="0" borderId="0" xfId="1389" applyNumberFormat="1" applyFont="1" applyAlignment="1">
      <alignment horizontal="left"/>
    </xf>
    <xf numFmtId="49" fontId="138" fillId="0" borderId="0" xfId="1389" applyNumberFormat="1" applyFont="1" applyAlignment="1">
      <alignment horizontal="left" vertical="center" wrapText="1"/>
    </xf>
    <xf numFmtId="2" fontId="129" fillId="0" borderId="0" xfId="1389" applyNumberFormat="1" applyFont="1" applyAlignment="1">
      <alignment horizontal="right"/>
    </xf>
    <xf numFmtId="0" fontId="138" fillId="0" borderId="0" xfId="1389" applyFont="1" applyAlignment="1">
      <alignment vertical="center" wrapText="1"/>
    </xf>
    <xf numFmtId="2" fontId="129" fillId="0" borderId="0" xfId="1389" applyNumberFormat="1" applyFont="1" applyAlignment="1">
      <alignment vertical="center" wrapText="1"/>
    </xf>
    <xf numFmtId="0" fontId="129" fillId="0" borderId="0" xfId="1389" applyFont="1" applyAlignment="1">
      <alignment vertical="center" wrapText="1"/>
    </xf>
    <xf numFmtId="0" fontId="138" fillId="0" borderId="0" xfId="1389" applyFont="1" applyAlignment="1">
      <alignment horizontal="left" vertical="center"/>
    </xf>
    <xf numFmtId="0" fontId="129" fillId="0" borderId="0" xfId="1389" applyFont="1" applyAlignment="1">
      <alignment horizontal="left" vertical="center" wrapText="1"/>
    </xf>
    <xf numFmtId="0" fontId="129" fillId="0" borderId="0" xfId="1389" applyFont="1" applyAlignment="1">
      <alignment horizontal="left" vertical="center"/>
    </xf>
    <xf numFmtId="49" fontId="139" fillId="0" borderId="15" xfId="1389" applyNumberFormat="1" applyFont="1" applyBorder="1" applyAlignment="1">
      <alignment horizontal="center" vertical="top" wrapText="1"/>
    </xf>
    <xf numFmtId="0" fontId="102" fillId="0" borderId="17" xfId="1384" applyFont="1" applyBorder="1" applyAlignment="1">
      <alignment horizontal="center" vertical="top" wrapText="1"/>
    </xf>
    <xf numFmtId="2" fontId="98" fillId="0" borderId="17" xfId="1389" applyNumberFormat="1" applyFont="1" applyBorder="1" applyAlignment="1">
      <alignment horizontal="right" vertical="top" wrapText="1"/>
    </xf>
    <xf numFmtId="2" fontId="98" fillId="0" borderId="15" xfId="1389" applyNumberFormat="1" applyFont="1" applyBorder="1" applyAlignment="1">
      <alignment vertical="top" wrapText="1"/>
    </xf>
    <xf numFmtId="2" fontId="98" fillId="0" borderId="19" xfId="1389" applyNumberFormat="1" applyFont="1" applyBorder="1" applyAlignment="1">
      <alignment horizontal="left" vertical="top" wrapText="1"/>
    </xf>
    <xf numFmtId="2" fontId="98" fillId="0" borderId="15" xfId="1389" applyNumberFormat="1" applyFont="1" applyBorder="1" applyAlignment="1">
      <alignment horizontal="right" vertical="top" wrapText="1"/>
    </xf>
    <xf numFmtId="2" fontId="98" fillId="0" borderId="0" xfId="1389" applyNumberFormat="1" applyFont="1" applyAlignment="1">
      <alignment horizontal="center" vertical="top" wrapText="1"/>
    </xf>
    <xf numFmtId="49" fontId="98" fillId="0" borderId="0" xfId="1389" applyNumberFormat="1" applyFont="1" applyAlignment="1">
      <alignment horizontal="center" vertical="top" wrapText="1"/>
    </xf>
    <xf numFmtId="0" fontId="140" fillId="0" borderId="15" xfId="1384" applyFont="1" applyBorder="1" applyAlignment="1">
      <alignment horizontal="justify" vertical="top" wrapText="1"/>
    </xf>
    <xf numFmtId="2" fontId="98" fillId="0" borderId="15" xfId="1389" applyNumberFormat="1" applyFont="1" applyBorder="1" applyAlignment="1">
      <alignment horizontal="left" vertical="top" wrapText="1"/>
    </xf>
    <xf numFmtId="2" fontId="98" fillId="0" borderId="19" xfId="1389" applyNumberFormat="1" applyFont="1" applyBorder="1" applyAlignment="1">
      <alignment horizontal="center" vertical="top" wrapText="1"/>
    </xf>
    <xf numFmtId="2" fontId="98" fillId="0" borderId="19" xfId="1389" applyNumberFormat="1" applyFont="1" applyBorder="1" applyAlignment="1">
      <alignment horizontal="right" vertical="top" wrapText="1"/>
    </xf>
    <xf numFmtId="2" fontId="141" fillId="0" borderId="15" xfId="1389" applyNumberFormat="1" applyFont="1" applyBorder="1" applyAlignment="1">
      <alignment horizontal="right" vertical="top" wrapText="1"/>
    </xf>
    <xf numFmtId="49" fontId="98" fillId="0" borderId="0" xfId="1389" applyNumberFormat="1" applyFont="1" applyAlignment="1">
      <alignment horizontal="justify" vertical="center" wrapText="1"/>
    </xf>
    <xf numFmtId="2" fontId="98" fillId="0" borderId="0" xfId="1389" applyNumberFormat="1" applyFont="1" applyAlignment="1">
      <alignment horizontal="right" vertical="center" wrapText="1"/>
    </xf>
    <xf numFmtId="49" fontId="98" fillId="0" borderId="0" xfId="1389" applyNumberFormat="1" applyFont="1" applyAlignment="1">
      <alignment horizontal="right" vertical="center" wrapText="1"/>
    </xf>
    <xf numFmtId="2" fontId="98" fillId="0" borderId="0" xfId="1389" applyNumberFormat="1" applyFont="1" applyAlignment="1">
      <alignment horizontal="center" vertical="center" wrapText="1"/>
    </xf>
    <xf numFmtId="0" fontId="98" fillId="0" borderId="0" xfId="1389" applyFont="1" applyAlignment="1">
      <alignment horizontal="center" vertical="center"/>
    </xf>
    <xf numFmtId="49" fontId="141" fillId="0" borderId="0" xfId="1389" applyNumberFormat="1" applyFont="1" applyAlignment="1">
      <alignment horizontal="center" vertical="center" wrapText="1"/>
    </xf>
    <xf numFmtId="0" fontId="12" fillId="0" borderId="0" xfId="1391"/>
    <xf numFmtId="0" fontId="12" fillId="0" borderId="0" xfId="1391" applyAlignment="1">
      <alignment vertical="justify"/>
    </xf>
    <xf numFmtId="2" fontId="12" fillId="0" borderId="0" xfId="1391" applyNumberFormat="1"/>
    <xf numFmtId="0" fontId="12" fillId="0" borderId="0" xfId="1391" applyAlignment="1">
      <alignment wrapText="1"/>
    </xf>
    <xf numFmtId="2" fontId="144" fillId="0" borderId="0" xfId="1391" applyNumberFormat="1" applyFont="1" applyAlignment="1">
      <alignment vertical="justify" wrapText="1"/>
    </xf>
    <xf numFmtId="0" fontId="132" fillId="0" borderId="0" xfId="1391" applyFont="1" applyAlignment="1">
      <alignment vertical="justify" wrapText="1"/>
    </xf>
    <xf numFmtId="0" fontId="12" fillId="0" borderId="0" xfId="1391" applyAlignment="1">
      <alignment vertical="justify" wrapText="1"/>
    </xf>
    <xf numFmtId="0" fontId="12" fillId="0" borderId="0" xfId="1391" applyAlignment="1">
      <alignment horizontal="justify" vertical="top" wrapText="1"/>
    </xf>
    <xf numFmtId="2" fontId="132" fillId="0" borderId="0" xfId="1391" applyNumberFormat="1" applyFont="1" applyAlignment="1">
      <alignment vertical="justify"/>
    </xf>
    <xf numFmtId="0" fontId="94" fillId="0" borderId="0" xfId="94" applyFont="1"/>
    <xf numFmtId="0" fontId="101" fillId="0" borderId="0" xfId="94" applyFont="1"/>
    <xf numFmtId="0" fontId="94" fillId="0" borderId="0" xfId="94" applyFont="1" applyAlignment="1">
      <alignment horizontal="center"/>
    </xf>
    <xf numFmtId="0" fontId="101" fillId="0" borderId="0" xfId="94" applyFont="1" applyAlignment="1">
      <alignment horizontal="center" vertical="center"/>
    </xf>
    <xf numFmtId="0" fontId="94" fillId="0" borderId="0" xfId="94" applyFont="1" applyAlignment="1">
      <alignment vertical="center"/>
    </xf>
    <xf numFmtId="0" fontId="94" fillId="0" borderId="0" xfId="94" applyFont="1" applyAlignment="1">
      <alignment horizontal="center" vertical="center"/>
    </xf>
    <xf numFmtId="0" fontId="106" fillId="0" borderId="0" xfId="94" applyFont="1" applyAlignment="1">
      <alignment horizontal="center" vertical="center" wrapText="1"/>
    </xf>
    <xf numFmtId="49" fontId="74" fillId="0" borderId="0" xfId="121" applyNumberFormat="1" applyFont="1" applyAlignment="1">
      <alignment vertical="center"/>
    </xf>
    <xf numFmtId="2" fontId="98" fillId="0" borderId="18" xfId="1389" applyNumberFormat="1" applyFont="1" applyBorder="1" applyAlignment="1">
      <alignment horizontal="left" vertical="top" wrapText="1"/>
    </xf>
    <xf numFmtId="2" fontId="98" fillId="0" borderId="18" xfId="1389" applyNumberFormat="1" applyFont="1" applyBorder="1" applyAlignment="1">
      <alignment horizontal="center" vertical="top" wrapText="1"/>
    </xf>
    <xf numFmtId="0" fontId="129" fillId="0" borderId="0" xfId="1389" applyFont="1" applyAlignment="1">
      <alignment horizontal="right"/>
    </xf>
    <xf numFmtId="0" fontId="98" fillId="0" borderId="0" xfId="1389" applyFont="1" applyAlignment="1">
      <alignment horizontal="right" vertical="center"/>
    </xf>
    <xf numFmtId="0" fontId="94" fillId="0" borderId="15" xfId="0" applyFont="1" applyBorder="1"/>
    <xf numFmtId="1" fontId="94" fillId="0" borderId="15" xfId="0" applyNumberFormat="1" applyFont="1" applyBorder="1" applyAlignment="1">
      <alignment horizontal="center" vertical="top"/>
    </xf>
    <xf numFmtId="1" fontId="101" fillId="0" borderId="15" xfId="0" applyNumberFormat="1" applyFont="1" applyBorder="1" applyAlignment="1">
      <alignment horizontal="center" wrapText="1"/>
    </xf>
    <xf numFmtId="2" fontId="101" fillId="0" borderId="15" xfId="0" applyNumberFormat="1" applyFont="1" applyBorder="1" applyAlignment="1">
      <alignment horizontal="center" wrapText="1"/>
    </xf>
    <xf numFmtId="0" fontId="101" fillId="0" borderId="19" xfId="0" applyFont="1" applyBorder="1"/>
    <xf numFmtId="0" fontId="101" fillId="0" borderId="0" xfId="0" applyFont="1"/>
    <xf numFmtId="2" fontId="94" fillId="0" borderId="0" xfId="0" applyNumberFormat="1" applyFont="1"/>
    <xf numFmtId="0" fontId="94" fillId="0" borderId="0" xfId="1385" applyFont="1" applyAlignment="1">
      <alignment vertical="center"/>
    </xf>
    <xf numFmtId="0" fontId="94" fillId="0" borderId="0" xfId="1385" applyFont="1"/>
    <xf numFmtId="0" fontId="168" fillId="0" borderId="0" xfId="1385" applyFont="1" applyAlignment="1">
      <alignment vertical="center"/>
    </xf>
    <xf numFmtId="0" fontId="101" fillId="0" borderId="0" xfId="0" applyFont="1" applyAlignment="1">
      <alignment horizontal="center" vertical="top"/>
    </xf>
    <xf numFmtId="0" fontId="94" fillId="0" borderId="0" xfId="0" applyFont="1" applyAlignment="1">
      <alignment horizontal="right" vertical="center"/>
    </xf>
    <xf numFmtId="0" fontId="104" fillId="0" borderId="15" xfId="0" applyFont="1" applyBorder="1" applyAlignment="1">
      <alignment horizontal="center" vertical="center" wrapText="1"/>
    </xf>
    <xf numFmtId="2" fontId="98" fillId="0" borderId="0" xfId="1389" applyNumberFormat="1" applyFont="1" applyAlignment="1">
      <alignment horizontal="center" vertical="center"/>
    </xf>
    <xf numFmtId="0" fontId="94" fillId="0" borderId="19" xfId="1384" applyFont="1" applyBorder="1" applyAlignment="1">
      <alignment horizontal="left" vertical="top"/>
    </xf>
    <xf numFmtId="166" fontId="164" fillId="0" borderId="40" xfId="1388" applyNumberFormat="1" applyFont="1" applyBorder="1" applyAlignment="1">
      <alignment horizontal="right" vertical="top" wrapText="1"/>
    </xf>
    <xf numFmtId="2" fontId="94" fillId="0" borderId="15" xfId="969" applyNumberFormat="1" applyFont="1" applyBorder="1" applyAlignment="1">
      <alignment horizontal="right" vertical="top" wrapText="1"/>
    </xf>
    <xf numFmtId="2" fontId="94" fillId="0" borderId="19" xfId="969" applyNumberFormat="1" applyFont="1" applyBorder="1" applyAlignment="1">
      <alignment vertical="top" wrapText="1"/>
    </xf>
    <xf numFmtId="49" fontId="94" fillId="0" borderId="19" xfId="969" applyNumberFormat="1" applyFont="1" applyBorder="1" applyAlignment="1">
      <alignment vertical="top" wrapText="1"/>
    </xf>
    <xf numFmtId="1" fontId="102" fillId="0" borderId="0" xfId="0" applyNumberFormat="1" applyFont="1" applyAlignment="1">
      <alignment horizontal="center" vertical="top"/>
    </xf>
    <xf numFmtId="0" fontId="98" fillId="0" borderId="0" xfId="0" applyFont="1" applyAlignment="1">
      <alignment vertical="top"/>
    </xf>
    <xf numFmtId="166" fontId="129" fillId="0" borderId="15" xfId="1384" applyNumberFormat="1" applyFont="1" applyBorder="1" applyAlignment="1">
      <alignment horizontal="center" vertical="top"/>
    </xf>
    <xf numFmtId="2" fontId="129" fillId="0" borderId="15" xfId="1384" applyNumberFormat="1" applyFont="1" applyBorder="1" applyAlignment="1">
      <alignment horizontal="center" vertical="top"/>
    </xf>
    <xf numFmtId="49" fontId="122" fillId="0" borderId="17" xfId="969" applyNumberFormat="1" applyFont="1" applyBorder="1" applyAlignment="1">
      <alignment vertical="center" wrapText="1"/>
    </xf>
    <xf numFmtId="0" fontId="76" fillId="0" borderId="0" xfId="121" applyFont="1" applyAlignment="1">
      <alignment horizontal="left" vertical="center"/>
    </xf>
    <xf numFmtId="0" fontId="76" fillId="0" borderId="0" xfId="121" applyFont="1" applyAlignment="1">
      <alignment horizontal="left" vertical="center" wrapText="1"/>
    </xf>
    <xf numFmtId="0" fontId="71" fillId="0" borderId="0" xfId="121" applyFont="1" applyAlignment="1">
      <alignment horizontal="center" vertical="center"/>
    </xf>
    <xf numFmtId="0" fontId="75" fillId="0" borderId="0" xfId="121" applyFont="1" applyAlignment="1">
      <alignment horizontal="left" vertical="top"/>
    </xf>
    <xf numFmtId="0" fontId="23" fillId="0" borderId="0" xfId="121"/>
    <xf numFmtId="2" fontId="74" fillId="0" borderId="0" xfId="121" applyNumberFormat="1" applyFont="1" applyAlignment="1">
      <alignment horizontal="left" vertical="center" wrapText="1"/>
    </xf>
    <xf numFmtId="0" fontId="74" fillId="0" borderId="0" xfId="121" applyFont="1" applyAlignment="1">
      <alignment horizontal="left" vertical="center" wrapText="1"/>
    </xf>
    <xf numFmtId="0" fontId="94" fillId="0" borderId="0" xfId="1388" applyFont="1" applyAlignment="1">
      <alignment horizontal="justify" vertical="center"/>
    </xf>
    <xf numFmtId="0" fontId="101" fillId="0" borderId="0" xfId="1388" applyFont="1" applyAlignment="1">
      <alignment horizontal="center" vertical="center"/>
    </xf>
    <xf numFmtId="0" fontId="94" fillId="0" borderId="0" xfId="1388" applyFont="1" applyAlignment="1">
      <alignment horizontal="center" vertical="center"/>
    </xf>
    <xf numFmtId="49" fontId="107" fillId="0" borderId="8" xfId="1388" applyNumberFormat="1" applyFont="1" applyBorder="1" applyAlignment="1">
      <alignment horizontal="center" vertical="center" wrapText="1"/>
    </xf>
    <xf numFmtId="49" fontId="107" fillId="0" borderId="28" xfId="1388" applyNumberFormat="1" applyFont="1" applyBorder="1" applyAlignment="1">
      <alignment horizontal="center" vertical="center" wrapText="1"/>
    </xf>
    <xf numFmtId="49" fontId="107" fillId="0" borderId="29" xfId="1388" applyNumberFormat="1" applyFont="1" applyBorder="1" applyAlignment="1">
      <alignment horizontal="center" vertical="center" wrapText="1"/>
    </xf>
    <xf numFmtId="49" fontId="97" fillId="0" borderId="0" xfId="1388" applyNumberFormat="1" applyFont="1" applyAlignment="1">
      <alignment horizontal="center" wrapText="1"/>
    </xf>
    <xf numFmtId="49" fontId="101" fillId="0" borderId="0" xfId="1388" applyNumberFormat="1" applyFont="1" applyAlignment="1">
      <alignment horizontal="center" vertical="center" wrapText="1"/>
    </xf>
    <xf numFmtId="0" fontId="94" fillId="0" borderId="0" xfId="1388" applyFont="1" applyAlignment="1">
      <alignment horizontal="center" vertical="center" wrapText="1"/>
    </xf>
    <xf numFmtId="49" fontId="138" fillId="0" borderId="15" xfId="1389" applyNumberFormat="1" applyFont="1" applyBorder="1" applyAlignment="1">
      <alignment horizontal="center" vertical="center" wrapText="1"/>
    </xf>
    <xf numFmtId="0" fontId="131" fillId="0" borderId="0" xfId="94" applyFont="1"/>
    <xf numFmtId="0" fontId="131" fillId="0" borderId="0" xfId="94" applyFont="1" applyAlignment="1">
      <alignment horizontal="center"/>
    </xf>
    <xf numFmtId="0" fontId="94" fillId="0" borderId="30" xfId="94" applyFont="1" applyBorder="1"/>
    <xf numFmtId="0" fontId="94" fillId="0" borderId="31" xfId="94" applyFont="1" applyBorder="1" applyAlignment="1">
      <alignment horizontal="center"/>
    </xf>
    <xf numFmtId="0" fontId="94" fillId="0" borderId="32" xfId="94" applyFont="1" applyBorder="1" applyAlignment="1">
      <alignment horizontal="center"/>
    </xf>
    <xf numFmtId="0" fontId="94" fillId="0" borderId="33" xfId="94" applyFont="1" applyBorder="1"/>
    <xf numFmtId="0" fontId="94" fillId="0" borderId="34" xfId="94" applyFont="1" applyBorder="1" applyAlignment="1">
      <alignment horizontal="center"/>
    </xf>
    <xf numFmtId="0" fontId="150" fillId="0" borderId="0" xfId="94" applyFont="1"/>
    <xf numFmtId="0" fontId="101" fillId="0" borderId="33" xfId="94" applyFont="1" applyBorder="1"/>
    <xf numFmtId="0" fontId="131" fillId="0" borderId="0" xfId="94" applyFont="1" applyAlignment="1">
      <alignment vertical="center"/>
    </xf>
    <xf numFmtId="0" fontId="150" fillId="0" borderId="0" xfId="94" applyFont="1" applyAlignment="1">
      <alignment horizontal="center" vertical="center"/>
    </xf>
    <xf numFmtId="0" fontId="101" fillId="0" borderId="35" xfId="94" applyFont="1" applyBorder="1" applyAlignment="1">
      <alignment horizontal="center" vertical="center"/>
    </xf>
    <xf numFmtId="0" fontId="101" fillId="0" borderId="8" xfId="94" applyFont="1" applyBorder="1" applyAlignment="1">
      <alignment horizontal="center" vertical="center"/>
    </xf>
    <xf numFmtId="0" fontId="101" fillId="0" borderId="36" xfId="94" applyFont="1" applyBorder="1" applyAlignment="1">
      <alignment horizontal="center" vertical="center"/>
    </xf>
    <xf numFmtId="0" fontId="131" fillId="0" borderId="0" xfId="94" applyFont="1" applyAlignment="1">
      <alignment horizontal="center" vertical="center"/>
    </xf>
    <xf numFmtId="2" fontId="94" fillId="0" borderId="8" xfId="94" applyNumberFormat="1" applyFont="1" applyBorder="1" applyAlignment="1">
      <alignment horizontal="center" vertical="center"/>
    </xf>
    <xf numFmtId="2" fontId="94" fillId="0" borderId="36" xfId="94" applyNumberFormat="1" applyFont="1" applyBorder="1" applyAlignment="1">
      <alignment horizontal="right" vertical="center"/>
    </xf>
    <xf numFmtId="0" fontId="94" fillId="0" borderId="8" xfId="94" applyFont="1" applyBorder="1" applyAlignment="1">
      <alignment horizontal="center" vertical="center"/>
    </xf>
    <xf numFmtId="0" fontId="94" fillId="0" borderId="36" xfId="94" applyFont="1" applyBorder="1" applyAlignment="1">
      <alignment horizontal="center" vertical="center"/>
    </xf>
    <xf numFmtId="0" fontId="151" fillId="0" borderId="0" xfId="94" applyFont="1" applyAlignment="1">
      <alignment horizontal="center" vertical="center" wrapText="1"/>
    </xf>
    <xf numFmtId="2" fontId="131" fillId="0" borderId="0" xfId="94" applyNumberFormat="1" applyFont="1" applyAlignment="1">
      <alignment horizontal="center" vertical="center"/>
    </xf>
    <xf numFmtId="2" fontId="131" fillId="0" borderId="0" xfId="94" applyNumberFormat="1" applyFont="1" applyAlignment="1">
      <alignment horizontal="right" vertical="center"/>
    </xf>
    <xf numFmtId="0" fontId="106" fillId="0" borderId="35" xfId="94" applyFont="1" applyBorder="1" applyAlignment="1">
      <alignment horizontal="center" vertical="center" wrapText="1"/>
    </xf>
    <xf numFmtId="2" fontId="150" fillId="0" borderId="0" xfId="94" applyNumberFormat="1" applyFont="1" applyAlignment="1">
      <alignment horizontal="right" vertical="center"/>
    </xf>
    <xf numFmtId="2" fontId="101" fillId="0" borderId="36" xfId="94" applyNumberFormat="1" applyFont="1" applyBorder="1" applyAlignment="1">
      <alignment horizontal="center" vertical="center"/>
    </xf>
    <xf numFmtId="0" fontId="94" fillId="0" borderId="37" xfId="94" applyFont="1" applyBorder="1" applyAlignment="1">
      <alignment horizontal="center"/>
    </xf>
    <xf numFmtId="0" fontId="94" fillId="0" borderId="38" xfId="94" applyFont="1" applyBorder="1" applyAlignment="1">
      <alignment horizontal="center"/>
    </xf>
    <xf numFmtId="0" fontId="94" fillId="0" borderId="39" xfId="94" applyFont="1" applyBorder="1" applyAlignment="1">
      <alignment horizontal="center"/>
    </xf>
    <xf numFmtId="2" fontId="143" fillId="0" borderId="0" xfId="1391" applyNumberFormat="1" applyFont="1" applyAlignment="1">
      <alignment vertical="justify"/>
    </xf>
    <xf numFmtId="0" fontId="98" fillId="0" borderId="0" xfId="1390" applyFont="1"/>
    <xf numFmtId="0" fontId="133" fillId="0" borderId="0" xfId="1388" applyFont="1" applyAlignment="1">
      <alignment horizontal="left" vertical="top"/>
    </xf>
    <xf numFmtId="0" fontId="133" fillId="0" borderId="0" xfId="1388" applyFont="1"/>
    <xf numFmtId="2" fontId="133" fillId="0" borderId="0" xfId="1388" applyNumberFormat="1" applyFont="1"/>
    <xf numFmtId="0" fontId="98" fillId="0" borderId="0" xfId="1388" applyFont="1"/>
    <xf numFmtId="0" fontId="135" fillId="0" borderId="0" xfId="1388" applyFont="1" applyAlignment="1">
      <alignment horizontal="center"/>
    </xf>
    <xf numFmtId="0" fontId="94" fillId="0" borderId="15" xfId="0" applyFont="1" applyBorder="1" applyAlignment="1">
      <alignment horizontal="center"/>
    </xf>
    <xf numFmtId="1" fontId="94" fillId="0" borderId="15" xfId="0" applyNumberFormat="1" applyFont="1" applyBorder="1"/>
    <xf numFmtId="2" fontId="94" fillId="0" borderId="15" xfId="0" applyNumberFormat="1" applyFont="1" applyBorder="1"/>
    <xf numFmtId="1" fontId="94" fillId="0" borderId="15" xfId="0" applyNumberFormat="1" applyFont="1" applyBorder="1" applyAlignment="1">
      <alignment horizontal="center"/>
    </xf>
    <xf numFmtId="0" fontId="94" fillId="0" borderId="15" xfId="0" applyFont="1" applyBorder="1" applyAlignment="1">
      <alignment horizontal="right"/>
    </xf>
    <xf numFmtId="2" fontId="94" fillId="0" borderId="15" xfId="0" applyNumberFormat="1" applyFont="1" applyBorder="1" applyAlignment="1">
      <alignment horizontal="right"/>
    </xf>
    <xf numFmtId="0" fontId="104" fillId="0" borderId="15" xfId="0" applyFont="1" applyBorder="1"/>
    <xf numFmtId="166" fontId="94" fillId="0" borderId="15" xfId="0" applyNumberFormat="1" applyFont="1" applyBorder="1"/>
    <xf numFmtId="0" fontId="101" fillId="0" borderId="15" xfId="0" applyFont="1" applyBorder="1"/>
    <xf numFmtId="2" fontId="94" fillId="0" borderId="15" xfId="0" applyNumberFormat="1" applyFont="1" applyBorder="1" applyAlignment="1">
      <alignment horizontal="center" wrapText="1"/>
    </xf>
    <xf numFmtId="0" fontId="101" fillId="0" borderId="15" xfId="0" applyFont="1" applyBorder="1" applyAlignment="1">
      <alignment horizontal="center" wrapText="1"/>
    </xf>
    <xf numFmtId="1" fontId="101" fillId="0" borderId="15" xfId="0" applyNumberFormat="1" applyFont="1" applyBorder="1" applyAlignment="1">
      <alignment horizontal="center"/>
    </xf>
    <xf numFmtId="0" fontId="101" fillId="0" borderId="15" xfId="0" applyFont="1" applyBorder="1" applyAlignment="1">
      <alignment horizontal="center"/>
    </xf>
    <xf numFmtId="0" fontId="107" fillId="0" borderId="15" xfId="0" applyFont="1" applyBorder="1" applyAlignment="1">
      <alignment horizontal="left" vertical="justify" wrapText="1"/>
    </xf>
    <xf numFmtId="0" fontId="21" fillId="0" borderId="0" xfId="1388" applyFont="1" applyAlignment="1">
      <alignment horizontal="left"/>
    </xf>
    <xf numFmtId="49" fontId="24" fillId="0" borderId="10" xfId="1388" applyNumberFormat="1" applyFont="1" applyBorder="1" applyAlignment="1">
      <alignment horizontal="center" vertical="center" wrapText="1"/>
    </xf>
    <xf numFmtId="49" fontId="24" fillId="0" borderId="45" xfId="1388" applyNumberFormat="1" applyFont="1" applyBorder="1" applyAlignment="1">
      <alignment horizontal="center" vertical="center" wrapText="1"/>
    </xf>
    <xf numFmtId="49" fontId="24" fillId="0" borderId="14" xfId="1388" applyNumberFormat="1" applyFont="1" applyBorder="1" applyAlignment="1">
      <alignment horizontal="center" vertical="center" wrapText="1"/>
    </xf>
    <xf numFmtId="49" fontId="24" fillId="0" borderId="0" xfId="1388" applyNumberFormat="1" applyFont="1" applyAlignment="1">
      <alignment horizontal="center" vertical="center" wrapText="1"/>
    </xf>
    <xf numFmtId="0" fontId="20" fillId="0" borderId="0" xfId="1388"/>
    <xf numFmtId="49" fontId="24" fillId="0" borderId="0" xfId="1388" applyNumberFormat="1" applyFont="1" applyAlignment="1">
      <alignment horizontal="left" vertical="center" wrapText="1"/>
    </xf>
    <xf numFmtId="49" fontId="24" fillId="0" borderId="42" xfId="1388" applyNumberFormat="1" applyFont="1" applyBorder="1" applyAlignment="1">
      <alignment horizontal="center" vertical="center" wrapText="1"/>
    </xf>
    <xf numFmtId="49" fontId="24" fillId="0" borderId="0" xfId="1388" applyNumberFormat="1" applyFont="1" applyAlignment="1">
      <alignment vertical="center" wrapText="1"/>
    </xf>
    <xf numFmtId="0" fontId="20" fillId="0" borderId="14" xfId="1388" applyBorder="1"/>
    <xf numFmtId="49" fontId="166" fillId="0" borderId="14" xfId="1388" applyNumberFormat="1" applyFont="1" applyBorder="1" applyAlignment="1">
      <alignment horizontal="center" vertical="center" wrapText="1"/>
    </xf>
    <xf numFmtId="49" fontId="24" fillId="0" borderId="14" xfId="1388" applyNumberFormat="1" applyFont="1" applyBorder="1" applyAlignment="1">
      <alignment vertical="center" wrapText="1"/>
    </xf>
    <xf numFmtId="0" fontId="24" fillId="0" borderId="0" xfId="1388" applyFont="1"/>
    <xf numFmtId="0" fontId="20" fillId="0" borderId="0" xfId="1388" applyAlignment="1">
      <alignment horizontal="left"/>
    </xf>
    <xf numFmtId="0" fontId="20" fillId="0" borderId="0" xfId="1388" applyAlignment="1">
      <alignment horizontal="center"/>
    </xf>
    <xf numFmtId="0" fontId="20" fillId="0" borderId="4" xfId="1388" applyBorder="1"/>
    <xf numFmtId="49" fontId="24" fillId="0" borderId="4" xfId="1388" applyNumberFormat="1" applyFont="1" applyBorder="1" applyAlignment="1">
      <alignment horizontal="center" vertical="center" wrapText="1"/>
    </xf>
    <xf numFmtId="49" fontId="20" fillId="0" borderId="0" xfId="1388" applyNumberFormat="1" applyAlignment="1">
      <alignment horizontal="center" vertical="center" wrapText="1"/>
    </xf>
    <xf numFmtId="0" fontId="94" fillId="0" borderId="0" xfId="1387" applyFont="1" applyAlignment="1">
      <alignment horizontal="center" vertical="top"/>
    </xf>
    <xf numFmtId="0" fontId="94" fillId="0" borderId="0" xfId="1387" applyFont="1"/>
    <xf numFmtId="0" fontId="159" fillId="0" borderId="0" xfId="1387" applyFont="1" applyAlignment="1">
      <alignment horizontal="center" vertical="top"/>
    </xf>
    <xf numFmtId="0" fontId="160" fillId="0" borderId="0" xfId="1387" applyFont="1" applyAlignment="1">
      <alignment horizontal="center" vertical="top"/>
    </xf>
    <xf numFmtId="0" fontId="161" fillId="0" borderId="0" xfId="1387" applyFont="1" applyAlignment="1">
      <alignment horizontal="left" vertical="top"/>
    </xf>
    <xf numFmtId="0" fontId="94" fillId="0" borderId="0" xfId="1387" applyFont="1" applyAlignment="1">
      <alignment vertical="top"/>
    </xf>
    <xf numFmtId="176" fontId="94" fillId="0" borderId="15" xfId="1387" applyNumberFormat="1" applyFont="1" applyBorder="1" applyAlignment="1">
      <alignment horizontal="center" vertical="top"/>
    </xf>
    <xf numFmtId="0" fontId="94" fillId="0" borderId="15" xfId="1387" applyFont="1" applyBorder="1" applyAlignment="1">
      <alignment horizontal="center" vertical="top"/>
    </xf>
    <xf numFmtId="0" fontId="94" fillId="0" borderId="15" xfId="1387" applyFont="1" applyBorder="1" applyAlignment="1">
      <alignment horizontal="center" vertical="top" wrapText="1"/>
    </xf>
    <xf numFmtId="0" fontId="94" fillId="0" borderId="0" xfId="1387" applyFont="1" applyAlignment="1">
      <alignment horizontal="center"/>
    </xf>
    <xf numFmtId="0" fontId="117" fillId="0" borderId="0" xfId="0" applyFont="1"/>
    <xf numFmtId="0" fontId="109" fillId="0" borderId="15" xfId="95" applyFont="1" applyBorder="1" applyAlignment="1">
      <alignment vertical="top" wrapText="1"/>
    </xf>
    <xf numFmtId="0" fontId="94" fillId="0" borderId="0" xfId="95" applyFont="1" applyAlignment="1">
      <alignment horizontal="right" vertical="top"/>
    </xf>
    <xf numFmtId="2" fontId="94" fillId="0" borderId="0" xfId="95" applyNumberFormat="1" applyFont="1" applyAlignment="1">
      <alignment horizontal="right" vertical="top"/>
    </xf>
    <xf numFmtId="2" fontId="94" fillId="0" borderId="0" xfId="95" applyNumberFormat="1" applyFont="1" applyAlignment="1">
      <alignment vertical="top"/>
    </xf>
    <xf numFmtId="2" fontId="94" fillId="0" borderId="0" xfId="95" applyNumberFormat="1" applyFont="1" applyAlignment="1">
      <alignment horizontal="center" vertical="top"/>
    </xf>
    <xf numFmtId="0" fontId="101" fillId="0" borderId="0" xfId="95" applyFont="1" applyAlignment="1">
      <alignment horizontal="left" vertical="top"/>
    </xf>
    <xf numFmtId="0" fontId="101" fillId="0" borderId="0" xfId="95" applyFont="1" applyAlignment="1">
      <alignment horizontal="center" vertical="top"/>
    </xf>
    <xf numFmtId="0" fontId="101" fillId="0" borderId="0" xfId="95" applyFont="1" applyAlignment="1">
      <alignment horizontal="right" vertical="top"/>
    </xf>
    <xf numFmtId="2" fontId="94" fillId="0" borderId="15" xfId="95" applyNumberFormat="1" applyFont="1" applyBorder="1" applyAlignment="1">
      <alignment horizontal="center" vertical="top" wrapText="1"/>
    </xf>
    <xf numFmtId="0" fontId="109" fillId="0" borderId="15" xfId="95" applyFont="1" applyBorder="1" applyAlignment="1">
      <alignment horizontal="center" vertical="top" wrapText="1"/>
    </xf>
    <xf numFmtId="0" fontId="101" fillId="0" borderId="15" xfId="95" applyFont="1" applyBorder="1" applyAlignment="1">
      <alignment horizontal="right" vertical="top" wrapText="1"/>
    </xf>
    <xf numFmtId="2" fontId="131" fillId="0" borderId="15" xfId="95" applyNumberFormat="1" applyFont="1" applyBorder="1" applyAlignment="1">
      <alignment vertical="top" wrapText="1"/>
    </xf>
    <xf numFmtId="2" fontId="94" fillId="0" borderId="15" xfId="95" applyNumberFormat="1" applyFont="1" applyBorder="1" applyAlignment="1">
      <alignment vertical="top" wrapText="1"/>
    </xf>
    <xf numFmtId="2" fontId="101" fillId="0" borderId="15" xfId="95" applyNumberFormat="1" applyFont="1" applyBorder="1" applyAlignment="1">
      <alignment horizontal="right" vertical="top" wrapText="1"/>
    </xf>
    <xf numFmtId="2" fontId="101" fillId="0" borderId="15" xfId="95" applyNumberFormat="1" applyFont="1" applyBorder="1" applyAlignment="1">
      <alignment vertical="top" wrapText="1"/>
    </xf>
    <xf numFmtId="2" fontId="152" fillId="0" borderId="15" xfId="95" applyNumberFormat="1" applyFont="1" applyBorder="1" applyAlignment="1">
      <alignment horizontal="right" vertical="top" wrapText="1"/>
    </xf>
    <xf numFmtId="0" fontId="109" fillId="0" borderId="15" xfId="95" applyFont="1" applyBorder="1" applyAlignment="1">
      <alignment horizontal="left" vertical="top" wrapText="1"/>
    </xf>
    <xf numFmtId="166" fontId="94" fillId="0" borderId="15" xfId="95" applyNumberFormat="1" applyFont="1" applyBorder="1" applyAlignment="1">
      <alignment horizontal="right" vertical="top" wrapText="1"/>
    </xf>
    <xf numFmtId="0" fontId="94" fillId="0" borderId="15" xfId="95" applyFont="1" applyBorder="1" applyAlignment="1">
      <alignment horizontal="right" vertical="top" wrapText="1"/>
    </xf>
    <xf numFmtId="166" fontId="101" fillId="0" borderId="15" xfId="95" applyNumberFormat="1" applyFont="1" applyBorder="1" applyAlignment="1">
      <alignment horizontal="right" vertical="top" wrapText="1"/>
    </xf>
    <xf numFmtId="1" fontId="94" fillId="0" borderId="15" xfId="95" applyNumberFormat="1" applyFont="1" applyBorder="1" applyAlignment="1">
      <alignment horizontal="right" vertical="top" wrapText="1"/>
    </xf>
    <xf numFmtId="1" fontId="101" fillId="0" borderId="0" xfId="95" applyNumberFormat="1" applyFont="1" applyAlignment="1">
      <alignment vertical="top"/>
    </xf>
    <xf numFmtId="0" fontId="101" fillId="0" borderId="0" xfId="95" applyFont="1" applyAlignment="1">
      <alignment vertical="top"/>
    </xf>
    <xf numFmtId="0" fontId="170" fillId="0" borderId="15" xfId="95" applyFont="1" applyBorder="1" applyAlignment="1">
      <alignment horizontal="center" vertical="top" wrapText="1"/>
    </xf>
    <xf numFmtId="0" fontId="170" fillId="0" borderId="15" xfId="95" applyFont="1" applyBorder="1" applyAlignment="1">
      <alignment vertical="top" wrapText="1"/>
    </xf>
    <xf numFmtId="2" fontId="101" fillId="0" borderId="0" xfId="95" applyNumberFormat="1" applyFont="1" applyAlignment="1">
      <alignment vertical="top"/>
    </xf>
    <xf numFmtId="2" fontId="101" fillId="0" borderId="0" xfId="95" applyNumberFormat="1" applyFont="1" applyAlignment="1">
      <alignment horizontal="right" vertical="top"/>
    </xf>
    <xf numFmtId="2" fontId="94" fillId="0" borderId="15" xfId="1384" applyNumberFormat="1" applyFont="1" applyBorder="1" applyAlignment="1">
      <alignment vertical="top"/>
    </xf>
    <xf numFmtId="2" fontId="94" fillId="0" borderId="19" xfId="1384" applyNumberFormat="1" applyFont="1" applyBorder="1" applyAlignment="1">
      <alignment horizontal="left" vertical="top"/>
    </xf>
    <xf numFmtId="2" fontId="94" fillId="0" borderId="17" xfId="1389" applyNumberFormat="1" applyFont="1" applyBorder="1" applyAlignment="1">
      <alignment horizontal="center" vertical="top" wrapText="1"/>
    </xf>
    <xf numFmtId="49" fontId="94" fillId="0" borderId="15" xfId="1389" applyNumberFormat="1" applyFont="1" applyBorder="1" applyAlignment="1">
      <alignment horizontal="center" vertical="top" wrapText="1"/>
    </xf>
    <xf numFmtId="0" fontId="94" fillId="0" borderId="15" xfId="1384" applyFont="1" applyBorder="1" applyAlignment="1">
      <alignment horizontal="justify" vertical="top" wrapText="1"/>
    </xf>
    <xf numFmtId="2" fontId="94" fillId="0" borderId="17" xfId="1389" applyNumberFormat="1" applyFont="1" applyBorder="1" applyAlignment="1">
      <alignment horizontal="right" vertical="top" wrapText="1"/>
    </xf>
    <xf numFmtId="2" fontId="94" fillId="0" borderId="15" xfId="1389" applyNumberFormat="1" applyFont="1" applyBorder="1" applyAlignment="1">
      <alignment horizontal="right" vertical="top" wrapText="1"/>
    </xf>
    <xf numFmtId="49" fontId="94" fillId="0" borderId="0" xfId="1389" applyNumberFormat="1" applyFont="1" applyAlignment="1">
      <alignment horizontal="center" vertical="top" wrapText="1"/>
    </xf>
    <xf numFmtId="2" fontId="94" fillId="0" borderId="19" xfId="1389" applyNumberFormat="1" applyFont="1" applyBorder="1" applyAlignment="1">
      <alignment vertical="top" wrapText="1"/>
    </xf>
    <xf numFmtId="2" fontId="94" fillId="0" borderId="15" xfId="1389" applyNumberFormat="1" applyFont="1" applyBorder="1" applyAlignment="1">
      <alignment horizontal="center" vertical="top" wrapText="1"/>
    </xf>
    <xf numFmtId="1" fontId="94" fillId="0" borderId="15" xfId="0" applyNumberFormat="1" applyFont="1" applyBorder="1" applyAlignment="1">
      <alignment horizontal="center" vertical="center"/>
    </xf>
    <xf numFmtId="1" fontId="94" fillId="0" borderId="0" xfId="0" applyNumberFormat="1" applyFont="1" applyAlignment="1">
      <alignment horizontal="center"/>
    </xf>
    <xf numFmtId="1" fontId="94" fillId="0" borderId="0" xfId="0" applyNumberFormat="1" applyFont="1"/>
    <xf numFmtId="0" fontId="94" fillId="0" borderId="0" xfId="1384" applyFont="1" applyAlignment="1">
      <alignment vertical="top"/>
    </xf>
    <xf numFmtId="0" fontId="109" fillId="0" borderId="15" xfId="1384" applyFont="1" applyBorder="1" applyAlignment="1">
      <alignment vertical="top" wrapText="1"/>
    </xf>
    <xf numFmtId="2" fontId="94" fillId="0" borderId="15" xfId="1384" applyNumberFormat="1" applyFont="1" applyBorder="1" applyAlignment="1">
      <alignment horizontal="right" vertical="top" wrapText="1"/>
    </xf>
    <xf numFmtId="2" fontId="101" fillId="0" borderId="15" xfId="1384" applyNumberFormat="1" applyFont="1" applyBorder="1" applyAlignment="1">
      <alignment horizontal="center"/>
    </xf>
    <xf numFmtId="0" fontId="103" fillId="0" borderId="0" xfId="1385" applyFont="1" applyAlignment="1">
      <alignment vertical="center" wrapText="1"/>
    </xf>
    <xf numFmtId="0" fontId="94" fillId="0" borderId="0" xfId="1385" applyFont="1" applyAlignment="1">
      <alignment horizontal="center" vertical="center"/>
    </xf>
    <xf numFmtId="0" fontId="103" fillId="0" borderId="0" xfId="1385" applyFont="1" applyAlignment="1">
      <alignment horizontal="center" vertical="center"/>
    </xf>
    <xf numFmtId="0" fontId="103" fillId="0" borderId="0" xfId="1385" applyFont="1" applyAlignment="1">
      <alignment vertical="center"/>
    </xf>
    <xf numFmtId="0" fontId="153" fillId="0" borderId="0" xfId="1385" applyFont="1" applyAlignment="1">
      <alignment horizontal="center" vertical="center"/>
    </xf>
    <xf numFmtId="0" fontId="153" fillId="0" borderId="0" xfId="1385" applyFont="1" applyAlignment="1">
      <alignment horizontal="centerContinuous" vertical="center"/>
    </xf>
    <xf numFmtId="0" fontId="94" fillId="0" borderId="0" xfId="1385" applyFont="1" applyAlignment="1">
      <alignment horizontal="centerContinuous" vertical="center"/>
    </xf>
    <xf numFmtId="0" fontId="101" fillId="0" borderId="0" xfId="1385" applyFont="1" applyAlignment="1">
      <alignment horizontal="right" vertical="center"/>
    </xf>
    <xf numFmtId="0" fontId="101" fillId="0" borderId="0" xfId="1385" applyFont="1" applyAlignment="1">
      <alignment horizontal="left" vertical="center"/>
    </xf>
    <xf numFmtId="2" fontId="168" fillId="0" borderId="0" xfId="1385" applyNumberFormat="1" applyFont="1" applyAlignment="1">
      <alignment vertical="center"/>
    </xf>
    <xf numFmtId="0" fontId="168" fillId="0" borderId="15" xfId="1385" applyFont="1" applyBorder="1" applyAlignment="1">
      <alignment horizontal="center" vertical="center"/>
    </xf>
    <xf numFmtId="0" fontId="168" fillId="0" borderId="0" xfId="1385" applyFont="1" applyAlignment="1">
      <alignment horizontal="center" vertical="center" wrapText="1"/>
    </xf>
    <xf numFmtId="0" fontId="94" fillId="0" borderId="15" xfId="1385" applyFont="1" applyBorder="1" applyAlignment="1">
      <alignment horizontal="center" vertical="top"/>
    </xf>
    <xf numFmtId="0" fontId="94" fillId="0" borderId="15" xfId="1385" applyFont="1" applyBorder="1" applyAlignment="1">
      <alignment horizontal="left" vertical="top" shrinkToFit="1"/>
    </xf>
    <xf numFmtId="0" fontId="94" fillId="0" borderId="15" xfId="1385" applyFont="1" applyBorder="1" applyAlignment="1">
      <alignment horizontal="center" vertical="top" shrinkToFit="1"/>
    </xf>
    <xf numFmtId="0" fontId="109" fillId="0" borderId="15" xfId="1385" applyFont="1" applyBorder="1" applyAlignment="1">
      <alignment horizontal="center" vertical="top" shrinkToFit="1"/>
    </xf>
    <xf numFmtId="2" fontId="94" fillId="0" borderId="15" xfId="1385" applyNumberFormat="1" applyFont="1" applyBorder="1" applyAlignment="1">
      <alignment horizontal="center" vertical="top" shrinkToFit="1"/>
    </xf>
    <xf numFmtId="2" fontId="101" fillId="0" borderId="15" xfId="1385" applyNumberFormat="1" applyFont="1" applyBorder="1" applyAlignment="1">
      <alignment horizontal="right" vertical="top" shrinkToFit="1"/>
    </xf>
    <xf numFmtId="0" fontId="94" fillId="0" borderId="0" xfId="1385" applyFont="1" applyAlignment="1">
      <alignment horizontal="center" vertical="top"/>
    </xf>
    <xf numFmtId="0" fontId="94" fillId="0" borderId="15" xfId="1385" applyFont="1" applyBorder="1" applyAlignment="1">
      <alignment horizontal="left" vertical="top" wrapText="1"/>
    </xf>
    <xf numFmtId="0" fontId="109" fillId="0" borderId="15" xfId="1385" applyFont="1" applyBorder="1" applyAlignment="1">
      <alignment horizontal="center" vertical="top" wrapText="1"/>
    </xf>
    <xf numFmtId="2" fontId="109" fillId="0" borderId="15" xfId="1385" applyNumberFormat="1" applyFont="1" applyBorder="1" applyAlignment="1">
      <alignment horizontal="center" vertical="top" wrapText="1"/>
    </xf>
    <xf numFmtId="0" fontId="94" fillId="0" borderId="0" xfId="1385" applyFont="1" applyAlignment="1">
      <alignment horizontal="center" vertical="top" wrapText="1"/>
    </xf>
    <xf numFmtId="0" fontId="109" fillId="0" borderId="15" xfId="1385" applyFont="1" applyBorder="1" applyAlignment="1">
      <alignment horizontal="left" vertical="top" wrapText="1"/>
    </xf>
    <xf numFmtId="0" fontId="94" fillId="0" borderId="15" xfId="1385" applyFont="1" applyBorder="1" applyAlignment="1">
      <alignment vertical="top"/>
    </xf>
    <xf numFmtId="0" fontId="94" fillId="0" borderId="15" xfId="1385" applyFont="1" applyBorder="1" applyAlignment="1">
      <alignment horizontal="right" vertical="top"/>
    </xf>
    <xf numFmtId="0" fontId="94" fillId="0" borderId="0" xfId="1385" applyFont="1" applyAlignment="1">
      <alignment vertical="top"/>
    </xf>
    <xf numFmtId="0" fontId="94" fillId="0" borderId="0" xfId="1385" applyFont="1" applyAlignment="1">
      <alignment horizontal="center"/>
    </xf>
    <xf numFmtId="0" fontId="9" fillId="0" borderId="0" xfId="1419"/>
    <xf numFmtId="0" fontId="20" fillId="0" borderId="8" xfId="1419" applyFont="1" applyBorder="1" applyAlignment="1">
      <alignment horizontal="center"/>
    </xf>
    <xf numFmtId="0" fontId="175" fillId="0" borderId="8" xfId="1419" applyFont="1" applyBorder="1" applyAlignment="1">
      <alignment horizontal="center" vertical="top" wrapText="1"/>
    </xf>
    <xf numFmtId="0" fontId="175" fillId="0" borderId="28" xfId="1419" applyFont="1" applyBorder="1" applyAlignment="1">
      <alignment vertical="top" wrapText="1"/>
    </xf>
    <xf numFmtId="0" fontId="175" fillId="0" borderId="4" xfId="1419" applyFont="1" applyBorder="1" applyAlignment="1">
      <alignment vertical="top" wrapText="1"/>
    </xf>
    <xf numFmtId="0" fontId="175" fillId="0" borderId="29" xfId="1419" applyFont="1" applyBorder="1" applyAlignment="1">
      <alignment vertical="top" wrapText="1"/>
    </xf>
    <xf numFmtId="0" fontId="174" fillId="0" borderId="8" xfId="1419" applyFont="1" applyBorder="1" applyAlignment="1">
      <alignment horizontal="center" vertical="top" wrapText="1"/>
    </xf>
    <xf numFmtId="0" fontId="174" fillId="0" borderId="8" xfId="1419" applyFont="1" applyBorder="1" applyAlignment="1">
      <alignment horizontal="justify" vertical="top" wrapText="1"/>
    </xf>
    <xf numFmtId="0" fontId="175" fillId="0" borderId="8" xfId="1419" applyFont="1" applyBorder="1" applyAlignment="1">
      <alignment horizontal="justify" vertical="top" wrapText="1"/>
    </xf>
    <xf numFmtId="0" fontId="176" fillId="0" borderId="8" xfId="1419" applyFont="1" applyBorder="1" applyAlignment="1">
      <alignment horizontal="center" vertical="center" wrapText="1"/>
    </xf>
    <xf numFmtId="0" fontId="176" fillId="0" borderId="8" xfId="1419" applyFont="1" applyBorder="1" applyAlignment="1">
      <alignment horizontal="center" vertical="top" wrapText="1"/>
    </xf>
    <xf numFmtId="0" fontId="177" fillId="0" borderId="8" xfId="1420" applyFont="1" applyBorder="1" applyAlignment="1">
      <alignment horizontal="center" vertical="center" wrapText="1"/>
    </xf>
    <xf numFmtId="2" fontId="177" fillId="0" borderId="8" xfId="1420" applyNumberFormat="1" applyFont="1" applyBorder="1" applyAlignment="1">
      <alignment horizontal="center" vertical="center" wrapText="1"/>
    </xf>
    <xf numFmtId="2" fontId="175" fillId="0" borderId="8" xfId="1419" applyNumberFormat="1" applyFont="1" applyBorder="1" applyAlignment="1">
      <alignment horizontal="center"/>
    </xf>
    <xf numFmtId="0" fontId="177" fillId="45" borderId="8" xfId="1420" applyFont="1" applyFill="1" applyBorder="1" applyAlignment="1">
      <alignment horizontal="center" vertical="center" wrapText="1"/>
    </xf>
    <xf numFmtId="0" fontId="179" fillId="0" borderId="8" xfId="1420" applyFont="1" applyBorder="1" applyAlignment="1">
      <alignment horizontal="center" vertical="center" wrapText="1"/>
    </xf>
    <xf numFmtId="0" fontId="177" fillId="47" borderId="8" xfId="1420" applyFont="1" applyFill="1" applyBorder="1" applyAlignment="1">
      <alignment horizontal="center" vertical="center" wrapText="1"/>
    </xf>
    <xf numFmtId="0" fontId="94" fillId="0" borderId="15" xfId="1385" applyFont="1" applyBorder="1" applyAlignment="1">
      <alignment horizontal="left" vertical="top" wrapText="1" shrinkToFit="1"/>
    </xf>
    <xf numFmtId="2" fontId="94" fillId="0" borderId="15" xfId="94" applyNumberFormat="1" applyFont="1" applyBorder="1" applyAlignment="1">
      <alignment horizontal="center" vertical="top" wrapText="1"/>
    </xf>
    <xf numFmtId="0" fontId="101" fillId="0" borderId="15" xfId="94" applyFont="1" applyBorder="1" applyAlignment="1">
      <alignment vertical="top" wrapText="1"/>
    </xf>
    <xf numFmtId="0" fontId="101" fillId="0" borderId="15" xfId="94" applyFont="1" applyBorder="1" applyAlignment="1">
      <alignment horizontal="center" vertical="top" wrapText="1"/>
    </xf>
    <xf numFmtId="0" fontId="94" fillId="0" borderId="15" xfId="94" applyFont="1" applyBorder="1" applyAlignment="1">
      <alignment horizontal="center" vertical="top" wrapText="1"/>
    </xf>
    <xf numFmtId="0" fontId="94" fillId="0" borderId="15" xfId="94" applyFont="1" applyBorder="1" applyAlignment="1">
      <alignment horizontal="left" vertical="top" wrapText="1"/>
    </xf>
    <xf numFmtId="0" fontId="97" fillId="0" borderId="15" xfId="1384" applyFont="1" applyBorder="1" applyAlignment="1">
      <alignment horizontal="justify" vertical="top" wrapText="1"/>
    </xf>
    <xf numFmtId="0" fontId="112" fillId="0" borderId="15" xfId="1384" applyFont="1" applyBorder="1" applyAlignment="1">
      <alignment horizontal="justify" vertical="top" wrapText="1"/>
    </xf>
    <xf numFmtId="0" fontId="112" fillId="0" borderId="15" xfId="1384" applyFont="1" applyBorder="1" applyAlignment="1">
      <alignment horizontal="center" vertical="top" wrapText="1"/>
    </xf>
    <xf numFmtId="0" fontId="97" fillId="0" borderId="15" xfId="94" quotePrefix="1" applyFont="1" applyBorder="1" applyAlignment="1">
      <alignment horizontal="justify" vertical="top" wrapText="1"/>
    </xf>
    <xf numFmtId="2" fontId="112" fillId="0" borderId="15" xfId="1384" applyNumberFormat="1" applyFont="1" applyBorder="1" applyAlignment="1">
      <alignment horizontal="justify" vertical="top" wrapText="1"/>
    </xf>
    <xf numFmtId="2" fontId="112" fillId="0" borderId="15" xfId="1384" applyNumberFormat="1" applyFont="1" applyBorder="1" applyAlignment="1">
      <alignment horizontal="left" vertical="top" wrapText="1"/>
    </xf>
    <xf numFmtId="0" fontId="94" fillId="0" borderId="15" xfId="94" applyFont="1" applyBorder="1" applyAlignment="1">
      <alignment horizontal="justify" vertical="justify" wrapText="1"/>
    </xf>
    <xf numFmtId="2" fontId="101" fillId="0" borderId="19" xfId="1384" applyNumberFormat="1" applyFont="1" applyBorder="1" applyAlignment="1">
      <alignment horizontal="left" vertical="top"/>
    </xf>
    <xf numFmtId="166" fontId="94" fillId="0" borderId="17" xfId="1389" applyNumberFormat="1" applyFont="1" applyBorder="1" applyAlignment="1">
      <alignment horizontal="right" vertical="top" wrapText="1"/>
    </xf>
    <xf numFmtId="166" fontId="94" fillId="0" borderId="17" xfId="1389" applyNumberFormat="1" applyFont="1" applyBorder="1" applyAlignment="1">
      <alignment horizontal="center" vertical="top" wrapText="1"/>
    </xf>
    <xf numFmtId="0" fontId="101" fillId="0" borderId="15" xfId="1384" applyFont="1" applyBorder="1" applyAlignment="1">
      <alignment horizontal="justify" vertical="top" wrapText="1"/>
    </xf>
    <xf numFmtId="1" fontId="94" fillId="0" borderId="15" xfId="0" applyNumberFormat="1" applyFont="1" applyBorder="1" applyAlignment="1">
      <alignment vertical="top"/>
    </xf>
    <xf numFmtId="0" fontId="104" fillId="0" borderId="15" xfId="0" applyFont="1" applyBorder="1" applyAlignment="1">
      <alignment vertical="top"/>
    </xf>
    <xf numFmtId="0" fontId="94" fillId="45" borderId="0" xfId="1384" applyFont="1" applyFill="1" applyAlignment="1">
      <alignment vertical="top"/>
    </xf>
    <xf numFmtId="0" fontId="109" fillId="45" borderId="15" xfId="1384" applyFont="1" applyFill="1" applyBorder="1" applyAlignment="1">
      <alignment horizontal="center" vertical="top" wrapText="1"/>
    </xf>
    <xf numFmtId="0" fontId="109" fillId="45" borderId="15" xfId="1384" applyFont="1" applyFill="1" applyBorder="1" applyAlignment="1">
      <alignment vertical="top" wrapText="1"/>
    </xf>
    <xf numFmtId="0" fontId="101" fillId="45" borderId="15" xfId="1384" applyFont="1" applyFill="1" applyBorder="1" applyAlignment="1">
      <alignment horizontal="right" vertical="top" wrapText="1"/>
    </xf>
    <xf numFmtId="2" fontId="94" fillId="45" borderId="15" xfId="1384" applyNumberFormat="1" applyFont="1" applyFill="1" applyBorder="1" applyAlignment="1">
      <alignment horizontal="right" vertical="top" wrapText="1"/>
    </xf>
    <xf numFmtId="2" fontId="131" fillId="45" borderId="15" xfId="1384" applyNumberFormat="1" applyFont="1" applyFill="1" applyBorder="1" applyAlignment="1">
      <alignment vertical="top" wrapText="1"/>
    </xf>
    <xf numFmtId="2" fontId="94" fillId="45" borderId="15" xfId="1384" applyNumberFormat="1" applyFont="1" applyFill="1" applyBorder="1" applyAlignment="1">
      <alignment vertical="top" wrapText="1"/>
    </xf>
    <xf numFmtId="2" fontId="101" fillId="45" borderId="15" xfId="1384" applyNumberFormat="1" applyFont="1" applyFill="1" applyBorder="1" applyAlignment="1">
      <alignment horizontal="right" vertical="top" wrapText="1"/>
    </xf>
    <xf numFmtId="0" fontId="101" fillId="0" borderId="18" xfId="95" applyFont="1" applyBorder="1" applyAlignment="1">
      <alignment vertical="top" wrapText="1"/>
    </xf>
    <xf numFmtId="0" fontId="101" fillId="0" borderId="19" xfId="95" applyFont="1" applyBorder="1" applyAlignment="1">
      <alignment vertical="top" wrapText="1"/>
    </xf>
    <xf numFmtId="0" fontId="129" fillId="0" borderId="17" xfId="1384" applyFont="1" applyBorder="1" applyAlignment="1">
      <alignment horizontal="center" vertical="top"/>
    </xf>
    <xf numFmtId="0" fontId="129" fillId="0" borderId="18" xfId="1384" applyFont="1" applyBorder="1" applyAlignment="1">
      <alignment vertical="top" wrapText="1"/>
    </xf>
    <xf numFmtId="2" fontId="138" fillId="0" borderId="18" xfId="1384" applyNumberFormat="1" applyFont="1" applyBorder="1" applyAlignment="1">
      <alignment horizontal="center" vertical="top"/>
    </xf>
    <xf numFmtId="2" fontId="138" fillId="0" borderId="19" xfId="1384" applyNumberFormat="1" applyFont="1" applyBorder="1" applyAlignment="1">
      <alignment vertical="top"/>
    </xf>
    <xf numFmtId="0" fontId="116" fillId="0" borderId="15" xfId="1393" applyFont="1" applyBorder="1" applyAlignment="1">
      <alignment vertical="top"/>
    </xf>
    <xf numFmtId="0" fontId="116" fillId="0" borderId="15" xfId="1393" applyFont="1" applyBorder="1" applyAlignment="1">
      <alignment horizontal="center" vertical="top"/>
    </xf>
    <xf numFmtId="2" fontId="116" fillId="0" borderId="15" xfId="1393" applyNumberFormat="1" applyFont="1" applyBorder="1" applyAlignment="1">
      <alignment horizontal="center" vertical="top"/>
    </xf>
    <xf numFmtId="2" fontId="94" fillId="0" borderId="15" xfId="1384" applyNumberFormat="1" applyFont="1" applyBorder="1" applyAlignment="1">
      <alignment vertical="top" wrapText="1"/>
    </xf>
    <xf numFmtId="2" fontId="94" fillId="0" borderId="0" xfId="1384" applyNumberFormat="1" applyFont="1" applyAlignment="1">
      <alignment vertical="top"/>
    </xf>
    <xf numFmtId="0" fontId="109" fillId="0" borderId="15" xfId="1384" applyFont="1" applyBorder="1" applyAlignment="1">
      <alignment horizontal="center" vertical="top" wrapText="1"/>
    </xf>
    <xf numFmtId="2" fontId="101" fillId="0" borderId="15" xfId="1384" applyNumberFormat="1" applyFont="1" applyBorder="1" applyAlignment="1">
      <alignment horizontal="right" vertical="top" wrapText="1"/>
    </xf>
    <xf numFmtId="49" fontId="154" fillId="0" borderId="0" xfId="1385" applyNumberFormat="1" applyFont="1" applyAlignment="1">
      <alignment horizontal="left" vertical="center"/>
    </xf>
    <xf numFmtId="0" fontId="94" fillId="0" borderId="15" xfId="0" applyFont="1" applyBorder="1" applyAlignment="1">
      <alignment horizontal="left" vertical="center"/>
    </xf>
    <xf numFmtId="2" fontId="94" fillId="45" borderId="15" xfId="0" applyNumberFormat="1" applyFont="1" applyFill="1" applyBorder="1" applyAlignment="1">
      <alignment horizontal="center" vertical="top" wrapText="1"/>
    </xf>
    <xf numFmtId="2" fontId="101" fillId="45" borderId="15" xfId="0" applyNumberFormat="1" applyFont="1" applyFill="1" applyBorder="1" applyAlignment="1">
      <alignment horizontal="center" vertical="top" wrapText="1"/>
    </xf>
    <xf numFmtId="0" fontId="101" fillId="45" borderId="15" xfId="0" applyFont="1" applyFill="1" applyBorder="1" applyAlignment="1">
      <alignment horizontal="center" vertical="top" wrapText="1"/>
    </xf>
    <xf numFmtId="0" fontId="94" fillId="45" borderId="15" xfId="0" applyFont="1" applyFill="1" applyBorder="1" applyAlignment="1">
      <alignment vertical="top" wrapText="1"/>
    </xf>
    <xf numFmtId="0" fontId="94" fillId="46" borderId="15" xfId="1385" applyFont="1" applyFill="1" applyBorder="1" applyAlignment="1">
      <alignment horizontal="left" vertical="top" wrapText="1"/>
    </xf>
    <xf numFmtId="0" fontId="109" fillId="46" borderId="15" xfId="1385" applyFont="1" applyFill="1" applyBorder="1" applyAlignment="1">
      <alignment horizontal="left" vertical="top" wrapText="1"/>
    </xf>
    <xf numFmtId="0" fontId="97" fillId="46" borderId="15" xfId="1384" applyFont="1" applyFill="1" applyBorder="1" applyAlignment="1">
      <alignment horizontal="justify" vertical="top" wrapText="1"/>
    </xf>
    <xf numFmtId="0" fontId="9" fillId="46" borderId="0" xfId="1419" applyFill="1"/>
    <xf numFmtId="0" fontId="20" fillId="46" borderId="8" xfId="1419" applyFont="1" applyFill="1" applyBorder="1" applyAlignment="1">
      <alignment horizontal="center"/>
    </xf>
    <xf numFmtId="0" fontId="175" fillId="46" borderId="8" xfId="1419" applyFont="1" applyFill="1" applyBorder="1" applyAlignment="1">
      <alignment horizontal="center" vertical="top" wrapText="1"/>
    </xf>
    <xf numFmtId="0" fontId="175" fillId="46" borderId="28" xfId="1419" applyFont="1" applyFill="1" applyBorder="1" applyAlignment="1">
      <alignment vertical="top" wrapText="1"/>
    </xf>
    <xf numFmtId="0" fontId="175" fillId="46" borderId="4" xfId="1419" applyFont="1" applyFill="1" applyBorder="1" applyAlignment="1">
      <alignment vertical="top" wrapText="1"/>
    </xf>
    <xf numFmtId="0" fontId="175" fillId="46" borderId="29" xfId="1419" applyFont="1" applyFill="1" applyBorder="1" applyAlignment="1">
      <alignment vertical="top" wrapText="1"/>
    </xf>
    <xf numFmtId="0" fontId="174" fillId="46" borderId="8" xfId="1419" applyFont="1" applyFill="1" applyBorder="1" applyAlignment="1">
      <alignment horizontal="center" vertical="top" wrapText="1"/>
    </xf>
    <xf numFmtId="0" fontId="174" fillId="46" borderId="8" xfId="1419" applyFont="1" applyFill="1" applyBorder="1" applyAlignment="1">
      <alignment horizontal="justify" vertical="top" wrapText="1"/>
    </xf>
    <xf numFmtId="0" fontId="175" fillId="46" borderId="8" xfId="1419" applyFont="1" applyFill="1" applyBorder="1" applyAlignment="1">
      <alignment horizontal="justify" vertical="top" wrapText="1"/>
    </xf>
    <xf numFmtId="0" fontId="176" fillId="46" borderId="8" xfId="1419" applyFont="1" applyFill="1" applyBorder="1" applyAlignment="1">
      <alignment horizontal="center" vertical="center" wrapText="1"/>
    </xf>
    <xf numFmtId="0" fontId="176" fillId="46" borderId="8" xfId="1419" applyFont="1" applyFill="1" applyBorder="1" applyAlignment="1">
      <alignment horizontal="center" vertical="top" wrapText="1"/>
    </xf>
    <xf numFmtId="0" fontId="177" fillId="46" borderId="8" xfId="1420" applyFont="1" applyFill="1" applyBorder="1" applyAlignment="1">
      <alignment horizontal="center" vertical="center" wrapText="1"/>
    </xf>
    <xf numFmtId="2" fontId="174" fillId="46" borderId="8" xfId="1419" applyNumberFormat="1" applyFont="1" applyFill="1" applyBorder="1" applyAlignment="1">
      <alignment horizontal="center"/>
    </xf>
    <xf numFmtId="2" fontId="178" fillId="46" borderId="8" xfId="1419" applyNumberFormat="1" applyFont="1" applyFill="1" applyBorder="1" applyAlignment="1">
      <alignment horizontal="center"/>
    </xf>
    <xf numFmtId="2" fontId="177" fillId="46" borderId="8" xfId="1420" applyNumberFormat="1" applyFont="1" applyFill="1" applyBorder="1" applyAlignment="1">
      <alignment horizontal="center" vertical="center" wrapText="1"/>
    </xf>
    <xf numFmtId="2" fontId="175" fillId="46" borderId="8" xfId="1419" applyNumberFormat="1" applyFont="1" applyFill="1" applyBorder="1" applyAlignment="1">
      <alignment horizontal="center"/>
    </xf>
    <xf numFmtId="2" fontId="178" fillId="46" borderId="8" xfId="1416" applyNumberFormat="1" applyFont="1" applyFill="1" applyBorder="1" applyAlignment="1">
      <alignment horizontal="center"/>
    </xf>
    <xf numFmtId="0" fontId="179" fillId="46" borderId="8" xfId="1420" applyFont="1" applyFill="1" applyBorder="1" applyAlignment="1">
      <alignment horizontal="center" vertical="center" wrapText="1"/>
    </xf>
    <xf numFmtId="0" fontId="94" fillId="46" borderId="0" xfId="94" applyFont="1" applyFill="1" applyAlignment="1">
      <alignment vertical="top" wrapText="1"/>
    </xf>
    <xf numFmtId="0" fontId="94" fillId="46" borderId="15" xfId="94" applyFont="1" applyFill="1" applyBorder="1" applyAlignment="1">
      <alignment vertical="top" wrapText="1"/>
    </xf>
    <xf numFmtId="0" fontId="94" fillId="46" borderId="15" xfId="94" applyFont="1" applyFill="1" applyBorder="1" applyAlignment="1">
      <alignment horizontal="center" vertical="top" wrapText="1"/>
    </xf>
    <xf numFmtId="0" fontId="94" fillId="46" borderId="15" xfId="94" applyFont="1" applyFill="1" applyBorder="1" applyAlignment="1">
      <alignment horizontal="left" vertical="top" wrapText="1"/>
    </xf>
    <xf numFmtId="2" fontId="94" fillId="46" borderId="15" xfId="94" applyNumberFormat="1" applyFont="1" applyFill="1" applyBorder="1" applyAlignment="1">
      <alignment horizontal="center" vertical="top" wrapText="1"/>
    </xf>
    <xf numFmtId="0" fontId="94" fillId="46" borderId="15" xfId="1385" applyFont="1" applyFill="1" applyBorder="1" applyAlignment="1">
      <alignment horizontal="left" vertical="top" wrapText="1" shrinkToFit="1"/>
    </xf>
    <xf numFmtId="2" fontId="94" fillId="46" borderId="15" xfId="1385" applyNumberFormat="1" applyFont="1" applyFill="1" applyBorder="1" applyAlignment="1">
      <alignment horizontal="center" vertical="top" wrapText="1" shrinkToFit="1"/>
    </xf>
    <xf numFmtId="0" fontId="101" fillId="46" borderId="15" xfId="94" applyFont="1" applyFill="1" applyBorder="1" applyAlignment="1">
      <alignment horizontal="left" vertical="top" wrapText="1"/>
    </xf>
    <xf numFmtId="0" fontId="101" fillId="46" borderId="15" xfId="94" applyFont="1" applyFill="1" applyBorder="1" applyAlignment="1">
      <alignment vertical="top" wrapText="1"/>
    </xf>
    <xf numFmtId="0" fontId="101" fillId="46" borderId="15" xfId="94" applyFont="1" applyFill="1" applyBorder="1" applyAlignment="1">
      <alignment horizontal="center" vertical="top" wrapText="1"/>
    </xf>
    <xf numFmtId="2" fontId="101" fillId="46" borderId="15" xfId="94" applyNumberFormat="1" applyFont="1" applyFill="1" applyBorder="1" applyAlignment="1">
      <alignment horizontal="center" vertical="top" wrapText="1"/>
    </xf>
    <xf numFmtId="0" fontId="112" fillId="46" borderId="15" xfId="1384" applyFont="1" applyFill="1" applyBorder="1" applyAlignment="1">
      <alignment horizontal="justify" vertical="top" wrapText="1"/>
    </xf>
    <xf numFmtId="0" fontId="112" fillId="46" borderId="15" xfId="1384" applyFont="1" applyFill="1" applyBorder="1" applyAlignment="1">
      <alignment horizontal="center" vertical="top" wrapText="1"/>
    </xf>
    <xf numFmtId="0" fontId="97" fillId="46" borderId="15" xfId="94" quotePrefix="1" applyFont="1" applyFill="1" applyBorder="1" applyAlignment="1">
      <alignment horizontal="justify" vertical="top" wrapText="1"/>
    </xf>
    <xf numFmtId="2" fontId="112" fillId="46" borderId="15" xfId="1384" applyNumberFormat="1" applyFont="1" applyFill="1" applyBorder="1" applyAlignment="1">
      <alignment horizontal="justify" vertical="top" wrapText="1"/>
    </xf>
    <xf numFmtId="2" fontId="112" fillId="46" borderId="15" xfId="1384" applyNumberFormat="1" applyFont="1" applyFill="1" applyBorder="1" applyAlignment="1">
      <alignment horizontal="left" vertical="top" wrapText="1"/>
    </xf>
    <xf numFmtId="0" fontId="94" fillId="46" borderId="15" xfId="94" applyFont="1" applyFill="1" applyBorder="1" applyAlignment="1">
      <alignment horizontal="justify" vertical="justify" wrapText="1"/>
    </xf>
    <xf numFmtId="0" fontId="94" fillId="46" borderId="0" xfId="94" applyFont="1" applyFill="1" applyAlignment="1">
      <alignment horizontal="center" vertical="top" wrapText="1"/>
    </xf>
    <xf numFmtId="0" fontId="94" fillId="46" borderId="0" xfId="94" applyFont="1" applyFill="1" applyAlignment="1">
      <alignment horizontal="left" vertical="top" wrapText="1"/>
    </xf>
    <xf numFmtId="2" fontId="94" fillId="46" borderId="0" xfId="94" applyNumberFormat="1" applyFont="1" applyFill="1" applyAlignment="1">
      <alignment horizontal="center" vertical="top" wrapText="1"/>
    </xf>
    <xf numFmtId="2" fontId="174" fillId="0" borderId="8" xfId="176" applyNumberFormat="1" applyFont="1" applyBorder="1" applyAlignment="1">
      <alignment horizontal="center"/>
    </xf>
    <xf numFmtId="2" fontId="178" fillId="0" borderId="8" xfId="176" applyNumberFormat="1" applyFont="1" applyBorder="1" applyAlignment="1">
      <alignment horizontal="center"/>
    </xf>
    <xf numFmtId="2" fontId="174" fillId="45" borderId="8" xfId="176" applyNumberFormat="1" applyFont="1" applyFill="1" applyBorder="1" applyAlignment="1">
      <alignment horizontal="center"/>
    </xf>
    <xf numFmtId="2" fontId="178" fillId="45" borderId="8" xfId="176" applyNumberFormat="1" applyFont="1" applyFill="1" applyBorder="1" applyAlignment="1">
      <alignment horizontal="center"/>
    </xf>
    <xf numFmtId="2" fontId="20" fillId="45" borderId="15" xfId="0" applyNumberFormat="1" applyFont="1" applyFill="1" applyBorder="1" applyAlignment="1">
      <alignment horizontal="center" wrapText="1"/>
    </xf>
    <xf numFmtId="2" fontId="94" fillId="45" borderId="15" xfId="94" applyNumberFormat="1" applyFont="1" applyFill="1" applyBorder="1" applyAlignment="1">
      <alignment horizontal="center" vertical="top" wrapText="1"/>
    </xf>
    <xf numFmtId="2" fontId="94" fillId="45" borderId="15" xfId="1423" applyNumberFormat="1" applyFont="1" applyFill="1" applyBorder="1" applyAlignment="1">
      <alignment horizontal="center" vertical="top" wrapText="1" shrinkToFit="1"/>
    </xf>
    <xf numFmtId="0" fontId="94" fillId="45" borderId="15" xfId="94" applyFont="1" applyFill="1" applyBorder="1" applyAlignment="1">
      <alignment horizontal="center" vertical="top" wrapText="1"/>
    </xf>
    <xf numFmtId="0" fontId="94" fillId="45" borderId="15" xfId="94" applyFont="1" applyFill="1" applyBorder="1" applyAlignment="1">
      <alignment horizontal="left" vertical="top" wrapText="1"/>
    </xf>
    <xf numFmtId="0" fontId="94" fillId="45" borderId="0" xfId="94" applyFont="1" applyFill="1" applyAlignment="1">
      <alignment horizontal="center" vertical="top" wrapText="1"/>
    </xf>
    <xf numFmtId="0" fontId="94" fillId="45" borderId="15" xfId="0" applyFont="1" applyFill="1" applyBorder="1" applyAlignment="1">
      <alignment horizontal="center" vertical="top" wrapText="1"/>
    </xf>
    <xf numFmtId="0" fontId="94" fillId="0" borderId="0" xfId="94" applyFont="1" applyAlignment="1">
      <alignment vertical="top" wrapText="1"/>
    </xf>
    <xf numFmtId="0" fontId="94" fillId="0" borderId="15" xfId="94" applyFont="1" applyBorder="1" applyAlignment="1">
      <alignment vertical="top" wrapText="1"/>
    </xf>
    <xf numFmtId="2" fontId="20" fillId="0" borderId="15" xfId="0" applyNumberFormat="1" applyFont="1" applyBorder="1" applyAlignment="1">
      <alignment horizontal="center" wrapText="1"/>
    </xf>
    <xf numFmtId="0" fontId="101" fillId="0" borderId="15" xfId="94" applyFont="1" applyBorder="1" applyAlignment="1">
      <alignment horizontal="left" vertical="top" wrapText="1"/>
    </xf>
    <xf numFmtId="0" fontId="94" fillId="0" borderId="0" xfId="94" applyFont="1" applyAlignment="1">
      <alignment horizontal="center" vertical="top" wrapText="1"/>
    </xf>
    <xf numFmtId="0" fontId="94" fillId="0" borderId="0" xfId="94" applyFont="1" applyAlignment="1">
      <alignment horizontal="left" vertical="top" wrapText="1"/>
    </xf>
    <xf numFmtId="2" fontId="94" fillId="0" borderId="0" xfId="94" applyNumberFormat="1" applyFont="1" applyAlignment="1">
      <alignment horizontal="center" vertical="top" wrapText="1"/>
    </xf>
    <xf numFmtId="0" fontId="101" fillId="45" borderId="15" xfId="0" applyFont="1" applyFill="1" applyBorder="1" applyAlignment="1">
      <alignment horizontal="left" vertical="top" wrapText="1"/>
    </xf>
    <xf numFmtId="0" fontId="94" fillId="45" borderId="15" xfId="0" applyFont="1" applyFill="1" applyBorder="1" applyAlignment="1">
      <alignment horizontal="left" vertical="top" wrapText="1"/>
    </xf>
    <xf numFmtId="2" fontId="20" fillId="0" borderId="8" xfId="94" applyNumberFormat="1" applyBorder="1" applyAlignment="1">
      <alignment horizontal="center" vertical="center"/>
    </xf>
    <xf numFmtId="2" fontId="178" fillId="0" borderId="8" xfId="0" applyNumberFormat="1" applyFont="1" applyBorder="1" applyAlignment="1">
      <alignment horizontal="center"/>
    </xf>
    <xf numFmtId="2" fontId="20" fillId="45" borderId="8" xfId="94" applyNumberFormat="1" applyFill="1" applyBorder="1" applyAlignment="1">
      <alignment horizontal="center" vertical="center"/>
    </xf>
    <xf numFmtId="2" fontId="178" fillId="45" borderId="8" xfId="0" applyNumberFormat="1" applyFont="1" applyFill="1" applyBorder="1" applyAlignment="1">
      <alignment horizontal="center"/>
    </xf>
    <xf numFmtId="0" fontId="94" fillId="0" borderId="0" xfId="0" applyFont="1" applyAlignment="1">
      <alignment vertical="top" wrapText="1"/>
    </xf>
    <xf numFmtId="0" fontId="94" fillId="0" borderId="0" xfId="0" applyFont="1" applyAlignment="1">
      <alignment horizontal="center" vertical="top" wrapText="1"/>
    </xf>
    <xf numFmtId="0" fontId="95" fillId="0" borderId="0" xfId="0" applyFont="1" applyAlignment="1">
      <alignment vertical="center" wrapText="1"/>
    </xf>
    <xf numFmtId="166" fontId="95" fillId="0" borderId="15" xfId="0" applyNumberFormat="1" applyFont="1" applyBorder="1" applyAlignment="1">
      <alignment horizontal="center" vertical="center" wrapText="1"/>
    </xf>
    <xf numFmtId="0" fontId="95" fillId="0" borderId="17" xfId="0" applyFont="1" applyBorder="1" applyAlignment="1">
      <alignment vertical="center" wrapText="1"/>
    </xf>
    <xf numFmtId="0" fontId="95" fillId="0" borderId="19" xfId="0" applyFont="1" applyBorder="1" applyAlignment="1">
      <alignment vertical="center" wrapText="1"/>
    </xf>
    <xf numFmtId="0" fontId="94" fillId="0" borderId="17" xfId="0" applyFont="1" applyBorder="1" applyAlignment="1">
      <alignment vertical="top" wrapText="1"/>
    </xf>
    <xf numFmtId="0" fontId="95" fillId="0" borderId="0" xfId="0" applyFont="1" applyAlignment="1">
      <alignment vertical="top" wrapText="1"/>
    </xf>
    <xf numFmtId="0" fontId="94" fillId="0" borderId="17" xfId="0" applyFont="1" applyBorder="1" applyAlignment="1">
      <alignment horizontal="right" vertical="top"/>
    </xf>
    <xf numFmtId="0" fontId="94" fillId="0" borderId="19" xfId="0" applyFont="1" applyBorder="1" applyAlignment="1">
      <alignment horizontal="right" vertical="top"/>
    </xf>
    <xf numFmtId="0" fontId="94" fillId="0" borderId="18" xfId="0" applyFont="1" applyBorder="1" applyAlignment="1">
      <alignment horizontal="center" vertical="top"/>
    </xf>
    <xf numFmtId="0" fontId="94" fillId="0" borderId="19" xfId="0" applyFont="1" applyBorder="1" applyAlignment="1">
      <alignment horizontal="left" vertical="top"/>
    </xf>
    <xf numFmtId="166" fontId="94" fillId="0" borderId="15" xfId="0" applyNumberFormat="1" applyFont="1" applyBorder="1" applyAlignment="1">
      <alignment horizontal="center" vertical="top"/>
    </xf>
    <xf numFmtId="0" fontId="94" fillId="0" borderId="17" xfId="0" applyFont="1" applyBorder="1" applyAlignment="1">
      <alignment horizontal="center" vertical="top"/>
    </xf>
    <xf numFmtId="0" fontId="94" fillId="0" borderId="19" xfId="0" applyFont="1" applyBorder="1" applyAlignment="1">
      <alignment horizontal="center" vertical="top"/>
    </xf>
    <xf numFmtId="0" fontId="100" fillId="0" borderId="0" xfId="0" applyFont="1" applyAlignment="1">
      <alignment vertical="top"/>
    </xf>
    <xf numFmtId="2" fontId="99" fillId="0" borderId="17" xfId="0" applyNumberFormat="1" applyFont="1" applyBorder="1" applyAlignment="1">
      <alignment horizontal="right" vertical="top"/>
    </xf>
    <xf numFmtId="2" fontId="99" fillId="0" borderId="19" xfId="0" applyNumberFormat="1" applyFont="1" applyBorder="1" applyAlignment="1">
      <alignment horizontal="left" vertical="top"/>
    </xf>
    <xf numFmtId="0" fontId="94" fillId="0" borderId="15" xfId="1415" applyFont="1" applyBorder="1" applyAlignment="1">
      <alignment vertical="top" wrapText="1"/>
    </xf>
    <xf numFmtId="1" fontId="94" fillId="0" borderId="17" xfId="1415" applyNumberFormat="1" applyFont="1" applyBorder="1" applyAlignment="1">
      <alignment horizontal="right" vertical="top" wrapText="1"/>
    </xf>
    <xf numFmtId="1" fontId="94" fillId="0" borderId="18" xfId="1415" applyNumberFormat="1" applyFont="1" applyBorder="1" applyAlignment="1">
      <alignment horizontal="center" vertical="top" wrapText="1"/>
    </xf>
    <xf numFmtId="1" fontId="94" fillId="0" borderId="19" xfId="1415" applyNumberFormat="1" applyFont="1" applyBorder="1" applyAlignment="1">
      <alignment horizontal="left" vertical="top" wrapText="1"/>
    </xf>
    <xf numFmtId="166" fontId="94" fillId="0" borderId="15" xfId="1415" applyNumberFormat="1" applyFont="1" applyBorder="1" applyAlignment="1">
      <alignment horizontal="center" vertical="top" wrapText="1"/>
    </xf>
    <xf numFmtId="2" fontId="94" fillId="0" borderId="17" xfId="0" applyNumberFormat="1" applyFont="1" applyBorder="1" applyAlignment="1">
      <alignment horizontal="right" vertical="top"/>
    </xf>
    <xf numFmtId="2" fontId="99" fillId="0" borderId="19" xfId="0" applyNumberFormat="1" applyFont="1" applyBorder="1" applyAlignment="1">
      <alignment vertical="top"/>
    </xf>
    <xf numFmtId="0" fontId="94" fillId="0" borderId="17" xfId="0" applyFont="1" applyBorder="1" applyAlignment="1">
      <alignment vertical="top"/>
    </xf>
    <xf numFmtId="0" fontId="94" fillId="0" borderId="18" xfId="0" applyFont="1" applyBorder="1" applyAlignment="1">
      <alignment vertical="top"/>
    </xf>
    <xf numFmtId="0" fontId="94" fillId="0" borderId="15" xfId="1384" applyFont="1" applyBorder="1" applyAlignment="1">
      <alignment vertical="top" wrapText="1"/>
    </xf>
    <xf numFmtId="0" fontId="94" fillId="0" borderId="17" xfId="1384" applyFont="1" applyBorder="1" applyAlignment="1">
      <alignment horizontal="right" vertical="top"/>
    </xf>
    <xf numFmtId="0" fontId="94" fillId="0" borderId="18" xfId="1384" applyFont="1" applyBorder="1" applyAlignment="1">
      <alignment horizontal="center" vertical="top"/>
    </xf>
    <xf numFmtId="166" fontId="94" fillId="0" borderId="15" xfId="1384" applyNumberFormat="1" applyFont="1" applyBorder="1" applyAlignment="1">
      <alignment horizontal="center" vertical="top"/>
    </xf>
    <xf numFmtId="2" fontId="99" fillId="0" borderId="17" xfId="1384" applyNumberFormat="1" applyFont="1" applyBorder="1" applyAlignment="1">
      <alignment horizontal="right" vertical="top"/>
    </xf>
    <xf numFmtId="0" fontId="94" fillId="0" borderId="17" xfId="0" applyFont="1" applyBorder="1" applyAlignment="1">
      <alignment horizontal="right"/>
    </xf>
    <xf numFmtId="0" fontId="94" fillId="0" borderId="18" xfId="0" applyFont="1" applyBorder="1" applyAlignment="1">
      <alignment horizontal="center"/>
    </xf>
    <xf numFmtId="0" fontId="94" fillId="0" borderId="19" xfId="0" applyFont="1" applyBorder="1" applyAlignment="1">
      <alignment horizontal="left"/>
    </xf>
    <xf numFmtId="166" fontId="94" fillId="0" borderId="15" xfId="0" applyNumberFormat="1" applyFont="1" applyBorder="1" applyAlignment="1">
      <alignment horizontal="center"/>
    </xf>
    <xf numFmtId="0" fontId="94" fillId="0" borderId="17" xfId="0" applyFont="1" applyBorder="1" applyAlignment="1">
      <alignment horizontal="center"/>
    </xf>
    <xf numFmtId="0" fontId="98" fillId="0" borderId="17" xfId="0" applyFont="1" applyBorder="1" applyAlignment="1">
      <alignment vertical="top"/>
    </xf>
    <xf numFmtId="0" fontId="98" fillId="0" borderId="18" xfId="0" applyFont="1" applyBorder="1" applyAlignment="1">
      <alignment vertical="top"/>
    </xf>
    <xf numFmtId="0" fontId="98" fillId="0" borderId="19" xfId="0" applyFont="1" applyBorder="1" applyAlignment="1">
      <alignment horizontal="left" vertical="top"/>
    </xf>
    <xf numFmtId="166" fontId="98" fillId="0" borderId="15" xfId="0" applyNumberFormat="1" applyFont="1" applyBorder="1" applyAlignment="1">
      <alignment horizontal="center" vertical="top"/>
    </xf>
    <xf numFmtId="2" fontId="98" fillId="0" borderId="15" xfId="0" applyNumberFormat="1" applyFont="1" applyBorder="1" applyAlignment="1">
      <alignment horizontal="center" vertical="top"/>
    </xf>
    <xf numFmtId="2" fontId="98" fillId="0" borderId="17" xfId="0" applyNumberFormat="1" applyFont="1" applyBorder="1" applyAlignment="1">
      <alignment horizontal="right" vertical="top"/>
    </xf>
    <xf numFmtId="0" fontId="94" fillId="0" borderId="15" xfId="1416" applyFont="1" applyBorder="1" applyAlignment="1">
      <alignment vertical="top" wrapText="1"/>
    </xf>
    <xf numFmtId="0" fontId="94" fillId="0" borderId="17" xfId="1416" applyFont="1" applyBorder="1" applyAlignment="1">
      <alignment horizontal="right" vertical="top"/>
    </xf>
    <xf numFmtId="0" fontId="94" fillId="0" borderId="19" xfId="1416" applyFont="1" applyBorder="1" applyAlignment="1">
      <alignment horizontal="left" vertical="top"/>
    </xf>
    <xf numFmtId="2" fontId="94" fillId="0" borderId="15" xfId="1416" applyNumberFormat="1" applyFont="1" applyBorder="1" applyAlignment="1">
      <alignment horizontal="center" vertical="top"/>
    </xf>
    <xf numFmtId="166" fontId="94" fillId="0" borderId="15" xfId="1416" applyNumberFormat="1" applyFont="1" applyBorder="1" applyAlignment="1">
      <alignment horizontal="center" vertical="top"/>
    </xf>
    <xf numFmtId="2" fontId="99" fillId="0" borderId="15" xfId="0" applyNumberFormat="1" applyFont="1" applyBorder="1" applyAlignment="1">
      <alignment horizontal="right" vertical="top"/>
    </xf>
    <xf numFmtId="2" fontId="99" fillId="0" borderId="18" xfId="0" applyNumberFormat="1" applyFont="1" applyBorder="1" applyAlignment="1">
      <alignment vertical="top"/>
    </xf>
    <xf numFmtId="167" fontId="94" fillId="0" borderId="19" xfId="1415" applyNumberFormat="1" applyFont="1" applyBorder="1" applyAlignment="1">
      <alignment horizontal="left" vertical="top" wrapText="1"/>
    </xf>
    <xf numFmtId="0" fontId="94" fillId="0" borderId="15" xfId="1273" applyFont="1" applyBorder="1" applyAlignment="1">
      <alignment vertical="top" wrapText="1"/>
    </xf>
    <xf numFmtId="1" fontId="94" fillId="0" borderId="17" xfId="1273" applyNumberFormat="1" applyFont="1" applyBorder="1" applyAlignment="1">
      <alignment horizontal="right" vertical="top" wrapText="1"/>
    </xf>
    <xf numFmtId="1" fontId="94" fillId="0" borderId="18" xfId="1273" applyNumberFormat="1" applyFont="1" applyBorder="1" applyAlignment="1">
      <alignment horizontal="center" vertical="top" wrapText="1"/>
    </xf>
    <xf numFmtId="1" fontId="94" fillId="0" borderId="19" xfId="1273" applyNumberFormat="1" applyFont="1" applyBorder="1" applyAlignment="1">
      <alignment horizontal="left" vertical="top" wrapText="1"/>
    </xf>
    <xf numFmtId="166" fontId="94" fillId="0" borderId="15" xfId="1273" applyNumberFormat="1" applyFont="1" applyBorder="1" applyAlignment="1">
      <alignment horizontal="center" vertical="top" wrapText="1"/>
    </xf>
    <xf numFmtId="2" fontId="94" fillId="0" borderId="19" xfId="1415" applyNumberFormat="1" applyFont="1" applyBorder="1" applyAlignment="1">
      <alignment horizontal="left" vertical="top" wrapText="1"/>
    </xf>
    <xf numFmtId="0" fontId="116" fillId="0" borderId="0" xfId="1417" applyFont="1" applyAlignment="1">
      <alignment horizontal="center" vertical="top"/>
    </xf>
    <xf numFmtId="166" fontId="94" fillId="0" borderId="17" xfId="0" applyNumberFormat="1" applyFont="1" applyBorder="1" applyAlignment="1">
      <alignment horizontal="right" vertical="top"/>
    </xf>
    <xf numFmtId="166" fontId="94" fillId="0" borderId="15" xfId="0" applyNumberFormat="1" applyFont="1" applyBorder="1" applyAlignment="1">
      <alignment horizontal="justify" vertical="top" wrapText="1"/>
    </xf>
    <xf numFmtId="2" fontId="94" fillId="0" borderId="19" xfId="0" applyNumberFormat="1" applyFont="1" applyBorder="1" applyAlignment="1">
      <alignment horizontal="right" vertical="top"/>
    </xf>
    <xf numFmtId="2" fontId="101" fillId="0" borderId="15" xfId="0" applyNumberFormat="1" applyFont="1" applyBorder="1" applyAlignment="1">
      <alignment horizontal="right" vertical="top"/>
    </xf>
    <xf numFmtId="2" fontId="94" fillId="0" borderId="0" xfId="0" applyNumberFormat="1" applyFont="1" applyAlignment="1">
      <alignment vertical="top"/>
    </xf>
    <xf numFmtId="0" fontId="94" fillId="0" borderId="0" xfId="0" applyFont="1" applyAlignment="1">
      <alignment horizontal="left" vertical="top"/>
    </xf>
    <xf numFmtId="166" fontId="94" fillId="0" borderId="0" xfId="0" applyNumberFormat="1" applyFont="1" applyAlignment="1">
      <alignment horizontal="center" vertical="top"/>
    </xf>
    <xf numFmtId="166" fontId="94" fillId="0" borderId="0" xfId="0" applyNumberFormat="1" applyFont="1" applyAlignment="1">
      <alignment vertical="top"/>
    </xf>
    <xf numFmtId="0" fontId="94" fillId="0" borderId="0" xfId="0" applyFont="1" applyAlignment="1">
      <alignment horizontal="right" vertical="top"/>
    </xf>
    <xf numFmtId="1" fontId="94" fillId="0" borderId="0" xfId="0" applyNumberFormat="1" applyFont="1" applyAlignment="1">
      <alignment horizontal="center" vertical="top"/>
    </xf>
    <xf numFmtId="2" fontId="94" fillId="0" borderId="0" xfId="0" applyNumberFormat="1" applyFont="1" applyAlignment="1">
      <alignment horizontal="right" vertical="top"/>
    </xf>
    <xf numFmtId="0" fontId="102" fillId="0" borderId="0" xfId="95" applyFont="1" applyAlignment="1">
      <alignment horizontal="right" vertical="top"/>
    </xf>
    <xf numFmtId="0" fontId="102" fillId="0" borderId="0" xfId="95" applyFont="1" applyAlignment="1">
      <alignment horizontal="center" vertical="top"/>
    </xf>
    <xf numFmtId="2" fontId="94" fillId="0" borderId="0" xfId="0" applyNumberFormat="1" applyFont="1" applyAlignment="1">
      <alignment horizontal="center" vertical="top"/>
    </xf>
    <xf numFmtId="0" fontId="98" fillId="0" borderId="15" xfId="0" applyFont="1" applyBorder="1" applyAlignment="1">
      <alignment vertical="top" wrapText="1"/>
    </xf>
    <xf numFmtId="0" fontId="116" fillId="0" borderId="15" xfId="1393" applyFont="1" applyBorder="1"/>
    <xf numFmtId="0" fontId="116" fillId="0" borderId="15" xfId="1417" applyFont="1" applyBorder="1"/>
    <xf numFmtId="0" fontId="116" fillId="0" borderId="15" xfId="1417" applyFont="1" applyBorder="1" applyAlignment="1">
      <alignment horizontal="center" vertical="top"/>
    </xf>
    <xf numFmtId="166" fontId="94" fillId="0" borderId="19" xfId="1415" applyNumberFormat="1" applyFont="1" applyBorder="1" applyAlignment="1">
      <alignment horizontal="left" vertical="top" wrapText="1"/>
    </xf>
    <xf numFmtId="2" fontId="171" fillId="0" borderId="15" xfId="1393" applyNumberFormat="1" applyFont="1" applyBorder="1" applyAlignment="1">
      <alignment vertical="top"/>
    </xf>
    <xf numFmtId="1" fontId="94" fillId="0" borderId="17" xfId="0" applyNumberFormat="1" applyFont="1" applyBorder="1" applyAlignment="1">
      <alignment horizontal="right" vertical="top"/>
    </xf>
    <xf numFmtId="0" fontId="94" fillId="0" borderId="15" xfId="1384" applyFont="1" applyBorder="1" applyAlignment="1">
      <alignment horizontal="center" vertical="top"/>
    </xf>
    <xf numFmtId="0" fontId="100" fillId="0" borderId="0" xfId="1384" applyFont="1" applyAlignment="1">
      <alignment vertical="top"/>
    </xf>
    <xf numFmtId="2" fontId="94" fillId="0" borderId="15" xfId="1384" applyNumberFormat="1" applyFont="1" applyBorder="1" applyAlignment="1">
      <alignment horizontal="center" vertical="top"/>
    </xf>
    <xf numFmtId="0" fontId="94" fillId="0" borderId="15" xfId="1384" applyFont="1" applyBorder="1" applyAlignment="1">
      <alignment horizontal="justify" vertical="top"/>
    </xf>
    <xf numFmtId="2" fontId="94" fillId="0" borderId="15" xfId="1384" applyNumberFormat="1" applyFont="1" applyBorder="1" applyAlignment="1">
      <alignment horizontal="right" vertical="top"/>
    </xf>
    <xf numFmtId="167" fontId="94" fillId="0" borderId="15" xfId="1384" applyNumberFormat="1" applyFont="1" applyBorder="1" applyAlignment="1">
      <alignment horizontal="center" vertical="top"/>
    </xf>
    <xf numFmtId="2" fontId="94" fillId="0" borderId="17" xfId="1384" applyNumberFormat="1" applyFont="1" applyBorder="1" applyAlignment="1">
      <alignment vertical="top"/>
    </xf>
    <xf numFmtId="0" fontId="101" fillId="0" borderId="15" xfId="0" applyFont="1" applyBorder="1" applyAlignment="1">
      <alignment horizontal="center" vertical="top" wrapText="1"/>
    </xf>
    <xf numFmtId="2" fontId="94" fillId="0" borderId="15" xfId="0" applyNumberFormat="1" applyFont="1" applyBorder="1" applyAlignment="1">
      <alignment horizontal="center" vertical="top" wrapText="1"/>
    </xf>
    <xf numFmtId="2" fontId="101" fillId="0" borderId="15" xfId="0" applyNumberFormat="1" applyFont="1" applyBorder="1" applyAlignment="1">
      <alignment horizontal="center" vertical="top" wrapText="1"/>
    </xf>
    <xf numFmtId="2" fontId="138" fillId="0" borderId="15" xfId="1384" applyNumberFormat="1" applyFont="1" applyBorder="1" applyAlignment="1">
      <alignment horizontal="right" vertical="top"/>
    </xf>
    <xf numFmtId="0" fontId="117" fillId="0" borderId="0" xfId="0" applyFont="1" applyAlignment="1">
      <alignment horizontal="center"/>
    </xf>
    <xf numFmtId="0" fontId="94" fillId="0" borderId="15" xfId="0" applyFont="1" applyBorder="1" applyAlignment="1">
      <alignment horizontal="center" vertical="center" wrapText="1"/>
    </xf>
    <xf numFmtId="49" fontId="122" fillId="0" borderId="15" xfId="969" applyNumberFormat="1" applyFont="1" applyBorder="1" applyAlignment="1">
      <alignment horizontal="center" vertical="center" wrapText="1"/>
    </xf>
    <xf numFmtId="0" fontId="131" fillId="0" borderId="15" xfId="0" applyFont="1" applyBorder="1" applyAlignment="1">
      <alignment horizontal="center" wrapText="1"/>
    </xf>
    <xf numFmtId="0" fontId="94" fillId="0" borderId="0" xfId="0" applyFont="1" applyAlignment="1">
      <alignment vertical="center"/>
    </xf>
    <xf numFmtId="0" fontId="94" fillId="0" borderId="15" xfId="0" applyFont="1" applyBorder="1" applyAlignment="1">
      <alignment horizontal="center" vertical="top" wrapText="1"/>
    </xf>
    <xf numFmtId="9" fontId="94" fillId="0" borderId="15" xfId="1399" applyFont="1" applyFill="1" applyBorder="1" applyAlignment="1">
      <alignment horizontal="center" vertical="top" shrinkToFit="1"/>
    </xf>
    <xf numFmtId="0" fontId="94" fillId="0" borderId="15" xfId="0" applyFont="1" applyBorder="1" applyAlignment="1">
      <alignment vertical="top" wrapText="1"/>
    </xf>
    <xf numFmtId="0" fontId="94" fillId="0" borderId="15" xfId="0" applyFont="1" applyBorder="1" applyAlignment="1">
      <alignment horizontal="justify" vertical="top"/>
    </xf>
    <xf numFmtId="166" fontId="129" fillId="0" borderId="0" xfId="1384" applyNumberFormat="1" applyFont="1" applyAlignment="1">
      <alignment vertical="top"/>
    </xf>
    <xf numFmtId="2" fontId="100" fillId="0" borderId="0" xfId="969" applyNumberFormat="1" applyFont="1" applyAlignment="1">
      <alignment vertical="top"/>
    </xf>
    <xf numFmtId="0" fontId="101" fillId="0" borderId="15" xfId="96" applyFont="1" applyBorder="1" applyAlignment="1">
      <alignment horizontal="justify" vertical="top" wrapText="1"/>
    </xf>
    <xf numFmtId="2" fontId="94" fillId="0" borderId="17" xfId="95" applyNumberFormat="1" applyFont="1" applyBorder="1" applyAlignment="1">
      <alignment vertical="top"/>
    </xf>
    <xf numFmtId="2" fontId="94" fillId="0" borderId="19" xfId="95" applyNumberFormat="1" applyFont="1" applyBorder="1" applyAlignment="1">
      <alignment vertical="top"/>
    </xf>
    <xf numFmtId="2" fontId="94" fillId="0" borderId="19" xfId="95" applyNumberFormat="1" applyFont="1" applyBorder="1" applyAlignment="1">
      <alignment horizontal="center" vertical="top"/>
    </xf>
    <xf numFmtId="2" fontId="100" fillId="0" borderId="0" xfId="969" applyNumberFormat="1" applyFont="1" applyAlignment="1">
      <alignment horizontal="center" vertical="center" wrapText="1"/>
    </xf>
    <xf numFmtId="0" fontId="94" fillId="0" borderId="17" xfId="1384" applyFont="1" applyBorder="1" applyAlignment="1">
      <alignment horizontal="justify" vertical="top" wrapText="1"/>
    </xf>
    <xf numFmtId="49" fontId="94" fillId="0" borderId="16" xfId="969" applyNumberFormat="1" applyFont="1" applyBorder="1" applyAlignment="1">
      <alignment vertical="center" wrapText="1"/>
    </xf>
    <xf numFmtId="2" fontId="94" fillId="0" borderId="17" xfId="0" applyNumberFormat="1" applyFont="1" applyBorder="1" applyAlignment="1">
      <alignment vertical="top"/>
    </xf>
    <xf numFmtId="2" fontId="94" fillId="0" borderId="17" xfId="1389" applyNumberFormat="1" applyFont="1" applyBorder="1" applyAlignment="1">
      <alignment vertical="top" wrapText="1"/>
    </xf>
    <xf numFmtId="2" fontId="94" fillId="0" borderId="17" xfId="0" applyNumberFormat="1" applyFont="1" applyBorder="1" applyAlignment="1">
      <alignment vertical="top" wrapText="1"/>
    </xf>
    <xf numFmtId="2" fontId="94" fillId="0" borderId="0" xfId="1389" applyNumberFormat="1" applyFont="1" applyAlignment="1">
      <alignment horizontal="center" vertical="top" wrapText="1"/>
    </xf>
    <xf numFmtId="2" fontId="98" fillId="0" borderId="17" xfId="95" applyNumberFormat="1" applyFont="1" applyBorder="1" applyAlignment="1">
      <alignment vertical="top"/>
    </xf>
    <xf numFmtId="2" fontId="98" fillId="0" borderId="19" xfId="969" applyNumberFormat="1" applyFont="1" applyBorder="1" applyAlignment="1">
      <alignment vertical="top" wrapText="1"/>
    </xf>
    <xf numFmtId="2" fontId="98" fillId="0" borderId="15" xfId="95" applyNumberFormat="1" applyFont="1" applyBorder="1" applyAlignment="1">
      <alignment horizontal="center" vertical="top"/>
    </xf>
    <xf numFmtId="2" fontId="98" fillId="0" borderId="15" xfId="95" applyNumberFormat="1" applyFont="1" applyBorder="1" applyAlignment="1">
      <alignment vertical="top"/>
    </xf>
    <xf numFmtId="2" fontId="94" fillId="0" borderId="17" xfId="1415" applyNumberFormat="1" applyFont="1" applyBorder="1" applyAlignment="1">
      <alignment vertical="top" wrapText="1"/>
    </xf>
    <xf numFmtId="2" fontId="101" fillId="0" borderId="15" xfId="1421" applyNumberFormat="1" applyFont="1" applyBorder="1" applyAlignment="1">
      <alignment horizontal="center" vertical="top" wrapText="1"/>
    </xf>
    <xf numFmtId="166" fontId="94" fillId="0" borderId="17" xfId="0" applyNumberFormat="1" applyFont="1" applyBorder="1" applyAlignment="1">
      <alignment vertical="top" wrapText="1"/>
    </xf>
    <xf numFmtId="2" fontId="98" fillId="0" borderId="17" xfId="0" applyNumberFormat="1" applyFont="1" applyBorder="1" applyAlignment="1">
      <alignment vertical="top"/>
    </xf>
    <xf numFmtId="0" fontId="98" fillId="0" borderId="19" xfId="95" applyFont="1" applyBorder="1" applyAlignment="1">
      <alignment horizontal="left" vertical="top"/>
    </xf>
    <xf numFmtId="2" fontId="98" fillId="0" borderId="19" xfId="0" applyNumberFormat="1" applyFont="1" applyBorder="1" applyAlignment="1">
      <alignment horizontal="center" vertical="top"/>
    </xf>
    <xf numFmtId="166" fontId="94" fillId="0" borderId="17" xfId="969" applyNumberFormat="1" applyFont="1" applyBorder="1" applyAlignment="1">
      <alignment horizontal="right" vertical="top" wrapText="1"/>
    </xf>
    <xf numFmtId="0" fontId="94" fillId="0" borderId="19" xfId="95" applyFont="1" applyBorder="1" applyAlignment="1">
      <alignment horizontal="left" vertical="top"/>
    </xf>
    <xf numFmtId="166" fontId="94" fillId="0" borderId="17" xfId="969" applyNumberFormat="1" applyFont="1" applyBorder="1" applyAlignment="1">
      <alignment horizontal="center" vertical="top" wrapText="1"/>
    </xf>
    <xf numFmtId="2" fontId="98" fillId="0" borderId="19" xfId="95" applyNumberFormat="1" applyFont="1" applyBorder="1" applyAlignment="1">
      <alignment horizontal="center" vertical="top"/>
    </xf>
    <xf numFmtId="2" fontId="131" fillId="0" borderId="17" xfId="969" applyNumberFormat="1" applyFont="1" applyBorder="1" applyAlignment="1">
      <alignment horizontal="right" vertical="top" wrapText="1"/>
    </xf>
    <xf numFmtId="2" fontId="131" fillId="0" borderId="19" xfId="969" applyNumberFormat="1" applyFont="1" applyBorder="1" applyAlignment="1">
      <alignment vertical="top" wrapText="1"/>
    </xf>
    <xf numFmtId="2" fontId="131" fillId="0" borderId="17" xfId="969" applyNumberFormat="1" applyFont="1" applyBorder="1" applyAlignment="1">
      <alignment horizontal="center" vertical="top" wrapText="1"/>
    </xf>
    <xf numFmtId="2" fontId="94" fillId="0" borderId="17" xfId="94" applyNumberFormat="1" applyFont="1" applyBorder="1" applyAlignment="1">
      <alignment vertical="top"/>
    </xf>
    <xf numFmtId="2" fontId="94" fillId="0" borderId="15" xfId="94" applyNumberFormat="1" applyFont="1" applyBorder="1" applyAlignment="1">
      <alignment horizontal="center" vertical="top"/>
    </xf>
    <xf numFmtId="2" fontId="98" fillId="0" borderId="19" xfId="95" applyNumberFormat="1" applyFont="1" applyBorder="1" applyAlignment="1">
      <alignment horizontal="left" vertical="top"/>
    </xf>
    <xf numFmtId="2" fontId="131" fillId="0" borderId="19" xfId="95" applyNumberFormat="1" applyFont="1" applyBorder="1" applyAlignment="1">
      <alignment horizontal="left" vertical="top"/>
    </xf>
    <xf numFmtId="1" fontId="94" fillId="0" borderId="17" xfId="0" applyNumberFormat="1" applyFont="1" applyBorder="1" applyAlignment="1">
      <alignment vertical="top"/>
    </xf>
    <xf numFmtId="1" fontId="98" fillId="0" borderId="17" xfId="0" applyNumberFormat="1" applyFont="1" applyBorder="1" applyAlignment="1">
      <alignment vertical="top"/>
    </xf>
    <xf numFmtId="2" fontId="98" fillId="0" borderId="17" xfId="95" applyNumberFormat="1" applyFont="1" applyBorder="1" applyAlignment="1">
      <alignment vertical="top" wrapText="1"/>
    </xf>
    <xf numFmtId="2" fontId="98" fillId="0" borderId="19" xfId="95" applyNumberFormat="1" applyFont="1" applyBorder="1" applyAlignment="1">
      <alignment horizontal="center" vertical="top" wrapText="1"/>
    </xf>
    <xf numFmtId="2" fontId="94" fillId="0" borderId="17" xfId="95" applyNumberFormat="1" applyFont="1" applyBorder="1" applyAlignment="1">
      <alignment vertical="top" wrapText="1"/>
    </xf>
    <xf numFmtId="2" fontId="94" fillId="0" borderId="19" xfId="95" applyNumberFormat="1" applyFont="1" applyBorder="1" applyAlignment="1">
      <alignment horizontal="center" vertical="top" wrapText="1"/>
    </xf>
    <xf numFmtId="2" fontId="94" fillId="0" borderId="17" xfId="969" applyNumberFormat="1" applyFont="1" applyBorder="1" applyAlignment="1">
      <alignment vertical="top" wrapText="1"/>
    </xf>
    <xf numFmtId="2" fontId="94" fillId="0" borderId="0" xfId="969" applyNumberFormat="1" applyFont="1" applyAlignment="1">
      <alignment horizontal="right" vertical="top" wrapText="1"/>
    </xf>
    <xf numFmtId="2" fontId="94" fillId="0" borderId="0" xfId="969" applyNumberFormat="1" applyFont="1" applyAlignment="1">
      <alignment vertical="top" wrapText="1"/>
    </xf>
    <xf numFmtId="49" fontId="94" fillId="0" borderId="0" xfId="969" applyNumberFormat="1" applyFont="1" applyAlignment="1">
      <alignment vertical="top" wrapText="1"/>
    </xf>
    <xf numFmtId="2" fontId="94" fillId="0" borderId="15" xfId="1384" applyNumberFormat="1" applyFont="1" applyBorder="1" applyAlignment="1">
      <alignment horizontal="center" vertical="top" wrapText="1"/>
    </xf>
    <xf numFmtId="0" fontId="94" fillId="0" borderId="0" xfId="1384" applyFont="1"/>
    <xf numFmtId="0" fontId="104" fillId="0" borderId="0" xfId="1384" applyFont="1" applyAlignment="1">
      <alignment horizontal="center" vertical="center"/>
    </xf>
    <xf numFmtId="9" fontId="96" fillId="0" borderId="0" xfId="1384" applyNumberFormat="1" applyFont="1" applyAlignment="1">
      <alignment horizontal="center" vertical="top" wrapText="1"/>
    </xf>
    <xf numFmtId="0" fontId="105" fillId="0" borderId="0" xfId="1384" applyFont="1" applyAlignment="1">
      <alignment horizontal="center" vertical="center" wrapText="1"/>
    </xf>
    <xf numFmtId="0" fontId="105" fillId="0" borderId="0" xfId="1384" applyFont="1" applyAlignment="1">
      <alignment vertical="center" wrapText="1"/>
    </xf>
    <xf numFmtId="169" fontId="105" fillId="0" borderId="0" xfId="1384" applyNumberFormat="1" applyFont="1" applyAlignment="1">
      <alignment horizontal="center" vertical="center" wrapText="1"/>
    </xf>
    <xf numFmtId="169" fontId="105" fillId="0" borderId="0" xfId="1384" applyNumberFormat="1" applyFont="1" applyAlignment="1">
      <alignment horizontal="right" vertical="center" wrapText="1"/>
    </xf>
    <xf numFmtId="171" fontId="105" fillId="0" borderId="0" xfId="1384" applyNumberFormat="1" applyFont="1" applyAlignment="1">
      <alignment horizontal="center" vertical="center" wrapText="1"/>
    </xf>
    <xf numFmtId="0" fontId="97" fillId="0" borderId="15" xfId="1384" applyFont="1" applyBorder="1" applyAlignment="1">
      <alignment horizontal="center" vertical="top" wrapText="1"/>
    </xf>
    <xf numFmtId="0" fontId="97" fillId="0" borderId="15" xfId="1384" applyFont="1" applyBorder="1" applyAlignment="1">
      <alignment horizontal="justify" vertical="top"/>
    </xf>
    <xf numFmtId="0" fontId="97" fillId="0" borderId="15" xfId="1384" applyFont="1" applyBorder="1" applyAlignment="1">
      <alignment horizontal="center" vertical="top"/>
    </xf>
    <xf numFmtId="167" fontId="97" fillId="0" borderId="15" xfId="1384" applyNumberFormat="1" applyFont="1" applyBorder="1" applyAlignment="1">
      <alignment horizontal="center" vertical="top"/>
    </xf>
    <xf numFmtId="2" fontId="97" fillId="0" borderId="15" xfId="1384" applyNumberFormat="1" applyFont="1" applyBorder="1" applyAlignment="1">
      <alignment horizontal="center" vertical="top"/>
    </xf>
    <xf numFmtId="2" fontId="97" fillId="0" borderId="15" xfId="1384" applyNumberFormat="1" applyFont="1" applyBorder="1" applyAlignment="1">
      <alignment horizontal="right" vertical="top"/>
    </xf>
    <xf numFmtId="0" fontId="107" fillId="0" borderId="15" xfId="1384" applyFont="1" applyBorder="1" applyAlignment="1">
      <alignment horizontal="center" vertical="top" wrapText="1"/>
    </xf>
    <xf numFmtId="0" fontId="97" fillId="0" borderId="15" xfId="1384" applyFont="1" applyBorder="1" applyAlignment="1">
      <alignment vertical="top" wrapText="1"/>
    </xf>
    <xf numFmtId="169" fontId="97" fillId="0" borderId="15" xfId="1384" applyNumberFormat="1" applyFont="1" applyBorder="1" applyAlignment="1">
      <alignment horizontal="right" vertical="top" wrapText="1"/>
    </xf>
    <xf numFmtId="2" fontId="97" fillId="0" borderId="15" xfId="1384" applyNumberFormat="1" applyFont="1" applyBorder="1" applyAlignment="1">
      <alignment horizontal="center" vertical="top" shrinkToFit="1"/>
    </xf>
    <xf numFmtId="169" fontId="97" fillId="0" borderId="15" xfId="1384" applyNumberFormat="1" applyFont="1" applyBorder="1" applyAlignment="1">
      <alignment horizontal="center" vertical="top" wrapText="1"/>
    </xf>
    <xf numFmtId="0" fontId="97" fillId="0" borderId="15" xfId="1384" applyFont="1" applyBorder="1"/>
    <xf numFmtId="0" fontId="97" fillId="0" borderId="15" xfId="1384" applyFont="1" applyBorder="1" applyAlignment="1">
      <alignment horizontal="center"/>
    </xf>
    <xf numFmtId="2" fontId="97" fillId="0" borderId="15" xfId="1384" applyNumberFormat="1" applyFont="1" applyBorder="1" applyAlignment="1">
      <alignment horizontal="center"/>
    </xf>
    <xf numFmtId="2" fontId="97" fillId="0" borderId="15" xfId="1384" applyNumberFormat="1" applyFont="1" applyBorder="1" applyAlignment="1">
      <alignment horizontal="right" wrapText="1"/>
    </xf>
    <xf numFmtId="0" fontId="108" fillId="0" borderId="15" xfId="1274" applyFont="1" applyBorder="1" applyAlignment="1">
      <alignment horizontal="center" vertical="top"/>
    </xf>
    <xf numFmtId="0" fontId="108" fillId="0" borderId="15" xfId="1384" applyFont="1" applyBorder="1" applyAlignment="1">
      <alignment horizontal="left" vertical="top" wrapText="1"/>
    </xf>
    <xf numFmtId="0" fontId="108" fillId="0" borderId="15" xfId="1384" applyFont="1" applyBorder="1" applyAlignment="1">
      <alignment horizontal="center" vertical="top" wrapText="1"/>
    </xf>
    <xf numFmtId="0" fontId="108" fillId="0" borderId="15" xfId="1384" applyFont="1" applyBorder="1" applyAlignment="1">
      <alignment vertical="top"/>
    </xf>
    <xf numFmtId="0" fontId="108" fillId="0" borderId="15" xfId="1384" applyFont="1" applyBorder="1" applyAlignment="1">
      <alignment horizontal="left" vertical="top"/>
    </xf>
    <xf numFmtId="0" fontId="109" fillId="0" borderId="0" xfId="1274" applyFont="1" applyAlignment="1">
      <alignment horizontal="justify" vertical="top" wrapText="1"/>
    </xf>
    <xf numFmtId="0" fontId="108" fillId="0" borderId="15" xfId="1384" applyFont="1" applyBorder="1" applyAlignment="1">
      <alignment horizontal="justify" vertical="top" wrapText="1"/>
    </xf>
    <xf numFmtId="0" fontId="108" fillId="0" borderId="15" xfId="1274" applyFont="1" applyBorder="1" applyAlignment="1">
      <alignment horizontal="justify" vertical="top" wrapText="1"/>
    </xf>
    <xf numFmtId="0" fontId="97" fillId="0" borderId="15" xfId="1384" applyFont="1" applyBorder="1" applyAlignment="1">
      <alignment vertical="top"/>
    </xf>
    <xf numFmtId="2" fontId="97" fillId="0" borderId="15" xfId="1384" applyNumberFormat="1" applyFont="1" applyBorder="1" applyAlignment="1">
      <alignment vertical="top"/>
    </xf>
    <xf numFmtId="2" fontId="107" fillId="0" borderId="15" xfId="1384" applyNumberFormat="1" applyFont="1" applyBorder="1" applyAlignment="1">
      <alignment horizontal="right" vertical="top"/>
    </xf>
    <xf numFmtId="0" fontId="97" fillId="0" borderId="15" xfId="1384" applyFont="1" applyBorder="1" applyAlignment="1">
      <alignment horizontal="right" vertical="top"/>
    </xf>
    <xf numFmtId="0" fontId="94" fillId="0" borderId="0" xfId="1384" applyFont="1" applyAlignment="1">
      <alignment vertical="center"/>
    </xf>
    <xf numFmtId="2" fontId="97" fillId="0" borderId="15" xfId="1384" applyNumberFormat="1" applyFont="1" applyBorder="1" applyAlignment="1">
      <alignment horizontal="center" vertical="top" wrapText="1"/>
    </xf>
    <xf numFmtId="0" fontId="97" fillId="0" borderId="15" xfId="1384" applyFont="1" applyBorder="1" applyAlignment="1">
      <alignment horizontal="center" vertical="center" wrapText="1"/>
    </xf>
    <xf numFmtId="0" fontId="97" fillId="0" borderId="15" xfId="1384" applyFont="1" applyBorder="1" applyAlignment="1">
      <alignment horizontal="right" vertical="center"/>
    </xf>
    <xf numFmtId="0" fontId="97" fillId="0" borderId="15" xfId="1384" applyFont="1" applyBorder="1" applyAlignment="1">
      <alignment vertical="center" wrapText="1"/>
    </xf>
    <xf numFmtId="0" fontId="107" fillId="0" borderId="15" xfId="1384" applyFont="1" applyBorder="1" applyAlignment="1">
      <alignment vertical="center"/>
    </xf>
    <xf numFmtId="2" fontId="97" fillId="0" borderId="15" xfId="1384" applyNumberFormat="1" applyFont="1" applyBorder="1" applyAlignment="1">
      <alignment horizontal="center" vertical="center"/>
    </xf>
    <xf numFmtId="0" fontId="97" fillId="0" borderId="15" xfId="1384" applyFont="1" applyBorder="1" applyAlignment="1">
      <alignment horizontal="center" vertical="center"/>
    </xf>
    <xf numFmtId="2" fontId="97" fillId="0" borderId="15" xfId="1384" applyNumberFormat="1" applyFont="1" applyBorder="1" applyAlignment="1">
      <alignment horizontal="right" vertical="center"/>
    </xf>
    <xf numFmtId="0" fontId="97" fillId="0" borderId="15" xfId="1384" applyFont="1" applyBorder="1" applyAlignment="1">
      <alignment horizontal="justify" vertical="center" wrapText="1"/>
    </xf>
    <xf numFmtId="0" fontId="97" fillId="0" borderId="15" xfId="1384" applyFont="1" applyBorder="1" applyAlignment="1">
      <alignment vertical="center"/>
    </xf>
    <xf numFmtId="2" fontId="107" fillId="0" borderId="15" xfId="1384" applyNumberFormat="1" applyFont="1" applyBorder="1" applyAlignment="1">
      <alignment horizontal="right" vertical="center"/>
    </xf>
    <xf numFmtId="0" fontId="94" fillId="0" borderId="15" xfId="1384" applyFont="1" applyBorder="1" applyAlignment="1">
      <alignment horizontal="center" vertical="top" wrapText="1"/>
    </xf>
    <xf numFmtId="167" fontId="94" fillId="0" borderId="15" xfId="0" applyNumberFormat="1" applyFont="1" applyBorder="1" applyAlignment="1">
      <alignment horizontal="center" vertical="top"/>
    </xf>
    <xf numFmtId="0" fontId="94" fillId="0" borderId="15" xfId="1384" applyFont="1" applyBorder="1" applyAlignment="1">
      <alignment horizontal="right" vertical="top"/>
    </xf>
    <xf numFmtId="0" fontId="104" fillId="0" borderId="0" xfId="1384" applyFont="1" applyAlignment="1">
      <alignment horizontal="right" vertical="top" shrinkToFit="1"/>
    </xf>
    <xf numFmtId="0" fontId="104" fillId="0" borderId="0" xfId="1384" applyFont="1" applyAlignment="1">
      <alignment vertical="top"/>
    </xf>
    <xf numFmtId="0" fontId="104" fillId="0" borderId="0" xfId="1384" applyFont="1" applyAlignment="1">
      <alignment horizontal="justify" vertical="top" wrapText="1"/>
    </xf>
    <xf numFmtId="0" fontId="104" fillId="0" borderId="0" xfId="1384" applyFont="1" applyAlignment="1">
      <alignment horizontal="center" vertical="top"/>
    </xf>
    <xf numFmtId="0" fontId="104" fillId="0" borderId="0" xfId="1384" applyFont="1" applyAlignment="1">
      <alignment horizontal="center" vertical="top" shrinkToFit="1"/>
    </xf>
    <xf numFmtId="2" fontId="104" fillId="0" borderId="0" xfId="1384" applyNumberFormat="1" applyFont="1" applyAlignment="1">
      <alignment horizontal="center" vertical="top" shrinkToFit="1"/>
    </xf>
    <xf numFmtId="0" fontId="104" fillId="0" borderId="0" xfId="1384" applyFont="1"/>
    <xf numFmtId="0" fontId="104" fillId="0" borderId="0" xfId="1384" applyFont="1" applyAlignment="1">
      <alignment horizontal="center" vertical="top" wrapText="1"/>
    </xf>
    <xf numFmtId="0" fontId="106" fillId="0" borderId="0" xfId="1384" applyFont="1"/>
    <xf numFmtId="0" fontId="94" fillId="0" borderId="0" xfId="1384" applyFont="1" applyAlignment="1">
      <alignment horizontal="justify" vertical="top" wrapText="1"/>
    </xf>
    <xf numFmtId="0" fontId="110" fillId="0" borderId="0" xfId="1384" applyFont="1" applyAlignment="1">
      <alignment horizontal="center" vertical="top" wrapText="1"/>
    </xf>
    <xf numFmtId="169" fontId="94" fillId="0" borderId="0" xfId="1384" applyNumberFormat="1" applyFont="1" applyAlignment="1">
      <alignment horizontal="center" vertical="top" wrapText="1"/>
    </xf>
    <xf numFmtId="169" fontId="94" fillId="0" borderId="0" xfId="1384" applyNumberFormat="1" applyFont="1" applyAlignment="1">
      <alignment horizontal="right" vertical="top" wrapText="1"/>
    </xf>
    <xf numFmtId="2" fontId="94" fillId="0" borderId="15" xfId="1423" applyNumberFormat="1" applyFont="1" applyBorder="1" applyAlignment="1">
      <alignment horizontal="center" vertical="top" wrapText="1" shrinkToFit="1"/>
    </xf>
    <xf numFmtId="2" fontId="101" fillId="0" borderId="15" xfId="94" applyNumberFormat="1" applyFont="1" applyBorder="1" applyAlignment="1">
      <alignment horizontal="center" vertical="top" wrapText="1"/>
    </xf>
    <xf numFmtId="1" fontId="0" fillId="0" borderId="15" xfId="0" applyNumberFormat="1" applyBorder="1" applyAlignment="1">
      <alignment horizontal="center" vertical="center" wrapText="1"/>
    </xf>
    <xf numFmtId="1" fontId="0" fillId="0" borderId="15" xfId="0" applyNumberFormat="1" applyBorder="1" applyAlignment="1">
      <alignment horizontal="center"/>
    </xf>
    <xf numFmtId="1" fontId="20" fillId="0" borderId="15" xfId="0" applyNumberFormat="1" applyFont="1" applyBorder="1" applyAlignment="1">
      <alignment horizontal="center" vertical="center" wrapText="1"/>
    </xf>
    <xf numFmtId="1" fontId="20" fillId="0" borderId="15" xfId="0" applyNumberFormat="1" applyFont="1" applyBorder="1" applyAlignment="1">
      <alignment horizontal="center"/>
    </xf>
    <xf numFmtId="1" fontId="0" fillId="0" borderId="15" xfId="0" applyNumberFormat="1" applyBorder="1" applyAlignment="1">
      <alignment horizontal="center" vertical="top" wrapText="1"/>
    </xf>
    <xf numFmtId="0" fontId="101" fillId="0" borderId="15" xfId="0" applyFont="1" applyBorder="1" applyAlignment="1">
      <alignment horizontal="left" vertical="top" wrapText="1"/>
    </xf>
    <xf numFmtId="0" fontId="94" fillId="0" borderId="15" xfId="0" applyFont="1" applyBorder="1" applyAlignment="1">
      <alignment horizontal="left" vertical="top" wrapText="1"/>
    </xf>
    <xf numFmtId="0" fontId="133" fillId="0" borderId="0" xfId="1388" applyFont="1" applyAlignment="1">
      <alignment vertical="top"/>
    </xf>
    <xf numFmtId="0" fontId="133" fillId="0" borderId="0" xfId="1388" applyFont="1" applyAlignment="1">
      <alignment horizontal="justify" vertical="top" wrapText="1"/>
    </xf>
    <xf numFmtId="2" fontId="76" fillId="0" borderId="0" xfId="121" applyNumberFormat="1" applyFont="1" applyAlignment="1">
      <alignment vertical="center" wrapText="1"/>
    </xf>
    <xf numFmtId="2" fontId="94" fillId="0" borderId="19" xfId="1384" applyNumberFormat="1" applyFont="1" applyBorder="1" applyAlignment="1">
      <alignment vertical="top"/>
    </xf>
    <xf numFmtId="2" fontId="94" fillId="0" borderId="17" xfId="94" applyNumberFormat="1" applyFont="1" applyBorder="1" applyAlignment="1">
      <alignment horizontal="right" vertical="top"/>
    </xf>
    <xf numFmtId="2" fontId="116" fillId="0" borderId="15" xfId="1389" applyNumberFormat="1" applyFont="1" applyBorder="1" applyAlignment="1">
      <alignment horizontal="right" vertical="top" wrapText="1"/>
    </xf>
    <xf numFmtId="0" fontId="134" fillId="0" borderId="0" xfId="1390" applyFont="1" applyAlignment="1">
      <alignment horizontal="center" vertical="top"/>
    </xf>
    <xf numFmtId="2" fontId="102" fillId="0" borderId="0" xfId="0" applyNumberFormat="1" applyFont="1" applyAlignment="1">
      <alignment horizontal="center" vertical="top"/>
    </xf>
    <xf numFmtId="0" fontId="94" fillId="0" borderId="15" xfId="94" applyFont="1" applyBorder="1" applyAlignment="1">
      <alignment horizontal="center" vertical="top"/>
    </xf>
    <xf numFmtId="0" fontId="94" fillId="0" borderId="17" xfId="94" applyFont="1" applyBorder="1" applyAlignment="1">
      <alignment horizontal="right" vertical="top"/>
    </xf>
    <xf numFmtId="0" fontId="94" fillId="0" borderId="19" xfId="94" applyFont="1" applyBorder="1" applyAlignment="1">
      <alignment horizontal="right" vertical="top"/>
    </xf>
    <xf numFmtId="0" fontId="94" fillId="0" borderId="0" xfId="94" applyFont="1" applyAlignment="1">
      <alignment vertical="top"/>
    </xf>
    <xf numFmtId="2" fontId="101" fillId="0" borderId="15" xfId="94" applyNumberFormat="1" applyFont="1" applyBorder="1" applyAlignment="1">
      <alignment horizontal="right" vertical="top"/>
    </xf>
    <xf numFmtId="1" fontId="94" fillId="0" borderId="17" xfId="94" applyNumberFormat="1" applyFont="1" applyBorder="1" applyAlignment="1">
      <alignment horizontal="right" vertical="top"/>
    </xf>
    <xf numFmtId="2" fontId="94" fillId="0" borderId="19" xfId="0" applyNumberFormat="1" applyFont="1" applyBorder="1" applyAlignment="1">
      <alignment horizontal="center" vertical="top"/>
    </xf>
    <xf numFmtId="2" fontId="94" fillId="0" borderId="16" xfId="1384" applyNumberFormat="1" applyFont="1" applyBorder="1" applyAlignment="1">
      <alignment horizontal="center" vertical="top" wrapText="1"/>
    </xf>
    <xf numFmtId="2" fontId="94" fillId="0" borderId="16" xfId="1384" applyNumberFormat="1" applyFont="1" applyBorder="1" applyAlignment="1">
      <alignment horizontal="right" vertical="top" wrapText="1"/>
    </xf>
    <xf numFmtId="49" fontId="94" fillId="0" borderId="16" xfId="969" applyNumberFormat="1" applyFont="1" applyBorder="1" applyAlignment="1">
      <alignment horizontal="center" vertical="top" wrapText="1"/>
    </xf>
    <xf numFmtId="0" fontId="106" fillId="0" borderId="0" xfId="1384" applyFont="1" applyAlignment="1">
      <alignment horizontal="center"/>
    </xf>
    <xf numFmtId="49" fontId="122" fillId="0" borderId="17" xfId="969" applyNumberFormat="1" applyFont="1" applyBorder="1" applyAlignment="1">
      <alignment horizontal="center" vertical="center" wrapText="1"/>
    </xf>
    <xf numFmtId="49" fontId="122" fillId="0" borderId="19" xfId="969" applyNumberFormat="1" applyFont="1" applyBorder="1" applyAlignment="1">
      <alignment horizontal="center" vertical="center" wrapText="1"/>
    </xf>
    <xf numFmtId="0" fontId="101" fillId="0" borderId="17" xfId="96" applyFont="1" applyBorder="1" applyAlignment="1">
      <alignment horizontal="center" vertical="top" wrapText="1"/>
    </xf>
    <xf numFmtId="2" fontId="131" fillId="0" borderId="15" xfId="969" applyNumberFormat="1" applyFont="1" applyBorder="1" applyAlignment="1">
      <alignment horizontal="right" vertical="top" wrapText="1"/>
    </xf>
    <xf numFmtId="49" fontId="181" fillId="0" borderId="15" xfId="969" applyNumberFormat="1" applyFont="1" applyBorder="1" applyAlignment="1">
      <alignment horizontal="center" vertical="center" wrapText="1"/>
    </xf>
    <xf numFmtId="0" fontId="182" fillId="0" borderId="0" xfId="1387" applyFont="1" applyAlignment="1">
      <alignment horizontal="left" vertical="top"/>
    </xf>
    <xf numFmtId="0" fontId="101" fillId="0" borderId="0" xfId="1390" applyFont="1"/>
    <xf numFmtId="0" fontId="184" fillId="0" borderId="0" xfId="1426" applyFont="1"/>
    <xf numFmtId="0" fontId="7" fillId="0" borderId="0" xfId="1426"/>
    <xf numFmtId="0" fontId="132" fillId="0" borderId="0" xfId="1426" applyFont="1" applyAlignment="1">
      <alignment horizontal="center" vertical="center" wrapText="1"/>
    </xf>
    <xf numFmtId="2" fontId="132" fillId="0" borderId="15" xfId="1426" applyNumberFormat="1" applyFont="1" applyBorder="1" applyAlignment="1">
      <alignment horizontal="center" vertical="center" wrapText="1"/>
    </xf>
    <xf numFmtId="1" fontId="132" fillId="0" borderId="15" xfId="1426" applyNumberFormat="1" applyFont="1" applyBorder="1" applyAlignment="1">
      <alignment horizontal="center" vertical="center" wrapText="1"/>
    </xf>
    <xf numFmtId="0" fontId="7" fillId="0" borderId="15" xfId="1426" applyBorder="1" applyAlignment="1">
      <alignment horizontal="center" vertical="top" wrapText="1"/>
    </xf>
    <xf numFmtId="2" fontId="7" fillId="0" borderId="15" xfId="1426" applyNumberFormat="1" applyBorder="1" applyAlignment="1">
      <alignment horizontal="center" vertical="top" wrapText="1"/>
    </xf>
    <xf numFmtId="2" fontId="7" fillId="0" borderId="15" xfId="1426" applyNumberFormat="1" applyBorder="1" applyAlignment="1">
      <alignment horizontal="justify" vertical="top" wrapText="1"/>
    </xf>
    <xf numFmtId="49" fontId="7" fillId="0" borderId="15" xfId="1426" applyNumberFormat="1" applyBorder="1" applyAlignment="1">
      <alignment horizontal="center" vertical="top" wrapText="1"/>
    </xf>
    <xf numFmtId="2" fontId="112" fillId="0" borderId="15" xfId="1426" applyNumberFormat="1" applyFont="1" applyBorder="1" applyAlignment="1">
      <alignment horizontal="center" vertical="top" wrapText="1"/>
    </xf>
    <xf numFmtId="1" fontId="7" fillId="0" borderId="15" xfId="1426" applyNumberFormat="1" applyBorder="1" applyAlignment="1">
      <alignment horizontal="center" vertical="top" wrapText="1"/>
    </xf>
    <xf numFmtId="0" fontId="7" fillId="0" borderId="0" xfId="1426" applyAlignment="1">
      <alignment horizontal="center" vertical="top" wrapText="1"/>
    </xf>
    <xf numFmtId="2" fontId="7" fillId="0" borderId="0" xfId="1426" applyNumberFormat="1"/>
    <xf numFmtId="2" fontId="132" fillId="0" borderId="15" xfId="1426" applyNumberFormat="1" applyFont="1" applyBorder="1" applyAlignment="1">
      <alignment horizontal="center" vertical="top" wrapText="1"/>
    </xf>
    <xf numFmtId="0" fontId="132" fillId="0" borderId="15" xfId="1426" applyFont="1" applyBorder="1" applyAlignment="1">
      <alignment horizontal="center" vertical="top" wrapText="1"/>
    </xf>
    <xf numFmtId="2" fontId="7" fillId="0" borderId="0" xfId="1426" applyNumberFormat="1" applyAlignment="1">
      <alignment horizontal="center"/>
    </xf>
    <xf numFmtId="49" fontId="6" fillId="0" borderId="15" xfId="1426" applyNumberFormat="1" applyFont="1" applyBorder="1" applyAlignment="1">
      <alignment horizontal="center" vertical="top" wrapText="1"/>
    </xf>
    <xf numFmtId="2" fontId="6" fillId="0" borderId="15" xfId="1426" applyNumberFormat="1" applyFont="1" applyBorder="1" applyAlignment="1">
      <alignment horizontal="center" vertical="top" wrapText="1"/>
    </xf>
    <xf numFmtId="1" fontId="6" fillId="0" borderId="15" xfId="1426" applyNumberFormat="1" applyFont="1" applyBorder="1" applyAlignment="1">
      <alignment horizontal="center" vertical="top" wrapText="1"/>
    </xf>
    <xf numFmtId="2" fontId="101" fillId="0" borderId="15" xfId="95" applyNumberFormat="1" applyFont="1" applyBorder="1" applyAlignment="1">
      <alignment horizontal="right" vertical="center"/>
    </xf>
    <xf numFmtId="0" fontId="94" fillId="0" borderId="18" xfId="0" applyFont="1" applyBorder="1" applyAlignment="1">
      <alignment horizontal="left" vertical="top"/>
    </xf>
    <xf numFmtId="166" fontId="94" fillId="0" borderId="18" xfId="0" applyNumberFormat="1" applyFont="1" applyBorder="1" applyAlignment="1">
      <alignment horizontal="center" vertical="top"/>
    </xf>
    <xf numFmtId="166" fontId="94" fillId="0" borderId="18" xfId="0" applyNumberFormat="1" applyFont="1" applyBorder="1" applyAlignment="1">
      <alignment vertical="top"/>
    </xf>
    <xf numFmtId="2" fontId="98" fillId="0" borderId="19" xfId="1384" applyNumberFormat="1" applyFont="1" applyBorder="1" applyAlignment="1">
      <alignment horizontal="left" vertical="top"/>
    </xf>
    <xf numFmtId="2" fontId="98" fillId="0" borderId="15" xfId="1384" applyNumberFormat="1" applyFont="1" applyBorder="1" applyAlignment="1">
      <alignment vertical="top"/>
    </xf>
    <xf numFmtId="2" fontId="141" fillId="0" borderId="19" xfId="1384" applyNumberFormat="1" applyFont="1" applyBorder="1" applyAlignment="1">
      <alignment horizontal="left" vertical="top"/>
    </xf>
    <xf numFmtId="0" fontId="98" fillId="0" borderId="19" xfId="1384" applyFont="1" applyBorder="1" applyAlignment="1">
      <alignment horizontal="left" vertical="top"/>
    </xf>
    <xf numFmtId="2" fontId="98" fillId="0" borderId="17" xfId="1384" applyNumberFormat="1" applyFont="1" applyBorder="1" applyAlignment="1">
      <alignment horizontal="center" vertical="top"/>
    </xf>
    <xf numFmtId="2" fontId="98" fillId="0" borderId="17" xfId="94" applyNumberFormat="1" applyFont="1" applyBorder="1" applyAlignment="1">
      <alignment vertical="top"/>
    </xf>
    <xf numFmtId="2" fontId="98" fillId="0" borderId="15" xfId="94" applyNumberFormat="1" applyFont="1" applyBorder="1" applyAlignment="1">
      <alignment horizontal="center" vertical="top"/>
    </xf>
    <xf numFmtId="2" fontId="122" fillId="0" borderId="0" xfId="969" applyNumberFormat="1" applyFont="1" applyAlignment="1">
      <alignment horizontal="center" vertical="center" wrapText="1"/>
    </xf>
    <xf numFmtId="0" fontId="100" fillId="0" borderId="0" xfId="969" applyFont="1" applyAlignment="1">
      <alignment horizontal="left" vertical="center" wrapText="1"/>
    </xf>
    <xf numFmtId="49" fontId="5" fillId="0" borderId="15" xfId="1426" applyNumberFormat="1" applyFont="1" applyBorder="1" applyAlignment="1">
      <alignment horizontal="center" vertical="top" wrapText="1"/>
    </xf>
    <xf numFmtId="2" fontId="5" fillId="0" borderId="15" xfId="1426" applyNumberFormat="1" applyFont="1" applyBorder="1" applyAlignment="1">
      <alignment horizontal="justify" vertical="top" wrapText="1"/>
    </xf>
    <xf numFmtId="1" fontId="132" fillId="0" borderId="15" xfId="1426" applyNumberFormat="1" applyFont="1" applyBorder="1" applyAlignment="1">
      <alignment horizontal="center" vertical="top" wrapText="1"/>
    </xf>
    <xf numFmtId="0" fontId="122" fillId="0" borderId="0" xfId="969" applyFont="1" applyAlignment="1">
      <alignment horizontal="left"/>
    </xf>
    <xf numFmtId="49" fontId="94" fillId="0" borderId="17" xfId="1389" applyNumberFormat="1" applyFont="1" applyBorder="1" applyAlignment="1">
      <alignment horizontal="center" vertical="top" wrapText="1"/>
    </xf>
    <xf numFmtId="49" fontId="94" fillId="0" borderId="17" xfId="969" applyNumberFormat="1" applyFont="1" applyBorder="1" applyAlignment="1">
      <alignment horizontal="center" vertical="top" wrapText="1"/>
    </xf>
    <xf numFmtId="0" fontId="99" fillId="0" borderId="15" xfId="0" applyFont="1" applyBorder="1" applyAlignment="1">
      <alignment horizontal="center" vertical="top" wrapText="1"/>
    </xf>
    <xf numFmtId="0" fontId="99" fillId="0" borderId="17" xfId="0" applyFont="1" applyBorder="1" applyAlignment="1">
      <alignment horizontal="center" vertical="top" wrapText="1"/>
    </xf>
    <xf numFmtId="0" fontId="185" fillId="0" borderId="15" xfId="0" applyFont="1" applyBorder="1" applyAlignment="1">
      <alignment horizontal="center" vertical="top" wrapText="1"/>
    </xf>
    <xf numFmtId="0" fontId="152" fillId="0" borderId="17" xfId="1384" applyFont="1" applyBorder="1" applyAlignment="1">
      <alignment horizontal="justify" vertical="top" wrapText="1"/>
    </xf>
    <xf numFmtId="0" fontId="94" fillId="45" borderId="17" xfId="1384" applyFont="1" applyFill="1" applyBorder="1" applyAlignment="1">
      <alignment horizontal="justify" vertical="top" wrapText="1"/>
    </xf>
    <xf numFmtId="0" fontId="94" fillId="0" borderId="17" xfId="96" applyFont="1" applyBorder="1" applyAlignment="1">
      <alignment horizontal="justify" vertical="top" wrapText="1"/>
    </xf>
    <xf numFmtId="2" fontId="94" fillId="0" borderId="0" xfId="969" applyNumberFormat="1" applyFont="1" applyAlignment="1">
      <alignment horizontal="center" vertical="center"/>
    </xf>
    <xf numFmtId="0" fontId="122" fillId="0" borderId="0" xfId="969" applyFont="1" applyAlignment="1">
      <alignment vertical="center" wrapText="1"/>
    </xf>
    <xf numFmtId="0" fontId="121" fillId="0" borderId="0" xfId="969" applyFont="1" applyAlignment="1">
      <alignment vertical="center" wrapText="1"/>
    </xf>
    <xf numFmtId="1" fontId="95" fillId="0" borderId="15" xfId="0" applyNumberFormat="1" applyFont="1" applyBorder="1" applyAlignment="1">
      <alignment horizontal="center" vertical="center" wrapText="1"/>
    </xf>
    <xf numFmtId="0" fontId="95" fillId="0" borderId="15" xfId="0" applyFont="1" applyBorder="1" applyAlignment="1">
      <alignment horizontal="center" vertical="center" wrapText="1"/>
    </xf>
    <xf numFmtId="0" fontId="95" fillId="0" borderId="0" xfId="0" applyFont="1" applyAlignment="1">
      <alignment horizontal="center" vertical="top" wrapText="1"/>
    </xf>
    <xf numFmtId="0" fontId="94" fillId="0" borderId="15" xfId="0" applyFont="1" applyBorder="1" applyAlignment="1">
      <alignment horizontal="justify" vertical="top" wrapText="1"/>
    </xf>
    <xf numFmtId="0" fontId="116" fillId="0" borderId="17" xfId="1393" applyFont="1" applyBorder="1" applyAlignment="1">
      <alignment vertical="top"/>
    </xf>
    <xf numFmtId="0" fontId="94" fillId="0" borderId="19" xfId="0" applyFont="1" applyBorder="1" applyAlignment="1">
      <alignment horizontal="center"/>
    </xf>
    <xf numFmtId="2" fontId="94" fillId="48" borderId="17" xfId="0" applyNumberFormat="1" applyFont="1" applyFill="1" applyBorder="1" applyAlignment="1">
      <alignment horizontal="right" vertical="top"/>
    </xf>
    <xf numFmtId="2" fontId="94" fillId="48" borderId="15" xfId="0" applyNumberFormat="1" applyFont="1" applyFill="1" applyBorder="1" applyAlignment="1">
      <alignment horizontal="center" vertical="top"/>
    </xf>
    <xf numFmtId="2" fontId="94" fillId="48" borderId="19" xfId="1384" applyNumberFormat="1" applyFont="1" applyFill="1" applyBorder="1" applyAlignment="1">
      <alignment horizontal="left" vertical="top"/>
    </xf>
    <xf numFmtId="2" fontId="141" fillId="0" borderId="17" xfId="0" applyNumberFormat="1" applyFont="1" applyBorder="1" applyAlignment="1">
      <alignment horizontal="right" vertical="top"/>
    </xf>
    <xf numFmtId="0" fontId="98" fillId="0" borderId="17" xfId="0" applyFont="1" applyBorder="1" applyAlignment="1">
      <alignment horizontal="right" vertical="top"/>
    </xf>
    <xf numFmtId="2" fontId="98" fillId="0" borderId="17" xfId="1384" applyNumberFormat="1" applyFont="1" applyBorder="1" applyAlignment="1">
      <alignment vertical="top"/>
    </xf>
    <xf numFmtId="2" fontId="99" fillId="0" borderId="19" xfId="1384" applyNumberFormat="1" applyFont="1" applyBorder="1" applyAlignment="1">
      <alignment horizontal="left" vertical="top"/>
    </xf>
    <xf numFmtId="0" fontId="42" fillId="0" borderId="0" xfId="1427" applyFont="1" applyAlignment="1">
      <alignment horizontal="left" vertical="top"/>
    </xf>
    <xf numFmtId="0" fontId="35" fillId="0" borderId="15" xfId="1427" applyFont="1" applyBorder="1" applyAlignment="1">
      <alignment horizontal="center" vertical="top" wrapText="1"/>
    </xf>
    <xf numFmtId="0" fontId="35" fillId="0" borderId="15" xfId="1427" applyFont="1" applyBorder="1" applyAlignment="1">
      <alignment horizontal="left" vertical="top" wrapText="1" indent="1"/>
    </xf>
    <xf numFmtId="0" fontId="35" fillId="0" borderId="15" xfId="1427" applyFont="1" applyBorder="1" applyAlignment="1">
      <alignment horizontal="left" vertical="top" wrapText="1"/>
    </xf>
    <xf numFmtId="0" fontId="35" fillId="0" borderId="15" xfId="1427" applyFont="1" applyBorder="1" applyAlignment="1">
      <alignment horizontal="left" vertical="top" wrapText="1" indent="2"/>
    </xf>
    <xf numFmtId="0" fontId="42" fillId="0" borderId="15" xfId="1427" applyFont="1" applyBorder="1" applyAlignment="1">
      <alignment horizontal="left" vertical="top"/>
    </xf>
    <xf numFmtId="2" fontId="42" fillId="0" borderId="15" xfId="1427" applyNumberFormat="1" applyFont="1" applyBorder="1" applyAlignment="1">
      <alignment horizontal="left" vertical="top"/>
    </xf>
    <xf numFmtId="0" fontId="42" fillId="0" borderId="15" xfId="1427" applyFont="1" applyBorder="1" applyAlignment="1">
      <alignment horizontal="center" vertical="top"/>
    </xf>
    <xf numFmtId="0" fontId="42" fillId="0" borderId="0" xfId="1427" applyFont="1" applyAlignment="1">
      <alignment horizontal="center" vertical="top"/>
    </xf>
    <xf numFmtId="2" fontId="42" fillId="0" borderId="15" xfId="1427" applyNumberFormat="1" applyFont="1" applyBorder="1" applyAlignment="1">
      <alignment horizontal="right" vertical="top"/>
    </xf>
    <xf numFmtId="2" fontId="34" fillId="0" borderId="15" xfId="1427" applyNumberFormat="1" applyFont="1" applyBorder="1" applyAlignment="1">
      <alignment horizontal="right" vertical="top"/>
    </xf>
    <xf numFmtId="0" fontId="42" fillId="0" borderId="15" xfId="1427" applyFont="1" applyBorder="1" applyAlignment="1">
      <alignment horizontal="left" vertical="top" wrapText="1"/>
    </xf>
    <xf numFmtId="0" fontId="34" fillId="0" borderId="0" xfId="1427" applyFont="1" applyAlignment="1">
      <alignment horizontal="left" vertical="top"/>
    </xf>
    <xf numFmtId="1" fontId="42" fillId="0" borderId="0" xfId="1427" applyNumberFormat="1" applyFont="1" applyAlignment="1">
      <alignment horizontal="center" vertical="top"/>
    </xf>
    <xf numFmtId="2" fontId="122" fillId="0" borderId="15" xfId="969" applyNumberFormat="1" applyFont="1" applyBorder="1" applyAlignment="1">
      <alignment horizontal="center" vertical="center" wrapText="1"/>
    </xf>
    <xf numFmtId="49" fontId="100" fillId="0" borderId="0" xfId="969" applyNumberFormat="1" applyFont="1" applyAlignment="1">
      <alignment horizontal="center" vertical="top" wrapText="1"/>
    </xf>
    <xf numFmtId="49" fontId="122" fillId="0" borderId="0" xfId="969" applyNumberFormat="1" applyFont="1" applyAlignment="1">
      <alignment horizontal="left" vertical="top" wrapText="1"/>
    </xf>
    <xf numFmtId="0" fontId="100" fillId="0" borderId="0" xfId="969" applyFont="1" applyAlignment="1">
      <alignment horizontal="left" vertical="top"/>
    </xf>
    <xf numFmtId="0" fontId="100" fillId="0" borderId="0" xfId="969" applyFont="1" applyAlignment="1">
      <alignment vertical="top"/>
    </xf>
    <xf numFmtId="0" fontId="100" fillId="0" borderId="0" xfId="969" applyFont="1" applyAlignment="1">
      <alignment horizontal="center" vertical="top"/>
    </xf>
    <xf numFmtId="2" fontId="100" fillId="0" borderId="0" xfId="969" applyNumberFormat="1" applyFont="1" applyAlignment="1">
      <alignment horizontal="right" vertical="top"/>
    </xf>
    <xf numFmtId="49" fontId="122" fillId="0" borderId="15" xfId="969" applyNumberFormat="1" applyFont="1" applyBorder="1" applyAlignment="1">
      <alignment horizontal="center" vertical="top" wrapText="1"/>
    </xf>
    <xf numFmtId="2" fontId="100" fillId="0" borderId="0" xfId="969" applyNumberFormat="1" applyFont="1" applyAlignment="1">
      <alignment horizontal="center" vertical="top" wrapText="1"/>
    </xf>
    <xf numFmtId="49" fontId="94" fillId="0" borderId="16" xfId="969" applyNumberFormat="1" applyFont="1" applyBorder="1" applyAlignment="1">
      <alignment vertical="top" wrapText="1"/>
    </xf>
    <xf numFmtId="49" fontId="101" fillId="0" borderId="15" xfId="969" applyNumberFormat="1" applyFont="1" applyBorder="1" applyAlignment="1">
      <alignment horizontal="center" vertical="top" wrapText="1"/>
    </xf>
    <xf numFmtId="49" fontId="94" fillId="0" borderId="0" xfId="969" applyNumberFormat="1" applyFont="1" applyAlignment="1">
      <alignment horizontal="justify" vertical="top" wrapText="1"/>
    </xf>
    <xf numFmtId="49" fontId="94" fillId="0" borderId="0" xfId="969" applyNumberFormat="1" applyFont="1" applyAlignment="1">
      <alignment horizontal="right" vertical="top" wrapText="1"/>
    </xf>
    <xf numFmtId="49" fontId="101" fillId="0" borderId="0" xfId="969" applyNumberFormat="1" applyFont="1" applyAlignment="1">
      <alignment horizontal="center" vertical="top" wrapText="1"/>
    </xf>
    <xf numFmtId="2" fontId="94" fillId="0" borderId="0" xfId="969" applyNumberFormat="1" applyFont="1" applyAlignment="1">
      <alignment horizontal="center" vertical="top" wrapText="1"/>
    </xf>
    <xf numFmtId="2" fontId="122" fillId="0" borderId="15" xfId="969" applyNumberFormat="1" applyFont="1" applyBorder="1" applyAlignment="1">
      <alignment horizontal="center" vertical="top" wrapText="1"/>
    </xf>
    <xf numFmtId="0" fontId="101" fillId="0" borderId="18" xfId="0" applyFont="1" applyBorder="1" applyAlignment="1">
      <alignment horizontal="center" vertical="top"/>
    </xf>
    <xf numFmtId="0" fontId="94" fillId="0" borderId="18" xfId="0" applyFont="1" applyBorder="1" applyAlignment="1">
      <alignment horizontal="justify" vertical="top" wrapText="1"/>
    </xf>
    <xf numFmtId="0" fontId="101" fillId="0" borderId="0" xfId="1384" applyFont="1" applyAlignment="1">
      <alignment horizontal="center" vertical="top" wrapText="1"/>
    </xf>
    <xf numFmtId="0" fontId="94" fillId="0" borderId="19" xfId="0" applyFont="1" applyBorder="1" applyAlignment="1">
      <alignment horizontal="left" vertical="top" wrapText="1"/>
    </xf>
    <xf numFmtId="2" fontId="116" fillId="48" borderId="15" xfId="1389" applyNumberFormat="1" applyFont="1" applyFill="1" applyBorder="1" applyAlignment="1">
      <alignment horizontal="right" vertical="top" wrapText="1"/>
    </xf>
    <xf numFmtId="2" fontId="94" fillId="48" borderId="15" xfId="1384" applyNumberFormat="1" applyFont="1" applyFill="1" applyBorder="1" applyAlignment="1">
      <alignment vertical="top"/>
    </xf>
    <xf numFmtId="2" fontId="131" fillId="0" borderId="17" xfId="1389" applyNumberFormat="1" applyFont="1" applyBorder="1" applyAlignment="1">
      <alignment horizontal="right" vertical="top" wrapText="1"/>
    </xf>
    <xf numFmtId="2" fontId="131" fillId="0" borderId="19" xfId="1384" applyNumberFormat="1" applyFont="1" applyBorder="1" applyAlignment="1">
      <alignment horizontal="left" vertical="top"/>
    </xf>
    <xf numFmtId="2" fontId="131" fillId="0" borderId="17" xfId="1389" applyNumberFormat="1" applyFont="1" applyBorder="1" applyAlignment="1">
      <alignment horizontal="center" vertical="top" wrapText="1"/>
    </xf>
    <xf numFmtId="0" fontId="101" fillId="0" borderId="17" xfId="1384" applyFont="1" applyBorder="1" applyAlignment="1">
      <alignment horizontal="center" vertical="top" wrapText="1"/>
    </xf>
    <xf numFmtId="49" fontId="94" fillId="0" borderId="16" xfId="1389" applyNumberFormat="1" applyFont="1" applyBorder="1" applyAlignment="1">
      <alignment horizontal="center" vertical="top" wrapText="1"/>
    </xf>
    <xf numFmtId="2" fontId="100" fillId="0" borderId="0" xfId="1389" applyNumberFormat="1" applyFont="1" applyAlignment="1">
      <alignment horizontal="center" vertical="center" wrapText="1"/>
    </xf>
    <xf numFmtId="2" fontId="116" fillId="0" borderId="19" xfId="1389" applyNumberFormat="1" applyFont="1" applyBorder="1" applyAlignment="1">
      <alignment horizontal="left" vertical="top" wrapText="1"/>
    </xf>
    <xf numFmtId="49" fontId="94" fillId="0" borderId="16" xfId="1389" applyNumberFormat="1" applyFont="1" applyBorder="1" applyAlignment="1">
      <alignment vertical="center" wrapText="1"/>
    </xf>
    <xf numFmtId="2" fontId="98" fillId="0" borderId="17" xfId="1384" applyNumberFormat="1" applyFont="1" applyBorder="1" applyAlignment="1">
      <alignment vertical="top" wrapText="1"/>
    </xf>
    <xf numFmtId="2" fontId="98" fillId="0" borderId="19" xfId="1389" applyNumberFormat="1" applyFont="1" applyBorder="1" applyAlignment="1">
      <alignment vertical="top" wrapText="1"/>
    </xf>
    <xf numFmtId="2" fontId="98" fillId="0" borderId="19" xfId="1384" applyNumberFormat="1" applyFont="1" applyBorder="1" applyAlignment="1">
      <alignment horizontal="center" vertical="top" wrapText="1"/>
    </xf>
    <xf numFmtId="2" fontId="131" fillId="0" borderId="15" xfId="1389" applyNumberFormat="1" applyFont="1" applyBorder="1" applyAlignment="1">
      <alignment horizontal="right" vertical="top" wrapText="1"/>
    </xf>
    <xf numFmtId="2" fontId="101" fillId="0" borderId="15" xfId="1384" applyNumberFormat="1" applyFont="1" applyBorder="1" applyAlignment="1">
      <alignment vertical="top" wrapText="1"/>
    </xf>
    <xf numFmtId="0" fontId="171" fillId="0" borderId="15" xfId="1393" applyFont="1" applyBorder="1" applyAlignment="1">
      <alignment vertical="top"/>
    </xf>
    <xf numFmtId="0" fontId="116" fillId="46" borderId="15" xfId="1393" applyFont="1" applyFill="1" applyBorder="1" applyAlignment="1">
      <alignment horizontal="center" vertical="top"/>
    </xf>
    <xf numFmtId="2" fontId="116" fillId="46" borderId="15" xfId="1393" applyNumberFormat="1" applyFont="1" applyFill="1" applyBorder="1" applyAlignment="1">
      <alignment horizontal="center" vertical="top"/>
    </xf>
    <xf numFmtId="0" fontId="116" fillId="46" borderId="15" xfId="1393" applyFont="1" applyFill="1" applyBorder="1" applyAlignment="1">
      <alignment vertical="top"/>
    </xf>
    <xf numFmtId="0" fontId="171" fillId="46" borderId="15" xfId="1393" applyFont="1" applyFill="1" applyBorder="1" applyAlignment="1">
      <alignment vertical="top"/>
    </xf>
    <xf numFmtId="2" fontId="171" fillId="46" borderId="15" xfId="1393" applyNumberFormat="1" applyFont="1" applyFill="1" applyBorder="1" applyAlignment="1">
      <alignment vertical="top"/>
    </xf>
    <xf numFmtId="2" fontId="116" fillId="46" borderId="15" xfId="1393" applyNumberFormat="1" applyFont="1" applyFill="1" applyBorder="1" applyAlignment="1">
      <alignment vertical="top"/>
    </xf>
    <xf numFmtId="0" fontId="94" fillId="46" borderId="0" xfId="0" applyFont="1" applyFill="1" applyAlignment="1">
      <alignment horizontal="right" vertical="top"/>
    </xf>
    <xf numFmtId="0" fontId="94" fillId="46" borderId="0" xfId="1384" applyFont="1" applyFill="1"/>
    <xf numFmtId="0" fontId="154" fillId="0" borderId="0" xfId="1385" applyFont="1" applyAlignment="1">
      <alignment horizontal="left" vertical="center"/>
    </xf>
    <xf numFmtId="0" fontId="96" fillId="0" borderId="0" xfId="0" applyFont="1" applyAlignment="1">
      <alignment horizontal="left"/>
    </xf>
    <xf numFmtId="0" fontId="95" fillId="0" borderId="15" xfId="0" applyFont="1" applyBorder="1" applyAlignment="1">
      <alignment horizontal="center" vertical="top" wrapText="1"/>
    </xf>
    <xf numFmtId="0" fontId="96" fillId="0" borderId="15" xfId="0" applyFont="1" applyBorder="1" applyAlignment="1">
      <alignment horizontal="center" vertical="top" wrapText="1"/>
    </xf>
    <xf numFmtId="0" fontId="95" fillId="0" borderId="17" xfId="0" applyFont="1" applyBorder="1" applyAlignment="1">
      <alignment horizontal="center" vertical="top" wrapText="1"/>
    </xf>
    <xf numFmtId="0" fontId="95" fillId="0" borderId="18" xfId="0" applyFont="1" applyBorder="1" applyAlignment="1">
      <alignment horizontal="center" vertical="top" wrapText="1"/>
    </xf>
    <xf numFmtId="0" fontId="95" fillId="0" borderId="19" xfId="0" applyFont="1" applyBorder="1" applyAlignment="1">
      <alignment horizontal="center" vertical="top" wrapText="1"/>
    </xf>
    <xf numFmtId="1" fontId="95" fillId="0" borderId="15" xfId="0" applyNumberFormat="1" applyFont="1" applyBorder="1" applyAlignment="1">
      <alignment horizontal="center" vertical="top" wrapText="1"/>
    </xf>
    <xf numFmtId="0" fontId="95" fillId="0" borderId="17" xfId="0" applyFont="1" applyBorder="1" applyAlignment="1">
      <alignment vertical="top" wrapText="1"/>
    </xf>
    <xf numFmtId="0" fontId="95" fillId="0" borderId="19" xfId="0" applyFont="1" applyBorder="1" applyAlignment="1">
      <alignment vertical="top" wrapText="1"/>
    </xf>
    <xf numFmtId="0" fontId="94" fillId="0" borderId="15" xfId="0" applyFont="1" applyFill="1" applyBorder="1" applyAlignment="1">
      <alignment horizontal="center" vertical="top"/>
    </xf>
    <xf numFmtId="0" fontId="94" fillId="0" borderId="17" xfId="0" applyFont="1" applyFill="1" applyBorder="1" applyAlignment="1">
      <alignment horizontal="right" vertical="top"/>
    </xf>
    <xf numFmtId="0" fontId="94" fillId="0" borderId="19" xfId="0" applyFont="1" applyFill="1" applyBorder="1" applyAlignment="1">
      <alignment horizontal="right" vertical="top"/>
    </xf>
    <xf numFmtId="0" fontId="94" fillId="0" borderId="15" xfId="0" applyFont="1" applyFill="1" applyBorder="1" applyAlignment="1">
      <alignment horizontal="right" vertical="top"/>
    </xf>
    <xf numFmtId="0" fontId="95" fillId="0" borderId="0" xfId="0" applyFont="1" applyFill="1" applyAlignment="1">
      <alignment vertical="top" wrapText="1"/>
    </xf>
    <xf numFmtId="0" fontId="94" fillId="0" borderId="0" xfId="0" applyFont="1" applyFill="1" applyAlignment="1">
      <alignment vertical="top"/>
    </xf>
    <xf numFmtId="0" fontId="94" fillId="0" borderId="15" xfId="0" applyFont="1" applyFill="1" applyBorder="1" applyAlignment="1">
      <alignment vertical="top"/>
    </xf>
    <xf numFmtId="0" fontId="98" fillId="0" borderId="17" xfId="0" applyFont="1" applyFill="1" applyBorder="1" applyAlignment="1">
      <alignment vertical="top"/>
    </xf>
    <xf numFmtId="0" fontId="98" fillId="0" borderId="18" xfId="0" applyFont="1" applyFill="1" applyBorder="1" applyAlignment="1">
      <alignment vertical="top"/>
    </xf>
    <xf numFmtId="0" fontId="98" fillId="0" borderId="19" xfId="0" applyFont="1" applyFill="1" applyBorder="1" applyAlignment="1">
      <alignment horizontal="left" vertical="top"/>
    </xf>
    <xf numFmtId="166" fontId="98" fillId="0" borderId="15" xfId="0" applyNumberFormat="1" applyFont="1" applyFill="1" applyBorder="1" applyAlignment="1">
      <alignment horizontal="center" vertical="top"/>
    </xf>
    <xf numFmtId="2" fontId="98" fillId="0" borderId="15" xfId="0" applyNumberFormat="1" applyFont="1" applyFill="1" applyBorder="1" applyAlignment="1">
      <alignment horizontal="center" vertical="top"/>
    </xf>
    <xf numFmtId="2" fontId="98" fillId="0" borderId="17" xfId="0" applyNumberFormat="1" applyFont="1" applyFill="1" applyBorder="1" applyAlignment="1">
      <alignment horizontal="right" vertical="top"/>
    </xf>
    <xf numFmtId="2" fontId="99" fillId="0" borderId="18" xfId="0" applyNumberFormat="1" applyFont="1" applyFill="1" applyBorder="1" applyAlignment="1">
      <alignment vertical="top"/>
    </xf>
    <xf numFmtId="0" fontId="100" fillId="0" borderId="0" xfId="0" applyFont="1" applyFill="1" applyAlignment="1">
      <alignment vertical="top"/>
    </xf>
    <xf numFmtId="0" fontId="94" fillId="0" borderId="15" xfId="1273" applyFont="1" applyFill="1" applyBorder="1" applyAlignment="1">
      <alignment vertical="top" wrapText="1"/>
    </xf>
    <xf numFmtId="1" fontId="94" fillId="0" borderId="17" xfId="1273" applyNumberFormat="1" applyFont="1" applyFill="1" applyBorder="1" applyAlignment="1">
      <alignment horizontal="right" vertical="top" wrapText="1"/>
    </xf>
    <xf numFmtId="1" fontId="94" fillId="0" borderId="18" xfId="1273" applyNumberFormat="1" applyFont="1" applyFill="1" applyBorder="1" applyAlignment="1">
      <alignment horizontal="center" vertical="top" wrapText="1"/>
    </xf>
    <xf numFmtId="1" fontId="94" fillId="0" borderId="19" xfId="1273" applyNumberFormat="1" applyFont="1" applyFill="1" applyBorder="1" applyAlignment="1">
      <alignment horizontal="left" vertical="top" wrapText="1"/>
    </xf>
    <xf numFmtId="166" fontId="94" fillId="0" borderId="15" xfId="1273" applyNumberFormat="1" applyFont="1" applyFill="1" applyBorder="1" applyAlignment="1">
      <alignment horizontal="center" vertical="top" wrapText="1"/>
    </xf>
    <xf numFmtId="2" fontId="94" fillId="0" borderId="17" xfId="0" applyNumberFormat="1" applyFont="1" applyFill="1" applyBorder="1" applyAlignment="1">
      <alignment horizontal="right" vertical="top"/>
    </xf>
    <xf numFmtId="0" fontId="94" fillId="0" borderId="17" xfId="0" applyFont="1" applyFill="1" applyBorder="1" applyAlignment="1">
      <alignment vertical="top"/>
    </xf>
    <xf numFmtId="0" fontId="94" fillId="0" borderId="18" xfId="0" applyFont="1" applyFill="1" applyBorder="1" applyAlignment="1">
      <alignment vertical="top"/>
    </xf>
    <xf numFmtId="0" fontId="94" fillId="0" borderId="19" xfId="0" applyFont="1" applyFill="1" applyBorder="1" applyAlignment="1">
      <alignment horizontal="left" vertical="top"/>
    </xf>
    <xf numFmtId="166" fontId="94" fillId="0" borderId="15" xfId="0" applyNumberFormat="1" applyFont="1" applyFill="1" applyBorder="1" applyAlignment="1">
      <alignment horizontal="center" vertical="top"/>
    </xf>
    <xf numFmtId="166" fontId="94" fillId="0" borderId="15" xfId="0" applyNumberFormat="1" applyFont="1" applyFill="1" applyBorder="1" applyAlignment="1">
      <alignment vertical="top"/>
    </xf>
    <xf numFmtId="2" fontId="94" fillId="0" borderId="15" xfId="0" applyNumberFormat="1" applyFont="1" applyFill="1" applyBorder="1" applyAlignment="1">
      <alignment horizontal="center" vertical="top"/>
    </xf>
    <xf numFmtId="1" fontId="94" fillId="0" borderId="15" xfId="0" applyNumberFormat="1" applyFont="1" applyFill="1" applyBorder="1" applyAlignment="1">
      <alignment horizontal="center" vertical="top"/>
    </xf>
    <xf numFmtId="2" fontId="94" fillId="0" borderId="15" xfId="0" applyNumberFormat="1" applyFont="1" applyFill="1" applyBorder="1" applyAlignment="1">
      <alignment horizontal="right" vertical="top"/>
    </xf>
    <xf numFmtId="0" fontId="94" fillId="0" borderId="0" xfId="0" applyFont="1" applyFill="1"/>
    <xf numFmtId="0" fontId="94" fillId="0" borderId="15" xfId="0" applyFont="1" applyFill="1" applyBorder="1" applyAlignment="1">
      <alignment horizontal="center" vertical="center" wrapText="1"/>
    </xf>
    <xf numFmtId="0" fontId="104" fillId="0" borderId="15" xfId="0" applyFont="1" applyFill="1" applyBorder="1" applyAlignment="1">
      <alignment horizontal="center" vertical="center" wrapText="1"/>
    </xf>
    <xf numFmtId="0" fontId="94" fillId="0" borderId="15" xfId="0" applyFont="1" applyFill="1" applyBorder="1"/>
    <xf numFmtId="0" fontId="94" fillId="0" borderId="15" xfId="0" applyFont="1" applyFill="1" applyBorder="1" applyAlignment="1">
      <alignment horizontal="center"/>
    </xf>
    <xf numFmtId="1" fontId="94" fillId="0" borderId="15" xfId="0" applyNumberFormat="1" applyFont="1" applyFill="1" applyBorder="1"/>
    <xf numFmtId="2" fontId="94" fillId="0" borderId="15" xfId="0" applyNumberFormat="1" applyFont="1" applyFill="1" applyBorder="1"/>
    <xf numFmtId="1" fontId="94" fillId="0" borderId="15" xfId="0" applyNumberFormat="1" applyFont="1" applyFill="1" applyBorder="1" applyAlignment="1">
      <alignment horizontal="center"/>
    </xf>
    <xf numFmtId="2" fontId="94" fillId="0" borderId="15" xfId="0" applyNumberFormat="1" applyFont="1" applyFill="1" applyBorder="1" applyAlignment="1">
      <alignment horizontal="center"/>
    </xf>
    <xf numFmtId="0" fontId="94" fillId="0" borderId="15" xfId="0" applyFont="1" applyFill="1" applyBorder="1" applyAlignment="1">
      <alignment horizontal="right"/>
    </xf>
    <xf numFmtId="2" fontId="94" fillId="0" borderId="15" xfId="0" applyNumberFormat="1" applyFont="1" applyFill="1" applyBorder="1" applyAlignment="1">
      <alignment horizontal="right"/>
    </xf>
    <xf numFmtId="0" fontId="104" fillId="0" borderId="15" xfId="0" applyFont="1" applyFill="1" applyBorder="1"/>
    <xf numFmtId="166" fontId="94" fillId="0" borderId="15" xfId="0" applyNumberFormat="1" applyFont="1" applyFill="1" applyBorder="1"/>
    <xf numFmtId="0" fontId="94" fillId="0" borderId="15" xfId="0" applyFont="1" applyFill="1" applyBorder="1" applyAlignment="1">
      <alignment horizontal="center" wrapText="1"/>
    </xf>
    <xf numFmtId="0" fontId="131" fillId="0" borderId="15" xfId="0" applyFont="1" applyFill="1" applyBorder="1" applyAlignment="1">
      <alignment horizontal="center" wrapText="1"/>
    </xf>
    <xf numFmtId="2" fontId="101" fillId="0" borderId="15" xfId="0" applyNumberFormat="1" applyFont="1" applyFill="1" applyBorder="1" applyAlignment="1">
      <alignment horizontal="center" wrapText="1"/>
    </xf>
    <xf numFmtId="0" fontId="101" fillId="0" borderId="15" xfId="0" applyFont="1" applyFill="1" applyBorder="1"/>
    <xf numFmtId="2" fontId="94" fillId="0" borderId="15" xfId="0" applyNumberFormat="1" applyFont="1" applyFill="1" applyBorder="1" applyAlignment="1">
      <alignment horizontal="center" wrapText="1"/>
    </xf>
    <xf numFmtId="2" fontId="101" fillId="0" borderId="15" xfId="1384" applyNumberFormat="1" applyFont="1" applyFill="1" applyBorder="1" applyAlignment="1">
      <alignment horizontal="center"/>
    </xf>
    <xf numFmtId="1" fontId="101" fillId="0" borderId="15" xfId="0" applyNumberFormat="1" applyFont="1" applyFill="1" applyBorder="1" applyAlignment="1">
      <alignment horizontal="center" wrapText="1"/>
    </xf>
    <xf numFmtId="0" fontId="101" fillId="0" borderId="15" xfId="0" applyFont="1" applyFill="1" applyBorder="1" applyAlignment="1">
      <alignment horizontal="center" wrapText="1"/>
    </xf>
    <xf numFmtId="1" fontId="101" fillId="0" borderId="15" xfId="0" applyNumberFormat="1" applyFont="1" applyFill="1" applyBorder="1" applyAlignment="1">
      <alignment horizontal="center"/>
    </xf>
    <xf numFmtId="0" fontId="101" fillId="0" borderId="15" xfId="0" applyFont="1" applyFill="1" applyBorder="1" applyAlignment="1">
      <alignment horizontal="center"/>
    </xf>
    <xf numFmtId="0" fontId="107" fillId="0" borderId="15" xfId="0" applyFont="1" applyFill="1" applyBorder="1" applyAlignment="1">
      <alignment horizontal="left" vertical="justify" wrapText="1"/>
    </xf>
    <xf numFmtId="0" fontId="101" fillId="0" borderId="0" xfId="0" applyFont="1" applyFill="1"/>
    <xf numFmtId="0" fontId="102" fillId="0" borderId="0" xfId="0" applyFont="1" applyFill="1" applyAlignment="1">
      <alignment horizontal="center" vertical="top"/>
    </xf>
    <xf numFmtId="0" fontId="94" fillId="0" borderId="15" xfId="1384" applyFont="1" applyBorder="1" applyAlignment="1">
      <alignment horizontal="justify" vertical="top" wrapText="1"/>
    </xf>
    <xf numFmtId="0" fontId="94" fillId="0" borderId="15" xfId="0" applyFont="1" applyFill="1" applyBorder="1" applyAlignment="1">
      <alignment horizontal="center" vertical="center" wrapText="1"/>
    </xf>
    <xf numFmtId="0" fontId="94" fillId="0" borderId="15" xfId="0" applyFont="1" applyFill="1" applyBorder="1" applyAlignment="1">
      <alignment horizontal="center" vertical="center" wrapText="1"/>
    </xf>
    <xf numFmtId="0" fontId="143" fillId="0" borderId="18" xfId="0" applyFont="1" applyFill="1" applyBorder="1" applyAlignment="1">
      <alignment horizontal="center"/>
    </xf>
    <xf numFmtId="2" fontId="99" fillId="0" borderId="19" xfId="0" applyNumberFormat="1" applyFont="1" applyFill="1" applyBorder="1" applyAlignment="1">
      <alignment vertical="top"/>
    </xf>
    <xf numFmtId="0" fontId="94" fillId="0" borderId="15" xfId="1415" applyFont="1" applyFill="1" applyBorder="1" applyAlignment="1">
      <alignment vertical="top" wrapText="1"/>
    </xf>
    <xf numFmtId="1" fontId="94" fillId="0" borderId="17" xfId="1415" applyNumberFormat="1" applyFont="1" applyFill="1" applyBorder="1" applyAlignment="1">
      <alignment horizontal="right" vertical="top" wrapText="1"/>
    </xf>
    <xf numFmtId="1" fontId="94" fillId="0" borderId="18" xfId="1415" applyNumberFormat="1" applyFont="1" applyFill="1" applyBorder="1" applyAlignment="1">
      <alignment horizontal="center" vertical="top" wrapText="1"/>
    </xf>
    <xf numFmtId="2" fontId="94" fillId="0" borderId="19" xfId="1415" applyNumberFormat="1" applyFont="1" applyFill="1" applyBorder="1" applyAlignment="1">
      <alignment horizontal="left" vertical="top" wrapText="1"/>
    </xf>
    <xf numFmtId="166" fontId="94" fillId="0" borderId="15" xfId="1415" applyNumberFormat="1" applyFont="1" applyFill="1" applyBorder="1" applyAlignment="1">
      <alignment horizontal="center" vertical="top" wrapText="1"/>
    </xf>
    <xf numFmtId="166" fontId="94" fillId="0" borderId="17" xfId="0" applyNumberFormat="1" applyFont="1" applyFill="1" applyBorder="1" applyAlignment="1">
      <alignment horizontal="right" vertical="top"/>
    </xf>
    <xf numFmtId="0" fontId="101" fillId="0" borderId="15" xfId="0" applyFont="1" applyFill="1" applyBorder="1" applyAlignment="1">
      <alignment horizontal="justify" vertical="top" wrapText="1"/>
    </xf>
    <xf numFmtId="2" fontId="101" fillId="0" borderId="15" xfId="0" applyNumberFormat="1" applyFont="1" applyFill="1" applyBorder="1" applyAlignment="1">
      <alignment vertical="top"/>
    </xf>
    <xf numFmtId="0" fontId="94" fillId="0" borderId="0" xfId="0" applyFont="1" applyFill="1" applyAlignment="1">
      <alignment horizontal="center" vertical="top"/>
    </xf>
    <xf numFmtId="0" fontId="94" fillId="0" borderId="0" xfId="0" applyFont="1" applyFill="1" applyAlignment="1">
      <alignment horizontal="right" vertical="top"/>
    </xf>
    <xf numFmtId="0" fontId="101" fillId="0" borderId="15" xfId="0" applyFont="1" applyFill="1" applyBorder="1" applyAlignment="1">
      <alignment horizontal="center" vertical="top" wrapText="1"/>
    </xf>
    <xf numFmtId="0" fontId="94" fillId="0" borderId="15" xfId="0" applyFont="1" applyFill="1" applyBorder="1" applyAlignment="1">
      <alignment horizontal="center" vertical="top" wrapText="1"/>
    </xf>
    <xf numFmtId="0" fontId="101" fillId="0" borderId="15" xfId="0" applyFont="1" applyFill="1" applyBorder="1" applyAlignment="1">
      <alignment horizontal="right" vertical="top" wrapText="1"/>
    </xf>
    <xf numFmtId="2" fontId="94" fillId="0" borderId="15" xfId="0" applyNumberFormat="1" applyFont="1" applyFill="1" applyBorder="1" applyAlignment="1">
      <alignment vertical="top"/>
    </xf>
    <xf numFmtId="2" fontId="94" fillId="0" borderId="15" xfId="0" applyNumberFormat="1" applyFont="1" applyFill="1" applyBorder="1" applyAlignment="1">
      <alignment horizontal="center" vertical="top" wrapText="1"/>
    </xf>
    <xf numFmtId="2" fontId="101" fillId="0" borderId="15" xfId="0" applyNumberFormat="1" applyFont="1" applyFill="1" applyBorder="1" applyAlignment="1">
      <alignment horizontal="right" vertical="top" wrapText="1"/>
    </xf>
    <xf numFmtId="2" fontId="94" fillId="0" borderId="15" xfId="0" applyNumberFormat="1" applyFont="1" applyFill="1" applyBorder="1" applyAlignment="1">
      <alignment horizontal="right" vertical="top" wrapText="1"/>
    </xf>
    <xf numFmtId="166" fontId="94" fillId="0" borderId="15" xfId="0" applyNumberFormat="1" applyFont="1" applyFill="1" applyBorder="1" applyAlignment="1">
      <alignment horizontal="center" vertical="top" wrapText="1"/>
    </xf>
    <xf numFmtId="2" fontId="101" fillId="0" borderId="15" xfId="0" applyNumberFormat="1" applyFont="1" applyFill="1" applyBorder="1" applyAlignment="1">
      <alignment horizontal="center" vertical="top" wrapText="1"/>
    </xf>
    <xf numFmtId="0" fontId="94" fillId="0" borderId="15" xfId="0" applyFont="1" applyFill="1" applyBorder="1" applyAlignment="1">
      <alignment horizontal="right" vertical="top" wrapText="1"/>
    </xf>
    <xf numFmtId="168" fontId="94" fillId="0" borderId="15" xfId="0" applyNumberFormat="1" applyFont="1" applyFill="1" applyBorder="1" applyAlignment="1">
      <alignment horizontal="center" vertical="top" wrapText="1"/>
    </xf>
    <xf numFmtId="166" fontId="152" fillId="0" borderId="15" xfId="0" applyNumberFormat="1" applyFont="1" applyFill="1" applyBorder="1" applyAlignment="1">
      <alignment horizontal="center" vertical="top"/>
    </xf>
    <xf numFmtId="0" fontId="98" fillId="0" borderId="15" xfId="0" applyFont="1" applyFill="1" applyBorder="1" applyAlignment="1">
      <alignment horizontal="center" vertical="top" wrapText="1"/>
    </xf>
    <xf numFmtId="0" fontId="98" fillId="0" borderId="15" xfId="0" applyFont="1" applyFill="1" applyBorder="1" applyAlignment="1">
      <alignment horizontal="justify" vertical="top" wrapText="1"/>
    </xf>
    <xf numFmtId="0" fontId="98" fillId="0" borderId="15" xfId="0" applyFont="1" applyFill="1" applyBorder="1" applyAlignment="1">
      <alignment vertical="top" wrapText="1"/>
    </xf>
    <xf numFmtId="2" fontId="98" fillId="0" borderId="15" xfId="0" applyNumberFormat="1" applyFont="1" applyFill="1" applyBorder="1" applyAlignment="1">
      <alignment horizontal="right" vertical="top"/>
    </xf>
    <xf numFmtId="0" fontId="98" fillId="0" borderId="0" xfId="0" applyFont="1" applyFill="1" applyAlignment="1">
      <alignment vertical="top"/>
    </xf>
    <xf numFmtId="0" fontId="98" fillId="0" borderId="15" xfId="0" applyFont="1" applyFill="1" applyBorder="1" applyAlignment="1">
      <alignment horizontal="left" vertical="top" wrapText="1"/>
    </xf>
    <xf numFmtId="169" fontId="98" fillId="0" borderId="15" xfId="0" applyNumberFormat="1" applyFont="1" applyFill="1" applyBorder="1" applyAlignment="1">
      <alignment horizontal="center" vertical="top" wrapText="1"/>
    </xf>
    <xf numFmtId="2" fontId="141" fillId="0" borderId="15" xfId="0" applyNumberFormat="1" applyFont="1" applyFill="1" applyBorder="1" applyAlignment="1">
      <alignment horizontal="right" vertical="top"/>
    </xf>
    <xf numFmtId="2" fontId="101" fillId="0" borderId="15" xfId="0" applyNumberFormat="1" applyFont="1" applyFill="1" applyBorder="1" applyAlignment="1">
      <alignment horizontal="center" vertical="top"/>
    </xf>
    <xf numFmtId="167" fontId="94" fillId="0" borderId="15" xfId="0" applyNumberFormat="1" applyFont="1" applyFill="1" applyBorder="1" applyAlignment="1">
      <alignment horizontal="center" vertical="top" wrapText="1"/>
    </xf>
    <xf numFmtId="1" fontId="94" fillId="0" borderId="15" xfId="0" applyNumberFormat="1" applyFont="1" applyFill="1" applyBorder="1" applyAlignment="1">
      <alignment horizontal="center" vertical="top" wrapText="1"/>
    </xf>
    <xf numFmtId="2" fontId="94" fillId="0" borderId="15" xfId="0" applyNumberFormat="1" applyFont="1" applyFill="1" applyBorder="1" applyAlignment="1">
      <alignment horizontal="right" vertical="top" shrinkToFit="1"/>
    </xf>
    <xf numFmtId="2" fontId="94" fillId="0" borderId="15" xfId="0" applyNumberFormat="1" applyFont="1" applyFill="1" applyBorder="1" applyAlignment="1">
      <alignment horizontal="center" vertical="top" shrinkToFit="1"/>
    </xf>
    <xf numFmtId="2" fontId="101" fillId="0" borderId="15" xfId="0" applyNumberFormat="1" applyFont="1" applyFill="1" applyBorder="1" applyAlignment="1">
      <alignment horizontal="center" vertical="top" shrinkToFit="1"/>
    </xf>
    <xf numFmtId="49" fontId="94" fillId="0" borderId="15" xfId="0" applyNumberFormat="1" applyFont="1" applyFill="1" applyBorder="1" applyAlignment="1">
      <alignment horizontal="center" vertical="top" shrinkToFit="1"/>
    </xf>
    <xf numFmtId="0" fontId="94" fillId="0" borderId="15" xfId="0" applyFont="1" applyFill="1" applyBorder="1" applyAlignment="1">
      <alignment horizontal="center" vertical="top" shrinkToFit="1"/>
    </xf>
    <xf numFmtId="171" fontId="101" fillId="0" borderId="15" xfId="0" applyNumberFormat="1" applyFont="1" applyFill="1" applyBorder="1" applyAlignment="1">
      <alignment horizontal="center" vertical="top" wrapText="1"/>
    </xf>
    <xf numFmtId="0" fontId="94" fillId="0" borderId="15" xfId="0" applyFont="1" applyFill="1" applyBorder="1" applyAlignment="1">
      <alignment vertical="top" wrapText="1"/>
    </xf>
    <xf numFmtId="171" fontId="94" fillId="0" borderId="0" xfId="0" applyNumberFormat="1" applyFont="1" applyFill="1" applyAlignment="1">
      <alignment horizontal="center" vertical="top" wrapText="1"/>
    </xf>
    <xf numFmtId="166" fontId="94" fillId="0" borderId="15" xfId="0" applyNumberFormat="1" applyFont="1" applyFill="1" applyBorder="1" applyAlignment="1">
      <alignment horizontal="center" vertical="top" shrinkToFit="1"/>
    </xf>
    <xf numFmtId="2" fontId="101" fillId="0" borderId="15" xfId="0" applyNumberFormat="1" applyFont="1" applyFill="1" applyBorder="1" applyAlignment="1">
      <alignment horizontal="right" vertical="top" shrinkToFit="1"/>
    </xf>
    <xf numFmtId="171" fontId="101" fillId="0" borderId="0" xfId="0" applyNumberFormat="1" applyFont="1" applyFill="1" applyAlignment="1">
      <alignment horizontal="center" vertical="top" wrapText="1"/>
    </xf>
    <xf numFmtId="0" fontId="94" fillId="0" borderId="15" xfId="0" applyFont="1" applyFill="1" applyBorder="1" applyAlignment="1">
      <alignment horizontal="justify" vertical="top"/>
    </xf>
    <xf numFmtId="2" fontId="94" fillId="0" borderId="15" xfId="0" applyNumberFormat="1" applyFont="1" applyFill="1" applyBorder="1" applyAlignment="1">
      <alignment vertical="top" shrinkToFit="1"/>
    </xf>
    <xf numFmtId="0" fontId="94" fillId="0" borderId="15" xfId="0" applyFont="1" applyFill="1" applyBorder="1" applyAlignment="1">
      <alignment horizontal="justify" vertical="justify" wrapText="1"/>
    </xf>
    <xf numFmtId="0" fontId="94" fillId="0" borderId="15" xfId="1384" applyFont="1" applyFill="1" applyBorder="1" applyAlignment="1">
      <alignment horizontal="justify" vertical="justify" wrapText="1"/>
    </xf>
    <xf numFmtId="0" fontId="101" fillId="0" borderId="15" xfId="0" applyFont="1" applyFill="1" applyBorder="1" applyAlignment="1">
      <alignment horizontal="justify" vertical="justify" wrapText="1"/>
    </xf>
    <xf numFmtId="0" fontId="112" fillId="0" borderId="8" xfId="1384" applyFont="1" applyFill="1" applyBorder="1" applyAlignment="1">
      <alignment horizontal="center" vertical="top" wrapText="1"/>
    </xf>
    <xf numFmtId="0" fontId="94" fillId="0" borderId="0" xfId="0" applyFont="1" applyFill="1" applyAlignment="1">
      <alignment horizontal="center" vertical="center"/>
    </xf>
    <xf numFmtId="0" fontId="94" fillId="0" borderId="0" xfId="0" applyFont="1" applyFill="1" applyAlignment="1">
      <alignment vertical="center"/>
    </xf>
    <xf numFmtId="0" fontId="101" fillId="0" borderId="15" xfId="0" applyFont="1" applyFill="1" applyBorder="1" applyAlignment="1">
      <alignment horizontal="center" vertical="justify" wrapText="1"/>
    </xf>
    <xf numFmtId="0" fontId="94" fillId="0" borderId="0" xfId="0" applyFont="1" applyFill="1" applyAlignment="1">
      <alignment horizontal="justify" vertical="top" wrapText="1"/>
    </xf>
    <xf numFmtId="0" fontId="101" fillId="0" borderId="0" xfId="0" applyFont="1" applyFill="1" applyAlignment="1">
      <alignment vertical="top"/>
    </xf>
    <xf numFmtId="0" fontId="94" fillId="0" borderId="0" xfId="0" applyFont="1" applyFill="1" applyAlignment="1">
      <alignment horizontal="justify" vertical="justify" wrapText="1"/>
    </xf>
    <xf numFmtId="0" fontId="101" fillId="0" borderId="0" xfId="0" applyFont="1" applyFill="1" applyAlignment="1">
      <alignment horizontal="center" vertical="top"/>
    </xf>
    <xf numFmtId="0" fontId="94" fillId="0" borderId="15" xfId="0" applyFont="1" applyFill="1" applyBorder="1" applyAlignment="1">
      <alignment horizontal="center" vertical="justify" wrapText="1"/>
    </xf>
    <xf numFmtId="0" fontId="94" fillId="0" borderId="15" xfId="0" applyFont="1" applyFill="1" applyBorder="1" applyAlignment="1">
      <alignment wrapText="1"/>
    </xf>
    <xf numFmtId="2" fontId="94" fillId="0" borderId="15" xfId="0" applyNumberFormat="1" applyFont="1" applyFill="1" applyBorder="1" applyAlignment="1">
      <alignment wrapText="1"/>
    </xf>
    <xf numFmtId="166" fontId="94" fillId="0" borderId="15" xfId="0" applyNumberFormat="1" applyFont="1" applyFill="1" applyBorder="1" applyAlignment="1">
      <alignment wrapText="1"/>
    </xf>
    <xf numFmtId="168" fontId="94" fillId="0" borderId="15" xfId="0" applyNumberFormat="1" applyFont="1" applyFill="1" applyBorder="1" applyAlignment="1">
      <alignment horizontal="right" wrapText="1"/>
    </xf>
    <xf numFmtId="168" fontId="101" fillId="0" borderId="15" xfId="0" applyNumberFormat="1" applyFont="1" applyFill="1" applyBorder="1" applyAlignment="1">
      <alignment horizontal="right" vertical="top" wrapText="1"/>
    </xf>
    <xf numFmtId="2" fontId="94" fillId="0" borderId="0" xfId="0" applyNumberFormat="1" applyFont="1" applyFill="1" applyAlignment="1">
      <alignment vertical="top"/>
    </xf>
    <xf numFmtId="2" fontId="94" fillId="0" borderId="20" xfId="0" applyNumberFormat="1" applyFont="1" applyFill="1" applyBorder="1" applyAlignment="1">
      <alignment vertical="top"/>
    </xf>
    <xf numFmtId="168" fontId="101" fillId="0" borderId="15" xfId="0" applyNumberFormat="1" applyFont="1" applyFill="1" applyBorder="1" applyAlignment="1">
      <alignment horizontal="right" wrapText="1"/>
    </xf>
    <xf numFmtId="0" fontId="94" fillId="0" borderId="0" xfId="1384" applyFont="1" applyFill="1" applyAlignment="1">
      <alignment horizontal="center"/>
    </xf>
    <xf numFmtId="0" fontId="94" fillId="0" borderId="0" xfId="1384" applyFont="1" applyFill="1"/>
    <xf numFmtId="0" fontId="112" fillId="0" borderId="8" xfId="1384" applyFont="1" applyFill="1" applyBorder="1" applyAlignment="1">
      <alignment horizontal="center" vertical="top"/>
    </xf>
    <xf numFmtId="2" fontId="112" fillId="0" borderId="28" xfId="1384" applyNumberFormat="1" applyFont="1" applyFill="1" applyBorder="1" applyAlignment="1">
      <alignment horizontal="right" vertical="top" wrapText="1"/>
    </xf>
    <xf numFmtId="0" fontId="112" fillId="0" borderId="29" xfId="1384" applyFont="1" applyFill="1" applyBorder="1" applyAlignment="1">
      <alignment horizontal="justify" vertical="top" wrapText="1"/>
    </xf>
    <xf numFmtId="1" fontId="112" fillId="0" borderId="28" xfId="1384" applyNumberFormat="1" applyFont="1" applyFill="1" applyBorder="1" applyAlignment="1">
      <alignment vertical="top" wrapText="1"/>
    </xf>
    <xf numFmtId="0" fontId="112" fillId="0" borderId="29" xfId="1384" applyFont="1" applyFill="1" applyBorder="1" applyAlignment="1">
      <alignment horizontal="left" vertical="top" wrapText="1"/>
    </xf>
    <xf numFmtId="2" fontId="112" fillId="0" borderId="8" xfId="1384" applyNumberFormat="1" applyFont="1" applyFill="1" applyBorder="1" applyAlignment="1">
      <alignment horizontal="center" vertical="top"/>
    </xf>
    <xf numFmtId="2" fontId="112" fillId="0" borderId="8" xfId="1384" applyNumberFormat="1" applyFont="1" applyFill="1" applyBorder="1" applyAlignment="1">
      <alignment vertical="top"/>
    </xf>
    <xf numFmtId="0" fontId="112" fillId="0" borderId="8" xfId="1384" applyFont="1" applyFill="1" applyBorder="1" applyAlignment="1">
      <alignment horizontal="justify" vertical="top" wrapText="1"/>
    </xf>
    <xf numFmtId="0" fontId="112" fillId="0" borderId="28" xfId="1384" applyFont="1" applyFill="1" applyBorder="1" applyAlignment="1">
      <alignment vertical="top" wrapText="1"/>
    </xf>
    <xf numFmtId="0" fontId="112" fillId="0" borderId="29" xfId="1384" applyFont="1" applyFill="1" applyBorder="1" applyAlignment="1">
      <alignment vertical="top" wrapText="1"/>
    </xf>
    <xf numFmtId="0" fontId="112" fillId="0" borderId="8" xfId="1384" applyFont="1" applyFill="1" applyBorder="1" applyAlignment="1">
      <alignment vertical="top" wrapText="1"/>
    </xf>
    <xf numFmtId="0" fontId="112" fillId="0" borderId="28" xfId="1384" applyFont="1" applyFill="1" applyBorder="1" applyAlignment="1">
      <alignment horizontal="justify" vertical="top" wrapText="1"/>
    </xf>
    <xf numFmtId="0" fontId="113" fillId="0" borderId="8" xfId="1384" applyFont="1" applyFill="1" applyBorder="1" applyAlignment="1">
      <alignment horizontal="justify" vertical="top" wrapText="1"/>
    </xf>
    <xf numFmtId="2" fontId="112" fillId="0" borderId="28" xfId="1384" applyNumberFormat="1" applyFont="1" applyFill="1" applyBorder="1" applyAlignment="1">
      <alignment horizontal="center" vertical="top" wrapText="1"/>
    </xf>
    <xf numFmtId="2" fontId="112" fillId="0" borderId="29" xfId="1384" applyNumberFormat="1" applyFont="1" applyFill="1" applyBorder="1" applyAlignment="1">
      <alignment horizontal="center" vertical="top" wrapText="1"/>
    </xf>
    <xf numFmtId="1" fontId="113" fillId="0" borderId="28" xfId="1384" applyNumberFormat="1" applyFont="1" applyFill="1" applyBorder="1" applyAlignment="1">
      <alignment horizontal="center" vertical="top" wrapText="1"/>
    </xf>
    <xf numFmtId="1" fontId="113" fillId="0" borderId="29" xfId="1384" applyNumberFormat="1" applyFont="1" applyFill="1" applyBorder="1" applyAlignment="1">
      <alignment horizontal="center" vertical="top" wrapText="1"/>
    </xf>
    <xf numFmtId="2" fontId="112" fillId="0" borderId="8" xfId="1384" applyNumberFormat="1" applyFont="1" applyFill="1" applyBorder="1" applyAlignment="1">
      <alignment horizontal="right" vertical="top"/>
    </xf>
    <xf numFmtId="2" fontId="112" fillId="0" borderId="8" xfId="1384" applyNumberFormat="1" applyFont="1" applyFill="1" applyBorder="1" applyAlignment="1">
      <alignment horizontal="left" vertical="top"/>
    </xf>
    <xf numFmtId="4" fontId="112" fillId="0" borderId="29" xfId="1384" applyNumberFormat="1" applyFont="1" applyFill="1" applyBorder="1" applyAlignment="1">
      <alignment horizontal="left" vertical="top" wrapText="1"/>
    </xf>
    <xf numFmtId="0" fontId="112" fillId="0" borderId="8" xfId="1384" applyFont="1" applyFill="1" applyBorder="1" applyAlignment="1">
      <alignment horizontal="left" vertical="top" wrapText="1"/>
    </xf>
    <xf numFmtId="1" fontId="113" fillId="0" borderId="28" xfId="1384" applyNumberFormat="1" applyFont="1" applyFill="1" applyBorder="1" applyAlignment="1">
      <alignment vertical="top" wrapText="1"/>
    </xf>
    <xf numFmtId="2" fontId="113" fillId="0" borderId="8" xfId="1384" applyNumberFormat="1" applyFont="1" applyFill="1" applyBorder="1" applyAlignment="1">
      <alignment horizontal="right" vertical="top"/>
    </xf>
    <xf numFmtId="0" fontId="94" fillId="0" borderId="8" xfId="1384" applyFont="1" applyFill="1" applyBorder="1"/>
    <xf numFmtId="0" fontId="94" fillId="0" borderId="8" xfId="1384" applyFont="1" applyFill="1" applyBorder="1" applyAlignment="1">
      <alignment horizontal="center" vertical="top"/>
    </xf>
    <xf numFmtId="0" fontId="112" fillId="0" borderId="28" xfId="1384" applyFont="1" applyFill="1" applyBorder="1" applyAlignment="1">
      <alignment vertical="top"/>
    </xf>
    <xf numFmtId="0" fontId="112" fillId="0" borderId="8" xfId="1384" applyFont="1" applyFill="1" applyBorder="1" applyAlignment="1">
      <alignment vertical="top"/>
    </xf>
    <xf numFmtId="2" fontId="112" fillId="0" borderId="8" xfId="1384" applyNumberFormat="1" applyFont="1" applyFill="1" applyBorder="1" applyAlignment="1">
      <alignment horizontal="center" vertical="top" wrapText="1"/>
    </xf>
    <xf numFmtId="2" fontId="112" fillId="0" borderId="8" xfId="1384" applyNumberFormat="1" applyFont="1" applyFill="1" applyBorder="1" applyAlignment="1">
      <alignment horizontal="justify" vertical="top" wrapText="1"/>
    </xf>
    <xf numFmtId="1" fontId="112" fillId="0" borderId="28" xfId="1384" applyNumberFormat="1" applyFont="1" applyFill="1" applyBorder="1" applyAlignment="1">
      <alignment horizontal="right" vertical="top" wrapText="1"/>
    </xf>
    <xf numFmtId="2" fontId="112" fillId="0" borderId="8" xfId="1384" applyNumberFormat="1" applyFont="1" applyFill="1" applyBorder="1" applyAlignment="1">
      <alignment horizontal="justify" vertical="top"/>
    </xf>
    <xf numFmtId="0" fontId="94" fillId="0" borderId="0" xfId="1384" applyFont="1" applyFill="1" applyAlignment="1">
      <alignment horizontal="center" vertical="top"/>
    </xf>
    <xf numFmtId="0" fontId="97" fillId="0" borderId="26" xfId="0" applyFont="1" applyFill="1" applyBorder="1" applyAlignment="1">
      <alignment horizontal="justify" vertical="top" wrapText="1"/>
    </xf>
    <xf numFmtId="0" fontId="97" fillId="0" borderId="26" xfId="0" quotePrefix="1" applyFont="1" applyFill="1" applyBorder="1" applyAlignment="1">
      <alignment horizontal="justify" vertical="top" wrapText="1"/>
    </xf>
    <xf numFmtId="0" fontId="94" fillId="0" borderId="28" xfId="1384" applyFont="1" applyFill="1" applyBorder="1"/>
    <xf numFmtId="0" fontId="94" fillId="0" borderId="29" xfId="1384" applyFont="1" applyFill="1" applyBorder="1"/>
    <xf numFmtId="2" fontId="94" fillId="0" borderId="8" xfId="1384" applyNumberFormat="1" applyFont="1" applyFill="1" applyBorder="1"/>
    <xf numFmtId="166" fontId="112" fillId="0" borderId="28" xfId="1384" applyNumberFormat="1" applyFont="1" applyFill="1" applyBorder="1" applyAlignment="1">
      <alignment horizontal="right" vertical="top" wrapText="1"/>
    </xf>
    <xf numFmtId="2" fontId="113" fillId="0" borderId="28" xfId="1384" applyNumberFormat="1" applyFont="1" applyFill="1" applyBorder="1" applyAlignment="1">
      <alignment vertical="top" wrapText="1"/>
    </xf>
    <xf numFmtId="0" fontId="113" fillId="0" borderId="29" xfId="1384" applyFont="1" applyFill="1" applyBorder="1" applyAlignment="1">
      <alignment horizontal="left" vertical="top" wrapText="1"/>
    </xf>
    <xf numFmtId="2" fontId="113" fillId="0" borderId="8" xfId="1384" applyNumberFormat="1" applyFont="1" applyFill="1" applyBorder="1" applyAlignment="1">
      <alignment horizontal="center" vertical="top"/>
    </xf>
    <xf numFmtId="2" fontId="112" fillId="0" borderId="28" xfId="1384" applyNumberFormat="1" applyFont="1" applyFill="1" applyBorder="1" applyAlignment="1">
      <alignment horizontal="justify" vertical="top" wrapText="1"/>
    </xf>
    <xf numFmtId="0" fontId="112" fillId="0" borderId="8" xfId="1384" applyFont="1" applyFill="1" applyBorder="1" applyAlignment="1">
      <alignment horizontal="left" vertical="top"/>
    </xf>
    <xf numFmtId="10" fontId="112" fillId="0" borderId="8" xfId="1384" applyNumberFormat="1" applyFont="1" applyFill="1" applyBorder="1" applyAlignment="1">
      <alignment horizontal="center" vertical="top"/>
    </xf>
    <xf numFmtId="0" fontId="112" fillId="0" borderId="29" xfId="1384" applyFont="1" applyFill="1" applyBorder="1" applyAlignment="1">
      <alignment vertical="top"/>
    </xf>
    <xf numFmtId="0" fontId="112" fillId="0" borderId="28" xfId="1384" applyFont="1" applyFill="1" applyBorder="1" applyAlignment="1">
      <alignment horizontal="right" vertical="top" wrapText="1"/>
    </xf>
    <xf numFmtId="2" fontId="112" fillId="0" borderId="8" xfId="1384" applyNumberFormat="1" applyFont="1" applyFill="1" applyBorder="1" applyAlignment="1">
      <alignment horizontal="right" vertical="top" wrapText="1"/>
    </xf>
    <xf numFmtId="0" fontId="113" fillId="0" borderId="8" xfId="1384" applyFont="1" applyFill="1" applyBorder="1" applyAlignment="1">
      <alignment horizontal="center" vertical="top" wrapText="1"/>
    </xf>
    <xf numFmtId="2" fontId="113" fillId="0" borderId="28" xfId="1384" applyNumberFormat="1" applyFont="1" applyFill="1" applyBorder="1" applyAlignment="1">
      <alignment horizontal="right" vertical="top" wrapText="1"/>
    </xf>
    <xf numFmtId="0" fontId="113" fillId="0" borderId="29" xfId="1384" applyFont="1" applyFill="1" applyBorder="1" applyAlignment="1">
      <alignment horizontal="justify" vertical="top" wrapText="1"/>
    </xf>
    <xf numFmtId="2" fontId="113" fillId="0" borderId="8" xfId="1384" applyNumberFormat="1" applyFont="1" applyFill="1" applyBorder="1" applyAlignment="1">
      <alignment vertical="top"/>
    </xf>
    <xf numFmtId="2" fontId="112" fillId="0" borderId="28" xfId="1384" applyNumberFormat="1" applyFont="1" applyFill="1" applyBorder="1" applyAlignment="1">
      <alignment horizontal="left" vertical="top"/>
    </xf>
    <xf numFmtId="4" fontId="112" fillId="0" borderId="29" xfId="1384" applyNumberFormat="1" applyFont="1" applyFill="1" applyBorder="1" applyAlignment="1">
      <alignment horizontal="left" vertical="top"/>
    </xf>
    <xf numFmtId="9" fontId="112" fillId="0" borderId="28" xfId="1384" applyNumberFormat="1" applyFont="1" applyFill="1" applyBorder="1" applyAlignment="1">
      <alignment vertical="top"/>
    </xf>
    <xf numFmtId="0" fontId="104" fillId="0" borderId="0" xfId="1384" applyFont="1" applyFill="1" applyAlignment="1">
      <alignment horizontal="center" vertical="center"/>
    </xf>
    <xf numFmtId="9" fontId="96" fillId="0" borderId="0" xfId="1384" applyNumberFormat="1" applyFont="1" applyFill="1" applyAlignment="1">
      <alignment horizontal="center" vertical="top" wrapText="1"/>
    </xf>
    <xf numFmtId="0" fontId="105" fillId="0" borderId="8" xfId="1384" applyFont="1" applyFill="1" applyBorder="1" applyAlignment="1">
      <alignment horizontal="center" vertical="center" wrapText="1"/>
    </xf>
    <xf numFmtId="0" fontId="105" fillId="0" borderId="8" xfId="1384" applyFont="1" applyFill="1" applyBorder="1" applyAlignment="1">
      <alignment vertical="center" wrapText="1"/>
    </xf>
    <xf numFmtId="169" fontId="105" fillId="0" borderId="8" xfId="1384" applyNumberFormat="1" applyFont="1" applyFill="1" applyBorder="1" applyAlignment="1">
      <alignment horizontal="center" vertical="center" wrapText="1"/>
    </xf>
    <xf numFmtId="169" fontId="105" fillId="0" borderId="8" xfId="1384" applyNumberFormat="1" applyFont="1" applyFill="1" applyBorder="1" applyAlignment="1">
      <alignment horizontal="right" vertical="center" wrapText="1"/>
    </xf>
    <xf numFmtId="0" fontId="105" fillId="0" borderId="0" xfId="1384" applyFont="1" applyFill="1" applyAlignment="1">
      <alignment horizontal="center" vertical="center" wrapText="1"/>
    </xf>
    <xf numFmtId="171" fontId="105" fillId="0" borderId="8" xfId="1384" applyNumberFormat="1" applyFont="1" applyFill="1" applyBorder="1" applyAlignment="1">
      <alignment horizontal="center" vertical="center" wrapText="1"/>
    </xf>
    <xf numFmtId="0" fontId="104" fillId="0" borderId="0" xfId="1384" applyFont="1" applyFill="1" applyAlignment="1">
      <alignment horizontal="right" vertical="top" shrinkToFit="1"/>
    </xf>
    <xf numFmtId="0" fontId="104" fillId="0" borderId="0" xfId="1384" applyFont="1" applyFill="1" applyAlignment="1">
      <alignment vertical="top"/>
    </xf>
    <xf numFmtId="0" fontId="104" fillId="0" borderId="0" xfId="1384" applyFont="1" applyFill="1" applyAlignment="1">
      <alignment horizontal="justify" vertical="top" wrapText="1"/>
    </xf>
    <xf numFmtId="0" fontId="104" fillId="0" borderId="0" xfId="1384" applyFont="1" applyFill="1" applyAlignment="1">
      <alignment horizontal="center" vertical="top"/>
    </xf>
    <xf numFmtId="0" fontId="104" fillId="0" borderId="0" xfId="1384" applyFont="1" applyFill="1" applyAlignment="1">
      <alignment horizontal="center" vertical="top" shrinkToFit="1"/>
    </xf>
    <xf numFmtId="2" fontId="104" fillId="0" borderId="0" xfId="1384" applyNumberFormat="1" applyFont="1" applyFill="1" applyAlignment="1">
      <alignment horizontal="center" vertical="top" shrinkToFit="1"/>
    </xf>
    <xf numFmtId="0" fontId="104" fillId="0" borderId="0" xfId="1384" applyFont="1" applyFill="1"/>
    <xf numFmtId="0" fontId="104" fillId="0" borderId="0" xfId="1384" applyFont="1" applyFill="1" applyAlignment="1">
      <alignment horizontal="center" vertical="top" wrapText="1"/>
    </xf>
    <xf numFmtId="0" fontId="101" fillId="0" borderId="0" xfId="1384" applyFont="1" applyFill="1" applyAlignment="1">
      <alignment horizontal="center" vertical="top" wrapText="1"/>
    </xf>
    <xf numFmtId="0" fontId="106" fillId="0" borderId="0" xfId="1384" applyFont="1" applyFill="1"/>
    <xf numFmtId="0" fontId="94" fillId="0" borderId="0" xfId="1384" applyFont="1" applyFill="1" applyAlignment="1">
      <alignment horizontal="justify" vertical="top" wrapText="1"/>
    </xf>
    <xf numFmtId="0" fontId="110" fillId="0" borderId="0" xfId="1384" applyFont="1" applyFill="1" applyAlignment="1">
      <alignment horizontal="center" vertical="top" wrapText="1"/>
    </xf>
    <xf numFmtId="169" fontId="94" fillId="0" borderId="0" xfId="1384" applyNumberFormat="1" applyFont="1" applyFill="1" applyAlignment="1">
      <alignment horizontal="center" vertical="top" wrapText="1"/>
    </xf>
    <xf numFmtId="169" fontId="94" fillId="0" borderId="0" xfId="1384" applyNumberFormat="1" applyFont="1" applyFill="1" applyAlignment="1">
      <alignment horizontal="right" vertical="top" wrapText="1"/>
    </xf>
    <xf numFmtId="0" fontId="97" fillId="46" borderId="16" xfId="1384" applyFont="1" applyFill="1" applyBorder="1" applyAlignment="1">
      <alignment horizontal="center" vertical="top" wrapText="1"/>
    </xf>
    <xf numFmtId="0" fontId="107" fillId="46" borderId="16" xfId="1384" applyFont="1" applyFill="1" applyBorder="1" applyAlignment="1">
      <alignment horizontal="center" vertical="top" wrapText="1"/>
    </xf>
    <xf numFmtId="0" fontId="97" fillId="46" borderId="16" xfId="1384" applyFont="1" applyFill="1" applyBorder="1" applyAlignment="1">
      <alignment vertical="top" wrapText="1"/>
    </xf>
    <xf numFmtId="169" fontId="97" fillId="46" borderId="16" xfId="1384" applyNumberFormat="1" applyFont="1" applyFill="1" applyBorder="1" applyAlignment="1">
      <alignment horizontal="right" vertical="top" wrapText="1"/>
    </xf>
    <xf numFmtId="0" fontId="94" fillId="46" borderId="0" xfId="1384" applyFont="1" applyFill="1" applyAlignment="1">
      <alignment vertical="top"/>
    </xf>
    <xf numFmtId="0" fontId="97" fillId="46" borderId="15" xfId="1384" applyFont="1" applyFill="1" applyBorder="1" applyAlignment="1">
      <alignment horizontal="center" vertical="top" wrapText="1"/>
    </xf>
    <xf numFmtId="0" fontId="107" fillId="46" borderId="15" xfId="1384" applyFont="1" applyFill="1" applyBorder="1" applyAlignment="1">
      <alignment horizontal="center" vertical="top" wrapText="1"/>
    </xf>
    <xf numFmtId="2" fontId="97" fillId="46" borderId="15" xfId="1384" applyNumberFormat="1" applyFont="1" applyFill="1" applyBorder="1" applyAlignment="1">
      <alignment horizontal="center" vertical="top" shrinkToFit="1"/>
    </xf>
    <xf numFmtId="169" fontId="97" fillId="46" borderId="15" xfId="1384" applyNumberFormat="1" applyFont="1" applyFill="1" applyBorder="1" applyAlignment="1">
      <alignment horizontal="center" vertical="top" wrapText="1"/>
    </xf>
    <xf numFmtId="169" fontId="97" fillId="46" borderId="15" xfId="1384" applyNumberFormat="1" applyFont="1" applyFill="1" applyBorder="1" applyAlignment="1">
      <alignment horizontal="right" vertical="top" wrapText="1"/>
    </xf>
    <xf numFmtId="0" fontId="97" fillId="46" borderId="15" xfId="1384" applyFont="1" applyFill="1" applyBorder="1"/>
    <xf numFmtId="0" fontId="97" fillId="46" borderId="15" xfId="1384" applyFont="1" applyFill="1" applyBorder="1" applyAlignment="1">
      <alignment horizontal="center"/>
    </xf>
    <xf numFmtId="2" fontId="97" fillId="46" borderId="15" xfId="1384" applyNumberFormat="1" applyFont="1" applyFill="1" applyBorder="1" applyAlignment="1">
      <alignment horizontal="center"/>
    </xf>
    <xf numFmtId="2" fontId="97" fillId="46" borderId="15" xfId="1384" applyNumberFormat="1" applyFont="1" applyFill="1" applyBorder="1" applyAlignment="1">
      <alignment horizontal="right" wrapText="1"/>
    </xf>
    <xf numFmtId="0" fontId="108" fillId="46" borderId="15" xfId="1274" applyFont="1" applyFill="1" applyBorder="1" applyAlignment="1">
      <alignment horizontal="center" vertical="top"/>
    </xf>
    <xf numFmtId="0" fontId="108" fillId="46" borderId="15" xfId="1384" applyFont="1" applyFill="1" applyBorder="1" applyAlignment="1">
      <alignment horizontal="left" vertical="top" wrapText="1"/>
    </xf>
    <xf numFmtId="0" fontId="108" fillId="46" borderId="15" xfId="1384" applyFont="1" applyFill="1" applyBorder="1" applyAlignment="1">
      <alignment horizontal="center" vertical="top" wrapText="1"/>
    </xf>
    <xf numFmtId="0" fontId="108" fillId="46" borderId="15" xfId="1384" applyFont="1" applyFill="1" applyBorder="1" applyAlignment="1">
      <alignment vertical="top"/>
    </xf>
    <xf numFmtId="0" fontId="108" fillId="46" borderId="15" xfId="1384" applyFont="1" applyFill="1" applyBorder="1" applyAlignment="1">
      <alignment horizontal="left" vertical="top"/>
    </xf>
    <xf numFmtId="0" fontId="109" fillId="46" borderId="0" xfId="1274" applyFont="1" applyFill="1" applyAlignment="1">
      <alignment horizontal="justify" vertical="top" wrapText="1"/>
    </xf>
    <xf numFmtId="0" fontId="108" fillId="46" borderId="15" xfId="1384" applyFont="1" applyFill="1" applyBorder="1" applyAlignment="1">
      <alignment horizontal="justify" vertical="top" wrapText="1"/>
    </xf>
    <xf numFmtId="0" fontId="108" fillId="46" borderId="15" xfId="1274" applyFont="1" applyFill="1" applyBorder="1" applyAlignment="1">
      <alignment horizontal="justify" vertical="top" wrapText="1"/>
    </xf>
    <xf numFmtId="0" fontId="97" fillId="46" borderId="15" xfId="1384" applyFont="1" applyFill="1" applyBorder="1" applyAlignment="1">
      <alignment vertical="top" wrapText="1"/>
    </xf>
    <xf numFmtId="0" fontId="100" fillId="46" borderId="0" xfId="1384" applyFont="1" applyFill="1" applyAlignment="1">
      <alignment vertical="top"/>
    </xf>
    <xf numFmtId="0" fontId="97" fillId="46" borderId="15" xfId="1384" applyFont="1" applyFill="1" applyBorder="1" applyAlignment="1">
      <alignment vertical="top"/>
    </xf>
    <xf numFmtId="2" fontId="97" fillId="46" borderId="15" xfId="1384" applyNumberFormat="1" applyFont="1" applyFill="1" applyBorder="1" applyAlignment="1">
      <alignment vertical="top"/>
    </xf>
    <xf numFmtId="2" fontId="107" fillId="46" borderId="15" xfId="1384" applyNumberFormat="1" applyFont="1" applyFill="1" applyBorder="1" applyAlignment="1">
      <alignment horizontal="right" vertical="top"/>
    </xf>
    <xf numFmtId="2" fontId="97" fillId="46" borderId="15" xfId="1384" applyNumberFormat="1" applyFont="1" applyFill="1" applyBorder="1" applyAlignment="1">
      <alignment horizontal="right" vertical="top"/>
    </xf>
    <xf numFmtId="0" fontId="97" fillId="46" borderId="15" xfId="1384" applyFont="1" applyFill="1" applyBorder="1" applyAlignment="1">
      <alignment horizontal="right" vertical="top"/>
    </xf>
    <xf numFmtId="0" fontId="94" fillId="46" borderId="0" xfId="1384" applyFont="1" applyFill="1" applyAlignment="1">
      <alignment vertical="center"/>
    </xf>
    <xf numFmtId="0" fontId="97" fillId="46" borderId="15" xfId="1384" applyFont="1" applyFill="1" applyBorder="1" applyAlignment="1">
      <alignment horizontal="justify" vertical="top"/>
    </xf>
    <xf numFmtId="0" fontId="97" fillId="46" borderId="15" xfId="1384" applyFont="1" applyFill="1" applyBorder="1" applyAlignment="1">
      <alignment horizontal="center" vertical="top"/>
    </xf>
    <xf numFmtId="167" fontId="97" fillId="46" borderId="15" xfId="1384" applyNumberFormat="1" applyFont="1" applyFill="1" applyBorder="1" applyAlignment="1">
      <alignment horizontal="center" vertical="top"/>
    </xf>
    <xf numFmtId="2" fontId="97" fillId="46" borderId="15" xfId="1384" applyNumberFormat="1" applyFont="1" applyFill="1" applyBorder="1" applyAlignment="1">
      <alignment horizontal="center" vertical="top"/>
    </xf>
    <xf numFmtId="2" fontId="97" fillId="46" borderId="15" xfId="1384" applyNumberFormat="1" applyFont="1" applyFill="1" applyBorder="1" applyAlignment="1">
      <alignment horizontal="center" vertical="top" wrapText="1"/>
    </xf>
    <xf numFmtId="2" fontId="116" fillId="0" borderId="15" xfId="1682" applyNumberFormat="1" applyFont="1" applyFill="1" applyBorder="1" applyAlignment="1">
      <alignment horizontal="right" vertical="top" wrapText="1"/>
    </xf>
    <xf numFmtId="49" fontId="94" fillId="0" borderId="0" xfId="969" applyNumberFormat="1" applyFont="1" applyFill="1" applyAlignment="1">
      <alignment horizontal="center" vertical="top" wrapText="1"/>
    </xf>
    <xf numFmtId="49" fontId="100" fillId="0" borderId="0" xfId="969" applyNumberFormat="1" applyFont="1" applyFill="1" applyAlignment="1">
      <alignment horizontal="center" vertical="top" wrapText="1"/>
    </xf>
    <xf numFmtId="49" fontId="122" fillId="0" borderId="0" xfId="969" applyNumberFormat="1" applyFont="1" applyFill="1" applyAlignment="1">
      <alignment horizontal="left" vertical="top" wrapText="1"/>
    </xf>
    <xf numFmtId="0" fontId="100" fillId="0" borderId="0" xfId="969" applyFont="1" applyFill="1" applyAlignment="1">
      <alignment horizontal="left" vertical="top"/>
    </xf>
    <xf numFmtId="2" fontId="100" fillId="0" borderId="0" xfId="969" applyNumberFormat="1" applyFont="1" applyFill="1" applyAlignment="1">
      <alignment vertical="top"/>
    </xf>
    <xf numFmtId="0" fontId="100" fillId="0" borderId="0" xfId="969" applyFont="1" applyFill="1" applyAlignment="1">
      <alignment vertical="top"/>
    </xf>
    <xf numFmtId="0" fontId="100" fillId="0" borderId="0" xfId="969" applyFont="1" applyFill="1" applyAlignment="1">
      <alignment horizontal="center" vertical="top"/>
    </xf>
    <xf numFmtId="2" fontId="100" fillId="0" borderId="0" xfId="969" applyNumberFormat="1" applyFont="1" applyFill="1" applyAlignment="1">
      <alignment horizontal="right" vertical="top"/>
    </xf>
    <xf numFmtId="49" fontId="122" fillId="0" borderId="17" xfId="969" applyNumberFormat="1" applyFont="1" applyFill="1" applyBorder="1" applyAlignment="1">
      <alignment horizontal="center" vertical="top" wrapText="1"/>
    </xf>
    <xf numFmtId="49" fontId="122" fillId="0" borderId="19" xfId="969" applyNumberFormat="1" applyFont="1" applyFill="1" applyBorder="1" applyAlignment="1">
      <alignment horizontal="center" vertical="top" wrapText="1"/>
    </xf>
    <xf numFmtId="49" fontId="94" fillId="0" borderId="15" xfId="1389" applyNumberFormat="1" applyFont="1" applyFill="1" applyBorder="1" applyAlignment="1">
      <alignment horizontal="center" vertical="top" wrapText="1"/>
    </xf>
    <xf numFmtId="0" fontId="94" fillId="0" borderId="17" xfId="1384" applyFont="1" applyFill="1" applyBorder="1" applyAlignment="1">
      <alignment horizontal="justify" vertical="top" wrapText="1"/>
    </xf>
    <xf numFmtId="2" fontId="94" fillId="0" borderId="19" xfId="1384" applyNumberFormat="1" applyFont="1" applyFill="1" applyBorder="1" applyAlignment="1">
      <alignment horizontal="left" vertical="top"/>
    </xf>
    <xf numFmtId="2" fontId="94" fillId="0" borderId="17" xfId="1682" applyNumberFormat="1" applyFont="1" applyFill="1" applyBorder="1" applyAlignment="1">
      <alignment horizontal="center" vertical="top" wrapText="1"/>
    </xf>
    <xf numFmtId="2" fontId="98" fillId="0" borderId="15" xfId="1384" applyNumberFormat="1" applyFont="1" applyFill="1" applyBorder="1" applyAlignment="1">
      <alignment vertical="top"/>
    </xf>
    <xf numFmtId="2" fontId="94" fillId="0" borderId="17" xfId="1389" applyNumberFormat="1" applyFont="1" applyFill="1" applyBorder="1" applyAlignment="1">
      <alignment horizontal="right" vertical="top" wrapText="1"/>
    </xf>
    <xf numFmtId="2" fontId="94" fillId="0" borderId="17" xfId="1389" applyNumberFormat="1" applyFont="1" applyFill="1" applyBorder="1" applyAlignment="1">
      <alignment horizontal="center" vertical="top" wrapText="1"/>
    </xf>
    <xf numFmtId="2" fontId="94" fillId="0" borderId="15" xfId="1384" applyNumberFormat="1" applyFont="1" applyFill="1" applyBorder="1" applyAlignment="1">
      <alignment vertical="top"/>
    </xf>
    <xf numFmtId="49" fontId="94" fillId="0" borderId="16" xfId="969" applyNumberFormat="1" applyFont="1" applyFill="1" applyBorder="1" applyAlignment="1">
      <alignment vertical="top" wrapText="1"/>
    </xf>
    <xf numFmtId="2" fontId="94" fillId="0" borderId="15" xfId="969" applyNumberFormat="1" applyFont="1" applyFill="1" applyBorder="1" applyAlignment="1">
      <alignment horizontal="right" vertical="top" wrapText="1"/>
    </xf>
    <xf numFmtId="2" fontId="100" fillId="0" borderId="0" xfId="969" applyNumberFormat="1" applyFont="1" applyFill="1" applyAlignment="1">
      <alignment horizontal="center" vertical="top" wrapText="1"/>
    </xf>
    <xf numFmtId="49" fontId="94" fillId="0" borderId="0" xfId="1389" applyNumberFormat="1" applyFont="1" applyFill="1" applyAlignment="1">
      <alignment horizontal="center" vertical="top" wrapText="1"/>
    </xf>
    <xf numFmtId="2" fontId="94" fillId="0" borderId="17" xfId="0" applyNumberFormat="1" applyFont="1" applyFill="1" applyBorder="1" applyAlignment="1">
      <alignment vertical="top"/>
    </xf>
    <xf numFmtId="49" fontId="94" fillId="0" borderId="16" xfId="969" applyNumberFormat="1" applyFont="1" applyFill="1" applyBorder="1" applyAlignment="1">
      <alignment vertical="center" wrapText="1"/>
    </xf>
    <xf numFmtId="2" fontId="100" fillId="0" borderId="0" xfId="969" applyNumberFormat="1" applyFont="1" applyFill="1" applyAlignment="1">
      <alignment horizontal="center" vertical="center" wrapText="1"/>
    </xf>
    <xf numFmtId="2" fontId="116" fillId="0" borderId="17" xfId="1682" applyNumberFormat="1" applyFont="1" applyFill="1" applyBorder="1" applyAlignment="1">
      <alignment horizontal="center" vertical="top" wrapText="1"/>
    </xf>
    <xf numFmtId="2" fontId="94" fillId="0" borderId="17" xfId="1389" applyNumberFormat="1" applyFont="1" applyFill="1" applyBorder="1" applyAlignment="1">
      <alignment vertical="top" wrapText="1"/>
    </xf>
    <xf numFmtId="2" fontId="94" fillId="0" borderId="15" xfId="1389" applyNumberFormat="1" applyFont="1" applyFill="1" applyBorder="1" applyAlignment="1">
      <alignment horizontal="center" vertical="top" wrapText="1"/>
    </xf>
    <xf numFmtId="2" fontId="104" fillId="0" borderId="17" xfId="0" applyNumberFormat="1" applyFont="1" applyFill="1" applyBorder="1" applyAlignment="1">
      <alignment horizontal="right" vertical="top"/>
    </xf>
    <xf numFmtId="2" fontId="104" fillId="0" borderId="17" xfId="0" applyNumberFormat="1" applyFont="1" applyFill="1" applyBorder="1" applyAlignment="1">
      <alignment vertical="top" wrapText="1"/>
    </xf>
    <xf numFmtId="2" fontId="94" fillId="0" borderId="19" xfId="1384" applyNumberFormat="1" applyFont="1" applyFill="1" applyBorder="1" applyAlignment="1">
      <alignment vertical="top"/>
    </xf>
    <xf numFmtId="2" fontId="106" fillId="0" borderId="17" xfId="0" applyNumberFormat="1" applyFont="1" applyFill="1" applyBorder="1" applyAlignment="1">
      <alignment horizontal="right" vertical="top"/>
    </xf>
    <xf numFmtId="2" fontId="180" fillId="0" borderId="17" xfId="0" applyNumberFormat="1" applyFont="1" applyFill="1" applyBorder="1" applyAlignment="1">
      <alignment horizontal="right" vertical="top"/>
    </xf>
    <xf numFmtId="2" fontId="101" fillId="0" borderId="19" xfId="1384" applyNumberFormat="1" applyFont="1" applyFill="1" applyBorder="1" applyAlignment="1">
      <alignment horizontal="left" vertical="top"/>
    </xf>
    <xf numFmtId="2" fontId="131" fillId="0" borderId="17" xfId="1389" applyNumberFormat="1" applyFont="1" applyFill="1" applyBorder="1" applyAlignment="1">
      <alignment horizontal="right" vertical="top" wrapText="1"/>
    </xf>
    <xf numFmtId="2" fontId="131" fillId="0" borderId="17" xfId="1389" applyNumberFormat="1" applyFont="1" applyFill="1" applyBorder="1" applyAlignment="1">
      <alignment horizontal="center" vertical="top" wrapText="1"/>
    </xf>
    <xf numFmtId="2" fontId="94" fillId="0" borderId="0" xfId="1389" applyNumberFormat="1" applyFont="1" applyFill="1" applyAlignment="1">
      <alignment horizontal="center" vertical="top" wrapText="1"/>
    </xf>
    <xf numFmtId="2" fontId="131" fillId="0" borderId="19" xfId="1384" applyNumberFormat="1" applyFont="1" applyFill="1" applyBorder="1" applyAlignment="1">
      <alignment horizontal="left" vertical="top"/>
    </xf>
    <xf numFmtId="2" fontId="94" fillId="0" borderId="17" xfId="0" applyNumberFormat="1" applyFont="1" applyFill="1" applyBorder="1" applyAlignment="1">
      <alignment vertical="top" wrapText="1"/>
    </xf>
    <xf numFmtId="2" fontId="116" fillId="0" borderId="17" xfId="1389" applyNumberFormat="1" applyFont="1" applyFill="1" applyBorder="1" applyAlignment="1">
      <alignment horizontal="right" vertical="top" wrapText="1"/>
    </xf>
    <xf numFmtId="0" fontId="104" fillId="0" borderId="17" xfId="0" applyFont="1" applyFill="1" applyBorder="1" applyAlignment="1">
      <alignment horizontal="right" vertical="top"/>
    </xf>
    <xf numFmtId="0" fontId="94" fillId="0" borderId="19" xfId="1384" applyFont="1" applyFill="1" applyBorder="1" applyAlignment="1">
      <alignment horizontal="left" vertical="top"/>
    </xf>
    <xf numFmtId="0" fontId="131" fillId="0" borderId="19" xfId="1384" applyFont="1" applyFill="1" applyBorder="1" applyAlignment="1">
      <alignment horizontal="left" vertical="top"/>
    </xf>
    <xf numFmtId="166" fontId="104" fillId="0" borderId="17" xfId="0" applyNumberFormat="1" applyFont="1" applyFill="1" applyBorder="1" applyAlignment="1">
      <alignment horizontal="right" vertical="top"/>
    </xf>
    <xf numFmtId="166" fontId="94" fillId="0" borderId="17" xfId="1389" applyNumberFormat="1" applyFont="1" applyFill="1" applyBorder="1" applyAlignment="1">
      <alignment horizontal="right" vertical="top" wrapText="1"/>
    </xf>
    <xf numFmtId="166" fontId="94" fillId="0" borderId="17" xfId="1389" applyNumberFormat="1" applyFont="1" applyFill="1" applyBorder="1" applyAlignment="1">
      <alignment horizontal="center" vertical="top" wrapText="1"/>
    </xf>
    <xf numFmtId="2" fontId="104" fillId="0" borderId="17" xfId="0" applyNumberFormat="1" applyFont="1" applyFill="1" applyBorder="1" applyAlignment="1">
      <alignment vertical="top"/>
    </xf>
    <xf numFmtId="2" fontId="99" fillId="0" borderId="19" xfId="1384" applyNumberFormat="1" applyFont="1" applyFill="1" applyBorder="1" applyAlignment="1">
      <alignment horizontal="left" vertical="top"/>
    </xf>
    <xf numFmtId="2" fontId="94" fillId="0" borderId="17" xfId="94" applyNumberFormat="1" applyFont="1" applyFill="1" applyBorder="1" applyAlignment="1">
      <alignment horizontal="right" vertical="top"/>
    </xf>
    <xf numFmtId="2" fontId="94" fillId="0" borderId="15" xfId="94" applyNumberFormat="1" applyFont="1" applyFill="1" applyBorder="1" applyAlignment="1">
      <alignment horizontal="center" vertical="top"/>
    </xf>
    <xf numFmtId="2" fontId="152" fillId="0" borderId="17" xfId="94" applyNumberFormat="1" applyFont="1" applyFill="1" applyBorder="1" applyAlignment="1">
      <alignment horizontal="right" vertical="top"/>
    </xf>
    <xf numFmtId="2" fontId="152" fillId="0" borderId="19" xfId="1384" applyNumberFormat="1" applyFont="1" applyFill="1" applyBorder="1" applyAlignment="1">
      <alignment horizontal="left" vertical="top"/>
    </xf>
    <xf numFmtId="2" fontId="152" fillId="0" borderId="15" xfId="94" applyNumberFormat="1" applyFont="1" applyFill="1" applyBorder="1" applyAlignment="1">
      <alignment horizontal="center" vertical="top"/>
    </xf>
    <xf numFmtId="2" fontId="94" fillId="0" borderId="15" xfId="1384" applyNumberFormat="1" applyFont="1" applyFill="1" applyBorder="1" applyAlignment="1">
      <alignment horizontal="center" vertical="top" wrapText="1"/>
    </xf>
    <xf numFmtId="2" fontId="94" fillId="0" borderId="15" xfId="1384" applyNumberFormat="1" applyFont="1" applyFill="1" applyBorder="1" applyAlignment="1">
      <alignment horizontal="right" vertical="top" wrapText="1"/>
    </xf>
    <xf numFmtId="2" fontId="94" fillId="0" borderId="15" xfId="94" applyNumberFormat="1" applyFont="1" applyFill="1" applyBorder="1" applyAlignment="1">
      <alignment vertical="top"/>
    </xf>
    <xf numFmtId="2" fontId="152" fillId="0" borderId="15" xfId="94" applyNumberFormat="1" applyFont="1" applyFill="1" applyBorder="1" applyAlignment="1">
      <alignment vertical="top"/>
    </xf>
    <xf numFmtId="2" fontId="188" fillId="0" borderId="17" xfId="94" applyNumberFormat="1" applyFont="1" applyFill="1" applyBorder="1" applyAlignment="1">
      <alignment horizontal="right" vertical="top"/>
    </xf>
    <xf numFmtId="2" fontId="188" fillId="0" borderId="19" xfId="1384" applyNumberFormat="1" applyFont="1" applyFill="1" applyBorder="1" applyAlignment="1">
      <alignment horizontal="left" vertical="top"/>
    </xf>
    <xf numFmtId="2" fontId="188" fillId="0" borderId="15" xfId="94" applyNumberFormat="1" applyFont="1" applyFill="1" applyBorder="1" applyAlignment="1">
      <alignment horizontal="center" vertical="top"/>
    </xf>
    <xf numFmtId="49" fontId="94" fillId="0" borderId="15" xfId="969" applyNumberFormat="1" applyFont="1" applyFill="1" applyBorder="1" applyAlignment="1">
      <alignment horizontal="center" vertical="top" wrapText="1"/>
    </xf>
    <xf numFmtId="0" fontId="101" fillId="0" borderId="15" xfId="96" applyFont="1" applyFill="1" applyBorder="1" applyAlignment="1">
      <alignment horizontal="justify" vertical="top" wrapText="1"/>
    </xf>
    <xf numFmtId="2" fontId="98" fillId="0" borderId="17" xfId="95" applyNumberFormat="1" applyFont="1" applyFill="1" applyBorder="1" applyAlignment="1">
      <alignment vertical="top"/>
    </xf>
    <xf numFmtId="2" fontId="98" fillId="0" borderId="19" xfId="95" applyNumberFormat="1" applyFont="1" applyFill="1" applyBorder="1" applyAlignment="1">
      <alignment horizontal="left" vertical="top"/>
    </xf>
    <xf numFmtId="2" fontId="98" fillId="0" borderId="15" xfId="95" applyNumberFormat="1" applyFont="1" applyFill="1" applyBorder="1" applyAlignment="1">
      <alignment horizontal="center" vertical="top"/>
    </xf>
    <xf numFmtId="2" fontId="98" fillId="0" borderId="15" xfId="95" applyNumberFormat="1" applyFont="1" applyFill="1" applyBorder="1" applyAlignment="1">
      <alignment vertical="top"/>
    </xf>
    <xf numFmtId="2" fontId="131" fillId="0" borderId="17" xfId="969" applyNumberFormat="1" applyFont="1" applyFill="1" applyBorder="1" applyAlignment="1">
      <alignment horizontal="right" vertical="top" wrapText="1"/>
    </xf>
    <xf numFmtId="2" fontId="131" fillId="0" borderId="19" xfId="95" applyNumberFormat="1" applyFont="1" applyFill="1" applyBorder="1" applyAlignment="1">
      <alignment horizontal="left" vertical="top"/>
    </xf>
    <xf numFmtId="2" fontId="131" fillId="0" borderId="17" xfId="969" applyNumberFormat="1" applyFont="1" applyFill="1" applyBorder="1" applyAlignment="1">
      <alignment horizontal="center" vertical="top" wrapText="1"/>
    </xf>
    <xf numFmtId="2" fontId="94" fillId="0" borderId="15" xfId="95" applyNumberFormat="1" applyFont="1" applyFill="1" applyBorder="1" applyAlignment="1">
      <alignment vertical="top"/>
    </xf>
    <xf numFmtId="2" fontId="94" fillId="0" borderId="15" xfId="95" applyNumberFormat="1" applyFont="1" applyFill="1" applyBorder="1" applyAlignment="1">
      <alignment horizontal="right" vertical="top" wrapText="1"/>
    </xf>
    <xf numFmtId="2" fontId="94" fillId="0" borderId="17" xfId="1384" applyNumberFormat="1" applyFont="1" applyFill="1" applyBorder="1" applyAlignment="1">
      <alignment vertical="top"/>
    </xf>
    <xf numFmtId="2" fontId="94" fillId="0" borderId="15" xfId="1384" applyNumberFormat="1" applyFont="1" applyFill="1" applyBorder="1" applyAlignment="1">
      <alignment horizontal="center" vertical="top"/>
    </xf>
    <xf numFmtId="1" fontId="94" fillId="0" borderId="17" xfId="0" applyNumberFormat="1" applyFont="1" applyFill="1" applyBorder="1" applyAlignment="1">
      <alignment vertical="top"/>
    </xf>
    <xf numFmtId="2" fontId="152" fillId="0" borderId="15" xfId="0" applyNumberFormat="1" applyFont="1" applyFill="1" applyBorder="1" applyAlignment="1">
      <alignment horizontal="center" vertical="top"/>
    </xf>
    <xf numFmtId="2" fontId="152" fillId="0" borderId="17" xfId="0" applyNumberFormat="1" applyFont="1" applyFill="1" applyBorder="1" applyAlignment="1">
      <alignment horizontal="right" vertical="top"/>
    </xf>
    <xf numFmtId="0" fontId="94" fillId="0" borderId="15" xfId="95" applyFont="1" applyFill="1" applyBorder="1" applyAlignment="1">
      <alignment vertical="top" wrapText="1"/>
    </xf>
    <xf numFmtId="1" fontId="98" fillId="0" borderId="17" xfId="0" applyNumberFormat="1" applyFont="1" applyFill="1" applyBorder="1" applyAlignment="1">
      <alignment vertical="top"/>
    </xf>
    <xf numFmtId="2" fontId="98" fillId="0" borderId="19" xfId="1384" applyNumberFormat="1" applyFont="1" applyFill="1" applyBorder="1" applyAlignment="1">
      <alignment horizontal="left" vertical="top"/>
    </xf>
    <xf numFmtId="2" fontId="94" fillId="0" borderId="17" xfId="969" applyNumberFormat="1" applyFont="1" applyFill="1" applyBorder="1" applyAlignment="1">
      <alignment horizontal="right" vertical="top" wrapText="1"/>
    </xf>
    <xf numFmtId="2" fontId="94" fillId="0" borderId="19" xfId="95" applyNumberFormat="1" applyFont="1" applyFill="1" applyBorder="1" applyAlignment="1">
      <alignment horizontal="left" vertical="top"/>
    </xf>
    <xf numFmtId="2" fontId="94" fillId="0" borderId="17" xfId="969" applyNumberFormat="1" applyFont="1" applyFill="1" applyBorder="1" applyAlignment="1">
      <alignment horizontal="center" vertical="top" wrapText="1"/>
    </xf>
    <xf numFmtId="2" fontId="98" fillId="0" borderId="19" xfId="0" applyNumberFormat="1" applyFont="1" applyFill="1" applyBorder="1" applyAlignment="1">
      <alignment horizontal="center" vertical="top"/>
    </xf>
    <xf numFmtId="0" fontId="94" fillId="0" borderId="15" xfId="96" applyFont="1" applyFill="1" applyBorder="1" applyAlignment="1">
      <alignment horizontal="justify" vertical="top" wrapText="1"/>
    </xf>
    <xf numFmtId="2" fontId="98" fillId="0" borderId="17" xfId="95" applyNumberFormat="1" applyFont="1" applyFill="1" applyBorder="1" applyAlignment="1">
      <alignment vertical="top" wrapText="1"/>
    </xf>
    <xf numFmtId="2" fontId="98" fillId="0" borderId="19" xfId="969" applyNumberFormat="1" applyFont="1" applyFill="1" applyBorder="1" applyAlignment="1">
      <alignment vertical="top" wrapText="1"/>
    </xf>
    <xf numFmtId="2" fontId="98" fillId="0" borderId="19" xfId="95" applyNumberFormat="1" applyFont="1" applyFill="1" applyBorder="1" applyAlignment="1">
      <alignment horizontal="center" vertical="top" wrapText="1"/>
    </xf>
    <xf numFmtId="2" fontId="94" fillId="0" borderId="19" xfId="969" applyNumberFormat="1" applyFont="1" applyFill="1" applyBorder="1" applyAlignment="1">
      <alignment vertical="top" wrapText="1"/>
    </xf>
    <xf numFmtId="2" fontId="94" fillId="0" borderId="15" xfId="969" applyNumberFormat="1" applyFont="1" applyFill="1" applyBorder="1" applyAlignment="1">
      <alignment horizontal="center" vertical="top" wrapText="1"/>
    </xf>
    <xf numFmtId="2" fontId="94" fillId="0" borderId="17" xfId="95" applyNumberFormat="1" applyFont="1" applyFill="1" applyBorder="1" applyAlignment="1">
      <alignment vertical="top" wrapText="1"/>
    </xf>
    <xf numFmtId="2" fontId="94" fillId="0" borderId="19" xfId="95" applyNumberFormat="1" applyFont="1" applyFill="1" applyBorder="1" applyAlignment="1">
      <alignment horizontal="center" vertical="top" wrapText="1"/>
    </xf>
    <xf numFmtId="2" fontId="94" fillId="0" borderId="17" xfId="969" applyNumberFormat="1" applyFont="1" applyFill="1" applyBorder="1" applyAlignment="1">
      <alignment vertical="top" wrapText="1"/>
    </xf>
    <xf numFmtId="2" fontId="94" fillId="0" borderId="15" xfId="1389" applyNumberFormat="1" applyFont="1" applyFill="1" applyBorder="1" applyAlignment="1">
      <alignment horizontal="right" vertical="top" wrapText="1"/>
    </xf>
    <xf numFmtId="0" fontId="101" fillId="0" borderId="17" xfId="96" applyFont="1" applyFill="1" applyBorder="1" applyAlignment="1">
      <alignment horizontal="center" vertical="top" wrapText="1"/>
    </xf>
    <xf numFmtId="2" fontId="116" fillId="0" borderId="15" xfId="1389" applyNumberFormat="1" applyFont="1" applyFill="1" applyBorder="1" applyAlignment="1">
      <alignment horizontal="right" vertical="top" wrapText="1"/>
    </xf>
    <xf numFmtId="2" fontId="94" fillId="0" borderId="16" xfId="1384" applyNumberFormat="1" applyFont="1" applyFill="1" applyBorder="1" applyAlignment="1">
      <alignment horizontal="center" vertical="top" wrapText="1"/>
    </xf>
    <xf numFmtId="2" fontId="94" fillId="0" borderId="16" xfId="1384" applyNumberFormat="1" applyFont="1" applyFill="1" applyBorder="1" applyAlignment="1">
      <alignment horizontal="right" vertical="top" wrapText="1"/>
    </xf>
    <xf numFmtId="49" fontId="94" fillId="0" borderId="16" xfId="969" applyNumberFormat="1" applyFont="1" applyFill="1" applyBorder="1" applyAlignment="1">
      <alignment horizontal="center" vertical="top" wrapText="1"/>
    </xf>
    <xf numFmtId="2" fontId="94" fillId="0" borderId="17" xfId="94" applyNumberFormat="1" applyFont="1" applyFill="1" applyBorder="1" applyAlignment="1">
      <alignment vertical="top"/>
    </xf>
    <xf numFmtId="2" fontId="98" fillId="0" borderId="15" xfId="1389" applyNumberFormat="1" applyFont="1" applyFill="1" applyBorder="1" applyAlignment="1">
      <alignment horizontal="right" vertical="top" wrapText="1"/>
    </xf>
    <xf numFmtId="2" fontId="94" fillId="0" borderId="0" xfId="969" applyNumberFormat="1" applyFont="1" applyFill="1" applyAlignment="1">
      <alignment horizontal="right" vertical="top" wrapText="1"/>
    </xf>
    <xf numFmtId="49" fontId="94" fillId="0" borderId="15" xfId="969" applyNumberFormat="1" applyFont="1" applyFill="1" applyBorder="1" applyAlignment="1">
      <alignment horizontal="justify" vertical="top" wrapText="1"/>
    </xf>
    <xf numFmtId="2" fontId="101" fillId="0" borderId="15" xfId="969" applyNumberFormat="1" applyFont="1" applyFill="1" applyBorder="1" applyAlignment="1">
      <alignment horizontal="right" vertical="top" wrapText="1"/>
    </xf>
    <xf numFmtId="49" fontId="94" fillId="0" borderId="19" xfId="969" applyNumberFormat="1" applyFont="1" applyFill="1" applyBorder="1" applyAlignment="1">
      <alignment vertical="top" wrapText="1"/>
    </xf>
    <xf numFmtId="49" fontId="101" fillId="0" borderId="15" xfId="969" applyNumberFormat="1" applyFont="1" applyFill="1" applyBorder="1" applyAlignment="1">
      <alignment horizontal="center" vertical="top" wrapText="1"/>
    </xf>
    <xf numFmtId="49" fontId="94" fillId="0" borderId="0" xfId="969" applyNumberFormat="1" applyFont="1" applyFill="1" applyAlignment="1">
      <alignment horizontal="justify" vertical="top" wrapText="1"/>
    </xf>
    <xf numFmtId="2" fontId="94" fillId="0" borderId="0" xfId="969" applyNumberFormat="1" applyFont="1" applyFill="1" applyAlignment="1">
      <alignment vertical="top" wrapText="1"/>
    </xf>
    <xf numFmtId="49" fontId="94" fillId="0" borderId="0" xfId="969" applyNumberFormat="1" applyFont="1" applyFill="1" applyAlignment="1">
      <alignment vertical="top" wrapText="1"/>
    </xf>
    <xf numFmtId="49" fontId="94" fillId="0" borderId="0" xfId="969" applyNumberFormat="1" applyFont="1" applyFill="1" applyAlignment="1">
      <alignment horizontal="right" vertical="top" wrapText="1"/>
    </xf>
    <xf numFmtId="2" fontId="102" fillId="0" borderId="0" xfId="0" applyNumberFormat="1" applyFont="1" applyFill="1" applyAlignment="1">
      <alignment horizontal="center" vertical="top"/>
    </xf>
    <xf numFmtId="49" fontId="101" fillId="0" borderId="0" xfId="969" applyNumberFormat="1" applyFont="1" applyFill="1" applyAlignment="1">
      <alignment horizontal="center" vertical="top" wrapText="1"/>
    </xf>
    <xf numFmtId="2" fontId="94" fillId="0" borderId="0" xfId="969" applyNumberFormat="1" applyFont="1" applyFill="1" applyAlignment="1">
      <alignment horizontal="center" vertical="top" wrapText="1"/>
    </xf>
    <xf numFmtId="0" fontId="3" fillId="0" borderId="15" xfId="1426" applyFont="1" applyBorder="1" applyAlignment="1">
      <alignment horizontal="center" vertical="top" wrapText="1"/>
    </xf>
    <xf numFmtId="2" fontId="3" fillId="0" borderId="0" xfId="1426" applyNumberFormat="1" applyFont="1" applyAlignment="1">
      <alignment horizontal="center"/>
    </xf>
    <xf numFmtId="0" fontId="105" fillId="0" borderId="8" xfId="1384" applyFont="1" applyFill="1" applyBorder="1" applyAlignment="1">
      <alignment horizontal="center" vertical="top" wrapText="1"/>
    </xf>
    <xf numFmtId="169" fontId="105" fillId="0" borderId="8" xfId="1384" applyNumberFormat="1" applyFont="1" applyFill="1" applyBorder="1" applyAlignment="1">
      <alignment horizontal="center" vertical="top" wrapText="1"/>
    </xf>
    <xf numFmtId="171" fontId="105" fillId="0" borderId="8" xfId="1384" applyNumberFormat="1" applyFont="1" applyFill="1" applyBorder="1" applyAlignment="1">
      <alignment horizontal="center" vertical="top" wrapText="1"/>
    </xf>
    <xf numFmtId="0" fontId="94" fillId="0" borderId="0" xfId="0" applyFont="1" applyFill="1" applyAlignment="1">
      <alignment vertical="top" wrapText="1"/>
    </xf>
    <xf numFmtId="0" fontId="95" fillId="0" borderId="22" xfId="0" applyFont="1" applyFill="1" applyBorder="1" applyAlignment="1">
      <alignment vertical="top" wrapText="1"/>
    </xf>
    <xf numFmtId="0" fontId="94" fillId="0" borderId="0" xfId="0" applyFont="1" applyFill="1" applyAlignment="1">
      <alignment horizontal="center" vertical="top" wrapText="1"/>
    </xf>
    <xf numFmtId="0" fontId="95" fillId="0" borderId="0" xfId="0" applyFont="1" applyFill="1" applyAlignment="1">
      <alignment vertical="center" wrapText="1"/>
    </xf>
    <xf numFmtId="166" fontId="95" fillId="0" borderId="15" xfId="0" applyNumberFormat="1" applyFont="1" applyFill="1" applyBorder="1" applyAlignment="1">
      <alignment horizontal="center" vertical="center" wrapText="1"/>
    </xf>
    <xf numFmtId="0" fontId="95" fillId="0" borderId="17" xfId="0" applyFont="1" applyFill="1" applyBorder="1" applyAlignment="1">
      <alignment vertical="center" wrapText="1"/>
    </xf>
    <xf numFmtId="0" fontId="95" fillId="0" borderId="19" xfId="0" applyFont="1" applyFill="1" applyBorder="1" applyAlignment="1">
      <alignment vertical="center" wrapText="1"/>
    </xf>
    <xf numFmtId="0" fontId="103" fillId="0" borderId="15" xfId="0" applyFont="1" applyFill="1" applyBorder="1" applyAlignment="1">
      <alignment horizontal="center" vertical="top" wrapText="1"/>
    </xf>
    <xf numFmtId="0" fontId="94" fillId="0" borderId="17" xfId="0" applyFont="1" applyFill="1" applyBorder="1" applyAlignment="1">
      <alignment vertical="top" wrapText="1"/>
    </xf>
    <xf numFmtId="0" fontId="94" fillId="0" borderId="19" xfId="0" applyFont="1" applyFill="1" applyBorder="1" applyAlignment="1">
      <alignment vertical="top" wrapText="1"/>
    </xf>
    <xf numFmtId="0" fontId="94" fillId="0" borderId="18" xfId="0" applyFont="1" applyFill="1" applyBorder="1" applyAlignment="1">
      <alignment horizontal="center" vertical="top"/>
    </xf>
    <xf numFmtId="0" fontId="94" fillId="0" borderId="17" xfId="0" applyFont="1" applyFill="1" applyBorder="1" applyAlignment="1">
      <alignment horizontal="center" vertical="top"/>
    </xf>
    <xf numFmtId="0" fontId="94" fillId="0" borderId="19" xfId="0" applyFont="1" applyFill="1" applyBorder="1" applyAlignment="1">
      <alignment horizontal="center" vertical="top"/>
    </xf>
    <xf numFmtId="2" fontId="99" fillId="0" borderId="17" xfId="0" applyNumberFormat="1" applyFont="1" applyFill="1" applyBorder="1" applyAlignment="1">
      <alignment horizontal="right" vertical="top"/>
    </xf>
    <xf numFmtId="2" fontId="99" fillId="0" borderId="19" xfId="0" applyNumberFormat="1" applyFont="1" applyFill="1" applyBorder="1" applyAlignment="1">
      <alignment horizontal="left" vertical="top"/>
    </xf>
    <xf numFmtId="1" fontId="94" fillId="0" borderId="19" xfId="1415" applyNumberFormat="1" applyFont="1" applyFill="1" applyBorder="1" applyAlignment="1">
      <alignment horizontal="left" vertical="top" wrapText="1"/>
    </xf>
    <xf numFmtId="0" fontId="94" fillId="0" borderId="17" xfId="0" applyFont="1" applyFill="1" applyBorder="1" applyAlignment="1">
      <alignment horizontal="right"/>
    </xf>
    <xf numFmtId="0" fontId="94" fillId="0" borderId="19" xfId="0" applyFont="1" applyFill="1" applyBorder="1" applyAlignment="1">
      <alignment horizontal="left"/>
    </xf>
    <xf numFmtId="166" fontId="94" fillId="0" borderId="15" xfId="0" applyNumberFormat="1" applyFont="1" applyFill="1" applyBorder="1" applyAlignment="1">
      <alignment horizontal="center"/>
    </xf>
    <xf numFmtId="0" fontId="94" fillId="0" borderId="17" xfId="0" applyFont="1" applyFill="1" applyBorder="1" applyAlignment="1">
      <alignment horizontal="center"/>
    </xf>
    <xf numFmtId="0" fontId="94" fillId="0" borderId="19" xfId="0" applyFont="1" applyFill="1" applyBorder="1" applyAlignment="1">
      <alignment horizontal="center"/>
    </xf>
    <xf numFmtId="0" fontId="94" fillId="0" borderId="15" xfId="1384" applyFont="1" applyFill="1" applyBorder="1" applyAlignment="1">
      <alignment vertical="top" wrapText="1"/>
    </xf>
    <xf numFmtId="0" fontId="94" fillId="0" borderId="17" xfId="1384" applyFont="1" applyFill="1" applyBorder="1" applyAlignment="1">
      <alignment horizontal="right" vertical="top"/>
    </xf>
    <xf numFmtId="0" fontId="94" fillId="0" borderId="18" xfId="1384" applyFont="1" applyFill="1" applyBorder="1" applyAlignment="1">
      <alignment horizontal="center" vertical="top"/>
    </xf>
    <xf numFmtId="166" fontId="94" fillId="0" borderId="15" xfId="1384" applyNumberFormat="1" applyFont="1" applyFill="1" applyBorder="1" applyAlignment="1">
      <alignment horizontal="center" vertical="top"/>
    </xf>
    <xf numFmtId="2" fontId="99" fillId="0" borderId="17" xfId="1384" applyNumberFormat="1" applyFont="1" applyFill="1" applyBorder="1" applyAlignment="1">
      <alignment horizontal="right" vertical="top"/>
    </xf>
    <xf numFmtId="0" fontId="94" fillId="0" borderId="18" xfId="0" applyFont="1" applyFill="1" applyBorder="1" applyAlignment="1">
      <alignment horizontal="center"/>
    </xf>
    <xf numFmtId="0" fontId="101" fillId="0" borderId="18" xfId="0" applyFont="1" applyFill="1" applyBorder="1" applyAlignment="1">
      <alignment horizontal="center" vertical="top"/>
    </xf>
    <xf numFmtId="0" fontId="94" fillId="0" borderId="15" xfId="1416" applyFont="1" applyFill="1" applyBorder="1" applyAlignment="1">
      <alignment vertical="top" wrapText="1"/>
    </xf>
    <xf numFmtId="0" fontId="94" fillId="0" borderId="17" xfId="1416" applyFont="1" applyFill="1" applyBorder="1" applyAlignment="1">
      <alignment horizontal="right" vertical="top"/>
    </xf>
    <xf numFmtId="0" fontId="94" fillId="0" borderId="19" xfId="1416" applyFont="1" applyFill="1" applyBorder="1" applyAlignment="1">
      <alignment horizontal="left" vertical="top"/>
    </xf>
    <xf numFmtId="2" fontId="94" fillId="0" borderId="15" xfId="1416" applyNumberFormat="1" applyFont="1" applyFill="1" applyBorder="1" applyAlignment="1">
      <alignment horizontal="center" vertical="top"/>
    </xf>
    <xf numFmtId="166" fontId="94" fillId="0" borderId="15" xfId="1416" applyNumberFormat="1" applyFont="1" applyFill="1" applyBorder="1" applyAlignment="1">
      <alignment horizontal="center" vertical="top"/>
    </xf>
    <xf numFmtId="2" fontId="99" fillId="0" borderId="15" xfId="0" applyNumberFormat="1" applyFont="1" applyFill="1" applyBorder="1" applyAlignment="1">
      <alignment horizontal="right" vertical="top"/>
    </xf>
    <xf numFmtId="0" fontId="101" fillId="0" borderId="18" xfId="0" applyFont="1" applyFill="1" applyBorder="1" applyAlignment="1">
      <alignment horizontal="center"/>
    </xf>
    <xf numFmtId="167" fontId="94" fillId="0" borderId="19" xfId="1415" applyNumberFormat="1" applyFont="1" applyFill="1" applyBorder="1" applyAlignment="1">
      <alignment horizontal="left" vertical="top" wrapText="1"/>
    </xf>
    <xf numFmtId="2" fontId="94" fillId="0" borderId="15" xfId="1273" applyNumberFormat="1" applyFont="1" applyFill="1" applyBorder="1" applyAlignment="1">
      <alignment horizontal="center" vertical="top" wrapText="1"/>
    </xf>
    <xf numFmtId="2" fontId="94" fillId="0" borderId="15" xfId="1415" applyNumberFormat="1" applyFont="1" applyFill="1" applyBorder="1" applyAlignment="1">
      <alignment horizontal="center" vertical="top" wrapText="1"/>
    </xf>
    <xf numFmtId="1" fontId="94" fillId="0" borderId="17" xfId="0" applyNumberFormat="1" applyFont="1" applyFill="1" applyBorder="1" applyAlignment="1">
      <alignment horizontal="right" vertical="top"/>
    </xf>
    <xf numFmtId="0" fontId="116" fillId="0" borderId="15" xfId="1393" applyFont="1" applyFill="1" applyBorder="1" applyAlignment="1">
      <alignment horizontal="center" vertical="top"/>
    </xf>
    <xf numFmtId="0" fontId="116" fillId="0" borderId="0" xfId="1393" applyFont="1" applyFill="1" applyAlignment="1">
      <alignment horizontal="center" vertical="top"/>
    </xf>
    <xf numFmtId="0" fontId="116" fillId="0" borderId="17" xfId="1417" applyFont="1" applyFill="1" applyBorder="1" applyAlignment="1">
      <alignment vertical="top"/>
    </xf>
    <xf numFmtId="0" fontId="116" fillId="0" borderId="0" xfId="1417" applyFont="1" applyFill="1" applyAlignment="1">
      <alignment horizontal="center" vertical="top"/>
    </xf>
    <xf numFmtId="0" fontId="116" fillId="0" borderId="15" xfId="1393" applyFont="1" applyFill="1" applyBorder="1" applyAlignment="1">
      <alignment vertical="top"/>
    </xf>
    <xf numFmtId="0" fontId="94" fillId="0" borderId="15" xfId="1885" applyFont="1" applyFill="1" applyBorder="1" applyAlignment="1">
      <alignment vertical="top" wrapText="1"/>
    </xf>
    <xf numFmtId="1" fontId="94" fillId="0" borderId="17" xfId="1885" applyNumberFormat="1" applyFont="1" applyFill="1" applyBorder="1" applyAlignment="1">
      <alignment horizontal="right" vertical="top" wrapText="1"/>
    </xf>
    <xf numFmtId="1" fontId="94" fillId="0" borderId="18" xfId="1885" applyNumberFormat="1" applyFont="1" applyFill="1" applyBorder="1" applyAlignment="1">
      <alignment horizontal="center" vertical="top" wrapText="1"/>
    </xf>
    <xf numFmtId="1" fontId="94" fillId="0" borderId="19" xfId="1885" applyNumberFormat="1" applyFont="1" applyFill="1" applyBorder="1" applyAlignment="1">
      <alignment horizontal="left" vertical="top" wrapText="1"/>
    </xf>
    <xf numFmtId="166" fontId="94" fillId="0" borderId="15" xfId="1885" applyNumberFormat="1" applyFont="1" applyFill="1" applyBorder="1" applyAlignment="1">
      <alignment horizontal="center" vertical="top" wrapText="1"/>
    </xf>
    <xf numFmtId="1" fontId="98" fillId="0" borderId="17" xfId="0" applyNumberFormat="1" applyFont="1" applyFill="1" applyBorder="1" applyAlignment="1">
      <alignment horizontal="right" vertical="top"/>
    </xf>
    <xf numFmtId="1" fontId="94" fillId="0" borderId="0" xfId="1415" applyNumberFormat="1" applyFont="1" applyFill="1" applyAlignment="1">
      <alignment horizontal="left" vertical="top" wrapText="1"/>
    </xf>
    <xf numFmtId="2" fontId="94" fillId="0" borderId="15" xfId="1885" applyNumberFormat="1" applyFont="1" applyFill="1" applyBorder="1" applyAlignment="1">
      <alignment horizontal="center" vertical="top" wrapText="1"/>
    </xf>
    <xf numFmtId="1" fontId="94" fillId="0" borderId="15" xfId="1273" applyNumberFormat="1" applyFont="1" applyFill="1" applyBorder="1" applyAlignment="1">
      <alignment horizontal="center" vertical="top" wrapText="1"/>
    </xf>
    <xf numFmtId="1" fontId="94" fillId="0" borderId="15" xfId="1415" applyNumberFormat="1" applyFont="1" applyFill="1" applyBorder="1" applyAlignment="1">
      <alignment horizontal="center" vertical="top" wrapText="1"/>
    </xf>
    <xf numFmtId="0" fontId="94" fillId="0" borderId="15" xfId="1384" applyFont="1" applyFill="1" applyBorder="1" applyAlignment="1">
      <alignment horizontal="center" vertical="top"/>
    </xf>
    <xf numFmtId="0" fontId="94" fillId="0" borderId="17" xfId="1384" applyFont="1" applyFill="1" applyBorder="1" applyAlignment="1">
      <alignment vertical="top"/>
    </xf>
    <xf numFmtId="0" fontId="94" fillId="0" borderId="15" xfId="1384" applyFont="1" applyFill="1" applyBorder="1" applyAlignment="1">
      <alignment vertical="top"/>
    </xf>
    <xf numFmtId="0" fontId="100" fillId="0" borderId="0" xfId="1384" applyFont="1" applyFill="1" applyAlignment="1">
      <alignment vertical="top"/>
    </xf>
    <xf numFmtId="0" fontId="94" fillId="0" borderId="17" xfId="1384" applyFont="1" applyFill="1" applyBorder="1" applyAlignment="1">
      <alignment horizontal="right" vertical="top" wrapText="1"/>
    </xf>
    <xf numFmtId="1" fontId="94" fillId="0" borderId="17" xfId="1384" applyNumberFormat="1" applyFont="1" applyFill="1" applyBorder="1" applyAlignment="1">
      <alignment horizontal="right" vertical="top"/>
    </xf>
    <xf numFmtId="0" fontId="94" fillId="0" borderId="17" xfId="1384" applyFont="1" applyFill="1" applyBorder="1" applyAlignment="1">
      <alignment horizontal="justify" vertical="top"/>
    </xf>
    <xf numFmtId="0" fontId="94" fillId="0" borderId="18" xfId="1384" applyFont="1" applyFill="1" applyBorder="1" applyAlignment="1">
      <alignment horizontal="justify" vertical="top"/>
    </xf>
    <xf numFmtId="166" fontId="94" fillId="0" borderId="15" xfId="1384" applyNumberFormat="1" applyFont="1" applyFill="1" applyBorder="1" applyAlignment="1">
      <alignment horizontal="justify" vertical="top"/>
    </xf>
    <xf numFmtId="2" fontId="94" fillId="0" borderId="15" xfId="1384" applyNumberFormat="1" applyFont="1" applyFill="1" applyBorder="1" applyAlignment="1">
      <alignment horizontal="justify" vertical="top"/>
    </xf>
    <xf numFmtId="1" fontId="94" fillId="0" borderId="17" xfId="1384" applyNumberFormat="1" applyFont="1" applyFill="1" applyBorder="1" applyAlignment="1">
      <alignment vertical="top"/>
    </xf>
    <xf numFmtId="2" fontId="94" fillId="0" borderId="15" xfId="1384" applyNumberFormat="1" applyFont="1" applyFill="1" applyBorder="1" applyAlignment="1">
      <alignment horizontal="right" vertical="top"/>
    </xf>
    <xf numFmtId="167" fontId="94" fillId="0" borderId="15" xfId="1384" applyNumberFormat="1" applyFont="1" applyFill="1" applyBorder="1" applyAlignment="1">
      <alignment horizontal="center" vertical="top"/>
    </xf>
    <xf numFmtId="2" fontId="94" fillId="0" borderId="17" xfId="1384" applyNumberFormat="1" applyFont="1" applyFill="1" applyBorder="1" applyAlignment="1">
      <alignment horizontal="right" vertical="top"/>
    </xf>
    <xf numFmtId="0" fontId="94" fillId="0" borderId="17" xfId="1580" applyFont="1" applyFill="1" applyBorder="1" applyAlignment="1">
      <alignment horizontal="right" vertical="center"/>
    </xf>
    <xf numFmtId="0" fontId="94" fillId="0" borderId="19" xfId="1580" applyFont="1" applyFill="1" applyBorder="1" applyAlignment="1">
      <alignment horizontal="left" vertical="center"/>
    </xf>
    <xf numFmtId="166" fontId="94" fillId="0" borderId="15" xfId="1580" applyNumberFormat="1" applyFont="1" applyFill="1" applyBorder="1" applyAlignment="1">
      <alignment horizontal="center" vertical="center"/>
    </xf>
    <xf numFmtId="0" fontId="94" fillId="0" borderId="21" xfId="1736" applyFont="1" applyFill="1" applyBorder="1" applyAlignment="1">
      <alignment horizontal="left" vertical="justify" wrapText="1"/>
    </xf>
    <xf numFmtId="0" fontId="94" fillId="0" borderId="17" xfId="1938" applyFont="1" applyFill="1" applyBorder="1" applyAlignment="1">
      <alignment horizontal="right"/>
    </xf>
    <xf numFmtId="0" fontId="94" fillId="0" borderId="18" xfId="1938" applyFont="1" applyFill="1" applyBorder="1" applyAlignment="1">
      <alignment horizontal="center"/>
    </xf>
    <xf numFmtId="0" fontId="94" fillId="0" borderId="19" xfId="1938" applyFont="1" applyFill="1" applyBorder="1" applyAlignment="1">
      <alignment horizontal="left"/>
    </xf>
    <xf numFmtId="2" fontId="94" fillId="0" borderId="15" xfId="1938" applyNumberFormat="1" applyFont="1" applyFill="1" applyBorder="1" applyAlignment="1">
      <alignment horizontal="center"/>
    </xf>
    <xf numFmtId="0" fontId="94" fillId="0" borderId="21" xfId="1418" applyFont="1" applyFill="1" applyBorder="1" applyAlignment="1">
      <alignment horizontal="left" vertical="justify" wrapText="1"/>
    </xf>
    <xf numFmtId="0" fontId="94" fillId="0" borderId="17" xfId="138" applyFont="1" applyFill="1" applyBorder="1" applyAlignment="1">
      <alignment horizontal="right"/>
    </xf>
    <xf numFmtId="0" fontId="94" fillId="0" borderId="18" xfId="138" applyFont="1" applyFill="1" applyBorder="1" applyAlignment="1">
      <alignment horizontal="center"/>
    </xf>
    <xf numFmtId="0" fontId="94" fillId="0" borderId="19" xfId="138" applyFont="1" applyFill="1" applyBorder="1" applyAlignment="1">
      <alignment horizontal="left"/>
    </xf>
    <xf numFmtId="2" fontId="94" fillId="0" borderId="15" xfId="138" applyNumberFormat="1" applyFont="1" applyFill="1" applyBorder="1" applyAlignment="1">
      <alignment horizontal="center"/>
    </xf>
    <xf numFmtId="0" fontId="94" fillId="0" borderId="17" xfId="1416" applyFont="1" applyFill="1" applyBorder="1" applyAlignment="1">
      <alignment horizontal="right"/>
    </xf>
    <xf numFmtId="0" fontId="94" fillId="0" borderId="18" xfId="1416" applyFont="1" applyFill="1" applyBorder="1" applyAlignment="1">
      <alignment horizontal="center"/>
    </xf>
    <xf numFmtId="0" fontId="94" fillId="0" borderId="19" xfId="1416" applyFont="1" applyFill="1" applyBorder="1" applyAlignment="1">
      <alignment horizontal="left"/>
    </xf>
    <xf numFmtId="2" fontId="94" fillId="0" borderId="15" xfId="1416" applyNumberFormat="1" applyFont="1" applyFill="1" applyBorder="1" applyAlignment="1">
      <alignment horizontal="center"/>
    </xf>
    <xf numFmtId="0" fontId="94" fillId="0" borderId="17" xfId="1384" applyFont="1" applyFill="1" applyBorder="1" applyAlignment="1">
      <alignment horizontal="right" vertical="center"/>
    </xf>
    <xf numFmtId="0" fontId="94" fillId="0" borderId="18" xfId="1384" applyFont="1" applyFill="1" applyBorder="1" applyAlignment="1">
      <alignment horizontal="center" vertical="center"/>
    </xf>
    <xf numFmtId="0" fontId="94" fillId="0" borderId="19" xfId="1384" applyFont="1" applyFill="1" applyBorder="1" applyAlignment="1">
      <alignment horizontal="left" vertical="center"/>
    </xf>
    <xf numFmtId="166" fontId="94" fillId="0" borderId="15" xfId="1384" applyNumberFormat="1" applyFont="1" applyFill="1" applyBorder="1" applyAlignment="1">
      <alignment horizontal="center" vertical="center"/>
    </xf>
    <xf numFmtId="2" fontId="94" fillId="0" borderId="15" xfId="1384" applyNumberFormat="1" applyFont="1" applyFill="1" applyBorder="1" applyAlignment="1">
      <alignment horizontal="right" vertical="center"/>
    </xf>
    <xf numFmtId="2" fontId="94" fillId="0" borderId="19" xfId="0" applyNumberFormat="1" applyFont="1" applyFill="1" applyBorder="1" applyAlignment="1">
      <alignment horizontal="right" vertical="top"/>
    </xf>
    <xf numFmtId="2" fontId="101" fillId="0" borderId="15" xfId="0" applyNumberFormat="1" applyFont="1" applyFill="1" applyBorder="1" applyAlignment="1">
      <alignment horizontal="right" vertical="top"/>
    </xf>
    <xf numFmtId="0" fontId="94" fillId="0" borderId="15" xfId="94" applyFont="1" applyFill="1" applyBorder="1" applyAlignment="1">
      <alignment horizontal="center" vertical="top"/>
    </xf>
    <xf numFmtId="1" fontId="94" fillId="0" borderId="17" xfId="94" applyNumberFormat="1" applyFont="1" applyFill="1" applyBorder="1" applyAlignment="1">
      <alignment horizontal="right" vertical="top"/>
    </xf>
    <xf numFmtId="0" fontId="94" fillId="0" borderId="19" xfId="94" applyFont="1" applyFill="1" applyBorder="1" applyAlignment="1">
      <alignment horizontal="right" vertical="top"/>
    </xf>
    <xf numFmtId="2" fontId="94" fillId="0" borderId="15" xfId="95" applyNumberFormat="1" applyFont="1" applyFill="1" applyBorder="1" applyAlignment="1">
      <alignment horizontal="right" vertical="center"/>
    </xf>
    <xf numFmtId="0" fontId="94" fillId="0" borderId="0" xfId="94" applyFont="1" applyFill="1" applyAlignment="1">
      <alignment vertical="top"/>
    </xf>
    <xf numFmtId="2" fontId="94" fillId="0" borderId="0" xfId="94" applyNumberFormat="1" applyFont="1" applyFill="1" applyAlignment="1">
      <alignment vertical="top"/>
    </xf>
    <xf numFmtId="0" fontId="101" fillId="0" borderId="15" xfId="94" applyFont="1" applyFill="1" applyBorder="1" applyAlignment="1">
      <alignment horizontal="center" vertical="top" wrapText="1"/>
    </xf>
    <xf numFmtId="0" fontId="94" fillId="0" borderId="17" xfId="94" applyFont="1" applyFill="1" applyBorder="1" applyAlignment="1">
      <alignment horizontal="justify" vertical="top" wrapText="1"/>
    </xf>
    <xf numFmtId="0" fontId="94" fillId="0" borderId="18" xfId="94" applyFont="1" applyFill="1" applyBorder="1" applyAlignment="1">
      <alignment horizontal="justify" vertical="top" wrapText="1"/>
    </xf>
    <xf numFmtId="0" fontId="94" fillId="0" borderId="19" xfId="94" applyFont="1" applyFill="1" applyBorder="1" applyAlignment="1">
      <alignment horizontal="justify" vertical="top" wrapText="1"/>
    </xf>
    <xf numFmtId="2" fontId="101" fillId="0" borderId="15" xfId="1384" applyNumberFormat="1" applyFont="1" applyFill="1" applyBorder="1" applyAlignment="1">
      <alignment horizontal="right" vertical="center"/>
    </xf>
    <xf numFmtId="0" fontId="94" fillId="0" borderId="0" xfId="0" applyFont="1" applyFill="1" applyAlignment="1">
      <alignment horizontal="left" vertical="top"/>
    </xf>
    <xf numFmtId="166" fontId="94" fillId="0" borderId="0" xfId="0" applyNumberFormat="1" applyFont="1" applyFill="1" applyAlignment="1">
      <alignment horizontal="center" vertical="top"/>
    </xf>
    <xf numFmtId="166" fontId="94" fillId="0" borderId="0" xfId="0" applyNumberFormat="1" applyFont="1" applyFill="1" applyAlignment="1">
      <alignment vertical="top"/>
    </xf>
    <xf numFmtId="1" fontId="94" fillId="0" borderId="0" xfId="0" applyNumberFormat="1" applyFont="1" applyFill="1" applyAlignment="1">
      <alignment horizontal="center" vertical="top"/>
    </xf>
    <xf numFmtId="0" fontId="102" fillId="0" borderId="0" xfId="95" applyFont="1" applyFill="1" applyAlignment="1">
      <alignment horizontal="right" vertical="top"/>
    </xf>
    <xf numFmtId="0" fontId="102" fillId="0" borderId="0" xfId="95" applyFont="1" applyFill="1" applyAlignment="1">
      <alignment horizontal="center" vertical="top"/>
    </xf>
    <xf numFmtId="1" fontId="102" fillId="0" borderId="0" xfId="0" applyNumberFormat="1" applyFont="1" applyFill="1" applyAlignment="1">
      <alignment horizontal="center" vertical="top"/>
    </xf>
    <xf numFmtId="2" fontId="94" fillId="0" borderId="0" xfId="0" applyNumberFormat="1" applyFont="1" applyFill="1" applyAlignment="1">
      <alignment horizontal="center" vertical="top"/>
    </xf>
    <xf numFmtId="0" fontId="95" fillId="0" borderId="22" xfId="0" applyFont="1" applyFill="1" applyBorder="1" applyAlignment="1">
      <alignment horizontal="right" vertical="top" wrapText="1"/>
    </xf>
    <xf numFmtId="0" fontId="94" fillId="0" borderId="19" xfId="0" applyFont="1" applyFill="1" applyBorder="1" applyAlignment="1">
      <alignment horizontal="left" vertical="top" wrapText="1"/>
    </xf>
    <xf numFmtId="166" fontId="94" fillId="0" borderId="15" xfId="0" applyNumberFormat="1" applyFont="1" applyFill="1" applyBorder="1" applyAlignment="1">
      <alignment horizontal="justify" vertical="top" wrapText="1"/>
    </xf>
    <xf numFmtId="2" fontId="94" fillId="0" borderId="19" xfId="1273" applyNumberFormat="1" applyFont="1" applyFill="1" applyBorder="1" applyAlignment="1">
      <alignment horizontal="left" vertical="top" wrapText="1"/>
    </xf>
    <xf numFmtId="0" fontId="116" fillId="0" borderId="15" xfId="1393" applyFont="1" applyFill="1" applyBorder="1"/>
    <xf numFmtId="0" fontId="116" fillId="0" borderId="15" xfId="1417" applyFont="1" applyFill="1" applyBorder="1"/>
    <xf numFmtId="0" fontId="116" fillId="0" borderId="15" xfId="1417" applyFont="1" applyFill="1" applyBorder="1" applyAlignment="1">
      <alignment horizontal="center" vertical="top"/>
    </xf>
    <xf numFmtId="166" fontId="94" fillId="0" borderId="19" xfId="1415" applyNumberFormat="1" applyFont="1" applyFill="1" applyBorder="1" applyAlignment="1">
      <alignment horizontal="left" vertical="top" wrapText="1"/>
    </xf>
    <xf numFmtId="2" fontId="171" fillId="0" borderId="15" xfId="1393" applyNumberFormat="1" applyFont="1" applyFill="1" applyBorder="1" applyAlignment="1">
      <alignment vertical="top"/>
    </xf>
    <xf numFmtId="0" fontId="94" fillId="0" borderId="17" xfId="94" applyFont="1" applyFill="1" applyBorder="1" applyAlignment="1">
      <alignment horizontal="right" vertical="top"/>
    </xf>
    <xf numFmtId="2" fontId="94" fillId="0" borderId="15" xfId="94" applyNumberFormat="1" applyFont="1" applyFill="1" applyBorder="1" applyAlignment="1">
      <alignment horizontal="right" vertical="top"/>
    </xf>
    <xf numFmtId="2" fontId="101" fillId="0" borderId="15" xfId="94" applyNumberFormat="1" applyFont="1" applyFill="1" applyBorder="1" applyAlignment="1">
      <alignment horizontal="right" vertical="top"/>
    </xf>
    <xf numFmtId="2" fontId="94" fillId="0" borderId="0" xfId="0" applyNumberFormat="1" applyFont="1" applyFill="1" applyAlignment="1">
      <alignment horizontal="right" vertical="top"/>
    </xf>
    <xf numFmtId="0" fontId="104" fillId="0" borderId="15" xfId="0" applyFont="1" applyFill="1" applyBorder="1" applyAlignment="1">
      <alignment horizontal="justify" vertical="justify" wrapText="1"/>
    </xf>
    <xf numFmtId="0" fontId="94" fillId="0" borderId="47" xfId="0" applyFont="1" applyFill="1" applyBorder="1" applyAlignment="1">
      <alignment horizontal="justify" vertical="top" wrapText="1"/>
    </xf>
    <xf numFmtId="2" fontId="2" fillId="0" borderId="15" xfId="1426" applyNumberFormat="1" applyFont="1" applyBorder="1" applyAlignment="1">
      <alignment horizontal="center" vertical="top" wrapText="1"/>
    </xf>
    <xf numFmtId="2" fontId="2" fillId="0" borderId="15" xfId="1426" applyNumberFormat="1" applyFont="1" applyBorder="1" applyAlignment="1">
      <alignment horizontal="justify" vertical="top" wrapText="1"/>
    </xf>
    <xf numFmtId="49" fontId="2" fillId="0" borderId="15" xfId="1426" applyNumberFormat="1" applyFont="1" applyBorder="1" applyAlignment="1">
      <alignment horizontal="center" vertical="top" wrapText="1"/>
    </xf>
    <xf numFmtId="0" fontId="94" fillId="0" borderId="15" xfId="0" applyFont="1" applyFill="1" applyBorder="1" applyAlignment="1">
      <alignment horizontal="justify" vertical="top" wrapText="1"/>
    </xf>
    <xf numFmtId="0" fontId="94" fillId="0" borderId="15" xfId="1384" applyFont="1" applyFill="1" applyBorder="1" applyAlignment="1">
      <alignment horizontal="justify" vertical="top"/>
    </xf>
    <xf numFmtId="0" fontId="94" fillId="0" borderId="18" xfId="0" applyFont="1" applyFill="1" applyBorder="1" applyAlignment="1">
      <alignment horizontal="justify" vertical="top" wrapText="1"/>
    </xf>
    <xf numFmtId="0" fontId="94" fillId="0" borderId="15" xfId="1384" applyFont="1" applyFill="1" applyBorder="1" applyAlignment="1">
      <alignment horizontal="justify" vertical="top" wrapText="1"/>
    </xf>
    <xf numFmtId="0" fontId="94" fillId="0" borderId="15" xfId="94" applyFont="1" applyFill="1" applyBorder="1" applyAlignment="1">
      <alignment horizontal="justify" vertical="top" wrapText="1"/>
    </xf>
    <xf numFmtId="0" fontId="94" fillId="0" borderId="17" xfId="0" applyFont="1" applyFill="1" applyBorder="1" applyAlignment="1">
      <alignment horizontal="center" vertical="top" wrapText="1"/>
    </xf>
    <xf numFmtId="0" fontId="94" fillId="0" borderId="18" xfId="0" applyFont="1" applyFill="1" applyBorder="1" applyAlignment="1">
      <alignment horizontal="center" vertical="top" wrapText="1"/>
    </xf>
    <xf numFmtId="0" fontId="94" fillId="0" borderId="19" xfId="0" applyFont="1" applyFill="1" applyBorder="1" applyAlignment="1">
      <alignment horizontal="center" vertical="top" wrapText="1"/>
    </xf>
    <xf numFmtId="0" fontId="95" fillId="0" borderId="15" xfId="0" applyFont="1" applyFill="1" applyBorder="1" applyAlignment="1">
      <alignment horizontal="center" vertical="center" wrapText="1"/>
    </xf>
    <xf numFmtId="1" fontId="95" fillId="0" borderId="15" xfId="0" applyNumberFormat="1" applyFont="1" applyFill="1" applyBorder="1" applyAlignment="1">
      <alignment horizontal="center" vertical="center" wrapText="1"/>
    </xf>
    <xf numFmtId="0" fontId="94" fillId="0" borderId="15" xfId="0" applyFont="1" applyFill="1" applyBorder="1" applyAlignment="1">
      <alignment horizontal="center" vertical="center" wrapText="1"/>
    </xf>
    <xf numFmtId="49" fontId="122" fillId="0" borderId="15" xfId="969" applyNumberFormat="1" applyFont="1" applyFill="1" applyBorder="1" applyAlignment="1">
      <alignment horizontal="center" vertical="top" wrapText="1"/>
    </xf>
    <xf numFmtId="2" fontId="122" fillId="0" borderId="15" xfId="969" applyNumberFormat="1" applyFont="1" applyFill="1" applyBorder="1" applyAlignment="1">
      <alignment horizontal="center" vertical="top" wrapText="1"/>
    </xf>
    <xf numFmtId="0" fontId="143" fillId="49" borderId="18" xfId="0" applyFont="1" applyFill="1" applyBorder="1" applyAlignment="1">
      <alignment horizontal="center"/>
    </xf>
    <xf numFmtId="0" fontId="97" fillId="0" borderId="19" xfId="0" applyFont="1" applyFill="1" applyBorder="1" applyAlignment="1">
      <alignment horizontal="left" vertical="top"/>
    </xf>
    <xf numFmtId="0" fontId="94" fillId="49" borderId="15" xfId="0" applyFont="1" applyFill="1" applyBorder="1" applyAlignment="1">
      <alignment horizontal="center" vertical="top"/>
    </xf>
    <xf numFmtId="0" fontId="94" fillId="49" borderId="17" xfId="0" applyFont="1" applyFill="1" applyBorder="1" applyAlignment="1">
      <alignment horizontal="right" vertical="top"/>
    </xf>
    <xf numFmtId="0" fontId="94" fillId="49" borderId="19" xfId="0" applyFont="1" applyFill="1" applyBorder="1" applyAlignment="1">
      <alignment horizontal="right" vertical="top"/>
    </xf>
    <xf numFmtId="1" fontId="94" fillId="49" borderId="15" xfId="0" applyNumberFormat="1" applyFont="1" applyFill="1" applyBorder="1" applyAlignment="1">
      <alignment horizontal="center" vertical="top"/>
    </xf>
    <xf numFmtId="0" fontId="94" fillId="49" borderId="15" xfId="0" applyFont="1" applyFill="1" applyBorder="1" applyAlignment="1">
      <alignment horizontal="right" vertical="top"/>
    </xf>
    <xf numFmtId="0" fontId="95" fillId="49" borderId="0" xfId="0" applyFont="1" applyFill="1" applyAlignment="1">
      <alignment vertical="top" wrapText="1"/>
    </xf>
    <xf numFmtId="0" fontId="94" fillId="49" borderId="0" xfId="0" applyFont="1" applyFill="1" applyAlignment="1">
      <alignment vertical="top"/>
    </xf>
    <xf numFmtId="0" fontId="94" fillId="49" borderId="15" xfId="0" applyFont="1" applyFill="1" applyBorder="1"/>
    <xf numFmtId="0" fontId="94" fillId="49" borderId="17" xfId="0" applyFont="1" applyFill="1" applyBorder="1" applyAlignment="1">
      <alignment horizontal="right"/>
    </xf>
    <xf numFmtId="0" fontId="94" fillId="49" borderId="19" xfId="0" applyFont="1" applyFill="1" applyBorder="1" applyAlignment="1">
      <alignment horizontal="left"/>
    </xf>
    <xf numFmtId="166" fontId="94" fillId="49" borderId="15" xfId="0" applyNumberFormat="1" applyFont="1" applyFill="1" applyBorder="1" applyAlignment="1">
      <alignment horizontal="center"/>
    </xf>
    <xf numFmtId="0" fontId="94" fillId="49" borderId="17" xfId="0" applyFont="1" applyFill="1" applyBorder="1" applyAlignment="1">
      <alignment horizontal="center"/>
    </xf>
    <xf numFmtId="0" fontId="94" fillId="49" borderId="19" xfId="0" applyFont="1" applyFill="1" applyBorder="1" applyAlignment="1">
      <alignment horizontal="center"/>
    </xf>
    <xf numFmtId="0" fontId="94" fillId="49" borderId="15" xfId="0" applyFont="1" applyFill="1" applyBorder="1" applyAlignment="1">
      <alignment vertical="top"/>
    </xf>
    <xf numFmtId="0" fontId="100" fillId="49" borderId="0" xfId="0" applyFont="1" applyFill="1" applyAlignment="1">
      <alignment vertical="top"/>
    </xf>
    <xf numFmtId="0" fontId="94" fillId="49" borderId="18" xfId="0" applyFont="1" applyFill="1" applyBorder="1" applyAlignment="1">
      <alignment horizontal="center" vertical="top"/>
    </xf>
    <xf numFmtId="0" fontId="94" fillId="49" borderId="19" xfId="0" applyFont="1" applyFill="1" applyBorder="1" applyAlignment="1">
      <alignment horizontal="left" vertical="top"/>
    </xf>
    <xf numFmtId="166" fontId="94" fillId="49" borderId="15" xfId="0" applyNumberFormat="1" applyFont="1" applyFill="1" applyBorder="1" applyAlignment="1">
      <alignment horizontal="center" vertical="top"/>
    </xf>
    <xf numFmtId="2" fontId="99" fillId="49" borderId="17" xfId="0" applyNumberFormat="1" applyFont="1" applyFill="1" applyBorder="1" applyAlignment="1">
      <alignment horizontal="right" vertical="top"/>
    </xf>
    <xf numFmtId="2" fontId="99" fillId="49" borderId="19" xfId="0" applyNumberFormat="1" applyFont="1" applyFill="1" applyBorder="1" applyAlignment="1">
      <alignment horizontal="left" vertical="top"/>
    </xf>
    <xf numFmtId="0" fontId="98" fillId="49" borderId="17" xfId="0" applyFont="1" applyFill="1" applyBorder="1" applyAlignment="1">
      <alignment vertical="top"/>
    </xf>
    <xf numFmtId="0" fontId="98" fillId="49" borderId="18" xfId="0" applyFont="1" applyFill="1" applyBorder="1" applyAlignment="1">
      <alignment vertical="top"/>
    </xf>
    <xf numFmtId="0" fontId="98" fillId="49" borderId="19" xfId="0" applyFont="1" applyFill="1" applyBorder="1" applyAlignment="1">
      <alignment horizontal="left" vertical="top"/>
    </xf>
    <xf numFmtId="166" fontId="98" fillId="49" borderId="15" xfId="0" applyNumberFormat="1" applyFont="1" applyFill="1" applyBorder="1" applyAlignment="1">
      <alignment horizontal="center" vertical="top"/>
    </xf>
    <xf numFmtId="2" fontId="98" fillId="49" borderId="15" xfId="0" applyNumberFormat="1" applyFont="1" applyFill="1" applyBorder="1" applyAlignment="1">
      <alignment horizontal="center" vertical="top"/>
    </xf>
    <xf numFmtId="2" fontId="98" fillId="49" borderId="17" xfId="0" applyNumberFormat="1" applyFont="1" applyFill="1" applyBorder="1" applyAlignment="1">
      <alignment horizontal="right" vertical="top"/>
    </xf>
    <xf numFmtId="2" fontId="99" fillId="49" borderId="19" xfId="0" applyNumberFormat="1" applyFont="1" applyFill="1" applyBorder="1" applyAlignment="1">
      <alignment vertical="top"/>
    </xf>
    <xf numFmtId="0" fontId="116" fillId="49" borderId="15" xfId="1393" applyFont="1" applyFill="1" applyBorder="1" applyAlignment="1">
      <alignment horizontal="center" vertical="top"/>
    </xf>
    <xf numFmtId="0" fontId="94" fillId="49" borderId="15" xfId="1415" applyFont="1" applyFill="1" applyBorder="1" applyAlignment="1">
      <alignment vertical="top" wrapText="1"/>
    </xf>
    <xf numFmtId="1" fontId="94" fillId="49" borderId="17" xfId="1415" applyNumberFormat="1" applyFont="1" applyFill="1" applyBorder="1" applyAlignment="1">
      <alignment horizontal="right" vertical="top" wrapText="1"/>
    </xf>
    <xf numFmtId="1" fontId="94" fillId="49" borderId="18" xfId="1415" applyNumberFormat="1" applyFont="1" applyFill="1" applyBorder="1" applyAlignment="1">
      <alignment horizontal="center" vertical="top" wrapText="1"/>
    </xf>
    <xf numFmtId="1" fontId="94" fillId="49" borderId="19" xfId="1415" applyNumberFormat="1" applyFont="1" applyFill="1" applyBorder="1" applyAlignment="1">
      <alignment horizontal="left" vertical="top" wrapText="1"/>
    </xf>
    <xf numFmtId="166" fontId="94" fillId="49" borderId="15" xfId="1415" applyNumberFormat="1" applyFont="1" applyFill="1" applyBorder="1" applyAlignment="1">
      <alignment horizontal="center" vertical="top" wrapText="1"/>
    </xf>
    <xf numFmtId="2" fontId="94" fillId="49" borderId="17" xfId="0" applyNumberFormat="1" applyFont="1" applyFill="1" applyBorder="1" applyAlignment="1">
      <alignment horizontal="right" vertical="top"/>
    </xf>
    <xf numFmtId="0" fontId="94" fillId="49" borderId="17" xfId="0" applyFont="1" applyFill="1" applyBorder="1" applyAlignment="1">
      <alignment vertical="top"/>
    </xf>
    <xf numFmtId="0" fontId="94" fillId="49" borderId="18" xfId="0" applyFont="1" applyFill="1" applyBorder="1" applyAlignment="1">
      <alignment vertical="top"/>
    </xf>
    <xf numFmtId="166" fontId="94" fillId="49" borderId="15" xfId="0" applyNumberFormat="1" applyFont="1" applyFill="1" applyBorder="1" applyAlignment="1">
      <alignment vertical="top"/>
    </xf>
    <xf numFmtId="2" fontId="94" fillId="49" borderId="15" xfId="0" applyNumberFormat="1" applyFont="1" applyFill="1" applyBorder="1" applyAlignment="1">
      <alignment horizontal="center" vertical="top"/>
    </xf>
    <xf numFmtId="2" fontId="94" fillId="49" borderId="15" xfId="0" applyNumberFormat="1" applyFont="1" applyFill="1" applyBorder="1" applyAlignment="1">
      <alignment horizontal="right" vertical="top"/>
    </xf>
    <xf numFmtId="0" fontId="101" fillId="49" borderId="15" xfId="0" applyFont="1" applyFill="1" applyBorder="1" applyAlignment="1">
      <alignment horizontal="justify" vertical="justify" wrapText="1"/>
    </xf>
    <xf numFmtId="0" fontId="101" fillId="49" borderId="15" xfId="0" applyFont="1" applyFill="1" applyBorder="1" applyAlignment="1">
      <alignment horizontal="justify" vertical="top" wrapText="1"/>
    </xf>
    <xf numFmtId="0" fontId="94" fillId="49" borderId="0" xfId="0" applyFont="1" applyFill="1" applyBorder="1"/>
    <xf numFmtId="0" fontId="94" fillId="49" borderId="17" xfId="1580" applyFont="1" applyFill="1" applyBorder="1" applyAlignment="1">
      <alignment horizontal="right" vertical="center"/>
    </xf>
    <xf numFmtId="0" fontId="94" fillId="49" borderId="19" xfId="1580" applyFont="1" applyFill="1" applyBorder="1" applyAlignment="1">
      <alignment horizontal="left" vertical="center"/>
    </xf>
    <xf numFmtId="166" fontId="94" fillId="49" borderId="15" xfId="1580" applyNumberFormat="1" applyFont="1" applyFill="1" applyBorder="1" applyAlignment="1">
      <alignment horizontal="center" vertical="center"/>
    </xf>
    <xf numFmtId="2" fontId="99" fillId="49" borderId="18" xfId="0" applyNumberFormat="1" applyFont="1" applyFill="1" applyBorder="1" applyAlignment="1">
      <alignment vertical="top"/>
    </xf>
    <xf numFmtId="0" fontId="94" fillId="49" borderId="21" xfId="1736" applyFont="1" applyFill="1" applyBorder="1" applyAlignment="1">
      <alignment horizontal="left" vertical="justify" wrapText="1"/>
    </xf>
    <xf numFmtId="0" fontId="94" fillId="49" borderId="17" xfId="138" applyFont="1" applyFill="1" applyBorder="1" applyAlignment="1">
      <alignment horizontal="right"/>
    </xf>
    <xf numFmtId="0" fontId="94" fillId="49" borderId="18" xfId="138" applyFont="1" applyFill="1" applyBorder="1" applyAlignment="1">
      <alignment horizontal="center"/>
    </xf>
    <xf numFmtId="0" fontId="94" fillId="49" borderId="19" xfId="138" applyFont="1" applyFill="1" applyBorder="1" applyAlignment="1">
      <alignment horizontal="left"/>
    </xf>
    <xf numFmtId="2" fontId="94" fillId="49" borderId="15" xfId="138" applyNumberFormat="1" applyFont="1" applyFill="1" applyBorder="1" applyAlignment="1">
      <alignment horizontal="center"/>
    </xf>
    <xf numFmtId="166" fontId="94" fillId="49" borderId="15" xfId="1273" applyNumberFormat="1" applyFont="1" applyFill="1" applyBorder="1" applyAlignment="1">
      <alignment horizontal="center" vertical="top" wrapText="1"/>
    </xf>
    <xf numFmtId="0" fontId="94" fillId="49" borderId="21" xfId="1418" applyFont="1" applyFill="1" applyBorder="1" applyAlignment="1">
      <alignment horizontal="left" vertical="justify" wrapText="1"/>
    </xf>
    <xf numFmtId="0" fontId="94" fillId="49" borderId="15" xfId="1416" applyFont="1" applyFill="1" applyBorder="1" applyAlignment="1">
      <alignment vertical="top" wrapText="1"/>
    </xf>
    <xf numFmtId="0" fontId="94" fillId="49" borderId="17" xfId="1416" applyFont="1" applyFill="1" applyBorder="1" applyAlignment="1">
      <alignment horizontal="right" vertical="top"/>
    </xf>
    <xf numFmtId="0" fontId="94" fillId="49" borderId="18" xfId="1384" applyFont="1" applyFill="1" applyBorder="1" applyAlignment="1">
      <alignment horizontal="center" vertical="top"/>
    </xf>
    <xf numFmtId="0" fontId="94" fillId="49" borderId="19" xfId="1416" applyFont="1" applyFill="1" applyBorder="1" applyAlignment="1">
      <alignment horizontal="left" vertical="top"/>
    </xf>
    <xf numFmtId="2" fontId="94" fillId="49" borderId="15" xfId="1416" applyNumberFormat="1" applyFont="1" applyFill="1" applyBorder="1" applyAlignment="1">
      <alignment horizontal="center" vertical="top"/>
    </xf>
    <xf numFmtId="166" fontId="94" fillId="49" borderId="15" xfId="1416" applyNumberFormat="1" applyFont="1" applyFill="1" applyBorder="1" applyAlignment="1">
      <alignment horizontal="center" vertical="top"/>
    </xf>
    <xf numFmtId="2" fontId="99" fillId="49" borderId="17" xfId="1384" applyNumberFormat="1" applyFont="1" applyFill="1" applyBorder="1" applyAlignment="1">
      <alignment horizontal="right" vertical="top"/>
    </xf>
    <xf numFmtId="0" fontId="116" fillId="49" borderId="0" xfId="1393" applyFont="1" applyFill="1" applyAlignment="1">
      <alignment horizontal="center" vertical="top"/>
    </xf>
    <xf numFmtId="0" fontId="94" fillId="49" borderId="15" xfId="1273" applyFont="1" applyFill="1" applyBorder="1" applyAlignment="1">
      <alignment vertical="top" wrapText="1"/>
    </xf>
    <xf numFmtId="1" fontId="94" fillId="49" borderId="17" xfId="1273" applyNumberFormat="1" applyFont="1" applyFill="1" applyBorder="1" applyAlignment="1">
      <alignment horizontal="right" vertical="top" wrapText="1"/>
    </xf>
    <xf numFmtId="1" fontId="94" fillId="49" borderId="18" xfId="1273" applyNumberFormat="1" applyFont="1" applyFill="1" applyBorder="1" applyAlignment="1">
      <alignment horizontal="center" vertical="top" wrapText="1"/>
    </xf>
    <xf numFmtId="1" fontId="94" fillId="49" borderId="19" xfId="1273" applyNumberFormat="1" applyFont="1" applyFill="1" applyBorder="1" applyAlignment="1">
      <alignment horizontal="left" vertical="top" wrapText="1"/>
    </xf>
    <xf numFmtId="2" fontId="94" fillId="49" borderId="15" xfId="1273" applyNumberFormat="1" applyFont="1" applyFill="1" applyBorder="1" applyAlignment="1">
      <alignment horizontal="center" vertical="top" wrapText="1"/>
    </xf>
    <xf numFmtId="0" fontId="94" fillId="49" borderId="17" xfId="0" applyFont="1" applyFill="1" applyBorder="1" applyAlignment="1">
      <alignment horizontal="center" vertical="top"/>
    </xf>
    <xf numFmtId="0" fontId="94" fillId="49" borderId="19" xfId="0" applyFont="1" applyFill="1" applyBorder="1" applyAlignment="1">
      <alignment horizontal="center" vertical="top"/>
    </xf>
    <xf numFmtId="2" fontId="94" fillId="49" borderId="19" xfId="1415" applyNumberFormat="1" applyFont="1" applyFill="1" applyBorder="1" applyAlignment="1">
      <alignment horizontal="left" vertical="top" wrapText="1"/>
    </xf>
    <xf numFmtId="2" fontId="94" fillId="49" borderId="15" xfId="1384" applyNumberFormat="1" applyFont="1" applyFill="1" applyBorder="1" applyAlignment="1">
      <alignment horizontal="right" vertical="center"/>
    </xf>
    <xf numFmtId="2" fontId="94" fillId="49" borderId="15" xfId="1384" applyNumberFormat="1" applyFont="1" applyFill="1" applyBorder="1" applyAlignment="1">
      <alignment vertical="center"/>
    </xf>
    <xf numFmtId="1" fontId="94" fillId="49" borderId="17" xfId="0" applyNumberFormat="1" applyFont="1" applyFill="1" applyBorder="1" applyAlignment="1">
      <alignment horizontal="right" vertical="top"/>
    </xf>
    <xf numFmtId="2" fontId="100" fillId="49" borderId="0" xfId="0" applyNumberFormat="1" applyFont="1" applyFill="1" applyAlignment="1">
      <alignment vertical="top"/>
    </xf>
    <xf numFmtId="2" fontId="94" fillId="49" borderId="19" xfId="1273" applyNumberFormat="1" applyFont="1" applyFill="1" applyBorder="1" applyAlignment="1">
      <alignment horizontal="left" vertical="top" wrapText="1"/>
    </xf>
    <xf numFmtId="1" fontId="94" fillId="49" borderId="15" xfId="1273" applyNumberFormat="1" applyFont="1" applyFill="1" applyBorder="1" applyAlignment="1">
      <alignment horizontal="center" vertical="top" wrapText="1"/>
    </xf>
    <xf numFmtId="0" fontId="98" fillId="49" borderId="15" xfId="0" applyFont="1" applyFill="1" applyBorder="1" applyAlignment="1">
      <alignment vertical="top" wrapText="1"/>
    </xf>
    <xf numFmtId="1" fontId="94" fillId="49" borderId="18" xfId="1273" applyNumberFormat="1" applyFont="1" applyFill="1" applyBorder="1" applyAlignment="1">
      <alignment horizontal="right" vertical="top" wrapText="1"/>
    </xf>
    <xf numFmtId="166" fontId="94" fillId="49" borderId="17" xfId="0" applyNumberFormat="1" applyFont="1" applyFill="1" applyBorder="1" applyAlignment="1">
      <alignment horizontal="right" vertical="top"/>
    </xf>
    <xf numFmtId="0" fontId="94" fillId="49" borderId="15" xfId="0" applyFont="1" applyFill="1" applyBorder="1" applyAlignment="1">
      <alignment horizontal="center" vertical="center" wrapText="1"/>
    </xf>
    <xf numFmtId="0" fontId="94" fillId="49" borderId="17" xfId="0" applyFont="1" applyFill="1" applyBorder="1" applyAlignment="1">
      <alignment horizontal="center" vertical="center" wrapText="1"/>
    </xf>
    <xf numFmtId="0" fontId="112" fillId="49" borderId="15" xfId="1384" applyFont="1" applyFill="1" applyBorder="1" applyAlignment="1">
      <alignment horizontal="center" vertical="top" wrapText="1"/>
    </xf>
    <xf numFmtId="0" fontId="94" fillId="49" borderId="19" xfId="0" applyFont="1" applyFill="1" applyBorder="1" applyAlignment="1">
      <alignment horizontal="center" vertical="center" wrapText="1"/>
    </xf>
    <xf numFmtId="0" fontId="94" fillId="49" borderId="0" xfId="0" applyFont="1" applyFill="1" applyAlignment="1">
      <alignment horizontal="center" vertical="center"/>
    </xf>
    <xf numFmtId="0" fontId="94" fillId="49" borderId="0" xfId="0" applyFont="1" applyFill="1" applyAlignment="1">
      <alignment vertical="center"/>
    </xf>
    <xf numFmtId="0" fontId="94" fillId="49" borderId="15" xfId="0" applyFont="1" applyFill="1" applyBorder="1" applyAlignment="1">
      <alignment horizontal="center" vertical="top" wrapText="1"/>
    </xf>
    <xf numFmtId="0" fontId="101" fillId="49" borderId="16" xfId="0" applyFont="1" applyFill="1" applyBorder="1" applyAlignment="1">
      <alignment horizontal="justify" vertical="top" wrapText="1"/>
    </xf>
    <xf numFmtId="0" fontId="94" fillId="49" borderId="0" xfId="0" applyFont="1" applyFill="1" applyAlignment="1">
      <alignment horizontal="center" vertical="top"/>
    </xf>
    <xf numFmtId="0" fontId="94" fillId="49" borderId="15" xfId="0" applyFont="1" applyFill="1" applyBorder="1" applyAlignment="1">
      <alignment horizontal="justify" vertical="top" wrapText="1"/>
    </xf>
    <xf numFmtId="2" fontId="94" fillId="49" borderId="15" xfId="0" applyNumberFormat="1" applyFont="1" applyFill="1" applyBorder="1" applyAlignment="1">
      <alignment horizontal="center" vertical="top" wrapText="1"/>
    </xf>
    <xf numFmtId="2" fontId="94" fillId="49" borderId="15" xfId="0" applyNumberFormat="1" applyFont="1" applyFill="1" applyBorder="1" applyAlignment="1">
      <alignment vertical="top"/>
    </xf>
    <xf numFmtId="2" fontId="94" fillId="49" borderId="15" xfId="0" applyNumberFormat="1" applyFont="1" applyFill="1" applyBorder="1" applyAlignment="1">
      <alignment horizontal="right" vertical="top" wrapText="1"/>
    </xf>
    <xf numFmtId="2" fontId="94" fillId="49" borderId="15" xfId="0" applyNumberFormat="1" applyFont="1" applyFill="1" applyBorder="1" applyAlignment="1">
      <alignment horizontal="center" vertical="top" shrinkToFit="1"/>
    </xf>
    <xf numFmtId="2" fontId="101" fillId="49" borderId="15" xfId="0" applyNumberFormat="1" applyFont="1" applyFill="1" applyBorder="1" applyAlignment="1">
      <alignment horizontal="center" vertical="top" wrapText="1"/>
    </xf>
    <xf numFmtId="0" fontId="101" fillId="49" borderId="15" xfId="0" applyFont="1" applyFill="1" applyBorder="1" applyAlignment="1">
      <alignment horizontal="center" vertical="top" wrapText="1"/>
    </xf>
    <xf numFmtId="2" fontId="101" fillId="49" borderId="15" xfId="0" applyNumberFormat="1" applyFont="1" applyFill="1" applyBorder="1" applyAlignment="1">
      <alignment horizontal="right" vertical="top" wrapText="1"/>
    </xf>
    <xf numFmtId="0" fontId="101" fillId="49" borderId="15" xfId="0" applyFont="1" applyFill="1" applyBorder="1" applyAlignment="1">
      <alignment horizontal="right" vertical="top" wrapText="1"/>
    </xf>
    <xf numFmtId="2" fontId="101" fillId="49" borderId="15" xfId="0" applyNumberFormat="1" applyFont="1" applyFill="1" applyBorder="1" applyAlignment="1">
      <alignment vertical="top"/>
    </xf>
    <xf numFmtId="166" fontId="94" fillId="49" borderId="15" xfId="0" applyNumberFormat="1" applyFont="1" applyFill="1" applyBorder="1" applyAlignment="1">
      <alignment horizontal="center" vertical="top" wrapText="1"/>
    </xf>
    <xf numFmtId="0" fontId="94" fillId="49" borderId="15" xfId="0" applyFont="1" applyFill="1" applyBorder="1" applyAlignment="1">
      <alignment horizontal="right" vertical="top" wrapText="1"/>
    </xf>
    <xf numFmtId="168" fontId="94" fillId="49" borderId="15" xfId="0" applyNumberFormat="1" applyFont="1" applyFill="1" applyBorder="1" applyAlignment="1">
      <alignment horizontal="center" vertical="top" wrapText="1"/>
    </xf>
    <xf numFmtId="1" fontId="94" fillId="49" borderId="15" xfId="0" applyNumberFormat="1" applyFont="1" applyFill="1" applyBorder="1" applyAlignment="1">
      <alignment horizontal="center" vertical="top" wrapText="1"/>
    </xf>
    <xf numFmtId="2" fontId="94" fillId="49" borderId="15" xfId="0" applyNumberFormat="1" applyFont="1" applyFill="1" applyBorder="1" applyAlignment="1">
      <alignment horizontal="right" vertical="top" shrinkToFit="1"/>
    </xf>
    <xf numFmtId="0" fontId="101" fillId="49" borderId="15" xfId="0" applyFont="1" applyFill="1" applyBorder="1" applyAlignment="1">
      <alignment horizontal="center" vertical="justify" wrapText="1"/>
    </xf>
    <xf numFmtId="166" fontId="152" fillId="49" borderId="15" xfId="0" applyNumberFormat="1" applyFont="1" applyFill="1" applyBorder="1" applyAlignment="1">
      <alignment horizontal="center" vertical="top"/>
    </xf>
    <xf numFmtId="0" fontId="112" fillId="49" borderId="8" xfId="1384" applyFont="1" applyFill="1" applyBorder="1" applyAlignment="1">
      <alignment horizontal="center" vertical="top"/>
    </xf>
    <xf numFmtId="0" fontId="112" fillId="49" borderId="8" xfId="1384" applyFont="1" applyFill="1" applyBorder="1" applyAlignment="1">
      <alignment horizontal="center" vertical="top" wrapText="1"/>
    </xf>
    <xf numFmtId="2" fontId="112" fillId="49" borderId="28" xfId="1384" applyNumberFormat="1" applyFont="1" applyFill="1" applyBorder="1" applyAlignment="1">
      <alignment horizontal="right" vertical="top" wrapText="1"/>
    </xf>
    <xf numFmtId="0" fontId="112" fillId="49" borderId="29" xfId="1384" applyFont="1" applyFill="1" applyBorder="1" applyAlignment="1">
      <alignment horizontal="justify" vertical="top" wrapText="1"/>
    </xf>
    <xf numFmtId="1" fontId="112" fillId="49" borderId="28" xfId="1384" applyNumberFormat="1" applyFont="1" applyFill="1" applyBorder="1" applyAlignment="1">
      <alignment vertical="top" wrapText="1"/>
    </xf>
    <xf numFmtId="0" fontId="112" fillId="49" borderId="29" xfId="1384" applyFont="1" applyFill="1" applyBorder="1" applyAlignment="1">
      <alignment horizontal="left" vertical="top" wrapText="1"/>
    </xf>
    <xf numFmtId="2" fontId="112" fillId="49" borderId="8" xfId="1384" applyNumberFormat="1" applyFont="1" applyFill="1" applyBorder="1" applyAlignment="1">
      <alignment horizontal="center" vertical="top"/>
    </xf>
    <xf numFmtId="2" fontId="112" fillId="49" borderId="8" xfId="1384" applyNumberFormat="1" applyFont="1" applyFill="1" applyBorder="1" applyAlignment="1">
      <alignment vertical="top"/>
    </xf>
    <xf numFmtId="0" fontId="94" fillId="49" borderId="0" xfId="1384" applyFont="1" applyFill="1"/>
    <xf numFmtId="0" fontId="112" fillId="49" borderId="8" xfId="1384" applyFont="1" applyFill="1" applyBorder="1" applyAlignment="1">
      <alignment horizontal="justify" vertical="top" wrapText="1"/>
    </xf>
    <xf numFmtId="0" fontId="112" fillId="49" borderId="28" xfId="1384" applyFont="1" applyFill="1" applyBorder="1" applyAlignment="1">
      <alignment vertical="top" wrapText="1"/>
    </xf>
    <xf numFmtId="0" fontId="112" fillId="49" borderId="29" xfId="1384" applyFont="1" applyFill="1" applyBorder="1" applyAlignment="1">
      <alignment vertical="top" wrapText="1"/>
    </xf>
    <xf numFmtId="0" fontId="112" fillId="49" borderId="8" xfId="1384" applyFont="1" applyFill="1" applyBorder="1" applyAlignment="1">
      <alignment vertical="top" wrapText="1"/>
    </xf>
    <xf numFmtId="0" fontId="112" fillId="49" borderId="28" xfId="1384" applyFont="1" applyFill="1" applyBorder="1" applyAlignment="1">
      <alignment horizontal="justify" vertical="top" wrapText="1"/>
    </xf>
    <xf numFmtId="0" fontId="113" fillId="49" borderId="8" xfId="1384" applyFont="1" applyFill="1" applyBorder="1" applyAlignment="1">
      <alignment horizontal="justify" vertical="top" wrapText="1"/>
    </xf>
    <xf numFmtId="2" fontId="112" fillId="49" borderId="28" xfId="1384" applyNumberFormat="1" applyFont="1" applyFill="1" applyBorder="1" applyAlignment="1">
      <alignment horizontal="center" vertical="top" wrapText="1"/>
    </xf>
    <xf numFmtId="2" fontId="112" fillId="49" borderId="29" xfId="1384" applyNumberFormat="1" applyFont="1" applyFill="1" applyBorder="1" applyAlignment="1">
      <alignment horizontal="center" vertical="top" wrapText="1"/>
    </xf>
    <xf numFmtId="1" fontId="113" fillId="49" borderId="28" xfId="1384" applyNumberFormat="1" applyFont="1" applyFill="1" applyBorder="1" applyAlignment="1">
      <alignment horizontal="center" vertical="top" wrapText="1"/>
    </xf>
    <xf numFmtId="1" fontId="113" fillId="49" borderId="29" xfId="1384" applyNumberFormat="1" applyFont="1" applyFill="1" applyBorder="1" applyAlignment="1">
      <alignment horizontal="center" vertical="top" wrapText="1"/>
    </xf>
    <xf numFmtId="2" fontId="112" fillId="49" borderId="8" xfId="1384" applyNumberFormat="1" applyFont="1" applyFill="1" applyBorder="1" applyAlignment="1">
      <alignment horizontal="right" vertical="top"/>
    </xf>
    <xf numFmtId="2" fontId="112" fillId="49" borderId="8" xfId="1384" applyNumberFormat="1" applyFont="1" applyFill="1" applyBorder="1" applyAlignment="1">
      <alignment horizontal="left" vertical="top"/>
    </xf>
    <xf numFmtId="4" fontId="112" fillId="49" borderId="29" xfId="1384" applyNumberFormat="1" applyFont="1" applyFill="1" applyBorder="1" applyAlignment="1">
      <alignment horizontal="left" vertical="top" wrapText="1"/>
    </xf>
    <xf numFmtId="0" fontId="112" fillId="49" borderId="8" xfId="1384" applyFont="1" applyFill="1" applyBorder="1" applyAlignment="1">
      <alignment horizontal="left" vertical="top" wrapText="1"/>
    </xf>
    <xf numFmtId="1" fontId="113" fillId="49" borderId="28" xfId="1384" applyNumberFormat="1" applyFont="1" applyFill="1" applyBorder="1" applyAlignment="1">
      <alignment vertical="top" wrapText="1"/>
    </xf>
    <xf numFmtId="2" fontId="113" fillId="49" borderId="8" xfId="1384" applyNumberFormat="1" applyFont="1" applyFill="1" applyBorder="1" applyAlignment="1">
      <alignment horizontal="right" vertical="top"/>
    </xf>
    <xf numFmtId="0" fontId="94" fillId="49" borderId="8" xfId="1384" applyFont="1" applyFill="1" applyBorder="1"/>
    <xf numFmtId="0" fontId="94" fillId="49" borderId="8" xfId="1384" applyFont="1" applyFill="1" applyBorder="1" applyAlignment="1">
      <alignment horizontal="center" vertical="top"/>
    </xf>
    <xf numFmtId="0" fontId="112" fillId="49" borderId="28" xfId="1384" applyFont="1" applyFill="1" applyBorder="1" applyAlignment="1">
      <alignment vertical="top"/>
    </xf>
    <xf numFmtId="0" fontId="112" fillId="49" borderId="8" xfId="1384" applyFont="1" applyFill="1" applyBorder="1" applyAlignment="1">
      <alignment vertical="top"/>
    </xf>
    <xf numFmtId="0" fontId="94" fillId="49" borderId="0" xfId="1384" applyFont="1" applyFill="1" applyAlignment="1">
      <alignment horizontal="center" vertical="top"/>
    </xf>
    <xf numFmtId="0" fontId="94" fillId="49" borderId="0" xfId="1384" applyFont="1" applyFill="1" applyAlignment="1">
      <alignment horizontal="center"/>
    </xf>
    <xf numFmtId="0" fontId="94" fillId="49" borderId="15" xfId="0" applyFont="1" applyFill="1" applyBorder="1" applyAlignment="1">
      <alignment vertical="top" wrapText="1"/>
    </xf>
    <xf numFmtId="171" fontId="94" fillId="49" borderId="0" xfId="0" applyNumberFormat="1" applyFont="1" applyFill="1" applyAlignment="1">
      <alignment horizontal="center" vertical="top" wrapText="1"/>
    </xf>
    <xf numFmtId="0" fontId="94" fillId="49" borderId="15" xfId="0" applyFont="1" applyFill="1" applyBorder="1" applyAlignment="1">
      <alignment horizontal="justify" vertical="top"/>
    </xf>
    <xf numFmtId="2" fontId="101" fillId="49" borderId="15" xfId="0" applyNumberFormat="1" applyFont="1" applyFill="1" applyBorder="1" applyAlignment="1">
      <alignment horizontal="center" vertical="top" shrinkToFit="1"/>
    </xf>
    <xf numFmtId="2" fontId="94" fillId="49" borderId="15" xfId="0" applyNumberFormat="1" applyFont="1" applyFill="1" applyBorder="1" applyAlignment="1">
      <alignment vertical="top" shrinkToFit="1"/>
    </xf>
    <xf numFmtId="171" fontId="101" fillId="49" borderId="15" xfId="0" applyNumberFormat="1" applyFont="1" applyFill="1" applyBorder="1" applyAlignment="1">
      <alignment horizontal="center" vertical="top" wrapText="1"/>
    </xf>
    <xf numFmtId="2" fontId="101" fillId="49" borderId="15" xfId="0" applyNumberFormat="1" applyFont="1" applyFill="1" applyBorder="1" applyAlignment="1">
      <alignment horizontal="right" vertical="top" shrinkToFit="1"/>
    </xf>
    <xf numFmtId="171" fontId="101" fillId="49" borderId="0" xfId="0" applyNumberFormat="1" applyFont="1" applyFill="1" applyAlignment="1">
      <alignment horizontal="center" vertical="top" wrapText="1"/>
    </xf>
    <xf numFmtId="166" fontId="94" fillId="49" borderId="15" xfId="0" applyNumberFormat="1" applyFont="1" applyFill="1" applyBorder="1" applyAlignment="1">
      <alignment horizontal="center" vertical="top" shrinkToFit="1"/>
    </xf>
    <xf numFmtId="0" fontId="104" fillId="49" borderId="15" xfId="0" applyFont="1" applyFill="1" applyBorder="1" applyAlignment="1">
      <alignment horizontal="justify" vertical="top" wrapText="1"/>
    </xf>
    <xf numFmtId="0" fontId="94" fillId="49" borderId="15" xfId="0" applyFont="1" applyFill="1" applyBorder="1" applyAlignment="1">
      <alignment horizontal="justify" vertical="justify" wrapText="1"/>
    </xf>
    <xf numFmtId="0" fontId="94" fillId="49" borderId="0" xfId="0" applyFont="1" applyFill="1" applyAlignment="1">
      <alignment horizontal="right" vertical="top"/>
    </xf>
    <xf numFmtId="0" fontId="94" fillId="49" borderId="15" xfId="0" applyFont="1" applyFill="1" applyBorder="1" applyAlignment="1">
      <alignment wrapText="1"/>
    </xf>
    <xf numFmtId="2" fontId="94" fillId="49" borderId="15" xfId="0" applyNumberFormat="1" applyFont="1" applyFill="1" applyBorder="1" applyAlignment="1">
      <alignment wrapText="1"/>
    </xf>
    <xf numFmtId="166" fontId="94" fillId="49" borderId="15" xfId="0" applyNumberFormat="1" applyFont="1" applyFill="1" applyBorder="1" applyAlignment="1">
      <alignment wrapText="1"/>
    </xf>
    <xf numFmtId="168" fontId="94" fillId="49" borderId="15" xfId="0" applyNumberFormat="1" applyFont="1" applyFill="1" applyBorder="1" applyAlignment="1">
      <alignment horizontal="right" wrapText="1"/>
    </xf>
    <xf numFmtId="168" fontId="101" fillId="49" borderId="15" xfId="0" applyNumberFormat="1" applyFont="1" applyFill="1" applyBorder="1" applyAlignment="1">
      <alignment horizontal="right" vertical="top" wrapText="1"/>
    </xf>
    <xf numFmtId="2" fontId="94" fillId="49" borderId="0" xfId="0" applyNumberFormat="1" applyFont="1" applyFill="1" applyAlignment="1">
      <alignment vertical="top"/>
    </xf>
    <xf numFmtId="2" fontId="94" fillId="49" borderId="20" xfId="0" applyNumberFormat="1" applyFont="1" applyFill="1" applyBorder="1" applyAlignment="1">
      <alignment vertical="top"/>
    </xf>
    <xf numFmtId="168" fontId="101" fillId="49" borderId="15" xfId="0" applyNumberFormat="1" applyFont="1" applyFill="1" applyBorder="1" applyAlignment="1">
      <alignment horizontal="right" wrapText="1"/>
    </xf>
    <xf numFmtId="0" fontId="104" fillId="49" borderId="15" xfId="0" applyFont="1" applyFill="1" applyBorder="1" applyAlignment="1">
      <alignment horizontal="justify" vertical="justify" wrapText="1"/>
    </xf>
    <xf numFmtId="0" fontId="97" fillId="49" borderId="26" xfId="0" applyFont="1" applyFill="1" applyBorder="1" applyAlignment="1">
      <alignment horizontal="justify" vertical="top" wrapText="1"/>
    </xf>
    <xf numFmtId="0" fontId="97" fillId="49" borderId="26" xfId="0" quotePrefix="1" applyFont="1" applyFill="1" applyBorder="1" applyAlignment="1">
      <alignment horizontal="justify" vertical="top" wrapText="1"/>
    </xf>
    <xf numFmtId="2" fontId="112" fillId="49" borderId="8" xfId="1384" applyNumberFormat="1" applyFont="1" applyFill="1" applyBorder="1" applyAlignment="1">
      <alignment horizontal="center" vertical="top" wrapText="1"/>
    </xf>
    <xf numFmtId="2" fontId="112" fillId="49" borderId="8" xfId="1384" applyNumberFormat="1" applyFont="1" applyFill="1" applyBorder="1" applyAlignment="1">
      <alignment horizontal="justify" vertical="top" wrapText="1"/>
    </xf>
    <xf numFmtId="1" fontId="112" fillId="49" borderId="28" xfId="1384" applyNumberFormat="1" applyFont="1" applyFill="1" applyBorder="1" applyAlignment="1">
      <alignment horizontal="right" vertical="top" wrapText="1"/>
    </xf>
    <xf numFmtId="2" fontId="112" fillId="49" borderId="8" xfId="1384" applyNumberFormat="1" applyFont="1" applyFill="1" applyBorder="1" applyAlignment="1">
      <alignment horizontal="justify" vertical="top"/>
    </xf>
    <xf numFmtId="166" fontId="112" fillId="49" borderId="28" xfId="1384" applyNumberFormat="1" applyFont="1" applyFill="1" applyBorder="1" applyAlignment="1">
      <alignment horizontal="right" vertical="top" wrapText="1"/>
    </xf>
    <xf numFmtId="2" fontId="113" fillId="49" borderId="28" xfId="1384" applyNumberFormat="1" applyFont="1" applyFill="1" applyBorder="1" applyAlignment="1">
      <alignment vertical="top" wrapText="1"/>
    </xf>
    <xf numFmtId="0" fontId="113" fillId="49" borderId="29" xfId="1384" applyFont="1" applyFill="1" applyBorder="1" applyAlignment="1">
      <alignment horizontal="left" vertical="top" wrapText="1"/>
    </xf>
    <xf numFmtId="2" fontId="113" fillId="49" borderId="8" xfId="1384" applyNumberFormat="1" applyFont="1" applyFill="1" applyBorder="1" applyAlignment="1">
      <alignment horizontal="center" vertical="top"/>
    </xf>
    <xf numFmtId="2" fontId="112" fillId="49" borderId="28" xfId="1384" applyNumberFormat="1" applyFont="1" applyFill="1" applyBorder="1" applyAlignment="1">
      <alignment horizontal="justify" vertical="top" wrapText="1"/>
    </xf>
    <xf numFmtId="0" fontId="112" fillId="49" borderId="8" xfId="1384" applyFont="1" applyFill="1" applyBorder="1" applyAlignment="1">
      <alignment horizontal="left" vertical="top"/>
    </xf>
    <xf numFmtId="10" fontId="112" fillId="49" borderId="8" xfId="1384" applyNumberFormat="1" applyFont="1" applyFill="1" applyBorder="1" applyAlignment="1">
      <alignment horizontal="center" vertical="top"/>
    </xf>
    <xf numFmtId="0" fontId="112" fillId="49" borderId="29" xfId="1384" applyFont="1" applyFill="1" applyBorder="1" applyAlignment="1">
      <alignment vertical="top"/>
    </xf>
    <xf numFmtId="0" fontId="94" fillId="49" borderId="28" xfId="1384" applyFont="1" applyFill="1" applyBorder="1"/>
    <xf numFmtId="0" fontId="94" fillId="49" borderId="29" xfId="1384" applyFont="1" applyFill="1" applyBorder="1"/>
    <xf numFmtId="0" fontId="112" fillId="49" borderId="28" xfId="1384" applyFont="1" applyFill="1" applyBorder="1" applyAlignment="1">
      <alignment horizontal="right" vertical="top" wrapText="1"/>
    </xf>
    <xf numFmtId="2" fontId="112" fillId="49" borderId="8" xfId="1384" applyNumberFormat="1" applyFont="1" applyFill="1" applyBorder="1" applyAlignment="1">
      <alignment horizontal="right" vertical="top" wrapText="1"/>
    </xf>
    <xf numFmtId="0" fontId="113" fillId="49" borderId="8" xfId="1384" applyFont="1" applyFill="1" applyBorder="1" applyAlignment="1">
      <alignment horizontal="center" vertical="top" wrapText="1"/>
    </xf>
    <xf numFmtId="2" fontId="113" fillId="49" borderId="28" xfId="1384" applyNumberFormat="1" applyFont="1" applyFill="1" applyBorder="1" applyAlignment="1">
      <alignment horizontal="right" vertical="top" wrapText="1"/>
    </xf>
    <xf numFmtId="0" fontId="113" fillId="49" borderId="29" xfId="1384" applyFont="1" applyFill="1" applyBorder="1" applyAlignment="1">
      <alignment horizontal="justify" vertical="top" wrapText="1"/>
    </xf>
    <xf numFmtId="2" fontId="113" fillId="49" borderId="8" xfId="1384" applyNumberFormat="1" applyFont="1" applyFill="1" applyBorder="1" applyAlignment="1">
      <alignment vertical="top"/>
    </xf>
    <xf numFmtId="2" fontId="112" fillId="0" borderId="15" xfId="1425" applyNumberFormat="1" applyFont="1" applyBorder="1" applyAlignment="1">
      <alignment horizontal="center" vertical="top" wrapText="1"/>
    </xf>
    <xf numFmtId="1" fontId="1" fillId="0" borderId="15" xfId="1425" applyNumberFormat="1" applyFont="1" applyBorder="1" applyAlignment="1">
      <alignment horizontal="center" vertical="top" wrapText="1"/>
    </xf>
    <xf numFmtId="2" fontId="1" fillId="0" borderId="15" xfId="1425" applyNumberFormat="1" applyFont="1" applyBorder="1" applyAlignment="1">
      <alignment horizontal="center" vertical="top" wrapText="1"/>
    </xf>
    <xf numFmtId="0" fontId="68" fillId="0" borderId="0" xfId="121" applyFont="1" applyAlignment="1">
      <alignment horizontal="center" vertical="center"/>
    </xf>
    <xf numFmtId="0" fontId="76" fillId="0" borderId="0" xfId="121" applyFont="1" applyAlignment="1">
      <alignment horizontal="left" vertical="center"/>
    </xf>
    <xf numFmtId="0" fontId="76" fillId="0" borderId="0" xfId="121" applyFont="1" applyAlignment="1">
      <alignment horizontal="left" vertical="center" wrapText="1"/>
    </xf>
    <xf numFmtId="0" fontId="23" fillId="0" borderId="0" xfId="121"/>
    <xf numFmtId="0" fontId="68" fillId="0" borderId="0" xfId="121" applyFont="1" applyAlignment="1">
      <alignment horizontal="center" textRotation="90"/>
    </xf>
    <xf numFmtId="0" fontId="68" fillId="0" borderId="0" xfId="121" applyFont="1" applyAlignment="1">
      <alignment vertical="center" textRotation="90"/>
    </xf>
    <xf numFmtId="0" fontId="69" fillId="0" borderId="0" xfId="121" applyFont="1" applyAlignment="1">
      <alignment horizontal="center" vertical="center"/>
    </xf>
    <xf numFmtId="0" fontId="71" fillId="0" borderId="0" xfId="121" applyFont="1" applyAlignment="1">
      <alignment horizontal="center" vertical="center"/>
    </xf>
    <xf numFmtId="0" fontId="72" fillId="0" borderId="0" xfId="121" applyFont="1"/>
    <xf numFmtId="0" fontId="75" fillId="0" borderId="0" xfId="121" applyFont="1" applyAlignment="1">
      <alignment horizontal="left" vertical="top"/>
    </xf>
    <xf numFmtId="0" fontId="74" fillId="0" borderId="0" xfId="121" applyFont="1" applyAlignment="1">
      <alignment horizontal="justify" vertical="top" wrapText="1"/>
    </xf>
    <xf numFmtId="0" fontId="73" fillId="0" borderId="0" xfId="121" applyFont="1" applyAlignment="1">
      <alignment horizontal="left" vertical="center" wrapText="1"/>
    </xf>
    <xf numFmtId="0" fontId="128" fillId="0" borderId="0" xfId="96" applyFont="1" applyAlignment="1">
      <alignment horizontal="justify" vertical="top" wrapText="1"/>
    </xf>
    <xf numFmtId="0" fontId="123" fillId="0" borderId="0" xfId="859" applyFont="1" applyAlignment="1">
      <alignment horizontal="center"/>
    </xf>
    <xf numFmtId="0" fontId="126" fillId="0" borderId="0" xfId="859" applyFont="1" applyAlignment="1">
      <alignment horizontal="justify" vertical="top" wrapText="1"/>
    </xf>
    <xf numFmtId="0" fontId="126" fillId="0" borderId="0" xfId="859" applyFont="1" applyAlignment="1">
      <alignment horizontal="left" vertical="top" wrapText="1"/>
    </xf>
    <xf numFmtId="0" fontId="127" fillId="0" borderId="0" xfId="859" applyFont="1" applyAlignment="1">
      <alignment horizontal="right"/>
    </xf>
    <xf numFmtId="0" fontId="128" fillId="0" borderId="0" xfId="1384" applyFont="1" applyAlignment="1">
      <alignment horizontal="justify" vertical="top" wrapText="1"/>
    </xf>
    <xf numFmtId="0" fontId="34" fillId="0" borderId="0" xfId="1427" applyFont="1" applyAlignment="1">
      <alignment horizontal="center" vertical="top" wrapText="1"/>
    </xf>
    <xf numFmtId="0" fontId="122" fillId="0" borderId="0" xfId="969" applyFont="1" applyAlignment="1">
      <alignment horizontal="center" vertical="center" wrapText="1"/>
    </xf>
    <xf numFmtId="49" fontId="120" fillId="0" borderId="0" xfId="969" applyNumberFormat="1" applyFont="1" applyAlignment="1">
      <alignment horizontal="center" vertical="center" wrapText="1"/>
    </xf>
    <xf numFmtId="0" fontId="119" fillId="0" borderId="0" xfId="95" applyFont="1" applyAlignment="1">
      <alignment horizontal="center" vertical="top"/>
    </xf>
    <xf numFmtId="0" fontId="101" fillId="0" borderId="0" xfId="95" applyFont="1" applyAlignment="1">
      <alignment horizontal="center" vertical="top" wrapText="1"/>
    </xf>
    <xf numFmtId="0" fontId="101" fillId="0" borderId="15" xfId="95" applyFont="1" applyBorder="1" applyAlignment="1">
      <alignment horizontal="center" vertical="top" wrapText="1"/>
    </xf>
    <xf numFmtId="0" fontId="96" fillId="0" borderId="0" xfId="0" applyFont="1" applyAlignment="1">
      <alignment horizontal="right" vertical="top" wrapText="1"/>
    </xf>
    <xf numFmtId="2" fontId="96" fillId="0" borderId="0" xfId="0" applyNumberFormat="1" applyFont="1" applyAlignment="1">
      <alignment horizontal="left" vertical="top" wrapText="1"/>
    </xf>
    <xf numFmtId="0" fontId="93" fillId="0" borderId="0" xfId="0" applyFont="1" applyAlignment="1">
      <alignment horizontal="center" vertical="top"/>
    </xf>
    <xf numFmtId="0" fontId="94" fillId="0" borderId="0" xfId="0" applyFont="1" applyAlignment="1">
      <alignment horizontal="right" vertical="top" wrapText="1"/>
    </xf>
    <xf numFmtId="0" fontId="95" fillId="0" borderId="0" xfId="0" applyFont="1" applyAlignment="1">
      <alignment horizontal="left" vertical="top" wrapText="1"/>
    </xf>
    <xf numFmtId="1" fontId="95" fillId="0" borderId="15" xfId="0" applyNumberFormat="1" applyFont="1" applyBorder="1" applyAlignment="1">
      <alignment horizontal="center" vertical="center" wrapText="1"/>
    </xf>
    <xf numFmtId="0" fontId="95" fillId="0" borderId="15" xfId="0" applyFont="1" applyBorder="1" applyAlignment="1">
      <alignment horizontal="center" vertical="center" wrapText="1"/>
    </xf>
    <xf numFmtId="0" fontId="94" fillId="0" borderId="15" xfId="0" applyFont="1" applyFill="1" applyBorder="1" applyAlignment="1">
      <alignment horizontal="justify" vertical="top" wrapText="1"/>
    </xf>
    <xf numFmtId="0" fontId="94" fillId="49" borderId="15" xfId="0" applyFont="1" applyFill="1" applyBorder="1" applyAlignment="1">
      <alignment horizontal="justify" vertical="top" wrapText="1"/>
    </xf>
    <xf numFmtId="0" fontId="95" fillId="0" borderId="15" xfId="0" applyFont="1" applyFill="1" applyBorder="1" applyAlignment="1">
      <alignment horizontal="center" vertical="center" wrapText="1"/>
    </xf>
    <xf numFmtId="0" fontId="94" fillId="0" borderId="17" xfId="0" applyFont="1" applyFill="1" applyBorder="1" applyAlignment="1">
      <alignment horizontal="justify" vertical="top" wrapText="1"/>
    </xf>
    <xf numFmtId="0" fontId="94" fillId="0" borderId="18" xfId="0" applyFont="1" applyFill="1" applyBorder="1" applyAlignment="1">
      <alignment horizontal="justify" vertical="top" wrapText="1"/>
    </xf>
    <xf numFmtId="0" fontId="94" fillId="0" borderId="19" xfId="0" applyFont="1" applyFill="1" applyBorder="1" applyAlignment="1">
      <alignment horizontal="justify" vertical="top" wrapText="1"/>
    </xf>
    <xf numFmtId="0" fontId="94" fillId="49" borderId="17" xfId="0" applyFont="1" applyFill="1" applyBorder="1" applyAlignment="1">
      <alignment horizontal="justify" vertical="top" wrapText="1"/>
    </xf>
    <xf numFmtId="0" fontId="94" fillId="49" borderId="18" xfId="0" applyFont="1" applyFill="1" applyBorder="1" applyAlignment="1">
      <alignment horizontal="justify" vertical="top" wrapText="1"/>
    </xf>
    <xf numFmtId="0" fontId="94" fillId="49" borderId="19" xfId="0" applyFont="1" applyFill="1" applyBorder="1" applyAlignment="1">
      <alignment horizontal="justify" vertical="top" wrapText="1"/>
    </xf>
    <xf numFmtId="0" fontId="93" fillId="0" borderId="0" xfId="0" applyFont="1" applyFill="1" applyAlignment="1">
      <alignment horizontal="center" vertical="top"/>
    </xf>
    <xf numFmtId="0" fontId="94" fillId="0" borderId="0" xfId="0" applyFont="1" applyFill="1" applyAlignment="1">
      <alignment horizontal="right" vertical="top" wrapText="1"/>
    </xf>
    <xf numFmtId="0" fontId="95" fillId="0" borderId="0" xfId="0" applyFont="1" applyFill="1" applyAlignment="1">
      <alignment horizontal="left" vertical="top" wrapText="1"/>
    </xf>
    <xf numFmtId="0" fontId="96" fillId="0" borderId="0" xfId="0" applyFont="1" applyFill="1" applyAlignment="1">
      <alignment horizontal="right" vertical="top" wrapText="1"/>
    </xf>
    <xf numFmtId="2" fontId="96" fillId="0" borderId="0" xfId="0" applyNumberFormat="1" applyFont="1" applyFill="1" applyAlignment="1">
      <alignment horizontal="left" vertical="top" wrapText="1"/>
    </xf>
    <xf numFmtId="0" fontId="95" fillId="0" borderId="17" xfId="0" applyFont="1" applyFill="1" applyBorder="1" applyAlignment="1">
      <alignment horizontal="center" vertical="center" wrapText="1"/>
    </xf>
    <xf numFmtId="0" fontId="95" fillId="0" borderId="19" xfId="0" applyFont="1" applyFill="1" applyBorder="1" applyAlignment="1">
      <alignment horizontal="center" vertical="center" wrapText="1"/>
    </xf>
    <xf numFmtId="1" fontId="95" fillId="0" borderId="15" xfId="0" applyNumberFormat="1" applyFont="1" applyFill="1" applyBorder="1" applyAlignment="1">
      <alignment horizontal="center" vertical="center" wrapText="1"/>
    </xf>
    <xf numFmtId="0" fontId="94" fillId="0" borderId="15" xfId="94" applyFont="1" applyFill="1" applyBorder="1" applyAlignment="1">
      <alignment horizontal="justify" vertical="top" wrapText="1"/>
    </xf>
    <xf numFmtId="0" fontId="94" fillId="0" borderId="17" xfId="0" applyFont="1" applyFill="1" applyBorder="1" applyAlignment="1">
      <alignment horizontal="center" vertical="top" wrapText="1"/>
    </xf>
    <xf numFmtId="0" fontId="94" fillId="0" borderId="18" xfId="0" applyFont="1" applyFill="1" applyBorder="1" applyAlignment="1">
      <alignment horizontal="center" vertical="top" wrapText="1"/>
    </xf>
    <xf numFmtId="0" fontId="94" fillId="0" borderId="19" xfId="0" applyFont="1" applyFill="1" applyBorder="1" applyAlignment="1">
      <alignment horizontal="center" vertical="top" wrapText="1"/>
    </xf>
    <xf numFmtId="0" fontId="94" fillId="0" borderId="15" xfId="1384" applyFont="1" applyFill="1" applyBorder="1" applyAlignment="1">
      <alignment horizontal="justify" vertical="top"/>
    </xf>
    <xf numFmtId="0" fontId="94" fillId="0" borderId="15" xfId="1384" applyFont="1" applyFill="1" applyBorder="1" applyAlignment="1">
      <alignment horizontal="justify" vertical="top" wrapText="1"/>
    </xf>
    <xf numFmtId="0" fontId="104" fillId="0" borderId="15" xfId="0" applyFont="1" applyFill="1" applyBorder="1" applyAlignment="1">
      <alignment horizontal="justify" vertical="top" wrapText="1"/>
    </xf>
    <xf numFmtId="0" fontId="94" fillId="0" borderId="15" xfId="0" applyFont="1" applyBorder="1" applyAlignment="1">
      <alignment horizontal="justify" vertical="top" wrapText="1"/>
    </xf>
    <xf numFmtId="0" fontId="94" fillId="0" borderId="17" xfId="0" applyFont="1" applyBorder="1" applyAlignment="1">
      <alignment horizontal="justify" vertical="top" wrapText="1"/>
    </xf>
    <xf numFmtId="0" fontId="94" fillId="0" borderId="18" xfId="0" applyFont="1" applyBorder="1" applyAlignment="1">
      <alignment horizontal="justify" vertical="top" wrapText="1"/>
    </xf>
    <xf numFmtId="0" fontId="94" fillId="0" borderId="19" xfId="0" applyFont="1" applyBorder="1" applyAlignment="1">
      <alignment horizontal="justify" vertical="top" wrapText="1"/>
    </xf>
    <xf numFmtId="0" fontId="95" fillId="0" borderId="0" xfId="0" applyFont="1" applyAlignment="1">
      <alignment horizontal="center" vertical="top" wrapText="1"/>
    </xf>
    <xf numFmtId="0" fontId="95" fillId="0" borderId="17" xfId="0" applyFont="1" applyBorder="1" applyAlignment="1">
      <alignment horizontal="center" vertical="center" wrapText="1"/>
    </xf>
    <xf numFmtId="0" fontId="95" fillId="0" borderId="19" xfId="0" applyFont="1" applyBorder="1" applyAlignment="1">
      <alignment horizontal="center" vertical="center" wrapText="1"/>
    </xf>
    <xf numFmtId="0" fontId="101" fillId="0" borderId="17" xfId="94" applyFont="1" applyBorder="1" applyAlignment="1">
      <alignment horizontal="center" vertical="top" wrapText="1"/>
    </xf>
    <xf numFmtId="0" fontId="101" fillId="0" borderId="18" xfId="94" applyFont="1" applyBorder="1" applyAlignment="1">
      <alignment horizontal="center" vertical="top" wrapText="1"/>
    </xf>
    <xf numFmtId="0" fontId="101" fillId="0" borderId="19" xfId="94" applyFont="1" applyBorder="1" applyAlignment="1">
      <alignment horizontal="center" vertical="top" wrapText="1"/>
    </xf>
    <xf numFmtId="0" fontId="101" fillId="0" borderId="17" xfId="94" applyFont="1" applyFill="1" applyBorder="1" applyAlignment="1">
      <alignment horizontal="center" vertical="top" wrapText="1"/>
    </xf>
    <xf numFmtId="0" fontId="101" fillId="0" borderId="18" xfId="94" applyFont="1" applyFill="1" applyBorder="1" applyAlignment="1">
      <alignment horizontal="center" vertical="top" wrapText="1"/>
    </xf>
    <xf numFmtId="0" fontId="101" fillId="0" borderId="19" xfId="94" applyFont="1" applyFill="1" applyBorder="1" applyAlignment="1">
      <alignment horizontal="center" vertical="top" wrapText="1"/>
    </xf>
    <xf numFmtId="0" fontId="104" fillId="49" borderId="15" xfId="0" applyFont="1" applyFill="1" applyBorder="1" applyAlignment="1">
      <alignment horizontal="justify" vertical="top" wrapText="1"/>
    </xf>
    <xf numFmtId="0" fontId="95" fillId="0" borderId="22" xfId="0" applyFont="1" applyFill="1" applyBorder="1" applyAlignment="1">
      <alignment horizontal="left" vertical="top" wrapText="1"/>
    </xf>
    <xf numFmtId="0" fontId="117" fillId="0" borderId="0" xfId="0" applyFont="1" applyFill="1" applyAlignment="1">
      <alignment horizontal="center"/>
    </xf>
    <xf numFmtId="0" fontId="94" fillId="0" borderId="15" xfId="0" applyFont="1" applyBorder="1" applyAlignment="1">
      <alignment horizontal="center" vertical="center" wrapText="1"/>
    </xf>
    <xf numFmtId="0" fontId="94" fillId="0" borderId="15" xfId="0" applyFont="1" applyFill="1" applyBorder="1" applyAlignment="1">
      <alignment horizontal="center" vertical="center" wrapText="1"/>
    </xf>
    <xf numFmtId="0" fontId="96" fillId="0" borderId="22" xfId="0" applyFont="1" applyFill="1" applyBorder="1" applyAlignment="1">
      <alignment horizontal="center"/>
    </xf>
    <xf numFmtId="0" fontId="138" fillId="0" borderId="17" xfId="1384" applyFont="1" applyBorder="1" applyAlignment="1">
      <alignment horizontal="center" vertical="center"/>
    </xf>
    <xf numFmtId="0" fontId="138" fillId="0" borderId="18" xfId="1384" applyFont="1" applyBorder="1" applyAlignment="1">
      <alignment horizontal="center" vertical="center"/>
    </xf>
    <xf numFmtId="0" fontId="138" fillId="0" borderId="19" xfId="1384" applyFont="1" applyBorder="1" applyAlignment="1">
      <alignment horizontal="center" vertical="center"/>
    </xf>
    <xf numFmtId="0" fontId="157" fillId="0" borderId="0" xfId="1384" applyFont="1" applyAlignment="1">
      <alignment horizontal="center" vertical="center" wrapText="1"/>
    </xf>
    <xf numFmtId="0" fontId="157" fillId="0" borderId="0" xfId="1384" applyFont="1" applyAlignment="1">
      <alignment horizontal="center" vertical="center"/>
    </xf>
    <xf numFmtId="0" fontId="129" fillId="0" borderId="0" xfId="1384" applyFont="1" applyAlignment="1">
      <alignment horizontal="center" vertical="center" wrapText="1"/>
    </xf>
    <xf numFmtId="0" fontId="167" fillId="0" borderId="15" xfId="0" applyFont="1" applyBorder="1" applyAlignment="1">
      <alignment horizontal="center" vertical="center" wrapText="1"/>
    </xf>
    <xf numFmtId="2" fontId="167" fillId="0" borderId="15" xfId="0" applyNumberFormat="1" applyFont="1" applyBorder="1" applyAlignment="1">
      <alignment horizontal="center" vertical="center" wrapText="1"/>
    </xf>
    <xf numFmtId="0" fontId="169" fillId="0" borderId="0" xfId="1385" applyFont="1" applyAlignment="1">
      <alignment horizontal="center" vertical="center" wrapText="1"/>
    </xf>
    <xf numFmtId="0" fontId="96" fillId="0" borderId="0" xfId="0" applyFont="1" applyAlignment="1">
      <alignment horizontal="center" vertical="center" wrapText="1"/>
    </xf>
    <xf numFmtId="0" fontId="101" fillId="0" borderId="0" xfId="0" applyFont="1" applyAlignment="1">
      <alignment horizontal="left" vertical="center" wrapText="1"/>
    </xf>
    <xf numFmtId="0" fontId="103" fillId="0" borderId="0" xfId="0" applyFont="1" applyFill="1" applyAlignment="1">
      <alignment horizontal="center" vertical="top"/>
    </xf>
    <xf numFmtId="0" fontId="101" fillId="0" borderId="0" xfId="0" applyFont="1" applyFill="1" applyAlignment="1">
      <alignment horizontal="center" vertical="top" wrapText="1"/>
    </xf>
    <xf numFmtId="0" fontId="101" fillId="0" borderId="0" xfId="1384" applyFont="1" applyAlignment="1">
      <alignment horizontal="center" vertical="top" wrapText="1"/>
    </xf>
    <xf numFmtId="0" fontId="111" fillId="0" borderId="8" xfId="1384" applyFont="1" applyFill="1" applyBorder="1" applyAlignment="1">
      <alignment horizontal="center"/>
    </xf>
    <xf numFmtId="0" fontId="105" fillId="0" borderId="8" xfId="1384" applyFont="1" applyFill="1" applyBorder="1" applyAlignment="1">
      <alignment horizontal="center" vertical="top" wrapText="1"/>
    </xf>
    <xf numFmtId="169" fontId="105" fillId="0" borderId="8" xfId="1384" applyNumberFormat="1" applyFont="1" applyFill="1" applyBorder="1" applyAlignment="1">
      <alignment horizontal="center" vertical="top" wrapText="1"/>
    </xf>
    <xf numFmtId="171" fontId="105" fillId="0" borderId="8" xfId="1384" applyNumberFormat="1" applyFont="1" applyFill="1" applyBorder="1" applyAlignment="1">
      <alignment horizontal="center" vertical="top" wrapText="1"/>
    </xf>
    <xf numFmtId="0" fontId="172" fillId="0" borderId="8" xfId="1419" applyFont="1" applyBorder="1" applyAlignment="1">
      <alignment horizontal="center"/>
    </xf>
    <xf numFmtId="0" fontId="173" fillId="0" borderId="8" xfId="1419" applyFont="1" applyBorder="1" applyAlignment="1">
      <alignment horizontal="center"/>
    </xf>
    <xf numFmtId="0" fontId="174" fillId="0" borderId="8" xfId="1419" applyFont="1" applyBorder="1" applyAlignment="1">
      <alignment horizontal="center" vertical="center" wrapText="1"/>
    </xf>
    <xf numFmtId="0" fontId="119" fillId="0" borderId="15" xfId="94" applyFont="1" applyBorder="1" applyAlignment="1">
      <alignment horizontal="center" vertical="top" wrapText="1"/>
    </xf>
    <xf numFmtId="0" fontId="101" fillId="0" borderId="15" xfId="94" applyFont="1" applyBorder="1" applyAlignment="1">
      <alignment horizontal="center" vertical="top" wrapText="1"/>
    </xf>
    <xf numFmtId="0" fontId="101" fillId="0" borderId="0" xfId="1384" applyFont="1" applyFill="1" applyAlignment="1">
      <alignment horizontal="center" vertical="top" wrapText="1"/>
    </xf>
    <xf numFmtId="0" fontId="101" fillId="0" borderId="4" xfId="0" applyFont="1" applyFill="1" applyBorder="1" applyAlignment="1">
      <alignment horizontal="center" vertical="top" wrapText="1"/>
    </xf>
    <xf numFmtId="0" fontId="119" fillId="46" borderId="15" xfId="94" applyFont="1" applyFill="1" applyBorder="1" applyAlignment="1">
      <alignment horizontal="center" vertical="top" wrapText="1"/>
    </xf>
    <xf numFmtId="0" fontId="101" fillId="46" borderId="15" xfId="94" applyFont="1" applyFill="1" applyBorder="1" applyAlignment="1">
      <alignment horizontal="center" vertical="top" wrapText="1"/>
    </xf>
    <xf numFmtId="2" fontId="94" fillId="0" borderId="47" xfId="1424" applyNumberFormat="1" applyFont="1" applyBorder="1" applyAlignment="1">
      <alignment horizontal="center" vertical="center" wrapText="1"/>
    </xf>
    <xf numFmtId="2" fontId="94" fillId="0" borderId="46" xfId="1424" applyNumberFormat="1" applyFont="1" applyBorder="1" applyAlignment="1">
      <alignment horizontal="center" vertical="center" wrapText="1"/>
    </xf>
    <xf numFmtId="2" fontId="94" fillId="0" borderId="16" xfId="1424" applyNumberFormat="1" applyFont="1" applyBorder="1" applyAlignment="1">
      <alignment horizontal="center" vertical="center" wrapText="1"/>
    </xf>
    <xf numFmtId="49" fontId="94" fillId="0" borderId="15" xfId="969" applyNumberFormat="1" applyFont="1" applyFill="1" applyBorder="1" applyAlignment="1">
      <alignment horizontal="left" vertical="top" wrapText="1"/>
    </xf>
    <xf numFmtId="0" fontId="94" fillId="0" borderId="15" xfId="969" applyFont="1" applyFill="1" applyBorder="1" applyAlignment="1">
      <alignment horizontal="left" vertical="top" wrapText="1"/>
    </xf>
    <xf numFmtId="49" fontId="120" fillId="0" borderId="0" xfId="969" applyNumberFormat="1" applyFont="1" applyFill="1" applyAlignment="1">
      <alignment horizontal="center" vertical="top" wrapText="1"/>
    </xf>
    <xf numFmtId="49" fontId="121" fillId="0" borderId="0" xfId="969" applyNumberFormat="1" applyFont="1" applyFill="1" applyAlignment="1">
      <alignment horizontal="center" vertical="top" wrapText="1"/>
    </xf>
    <xf numFmtId="2" fontId="121" fillId="0" borderId="0" xfId="969" applyNumberFormat="1" applyFont="1" applyFill="1" applyAlignment="1">
      <alignment horizontal="center" vertical="top" wrapText="1"/>
    </xf>
    <xf numFmtId="0" fontId="121" fillId="0" borderId="0" xfId="969" applyFont="1" applyFill="1" applyAlignment="1">
      <alignment horizontal="center" vertical="top" wrapText="1"/>
    </xf>
    <xf numFmtId="0" fontId="122" fillId="0" borderId="0" xfId="969" applyFont="1" applyFill="1" applyAlignment="1">
      <alignment horizontal="center" vertical="top" wrapText="1"/>
    </xf>
    <xf numFmtId="2" fontId="122" fillId="0" borderId="0" xfId="969" applyNumberFormat="1" applyFont="1" applyFill="1" applyAlignment="1">
      <alignment horizontal="center" vertical="top" wrapText="1"/>
    </xf>
    <xf numFmtId="2" fontId="122" fillId="0" borderId="0" xfId="969" applyNumberFormat="1" applyFont="1" applyFill="1" applyAlignment="1">
      <alignment horizontal="left" vertical="top" wrapText="1"/>
    </xf>
    <xf numFmtId="0" fontId="100" fillId="0" borderId="0" xfId="969" applyFont="1" applyFill="1" applyAlignment="1">
      <alignment horizontal="left" vertical="top" wrapText="1"/>
    </xf>
    <xf numFmtId="49" fontId="122" fillId="0" borderId="15" xfId="969" applyNumberFormat="1" applyFont="1" applyFill="1" applyBorder="1" applyAlignment="1">
      <alignment horizontal="center" vertical="top" wrapText="1"/>
    </xf>
    <xf numFmtId="0" fontId="122" fillId="0" borderId="15" xfId="969" applyFont="1" applyFill="1" applyBorder="1" applyAlignment="1">
      <alignment horizontal="center" vertical="top" wrapText="1"/>
    </xf>
    <xf numFmtId="2" fontId="122" fillId="0" borderId="15" xfId="969" applyNumberFormat="1" applyFont="1" applyFill="1" applyBorder="1" applyAlignment="1">
      <alignment horizontal="center" vertical="top" wrapText="1"/>
    </xf>
    <xf numFmtId="2" fontId="94" fillId="0" borderId="16" xfId="1424" applyNumberFormat="1" applyFont="1" applyBorder="1" applyAlignment="1">
      <alignment horizontal="center" vertical="top" wrapText="1"/>
    </xf>
    <xf numFmtId="49" fontId="94" fillId="0" borderId="15" xfId="969" applyNumberFormat="1" applyFont="1" applyBorder="1" applyAlignment="1">
      <alignment horizontal="left" vertical="top" wrapText="1"/>
    </xf>
    <xf numFmtId="0" fontId="94" fillId="0" borderId="15" xfId="969" applyFont="1" applyBorder="1" applyAlignment="1">
      <alignment horizontal="left" vertical="top" wrapText="1"/>
    </xf>
    <xf numFmtId="2" fontId="94" fillId="0" borderId="47" xfId="1424" applyNumberFormat="1" applyFont="1" applyBorder="1" applyAlignment="1">
      <alignment horizontal="center" vertical="top" wrapText="1"/>
    </xf>
    <xf numFmtId="2" fontId="94" fillId="0" borderId="46" xfId="1424" applyNumberFormat="1" applyFont="1" applyBorder="1" applyAlignment="1">
      <alignment horizontal="center" vertical="top" wrapText="1"/>
    </xf>
    <xf numFmtId="49" fontId="122" fillId="0" borderId="15" xfId="969" applyNumberFormat="1" applyFont="1" applyBorder="1" applyAlignment="1">
      <alignment horizontal="center" vertical="top" wrapText="1"/>
    </xf>
    <xf numFmtId="49" fontId="120" fillId="0" borderId="0" xfId="969" applyNumberFormat="1" applyFont="1" applyAlignment="1">
      <alignment horizontal="center" vertical="top" wrapText="1"/>
    </xf>
    <xf numFmtId="49" fontId="121" fillId="0" borderId="0" xfId="969" applyNumberFormat="1" applyFont="1" applyAlignment="1">
      <alignment horizontal="center" vertical="top" wrapText="1"/>
    </xf>
    <xf numFmtId="2" fontId="121" fillId="0" borderId="0" xfId="969" applyNumberFormat="1" applyFont="1" applyAlignment="1">
      <alignment horizontal="center" vertical="top" wrapText="1"/>
    </xf>
    <xf numFmtId="0" fontId="121" fillId="0" borderId="0" xfId="969" applyFont="1" applyAlignment="1">
      <alignment horizontal="center" vertical="top" wrapText="1"/>
    </xf>
    <xf numFmtId="0" fontId="122" fillId="0" borderId="0" xfId="969" applyFont="1" applyAlignment="1">
      <alignment horizontal="center" vertical="top" wrapText="1"/>
    </xf>
    <xf numFmtId="2" fontId="122" fillId="0" borderId="0" xfId="969" applyNumberFormat="1" applyFont="1" applyAlignment="1">
      <alignment horizontal="center" vertical="top" wrapText="1"/>
    </xf>
    <xf numFmtId="2" fontId="122" fillId="0" borderId="0" xfId="969" applyNumberFormat="1" applyFont="1" applyAlignment="1">
      <alignment horizontal="left" vertical="top" wrapText="1"/>
    </xf>
    <xf numFmtId="0" fontId="100" fillId="0" borderId="0" xfId="969" applyFont="1" applyAlignment="1">
      <alignment horizontal="left" vertical="top" wrapText="1"/>
    </xf>
    <xf numFmtId="0" fontId="122" fillId="0" borderId="15" xfId="969" applyFont="1" applyBorder="1" applyAlignment="1">
      <alignment horizontal="center" vertical="top" wrapText="1"/>
    </xf>
    <xf numFmtId="2" fontId="122" fillId="0" borderId="15" xfId="969" applyNumberFormat="1" applyFont="1" applyBorder="1" applyAlignment="1">
      <alignment horizontal="center" vertical="top" wrapText="1"/>
    </xf>
    <xf numFmtId="49" fontId="122" fillId="0" borderId="15" xfId="969" applyNumberFormat="1" applyFont="1" applyBorder="1" applyAlignment="1">
      <alignment horizontal="center" vertical="center" wrapText="1"/>
    </xf>
    <xf numFmtId="49" fontId="121" fillId="0" borderId="0" xfId="969" applyNumberFormat="1" applyFont="1" applyAlignment="1">
      <alignment horizontal="center" vertical="center" wrapText="1"/>
    </xf>
    <xf numFmtId="0" fontId="121" fillId="0" borderId="0" xfId="969" applyFont="1" applyAlignment="1">
      <alignment horizontal="center" vertical="center" wrapText="1"/>
    </xf>
    <xf numFmtId="2" fontId="122" fillId="0" borderId="0" xfId="969" applyNumberFormat="1" applyFont="1" applyAlignment="1">
      <alignment horizontal="left" vertical="center" wrapText="1"/>
    </xf>
    <xf numFmtId="0" fontId="100" fillId="0" borderId="0" xfId="969" applyFont="1" applyAlignment="1">
      <alignment horizontal="left" vertical="center" wrapText="1"/>
    </xf>
    <xf numFmtId="0" fontId="172" fillId="46" borderId="8" xfId="1419" applyFont="1" applyFill="1" applyBorder="1" applyAlignment="1">
      <alignment horizontal="center"/>
    </xf>
    <xf numFmtId="0" fontId="173" fillId="46" borderId="8" xfId="1419" applyFont="1" applyFill="1" applyBorder="1" applyAlignment="1">
      <alignment horizontal="center"/>
    </xf>
    <xf numFmtId="0" fontId="174" fillId="46" borderId="8" xfId="1419" applyFont="1" applyFill="1" applyBorder="1" applyAlignment="1">
      <alignment horizontal="center" vertical="center" wrapText="1"/>
    </xf>
    <xf numFmtId="0" fontId="117" fillId="0" borderId="0" xfId="0" applyFont="1" applyAlignment="1">
      <alignment horizontal="center"/>
    </xf>
    <xf numFmtId="1" fontId="117" fillId="0" borderId="0" xfId="0" applyNumberFormat="1" applyFont="1" applyAlignment="1">
      <alignment horizontal="center"/>
    </xf>
    <xf numFmtId="0" fontId="96" fillId="0" borderId="22" xfId="0" applyFont="1" applyBorder="1" applyAlignment="1">
      <alignment horizontal="center" vertical="center"/>
    </xf>
    <xf numFmtId="1" fontId="96" fillId="0" borderId="22" xfId="0" applyNumberFormat="1" applyFont="1" applyBorder="1" applyAlignment="1">
      <alignment horizontal="center" vertical="center"/>
    </xf>
    <xf numFmtId="0" fontId="159" fillId="0" borderId="0" xfId="1387" applyFont="1" applyAlignment="1">
      <alignment horizontal="center" vertical="top"/>
    </xf>
    <xf numFmtId="0" fontId="160" fillId="0" borderId="22" xfId="1387" applyFont="1" applyBorder="1" applyAlignment="1">
      <alignment horizontal="left" vertical="top"/>
    </xf>
    <xf numFmtId="0" fontId="100" fillId="0" borderId="17" xfId="1387" applyFont="1" applyBorder="1" applyAlignment="1">
      <alignment horizontal="left" vertical="top"/>
    </xf>
    <xf numFmtId="0" fontId="100" fillId="0" borderId="19" xfId="1387" applyFont="1" applyBorder="1" applyAlignment="1">
      <alignment horizontal="left" vertical="top"/>
    </xf>
    <xf numFmtId="0" fontId="94" fillId="0" borderId="17" xfId="1387" applyFont="1" applyBorder="1" applyAlignment="1">
      <alignment horizontal="justify" vertical="top" wrapText="1"/>
    </xf>
    <xf numFmtId="0" fontId="94" fillId="0" borderId="18" xfId="1387" applyFont="1" applyBorder="1" applyAlignment="1">
      <alignment horizontal="justify" vertical="top" wrapText="1"/>
    </xf>
    <xf numFmtId="0" fontId="94" fillId="0" borderId="19" xfId="1387" applyFont="1" applyBorder="1" applyAlignment="1">
      <alignment horizontal="justify" vertical="top" wrapText="1"/>
    </xf>
    <xf numFmtId="49" fontId="94" fillId="0" borderId="17" xfId="1387" applyNumberFormat="1" applyFont="1" applyBorder="1" applyAlignment="1">
      <alignment horizontal="justify" vertical="top" wrapText="1"/>
    </xf>
    <xf numFmtId="0" fontId="94" fillId="0" borderId="15" xfId="1387" applyFont="1" applyBorder="1" applyAlignment="1">
      <alignment horizontal="left" vertical="top" wrapText="1"/>
    </xf>
    <xf numFmtId="2" fontId="94" fillId="0" borderId="15" xfId="1387" applyNumberFormat="1" applyFont="1" applyBorder="1" applyAlignment="1">
      <alignment horizontal="left" vertical="top"/>
    </xf>
    <xf numFmtId="0" fontId="94" fillId="0" borderId="15" xfId="1387" applyFont="1" applyBorder="1" applyAlignment="1">
      <alignment horizontal="left" vertical="top"/>
    </xf>
    <xf numFmtId="0" fontId="116" fillId="0" borderId="15" xfId="1387" applyFont="1" applyBorder="1" applyAlignment="1">
      <alignment horizontal="left" vertical="top" wrapText="1"/>
    </xf>
    <xf numFmtId="0" fontId="94" fillId="0" borderId="17" xfId="1387" applyFont="1" applyBorder="1" applyAlignment="1">
      <alignment horizontal="left" vertical="top" wrapText="1"/>
    </xf>
    <xf numFmtId="0" fontId="94" fillId="0" borderId="18" xfId="1387" applyFont="1" applyBorder="1" applyAlignment="1">
      <alignment horizontal="left" vertical="top" wrapText="1"/>
    </xf>
    <xf numFmtId="0" fontId="94" fillId="0" borderId="19" xfId="1387" applyFont="1" applyBorder="1" applyAlignment="1">
      <alignment horizontal="left" vertical="top" wrapText="1"/>
    </xf>
    <xf numFmtId="0" fontId="94" fillId="0" borderId="15" xfId="1387" applyFont="1" applyBorder="1" applyAlignment="1">
      <alignment horizontal="center" vertical="top" wrapText="1"/>
    </xf>
    <xf numFmtId="0" fontId="103" fillId="0" borderId="17" xfId="1387" applyFont="1" applyBorder="1" applyAlignment="1">
      <alignment horizontal="left" vertical="top" wrapText="1"/>
    </xf>
    <xf numFmtId="0" fontId="103" fillId="0" borderId="18" xfId="1387" applyFont="1" applyBorder="1" applyAlignment="1">
      <alignment horizontal="left" vertical="top" wrapText="1"/>
    </xf>
    <xf numFmtId="0" fontId="103" fillId="0" borderId="19" xfId="1387" applyFont="1" applyBorder="1" applyAlignment="1">
      <alignment horizontal="left" vertical="top" wrapText="1"/>
    </xf>
    <xf numFmtId="0" fontId="94" fillId="0" borderId="15" xfId="1387" applyFont="1" applyBorder="1" applyAlignment="1">
      <alignment horizontal="justify" vertical="top" wrapText="1"/>
    </xf>
    <xf numFmtId="0" fontId="94" fillId="0" borderId="17" xfId="1387" applyFont="1" applyBorder="1" applyAlignment="1">
      <alignment horizontal="center" vertical="top" wrapText="1"/>
    </xf>
    <xf numFmtId="0" fontId="94" fillId="0" borderId="18" xfId="1387" applyFont="1" applyBorder="1" applyAlignment="1">
      <alignment horizontal="center" vertical="top" wrapText="1"/>
    </xf>
    <xf numFmtId="0" fontId="94" fillId="0" borderId="19" xfId="1387" applyFont="1" applyBorder="1" applyAlignment="1">
      <alignment horizontal="center" vertical="top" wrapText="1"/>
    </xf>
    <xf numFmtId="0" fontId="101" fillId="0" borderId="0" xfId="1388" applyFont="1" applyAlignment="1">
      <alignment horizontal="justify" vertical="center"/>
    </xf>
    <xf numFmtId="0" fontId="94" fillId="0" borderId="0" xfId="1388" applyFont="1" applyAlignment="1">
      <alignment horizontal="justify" vertical="center"/>
    </xf>
    <xf numFmtId="0" fontId="101" fillId="0" borderId="0" xfId="1388" applyFont="1" applyAlignment="1">
      <alignment horizontal="center" vertical="center"/>
    </xf>
    <xf numFmtId="0" fontId="94" fillId="0" borderId="0" xfId="1388" applyFont="1" applyAlignment="1">
      <alignment horizontal="center" vertical="center"/>
    </xf>
    <xf numFmtId="0" fontId="101" fillId="0" borderId="0" xfId="1388" applyFont="1" applyAlignment="1">
      <alignment horizontal="left" vertical="center"/>
    </xf>
    <xf numFmtId="0" fontId="94" fillId="0" borderId="0" xfId="1388" applyFont="1" applyAlignment="1">
      <alignment horizontal="left" vertical="center"/>
    </xf>
    <xf numFmtId="49" fontId="156" fillId="0" borderId="0" xfId="1388" applyNumberFormat="1" applyFont="1" applyAlignment="1">
      <alignment horizontal="center" vertical="center" wrapText="1"/>
    </xf>
    <xf numFmtId="0" fontId="93" fillId="0" borderId="0" xfId="1388" applyFont="1"/>
    <xf numFmtId="0" fontId="94" fillId="0" borderId="0" xfId="1388" applyFont="1" applyAlignment="1">
      <alignment horizontal="right" vertical="center"/>
    </xf>
    <xf numFmtId="0" fontId="163" fillId="0" borderId="0" xfId="1388" applyFont="1" applyAlignment="1">
      <alignment horizontal="center" vertical="center" wrapText="1"/>
    </xf>
    <xf numFmtId="0" fontId="101" fillId="0" borderId="0" xfId="1388" applyFont="1" applyAlignment="1">
      <alignment horizontal="left" vertical="top" wrapText="1"/>
    </xf>
    <xf numFmtId="0" fontId="101" fillId="0" borderId="0" xfId="1388" applyFont="1" applyAlignment="1">
      <alignment horizontal="left" vertical="center" wrapText="1"/>
    </xf>
    <xf numFmtId="0" fontId="107" fillId="0" borderId="29" xfId="1388" applyFont="1" applyBorder="1" applyAlignment="1">
      <alignment horizontal="center" vertical="center" wrapText="1"/>
    </xf>
    <xf numFmtId="49" fontId="107" fillId="0" borderId="8" xfId="1388" applyNumberFormat="1" applyFont="1" applyBorder="1" applyAlignment="1">
      <alignment horizontal="center" vertical="center" wrapText="1"/>
    </xf>
    <xf numFmtId="49" fontId="97" fillId="0" borderId="0" xfId="1388" applyNumberFormat="1" applyFont="1" applyAlignment="1">
      <alignment horizontal="left" vertical="center" wrapText="1"/>
    </xf>
    <xf numFmtId="49" fontId="97" fillId="0" borderId="0" xfId="1388" applyNumberFormat="1" applyFont="1" applyAlignment="1">
      <alignment horizontal="center" vertical="center" wrapText="1"/>
    </xf>
    <xf numFmtId="49" fontId="107" fillId="0" borderId="28" xfId="1388" applyNumberFormat="1" applyFont="1" applyBorder="1" applyAlignment="1">
      <alignment horizontal="center" vertical="center" wrapText="1"/>
    </xf>
    <xf numFmtId="49" fontId="107" fillId="0" borderId="29" xfId="1388" applyNumberFormat="1" applyFont="1" applyBorder="1" applyAlignment="1">
      <alignment horizontal="center" vertical="center" wrapText="1"/>
    </xf>
    <xf numFmtId="0" fontId="105" fillId="0" borderId="42" xfId="1389" applyFont="1" applyBorder="1" applyAlignment="1">
      <alignment horizontal="left" vertical="top" wrapText="1"/>
    </xf>
    <xf numFmtId="49" fontId="105" fillId="0" borderId="45" xfId="1389" applyNumberFormat="1" applyFont="1" applyBorder="1" applyAlignment="1">
      <alignment horizontal="left" vertical="center" wrapText="1"/>
    </xf>
    <xf numFmtId="49" fontId="155" fillId="0" borderId="44" xfId="1389" applyNumberFormat="1" applyFont="1" applyBorder="1" applyAlignment="1">
      <alignment horizontal="center" vertical="center" wrapText="1"/>
    </xf>
    <xf numFmtId="49" fontId="155" fillId="0" borderId="14" xfId="1389" applyNumberFormat="1" applyFont="1" applyBorder="1" applyAlignment="1">
      <alignment horizontal="center" vertical="center" wrapText="1"/>
    </xf>
    <xf numFmtId="49" fontId="97" fillId="0" borderId="0" xfId="1388" applyNumberFormat="1" applyFont="1" applyAlignment="1">
      <alignment horizontal="left" wrapText="1"/>
    </xf>
    <xf numFmtId="49" fontId="97" fillId="0" borderId="0" xfId="1388" applyNumberFormat="1" applyFont="1" applyAlignment="1">
      <alignment horizontal="center" wrapText="1"/>
    </xf>
    <xf numFmtId="0" fontId="97" fillId="0" borderId="0" xfId="1388" applyFont="1" applyAlignment="1">
      <alignment horizontal="justify" vertical="center" wrapText="1"/>
    </xf>
    <xf numFmtId="49" fontId="101" fillId="0" borderId="0" xfId="1388" applyNumberFormat="1" applyFont="1" applyAlignment="1">
      <alignment horizontal="center" vertical="center" wrapText="1"/>
    </xf>
    <xf numFmtId="49" fontId="94" fillId="0" borderId="0" xfId="1388" applyNumberFormat="1" applyFont="1" applyAlignment="1">
      <alignment horizontal="center" vertical="center" wrapText="1"/>
    </xf>
    <xf numFmtId="0" fontId="94" fillId="0" borderId="0" xfId="1388" applyFont="1" applyAlignment="1">
      <alignment horizontal="center" vertical="center" wrapText="1"/>
    </xf>
    <xf numFmtId="49" fontId="24" fillId="0" borderId="0" xfId="1388" applyNumberFormat="1" applyFont="1" applyAlignment="1">
      <alignment horizontal="left" vertical="center" wrapText="1"/>
    </xf>
    <xf numFmtId="0" fontId="21" fillId="0" borderId="0" xfId="1388" applyFont="1" applyAlignment="1">
      <alignment horizontal="left"/>
    </xf>
    <xf numFmtId="49" fontId="24" fillId="0" borderId="10" xfId="1388" applyNumberFormat="1" applyFont="1" applyBorder="1" applyAlignment="1">
      <alignment horizontal="left" vertical="center" wrapText="1"/>
    </xf>
    <xf numFmtId="49" fontId="166" fillId="0" borderId="0" xfId="1388" applyNumberFormat="1" applyFont="1" applyAlignment="1">
      <alignment horizontal="left" vertical="center" wrapText="1"/>
    </xf>
    <xf numFmtId="49" fontId="24" fillId="0" borderId="0" xfId="1388" applyNumberFormat="1" applyFont="1" applyAlignment="1">
      <alignment vertical="center" wrapText="1"/>
    </xf>
    <xf numFmtId="0" fontId="20" fillId="0" borderId="0" xfId="1388" applyAlignment="1">
      <alignment horizontal="center"/>
    </xf>
    <xf numFmtId="0" fontId="24" fillId="0" borderId="0" xfId="1388" applyFont="1" applyAlignment="1">
      <alignment horizontal="center"/>
    </xf>
    <xf numFmtId="49" fontId="22" fillId="0" borderId="14" xfId="1388" applyNumberFormat="1" applyFont="1" applyBorder="1" applyAlignment="1">
      <alignment horizontal="center" vertical="center" wrapText="1"/>
    </xf>
    <xf numFmtId="49" fontId="24" fillId="0" borderId="14" xfId="1388" applyNumberFormat="1" applyFont="1" applyBorder="1" applyAlignment="1">
      <alignment horizontal="center" vertical="center" wrapText="1"/>
    </xf>
    <xf numFmtId="49" fontId="24" fillId="0" borderId="0" xfId="1388" applyNumberFormat="1" applyFont="1" applyAlignment="1">
      <alignment horizontal="center" vertical="center" wrapText="1"/>
    </xf>
    <xf numFmtId="49" fontId="22" fillId="0" borderId="14" xfId="1388" applyNumberFormat="1" applyFont="1" applyBorder="1" applyAlignment="1">
      <alignment horizontal="left" wrapText="1"/>
    </xf>
    <xf numFmtId="49" fontId="22" fillId="0" borderId="4" xfId="1388" applyNumberFormat="1" applyFont="1" applyBorder="1" applyAlignment="1">
      <alignment horizontal="center" vertical="center" wrapText="1"/>
    </xf>
    <xf numFmtId="49" fontId="32" fillId="0" borderId="0" xfId="1388" applyNumberFormat="1" applyFont="1" applyAlignment="1">
      <alignment horizontal="left" vertical="center" wrapText="1"/>
    </xf>
    <xf numFmtId="49" fontId="24" fillId="0" borderId="0" xfId="1388" applyNumberFormat="1" applyFont="1" applyAlignment="1">
      <alignment horizontal="justify" vertical="center" wrapText="1"/>
    </xf>
    <xf numFmtId="0" fontId="133" fillId="0" borderId="0" xfId="1388" applyFont="1" applyAlignment="1">
      <alignment horizontal="left" vertical="top" wrapText="1"/>
    </xf>
    <xf numFmtId="0" fontId="133" fillId="0" borderId="0" xfId="1388" applyFont="1" applyAlignment="1">
      <alignment horizontal="justify" vertical="top" wrapText="1"/>
    </xf>
    <xf numFmtId="0" fontId="133" fillId="0" borderId="0" xfId="1388" applyFont="1" applyAlignment="1">
      <alignment horizontal="left" vertical="top"/>
    </xf>
    <xf numFmtId="0" fontId="134" fillId="0" borderId="0" xfId="1388" applyFont="1" applyAlignment="1">
      <alignment horizontal="center"/>
    </xf>
    <xf numFmtId="0" fontId="183" fillId="0" borderId="0" xfId="1390" applyFont="1" applyAlignment="1">
      <alignment horizontal="center" vertical="top"/>
    </xf>
    <xf numFmtId="0" fontId="133" fillId="0" borderId="0" xfId="1390" applyFont="1" applyAlignment="1">
      <alignment horizontal="justify" vertical="justify" wrapText="1"/>
    </xf>
    <xf numFmtId="0" fontId="133" fillId="0" borderId="0" xfId="1390" applyFont="1" applyAlignment="1">
      <alignment horizontal="justify" vertical="justify"/>
    </xf>
    <xf numFmtId="0" fontId="96" fillId="0" borderId="0" xfId="1390" applyFont="1" applyAlignment="1">
      <alignment horizontal="right" vertical="top"/>
    </xf>
    <xf numFmtId="0" fontId="96" fillId="0" borderId="0" xfId="1390" applyFont="1" applyAlignment="1">
      <alignment horizontal="left" vertical="top" wrapText="1"/>
    </xf>
    <xf numFmtId="0" fontId="184" fillId="0" borderId="0" xfId="1426" applyFont="1" applyAlignment="1">
      <alignment horizontal="center"/>
    </xf>
    <xf numFmtId="0" fontId="132" fillId="0" borderId="15" xfId="1426" applyFont="1" applyBorder="1" applyAlignment="1">
      <alignment horizontal="center" vertical="center" wrapText="1"/>
    </xf>
    <xf numFmtId="2" fontId="132" fillId="0" borderId="15" xfId="1426" applyNumberFormat="1" applyFont="1" applyBorder="1" applyAlignment="1">
      <alignment horizontal="center" vertical="center" wrapText="1"/>
    </xf>
    <xf numFmtId="49" fontId="138" fillId="0" borderId="17" xfId="1389" applyNumberFormat="1" applyFont="1" applyBorder="1" applyAlignment="1">
      <alignment horizontal="center" vertical="center" wrapText="1"/>
    </xf>
    <xf numFmtId="49" fontId="138" fillId="0" borderId="18" xfId="1389" applyNumberFormat="1" applyFont="1" applyBorder="1" applyAlignment="1">
      <alignment horizontal="center" vertical="center" wrapText="1"/>
    </xf>
    <xf numFmtId="49" fontId="138" fillId="0" borderId="19" xfId="1389" applyNumberFormat="1" applyFont="1" applyBorder="1" applyAlignment="1">
      <alignment horizontal="center" vertical="center" wrapText="1"/>
    </xf>
    <xf numFmtId="49" fontId="136" fillId="0" borderId="0" xfId="1389" applyNumberFormat="1" applyFont="1" applyAlignment="1">
      <alignment horizontal="center" vertical="center" wrapText="1"/>
    </xf>
    <xf numFmtId="49" fontId="137" fillId="0" borderId="0" xfId="1389" applyNumberFormat="1" applyFont="1" applyAlignment="1">
      <alignment horizontal="center" vertical="center" wrapText="1"/>
    </xf>
    <xf numFmtId="0" fontId="137" fillId="0" borderId="0" xfId="1389" applyFont="1" applyAlignment="1">
      <alignment horizontal="center" vertical="center" wrapText="1"/>
    </xf>
    <xf numFmtId="0" fontId="138" fillId="0" borderId="0" xfId="1389" applyFont="1" applyAlignment="1">
      <alignment horizontal="center" vertical="center" wrapText="1"/>
    </xf>
    <xf numFmtId="0" fontId="129" fillId="0" borderId="0" xfId="1389" applyFont="1" applyAlignment="1">
      <alignment horizontal="center"/>
    </xf>
    <xf numFmtId="49" fontId="138" fillId="0" borderId="15" xfId="1389" applyNumberFormat="1" applyFont="1" applyBorder="1" applyAlignment="1">
      <alignment horizontal="center" vertical="center" wrapText="1"/>
    </xf>
    <xf numFmtId="0" fontId="12" fillId="0" borderId="0" xfId="1391" applyAlignment="1">
      <alignment horizontal="justify" vertical="top" wrapText="1"/>
    </xf>
    <xf numFmtId="0" fontId="12" fillId="0" borderId="0" xfId="1391" applyAlignment="1">
      <alignment horizontal="left" vertical="top" wrapText="1"/>
    </xf>
    <xf numFmtId="0" fontId="142" fillId="0" borderId="0" xfId="1391" applyFont="1" applyAlignment="1">
      <alignment horizontal="center" vertical="top"/>
    </xf>
    <xf numFmtId="0" fontId="12" fillId="0" borderId="0" xfId="1391" applyAlignment="1">
      <alignment horizontal="center" vertical="justify"/>
    </xf>
    <xf numFmtId="0" fontId="132" fillId="0" borderId="0" xfId="1391" applyFont="1" applyAlignment="1">
      <alignment horizontal="left" vertical="center" shrinkToFit="1"/>
    </xf>
    <xf numFmtId="0" fontId="12" fillId="0" borderId="0" xfId="1391" applyAlignment="1">
      <alignment horizontal="left" vertical="justify" wrapText="1"/>
    </xf>
    <xf numFmtId="0" fontId="132" fillId="0" borderId="0" xfId="1391" applyFont="1" applyAlignment="1">
      <alignment horizontal="left" vertical="justify"/>
    </xf>
    <xf numFmtId="0" fontId="150" fillId="0" borderId="0" xfId="94" applyFont="1" applyAlignment="1">
      <alignment horizontal="left" wrapText="1"/>
    </xf>
    <xf numFmtId="0" fontId="101" fillId="0" borderId="0" xfId="94" applyFont="1" applyAlignment="1">
      <alignment horizontal="left" vertical="top" wrapText="1"/>
    </xf>
    <xf numFmtId="0" fontId="101" fillId="0" borderId="34" xfId="94" applyFont="1" applyBorder="1" applyAlignment="1">
      <alignment horizontal="left" vertical="top" wrapText="1"/>
    </xf>
    <xf numFmtId="0" fontId="131" fillId="0" borderId="0" xfId="94" applyFont="1" applyAlignment="1">
      <alignment horizontal="center"/>
    </xf>
    <xf numFmtId="0" fontId="94" fillId="0" borderId="0" xfId="94" applyFont="1" applyAlignment="1">
      <alignment horizontal="center"/>
    </xf>
    <xf numFmtId="0" fontId="94" fillId="0" borderId="34" xfId="94" applyFont="1" applyBorder="1" applyAlignment="1">
      <alignment horizontal="center"/>
    </xf>
    <xf numFmtId="0" fontId="145" fillId="0" borderId="0" xfId="94" applyFont="1" applyAlignment="1">
      <alignment horizontal="center"/>
    </xf>
    <xf numFmtId="0" fontId="146" fillId="0" borderId="33" xfId="94" applyFont="1" applyBorder="1" applyAlignment="1">
      <alignment horizontal="center"/>
    </xf>
    <xf numFmtId="0" fontId="146" fillId="0" borderId="0" xfId="94" applyFont="1" applyAlignment="1">
      <alignment horizontal="center"/>
    </xf>
    <xf numFmtId="0" fontId="146" fillId="0" borderId="34" xfId="94" applyFont="1" applyBorder="1" applyAlignment="1">
      <alignment horizontal="center"/>
    </xf>
    <xf numFmtId="0" fontId="147" fillId="0" borderId="0" xfId="94" applyFont="1" applyAlignment="1">
      <alignment horizontal="center"/>
    </xf>
    <xf numFmtId="0" fontId="148" fillId="0" borderId="33" xfId="94" applyFont="1" applyBorder="1" applyAlignment="1">
      <alignment horizontal="center"/>
    </xf>
    <xf numFmtId="0" fontId="148" fillId="0" borderId="0" xfId="94" applyFont="1" applyAlignment="1">
      <alignment horizontal="center"/>
    </xf>
    <xf numFmtId="0" fontId="148" fillId="0" borderId="34" xfId="94" applyFont="1" applyBorder="1" applyAlignment="1">
      <alignment horizontal="center"/>
    </xf>
    <xf numFmtId="0" fontId="149" fillId="0" borderId="33" xfId="94" applyFont="1" applyBorder="1" applyAlignment="1">
      <alignment horizontal="center"/>
    </xf>
    <xf numFmtId="0" fontId="149" fillId="0" borderId="0" xfId="94" applyFont="1" applyAlignment="1">
      <alignment horizontal="center"/>
    </xf>
    <xf numFmtId="0" fontId="149" fillId="0" borderId="34" xfId="94" applyFont="1" applyBorder="1" applyAlignment="1">
      <alignment horizontal="center"/>
    </xf>
    <xf numFmtId="0" fontId="94" fillId="0" borderId="0" xfId="94" applyFont="1" applyAlignment="1">
      <alignment horizontal="justify" vertical="top" wrapText="1"/>
    </xf>
    <xf numFmtId="0" fontId="131" fillId="0" borderId="0" xfId="94" applyFont="1" applyAlignment="1">
      <alignment horizontal="justify" vertical="top" wrapText="1"/>
    </xf>
  </cellXfs>
  <cellStyles count="1944">
    <cellStyle name="20% - Accent1 10" xfId="178"/>
    <cellStyle name="20% - Accent1 11" xfId="179"/>
    <cellStyle name="20% - Accent1 2" xfId="1"/>
    <cellStyle name="20% - Accent1 3" xfId="180"/>
    <cellStyle name="20% - Accent1 4" xfId="181"/>
    <cellStyle name="20% - Accent1 5" xfId="182"/>
    <cellStyle name="20% - Accent1 6" xfId="183"/>
    <cellStyle name="20% - Accent1 7" xfId="184"/>
    <cellStyle name="20% - Accent1 8" xfId="185"/>
    <cellStyle name="20% - Accent1 9" xfId="186"/>
    <cellStyle name="20% - Accent2 10" xfId="187"/>
    <cellStyle name="20% - Accent2 11" xfId="188"/>
    <cellStyle name="20% - Accent2 2" xfId="2"/>
    <cellStyle name="20% - Accent2 3" xfId="189"/>
    <cellStyle name="20% - Accent2 4" xfId="190"/>
    <cellStyle name="20% - Accent2 5" xfId="191"/>
    <cellStyle name="20% - Accent2 6" xfId="192"/>
    <cellStyle name="20% - Accent2 7" xfId="193"/>
    <cellStyle name="20% - Accent2 8" xfId="194"/>
    <cellStyle name="20% - Accent2 9" xfId="195"/>
    <cellStyle name="20% - Accent3 10" xfId="196"/>
    <cellStyle name="20% - Accent3 11" xfId="197"/>
    <cellStyle name="20% - Accent3 2" xfId="3"/>
    <cellStyle name="20% - Accent3 3" xfId="198"/>
    <cellStyle name="20% - Accent3 4" xfId="199"/>
    <cellStyle name="20% - Accent3 5" xfId="200"/>
    <cellStyle name="20% - Accent3 6" xfId="201"/>
    <cellStyle name="20% - Accent3 7" xfId="202"/>
    <cellStyle name="20% - Accent3 8" xfId="203"/>
    <cellStyle name="20% - Accent3 9" xfId="204"/>
    <cellStyle name="20% - Accent4 10" xfId="205"/>
    <cellStyle name="20% - Accent4 11" xfId="206"/>
    <cellStyle name="20% - Accent4 2" xfId="4"/>
    <cellStyle name="20% - Accent4 3" xfId="207"/>
    <cellStyle name="20% - Accent4 4" xfId="208"/>
    <cellStyle name="20% - Accent4 5" xfId="209"/>
    <cellStyle name="20% - Accent4 6" xfId="210"/>
    <cellStyle name="20% - Accent4 7" xfId="211"/>
    <cellStyle name="20% - Accent4 8" xfId="212"/>
    <cellStyle name="20% - Accent4 9" xfId="213"/>
    <cellStyle name="20% - Accent5 10" xfId="214"/>
    <cellStyle name="20% - Accent5 11" xfId="215"/>
    <cellStyle name="20% - Accent5 2" xfId="5"/>
    <cellStyle name="20% - Accent5 3" xfId="216"/>
    <cellStyle name="20% - Accent5 4" xfId="217"/>
    <cellStyle name="20% - Accent5 5" xfId="218"/>
    <cellStyle name="20% - Accent5 6" xfId="219"/>
    <cellStyle name="20% - Accent5 7" xfId="220"/>
    <cellStyle name="20% - Accent5 8" xfId="221"/>
    <cellStyle name="20% - Accent5 9" xfId="222"/>
    <cellStyle name="20% - Accent6 10" xfId="223"/>
    <cellStyle name="20% - Accent6 11" xfId="224"/>
    <cellStyle name="20% - Accent6 2" xfId="6"/>
    <cellStyle name="20% - Accent6 3" xfId="225"/>
    <cellStyle name="20% - Accent6 4" xfId="226"/>
    <cellStyle name="20% - Accent6 5" xfId="227"/>
    <cellStyle name="20% - Accent6 6" xfId="228"/>
    <cellStyle name="20% - Accent6 7" xfId="229"/>
    <cellStyle name="20% - Accent6 8" xfId="230"/>
    <cellStyle name="20% - Accent6 9" xfId="231"/>
    <cellStyle name="40% - Accent1 10" xfId="232"/>
    <cellStyle name="40% - Accent1 11" xfId="233"/>
    <cellStyle name="40% - Accent1 2" xfId="7"/>
    <cellStyle name="40% - Accent1 3" xfId="234"/>
    <cellStyle name="40% - Accent1 4" xfId="235"/>
    <cellStyle name="40% - Accent1 5" xfId="236"/>
    <cellStyle name="40% - Accent1 6" xfId="237"/>
    <cellStyle name="40% - Accent1 7" xfId="238"/>
    <cellStyle name="40% - Accent1 8" xfId="239"/>
    <cellStyle name="40% - Accent1 9" xfId="240"/>
    <cellStyle name="40% - Accent2 10" xfId="241"/>
    <cellStyle name="40% - Accent2 11" xfId="242"/>
    <cellStyle name="40% - Accent2 2" xfId="8"/>
    <cellStyle name="40% - Accent2 3" xfId="243"/>
    <cellStyle name="40% - Accent2 4" xfId="244"/>
    <cellStyle name="40% - Accent2 5" xfId="245"/>
    <cellStyle name="40% - Accent2 6" xfId="246"/>
    <cellStyle name="40% - Accent2 7" xfId="247"/>
    <cellStyle name="40% - Accent2 8" xfId="248"/>
    <cellStyle name="40% - Accent2 9" xfId="249"/>
    <cellStyle name="40% - Accent3 10" xfId="250"/>
    <cellStyle name="40% - Accent3 11" xfId="251"/>
    <cellStyle name="40% - Accent3 2" xfId="9"/>
    <cellStyle name="40% - Accent3 3" xfId="252"/>
    <cellStyle name="40% - Accent3 4" xfId="253"/>
    <cellStyle name="40% - Accent3 5" xfId="254"/>
    <cellStyle name="40% - Accent3 6" xfId="255"/>
    <cellStyle name="40% - Accent3 7" xfId="256"/>
    <cellStyle name="40% - Accent3 8" xfId="257"/>
    <cellStyle name="40% - Accent3 9" xfId="258"/>
    <cellStyle name="40% - Accent4 10" xfId="259"/>
    <cellStyle name="40% - Accent4 11" xfId="260"/>
    <cellStyle name="40% - Accent4 2" xfId="10"/>
    <cellStyle name="40% - Accent4 3" xfId="261"/>
    <cellStyle name="40% - Accent4 4" xfId="262"/>
    <cellStyle name="40% - Accent4 5" xfId="263"/>
    <cellStyle name="40% - Accent4 6" xfId="264"/>
    <cellStyle name="40% - Accent4 7" xfId="265"/>
    <cellStyle name="40% - Accent4 8" xfId="266"/>
    <cellStyle name="40% - Accent4 9" xfId="267"/>
    <cellStyle name="40% - Accent5 10" xfId="268"/>
    <cellStyle name="40% - Accent5 11" xfId="269"/>
    <cellStyle name="40% - Accent5 2" xfId="11"/>
    <cellStyle name="40% - Accent5 3" xfId="270"/>
    <cellStyle name="40% - Accent5 4" xfId="271"/>
    <cellStyle name="40% - Accent5 5" xfId="272"/>
    <cellStyle name="40% - Accent5 6" xfId="273"/>
    <cellStyle name="40% - Accent5 7" xfId="274"/>
    <cellStyle name="40% - Accent5 8" xfId="275"/>
    <cellStyle name="40% - Accent5 9" xfId="276"/>
    <cellStyle name="40% - Accent6 10" xfId="277"/>
    <cellStyle name="40% - Accent6 11" xfId="278"/>
    <cellStyle name="40% - Accent6 2" xfId="12"/>
    <cellStyle name="40% - Accent6 3" xfId="279"/>
    <cellStyle name="40% - Accent6 4" xfId="280"/>
    <cellStyle name="40% - Accent6 5" xfId="281"/>
    <cellStyle name="40% - Accent6 6" xfId="282"/>
    <cellStyle name="40% - Accent6 7" xfId="283"/>
    <cellStyle name="40% - Accent6 8" xfId="284"/>
    <cellStyle name="40% - Accent6 9" xfId="285"/>
    <cellStyle name="60% - Accent1 10" xfId="286"/>
    <cellStyle name="60% - Accent1 11" xfId="287"/>
    <cellStyle name="60% - Accent1 2" xfId="13"/>
    <cellStyle name="60% - Accent1 3" xfId="288"/>
    <cellStyle name="60% - Accent1 4" xfId="289"/>
    <cellStyle name="60% - Accent1 5" xfId="290"/>
    <cellStyle name="60% - Accent1 6" xfId="291"/>
    <cellStyle name="60% - Accent1 7" xfId="292"/>
    <cellStyle name="60% - Accent1 8" xfId="293"/>
    <cellStyle name="60% - Accent1 9" xfId="294"/>
    <cellStyle name="60% - Accent2 10" xfId="295"/>
    <cellStyle name="60% - Accent2 11" xfId="296"/>
    <cellStyle name="60% - Accent2 2" xfId="14"/>
    <cellStyle name="60% - Accent2 3" xfId="297"/>
    <cellStyle name="60% - Accent2 4" xfId="298"/>
    <cellStyle name="60% - Accent2 5" xfId="299"/>
    <cellStyle name="60% - Accent2 6" xfId="300"/>
    <cellStyle name="60% - Accent2 7" xfId="301"/>
    <cellStyle name="60% - Accent2 8" xfId="302"/>
    <cellStyle name="60% - Accent2 9" xfId="303"/>
    <cellStyle name="60% - Accent3 10" xfId="304"/>
    <cellStyle name="60% - Accent3 11" xfId="305"/>
    <cellStyle name="60% - Accent3 2" xfId="15"/>
    <cellStyle name="60% - Accent3 3" xfId="306"/>
    <cellStyle name="60% - Accent3 4" xfId="307"/>
    <cellStyle name="60% - Accent3 5" xfId="308"/>
    <cellStyle name="60% - Accent3 6" xfId="309"/>
    <cellStyle name="60% - Accent3 7" xfId="310"/>
    <cellStyle name="60% - Accent3 8" xfId="311"/>
    <cellStyle name="60% - Accent3 9" xfId="312"/>
    <cellStyle name="60% - Accent4 10" xfId="313"/>
    <cellStyle name="60% - Accent4 11" xfId="314"/>
    <cellStyle name="60% - Accent4 2" xfId="16"/>
    <cellStyle name="60% - Accent4 3" xfId="315"/>
    <cellStyle name="60% - Accent4 4" xfId="316"/>
    <cellStyle name="60% - Accent4 5" xfId="317"/>
    <cellStyle name="60% - Accent4 6" xfId="318"/>
    <cellStyle name="60% - Accent4 7" xfId="319"/>
    <cellStyle name="60% - Accent4 8" xfId="320"/>
    <cellStyle name="60% - Accent4 9" xfId="321"/>
    <cellStyle name="60% - Accent5 10" xfId="322"/>
    <cellStyle name="60% - Accent5 11" xfId="323"/>
    <cellStyle name="60% - Accent5 2" xfId="17"/>
    <cellStyle name="60% - Accent5 3" xfId="324"/>
    <cellStyle name="60% - Accent5 4" xfId="325"/>
    <cellStyle name="60% - Accent5 5" xfId="326"/>
    <cellStyle name="60% - Accent5 6" xfId="327"/>
    <cellStyle name="60% - Accent5 7" xfId="328"/>
    <cellStyle name="60% - Accent5 8" xfId="329"/>
    <cellStyle name="60% - Accent5 9" xfId="330"/>
    <cellStyle name="60% - Accent6 10" xfId="331"/>
    <cellStyle name="60% - Accent6 11" xfId="332"/>
    <cellStyle name="60% - Accent6 2" xfId="18"/>
    <cellStyle name="60% - Accent6 3" xfId="333"/>
    <cellStyle name="60% - Accent6 4" xfId="334"/>
    <cellStyle name="60% - Accent6 5" xfId="335"/>
    <cellStyle name="60% - Accent6 6" xfId="336"/>
    <cellStyle name="60% - Accent6 7" xfId="337"/>
    <cellStyle name="60% - Accent6 8" xfId="338"/>
    <cellStyle name="60% - Accent6 9" xfId="339"/>
    <cellStyle name="Accent1 - 20%" xfId="19"/>
    <cellStyle name="Accent1 - 20% 2" xfId="340"/>
    <cellStyle name="Accent1 - 20% 3" xfId="341"/>
    <cellStyle name="Accent1 - 20% 4" xfId="342"/>
    <cellStyle name="Accent1 - 40%" xfId="20"/>
    <cellStyle name="Accent1 - 40% 2" xfId="343"/>
    <cellStyle name="Accent1 - 40% 3" xfId="344"/>
    <cellStyle name="Accent1 - 40% 4" xfId="345"/>
    <cellStyle name="Accent1 - 60%" xfId="21"/>
    <cellStyle name="Accent1 10" xfId="346"/>
    <cellStyle name="Accent1 11" xfId="347"/>
    <cellStyle name="Accent1 12" xfId="348"/>
    <cellStyle name="Accent1 13" xfId="349"/>
    <cellStyle name="Accent1 14" xfId="350"/>
    <cellStyle name="Accent1 15" xfId="351"/>
    <cellStyle name="Accent1 16" xfId="352"/>
    <cellStyle name="Accent1 2" xfId="22"/>
    <cellStyle name="Accent1 2 2" xfId="353"/>
    <cellStyle name="Accent1 2 3" xfId="354"/>
    <cellStyle name="Accent1 3" xfId="355"/>
    <cellStyle name="Accent1 3 2" xfId="356"/>
    <cellStyle name="Accent1 4" xfId="357"/>
    <cellStyle name="Accent1 5" xfId="358"/>
    <cellStyle name="Accent1 6" xfId="359"/>
    <cellStyle name="Accent1 7" xfId="360"/>
    <cellStyle name="Accent1 8" xfId="361"/>
    <cellStyle name="Accent1 9" xfId="362"/>
    <cellStyle name="Accent2 - 20%" xfId="23"/>
    <cellStyle name="Accent2 - 20% 2" xfId="363"/>
    <cellStyle name="Accent2 - 20% 3" xfId="364"/>
    <cellStyle name="Accent2 - 20% 4" xfId="365"/>
    <cellStyle name="Accent2 - 40%" xfId="24"/>
    <cellStyle name="Accent2 - 40% 2" xfId="366"/>
    <cellStyle name="Accent2 - 40% 3" xfId="367"/>
    <cellStyle name="Accent2 - 40% 4" xfId="368"/>
    <cellStyle name="Accent2 - 60%" xfId="25"/>
    <cellStyle name="Accent2 10" xfId="369"/>
    <cellStyle name="Accent2 11" xfId="370"/>
    <cellStyle name="Accent2 12" xfId="371"/>
    <cellStyle name="Accent2 13" xfId="372"/>
    <cellStyle name="Accent2 14" xfId="373"/>
    <cellStyle name="Accent2 15" xfId="374"/>
    <cellStyle name="Accent2 16" xfId="375"/>
    <cellStyle name="Accent2 2" xfId="26"/>
    <cellStyle name="Accent2 2 2" xfId="376"/>
    <cellStyle name="Accent2 2 3" xfId="377"/>
    <cellStyle name="Accent2 3" xfId="378"/>
    <cellStyle name="Accent2 3 2" xfId="379"/>
    <cellStyle name="Accent2 4" xfId="380"/>
    <cellStyle name="Accent2 5" xfId="381"/>
    <cellStyle name="Accent2 6" xfId="382"/>
    <cellStyle name="Accent2 7" xfId="383"/>
    <cellStyle name="Accent2 8" xfId="384"/>
    <cellStyle name="Accent2 9" xfId="385"/>
    <cellStyle name="Accent3 - 20%" xfId="27"/>
    <cellStyle name="Accent3 - 20% 2" xfId="386"/>
    <cellStyle name="Accent3 - 20% 3" xfId="387"/>
    <cellStyle name="Accent3 - 20% 4" xfId="388"/>
    <cellStyle name="Accent3 - 40%" xfId="28"/>
    <cellStyle name="Accent3 - 40% 2" xfId="389"/>
    <cellStyle name="Accent3 - 40% 3" xfId="390"/>
    <cellStyle name="Accent3 - 40% 4" xfId="391"/>
    <cellStyle name="Accent3 - 60%" xfId="29"/>
    <cellStyle name="Accent3 10" xfId="392"/>
    <cellStyle name="Accent3 11" xfId="393"/>
    <cellStyle name="Accent3 12" xfId="394"/>
    <cellStyle name="Accent3 13" xfId="395"/>
    <cellStyle name="Accent3 14" xfId="396"/>
    <cellStyle name="Accent3 15" xfId="397"/>
    <cellStyle name="Accent3 16" xfId="398"/>
    <cellStyle name="Accent3 2" xfId="30"/>
    <cellStyle name="Accent3 2 2" xfId="399"/>
    <cellStyle name="Accent3 2 3" xfId="400"/>
    <cellStyle name="Accent3 3" xfId="401"/>
    <cellStyle name="Accent3 3 2" xfId="402"/>
    <cellStyle name="Accent3 4" xfId="403"/>
    <cellStyle name="Accent3 5" xfId="404"/>
    <cellStyle name="Accent3 6" xfId="405"/>
    <cellStyle name="Accent3 7" xfId="406"/>
    <cellStyle name="Accent3 8" xfId="407"/>
    <cellStyle name="Accent3 9" xfId="408"/>
    <cellStyle name="Accent4 - 20%" xfId="31"/>
    <cellStyle name="Accent4 - 20% 2" xfId="409"/>
    <cellStyle name="Accent4 - 20% 3" xfId="410"/>
    <cellStyle name="Accent4 - 20% 4" xfId="411"/>
    <cellStyle name="Accent4 - 40%" xfId="32"/>
    <cellStyle name="Accent4 - 40% 2" xfId="412"/>
    <cellStyle name="Accent4 - 40% 3" xfId="413"/>
    <cellStyle name="Accent4 - 40% 4" xfId="414"/>
    <cellStyle name="Accent4 - 60%" xfId="33"/>
    <cellStyle name="Accent4 10" xfId="415"/>
    <cellStyle name="Accent4 11" xfId="416"/>
    <cellStyle name="Accent4 12" xfId="417"/>
    <cellStyle name="Accent4 13" xfId="418"/>
    <cellStyle name="Accent4 14" xfId="419"/>
    <cellStyle name="Accent4 15" xfId="420"/>
    <cellStyle name="Accent4 16" xfId="421"/>
    <cellStyle name="Accent4 2" xfId="34"/>
    <cellStyle name="Accent4 2 2" xfId="422"/>
    <cellStyle name="Accent4 2 3" xfId="423"/>
    <cellStyle name="Accent4 3" xfId="424"/>
    <cellStyle name="Accent4 3 2" xfId="425"/>
    <cellStyle name="Accent4 4" xfId="426"/>
    <cellStyle name="Accent4 5" xfId="427"/>
    <cellStyle name="Accent4 6" xfId="428"/>
    <cellStyle name="Accent4 7" xfId="429"/>
    <cellStyle name="Accent4 8" xfId="430"/>
    <cellStyle name="Accent4 9" xfId="431"/>
    <cellStyle name="Accent5 - 20%" xfId="35"/>
    <cellStyle name="Accent5 - 20% 2" xfId="432"/>
    <cellStyle name="Accent5 - 20% 3" xfId="433"/>
    <cellStyle name="Accent5 - 20% 4" xfId="434"/>
    <cellStyle name="Accent5 - 40%" xfId="36"/>
    <cellStyle name="Accent5 - 40% 2" xfId="435"/>
    <cellStyle name="Accent5 - 40% 3" xfId="436"/>
    <cellStyle name="Accent5 - 40% 4" xfId="437"/>
    <cellStyle name="Accent5 - 60%" xfId="37"/>
    <cellStyle name="Accent5 10" xfId="438"/>
    <cellStyle name="Accent5 11" xfId="439"/>
    <cellStyle name="Accent5 12" xfId="440"/>
    <cellStyle name="Accent5 13" xfId="441"/>
    <cellStyle name="Accent5 14" xfId="442"/>
    <cellStyle name="Accent5 15" xfId="443"/>
    <cellStyle name="Accent5 16" xfId="444"/>
    <cellStyle name="Accent5 2" xfId="38"/>
    <cellStyle name="Accent5 2 2" xfId="445"/>
    <cellStyle name="Accent5 2 3" xfId="446"/>
    <cellStyle name="Accent5 3" xfId="447"/>
    <cellStyle name="Accent5 3 2" xfId="448"/>
    <cellStyle name="Accent5 4" xfId="449"/>
    <cellStyle name="Accent5 5" xfId="450"/>
    <cellStyle name="Accent5 6" xfId="451"/>
    <cellStyle name="Accent5 7" xfId="452"/>
    <cellStyle name="Accent5 8" xfId="453"/>
    <cellStyle name="Accent5 9" xfId="454"/>
    <cellStyle name="Accent6 - 20%" xfId="39"/>
    <cellStyle name="Accent6 - 20% 2" xfId="455"/>
    <cellStyle name="Accent6 - 20% 3" xfId="456"/>
    <cellStyle name="Accent6 - 20% 4" xfId="457"/>
    <cellStyle name="Accent6 - 40%" xfId="40"/>
    <cellStyle name="Accent6 - 40% 2" xfId="458"/>
    <cellStyle name="Accent6 - 40% 3" xfId="459"/>
    <cellStyle name="Accent6 - 40% 4" xfId="460"/>
    <cellStyle name="Accent6 - 60%" xfId="41"/>
    <cellStyle name="Accent6 10" xfId="461"/>
    <cellStyle name="Accent6 11" xfId="462"/>
    <cellStyle name="Accent6 12" xfId="463"/>
    <cellStyle name="Accent6 13" xfId="464"/>
    <cellStyle name="Accent6 14" xfId="465"/>
    <cellStyle name="Accent6 15" xfId="466"/>
    <cellStyle name="Accent6 16" xfId="467"/>
    <cellStyle name="Accent6 2" xfId="42"/>
    <cellStyle name="Accent6 2 2" xfId="468"/>
    <cellStyle name="Accent6 2 3" xfId="469"/>
    <cellStyle name="Accent6 3" xfId="470"/>
    <cellStyle name="Accent6 3 2" xfId="471"/>
    <cellStyle name="Accent6 4" xfId="472"/>
    <cellStyle name="Accent6 5" xfId="473"/>
    <cellStyle name="Accent6 6" xfId="474"/>
    <cellStyle name="Accent6 7" xfId="475"/>
    <cellStyle name="Accent6 8" xfId="476"/>
    <cellStyle name="Accent6 9" xfId="477"/>
    <cellStyle name="Bad 10" xfId="478"/>
    <cellStyle name="Bad 11" xfId="479"/>
    <cellStyle name="Bad 12" xfId="480"/>
    <cellStyle name="Bad 13" xfId="481"/>
    <cellStyle name="Bad 14" xfId="482"/>
    <cellStyle name="Bad 15" xfId="483"/>
    <cellStyle name="Bad 16" xfId="484"/>
    <cellStyle name="Bad 2" xfId="43"/>
    <cellStyle name="Bad 2 2" xfId="485"/>
    <cellStyle name="Bad 2 3" xfId="486"/>
    <cellStyle name="Bad 3" xfId="487"/>
    <cellStyle name="Bad 3 2" xfId="488"/>
    <cellStyle name="Bad 4" xfId="489"/>
    <cellStyle name="Bad 5" xfId="490"/>
    <cellStyle name="Bad 6" xfId="491"/>
    <cellStyle name="Bad 7" xfId="492"/>
    <cellStyle name="Bad 8" xfId="493"/>
    <cellStyle name="Bad 9" xfId="494"/>
    <cellStyle name="BOOKMAN" xfId="495"/>
    <cellStyle name="BOOKMAN 2" xfId="1491"/>
    <cellStyle name="Calc Currency (0)" xfId="44"/>
    <cellStyle name="Calculation 10" xfId="496"/>
    <cellStyle name="Calculation 11" xfId="497"/>
    <cellStyle name="Calculation 12" xfId="498"/>
    <cellStyle name="Calculation 13" xfId="499"/>
    <cellStyle name="Calculation 14" xfId="500"/>
    <cellStyle name="Calculation 15" xfId="501"/>
    <cellStyle name="Calculation 16" xfId="502"/>
    <cellStyle name="Calculation 2" xfId="45"/>
    <cellStyle name="Calculation 2 2" xfId="503"/>
    <cellStyle name="Calculation 2 3" xfId="504"/>
    <cellStyle name="Calculation 2 4" xfId="505"/>
    <cellStyle name="Calculation 3" xfId="506"/>
    <cellStyle name="Calculation 3 2" xfId="507"/>
    <cellStyle name="Calculation 4" xfId="508"/>
    <cellStyle name="Calculation 5" xfId="509"/>
    <cellStyle name="Calculation 6" xfId="510"/>
    <cellStyle name="Calculation 7" xfId="511"/>
    <cellStyle name="Calculation 8" xfId="512"/>
    <cellStyle name="Calculation 9" xfId="513"/>
    <cellStyle name="Check Cell 10" xfId="514"/>
    <cellStyle name="Check Cell 11" xfId="515"/>
    <cellStyle name="Check Cell 12" xfId="516"/>
    <cellStyle name="Check Cell 13" xfId="517"/>
    <cellStyle name="Check Cell 14" xfId="518"/>
    <cellStyle name="Check Cell 15" xfId="519"/>
    <cellStyle name="Check Cell 16" xfId="520"/>
    <cellStyle name="Check Cell 2" xfId="46"/>
    <cellStyle name="Check Cell 2 2" xfId="521"/>
    <cellStyle name="Check Cell 2 3" xfId="522"/>
    <cellStyle name="Check Cell 3" xfId="523"/>
    <cellStyle name="Check Cell 3 2" xfId="524"/>
    <cellStyle name="Check Cell 4" xfId="525"/>
    <cellStyle name="Check Cell 5" xfId="526"/>
    <cellStyle name="Check Cell 6" xfId="527"/>
    <cellStyle name="Check Cell 7" xfId="528"/>
    <cellStyle name="Check Cell 8" xfId="529"/>
    <cellStyle name="Check Cell 9" xfId="530"/>
    <cellStyle name="Comma  - Style1" xfId="47"/>
    <cellStyle name="Comma  - Style1 2" xfId="531"/>
    <cellStyle name="Comma  - Style1 2 2" xfId="1492"/>
    <cellStyle name="Comma  - Style1 3" xfId="532"/>
    <cellStyle name="Comma  - Style1 3 2" xfId="1493"/>
    <cellStyle name="Comma  - Style1 4" xfId="533"/>
    <cellStyle name="Comma  - Style1 4 2" xfId="1494"/>
    <cellStyle name="Comma  - Style1 5" xfId="534"/>
    <cellStyle name="Comma  - Style1 5 2" xfId="1495"/>
    <cellStyle name="Comma  - Style1 6" xfId="535"/>
    <cellStyle name="Comma  - Style1 6 2" xfId="1496"/>
    <cellStyle name="Comma  - Style1 7" xfId="1429"/>
    <cellStyle name="Comma  - Style1_PMGSY_-NEW_-Seebai1" xfId="536"/>
    <cellStyle name="Comma  - Style2" xfId="48"/>
    <cellStyle name="Comma  - Style2 2" xfId="537"/>
    <cellStyle name="Comma  - Style2 2 2" xfId="1497"/>
    <cellStyle name="Comma  - Style2 3" xfId="538"/>
    <cellStyle name="Comma  - Style2 3 2" xfId="1498"/>
    <cellStyle name="Comma  - Style2 4" xfId="539"/>
    <cellStyle name="Comma  - Style2 4 2" xfId="1499"/>
    <cellStyle name="Comma  - Style2 5" xfId="540"/>
    <cellStyle name="Comma  - Style2 5 2" xfId="1500"/>
    <cellStyle name="Comma  - Style2 6" xfId="541"/>
    <cellStyle name="Comma  - Style2 6 2" xfId="1501"/>
    <cellStyle name="Comma  - Style2 7" xfId="1430"/>
    <cellStyle name="Comma  - Style2_PMGSY_-NEW_-Seebai1" xfId="542"/>
    <cellStyle name="Comma  - Style3" xfId="49"/>
    <cellStyle name="Comma  - Style3 2" xfId="543"/>
    <cellStyle name="Comma  - Style3 2 2" xfId="1502"/>
    <cellStyle name="Comma  - Style3 3" xfId="544"/>
    <cellStyle name="Comma  - Style3 3 2" xfId="1503"/>
    <cellStyle name="Comma  - Style3 4" xfId="545"/>
    <cellStyle name="Comma  - Style3 4 2" xfId="1504"/>
    <cellStyle name="Comma  - Style3 5" xfId="546"/>
    <cellStyle name="Comma  - Style3 5 2" xfId="1505"/>
    <cellStyle name="Comma  - Style3 6" xfId="547"/>
    <cellStyle name="Comma  - Style3 6 2" xfId="1506"/>
    <cellStyle name="Comma  - Style3 7" xfId="1431"/>
    <cellStyle name="Comma  - Style3_PMGSY_-NEW_-Seebai1" xfId="548"/>
    <cellStyle name="Comma  - Style4" xfId="50"/>
    <cellStyle name="Comma  - Style4 2" xfId="549"/>
    <cellStyle name="Comma  - Style4 2 2" xfId="1507"/>
    <cellStyle name="Comma  - Style4 3" xfId="550"/>
    <cellStyle name="Comma  - Style4 3 2" xfId="1508"/>
    <cellStyle name="Comma  - Style4 4" xfId="551"/>
    <cellStyle name="Comma  - Style4 4 2" xfId="1509"/>
    <cellStyle name="Comma  - Style4 5" xfId="552"/>
    <cellStyle name="Comma  - Style4 5 2" xfId="1510"/>
    <cellStyle name="Comma  - Style4 6" xfId="553"/>
    <cellStyle name="Comma  - Style4 6 2" xfId="1511"/>
    <cellStyle name="Comma  - Style4 7" xfId="1432"/>
    <cellStyle name="Comma  - Style4_PMGSY_-NEW_-Seebai1" xfId="554"/>
    <cellStyle name="Comma  - Style5" xfId="51"/>
    <cellStyle name="Comma  - Style5 2" xfId="555"/>
    <cellStyle name="Comma  - Style5 2 2" xfId="1512"/>
    <cellStyle name="Comma  - Style5 3" xfId="556"/>
    <cellStyle name="Comma  - Style5 3 2" xfId="1513"/>
    <cellStyle name="Comma  - Style5 4" xfId="557"/>
    <cellStyle name="Comma  - Style5 4 2" xfId="1514"/>
    <cellStyle name="Comma  - Style5 5" xfId="558"/>
    <cellStyle name="Comma  - Style5 5 2" xfId="1515"/>
    <cellStyle name="Comma  - Style5 6" xfId="559"/>
    <cellStyle name="Comma  - Style5 6 2" xfId="1516"/>
    <cellStyle name="Comma  - Style5 7" xfId="1433"/>
    <cellStyle name="Comma  - Style5_PMGSY_-NEW_-Seebai1" xfId="560"/>
    <cellStyle name="Comma  - Style6" xfId="52"/>
    <cellStyle name="Comma  - Style6 2" xfId="561"/>
    <cellStyle name="Comma  - Style6 2 2" xfId="1517"/>
    <cellStyle name="Comma  - Style6 3" xfId="562"/>
    <cellStyle name="Comma  - Style6 3 2" xfId="1518"/>
    <cellStyle name="Comma  - Style6 4" xfId="563"/>
    <cellStyle name="Comma  - Style6 4 2" xfId="1519"/>
    <cellStyle name="Comma  - Style6 5" xfId="564"/>
    <cellStyle name="Comma  - Style6 5 2" xfId="1520"/>
    <cellStyle name="Comma  - Style6 6" xfId="565"/>
    <cellStyle name="Comma  - Style6 6 2" xfId="1521"/>
    <cellStyle name="Comma  - Style6 7" xfId="1434"/>
    <cellStyle name="Comma  - Style6_PMGSY_-NEW_-Seebai1" xfId="566"/>
    <cellStyle name="Comma  - Style7" xfId="53"/>
    <cellStyle name="Comma  - Style7 2" xfId="567"/>
    <cellStyle name="Comma  - Style7 2 2" xfId="1522"/>
    <cellStyle name="Comma  - Style7 3" xfId="568"/>
    <cellStyle name="Comma  - Style7 3 2" xfId="1523"/>
    <cellStyle name="Comma  - Style7 4" xfId="569"/>
    <cellStyle name="Comma  - Style7 4 2" xfId="1524"/>
    <cellStyle name="Comma  - Style7 5" xfId="570"/>
    <cellStyle name="Comma  - Style7 5 2" xfId="1525"/>
    <cellStyle name="Comma  - Style7 6" xfId="571"/>
    <cellStyle name="Comma  - Style7 6 2" xfId="1526"/>
    <cellStyle name="Comma  - Style7 7" xfId="1435"/>
    <cellStyle name="Comma  - Style7_PMGSY_-NEW_-Seebai1" xfId="572"/>
    <cellStyle name="Comma  - Style8" xfId="54"/>
    <cellStyle name="Comma  - Style8 2" xfId="573"/>
    <cellStyle name="Comma  - Style8 2 2" xfId="1527"/>
    <cellStyle name="Comma  - Style8 3" xfId="574"/>
    <cellStyle name="Comma  - Style8 3 2" xfId="1528"/>
    <cellStyle name="Comma  - Style8 4" xfId="575"/>
    <cellStyle name="Comma  - Style8 4 2" xfId="1529"/>
    <cellStyle name="Comma  - Style8 5" xfId="576"/>
    <cellStyle name="Comma  - Style8 5 2" xfId="1530"/>
    <cellStyle name="Comma  - Style8 6" xfId="577"/>
    <cellStyle name="Comma  - Style8 6 2" xfId="1531"/>
    <cellStyle name="Comma  - Style8 7" xfId="1436"/>
    <cellStyle name="Comma  - Style8_PMGSY_-NEW_-Seebai1" xfId="578"/>
    <cellStyle name="Comma 2" xfId="55"/>
    <cellStyle name="Comma 2 10" xfId="579"/>
    <cellStyle name="Comma 2 10 2" xfId="1532"/>
    <cellStyle name="Comma 2 11" xfId="580"/>
    <cellStyle name="Comma 2 11 2" xfId="1533"/>
    <cellStyle name="Comma 2 12" xfId="581"/>
    <cellStyle name="Comma 2 12 2" xfId="1534"/>
    <cellStyle name="Comma 2 13" xfId="582"/>
    <cellStyle name="Comma 2 14" xfId="1437"/>
    <cellStyle name="Comma 2 2" xfId="56"/>
    <cellStyle name="Comma 2 2 10" xfId="583"/>
    <cellStyle name="Comma 2 2 11" xfId="584"/>
    <cellStyle name="Comma 2 2 2" xfId="585"/>
    <cellStyle name="Comma 2 2 2 2" xfId="1535"/>
    <cellStyle name="Comma 2 2 3" xfId="586"/>
    <cellStyle name="Comma 2 2 4" xfId="587"/>
    <cellStyle name="Comma 2 2 5" xfId="588"/>
    <cellStyle name="Comma 2 2 6" xfId="589"/>
    <cellStyle name="Comma 2 2 7" xfId="590"/>
    <cellStyle name="Comma 2 2 8" xfId="591"/>
    <cellStyle name="Comma 2 2 9" xfId="592"/>
    <cellStyle name="Comma 2 3" xfId="593"/>
    <cellStyle name="Comma 2 3 2" xfId="594"/>
    <cellStyle name="Comma 2 3 2 2" xfId="1537"/>
    <cellStyle name="Comma 2 3 3" xfId="595"/>
    <cellStyle name="Comma 2 3 3 2" xfId="1538"/>
    <cellStyle name="Comma 2 3 4" xfId="596"/>
    <cellStyle name="Comma 2 3 4 2" xfId="1539"/>
    <cellStyle name="Comma 2 3 5" xfId="1536"/>
    <cellStyle name="Comma 2 4" xfId="597"/>
    <cellStyle name="Comma 2 4 2" xfId="598"/>
    <cellStyle name="Comma 2 4 2 2" xfId="1541"/>
    <cellStyle name="Comma 2 4 3" xfId="1540"/>
    <cellStyle name="Comma 2 5" xfId="599"/>
    <cellStyle name="Comma 2 5 2" xfId="1542"/>
    <cellStyle name="Comma 2 6" xfId="600"/>
    <cellStyle name="Comma 2 6 2" xfId="1543"/>
    <cellStyle name="Comma 2 7" xfId="601"/>
    <cellStyle name="Comma 2 7 2" xfId="1544"/>
    <cellStyle name="Comma 2 8" xfId="602"/>
    <cellStyle name="Comma 2 8 2" xfId="1545"/>
    <cellStyle name="Comma 2 9" xfId="603"/>
    <cellStyle name="Comma 2 9 2" xfId="1546"/>
    <cellStyle name="Comma 2_CC Bill" xfId="604"/>
    <cellStyle name="Comma 3" xfId="57"/>
    <cellStyle name="Comma 3 10" xfId="605"/>
    <cellStyle name="Comma 3 10 2" xfId="1547"/>
    <cellStyle name="Comma 3 11" xfId="606"/>
    <cellStyle name="Comma 3 12" xfId="1438"/>
    <cellStyle name="Comma 3 2" xfId="607"/>
    <cellStyle name="Comma 3 2 2" xfId="608"/>
    <cellStyle name="Comma 3 2 2 2" xfId="609"/>
    <cellStyle name="Comma 3 2 2 2 2" xfId="610"/>
    <cellStyle name="Comma 3 2 2 2 2 2" xfId="1551"/>
    <cellStyle name="Comma 3 2 2 2 3" xfId="611"/>
    <cellStyle name="Comma 3 2 2 2 3 2" xfId="1552"/>
    <cellStyle name="Comma 3 2 2 2 4" xfId="612"/>
    <cellStyle name="Comma 3 2 2 2 4 2" xfId="1553"/>
    <cellStyle name="Comma 3 2 2 2 5" xfId="1550"/>
    <cellStyle name="Comma 3 2 2 2_RA-2 CC" xfId="613"/>
    <cellStyle name="Comma 3 2 2 3" xfId="1549"/>
    <cellStyle name="Comma 3 2 3" xfId="1548"/>
    <cellStyle name="Comma 3 3" xfId="614"/>
    <cellStyle name="Comma 3 3 2" xfId="615"/>
    <cellStyle name="Comma 3 3 2 2" xfId="1555"/>
    <cellStyle name="Comma 3 3 3" xfId="1554"/>
    <cellStyle name="Comma 3 4" xfId="616"/>
    <cellStyle name="Comma 3 4 2" xfId="1556"/>
    <cellStyle name="Comma 3 5" xfId="617"/>
    <cellStyle name="Comma 3 5 2" xfId="1557"/>
    <cellStyle name="Comma 3 6" xfId="618"/>
    <cellStyle name="Comma 3 6 2" xfId="1558"/>
    <cellStyle name="Comma 3 7" xfId="619"/>
    <cellStyle name="Comma 3 7 2" xfId="1559"/>
    <cellStyle name="Comma 3 8" xfId="620"/>
    <cellStyle name="Comma 3 8 2" xfId="1560"/>
    <cellStyle name="Comma 3 9" xfId="621"/>
    <cellStyle name="Comma 3 9 2" xfId="1561"/>
    <cellStyle name="Comma 3_CC Bill" xfId="622"/>
    <cellStyle name="Comma 4" xfId="58"/>
    <cellStyle name="Comma 4 2" xfId="59"/>
    <cellStyle name="Comma 4 2 2" xfId="623"/>
    <cellStyle name="Comma 4 2 2 2" xfId="1562"/>
    <cellStyle name="Comma 4 3" xfId="624"/>
    <cellStyle name="Comma 4 3 2" xfId="1563"/>
    <cellStyle name="Comma 4 4" xfId="625"/>
    <cellStyle name="Comma 4 4 2" xfId="1564"/>
    <cellStyle name="Comma 4_CC Bill" xfId="626"/>
    <cellStyle name="Comma 5" xfId="60"/>
    <cellStyle name="Comma 5 2" xfId="627"/>
    <cellStyle name="Comma 5 2 2" xfId="1565"/>
    <cellStyle name="Comma 5 3" xfId="628"/>
    <cellStyle name="Comma 5 3 2" xfId="1566"/>
    <cellStyle name="Comma 5 4" xfId="1439"/>
    <cellStyle name="Comma 6" xfId="61"/>
    <cellStyle name="Comma 6 2" xfId="629"/>
    <cellStyle name="Comma 6 2 2" xfId="1567"/>
    <cellStyle name="Comma 6 3" xfId="630"/>
    <cellStyle name="Comma 6 3 2" xfId="1568"/>
    <cellStyle name="Comma 6 4" xfId="1440"/>
    <cellStyle name="Comma 7" xfId="62"/>
    <cellStyle name="Comma 7 2" xfId="631"/>
    <cellStyle name="Comma 7 2 2" xfId="1569"/>
    <cellStyle name="Comma 7 3" xfId="632"/>
    <cellStyle name="Comma 7 3 2" xfId="1570"/>
    <cellStyle name="Comma 8" xfId="63"/>
    <cellStyle name="Comma 9" xfId="1344"/>
    <cellStyle name="Copied" xfId="64"/>
    <cellStyle name="Copied 2" xfId="633"/>
    <cellStyle name="Copied 3" xfId="634"/>
    <cellStyle name="Copied 4" xfId="635"/>
    <cellStyle name="Copied 5" xfId="636"/>
    <cellStyle name="Copied 6" xfId="637"/>
    <cellStyle name="Copied_AKKAMPALLI - RACHANAPALLI RD TO N R R COLONY" xfId="638"/>
    <cellStyle name="Currency 2" xfId="639"/>
    <cellStyle name="Currency 2 2" xfId="640"/>
    <cellStyle name="Currency 2 2 2" xfId="1572"/>
    <cellStyle name="Currency 2 3" xfId="1571"/>
    <cellStyle name="Currency 3" xfId="641"/>
    <cellStyle name="Currency 4" xfId="642"/>
    <cellStyle name="Currency 4 2" xfId="1573"/>
    <cellStyle name="Currency 5" xfId="643"/>
    <cellStyle name="Currency 5 2" xfId="1574"/>
    <cellStyle name="Currency 6" xfId="644"/>
    <cellStyle name="Emphasis 1" xfId="65"/>
    <cellStyle name="Emphasis 2" xfId="66"/>
    <cellStyle name="Emphasis 3" xfId="67"/>
    <cellStyle name="Entered" xfId="68"/>
    <cellStyle name="Entered 2" xfId="645"/>
    <cellStyle name="Entered 3" xfId="646"/>
    <cellStyle name="Entered 4" xfId="647"/>
    <cellStyle name="Entered 5" xfId="648"/>
    <cellStyle name="Entered 6" xfId="649"/>
    <cellStyle name="Entered_AKKAMPALLI - RACHANAPALLI RD TO N R R COLONY" xfId="650"/>
    <cellStyle name="Euro" xfId="651"/>
    <cellStyle name="Euro 2" xfId="1345"/>
    <cellStyle name="Euro 2 2" xfId="1908"/>
    <cellStyle name="Euro 3" xfId="1575"/>
    <cellStyle name="Excel Built-in Normal" xfId="652"/>
    <cellStyle name="Excel Built-in Normal 2" xfId="653"/>
    <cellStyle name="Excel_BuiltIn_Total" xfId="654"/>
    <cellStyle name="Explanatory Text 10" xfId="655"/>
    <cellStyle name="Explanatory Text 11" xfId="656"/>
    <cellStyle name="Explanatory Text 2" xfId="69"/>
    <cellStyle name="Explanatory Text 3" xfId="657"/>
    <cellStyle name="Explanatory Text 4" xfId="658"/>
    <cellStyle name="Explanatory Text 5" xfId="659"/>
    <cellStyle name="Explanatory Text 6" xfId="660"/>
    <cellStyle name="Explanatory Text 7" xfId="661"/>
    <cellStyle name="Explanatory Text 8" xfId="662"/>
    <cellStyle name="Explanatory Text 9" xfId="663"/>
    <cellStyle name="Fixed" xfId="70"/>
    <cellStyle name="Fixed 2" xfId="664"/>
    <cellStyle name="Fixed 2 2" xfId="1576"/>
    <cellStyle name="Fixed 3" xfId="665"/>
    <cellStyle name="Fixed 3 2" xfId="1577"/>
    <cellStyle name="Fixed 4" xfId="1346"/>
    <cellStyle name="Fixed 4 2" xfId="1909"/>
    <cellStyle name="Fixed 5" xfId="1441"/>
    <cellStyle name="general" xfId="71"/>
    <cellStyle name="general 2" xfId="72"/>
    <cellStyle name="general 2 2" xfId="1443"/>
    <cellStyle name="general 3" xfId="73"/>
    <cellStyle name="general 3 2" xfId="1444"/>
    <cellStyle name="general 4" xfId="74"/>
    <cellStyle name="general 4 2" xfId="1445"/>
    <cellStyle name="general 5" xfId="666"/>
    <cellStyle name="general 5 2" xfId="1578"/>
    <cellStyle name="general 6" xfId="667"/>
    <cellStyle name="general 6 2" xfId="1579"/>
    <cellStyle name="general 7" xfId="1442"/>
    <cellStyle name="general_Nakkabokkalapdu Grn Anganwadi     6-11-2016 for Bill," xfId="668"/>
    <cellStyle name="Good 10" xfId="669"/>
    <cellStyle name="Good 11" xfId="670"/>
    <cellStyle name="Good 12" xfId="671"/>
    <cellStyle name="Good 13" xfId="672"/>
    <cellStyle name="Good 14" xfId="673"/>
    <cellStyle name="Good 15" xfId="674"/>
    <cellStyle name="Good 16" xfId="675"/>
    <cellStyle name="Good 2" xfId="75"/>
    <cellStyle name="Good 2 2" xfId="676"/>
    <cellStyle name="Good 2 3" xfId="677"/>
    <cellStyle name="Good 3" xfId="678"/>
    <cellStyle name="Good 3 2" xfId="679"/>
    <cellStyle name="Good 4" xfId="680"/>
    <cellStyle name="Good 5" xfId="681"/>
    <cellStyle name="Good 6" xfId="682"/>
    <cellStyle name="Good 7" xfId="683"/>
    <cellStyle name="Good 8" xfId="684"/>
    <cellStyle name="Good 9" xfId="685"/>
    <cellStyle name="Grey" xfId="76"/>
    <cellStyle name="Grey 2" xfId="686"/>
    <cellStyle name="Header1" xfId="77"/>
    <cellStyle name="Header2" xfId="78"/>
    <cellStyle name="Heading 1 10" xfId="687"/>
    <cellStyle name="Heading 1 11" xfId="688"/>
    <cellStyle name="Heading 1 12" xfId="689"/>
    <cellStyle name="Heading 1 13" xfId="690"/>
    <cellStyle name="Heading 1 14" xfId="691"/>
    <cellStyle name="Heading 1 15" xfId="692"/>
    <cellStyle name="Heading 1 16" xfId="693"/>
    <cellStyle name="Heading 1 2" xfId="79"/>
    <cellStyle name="Heading 1 2 2" xfId="694"/>
    <cellStyle name="Heading 1 2 3" xfId="695"/>
    <cellStyle name="Heading 1 3" xfId="696"/>
    <cellStyle name="Heading 1 3 2" xfId="697"/>
    <cellStyle name="Heading 1 4" xfId="698"/>
    <cellStyle name="Heading 1 5" xfId="699"/>
    <cellStyle name="Heading 1 6" xfId="700"/>
    <cellStyle name="Heading 1 7" xfId="701"/>
    <cellStyle name="Heading 1 8" xfId="702"/>
    <cellStyle name="Heading 1 9" xfId="703"/>
    <cellStyle name="Heading 2 10" xfId="704"/>
    <cellStyle name="Heading 2 11" xfId="705"/>
    <cellStyle name="Heading 2 12" xfId="706"/>
    <cellStyle name="Heading 2 13" xfId="707"/>
    <cellStyle name="Heading 2 14" xfId="708"/>
    <cellStyle name="Heading 2 15" xfId="709"/>
    <cellStyle name="Heading 2 16" xfId="710"/>
    <cellStyle name="Heading 2 2" xfId="80"/>
    <cellStyle name="Heading 2 2 2" xfId="711"/>
    <cellStyle name="Heading 2 2 3" xfId="712"/>
    <cellStyle name="Heading 2 3" xfId="713"/>
    <cellStyle name="Heading 2 3 2" xfId="714"/>
    <cellStyle name="Heading 2 4" xfId="715"/>
    <cellStyle name="Heading 2 5" xfId="716"/>
    <cellStyle name="Heading 2 6" xfId="717"/>
    <cellStyle name="Heading 2 7" xfId="718"/>
    <cellStyle name="Heading 2 8" xfId="719"/>
    <cellStyle name="Heading 2 9" xfId="720"/>
    <cellStyle name="Heading 3 10" xfId="721"/>
    <cellStyle name="Heading 3 11" xfId="722"/>
    <cellStyle name="Heading 3 12" xfId="723"/>
    <cellStyle name="Heading 3 13" xfId="724"/>
    <cellStyle name="Heading 3 14" xfId="725"/>
    <cellStyle name="Heading 3 15" xfId="726"/>
    <cellStyle name="Heading 3 16" xfId="727"/>
    <cellStyle name="Heading 3 2" xfId="81"/>
    <cellStyle name="Heading 3 2 2" xfId="728"/>
    <cellStyle name="Heading 3 2 3" xfId="729"/>
    <cellStyle name="Heading 3 3" xfId="730"/>
    <cellStyle name="Heading 3 3 2" xfId="731"/>
    <cellStyle name="Heading 3 4" xfId="732"/>
    <cellStyle name="Heading 3 5" xfId="733"/>
    <cellStyle name="Heading 3 6" xfId="734"/>
    <cellStyle name="Heading 3 7" xfId="735"/>
    <cellStyle name="Heading 3 8" xfId="736"/>
    <cellStyle name="Heading 3 9" xfId="737"/>
    <cellStyle name="Heading 4 10" xfId="738"/>
    <cellStyle name="Heading 4 11" xfId="739"/>
    <cellStyle name="Heading 4 12" xfId="740"/>
    <cellStyle name="Heading 4 13" xfId="741"/>
    <cellStyle name="Heading 4 14" xfId="742"/>
    <cellStyle name="Heading 4 15" xfId="743"/>
    <cellStyle name="Heading 4 16" xfId="744"/>
    <cellStyle name="Heading 4 2" xfId="82"/>
    <cellStyle name="Heading 4 2 2" xfId="745"/>
    <cellStyle name="Heading 4 2 3" xfId="746"/>
    <cellStyle name="Heading 4 3" xfId="747"/>
    <cellStyle name="Heading 4 3 2" xfId="748"/>
    <cellStyle name="Heading 4 4" xfId="749"/>
    <cellStyle name="Heading 4 5" xfId="750"/>
    <cellStyle name="Heading 4 6" xfId="751"/>
    <cellStyle name="Heading 4 7" xfId="752"/>
    <cellStyle name="Heading 4 8" xfId="753"/>
    <cellStyle name="Heading 4 9" xfId="754"/>
    <cellStyle name="Hyperlink 2" xfId="83"/>
    <cellStyle name="Hyperlink 2 2" xfId="755"/>
    <cellStyle name="Hyperlink 2 3" xfId="756"/>
    <cellStyle name="Hyperlink 2_500 KL OHSR 21.60m Staging" xfId="757"/>
    <cellStyle name="Hyperlink 3" xfId="758"/>
    <cellStyle name="Input [yellow]" xfId="84"/>
    <cellStyle name="Input [yellow] 2" xfId="759"/>
    <cellStyle name="Input 10" xfId="760"/>
    <cellStyle name="Input 11" xfId="761"/>
    <cellStyle name="Input 12" xfId="762"/>
    <cellStyle name="Input 13" xfId="763"/>
    <cellStyle name="Input 14" xfId="764"/>
    <cellStyle name="Input 15" xfId="765"/>
    <cellStyle name="Input 16" xfId="766"/>
    <cellStyle name="Input 2" xfId="85"/>
    <cellStyle name="Input 2 2" xfId="767"/>
    <cellStyle name="Input 2 3" xfId="768"/>
    <cellStyle name="Input 3" xfId="769"/>
    <cellStyle name="Input 3 2" xfId="770"/>
    <cellStyle name="Input 4" xfId="771"/>
    <cellStyle name="Input 5" xfId="772"/>
    <cellStyle name="Input 6" xfId="773"/>
    <cellStyle name="Input 7" xfId="774"/>
    <cellStyle name="Input 8" xfId="775"/>
    <cellStyle name="Input 9" xfId="776"/>
    <cellStyle name="Linked Cell 10" xfId="777"/>
    <cellStyle name="Linked Cell 11" xfId="778"/>
    <cellStyle name="Linked Cell 12" xfId="779"/>
    <cellStyle name="Linked Cell 13" xfId="780"/>
    <cellStyle name="Linked Cell 14" xfId="781"/>
    <cellStyle name="Linked Cell 15" xfId="782"/>
    <cellStyle name="Linked Cell 16" xfId="783"/>
    <cellStyle name="Linked Cell 2" xfId="86"/>
    <cellStyle name="Linked Cell 2 2" xfId="784"/>
    <cellStyle name="Linked Cell 2 3" xfId="785"/>
    <cellStyle name="Linked Cell 3" xfId="786"/>
    <cellStyle name="Linked Cell 3 2" xfId="787"/>
    <cellStyle name="Linked Cell 4" xfId="788"/>
    <cellStyle name="Linked Cell 5" xfId="789"/>
    <cellStyle name="Linked Cell 6" xfId="790"/>
    <cellStyle name="Linked Cell 7" xfId="791"/>
    <cellStyle name="Linked Cell 8" xfId="792"/>
    <cellStyle name="Linked Cell 9" xfId="793"/>
    <cellStyle name="M head" xfId="87"/>
    <cellStyle name="M head 2" xfId="794"/>
    <cellStyle name="M head 3" xfId="795"/>
    <cellStyle name="M head_con 2012" xfId="796"/>
    <cellStyle name="Main Heading" xfId="797"/>
    <cellStyle name="MANKAD" xfId="88"/>
    <cellStyle name="MANKAD 2" xfId="89"/>
    <cellStyle name="MANKAD 3" xfId="90"/>
    <cellStyle name="MANKAD 4" xfId="798"/>
    <cellStyle name="MANKAD 5" xfId="799"/>
    <cellStyle name="MANKAD 6" xfId="800"/>
    <cellStyle name="MANKAD_3 - ZP  BHAIRAVANAGAR 45.00L." xfId="801"/>
    <cellStyle name="Minor Head" xfId="91"/>
    <cellStyle name="Neutral 10" xfId="802"/>
    <cellStyle name="Neutral 11" xfId="803"/>
    <cellStyle name="Neutral 12" xfId="804"/>
    <cellStyle name="Neutral 13" xfId="805"/>
    <cellStyle name="Neutral 14" xfId="806"/>
    <cellStyle name="Neutral 15" xfId="807"/>
    <cellStyle name="Neutral 16" xfId="808"/>
    <cellStyle name="Neutral 2" xfId="92"/>
    <cellStyle name="Neutral 2 2" xfId="809"/>
    <cellStyle name="Neutral 2 3" xfId="810"/>
    <cellStyle name="Neutral 3" xfId="811"/>
    <cellStyle name="Neutral 3 2" xfId="812"/>
    <cellStyle name="Neutral 4" xfId="813"/>
    <cellStyle name="Neutral 5" xfId="814"/>
    <cellStyle name="Neutral 6" xfId="815"/>
    <cellStyle name="Neutral 7" xfId="816"/>
    <cellStyle name="Neutral 8" xfId="817"/>
    <cellStyle name="Neutral 9" xfId="818"/>
    <cellStyle name="no dec" xfId="93"/>
    <cellStyle name="no dec 2" xfId="819"/>
    <cellStyle name="no dec 3" xfId="820"/>
    <cellStyle name="no dec 4" xfId="821"/>
    <cellStyle name="no dec 5" xfId="822"/>
    <cellStyle name="no dec 6" xfId="823"/>
    <cellStyle name="no dec_3 - ZP  BHAIRAVANAGAR 45.00L." xfId="824"/>
    <cellStyle name="Normal" xfId="0" builtinId="0"/>
    <cellStyle name="Normal - Style1" xfId="94"/>
    <cellStyle name="Normal - Style1 2" xfId="95"/>
    <cellStyle name="Normal - Style1 2 2" xfId="96"/>
    <cellStyle name="Normal - Style1 2 2 2" xfId="825"/>
    <cellStyle name="Normal - Style1 2 2 2 2" xfId="1580"/>
    <cellStyle name="Normal - Style1 2 2 3" xfId="1384"/>
    <cellStyle name="Normal - Style1 2 2 3 2" xfId="1424"/>
    <cellStyle name="Normal - Style1 2 3" xfId="826"/>
    <cellStyle name="Normal - Style1 2 3 2" xfId="1581"/>
    <cellStyle name="Normal - Style1 2 4" xfId="827"/>
    <cellStyle name="Normal - Style1 2 4 2" xfId="1421"/>
    <cellStyle name="Normal - Style1 2 5" xfId="1342"/>
    <cellStyle name="Normal - Style1 2 5 2" xfId="1906"/>
    <cellStyle name="Normal - Style1 2_1) NREGS  Report Uppudi" xfId="828"/>
    <cellStyle name="Normal - Style1 3" xfId="97"/>
    <cellStyle name="Normal - Style1 3 2" xfId="1347"/>
    <cellStyle name="Normal - Style1 3 2 2" xfId="1910"/>
    <cellStyle name="Normal - Style1 3 3" xfId="1348"/>
    <cellStyle name="Normal - Style1 3 3 2" xfId="1911"/>
    <cellStyle name="Normal - Style1 3 4" xfId="1349"/>
    <cellStyle name="Normal - Style1 3 4 2" xfId="1912"/>
    <cellStyle name="Normal - Style1 3 5" xfId="1446"/>
    <cellStyle name="Normal - Style1 4" xfId="98"/>
    <cellStyle name="Normal - Style1 4 2" xfId="1447"/>
    <cellStyle name="Normal - Style1 5" xfId="829"/>
    <cellStyle name="Normal - Style1 5 2" xfId="1582"/>
    <cellStyle name="Normal - Style1 6" xfId="830"/>
    <cellStyle name="Normal - Style1 6 2" xfId="1583"/>
    <cellStyle name="Normal - Style1 7" xfId="831"/>
    <cellStyle name="Normal - Style1 7 2" xfId="1584"/>
    <cellStyle name="Normal - Style1 8" xfId="832"/>
    <cellStyle name="Normal - Style1 8 2" xfId="1585"/>
    <cellStyle name="Normal - Style1_1_Pattapupalem_road estt-NCRMP" xfId="99"/>
    <cellStyle name="Normal 10" xfId="100"/>
    <cellStyle name="Normal 10 2" xfId="101"/>
    <cellStyle name="Normal 10 2 2" xfId="833"/>
    <cellStyle name="Normal 10 2 3" xfId="1449"/>
    <cellStyle name="Normal 10 3" xfId="834"/>
    <cellStyle name="Normal 10 3 2" xfId="1277"/>
    <cellStyle name="Normal 10 3 2 2" xfId="1841"/>
    <cellStyle name="Normal 10 4" xfId="1278"/>
    <cellStyle name="Normal 10 4 2" xfId="1842"/>
    <cellStyle name="Normal 10 5" xfId="1448"/>
    <cellStyle name="Normal 10_Girls Hostel attached to Model School at Munipally WDE (Final) Modified (05.09.2014)" xfId="835"/>
    <cellStyle name="Normal 11" xfId="102"/>
    <cellStyle name="Normal 11 2" xfId="836"/>
    <cellStyle name="Normal 11 2 2" xfId="1279"/>
    <cellStyle name="Normal 11 2 2 2" xfId="1280"/>
    <cellStyle name="Normal 11 2 2 2 2" xfId="1844"/>
    <cellStyle name="Normal 11 2 2 3" xfId="1843"/>
    <cellStyle name="Normal 11 2 3" xfId="1281"/>
    <cellStyle name="Normal 11 2 3 2" xfId="1282"/>
    <cellStyle name="Normal 11 2 3 2 2" xfId="1846"/>
    <cellStyle name="Normal 11 2 3 3" xfId="1845"/>
    <cellStyle name="Normal 11 2 4" xfId="1283"/>
    <cellStyle name="Normal 11 2 4 2" xfId="1847"/>
    <cellStyle name="Normal 11 2 5" xfId="1586"/>
    <cellStyle name="Normal 11 3" xfId="1284"/>
    <cellStyle name="Normal 11 3 2" xfId="1285"/>
    <cellStyle name="Normal 11 3 2 2" xfId="1849"/>
    <cellStyle name="Normal 11 3 3" xfId="1848"/>
    <cellStyle name="Normal 11 4" xfId="1286"/>
    <cellStyle name="Normal 11 4 2" xfId="1287"/>
    <cellStyle name="Normal 11 4 2 2" xfId="1851"/>
    <cellStyle name="Normal 11 4 3" xfId="1850"/>
    <cellStyle name="Normal 11 5" xfId="1288"/>
    <cellStyle name="Normal 11 5 2" xfId="1852"/>
    <cellStyle name="Normal 11 6" xfId="1450"/>
    <cellStyle name="Normal 11_TIRUPATI  ELEC" xfId="837"/>
    <cellStyle name="Normal 12" xfId="103"/>
    <cellStyle name="Normal 12 2" xfId="838"/>
    <cellStyle name="Normal 12 2 2" xfId="839"/>
    <cellStyle name="Normal 12 2 2 2" xfId="1289"/>
    <cellStyle name="Normal 12 2 2 2 2" xfId="1290"/>
    <cellStyle name="Normal 12 2 2 2 2 2" xfId="1854"/>
    <cellStyle name="Normal 12 2 2 2 3" xfId="1853"/>
    <cellStyle name="Normal 12 2 2 3" xfId="1291"/>
    <cellStyle name="Normal 12 2 2 3 2" xfId="1292"/>
    <cellStyle name="Normal 12 2 2 3 2 2" xfId="1856"/>
    <cellStyle name="Normal 12 2 2 3 3" xfId="1855"/>
    <cellStyle name="Normal 12 2 2 4" xfId="1293"/>
    <cellStyle name="Normal 12 2 2 4 2" xfId="1857"/>
    <cellStyle name="Normal 12 2 2 5" xfId="1588"/>
    <cellStyle name="Normal 12 2 3" xfId="1294"/>
    <cellStyle name="Normal 12 2 3 2" xfId="1295"/>
    <cellStyle name="Normal 12 2 3 2 2" xfId="1859"/>
    <cellStyle name="Normal 12 2 3 3" xfId="1858"/>
    <cellStyle name="Normal 12 2 4" xfId="1296"/>
    <cellStyle name="Normal 12 2 4 2" xfId="1297"/>
    <cellStyle name="Normal 12 2 4 2 2" xfId="1861"/>
    <cellStyle name="Normal 12 2 4 3" xfId="1860"/>
    <cellStyle name="Normal 12 2 5" xfId="1298"/>
    <cellStyle name="Normal 12 2 5 2" xfId="1862"/>
    <cellStyle name="Normal 12 2 6" xfId="1587"/>
    <cellStyle name="Normal 12 3" xfId="840"/>
    <cellStyle name="Normal 12 3 2" xfId="1299"/>
    <cellStyle name="Normal 12 3 2 2" xfId="1863"/>
    <cellStyle name="Normal 12 4" xfId="1275"/>
    <cellStyle name="Normal 12 4 2" xfId="1300"/>
    <cellStyle name="Normal 12 4 2 2" xfId="1864"/>
    <cellStyle name="Normal 12 4 3" xfId="1301"/>
    <cellStyle name="Normal 12 4 3 2" xfId="1343"/>
    <cellStyle name="Normal 12 4 3 2 2" xfId="1907"/>
    <cellStyle name="Normal 12 4 3 3" xfId="1865"/>
    <cellStyle name="Normal 12 4 4" xfId="1386"/>
    <cellStyle name="Normal 12 4 4 2" xfId="1932"/>
    <cellStyle name="Normal 12 4 5" xfId="1391"/>
    <cellStyle name="Normal 12 4 5 2" xfId="1422"/>
    <cellStyle name="Normal 12 4 5 2 2" xfId="1941"/>
    <cellStyle name="Normal 12 4 5 3" xfId="1933"/>
    <cellStyle name="Normal 12 4 6" xfId="1839"/>
    <cellStyle name="Normal 12 5" xfId="1302"/>
    <cellStyle name="Normal 12 5 2" xfId="1866"/>
    <cellStyle name="Normal 13" xfId="104"/>
    <cellStyle name="Normal 13 2" xfId="841"/>
    <cellStyle name="Normal 13 2 2" xfId="842"/>
    <cellStyle name="Normal 13 2 2 2" xfId="1590"/>
    <cellStyle name="Normal 13 2 3" xfId="1589"/>
    <cellStyle name="Normal 13 3" xfId="1451"/>
    <cellStyle name="Normal 13_Girls Hostel attached to Model School at Munipally WDE (Final) Modified (05.09.2014)" xfId="843"/>
    <cellStyle name="Normal 14" xfId="105"/>
    <cellStyle name="Normal 14 2" xfId="844"/>
    <cellStyle name="Normal 14 2 2" xfId="845"/>
    <cellStyle name="Normal 14 2 2 2" xfId="1591"/>
    <cellStyle name="Normal 14 3" xfId="1452"/>
    <cellStyle name="Normal 15" xfId="106"/>
    <cellStyle name="Normal 15 2" xfId="846"/>
    <cellStyle name="Normal 15 3" xfId="847"/>
    <cellStyle name="Normal 15 3 2" xfId="1592"/>
    <cellStyle name="Normal 15 4" xfId="1453"/>
    <cellStyle name="Normal 16" xfId="107"/>
    <cellStyle name="Normal 16 2" xfId="848"/>
    <cellStyle name="Normal 16 3" xfId="849"/>
    <cellStyle name="Normal 17" xfId="108"/>
    <cellStyle name="Normal 17 2" xfId="109"/>
    <cellStyle name="Normal 17 2 2" xfId="850"/>
    <cellStyle name="Normal 17 3" xfId="851"/>
    <cellStyle name="Normal 17 4" xfId="852"/>
    <cellStyle name="Normal 17_Abst for J.P.nagar" xfId="853"/>
    <cellStyle name="Normal 18" xfId="110"/>
    <cellStyle name="Normal 18 2" xfId="854"/>
    <cellStyle name="Normal 18 2 2" xfId="1593"/>
    <cellStyle name="Normal 18 3" xfId="855"/>
    <cellStyle name="Normal 18 4" xfId="1454"/>
    <cellStyle name="Normal 19" xfId="856"/>
    <cellStyle name="Normal 19 2" xfId="857"/>
    <cellStyle name="Normal 19 3" xfId="858"/>
    <cellStyle name="Normal 19 4" xfId="1594"/>
    <cellStyle name="Normal 2" xfId="111"/>
    <cellStyle name="Normal 2 10" xfId="859"/>
    <cellStyle name="Normal 2 10 2" xfId="860"/>
    <cellStyle name="Normal 2 10 2 2" xfId="1595"/>
    <cellStyle name="Normal 2 10 3" xfId="1414"/>
    <cellStyle name="Normal 2 11" xfId="861"/>
    <cellStyle name="Normal 2 11 2" xfId="1596"/>
    <cellStyle name="Normal 2 12" xfId="862"/>
    <cellStyle name="Normal 2 12 2" xfId="1597"/>
    <cellStyle name="Normal 2 13" xfId="863"/>
    <cellStyle name="Normal 2 13 2" xfId="1598"/>
    <cellStyle name="Normal 2 14" xfId="864"/>
    <cellStyle name="Normal 2 14 2" xfId="865"/>
    <cellStyle name="Normal 2 14 2 2" xfId="1600"/>
    <cellStyle name="Normal 2 14 3" xfId="866"/>
    <cellStyle name="Normal 2 14 3 2" xfId="1601"/>
    <cellStyle name="Normal 2 14 4" xfId="1599"/>
    <cellStyle name="Normal 2 15" xfId="867"/>
    <cellStyle name="Normal 2 15 2" xfId="868"/>
    <cellStyle name="Normal 2 15 2 2" xfId="1603"/>
    <cellStyle name="Normal 2 15 3" xfId="869"/>
    <cellStyle name="Normal 2 15 3 2" xfId="1604"/>
    <cellStyle name="Normal 2 15 4" xfId="870"/>
    <cellStyle name="Normal 2 15 4 2" xfId="1605"/>
    <cellStyle name="Normal 2 15 5" xfId="1602"/>
    <cellStyle name="Normal 2 16" xfId="1394"/>
    <cellStyle name="Normal 2 17" xfId="1395"/>
    <cellStyle name="Normal 2 18" xfId="1396"/>
    <cellStyle name="Normal 2 19" xfId="1397"/>
    <cellStyle name="Normal 2 2" xfId="112"/>
    <cellStyle name="Normal 2 2 2" xfId="113"/>
    <cellStyle name="Normal 2 2 2 2" xfId="114"/>
    <cellStyle name="Normal 2 2 2 2 2" xfId="1350"/>
    <cellStyle name="Normal 2 2 2 2 3" xfId="1456"/>
    <cellStyle name="Normal 2 2 2 3" xfId="871"/>
    <cellStyle name="Normal 2 2 2 3 2" xfId="1606"/>
    <cellStyle name="Normal 2 2 2 4" xfId="872"/>
    <cellStyle name="Normal 2 2 2 4 2" xfId="1607"/>
    <cellStyle name="Normal 2 2 2 5" xfId="1455"/>
    <cellStyle name="Normal 2 2 3" xfId="115"/>
    <cellStyle name="Normal 2 2 3 2" xfId="873"/>
    <cellStyle name="Normal 2 2 3 2 2" xfId="1608"/>
    <cellStyle name="Normal 2 2 3 3" xfId="1457"/>
    <cellStyle name="Normal 2 2 4" xfId="116"/>
    <cellStyle name="Normal 2 2 4 2" xfId="874"/>
    <cellStyle name="Normal 2 2 4 3" xfId="1458"/>
    <cellStyle name="Normal 2 2 5" xfId="875"/>
    <cellStyle name="Normal 2 2 5 2" xfId="1609"/>
    <cellStyle name="Normal 2 2_1" xfId="876"/>
    <cellStyle name="Normal 2 20" xfId="1398"/>
    <cellStyle name="Normal 2 3" xfId="117"/>
    <cellStyle name="Normal 2 3 10" xfId="1936"/>
    <cellStyle name="Normal 2 3 2" xfId="877"/>
    <cellStyle name="Normal 2 3 2 2" xfId="177"/>
    <cellStyle name="Normal 2 3 2 3" xfId="878"/>
    <cellStyle name="Normal 2 3 2 4" xfId="879"/>
    <cellStyle name="Normal 2 3 2_Copy of Uploaded Estimate ( Nellore)" xfId="880"/>
    <cellStyle name="Normal 2 3 3" xfId="881"/>
    <cellStyle name="Normal 2 3 3 2" xfId="882"/>
    <cellStyle name="Normal 2 3 3 2 2" xfId="883"/>
    <cellStyle name="Normal 2 3 3 2 2 2" xfId="1303"/>
    <cellStyle name="Normal 2 3 3 2 2 2 2" xfId="1867"/>
    <cellStyle name="Normal 2 3 3 2 2 3" xfId="1612"/>
    <cellStyle name="Normal 2 3 3 2 3" xfId="1304"/>
    <cellStyle name="Normal 2 3 3 2 3 2" xfId="1305"/>
    <cellStyle name="Normal 2 3 3 2 3 2 2" xfId="1869"/>
    <cellStyle name="Normal 2 3 3 2 3 3" xfId="1868"/>
    <cellStyle name="Normal 2 3 3 2 4" xfId="1306"/>
    <cellStyle name="Normal 2 3 3 2 4 2" xfId="1870"/>
    <cellStyle name="Normal 2 3 3 2 5" xfId="1611"/>
    <cellStyle name="Normal 2 3 3 3" xfId="1307"/>
    <cellStyle name="Normal 2 3 3 3 2" xfId="1308"/>
    <cellStyle name="Normal 2 3 3 3 2 2" xfId="1872"/>
    <cellStyle name="Normal 2 3 3 3 3" xfId="1871"/>
    <cellStyle name="Normal 2 3 3 4" xfId="1309"/>
    <cellStyle name="Normal 2 3 3 4 2" xfId="1310"/>
    <cellStyle name="Normal 2 3 3 4 2 2" xfId="1874"/>
    <cellStyle name="Normal 2 3 3 4 3" xfId="1873"/>
    <cellStyle name="Normal 2 3 3 5" xfId="1311"/>
    <cellStyle name="Normal 2 3 3 5 2" xfId="1875"/>
    <cellStyle name="Normal 2 3 3 6" xfId="1610"/>
    <cellStyle name="Normal 2 3 4" xfId="884"/>
    <cellStyle name="Normal 2 3 4 2" xfId="885"/>
    <cellStyle name="Normal 2 3 4 2 2" xfId="886"/>
    <cellStyle name="Normal 2 3 4 2 2 2" xfId="887"/>
    <cellStyle name="Normal 2 3 4 2 2 2 2" xfId="1312"/>
    <cellStyle name="Normal 2 3 4 2 2 2 2 2" xfId="1876"/>
    <cellStyle name="Normal 2 3 4 2 2 2 3" xfId="1616"/>
    <cellStyle name="Normal 2 3 4 2 2 3" xfId="1313"/>
    <cellStyle name="Normal 2 3 4 2 2 3 2" xfId="1314"/>
    <cellStyle name="Normal 2 3 4 2 2 3 2 2" xfId="1878"/>
    <cellStyle name="Normal 2 3 4 2 2 3 3" xfId="1877"/>
    <cellStyle name="Normal 2 3 4 2 2 4" xfId="1315"/>
    <cellStyle name="Normal 2 3 4 2 2 4 2" xfId="1879"/>
    <cellStyle name="Normal 2 3 4 2 2 5" xfId="1615"/>
    <cellStyle name="Normal 2 3 4 2 3" xfId="1316"/>
    <cellStyle name="Normal 2 3 4 2 3 2" xfId="1317"/>
    <cellStyle name="Normal 2 3 4 2 3 2 2" xfId="1881"/>
    <cellStyle name="Normal 2 3 4 2 3 3" xfId="1880"/>
    <cellStyle name="Normal 2 3 4 2 4" xfId="1318"/>
    <cellStyle name="Normal 2 3 4 2 4 2" xfId="1319"/>
    <cellStyle name="Normal 2 3 4 2 4 2 2" xfId="1883"/>
    <cellStyle name="Normal 2 3 4 2 4 3" xfId="1882"/>
    <cellStyle name="Normal 2 3 4 2 5" xfId="1320"/>
    <cellStyle name="Normal 2 3 4 2 5 2" xfId="1884"/>
    <cellStyle name="Normal 2 3 4 2 6" xfId="1614"/>
    <cellStyle name="Normal 2 3 4 3" xfId="1273"/>
    <cellStyle name="Normal 2 3 4 3 2" xfId="1321"/>
    <cellStyle name="Normal 2 3 4 3 2 2" xfId="1885"/>
    <cellStyle name="Normal 2 3 4 3 3" xfId="1415"/>
    <cellStyle name="Normal 2 3 4 3 3 2" xfId="1937"/>
    <cellStyle name="Normal 2 3 4 3 4" xfId="1838"/>
    <cellStyle name="Normal 2 3 4 4" xfId="1322"/>
    <cellStyle name="Normal 2 3 4 4 2" xfId="1323"/>
    <cellStyle name="Normal 2 3 4 4 2 2" xfId="1887"/>
    <cellStyle name="Normal 2 3 4 4 3" xfId="1886"/>
    <cellStyle name="Normal 2 3 4 5" xfId="1324"/>
    <cellStyle name="Normal 2 3 4 5 2" xfId="1888"/>
    <cellStyle name="Normal 2 3 4 6" xfId="1613"/>
    <cellStyle name="Normal 2 3 5" xfId="888"/>
    <cellStyle name="Normal 2 3 5 2" xfId="1325"/>
    <cellStyle name="Normal 2 3 5 2 2" xfId="1889"/>
    <cellStyle name="Normal 2 3 6" xfId="889"/>
    <cellStyle name="Normal 2 3 6 2" xfId="1326"/>
    <cellStyle name="Normal 2 3 6 2 2" xfId="1890"/>
    <cellStyle name="Normal 2 3 7" xfId="890"/>
    <cellStyle name="Normal 2 3 8" xfId="891"/>
    <cellStyle name="Normal 2 3 9" xfId="1459"/>
    <cellStyle name="Normal 2 3_BANGALORE 13-02-2012" xfId="892"/>
    <cellStyle name="Normal 2 4" xfId="118"/>
    <cellStyle name="Normal 2 4 2" xfId="893"/>
    <cellStyle name="Normal 2 4 2 2" xfId="894"/>
    <cellStyle name="Normal 2 4 2 3" xfId="1351"/>
    <cellStyle name="Normal 2 4 2 4" xfId="1352"/>
    <cellStyle name="Normal 2 4 2 5" xfId="1353"/>
    <cellStyle name="Normal 2 4 2 5 2" xfId="1913"/>
    <cellStyle name="Normal 2 4 2 6" xfId="1617"/>
    <cellStyle name="Normal 2 4 3" xfId="895"/>
    <cellStyle name="Normal 2 4 3 2" xfId="1618"/>
    <cellStyle name="Normal 2 4 4" xfId="896"/>
    <cellStyle name="Normal 2 4 4 2" xfId="1619"/>
    <cellStyle name="Normal 2 4 5" xfId="1327"/>
    <cellStyle name="Normal 2 4 5 2" xfId="1891"/>
    <cellStyle name="Normal 2 4 6" xfId="1354"/>
    <cellStyle name="Normal 2 4 6 2" xfId="1914"/>
    <cellStyle name="Normal 2 4 7" xfId="1460"/>
    <cellStyle name="Normal 2 5" xfId="119"/>
    <cellStyle name="Normal 2 5 2" xfId="897"/>
    <cellStyle name="Normal 2 5 2 2" xfId="1620"/>
    <cellStyle name="Normal 2 5 3" xfId="1355"/>
    <cellStyle name="Normal 2 5 3 2" xfId="1915"/>
    <cellStyle name="Normal 2 5 4" xfId="1356"/>
    <cellStyle name="Normal 2 5 4 2" xfId="1916"/>
    <cellStyle name="Normal 2 5 5" xfId="1388"/>
    <cellStyle name="Normal 2 6" xfId="120"/>
    <cellStyle name="Normal 2 6 2" xfId="1357"/>
    <cellStyle name="Normal 2 6 2 2" xfId="1917"/>
    <cellStyle name="Normal 2 6 3" xfId="1358"/>
    <cellStyle name="Normal 2 6 3 2" xfId="1918"/>
    <cellStyle name="Normal 2 6 4" xfId="1359"/>
    <cellStyle name="Normal 2 6 4 2" xfId="1919"/>
    <cellStyle name="Normal 2 6 5" xfId="1461"/>
    <cellStyle name="Normal 2 7" xfId="898"/>
    <cellStyle name="Normal 2 7 2" xfId="1621"/>
    <cellStyle name="Normal 2 8" xfId="899"/>
    <cellStyle name="Normal 2 9" xfId="900"/>
    <cellStyle name="Normal 2_ ZPHS (G) at Enkoor (V&amp;M) 22.08 L" xfId="901"/>
    <cellStyle name="Normal 20" xfId="902"/>
    <cellStyle name="Normal 20 2" xfId="903"/>
    <cellStyle name="Normal 20 2 2" xfId="1622"/>
    <cellStyle name="Normal 20 3" xfId="1360"/>
    <cellStyle name="Normal 21" xfId="904"/>
    <cellStyle name="Normal 21 2" xfId="905"/>
    <cellStyle name="Normal 21 3" xfId="906"/>
    <cellStyle name="Normal 21 4" xfId="907"/>
    <cellStyle name="Normal 21 4 2" xfId="908"/>
    <cellStyle name="Normal 21 4 2 2" xfId="909"/>
    <cellStyle name="Normal 21 4 2 3" xfId="1623"/>
    <cellStyle name="Normal 21 4 3" xfId="910"/>
    <cellStyle name="Normal 21 5" xfId="911"/>
    <cellStyle name="Normal 21 5 2" xfId="1624"/>
    <cellStyle name="Normal 21 6" xfId="912"/>
    <cellStyle name="Normal 21 6 2" xfId="913"/>
    <cellStyle name="Normal 21 6 2 2" xfId="1626"/>
    <cellStyle name="Normal 21 6 3" xfId="1625"/>
    <cellStyle name="Normal 22" xfId="914"/>
    <cellStyle name="Normal 22 2" xfId="1361"/>
    <cellStyle name="Normal 22 3" xfId="1627"/>
    <cellStyle name="Normal 23" xfId="915"/>
    <cellStyle name="Normal 23 2" xfId="916"/>
    <cellStyle name="Normal 23 2 2" xfId="1629"/>
    <cellStyle name="Normal 23 3" xfId="1362"/>
    <cellStyle name="Normal 23 3 2" xfId="1920"/>
    <cellStyle name="Normal 23 4" xfId="1628"/>
    <cellStyle name="Normal 24" xfId="917"/>
    <cellStyle name="Normal 24 2" xfId="1630"/>
    <cellStyle name="Normal 25" xfId="918"/>
    <cellStyle name="Normal 25 2" xfId="919"/>
    <cellStyle name="Normal 25 2 2" xfId="920"/>
    <cellStyle name="Normal 25 2 2 2" xfId="921"/>
    <cellStyle name="Normal 25 2 2 2 2" xfId="1634"/>
    <cellStyle name="Normal 25 2 2 3" xfId="1633"/>
    <cellStyle name="Normal 25 2 3" xfId="922"/>
    <cellStyle name="Normal 25 2 3 2" xfId="1635"/>
    <cellStyle name="Normal 25 2 4" xfId="1632"/>
    <cellStyle name="Normal 25 3" xfId="923"/>
    <cellStyle name="Normal 25 3 2" xfId="924"/>
    <cellStyle name="Normal 25 3 2 2" xfId="1637"/>
    <cellStyle name="Normal 25 3 3" xfId="1636"/>
    <cellStyle name="Normal 25 4" xfId="1631"/>
    <cellStyle name="Normal 26" xfId="925"/>
    <cellStyle name="Normal 26 2" xfId="926"/>
    <cellStyle name="Normal 26 2 2" xfId="927"/>
    <cellStyle name="Normal 26 2 2 2" xfId="928"/>
    <cellStyle name="Normal 26 2 2 2 2" xfId="1641"/>
    <cellStyle name="Normal 26 2 2 3" xfId="1640"/>
    <cellStyle name="Normal 26 2 3" xfId="929"/>
    <cellStyle name="Normal 26 2 3 2" xfId="1642"/>
    <cellStyle name="Normal 26 2 4" xfId="1639"/>
    <cellStyle name="Normal 26 3" xfId="930"/>
    <cellStyle name="Normal 26 3 2" xfId="931"/>
    <cellStyle name="Normal 26 3 2 2" xfId="1644"/>
    <cellStyle name="Normal 26 3 3" xfId="1643"/>
    <cellStyle name="Normal 26 4" xfId="1638"/>
    <cellStyle name="Normal 27" xfId="932"/>
    <cellStyle name="Normal 27 2" xfId="933"/>
    <cellStyle name="Normal 27 2 2" xfId="934"/>
    <cellStyle name="Normal 27 2 2 2" xfId="935"/>
    <cellStyle name="Normal 27 2 2 2 2" xfId="1648"/>
    <cellStyle name="Normal 27 2 2 3" xfId="1647"/>
    <cellStyle name="Normal 27 2 3" xfId="936"/>
    <cellStyle name="Normal 27 2 3 2" xfId="1649"/>
    <cellStyle name="Normal 27 2 4" xfId="1646"/>
    <cellStyle name="Normal 27 3" xfId="937"/>
    <cellStyle name="Normal 27 3 2" xfId="938"/>
    <cellStyle name="Normal 27 3 2 2" xfId="1651"/>
    <cellStyle name="Normal 27 3 3" xfId="1650"/>
    <cellStyle name="Normal 27 4" xfId="1645"/>
    <cellStyle name="Normal 28" xfId="939"/>
    <cellStyle name="Normal 28 2" xfId="940"/>
    <cellStyle name="Normal 28 2 2" xfId="941"/>
    <cellStyle name="Normal 28 2 2 2" xfId="942"/>
    <cellStyle name="Normal 28 2 2 2 2" xfId="1655"/>
    <cellStyle name="Normal 28 2 2 3" xfId="1654"/>
    <cellStyle name="Normal 28 2 3" xfId="943"/>
    <cellStyle name="Normal 28 2 3 2" xfId="1656"/>
    <cellStyle name="Normal 28 2 4" xfId="1653"/>
    <cellStyle name="Normal 28 3" xfId="944"/>
    <cellStyle name="Normal 28 3 2" xfId="945"/>
    <cellStyle name="Normal 28 3 2 2" xfId="1658"/>
    <cellStyle name="Normal 28 3 3" xfId="1657"/>
    <cellStyle name="Normal 28 4" xfId="1652"/>
    <cellStyle name="Normal 29" xfId="946"/>
    <cellStyle name="Normal 29 2" xfId="947"/>
    <cellStyle name="Normal 29 2 2" xfId="948"/>
    <cellStyle name="Normal 29 2 2 2" xfId="949"/>
    <cellStyle name="Normal 29 2 2 2 2" xfId="1662"/>
    <cellStyle name="Normal 29 2 2 3" xfId="1661"/>
    <cellStyle name="Normal 29 2 3" xfId="950"/>
    <cellStyle name="Normal 29 2 3 2" xfId="1663"/>
    <cellStyle name="Normal 29 2 4" xfId="1660"/>
    <cellStyle name="Normal 29 3" xfId="951"/>
    <cellStyle name="Normal 29 3 2" xfId="952"/>
    <cellStyle name="Normal 29 3 2 2" xfId="1665"/>
    <cellStyle name="Normal 29 3 3" xfId="1664"/>
    <cellStyle name="Normal 29 4" xfId="953"/>
    <cellStyle name="Normal 29 4 2" xfId="1666"/>
    <cellStyle name="Normal 29 5" xfId="954"/>
    <cellStyle name="Normal 29 5 2" xfId="1667"/>
    <cellStyle name="Normal 29 6" xfId="955"/>
    <cellStyle name="Normal 29 6 2" xfId="1668"/>
    <cellStyle name="Normal 29 7" xfId="1659"/>
    <cellStyle name="Normal 3" xfId="121"/>
    <cellStyle name="Normal 3 10" xfId="956"/>
    <cellStyle name="Normal 3 10 2" xfId="957"/>
    <cellStyle name="Normal 3 10 2 2" xfId="1670"/>
    <cellStyle name="Normal 3 10 3" xfId="958"/>
    <cellStyle name="Normal 3 10 3 2" xfId="1671"/>
    <cellStyle name="Normal 3 10 4" xfId="1669"/>
    <cellStyle name="Normal 3 11" xfId="959"/>
    <cellStyle name="Normal 3 11 2" xfId="1672"/>
    <cellStyle name="Normal 3 12" xfId="960"/>
    <cellStyle name="Normal 3 12 2" xfId="1673"/>
    <cellStyle name="Normal 3 13" xfId="961"/>
    <cellStyle name="Normal 3 13 2" xfId="1674"/>
    <cellStyle name="Normal 3 14" xfId="962"/>
    <cellStyle name="Normal 3 14 2" xfId="1675"/>
    <cellStyle name="Normal 3 15" xfId="963"/>
    <cellStyle name="Normal 3 15 2" xfId="1676"/>
    <cellStyle name="Normal 3 16" xfId="964"/>
    <cellStyle name="Normal 3 16 2" xfId="1677"/>
    <cellStyle name="Normal 3 2" xfId="122"/>
    <cellStyle name="Normal 3 2 2" xfId="965"/>
    <cellStyle name="Normal 3 2 2 2" xfId="966"/>
    <cellStyle name="Normal 3 2 2 2 2" xfId="967"/>
    <cellStyle name="Normal 3 2 2 2 2 2" xfId="1680"/>
    <cellStyle name="Normal 3 2 2 2 3" xfId="1679"/>
    <cellStyle name="Normal 3 2 2 3" xfId="968"/>
    <cellStyle name="Normal 3 2 2 3 2" xfId="1681"/>
    <cellStyle name="Normal 3 2 2 4" xfId="1678"/>
    <cellStyle name="Normal 3 2 3" xfId="969"/>
    <cellStyle name="Normal 3 2 3 2" xfId="970"/>
    <cellStyle name="Normal 3 2 3 2 2" xfId="1682"/>
    <cellStyle name="Normal 3 2 3 3" xfId="1389"/>
    <cellStyle name="Normal 3 2 4" xfId="971"/>
    <cellStyle name="Normal 3 2 4 2" xfId="1683"/>
    <cellStyle name="Normal 3 2_(GF) Reading Room Over Existing Building at Govt Jr. College  05.11.2013" xfId="972"/>
    <cellStyle name="Normal 3 3" xfId="123"/>
    <cellStyle name="Normal 3 3 2" xfId="973"/>
    <cellStyle name="Normal 3 3 2 2" xfId="974"/>
    <cellStyle name="Normal 3 3 2 3" xfId="1363"/>
    <cellStyle name="Normal 3 3 2 4" xfId="1364"/>
    <cellStyle name="Normal 3 3 2_KGVB-Mulugu-Wgl" xfId="975"/>
    <cellStyle name="Normal 3 3 3" xfId="1365"/>
    <cellStyle name="Normal 3 3 4" xfId="1366"/>
    <cellStyle name="Normal 3 3 5" xfId="1367"/>
    <cellStyle name="Normal 3 3_3 ACRs in GF - G+1 floor-2010-11" xfId="976"/>
    <cellStyle name="Normal 3 33" xfId="977"/>
    <cellStyle name="Normal 3 33 2" xfId="1684"/>
    <cellStyle name="Normal 3 4" xfId="124"/>
    <cellStyle name="Normal 3 4 2" xfId="978"/>
    <cellStyle name="Normal 3 4 2 2" xfId="1685"/>
    <cellStyle name="Normal 3 4 3" xfId="1368"/>
    <cellStyle name="Normal 3 4 3 2" xfId="1921"/>
    <cellStyle name="Normal 3 4 4" xfId="1369"/>
    <cellStyle name="Normal 3 4 4 2" xfId="1922"/>
    <cellStyle name="Normal 3 5" xfId="979"/>
    <cellStyle name="Normal 3 5 2" xfId="980"/>
    <cellStyle name="Normal 3 5 3" xfId="981"/>
    <cellStyle name="Normal 3 5 3 2" xfId="1687"/>
    <cellStyle name="Normal 3 5 4" xfId="982"/>
    <cellStyle name="Normal 3 5 4 2" xfId="1688"/>
    <cellStyle name="Normal 3 5 5" xfId="1686"/>
    <cellStyle name="Normal 3 6" xfId="983"/>
    <cellStyle name="Normal 3 6 2" xfId="984"/>
    <cellStyle name="Normal 3 6 2 2" xfId="1690"/>
    <cellStyle name="Normal 3 6 3" xfId="1370"/>
    <cellStyle name="Normal 3 6 3 2" xfId="1923"/>
    <cellStyle name="Normal 3 6 4" xfId="1371"/>
    <cellStyle name="Normal 3 6 4 2" xfId="1924"/>
    <cellStyle name="Normal 3 6 5" xfId="1689"/>
    <cellStyle name="Normal 3 7" xfId="985"/>
    <cellStyle name="Normal 3 7 2" xfId="986"/>
    <cellStyle name="Normal 3 7 2 2" xfId="1692"/>
    <cellStyle name="Normal 3 7 3" xfId="987"/>
    <cellStyle name="Normal 3 7 3 2" xfId="1693"/>
    <cellStyle name="Normal 3 7 4" xfId="1691"/>
    <cellStyle name="Normal 3 7_Girls Hostel attached to Model School at Munipally WDE (Final) Modified (05.09.2014)" xfId="988"/>
    <cellStyle name="Normal 3 8" xfId="989"/>
    <cellStyle name="Normal 3 8 2" xfId="990"/>
    <cellStyle name="Normal 3 8 2 2" xfId="1695"/>
    <cellStyle name="Normal 3 8 3" xfId="1694"/>
    <cellStyle name="Normal 3 9" xfId="991"/>
    <cellStyle name="Normal 3 9 2" xfId="992"/>
    <cellStyle name="Normal 3 9 2 2" xfId="1697"/>
    <cellStyle name="Normal 3 9 3" xfId="993"/>
    <cellStyle name="Normal 3 9 3 2" xfId="1698"/>
    <cellStyle name="Normal 3 9 4" xfId="994"/>
    <cellStyle name="Normal 3 9 4 2" xfId="1699"/>
    <cellStyle name="Normal 3 9 5" xfId="1696"/>
    <cellStyle name="Normal 3_1_Pattapupalem_road estt-NCRMP" xfId="125"/>
    <cellStyle name="Normal 30" xfId="995"/>
    <cellStyle name="Normal 30 2" xfId="996"/>
    <cellStyle name="Normal 30 2 2" xfId="997"/>
    <cellStyle name="Normal 30 2 2 2" xfId="998"/>
    <cellStyle name="Normal 30 2 2 2 2" xfId="1703"/>
    <cellStyle name="Normal 30 2 2 3" xfId="1702"/>
    <cellStyle name="Normal 30 2 3" xfId="999"/>
    <cellStyle name="Normal 30 2 3 2" xfId="1704"/>
    <cellStyle name="Normal 30 2 4" xfId="1701"/>
    <cellStyle name="Normal 30 3" xfId="1000"/>
    <cellStyle name="Normal 30 3 2" xfId="1001"/>
    <cellStyle name="Normal 30 3 2 2" xfId="1706"/>
    <cellStyle name="Normal 30 3 3" xfId="1705"/>
    <cellStyle name="Normal 30 4" xfId="1700"/>
    <cellStyle name="Normal 31" xfId="1002"/>
    <cellStyle name="Normal 31 2" xfId="1003"/>
    <cellStyle name="Normal 31 2 2" xfId="1004"/>
    <cellStyle name="Normal 31 2 2 2" xfId="1005"/>
    <cellStyle name="Normal 31 2 2 2 2" xfId="1710"/>
    <cellStyle name="Normal 31 2 2 3" xfId="1709"/>
    <cellStyle name="Normal 31 2 3" xfId="1006"/>
    <cellStyle name="Normal 31 2 3 2" xfId="1711"/>
    <cellStyle name="Normal 31 2 4" xfId="1708"/>
    <cellStyle name="Normal 31 3" xfId="1007"/>
    <cellStyle name="Normal 31 3 2" xfId="1008"/>
    <cellStyle name="Normal 31 3 2 2" xfId="1713"/>
    <cellStyle name="Normal 31 3 3" xfId="1712"/>
    <cellStyle name="Normal 31 4" xfId="1707"/>
    <cellStyle name="Normal 32" xfId="1009"/>
    <cellStyle name="Normal 32 2" xfId="1010"/>
    <cellStyle name="Normal 32 2 2" xfId="1011"/>
    <cellStyle name="Normal 32 2 2 2" xfId="1012"/>
    <cellStyle name="Normal 32 2 2 2 2" xfId="1717"/>
    <cellStyle name="Normal 32 2 2 3" xfId="1716"/>
    <cellStyle name="Normal 32 2 3" xfId="1013"/>
    <cellStyle name="Normal 32 2 3 2" xfId="1718"/>
    <cellStyle name="Normal 32 2 4" xfId="1715"/>
    <cellStyle name="Normal 32 3" xfId="1014"/>
    <cellStyle name="Normal 32 3 2" xfId="1015"/>
    <cellStyle name="Normal 32 3 2 2" xfId="1720"/>
    <cellStyle name="Normal 32 3 3" xfId="1719"/>
    <cellStyle name="Normal 32 4" xfId="1714"/>
    <cellStyle name="Normal 33" xfId="1016"/>
    <cellStyle name="Normal 33 2" xfId="1017"/>
    <cellStyle name="Normal 33 2 2" xfId="1018"/>
    <cellStyle name="Normal 33 2 2 2" xfId="1019"/>
    <cellStyle name="Normal 33 2 2 2 2" xfId="1724"/>
    <cellStyle name="Normal 33 2 2 3" xfId="1723"/>
    <cellStyle name="Normal 33 2 3" xfId="1020"/>
    <cellStyle name="Normal 33 2 3 2" xfId="1725"/>
    <cellStyle name="Normal 33 2 4" xfId="1722"/>
    <cellStyle name="Normal 33 3" xfId="1021"/>
    <cellStyle name="Normal 33 3 2" xfId="1022"/>
    <cellStyle name="Normal 33 3 2 2" xfId="1727"/>
    <cellStyle name="Normal 33 3 3" xfId="1726"/>
    <cellStyle name="Normal 33 4" xfId="1721"/>
    <cellStyle name="Normal 34" xfId="1023"/>
    <cellStyle name="Normal 34 2" xfId="1024"/>
    <cellStyle name="Normal 34 2 2" xfId="1729"/>
    <cellStyle name="Normal 34 3" xfId="1025"/>
    <cellStyle name="Normal 34 3 2" xfId="1730"/>
    <cellStyle name="Normal 34 4" xfId="1728"/>
    <cellStyle name="Normal 35" xfId="1026"/>
    <cellStyle name="Normal 35 2" xfId="1731"/>
    <cellStyle name="Normal 36" xfId="1027"/>
    <cellStyle name="Normal 36 2" xfId="1732"/>
    <cellStyle name="Normal 37" xfId="1028"/>
    <cellStyle name="Normal 37 2" xfId="1733"/>
    <cellStyle name="Normal 38" xfId="1029"/>
    <cellStyle name="Normal 38 2" xfId="1734"/>
    <cellStyle name="Normal 39" xfId="1030"/>
    <cellStyle name="Normal 39 2" xfId="1735"/>
    <cellStyle name="Normal 4" xfId="126"/>
    <cellStyle name="Normal 4 10" xfId="1031"/>
    <cellStyle name="Normal 4 10 2" xfId="1736"/>
    <cellStyle name="Normal 4 11" xfId="1032"/>
    <cellStyle name="Normal 4 11 2" xfId="1737"/>
    <cellStyle name="Normal 4 12" xfId="1418"/>
    <cellStyle name="Normal 4 2" xfId="127"/>
    <cellStyle name="Normal 4 2 2" xfId="128"/>
    <cellStyle name="Normal 4 2 2 2" xfId="1033"/>
    <cellStyle name="Normal 4 2 2 2 2" xfId="1738"/>
    <cellStyle name="Normal 4 2 2 3" xfId="1463"/>
    <cellStyle name="Normal 4 2 3" xfId="1034"/>
    <cellStyle name="Normal 4 2 3 2" xfId="1739"/>
    <cellStyle name="Normal 4 2 4" xfId="1035"/>
    <cellStyle name="Normal 4 2 4 2" xfId="1740"/>
    <cellStyle name="Normal 4 2 5" xfId="1372"/>
    <cellStyle name="Normal 4 2 5 2" xfId="1925"/>
    <cellStyle name="Normal 4 2 6" xfId="1373"/>
    <cellStyle name="Normal 4 2 6 2" xfId="1926"/>
    <cellStyle name="Normal 4 2 7" xfId="1387"/>
    <cellStyle name="Normal 4 2 8" xfId="1462"/>
    <cellStyle name="Normal 4 2_Estimate" xfId="1374"/>
    <cellStyle name="Normal 4 3" xfId="129"/>
    <cellStyle name="Normal 4 3 2" xfId="130"/>
    <cellStyle name="Normal 4 3 2 2" xfId="1465"/>
    <cellStyle name="Normal 4 3 3" xfId="1464"/>
    <cellStyle name="Normal 4 4" xfId="131"/>
    <cellStyle name="Normal 4 4 2" xfId="1036"/>
    <cellStyle name="Normal 4 4 2 2" xfId="1741"/>
    <cellStyle name="Normal 4 4 3" xfId="1466"/>
    <cellStyle name="Normal 4 5" xfId="132"/>
    <cellStyle name="Normal 4 5 2" xfId="133"/>
    <cellStyle name="Normal 4 5 2 2" xfId="1468"/>
    <cellStyle name="Normal 4 5 3" xfId="1467"/>
    <cellStyle name="Normal 4 6" xfId="1037"/>
    <cellStyle name="Normal 4 7" xfId="1038"/>
    <cellStyle name="Normal 4 7 2" xfId="1742"/>
    <cellStyle name="Normal 4 8" xfId="1039"/>
    <cellStyle name="Normal 4 8 2" xfId="1743"/>
    <cellStyle name="Normal 4 9" xfId="1040"/>
    <cellStyle name="Normal 4 9 2" xfId="1744"/>
    <cellStyle name="Normal 4_1. Infilteration Well " xfId="1041"/>
    <cellStyle name="Normal 40" xfId="1042"/>
    <cellStyle name="Normal 40 2" xfId="1745"/>
    <cellStyle name="Normal 41" xfId="1043"/>
    <cellStyle name="Normal 41 2" xfId="1746"/>
    <cellStyle name="Normal 42" xfId="1044"/>
    <cellStyle name="Normal 42 2" xfId="1045"/>
    <cellStyle name="Normal 42 3" xfId="1747"/>
    <cellStyle name="Normal 43" xfId="1046"/>
    <cellStyle name="Normal 43 2" xfId="1748"/>
    <cellStyle name="Normal 44" xfId="1047"/>
    <cellStyle name="Normal 45" xfId="1048"/>
    <cellStyle name="Normal 45 2" xfId="1749"/>
    <cellStyle name="Normal 46" xfId="1049"/>
    <cellStyle name="Normal 46 2" xfId="1750"/>
    <cellStyle name="Normal 47" xfId="1050"/>
    <cellStyle name="Normal 47 2" xfId="1751"/>
    <cellStyle name="Normal 48" xfId="1051"/>
    <cellStyle name="Normal 48 2" xfId="1752"/>
    <cellStyle name="Normal 49" xfId="1052"/>
    <cellStyle name="Normal 49 2" xfId="1753"/>
    <cellStyle name="Normal 5" xfId="134"/>
    <cellStyle name="Normal 5 2" xfId="135"/>
    <cellStyle name="Normal 5 2 2" xfId="1053"/>
    <cellStyle name="Normal 5 2 2 2" xfId="1328"/>
    <cellStyle name="Normal 5 2 2 2 2" xfId="1892"/>
    <cellStyle name="Normal 5 2 3" xfId="1329"/>
    <cellStyle name="Normal 5 2 3 2" xfId="1330"/>
    <cellStyle name="Normal 5 2 3 2 2" xfId="1894"/>
    <cellStyle name="Normal 5 2 3 3" xfId="1893"/>
    <cellStyle name="Normal 5 2 4" xfId="1331"/>
    <cellStyle name="Normal 5 2 4 2" xfId="1895"/>
    <cellStyle name="Normal 5 2 5" xfId="1470"/>
    <cellStyle name="Normal 5 3" xfId="136"/>
    <cellStyle name="Normal 5 3 2" xfId="1054"/>
    <cellStyle name="Normal 5 3 2 2" xfId="1754"/>
    <cellStyle name="Normal 5 3 3" xfId="1055"/>
    <cellStyle name="Normal 5 3 3 2" xfId="1056"/>
    <cellStyle name="Normal 5 3 3 2 2" xfId="1756"/>
    <cellStyle name="Normal 5 3 3 3" xfId="1755"/>
    <cellStyle name="Normal 5 3 4" xfId="1057"/>
    <cellStyle name="Normal 5 3 4 2" xfId="1757"/>
    <cellStyle name="Normal 5 3 5" xfId="1471"/>
    <cellStyle name="Normal 5 3_Girls Hostel at Ibrahimnagar SSR 2014-15 _Full(1)" xfId="1058"/>
    <cellStyle name="Normal 5 4" xfId="137"/>
    <cellStyle name="Normal 5 4 2" xfId="1059"/>
    <cellStyle name="Normal 5 4 2 2" xfId="1060"/>
    <cellStyle name="Normal 5 4 2 2 2" xfId="1759"/>
    <cellStyle name="Normal 5 4 2 3" xfId="1758"/>
    <cellStyle name="Normal 5 4 3" xfId="1061"/>
    <cellStyle name="Normal 5 4 3 2" xfId="1760"/>
    <cellStyle name="Normal 5 4 4" xfId="1332"/>
    <cellStyle name="Normal 5 4 4 2" xfId="1896"/>
    <cellStyle name="Normal 5 4 5" xfId="1333"/>
    <cellStyle name="Normal 5 4 5 2" xfId="1897"/>
    <cellStyle name="Normal 5 4 6" xfId="1472"/>
    <cellStyle name="Normal 5 5" xfId="1062"/>
    <cellStyle name="Normal 5 5 2" xfId="1063"/>
    <cellStyle name="Normal 5 5 2 2" xfId="1762"/>
    <cellStyle name="Normal 5 5 3" xfId="1334"/>
    <cellStyle name="Normal 5 5 3 2" xfId="1898"/>
    <cellStyle name="Normal 5 5 4" xfId="1335"/>
    <cellStyle name="Normal 5 5 4 2" xfId="1899"/>
    <cellStyle name="Normal 5 5 5" xfId="1761"/>
    <cellStyle name="Normal 5 6" xfId="1064"/>
    <cellStyle name="Normal 5 6 2" xfId="1336"/>
    <cellStyle name="Normal 5 6 2 2" xfId="1900"/>
    <cellStyle name="Normal 5 6 3" xfId="1763"/>
    <cellStyle name="Normal 5 7" xfId="1065"/>
    <cellStyle name="Normal 5 7 2" xfId="1337"/>
    <cellStyle name="Normal 5 7 2 2" xfId="1901"/>
    <cellStyle name="Normal 5 7 3" xfId="1764"/>
    <cellStyle name="Normal 5 8" xfId="1338"/>
    <cellStyle name="Normal 5 8 2" xfId="1902"/>
    <cellStyle name="Normal 5 9" xfId="1469"/>
    <cellStyle name="Normal 5_2_AP02X016 - KP Kunta" xfId="1066"/>
    <cellStyle name="Normal 50" xfId="1067"/>
    <cellStyle name="Normal 50 2" xfId="1068"/>
    <cellStyle name="Normal 50 2 2" xfId="1766"/>
    <cellStyle name="Normal 50 3" xfId="1765"/>
    <cellStyle name="Normal 51" xfId="1069"/>
    <cellStyle name="Normal 51 2" xfId="1070"/>
    <cellStyle name="Normal 51 2 2" xfId="1768"/>
    <cellStyle name="Normal 51 3" xfId="1767"/>
    <cellStyle name="Normal 52" xfId="1375"/>
    <cellStyle name="Normal 52 2" xfId="1927"/>
    <cellStyle name="Normal 53" xfId="1393"/>
    <cellStyle name="Normal 53 2" xfId="1417"/>
    <cellStyle name="Normal 53 2 2" xfId="1939"/>
    <cellStyle name="Normal 53 3" xfId="1425"/>
    <cellStyle name="Normal 53 3 2" xfId="1426"/>
    <cellStyle name="Normal 53 3 2 2" xfId="1943"/>
    <cellStyle name="Normal 53 3 3" xfId="1942"/>
    <cellStyle name="Normal 53 4" xfId="1935"/>
    <cellStyle name="Normal 54" xfId="1419"/>
    <cellStyle name="Normal 54 2" xfId="1940"/>
    <cellStyle name="Normal 55" xfId="1427"/>
    <cellStyle name="Normal 55 2" xfId="1428"/>
    <cellStyle name="Normal 6" xfId="176"/>
    <cellStyle name="Normal 6 10" xfId="1071"/>
    <cellStyle name="Normal 6 11" xfId="1072"/>
    <cellStyle name="Normal 6 12" xfId="1073"/>
    <cellStyle name="Normal 6 13" xfId="1392"/>
    <cellStyle name="Normal 6 13 2" xfId="1934"/>
    <cellStyle name="Normal 6 14" xfId="1490"/>
    <cellStyle name="Normal 6 2" xfId="138"/>
    <cellStyle name="Normal 6 2 2" xfId="1074"/>
    <cellStyle name="Normal 6 2 2 2" xfId="1075"/>
    <cellStyle name="Normal 6 2 2 2 2" xfId="1770"/>
    <cellStyle name="Normal 6 2 2 3" xfId="1769"/>
    <cellStyle name="Normal 6 2 3" xfId="1076"/>
    <cellStyle name="Normal 6 2 3 2" xfId="1077"/>
    <cellStyle name="Normal 6 2 3 2 2" xfId="1771"/>
    <cellStyle name="Normal 6 2 3 3" xfId="1390"/>
    <cellStyle name="Normal 6 2 4" xfId="1078"/>
    <cellStyle name="Normal 6 2 5" xfId="1416"/>
    <cellStyle name="Normal 6 2 5 2" xfId="1938"/>
    <cellStyle name="Normal 6 2 6" xfId="1473"/>
    <cellStyle name="Normal 6 3" xfId="1079"/>
    <cellStyle name="Normal 6 3 2" xfId="1080"/>
    <cellStyle name="Normal 6 3 3" xfId="1772"/>
    <cellStyle name="Normal 6 3_Bhamanagar 5.2 - Copy" xfId="1081"/>
    <cellStyle name="Normal 6 4" xfId="1082"/>
    <cellStyle name="Normal 6 4 2" xfId="1083"/>
    <cellStyle name="Normal 6 4 2 2" xfId="1774"/>
    <cellStyle name="Normal 6 4 3" xfId="1339"/>
    <cellStyle name="Normal 6 4 3 2" xfId="1903"/>
    <cellStyle name="Normal 6 4 4" xfId="1340"/>
    <cellStyle name="Normal 6 4 4 2" xfId="1904"/>
    <cellStyle name="Normal 6 4 5" xfId="1341"/>
    <cellStyle name="Normal 6 4 5 2" xfId="1905"/>
    <cellStyle name="Normal 6 4 6" xfId="1773"/>
    <cellStyle name="Normal 6 5" xfId="1084"/>
    <cellStyle name="Normal 6 5 2" xfId="1085"/>
    <cellStyle name="Normal 6 5 2 2" xfId="1775"/>
    <cellStyle name="Normal 6 6" xfId="1086"/>
    <cellStyle name="Normal 6 7" xfId="1087"/>
    <cellStyle name="Normal 6 8" xfId="1088"/>
    <cellStyle name="Normal 6 9" xfId="1089"/>
    <cellStyle name="Normal 6_Bhamanagar 5.2" xfId="1090"/>
    <cellStyle name="Normal 7" xfId="1091"/>
    <cellStyle name="Normal 7 10" xfId="1092"/>
    <cellStyle name="Normal 7 10 2" xfId="1777"/>
    <cellStyle name="Normal 7 11" xfId="1093"/>
    <cellStyle name="Normal 7 11 2" xfId="1778"/>
    <cellStyle name="Normal 7 12" xfId="1094"/>
    <cellStyle name="Normal 7 12 2" xfId="1095"/>
    <cellStyle name="Normal 7 13" xfId="1776"/>
    <cellStyle name="Normal 7 2" xfId="139"/>
    <cellStyle name="Normal 7 2 2" xfId="1096"/>
    <cellStyle name="Normal 7 2 3" xfId="1097"/>
    <cellStyle name="Normal 7 2 3 2" xfId="1779"/>
    <cellStyle name="Normal 7 2 4" xfId="1376"/>
    <cellStyle name="Normal 7 2 5" xfId="1474"/>
    <cellStyle name="Normal 7 3" xfId="1098"/>
    <cellStyle name="Normal 7 3 2" xfId="1099"/>
    <cellStyle name="Normal 7 3 2 2" xfId="1780"/>
    <cellStyle name="Normal 7 4" xfId="1100"/>
    <cellStyle name="Normal 7 4 2" xfId="1781"/>
    <cellStyle name="Normal 7 5" xfId="1101"/>
    <cellStyle name="Normal 7 5 2" xfId="1782"/>
    <cellStyle name="Normal 7 6" xfId="1102"/>
    <cellStyle name="Normal 7 6 2" xfId="1783"/>
    <cellStyle name="Normal 7 7" xfId="1103"/>
    <cellStyle name="Normal 7 7 2" xfId="1784"/>
    <cellStyle name="Normal 7 8" xfId="1104"/>
    <cellStyle name="Normal 7 8 2" xfId="1785"/>
    <cellStyle name="Normal 7 9" xfId="1105"/>
    <cellStyle name="Normal 7 9 2" xfId="1786"/>
    <cellStyle name="Normal 7_2_AP02X016 - KP Kunta" xfId="1106"/>
    <cellStyle name="Normal 8" xfId="140"/>
    <cellStyle name="Normal 8 2" xfId="1107"/>
    <cellStyle name="Normal 8 2 2" xfId="1108"/>
    <cellStyle name="Normal 8 3" xfId="1109"/>
    <cellStyle name="Normal 8 4" xfId="1110"/>
    <cellStyle name="Normal 8_13th Fin Ponnugupadu 22.00 Lakhs" xfId="1111"/>
    <cellStyle name="Normal 9" xfId="141"/>
    <cellStyle name="Normal 9 2" xfId="1112"/>
    <cellStyle name="Normal 9 2 2" xfId="1113"/>
    <cellStyle name="Normal 9 2 2 2" xfId="1788"/>
    <cellStyle name="Normal 9 2 3" xfId="1787"/>
    <cellStyle name="Normal 9 3" xfId="1114"/>
    <cellStyle name="Normal 9 4" xfId="1475"/>
    <cellStyle name="Normal_Lead chart 2" xfId="1420"/>
    <cellStyle name="Normal_LEAD STATEMENT OF JAMMALAMADUGU 2" xfId="1385"/>
    <cellStyle name="Normal_LEAD STATEMENT OF JAMMALAMADUGU 2 2" xfId="1423"/>
    <cellStyle name="Normal_Telka-Est-old" xfId="1274"/>
    <cellStyle name="Note 10" xfId="1115"/>
    <cellStyle name="Note 10 2" xfId="1789"/>
    <cellStyle name="Note 11" xfId="1116"/>
    <cellStyle name="Note 11 2" xfId="1790"/>
    <cellStyle name="Note 12" xfId="1117"/>
    <cellStyle name="Note 12 2" xfId="1791"/>
    <cellStyle name="Note 13" xfId="1118"/>
    <cellStyle name="Note 13 2" xfId="1792"/>
    <cellStyle name="Note 14" xfId="1119"/>
    <cellStyle name="Note 14 2" xfId="1793"/>
    <cellStyle name="Note 15" xfId="1120"/>
    <cellStyle name="Note 15 2" xfId="1794"/>
    <cellStyle name="Note 16" xfId="1121"/>
    <cellStyle name="Note 16 2" xfId="1795"/>
    <cellStyle name="Note 2" xfId="142"/>
    <cellStyle name="Note 2 2" xfId="1122"/>
    <cellStyle name="Note 2 2 2" xfId="1796"/>
    <cellStyle name="Note 2 3" xfId="1123"/>
    <cellStyle name="Note 2 3 2" xfId="1797"/>
    <cellStyle name="Note 2 4" xfId="1476"/>
    <cellStyle name="Note 3" xfId="1124"/>
    <cellStyle name="Note 3 2" xfId="1125"/>
    <cellStyle name="Note 3 2 2" xfId="1799"/>
    <cellStyle name="Note 3 3" xfId="1798"/>
    <cellStyle name="Note 4" xfId="1126"/>
    <cellStyle name="Note 4 2" xfId="1800"/>
    <cellStyle name="Note 5" xfId="1127"/>
    <cellStyle name="Note 5 2" xfId="1801"/>
    <cellStyle name="Note 6" xfId="1128"/>
    <cellStyle name="Note 6 2" xfId="1802"/>
    <cellStyle name="Note 7" xfId="1129"/>
    <cellStyle name="Note 7 2" xfId="1803"/>
    <cellStyle name="Note 8" xfId="1130"/>
    <cellStyle name="Note 8 2" xfId="1804"/>
    <cellStyle name="Note 9" xfId="1131"/>
    <cellStyle name="Note 9 2" xfId="1805"/>
    <cellStyle name="Output 10" xfId="1132"/>
    <cellStyle name="Output 11" xfId="1133"/>
    <cellStyle name="Output 12" xfId="1134"/>
    <cellStyle name="Output 13" xfId="1135"/>
    <cellStyle name="Output 14" xfId="1136"/>
    <cellStyle name="Output 15" xfId="1137"/>
    <cellStyle name="Output 16" xfId="1138"/>
    <cellStyle name="Output 2" xfId="143"/>
    <cellStyle name="Output 2 2" xfId="1139"/>
    <cellStyle name="Output 2 3" xfId="1140"/>
    <cellStyle name="Output 3" xfId="1141"/>
    <cellStyle name="Output 3 2" xfId="1142"/>
    <cellStyle name="Output 4" xfId="1143"/>
    <cellStyle name="Output 5" xfId="1144"/>
    <cellStyle name="Output 6" xfId="1145"/>
    <cellStyle name="Output 7" xfId="1146"/>
    <cellStyle name="Output 8" xfId="1147"/>
    <cellStyle name="Output 9" xfId="1148"/>
    <cellStyle name="Percent [2]" xfId="144"/>
    <cellStyle name="Percent [2] 2" xfId="145"/>
    <cellStyle name="Percent [2] 2 2" xfId="1477"/>
    <cellStyle name="Percent [2] 3" xfId="146"/>
    <cellStyle name="Percent [2] 3 2" xfId="1478"/>
    <cellStyle name="Percent [2] 4" xfId="147"/>
    <cellStyle name="Percent [2] 4 2" xfId="1479"/>
    <cellStyle name="Percent [2] 5" xfId="1149"/>
    <cellStyle name="Percent [2] 5 2" xfId="1806"/>
    <cellStyle name="Percent [2] 6" xfId="1150"/>
    <cellStyle name="Percent [2] 6 2" xfId="1807"/>
    <cellStyle name="Percent 15" xfId="1151"/>
    <cellStyle name="Percent 15 2" xfId="1377"/>
    <cellStyle name="Percent 15 2 2" xfId="1928"/>
    <cellStyle name="Percent 15 3" xfId="1808"/>
    <cellStyle name="Percent 2" xfId="148"/>
    <cellStyle name="Percent 2 10" xfId="1152"/>
    <cellStyle name="Percent 2 11" xfId="1153"/>
    <cellStyle name="Percent 2 12" xfId="1154"/>
    <cellStyle name="Percent 2 13" xfId="1155"/>
    <cellStyle name="Percent 2 13 2" xfId="1809"/>
    <cellStyle name="Percent 2 14" xfId="1156"/>
    <cellStyle name="Percent 2 14 2" xfId="1810"/>
    <cellStyle name="Percent 2 15" xfId="1399"/>
    <cellStyle name="Percent 2 16" xfId="1400"/>
    <cellStyle name="Percent 2 17" xfId="1401"/>
    <cellStyle name="Percent 2 18" xfId="1402"/>
    <cellStyle name="Percent 2 19" xfId="1403"/>
    <cellStyle name="Percent 2 2" xfId="149"/>
    <cellStyle name="Percent 2 2 10" xfId="1404"/>
    <cellStyle name="Percent 2 2 11" xfId="1405"/>
    <cellStyle name="Percent 2 2 12" xfId="1406"/>
    <cellStyle name="Percent 2 2 13" xfId="1407"/>
    <cellStyle name="Percent 2 2 14" xfId="1408"/>
    <cellStyle name="Percent 2 2 2" xfId="1157"/>
    <cellStyle name="Percent 2 2 2 2" xfId="1158"/>
    <cellStyle name="Percent 2 2 2 2 2" xfId="1811"/>
    <cellStyle name="Percent 2 2 2 3" xfId="1159"/>
    <cellStyle name="Percent 2 2 2 3 2" xfId="1812"/>
    <cellStyle name="Percent 2 2 2 4" xfId="1160"/>
    <cellStyle name="Percent 2 2 2 4 2" xfId="1813"/>
    <cellStyle name="Percent 2 2 2 5" xfId="1409"/>
    <cellStyle name="Percent 2 2 2 6" xfId="1410"/>
    <cellStyle name="Percent 2 2 2 7" xfId="1411"/>
    <cellStyle name="Percent 2 2 2 8" xfId="1412"/>
    <cellStyle name="Percent 2 2 2 9" xfId="1413"/>
    <cellStyle name="Percent 2 2 3" xfId="1161"/>
    <cellStyle name="Percent 2 2 3 2" xfId="1162"/>
    <cellStyle name="Percent 2 2 3 2 2" xfId="1815"/>
    <cellStyle name="Percent 2 2 3 3" xfId="1163"/>
    <cellStyle name="Percent 2 2 3 3 2" xfId="1816"/>
    <cellStyle name="Percent 2 2 3 4" xfId="1814"/>
    <cellStyle name="Percent 2 2 4" xfId="1164"/>
    <cellStyle name="Percent 2 2 4 2" xfId="1165"/>
    <cellStyle name="Percent 2 2 4 2 2" xfId="1818"/>
    <cellStyle name="Percent 2 2 4 3" xfId="1817"/>
    <cellStyle name="Percent 2 2 5" xfId="1166"/>
    <cellStyle name="Percent 2 2 5 2" xfId="1819"/>
    <cellStyle name="Percent 2 2 6" xfId="1167"/>
    <cellStyle name="Percent 2 2 6 2" xfId="1820"/>
    <cellStyle name="Percent 2 2 7" xfId="1168"/>
    <cellStyle name="Percent 2 2 7 2" xfId="1821"/>
    <cellStyle name="Percent 2 2 8" xfId="1169"/>
    <cellStyle name="Percent 2 2 8 2" xfId="1822"/>
    <cellStyle name="Percent 2 2 9" xfId="1170"/>
    <cellStyle name="Percent 2 2 9 2" xfId="1823"/>
    <cellStyle name="Percent 2 3" xfId="150"/>
    <cellStyle name="Percent 2 3 2" xfId="1171"/>
    <cellStyle name="Percent 2 3 3" xfId="1480"/>
    <cellStyle name="Percent 2 4" xfId="1172"/>
    <cellStyle name="Percent 2 4 2" xfId="1824"/>
    <cellStyle name="Percent 2 5" xfId="1173"/>
    <cellStyle name="Percent 2 5 2" xfId="1825"/>
    <cellStyle name="Percent 2 6" xfId="1174"/>
    <cellStyle name="Percent 2 7" xfId="1175"/>
    <cellStyle name="Percent 2 8" xfId="1176"/>
    <cellStyle name="Percent 2 9" xfId="1177"/>
    <cellStyle name="Percent 2_WE" xfId="1378"/>
    <cellStyle name="Percent 3" xfId="151"/>
    <cellStyle name="Percent 3 10" xfId="1178"/>
    <cellStyle name="Percent 3 11" xfId="1179"/>
    <cellStyle name="Percent 3 2" xfId="1180"/>
    <cellStyle name="Percent 3 2 2" xfId="1181"/>
    <cellStyle name="Percent 3 2 2 2" xfId="1827"/>
    <cellStyle name="Percent 3 2 3" xfId="1826"/>
    <cellStyle name="Percent 3 3" xfId="1182"/>
    <cellStyle name="Percent 3 3 2" xfId="1828"/>
    <cellStyle name="Percent 3 4" xfId="1183"/>
    <cellStyle name="Percent 3 5" xfId="1184"/>
    <cellStyle name="Percent 3 6" xfId="1185"/>
    <cellStyle name="Percent 3 7" xfId="1186"/>
    <cellStyle name="Percent 3 8" xfId="1187"/>
    <cellStyle name="Percent 3 9" xfId="1188"/>
    <cellStyle name="Percent 4" xfId="152"/>
    <cellStyle name="Percent 4 2" xfId="1189"/>
    <cellStyle name="Percent 4 3" xfId="1481"/>
    <cellStyle name="Percent 5" xfId="153"/>
    <cellStyle name="Percent 5 2" xfId="1190"/>
    <cellStyle name="Percent 6" xfId="1191"/>
    <cellStyle name="Percent 7" xfId="1192"/>
    <cellStyle name="Percent 7 2" xfId="1829"/>
    <cellStyle name="Percent 8" xfId="1193"/>
    <cellStyle name="Percent 8 2" xfId="1830"/>
    <cellStyle name="prabhakar" xfId="1194"/>
    <cellStyle name="RevList" xfId="154"/>
    <cellStyle name="RevList 2" xfId="1195"/>
    <cellStyle name="Sheet Title" xfId="155"/>
    <cellStyle name="style" xfId="156"/>
    <cellStyle name="Style 1" xfId="157"/>
    <cellStyle name="Style 1 2" xfId="1196"/>
    <cellStyle name="Style 1 2 2" xfId="1197"/>
    <cellStyle name="Style 1 3" xfId="1198"/>
    <cellStyle name="Style 1_ALGUNOOR,THIMMAPURTWO CLASS ROOMS 12-13(2+0)" xfId="1199"/>
    <cellStyle name="Style 2" xfId="1200"/>
    <cellStyle name="style 3" xfId="1201"/>
    <cellStyle name="style 4" xfId="1202"/>
    <cellStyle name="style 5" xfId="1203"/>
    <cellStyle name="style 6" xfId="1204"/>
    <cellStyle name="style_1_Pattapupalem_road estt-NCRMP" xfId="158"/>
    <cellStyle name="style1" xfId="159"/>
    <cellStyle name="style1 2" xfId="1205"/>
    <cellStyle name="style1 3" xfId="1206"/>
    <cellStyle name="style1 4" xfId="1207"/>
    <cellStyle name="style1 5" xfId="1208"/>
    <cellStyle name="style1 6" xfId="1209"/>
    <cellStyle name="style1_3 - ZP  BHAIRAVANAGAR 45.00L." xfId="1210"/>
    <cellStyle name="style2" xfId="160"/>
    <cellStyle name="style2 2" xfId="1211"/>
    <cellStyle name="style2 3" xfId="1212"/>
    <cellStyle name="style2 4" xfId="1213"/>
    <cellStyle name="style2 5" xfId="1214"/>
    <cellStyle name="style2 6" xfId="1215"/>
    <cellStyle name="style2_3 - ZP  BHAIRAVANAGAR 45.00L." xfId="1216"/>
    <cellStyle name="Sub Head" xfId="161"/>
    <cellStyle name="Subtotal" xfId="162"/>
    <cellStyle name="text" xfId="1217"/>
    <cellStyle name="text 2" xfId="1831"/>
    <cellStyle name="þ_x001d_ð &amp;ý&amp;†ýG_x0008_ X&#10;_x0007__x0001__x0001_" xfId="1276"/>
    <cellStyle name="þ_x001d_ð &amp;ý&amp;†ýG_x0008_ X&#10;_x0007__x0001__x0001_ 2" xfId="163"/>
    <cellStyle name="þ_x001d_ð &amp;ý&amp;†ýG_x0008_ X&#10;_x0007__x0001__x0001_ 2 2" xfId="1482"/>
    <cellStyle name="þ_x001d_ð &amp;ý&amp;†ýG_x0008_ X&#10;_x0007__x0001__x0001_ 3" xfId="164"/>
    <cellStyle name="þ_x001d_ð &amp;ý&amp;†ýG_x0008_ X&#10;_x0007__x0001__x0001_ 3 2" xfId="1483"/>
    <cellStyle name="þ_x001d_ð &amp;ý&amp;†ýG_x0008_ X&#10;_x0007__x0001__x0001_ 4" xfId="165"/>
    <cellStyle name="þ_x001d_ð &amp;ý&amp;†ýG_x0008_ X&#10;_x0007__x0001__x0001_ 4 2" xfId="1484"/>
    <cellStyle name="þ_x001d_ð &amp;ý&amp;†ýG_x0008_ X&#10;_x0007__x0001__x0001_ 5" xfId="1218"/>
    <cellStyle name="þ_x001d_ð &amp;ý&amp;†ýG_x0008_ X&#10;_x0007__x0001__x0001_ 5 2" xfId="1832"/>
    <cellStyle name="þ_x001d_ð &amp;ý&amp;†ýG_x0008_ X&#10;_x0007__x0001__x0001_ 6" xfId="1219"/>
    <cellStyle name="þ_x001d_ð &amp;ý&amp;†ýG_x0008_ X&#10;_x0007__x0001__x0001_ 6 2" xfId="1833"/>
    <cellStyle name="þ_x001d_ð &amp;ý&amp;†ýG_x0008_ X&#10;_x0007__x0001__x0001_ 7" xfId="1840"/>
    <cellStyle name="þ_x001d_ð&quot;_x000c_Býò_x000c_5ýU_x0001_e_x0005_¹,_x0007__x0001__x0001_" xfId="166"/>
    <cellStyle name="þ_x001d_ð&quot;_x000c_Býò_x000c_5ýU_x0001_e_x0005_¹,_x0007__x0001__x0001_ 2" xfId="167"/>
    <cellStyle name="þ_x001d_ð&quot;_x000c_Býò_x000c_5ýU_x0001_e_x0005_¹,_x0007__x0001__x0001_ 2 2" xfId="1486"/>
    <cellStyle name="þ_x001d_ð&quot;_x000c_Býò_x000c_5ýU_x0001_e_x0005_¹,_x0007__x0001__x0001_ 3" xfId="168"/>
    <cellStyle name="þ_x001d_ð&quot;_x000c_Býò_x000c_5ýU_x0001_e_x0005_¹,_x0007__x0001__x0001_ 3 2" xfId="1487"/>
    <cellStyle name="þ_x001d_ð&quot;_x000c_Býò_x000c_5ýU_x0001_e_x0005_¹,_x0007__x0001__x0001_ 4" xfId="169"/>
    <cellStyle name="þ_x001d_ð&quot;_x000c_Býò_x000c_5ýU_x0001_e_x0005_¹,_x0007__x0001__x0001_ 4 2" xfId="1488"/>
    <cellStyle name="þ_x001d_ð&quot;_x000c_Býò_x000c_5ýU_x0001_e_x0005_¹,_x0007__x0001__x0001_ 5" xfId="1220"/>
    <cellStyle name="þ_x001d_ð&quot;_x000c_Býò_x000c_5ýU_x0001_e_x0005_¹,_x0007__x0001__x0001_ 5 2" xfId="1834"/>
    <cellStyle name="þ_x001d_ð&quot;_x000c_Býò_x000c_5ýU_x0001_e_x0005_¹,_x0007__x0001__x0001_ 6" xfId="1221"/>
    <cellStyle name="þ_x001d_ð&quot;_x000c_Býò_x000c_5ýU_x0001_e_x0005_¹,_x0007__x0001__x0001_ 6 2" xfId="1835"/>
    <cellStyle name="þ_x001d_ð&quot;_x000c_Býò_x000c_5ýU_x0001_e_x0005_¹,_x0007__x0001__x0001_ 7" xfId="1485"/>
    <cellStyle name="þ_x001d_ð&quot;_x000c_Býò_x000c_5ýU_x0001_e_x0005_¹,_x0007__x0001__x0001__Estimate" xfId="1379"/>
    <cellStyle name="Times New Roman" xfId="170"/>
    <cellStyle name="Title 10" xfId="1222"/>
    <cellStyle name="Title 11" xfId="1223"/>
    <cellStyle name="Title 2" xfId="171"/>
    <cellStyle name="Title 3" xfId="1224"/>
    <cellStyle name="Title 4" xfId="1225"/>
    <cellStyle name="Title 5" xfId="1226"/>
    <cellStyle name="Title 6" xfId="1227"/>
    <cellStyle name="Title 7" xfId="1228"/>
    <cellStyle name="Title 8" xfId="1229"/>
    <cellStyle name="Title 9" xfId="1230"/>
    <cellStyle name="Total 10" xfId="1231"/>
    <cellStyle name="Total 11" xfId="1232"/>
    <cellStyle name="Total 12" xfId="1233"/>
    <cellStyle name="Total 13" xfId="1234"/>
    <cellStyle name="Total 14" xfId="1235"/>
    <cellStyle name="Total 15" xfId="1236"/>
    <cellStyle name="Total 16" xfId="1237"/>
    <cellStyle name="Total 2" xfId="172"/>
    <cellStyle name="Total 2 2" xfId="1238"/>
    <cellStyle name="Total 2 3" xfId="1239"/>
    <cellStyle name="Total 3" xfId="1240"/>
    <cellStyle name="Total 3 2" xfId="1241"/>
    <cellStyle name="Total 4" xfId="1242"/>
    <cellStyle name="Total 5" xfId="1243"/>
    <cellStyle name="Total 6" xfId="1244"/>
    <cellStyle name="Total 7" xfId="1245"/>
    <cellStyle name="Total 8" xfId="1246"/>
    <cellStyle name="Total 9" xfId="1247"/>
    <cellStyle name="v" xfId="1248"/>
    <cellStyle name="v_25-8-2010  ABS &amp; Det" xfId="1249"/>
    <cellStyle name="v_25-8-2010  ABS &amp; Det_Est.-DFSD&amp;GTC-Atp 01.09.14" xfId="1250"/>
    <cellStyle name="v_25-8-2010  ABS &amp; Det_revised  Estimation-1" xfId="1251"/>
    <cellStyle name="v_25-8-2010  ABS &amp; Det_TIRUPATI  ELEC" xfId="1252"/>
    <cellStyle name="v_Est.-DFSD&amp;GTC-Atp 01.09.14" xfId="1253"/>
    <cellStyle name="v_revised  Estimation-1" xfId="1254"/>
    <cellStyle name="v_TIRUPATI  ELEC" xfId="1255"/>
    <cellStyle name="Value" xfId="173"/>
    <cellStyle name="Value 2" xfId="1256"/>
    <cellStyle name="Value 2 2" xfId="1836"/>
    <cellStyle name="Value 3" xfId="1257"/>
    <cellStyle name="Value 3 2" xfId="1837"/>
    <cellStyle name="Value 4" xfId="1380"/>
    <cellStyle name="Value 4 2" xfId="1929"/>
    <cellStyle name="Value 5" xfId="1381"/>
    <cellStyle name="Value 5 2" xfId="1930"/>
    <cellStyle name="Value 6" xfId="1382"/>
    <cellStyle name="Value 6 2" xfId="1931"/>
    <cellStyle name="Value 7" xfId="1489"/>
    <cellStyle name="Value_Estimate" xfId="1383"/>
    <cellStyle name="Warning Text 10" xfId="1258"/>
    <cellStyle name="Warning Text 11" xfId="1259"/>
    <cellStyle name="Warning Text 12" xfId="1260"/>
    <cellStyle name="Warning Text 13" xfId="1261"/>
    <cellStyle name="Warning Text 14" xfId="1262"/>
    <cellStyle name="Warning Text 15" xfId="1263"/>
    <cellStyle name="Warning Text 16" xfId="1264"/>
    <cellStyle name="Warning Text 2" xfId="174"/>
    <cellStyle name="Warning Text 2 2" xfId="1265"/>
    <cellStyle name="Warning Text 3" xfId="1266"/>
    <cellStyle name="Warning Text 4" xfId="1267"/>
    <cellStyle name="Warning Text 5" xfId="1268"/>
    <cellStyle name="Warning Text 6" xfId="1269"/>
    <cellStyle name="Warning Text 7" xfId="1270"/>
    <cellStyle name="Warning Text 8" xfId="1271"/>
    <cellStyle name="Warning Text 9" xfId="1272"/>
    <cellStyle name="సాధారణ_Copy of Model estimate-Basnapally--07-05-06-Final" xfId="175"/>
  </cellStyles>
  <dxfs count="9">
    <dxf>
      <fill>
        <patternFill patternType="solid">
          <fgColor rgb="FF92D050"/>
          <bgColor rgb="FF000000"/>
        </patternFill>
      </fill>
    </dxf>
    <dxf>
      <fill>
        <patternFill patternType="solid">
          <fgColor rgb="FF00B050"/>
          <bgColor rgb="FF000000"/>
        </patternFill>
      </fill>
    </dxf>
    <dxf>
      <fill>
        <patternFill patternType="solid">
          <fgColor rgb="FF92D050"/>
          <bgColor rgb="FF000000"/>
        </patternFill>
      </fill>
    </dxf>
    <dxf>
      <fill>
        <patternFill patternType="solid">
          <fgColor rgb="FF92D050"/>
          <bgColor rgb="FF000000"/>
        </patternFill>
      </fill>
    </dxf>
    <dxf>
      <fill>
        <patternFill patternType="solid">
          <fgColor rgb="FFE46D0A"/>
          <bgColor rgb="FF000000"/>
        </patternFill>
      </fill>
    </dxf>
    <dxf>
      <fill>
        <patternFill patternType="solid">
          <fgColor rgb="FF00B050"/>
          <bgColor rgb="FF000000"/>
        </patternFill>
      </fill>
    </dxf>
    <dxf>
      <fill>
        <patternFill patternType="solid">
          <fgColor rgb="FF92D050"/>
          <bgColor rgb="FF000000"/>
        </patternFill>
      </fill>
    </dxf>
    <dxf>
      <fill>
        <patternFill patternType="solid">
          <fgColor rgb="FF92D050"/>
          <bgColor rgb="FF000000"/>
        </patternFill>
      </fill>
    </dxf>
    <dxf>
      <fill>
        <patternFill patternType="solid">
          <fgColor rgb="FF92D050"/>
          <bgColor rgb="FF0000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5.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externalLink" Target="externalLinks/externalLink3.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externalLink" Target="externalLinks/externalLink2.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externalLink" Target="externalLinks/externalLink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wmf"/></Relationships>
</file>

<file path=xl/drawings/_rels/drawing3.xml.rels><?xml version="1.0" encoding="UTF-8" standalone="yes"?>
<Relationships xmlns="http://schemas.openxmlformats.org/package/2006/relationships"><Relationship Id="rId2" Type="http://schemas.openxmlformats.org/officeDocument/2006/relationships/image" Target="../media/image3.jpe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219075</xdr:colOff>
      <xdr:row>2</xdr:row>
      <xdr:rowOff>133350</xdr:rowOff>
    </xdr:from>
    <xdr:to>
      <xdr:col>9</xdr:col>
      <xdr:colOff>247650</xdr:colOff>
      <xdr:row>23</xdr:row>
      <xdr:rowOff>0</xdr:rowOff>
    </xdr:to>
    <xdr:sp macro="" textlink="">
      <xdr:nvSpPr>
        <xdr:cNvPr id="2" name="WordArt 1">
          <a:extLst>
            <a:ext uri="{FF2B5EF4-FFF2-40B4-BE49-F238E27FC236}">
              <a16:creationId xmlns="" xmlns:a16="http://schemas.microsoft.com/office/drawing/2014/main" id="{00000000-0008-0000-0100-000002000000}"/>
            </a:ext>
          </a:extLst>
        </xdr:cNvPr>
        <xdr:cNvSpPr>
          <a:spLocks noChangeArrowheads="1" noChangeShapeType="1" noTextEdit="1"/>
        </xdr:cNvSpPr>
      </xdr:nvSpPr>
      <xdr:spPr bwMode="auto">
        <a:xfrm>
          <a:off x="752475" y="466725"/>
          <a:ext cx="5038725" cy="4857750"/>
        </a:xfrm>
        <a:prstGeom prst="rect">
          <a:avLst/>
        </a:prstGeom>
      </xdr:spPr>
      <xdr:txBody>
        <a:bodyPr wrap="none" fromWordArt="1">
          <a:prstTxWarp prst="textArchUp">
            <a:avLst>
              <a:gd name="adj" fmla="val 11167051"/>
            </a:avLst>
          </a:prstTxWarp>
        </a:bodyPr>
        <a:lstStyle/>
        <a:p>
          <a:pPr algn="ctr" rtl="0"/>
          <a:r>
            <a:rPr lang="en-US" sz="4400" kern="10" spc="0">
              <a:ln w="9525">
                <a:solidFill>
                  <a:srgbClr val="000000"/>
                </a:solidFill>
                <a:round/>
                <a:headEnd/>
                <a:tailEnd/>
              </a:ln>
              <a:solidFill>
                <a:srgbClr val="000000"/>
              </a:solidFill>
              <a:effectLst/>
              <a:latin typeface="Batang"/>
            </a:rPr>
            <a:t>GOVERNMENT OF ANDHRA PRADESH</a:t>
          </a:r>
        </a:p>
      </xdr:txBody>
    </xdr:sp>
    <xdr:clientData/>
  </xdr:twoCellAnchor>
  <xdr:twoCellAnchor editAs="oneCell">
    <xdr:from>
      <xdr:col>4</xdr:col>
      <xdr:colOff>895350</xdr:colOff>
      <xdr:row>5</xdr:row>
      <xdr:rowOff>123825</xdr:rowOff>
    </xdr:from>
    <xdr:to>
      <xdr:col>6</xdr:col>
      <xdr:colOff>866775</xdr:colOff>
      <xdr:row>14</xdr:row>
      <xdr:rowOff>114300</xdr:rowOff>
    </xdr:to>
    <xdr:pic>
      <xdr:nvPicPr>
        <xdr:cNvPr id="3" name="Picture 2" descr="4_8252">
          <a:extLst>
            <a:ext uri="{FF2B5EF4-FFF2-40B4-BE49-F238E27FC236}">
              <a16:creationId xmlns=""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724150" y="942975"/>
          <a:ext cx="1295400" cy="1447800"/>
        </a:xfrm>
        <a:prstGeom prst="rect">
          <a:avLst/>
        </a:prstGeom>
        <a:noFill/>
        <a:ln w="9525">
          <a:noFill/>
          <a:miter lim="800000"/>
          <a:headEnd/>
          <a:tailEnd/>
        </a:ln>
      </xdr:spPr>
    </xdr:pic>
    <xdr:clientData/>
  </xdr:twoCellAnchor>
  <xdr:twoCellAnchor editAs="oneCell">
    <xdr:from>
      <xdr:col>4</xdr:col>
      <xdr:colOff>895350</xdr:colOff>
      <xdr:row>5</xdr:row>
      <xdr:rowOff>123825</xdr:rowOff>
    </xdr:from>
    <xdr:to>
      <xdr:col>6</xdr:col>
      <xdr:colOff>866775</xdr:colOff>
      <xdr:row>14</xdr:row>
      <xdr:rowOff>114300</xdr:rowOff>
    </xdr:to>
    <xdr:pic>
      <xdr:nvPicPr>
        <xdr:cNvPr id="4" name="Picture 14" descr="4_8252">
          <a:extLst>
            <a:ext uri="{FF2B5EF4-FFF2-40B4-BE49-F238E27FC236}">
              <a16:creationId xmlns="" xmlns:a16="http://schemas.microsoft.com/office/drawing/2014/main" id="{00000000-0008-0000-0100-000004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724150" y="942975"/>
          <a:ext cx="1295400" cy="144780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200025</xdr:colOff>
      <xdr:row>0</xdr:row>
      <xdr:rowOff>0</xdr:rowOff>
    </xdr:from>
    <xdr:to>
      <xdr:col>9</xdr:col>
      <xdr:colOff>200025</xdr:colOff>
      <xdr:row>10</xdr:row>
      <xdr:rowOff>152400</xdr:rowOff>
    </xdr:to>
    <xdr:sp macro="" textlink="">
      <xdr:nvSpPr>
        <xdr:cNvPr id="2" name="Line 1">
          <a:extLst>
            <a:ext uri="{FF2B5EF4-FFF2-40B4-BE49-F238E27FC236}">
              <a16:creationId xmlns="" xmlns:a16="http://schemas.microsoft.com/office/drawing/2014/main" id="{00000000-0008-0000-2900-000002000000}"/>
            </a:ext>
          </a:extLst>
        </xdr:cNvPr>
        <xdr:cNvSpPr>
          <a:spLocks noChangeShapeType="1"/>
        </xdr:cNvSpPr>
      </xdr:nvSpPr>
      <xdr:spPr bwMode="auto">
        <a:xfrm>
          <a:off x="4772025" y="0"/>
          <a:ext cx="0" cy="2085975"/>
        </a:xfrm>
        <a:prstGeom prst="line">
          <a:avLst/>
        </a:prstGeom>
        <a:noFill/>
        <a:ln w="9525">
          <a:solidFill>
            <a:srgbClr val="000000"/>
          </a:solidFill>
          <a:round/>
          <a:headEnd/>
          <a:tailEnd/>
        </a:ln>
      </xdr:spPr>
    </xdr:sp>
    <xdr:clientData/>
  </xdr:twoCellAnchor>
  <xdr:twoCellAnchor>
    <xdr:from>
      <xdr:col>8</xdr:col>
      <xdr:colOff>561975</xdr:colOff>
      <xdr:row>1</xdr:row>
      <xdr:rowOff>0</xdr:rowOff>
    </xdr:from>
    <xdr:to>
      <xdr:col>9</xdr:col>
      <xdr:colOff>590550</xdr:colOff>
      <xdr:row>1</xdr:row>
      <xdr:rowOff>0</xdr:rowOff>
    </xdr:to>
    <xdr:sp macro="" textlink="">
      <xdr:nvSpPr>
        <xdr:cNvPr id="3" name="Line 2">
          <a:extLst>
            <a:ext uri="{FF2B5EF4-FFF2-40B4-BE49-F238E27FC236}">
              <a16:creationId xmlns="" xmlns:a16="http://schemas.microsoft.com/office/drawing/2014/main" id="{00000000-0008-0000-2900-000003000000}"/>
            </a:ext>
          </a:extLst>
        </xdr:cNvPr>
        <xdr:cNvSpPr>
          <a:spLocks noChangeShapeType="1"/>
        </xdr:cNvSpPr>
      </xdr:nvSpPr>
      <xdr:spPr bwMode="auto">
        <a:xfrm>
          <a:off x="4562475" y="228600"/>
          <a:ext cx="600075" cy="0"/>
        </a:xfrm>
        <a:prstGeom prst="line">
          <a:avLst/>
        </a:prstGeom>
        <a:noFill/>
        <a:ln w="9525">
          <a:solidFill>
            <a:srgbClr val="000000"/>
          </a:solidFill>
          <a:round/>
          <a:headEnd/>
          <a:tailEnd/>
        </a:ln>
      </xdr:spPr>
    </xdr:sp>
    <xdr:clientData/>
  </xdr:twoCellAnchor>
  <xdr:twoCellAnchor>
    <xdr:from>
      <xdr:col>9</xdr:col>
      <xdr:colOff>571500</xdr:colOff>
      <xdr:row>0</xdr:row>
      <xdr:rowOff>19050</xdr:rowOff>
    </xdr:from>
    <xdr:to>
      <xdr:col>9</xdr:col>
      <xdr:colOff>571500</xdr:colOff>
      <xdr:row>11</xdr:row>
      <xdr:rowOff>0</xdr:rowOff>
    </xdr:to>
    <xdr:sp macro="" textlink="">
      <xdr:nvSpPr>
        <xdr:cNvPr id="4" name="Line 3">
          <a:extLst>
            <a:ext uri="{FF2B5EF4-FFF2-40B4-BE49-F238E27FC236}">
              <a16:creationId xmlns="" xmlns:a16="http://schemas.microsoft.com/office/drawing/2014/main" id="{00000000-0008-0000-2900-000004000000}"/>
            </a:ext>
          </a:extLst>
        </xdr:cNvPr>
        <xdr:cNvSpPr>
          <a:spLocks noChangeShapeType="1"/>
        </xdr:cNvSpPr>
      </xdr:nvSpPr>
      <xdr:spPr bwMode="auto">
        <a:xfrm>
          <a:off x="5143500" y="19050"/>
          <a:ext cx="0" cy="2076450"/>
        </a:xfrm>
        <a:prstGeom prst="line">
          <a:avLst/>
        </a:prstGeom>
        <a:noFill/>
        <a:ln w="9525">
          <a:solidFill>
            <a:srgbClr val="000000"/>
          </a:solidFill>
          <a:round/>
          <a:headEnd/>
          <a:tailEnd/>
        </a:ln>
      </xdr:spPr>
    </xdr:sp>
    <xdr:clientData/>
  </xdr:twoCellAnchor>
  <xdr:twoCellAnchor>
    <xdr:from>
      <xdr:col>8</xdr:col>
      <xdr:colOff>38100</xdr:colOff>
      <xdr:row>0</xdr:row>
      <xdr:rowOff>0</xdr:rowOff>
    </xdr:from>
    <xdr:to>
      <xdr:col>10</xdr:col>
      <xdr:colOff>209550</xdr:colOff>
      <xdr:row>0</xdr:row>
      <xdr:rowOff>0</xdr:rowOff>
    </xdr:to>
    <xdr:sp macro="" textlink="">
      <xdr:nvSpPr>
        <xdr:cNvPr id="5" name="Line 4">
          <a:extLst>
            <a:ext uri="{FF2B5EF4-FFF2-40B4-BE49-F238E27FC236}">
              <a16:creationId xmlns="" xmlns:a16="http://schemas.microsoft.com/office/drawing/2014/main" id="{00000000-0008-0000-2900-000005000000}"/>
            </a:ext>
          </a:extLst>
        </xdr:cNvPr>
        <xdr:cNvSpPr>
          <a:spLocks noChangeShapeType="1"/>
        </xdr:cNvSpPr>
      </xdr:nvSpPr>
      <xdr:spPr bwMode="auto">
        <a:xfrm>
          <a:off x="4038600" y="0"/>
          <a:ext cx="1419225" cy="0"/>
        </a:xfrm>
        <a:prstGeom prst="line">
          <a:avLst/>
        </a:prstGeom>
        <a:noFill/>
        <a:ln w="9525">
          <a:solidFill>
            <a:srgbClr val="000000"/>
          </a:solidFill>
          <a:round/>
          <a:headEnd/>
          <a:tailEnd/>
        </a:ln>
      </xdr:spPr>
    </xdr:sp>
    <xdr:clientData/>
  </xdr:twoCellAnchor>
  <xdr:twoCellAnchor>
    <xdr:from>
      <xdr:col>1</xdr:col>
      <xdr:colOff>609600</xdr:colOff>
      <xdr:row>7</xdr:row>
      <xdr:rowOff>66675</xdr:rowOff>
    </xdr:from>
    <xdr:to>
      <xdr:col>1</xdr:col>
      <xdr:colOff>638175</xdr:colOff>
      <xdr:row>10</xdr:row>
      <xdr:rowOff>114300</xdr:rowOff>
    </xdr:to>
    <xdr:sp macro="" textlink="">
      <xdr:nvSpPr>
        <xdr:cNvPr id="6" name="AutoShape 5">
          <a:extLst>
            <a:ext uri="{FF2B5EF4-FFF2-40B4-BE49-F238E27FC236}">
              <a16:creationId xmlns="" xmlns:a16="http://schemas.microsoft.com/office/drawing/2014/main" id="{00000000-0008-0000-2900-000006000000}"/>
            </a:ext>
          </a:extLst>
        </xdr:cNvPr>
        <xdr:cNvSpPr>
          <a:spLocks/>
        </xdr:cNvSpPr>
      </xdr:nvSpPr>
      <xdr:spPr bwMode="auto">
        <a:xfrm>
          <a:off x="800100" y="1438275"/>
          <a:ext cx="28575" cy="609600"/>
        </a:xfrm>
        <a:prstGeom prst="rightBrace">
          <a:avLst>
            <a:gd name="adj1" fmla="val 177778"/>
            <a:gd name="adj2" fmla="val 50000"/>
          </a:avLst>
        </a:prstGeom>
        <a:noFill/>
        <a:ln w="9525">
          <a:solidFill>
            <a:srgbClr val="000000"/>
          </a:solidFill>
          <a:round/>
          <a:headEnd/>
          <a:tailEnd/>
        </a:ln>
      </xdr:spPr>
    </xdr:sp>
    <xdr:clientData/>
  </xdr:twoCellAnchor>
  <xdr:twoCellAnchor>
    <xdr:from>
      <xdr:col>3</xdr:col>
      <xdr:colOff>1123950</xdr:colOff>
      <xdr:row>11</xdr:row>
      <xdr:rowOff>9525</xdr:rowOff>
    </xdr:from>
    <xdr:to>
      <xdr:col>3</xdr:col>
      <xdr:colOff>1123950</xdr:colOff>
      <xdr:row>15</xdr:row>
      <xdr:rowOff>19050</xdr:rowOff>
    </xdr:to>
    <xdr:sp macro="" textlink="">
      <xdr:nvSpPr>
        <xdr:cNvPr id="7" name="Line 6">
          <a:extLst>
            <a:ext uri="{FF2B5EF4-FFF2-40B4-BE49-F238E27FC236}">
              <a16:creationId xmlns="" xmlns:a16="http://schemas.microsoft.com/office/drawing/2014/main" id="{00000000-0008-0000-2900-000007000000}"/>
            </a:ext>
          </a:extLst>
        </xdr:cNvPr>
        <xdr:cNvSpPr>
          <a:spLocks noChangeShapeType="1"/>
        </xdr:cNvSpPr>
      </xdr:nvSpPr>
      <xdr:spPr bwMode="auto">
        <a:xfrm>
          <a:off x="2600325" y="2105025"/>
          <a:ext cx="0" cy="790575"/>
        </a:xfrm>
        <a:prstGeom prst="line">
          <a:avLst/>
        </a:prstGeom>
        <a:noFill/>
        <a:ln w="9525">
          <a:solidFill>
            <a:srgbClr val="000000"/>
          </a:solidFill>
          <a:round/>
          <a:headEnd/>
          <a:tailEnd/>
        </a:ln>
      </xdr:spPr>
    </xdr:sp>
    <xdr:clientData/>
  </xdr:twoCellAnchor>
  <xdr:twoCellAnchor>
    <xdr:from>
      <xdr:col>3</xdr:col>
      <xdr:colOff>1504950</xdr:colOff>
      <xdr:row>11</xdr:row>
      <xdr:rowOff>9525</xdr:rowOff>
    </xdr:from>
    <xdr:to>
      <xdr:col>3</xdr:col>
      <xdr:colOff>1504950</xdr:colOff>
      <xdr:row>15</xdr:row>
      <xdr:rowOff>19050</xdr:rowOff>
    </xdr:to>
    <xdr:sp macro="" textlink="">
      <xdr:nvSpPr>
        <xdr:cNvPr id="8" name="Line 7">
          <a:extLst>
            <a:ext uri="{FF2B5EF4-FFF2-40B4-BE49-F238E27FC236}">
              <a16:creationId xmlns="" xmlns:a16="http://schemas.microsoft.com/office/drawing/2014/main" id="{00000000-0008-0000-2900-000008000000}"/>
            </a:ext>
          </a:extLst>
        </xdr:cNvPr>
        <xdr:cNvSpPr>
          <a:spLocks noChangeShapeType="1"/>
        </xdr:cNvSpPr>
      </xdr:nvSpPr>
      <xdr:spPr bwMode="auto">
        <a:xfrm>
          <a:off x="2981325" y="2105025"/>
          <a:ext cx="0" cy="790575"/>
        </a:xfrm>
        <a:prstGeom prst="line">
          <a:avLst/>
        </a:prstGeom>
        <a:noFill/>
        <a:ln w="9525">
          <a:solidFill>
            <a:srgbClr val="000000"/>
          </a:solidFill>
          <a:round/>
          <a:headEnd/>
          <a:tailEnd/>
        </a:ln>
      </xdr:spPr>
    </xdr:sp>
    <xdr:clientData/>
  </xdr:twoCellAnchor>
  <xdr:twoCellAnchor>
    <xdr:from>
      <xdr:col>3</xdr:col>
      <xdr:colOff>1704975</xdr:colOff>
      <xdr:row>10</xdr:row>
      <xdr:rowOff>152400</xdr:rowOff>
    </xdr:from>
    <xdr:to>
      <xdr:col>3</xdr:col>
      <xdr:colOff>1704975</xdr:colOff>
      <xdr:row>15</xdr:row>
      <xdr:rowOff>0</xdr:rowOff>
    </xdr:to>
    <xdr:sp macro="" textlink="">
      <xdr:nvSpPr>
        <xdr:cNvPr id="9" name="Line 8">
          <a:extLst>
            <a:ext uri="{FF2B5EF4-FFF2-40B4-BE49-F238E27FC236}">
              <a16:creationId xmlns="" xmlns:a16="http://schemas.microsoft.com/office/drawing/2014/main" id="{00000000-0008-0000-2900-000009000000}"/>
            </a:ext>
          </a:extLst>
        </xdr:cNvPr>
        <xdr:cNvSpPr>
          <a:spLocks noChangeShapeType="1"/>
        </xdr:cNvSpPr>
      </xdr:nvSpPr>
      <xdr:spPr bwMode="auto">
        <a:xfrm>
          <a:off x="3181350" y="2085975"/>
          <a:ext cx="0" cy="790575"/>
        </a:xfrm>
        <a:prstGeom prst="line">
          <a:avLst/>
        </a:prstGeom>
        <a:noFill/>
        <a:ln w="9525">
          <a:solidFill>
            <a:srgbClr val="000000"/>
          </a:solidFill>
          <a:round/>
          <a:headEnd/>
          <a:tailEnd/>
        </a:ln>
      </xdr:spPr>
    </xdr:sp>
    <xdr:clientData/>
  </xdr:twoCellAnchor>
  <xdr:twoCellAnchor>
    <xdr:from>
      <xdr:col>3</xdr:col>
      <xdr:colOff>1123950</xdr:colOff>
      <xdr:row>14</xdr:row>
      <xdr:rowOff>123825</xdr:rowOff>
    </xdr:from>
    <xdr:to>
      <xdr:col>3</xdr:col>
      <xdr:colOff>1704975</xdr:colOff>
      <xdr:row>14</xdr:row>
      <xdr:rowOff>123825</xdr:rowOff>
    </xdr:to>
    <xdr:sp macro="" textlink="">
      <xdr:nvSpPr>
        <xdr:cNvPr id="10" name="Line 9">
          <a:extLst>
            <a:ext uri="{FF2B5EF4-FFF2-40B4-BE49-F238E27FC236}">
              <a16:creationId xmlns="" xmlns:a16="http://schemas.microsoft.com/office/drawing/2014/main" id="{00000000-0008-0000-2900-00000A000000}"/>
            </a:ext>
          </a:extLst>
        </xdr:cNvPr>
        <xdr:cNvSpPr>
          <a:spLocks noChangeShapeType="1"/>
        </xdr:cNvSpPr>
      </xdr:nvSpPr>
      <xdr:spPr bwMode="auto">
        <a:xfrm>
          <a:off x="2600325" y="2714625"/>
          <a:ext cx="581025" cy="0"/>
        </a:xfrm>
        <a:prstGeom prst="line">
          <a:avLst/>
        </a:prstGeom>
        <a:noFill/>
        <a:ln w="9525">
          <a:solidFill>
            <a:srgbClr val="000000"/>
          </a:solidFill>
          <a:round/>
          <a:headEnd/>
          <a:tailEnd/>
        </a:ln>
      </xdr:spPr>
    </xdr:sp>
    <xdr:clientData/>
  </xdr:twoCellAnchor>
  <xdr:twoCellAnchor>
    <xdr:from>
      <xdr:col>3</xdr:col>
      <xdr:colOff>1114425</xdr:colOff>
      <xdr:row>15</xdr:row>
      <xdr:rowOff>9525</xdr:rowOff>
    </xdr:from>
    <xdr:to>
      <xdr:col>3</xdr:col>
      <xdr:colOff>1695450</xdr:colOff>
      <xdr:row>15</xdr:row>
      <xdr:rowOff>9525</xdr:rowOff>
    </xdr:to>
    <xdr:sp macro="" textlink="">
      <xdr:nvSpPr>
        <xdr:cNvPr id="11" name="Line 10">
          <a:extLst>
            <a:ext uri="{FF2B5EF4-FFF2-40B4-BE49-F238E27FC236}">
              <a16:creationId xmlns="" xmlns:a16="http://schemas.microsoft.com/office/drawing/2014/main" id="{00000000-0008-0000-2900-00000B000000}"/>
            </a:ext>
          </a:extLst>
        </xdr:cNvPr>
        <xdr:cNvSpPr>
          <a:spLocks noChangeShapeType="1"/>
        </xdr:cNvSpPr>
      </xdr:nvSpPr>
      <xdr:spPr bwMode="auto">
        <a:xfrm>
          <a:off x="2590800" y="2886075"/>
          <a:ext cx="581025" cy="0"/>
        </a:xfrm>
        <a:prstGeom prst="line">
          <a:avLst/>
        </a:prstGeom>
        <a:noFill/>
        <a:ln w="9525">
          <a:solidFill>
            <a:srgbClr val="000000"/>
          </a:solidFill>
          <a:round/>
          <a:headEnd/>
          <a:tailEnd/>
        </a:ln>
      </xdr:spPr>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63948</xdr:colOff>
      <xdr:row>4</xdr:row>
      <xdr:rowOff>19707</xdr:rowOff>
    </xdr:from>
    <xdr:to>
      <xdr:col>6</xdr:col>
      <xdr:colOff>483969</xdr:colOff>
      <xdr:row>6</xdr:row>
      <xdr:rowOff>114197</xdr:rowOff>
    </xdr:to>
    <xdr:pic>
      <xdr:nvPicPr>
        <xdr:cNvPr id="2" name="Picture 1" descr="gods-clipart-lord-1.jpg">
          <a:extLst>
            <a:ext uri="{FF2B5EF4-FFF2-40B4-BE49-F238E27FC236}">
              <a16:creationId xmlns="" xmlns:a16="http://schemas.microsoft.com/office/drawing/2014/main" id="{00000000-0008-0000-3400-000002000000}"/>
            </a:ext>
          </a:extLst>
        </xdr:cNvPr>
        <xdr:cNvPicPr>
          <a:picLocks noChangeAspect="1"/>
        </xdr:cNvPicPr>
      </xdr:nvPicPr>
      <xdr:blipFill>
        <a:blip xmlns:r="http://schemas.openxmlformats.org/officeDocument/2006/relationships" r:embed="rId1" cstate="print"/>
        <a:stretch>
          <a:fillRect/>
        </a:stretch>
      </xdr:blipFill>
      <xdr:spPr>
        <a:xfrm>
          <a:off x="3616773" y="676932"/>
          <a:ext cx="420021" cy="418340"/>
        </a:xfrm>
        <a:prstGeom prst="rect">
          <a:avLst/>
        </a:prstGeom>
      </xdr:spPr>
    </xdr:pic>
    <xdr:clientData/>
  </xdr:twoCellAnchor>
  <xdr:twoCellAnchor editAs="oneCell">
    <xdr:from>
      <xdr:col>9</xdr:col>
      <xdr:colOff>262757</xdr:colOff>
      <xdr:row>3</xdr:row>
      <xdr:rowOff>151257</xdr:rowOff>
    </xdr:from>
    <xdr:to>
      <xdr:col>9</xdr:col>
      <xdr:colOff>656897</xdr:colOff>
      <xdr:row>7</xdr:row>
      <xdr:rowOff>16423</xdr:rowOff>
    </xdr:to>
    <xdr:pic>
      <xdr:nvPicPr>
        <xdr:cNvPr id="3" name="Picture 2" descr="gods-clipart-2.jpg">
          <a:extLst>
            <a:ext uri="{FF2B5EF4-FFF2-40B4-BE49-F238E27FC236}">
              <a16:creationId xmlns="" xmlns:a16="http://schemas.microsoft.com/office/drawing/2014/main" id="{00000000-0008-0000-3400-000003000000}"/>
            </a:ext>
          </a:extLst>
        </xdr:cNvPr>
        <xdr:cNvPicPr>
          <a:picLocks noChangeAspect="1"/>
        </xdr:cNvPicPr>
      </xdr:nvPicPr>
      <xdr:blipFill>
        <a:blip xmlns:r="http://schemas.openxmlformats.org/officeDocument/2006/relationships" r:embed="rId2" cstate="print"/>
        <a:stretch>
          <a:fillRect/>
        </a:stretch>
      </xdr:blipFill>
      <xdr:spPr>
        <a:xfrm>
          <a:off x="5901557" y="646557"/>
          <a:ext cx="394140" cy="51286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ontract-aruna\public_aruna\Public_Aruna\contracts(ak)\Hyderabad\Mes\MES-SEC.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desktop/estimates/ALL%20MANDAL%20ESTIAMTES/Pullalacheruvu/National%20Health%20Mission/repairs%20to%20health%20and%20wellness%20center%20in%20marrivemula%20village%202.30%20lakhs%20new%20working.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Thummagunta%20health%20center%2020.80%20lakhs%20working%20estimate%20new%2019%20to%2022%20ssr.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thummagunta%20rbk%20center%2023.94%20lakhs%20working%20estimate%20new%2019%20to%2022%20ssr%20new.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desktop/estimates/Under%20Ground%20Drainage/Estimates/H.M.padu/Working/valicherla%203.00%20lakhs%20working%20ssr%202018-19%20&amp;%202019-20-1.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PART-I (2)"/>
      <sheetName val="ANALY-BOQ"/>
      <sheetName val="ANALYS-LS"/>
      <sheetName val="BOQ"/>
      <sheetName val="PART-I"/>
      <sheetName val="I-11"/>
      <sheetName val="I-15"/>
      <sheetName val="sumps"/>
      <sheetName val="GATES(21,22)"/>
      <sheetName val="final abstract"/>
      <sheetName val="Bed Class"/>
      <sheetName val="Cd"/>
      <sheetName val="Rates"/>
      <sheetName val="PH data"/>
      <sheetName val="labour"/>
      <sheetName val="Details (3)"/>
      <sheetName val="Basement Budget"/>
      <sheetName val="RECAPITULATION"/>
      <sheetName val="Rate analysis"/>
      <sheetName val="Break up Sheet"/>
      <sheetName val="TBAL9697 -group wise  sdpl"/>
      <sheetName val="B &amp; C - M - ccp"/>
      <sheetName val="Fee Rate Summary"/>
      <sheetName val="Old"/>
      <sheetName val="Materials Cost"/>
      <sheetName val="10. &amp; 11. Rate Code &amp; BQ"/>
      <sheetName val="Main-Material"/>
      <sheetName val="COLUMN"/>
      <sheetName val="RES STEEL TO"/>
      <sheetName val="SUmmary-RMZ"/>
      <sheetName val="RMZ Summary"/>
      <sheetName val="sept-plan"/>
      <sheetName val="Site Dev BOQ"/>
      <sheetName val="Costing"/>
      <sheetName val="Staff Forecast spread"/>
      <sheetName val="Fin Sum"/>
      <sheetName val="Lead"/>
      <sheetName val="Estimate "/>
      <sheetName val="A"/>
      <sheetName val="Field Values"/>
      <sheetName val="Rates-May-14"/>
      <sheetName val="rdamdata"/>
      <sheetName val="HDPE"/>
      <sheetName val="Load Details(B1)"/>
      <sheetName val="RA-markate"/>
      <sheetName val="Structure Bills Qty"/>
      <sheetName val="Fill this out first..."/>
      <sheetName val="Micro"/>
      <sheetName val="Macro"/>
      <sheetName val="Scaff-Rose"/>
      <sheetName val="Builtup Area"/>
      <sheetName val="analysis"/>
      <sheetName val="Headings"/>
      <sheetName val="MASTER_RATE ANALYSIS"/>
      <sheetName val="cubes_M20"/>
      <sheetName val="Cop -VGN"/>
      <sheetName val="CASHFLOWS"/>
      <sheetName val="SUMMARY"/>
      <sheetName val="Sheet2"/>
      <sheetName val="dyes"/>
      <sheetName val="Sheet3"/>
      <sheetName val="UTILITY"/>
      <sheetName val="경비공통"/>
      <sheetName val="Input"/>
      <sheetName val="Activity"/>
      <sheetName val="Crew"/>
      <sheetName val="Piping"/>
      <sheetName val="Pipe Supports"/>
      <sheetName val="S1BOQ"/>
      <sheetName val="2gii"/>
      <sheetName val="Manpower"/>
      <sheetName val="HPL"/>
      <sheetName val="월선수금"/>
      <sheetName val="Materials "/>
      <sheetName val="strand"/>
      <sheetName val="BOQ_Direct_selling cost"/>
      <sheetName val="Stress Calculation"/>
      <sheetName val="VIWSCo1"/>
      <sheetName val="IO List"/>
      <sheetName val="MN T.B."/>
      <sheetName val="database"/>
      <sheetName val="Coalmine"/>
      <sheetName val="A1-Continuous"/>
      <sheetName val="starter"/>
      <sheetName val="Preside"/>
      <sheetName val="Summary_Local"/>
      <sheetName val="factor sheet"/>
      <sheetName val="RA"/>
      <sheetName val="Factor_Sheet"/>
      <sheetName val="Exp."/>
      <sheetName val="Factors"/>
      <sheetName val="INDIGINEOUS ITEMS "/>
      <sheetName val="BLK2"/>
      <sheetName val="BLK3"/>
      <sheetName val="E &amp; R"/>
      <sheetName val="radar"/>
      <sheetName val="UG"/>
      <sheetName val="Sheet1"/>
      <sheetName val="Usage"/>
      <sheetName val="Common "/>
      <sheetName val="General"/>
      <sheetName val="Config"/>
      <sheetName val="Break Dw"/>
      <sheetName val="THK"/>
      <sheetName val="Data"/>
      <sheetName val="Analy_7-10"/>
      <sheetName val="INDORAMA Group June 02"/>
      <sheetName val="SPT vs PHI"/>
      <sheetName val="Civil Boq"/>
      <sheetName val="Design"/>
      <sheetName val="Debits as on 12.04.08"/>
      <sheetName val="FitOutConfCentre"/>
      <sheetName val="DI"/>
      <sheetName val="pvc"/>
      <sheetName val="r"/>
      <sheetName val="BOQ (2)"/>
      <sheetName val="GBW"/>
      <sheetName val="WBS01"/>
      <sheetName val="WBS10"/>
      <sheetName val="WBS11"/>
      <sheetName val="WBS12"/>
      <sheetName val="WBS13"/>
      <sheetName val="WBS14"/>
      <sheetName val="WBS15"/>
      <sheetName val="WBS16"/>
      <sheetName val="WBS17"/>
      <sheetName val="WBS18"/>
      <sheetName val="WBS19"/>
      <sheetName val="WBS02"/>
      <sheetName val="WBS20"/>
      <sheetName val="WBS03"/>
      <sheetName val="WBS04"/>
      <sheetName val="WBS05"/>
      <sheetName val="WBS06"/>
      <sheetName val="WBS07"/>
      <sheetName val="WBS08"/>
      <sheetName val="WBS09"/>
      <sheetName val="MES-SEC"/>
      <sheetName val="PART-I_(2)"/>
      <sheetName val="final_abstract"/>
      <sheetName val="PA- Consutant "/>
      <sheetName val="Sheet3 (2)"/>
      <sheetName val="VCH-SLC"/>
      <sheetName val="Supplier"/>
      <sheetName val="INPUT-DATA1"/>
      <sheetName val="For Bill-04 PS"/>
      <sheetName val="대외공문"/>
      <sheetName val="Build-up"/>
      <sheetName val="FORM7"/>
      <sheetName val="RCC,Ret. Wall"/>
      <sheetName val="RA 4 Challan Summary "/>
      <sheetName val="p&amp;m"/>
      <sheetName val="Labour productivity"/>
      <sheetName val="labour coeff"/>
      <sheetName val="COST"/>
      <sheetName val="Formulas"/>
      <sheetName val="Desgn(zone I)"/>
      <sheetName val="M B-QtyRecn"/>
      <sheetName val="Sqn _Main_ Abs"/>
      <sheetName val="Quotation"/>
      <sheetName val="ORDER BOOKING"/>
      <sheetName val="Mat.Cost"/>
      <sheetName val="Staff Acco."/>
      <sheetName val="Section Catalogue"/>
      <sheetName val="#REF!"/>
      <sheetName val="lookup"/>
      <sheetName val="Approved MTD Proj #'s"/>
      <sheetName val="col-reinft1"/>
      <sheetName val="Basement_Budget"/>
      <sheetName val="Rate_analysis"/>
      <sheetName val="Break_up_Sheet"/>
      <sheetName val="B_&amp;_C_-_M_-_ccp"/>
      <sheetName val="Fee_Rate_Summary"/>
      <sheetName val="Materials_Cost"/>
      <sheetName val="10__&amp;_11__Rate_Code_&amp;_BQ"/>
      <sheetName val="RES_STEEL_TO"/>
      <sheetName val="RMZ_Summary"/>
      <sheetName val="Fill_this_out_first___"/>
      <sheetName val="Cop_-VGN"/>
      <sheetName val="Field_Values"/>
      <sheetName val="Fin_Sum"/>
      <sheetName val="Materials_"/>
      <sheetName val="Structure_Bills_Qty"/>
      <sheetName val="Builtup_Area"/>
      <sheetName val="MASTER_RATE_ANALYSIS"/>
      <sheetName val="SPT_vs_PHI"/>
      <sheetName val="Delhi"/>
      <sheetName val="Measurements"/>
      <sheetName val="Tables"/>
      <sheetName val="Flooring"/>
      <sheetName val="Ceilings"/>
      <sheetName val="ACAD Finishes"/>
      <sheetName val="Site Details"/>
      <sheetName val="Chair"/>
      <sheetName val="Site Area Statement"/>
      <sheetName val="Doors"/>
      <sheetName val="Estimate"/>
      <sheetName val="Interior"/>
      <sheetName val="parametry"/>
      <sheetName val="VARIABLE"/>
      <sheetName val="#REF"/>
      <sheetName val="目录"/>
      <sheetName val="beam-reinft-IIInd floor"/>
      <sheetName val="BOQ civil"/>
      <sheetName val="v"/>
      <sheetName val="RES-PLANNING"/>
      <sheetName val="Site_Dev_BOQ"/>
      <sheetName val="Staff_Forecast_spread"/>
      <sheetName val="INDORAMA_Group_June_02"/>
      <sheetName val="Pipe_Supports"/>
      <sheetName val="RCC,Ret__Wall"/>
      <sheetName val="RA_4_Challan_Summary_"/>
      <sheetName val="Labour_productivity"/>
      <sheetName val="labour_coeff"/>
      <sheetName val="PART-I_(2)1"/>
      <sheetName val="final_abstract1"/>
      <sheetName val="Fee_Rate_Summary1"/>
      <sheetName val="Basement_Budget1"/>
      <sheetName val="Rate_analysis1"/>
      <sheetName val="Materials_Cost1"/>
      <sheetName val="Break_up_Sheet1"/>
      <sheetName val="RES_STEEL_TO1"/>
      <sheetName val="10__&amp;_11__Rate_Code_&amp;_BQ1"/>
      <sheetName val="B_&amp;_C_-_M_-_ccp1"/>
      <sheetName val="RMZ_Summary1"/>
      <sheetName val="Fin_Sum1"/>
      <sheetName val="Fill_this_out_first___1"/>
      <sheetName val="Site_Dev_BOQ1"/>
      <sheetName val="Staff_Forecast_spread1"/>
      <sheetName val="Field_Values1"/>
      <sheetName val="INDORAMA_Group_June_021"/>
      <sheetName val="Pipe_Supports1"/>
      <sheetName val="RCC,Ret__Wall1"/>
      <sheetName val="RA_4_Challan_Summary_1"/>
      <sheetName val="Labour_productivity1"/>
      <sheetName val="labour_coeff1"/>
      <sheetName val="BOQ_Direct_selling_cost"/>
      <sheetName val="Stress_Calculation"/>
      <sheetName val="IO_List"/>
      <sheetName val="MN_T_B_"/>
      <sheetName val="Exp_"/>
      <sheetName val="INDIGINEOUS_ITEMS_"/>
      <sheetName val="E_&amp;_R"/>
      <sheetName val="Civil_Boq"/>
      <sheetName val="CABLE DATA"/>
      <sheetName val="gen"/>
      <sheetName val="Lowside"/>
      <sheetName val="Material "/>
      <sheetName val="std.wt."/>
      <sheetName val="BOQ-Tower"/>
      <sheetName val="PACK (B)"/>
      <sheetName val="TBAL9697_-group_wise__sdpl"/>
      <sheetName val="Break_Dw"/>
      <sheetName val="Load_Details(B1)"/>
      <sheetName val="PA-_Consutant_"/>
      <sheetName val="Debits_as_on_12_04_08"/>
      <sheetName val="Desgn(zone_I)"/>
      <sheetName val="Bed_Class"/>
      <sheetName val="PART-I_(2)2"/>
      <sheetName val="final_abstract2"/>
      <sheetName val="Structure_Bills_Qty1"/>
      <sheetName val="Builtup_Area1"/>
      <sheetName val="MASTER_RATE_ANALYSIS1"/>
      <sheetName val="Cop_-VGN1"/>
      <sheetName val="Materials_1"/>
      <sheetName val="MN_T_B_1"/>
      <sheetName val="BOQ_Direct_selling_cost1"/>
      <sheetName val="Stress_Calculation1"/>
      <sheetName val="IO_List1"/>
      <sheetName val="E_&amp;_R1"/>
      <sheetName val="Exp_1"/>
      <sheetName val="INDIGINEOUS_ITEMS_1"/>
      <sheetName val="TBAL9697_-group_wise__sdpl1"/>
      <sheetName val="Break_Dw1"/>
      <sheetName val="Load_Details(B1)1"/>
      <sheetName val="SPT_vs_PHI1"/>
      <sheetName val="Civil_Boq1"/>
      <sheetName val="PA-_Consutant_1"/>
      <sheetName val="Debits_as_on_12_04_081"/>
      <sheetName val="Desgn(zone_I)1"/>
      <sheetName val="Bed_Class1"/>
      <sheetName val="PART-I_(2)3"/>
      <sheetName val="final_abstract3"/>
      <sheetName val="Fee_Rate_Summary2"/>
      <sheetName val="Basement_Budget2"/>
      <sheetName val="Rate_analysis2"/>
      <sheetName val="Materials_Cost2"/>
      <sheetName val="10__&amp;_11__Rate_Code_&amp;_BQ2"/>
      <sheetName val="Break_up_Sheet2"/>
      <sheetName val="B_&amp;_C_-_M_-_ccp2"/>
      <sheetName val="RES_STEEL_TO2"/>
      <sheetName val="RMZ_Summary2"/>
      <sheetName val="Pipe_Supports2"/>
      <sheetName val="Field_Values2"/>
      <sheetName val="Fin_Sum2"/>
      <sheetName val="Fill_this_out_first___2"/>
      <sheetName val="Site_Dev_BOQ2"/>
      <sheetName val="Staff_Forecast_spread2"/>
      <sheetName val="Structure_Bills_Qty2"/>
      <sheetName val="Builtup_Area2"/>
      <sheetName val="MASTER_RATE_ANALYSIS2"/>
      <sheetName val="Cop_-VGN2"/>
      <sheetName val="Materials_2"/>
      <sheetName val="MN_T_B_2"/>
      <sheetName val="BOQ_Direct_selling_cost2"/>
      <sheetName val="Stress_Calculation2"/>
      <sheetName val="IO_List2"/>
      <sheetName val="E_&amp;_R2"/>
      <sheetName val="factor_sheet1"/>
      <sheetName val="Exp_2"/>
      <sheetName val="INDIGINEOUS_ITEMS_2"/>
      <sheetName val="TBAL9697_-group_wise__sdpl2"/>
      <sheetName val="Break_Dw2"/>
      <sheetName val="Load_Details(B1)2"/>
      <sheetName val="SPT_vs_PHI2"/>
      <sheetName val="Civil_Boq2"/>
      <sheetName val="PA-_Consutant_2"/>
      <sheetName val="Debits_as_on_12_04_082"/>
      <sheetName val="INDORAMA_Group_June_022"/>
      <sheetName val="Desgn(zone_I)2"/>
      <sheetName val="Bed_Class2"/>
      <sheetName val="Voucher"/>
      <sheetName val="jobhist"/>
      <sheetName val="Aseet1998"/>
      <sheetName val="PART-I_(2)4"/>
      <sheetName val="final_abstract4"/>
      <sheetName val="Fee_Rate_Summary3"/>
      <sheetName val="Basement_Budget3"/>
      <sheetName val="Rate_analysis3"/>
      <sheetName val="Materials_Cost3"/>
      <sheetName val="10__&amp;_11__Rate_Code_&amp;_BQ3"/>
      <sheetName val="Break_up_Sheet3"/>
      <sheetName val="B_&amp;_C_-_M_-_ccp3"/>
      <sheetName val="RES_STEEL_TO3"/>
      <sheetName val="RMZ_Summary3"/>
      <sheetName val="Pipe_Supports3"/>
      <sheetName val="Field_Values3"/>
      <sheetName val="Fin_Sum3"/>
      <sheetName val="Fill_this_out_first___3"/>
      <sheetName val="Site_Dev_BOQ3"/>
      <sheetName val="Staff_Forecast_spread3"/>
      <sheetName val="Structure_Bills_Qty3"/>
      <sheetName val="Builtup_Area3"/>
      <sheetName val="MASTER_RATE_ANALYSIS3"/>
      <sheetName val="Cop_-VGN3"/>
      <sheetName val="Materials_3"/>
      <sheetName val="MN_T_B_3"/>
      <sheetName val="BOQ_Direct_selling_cost3"/>
      <sheetName val="Stress_Calculation3"/>
      <sheetName val="IO_List3"/>
      <sheetName val="E_&amp;_R3"/>
      <sheetName val="Exp_3"/>
      <sheetName val="INDIGINEOUS_ITEMS_3"/>
      <sheetName val="TBAL9697_-group_wise__sdpl3"/>
      <sheetName val="Break_Dw3"/>
      <sheetName val="Load_Details(B1)3"/>
      <sheetName val="SPT_vs_PHI3"/>
      <sheetName val="Civil_Boq3"/>
      <sheetName val="PA-_Consutant_3"/>
      <sheetName val="Debits_as_on_12_04_083"/>
      <sheetName val="INDORAMA_Group_June_023"/>
      <sheetName val="Desgn(zone_I)3"/>
      <sheetName val="Bed_Class3"/>
      <sheetName val="M_B-QtyRecn"/>
      <sheetName val="PART-I_(2)5"/>
      <sheetName val="final_abstract5"/>
      <sheetName val="Fee_Rate_Summary4"/>
      <sheetName val="Basement_Budget4"/>
      <sheetName val="Rate_analysis4"/>
      <sheetName val="Materials_Cost4"/>
      <sheetName val="10__&amp;_11__Rate_Code_&amp;_BQ4"/>
      <sheetName val="Break_up_Sheet4"/>
      <sheetName val="B_&amp;_C_-_M_-_ccp4"/>
      <sheetName val="RES_STEEL_TO4"/>
      <sheetName val="RMZ_Summary4"/>
      <sheetName val="Pipe_Supports4"/>
      <sheetName val="Field_Values4"/>
      <sheetName val="Fin_Sum4"/>
      <sheetName val="Fill_this_out_first___4"/>
      <sheetName val="Site_Dev_BOQ4"/>
      <sheetName val="Staff_Forecast_spread4"/>
      <sheetName val="Structure_Bills_Qty4"/>
      <sheetName val="Builtup_Area4"/>
      <sheetName val="MASTER_RATE_ANALYSIS4"/>
      <sheetName val="Cop_-VGN4"/>
      <sheetName val="Materials_4"/>
      <sheetName val="MN_T_B_4"/>
      <sheetName val="BOQ_Direct_selling_cost4"/>
      <sheetName val="Stress_Calculation4"/>
      <sheetName val="IO_List4"/>
      <sheetName val="E_&amp;_R4"/>
      <sheetName val="factor_sheet2"/>
      <sheetName val="Exp_4"/>
      <sheetName val="INDIGINEOUS_ITEMS_4"/>
      <sheetName val="TBAL9697_-group_wise__sdpl4"/>
      <sheetName val="Break_Dw4"/>
      <sheetName val="Load_Details(B1)4"/>
      <sheetName val="SPT_vs_PHI4"/>
      <sheetName val="Civil_Boq4"/>
      <sheetName val="PA-_Consutant_4"/>
      <sheetName val="Debits_as_on_12_04_084"/>
      <sheetName val="INDORAMA_Group_June_024"/>
      <sheetName val="Desgn(zone_I)4"/>
      <sheetName val="Bed_Class4"/>
      <sheetName val="M_B-QtyRecn1"/>
      <sheetName val="det_est"/>
      <sheetName val="GR.slab-reinft"/>
      <sheetName val="SCHEDULE"/>
      <sheetName val="M-Book for Conc"/>
      <sheetName val="M-Book for FW"/>
      <sheetName val="Lead statement"/>
      <sheetName val="PRECAST lightconc-II"/>
      <sheetName val="선수금"/>
      <sheetName val="Code"/>
      <sheetName val="Set"/>
      <sheetName val="Summary_Bank"/>
      <sheetName val="Staircase "/>
      <sheetName val="concrete"/>
      <sheetName val="NLD - Assum"/>
      <sheetName val="Capex-fixed"/>
      <sheetName val="schedule nos"/>
      <sheetName val="CPIPE"/>
      <sheetName val="bill 2"/>
      <sheetName val="office"/>
      <sheetName val="Lab"/>
      <sheetName val="Material&amp;equipment"/>
      <sheetName val="purpose&amp;input"/>
      <sheetName val="INPUT SHEET"/>
      <sheetName val="Register"/>
      <sheetName val="Cable-data"/>
      <sheetName val="Labour &amp; Plant"/>
      <sheetName val="Flight-1"/>
      <sheetName val="Data.F8.BTR"/>
      <sheetName val="ssr-rates"/>
      <sheetName val="leads"/>
      <sheetName val="DATA-2005-06"/>
      <sheetName val="BOM"/>
      <sheetName val="Price Schedule"/>
      <sheetName val="Mat_Cost"/>
      <sheetName val="Cost_Any."/>
      <sheetName val="Ratio"/>
      <sheetName val="S &amp; A"/>
      <sheetName val="Mat_Cost1"/>
      <sheetName val="Price_Schedule"/>
      <sheetName val="S_&amp;_A"/>
      <sheetName val="Cost_Any_"/>
      <sheetName val="PointNo.5"/>
      <sheetName val="Mat_Cost2"/>
      <sheetName val="Price_Schedule1"/>
      <sheetName val="S_&amp;_A1"/>
      <sheetName val="Cost_Any_1"/>
      <sheetName val="Cost_any"/>
      <sheetName val="d-safe specs"/>
      <sheetName val="d-safe DELUXE"/>
      <sheetName val="Diawise steel abstract"/>
      <sheetName val="SUMMARY-client"/>
      <sheetName val="Rising Main"/>
      <sheetName val="LTG-STG"/>
      <sheetName val="CCTV_EST1"/>
      <sheetName val="SOR"/>
      <sheetName val="train cash"/>
      <sheetName val="accom cash"/>
      <sheetName val="Column Steel-R2"/>
      <sheetName val="beam-reinft-machine rm"/>
      <sheetName val="QS Name"/>
      <sheetName val="CANDY BOQ"/>
      <sheetName val="BOQ_(2)"/>
      <sheetName val="ACAD_Finishes"/>
      <sheetName val="Site_Details"/>
      <sheetName val="Site_Area_Statement"/>
      <sheetName val="hdpe_basic"/>
      <sheetName val="pvc_basic"/>
      <sheetName val="Estimate 10.00 Lakhs "/>
      <sheetName val="mlead"/>
      <sheetName val="abs road"/>
      <sheetName val="coverpage"/>
      <sheetName val="RMR"/>
      <sheetName val="Road data"/>
      <sheetName val="R_Det"/>
      <sheetName val="DATA_PRG"/>
      <sheetName val="Ellis &amp; WS&amp;S"/>
      <sheetName val="Drip mould &amp; Elevation"/>
      <sheetName val="Trussess"/>
      <sheetName val="Hire"/>
      <sheetName val="MRATES"/>
      <sheetName val="wh_data_R"/>
      <sheetName val="Amendments"/>
      <sheetName val="Bld.SSR"/>
      <sheetName val="SSR -Sani "/>
      <sheetName val="Elec.SSR"/>
      <sheetName val="Irri-SSR"/>
      <sheetName val="PH- SSR"/>
      <sheetName val="R &amp; B.SSR"/>
      <sheetName val="RCC Pipes"/>
      <sheetName val="PH-HDPE"/>
      <sheetName val="PH-PVC"/>
      <sheetName val="DI-Pipes &amp; Spe"/>
      <sheetName val="CI.Spe"/>
      <sheetName val="DI-Valves"/>
      <sheetName val="CI-Valves"/>
      <sheetName val="Bolts&amp; rings"/>
      <sheetName val="MH-Covers"/>
      <sheetName val="Notes"/>
      <sheetName val="Dist.Lines-150-old"/>
      <sheetName val="NW-GA"/>
      <sheetName val="GA-GVMC -NW(Com) "/>
      <sheetName val="GA-GVMC -NW "/>
      <sheetName val="Dist.Lines-100"/>
      <sheetName val="Dist-Lines -500"/>
      <sheetName val="Dist-Lines"/>
      <sheetName val="Dist.Lines-150"/>
      <sheetName val="GA-GVMC -NW  (2)"/>
      <sheetName val="GA-GVMC -NW. "/>
      <sheetName val="Dist-Lines B-1 "/>
      <sheetName val="Dist-Lines-Final checked"/>
      <sheetName val="Pumping mains-"/>
      <sheetName val="Feeder main-old"/>
      <sheetName val="Dist-Lines -B-2"/>
      <sheetName val="Dist-Lines -B-3"/>
      <sheetName val="Dist-Lines B-4"/>
      <sheetName val="Dist-Lines B-5"/>
      <sheetName val="Dist-Lines -B-6"/>
      <sheetName val="Dist-Lines -B-7"/>
      <sheetName val="Dist-Lines -B-8"/>
      <sheetName val="Dist-Lines -B-9"/>
      <sheetName val="Dist-Lines -B-10"/>
      <sheetName val="Dist-Lines -B-11"/>
      <sheetName val="Dist-Lines -B-12"/>
      <sheetName val="Dist-Lines -B-13"/>
      <sheetName val="Dist-Lines -B-14"/>
      <sheetName val="Dist-Lines -B-15"/>
      <sheetName val="Dist-Lines -B-16"/>
      <sheetName val="Feeder mains- 1"/>
      <sheetName val="Feeder mains- 2"/>
      <sheetName val="Feeder mains- (1)"/>
      <sheetName val="Feeder mains-up to 800"/>
      <sheetName val="Pumping Main-800mm"/>
      <sheetName val="ELSR-600 KL-Z-2"/>
      <sheetName val="750 KL GLSR-Z-3"/>
      <sheetName val="ELSR-750 KL-Z-3"/>
      <sheetName val="ELSR-500 KL-Z-4"/>
      <sheetName val="500 KL GLSR-Z-4"/>
      <sheetName val="ELSR-200KL-Z-7"/>
      <sheetName val="ELSR-1850 KL-Z-8"/>
      <sheetName val="1850 KL GLSR-Z-8"/>
      <sheetName val="ELSR-200KL-Z-9"/>
      <sheetName val="800 KL GLSR-Z-11"/>
      <sheetName val="900 KL GLSR-Z-12"/>
      <sheetName val="ELSR-2500 KL-Z-13"/>
      <sheetName val="lead-st"/>
      <sheetName val="BS"/>
      <sheetName val="Capex"/>
      <sheetName val="SSR 2014-15 Rates"/>
      <sheetName val="ELSR-2400 KL-Z-14"/>
      <sheetName val="ELSR-1200 KL-Z-15"/>
      <sheetName val="ELSR-2000 KL-Z-16"/>
      <sheetName val="Pumping Main-500mm-(2)"/>
      <sheetName val="Pumping Main-450mm-(3)"/>
      <sheetName val="Pumping Main-(4)"/>
      <sheetName val="350 KL GLSR"/>
      <sheetName val="1000 KL Sump-"/>
      <sheetName val="1000 KL MBR"/>
      <sheetName val="MBR-1000 KL"/>
      <sheetName val="Pump room-12x8"/>
      <sheetName val="HSC"/>
      <sheetName val="B.F.Meters"/>
      <sheetName val="Pump sets"/>
      <sheetName val="Pump sets (2)"/>
      <sheetName val="Gen sets"/>
      <sheetName val="PR Valves"/>
      <sheetName val="W.man.Qrt-"/>
      <sheetName val="O &amp;M"/>
      <sheetName val="Generator Room-1"/>
      <sheetName val="200 KL GLSR-6 (2)"/>
      <sheetName val="500 KL Sump-(1)"/>
      <sheetName val="250 KL Sump-(3)"/>
      <sheetName val="Office - MBR"/>
      <sheetName val="HSC (2)"/>
      <sheetName val="O&amp;M"/>
      <sheetName val="Gen sets (2)"/>
      <sheetName val="Transfarmer"/>
      <sheetName val="C-Mat-Gen"/>
      <sheetName val="Convey"/>
      <sheetName val="Sheet1 (2)"/>
      <sheetName val="Mortars,"/>
      <sheetName val="Cent'g-1"/>
      <sheetName val="Cent'g-2"/>
      <sheetName val="Loading"/>
      <sheetName val="Dismantling"/>
      <sheetName val="DI pipes"/>
      <sheetName val="DI-Spe-1"/>
      <sheetName val="Wt.of DI Spe."/>
      <sheetName val="HDPE pipes"/>
      <sheetName val="HDPE-Spe"/>
      <sheetName val="RCC-PE"/>
      <sheetName val="RCC SS"/>
      <sheetName val="CI Spe."/>
      <sheetName val="PVC-WS"/>
      <sheetName val="ELSR-2"/>
      <sheetName val="data-ELSR "/>
      <sheetName val="Lowering"/>
      <sheetName val="data-Water Supply"/>
      <sheetName val="Sump &amp; ST"/>
      <sheetName val="Chamber-1"/>
      <sheetName val="Bld.Stnd,Data"/>
      <sheetName val="Bld up to 3F"/>
      <sheetName val="CC road"/>
      <sheetName val="EWE-Roads"/>
      <sheetName val="Dist Lines"/>
      <sheetName val="Feeder mains-2"/>
      <sheetName val="Gravity Main-900mm"/>
      <sheetName val="550 KL Sump-1"/>
      <sheetName val="550 KL Sump-2"/>
      <sheetName val="ELSR-1200 KL"/>
      <sheetName val="650 KL GLSR (2)"/>
      <sheetName val="850 KL GLSR "/>
      <sheetName val="500 KL sump"/>
      <sheetName val="200 KL- ELSR Yelluru"/>
      <sheetName val="Dist-Zone-below 50000"/>
      <sheetName val="Data -O&amp;M"/>
      <sheetName val="Lengths-Tandur"/>
      <sheetName val="Bld-Total"/>
      <sheetName val="Pumping main-350mm"/>
      <sheetName val="Details"/>
      <sheetName val="Dist-est"/>
      <sheetName val="info-1"/>
      <sheetName val="Inf.Well"/>
      <sheetName val="Approah road to MBR"/>
      <sheetName val="Approach Roads-Source"/>
      <sheetName val="Dist-Zone-1"/>
      <sheetName val="400mm-P.Main"/>
      <sheetName val="Rates-ELSR,Filters"/>
      <sheetName val="13 Mld-WTP"/>
      <sheetName val="data-Intake well"/>
      <sheetName val="data-ELSR-"/>
      <sheetName val="Valves"/>
      <sheetName val="Model GLSR-"/>
      <sheetName val="Feeder main-1 (2)"/>
      <sheetName val="Dist &amp; Feeder mains  (2)"/>
      <sheetName val="BFlow meters"/>
      <sheetName val="DI-100-900"/>
      <sheetName val="O Nd M"/>
      <sheetName val="Pump room-6.59x6.00m"/>
      <sheetName val="data-MS-pipe"/>
      <sheetName val="GA-GVMC -Raiwada-BWSC"/>
      <sheetName val="BWSC-Pumping Main-1200mm"/>
      <sheetName val="GA-GVMC -Raiwada"/>
      <sheetName val="MS-Pumping Main-1300mm"/>
      <sheetName val="Thurst-F.mains"/>
      <sheetName val="Thrust-P.mains"/>
      <sheetName val="CI weights"/>
      <sheetName val="PH-BWSC"/>
      <sheetName val="BWSC-Rate"/>
      <sheetName val="BWSC-Cal"/>
      <sheetName val="C-data"/>
      <sheetName val="maya"/>
      <sheetName val="CIV INV&amp;EXP"/>
      <sheetName val="not req 3"/>
      <sheetName val="220Kv (2)"/>
      <sheetName val="COMPLEXALL"/>
      <sheetName val="Road Furniture-Data"/>
      <sheetName val="Data Road Rev"/>
      <sheetName val="Data New Tech"/>
      <sheetName val="furniture"/>
      <sheetName val="Works - Quote Sheet"/>
      <sheetName val="Balustrade"/>
      <sheetName val="CFForecast detail"/>
      <sheetName val="협조전"/>
      <sheetName val="Form 6"/>
      <sheetName val="Model (Not Merged)"/>
      <sheetName val="Meas.-Hotel Part"/>
      <sheetName val="Pay_Sep06"/>
      <sheetName val="PriceSummary"/>
      <sheetName val="IS"/>
      <sheetName val="Vind - BtB"/>
      <sheetName val="Detail"/>
      <sheetName val="B1"/>
      <sheetName val="Tender Summary"/>
      <sheetName val="Version"/>
      <sheetName val="newsales"/>
      <sheetName val="B3-B4-B5-B6"/>
      <sheetName val="WORK TABLE"/>
      <sheetName val="220 11  BS "/>
      <sheetName val="Intro."/>
      <sheetName val="SGS ACQ"/>
      <sheetName val="EDWise"/>
      <sheetName val="discounts_XP140"/>
      <sheetName val="Branch Power"/>
      <sheetName val="Distrib"/>
      <sheetName val="Emergency"/>
      <sheetName val="Equipment"/>
      <sheetName val="Lighting"/>
      <sheetName val="01"/>
      <sheetName val="AK-Offertstammblatt"/>
      <sheetName val="환율"/>
      <sheetName val="1"/>
      <sheetName val="Cash Flows &amp; IRR"/>
      <sheetName val="MFG"/>
      <sheetName val="QCEQPT-owned"/>
      <sheetName val="Assumptions"/>
      <sheetName val="P.Well( RCC)"/>
      <sheetName val="Template4444"/>
      <sheetName val="CONNECT"/>
      <sheetName val="Internet"/>
      <sheetName val="Introduction"/>
      <sheetName val="Operating Statistics"/>
      <sheetName val="Financials"/>
      <sheetName val="Detail In Door Stad"/>
      <sheetName val="BOQ Distribution"/>
      <sheetName val="intr stool brkup"/>
      <sheetName val="A.O.R."/>
      <sheetName val="sheeet7"/>
      <sheetName val="Material Rate"/>
      <sheetName val="Conc_Analysis"/>
      <sheetName val="upa"/>
      <sheetName val="P4-BOQ"/>
      <sheetName val="RAJU ASSO"/>
      <sheetName val="B"/>
      <sheetName val="PART-I_(2)6"/>
      <sheetName val="final_abstract6"/>
      <sheetName val="Basement_Budget5"/>
      <sheetName val="Fee_Rate_Summary5"/>
      <sheetName val="Rate_analysis5"/>
      <sheetName val="Materials_Cost5"/>
      <sheetName val="10__&amp;_11__Rate_Code_&amp;_BQ5"/>
      <sheetName val="RES_STEEL_TO5"/>
      <sheetName val="Break_up_Sheet5"/>
      <sheetName val="B_&amp;_C_-_M_-_ccp5"/>
      <sheetName val="RMZ_Summary5"/>
      <sheetName val="Fill_this_out_first___5"/>
      <sheetName val="TBAL9697_-group_wise__sdpl5"/>
      <sheetName val="Fin_Sum5"/>
      <sheetName val="Site_Dev_BOQ5"/>
      <sheetName val="Staff_Forecast_spread5"/>
      <sheetName val="Field_Values5"/>
      <sheetName val="Structure_Bills_Qty5"/>
      <sheetName val="Builtup_Area5"/>
      <sheetName val="MASTER_RATE_ANALYSIS5"/>
      <sheetName val="Cop_-VGN5"/>
      <sheetName val="IO_List5"/>
      <sheetName val="BOQ_Direct_selling_cost5"/>
      <sheetName val="Stress_Calculation5"/>
      <sheetName val="Pipe_Supports5"/>
      <sheetName val="Materials_5"/>
      <sheetName val="MN_T_B_5"/>
      <sheetName val="Exp_5"/>
      <sheetName val="repor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refreshError="1"/>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refreshError="1"/>
      <sheetData sheetId="245" refreshError="1"/>
      <sheetData sheetId="246" refreshError="1"/>
      <sheetData sheetId="247" refreshError="1"/>
      <sheetData sheetId="248" refreshError="1"/>
      <sheetData sheetId="249" refreshError="1"/>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COVER"/>
      <sheetName val="SPE"/>
      <sheetName val="WORK"/>
      <sheetName val="SEIG (2)"/>
      <sheetName val="LEAD 2019-20"/>
      <sheetName val="DATA 2019-20"/>
      <sheetName val="CS"/>
      <sheetName val="CR"/>
      <sheetName val="CC f"/>
      <sheetName val="ccbc"/>
      <sheetName val="SEIG (3)"/>
      <sheetName val="CERT"/>
      <sheetName val="RE-DE"/>
      <sheetName val="CON 19-20"/>
    </sheetNames>
    <definedNames>
      <definedName name="Last_Row" refersTo="#REF!" sheetId="7"/>
      <definedName name="Number_of_Payments" refersTo="#REF!" sheetId="7"/>
      <definedName name="Values_Entered" refersTo="#REF!" sheetId="7"/>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0000000000000"/>
      <sheetName val="COVER"/>
      <sheetName val="SPE"/>
      <sheetName val="NIC"/>
      <sheetName val="Genetic"/>
      <sheetName val="INPUT"/>
      <sheetName val="FF"/>
      <sheetName val="SF"/>
      <sheetName val="WORK"/>
      <sheetName val="SEIG P-A "/>
      <sheetName val="SEIG P-B"/>
      <sheetName val="steel cal"/>
      <sheetName val="Differ- Material"/>
      <sheetName val="lead 19-20"/>
      <sheetName val="lead 20-21"/>
      <sheetName val="lead 21-22"/>
      <sheetName val="lead 22-23"/>
      <sheetName val="data"/>
      <sheetName val="Ele Data"/>
      <sheetName val="D&amp;W data"/>
      <sheetName val="SANITATION DTA"/>
      <sheetName val="con 2019-20"/>
      <sheetName val="MINI SSR 19-20"/>
      <sheetName val="lead 22-23 P-B"/>
      <sheetName val="data 2022-23"/>
      <sheetName val="door 2022-23"/>
      <sheetName val="SANI 2022-23"/>
      <sheetName val="Ele 2022-23"/>
      <sheetName val="CS"/>
      <sheetName val="CR"/>
      <sheetName val="R-1"/>
      <sheetName val="con 2020-21"/>
      <sheetName val="MINI SSR 2020-21"/>
      <sheetName val="R-2"/>
      <sheetName val="Material"/>
      <sheetName val="C-1"/>
      <sheetName val="CC f -2"/>
      <sheetName val="ccbc "/>
      <sheetName val="SEIG  (2)"/>
      <sheetName val="CERTI "/>
      <sheetName val="RE-DE"/>
      <sheetName val="Proforma-I"/>
      <sheetName val="voucer part (2)"/>
      <sheetName val="1 (2)"/>
      <sheetName val="2 (2)"/>
      <sheetName val="3 (2)"/>
      <sheetName val="4 (2)"/>
      <sheetName val="5 (2)"/>
      <sheetName val="M-1 (2)"/>
      <sheetName val="M-3 (2)"/>
      <sheetName val="con 2021-22"/>
      <sheetName val="MINI SSR 21-22"/>
      <sheetName val="con 2022-23"/>
      <sheetName val="MINI SSR 2022-23"/>
      <sheetName val="con 2022-23 (2)"/>
      <sheetName val="MINI SSR 2022-23 (2)"/>
    </sheetNames>
    <sheetDataSet>
      <sheetData sheetId="0" refreshError="1"/>
      <sheetData sheetId="1">
        <row r="25">
          <cell r="H25" t="str">
            <v>(MGNREGS + Health Grant)</v>
          </cell>
        </row>
        <row r="26">
          <cell r="H26" t="str">
            <v>(NMH &amp; 15th FC)</v>
          </cell>
        </row>
      </sheetData>
      <sheetData sheetId="2" refreshError="1"/>
      <sheetData sheetId="3" refreshError="1"/>
      <sheetData sheetId="4" refreshError="1"/>
      <sheetData sheetId="5" refreshError="1"/>
      <sheetData sheetId="6" refreshError="1"/>
      <sheetData sheetId="7" refreshError="1"/>
      <sheetData sheetId="8">
        <row r="4370">
          <cell r="M4370">
            <v>100</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0000000000000"/>
      <sheetName val="COVER"/>
      <sheetName val="SPE"/>
      <sheetName val="Genetic"/>
      <sheetName val="NIC"/>
      <sheetName val="INPUT"/>
      <sheetName val="work"/>
      <sheetName val="FF"/>
      <sheetName val="SF"/>
      <sheetName val="Electrification"/>
      <sheetName val="SEIG "/>
      <sheetName val="steel cal"/>
      <sheetName val="Differ- Material"/>
      <sheetName val="lead 19-20"/>
      <sheetName val="lead 20-21"/>
      <sheetName val="lead 21-22"/>
      <sheetName val="lead 22-23"/>
      <sheetName val="data"/>
      <sheetName val="Ele Data"/>
      <sheetName val="D&amp;W data"/>
      <sheetName val="SANITATION DTA"/>
      <sheetName val="con 2019-20"/>
      <sheetName val="MINI SSR 19-20"/>
      <sheetName val="CS"/>
      <sheetName val="CR"/>
      <sheetName val="R-1"/>
      <sheetName val="con 2020-21"/>
      <sheetName val="MINI SSR 2020-21"/>
      <sheetName val="R-2"/>
      <sheetName val="C-1"/>
      <sheetName val="CC f -2"/>
      <sheetName val="ccbc "/>
      <sheetName val="SEIG  (2)"/>
      <sheetName val="CERTI "/>
      <sheetName val="RE-DE"/>
      <sheetName val="Proforma-I"/>
      <sheetName val="voucer part (2)"/>
      <sheetName val="1 (2)"/>
      <sheetName val="2 (2)"/>
      <sheetName val="3 (2)"/>
      <sheetName val="4 (2)"/>
      <sheetName val="5 (2)"/>
      <sheetName val="M-1 (2)"/>
      <sheetName val="M-3 (2)"/>
      <sheetName val="con 2021-22"/>
      <sheetName val="MINI SSR 21-22"/>
      <sheetName val="con 2022-23"/>
      <sheetName val="MINI SSR 2022-23"/>
      <sheetName val="Part-B"/>
      <sheetName val="SEIG P-B"/>
      <sheetName val="lead 22-23 P-B"/>
      <sheetName val="data 2022-23"/>
      <sheetName val="Ele 2022-23"/>
      <sheetName val="door 2022-23"/>
      <sheetName val="SANITATION DTA (2)"/>
      <sheetName val="con 2022-23 (2)"/>
      <sheetName val="MINI SSR 2022-23 (2)"/>
    </sheetNames>
    <sheetDataSet>
      <sheetData sheetId="0"/>
      <sheetData sheetId="1">
        <row r="25">
          <cell r="H25" t="str">
            <v>(MGNREGS + Ag Dept Grant)</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C-W"/>
      <sheetName val="SPE"/>
      <sheetName val="WORK"/>
      <sheetName val="cement cal"/>
      <sheetName val="deduct quotation"/>
      <sheetName val="lead 2018-19"/>
      <sheetName val="CON 2018-19-1"/>
      <sheetName val="data 2018-19"/>
      <sheetName val="lead 2019-20"/>
      <sheetName val="data 2019-20"/>
      <sheetName val="CON 2019-20"/>
      <sheetName val="GENETIC"/>
      <sheetName val="CS"/>
      <sheetName val="CR"/>
      <sheetName val="CR-G"/>
      <sheetName val="C-1"/>
      <sheetName val="CC f -2"/>
      <sheetName val="ccbc "/>
      <sheetName val="Seigneorage"/>
      <sheetName val="CERTI "/>
      <sheetName val="RE-DE"/>
      <sheetName val="Q-1"/>
      <sheetName val="Q-2"/>
      <sheetName val="Q-3"/>
      <sheetName val="Q-4"/>
      <sheetName val="voucer part"/>
      <sheetName val="1"/>
      <sheetName val="5"/>
      <sheetName val="7"/>
      <sheetName val="10"/>
      <sheetName val="11"/>
      <sheetName val="12"/>
      <sheetName val="M-1"/>
      <sheetName val="M-2"/>
      <sheetName val="M-3"/>
      <sheetName val="Lead"/>
    </sheetNames>
    <sheetDataSet>
      <sheetData sheetId="0"/>
      <sheetData sheetId="1"/>
      <sheetData sheetId="2">
        <row r="11">
          <cell r="I11">
            <v>52.82</v>
          </cell>
        </row>
      </sheetData>
      <sheetData sheetId="3"/>
      <sheetData sheetId="4"/>
      <sheetData sheetId="5"/>
      <sheetData sheetId="6"/>
      <sheetData sheetId="7"/>
      <sheetData sheetId="8"/>
      <sheetData sheetId="9"/>
      <sheetData sheetId="10"/>
      <sheetData sheetId="11">
        <row r="32">
          <cell r="H32">
            <v>2066</v>
          </cell>
        </row>
      </sheetData>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2.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3.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sheet1.xml><?xml version="1.0" encoding="utf-8"?>
<worksheet xmlns="http://schemas.openxmlformats.org/spreadsheetml/2006/main" xmlns:r="http://schemas.openxmlformats.org/officeDocument/2006/relationships">
  <dimension ref="A1"/>
  <sheetViews>
    <sheetView showGridLines="0" showRowColHeaders="0" showZeros="0" showOutlineSymbols="0" topLeftCell="B29282" zoomScaleNormal="97" zoomScaleSheetLayoutView="70" workbookViewId="0"/>
  </sheetViews>
  <sheetFormatPr defaultRowHeight="12.75"/>
  <sheetData/>
  <phoneticPr fontId="0" type="noConversion"/>
  <pageMargins left="0.75" right="0.75" top="1" bottom="1" header="0.5" footer="0.5"/>
  <headerFooter alignWithMargins="0"/>
</worksheet>
</file>

<file path=xl/worksheets/sheet2.xml><?xml version="1.0" encoding="utf-8"?>
<worksheet xmlns="http://schemas.openxmlformats.org/spreadsheetml/2006/main" xmlns:r="http://schemas.openxmlformats.org/officeDocument/2006/relationships">
  <sheetPr>
    <tabColor rgb="FFFF0000"/>
  </sheetPr>
  <dimension ref="A1:K40"/>
  <sheetViews>
    <sheetView defaultGridColor="0" topLeftCell="A20" colorId="22" zoomScale="85" zoomScaleNormal="85" workbookViewId="0">
      <selection activeCell="G23" sqref="G23:J23"/>
    </sheetView>
  </sheetViews>
  <sheetFormatPr defaultColWidth="9.140625" defaultRowHeight="12.75"/>
  <cols>
    <col min="1" max="1" width="3.28515625" style="235" customWidth="1"/>
    <col min="2" max="2" width="4.7109375" style="235" customWidth="1"/>
    <col min="3" max="3" width="9.5703125" style="235" customWidth="1"/>
    <col min="4" max="4" width="9.85546875" style="235" customWidth="1"/>
    <col min="5" max="5" width="14.7109375" style="235" customWidth="1"/>
    <col min="6" max="6" width="5" style="2" customWidth="1"/>
    <col min="7" max="7" width="17.140625" style="235" customWidth="1"/>
    <col min="8" max="8" width="13" style="235" customWidth="1"/>
    <col min="9" max="9" width="4.85546875" style="235" customWidth="1"/>
    <col min="10" max="10" width="12.42578125" style="235" customWidth="1"/>
    <col min="11" max="11" width="3.5703125" style="235" customWidth="1"/>
    <col min="12" max="12" width="5.42578125" style="235" customWidth="1"/>
    <col min="13" max="16384" width="9.140625" style="235"/>
  </cols>
  <sheetData>
    <row r="1" spans="1:11" s="1" customFormat="1" ht="13.5" customHeight="1">
      <c r="A1" s="1582" t="s">
        <v>254</v>
      </c>
      <c r="B1" s="1578" t="s">
        <v>255</v>
      </c>
      <c r="C1" s="1578"/>
      <c r="D1" s="1578"/>
      <c r="E1" s="1578"/>
      <c r="F1" s="1578"/>
      <c r="G1" s="1578"/>
      <c r="H1" s="1578"/>
      <c r="I1" s="1578"/>
      <c r="J1" s="1578"/>
      <c r="K1" s="1583" t="s">
        <v>256</v>
      </c>
    </row>
    <row r="2" spans="1:11" ht="12.75" customHeight="1">
      <c r="A2" s="1582"/>
      <c r="K2" s="1583"/>
    </row>
    <row r="3" spans="1:11">
      <c r="A3" s="1582"/>
      <c r="K3" s="1583"/>
    </row>
    <row r="4" spans="1:11">
      <c r="A4" s="1582"/>
      <c r="K4" s="1583"/>
    </row>
    <row r="5" spans="1:11">
      <c r="A5" s="1582"/>
      <c r="K5" s="1583"/>
    </row>
    <row r="6" spans="1:11">
      <c r="A6" s="1582"/>
      <c r="K6" s="1583"/>
    </row>
    <row r="7" spans="1:11">
      <c r="A7" s="1582"/>
      <c r="K7" s="1583"/>
    </row>
    <row r="8" spans="1:11">
      <c r="A8" s="1582"/>
      <c r="K8" s="1583"/>
    </row>
    <row r="9" spans="1:11">
      <c r="A9" s="1582"/>
      <c r="K9" s="1583"/>
    </row>
    <row r="10" spans="1:11">
      <c r="A10" s="1582"/>
      <c r="K10" s="1583"/>
    </row>
    <row r="11" spans="1:11">
      <c r="A11" s="1582"/>
      <c r="K11" s="1583"/>
    </row>
    <row r="12" spans="1:11">
      <c r="A12" s="1582"/>
      <c r="E12" s="2"/>
      <c r="G12" s="2"/>
      <c r="K12" s="1583"/>
    </row>
    <row r="13" spans="1:11">
      <c r="A13" s="1582"/>
      <c r="K13" s="1583"/>
    </row>
    <row r="14" spans="1:11">
      <c r="A14" s="1582"/>
      <c r="K14" s="1583"/>
    </row>
    <row r="15" spans="1:11">
      <c r="A15" s="1582"/>
      <c r="K15" s="1583"/>
    </row>
    <row r="16" spans="1:11">
      <c r="A16" s="1582"/>
      <c r="K16" s="1583"/>
    </row>
    <row r="17" spans="1:11">
      <c r="A17" s="1582"/>
      <c r="K17" s="1583"/>
    </row>
    <row r="18" spans="1:11" ht="24" customHeight="1">
      <c r="A18" s="1582"/>
      <c r="B18" s="1584" t="s">
        <v>257</v>
      </c>
      <c r="C18" s="1581"/>
      <c r="D18" s="1581"/>
      <c r="E18" s="1581"/>
      <c r="F18" s="1581"/>
      <c r="G18" s="1581"/>
      <c r="H18" s="1581"/>
      <c r="I18" s="1581"/>
      <c r="J18" s="1581"/>
      <c r="K18" s="1583"/>
    </row>
    <row r="19" spans="1:11" ht="24" customHeight="1">
      <c r="A19" s="1582"/>
      <c r="C19" s="3"/>
      <c r="D19" s="3"/>
      <c r="E19" s="3"/>
      <c r="F19" s="3"/>
      <c r="G19" s="3"/>
      <c r="H19" s="3"/>
      <c r="I19" s="3"/>
      <c r="K19" s="1583"/>
    </row>
    <row r="20" spans="1:11" ht="20.25">
      <c r="A20" s="1582"/>
      <c r="B20" s="1585" t="s">
        <v>269</v>
      </c>
      <c r="C20" s="1586"/>
      <c r="D20" s="1586"/>
      <c r="E20" s="1586"/>
      <c r="F20" s="1586"/>
      <c r="G20" s="1586"/>
      <c r="H20" s="1586"/>
      <c r="I20" s="1586"/>
      <c r="J20" s="1586"/>
      <c r="K20" s="1583"/>
    </row>
    <row r="21" spans="1:11" ht="10.5" customHeight="1">
      <c r="A21" s="1582"/>
      <c r="C21" s="4"/>
      <c r="D21" s="4"/>
      <c r="E21" s="4"/>
      <c r="F21" s="5"/>
      <c r="G21" s="4"/>
      <c r="H21" s="4"/>
      <c r="I21" s="4"/>
      <c r="K21" s="1583"/>
    </row>
    <row r="22" spans="1:11" ht="11.25" customHeight="1">
      <c r="A22" s="1582"/>
      <c r="C22" s="4"/>
      <c r="D22" s="4"/>
      <c r="E22" s="4"/>
      <c r="F22" s="5"/>
      <c r="G22" s="4"/>
      <c r="H22" s="4"/>
      <c r="I22" s="4"/>
      <c r="K22" s="1583"/>
    </row>
    <row r="23" spans="1:11" ht="96" customHeight="1">
      <c r="A23" s="1582"/>
      <c r="C23" s="1587" t="s">
        <v>258</v>
      </c>
      <c r="D23" s="1587"/>
      <c r="E23" s="1587"/>
      <c r="F23" s="6" t="s">
        <v>259</v>
      </c>
      <c r="G23" s="1588" t="str">
        <f>'lead 19-20'!C2</f>
        <v>Providing Additional Space for Health Staff in Grama Sachivalayam of Baduguleru GP of Kanigiri Mandal</v>
      </c>
      <c r="H23" s="1581"/>
      <c r="I23" s="1581"/>
      <c r="J23" s="1581"/>
      <c r="K23" s="1583"/>
    </row>
    <row r="24" spans="1:11" ht="15" customHeight="1">
      <c r="A24" s="1582"/>
      <c r="C24" s="234"/>
      <c r="D24" s="234"/>
      <c r="E24" s="234"/>
      <c r="F24" s="6"/>
      <c r="G24" s="237"/>
      <c r="H24" s="237"/>
      <c r="I24" s="237"/>
      <c r="K24" s="1583"/>
    </row>
    <row r="25" spans="1:11" ht="33" customHeight="1">
      <c r="A25" s="1582"/>
      <c r="C25" s="1579" t="s">
        <v>2435</v>
      </c>
      <c r="D25" s="1579"/>
      <c r="E25" s="1579"/>
      <c r="F25" s="7" t="s">
        <v>259</v>
      </c>
      <c r="G25" s="744" t="str">
        <f>'lead 19-20'!K4</f>
        <v>20.80 Lakhs</v>
      </c>
      <c r="H25" s="1589"/>
      <c r="I25" s="1589"/>
      <c r="J25" s="1589"/>
      <c r="K25" s="1583"/>
    </row>
    <row r="26" spans="1:11" ht="33" customHeight="1">
      <c r="A26" s="1582"/>
      <c r="C26" s="231"/>
      <c r="D26" s="231"/>
      <c r="E26" s="231"/>
      <c r="F26" s="7"/>
      <c r="G26" s="744"/>
      <c r="H26" s="1589"/>
      <c r="I26" s="1589"/>
      <c r="J26" s="1589"/>
      <c r="K26" s="1583"/>
    </row>
    <row r="27" spans="1:11" ht="33" customHeight="1">
      <c r="A27" s="1582"/>
      <c r="C27" s="1579" t="s">
        <v>806</v>
      </c>
      <c r="D27" s="1579"/>
      <c r="E27" s="1579"/>
      <c r="F27" s="7" t="s">
        <v>259</v>
      </c>
      <c r="G27" s="202" t="str">
        <f>'lead 19-20'!C4</f>
        <v>No: 087043102002090039</v>
      </c>
      <c r="H27" s="202"/>
      <c r="I27" s="202"/>
      <c r="K27" s="1583"/>
    </row>
    <row r="28" spans="1:11" ht="21" customHeight="1">
      <c r="A28" s="1582"/>
      <c r="C28" s="231"/>
      <c r="D28" s="231"/>
      <c r="E28" s="231"/>
      <c r="F28" s="7"/>
      <c r="G28" s="236"/>
      <c r="H28" s="237"/>
      <c r="I28" s="237"/>
      <c r="K28" s="1583"/>
    </row>
    <row r="29" spans="1:11" ht="18">
      <c r="A29" s="1582"/>
      <c r="C29" s="1579" t="s">
        <v>260</v>
      </c>
      <c r="D29" s="1579"/>
      <c r="E29" s="1579"/>
      <c r="F29" s="7" t="s">
        <v>259</v>
      </c>
      <c r="G29" s="1580" t="s">
        <v>1524</v>
      </c>
      <c r="H29" s="1580"/>
      <c r="I29" s="1580"/>
      <c r="K29" s="1583"/>
    </row>
    <row r="30" spans="1:11" ht="20.25" customHeight="1">
      <c r="A30" s="1582"/>
      <c r="C30" s="231"/>
      <c r="D30" s="231"/>
      <c r="E30" s="231"/>
      <c r="F30" s="7"/>
      <c r="G30" s="232"/>
      <c r="H30" s="232"/>
      <c r="I30" s="232"/>
      <c r="K30" s="1583"/>
    </row>
    <row r="31" spans="1:11" ht="32.25" customHeight="1">
      <c r="A31" s="1582"/>
      <c r="C31" s="1579" t="s">
        <v>261</v>
      </c>
      <c r="D31" s="1579"/>
      <c r="E31" s="1579"/>
      <c r="F31" s="7" t="s">
        <v>259</v>
      </c>
      <c r="G31" s="1580" t="s">
        <v>1524</v>
      </c>
      <c r="H31" s="1580"/>
      <c r="I31" s="1580"/>
      <c r="J31" s="1581"/>
      <c r="K31" s="1583"/>
    </row>
    <row r="32" spans="1:11" ht="14.25" customHeight="1">
      <c r="A32" s="1582"/>
      <c r="C32" s="231"/>
      <c r="D32" s="231"/>
      <c r="E32" s="231"/>
      <c r="F32" s="7"/>
      <c r="G32" s="232"/>
      <c r="H32" s="232"/>
      <c r="I32" s="232"/>
      <c r="K32" s="1583"/>
    </row>
    <row r="33" spans="1:11" ht="20.25">
      <c r="A33" s="1582"/>
      <c r="B33" s="233"/>
      <c r="C33" s="1579" t="s">
        <v>262</v>
      </c>
      <c r="D33" s="1579"/>
      <c r="E33" s="1579"/>
      <c r="F33" s="7" t="s">
        <v>259</v>
      </c>
      <c r="G33" s="1580" t="s">
        <v>907</v>
      </c>
      <c r="H33" s="1580"/>
      <c r="I33" s="1580"/>
      <c r="J33" s="233"/>
      <c r="K33" s="1583"/>
    </row>
    <row r="34" spans="1:11" ht="12.75" customHeight="1">
      <c r="A34" s="1582"/>
      <c r="B34" s="233"/>
      <c r="C34" s="231"/>
      <c r="D34" s="231"/>
      <c r="E34" s="231"/>
      <c r="F34" s="7"/>
      <c r="G34" s="232"/>
      <c r="H34" s="232"/>
      <c r="I34" s="232"/>
      <c r="J34" s="233"/>
      <c r="K34" s="1583"/>
    </row>
    <row r="35" spans="1:11" ht="20.25">
      <c r="A35" s="1582"/>
      <c r="B35" s="233"/>
      <c r="C35" s="1579" t="s">
        <v>263</v>
      </c>
      <c r="D35" s="1579"/>
      <c r="E35" s="1579"/>
      <c r="F35" s="7" t="s">
        <v>259</v>
      </c>
      <c r="G35" s="1580" t="s">
        <v>264</v>
      </c>
      <c r="H35" s="1580"/>
      <c r="I35" s="1580"/>
      <c r="J35" s="233"/>
      <c r="K35" s="1583"/>
    </row>
    <row r="36" spans="1:11" ht="16.5" customHeight="1">
      <c r="A36" s="1582"/>
      <c r="B36" s="233"/>
      <c r="C36" s="231"/>
      <c r="D36" s="231"/>
      <c r="E36" s="231"/>
      <c r="F36" s="7"/>
      <c r="G36" s="232"/>
      <c r="H36" s="232"/>
      <c r="I36" s="232"/>
      <c r="J36" s="233"/>
      <c r="K36" s="1583"/>
    </row>
    <row r="37" spans="1:11" ht="20.25">
      <c r="A37" s="1582"/>
      <c r="B37" s="233"/>
      <c r="C37" s="1579" t="s">
        <v>265</v>
      </c>
      <c r="D37" s="1579"/>
      <c r="E37" s="1579"/>
      <c r="F37" s="7" t="s">
        <v>259</v>
      </c>
      <c r="G37" s="1580" t="s">
        <v>266</v>
      </c>
      <c r="H37" s="1580"/>
      <c r="I37" s="1580"/>
      <c r="J37" s="233"/>
      <c r="K37" s="1583"/>
    </row>
    <row r="38" spans="1:11">
      <c r="A38" s="1582"/>
      <c r="K38" s="1583"/>
    </row>
    <row r="39" spans="1:11" s="1" customFormat="1" ht="14.25">
      <c r="A39" s="1578" t="s">
        <v>256</v>
      </c>
      <c r="B39" s="1578"/>
      <c r="C39" s="1578"/>
      <c r="D39" s="1578"/>
      <c r="E39" s="1578"/>
      <c r="F39" s="1578"/>
      <c r="G39" s="1578"/>
      <c r="H39" s="1578"/>
      <c r="I39" s="1578"/>
      <c r="J39" s="1578"/>
      <c r="K39" s="1578"/>
    </row>
    <row r="40" spans="1:11" s="1" customFormat="1">
      <c r="A40" s="8"/>
      <c r="B40" s="8"/>
      <c r="C40" s="8"/>
      <c r="D40" s="8"/>
      <c r="E40" s="8"/>
      <c r="F40" s="8"/>
      <c r="G40" s="8"/>
      <c r="H40" s="8"/>
      <c r="I40" s="8"/>
      <c r="J40" s="8"/>
      <c r="K40" s="8"/>
    </row>
  </sheetData>
  <mergeCells count="22">
    <mergeCell ref="G35:I35"/>
    <mergeCell ref="C37:E37"/>
    <mergeCell ref="G37:I37"/>
    <mergeCell ref="C27:E27"/>
    <mergeCell ref="H25:J25"/>
    <mergeCell ref="H26:J26"/>
    <mergeCell ref="A39:K39"/>
    <mergeCell ref="C29:E29"/>
    <mergeCell ref="G29:I29"/>
    <mergeCell ref="C31:E31"/>
    <mergeCell ref="G31:J31"/>
    <mergeCell ref="C33:E33"/>
    <mergeCell ref="G33:I33"/>
    <mergeCell ref="A1:A38"/>
    <mergeCell ref="B1:J1"/>
    <mergeCell ref="K1:K38"/>
    <mergeCell ref="B18:J18"/>
    <mergeCell ref="B20:J20"/>
    <mergeCell ref="C23:E23"/>
    <mergeCell ref="G23:J23"/>
    <mergeCell ref="C25:E25"/>
    <mergeCell ref="C35:E35"/>
  </mergeCells>
  <pageMargins left="0.39" right="0.17" top="0.56999999999999995" bottom="0.28999999999999998" header="0.35" footer="0.17"/>
  <pageSetup paperSize="9" orientation="portrait" verticalDpi="300" r:id="rId1"/>
  <headerFooter alignWithMargins="0"/>
  <rowBreaks count="1" manualBreakCount="1">
    <brk id="39" max="16383" man="1"/>
  </rowBreaks>
  <drawing r:id="rId2"/>
</worksheet>
</file>

<file path=xl/worksheets/sheet3.xml><?xml version="1.0" encoding="utf-8"?>
<worksheet xmlns="http://schemas.openxmlformats.org/spreadsheetml/2006/main" xmlns:r="http://schemas.openxmlformats.org/officeDocument/2006/relationships">
  <sheetPr>
    <tabColor rgb="FFFF0000"/>
  </sheetPr>
  <dimension ref="A1:I31"/>
  <sheetViews>
    <sheetView view="pageBreakPreview" topLeftCell="A7" zoomScale="115" zoomScaleNormal="85" zoomScaleSheetLayoutView="115" workbookViewId="0">
      <selection activeCell="A8" sqref="A8:I8"/>
    </sheetView>
  </sheetViews>
  <sheetFormatPr defaultColWidth="9.140625" defaultRowHeight="12.75"/>
  <cols>
    <col min="1" max="1" width="10.85546875" style="42" customWidth="1"/>
    <col min="2" max="4" width="9.140625" style="42"/>
    <col min="5" max="5" width="9" style="42" customWidth="1"/>
    <col min="6" max="7" width="9.140625" style="42"/>
    <col min="8" max="8" width="10" style="42" bestFit="1" customWidth="1"/>
    <col min="9" max="16384" width="9.140625" style="42"/>
  </cols>
  <sheetData>
    <row r="1" spans="1:9" ht="21">
      <c r="A1" s="1591" t="s">
        <v>575</v>
      </c>
      <c r="B1" s="1591"/>
      <c r="C1" s="1591"/>
      <c r="D1" s="1591"/>
      <c r="E1" s="1591"/>
      <c r="F1" s="1591"/>
      <c r="G1" s="1591"/>
      <c r="H1" s="1591"/>
      <c r="I1" s="1591"/>
    </row>
    <row r="2" spans="1:9" ht="12.75" customHeight="1">
      <c r="A2" s="43"/>
    </row>
    <row r="3" spans="1:9" ht="19.5" customHeight="1">
      <c r="A3" s="1592" t="s">
        <v>576</v>
      </c>
      <c r="B3" s="1592"/>
      <c r="C3" s="1592"/>
      <c r="D3" s="1592"/>
      <c r="E3" s="1592"/>
      <c r="F3" s="1592"/>
      <c r="G3" s="1592"/>
      <c r="H3" s="1592"/>
      <c r="I3" s="1592"/>
    </row>
    <row r="4" spans="1:9" ht="43.5" customHeight="1">
      <c r="A4" s="1593" t="str">
        <f>'lead 19-20'!C2</f>
        <v>Providing Additional Space for Health Staff in Grama Sachivalayam of Baduguleru GP of Kanigiri Mandal</v>
      </c>
      <c r="B4" s="1593"/>
      <c r="C4" s="1593"/>
      <c r="D4" s="1593"/>
      <c r="E4" s="1593"/>
      <c r="F4" s="1593"/>
      <c r="G4" s="1593"/>
      <c r="H4" s="1593"/>
      <c r="I4" s="1593"/>
    </row>
    <row r="5" spans="1:9" ht="14.25" customHeight="1">
      <c r="A5" s="44"/>
      <c r="B5" s="44"/>
      <c r="C5" s="44"/>
      <c r="D5" s="44"/>
      <c r="E5" s="44"/>
      <c r="F5" s="1594" t="s">
        <v>577</v>
      </c>
      <c r="G5" s="1594"/>
      <c r="H5" s="45" t="str">
        <f>'lead 19-20'!K4</f>
        <v>20.80 Lakhs</v>
      </c>
      <c r="I5" s="46"/>
    </row>
    <row r="6" spans="1:9" ht="10.5" customHeight="1">
      <c r="A6" s="44"/>
      <c r="B6" s="44"/>
      <c r="C6" s="44"/>
      <c r="D6" s="44"/>
      <c r="E6" s="44"/>
      <c r="F6" s="44"/>
      <c r="G6" s="44"/>
      <c r="H6" s="44"/>
      <c r="I6" s="44"/>
    </row>
    <row r="7" spans="1:9" s="47" customFormat="1" ht="135.75" customHeight="1">
      <c r="A7" s="1595" t="s">
        <v>3988</v>
      </c>
      <c r="B7" s="1595"/>
      <c r="C7" s="1595"/>
      <c r="D7" s="1595"/>
      <c r="E7" s="1595"/>
      <c r="F7" s="1595"/>
      <c r="G7" s="1595"/>
      <c r="H7" s="1595"/>
      <c r="I7" s="1595"/>
    </row>
    <row r="8" spans="1:9" s="47" customFormat="1" ht="84" customHeight="1">
      <c r="A8" s="1595" t="s">
        <v>2570</v>
      </c>
      <c r="B8" s="1595"/>
      <c r="C8" s="1595"/>
      <c r="D8" s="1595"/>
      <c r="E8" s="1595"/>
      <c r="F8" s="1595"/>
      <c r="G8" s="1595"/>
      <c r="H8" s="1595"/>
      <c r="I8" s="1595"/>
    </row>
    <row r="9" spans="1:9" s="47" customFormat="1" ht="51" customHeight="1">
      <c r="A9" s="1590" t="s">
        <v>2484</v>
      </c>
      <c r="B9" s="1590"/>
      <c r="C9" s="1590"/>
      <c r="D9" s="1590"/>
      <c r="E9" s="1590"/>
      <c r="F9" s="1590"/>
      <c r="G9" s="1590"/>
      <c r="H9" s="1590"/>
      <c r="I9" s="1590"/>
    </row>
    <row r="11" spans="1:9" ht="13.5" customHeight="1">
      <c r="D11" s="48"/>
      <c r="E11" s="48"/>
      <c r="F11" s="49"/>
      <c r="G11" s="49"/>
      <c r="H11" s="48"/>
    </row>
    <row r="12" spans="1:9" ht="13.5" customHeight="1">
      <c r="D12" s="48"/>
      <c r="E12" s="55" t="str">
        <f>'lead 19-20'!$H$31</f>
        <v>Deputy Executive Engineer</v>
      </c>
      <c r="F12" s="51"/>
      <c r="G12" s="50"/>
      <c r="H12" s="226" t="str">
        <f>'lead 19-20'!$K$31</f>
        <v>Assistant  Engineer</v>
      </c>
    </row>
    <row r="13" spans="1:9" ht="13.5" customHeight="1">
      <c r="D13" s="48"/>
      <c r="E13" s="55" t="str">
        <f>'lead 19-20'!$H$32</f>
        <v>PRI Sub Division</v>
      </c>
      <c r="F13" s="51"/>
      <c r="G13" s="50"/>
      <c r="H13" s="226" t="str">
        <f>'lead 19-20'!$K$32</f>
        <v>Mandal Praja parishad</v>
      </c>
    </row>
    <row r="14" spans="1:9" ht="15.75">
      <c r="E14" s="55" t="str">
        <f>'lead 19-20'!$H$33</f>
        <v>Kanigiri</v>
      </c>
      <c r="F14" s="43"/>
      <c r="G14" s="43"/>
      <c r="H14" s="226" t="str">
        <f>'lead 19-20'!$K$33</f>
        <v>Kanigiri</v>
      </c>
    </row>
    <row r="15" spans="1:9">
      <c r="E15" s="12"/>
    </row>
    <row r="19" spans="4:4" ht="15">
      <c r="D19" s="52"/>
    </row>
    <row r="26" spans="4:4" ht="13.5" customHeight="1"/>
    <row r="27" spans="4:4" hidden="1"/>
    <row r="28" spans="4:4" hidden="1"/>
    <row r="29" spans="4:4" hidden="1"/>
    <row r="30" spans="4:4" hidden="1"/>
    <row r="31" spans="4:4" hidden="1"/>
  </sheetData>
  <mergeCells count="7">
    <mergeCell ref="A9:I9"/>
    <mergeCell ref="A1:I1"/>
    <mergeCell ref="A3:I3"/>
    <mergeCell ref="A4:I4"/>
    <mergeCell ref="F5:G5"/>
    <mergeCell ref="A7:I7"/>
    <mergeCell ref="A8:I8"/>
  </mergeCells>
  <pageMargins left="0.83" right="0.75" top="0.28999999999999998" bottom="0.31" header="0.17" footer="0.16"/>
  <pageSetup paperSize="9" scale="99" orientation="portrait" r:id="rId1"/>
  <headerFooter alignWithMargins="0"/>
  <rowBreaks count="1" manualBreakCount="1">
    <brk id="14" max="8" man="1"/>
  </rowBreaks>
</worksheet>
</file>

<file path=xl/worksheets/sheet4.xml><?xml version="1.0" encoding="utf-8"?>
<worksheet xmlns="http://schemas.openxmlformats.org/spreadsheetml/2006/main" xmlns:r="http://schemas.openxmlformats.org/officeDocument/2006/relationships">
  <dimension ref="A1:G41"/>
  <sheetViews>
    <sheetView view="pageBreakPreview" topLeftCell="A34" zoomScale="130" zoomScaleNormal="145" zoomScaleSheetLayoutView="130" workbookViewId="0">
      <selection activeCell="C7" sqref="C7"/>
    </sheetView>
  </sheetViews>
  <sheetFormatPr defaultColWidth="9.140625" defaultRowHeight="12.75"/>
  <cols>
    <col min="1" max="1" width="6.28515625" style="836" customWidth="1"/>
    <col min="2" max="2" width="37.7109375" style="828" customWidth="1"/>
    <col min="3" max="4" width="10.5703125" style="828" customWidth="1"/>
    <col min="5" max="5" width="11.42578125" style="828" customWidth="1"/>
    <col min="6" max="6" width="9.140625" style="828"/>
    <col min="7" max="7" width="9.85546875" style="828" bestFit="1" customWidth="1"/>
    <col min="8" max="16384" width="9.140625" style="828"/>
  </cols>
  <sheetData>
    <row r="1" spans="1:5" ht="28.5" customHeight="1">
      <c r="A1" s="1596" t="str">
        <f>'lead 19-20'!B2&amp;'lead 19-20'!C2</f>
        <v>Name of the Work: Providing Additional Space for Health Staff in Grama Sachivalayam of Baduguleru GP of Kanigiri Mandal</v>
      </c>
      <c r="B1" s="1596"/>
      <c r="C1" s="1596"/>
      <c r="D1" s="1596"/>
      <c r="E1" s="1596"/>
    </row>
    <row r="3" spans="1:5">
      <c r="C3" s="840" t="s">
        <v>270</v>
      </c>
      <c r="D3" s="840" t="str">
        <f>'lead 19-20'!K4</f>
        <v>20.80 Lakhs</v>
      </c>
    </row>
    <row r="5" spans="1:5" ht="12.75" customHeight="1">
      <c r="A5" s="829" t="s">
        <v>271</v>
      </c>
      <c r="B5" s="829" t="s">
        <v>22</v>
      </c>
      <c r="C5" s="830" t="s">
        <v>6</v>
      </c>
      <c r="D5" s="831" t="s">
        <v>3125</v>
      </c>
      <c r="E5" s="832" t="s">
        <v>117</v>
      </c>
    </row>
    <row r="6" spans="1:5" ht="21.75" customHeight="1">
      <c r="A6" s="835">
        <v>1</v>
      </c>
      <c r="B6" s="833" t="s">
        <v>3121</v>
      </c>
      <c r="C6" s="834">
        <f>INPUT!H116</f>
        <v>8548</v>
      </c>
      <c r="D6" s="833">
        <v>1</v>
      </c>
      <c r="E6" s="837">
        <f>ROUND(C6*D6,2)</f>
        <v>8548</v>
      </c>
    </row>
    <row r="7" spans="1:5" ht="21.75" customHeight="1">
      <c r="A7" s="835">
        <v>2</v>
      </c>
      <c r="B7" s="833" t="s">
        <v>3122</v>
      </c>
      <c r="C7" s="834">
        <f>INPUT!H117</f>
        <v>21507</v>
      </c>
      <c r="D7" s="833">
        <v>1</v>
      </c>
      <c r="E7" s="837">
        <f>ROUND(C7*D7,2)</f>
        <v>21507</v>
      </c>
    </row>
    <row r="8" spans="1:5" ht="21.75" customHeight="1">
      <c r="A8" s="835">
        <v>3</v>
      </c>
      <c r="B8" s="833" t="s">
        <v>3123</v>
      </c>
      <c r="C8" s="834">
        <f>2080000-E6-E7-E9</f>
        <v>2041003</v>
      </c>
      <c r="D8" s="833">
        <v>1</v>
      </c>
      <c r="E8" s="837">
        <f>ROUND(C8*D8,2)</f>
        <v>2041003</v>
      </c>
    </row>
    <row r="9" spans="1:5" ht="21.75" customHeight="1">
      <c r="A9" s="835">
        <v>4</v>
      </c>
      <c r="B9" s="833" t="s">
        <v>3124</v>
      </c>
      <c r="C9" s="833">
        <f>ROUND(E9/D9,2)</f>
        <v>37.729999999999997</v>
      </c>
      <c r="D9" s="833">
        <v>237</v>
      </c>
      <c r="E9" s="837">
        <f>INPUT!H18</f>
        <v>8942</v>
      </c>
    </row>
    <row r="10" spans="1:5">
      <c r="A10" s="835"/>
      <c r="B10" s="833"/>
      <c r="C10" s="833"/>
      <c r="D10" s="833"/>
      <c r="E10" s="838">
        <f>SUM(E6:E9)</f>
        <v>2080000</v>
      </c>
    </row>
    <row r="12" spans="1:5" ht="22.5">
      <c r="A12" s="829" t="s">
        <v>271</v>
      </c>
      <c r="B12" s="829" t="s">
        <v>22</v>
      </c>
      <c r="C12" s="830" t="s">
        <v>6</v>
      </c>
      <c r="D12" s="831" t="s">
        <v>3125</v>
      </c>
      <c r="E12" s="832" t="s">
        <v>117</v>
      </c>
    </row>
    <row r="13" spans="1:5">
      <c r="A13" s="835">
        <v>1</v>
      </c>
      <c r="B13" s="833" t="s">
        <v>3126</v>
      </c>
      <c r="C13" s="834">
        <f>INPUT!E29</f>
        <v>516.14</v>
      </c>
      <c r="D13" s="834">
        <f>INPUT!F26</f>
        <v>235</v>
      </c>
      <c r="E13" s="837">
        <f t="shared" ref="E13:E26" si="0">ROUND(C13*D13,0)</f>
        <v>121293</v>
      </c>
    </row>
    <row r="14" spans="1:5">
      <c r="A14" s="835">
        <v>2</v>
      </c>
      <c r="B14" s="833" t="s">
        <v>3127</v>
      </c>
      <c r="C14" s="834">
        <f>INPUT!E31</f>
        <v>0</v>
      </c>
      <c r="D14" s="834">
        <f>INPUT!F31</f>
        <v>375</v>
      </c>
      <c r="E14" s="837">
        <f t="shared" si="0"/>
        <v>0</v>
      </c>
    </row>
    <row r="15" spans="1:5">
      <c r="A15" s="835">
        <v>3</v>
      </c>
      <c r="B15" s="833" t="s">
        <v>3140</v>
      </c>
      <c r="C15" s="834">
        <f>INPUT!E32</f>
        <v>0</v>
      </c>
      <c r="D15" s="834">
        <f>INPUT!F32</f>
        <v>739.6</v>
      </c>
      <c r="E15" s="837">
        <f t="shared" si="0"/>
        <v>0</v>
      </c>
    </row>
    <row r="16" spans="1:5">
      <c r="A16" s="835">
        <v>4</v>
      </c>
      <c r="B16" s="833" t="s">
        <v>3129</v>
      </c>
      <c r="C16" s="834">
        <f>INPUT!E42</f>
        <v>87.509999999999991</v>
      </c>
      <c r="D16" s="834">
        <f>INPUT!F42</f>
        <v>292.39999999999998</v>
      </c>
      <c r="E16" s="837">
        <f t="shared" si="0"/>
        <v>25588</v>
      </c>
    </row>
    <row r="17" spans="1:7">
      <c r="A17" s="835">
        <v>5</v>
      </c>
      <c r="B17" s="833" t="s">
        <v>3128</v>
      </c>
      <c r="C17" s="834">
        <f>INPUT!E64</f>
        <v>28.47</v>
      </c>
      <c r="D17" s="834">
        <f>INPUT!F64</f>
        <v>2098</v>
      </c>
      <c r="E17" s="837">
        <f t="shared" si="0"/>
        <v>59730</v>
      </c>
    </row>
    <row r="18" spans="1:7">
      <c r="A18" s="835">
        <v>6</v>
      </c>
      <c r="B18" s="833" t="s">
        <v>3128</v>
      </c>
      <c r="C18" s="834">
        <f>INPUT!E65</f>
        <v>0</v>
      </c>
      <c r="D18" s="834">
        <f>INPUT!F65</f>
        <v>1742</v>
      </c>
      <c r="E18" s="837">
        <f t="shared" ref="E18" si="1">ROUND(C18*D18,0)</f>
        <v>0</v>
      </c>
    </row>
    <row r="19" spans="1:7">
      <c r="A19" s="835">
        <v>7</v>
      </c>
      <c r="B19" s="833" t="s">
        <v>3130</v>
      </c>
      <c r="C19" s="834">
        <f>INPUT!E52</f>
        <v>6.07</v>
      </c>
      <c r="D19" s="834">
        <f>INPUT!F52</f>
        <v>984.9</v>
      </c>
      <c r="E19" s="837">
        <f t="shared" si="0"/>
        <v>5978</v>
      </c>
    </row>
    <row r="20" spans="1:7">
      <c r="A20" s="835">
        <v>8</v>
      </c>
      <c r="B20" s="833" t="s">
        <v>3130</v>
      </c>
      <c r="C20" s="834">
        <f>INPUT!E53</f>
        <v>14.07</v>
      </c>
      <c r="D20" s="834">
        <f>INPUT!F53</f>
        <v>2098</v>
      </c>
      <c r="E20" s="837">
        <f t="shared" ref="E20" si="2">ROUND(C20*D20,0)</f>
        <v>29519</v>
      </c>
    </row>
    <row r="21" spans="1:7">
      <c r="A21" s="835">
        <v>8</v>
      </c>
      <c r="B21" s="833" t="s">
        <v>3130</v>
      </c>
      <c r="C21" s="834">
        <f>INPUT!E54</f>
        <v>0</v>
      </c>
      <c r="D21" s="834">
        <f>INPUT!F54</f>
        <v>321</v>
      </c>
      <c r="E21" s="837">
        <f t="shared" ref="E21" si="3">ROUND(C21*D21,0)</f>
        <v>0</v>
      </c>
    </row>
    <row r="22" spans="1:7" ht="38.25">
      <c r="A22" s="835">
        <v>9</v>
      </c>
      <c r="B22" s="839" t="s">
        <v>3131</v>
      </c>
      <c r="C22" s="834">
        <f>INPUT!E74</f>
        <v>38.409999999999997</v>
      </c>
      <c r="D22" s="834">
        <f>INPUT!F74</f>
        <v>1722.3</v>
      </c>
      <c r="E22" s="837">
        <f t="shared" si="0"/>
        <v>66154</v>
      </c>
    </row>
    <row r="23" spans="1:7" ht="38.25">
      <c r="A23" s="835">
        <v>10</v>
      </c>
      <c r="B23" s="839" t="s">
        <v>3131</v>
      </c>
      <c r="C23" s="834">
        <f>INPUT!E75</f>
        <v>0</v>
      </c>
      <c r="D23" s="834">
        <f>INPUT!F75</f>
        <v>2182.9</v>
      </c>
      <c r="E23" s="837">
        <f t="shared" ref="E23" si="4">ROUND(C23*D23,0)</f>
        <v>0</v>
      </c>
    </row>
    <row r="24" spans="1:7" ht="25.5">
      <c r="A24" s="835">
        <v>11</v>
      </c>
      <c r="B24" s="839" t="s">
        <v>3132</v>
      </c>
      <c r="C24" s="834">
        <f>INPUT!E84</f>
        <v>18.53</v>
      </c>
      <c r="D24" s="834">
        <f>INPUT!F84</f>
        <v>1375.8</v>
      </c>
      <c r="E24" s="837">
        <f t="shared" si="0"/>
        <v>25494</v>
      </c>
    </row>
    <row r="25" spans="1:7">
      <c r="A25" s="835">
        <v>12</v>
      </c>
      <c r="B25" s="833" t="s">
        <v>252</v>
      </c>
      <c r="C25" s="834">
        <f>INPUT!E102</f>
        <v>2.2200000000000002</v>
      </c>
      <c r="D25" s="834">
        <f>INPUT!F102</f>
        <v>62540</v>
      </c>
      <c r="E25" s="837">
        <f t="shared" si="0"/>
        <v>138839</v>
      </c>
    </row>
    <row r="26" spans="1:7">
      <c r="A26" s="835">
        <v>13</v>
      </c>
      <c r="B26" s="833" t="s">
        <v>252</v>
      </c>
      <c r="C26" s="834">
        <f>INPUT!E103</f>
        <v>1.82</v>
      </c>
      <c r="D26" s="834">
        <f>INPUT!F103</f>
        <v>63720</v>
      </c>
      <c r="E26" s="837">
        <f t="shared" si="0"/>
        <v>115970</v>
      </c>
    </row>
    <row r="27" spans="1:7">
      <c r="A27" s="835">
        <v>14</v>
      </c>
      <c r="B27" s="833" t="s">
        <v>252</v>
      </c>
      <c r="C27" s="834">
        <f>INPUT!E104</f>
        <v>0.20999999999999974</v>
      </c>
      <c r="D27" s="834">
        <f>INPUT!F104</f>
        <v>84960</v>
      </c>
      <c r="E27" s="837">
        <f t="shared" ref="E27" si="5">ROUND(C27*D27,0)</f>
        <v>17842</v>
      </c>
    </row>
    <row r="28" spans="1:7">
      <c r="A28" s="835">
        <v>15</v>
      </c>
      <c r="B28" s="833" t="s">
        <v>252</v>
      </c>
      <c r="C28" s="834">
        <f>INPUT!E105</f>
        <v>0</v>
      </c>
      <c r="D28" s="834">
        <f>INPUT!F105</f>
        <v>71980</v>
      </c>
      <c r="E28" s="837">
        <f t="shared" ref="E28" si="6">ROUND(C28*D28,0)</f>
        <v>0</v>
      </c>
    </row>
    <row r="29" spans="1:7">
      <c r="A29" s="835">
        <v>16</v>
      </c>
      <c r="B29" s="833" t="s">
        <v>252</v>
      </c>
      <c r="C29" s="834">
        <f>INPUT!E106</f>
        <v>0</v>
      </c>
      <c r="D29" s="834">
        <f>INPUT!F106</f>
        <v>75520</v>
      </c>
      <c r="E29" s="837">
        <f t="shared" ref="E29" si="7">ROUND(C29*D29,0)</f>
        <v>0</v>
      </c>
    </row>
    <row r="30" spans="1:7" ht="51">
      <c r="A30" s="835">
        <v>17</v>
      </c>
      <c r="B30" s="839" t="s">
        <v>3133</v>
      </c>
      <c r="C30" s="834">
        <v>1</v>
      </c>
      <c r="D30" s="834">
        <f>G30-E13-E14-E15-E16-E17-E19-E22-E24-E25-E26-E31-E32-E33-E9-E34-E23-E27-E28-E29-E18-E20-E21</f>
        <v>1433167</v>
      </c>
      <c r="E30" s="837">
        <f>ROUND(C30*D30,2)</f>
        <v>1433167</v>
      </c>
      <c r="G30" s="828">
        <v>2080000</v>
      </c>
    </row>
    <row r="31" spans="1:7">
      <c r="A31" s="835">
        <v>18</v>
      </c>
      <c r="B31" s="833" t="s">
        <v>3134</v>
      </c>
      <c r="C31" s="834">
        <v>1</v>
      </c>
      <c r="D31" s="834">
        <f>INPUT!H116</f>
        <v>8548</v>
      </c>
      <c r="E31" s="837">
        <f>ROUND(C31*D31,2)</f>
        <v>8548</v>
      </c>
    </row>
    <row r="32" spans="1:7">
      <c r="A32" s="835">
        <v>19</v>
      </c>
      <c r="B32" s="833" t="s">
        <v>3135</v>
      </c>
      <c r="C32" s="834">
        <v>1</v>
      </c>
      <c r="D32" s="834">
        <f>INPUT!H117</f>
        <v>21507</v>
      </c>
      <c r="E32" s="837">
        <f>ROUND(C32*D32,2)</f>
        <v>21507</v>
      </c>
    </row>
    <row r="33" spans="1:5">
      <c r="A33" s="835">
        <v>20</v>
      </c>
      <c r="B33" s="833" t="s">
        <v>3136</v>
      </c>
      <c r="C33" s="834">
        <v>1</v>
      </c>
      <c r="D33" s="834">
        <f>INPUT!H120</f>
        <v>0</v>
      </c>
      <c r="E33" s="837">
        <f>ROUND(C33*D33,2)</f>
        <v>0</v>
      </c>
    </row>
    <row r="34" spans="1:5">
      <c r="A34" s="835">
        <v>21</v>
      </c>
      <c r="B34" s="833" t="s">
        <v>3137</v>
      </c>
      <c r="C34" s="834">
        <v>1</v>
      </c>
      <c r="D34" s="834">
        <f>INPUT!H121</f>
        <v>1429</v>
      </c>
      <c r="E34" s="837">
        <f>ROUND(C34*D34,2)</f>
        <v>1429</v>
      </c>
    </row>
    <row r="35" spans="1:5">
      <c r="A35" s="835"/>
      <c r="B35" s="833"/>
      <c r="C35" s="833"/>
      <c r="D35" s="833"/>
      <c r="E35" s="838">
        <f>SUM(E13:E34)</f>
        <v>2071058</v>
      </c>
    </row>
    <row r="39" spans="1:5">
      <c r="B39" s="836" t="str">
        <f>INPUT!C128</f>
        <v>Deputy Executive Engineer</v>
      </c>
      <c r="D39" s="841" t="str">
        <f>INPUT!G128</f>
        <v>Assistant  Engineer</v>
      </c>
    </row>
    <row r="40" spans="1:5">
      <c r="B40" s="836" t="str">
        <f>INPUT!C129</f>
        <v>PRI Sub Division</v>
      </c>
      <c r="D40" s="841" t="str">
        <f>INPUT!G129</f>
        <v>Mandal Praja parishad</v>
      </c>
    </row>
    <row r="41" spans="1:5">
      <c r="B41" s="836" t="str">
        <f>INPUT!C130</f>
        <v>Kanigiri</v>
      </c>
      <c r="D41" s="841" t="str">
        <f>INPUT!G130</f>
        <v>Kanigiri</v>
      </c>
    </row>
  </sheetData>
  <mergeCells count="1">
    <mergeCell ref="A1:E1"/>
  </mergeCells>
  <printOptions horizontalCentered="1"/>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sheetPr filterMode="1">
    <tabColor rgb="FF00B050"/>
  </sheetPr>
  <dimension ref="A1:J1251"/>
  <sheetViews>
    <sheetView showZeros="0" view="pageBreakPreview" topLeftCell="A1099" zoomScale="130" zoomScaleNormal="130" zoomScaleSheetLayoutView="130" workbookViewId="0">
      <selection activeCell="A1140" sqref="A1140"/>
    </sheetView>
  </sheetViews>
  <sheetFormatPr defaultColWidth="9.140625" defaultRowHeight="12.75"/>
  <cols>
    <col min="1" max="1" width="6.7109375" style="17" customWidth="1"/>
    <col min="2" max="2" width="9.42578125" style="17" customWidth="1"/>
    <col min="3" max="3" width="42.42578125" style="17" customWidth="1"/>
    <col min="4" max="4" width="9.7109375" style="33" customWidth="1"/>
    <col min="5" max="5" width="4.7109375" style="34" customWidth="1"/>
    <col min="6" max="6" width="9.42578125" style="17" bestFit="1" customWidth="1"/>
    <col min="7" max="7" width="11.42578125" style="17" customWidth="1"/>
    <col min="8" max="8" width="7.85546875" style="17" customWidth="1"/>
    <col min="9" max="9" width="10.42578125" style="17" bestFit="1" customWidth="1"/>
    <col min="10" max="16384" width="9.140625" style="17"/>
  </cols>
  <sheetData>
    <row r="1" spans="1:10" ht="19.5" customHeight="1">
      <c r="A1" s="1598" t="s">
        <v>2571</v>
      </c>
      <c r="B1" s="1598"/>
      <c r="C1" s="1598"/>
      <c r="D1" s="1598"/>
      <c r="E1" s="1598"/>
      <c r="F1" s="1598"/>
      <c r="G1" s="1598"/>
      <c r="H1" s="814"/>
    </row>
    <row r="2" spans="1:10" s="18" customFormat="1" ht="36.75" customHeight="1">
      <c r="A2" s="1597" t="str">
        <f>'lead 19-20'!B2&amp;'lead 19-20'!C2</f>
        <v>Name of the Work: Providing Additional Space for Health Staff in Grama Sachivalayam of Baduguleru GP of Kanigiri Mandal</v>
      </c>
      <c r="B2" s="1597"/>
      <c r="C2" s="1597"/>
      <c r="D2" s="1597"/>
      <c r="E2" s="1597"/>
      <c r="F2" s="1597"/>
      <c r="G2" s="1597"/>
      <c r="H2" s="813"/>
    </row>
    <row r="3" spans="1:10" s="18" customFormat="1" ht="15">
      <c r="A3" s="19"/>
      <c r="B3" s="19"/>
      <c r="C3" s="20"/>
      <c r="D3" s="21"/>
      <c r="E3" s="22"/>
      <c r="F3" s="803" t="s">
        <v>452</v>
      </c>
      <c r="G3" s="798" t="str">
        <f>'lead 19-20'!K4</f>
        <v>20.80 Lakhs</v>
      </c>
      <c r="H3" s="799"/>
    </row>
    <row r="4" spans="1:10" s="18" customFormat="1" ht="30.75" customHeight="1">
      <c r="A4" s="618" t="s">
        <v>443</v>
      </c>
      <c r="B4" s="618" t="s">
        <v>2572</v>
      </c>
      <c r="C4" s="618" t="s">
        <v>272</v>
      </c>
      <c r="D4" s="761" t="s">
        <v>456</v>
      </c>
      <c r="E4" s="762" t="s">
        <v>9</v>
      </c>
      <c r="F4" s="618" t="s">
        <v>457</v>
      </c>
      <c r="G4" s="618" t="s">
        <v>10</v>
      </c>
      <c r="H4" s="618"/>
    </row>
    <row r="5" spans="1:10" s="18" customFormat="1" ht="16.5" customHeight="1">
      <c r="A5" s="618" t="s">
        <v>460</v>
      </c>
      <c r="B5" s="618" t="s">
        <v>461</v>
      </c>
      <c r="C5" s="618" t="s">
        <v>462</v>
      </c>
      <c r="D5" s="761" t="s">
        <v>463</v>
      </c>
      <c r="E5" s="762" t="s">
        <v>464</v>
      </c>
      <c r="F5" s="618" t="s">
        <v>465</v>
      </c>
      <c r="G5" s="618" t="s">
        <v>466</v>
      </c>
      <c r="H5" s="618"/>
    </row>
    <row r="6" spans="1:10" s="26" customFormat="1" ht="20.25" hidden="1" customHeight="1">
      <c r="A6" s="23"/>
      <c r="B6" s="23"/>
      <c r="C6" s="627" t="s">
        <v>470</v>
      </c>
      <c r="D6" s="28"/>
      <c r="E6" s="224"/>
      <c r="F6" s="29"/>
      <c r="G6" s="223"/>
      <c r="H6" s="23" t="s">
        <v>15</v>
      </c>
    </row>
    <row r="7" spans="1:10" s="26" customFormat="1" ht="20.25" customHeight="1">
      <c r="A7" s="23"/>
      <c r="B7" s="805"/>
      <c r="C7" s="763" t="s">
        <v>2574</v>
      </c>
      <c r="D7" s="28"/>
      <c r="E7" s="224"/>
      <c r="F7" s="37"/>
      <c r="G7" s="764">
        <v>1E-8</v>
      </c>
      <c r="H7" s="759"/>
    </row>
    <row r="8" spans="1:10" s="360" customFormat="1" ht="15" hidden="1" customHeight="1">
      <c r="A8" s="356" t="s">
        <v>460</v>
      </c>
      <c r="B8" s="806" t="s">
        <v>2576</v>
      </c>
      <c r="C8" s="632" t="s">
        <v>537</v>
      </c>
      <c r="D8" s="358">
        <f>'PART-A'!I14</f>
        <v>0</v>
      </c>
      <c r="E8" s="354" t="s">
        <v>102</v>
      </c>
      <c r="F8" s="355">
        <f>'PART-A'!K14</f>
        <v>5.22</v>
      </c>
      <c r="G8" s="353">
        <f t="shared" ref="G8:G22" si="0">ROUND(D8*F8,0)</f>
        <v>0</v>
      </c>
      <c r="H8" s="633" t="s">
        <v>2217</v>
      </c>
    </row>
    <row r="9" spans="1:10" s="360" customFormat="1" ht="15" hidden="1" customHeight="1">
      <c r="A9" s="356" t="s">
        <v>460</v>
      </c>
      <c r="B9" s="806" t="s">
        <v>2576</v>
      </c>
      <c r="C9" s="632" t="s">
        <v>537</v>
      </c>
      <c r="D9" s="358">
        <f>'PART-A'!I20</f>
        <v>0</v>
      </c>
      <c r="E9" s="354" t="s">
        <v>102</v>
      </c>
      <c r="F9" s="355">
        <f>'PART-A'!K20</f>
        <v>5.86</v>
      </c>
      <c r="G9" s="353">
        <f t="shared" si="0"/>
        <v>0</v>
      </c>
      <c r="H9" s="633" t="s">
        <v>2299</v>
      </c>
    </row>
    <row r="10" spans="1:10" s="360" customFormat="1" ht="15" hidden="1" customHeight="1">
      <c r="A10" s="356" t="s">
        <v>460</v>
      </c>
      <c r="B10" s="806" t="s">
        <v>2576</v>
      </c>
      <c r="C10" s="632" t="s">
        <v>537</v>
      </c>
      <c r="D10" s="358">
        <f>'PART-A'!I26</f>
        <v>0</v>
      </c>
      <c r="E10" s="354" t="s">
        <v>102</v>
      </c>
      <c r="F10" s="355">
        <f>'PART-A'!K26</f>
        <v>6.06</v>
      </c>
      <c r="G10" s="353">
        <f>ROUND(D10*F10,0)</f>
        <v>0</v>
      </c>
      <c r="H10" s="633" t="s">
        <v>2312</v>
      </c>
    </row>
    <row r="11" spans="1:10" s="360" customFormat="1" ht="15" hidden="1" customHeight="1">
      <c r="A11" s="356" t="s">
        <v>460</v>
      </c>
      <c r="B11" s="806" t="s">
        <v>2576</v>
      </c>
      <c r="C11" s="632" t="s">
        <v>537</v>
      </c>
      <c r="D11" s="358">
        <f>'PART-A'!I32</f>
        <v>0</v>
      </c>
      <c r="E11" s="354" t="s">
        <v>102</v>
      </c>
      <c r="F11" s="355">
        <f>'PART-A'!K32</f>
        <v>6.06</v>
      </c>
      <c r="G11" s="353">
        <f>ROUND(D11*F11,0)</f>
        <v>0</v>
      </c>
      <c r="H11" s="633" t="s">
        <v>2313</v>
      </c>
    </row>
    <row r="12" spans="1:10" s="360" customFormat="1">
      <c r="A12" s="356" t="s">
        <v>460</v>
      </c>
      <c r="B12" s="806" t="s">
        <v>2573</v>
      </c>
      <c r="C12" s="632" t="s">
        <v>471</v>
      </c>
      <c r="D12" s="358">
        <f>'PART-A'!I49</f>
        <v>71.969999999999985</v>
      </c>
      <c r="E12" s="354" t="s">
        <v>5</v>
      </c>
      <c r="F12" s="355">
        <f>'PART-A'!K49</f>
        <v>124.24</v>
      </c>
      <c r="G12" s="353">
        <f t="shared" si="0"/>
        <v>8942</v>
      </c>
      <c r="H12" s="633" t="s">
        <v>2217</v>
      </c>
      <c r="J12" s="353"/>
    </row>
    <row r="13" spans="1:10" s="360" customFormat="1" hidden="1">
      <c r="A13" s="356" t="s">
        <v>461</v>
      </c>
      <c r="B13" s="806" t="s">
        <v>2573</v>
      </c>
      <c r="C13" s="632" t="s">
        <v>471</v>
      </c>
      <c r="D13" s="358">
        <f>'PART-A'!I56</f>
        <v>0</v>
      </c>
      <c r="E13" s="354" t="s">
        <v>5</v>
      </c>
      <c r="F13" s="355">
        <f>'PART-A'!K56</f>
        <v>139.55000000000001</v>
      </c>
      <c r="G13" s="353">
        <f t="shared" si="0"/>
        <v>0</v>
      </c>
      <c r="H13" s="633" t="s">
        <v>2299</v>
      </c>
    </row>
    <row r="14" spans="1:10" s="360" customFormat="1" ht="15" hidden="1" customHeight="1">
      <c r="A14" s="356" t="s">
        <v>461</v>
      </c>
      <c r="B14" s="806" t="s">
        <v>2573</v>
      </c>
      <c r="C14" s="632" t="s">
        <v>471</v>
      </c>
      <c r="D14" s="358">
        <f>'PART-A'!I62</f>
        <v>0</v>
      </c>
      <c r="E14" s="354" t="s">
        <v>5</v>
      </c>
      <c r="F14" s="355">
        <f>'PART-A'!K62</f>
        <v>144.26</v>
      </c>
      <c r="G14" s="353">
        <f>ROUND(D14*F14,0)</f>
        <v>0</v>
      </c>
      <c r="H14" s="633" t="s">
        <v>2312</v>
      </c>
    </row>
    <row r="15" spans="1:10" s="360" customFormat="1" ht="15" hidden="1" customHeight="1">
      <c r="A15" s="356" t="s">
        <v>461</v>
      </c>
      <c r="B15" s="806" t="s">
        <v>2573</v>
      </c>
      <c r="C15" s="632" t="s">
        <v>471</v>
      </c>
      <c r="D15" s="358">
        <f>'PART-A'!I72</f>
        <v>0</v>
      </c>
      <c r="E15" s="354" t="s">
        <v>5</v>
      </c>
      <c r="F15" s="355">
        <f>'PART-A'!K72</f>
        <v>144.26</v>
      </c>
      <c r="G15" s="353">
        <f>ROUND(D15*F15,0)</f>
        <v>0</v>
      </c>
      <c r="H15" s="633" t="s">
        <v>2313</v>
      </c>
    </row>
    <row r="16" spans="1:10" s="360" customFormat="1" ht="15" customHeight="1">
      <c r="A16" s="356"/>
      <c r="B16" s="807"/>
      <c r="C16" s="808" t="s">
        <v>2575</v>
      </c>
      <c r="D16" s="358"/>
      <c r="E16" s="354"/>
      <c r="F16" s="355"/>
      <c r="G16" s="764">
        <v>1E-8</v>
      </c>
      <c r="H16" s="633"/>
    </row>
    <row r="17" spans="1:8" s="360" customFormat="1">
      <c r="A17" s="356" t="s">
        <v>461</v>
      </c>
      <c r="B17" s="806" t="s">
        <v>2577</v>
      </c>
      <c r="C17" s="632" t="s">
        <v>538</v>
      </c>
      <c r="D17" s="358">
        <f>'PART-A'!I108</f>
        <v>20.59</v>
      </c>
      <c r="E17" s="354" t="s">
        <v>5</v>
      </c>
      <c r="F17" s="355">
        <f>'PART-A'!K108</f>
        <v>3877.2799999999997</v>
      </c>
      <c r="G17" s="353">
        <f t="shared" si="0"/>
        <v>79833</v>
      </c>
      <c r="H17" s="633" t="s">
        <v>2217</v>
      </c>
    </row>
    <row r="18" spans="1:8" s="360" customFormat="1" hidden="1">
      <c r="A18" s="356" t="s">
        <v>463</v>
      </c>
      <c r="B18" s="806" t="s">
        <v>2577</v>
      </c>
      <c r="C18" s="632" t="s">
        <v>538</v>
      </c>
      <c r="D18" s="358">
        <f>'PART-A'!I127</f>
        <v>0</v>
      </c>
      <c r="E18" s="354" t="s">
        <v>5</v>
      </c>
      <c r="F18" s="355">
        <f>'PART-A'!K127</f>
        <v>4067.8399999999997</v>
      </c>
      <c r="G18" s="353">
        <f t="shared" si="0"/>
        <v>0</v>
      </c>
      <c r="H18" s="633" t="s">
        <v>2299</v>
      </c>
    </row>
    <row r="19" spans="1:8" s="360" customFormat="1" ht="15" hidden="1" customHeight="1">
      <c r="A19" s="356" t="s">
        <v>463</v>
      </c>
      <c r="B19" s="806" t="s">
        <v>2577</v>
      </c>
      <c r="C19" s="632" t="s">
        <v>538</v>
      </c>
      <c r="D19" s="358">
        <f>'PART-A'!I133</f>
        <v>0</v>
      </c>
      <c r="E19" s="354" t="s">
        <v>5</v>
      </c>
      <c r="F19" s="355">
        <f>'PART-A'!K133</f>
        <v>4332.55</v>
      </c>
      <c r="G19" s="353">
        <f>ROUND(D19*F19,0)</f>
        <v>0</v>
      </c>
      <c r="H19" s="633" t="s">
        <v>2312</v>
      </c>
    </row>
    <row r="20" spans="1:8" s="360" customFormat="1" ht="15" hidden="1" customHeight="1">
      <c r="A20" s="356" t="s">
        <v>463</v>
      </c>
      <c r="B20" s="806" t="s">
        <v>2577</v>
      </c>
      <c r="C20" s="632" t="s">
        <v>538</v>
      </c>
      <c r="D20" s="358">
        <f>'PART-A'!I146</f>
        <v>0</v>
      </c>
      <c r="E20" s="354" t="s">
        <v>5</v>
      </c>
      <c r="F20" s="355">
        <f>'PART-A'!K146</f>
        <v>4583.3100000000004</v>
      </c>
      <c r="G20" s="353">
        <f>ROUND(D20*F20,0)</f>
        <v>0</v>
      </c>
      <c r="H20" s="633" t="s">
        <v>2313</v>
      </c>
    </row>
    <row r="21" spans="1:8" s="360" customFormat="1" ht="15" hidden="1" customHeight="1">
      <c r="A21" s="356" t="s">
        <v>463</v>
      </c>
      <c r="B21" s="806" t="s">
        <v>2578</v>
      </c>
      <c r="C21" s="632" t="s">
        <v>539</v>
      </c>
      <c r="D21" s="358">
        <f>'PART-A'!I155</f>
        <v>0</v>
      </c>
      <c r="E21" s="354" t="s">
        <v>5</v>
      </c>
      <c r="F21" s="355">
        <f>'PART-A'!K155</f>
        <v>3725</v>
      </c>
      <c r="G21" s="353">
        <f t="shared" si="0"/>
        <v>0</v>
      </c>
      <c r="H21" s="633" t="s">
        <v>2217</v>
      </c>
    </row>
    <row r="22" spans="1:8" s="360" customFormat="1" ht="15" hidden="1" customHeight="1">
      <c r="A22" s="356" t="s">
        <v>463</v>
      </c>
      <c r="B22" s="806" t="s">
        <v>2578</v>
      </c>
      <c r="C22" s="632" t="s">
        <v>539</v>
      </c>
      <c r="D22" s="358">
        <f>'PART-A'!I164</f>
        <v>0</v>
      </c>
      <c r="E22" s="354" t="s">
        <v>5</v>
      </c>
      <c r="F22" s="355">
        <f>'PART-A'!K164</f>
        <v>3915.56</v>
      </c>
      <c r="G22" s="353">
        <f t="shared" si="0"/>
        <v>0</v>
      </c>
      <c r="H22" s="633" t="s">
        <v>2299</v>
      </c>
    </row>
    <row r="23" spans="1:8" s="360" customFormat="1" ht="15" hidden="1" customHeight="1">
      <c r="A23" s="356" t="s">
        <v>463</v>
      </c>
      <c r="B23" s="806" t="s">
        <v>2578</v>
      </c>
      <c r="C23" s="632" t="s">
        <v>539</v>
      </c>
      <c r="D23" s="358">
        <f>'PART-A'!I173</f>
        <v>0</v>
      </c>
      <c r="E23" s="354" t="s">
        <v>5</v>
      </c>
      <c r="F23" s="355">
        <f>'PART-A'!K173</f>
        <v>4180.2700000000004</v>
      </c>
      <c r="G23" s="353">
        <f>ROUND(D23*F23,0)</f>
        <v>0</v>
      </c>
      <c r="H23" s="633" t="s">
        <v>2312</v>
      </c>
    </row>
    <row r="24" spans="1:8" s="360" customFormat="1" ht="15" hidden="1" customHeight="1">
      <c r="A24" s="356" t="s">
        <v>463</v>
      </c>
      <c r="B24" s="806" t="s">
        <v>2578</v>
      </c>
      <c r="C24" s="632" t="s">
        <v>539</v>
      </c>
      <c r="D24" s="358">
        <f>'PART-A'!I182</f>
        <v>0</v>
      </c>
      <c r="E24" s="354" t="s">
        <v>5</v>
      </c>
      <c r="F24" s="355">
        <f>'PART-A'!K182</f>
        <v>4431.03</v>
      </c>
      <c r="G24" s="353">
        <f>ROUND(D24*F24,0)</f>
        <v>0</v>
      </c>
      <c r="H24" s="633" t="s">
        <v>2313</v>
      </c>
    </row>
    <row r="25" spans="1:8" s="360" customFormat="1" ht="15" customHeight="1">
      <c r="A25" s="356" t="s">
        <v>462</v>
      </c>
      <c r="B25" s="804" t="s">
        <v>2579</v>
      </c>
      <c r="C25" s="632" t="s">
        <v>1218</v>
      </c>
      <c r="D25" s="358">
        <f>'PART-A'!I189</f>
        <v>17.93</v>
      </c>
      <c r="E25" s="354" t="s">
        <v>5</v>
      </c>
      <c r="F25" s="355">
        <f>'PART-A'!K189</f>
        <v>183</v>
      </c>
      <c r="G25" s="353">
        <f t="shared" ref="G25" si="1">ROUND(D25*F25,0)</f>
        <v>3281</v>
      </c>
      <c r="H25" s="633" t="s">
        <v>2217</v>
      </c>
    </row>
    <row r="26" spans="1:8" s="360" customFormat="1" ht="15" hidden="1" customHeight="1">
      <c r="A26" s="356" t="s">
        <v>462</v>
      </c>
      <c r="B26" s="804" t="s">
        <v>2579</v>
      </c>
      <c r="C26" s="632" t="s">
        <v>1218</v>
      </c>
      <c r="D26" s="358">
        <f>'PART-A'!I195</f>
        <v>0</v>
      </c>
      <c r="E26" s="354" t="s">
        <v>5</v>
      </c>
      <c r="F26" s="355">
        <f>'PART-A'!K195</f>
        <v>205.87</v>
      </c>
      <c r="G26" s="353">
        <f>ROUND(D26*F26,0)</f>
        <v>0</v>
      </c>
      <c r="H26" s="633" t="s">
        <v>2299</v>
      </c>
    </row>
    <row r="27" spans="1:8" s="360" customFormat="1" ht="15" hidden="1" customHeight="1">
      <c r="A27" s="356" t="s">
        <v>462</v>
      </c>
      <c r="B27" s="804" t="s">
        <v>2579</v>
      </c>
      <c r="C27" s="632" t="s">
        <v>1218</v>
      </c>
      <c r="D27" s="358">
        <f>'PART-A'!I201</f>
        <v>0</v>
      </c>
      <c r="E27" s="354" t="s">
        <v>5</v>
      </c>
      <c r="F27" s="355">
        <f>'PART-A'!K201</f>
        <v>199.97</v>
      </c>
      <c r="G27" s="353">
        <f>ROUND(D27*F27,0)</f>
        <v>0</v>
      </c>
      <c r="H27" s="633" t="s">
        <v>2312</v>
      </c>
    </row>
    <row r="28" spans="1:8" s="360" customFormat="1" ht="15" hidden="1" customHeight="1">
      <c r="A28" s="356" t="s">
        <v>462</v>
      </c>
      <c r="B28" s="804" t="s">
        <v>2579</v>
      </c>
      <c r="C28" s="632" t="s">
        <v>1218</v>
      </c>
      <c r="D28" s="358">
        <f>'PART-A'!I207</f>
        <v>0</v>
      </c>
      <c r="E28" s="354" t="s">
        <v>5</v>
      </c>
      <c r="F28" s="355">
        <f>'PART-A'!K207</f>
        <v>216.13</v>
      </c>
      <c r="G28" s="353">
        <f>ROUND(D28*F28,0)</f>
        <v>0</v>
      </c>
      <c r="H28" s="633" t="s">
        <v>2313</v>
      </c>
    </row>
    <row r="29" spans="1:8" s="360" customFormat="1" ht="15" hidden="1" customHeight="1">
      <c r="A29" s="356" t="s">
        <v>464</v>
      </c>
      <c r="B29" s="804" t="s">
        <v>2580</v>
      </c>
      <c r="C29" s="632" t="s">
        <v>716</v>
      </c>
      <c r="D29" s="358">
        <f>'PART-A'!I213</f>
        <v>0</v>
      </c>
      <c r="E29" s="354" t="s">
        <v>5</v>
      </c>
      <c r="F29" s="355">
        <f>'PART-A'!K213</f>
        <v>210</v>
      </c>
      <c r="G29" s="353">
        <f t="shared" ref="G29:G109" si="2">ROUND(D29*F29,0)</f>
        <v>0</v>
      </c>
      <c r="H29" s="633" t="s">
        <v>2217</v>
      </c>
    </row>
    <row r="30" spans="1:8" s="360" customFormat="1" ht="15" hidden="1" customHeight="1">
      <c r="A30" s="356" t="s">
        <v>464</v>
      </c>
      <c r="B30" s="804" t="s">
        <v>2580</v>
      </c>
      <c r="C30" s="632" t="s">
        <v>716</v>
      </c>
      <c r="D30" s="358">
        <f>'PART-A'!I219</f>
        <v>0</v>
      </c>
      <c r="E30" s="354" t="s">
        <v>5</v>
      </c>
      <c r="F30" s="355">
        <f>'PART-A'!K219</f>
        <v>234.87</v>
      </c>
      <c r="G30" s="353">
        <f>ROUND(D30*F30,0)</f>
        <v>0</v>
      </c>
      <c r="H30" s="633" t="s">
        <v>2299</v>
      </c>
    </row>
    <row r="31" spans="1:8" s="360" customFormat="1" ht="15" hidden="1" customHeight="1">
      <c r="A31" s="356" t="s">
        <v>464</v>
      </c>
      <c r="B31" s="804" t="s">
        <v>2580</v>
      </c>
      <c r="C31" s="632" t="s">
        <v>716</v>
      </c>
      <c r="D31" s="358">
        <f>'PART-A'!I225</f>
        <v>0</v>
      </c>
      <c r="E31" s="354" t="s">
        <v>5</v>
      </c>
      <c r="F31" s="355">
        <f>'PART-A'!K225</f>
        <v>253.22</v>
      </c>
      <c r="G31" s="353">
        <f>ROUND(D31*F31,0)</f>
        <v>0</v>
      </c>
      <c r="H31" s="633" t="s">
        <v>2312</v>
      </c>
    </row>
    <row r="32" spans="1:8" s="360" customFormat="1" ht="15" hidden="1" customHeight="1">
      <c r="A32" s="356" t="s">
        <v>464</v>
      </c>
      <c r="B32" s="804" t="s">
        <v>2580</v>
      </c>
      <c r="C32" s="632" t="s">
        <v>716</v>
      </c>
      <c r="D32" s="358">
        <f>'PART-A'!I231</f>
        <v>0</v>
      </c>
      <c r="E32" s="354" t="s">
        <v>5</v>
      </c>
      <c r="F32" s="355">
        <f>'PART-A'!K231</f>
        <v>272.13</v>
      </c>
      <c r="G32" s="353">
        <f>ROUND(D32*F32,0)</f>
        <v>0</v>
      </c>
      <c r="H32" s="633" t="s">
        <v>2313</v>
      </c>
    </row>
    <row r="33" spans="1:8" s="360" customFormat="1">
      <c r="A33" s="356" t="s">
        <v>463</v>
      </c>
      <c r="B33" s="804" t="s">
        <v>2581</v>
      </c>
      <c r="C33" s="632" t="s">
        <v>704</v>
      </c>
      <c r="D33" s="358">
        <f>'PART-A'!I248</f>
        <v>87.509999999999991</v>
      </c>
      <c r="E33" s="354" t="s">
        <v>5</v>
      </c>
      <c r="F33" s="355">
        <f>'PART-A'!K248</f>
        <v>1271.5</v>
      </c>
      <c r="G33" s="353">
        <f t="shared" si="2"/>
        <v>111269</v>
      </c>
      <c r="H33" s="633" t="s">
        <v>2217</v>
      </c>
    </row>
    <row r="34" spans="1:8" s="360" customFormat="1" ht="15" hidden="1" customHeight="1">
      <c r="A34" s="356" t="s">
        <v>466</v>
      </c>
      <c r="B34" s="804" t="s">
        <v>2581</v>
      </c>
      <c r="C34" s="632" t="s">
        <v>704</v>
      </c>
      <c r="D34" s="358">
        <f>'PART-A'!I264</f>
        <v>0</v>
      </c>
      <c r="E34" s="354" t="s">
        <v>5</v>
      </c>
      <c r="F34" s="355">
        <f>'PART-A'!K264</f>
        <v>1340.37</v>
      </c>
      <c r="G34" s="353">
        <f>ROUND(D34*F34,0)</f>
        <v>0</v>
      </c>
      <c r="H34" s="633" t="s">
        <v>2299</v>
      </c>
    </row>
    <row r="35" spans="1:8" s="360" customFormat="1" ht="15" hidden="1" customHeight="1">
      <c r="A35" s="356" t="s">
        <v>466</v>
      </c>
      <c r="B35" s="804" t="s">
        <v>2581</v>
      </c>
      <c r="C35" s="632" t="s">
        <v>704</v>
      </c>
      <c r="D35" s="358">
        <f>'PART-A'!I270</f>
        <v>0</v>
      </c>
      <c r="E35" s="354" t="s">
        <v>5</v>
      </c>
      <c r="F35" s="355">
        <f>'PART-A'!K270</f>
        <v>1528.72</v>
      </c>
      <c r="G35" s="353">
        <f>ROUND(D35*F35,0)</f>
        <v>0</v>
      </c>
      <c r="H35" s="633" t="s">
        <v>2312</v>
      </c>
    </row>
    <row r="36" spans="1:8" s="360" customFormat="1" ht="15" hidden="1" customHeight="1">
      <c r="A36" s="356" t="s">
        <v>466</v>
      </c>
      <c r="B36" s="804" t="s">
        <v>2581</v>
      </c>
      <c r="C36" s="632" t="s">
        <v>704</v>
      </c>
      <c r="D36" s="358">
        <f>'PART-A'!I276</f>
        <v>0</v>
      </c>
      <c r="E36" s="354" t="s">
        <v>5</v>
      </c>
      <c r="F36" s="355">
        <f>'PART-A'!K276</f>
        <v>1603.13</v>
      </c>
      <c r="G36" s="353">
        <f>ROUND(D36*F36,0)</f>
        <v>0</v>
      </c>
      <c r="H36" s="633" t="s">
        <v>2313</v>
      </c>
    </row>
    <row r="37" spans="1:8" s="360" customFormat="1">
      <c r="A37" s="356" t="s">
        <v>464</v>
      </c>
      <c r="B37" s="804" t="s">
        <v>2582</v>
      </c>
      <c r="C37" s="632" t="s">
        <v>540</v>
      </c>
      <c r="D37" s="358">
        <f>'PART-A'!I293</f>
        <v>47.300000000000004</v>
      </c>
      <c r="E37" s="354" t="s">
        <v>5</v>
      </c>
      <c r="F37" s="355">
        <f>'PART-A'!K293</f>
        <v>228</v>
      </c>
      <c r="G37" s="353">
        <f t="shared" si="2"/>
        <v>10784</v>
      </c>
      <c r="H37" s="633" t="s">
        <v>2217</v>
      </c>
    </row>
    <row r="38" spans="1:8" s="360" customFormat="1" ht="15" hidden="1" customHeight="1">
      <c r="A38" s="356" t="s">
        <v>326</v>
      </c>
      <c r="B38" s="804" t="s">
        <v>2582</v>
      </c>
      <c r="C38" s="632" t="s">
        <v>540</v>
      </c>
      <c r="D38" s="358">
        <f>'PART-A'!I304</f>
        <v>0</v>
      </c>
      <c r="E38" s="354" t="s">
        <v>5</v>
      </c>
      <c r="F38" s="355">
        <f>'PART-A'!K304</f>
        <v>249.16</v>
      </c>
      <c r="G38" s="353">
        <f>ROUND(D38*F38,0)</f>
        <v>0</v>
      </c>
      <c r="H38" s="633" t="s">
        <v>2299</v>
      </c>
    </row>
    <row r="39" spans="1:8" s="360" customFormat="1" ht="15" hidden="1" customHeight="1">
      <c r="A39" s="356" t="s">
        <v>326</v>
      </c>
      <c r="B39" s="804" t="s">
        <v>2582</v>
      </c>
      <c r="C39" s="632" t="s">
        <v>540</v>
      </c>
      <c r="D39" s="358">
        <f>'PART-A'!I311</f>
        <v>0</v>
      </c>
      <c r="E39" s="354" t="s">
        <v>5</v>
      </c>
      <c r="F39" s="355">
        <f>'PART-A'!K311</f>
        <v>265.36</v>
      </c>
      <c r="G39" s="353">
        <f>ROUND(D39*F39,0)</f>
        <v>0</v>
      </c>
      <c r="H39" s="633" t="s">
        <v>2312</v>
      </c>
    </row>
    <row r="40" spans="1:8" s="360" customFormat="1" ht="15" hidden="1" customHeight="1">
      <c r="A40" s="356" t="s">
        <v>326</v>
      </c>
      <c r="B40" s="804" t="s">
        <v>2582</v>
      </c>
      <c r="C40" s="632" t="s">
        <v>540</v>
      </c>
      <c r="D40" s="358">
        <f>'PART-A'!I318</f>
        <v>0</v>
      </c>
      <c r="E40" s="354" t="s">
        <v>5</v>
      </c>
      <c r="F40" s="355">
        <f>'PART-A'!K318</f>
        <v>284.39999999999998</v>
      </c>
      <c r="G40" s="353">
        <f>ROUND(D40*F40,0)</f>
        <v>0</v>
      </c>
      <c r="H40" s="633" t="s">
        <v>2313</v>
      </c>
    </row>
    <row r="41" spans="1:8" s="360" customFormat="1">
      <c r="A41" s="356" t="s">
        <v>465</v>
      </c>
      <c r="B41" s="804" t="s">
        <v>2583</v>
      </c>
      <c r="C41" s="632" t="s">
        <v>2445</v>
      </c>
      <c r="D41" s="358">
        <f>'PART-A'!I325</f>
        <v>9.44</v>
      </c>
      <c r="E41" s="354" t="s">
        <v>5</v>
      </c>
      <c r="F41" s="355">
        <f>'PART-A'!K325</f>
        <v>6979.88</v>
      </c>
      <c r="G41" s="353">
        <f t="shared" si="2"/>
        <v>65890</v>
      </c>
      <c r="H41" s="633" t="s">
        <v>2217</v>
      </c>
    </row>
    <row r="42" spans="1:8" s="360" customFormat="1" ht="15" hidden="1" customHeight="1">
      <c r="A42" s="356" t="s">
        <v>465</v>
      </c>
      <c r="B42" s="804" t="s">
        <v>2583</v>
      </c>
      <c r="C42" s="632" t="s">
        <v>2445</v>
      </c>
      <c r="D42" s="358">
        <f>'PART-A'!I332</f>
        <v>0</v>
      </c>
      <c r="E42" s="354" t="s">
        <v>5</v>
      </c>
      <c r="F42" s="355">
        <f>'PART-A'!K332</f>
        <v>7288.23</v>
      </c>
      <c r="G42" s="353">
        <f>ROUND(D42*F42,0)</f>
        <v>0</v>
      </c>
      <c r="H42" s="633" t="s">
        <v>2299</v>
      </c>
    </row>
    <row r="43" spans="1:8" s="360" customFormat="1" ht="15" hidden="1" customHeight="1">
      <c r="A43" s="356" t="s">
        <v>465</v>
      </c>
      <c r="B43" s="804" t="s">
        <v>2583</v>
      </c>
      <c r="C43" s="632" t="s">
        <v>2445</v>
      </c>
      <c r="D43" s="358">
        <f>'PART-A'!I338</f>
        <v>0</v>
      </c>
      <c r="E43" s="354" t="s">
        <v>5</v>
      </c>
      <c r="F43" s="355">
        <f>'PART-A'!K338</f>
        <v>7685.43</v>
      </c>
      <c r="G43" s="353">
        <f>ROUND(D43*F43,0)</f>
        <v>0</v>
      </c>
      <c r="H43" s="633" t="s">
        <v>2312</v>
      </c>
    </row>
    <row r="44" spans="1:8" s="360" customFormat="1" ht="15" hidden="1" customHeight="1">
      <c r="A44" s="356" t="s">
        <v>465</v>
      </c>
      <c r="B44" s="804" t="s">
        <v>2583</v>
      </c>
      <c r="C44" s="632" t="s">
        <v>2445</v>
      </c>
      <c r="D44" s="358">
        <f>'PART-A'!I343</f>
        <v>0</v>
      </c>
      <c r="E44" s="354" t="s">
        <v>5</v>
      </c>
      <c r="F44" s="355">
        <f>'PART-A'!K343</f>
        <v>8062.18</v>
      </c>
      <c r="G44" s="353">
        <f>ROUND(D44*F44,0)</f>
        <v>0</v>
      </c>
      <c r="H44" s="633" t="s">
        <v>2313</v>
      </c>
    </row>
    <row r="45" spans="1:8" s="360" customFormat="1">
      <c r="A45" s="356" t="s">
        <v>466</v>
      </c>
      <c r="B45" s="804" t="s">
        <v>2584</v>
      </c>
      <c r="C45" s="632" t="s">
        <v>2060</v>
      </c>
      <c r="D45" s="358">
        <f>'PART-A'!I348</f>
        <v>1.37</v>
      </c>
      <c r="E45" s="354" t="s">
        <v>5</v>
      </c>
      <c r="F45" s="355">
        <f>'PART-A'!K348</f>
        <v>7392.88</v>
      </c>
      <c r="G45" s="353">
        <f t="shared" si="2"/>
        <v>10128</v>
      </c>
      <c r="H45" s="633" t="s">
        <v>2217</v>
      </c>
    </row>
    <row r="46" spans="1:8" s="360" customFormat="1" ht="15" hidden="1" customHeight="1">
      <c r="A46" s="356" t="s">
        <v>466</v>
      </c>
      <c r="B46" s="804" t="s">
        <v>2584</v>
      </c>
      <c r="C46" s="632" t="s">
        <v>2060</v>
      </c>
      <c r="D46" s="358">
        <f>'PART-A'!I353</f>
        <v>0</v>
      </c>
      <c r="E46" s="354" t="s">
        <v>5</v>
      </c>
      <c r="F46" s="355">
        <f>'PART-A'!K353</f>
        <v>7701.23</v>
      </c>
      <c r="G46" s="353">
        <f>ROUND(D46*F46,0)</f>
        <v>0</v>
      </c>
      <c r="H46" s="633" t="s">
        <v>2299</v>
      </c>
    </row>
    <row r="47" spans="1:8" s="360" customFormat="1" ht="15" hidden="1" customHeight="1">
      <c r="A47" s="356" t="s">
        <v>466</v>
      </c>
      <c r="B47" s="804" t="s">
        <v>2584</v>
      </c>
      <c r="C47" s="632" t="s">
        <v>2060</v>
      </c>
      <c r="D47" s="358">
        <f>'PART-A'!I358</f>
        <v>0</v>
      </c>
      <c r="E47" s="354" t="s">
        <v>5</v>
      </c>
      <c r="F47" s="355">
        <f>'PART-A'!K358</f>
        <v>8124.43</v>
      </c>
      <c r="G47" s="353">
        <f>ROUND(D47*F47,0)</f>
        <v>0</v>
      </c>
      <c r="H47" s="633" t="s">
        <v>2312</v>
      </c>
    </row>
    <row r="48" spans="1:8" s="360" customFormat="1" ht="15" hidden="1" customHeight="1">
      <c r="A48" s="356" t="s">
        <v>466</v>
      </c>
      <c r="B48" s="804" t="s">
        <v>2584</v>
      </c>
      <c r="C48" s="632" t="s">
        <v>2060</v>
      </c>
      <c r="D48" s="358">
        <f>'PART-A'!I363</f>
        <v>0</v>
      </c>
      <c r="E48" s="354" t="s">
        <v>5</v>
      </c>
      <c r="F48" s="355">
        <f>'PART-A'!K363</f>
        <v>8501.18</v>
      </c>
      <c r="G48" s="353">
        <f>ROUND(D48*F48,0)</f>
        <v>0</v>
      </c>
      <c r="H48" s="633" t="s">
        <v>2313</v>
      </c>
    </row>
    <row r="49" spans="1:9" s="360" customFormat="1">
      <c r="A49" s="356" t="s">
        <v>467</v>
      </c>
      <c r="B49" s="804" t="s">
        <v>2585</v>
      </c>
      <c r="C49" s="632" t="s">
        <v>2061</v>
      </c>
      <c r="D49" s="358">
        <f>'PART-A'!I376</f>
        <v>5.64</v>
      </c>
      <c r="E49" s="354" t="s">
        <v>5</v>
      </c>
      <c r="F49" s="355">
        <f>'PART-A'!K376</f>
        <v>9116.880000000001</v>
      </c>
      <c r="G49" s="353">
        <f t="shared" si="2"/>
        <v>51419</v>
      </c>
      <c r="H49" s="633" t="s">
        <v>2217</v>
      </c>
    </row>
    <row r="50" spans="1:9" s="360" customFormat="1" ht="15" hidden="1" customHeight="1">
      <c r="A50" s="356" t="s">
        <v>469</v>
      </c>
      <c r="B50" s="804" t="s">
        <v>2585</v>
      </c>
      <c r="C50" s="632" t="s">
        <v>2061</v>
      </c>
      <c r="D50" s="358">
        <f>'PART-A'!I387</f>
        <v>0</v>
      </c>
      <c r="E50" s="354" t="s">
        <v>5</v>
      </c>
      <c r="F50" s="355">
        <f>'PART-A'!K387</f>
        <v>9466.93</v>
      </c>
      <c r="G50" s="353">
        <f>ROUND(D50*F50,0)</f>
        <v>0</v>
      </c>
      <c r="H50" s="633" t="s">
        <v>2299</v>
      </c>
    </row>
    <row r="51" spans="1:9" s="360" customFormat="1" ht="15" hidden="1" customHeight="1">
      <c r="A51" s="356" t="s">
        <v>467</v>
      </c>
      <c r="B51" s="804" t="s">
        <v>2585</v>
      </c>
      <c r="C51" s="632" t="s">
        <v>2061</v>
      </c>
      <c r="D51" s="358">
        <f>'PART-A'!I399</f>
        <v>0</v>
      </c>
      <c r="E51" s="354" t="s">
        <v>5</v>
      </c>
      <c r="F51" s="355">
        <f>'PART-A'!K399</f>
        <v>10004.82</v>
      </c>
      <c r="G51" s="353">
        <f>ROUND(D51*F51,0)</f>
        <v>0</v>
      </c>
      <c r="H51" s="633" t="s">
        <v>2312</v>
      </c>
    </row>
    <row r="52" spans="1:9" s="360" customFormat="1" ht="15" hidden="1" customHeight="1">
      <c r="A52" s="356" t="s">
        <v>467</v>
      </c>
      <c r="B52" s="804" t="s">
        <v>2585</v>
      </c>
      <c r="C52" s="632" t="s">
        <v>2061</v>
      </c>
      <c r="D52" s="358">
        <f>'PART-A'!I411</f>
        <v>0</v>
      </c>
      <c r="E52" s="354" t="s">
        <v>5</v>
      </c>
      <c r="F52" s="355">
        <f>'PART-A'!K411</f>
        <v>10417.6</v>
      </c>
      <c r="G52" s="353">
        <f>ROUND(D52*F52,0)</f>
        <v>0</v>
      </c>
      <c r="H52" s="633" t="s">
        <v>2313</v>
      </c>
    </row>
    <row r="53" spans="1:9" s="360" customFormat="1">
      <c r="A53" s="356" t="s">
        <v>468</v>
      </c>
      <c r="B53" s="804" t="s">
        <v>2586</v>
      </c>
      <c r="C53" s="632" t="s">
        <v>2062</v>
      </c>
      <c r="D53" s="358">
        <f>'PART-A'!I430</f>
        <v>6.1499999999999995</v>
      </c>
      <c r="E53" s="354" t="s">
        <v>5</v>
      </c>
      <c r="F53" s="355">
        <f>'PART-A'!K430</f>
        <v>8971.880000000001</v>
      </c>
      <c r="G53" s="353">
        <f t="shared" si="2"/>
        <v>55177</v>
      </c>
      <c r="H53" s="633" t="s">
        <v>2217</v>
      </c>
    </row>
    <row r="54" spans="1:9" s="360" customFormat="1" ht="15" hidden="1" customHeight="1">
      <c r="A54" s="356" t="s">
        <v>468</v>
      </c>
      <c r="B54" s="804" t="s">
        <v>2586</v>
      </c>
      <c r="C54" s="632" t="s">
        <v>2062</v>
      </c>
      <c r="D54" s="358">
        <f>'PART-A'!I441</f>
        <v>0</v>
      </c>
      <c r="E54" s="354" t="s">
        <v>5</v>
      </c>
      <c r="F54" s="355">
        <f>'PART-A'!K441</f>
        <v>9280.23</v>
      </c>
      <c r="G54" s="353">
        <f>ROUND(D54*F54,0)</f>
        <v>0</v>
      </c>
      <c r="H54" s="633" t="s">
        <v>2299</v>
      </c>
    </row>
    <row r="55" spans="1:9" s="360" customFormat="1" ht="15" hidden="1" customHeight="1">
      <c r="A55" s="356" t="s">
        <v>468</v>
      </c>
      <c r="B55" s="804" t="s">
        <v>2586</v>
      </c>
      <c r="C55" s="632" t="s">
        <v>2062</v>
      </c>
      <c r="D55" s="358">
        <f>'PART-A'!I447</f>
        <v>0</v>
      </c>
      <c r="E55" s="354" t="s">
        <v>5</v>
      </c>
      <c r="F55" s="355">
        <f>'PART-A'!K447</f>
        <v>9785.43</v>
      </c>
      <c r="G55" s="353">
        <f>ROUND(D55*F55,0)</f>
        <v>0</v>
      </c>
      <c r="H55" s="633" t="s">
        <v>2312</v>
      </c>
    </row>
    <row r="56" spans="1:9" s="360" customFormat="1" ht="15" hidden="1" customHeight="1">
      <c r="A56" s="356" t="s">
        <v>468</v>
      </c>
      <c r="B56" s="804" t="s">
        <v>2586</v>
      </c>
      <c r="C56" s="632" t="s">
        <v>2062</v>
      </c>
      <c r="D56" s="358">
        <f>'PART-A'!I453</f>
        <v>0</v>
      </c>
      <c r="E56" s="354" t="s">
        <v>5</v>
      </c>
      <c r="F56" s="355">
        <f>'PART-A'!K453</f>
        <v>10162.18</v>
      </c>
      <c r="G56" s="353">
        <f>ROUND(D56*F56,0)</f>
        <v>0</v>
      </c>
      <c r="H56" s="633" t="s">
        <v>2313</v>
      </c>
    </row>
    <row r="57" spans="1:9" s="360" customFormat="1">
      <c r="A57" s="356" t="s">
        <v>326</v>
      </c>
      <c r="B57" s="804" t="s">
        <v>2587</v>
      </c>
      <c r="C57" s="632" t="s">
        <v>2063</v>
      </c>
      <c r="D57" s="358">
        <f>'PART-A'!I477</f>
        <v>6.9400000000000022</v>
      </c>
      <c r="E57" s="428" t="s">
        <v>5</v>
      </c>
      <c r="F57" s="355">
        <f>'PART-A'!K477</f>
        <v>8954.36</v>
      </c>
      <c r="G57" s="353">
        <f t="shared" si="2"/>
        <v>62143</v>
      </c>
      <c r="H57" s="633" t="s">
        <v>2217</v>
      </c>
      <c r="I57" s="637"/>
    </row>
    <row r="58" spans="1:9" s="360" customFormat="1" ht="15" hidden="1" customHeight="1">
      <c r="A58" s="356" t="s">
        <v>474</v>
      </c>
      <c r="B58" s="804" t="s">
        <v>2587</v>
      </c>
      <c r="C58" s="632" t="s">
        <v>2063</v>
      </c>
      <c r="D58" s="358">
        <f>'PART-A'!I501</f>
        <v>0</v>
      </c>
      <c r="E58" s="428" t="s">
        <v>5</v>
      </c>
      <c r="F58" s="355">
        <f>'PART-A'!K501</f>
        <v>9169.52</v>
      </c>
      <c r="G58" s="353">
        <f>ROUND(D58*F58,0)</f>
        <v>0</v>
      </c>
      <c r="H58" s="633" t="s">
        <v>2299</v>
      </c>
      <c r="I58" s="637"/>
    </row>
    <row r="59" spans="1:9" s="360" customFormat="1" ht="15" hidden="1" customHeight="1">
      <c r="A59" s="356" t="s">
        <v>326</v>
      </c>
      <c r="B59" s="804" t="s">
        <v>2587</v>
      </c>
      <c r="C59" s="632" t="s">
        <v>2063</v>
      </c>
      <c r="D59" s="358">
        <f>'PART-A'!I528</f>
        <v>0</v>
      </c>
      <c r="E59" s="428" t="s">
        <v>5</v>
      </c>
      <c r="F59" s="355">
        <f>'PART-A'!K528</f>
        <v>9635.33</v>
      </c>
      <c r="G59" s="353">
        <f>ROUND(D59*F59,0)</f>
        <v>0</v>
      </c>
      <c r="H59" s="633" t="s">
        <v>2312</v>
      </c>
      <c r="I59" s="637"/>
    </row>
    <row r="60" spans="1:9" s="360" customFormat="1" ht="15" hidden="1" customHeight="1">
      <c r="A60" s="356" t="s">
        <v>326</v>
      </c>
      <c r="B60" s="804" t="s">
        <v>2587</v>
      </c>
      <c r="C60" s="632" t="s">
        <v>2063</v>
      </c>
      <c r="D60" s="358">
        <f>'PART-A'!I536</f>
        <v>0</v>
      </c>
      <c r="E60" s="428" t="s">
        <v>5</v>
      </c>
      <c r="F60" s="355">
        <f>'PART-A'!K536</f>
        <v>9921.19</v>
      </c>
      <c r="G60" s="353">
        <f>ROUND(D60*F60,0)</f>
        <v>0</v>
      </c>
      <c r="H60" s="633" t="s">
        <v>2313</v>
      </c>
      <c r="I60" s="637"/>
    </row>
    <row r="61" spans="1:9" s="360" customFormat="1">
      <c r="A61" s="356" t="s">
        <v>469</v>
      </c>
      <c r="B61" s="804" t="s">
        <v>2588</v>
      </c>
      <c r="C61" s="809" t="s">
        <v>2064</v>
      </c>
      <c r="D61" s="358">
        <f>'PART-A'!I567</f>
        <v>118.08999999999999</v>
      </c>
      <c r="E61" s="354" t="s">
        <v>102</v>
      </c>
      <c r="F61" s="355">
        <f>'PART-A'!K567</f>
        <v>1071.8</v>
      </c>
      <c r="G61" s="353">
        <f t="shared" si="2"/>
        <v>126569</v>
      </c>
      <c r="H61" s="633" t="s">
        <v>2217</v>
      </c>
    </row>
    <row r="62" spans="1:9" s="360" customFormat="1" ht="15" hidden="1" customHeight="1">
      <c r="A62" s="356" t="s">
        <v>476</v>
      </c>
      <c r="B62" s="804" t="s">
        <v>2588</v>
      </c>
      <c r="C62" s="809" t="s">
        <v>2064</v>
      </c>
      <c r="D62" s="358">
        <f>'PART-A'!I573</f>
        <v>0</v>
      </c>
      <c r="E62" s="354" t="s">
        <v>102</v>
      </c>
      <c r="F62" s="355">
        <f>'PART-A'!K573</f>
        <v>1109.69</v>
      </c>
      <c r="G62" s="353">
        <f>ROUND(D62*F62,0)</f>
        <v>0</v>
      </c>
      <c r="H62" s="633" t="s">
        <v>2299</v>
      </c>
    </row>
    <row r="63" spans="1:9" s="360" customFormat="1" ht="15" hidden="1" customHeight="1">
      <c r="A63" s="356" t="s">
        <v>469</v>
      </c>
      <c r="B63" s="804" t="s">
        <v>2588</v>
      </c>
      <c r="C63" s="809" t="s">
        <v>2064</v>
      </c>
      <c r="D63" s="358">
        <f>'PART-A'!I580</f>
        <v>0</v>
      </c>
      <c r="E63" s="354" t="s">
        <v>102</v>
      </c>
      <c r="F63" s="355">
        <f>'PART-A'!K580</f>
        <v>1166.67</v>
      </c>
      <c r="G63" s="353">
        <f>ROUND(D63*F63,0)</f>
        <v>0</v>
      </c>
      <c r="H63" s="633" t="s">
        <v>2312</v>
      </c>
    </row>
    <row r="64" spans="1:9" s="360" customFormat="1" ht="15" hidden="1" customHeight="1">
      <c r="A64" s="356" t="s">
        <v>469</v>
      </c>
      <c r="B64" s="804" t="s">
        <v>2588</v>
      </c>
      <c r="C64" s="809" t="s">
        <v>2064</v>
      </c>
      <c r="D64" s="358">
        <f>'PART-A'!I586</f>
        <v>0</v>
      </c>
      <c r="E64" s="354" t="s">
        <v>102</v>
      </c>
      <c r="F64" s="355">
        <f>'PART-A'!K586</f>
        <v>1202.4000000000001</v>
      </c>
      <c r="G64" s="353">
        <f>ROUND(D64*F64,0)</f>
        <v>0</v>
      </c>
      <c r="H64" s="633" t="s">
        <v>2313</v>
      </c>
    </row>
    <row r="65" spans="1:8" s="360" customFormat="1">
      <c r="A65" s="356" t="s">
        <v>472</v>
      </c>
      <c r="B65" s="804" t="s">
        <v>2623</v>
      </c>
      <c r="C65" s="632" t="s">
        <v>2065</v>
      </c>
      <c r="D65" s="358">
        <f>'PART-A'!I544</f>
        <v>0</v>
      </c>
      <c r="E65" s="354" t="s">
        <v>102</v>
      </c>
      <c r="F65" s="355">
        <f>'PART-A'!K544</f>
        <v>1195.95</v>
      </c>
      <c r="G65" s="353">
        <f t="shared" si="2"/>
        <v>0</v>
      </c>
      <c r="H65" s="633" t="s">
        <v>2217</v>
      </c>
    </row>
    <row r="66" spans="1:8" s="360" customFormat="1" ht="15" hidden="1" customHeight="1">
      <c r="A66" s="356" t="s">
        <v>472</v>
      </c>
      <c r="B66" s="804" t="s">
        <v>2623</v>
      </c>
      <c r="C66" s="632" t="s">
        <v>2065</v>
      </c>
      <c r="D66" s="358">
        <f>'PART-A'!I550</f>
        <v>0</v>
      </c>
      <c r="E66" s="354" t="s">
        <v>102</v>
      </c>
      <c r="F66" s="355">
        <f>'PART-A'!K550</f>
        <v>1239.23</v>
      </c>
      <c r="G66" s="353">
        <f>ROUND(D66*F66,0)</f>
        <v>0</v>
      </c>
      <c r="H66" s="633" t="s">
        <v>2299</v>
      </c>
    </row>
    <row r="67" spans="1:8" s="360" customFormat="1" ht="15" hidden="1" customHeight="1">
      <c r="A67" s="356" t="s">
        <v>472</v>
      </c>
      <c r="B67" s="804" t="s">
        <v>2623</v>
      </c>
      <c r="C67" s="632" t="s">
        <v>2065</v>
      </c>
      <c r="D67" s="358">
        <f>'PART-A'!I555</f>
        <v>0</v>
      </c>
      <c r="E67" s="354" t="s">
        <v>102</v>
      </c>
      <c r="F67" s="355">
        <f>'PART-A'!K555</f>
        <v>1302.4000000000001</v>
      </c>
      <c r="G67" s="353">
        <f>ROUND(D67*F67,0)</f>
        <v>0</v>
      </c>
      <c r="H67" s="633" t="s">
        <v>2312</v>
      </c>
    </row>
    <row r="68" spans="1:8" s="360" customFormat="1" ht="15" hidden="1" customHeight="1">
      <c r="A68" s="356" t="s">
        <v>472</v>
      </c>
      <c r="B68" s="804" t="s">
        <v>2623</v>
      </c>
      <c r="C68" s="632" t="s">
        <v>2065</v>
      </c>
      <c r="D68" s="358">
        <f>'PART-A'!I561</f>
        <v>0</v>
      </c>
      <c r="E68" s="354" t="s">
        <v>102</v>
      </c>
      <c r="F68" s="355">
        <f>'PART-A'!K561</f>
        <v>1345.28</v>
      </c>
      <c r="G68" s="353">
        <f>ROUND(D68*F68,0)</f>
        <v>0</v>
      </c>
      <c r="H68" s="633" t="s">
        <v>2313</v>
      </c>
    </row>
    <row r="69" spans="1:8" s="360" customFormat="1" ht="15" hidden="1" customHeight="1">
      <c r="A69" s="356" t="s">
        <v>469</v>
      </c>
      <c r="B69" s="804" t="s">
        <v>2588</v>
      </c>
      <c r="C69" s="809" t="s">
        <v>2066</v>
      </c>
      <c r="D69" s="358">
        <f>'PART-A'!I592</f>
        <v>22.14</v>
      </c>
      <c r="E69" s="354" t="s">
        <v>102</v>
      </c>
      <c r="F69" s="355">
        <f>'PART-A'!K592</f>
        <v>947.64</v>
      </c>
      <c r="G69" s="353">
        <f t="shared" si="2"/>
        <v>20981</v>
      </c>
      <c r="H69" s="633" t="s">
        <v>2217</v>
      </c>
    </row>
    <row r="70" spans="1:8" s="360" customFormat="1" ht="15" hidden="1" customHeight="1">
      <c r="A70" s="356" t="s">
        <v>478</v>
      </c>
      <c r="B70" s="804" t="s">
        <v>2588</v>
      </c>
      <c r="C70" s="809" t="s">
        <v>2066</v>
      </c>
      <c r="D70" s="358">
        <f>'PART-A'!I598</f>
        <v>0</v>
      </c>
      <c r="E70" s="354" t="s">
        <v>102</v>
      </c>
      <c r="F70" s="355">
        <f>'PART-A'!K598</f>
        <v>980.15</v>
      </c>
      <c r="G70" s="353">
        <f>ROUND(D70*F70,0)</f>
        <v>0</v>
      </c>
      <c r="H70" s="633" t="s">
        <v>2299</v>
      </c>
    </row>
    <row r="71" spans="1:8" s="360" customFormat="1" ht="15" hidden="1" customHeight="1">
      <c r="A71" s="356" t="s">
        <v>469</v>
      </c>
      <c r="B71" s="804" t="s">
        <v>2588</v>
      </c>
      <c r="C71" s="809" t="s">
        <v>2066</v>
      </c>
      <c r="D71" s="358">
        <f>'PART-A'!I604</f>
        <v>0</v>
      </c>
      <c r="E71" s="354" t="s">
        <v>102</v>
      </c>
      <c r="F71" s="355">
        <f>'PART-A'!K604</f>
        <v>1030.9299999999998</v>
      </c>
      <c r="G71" s="353">
        <f>ROUND(D71*F71,0)</f>
        <v>0</v>
      </c>
      <c r="H71" s="633" t="s">
        <v>2312</v>
      </c>
    </row>
    <row r="72" spans="1:8" s="360" customFormat="1" ht="15" hidden="1" customHeight="1">
      <c r="A72" s="356" t="s">
        <v>469</v>
      </c>
      <c r="B72" s="804" t="s">
        <v>2588</v>
      </c>
      <c r="C72" s="809" t="s">
        <v>2066</v>
      </c>
      <c r="D72" s="358">
        <f>'PART-A'!I610</f>
        <v>0</v>
      </c>
      <c r="E72" s="354" t="s">
        <v>102</v>
      </c>
      <c r="F72" s="355">
        <f>'PART-A'!K610</f>
        <v>1059.52</v>
      </c>
      <c r="G72" s="353">
        <f>ROUND(D72*F72,0)</f>
        <v>0</v>
      </c>
      <c r="H72" s="633" t="s">
        <v>2313</v>
      </c>
    </row>
    <row r="73" spans="1:8" s="360" customFormat="1" ht="15" hidden="1" customHeight="1">
      <c r="A73" s="356" t="s">
        <v>479</v>
      </c>
      <c r="B73" s="804" t="s">
        <v>2588</v>
      </c>
      <c r="C73" s="809" t="s">
        <v>2067</v>
      </c>
      <c r="D73" s="358">
        <f>'PART-A'!I616</f>
        <v>0</v>
      </c>
      <c r="E73" s="354" t="s">
        <v>102</v>
      </c>
      <c r="F73" s="355">
        <f>'PART-A'!K616</f>
        <v>471.03</v>
      </c>
      <c r="G73" s="353">
        <f t="shared" si="2"/>
        <v>0</v>
      </c>
      <c r="H73" s="633" t="s">
        <v>2217</v>
      </c>
    </row>
    <row r="74" spans="1:8" s="360" customFormat="1" ht="15" hidden="1" customHeight="1">
      <c r="A74" s="356" t="s">
        <v>469</v>
      </c>
      <c r="B74" s="804" t="s">
        <v>2588</v>
      </c>
      <c r="C74" s="809" t="s">
        <v>2067</v>
      </c>
      <c r="D74" s="358">
        <f>'PART-A'!I622</f>
        <v>0</v>
      </c>
      <c r="E74" s="354" t="s">
        <v>102</v>
      </c>
      <c r="F74" s="355">
        <f>'PART-A'!K622</f>
        <v>487.1</v>
      </c>
      <c r="G74" s="353">
        <f>ROUND(D74*F74,0)</f>
        <v>0</v>
      </c>
      <c r="H74" s="633" t="s">
        <v>2299</v>
      </c>
    </row>
    <row r="75" spans="1:8" s="360" customFormat="1" ht="15" hidden="1" customHeight="1">
      <c r="A75" s="356" t="s">
        <v>469</v>
      </c>
      <c r="B75" s="804" t="s">
        <v>2588</v>
      </c>
      <c r="C75" s="809" t="s">
        <v>2067</v>
      </c>
      <c r="D75" s="358">
        <f>'PART-A'!I628</f>
        <v>0</v>
      </c>
      <c r="E75" s="354" t="s">
        <v>102</v>
      </c>
      <c r="F75" s="355">
        <f>'PART-A'!K628</f>
        <v>512.26</v>
      </c>
      <c r="G75" s="353">
        <f>ROUND(D75*F75,0)</f>
        <v>0</v>
      </c>
      <c r="H75" s="633" t="s">
        <v>2312</v>
      </c>
    </row>
    <row r="76" spans="1:8" s="360" customFormat="1" ht="15" hidden="1" customHeight="1">
      <c r="A76" s="356" t="s">
        <v>469</v>
      </c>
      <c r="B76" s="804" t="s">
        <v>2588</v>
      </c>
      <c r="C76" s="809" t="s">
        <v>2067</v>
      </c>
      <c r="D76" s="358">
        <f>'PART-A'!I634</f>
        <v>0</v>
      </c>
      <c r="E76" s="354" t="s">
        <v>102</v>
      </c>
      <c r="F76" s="355">
        <f>'PART-A'!K634</f>
        <v>526.29999999999995</v>
      </c>
      <c r="G76" s="353">
        <f>ROUND(D76*F76,0)</f>
        <v>0</v>
      </c>
      <c r="H76" s="633" t="s">
        <v>2313</v>
      </c>
    </row>
    <row r="77" spans="1:8" s="360" customFormat="1" ht="15" hidden="1" customHeight="1">
      <c r="A77" s="356" t="s">
        <v>475</v>
      </c>
      <c r="B77" s="804" t="s">
        <v>2588</v>
      </c>
      <c r="C77" s="809" t="s">
        <v>2068</v>
      </c>
      <c r="D77" s="358">
        <f>'PART-A'!I641</f>
        <v>0</v>
      </c>
      <c r="E77" s="354" t="s">
        <v>102</v>
      </c>
      <c r="F77" s="355">
        <f>'PART-A'!K641</f>
        <v>348.26</v>
      </c>
      <c r="G77" s="353">
        <f t="shared" si="2"/>
        <v>0</v>
      </c>
      <c r="H77" s="633" t="s">
        <v>2217</v>
      </c>
    </row>
    <row r="78" spans="1:8" s="360" customFormat="1" ht="15" hidden="1" customHeight="1">
      <c r="A78" s="356" t="s">
        <v>475</v>
      </c>
      <c r="B78" s="804" t="s">
        <v>2588</v>
      </c>
      <c r="C78" s="809" t="s">
        <v>2068</v>
      </c>
      <c r="D78" s="358">
        <f>'PART-A'!I648</f>
        <v>0</v>
      </c>
      <c r="E78" s="354" t="s">
        <v>102</v>
      </c>
      <c r="F78" s="355">
        <f>'PART-A'!K648</f>
        <v>359.05</v>
      </c>
      <c r="G78" s="353">
        <f>ROUND(D78*F78,0)</f>
        <v>0</v>
      </c>
      <c r="H78" s="633" t="s">
        <v>2299</v>
      </c>
    </row>
    <row r="79" spans="1:8" s="360" customFormat="1" ht="15" hidden="1" customHeight="1">
      <c r="A79" s="356" t="s">
        <v>475</v>
      </c>
      <c r="B79" s="804" t="s">
        <v>2588</v>
      </c>
      <c r="C79" s="809" t="s">
        <v>2068</v>
      </c>
      <c r="D79" s="358">
        <f>'PART-A'!I655</f>
        <v>0</v>
      </c>
      <c r="E79" s="354" t="s">
        <v>102</v>
      </c>
      <c r="F79" s="355">
        <f>'PART-A'!K655</f>
        <v>378.13</v>
      </c>
      <c r="G79" s="353">
        <f>ROUND(D79*F79,0)</f>
        <v>0</v>
      </c>
      <c r="H79" s="633" t="s">
        <v>2312</v>
      </c>
    </row>
    <row r="80" spans="1:8" s="360" customFormat="1" ht="15" hidden="1" customHeight="1">
      <c r="A80" s="356" t="s">
        <v>475</v>
      </c>
      <c r="B80" s="804" t="s">
        <v>2588</v>
      </c>
      <c r="C80" s="809" t="s">
        <v>2068</v>
      </c>
      <c r="D80" s="358">
        <f>'PART-A'!I662</f>
        <v>0</v>
      </c>
      <c r="E80" s="354" t="s">
        <v>102</v>
      </c>
      <c r="F80" s="355">
        <f>'PART-A'!K662</f>
        <v>385.15</v>
      </c>
      <c r="G80" s="353">
        <f>ROUND(D80*F80,0)</f>
        <v>0</v>
      </c>
      <c r="H80" s="633" t="s">
        <v>2313</v>
      </c>
    </row>
    <row r="81" spans="1:8" s="360" customFormat="1">
      <c r="A81" s="356" t="s">
        <v>473</v>
      </c>
      <c r="B81" s="804" t="s">
        <v>2589</v>
      </c>
      <c r="C81" s="632" t="s">
        <v>2069</v>
      </c>
      <c r="D81" s="358">
        <f>'PART-A'!I672</f>
        <v>1.21</v>
      </c>
      <c r="E81" s="354" t="s">
        <v>5</v>
      </c>
      <c r="F81" s="355">
        <f>'PART-A'!K672</f>
        <v>9288.880000000001</v>
      </c>
      <c r="G81" s="353">
        <f t="shared" si="2"/>
        <v>11240</v>
      </c>
      <c r="H81" s="633" t="s">
        <v>2217</v>
      </c>
    </row>
    <row r="82" spans="1:8" s="360" customFormat="1" ht="15" hidden="1" customHeight="1">
      <c r="A82" s="356" t="s">
        <v>474</v>
      </c>
      <c r="B82" s="804" t="s">
        <v>2589</v>
      </c>
      <c r="C82" s="632" t="s">
        <v>2069</v>
      </c>
      <c r="D82" s="358">
        <f>'PART-A'!I684</f>
        <v>0</v>
      </c>
      <c r="E82" s="354" t="s">
        <v>5</v>
      </c>
      <c r="F82" s="355">
        <f>'PART-A'!K684</f>
        <v>9638.93</v>
      </c>
      <c r="G82" s="353">
        <f>ROUND(D82*F82,0)</f>
        <v>0</v>
      </c>
      <c r="H82" s="633" t="s">
        <v>2299</v>
      </c>
    </row>
    <row r="83" spans="1:8" s="360" customFormat="1" ht="15" hidden="1" customHeight="1">
      <c r="A83" s="356" t="s">
        <v>475</v>
      </c>
      <c r="B83" s="804" t="s">
        <v>2589</v>
      </c>
      <c r="C83" s="632" t="s">
        <v>2069</v>
      </c>
      <c r="D83" s="358">
        <f>'PART-A'!I693</f>
        <v>0</v>
      </c>
      <c r="E83" s="354" t="s">
        <v>5</v>
      </c>
      <c r="F83" s="355">
        <f>'PART-A'!K693</f>
        <v>10171.82</v>
      </c>
      <c r="G83" s="353">
        <f>ROUND(D83*F83,0)</f>
        <v>0</v>
      </c>
      <c r="H83" s="633" t="s">
        <v>2312</v>
      </c>
    </row>
    <row r="84" spans="1:8" s="360" customFormat="1" ht="15" hidden="1" customHeight="1">
      <c r="A84" s="356" t="s">
        <v>475</v>
      </c>
      <c r="B84" s="804" t="s">
        <v>2589</v>
      </c>
      <c r="C84" s="632" t="s">
        <v>2069</v>
      </c>
      <c r="D84" s="358">
        <f>'PART-A'!I762</f>
        <v>0</v>
      </c>
      <c r="E84" s="354" t="s">
        <v>5</v>
      </c>
      <c r="F84" s="355">
        <f>'PART-A'!K762</f>
        <v>10584.6</v>
      </c>
      <c r="G84" s="353">
        <f>ROUND(D84*F84,0)</f>
        <v>0</v>
      </c>
      <c r="H84" s="633" t="s">
        <v>2313</v>
      </c>
    </row>
    <row r="85" spans="1:8" s="360" customFormat="1">
      <c r="A85" s="356" t="s">
        <v>474</v>
      </c>
      <c r="B85" s="804" t="s">
        <v>2590</v>
      </c>
      <c r="C85" s="632" t="s">
        <v>2070</v>
      </c>
      <c r="D85" s="358">
        <f>'PART-A'!I767</f>
        <v>7.5</v>
      </c>
      <c r="E85" s="354" t="s">
        <v>277</v>
      </c>
      <c r="F85" s="355">
        <f>'PART-A'!K767</f>
        <v>474.83999999999992</v>
      </c>
      <c r="G85" s="353">
        <f t="shared" si="2"/>
        <v>3561</v>
      </c>
      <c r="H85" s="633" t="s">
        <v>2217</v>
      </c>
    </row>
    <row r="86" spans="1:8" s="360" customFormat="1" ht="15" hidden="1" customHeight="1">
      <c r="A86" s="356" t="s">
        <v>475</v>
      </c>
      <c r="B86" s="804" t="s">
        <v>2590</v>
      </c>
      <c r="C86" s="632" t="s">
        <v>2070</v>
      </c>
      <c r="D86" s="358">
        <f>'PART-A'!I772</f>
        <v>0</v>
      </c>
      <c r="E86" s="354" t="s">
        <v>277</v>
      </c>
      <c r="F86" s="355">
        <f>'PART-A'!K772</f>
        <v>482.90999999999997</v>
      </c>
      <c r="G86" s="353">
        <f>ROUND(D86*F86,0)</f>
        <v>0</v>
      </c>
      <c r="H86" s="633" t="s">
        <v>2299</v>
      </c>
    </row>
    <row r="87" spans="1:8" s="360" customFormat="1" ht="15" hidden="1" customHeight="1">
      <c r="A87" s="356" t="s">
        <v>478</v>
      </c>
      <c r="B87" s="804" t="s">
        <v>2590</v>
      </c>
      <c r="C87" s="632" t="s">
        <v>2070</v>
      </c>
      <c r="D87" s="358">
        <f>'PART-A'!I778</f>
        <v>0</v>
      </c>
      <c r="E87" s="354" t="s">
        <v>277</v>
      </c>
      <c r="F87" s="355">
        <f>'PART-A'!K778</f>
        <v>507.79999999999995</v>
      </c>
      <c r="G87" s="353">
        <f>ROUND(D87*F87,0)</f>
        <v>0</v>
      </c>
      <c r="H87" s="633" t="s">
        <v>2312</v>
      </c>
    </row>
    <row r="88" spans="1:8" s="360" customFormat="1" ht="15" hidden="1" customHeight="1">
      <c r="A88" s="356" t="s">
        <v>478</v>
      </c>
      <c r="B88" s="804" t="s">
        <v>2590</v>
      </c>
      <c r="C88" s="632" t="s">
        <v>2070</v>
      </c>
      <c r="D88" s="358">
        <f>'PART-A'!I783</f>
        <v>0</v>
      </c>
      <c r="E88" s="354" t="s">
        <v>277</v>
      </c>
      <c r="F88" s="355">
        <f>'PART-A'!K783</f>
        <v>518.52</v>
      </c>
      <c r="G88" s="353">
        <f>ROUND(D88*F88,0)</f>
        <v>0</v>
      </c>
      <c r="H88" s="633" t="s">
        <v>2313</v>
      </c>
    </row>
    <row r="89" spans="1:8" s="360" customFormat="1" ht="15" hidden="1" customHeight="1">
      <c r="A89" s="356" t="s">
        <v>480</v>
      </c>
      <c r="B89" s="804" t="s">
        <v>2591</v>
      </c>
      <c r="C89" s="809" t="s">
        <v>1478</v>
      </c>
      <c r="D89" s="358">
        <f>'PART-A'!I790</f>
        <v>0</v>
      </c>
      <c r="E89" s="221" t="s">
        <v>102</v>
      </c>
      <c r="F89" s="355">
        <f>'PART-A'!K790</f>
        <v>259.97000000000003</v>
      </c>
      <c r="G89" s="353">
        <f t="shared" si="2"/>
        <v>0</v>
      </c>
      <c r="H89" s="633" t="s">
        <v>2217</v>
      </c>
    </row>
    <row r="90" spans="1:8" s="360" customFormat="1" ht="15" hidden="1" customHeight="1">
      <c r="A90" s="356" t="s">
        <v>484</v>
      </c>
      <c r="B90" s="804" t="s">
        <v>2591</v>
      </c>
      <c r="C90" s="809" t="s">
        <v>1478</v>
      </c>
      <c r="D90" s="358">
        <f>'PART-A'!I797</f>
        <v>0</v>
      </c>
      <c r="E90" s="221" t="s">
        <v>102</v>
      </c>
      <c r="F90" s="355">
        <f>'PART-A'!K797</f>
        <v>280.02999999999997</v>
      </c>
      <c r="G90" s="353">
        <f t="shared" si="2"/>
        <v>0</v>
      </c>
      <c r="H90" s="633" t="s">
        <v>2299</v>
      </c>
    </row>
    <row r="91" spans="1:8" s="360" customFormat="1" ht="15" hidden="1" customHeight="1">
      <c r="A91" s="356" t="s">
        <v>480</v>
      </c>
      <c r="B91" s="804" t="s">
        <v>2591</v>
      </c>
      <c r="C91" s="809" t="s">
        <v>1478</v>
      </c>
      <c r="D91" s="358">
        <f>'PART-A'!I803</f>
        <v>0</v>
      </c>
      <c r="E91" s="221" t="s">
        <v>102</v>
      </c>
      <c r="F91" s="355">
        <f>'PART-A'!K803</f>
        <v>297.22000000000003</v>
      </c>
      <c r="G91" s="353">
        <f>ROUND(D91*F91,0)</f>
        <v>0</v>
      </c>
      <c r="H91" s="633" t="s">
        <v>2312</v>
      </c>
    </row>
    <row r="92" spans="1:8" s="360" customFormat="1" ht="15" hidden="1" customHeight="1">
      <c r="A92" s="356" t="s">
        <v>480</v>
      </c>
      <c r="B92" s="804" t="s">
        <v>2591</v>
      </c>
      <c r="C92" s="809" t="s">
        <v>1478</v>
      </c>
      <c r="D92" s="358">
        <f>'PART-A'!I809</f>
        <v>0</v>
      </c>
      <c r="E92" s="221" t="s">
        <v>102</v>
      </c>
      <c r="F92" s="355">
        <f>'PART-A'!K809</f>
        <v>315.69</v>
      </c>
      <c r="G92" s="353">
        <f>ROUND(D92*F92,0)</f>
        <v>0</v>
      </c>
      <c r="H92" s="633" t="s">
        <v>2313</v>
      </c>
    </row>
    <row r="93" spans="1:8" s="360" customFormat="1" ht="15" hidden="1" customHeight="1">
      <c r="A93" s="356" t="s">
        <v>485</v>
      </c>
      <c r="B93" s="804" t="s">
        <v>2591</v>
      </c>
      <c r="C93" s="632" t="s">
        <v>1479</v>
      </c>
      <c r="D93" s="358">
        <f>'PART-A'!I815</f>
        <v>0</v>
      </c>
      <c r="E93" s="221" t="s">
        <v>102</v>
      </c>
      <c r="F93" s="355">
        <f>'PART-A'!K815</f>
        <v>330.39</v>
      </c>
      <c r="G93" s="353">
        <f t="shared" si="2"/>
        <v>0</v>
      </c>
      <c r="H93" s="633" t="s">
        <v>2217</v>
      </c>
    </row>
    <row r="94" spans="1:8" s="360" customFormat="1" ht="15" hidden="1" customHeight="1">
      <c r="A94" s="356" t="s">
        <v>476</v>
      </c>
      <c r="B94" s="804" t="s">
        <v>2591</v>
      </c>
      <c r="C94" s="632" t="s">
        <v>1479</v>
      </c>
      <c r="D94" s="358">
        <f>'PART-A'!I822</f>
        <v>0</v>
      </c>
      <c r="E94" s="221" t="s">
        <v>102</v>
      </c>
      <c r="F94" s="355">
        <f>'PART-A'!K822</f>
        <v>357.62</v>
      </c>
      <c r="G94" s="353">
        <f>ROUND(D94*F94,0)</f>
        <v>0</v>
      </c>
      <c r="H94" s="633" t="s">
        <v>2299</v>
      </c>
    </row>
    <row r="95" spans="1:8" s="360" customFormat="1" ht="15" hidden="1" customHeight="1">
      <c r="A95" s="356" t="s">
        <v>476</v>
      </c>
      <c r="B95" s="804" t="s">
        <v>2591</v>
      </c>
      <c r="C95" s="632" t="s">
        <v>1479</v>
      </c>
      <c r="D95" s="358">
        <f>'PART-A'!I828</f>
        <v>0</v>
      </c>
      <c r="E95" s="221" t="s">
        <v>102</v>
      </c>
      <c r="F95" s="355">
        <f>'PART-A'!K828</f>
        <v>380.75</v>
      </c>
      <c r="G95" s="353">
        <f>ROUND(D95*F95,0)</f>
        <v>0</v>
      </c>
      <c r="H95" s="633" t="s">
        <v>2312</v>
      </c>
    </row>
    <row r="96" spans="1:8" s="360" customFormat="1" ht="15" hidden="1" customHeight="1">
      <c r="A96" s="356" t="s">
        <v>476</v>
      </c>
      <c r="B96" s="804" t="s">
        <v>2591</v>
      </c>
      <c r="C96" s="632" t="s">
        <v>1479</v>
      </c>
      <c r="D96" s="358">
        <f>'PART-A'!I834</f>
        <v>0</v>
      </c>
      <c r="E96" s="221" t="s">
        <v>102</v>
      </c>
      <c r="F96" s="355">
        <f>'PART-A'!K834</f>
        <v>405.78</v>
      </c>
      <c r="G96" s="353">
        <f>ROUND(D96*F96,0)</f>
        <v>0</v>
      </c>
      <c r="H96" s="633" t="s">
        <v>2313</v>
      </c>
    </row>
    <row r="97" spans="1:8" s="360" customFormat="1" ht="15" customHeight="1">
      <c r="A97" s="356" t="s">
        <v>475</v>
      </c>
      <c r="B97" s="804" t="s">
        <v>2592</v>
      </c>
      <c r="C97" s="632" t="s">
        <v>2071</v>
      </c>
      <c r="D97" s="358">
        <f>'PART-A'!I1509</f>
        <v>0</v>
      </c>
      <c r="E97" s="354" t="s">
        <v>5</v>
      </c>
      <c r="F97" s="355">
        <f>'PART-A'!K1509</f>
        <v>4946.1699999999992</v>
      </c>
      <c r="G97" s="353">
        <f t="shared" si="2"/>
        <v>0</v>
      </c>
      <c r="H97" s="633" t="s">
        <v>2217</v>
      </c>
    </row>
    <row r="98" spans="1:8" s="360" customFormat="1" ht="15" hidden="1" customHeight="1">
      <c r="A98" s="356" t="s">
        <v>475</v>
      </c>
      <c r="B98" s="804" t="s">
        <v>2592</v>
      </c>
      <c r="C98" s="632" t="s">
        <v>2071</v>
      </c>
      <c r="D98" s="358">
        <f>'PART-A'!I1516</f>
        <v>0</v>
      </c>
      <c r="E98" s="354" t="s">
        <v>5</v>
      </c>
      <c r="F98" s="355">
        <f>'PART-A'!K1516</f>
        <v>5115.5200000000004</v>
      </c>
      <c r="G98" s="353">
        <f>ROUND(D98*F98,0)</f>
        <v>0</v>
      </c>
      <c r="H98" s="633" t="s">
        <v>2299</v>
      </c>
    </row>
    <row r="99" spans="1:8" s="360" customFormat="1" ht="15" hidden="1" customHeight="1">
      <c r="A99" s="356" t="s">
        <v>475</v>
      </c>
      <c r="B99" s="804" t="s">
        <v>2592</v>
      </c>
      <c r="C99" s="632" t="s">
        <v>2071</v>
      </c>
      <c r="D99" s="358">
        <f>'PART-A'!I1523</f>
        <v>0</v>
      </c>
      <c r="E99" s="354" t="s">
        <v>5</v>
      </c>
      <c r="F99" s="355">
        <f>'PART-A'!K1523</f>
        <v>5349.0700000000006</v>
      </c>
      <c r="G99" s="353">
        <f>ROUND(D99*F99,0)</f>
        <v>0</v>
      </c>
      <c r="H99" s="633" t="s">
        <v>2312</v>
      </c>
    </row>
    <row r="100" spans="1:8" s="360" customFormat="1" ht="15" hidden="1" customHeight="1">
      <c r="A100" s="356" t="s">
        <v>475</v>
      </c>
      <c r="B100" s="804" t="s">
        <v>2592</v>
      </c>
      <c r="C100" s="632" t="s">
        <v>2071</v>
      </c>
      <c r="D100" s="358">
        <f>'PART-A'!I1528</f>
        <v>0</v>
      </c>
      <c r="E100" s="354" t="s">
        <v>5</v>
      </c>
      <c r="F100" s="355">
        <f>'PART-A'!K1528</f>
        <v>5601.67</v>
      </c>
      <c r="G100" s="353">
        <f>ROUND(D100*F100,0)</f>
        <v>0</v>
      </c>
      <c r="H100" s="633" t="s">
        <v>2313</v>
      </c>
    </row>
    <row r="101" spans="1:8" s="360" customFormat="1" ht="15" hidden="1" customHeight="1">
      <c r="A101" s="356" t="s">
        <v>476</v>
      </c>
      <c r="B101" s="804" t="s">
        <v>2593</v>
      </c>
      <c r="C101" s="632" t="s">
        <v>1219</v>
      </c>
      <c r="D101" s="358">
        <f>'PART-A'!I841</f>
        <v>0</v>
      </c>
      <c r="E101" s="354" t="s">
        <v>5</v>
      </c>
      <c r="F101" s="355">
        <f>'PART-A'!K841</f>
        <v>3154.94</v>
      </c>
      <c r="G101" s="353">
        <f t="shared" si="2"/>
        <v>0</v>
      </c>
      <c r="H101" s="633" t="s">
        <v>2217</v>
      </c>
    </row>
    <row r="102" spans="1:8" s="360" customFormat="1" ht="15" hidden="1" customHeight="1">
      <c r="A102" s="356" t="s">
        <v>476</v>
      </c>
      <c r="B102" s="804" t="s">
        <v>2593</v>
      </c>
      <c r="C102" s="632" t="s">
        <v>1219</v>
      </c>
      <c r="D102" s="358">
        <f>'PART-A'!I848</f>
        <v>0</v>
      </c>
      <c r="E102" s="354" t="s">
        <v>5</v>
      </c>
      <c r="F102" s="355">
        <f>'PART-A'!K848</f>
        <v>3350.54</v>
      </c>
      <c r="G102" s="353">
        <f>ROUND(D102*F102,0)</f>
        <v>0</v>
      </c>
      <c r="H102" s="633" t="s">
        <v>2299</v>
      </c>
    </row>
    <row r="103" spans="1:8" s="360" customFormat="1" ht="15" hidden="1" customHeight="1">
      <c r="A103" s="356" t="s">
        <v>476</v>
      </c>
      <c r="B103" s="804" t="s">
        <v>2593</v>
      </c>
      <c r="C103" s="632" t="s">
        <v>1219</v>
      </c>
      <c r="D103" s="358">
        <f>'PART-A'!I855</f>
        <v>0</v>
      </c>
      <c r="E103" s="354" t="s">
        <v>5</v>
      </c>
      <c r="F103" s="355">
        <f>'PART-A'!K855</f>
        <v>3615.1600000000003</v>
      </c>
      <c r="G103" s="353">
        <f>ROUND(D103*F103,0)</f>
        <v>0</v>
      </c>
      <c r="H103" s="633" t="s">
        <v>2312</v>
      </c>
    </row>
    <row r="104" spans="1:8" s="360" customFormat="1" ht="15" hidden="1" customHeight="1">
      <c r="A104" s="356" t="s">
        <v>476</v>
      </c>
      <c r="B104" s="804" t="s">
        <v>2593</v>
      </c>
      <c r="C104" s="632" t="s">
        <v>1219</v>
      </c>
      <c r="D104" s="358">
        <f>'PART-A'!I862</f>
        <v>0</v>
      </c>
      <c r="E104" s="354" t="s">
        <v>5</v>
      </c>
      <c r="F104" s="355">
        <f>'PART-A'!K862</f>
        <v>3828.3500000000004</v>
      </c>
      <c r="G104" s="353">
        <f>ROUND(D104*F104,0)</f>
        <v>0</v>
      </c>
      <c r="H104" s="633" t="s">
        <v>2313</v>
      </c>
    </row>
    <row r="105" spans="1:8" s="360" customFormat="1">
      <c r="A105" s="356" t="s">
        <v>476</v>
      </c>
      <c r="B105" s="804" t="s">
        <v>2594</v>
      </c>
      <c r="C105" s="632" t="s">
        <v>828</v>
      </c>
      <c r="D105" s="358">
        <f>'PART-A'!I876</f>
        <v>22.569999999999997</v>
      </c>
      <c r="E105" s="354" t="s">
        <v>5</v>
      </c>
      <c r="F105" s="355">
        <f>'PART-A'!K876</f>
        <v>5588.9500000000007</v>
      </c>
      <c r="G105" s="353">
        <f t="shared" si="2"/>
        <v>126143</v>
      </c>
      <c r="H105" s="633" t="s">
        <v>2217</v>
      </c>
    </row>
    <row r="106" spans="1:8" s="360" customFormat="1" hidden="1">
      <c r="A106" s="356" t="s">
        <v>478</v>
      </c>
      <c r="B106" s="804" t="s">
        <v>2594</v>
      </c>
      <c r="C106" s="632" t="s">
        <v>828</v>
      </c>
      <c r="D106" s="358">
        <f>'PART-A'!I885</f>
        <v>0</v>
      </c>
      <c r="E106" s="354" t="s">
        <v>5</v>
      </c>
      <c r="F106" s="355">
        <f>'PART-A'!K885</f>
        <v>5751.7699999999995</v>
      </c>
      <c r="G106" s="353">
        <f>ROUND(D106*F106,0)</f>
        <v>0</v>
      </c>
      <c r="H106" s="633" t="s">
        <v>2299</v>
      </c>
    </row>
    <row r="107" spans="1:8" s="360" customFormat="1" ht="15" hidden="1" customHeight="1">
      <c r="A107" s="356" t="s">
        <v>487</v>
      </c>
      <c r="B107" s="804" t="s">
        <v>2594</v>
      </c>
      <c r="C107" s="632" t="s">
        <v>828</v>
      </c>
      <c r="D107" s="358">
        <f>'PART-A'!I896</f>
        <v>0</v>
      </c>
      <c r="E107" s="354" t="s">
        <v>5</v>
      </c>
      <c r="F107" s="355">
        <f>'PART-A'!K896</f>
        <v>6154.1100000000006</v>
      </c>
      <c r="G107" s="353">
        <f>ROUND(D107*F107,0)</f>
        <v>0</v>
      </c>
      <c r="H107" s="633" t="s">
        <v>2312</v>
      </c>
    </row>
    <row r="108" spans="1:8" s="360" customFormat="1" ht="15" hidden="1" customHeight="1">
      <c r="A108" s="356" t="s">
        <v>479</v>
      </c>
      <c r="B108" s="804" t="s">
        <v>2594</v>
      </c>
      <c r="C108" s="632" t="s">
        <v>828</v>
      </c>
      <c r="D108" s="358">
        <f>'PART-A'!I914</f>
        <v>0</v>
      </c>
      <c r="E108" s="354" t="s">
        <v>5</v>
      </c>
      <c r="F108" s="355">
        <f>'PART-A'!K914</f>
        <v>6869.83</v>
      </c>
      <c r="G108" s="353">
        <f>ROUND(D108*F108,0)</f>
        <v>0</v>
      </c>
      <c r="H108" s="633" t="s">
        <v>2313</v>
      </c>
    </row>
    <row r="109" spans="1:8" s="360" customFormat="1">
      <c r="A109" s="356" t="s">
        <v>478</v>
      </c>
      <c r="B109" s="804" t="s">
        <v>2596</v>
      </c>
      <c r="C109" s="632" t="s">
        <v>829</v>
      </c>
      <c r="D109" s="358">
        <f>'PART-A'!I934</f>
        <v>17.52</v>
      </c>
      <c r="E109" s="354" t="s">
        <v>5</v>
      </c>
      <c r="F109" s="355">
        <f>'PART-A'!K934</f>
        <v>5645.35</v>
      </c>
      <c r="G109" s="353">
        <f t="shared" si="2"/>
        <v>98907</v>
      </c>
      <c r="H109" s="633" t="s">
        <v>2217</v>
      </c>
    </row>
    <row r="110" spans="1:8" s="360" customFormat="1" hidden="1">
      <c r="A110" s="356" t="s">
        <v>479</v>
      </c>
      <c r="B110" s="804" t="s">
        <v>2596</v>
      </c>
      <c r="C110" s="632" t="s">
        <v>829</v>
      </c>
      <c r="D110" s="358">
        <f>'PART-A'!I950</f>
        <v>0</v>
      </c>
      <c r="E110" s="354" t="s">
        <v>5</v>
      </c>
      <c r="F110" s="355">
        <f>'PART-A'!K950</f>
        <v>5808.1699999999992</v>
      </c>
      <c r="G110" s="353">
        <f>ROUND(D110*F110,0)</f>
        <v>0</v>
      </c>
      <c r="H110" s="633" t="s">
        <v>2299</v>
      </c>
    </row>
    <row r="111" spans="1:8" s="360" customFormat="1" ht="15" hidden="1" customHeight="1">
      <c r="A111" s="356" t="s">
        <v>490</v>
      </c>
      <c r="B111" s="804" t="s">
        <v>2596</v>
      </c>
      <c r="C111" s="632" t="s">
        <v>829</v>
      </c>
      <c r="D111" s="358">
        <f>'PART-A'!I956</f>
        <v>0</v>
      </c>
      <c r="E111" s="354" t="s">
        <v>5</v>
      </c>
      <c r="F111" s="355">
        <f>'PART-A'!K956</f>
        <v>6210.51</v>
      </c>
      <c r="G111" s="353">
        <f>ROUND(D111*F111,0)</f>
        <v>0</v>
      </c>
      <c r="H111" s="633" t="s">
        <v>2312</v>
      </c>
    </row>
    <row r="112" spans="1:8" s="360" customFormat="1" ht="15" hidden="1" customHeight="1">
      <c r="A112" s="356" t="s">
        <v>480</v>
      </c>
      <c r="B112" s="804" t="s">
        <v>2596</v>
      </c>
      <c r="C112" s="632" t="s">
        <v>829</v>
      </c>
      <c r="D112" s="358">
        <f>'PART-A'!I1010</f>
        <v>0</v>
      </c>
      <c r="E112" s="354" t="s">
        <v>5</v>
      </c>
      <c r="F112" s="355">
        <f>'PART-A'!K1010</f>
        <v>6926.2300000000005</v>
      </c>
      <c r="G112" s="353">
        <f>ROUND(D112*F112,0)</f>
        <v>0</v>
      </c>
      <c r="H112" s="633" t="s">
        <v>2313</v>
      </c>
    </row>
    <row r="113" spans="1:8" s="360" customFormat="1">
      <c r="A113" s="356" t="s">
        <v>479</v>
      </c>
      <c r="B113" s="804" t="s">
        <v>2595</v>
      </c>
      <c r="C113" s="632" t="s">
        <v>2447</v>
      </c>
      <c r="D113" s="358">
        <f>'PART-A'!I1037</f>
        <v>78.33</v>
      </c>
      <c r="E113" s="354" t="s">
        <v>102</v>
      </c>
      <c r="F113" s="355">
        <f>'PART-A'!K1037</f>
        <v>710.66</v>
      </c>
      <c r="G113" s="353">
        <f t="shared" ref="G113:G121" si="3">ROUND(D113*F113/1,0)</f>
        <v>55666</v>
      </c>
      <c r="H113" s="633" t="s">
        <v>2217</v>
      </c>
    </row>
    <row r="114" spans="1:8" s="360" customFormat="1" ht="15" hidden="1" customHeight="1">
      <c r="A114" s="356" t="s">
        <v>2455</v>
      </c>
      <c r="B114" s="804" t="s">
        <v>2595</v>
      </c>
      <c r="C114" s="632" t="s">
        <v>2447</v>
      </c>
      <c r="D114" s="358">
        <f>'PART-A'!I1060</f>
        <v>0</v>
      </c>
      <c r="E114" s="354" t="s">
        <v>102</v>
      </c>
      <c r="F114" s="355">
        <f>'PART-A'!K1060</f>
        <v>732.88</v>
      </c>
      <c r="G114" s="353">
        <f>ROUND(D114*F114/1,0)</f>
        <v>0</v>
      </c>
      <c r="H114" s="633" t="s">
        <v>2299</v>
      </c>
    </row>
    <row r="115" spans="1:8" s="360" customFormat="1" ht="15" hidden="1" customHeight="1">
      <c r="A115" s="356" t="s">
        <v>484</v>
      </c>
      <c r="B115" s="804" t="s">
        <v>2595</v>
      </c>
      <c r="C115" s="632" t="s">
        <v>2447</v>
      </c>
      <c r="D115" s="358">
        <f>'PART-A'!I1067</f>
        <v>0</v>
      </c>
      <c r="E115" s="354" t="s">
        <v>102</v>
      </c>
      <c r="F115" s="355">
        <f>'PART-A'!K1067</f>
        <v>782.58</v>
      </c>
      <c r="G115" s="353">
        <f>ROUND(D115*F115/1,0)</f>
        <v>0</v>
      </c>
      <c r="H115" s="633" t="s">
        <v>2312</v>
      </c>
    </row>
    <row r="116" spans="1:8" s="360" customFormat="1" ht="15" hidden="1" customHeight="1">
      <c r="A116" s="356" t="s">
        <v>484</v>
      </c>
      <c r="B116" s="804" t="s">
        <v>2595</v>
      </c>
      <c r="C116" s="632" t="s">
        <v>2447</v>
      </c>
      <c r="D116" s="358">
        <f>'PART-A'!I1121</f>
        <v>0</v>
      </c>
      <c r="E116" s="354" t="s">
        <v>102</v>
      </c>
      <c r="F116" s="355">
        <f>'PART-A'!K1121</f>
        <v>865.32</v>
      </c>
      <c r="G116" s="353">
        <f>ROUND(D116*F116/1,0)</f>
        <v>0</v>
      </c>
      <c r="H116" s="633" t="s">
        <v>2313</v>
      </c>
    </row>
    <row r="117" spans="1:8" s="360" customFormat="1" ht="15" hidden="1" customHeight="1">
      <c r="A117" s="356" t="s">
        <v>482</v>
      </c>
      <c r="B117" s="804" t="s">
        <v>2597</v>
      </c>
      <c r="C117" s="632" t="s">
        <v>1221</v>
      </c>
      <c r="D117" s="358">
        <f>'PART-A'!I1129</f>
        <v>0</v>
      </c>
      <c r="E117" s="354" t="s">
        <v>102</v>
      </c>
      <c r="F117" s="355">
        <f>'PART-A'!K1129</f>
        <v>5224.74</v>
      </c>
      <c r="G117" s="353">
        <f t="shared" si="3"/>
        <v>0</v>
      </c>
      <c r="H117" s="633" t="s">
        <v>2217</v>
      </c>
    </row>
    <row r="118" spans="1:8" s="360" customFormat="1" ht="15" hidden="1" customHeight="1">
      <c r="A118" s="356" t="s">
        <v>482</v>
      </c>
      <c r="B118" s="804" t="s">
        <v>2597</v>
      </c>
      <c r="C118" s="632" t="s">
        <v>1221</v>
      </c>
      <c r="D118" s="358">
        <f>'PART-A'!I1137</f>
        <v>0</v>
      </c>
      <c r="E118" s="354" t="s">
        <v>102</v>
      </c>
      <c r="F118" s="355">
        <f>'PART-A'!K1137</f>
        <v>5403.9299999999994</v>
      </c>
      <c r="G118" s="353">
        <f>ROUND(D118*F118/1,0)</f>
        <v>0</v>
      </c>
      <c r="H118" s="633" t="s">
        <v>2299</v>
      </c>
    </row>
    <row r="119" spans="1:8" s="360" customFormat="1" ht="15" hidden="1" customHeight="1">
      <c r="A119" s="356" t="s">
        <v>482</v>
      </c>
      <c r="B119" s="804" t="s">
        <v>2597</v>
      </c>
      <c r="C119" s="632" t="s">
        <v>1221</v>
      </c>
      <c r="D119" s="358">
        <f>'PART-A'!I1145</f>
        <v>0</v>
      </c>
      <c r="E119" s="354" t="s">
        <v>102</v>
      </c>
      <c r="F119" s="355">
        <f>'PART-A'!K1145</f>
        <v>5899.35</v>
      </c>
      <c r="G119" s="353">
        <f>ROUND(D119*F119/1,0)</f>
        <v>0</v>
      </c>
      <c r="H119" s="633" t="s">
        <v>2312</v>
      </c>
    </row>
    <row r="120" spans="1:8" s="360" customFormat="1" ht="15" hidden="1" customHeight="1">
      <c r="A120" s="356" t="s">
        <v>482</v>
      </c>
      <c r="B120" s="804" t="s">
        <v>2597</v>
      </c>
      <c r="C120" s="632" t="s">
        <v>1221</v>
      </c>
      <c r="D120" s="358">
        <f>'PART-A'!I1153</f>
        <v>0</v>
      </c>
      <c r="E120" s="354" t="s">
        <v>102</v>
      </c>
      <c r="F120" s="355">
        <f>'PART-A'!K1153</f>
        <v>6281.3700000000008</v>
      </c>
      <c r="G120" s="353">
        <f>ROUND(D120*F120/1,0)</f>
        <v>0</v>
      </c>
      <c r="H120" s="633" t="s">
        <v>2313</v>
      </c>
    </row>
    <row r="121" spans="1:8" s="360" customFormat="1" ht="15" hidden="1" customHeight="1">
      <c r="A121" s="356" t="s">
        <v>479</v>
      </c>
      <c r="B121" s="804"/>
      <c r="C121" s="809" t="s">
        <v>1214</v>
      </c>
      <c r="D121" s="358">
        <f>'PART-A'!I1159</f>
        <v>0</v>
      </c>
      <c r="E121" s="354" t="s">
        <v>102</v>
      </c>
      <c r="F121" s="355">
        <f>'PART-A'!K1159</f>
        <v>1815.79</v>
      </c>
      <c r="G121" s="353">
        <f t="shared" si="3"/>
        <v>0</v>
      </c>
      <c r="H121" s="633" t="s">
        <v>2217</v>
      </c>
    </row>
    <row r="122" spans="1:8" s="360" customFormat="1" ht="15" hidden="1" customHeight="1">
      <c r="A122" s="356" t="s">
        <v>479</v>
      </c>
      <c r="B122" s="804"/>
      <c r="C122" s="809" t="s">
        <v>1214</v>
      </c>
      <c r="D122" s="358">
        <f>'PART-A'!I1166</f>
        <v>0</v>
      </c>
      <c r="E122" s="354" t="s">
        <v>102</v>
      </c>
      <c r="F122" s="355">
        <f>'PART-A'!K1166</f>
        <v>1966.77</v>
      </c>
      <c r="G122" s="353">
        <f>ROUND(D122*F122/1,0)</f>
        <v>0</v>
      </c>
      <c r="H122" s="633" t="s">
        <v>2299</v>
      </c>
    </row>
    <row r="123" spans="1:8" s="360" customFormat="1" ht="15" hidden="1" customHeight="1">
      <c r="A123" s="356" t="s">
        <v>479</v>
      </c>
      <c r="B123" s="804"/>
      <c r="C123" s="809" t="s">
        <v>1214</v>
      </c>
      <c r="D123" s="358">
        <f>'PART-A'!I1171</f>
        <v>0</v>
      </c>
      <c r="E123" s="354" t="s">
        <v>102</v>
      </c>
      <c r="F123" s="355">
        <f>'PART-A'!K1171</f>
        <v>2093.16</v>
      </c>
      <c r="G123" s="353">
        <f>ROUND(D123*F123/1,0)</f>
        <v>0</v>
      </c>
      <c r="H123" s="633" t="s">
        <v>2312</v>
      </c>
    </row>
    <row r="124" spans="1:8" s="360" customFormat="1" ht="15" hidden="1" customHeight="1">
      <c r="A124" s="356" t="s">
        <v>479</v>
      </c>
      <c r="B124" s="804"/>
      <c r="C124" s="809" t="s">
        <v>1214</v>
      </c>
      <c r="D124" s="358">
        <f>'PART-A'!I1178</f>
        <v>0</v>
      </c>
      <c r="E124" s="354" t="s">
        <v>102</v>
      </c>
      <c r="F124" s="355">
        <f>'PART-A'!K1178</f>
        <v>2232.9699999999998</v>
      </c>
      <c r="G124" s="353">
        <f>ROUND(D124*F124/1,0)</f>
        <v>0</v>
      </c>
      <c r="H124" s="633" t="s">
        <v>2313</v>
      </c>
    </row>
    <row r="125" spans="1:8" s="360" customFormat="1">
      <c r="A125" s="356" t="s">
        <v>2455</v>
      </c>
      <c r="B125" s="804" t="s">
        <v>2628</v>
      </c>
      <c r="C125" s="632" t="s">
        <v>481</v>
      </c>
      <c r="D125" s="358">
        <f>'PART-A'!I1200</f>
        <v>134.56000000000003</v>
      </c>
      <c r="E125" s="354" t="s">
        <v>102</v>
      </c>
      <c r="F125" s="355">
        <f>'PART-A'!K1200</f>
        <v>264.94</v>
      </c>
      <c r="G125" s="353">
        <f t="shared" ref="G125:G157" si="4">ROUND(D125*F125,0)</f>
        <v>35650</v>
      </c>
      <c r="H125" s="633" t="s">
        <v>2217</v>
      </c>
    </row>
    <row r="126" spans="1:8" s="360" customFormat="1" hidden="1">
      <c r="A126" s="356" t="s">
        <v>480</v>
      </c>
      <c r="B126" s="804" t="s">
        <v>2598</v>
      </c>
      <c r="C126" s="632" t="s">
        <v>481</v>
      </c>
      <c r="D126" s="358">
        <f>'PART-A'!I1220</f>
        <v>0</v>
      </c>
      <c r="E126" s="354" t="s">
        <v>102</v>
      </c>
      <c r="F126" s="355">
        <f>'PART-A'!K1220</f>
        <v>284</v>
      </c>
      <c r="G126" s="353">
        <f>ROUND(D126*F126,0)</f>
        <v>0</v>
      </c>
      <c r="H126" s="633" t="s">
        <v>2299</v>
      </c>
    </row>
    <row r="127" spans="1:8" s="360" customFormat="1" ht="15" hidden="1" customHeight="1">
      <c r="A127" s="356" t="s">
        <v>492</v>
      </c>
      <c r="B127" s="804" t="s">
        <v>2598</v>
      </c>
      <c r="C127" s="632" t="s">
        <v>481</v>
      </c>
      <c r="D127" s="358">
        <f>'PART-A'!I1247</f>
        <v>0</v>
      </c>
      <c r="E127" s="354" t="s">
        <v>102</v>
      </c>
      <c r="F127" s="355">
        <f>'PART-A'!K1247</f>
        <v>300.93</v>
      </c>
      <c r="G127" s="353">
        <f>ROUND(D127*F127,0)</f>
        <v>0</v>
      </c>
      <c r="H127" s="633" t="s">
        <v>2312</v>
      </c>
    </row>
    <row r="128" spans="1:8" s="360" customFormat="1" ht="15" hidden="1" customHeight="1">
      <c r="A128" s="356" t="s">
        <v>484</v>
      </c>
      <c r="B128" s="804" t="s">
        <v>2598</v>
      </c>
      <c r="C128" s="632" t="s">
        <v>481</v>
      </c>
      <c r="D128" s="358">
        <f>'PART-A'!I1265</f>
        <v>0</v>
      </c>
      <c r="E128" s="354" t="s">
        <v>102</v>
      </c>
      <c r="F128" s="355">
        <f>'PART-A'!K1265</f>
        <v>318.2</v>
      </c>
      <c r="G128" s="353">
        <f>ROUND(D128*F128,0)</f>
        <v>0</v>
      </c>
      <c r="H128" s="633" t="s">
        <v>2313</v>
      </c>
    </row>
    <row r="129" spans="1:8" s="360" customFormat="1" ht="15" hidden="1" customHeight="1">
      <c r="A129" s="356" t="s">
        <v>483</v>
      </c>
      <c r="B129" s="804" t="s">
        <v>2601</v>
      </c>
      <c r="C129" s="632" t="s">
        <v>505</v>
      </c>
      <c r="D129" s="358">
        <f>'PART-A'!I1272</f>
        <v>0</v>
      </c>
      <c r="E129" s="354" t="s">
        <v>102</v>
      </c>
      <c r="F129" s="355">
        <f>'PART-A'!K1272</f>
        <v>242.02</v>
      </c>
      <c r="G129" s="353">
        <f t="shared" si="4"/>
        <v>0</v>
      </c>
      <c r="H129" s="633" t="s">
        <v>2217</v>
      </c>
    </row>
    <row r="130" spans="1:8" s="360" customFormat="1" ht="15" hidden="1" customHeight="1">
      <c r="A130" s="356" t="s">
        <v>483</v>
      </c>
      <c r="B130" s="804" t="s">
        <v>2601</v>
      </c>
      <c r="C130" s="632" t="s">
        <v>505</v>
      </c>
      <c r="D130" s="358">
        <f>'PART-A'!I1279</f>
        <v>0</v>
      </c>
      <c r="E130" s="354" t="s">
        <v>102</v>
      </c>
      <c r="F130" s="355">
        <f>'PART-A'!K1279</f>
        <v>261.07</v>
      </c>
      <c r="G130" s="353">
        <f>ROUND(D130*F130,0)</f>
        <v>0</v>
      </c>
      <c r="H130" s="633" t="s">
        <v>2299</v>
      </c>
    </row>
    <row r="131" spans="1:8" s="360" customFormat="1" ht="15" hidden="1" customHeight="1">
      <c r="A131" s="356" t="s">
        <v>483</v>
      </c>
      <c r="B131" s="804" t="s">
        <v>2601</v>
      </c>
      <c r="C131" s="632" t="s">
        <v>505</v>
      </c>
      <c r="D131" s="358">
        <f>'PART-A'!I1287</f>
        <v>0</v>
      </c>
      <c r="E131" s="354" t="s">
        <v>102</v>
      </c>
      <c r="F131" s="355">
        <f>'PART-A'!K1287</f>
        <v>277.43</v>
      </c>
      <c r="G131" s="353">
        <f>ROUND(D131*F131,0)</f>
        <v>0</v>
      </c>
      <c r="H131" s="633" t="s">
        <v>2312</v>
      </c>
    </row>
    <row r="132" spans="1:8" s="360" customFormat="1" ht="15" hidden="1" customHeight="1">
      <c r="A132" s="356" t="s">
        <v>483</v>
      </c>
      <c r="B132" s="804" t="s">
        <v>2601</v>
      </c>
      <c r="C132" s="632" t="s">
        <v>505</v>
      </c>
      <c r="D132" s="358">
        <f>'PART-A'!I1294</f>
        <v>0</v>
      </c>
      <c r="E132" s="354" t="s">
        <v>102</v>
      </c>
      <c r="F132" s="355">
        <f>'PART-A'!K1294</f>
        <v>294.70999999999998</v>
      </c>
      <c r="G132" s="353">
        <f>ROUND(D132*F132,0)</f>
        <v>0</v>
      </c>
      <c r="H132" s="633" t="s">
        <v>2313</v>
      </c>
    </row>
    <row r="133" spans="1:8" s="360" customFormat="1" ht="15" customHeight="1">
      <c r="A133" s="356" t="s">
        <v>480</v>
      </c>
      <c r="B133" s="804" t="s">
        <v>2602</v>
      </c>
      <c r="C133" s="632" t="s">
        <v>631</v>
      </c>
      <c r="D133" s="358">
        <f>'PART-A'!I1299</f>
        <v>0</v>
      </c>
      <c r="E133" s="354" t="s">
        <v>102</v>
      </c>
      <c r="F133" s="355">
        <f>'PART-A'!K1299</f>
        <v>259.87</v>
      </c>
      <c r="G133" s="353">
        <f t="shared" si="4"/>
        <v>0</v>
      </c>
      <c r="H133" s="633" t="s">
        <v>2217</v>
      </c>
    </row>
    <row r="134" spans="1:8" s="360" customFormat="1" ht="15" hidden="1" customHeight="1">
      <c r="A134" s="356" t="s">
        <v>484</v>
      </c>
      <c r="B134" s="804" t="s">
        <v>2602</v>
      </c>
      <c r="C134" s="632" t="s">
        <v>631</v>
      </c>
      <c r="D134" s="358">
        <f>'PART-A'!I1306</f>
        <v>0</v>
      </c>
      <c r="E134" s="354" t="s">
        <v>102</v>
      </c>
      <c r="F134" s="355">
        <f>'PART-A'!K1306</f>
        <v>279.49</v>
      </c>
      <c r="G134" s="353">
        <f>ROUND(D134*F134,0)</f>
        <v>0</v>
      </c>
      <c r="H134" s="633" t="s">
        <v>2299</v>
      </c>
    </row>
    <row r="135" spans="1:8" s="360" customFormat="1" ht="15" hidden="1" customHeight="1">
      <c r="A135" s="356" t="s">
        <v>484</v>
      </c>
      <c r="B135" s="804" t="s">
        <v>2602</v>
      </c>
      <c r="C135" s="632" t="s">
        <v>631</v>
      </c>
      <c r="D135" s="358">
        <f>'PART-A'!I1313</f>
        <v>0</v>
      </c>
      <c r="E135" s="354" t="s">
        <v>102</v>
      </c>
      <c r="F135" s="355">
        <f>'PART-A'!K1313</f>
        <v>297.13</v>
      </c>
      <c r="G135" s="353">
        <f>ROUND(D135*F135,0)</f>
        <v>0</v>
      </c>
      <c r="H135" s="633" t="s">
        <v>2312</v>
      </c>
    </row>
    <row r="136" spans="1:8" s="360" customFormat="1" ht="15" hidden="1" customHeight="1">
      <c r="A136" s="356" t="s">
        <v>484</v>
      </c>
      <c r="B136" s="804" t="s">
        <v>2602</v>
      </c>
      <c r="C136" s="632" t="s">
        <v>631</v>
      </c>
      <c r="D136" s="358">
        <f>'PART-A'!I1318</f>
        <v>0</v>
      </c>
      <c r="E136" s="354" t="s">
        <v>102</v>
      </c>
      <c r="F136" s="355">
        <f>'PART-A'!K1318</f>
        <v>314.89999999999998</v>
      </c>
      <c r="G136" s="353">
        <f>ROUND(D136*F136,0)</f>
        <v>0</v>
      </c>
      <c r="H136" s="633" t="s">
        <v>2313</v>
      </c>
    </row>
    <row r="137" spans="1:8" s="360" customFormat="1">
      <c r="A137" s="356" t="s">
        <v>482</v>
      </c>
      <c r="B137" s="804" t="s">
        <v>2599</v>
      </c>
      <c r="C137" s="632" t="s">
        <v>830</v>
      </c>
      <c r="D137" s="358">
        <f>'PART-A'!I1350</f>
        <v>263.17999999999995</v>
      </c>
      <c r="E137" s="354" t="s">
        <v>102</v>
      </c>
      <c r="F137" s="355">
        <f>'PART-A'!K1350</f>
        <v>317.8</v>
      </c>
      <c r="G137" s="353">
        <f t="shared" si="4"/>
        <v>83639</v>
      </c>
      <c r="H137" s="633" t="s">
        <v>2217</v>
      </c>
    </row>
    <row r="138" spans="1:8" s="360" customFormat="1" hidden="1">
      <c r="A138" s="356" t="s">
        <v>482</v>
      </c>
      <c r="B138" s="804" t="s">
        <v>2599</v>
      </c>
      <c r="C138" s="632" t="s">
        <v>830</v>
      </c>
      <c r="D138" s="358">
        <f>'PART-A'!I1379</f>
        <v>0</v>
      </c>
      <c r="E138" s="354" t="s">
        <v>102</v>
      </c>
      <c r="F138" s="355">
        <f>'PART-A'!K1379</f>
        <v>343.65</v>
      </c>
      <c r="G138" s="353">
        <f>ROUND(D138*F138,0)</f>
        <v>0</v>
      </c>
      <c r="H138" s="633" t="s">
        <v>2299</v>
      </c>
    </row>
    <row r="139" spans="1:8" s="360" customFormat="1" ht="15" hidden="1" customHeight="1">
      <c r="A139" s="356" t="s">
        <v>494</v>
      </c>
      <c r="B139" s="804" t="s">
        <v>2599</v>
      </c>
      <c r="C139" s="632" t="s">
        <v>830</v>
      </c>
      <c r="D139" s="358">
        <f>'PART-A'!I1431</f>
        <v>0</v>
      </c>
      <c r="E139" s="354" t="s">
        <v>102</v>
      </c>
      <c r="F139" s="355">
        <f>'PART-A'!K1431</f>
        <v>364.75</v>
      </c>
      <c r="G139" s="353">
        <f>ROUND(D139*F139,0)</f>
        <v>0</v>
      </c>
      <c r="H139" s="633" t="s">
        <v>2312</v>
      </c>
    </row>
    <row r="140" spans="1:8" s="360" customFormat="1" ht="15" hidden="1" customHeight="1">
      <c r="A140" s="356" t="s">
        <v>486</v>
      </c>
      <c r="B140" s="804" t="s">
        <v>2599</v>
      </c>
      <c r="C140" s="632" t="s">
        <v>830</v>
      </c>
      <c r="D140" s="358">
        <f>'PART-A'!I1451</f>
        <v>0</v>
      </c>
      <c r="E140" s="354" t="s">
        <v>102</v>
      </c>
      <c r="F140" s="355">
        <f>'PART-A'!K1451</f>
        <v>388.21</v>
      </c>
      <c r="G140" s="353">
        <f>ROUND(D140*F140,0)</f>
        <v>0</v>
      </c>
      <c r="H140" s="633" t="s">
        <v>2313</v>
      </c>
    </row>
    <row r="141" spans="1:8" s="360" customFormat="1">
      <c r="A141" s="356" t="s">
        <v>483</v>
      </c>
      <c r="B141" s="804" t="s">
        <v>2600</v>
      </c>
      <c r="C141" s="632" t="s">
        <v>541</v>
      </c>
      <c r="D141" s="358">
        <f>'PART-A'!I1457</f>
        <v>125.81</v>
      </c>
      <c r="E141" s="354" t="s">
        <v>102</v>
      </c>
      <c r="F141" s="355">
        <f>'PART-A'!K1457</f>
        <v>331.15</v>
      </c>
      <c r="G141" s="353">
        <f t="shared" si="4"/>
        <v>41662</v>
      </c>
      <c r="H141" s="633" t="s">
        <v>2217</v>
      </c>
    </row>
    <row r="142" spans="1:8" s="360" customFormat="1" hidden="1">
      <c r="A142" s="356" t="s">
        <v>483</v>
      </c>
      <c r="B142" s="804" t="s">
        <v>2600</v>
      </c>
      <c r="C142" s="632" t="s">
        <v>541</v>
      </c>
      <c r="D142" s="358">
        <f>'PART-A'!I1463</f>
        <v>0</v>
      </c>
      <c r="E142" s="354" t="s">
        <v>102</v>
      </c>
      <c r="F142" s="355">
        <f>'PART-A'!K1463</f>
        <v>357.58</v>
      </c>
      <c r="G142" s="353">
        <f>ROUND(D142*F142,0)</f>
        <v>0</v>
      </c>
      <c r="H142" s="633" t="s">
        <v>2299</v>
      </c>
    </row>
    <row r="143" spans="1:8" s="360" customFormat="1" ht="15" hidden="1" customHeight="1">
      <c r="A143" s="356" t="s">
        <v>1515</v>
      </c>
      <c r="B143" s="804" t="s">
        <v>2600</v>
      </c>
      <c r="C143" s="632" t="s">
        <v>541</v>
      </c>
      <c r="D143" s="358">
        <f>'PART-A'!I1482</f>
        <v>0</v>
      </c>
      <c r="E143" s="354" t="s">
        <v>102</v>
      </c>
      <c r="F143" s="355">
        <f>'PART-A'!K1482</f>
        <v>380.06</v>
      </c>
      <c r="G143" s="353">
        <f>ROUND(D143*F143,0)</f>
        <v>0</v>
      </c>
      <c r="H143" s="633" t="s">
        <v>2312</v>
      </c>
    </row>
    <row r="144" spans="1:8" s="360" customFormat="1" ht="15" hidden="1" customHeight="1">
      <c r="A144" s="356" t="s">
        <v>488</v>
      </c>
      <c r="B144" s="804" t="s">
        <v>2600</v>
      </c>
      <c r="C144" s="632" t="s">
        <v>541</v>
      </c>
      <c r="D144" s="358">
        <f>'PART-A'!I1504</f>
        <v>0</v>
      </c>
      <c r="E144" s="354" t="s">
        <v>102</v>
      </c>
      <c r="F144" s="355">
        <f>'PART-A'!K1504</f>
        <v>404.02</v>
      </c>
      <c r="G144" s="353">
        <f>ROUND(D144*F144,0)</f>
        <v>0</v>
      </c>
      <c r="H144" s="633" t="s">
        <v>2313</v>
      </c>
    </row>
    <row r="145" spans="1:10" s="360" customFormat="1" hidden="1">
      <c r="A145" s="356" t="s">
        <v>1516</v>
      </c>
      <c r="B145" s="804" t="s">
        <v>2603</v>
      </c>
      <c r="C145" s="632" t="s">
        <v>507</v>
      </c>
      <c r="D145" s="358">
        <f>'PART-A'!I1544</f>
        <v>0</v>
      </c>
      <c r="E145" s="354" t="s">
        <v>102</v>
      </c>
      <c r="F145" s="355">
        <f>'PART-A'!K1544</f>
        <v>991.04</v>
      </c>
      <c r="G145" s="353">
        <f t="shared" si="4"/>
        <v>0</v>
      </c>
      <c r="H145" s="633" t="s">
        <v>2217</v>
      </c>
    </row>
    <row r="146" spans="1:10" s="360" customFormat="1" hidden="1">
      <c r="A146" s="356" t="s">
        <v>484</v>
      </c>
      <c r="B146" s="804" t="s">
        <v>2603</v>
      </c>
      <c r="C146" s="632" t="s">
        <v>507</v>
      </c>
      <c r="D146" s="358">
        <f>'PART-A'!I1556</f>
        <v>0</v>
      </c>
      <c r="E146" s="354" t="s">
        <v>102</v>
      </c>
      <c r="F146" s="355">
        <f>'PART-A'!K1556</f>
        <v>1019.43</v>
      </c>
      <c r="G146" s="353">
        <f>ROUND(D146*F146,0)</f>
        <v>0</v>
      </c>
      <c r="H146" s="633" t="s">
        <v>2299</v>
      </c>
    </row>
    <row r="147" spans="1:10" s="360" customFormat="1" ht="15" hidden="1" customHeight="1">
      <c r="A147" s="356" t="s">
        <v>490</v>
      </c>
      <c r="B147" s="804" t="s">
        <v>2603</v>
      </c>
      <c r="C147" s="632" t="s">
        <v>507</v>
      </c>
      <c r="D147" s="358">
        <f>'PART-A'!I1563</f>
        <v>0</v>
      </c>
      <c r="E147" s="354" t="s">
        <v>102</v>
      </c>
      <c r="F147" s="355">
        <f>'PART-A'!K1563</f>
        <v>1041.26</v>
      </c>
      <c r="G147" s="353">
        <f>ROUND(D147*F147,0)</f>
        <v>0</v>
      </c>
      <c r="H147" s="633" t="s">
        <v>2312</v>
      </c>
    </row>
    <row r="148" spans="1:10" s="360" customFormat="1" ht="15" hidden="1" customHeight="1">
      <c r="A148" s="356" t="s">
        <v>490</v>
      </c>
      <c r="B148" s="804" t="s">
        <v>2603</v>
      </c>
      <c r="C148" s="632" t="s">
        <v>507</v>
      </c>
      <c r="D148" s="358">
        <f>'PART-A'!I1579</f>
        <v>0</v>
      </c>
      <c r="E148" s="354" t="s">
        <v>102</v>
      </c>
      <c r="F148" s="355">
        <f>'PART-A'!K1579</f>
        <v>1067.3599999999999</v>
      </c>
      <c r="G148" s="353">
        <f>ROUND(D148*F148,0)</f>
        <v>0</v>
      </c>
      <c r="H148" s="633" t="s">
        <v>2313</v>
      </c>
    </row>
    <row r="149" spans="1:10" s="360" customFormat="1" hidden="1">
      <c r="A149" s="356" t="s">
        <v>1514</v>
      </c>
      <c r="B149" s="804" t="s">
        <v>2604</v>
      </c>
      <c r="C149" s="632" t="s">
        <v>1480</v>
      </c>
      <c r="D149" s="358">
        <f>'PART-A'!I1600</f>
        <v>0</v>
      </c>
      <c r="E149" s="354" t="s">
        <v>102</v>
      </c>
      <c r="F149" s="355">
        <f>'PART-A'!K1600</f>
        <v>986.97</v>
      </c>
      <c r="G149" s="353">
        <f t="shared" si="4"/>
        <v>0</v>
      </c>
      <c r="H149" s="633" t="s">
        <v>2217</v>
      </c>
    </row>
    <row r="150" spans="1:10" s="360" customFormat="1" hidden="1">
      <c r="A150" s="356" t="s">
        <v>485</v>
      </c>
      <c r="B150" s="804" t="s">
        <v>2604</v>
      </c>
      <c r="C150" s="632" t="s">
        <v>1480</v>
      </c>
      <c r="D150" s="358">
        <f>'PART-A'!I1625</f>
        <v>0</v>
      </c>
      <c r="E150" s="354" t="s">
        <v>102</v>
      </c>
      <c r="F150" s="355">
        <f>'PART-A'!K1625</f>
        <v>1015.1</v>
      </c>
      <c r="G150" s="353">
        <f>ROUND(D150*F150,0)</f>
        <v>0</v>
      </c>
      <c r="H150" s="633" t="s">
        <v>2299</v>
      </c>
    </row>
    <row r="151" spans="1:10" s="360" customFormat="1" ht="15" hidden="1" customHeight="1">
      <c r="A151" s="356" t="s">
        <v>1514</v>
      </c>
      <c r="B151" s="804" t="s">
        <v>2604</v>
      </c>
      <c r="C151" s="632" t="s">
        <v>1480</v>
      </c>
      <c r="D151" s="358">
        <f>'PART-A'!I1632</f>
        <v>0</v>
      </c>
      <c r="E151" s="354" t="s">
        <v>102</v>
      </c>
      <c r="F151" s="355">
        <f>'PART-A'!K1632</f>
        <v>1036.32</v>
      </c>
      <c r="G151" s="353">
        <f>ROUND(D151*F151,0)</f>
        <v>0</v>
      </c>
      <c r="H151" s="633" t="s">
        <v>2312</v>
      </c>
    </row>
    <row r="152" spans="1:10" s="360" customFormat="1" ht="15" hidden="1" customHeight="1">
      <c r="A152" s="356" t="s">
        <v>1514</v>
      </c>
      <c r="B152" s="804" t="s">
        <v>2604</v>
      </c>
      <c r="C152" s="632" t="s">
        <v>1480</v>
      </c>
      <c r="D152" s="358">
        <f>'PART-A'!I1653</f>
        <v>0</v>
      </c>
      <c r="E152" s="354" t="s">
        <v>102</v>
      </c>
      <c r="F152" s="355">
        <f>'PART-A'!K1653</f>
        <v>1062.03</v>
      </c>
      <c r="G152" s="353">
        <f>ROUND(D152*F152,0)</f>
        <v>0</v>
      </c>
      <c r="H152" s="633" t="s">
        <v>2313</v>
      </c>
    </row>
    <row r="153" spans="1:10" s="360" customFormat="1" ht="15" hidden="1" customHeight="1">
      <c r="A153" s="356" t="s">
        <v>492</v>
      </c>
      <c r="B153" s="804" t="s">
        <v>2605</v>
      </c>
      <c r="C153" s="809" t="s">
        <v>708</v>
      </c>
      <c r="D153" s="358">
        <f>'PART-A'!I1671</f>
        <v>0</v>
      </c>
      <c r="E153" s="354" t="s">
        <v>77</v>
      </c>
      <c r="F153" s="355">
        <f>'PART-A'!K1671</f>
        <v>2828.1</v>
      </c>
      <c r="G153" s="353">
        <f t="shared" si="4"/>
        <v>0</v>
      </c>
      <c r="H153" s="633" t="s">
        <v>2217</v>
      </c>
    </row>
    <row r="154" spans="1:10" s="360" customFormat="1" hidden="1">
      <c r="A154" s="356" t="s">
        <v>486</v>
      </c>
      <c r="B154" s="804" t="s">
        <v>2605</v>
      </c>
      <c r="C154" s="809" t="s">
        <v>708</v>
      </c>
      <c r="D154" s="358">
        <f>'PART-A'!I1681</f>
        <v>0</v>
      </c>
      <c r="E154" s="354" t="s">
        <v>77</v>
      </c>
      <c r="F154" s="355">
        <f>'PART-A'!K1681</f>
        <v>2886.61</v>
      </c>
      <c r="G154" s="353">
        <f>ROUND(D154*F154,0)</f>
        <v>0</v>
      </c>
      <c r="H154" s="633" t="s">
        <v>2299</v>
      </c>
    </row>
    <row r="155" spans="1:10" s="360" customFormat="1" ht="15" hidden="1" customHeight="1">
      <c r="A155" s="356" t="s">
        <v>492</v>
      </c>
      <c r="B155" s="804" t="s">
        <v>2605</v>
      </c>
      <c r="C155" s="809" t="s">
        <v>708</v>
      </c>
      <c r="D155" s="358">
        <f>'PART-A'!I1688</f>
        <v>0</v>
      </c>
      <c r="E155" s="354" t="s">
        <v>77</v>
      </c>
      <c r="F155" s="355">
        <f>'PART-A'!K1688</f>
        <v>2942.62</v>
      </c>
      <c r="G155" s="353">
        <f>ROUND(D155*F155,0)</f>
        <v>0</v>
      </c>
      <c r="H155" s="633" t="s">
        <v>2312</v>
      </c>
    </row>
    <row r="156" spans="1:10" s="360" customFormat="1" ht="15" customHeight="1">
      <c r="A156" s="356" t="s">
        <v>484</v>
      </c>
      <c r="B156" s="804" t="s">
        <v>3111</v>
      </c>
      <c r="C156" s="809" t="s">
        <v>708</v>
      </c>
      <c r="D156" s="358">
        <f>'PART-A'!I1706</f>
        <v>87.660000000000011</v>
      </c>
      <c r="E156" s="354" t="s">
        <v>77</v>
      </c>
      <c r="F156" s="355">
        <f>'PART-A'!K1706</f>
        <v>3115.07</v>
      </c>
      <c r="G156" s="353">
        <f>ROUND(D156*F156,0)</f>
        <v>273067</v>
      </c>
      <c r="H156" s="633" t="s">
        <v>2313</v>
      </c>
    </row>
    <row r="157" spans="1:10" s="360" customFormat="1" ht="15" hidden="1" customHeight="1">
      <c r="A157" s="356" t="s">
        <v>493</v>
      </c>
      <c r="B157" s="804"/>
      <c r="C157" s="809" t="s">
        <v>709</v>
      </c>
      <c r="D157" s="358">
        <f>'PART-A'!I1724</f>
        <v>0</v>
      </c>
      <c r="E157" s="354" t="s">
        <v>102</v>
      </c>
      <c r="F157" s="355">
        <f>'PART-A'!K1724</f>
        <v>2667.63</v>
      </c>
      <c r="G157" s="353">
        <f t="shared" si="4"/>
        <v>0</v>
      </c>
      <c r="H157" s="633" t="s">
        <v>2217</v>
      </c>
    </row>
    <row r="158" spans="1:10" s="360" customFormat="1" hidden="1">
      <c r="A158" s="356" t="s">
        <v>493</v>
      </c>
      <c r="B158" s="804"/>
      <c r="C158" s="809" t="s">
        <v>709</v>
      </c>
      <c r="D158" s="358">
        <f>'PART-A'!I1735</f>
        <v>0</v>
      </c>
      <c r="E158" s="354" t="s">
        <v>102</v>
      </c>
      <c r="F158" s="355">
        <f>'PART-A'!K1735</f>
        <v>2708.07</v>
      </c>
      <c r="H158" s="633" t="s">
        <v>2299</v>
      </c>
      <c r="J158" s="353">
        <f>ROUND(D158*F158,0)</f>
        <v>0</v>
      </c>
    </row>
    <row r="159" spans="1:10" s="360" customFormat="1" ht="15" hidden="1" customHeight="1">
      <c r="A159" s="356" t="s">
        <v>493</v>
      </c>
      <c r="B159" s="804"/>
      <c r="C159" s="809" t="s">
        <v>709</v>
      </c>
      <c r="D159" s="358">
        <f>'PART-A'!I1743</f>
        <v>0</v>
      </c>
      <c r="E159" s="354" t="s">
        <v>102</v>
      </c>
      <c r="F159" s="355">
        <f>'PART-A'!K1743</f>
        <v>2747.34</v>
      </c>
      <c r="G159" s="353">
        <f t="shared" ref="G159:G190" si="5">ROUND(D159*F159,0)</f>
        <v>0</v>
      </c>
      <c r="H159" s="633" t="s">
        <v>2312</v>
      </c>
    </row>
    <row r="160" spans="1:10" s="360" customFormat="1" ht="15" customHeight="1">
      <c r="A160" s="356" t="s">
        <v>485</v>
      </c>
      <c r="B160" s="804" t="s">
        <v>3112</v>
      </c>
      <c r="C160" s="809" t="s">
        <v>709</v>
      </c>
      <c r="D160" s="358">
        <f>'PART-A'!I1761</f>
        <v>6.7299999999999995</v>
      </c>
      <c r="E160" s="354" t="s">
        <v>102</v>
      </c>
      <c r="F160" s="355">
        <f>'PART-A'!K1761</f>
        <v>2905.43</v>
      </c>
      <c r="G160" s="353">
        <f t="shared" si="5"/>
        <v>19554</v>
      </c>
      <c r="H160" s="633" t="s">
        <v>2313</v>
      </c>
    </row>
    <row r="161" spans="1:8" s="360" customFormat="1" ht="15" hidden="1" customHeight="1">
      <c r="A161" s="356" t="s">
        <v>498</v>
      </c>
      <c r="B161" s="804" t="s">
        <v>2606</v>
      </c>
      <c r="C161" s="632" t="s">
        <v>710</v>
      </c>
      <c r="D161" s="358">
        <f>'PART-A'!I1768</f>
        <v>0</v>
      </c>
      <c r="E161" s="354" t="s">
        <v>102</v>
      </c>
      <c r="F161" s="355">
        <f>'PART-A'!K1768</f>
        <v>605.58000000000004</v>
      </c>
      <c r="G161" s="353">
        <f t="shared" si="5"/>
        <v>0</v>
      </c>
      <c r="H161" s="633" t="s">
        <v>2217</v>
      </c>
    </row>
    <row r="162" spans="1:8" s="360" customFormat="1" ht="15" hidden="1" customHeight="1">
      <c r="A162" s="356" t="s">
        <v>498</v>
      </c>
      <c r="B162" s="804" t="s">
        <v>2606</v>
      </c>
      <c r="C162" s="632" t="s">
        <v>710</v>
      </c>
      <c r="D162" s="358">
        <f>'PART-A'!I1777</f>
        <v>0</v>
      </c>
      <c r="E162" s="354" t="s">
        <v>102</v>
      </c>
      <c r="F162" s="355">
        <f>'PART-A'!K1777</f>
        <v>646.33000000000004</v>
      </c>
      <c r="G162" s="353">
        <f t="shared" si="5"/>
        <v>0</v>
      </c>
      <c r="H162" s="633" t="s">
        <v>2299</v>
      </c>
    </row>
    <row r="163" spans="1:8" s="360" customFormat="1" ht="15" hidden="1" customHeight="1">
      <c r="A163" s="356" t="s">
        <v>498</v>
      </c>
      <c r="B163" s="804" t="s">
        <v>2606</v>
      </c>
      <c r="C163" s="632" t="s">
        <v>710</v>
      </c>
      <c r="D163" s="358">
        <f>'PART-A'!I1784</f>
        <v>0</v>
      </c>
      <c r="E163" s="354" t="s">
        <v>102</v>
      </c>
      <c r="F163" s="355">
        <f>'PART-A'!K1784</f>
        <v>653.95000000000005</v>
      </c>
      <c r="G163" s="353">
        <f t="shared" si="5"/>
        <v>0</v>
      </c>
      <c r="H163" s="633" t="s">
        <v>2312</v>
      </c>
    </row>
    <row r="164" spans="1:8" s="360" customFormat="1" ht="15" hidden="1" customHeight="1">
      <c r="A164" s="356" t="s">
        <v>498</v>
      </c>
      <c r="B164" s="804" t="s">
        <v>2606</v>
      </c>
      <c r="C164" s="632" t="s">
        <v>710</v>
      </c>
      <c r="D164" s="358">
        <f>'PART-A'!I1791</f>
        <v>0</v>
      </c>
      <c r="E164" s="354" t="s">
        <v>102</v>
      </c>
      <c r="F164" s="355">
        <f>'PART-A'!K1791</f>
        <v>744.7</v>
      </c>
      <c r="G164" s="353">
        <f t="shared" si="5"/>
        <v>0</v>
      </c>
      <c r="H164" s="633" t="s">
        <v>2313</v>
      </c>
    </row>
    <row r="165" spans="1:8" s="360" customFormat="1" ht="15" hidden="1" customHeight="1">
      <c r="A165" s="356" t="s">
        <v>499</v>
      </c>
      <c r="B165" s="804"/>
      <c r="C165" s="809" t="s">
        <v>711</v>
      </c>
      <c r="D165" s="358">
        <f>'PART-A'!I1798</f>
        <v>0</v>
      </c>
      <c r="E165" s="354" t="s">
        <v>102</v>
      </c>
      <c r="F165" s="355">
        <f>'PART-A'!K1798</f>
        <v>623.66999999999996</v>
      </c>
      <c r="G165" s="353">
        <f t="shared" si="5"/>
        <v>0</v>
      </c>
      <c r="H165" s="633" t="s">
        <v>2217</v>
      </c>
    </row>
    <row r="166" spans="1:8" s="360" customFormat="1" ht="15" hidden="1" customHeight="1">
      <c r="A166" s="356" t="s">
        <v>499</v>
      </c>
      <c r="B166" s="804"/>
      <c r="C166" s="809" t="s">
        <v>711</v>
      </c>
      <c r="D166" s="358">
        <f>'PART-A'!I1805</f>
        <v>0</v>
      </c>
      <c r="E166" s="354" t="s">
        <v>102</v>
      </c>
      <c r="F166" s="355">
        <f>'PART-A'!K1805</f>
        <v>651.79999999999995</v>
      </c>
      <c r="G166" s="353">
        <f t="shared" si="5"/>
        <v>0</v>
      </c>
      <c r="H166" s="633" t="s">
        <v>2299</v>
      </c>
    </row>
    <row r="167" spans="1:8" s="360" customFormat="1" ht="15" hidden="1" customHeight="1">
      <c r="A167" s="356" t="s">
        <v>499</v>
      </c>
      <c r="B167" s="804"/>
      <c r="C167" s="809" t="s">
        <v>711</v>
      </c>
      <c r="D167" s="358">
        <f>'PART-A'!I1812</f>
        <v>0</v>
      </c>
      <c r="E167" s="354" t="s">
        <v>102</v>
      </c>
      <c r="F167" s="355">
        <f>'PART-A'!K1812</f>
        <v>673.02</v>
      </c>
      <c r="G167" s="353">
        <f t="shared" si="5"/>
        <v>0</v>
      </c>
      <c r="H167" s="633" t="s">
        <v>2312</v>
      </c>
    </row>
    <row r="168" spans="1:8" s="360" customFormat="1" ht="15" hidden="1" customHeight="1">
      <c r="A168" s="356" t="s">
        <v>499</v>
      </c>
      <c r="B168" s="804"/>
      <c r="C168" s="809" t="s">
        <v>711</v>
      </c>
      <c r="D168" s="358">
        <f>'PART-A'!I1819</f>
        <v>0</v>
      </c>
      <c r="E168" s="354" t="s">
        <v>102</v>
      </c>
      <c r="F168" s="355">
        <f>'PART-A'!K1819</f>
        <v>750.18</v>
      </c>
      <c r="G168" s="353">
        <f t="shared" si="5"/>
        <v>0</v>
      </c>
      <c r="H168" s="633" t="s">
        <v>2313</v>
      </c>
    </row>
    <row r="169" spans="1:8" s="360" customFormat="1" ht="15" hidden="1" customHeight="1">
      <c r="A169" s="356" t="s">
        <v>1514</v>
      </c>
      <c r="B169" s="804" t="s">
        <v>2607</v>
      </c>
      <c r="C169" s="632" t="s">
        <v>511</v>
      </c>
      <c r="D169" s="358">
        <f>'PART-A'!I1825</f>
        <v>0</v>
      </c>
      <c r="E169" s="354" t="s">
        <v>102</v>
      </c>
      <c r="F169" s="355">
        <f>'PART-A'!K1825</f>
        <v>726.78</v>
      </c>
      <c r="G169" s="353">
        <f t="shared" si="5"/>
        <v>0</v>
      </c>
      <c r="H169" s="633" t="s">
        <v>2217</v>
      </c>
    </row>
    <row r="170" spans="1:8" s="360" customFormat="1" ht="15" hidden="1" customHeight="1">
      <c r="A170" s="356" t="s">
        <v>487</v>
      </c>
      <c r="B170" s="804" t="s">
        <v>2607</v>
      </c>
      <c r="C170" s="632" t="s">
        <v>511</v>
      </c>
      <c r="D170" s="358">
        <f>'PART-A'!I1830</f>
        <v>0</v>
      </c>
      <c r="E170" s="354" t="s">
        <v>102</v>
      </c>
      <c r="F170" s="355">
        <f>'PART-A'!K1830</f>
        <v>754.91</v>
      </c>
      <c r="G170" s="353">
        <f t="shared" si="5"/>
        <v>0</v>
      </c>
      <c r="H170" s="633" t="s">
        <v>2299</v>
      </c>
    </row>
    <row r="171" spans="1:8" s="360" customFormat="1" ht="15" hidden="1" customHeight="1">
      <c r="A171" s="356" t="s">
        <v>1514</v>
      </c>
      <c r="B171" s="804" t="s">
        <v>2607</v>
      </c>
      <c r="C171" s="632" t="s">
        <v>511</v>
      </c>
      <c r="D171" s="358">
        <f>'PART-A'!I1836</f>
        <v>0</v>
      </c>
      <c r="E171" s="354" t="s">
        <v>102</v>
      </c>
      <c r="F171" s="355">
        <f>'PART-A'!K1836</f>
        <v>776.13</v>
      </c>
      <c r="G171" s="353">
        <f t="shared" si="5"/>
        <v>0</v>
      </c>
      <c r="H171" s="633" t="s">
        <v>2312</v>
      </c>
    </row>
    <row r="172" spans="1:8" s="360" customFormat="1" ht="15" hidden="1" customHeight="1">
      <c r="A172" s="356" t="s">
        <v>1514</v>
      </c>
      <c r="B172" s="804" t="s">
        <v>2607</v>
      </c>
      <c r="C172" s="632" t="s">
        <v>511</v>
      </c>
      <c r="D172" s="358">
        <f>'PART-A'!I1842</f>
        <v>4.2</v>
      </c>
      <c r="E172" s="354" t="s">
        <v>102</v>
      </c>
      <c r="F172" s="355">
        <f>'PART-A'!K1842</f>
        <v>801.83</v>
      </c>
      <c r="G172" s="353">
        <f t="shared" si="5"/>
        <v>3368</v>
      </c>
      <c r="H172" s="633" t="s">
        <v>2313</v>
      </c>
    </row>
    <row r="173" spans="1:8" s="360" customFormat="1" ht="15" hidden="1" customHeight="1">
      <c r="A173" s="356" t="s">
        <v>492</v>
      </c>
      <c r="B173" s="804" t="s">
        <v>2608</v>
      </c>
      <c r="C173" s="632" t="s">
        <v>570</v>
      </c>
      <c r="D173" s="358">
        <f>'PART-A'!I1849</f>
        <v>0</v>
      </c>
      <c r="E173" s="354" t="s">
        <v>102</v>
      </c>
      <c r="F173" s="355">
        <f>'PART-A'!K1849</f>
        <v>487.61</v>
      </c>
      <c r="G173" s="353">
        <f t="shared" si="5"/>
        <v>0</v>
      </c>
      <c r="H173" s="633" t="s">
        <v>2217</v>
      </c>
    </row>
    <row r="174" spans="1:8" s="360" customFormat="1" ht="15" hidden="1" customHeight="1">
      <c r="A174" s="356" t="s">
        <v>492</v>
      </c>
      <c r="B174" s="804" t="s">
        <v>2608</v>
      </c>
      <c r="C174" s="632" t="s">
        <v>570</v>
      </c>
      <c r="D174" s="358">
        <f>'PART-A'!I1856</f>
        <v>0</v>
      </c>
      <c r="E174" s="354" t="s">
        <v>102</v>
      </c>
      <c r="F174" s="355">
        <f>'PART-A'!K1856</f>
        <v>496.21</v>
      </c>
      <c r="G174" s="353">
        <f t="shared" si="5"/>
        <v>0</v>
      </c>
      <c r="H174" s="633" t="s">
        <v>2299</v>
      </c>
    </row>
    <row r="175" spans="1:8" s="360" customFormat="1" ht="15" hidden="1" customHeight="1">
      <c r="A175" s="356" t="s">
        <v>492</v>
      </c>
      <c r="B175" s="804" t="s">
        <v>2608</v>
      </c>
      <c r="C175" s="632" t="s">
        <v>570</v>
      </c>
      <c r="D175" s="358">
        <f>'PART-A'!I1863</f>
        <v>0</v>
      </c>
      <c r="E175" s="354" t="s">
        <v>102</v>
      </c>
      <c r="F175" s="355">
        <f>'PART-A'!K1863</f>
        <v>503.67</v>
      </c>
      <c r="G175" s="353">
        <f t="shared" si="5"/>
        <v>0</v>
      </c>
      <c r="H175" s="633" t="s">
        <v>2312</v>
      </c>
    </row>
    <row r="176" spans="1:8" s="360" customFormat="1" ht="15" hidden="1" customHeight="1">
      <c r="A176" s="356" t="s">
        <v>492</v>
      </c>
      <c r="B176" s="804" t="s">
        <v>2608</v>
      </c>
      <c r="C176" s="632" t="s">
        <v>570</v>
      </c>
      <c r="D176" s="358">
        <f>'PART-A'!I1870</f>
        <v>17.670000000000002</v>
      </c>
      <c r="E176" s="354" t="s">
        <v>102</v>
      </c>
      <c r="F176" s="355">
        <f>'PART-A'!K1870</f>
        <v>518.15</v>
      </c>
      <c r="G176" s="353">
        <f t="shared" si="5"/>
        <v>9156</v>
      </c>
      <c r="H176" s="633" t="s">
        <v>2313</v>
      </c>
    </row>
    <row r="177" spans="1:8" s="360" customFormat="1" ht="15" hidden="1" customHeight="1">
      <c r="A177" s="356" t="s">
        <v>487</v>
      </c>
      <c r="B177" s="804"/>
      <c r="C177" s="809" t="s">
        <v>1222</v>
      </c>
      <c r="D177" s="358">
        <f>'PART-A'!I1876</f>
        <v>0</v>
      </c>
      <c r="E177" s="354" t="s">
        <v>102</v>
      </c>
      <c r="F177" s="355">
        <f>'PART-A'!K1876</f>
        <v>911.63</v>
      </c>
      <c r="G177" s="353">
        <f t="shared" si="5"/>
        <v>0</v>
      </c>
      <c r="H177" s="633" t="s">
        <v>2217</v>
      </c>
    </row>
    <row r="178" spans="1:8" s="360" customFormat="1" ht="15" hidden="1" customHeight="1">
      <c r="A178" s="356" t="s">
        <v>487</v>
      </c>
      <c r="B178" s="804"/>
      <c r="C178" s="809" t="s">
        <v>1222</v>
      </c>
      <c r="D178" s="358">
        <f>'PART-A'!I1883</f>
        <v>0</v>
      </c>
      <c r="E178" s="354" t="s">
        <v>102</v>
      </c>
      <c r="F178" s="355">
        <f>'PART-A'!K1883</f>
        <v>950.67</v>
      </c>
      <c r="G178" s="353">
        <f t="shared" si="5"/>
        <v>0</v>
      </c>
      <c r="H178" s="633" t="s">
        <v>2299</v>
      </c>
    </row>
    <row r="179" spans="1:8" s="360" customFormat="1" ht="15" hidden="1" customHeight="1">
      <c r="A179" s="356" t="s">
        <v>1517</v>
      </c>
      <c r="B179" s="804"/>
      <c r="C179" s="809" t="s">
        <v>1222</v>
      </c>
      <c r="D179" s="358">
        <f>'PART-A'!I1889</f>
        <v>0</v>
      </c>
      <c r="E179" s="354" t="s">
        <v>102</v>
      </c>
      <c r="F179" s="355">
        <f>'PART-A'!K1889</f>
        <v>981.79</v>
      </c>
      <c r="G179" s="353">
        <f t="shared" si="5"/>
        <v>0</v>
      </c>
      <c r="H179" s="633" t="s">
        <v>2312</v>
      </c>
    </row>
    <row r="180" spans="1:8" s="360" customFormat="1" ht="15" hidden="1" customHeight="1">
      <c r="A180" s="356" t="s">
        <v>487</v>
      </c>
      <c r="B180" s="804"/>
      <c r="C180" s="809" t="s">
        <v>1222</v>
      </c>
      <c r="D180" s="358">
        <f>'PART-A'!I1896</f>
        <v>0</v>
      </c>
      <c r="E180" s="354" t="s">
        <v>102</v>
      </c>
      <c r="F180" s="355">
        <f>'PART-A'!K1896</f>
        <v>1017.93</v>
      </c>
      <c r="G180" s="353">
        <f t="shared" si="5"/>
        <v>0</v>
      </c>
      <c r="H180" s="633" t="s">
        <v>2313</v>
      </c>
    </row>
    <row r="181" spans="1:8" s="360" customFormat="1" ht="15" hidden="1" customHeight="1">
      <c r="A181" s="356"/>
      <c r="B181" s="804"/>
      <c r="C181" s="810" t="s">
        <v>2262</v>
      </c>
      <c r="D181" s="358">
        <f>'PART-A'!I1903</f>
        <v>0</v>
      </c>
      <c r="E181" s="354" t="s">
        <v>102</v>
      </c>
      <c r="F181" s="355">
        <f>'PART-A'!K1903</f>
        <v>489</v>
      </c>
      <c r="G181" s="353">
        <f t="shared" si="5"/>
        <v>0</v>
      </c>
      <c r="H181" s="633" t="s">
        <v>2217</v>
      </c>
    </row>
    <row r="182" spans="1:8" s="360" customFormat="1" ht="15" hidden="1" customHeight="1">
      <c r="A182" s="356"/>
      <c r="B182" s="804"/>
      <c r="C182" s="810" t="s">
        <v>2262</v>
      </c>
      <c r="D182" s="358">
        <f>'PART-A'!I1910</f>
        <v>0</v>
      </c>
      <c r="E182" s="354" t="s">
        <v>102</v>
      </c>
      <c r="F182" s="355">
        <f>'PART-A'!K1910</f>
        <v>489</v>
      </c>
      <c r="G182" s="353">
        <f t="shared" si="5"/>
        <v>0</v>
      </c>
      <c r="H182" s="633" t="s">
        <v>2299</v>
      </c>
    </row>
    <row r="183" spans="1:8" s="360" customFormat="1" ht="15" hidden="1" customHeight="1">
      <c r="A183" s="356"/>
      <c r="B183" s="804"/>
      <c r="C183" s="810" t="s">
        <v>2262</v>
      </c>
      <c r="D183" s="358">
        <f>'PART-A'!I1917</f>
        <v>0</v>
      </c>
      <c r="E183" s="354" t="s">
        <v>102</v>
      </c>
      <c r="F183" s="355">
        <f>'PART-A'!K1917</f>
        <v>510</v>
      </c>
      <c r="G183" s="353">
        <f t="shared" si="5"/>
        <v>0</v>
      </c>
      <c r="H183" s="633" t="s">
        <v>2312</v>
      </c>
    </row>
    <row r="184" spans="1:8" s="360" customFormat="1" ht="15" hidden="1" customHeight="1">
      <c r="A184" s="356"/>
      <c r="B184" s="804"/>
      <c r="C184" s="810" t="s">
        <v>2262</v>
      </c>
      <c r="D184" s="358">
        <f>'PART-A'!I1924</f>
        <v>0</v>
      </c>
      <c r="E184" s="354" t="s">
        <v>102</v>
      </c>
      <c r="F184" s="355">
        <f>'PART-A'!K1924</f>
        <v>610</v>
      </c>
      <c r="G184" s="353">
        <f t="shared" si="5"/>
        <v>0</v>
      </c>
      <c r="H184" s="633" t="s">
        <v>2313</v>
      </c>
    </row>
    <row r="185" spans="1:8" s="360" customFormat="1" hidden="1">
      <c r="A185" s="356"/>
      <c r="B185" s="804"/>
      <c r="C185" s="810" t="s">
        <v>2263</v>
      </c>
      <c r="D185" s="358">
        <f>'PART-A'!I1931</f>
        <v>0</v>
      </c>
      <c r="E185" s="354" t="s">
        <v>102</v>
      </c>
      <c r="F185" s="355">
        <f>'PART-A'!K1931</f>
        <v>288.70999999999998</v>
      </c>
      <c r="G185" s="353">
        <f t="shared" si="5"/>
        <v>0</v>
      </c>
      <c r="H185" s="633" t="s">
        <v>2217</v>
      </c>
    </row>
    <row r="186" spans="1:8" s="360" customFormat="1" ht="15" hidden="1" customHeight="1">
      <c r="A186" s="356"/>
      <c r="B186" s="804"/>
      <c r="C186" s="810" t="s">
        <v>2263</v>
      </c>
      <c r="D186" s="358">
        <f>'PART-A'!I1938</f>
        <v>0</v>
      </c>
      <c r="E186" s="354" t="s">
        <v>102</v>
      </c>
      <c r="F186" s="355">
        <f>'PART-A'!K1938</f>
        <v>309.07</v>
      </c>
      <c r="G186" s="353">
        <f t="shared" si="5"/>
        <v>0</v>
      </c>
      <c r="H186" s="633" t="s">
        <v>2299</v>
      </c>
    </row>
    <row r="187" spans="1:8" s="360" customFormat="1" ht="15" hidden="1" customHeight="1">
      <c r="A187" s="356"/>
      <c r="B187" s="804"/>
      <c r="C187" s="810" t="s">
        <v>2263</v>
      </c>
      <c r="D187" s="358">
        <f>'PART-A'!I1945</f>
        <v>0</v>
      </c>
      <c r="E187" s="354" t="s">
        <v>102</v>
      </c>
      <c r="F187" s="355">
        <f>'PART-A'!K1945</f>
        <v>325.58</v>
      </c>
      <c r="G187" s="353">
        <f t="shared" si="5"/>
        <v>0</v>
      </c>
      <c r="H187" s="633" t="s">
        <v>2312</v>
      </c>
    </row>
    <row r="188" spans="1:8" s="360" customFormat="1" ht="15" hidden="1" customHeight="1">
      <c r="A188" s="356"/>
      <c r="B188" s="804"/>
      <c r="C188" s="810" t="s">
        <v>2263</v>
      </c>
      <c r="D188" s="358">
        <f>'PART-A'!I1952</f>
        <v>0</v>
      </c>
      <c r="E188" s="354" t="s">
        <v>102</v>
      </c>
      <c r="F188" s="355">
        <f>'PART-A'!K1952</f>
        <v>345.47</v>
      </c>
      <c r="G188" s="353">
        <f t="shared" si="5"/>
        <v>0</v>
      </c>
      <c r="H188" s="633" t="s">
        <v>2313</v>
      </c>
    </row>
    <row r="189" spans="1:8" s="360" customFormat="1" ht="15" hidden="1" customHeight="1">
      <c r="A189" s="356" t="s">
        <v>491</v>
      </c>
      <c r="B189" s="804" t="s">
        <v>2609</v>
      </c>
      <c r="C189" s="632" t="s">
        <v>959</v>
      </c>
      <c r="D189" s="358">
        <f>'PART-A'!I1959</f>
        <v>0</v>
      </c>
      <c r="E189" s="354" t="s">
        <v>102</v>
      </c>
      <c r="F189" s="355">
        <f>'PART-A'!K1959</f>
        <v>19.87</v>
      </c>
      <c r="G189" s="353">
        <f t="shared" si="5"/>
        <v>0</v>
      </c>
      <c r="H189" s="633" t="s">
        <v>2217</v>
      </c>
    </row>
    <row r="190" spans="1:8" s="360" customFormat="1" ht="15" hidden="1" customHeight="1">
      <c r="A190" s="356" t="s">
        <v>491</v>
      </c>
      <c r="B190" s="804" t="s">
        <v>2609</v>
      </c>
      <c r="C190" s="632" t="s">
        <v>959</v>
      </c>
      <c r="D190" s="358">
        <f>'PART-A'!I1966</f>
        <v>0</v>
      </c>
      <c r="E190" s="354" t="s">
        <v>102</v>
      </c>
      <c r="F190" s="355">
        <f>'PART-A'!K1966</f>
        <v>21.19</v>
      </c>
      <c r="G190" s="353">
        <f t="shared" si="5"/>
        <v>0</v>
      </c>
      <c r="H190" s="633" t="s">
        <v>2299</v>
      </c>
    </row>
    <row r="191" spans="1:8" s="360" customFormat="1" ht="15" hidden="1" customHeight="1">
      <c r="A191" s="356" t="s">
        <v>491</v>
      </c>
      <c r="B191" s="804" t="s">
        <v>2609</v>
      </c>
      <c r="C191" s="632" t="s">
        <v>959</v>
      </c>
      <c r="D191" s="358">
        <f>'PART-A'!I1973</f>
        <v>0</v>
      </c>
      <c r="E191" s="354" t="s">
        <v>102</v>
      </c>
      <c r="F191" s="355">
        <f>'PART-A'!K1973</f>
        <v>22.35</v>
      </c>
      <c r="G191" s="353">
        <f t="shared" ref="G191:G219" si="6">ROUND(D191*F191,0)</f>
        <v>0</v>
      </c>
      <c r="H191" s="633" t="s">
        <v>2312</v>
      </c>
    </row>
    <row r="192" spans="1:8" s="360" customFormat="1" ht="15" hidden="1" customHeight="1">
      <c r="A192" s="356" t="s">
        <v>491</v>
      </c>
      <c r="B192" s="804" t="s">
        <v>2609</v>
      </c>
      <c r="C192" s="632" t="s">
        <v>959</v>
      </c>
      <c r="D192" s="358">
        <f>'PART-A'!I1980</f>
        <v>0</v>
      </c>
      <c r="E192" s="354" t="s">
        <v>102</v>
      </c>
      <c r="F192" s="355">
        <f>'PART-A'!K1980</f>
        <v>24.05</v>
      </c>
      <c r="G192" s="353">
        <f t="shared" si="6"/>
        <v>0</v>
      </c>
      <c r="H192" s="633" t="s">
        <v>2313</v>
      </c>
    </row>
    <row r="193" spans="1:8" s="360" customFormat="1">
      <c r="A193" s="356" t="s">
        <v>486</v>
      </c>
      <c r="B193" s="804" t="s">
        <v>2610</v>
      </c>
      <c r="C193" s="632" t="s">
        <v>960</v>
      </c>
      <c r="D193" s="358">
        <f>'PART-A'!I2004</f>
        <v>0</v>
      </c>
      <c r="E193" s="354" t="s">
        <v>102</v>
      </c>
      <c r="F193" s="355">
        <f>'PART-A'!K2004</f>
        <v>148.07</v>
      </c>
      <c r="G193" s="353">
        <f t="shared" si="6"/>
        <v>0</v>
      </c>
      <c r="H193" s="633" t="s">
        <v>2217</v>
      </c>
    </row>
    <row r="194" spans="1:8" s="360" customFormat="1" hidden="1">
      <c r="A194" s="356" t="s">
        <v>488</v>
      </c>
      <c r="B194" s="804" t="s">
        <v>2610</v>
      </c>
      <c r="C194" s="632" t="s">
        <v>960</v>
      </c>
      <c r="D194" s="358">
        <f>'PART-A'!I2033</f>
        <v>0</v>
      </c>
      <c r="E194" s="354" t="s">
        <v>102</v>
      </c>
      <c r="F194" s="355">
        <f>'PART-A'!K2033</f>
        <v>155.29</v>
      </c>
      <c r="G194" s="353">
        <f t="shared" si="6"/>
        <v>0</v>
      </c>
      <c r="H194" s="633" t="s">
        <v>2299</v>
      </c>
    </row>
    <row r="195" spans="1:8" s="360" customFormat="1" ht="15" hidden="1" customHeight="1">
      <c r="A195" s="356" t="s">
        <v>1518</v>
      </c>
      <c r="B195" s="804" t="s">
        <v>2610</v>
      </c>
      <c r="C195" s="632" t="s">
        <v>960</v>
      </c>
      <c r="D195" s="358">
        <f>'PART-A'!I2054</f>
        <v>0</v>
      </c>
      <c r="E195" s="354" t="s">
        <v>102</v>
      </c>
      <c r="F195" s="355">
        <f>'PART-A'!K2054</f>
        <v>160.76</v>
      </c>
      <c r="G195" s="353">
        <f t="shared" si="6"/>
        <v>0</v>
      </c>
      <c r="H195" s="633" t="s">
        <v>2312</v>
      </c>
    </row>
    <row r="196" spans="1:8" s="360" customFormat="1" ht="15" hidden="1" customHeight="1">
      <c r="A196" s="356" t="s">
        <v>495</v>
      </c>
      <c r="B196" s="804" t="s">
        <v>2610</v>
      </c>
      <c r="C196" s="632" t="s">
        <v>960</v>
      </c>
      <c r="D196" s="358">
        <f>'PART-A'!I2078</f>
        <v>249.18000000000006</v>
      </c>
      <c r="E196" s="354" t="s">
        <v>102</v>
      </c>
      <c r="F196" s="355">
        <f>'PART-A'!K2078</f>
        <v>173.73</v>
      </c>
      <c r="G196" s="353">
        <f t="shared" si="6"/>
        <v>43290</v>
      </c>
      <c r="H196" s="633" t="s">
        <v>2313</v>
      </c>
    </row>
    <row r="197" spans="1:8" s="360" customFormat="1" hidden="1">
      <c r="A197" s="356" t="s">
        <v>1516</v>
      </c>
      <c r="B197" s="804" t="s">
        <v>2611</v>
      </c>
      <c r="C197" s="632" t="s">
        <v>1165</v>
      </c>
      <c r="D197" s="358">
        <f>'PART-A'!I2111</f>
        <v>0</v>
      </c>
      <c r="E197" s="354" t="s">
        <v>102</v>
      </c>
      <c r="F197" s="355">
        <f>'PART-A'!K2111</f>
        <v>122.02</v>
      </c>
      <c r="G197" s="353">
        <f t="shared" si="6"/>
        <v>0</v>
      </c>
      <c r="H197" s="633" t="s">
        <v>2217</v>
      </c>
    </row>
    <row r="198" spans="1:8" s="360" customFormat="1" hidden="1">
      <c r="A198" s="356" t="s">
        <v>489</v>
      </c>
      <c r="B198" s="804" t="s">
        <v>2611</v>
      </c>
      <c r="C198" s="632" t="s">
        <v>1165</v>
      </c>
      <c r="D198" s="358">
        <f>'PART-A'!I2147</f>
        <v>0</v>
      </c>
      <c r="E198" s="354" t="s">
        <v>102</v>
      </c>
      <c r="F198" s="355">
        <f>'PART-A'!K2147</f>
        <v>129.35</v>
      </c>
      <c r="G198" s="353">
        <f t="shared" si="6"/>
        <v>0</v>
      </c>
      <c r="H198" s="633" t="s">
        <v>2299</v>
      </c>
    </row>
    <row r="199" spans="1:8" s="360" customFormat="1" ht="15" hidden="1" customHeight="1">
      <c r="A199" s="356" t="s">
        <v>1519</v>
      </c>
      <c r="B199" s="804" t="s">
        <v>2611</v>
      </c>
      <c r="C199" s="632" t="s">
        <v>1165</v>
      </c>
      <c r="D199" s="358">
        <f>'PART-A'!I2207</f>
        <v>0</v>
      </c>
      <c r="E199" s="354" t="s">
        <v>102</v>
      </c>
      <c r="F199" s="355">
        <f>'PART-A'!K2207</f>
        <v>134.97</v>
      </c>
      <c r="G199" s="353">
        <f t="shared" si="6"/>
        <v>0</v>
      </c>
      <c r="H199" s="633" t="s">
        <v>2312</v>
      </c>
    </row>
    <row r="200" spans="1:8" s="360" customFormat="1" ht="15" customHeight="1">
      <c r="A200" s="356" t="s">
        <v>487</v>
      </c>
      <c r="B200" s="804" t="s">
        <v>2611</v>
      </c>
      <c r="C200" s="632" t="s">
        <v>1165</v>
      </c>
      <c r="D200" s="358">
        <f>'PART-A'!I2240</f>
        <v>0</v>
      </c>
      <c r="E200" s="354" t="s">
        <v>102</v>
      </c>
      <c r="F200" s="355">
        <f>'PART-A'!K2240</f>
        <v>146.82</v>
      </c>
      <c r="G200" s="353">
        <f t="shared" si="6"/>
        <v>0</v>
      </c>
      <c r="H200" s="633" t="s">
        <v>2313</v>
      </c>
    </row>
    <row r="201" spans="1:8" s="360" customFormat="1" hidden="1">
      <c r="A201" s="356" t="s">
        <v>1518</v>
      </c>
      <c r="B201" s="804" t="s">
        <v>2612</v>
      </c>
      <c r="C201" s="632" t="s">
        <v>1166</v>
      </c>
      <c r="D201" s="358">
        <f>'PART-A'!I2251</f>
        <v>0</v>
      </c>
      <c r="E201" s="354" t="s">
        <v>102</v>
      </c>
      <c r="F201" s="355">
        <f>'PART-A'!K2251</f>
        <v>166.22</v>
      </c>
      <c r="G201" s="353">
        <f t="shared" si="6"/>
        <v>0</v>
      </c>
      <c r="H201" s="633" t="s">
        <v>2217</v>
      </c>
    </row>
    <row r="202" spans="1:8" s="360" customFormat="1" hidden="1">
      <c r="A202" s="356" t="s">
        <v>490</v>
      </c>
      <c r="B202" s="804" t="s">
        <v>2612</v>
      </c>
      <c r="C202" s="632" t="s">
        <v>1166</v>
      </c>
      <c r="D202" s="358">
        <f>'PART-A'!I2262</f>
        <v>0</v>
      </c>
      <c r="E202" s="354" t="s">
        <v>102</v>
      </c>
      <c r="F202" s="355">
        <f>'PART-A'!K2262</f>
        <v>177.63</v>
      </c>
      <c r="G202" s="353">
        <f t="shared" si="6"/>
        <v>0</v>
      </c>
      <c r="H202" s="633" t="s">
        <v>2299</v>
      </c>
    </row>
    <row r="203" spans="1:8" s="360" customFormat="1" ht="15" hidden="1" customHeight="1">
      <c r="A203" s="356" t="s">
        <v>1518</v>
      </c>
      <c r="B203" s="804" t="s">
        <v>2612</v>
      </c>
      <c r="C203" s="632" t="s">
        <v>1166</v>
      </c>
      <c r="D203" s="358">
        <f>'PART-A'!I2292</f>
        <v>0</v>
      </c>
      <c r="E203" s="354" t="s">
        <v>102</v>
      </c>
      <c r="F203" s="355">
        <f>'PART-A'!K2292</f>
        <v>186.27</v>
      </c>
      <c r="G203" s="353">
        <f t="shared" si="6"/>
        <v>0</v>
      </c>
      <c r="H203" s="633" t="s">
        <v>2312</v>
      </c>
    </row>
    <row r="204" spans="1:8" s="360" customFormat="1" ht="15" customHeight="1">
      <c r="A204" s="356" t="s">
        <v>488</v>
      </c>
      <c r="B204" s="804" t="s">
        <v>2612</v>
      </c>
      <c r="C204" s="632" t="s">
        <v>1166</v>
      </c>
      <c r="D204" s="358">
        <f>'PART-A'!I2317</f>
        <v>0</v>
      </c>
      <c r="E204" s="354" t="s">
        <v>102</v>
      </c>
      <c r="F204" s="355">
        <f>'PART-A'!K2317</f>
        <v>200.84</v>
      </c>
      <c r="G204" s="353">
        <f t="shared" si="6"/>
        <v>0</v>
      </c>
      <c r="H204" s="633" t="s">
        <v>2313</v>
      </c>
    </row>
    <row r="205" spans="1:8" s="360" customFormat="1" ht="25.5" hidden="1" customHeight="1">
      <c r="A205" s="356" t="s">
        <v>491</v>
      </c>
      <c r="B205" s="804" t="s">
        <v>2613</v>
      </c>
      <c r="C205" s="632" t="s">
        <v>1223</v>
      </c>
      <c r="D205" s="358">
        <f>'PART-A'!I2373</f>
        <v>0</v>
      </c>
      <c r="E205" s="354" t="s">
        <v>102</v>
      </c>
      <c r="F205" s="355">
        <f>'PART-A'!K2373</f>
        <v>786.87</v>
      </c>
      <c r="G205" s="353">
        <f t="shared" si="6"/>
        <v>0</v>
      </c>
      <c r="H205" s="633" t="s">
        <v>2217</v>
      </c>
    </row>
    <row r="206" spans="1:8" s="360" customFormat="1" ht="25.5" hidden="1" customHeight="1">
      <c r="A206" s="356" t="s">
        <v>491</v>
      </c>
      <c r="B206" s="804" t="s">
        <v>2613</v>
      </c>
      <c r="C206" s="632" t="s">
        <v>1223</v>
      </c>
      <c r="D206" s="358">
        <f>'PART-A'!I2378</f>
        <v>0</v>
      </c>
      <c r="E206" s="354" t="s">
        <v>102</v>
      </c>
      <c r="F206" s="355">
        <f>'PART-A'!K2378</f>
        <v>849.67000000000007</v>
      </c>
      <c r="G206" s="353">
        <f t="shared" si="6"/>
        <v>0</v>
      </c>
      <c r="H206" s="633" t="s">
        <v>2299</v>
      </c>
    </row>
    <row r="207" spans="1:8" s="360" customFormat="1" ht="25.5" hidden="1" customHeight="1">
      <c r="A207" s="356" t="s">
        <v>491</v>
      </c>
      <c r="B207" s="804" t="s">
        <v>2613</v>
      </c>
      <c r="C207" s="632" t="s">
        <v>1223</v>
      </c>
      <c r="D207" s="358">
        <f>'PART-A'!I2383</f>
        <v>0</v>
      </c>
      <c r="E207" s="354" t="s">
        <v>102</v>
      </c>
      <c r="F207" s="355">
        <f>'PART-A'!K2383</f>
        <v>897.27</v>
      </c>
      <c r="G207" s="353">
        <f t="shared" si="6"/>
        <v>0</v>
      </c>
      <c r="H207" s="633" t="s">
        <v>2312</v>
      </c>
    </row>
    <row r="208" spans="1:8" s="360" customFormat="1" ht="25.5" hidden="1" customHeight="1">
      <c r="A208" s="356" t="s">
        <v>491</v>
      </c>
      <c r="B208" s="804" t="s">
        <v>2613</v>
      </c>
      <c r="C208" s="632" t="s">
        <v>1223</v>
      </c>
      <c r="D208" s="358">
        <f>'PART-A'!I2388</f>
        <v>0</v>
      </c>
      <c r="E208" s="354" t="s">
        <v>102</v>
      </c>
      <c r="F208" s="355">
        <f>'PART-A'!K2388</f>
        <v>968.78</v>
      </c>
      <c r="G208" s="353">
        <f t="shared" si="6"/>
        <v>0</v>
      </c>
      <c r="H208" s="633" t="s">
        <v>2313</v>
      </c>
    </row>
    <row r="209" spans="1:10" s="360" customFormat="1" ht="25.5" hidden="1">
      <c r="A209" s="356" t="s">
        <v>497</v>
      </c>
      <c r="B209" s="804" t="s">
        <v>2614</v>
      </c>
      <c r="C209" s="632" t="s">
        <v>706</v>
      </c>
      <c r="D209" s="429">
        <f>'PART-A'!I2393</f>
        <v>0</v>
      </c>
      <c r="E209" s="221" t="s">
        <v>102</v>
      </c>
      <c r="F209" s="430">
        <f>'PART-A'!K2393</f>
        <v>3198</v>
      </c>
      <c r="G209" s="353">
        <f t="shared" si="6"/>
        <v>0</v>
      </c>
      <c r="H209" s="633" t="s">
        <v>2217</v>
      </c>
    </row>
    <row r="210" spans="1:10" s="360" customFormat="1" ht="25.5" hidden="1">
      <c r="A210" s="356" t="s">
        <v>491</v>
      </c>
      <c r="B210" s="804" t="s">
        <v>2614</v>
      </c>
      <c r="C210" s="632" t="s">
        <v>706</v>
      </c>
      <c r="D210" s="429">
        <f>'PART-A'!I2398</f>
        <v>0</v>
      </c>
      <c r="E210" s="221" t="s">
        <v>102</v>
      </c>
      <c r="F210" s="430">
        <f>'PART-A'!K2398</f>
        <v>3198</v>
      </c>
      <c r="G210" s="353">
        <f t="shared" si="6"/>
        <v>0</v>
      </c>
      <c r="H210" s="633" t="s">
        <v>2299</v>
      </c>
    </row>
    <row r="211" spans="1:10" s="360" customFormat="1" ht="25.5" hidden="1" customHeight="1">
      <c r="A211" s="356" t="s">
        <v>497</v>
      </c>
      <c r="B211" s="804" t="s">
        <v>2614</v>
      </c>
      <c r="C211" s="632" t="s">
        <v>706</v>
      </c>
      <c r="D211" s="429">
        <f>'PART-A'!I2403</f>
        <v>0</v>
      </c>
      <c r="E211" s="221" t="s">
        <v>102</v>
      </c>
      <c r="F211" s="430">
        <f>'PART-A'!K2403</f>
        <v>3500</v>
      </c>
      <c r="G211" s="353">
        <f t="shared" si="6"/>
        <v>0</v>
      </c>
      <c r="H211" s="633" t="s">
        <v>2312</v>
      </c>
    </row>
    <row r="212" spans="1:10" s="360" customFormat="1" ht="25.5" customHeight="1">
      <c r="A212" s="356" t="s">
        <v>489</v>
      </c>
      <c r="B212" s="804" t="s">
        <v>2614</v>
      </c>
      <c r="C212" s="632" t="s">
        <v>706</v>
      </c>
      <c r="D212" s="429">
        <f>'PART-A'!I2408</f>
        <v>0</v>
      </c>
      <c r="E212" s="221" t="s">
        <v>102</v>
      </c>
      <c r="F212" s="430">
        <f>'PART-A'!K2408</f>
        <v>4025</v>
      </c>
      <c r="G212" s="353">
        <f t="shared" si="6"/>
        <v>0</v>
      </c>
      <c r="H212" s="633" t="s">
        <v>2313</v>
      </c>
    </row>
    <row r="213" spans="1:10" s="360" customFormat="1" ht="25.5" hidden="1">
      <c r="A213" s="356" t="s">
        <v>492</v>
      </c>
      <c r="B213" s="804" t="s">
        <v>2615</v>
      </c>
      <c r="C213" s="632" t="s">
        <v>961</v>
      </c>
      <c r="D213" s="358">
        <f>'PART-A'!I2323</f>
        <v>0</v>
      </c>
      <c r="E213" s="354" t="s">
        <v>102</v>
      </c>
      <c r="F213" s="355">
        <f>'PART-A'!K2323</f>
        <v>172.75</v>
      </c>
      <c r="G213" s="353">
        <f t="shared" si="6"/>
        <v>0</v>
      </c>
      <c r="H213" s="633" t="s">
        <v>2217</v>
      </c>
    </row>
    <row r="214" spans="1:10" s="360" customFormat="1" ht="25.5" hidden="1" customHeight="1">
      <c r="A214" s="356" t="s">
        <v>492</v>
      </c>
      <c r="B214" s="804" t="s">
        <v>2615</v>
      </c>
      <c r="C214" s="632" t="s">
        <v>961</v>
      </c>
      <c r="D214" s="358">
        <f>'PART-A'!I2333</f>
        <v>0</v>
      </c>
      <c r="E214" s="354" t="s">
        <v>102</v>
      </c>
      <c r="F214" s="355">
        <f>'PART-A'!K2333</f>
        <v>132.55000000000001</v>
      </c>
      <c r="G214" s="353">
        <f t="shared" si="6"/>
        <v>0</v>
      </c>
      <c r="H214" s="633" t="s">
        <v>2299</v>
      </c>
    </row>
    <row r="215" spans="1:10" s="360" customFormat="1" ht="25.5" hidden="1" customHeight="1">
      <c r="A215" s="356" t="s">
        <v>492</v>
      </c>
      <c r="B215" s="804" t="s">
        <v>2615</v>
      </c>
      <c r="C215" s="632" t="s">
        <v>961</v>
      </c>
      <c r="D215" s="358">
        <f>'PART-A'!I2339</f>
        <v>0</v>
      </c>
      <c r="E215" s="354" t="s">
        <v>102</v>
      </c>
      <c r="F215" s="355">
        <f>'PART-A'!K2339</f>
        <v>137.6</v>
      </c>
      <c r="G215" s="353">
        <f t="shared" si="6"/>
        <v>0</v>
      </c>
      <c r="H215" s="633" t="s">
        <v>2312</v>
      </c>
    </row>
    <row r="216" spans="1:10" s="360" customFormat="1" ht="25.5" hidden="1" customHeight="1">
      <c r="A216" s="356" t="s">
        <v>492</v>
      </c>
      <c r="B216" s="804" t="s">
        <v>2615</v>
      </c>
      <c r="C216" s="632" t="s">
        <v>961</v>
      </c>
      <c r="D216" s="358">
        <f>'PART-A'!I2344</f>
        <v>0</v>
      </c>
      <c r="E216" s="354" t="s">
        <v>102</v>
      </c>
      <c r="F216" s="355">
        <f>'PART-A'!K2344</f>
        <v>149.86000000000001</v>
      </c>
      <c r="G216" s="353">
        <f t="shared" si="6"/>
        <v>0</v>
      </c>
      <c r="H216" s="633" t="s">
        <v>2313</v>
      </c>
    </row>
    <row r="217" spans="1:10" s="360" customFormat="1" ht="15" hidden="1" customHeight="1">
      <c r="A217" s="356"/>
      <c r="B217" s="804"/>
      <c r="C217" s="809" t="s">
        <v>2268</v>
      </c>
      <c r="D217" s="358">
        <f>'PART-A'!I2350</f>
        <v>0</v>
      </c>
      <c r="E217" s="354" t="s">
        <v>102</v>
      </c>
      <c r="F217" s="355">
        <f>'PART-A'!K2350</f>
        <v>630</v>
      </c>
      <c r="G217" s="353">
        <f t="shared" si="6"/>
        <v>0</v>
      </c>
      <c r="H217" s="633" t="s">
        <v>2217</v>
      </c>
    </row>
    <row r="218" spans="1:10" s="360" customFormat="1" ht="15" hidden="1" customHeight="1">
      <c r="A218" s="356"/>
      <c r="B218" s="804"/>
      <c r="C218" s="809" t="s">
        <v>2268</v>
      </c>
      <c r="D218" s="358">
        <f>'PART-A'!I2356</f>
        <v>0</v>
      </c>
      <c r="E218" s="354" t="s">
        <v>102</v>
      </c>
      <c r="F218" s="355">
        <f>'PART-A'!K2356</f>
        <v>630</v>
      </c>
      <c r="G218" s="353">
        <f t="shared" si="6"/>
        <v>0</v>
      </c>
      <c r="H218" s="633" t="s">
        <v>2299</v>
      </c>
    </row>
    <row r="219" spans="1:10" s="360" customFormat="1" ht="15" hidden="1" customHeight="1">
      <c r="A219" s="356"/>
      <c r="B219" s="804"/>
      <c r="C219" s="809" t="s">
        <v>2268</v>
      </c>
      <c r="D219" s="358">
        <f>'PART-A'!I2362</f>
        <v>0</v>
      </c>
      <c r="E219" s="354" t="s">
        <v>102</v>
      </c>
      <c r="F219" s="355">
        <f>'PART-A'!K2362</f>
        <v>630</v>
      </c>
      <c r="G219" s="353">
        <f t="shared" si="6"/>
        <v>0</v>
      </c>
      <c r="H219" s="633" t="s">
        <v>2312</v>
      </c>
    </row>
    <row r="220" spans="1:10" s="360" customFormat="1" hidden="1">
      <c r="A220" s="356"/>
      <c r="B220" s="804"/>
      <c r="C220" s="809" t="s">
        <v>2268</v>
      </c>
      <c r="D220" s="358">
        <f>'PART-A'!I2368</f>
        <v>0</v>
      </c>
      <c r="E220" s="354" t="s">
        <v>102</v>
      </c>
      <c r="F220" s="355">
        <f>'PART-A'!K2368</f>
        <v>630</v>
      </c>
      <c r="H220" s="633" t="s">
        <v>2313</v>
      </c>
      <c r="J220" s="353">
        <f>ROUND(D220*F220,0)</f>
        <v>0</v>
      </c>
    </row>
    <row r="221" spans="1:10" s="360" customFormat="1" ht="15" hidden="1" customHeight="1">
      <c r="A221" s="356" t="s">
        <v>492</v>
      </c>
      <c r="B221" s="804"/>
      <c r="C221" s="809" t="s">
        <v>1481</v>
      </c>
      <c r="D221" s="358">
        <f>'PART-A'!I2413</f>
        <v>0</v>
      </c>
      <c r="E221" s="354" t="s">
        <v>115</v>
      </c>
      <c r="F221" s="355">
        <f>'PART-A'!K2413</f>
        <v>666.66</v>
      </c>
      <c r="G221" s="353">
        <f t="shared" ref="G221:G252" si="7">ROUND(D221*F221,0)</f>
        <v>0</v>
      </c>
      <c r="H221" s="633" t="s">
        <v>2217</v>
      </c>
    </row>
    <row r="222" spans="1:10" s="360" customFormat="1" ht="15" hidden="1" customHeight="1">
      <c r="A222" s="356" t="s">
        <v>492</v>
      </c>
      <c r="B222" s="804"/>
      <c r="C222" s="809" t="s">
        <v>1481</v>
      </c>
      <c r="D222" s="358">
        <f>'PART-A'!I2418</f>
        <v>0</v>
      </c>
      <c r="E222" s="354" t="s">
        <v>115</v>
      </c>
      <c r="F222" s="355">
        <f>'PART-A'!K2418</f>
        <v>666.66</v>
      </c>
      <c r="G222" s="353">
        <f t="shared" si="7"/>
        <v>0</v>
      </c>
      <c r="H222" s="633" t="s">
        <v>2299</v>
      </c>
    </row>
    <row r="223" spans="1:10" s="360" customFormat="1" ht="15" hidden="1" customHeight="1">
      <c r="A223" s="356" t="s">
        <v>492</v>
      </c>
      <c r="B223" s="804"/>
      <c r="C223" s="809" t="s">
        <v>1481</v>
      </c>
      <c r="D223" s="358">
        <f>'PART-A'!I2423</f>
        <v>0</v>
      </c>
      <c r="E223" s="354" t="s">
        <v>115</v>
      </c>
      <c r="F223" s="355">
        <f>'PART-A'!K2423</f>
        <v>733.33</v>
      </c>
      <c r="G223" s="353">
        <f t="shared" si="7"/>
        <v>0</v>
      </c>
      <c r="H223" s="633" t="s">
        <v>2312</v>
      </c>
    </row>
    <row r="224" spans="1:10" s="360" customFormat="1" ht="15" hidden="1" customHeight="1">
      <c r="A224" s="356" t="s">
        <v>492</v>
      </c>
      <c r="B224" s="804"/>
      <c r="C224" s="809" t="s">
        <v>1481</v>
      </c>
      <c r="D224" s="358">
        <f>'PART-A'!I2428</f>
        <v>0</v>
      </c>
      <c r="E224" s="354" t="s">
        <v>115</v>
      </c>
      <c r="F224" s="355">
        <f>'PART-A'!K2428</f>
        <v>808</v>
      </c>
      <c r="G224" s="353">
        <f t="shared" si="7"/>
        <v>0</v>
      </c>
      <c r="H224" s="633" t="s">
        <v>2313</v>
      </c>
    </row>
    <row r="225" spans="1:8" s="360" customFormat="1" ht="15" hidden="1" customHeight="1">
      <c r="A225" s="356" t="s">
        <v>492</v>
      </c>
      <c r="B225" s="804"/>
      <c r="C225" s="809" t="s">
        <v>1482</v>
      </c>
      <c r="D225" s="358">
        <f>'PART-A'!I2433</f>
        <v>0</v>
      </c>
      <c r="E225" s="354" t="s">
        <v>115</v>
      </c>
      <c r="F225" s="355">
        <f>'PART-A'!K2433</f>
        <v>500</v>
      </c>
      <c r="G225" s="353">
        <f t="shared" si="7"/>
        <v>0</v>
      </c>
      <c r="H225" s="633" t="s">
        <v>2217</v>
      </c>
    </row>
    <row r="226" spans="1:8" s="360" customFormat="1" ht="15" hidden="1" customHeight="1">
      <c r="A226" s="356" t="s">
        <v>492</v>
      </c>
      <c r="B226" s="804"/>
      <c r="C226" s="809" t="s">
        <v>1482</v>
      </c>
      <c r="D226" s="358">
        <f>'PART-A'!I2438</f>
        <v>0</v>
      </c>
      <c r="E226" s="354" t="s">
        <v>115</v>
      </c>
      <c r="F226" s="355">
        <f>'PART-A'!K2438</f>
        <v>500</v>
      </c>
      <c r="G226" s="353">
        <f t="shared" si="7"/>
        <v>0</v>
      </c>
      <c r="H226" s="633" t="s">
        <v>2299</v>
      </c>
    </row>
    <row r="227" spans="1:8" s="360" customFormat="1" ht="15" hidden="1" customHeight="1">
      <c r="A227" s="356" t="s">
        <v>492</v>
      </c>
      <c r="B227" s="804"/>
      <c r="C227" s="809" t="s">
        <v>1482</v>
      </c>
      <c r="D227" s="358">
        <f>'PART-A'!I2443</f>
        <v>0</v>
      </c>
      <c r="E227" s="354" t="s">
        <v>115</v>
      </c>
      <c r="F227" s="355">
        <f>'PART-A'!K2443</f>
        <v>550</v>
      </c>
      <c r="G227" s="353">
        <f t="shared" si="7"/>
        <v>0</v>
      </c>
      <c r="H227" s="633" t="s">
        <v>2312</v>
      </c>
    </row>
    <row r="228" spans="1:8" s="360" customFormat="1" ht="15" hidden="1" customHeight="1">
      <c r="A228" s="356" t="s">
        <v>492</v>
      </c>
      <c r="B228" s="804"/>
      <c r="C228" s="809" t="s">
        <v>1482</v>
      </c>
      <c r="D228" s="358">
        <f>'PART-A'!I2448</f>
        <v>0</v>
      </c>
      <c r="E228" s="354" t="s">
        <v>115</v>
      </c>
      <c r="F228" s="355">
        <f>'PART-A'!K2448</f>
        <v>606</v>
      </c>
      <c r="G228" s="353">
        <f t="shared" si="7"/>
        <v>0</v>
      </c>
      <c r="H228" s="633" t="s">
        <v>2313</v>
      </c>
    </row>
    <row r="229" spans="1:8" s="360" customFormat="1" ht="15" hidden="1" customHeight="1">
      <c r="A229" s="356" t="s">
        <v>508</v>
      </c>
      <c r="B229" s="804"/>
      <c r="C229" s="809" t="s">
        <v>1483</v>
      </c>
      <c r="D229" s="358">
        <f>'PART-A'!I2453</f>
        <v>0</v>
      </c>
      <c r="E229" s="354" t="s">
        <v>115</v>
      </c>
      <c r="F229" s="355">
        <f>'PART-A'!K2453</f>
        <v>130</v>
      </c>
      <c r="G229" s="353">
        <f t="shared" si="7"/>
        <v>0</v>
      </c>
      <c r="H229" s="633" t="s">
        <v>2217</v>
      </c>
    </row>
    <row r="230" spans="1:8" s="360" customFormat="1" ht="15" hidden="1" customHeight="1">
      <c r="A230" s="356" t="s">
        <v>508</v>
      </c>
      <c r="B230" s="804"/>
      <c r="C230" s="809" t="s">
        <v>1483</v>
      </c>
      <c r="D230" s="358">
        <f>'PART-A'!I2458</f>
        <v>0</v>
      </c>
      <c r="E230" s="354" t="s">
        <v>115</v>
      </c>
      <c r="F230" s="355">
        <f>'PART-A'!K2458</f>
        <v>130</v>
      </c>
      <c r="G230" s="353">
        <f t="shared" si="7"/>
        <v>0</v>
      </c>
      <c r="H230" s="633" t="s">
        <v>2299</v>
      </c>
    </row>
    <row r="231" spans="1:8" s="360" customFormat="1" ht="15" hidden="1" customHeight="1">
      <c r="A231" s="356" t="s">
        <v>508</v>
      </c>
      <c r="B231" s="804"/>
      <c r="C231" s="809" t="s">
        <v>1483</v>
      </c>
      <c r="D231" s="358">
        <f>'PART-A'!I2463</f>
        <v>0</v>
      </c>
      <c r="E231" s="354" t="s">
        <v>115</v>
      </c>
      <c r="F231" s="355">
        <f>'PART-A'!K2463</f>
        <v>143</v>
      </c>
      <c r="G231" s="353">
        <f t="shared" si="7"/>
        <v>0</v>
      </c>
      <c r="H231" s="633" t="s">
        <v>2312</v>
      </c>
    </row>
    <row r="232" spans="1:8" s="360" customFormat="1" ht="15" hidden="1" customHeight="1">
      <c r="A232" s="356" t="s">
        <v>508</v>
      </c>
      <c r="B232" s="804"/>
      <c r="C232" s="809" t="s">
        <v>1483</v>
      </c>
      <c r="D232" s="358">
        <f>'PART-A'!I2468</f>
        <v>0</v>
      </c>
      <c r="E232" s="354" t="s">
        <v>115</v>
      </c>
      <c r="F232" s="355">
        <f>'PART-A'!K2468</f>
        <v>157</v>
      </c>
      <c r="G232" s="353">
        <f t="shared" si="7"/>
        <v>0</v>
      </c>
      <c r="H232" s="633" t="s">
        <v>2313</v>
      </c>
    </row>
    <row r="233" spans="1:8" s="360" customFormat="1">
      <c r="A233" s="356" t="s">
        <v>490</v>
      </c>
      <c r="B233" s="804" t="s">
        <v>2616</v>
      </c>
      <c r="C233" s="632" t="s">
        <v>477</v>
      </c>
      <c r="D233" s="429">
        <f>'PART-A'!I2476</f>
        <v>4.25</v>
      </c>
      <c r="E233" s="221" t="s">
        <v>29</v>
      </c>
      <c r="F233" s="430">
        <f>'PART-A'!K2476</f>
        <v>62198.5</v>
      </c>
      <c r="G233" s="353">
        <f t="shared" si="7"/>
        <v>264344</v>
      </c>
      <c r="H233" s="633" t="s">
        <v>2217</v>
      </c>
    </row>
    <row r="234" spans="1:8" s="360" customFormat="1" ht="15" hidden="1" customHeight="1">
      <c r="A234" s="356" t="s">
        <v>492</v>
      </c>
      <c r="B234" s="804" t="s">
        <v>2616</v>
      </c>
      <c r="C234" s="632" t="s">
        <v>477</v>
      </c>
      <c r="D234" s="429">
        <f>'PART-A'!I2482</f>
        <v>0</v>
      </c>
      <c r="E234" s="221" t="s">
        <v>29</v>
      </c>
      <c r="F234" s="430">
        <f>'PART-A'!K2482</f>
        <v>62385</v>
      </c>
      <c r="G234" s="353">
        <f t="shared" si="7"/>
        <v>0</v>
      </c>
      <c r="H234" s="633" t="s">
        <v>2299</v>
      </c>
    </row>
    <row r="235" spans="1:8" s="360" customFormat="1" ht="15" hidden="1" customHeight="1">
      <c r="A235" s="356" t="s">
        <v>503</v>
      </c>
      <c r="B235" s="804" t="s">
        <v>2616</v>
      </c>
      <c r="C235" s="632" t="s">
        <v>477</v>
      </c>
      <c r="D235" s="429">
        <f>'PART-A'!I2487</f>
        <v>0</v>
      </c>
      <c r="E235" s="221" t="s">
        <v>29</v>
      </c>
      <c r="F235" s="430">
        <f>'PART-A'!K2487</f>
        <v>79809.5</v>
      </c>
      <c r="G235" s="353">
        <f t="shared" si="7"/>
        <v>0</v>
      </c>
      <c r="H235" s="633" t="s">
        <v>2312</v>
      </c>
    </row>
    <row r="236" spans="1:8" s="360" customFormat="1" ht="15" hidden="1" customHeight="1">
      <c r="A236" s="356" t="s">
        <v>503</v>
      </c>
      <c r="B236" s="804" t="s">
        <v>2616</v>
      </c>
      <c r="C236" s="632" t="s">
        <v>477</v>
      </c>
      <c r="D236" s="429">
        <f>'PART-A'!I2493</f>
        <v>0</v>
      </c>
      <c r="E236" s="221" t="s">
        <v>29</v>
      </c>
      <c r="F236" s="430">
        <f>'PART-A'!K2493</f>
        <v>92466</v>
      </c>
      <c r="G236" s="353">
        <f t="shared" si="7"/>
        <v>0</v>
      </c>
      <c r="H236" s="633" t="s">
        <v>2313</v>
      </c>
    </row>
    <row r="237" spans="1:8" s="26" customFormat="1" hidden="1">
      <c r="A237" s="23"/>
      <c r="B237" s="23"/>
      <c r="C237" s="627" t="s">
        <v>496</v>
      </c>
      <c r="D237" s="28"/>
      <c r="E237" s="224"/>
      <c r="F237" s="37"/>
      <c r="G237" s="11">
        <f t="shared" si="7"/>
        <v>0</v>
      </c>
      <c r="H237" s="633" t="s">
        <v>2217</v>
      </c>
    </row>
    <row r="238" spans="1:8" s="360" customFormat="1" hidden="1">
      <c r="A238" s="356" t="s">
        <v>493</v>
      </c>
      <c r="B238" s="804" t="s">
        <v>2617</v>
      </c>
      <c r="C238" s="632" t="s">
        <v>2061</v>
      </c>
      <c r="D238" s="358">
        <f>FF!I16</f>
        <v>0</v>
      </c>
      <c r="E238" s="354" t="s">
        <v>5</v>
      </c>
      <c r="F238" s="355">
        <f>FF!K16</f>
        <v>9806.8100000000013</v>
      </c>
      <c r="G238" s="353">
        <f t="shared" si="7"/>
        <v>0</v>
      </c>
      <c r="H238" s="633" t="s">
        <v>2217</v>
      </c>
    </row>
    <row r="239" spans="1:8" s="360" customFormat="1" ht="15" hidden="1" customHeight="1">
      <c r="A239" s="356" t="s">
        <v>495</v>
      </c>
      <c r="B239" s="804" t="s">
        <v>2617</v>
      </c>
      <c r="C239" s="632" t="s">
        <v>2061</v>
      </c>
      <c r="D239" s="358">
        <f>FF!I21</f>
        <v>0</v>
      </c>
      <c r="E239" s="354" t="s">
        <v>5</v>
      </c>
      <c r="F239" s="355">
        <f>FF!K21</f>
        <v>10177.17</v>
      </c>
      <c r="G239" s="353">
        <f t="shared" si="7"/>
        <v>0</v>
      </c>
      <c r="H239" s="633" t="s">
        <v>2299</v>
      </c>
    </row>
    <row r="240" spans="1:8" s="360" customFormat="1" ht="15" hidden="1" customHeight="1">
      <c r="A240" s="356" t="s">
        <v>495</v>
      </c>
      <c r="B240" s="804" t="s">
        <v>2617</v>
      </c>
      <c r="C240" s="632" t="s">
        <v>2061</v>
      </c>
      <c r="D240" s="358">
        <f>FF!I30</f>
        <v>0</v>
      </c>
      <c r="E240" s="354" t="s">
        <v>5</v>
      </c>
      <c r="F240" s="355">
        <f>FF!K30</f>
        <v>10761.36</v>
      </c>
      <c r="G240" s="353">
        <f t="shared" si="7"/>
        <v>0</v>
      </c>
      <c r="H240" s="633" t="s">
        <v>2312</v>
      </c>
    </row>
    <row r="241" spans="1:8" s="360" customFormat="1" ht="15" hidden="1" customHeight="1">
      <c r="A241" s="356" t="s">
        <v>495</v>
      </c>
      <c r="B241" s="804" t="s">
        <v>2617</v>
      </c>
      <c r="C241" s="632" t="s">
        <v>2061</v>
      </c>
      <c r="D241" s="358">
        <f>FF!I35</f>
        <v>0</v>
      </c>
      <c r="E241" s="354" t="s">
        <v>5</v>
      </c>
      <c r="F241" s="355">
        <f>FF!K35</f>
        <v>11192.01</v>
      </c>
      <c r="G241" s="353">
        <f t="shared" si="7"/>
        <v>0</v>
      </c>
      <c r="H241" s="633" t="s">
        <v>2313</v>
      </c>
    </row>
    <row r="242" spans="1:8" s="360" customFormat="1">
      <c r="A242" s="356" t="s">
        <v>491</v>
      </c>
      <c r="B242" s="804" t="s">
        <v>2619</v>
      </c>
      <c r="C242" s="632" t="s">
        <v>2063</v>
      </c>
      <c r="D242" s="358">
        <f>FF!I59</f>
        <v>0</v>
      </c>
      <c r="E242" s="354" t="s">
        <v>5</v>
      </c>
      <c r="F242" s="355">
        <f>FF!K59</f>
        <v>9468.130000000001</v>
      </c>
      <c r="G242" s="353">
        <f t="shared" si="7"/>
        <v>0</v>
      </c>
      <c r="H242" s="633" t="s">
        <v>2217</v>
      </c>
    </row>
    <row r="243" spans="1:8" s="360" customFormat="1" ht="15" hidden="1" customHeight="1">
      <c r="A243" s="356" t="s">
        <v>494</v>
      </c>
      <c r="B243" s="804" t="s">
        <v>2619</v>
      </c>
      <c r="C243" s="632" t="s">
        <v>2063</v>
      </c>
      <c r="D243" s="358">
        <f>FF!I74</f>
        <v>0</v>
      </c>
      <c r="E243" s="354" t="s">
        <v>5</v>
      </c>
      <c r="F243" s="355">
        <f>FF!K74</f>
        <v>9694.16</v>
      </c>
      <c r="G243" s="353">
        <f t="shared" si="7"/>
        <v>0</v>
      </c>
      <c r="H243" s="633" t="s">
        <v>2299</v>
      </c>
    </row>
    <row r="244" spans="1:8" s="360" customFormat="1" ht="15" hidden="1" customHeight="1">
      <c r="A244" s="356" t="s">
        <v>1515</v>
      </c>
      <c r="B244" s="804" t="s">
        <v>2619</v>
      </c>
      <c r="C244" s="632" t="s">
        <v>2063</v>
      </c>
      <c r="D244" s="358">
        <f>FF!I98</f>
        <v>0</v>
      </c>
      <c r="E244" s="354" t="s">
        <v>5</v>
      </c>
      <c r="F244" s="355">
        <f>FF!K98</f>
        <v>10194.73</v>
      </c>
      <c r="G244" s="353">
        <f t="shared" si="7"/>
        <v>0</v>
      </c>
      <c r="H244" s="633" t="s">
        <v>2312</v>
      </c>
    </row>
    <row r="245" spans="1:8" s="360" customFormat="1" ht="15" hidden="1" customHeight="1">
      <c r="A245" s="356" t="s">
        <v>1515</v>
      </c>
      <c r="B245" s="804" t="s">
        <v>2619</v>
      </c>
      <c r="C245" s="632" t="s">
        <v>2063</v>
      </c>
      <c r="D245" s="358">
        <f>FF!I104</f>
        <v>0</v>
      </c>
      <c r="E245" s="354" t="s">
        <v>5</v>
      </c>
      <c r="F245" s="355">
        <f>FF!K104</f>
        <v>10490.18</v>
      </c>
      <c r="G245" s="353">
        <f t="shared" si="7"/>
        <v>0</v>
      </c>
      <c r="H245" s="633" t="s">
        <v>2313</v>
      </c>
    </row>
    <row r="246" spans="1:8" s="360" customFormat="1">
      <c r="A246" s="356" t="s">
        <v>1514</v>
      </c>
      <c r="B246" s="804" t="s">
        <v>2620</v>
      </c>
      <c r="C246" s="809" t="s">
        <v>2064</v>
      </c>
      <c r="D246" s="358">
        <f>FF!I140</f>
        <v>0</v>
      </c>
      <c r="E246" s="354" t="s">
        <v>102</v>
      </c>
      <c r="F246" s="355">
        <f>FF!K140</f>
        <v>1231.97</v>
      </c>
      <c r="G246" s="353">
        <f t="shared" si="7"/>
        <v>0</v>
      </c>
      <c r="H246" s="633" t="s">
        <v>2217</v>
      </c>
    </row>
    <row r="247" spans="1:8" s="360" customFormat="1" ht="15" hidden="1" customHeight="1">
      <c r="A247" s="356" t="s">
        <v>495</v>
      </c>
      <c r="B247" s="804" t="s">
        <v>2620</v>
      </c>
      <c r="C247" s="809" t="s">
        <v>2064</v>
      </c>
      <c r="D247" s="358">
        <f>FF!I146</f>
        <v>0</v>
      </c>
      <c r="E247" s="354" t="s">
        <v>102</v>
      </c>
      <c r="F247" s="355">
        <f>FF!K146</f>
        <v>1269.73</v>
      </c>
      <c r="G247" s="353">
        <f t="shared" si="7"/>
        <v>0</v>
      </c>
      <c r="H247" s="633" t="s">
        <v>2299</v>
      </c>
    </row>
    <row r="248" spans="1:8" s="360" customFormat="1" ht="15" hidden="1" customHeight="1">
      <c r="A248" s="356" t="s">
        <v>1516</v>
      </c>
      <c r="B248" s="804" t="s">
        <v>2620</v>
      </c>
      <c r="C248" s="809" t="s">
        <v>2064</v>
      </c>
      <c r="D248" s="358">
        <f>FF!I153</f>
        <v>0</v>
      </c>
      <c r="E248" s="354" t="s">
        <v>102</v>
      </c>
      <c r="F248" s="355">
        <f>FF!K153</f>
        <v>1350.5700000000002</v>
      </c>
      <c r="G248" s="353">
        <f t="shared" si="7"/>
        <v>0</v>
      </c>
      <c r="H248" s="633" t="s">
        <v>2312</v>
      </c>
    </row>
    <row r="249" spans="1:8" s="360" customFormat="1" ht="15" hidden="1" customHeight="1">
      <c r="A249" s="356" t="s">
        <v>1516</v>
      </c>
      <c r="B249" s="804" t="s">
        <v>2620</v>
      </c>
      <c r="C249" s="809" t="s">
        <v>2064</v>
      </c>
      <c r="D249" s="358">
        <f>FF!I159</f>
        <v>0</v>
      </c>
      <c r="E249" s="354" t="s">
        <v>102</v>
      </c>
      <c r="F249" s="355">
        <f>FF!K159</f>
        <v>1395.89</v>
      </c>
      <c r="G249" s="353">
        <f t="shared" si="7"/>
        <v>0</v>
      </c>
      <c r="H249" s="633" t="s">
        <v>2313</v>
      </c>
    </row>
    <row r="250" spans="1:8" s="360" customFormat="1" ht="15" hidden="1" customHeight="1">
      <c r="A250" s="356" t="s">
        <v>487</v>
      </c>
      <c r="B250" s="804" t="s">
        <v>2620</v>
      </c>
      <c r="C250" s="809" t="s">
        <v>2066</v>
      </c>
      <c r="D250" s="358">
        <f>FF!I164</f>
        <v>0</v>
      </c>
      <c r="E250" s="354" t="s">
        <v>102</v>
      </c>
      <c r="F250" s="355">
        <f>FF!K164</f>
        <v>1107.81</v>
      </c>
      <c r="G250" s="353">
        <f t="shared" si="7"/>
        <v>0</v>
      </c>
      <c r="H250" s="633" t="s">
        <v>2217</v>
      </c>
    </row>
    <row r="251" spans="1:8" s="360" customFormat="1" ht="15" hidden="1" customHeight="1">
      <c r="A251" s="356" t="s">
        <v>487</v>
      </c>
      <c r="B251" s="804" t="s">
        <v>2620</v>
      </c>
      <c r="C251" s="809" t="s">
        <v>2066</v>
      </c>
      <c r="D251" s="358">
        <f>FF!I169</f>
        <v>0</v>
      </c>
      <c r="E251" s="354" t="s">
        <v>102</v>
      </c>
      <c r="F251" s="355">
        <f>FF!K169</f>
        <v>1140.19</v>
      </c>
      <c r="G251" s="353">
        <f t="shared" si="7"/>
        <v>0</v>
      </c>
      <c r="H251" s="633" t="s">
        <v>2299</v>
      </c>
    </row>
    <row r="252" spans="1:8" s="360" customFormat="1" ht="15" hidden="1" customHeight="1">
      <c r="A252" s="356" t="s">
        <v>487</v>
      </c>
      <c r="B252" s="804" t="s">
        <v>2620</v>
      </c>
      <c r="C252" s="809" t="s">
        <v>2066</v>
      </c>
      <c r="D252" s="358">
        <f>FF!I174</f>
        <v>0</v>
      </c>
      <c r="E252" s="354" t="s">
        <v>102</v>
      </c>
      <c r="F252" s="355">
        <f>FF!K174</f>
        <v>1214.83</v>
      </c>
      <c r="G252" s="353">
        <f t="shared" si="7"/>
        <v>0</v>
      </c>
      <c r="H252" s="633" t="s">
        <v>2312</v>
      </c>
    </row>
    <row r="253" spans="1:8" s="360" customFormat="1" ht="15" hidden="1" customHeight="1">
      <c r="A253" s="356" t="s">
        <v>487</v>
      </c>
      <c r="B253" s="804" t="s">
        <v>2620</v>
      </c>
      <c r="C253" s="809" t="s">
        <v>2066</v>
      </c>
      <c r="D253" s="358">
        <f>FF!I179</f>
        <v>0</v>
      </c>
      <c r="E253" s="354" t="s">
        <v>102</v>
      </c>
      <c r="F253" s="355">
        <f>FF!K179</f>
        <v>1253.01</v>
      </c>
      <c r="G253" s="353">
        <f t="shared" ref="G253:G273" si="8">ROUND(D253*F253,0)</f>
        <v>0</v>
      </c>
      <c r="H253" s="633" t="s">
        <v>2313</v>
      </c>
    </row>
    <row r="254" spans="1:8" s="360" customFormat="1">
      <c r="A254" s="356" t="s">
        <v>492</v>
      </c>
      <c r="B254" s="804" t="s">
        <v>2622</v>
      </c>
      <c r="C254" s="632" t="s">
        <v>2065</v>
      </c>
      <c r="D254" s="358">
        <f>FF!I112</f>
        <v>0</v>
      </c>
      <c r="E254" s="221" t="s">
        <v>102</v>
      </c>
      <c r="F254" s="355">
        <f>FF!K112</f>
        <v>1356.1200000000001</v>
      </c>
      <c r="G254" s="353">
        <f t="shared" si="8"/>
        <v>0</v>
      </c>
      <c r="H254" s="633" t="s">
        <v>2217</v>
      </c>
    </row>
    <row r="255" spans="1:8" s="360" customFormat="1" ht="15" hidden="1" customHeight="1">
      <c r="A255" s="356" t="s">
        <v>1515</v>
      </c>
      <c r="B255" s="804" t="s">
        <v>2622</v>
      </c>
      <c r="C255" s="632" t="s">
        <v>2065</v>
      </c>
      <c r="D255" s="358">
        <f>FF!I120</f>
        <v>0</v>
      </c>
      <c r="E255" s="221" t="s">
        <v>102</v>
      </c>
      <c r="F255" s="355">
        <f>FF!K120</f>
        <v>1399.27</v>
      </c>
      <c r="G255" s="353">
        <f t="shared" si="8"/>
        <v>0</v>
      </c>
      <c r="H255" s="633" t="s">
        <v>2299</v>
      </c>
    </row>
    <row r="256" spans="1:8" s="360" customFormat="1" ht="15" hidden="1" customHeight="1">
      <c r="A256" s="356" t="s">
        <v>1517</v>
      </c>
      <c r="B256" s="804" t="s">
        <v>2622</v>
      </c>
      <c r="C256" s="632" t="s">
        <v>2065</v>
      </c>
      <c r="D256" s="358">
        <f>FF!I128</f>
        <v>0</v>
      </c>
      <c r="E256" s="221" t="s">
        <v>102</v>
      </c>
      <c r="F256" s="355">
        <f>FF!K128</f>
        <v>1486.3000000000002</v>
      </c>
      <c r="G256" s="353">
        <f t="shared" si="8"/>
        <v>0</v>
      </c>
      <c r="H256" s="633" t="s">
        <v>2312</v>
      </c>
    </row>
    <row r="257" spans="1:8" s="360" customFormat="1" ht="15" hidden="1" customHeight="1">
      <c r="A257" s="356" t="s">
        <v>1517</v>
      </c>
      <c r="B257" s="804" t="s">
        <v>2622</v>
      </c>
      <c r="C257" s="632" t="s">
        <v>2065</v>
      </c>
      <c r="D257" s="358">
        <f>FF!I133</f>
        <v>0</v>
      </c>
      <c r="E257" s="221" t="s">
        <v>102</v>
      </c>
      <c r="F257" s="355">
        <f>FF!K133</f>
        <v>1538.77</v>
      </c>
      <c r="G257" s="353">
        <f t="shared" si="8"/>
        <v>0</v>
      </c>
      <c r="H257" s="633" t="s">
        <v>2313</v>
      </c>
    </row>
    <row r="258" spans="1:8" s="360" customFormat="1" ht="15" hidden="1" customHeight="1">
      <c r="A258" s="356" t="s">
        <v>517</v>
      </c>
      <c r="B258" s="804" t="s">
        <v>2620</v>
      </c>
      <c r="C258" s="809" t="s">
        <v>2072</v>
      </c>
      <c r="D258" s="358">
        <f>FF!I185</f>
        <v>0</v>
      </c>
      <c r="E258" s="221" t="s">
        <v>102</v>
      </c>
      <c r="F258" s="355">
        <f>FF!K185</f>
        <v>608.34999999999991</v>
      </c>
      <c r="G258" s="353">
        <f t="shared" si="8"/>
        <v>0</v>
      </c>
      <c r="H258" s="633" t="s">
        <v>2217</v>
      </c>
    </row>
    <row r="259" spans="1:8" s="360" customFormat="1" ht="15" hidden="1" customHeight="1">
      <c r="A259" s="356" t="s">
        <v>517</v>
      </c>
      <c r="B259" s="804" t="s">
        <v>2620</v>
      </c>
      <c r="C259" s="809" t="s">
        <v>2072</v>
      </c>
      <c r="D259" s="358">
        <f>FF!I191</f>
        <v>0</v>
      </c>
      <c r="E259" s="221" t="s">
        <v>102</v>
      </c>
      <c r="F259" s="355">
        <f>FF!K191</f>
        <v>629.79</v>
      </c>
      <c r="G259" s="353">
        <f t="shared" si="8"/>
        <v>0</v>
      </c>
      <c r="H259" s="633" t="s">
        <v>2299</v>
      </c>
    </row>
    <row r="260" spans="1:8" s="360" customFormat="1" ht="15" hidden="1" customHeight="1">
      <c r="A260" s="356" t="s">
        <v>517</v>
      </c>
      <c r="B260" s="804" t="s">
        <v>2620</v>
      </c>
      <c r="C260" s="809" t="s">
        <v>2072</v>
      </c>
      <c r="D260" s="358">
        <f>FF!I197</f>
        <v>0</v>
      </c>
      <c r="E260" s="221" t="s">
        <v>102</v>
      </c>
      <c r="F260" s="355">
        <f>FF!K197</f>
        <v>670.91</v>
      </c>
      <c r="G260" s="353">
        <f t="shared" si="8"/>
        <v>0</v>
      </c>
      <c r="H260" s="633" t="s">
        <v>2312</v>
      </c>
    </row>
    <row r="261" spans="1:8" s="360" customFormat="1" ht="15" hidden="1" customHeight="1">
      <c r="A261" s="356" t="s">
        <v>517</v>
      </c>
      <c r="B261" s="804" t="s">
        <v>2620</v>
      </c>
      <c r="C261" s="809" t="s">
        <v>2072</v>
      </c>
      <c r="D261" s="358">
        <f>FF!I203</f>
        <v>0</v>
      </c>
      <c r="E261" s="221" t="s">
        <v>102</v>
      </c>
      <c r="F261" s="355">
        <f>FF!K203</f>
        <v>694.54</v>
      </c>
      <c r="G261" s="353">
        <f t="shared" si="8"/>
        <v>0</v>
      </c>
      <c r="H261" s="633" t="s">
        <v>2313</v>
      </c>
    </row>
    <row r="262" spans="1:8" s="360" customFormat="1" ht="15" hidden="1" customHeight="1">
      <c r="A262" s="356" t="s">
        <v>517</v>
      </c>
      <c r="B262" s="804" t="s">
        <v>2620</v>
      </c>
      <c r="C262" s="809" t="s">
        <v>2073</v>
      </c>
      <c r="D262" s="358">
        <f>FF!I209</f>
        <v>0</v>
      </c>
      <c r="E262" s="221" t="s">
        <v>102</v>
      </c>
      <c r="F262" s="355">
        <f>FF!K209</f>
        <v>485.58</v>
      </c>
      <c r="G262" s="353">
        <f t="shared" si="8"/>
        <v>0</v>
      </c>
      <c r="H262" s="633" t="s">
        <v>2217</v>
      </c>
    </row>
    <row r="263" spans="1:8" s="360" customFormat="1" ht="15" hidden="1" customHeight="1">
      <c r="A263" s="356" t="s">
        <v>517</v>
      </c>
      <c r="B263" s="804" t="s">
        <v>2620</v>
      </c>
      <c r="C263" s="809" t="s">
        <v>2073</v>
      </c>
      <c r="D263" s="358">
        <f>FF!I215</f>
        <v>0</v>
      </c>
      <c r="E263" s="221" t="s">
        <v>102</v>
      </c>
      <c r="F263" s="355">
        <f>FF!K215</f>
        <v>501.74</v>
      </c>
      <c r="G263" s="353">
        <f t="shared" si="8"/>
        <v>0</v>
      </c>
      <c r="H263" s="633" t="s">
        <v>2299</v>
      </c>
    </row>
    <row r="264" spans="1:8" s="360" customFormat="1" ht="15" hidden="1" customHeight="1">
      <c r="A264" s="356" t="s">
        <v>517</v>
      </c>
      <c r="B264" s="804" t="s">
        <v>2620</v>
      </c>
      <c r="C264" s="809" t="s">
        <v>2073</v>
      </c>
      <c r="D264" s="358">
        <f>FF!I221</f>
        <v>0</v>
      </c>
      <c r="E264" s="221" t="s">
        <v>102</v>
      </c>
      <c r="F264" s="355">
        <f>FF!K221</f>
        <v>536.78</v>
      </c>
      <c r="G264" s="353">
        <f t="shared" si="8"/>
        <v>0</v>
      </c>
      <c r="H264" s="633" t="s">
        <v>2312</v>
      </c>
    </row>
    <row r="265" spans="1:8" s="360" customFormat="1" ht="15" hidden="1" customHeight="1">
      <c r="A265" s="356" t="s">
        <v>517</v>
      </c>
      <c r="B265" s="804" t="s">
        <v>2620</v>
      </c>
      <c r="C265" s="809" t="s">
        <v>2073</v>
      </c>
      <c r="D265" s="358">
        <f>FF!I227</f>
        <v>0</v>
      </c>
      <c r="E265" s="221" t="s">
        <v>102</v>
      </c>
      <c r="F265" s="355">
        <f>FF!K227</f>
        <v>553.39</v>
      </c>
      <c r="G265" s="353">
        <f t="shared" si="8"/>
        <v>0</v>
      </c>
      <c r="H265" s="633" t="s">
        <v>2313</v>
      </c>
    </row>
    <row r="266" spans="1:8" s="360" customFormat="1">
      <c r="A266" s="356" t="s">
        <v>493</v>
      </c>
      <c r="B266" s="804" t="s">
        <v>2618</v>
      </c>
      <c r="C266" s="632" t="s">
        <v>2069</v>
      </c>
      <c r="D266" s="358">
        <f>FF!I238</f>
        <v>0</v>
      </c>
      <c r="E266" s="354" t="s">
        <v>5</v>
      </c>
      <c r="F266" s="355">
        <f>FF!K238</f>
        <v>9842.01</v>
      </c>
      <c r="G266" s="353">
        <f t="shared" si="8"/>
        <v>0</v>
      </c>
      <c r="H266" s="633" t="s">
        <v>2217</v>
      </c>
    </row>
    <row r="267" spans="1:8" s="360" customFormat="1" ht="15" hidden="1" customHeight="1">
      <c r="A267" s="356" t="s">
        <v>1516</v>
      </c>
      <c r="B267" s="804" t="s">
        <v>2618</v>
      </c>
      <c r="C267" s="632" t="s">
        <v>2069</v>
      </c>
      <c r="D267" s="358">
        <f>FF!I259</f>
        <v>0</v>
      </c>
      <c r="E267" s="354" t="s">
        <v>5</v>
      </c>
      <c r="F267" s="355">
        <f>FF!K259</f>
        <v>10212.370000000001</v>
      </c>
      <c r="G267" s="353">
        <f t="shared" si="8"/>
        <v>0</v>
      </c>
      <c r="H267" s="633" t="s">
        <v>2299</v>
      </c>
    </row>
    <row r="268" spans="1:8" s="360" customFormat="1" ht="15" hidden="1" customHeight="1">
      <c r="A268" s="356" t="s">
        <v>513</v>
      </c>
      <c r="B268" s="804" t="s">
        <v>2618</v>
      </c>
      <c r="C268" s="632" t="s">
        <v>2069</v>
      </c>
      <c r="D268" s="358">
        <f>FF!I270</f>
        <v>0</v>
      </c>
      <c r="E268" s="354" t="s">
        <v>5</v>
      </c>
      <c r="F268" s="355">
        <f>FF!K270</f>
        <v>10781.86</v>
      </c>
      <c r="G268" s="353">
        <f t="shared" si="8"/>
        <v>0</v>
      </c>
      <c r="H268" s="633" t="s">
        <v>2312</v>
      </c>
    </row>
    <row r="269" spans="1:8" s="360" customFormat="1" ht="15" hidden="1" customHeight="1">
      <c r="A269" s="356" t="s">
        <v>513</v>
      </c>
      <c r="B269" s="804" t="s">
        <v>2618</v>
      </c>
      <c r="C269" s="632" t="s">
        <v>2069</v>
      </c>
      <c r="D269" s="358">
        <f>FF!I276</f>
        <v>0</v>
      </c>
      <c r="E269" s="354" t="s">
        <v>5</v>
      </c>
      <c r="F269" s="355">
        <f>FF!K276</f>
        <v>11212.51</v>
      </c>
      <c r="G269" s="353">
        <f t="shared" si="8"/>
        <v>0</v>
      </c>
      <c r="H269" s="633" t="s">
        <v>2313</v>
      </c>
    </row>
    <row r="270" spans="1:8" s="360" customFormat="1">
      <c r="A270" s="356" t="s">
        <v>494</v>
      </c>
      <c r="B270" s="804" t="s">
        <v>2621</v>
      </c>
      <c r="C270" s="632" t="s">
        <v>2070</v>
      </c>
      <c r="D270" s="358">
        <f>FF!I282</f>
        <v>0</v>
      </c>
      <c r="E270" s="221" t="s">
        <v>277</v>
      </c>
      <c r="F270" s="355">
        <f>FF!K282</f>
        <v>568.34999999999991</v>
      </c>
      <c r="G270" s="353">
        <f t="shared" si="8"/>
        <v>0</v>
      </c>
      <c r="H270" s="633" t="s">
        <v>2217</v>
      </c>
    </row>
    <row r="271" spans="1:8" s="360" customFormat="1" ht="15" hidden="1" customHeight="1">
      <c r="A271" s="356" t="s">
        <v>1517</v>
      </c>
      <c r="B271" s="804" t="s">
        <v>2621</v>
      </c>
      <c r="C271" s="632" t="s">
        <v>2070</v>
      </c>
      <c r="D271" s="358">
        <f>FF!I288</f>
        <v>0</v>
      </c>
      <c r="E271" s="221" t="s">
        <v>277</v>
      </c>
      <c r="F271" s="355">
        <f>FF!K288</f>
        <v>582.93999999999994</v>
      </c>
      <c r="G271" s="353">
        <f t="shared" si="8"/>
        <v>0</v>
      </c>
      <c r="H271" s="633" t="s">
        <v>2299</v>
      </c>
    </row>
    <row r="272" spans="1:8" s="360" customFormat="1" ht="15" hidden="1" customHeight="1">
      <c r="A272" s="356" t="s">
        <v>515</v>
      </c>
      <c r="B272" s="804" t="s">
        <v>2621</v>
      </c>
      <c r="C272" s="632" t="s">
        <v>2070</v>
      </c>
      <c r="D272" s="358">
        <f>FF!I295</f>
        <v>0</v>
      </c>
      <c r="E272" s="221" t="s">
        <v>277</v>
      </c>
      <c r="F272" s="355">
        <f>FF!K295</f>
        <v>613.88</v>
      </c>
      <c r="G272" s="353">
        <f t="shared" si="8"/>
        <v>0</v>
      </c>
      <c r="H272" s="633" t="s">
        <v>2312</v>
      </c>
    </row>
    <row r="273" spans="1:10" s="360" customFormat="1" ht="15" hidden="1" customHeight="1">
      <c r="A273" s="356" t="s">
        <v>515</v>
      </c>
      <c r="B273" s="804" t="s">
        <v>2621</v>
      </c>
      <c r="C273" s="632" t="s">
        <v>2070</v>
      </c>
      <c r="D273" s="358">
        <f>FF!I301</f>
        <v>0</v>
      </c>
      <c r="E273" s="221" t="s">
        <v>277</v>
      </c>
      <c r="F273" s="355">
        <f>FF!K301</f>
        <v>630.35</v>
      </c>
      <c r="G273" s="353">
        <f t="shared" si="8"/>
        <v>0</v>
      </c>
      <c r="H273" s="633" t="s">
        <v>2313</v>
      </c>
    </row>
    <row r="274" spans="1:10" s="360" customFormat="1" hidden="1">
      <c r="A274" s="356" t="s">
        <v>497</v>
      </c>
      <c r="B274" s="804"/>
      <c r="C274" s="809" t="s">
        <v>1478</v>
      </c>
      <c r="D274" s="358">
        <f>FF!I307</f>
        <v>0</v>
      </c>
      <c r="E274" s="221" t="s">
        <v>102</v>
      </c>
      <c r="F274" s="355">
        <f>FF!K307</f>
        <v>278.81</v>
      </c>
      <c r="H274" s="633" t="s">
        <v>2217</v>
      </c>
      <c r="J274" s="353">
        <f>ROUND(D274*F274,0)</f>
        <v>0</v>
      </c>
    </row>
    <row r="275" spans="1:10" s="360" customFormat="1" ht="15" hidden="1" customHeight="1">
      <c r="A275" s="356" t="s">
        <v>497</v>
      </c>
      <c r="B275" s="804"/>
      <c r="C275" s="809" t="s">
        <v>1478</v>
      </c>
      <c r="D275" s="358">
        <f>FF!I314</f>
        <v>0</v>
      </c>
      <c r="E275" s="221" t="s">
        <v>102</v>
      </c>
      <c r="F275" s="355">
        <f>FF!K314</f>
        <v>300.63</v>
      </c>
      <c r="H275" s="633" t="s">
        <v>2299</v>
      </c>
      <c r="J275" s="353">
        <f>ROUND(D275*F275,0)</f>
        <v>0</v>
      </c>
    </row>
    <row r="276" spans="1:10" s="360" customFormat="1" ht="15" hidden="1" customHeight="1">
      <c r="A276" s="356" t="s">
        <v>497</v>
      </c>
      <c r="B276" s="804"/>
      <c r="C276" s="809" t="s">
        <v>1478</v>
      </c>
      <c r="D276" s="358">
        <f>FF!I320</f>
        <v>0</v>
      </c>
      <c r="E276" s="221" t="s">
        <v>102</v>
      </c>
      <c r="F276" s="355">
        <f>FF!K320</f>
        <v>319.08</v>
      </c>
      <c r="G276" s="353">
        <f t="shared" ref="G276:G289" si="9">ROUND(D276*F276,0)</f>
        <v>0</v>
      </c>
      <c r="H276" s="633" t="s">
        <v>2312</v>
      </c>
    </row>
    <row r="277" spans="1:10" s="360" customFormat="1" ht="15" hidden="1" customHeight="1">
      <c r="A277" s="356" t="s">
        <v>497</v>
      </c>
      <c r="B277" s="804"/>
      <c r="C277" s="809" t="s">
        <v>1478</v>
      </c>
      <c r="D277" s="358">
        <f>FF!I326</f>
        <v>0</v>
      </c>
      <c r="E277" s="221" t="s">
        <v>102</v>
      </c>
      <c r="F277" s="355">
        <f>FF!K326</f>
        <v>339.16</v>
      </c>
      <c r="G277" s="353">
        <f t="shared" si="9"/>
        <v>0</v>
      </c>
      <c r="H277" s="633" t="s">
        <v>2313</v>
      </c>
    </row>
    <row r="278" spans="1:10" s="360" customFormat="1" hidden="1">
      <c r="A278" s="356" t="s">
        <v>520</v>
      </c>
      <c r="B278" s="804" t="s">
        <v>2627</v>
      </c>
      <c r="C278" s="809" t="s">
        <v>1479</v>
      </c>
      <c r="D278" s="358">
        <f>FF!I332</f>
        <v>0</v>
      </c>
      <c r="E278" s="221" t="s">
        <v>102</v>
      </c>
      <c r="F278" s="355">
        <f>FF!K332</f>
        <v>356.32</v>
      </c>
      <c r="G278" s="353">
        <f t="shared" si="9"/>
        <v>0</v>
      </c>
      <c r="H278" s="633" t="s">
        <v>2217</v>
      </c>
    </row>
    <row r="279" spans="1:10" s="360" customFormat="1" ht="15" hidden="1" customHeight="1">
      <c r="A279" s="356" t="s">
        <v>520</v>
      </c>
      <c r="B279" s="804" t="s">
        <v>2627</v>
      </c>
      <c r="C279" s="809" t="s">
        <v>1479</v>
      </c>
      <c r="D279" s="358">
        <f>FF!I338</f>
        <v>0</v>
      </c>
      <c r="E279" s="221" t="s">
        <v>102</v>
      </c>
      <c r="F279" s="355">
        <f>FF!K338</f>
        <v>385.97</v>
      </c>
      <c r="G279" s="353">
        <f t="shared" si="9"/>
        <v>0</v>
      </c>
      <c r="H279" s="633" t="s">
        <v>2299</v>
      </c>
    </row>
    <row r="280" spans="1:10" s="360" customFormat="1" ht="15" hidden="1" customHeight="1">
      <c r="A280" s="356" t="s">
        <v>520</v>
      </c>
      <c r="B280" s="804" t="s">
        <v>2627</v>
      </c>
      <c r="C280" s="809" t="s">
        <v>1479</v>
      </c>
      <c r="D280" s="358">
        <f>FF!I344</f>
        <v>0</v>
      </c>
      <c r="E280" s="221" t="s">
        <v>102</v>
      </c>
      <c r="F280" s="355">
        <f>FF!K344</f>
        <v>410.82</v>
      </c>
      <c r="G280" s="353">
        <f t="shared" si="9"/>
        <v>0</v>
      </c>
      <c r="H280" s="633" t="s">
        <v>2312</v>
      </c>
    </row>
    <row r="281" spans="1:10" s="360" customFormat="1" ht="15" hidden="1" customHeight="1">
      <c r="A281" s="356" t="s">
        <v>520</v>
      </c>
      <c r="B281" s="804" t="s">
        <v>2627</v>
      </c>
      <c r="C281" s="809" t="s">
        <v>1479</v>
      </c>
      <c r="D281" s="358">
        <f>FF!I350</f>
        <v>0</v>
      </c>
      <c r="E281" s="221" t="s">
        <v>102</v>
      </c>
      <c r="F281" s="355">
        <f>FF!K350</f>
        <v>438.06</v>
      </c>
      <c r="G281" s="353">
        <f t="shared" si="9"/>
        <v>0</v>
      </c>
      <c r="H281" s="633" t="s">
        <v>2313</v>
      </c>
    </row>
    <row r="282" spans="1:10" s="360" customFormat="1">
      <c r="A282" s="356" t="s">
        <v>495</v>
      </c>
      <c r="B282" s="804" t="s">
        <v>2596</v>
      </c>
      <c r="C282" s="632" t="s">
        <v>829</v>
      </c>
      <c r="D282" s="358">
        <f>FF!I396</f>
        <v>0</v>
      </c>
      <c r="E282" s="354" t="s">
        <v>5</v>
      </c>
      <c r="F282" s="355">
        <f>FF!K396</f>
        <v>5961.27</v>
      </c>
      <c r="G282" s="353">
        <f t="shared" si="9"/>
        <v>0</v>
      </c>
      <c r="H282" s="633" t="s">
        <v>2217</v>
      </c>
    </row>
    <row r="283" spans="1:10" s="360" customFormat="1" ht="15" hidden="1" customHeight="1">
      <c r="A283" s="356" t="s">
        <v>1518</v>
      </c>
      <c r="B283" s="804" t="s">
        <v>2596</v>
      </c>
      <c r="C283" s="632" t="s">
        <v>829</v>
      </c>
      <c r="D283" s="358">
        <f>FF!I435</f>
        <v>0</v>
      </c>
      <c r="E283" s="354" t="s">
        <v>5</v>
      </c>
      <c r="F283" s="355">
        <f>FF!K435</f>
        <v>6135.0899999999992</v>
      </c>
      <c r="G283" s="353">
        <f t="shared" si="9"/>
        <v>0</v>
      </c>
      <c r="H283" s="633" t="s">
        <v>2299</v>
      </c>
    </row>
    <row r="284" spans="1:10" s="360" customFormat="1" ht="15" hidden="1" customHeight="1">
      <c r="A284" s="356" t="s">
        <v>519</v>
      </c>
      <c r="B284" s="804" t="s">
        <v>2596</v>
      </c>
      <c r="C284" s="632" t="s">
        <v>829</v>
      </c>
      <c r="D284" s="358">
        <f>FF!I454</f>
        <v>0</v>
      </c>
      <c r="E284" s="354" t="s">
        <v>5</v>
      </c>
      <c r="F284" s="355">
        <f>FF!K454</f>
        <v>6558.3</v>
      </c>
      <c r="G284" s="353">
        <f t="shared" si="9"/>
        <v>0</v>
      </c>
      <c r="H284" s="633" t="s">
        <v>2312</v>
      </c>
    </row>
    <row r="285" spans="1:10" s="360" customFormat="1" ht="15" hidden="1" customHeight="1">
      <c r="A285" s="356" t="s">
        <v>519</v>
      </c>
      <c r="B285" s="804" t="s">
        <v>2596</v>
      </c>
      <c r="C285" s="632" t="s">
        <v>829</v>
      </c>
      <c r="D285" s="358">
        <f>FF!I460</f>
        <v>0</v>
      </c>
      <c r="E285" s="354" t="s">
        <v>5</v>
      </c>
      <c r="F285" s="355">
        <f>FF!K460</f>
        <v>7283.96</v>
      </c>
      <c r="G285" s="353">
        <f t="shared" si="9"/>
        <v>0</v>
      </c>
      <c r="H285" s="633" t="s">
        <v>2313</v>
      </c>
    </row>
    <row r="286" spans="1:10" s="360" customFormat="1" ht="15" hidden="1" customHeight="1">
      <c r="A286" s="356" t="s">
        <v>491</v>
      </c>
      <c r="B286" s="804" t="s">
        <v>2594</v>
      </c>
      <c r="C286" s="632" t="s">
        <v>828</v>
      </c>
      <c r="D286" s="358">
        <f>FF!I356</f>
        <v>0</v>
      </c>
      <c r="E286" s="354" t="s">
        <v>5</v>
      </c>
      <c r="F286" s="355">
        <f>FF!K356</f>
        <v>5904.8700000000008</v>
      </c>
      <c r="G286" s="353">
        <f t="shared" si="9"/>
        <v>0</v>
      </c>
      <c r="H286" s="633" t="s">
        <v>2217</v>
      </c>
    </row>
    <row r="287" spans="1:10" s="360" customFormat="1" ht="15" hidden="1" customHeight="1">
      <c r="A287" s="356" t="s">
        <v>491</v>
      </c>
      <c r="B287" s="804" t="s">
        <v>2594</v>
      </c>
      <c r="C287" s="632" t="s">
        <v>828</v>
      </c>
      <c r="D287" s="358">
        <f>FF!I362</f>
        <v>0</v>
      </c>
      <c r="E287" s="354" t="s">
        <v>5</v>
      </c>
      <c r="F287" s="355">
        <f>FF!K362</f>
        <v>6078.69</v>
      </c>
      <c r="G287" s="353">
        <f t="shared" si="9"/>
        <v>0</v>
      </c>
      <c r="H287" s="633" t="s">
        <v>2299</v>
      </c>
    </row>
    <row r="288" spans="1:10" s="360" customFormat="1" ht="15" hidden="1" customHeight="1">
      <c r="A288" s="356" t="s">
        <v>491</v>
      </c>
      <c r="B288" s="804" t="s">
        <v>2594</v>
      </c>
      <c r="C288" s="632" t="s">
        <v>828</v>
      </c>
      <c r="D288" s="358">
        <f>FF!I368</f>
        <v>0</v>
      </c>
      <c r="E288" s="354" t="s">
        <v>5</v>
      </c>
      <c r="F288" s="355">
        <f>FF!K368</f>
        <v>6501.9000000000005</v>
      </c>
      <c r="G288" s="353">
        <f t="shared" si="9"/>
        <v>0</v>
      </c>
      <c r="H288" s="633" t="s">
        <v>2312</v>
      </c>
    </row>
    <row r="289" spans="1:8" s="360" customFormat="1" ht="15" hidden="1" customHeight="1">
      <c r="A289" s="356" t="s">
        <v>491</v>
      </c>
      <c r="B289" s="804" t="s">
        <v>2594</v>
      </c>
      <c r="C289" s="632" t="s">
        <v>828</v>
      </c>
      <c r="D289" s="358">
        <f>FF!I374</f>
        <v>0</v>
      </c>
      <c r="E289" s="354" t="s">
        <v>5</v>
      </c>
      <c r="F289" s="355">
        <f>FF!K374</f>
        <v>7227.5599999999995</v>
      </c>
      <c r="G289" s="353">
        <f t="shared" si="9"/>
        <v>0</v>
      </c>
      <c r="H289" s="633" t="s">
        <v>2313</v>
      </c>
    </row>
    <row r="290" spans="1:8" s="360" customFormat="1" ht="25.5">
      <c r="A290" s="356" t="s">
        <v>1515</v>
      </c>
      <c r="B290" s="804" t="s">
        <v>2595</v>
      </c>
      <c r="C290" s="632" t="s">
        <v>705</v>
      </c>
      <c r="D290" s="358">
        <f>FF!I487</f>
        <v>0</v>
      </c>
      <c r="E290" s="354" t="s">
        <v>102</v>
      </c>
      <c r="F290" s="355">
        <f>FF!K487</f>
        <v>767.73</v>
      </c>
      <c r="G290" s="353">
        <f t="shared" ref="G290:G301" si="10">ROUND(D290*F290/1,0)</f>
        <v>0</v>
      </c>
      <c r="H290" s="633" t="s">
        <v>2217</v>
      </c>
    </row>
    <row r="291" spans="1:8" s="360" customFormat="1" ht="25.5" hidden="1" customHeight="1">
      <c r="A291" s="356" t="s">
        <v>1519</v>
      </c>
      <c r="B291" s="804" t="s">
        <v>2595</v>
      </c>
      <c r="C291" s="632" t="s">
        <v>705</v>
      </c>
      <c r="D291" s="358">
        <f>FF!I520</f>
        <v>0</v>
      </c>
      <c r="E291" s="354" t="s">
        <v>102</v>
      </c>
      <c r="F291" s="355">
        <f>FF!K520</f>
        <v>791.59</v>
      </c>
      <c r="G291" s="353">
        <f t="shared" si="10"/>
        <v>0</v>
      </c>
      <c r="H291" s="633" t="s">
        <v>2299</v>
      </c>
    </row>
    <row r="292" spans="1:8" s="360" customFormat="1" ht="25.5" hidden="1" customHeight="1">
      <c r="A292" s="356" t="s">
        <v>521</v>
      </c>
      <c r="B292" s="804" t="s">
        <v>2595</v>
      </c>
      <c r="C292" s="632" t="s">
        <v>705</v>
      </c>
      <c r="D292" s="358">
        <f>FF!I541</f>
        <v>0</v>
      </c>
      <c r="E292" s="354" t="s">
        <v>102</v>
      </c>
      <c r="F292" s="355">
        <f>FF!K541</f>
        <v>845.07</v>
      </c>
      <c r="G292" s="353">
        <f t="shared" si="10"/>
        <v>0</v>
      </c>
      <c r="H292" s="633" t="s">
        <v>2312</v>
      </c>
    </row>
    <row r="293" spans="1:8" s="360" customFormat="1" ht="25.5" hidden="1" customHeight="1">
      <c r="A293" s="356" t="s">
        <v>521</v>
      </c>
      <c r="B293" s="804" t="s">
        <v>2595</v>
      </c>
      <c r="C293" s="632" t="s">
        <v>705</v>
      </c>
      <c r="D293" s="358">
        <f>FF!I550</f>
        <v>0</v>
      </c>
      <c r="E293" s="354" t="s">
        <v>102</v>
      </c>
      <c r="F293" s="355">
        <f>FF!K550</f>
        <v>929.28</v>
      </c>
      <c r="G293" s="353">
        <f t="shared" si="10"/>
        <v>0</v>
      </c>
      <c r="H293" s="633" t="s">
        <v>2313</v>
      </c>
    </row>
    <row r="294" spans="1:8" s="360" customFormat="1" ht="15" hidden="1" customHeight="1">
      <c r="A294" s="356" t="s">
        <v>483</v>
      </c>
      <c r="B294" s="804" t="s">
        <v>2595</v>
      </c>
      <c r="C294" s="632" t="s">
        <v>1221</v>
      </c>
      <c r="D294" s="358">
        <f>FF!I557</f>
        <v>0</v>
      </c>
      <c r="E294" s="354" t="s">
        <v>102</v>
      </c>
      <c r="F294" s="355">
        <f>FF!K557</f>
        <v>5604.44</v>
      </c>
      <c r="G294" s="353">
        <f t="shared" si="10"/>
        <v>0</v>
      </c>
      <c r="H294" s="633" t="s">
        <v>2217</v>
      </c>
    </row>
    <row r="295" spans="1:8" s="360" customFormat="1" ht="15" hidden="1" customHeight="1">
      <c r="A295" s="356" t="s">
        <v>483</v>
      </c>
      <c r="B295" s="804" t="s">
        <v>2595</v>
      </c>
      <c r="C295" s="632" t="s">
        <v>1221</v>
      </c>
      <c r="D295" s="358">
        <f>FF!I564</f>
        <v>0</v>
      </c>
      <c r="E295" s="354" t="s">
        <v>102</v>
      </c>
      <c r="F295" s="355">
        <f>FF!K564</f>
        <v>5800.61</v>
      </c>
      <c r="G295" s="353">
        <f t="shared" si="10"/>
        <v>0</v>
      </c>
      <c r="H295" s="633" t="s">
        <v>2299</v>
      </c>
    </row>
    <row r="296" spans="1:8" s="360" customFormat="1" ht="15" hidden="1" customHeight="1">
      <c r="A296" s="356" t="s">
        <v>483</v>
      </c>
      <c r="B296" s="804" t="s">
        <v>2595</v>
      </c>
      <c r="C296" s="632" t="s">
        <v>1221</v>
      </c>
      <c r="D296" s="358">
        <f>FF!I571</f>
        <v>0</v>
      </c>
      <c r="E296" s="354" t="s">
        <v>102</v>
      </c>
      <c r="F296" s="355">
        <f>FF!K571</f>
        <v>6321.16</v>
      </c>
      <c r="G296" s="353">
        <f t="shared" si="10"/>
        <v>0</v>
      </c>
      <c r="H296" s="633" t="s">
        <v>2312</v>
      </c>
    </row>
    <row r="297" spans="1:8" s="360" customFormat="1" ht="15" hidden="1" customHeight="1">
      <c r="A297" s="356" t="s">
        <v>483</v>
      </c>
      <c r="B297" s="804" t="s">
        <v>2595</v>
      </c>
      <c r="C297" s="632" t="s">
        <v>1221</v>
      </c>
      <c r="D297" s="358">
        <f>FF!I578</f>
        <v>0</v>
      </c>
      <c r="E297" s="354" t="s">
        <v>102</v>
      </c>
      <c r="F297" s="355">
        <f>FF!K578</f>
        <v>6718.55</v>
      </c>
      <c r="G297" s="353">
        <f t="shared" si="10"/>
        <v>0</v>
      </c>
      <c r="H297" s="633" t="s">
        <v>2313</v>
      </c>
    </row>
    <row r="298" spans="1:8" s="360" customFormat="1" ht="15" hidden="1" customHeight="1">
      <c r="A298" s="356" t="s">
        <v>484</v>
      </c>
      <c r="B298" s="804"/>
      <c r="C298" s="632" t="s">
        <v>1214</v>
      </c>
      <c r="D298" s="358">
        <f>FF!I584</f>
        <v>0</v>
      </c>
      <c r="E298" s="354" t="s">
        <v>102</v>
      </c>
      <c r="F298" s="355">
        <f>FF!K584</f>
        <v>1906.95</v>
      </c>
      <c r="G298" s="353">
        <f t="shared" si="10"/>
        <v>0</v>
      </c>
      <c r="H298" s="633" t="s">
        <v>2217</v>
      </c>
    </row>
    <row r="299" spans="1:8" s="360" customFormat="1" ht="15" hidden="1" customHeight="1">
      <c r="A299" s="356" t="s">
        <v>484</v>
      </c>
      <c r="B299" s="804"/>
      <c r="C299" s="632" t="s">
        <v>1214</v>
      </c>
      <c r="D299" s="358">
        <f>FF!I590</f>
        <v>0</v>
      </c>
      <c r="E299" s="354" t="s">
        <v>102</v>
      </c>
      <c r="F299" s="355">
        <f>FF!K590</f>
        <v>2066.33</v>
      </c>
      <c r="G299" s="353">
        <f t="shared" si="10"/>
        <v>0</v>
      </c>
      <c r="H299" s="633" t="s">
        <v>2299</v>
      </c>
    </row>
    <row r="300" spans="1:8" s="360" customFormat="1" ht="15" hidden="1" customHeight="1">
      <c r="A300" s="356" t="s">
        <v>484</v>
      </c>
      <c r="B300" s="804"/>
      <c r="C300" s="632" t="s">
        <v>1214</v>
      </c>
      <c r="D300" s="358">
        <f>FF!I596</f>
        <v>0</v>
      </c>
      <c r="E300" s="354" t="s">
        <v>102</v>
      </c>
      <c r="F300" s="355">
        <f>FF!K596</f>
        <v>2199.0300000000002</v>
      </c>
      <c r="G300" s="353">
        <f t="shared" si="10"/>
        <v>0</v>
      </c>
      <c r="H300" s="633" t="s">
        <v>2312</v>
      </c>
    </row>
    <row r="301" spans="1:8" s="360" customFormat="1" ht="15" hidden="1" customHeight="1">
      <c r="A301" s="356" t="s">
        <v>484</v>
      </c>
      <c r="B301" s="804"/>
      <c r="C301" s="632" t="s">
        <v>1214</v>
      </c>
      <c r="D301" s="358">
        <f>FF!I602</f>
        <v>0</v>
      </c>
      <c r="E301" s="354" t="s">
        <v>102</v>
      </c>
      <c r="F301" s="355">
        <f>FF!K602</f>
        <v>2346.34</v>
      </c>
      <c r="G301" s="353">
        <f t="shared" si="10"/>
        <v>0</v>
      </c>
      <c r="H301" s="633" t="s">
        <v>2313</v>
      </c>
    </row>
    <row r="302" spans="1:8" s="360" customFormat="1">
      <c r="A302" s="356" t="s">
        <v>1516</v>
      </c>
      <c r="B302" s="804" t="s">
        <v>3110</v>
      </c>
      <c r="C302" s="632" t="s">
        <v>481</v>
      </c>
      <c r="D302" s="358">
        <f>FF!I621</f>
        <v>0</v>
      </c>
      <c r="E302" s="354" t="s">
        <v>102</v>
      </c>
      <c r="F302" s="355">
        <f>FF!K621</f>
        <v>292.7</v>
      </c>
      <c r="G302" s="353">
        <f t="shared" ref="G302:G338" si="11">ROUND(D302*F302,0)</f>
        <v>0</v>
      </c>
      <c r="H302" s="633" t="s">
        <v>2217</v>
      </c>
    </row>
    <row r="303" spans="1:8" s="360" customFormat="1" hidden="1">
      <c r="A303" s="356" t="s">
        <v>497</v>
      </c>
      <c r="B303" s="804" t="s">
        <v>2628</v>
      </c>
      <c r="C303" s="632" t="s">
        <v>481</v>
      </c>
      <c r="D303" s="358">
        <f>FF!I652</f>
        <v>0</v>
      </c>
      <c r="E303" s="354" t="s">
        <v>102</v>
      </c>
      <c r="F303" s="355">
        <f>FF!K652</f>
        <v>313.52</v>
      </c>
      <c r="G303" s="353">
        <f t="shared" si="11"/>
        <v>0</v>
      </c>
      <c r="H303" s="633" t="s">
        <v>2299</v>
      </c>
    </row>
    <row r="304" spans="1:8" s="360" customFormat="1" ht="15" hidden="1" customHeight="1">
      <c r="A304" s="356" t="s">
        <v>516</v>
      </c>
      <c r="B304" s="804" t="s">
        <v>2628</v>
      </c>
      <c r="C304" s="632" t="s">
        <v>481</v>
      </c>
      <c r="D304" s="358">
        <f>FF!I659</f>
        <v>0</v>
      </c>
      <c r="E304" s="354" t="s">
        <v>102</v>
      </c>
      <c r="F304" s="355">
        <f>FF!K659</f>
        <v>332.3</v>
      </c>
      <c r="G304" s="353">
        <f t="shared" si="11"/>
        <v>0</v>
      </c>
      <c r="H304" s="633" t="s">
        <v>2312</v>
      </c>
    </row>
    <row r="305" spans="1:8" s="360" customFormat="1" ht="15" hidden="1" customHeight="1">
      <c r="A305" s="356" t="s">
        <v>516</v>
      </c>
      <c r="B305" s="804" t="s">
        <v>2628</v>
      </c>
      <c r="C305" s="632" t="s">
        <v>481</v>
      </c>
      <c r="D305" s="358">
        <f>FF!I678</f>
        <v>0</v>
      </c>
      <c r="E305" s="354" t="s">
        <v>102</v>
      </c>
      <c r="F305" s="355">
        <f>FF!K678</f>
        <v>351.17</v>
      </c>
      <c r="G305" s="353">
        <f t="shared" si="11"/>
        <v>0</v>
      </c>
      <c r="H305" s="633" t="s">
        <v>2313</v>
      </c>
    </row>
    <row r="306" spans="1:8" s="360" customFormat="1" ht="15" hidden="1" customHeight="1">
      <c r="A306" s="356" t="s">
        <v>516</v>
      </c>
      <c r="B306" s="804" t="s">
        <v>2601</v>
      </c>
      <c r="C306" s="632" t="s">
        <v>505</v>
      </c>
      <c r="D306" s="358">
        <f>FF!I686</f>
        <v>0</v>
      </c>
      <c r="E306" s="354" t="s">
        <v>102</v>
      </c>
      <c r="F306" s="355">
        <f>FF!K686</f>
        <v>265.42</v>
      </c>
      <c r="G306" s="353">
        <f t="shared" si="11"/>
        <v>0</v>
      </c>
      <c r="H306" s="633" t="s">
        <v>2217</v>
      </c>
    </row>
    <row r="307" spans="1:8" s="360" customFormat="1" ht="15" hidden="1" customHeight="1">
      <c r="A307" s="356" t="s">
        <v>516</v>
      </c>
      <c r="B307" s="804" t="s">
        <v>2601</v>
      </c>
      <c r="C307" s="632" t="s">
        <v>505</v>
      </c>
      <c r="D307" s="358">
        <f>FF!I694</f>
        <v>0</v>
      </c>
      <c r="E307" s="354" t="s">
        <v>102</v>
      </c>
      <c r="F307" s="355">
        <f>FF!K694</f>
        <v>286.25</v>
      </c>
      <c r="G307" s="353">
        <f t="shared" si="11"/>
        <v>0</v>
      </c>
      <c r="H307" s="633" t="s">
        <v>2299</v>
      </c>
    </row>
    <row r="308" spans="1:8" s="360" customFormat="1" ht="15" hidden="1" customHeight="1">
      <c r="A308" s="356" t="s">
        <v>516</v>
      </c>
      <c r="B308" s="804" t="s">
        <v>2601</v>
      </c>
      <c r="C308" s="632" t="s">
        <v>505</v>
      </c>
      <c r="D308" s="358">
        <f>FF!I702</f>
        <v>0</v>
      </c>
      <c r="E308" s="354" t="s">
        <v>102</v>
      </c>
      <c r="F308" s="355">
        <f>FF!K702</f>
        <v>304.16000000000003</v>
      </c>
      <c r="G308" s="353">
        <f t="shared" si="11"/>
        <v>0</v>
      </c>
      <c r="H308" s="633" t="s">
        <v>2312</v>
      </c>
    </row>
    <row r="309" spans="1:8" s="360" customFormat="1" ht="15" hidden="1" customHeight="1">
      <c r="A309" s="356" t="s">
        <v>516</v>
      </c>
      <c r="B309" s="804" t="s">
        <v>2601</v>
      </c>
      <c r="C309" s="632" t="s">
        <v>505</v>
      </c>
      <c r="D309" s="358">
        <f>FF!I710</f>
        <v>0</v>
      </c>
      <c r="E309" s="354" t="s">
        <v>102</v>
      </c>
      <c r="F309" s="355">
        <f>FF!K710</f>
        <v>323.04000000000002</v>
      </c>
      <c r="G309" s="353">
        <f t="shared" si="11"/>
        <v>0</v>
      </c>
      <c r="H309" s="633" t="s">
        <v>2313</v>
      </c>
    </row>
    <row r="310" spans="1:8" s="360" customFormat="1" ht="15" hidden="1" customHeight="1">
      <c r="A310" s="356" t="s">
        <v>517</v>
      </c>
      <c r="B310" s="804" t="s">
        <v>2602</v>
      </c>
      <c r="C310" s="632" t="s">
        <v>805</v>
      </c>
      <c r="D310" s="358">
        <f>FF!I718</f>
        <v>0</v>
      </c>
      <c r="E310" s="354" t="s">
        <v>102</v>
      </c>
      <c r="F310" s="355">
        <f>FF!K718</f>
        <v>283.27999999999997</v>
      </c>
      <c r="G310" s="353">
        <f t="shared" si="11"/>
        <v>0</v>
      </c>
      <c r="H310" s="633" t="s">
        <v>2217</v>
      </c>
    </row>
    <row r="311" spans="1:8" s="360" customFormat="1" ht="15" hidden="1" customHeight="1">
      <c r="A311" s="356" t="s">
        <v>517</v>
      </c>
      <c r="B311" s="804" t="s">
        <v>2602</v>
      </c>
      <c r="C311" s="632" t="s">
        <v>805</v>
      </c>
      <c r="D311" s="358">
        <f>FF!I726</f>
        <v>0</v>
      </c>
      <c r="E311" s="354" t="s">
        <v>102</v>
      </c>
      <c r="F311" s="355">
        <f>FF!K726</f>
        <v>304.66000000000003</v>
      </c>
      <c r="G311" s="353">
        <f t="shared" si="11"/>
        <v>0</v>
      </c>
      <c r="H311" s="633" t="s">
        <v>2299</v>
      </c>
    </row>
    <row r="312" spans="1:8" s="360" customFormat="1" ht="15" hidden="1" customHeight="1">
      <c r="A312" s="356" t="s">
        <v>517</v>
      </c>
      <c r="B312" s="804" t="s">
        <v>2602</v>
      </c>
      <c r="C312" s="632" t="s">
        <v>805</v>
      </c>
      <c r="D312" s="358">
        <f>FF!I734</f>
        <v>0</v>
      </c>
      <c r="E312" s="354" t="s">
        <v>102</v>
      </c>
      <c r="F312" s="355">
        <f>FF!K734</f>
        <v>323.85000000000002</v>
      </c>
      <c r="G312" s="353">
        <f t="shared" si="11"/>
        <v>0</v>
      </c>
      <c r="H312" s="633" t="s">
        <v>2312</v>
      </c>
    </row>
    <row r="313" spans="1:8" s="360" customFormat="1" ht="15" hidden="1" customHeight="1">
      <c r="A313" s="356" t="s">
        <v>517</v>
      </c>
      <c r="B313" s="804" t="s">
        <v>2602</v>
      </c>
      <c r="C313" s="632" t="s">
        <v>805</v>
      </c>
      <c r="D313" s="358">
        <f>FF!I742</f>
        <v>0</v>
      </c>
      <c r="E313" s="354" t="s">
        <v>102</v>
      </c>
      <c r="F313" s="355">
        <f>FF!K742</f>
        <v>343.23</v>
      </c>
      <c r="G313" s="353">
        <f t="shared" si="11"/>
        <v>0</v>
      </c>
      <c r="H313" s="633" t="s">
        <v>2313</v>
      </c>
    </row>
    <row r="314" spans="1:8" s="360" customFormat="1">
      <c r="A314" s="356" t="s">
        <v>1517</v>
      </c>
      <c r="B314" s="804" t="s">
        <v>2599</v>
      </c>
      <c r="C314" s="632" t="s">
        <v>830</v>
      </c>
      <c r="D314" s="358">
        <f>FF!I770</f>
        <v>0</v>
      </c>
      <c r="E314" s="354" t="s">
        <v>102</v>
      </c>
      <c r="F314" s="355">
        <f>FF!K770</f>
        <v>348.66</v>
      </c>
      <c r="G314" s="353">
        <f t="shared" si="11"/>
        <v>0</v>
      </c>
      <c r="H314" s="633" t="s">
        <v>2217</v>
      </c>
    </row>
    <row r="315" spans="1:8" s="360" customFormat="1" hidden="1">
      <c r="A315" s="356" t="s">
        <v>498</v>
      </c>
      <c r="B315" s="804" t="s">
        <v>2599</v>
      </c>
      <c r="C315" s="632" t="s">
        <v>830</v>
      </c>
      <c r="D315" s="358">
        <f>FF!I823</f>
        <v>0</v>
      </c>
      <c r="E315" s="354" t="s">
        <v>102</v>
      </c>
      <c r="F315" s="355">
        <f>FF!K823</f>
        <v>376.98</v>
      </c>
      <c r="G315" s="353">
        <f t="shared" si="11"/>
        <v>0</v>
      </c>
      <c r="H315" s="633" t="s">
        <v>2299</v>
      </c>
    </row>
    <row r="316" spans="1:8" s="360" customFormat="1" ht="15" hidden="1" customHeight="1">
      <c r="A316" s="356" t="s">
        <v>518</v>
      </c>
      <c r="B316" s="804" t="s">
        <v>2599</v>
      </c>
      <c r="C316" s="632" t="s">
        <v>830</v>
      </c>
      <c r="D316" s="358">
        <f>FF!I830</f>
        <v>0</v>
      </c>
      <c r="E316" s="354" t="s">
        <v>102</v>
      </c>
      <c r="F316" s="355">
        <f>FF!K830</f>
        <v>400.13</v>
      </c>
      <c r="G316" s="353">
        <f t="shared" si="11"/>
        <v>0</v>
      </c>
      <c r="H316" s="633" t="s">
        <v>2312</v>
      </c>
    </row>
    <row r="317" spans="1:8" s="360" customFormat="1" ht="15" hidden="1" customHeight="1">
      <c r="A317" s="356" t="s">
        <v>518</v>
      </c>
      <c r="B317" s="804" t="s">
        <v>2599</v>
      </c>
      <c r="C317" s="632" t="s">
        <v>830</v>
      </c>
      <c r="D317" s="358">
        <f>FF!I858</f>
        <v>0</v>
      </c>
      <c r="E317" s="354" t="s">
        <v>102</v>
      </c>
      <c r="F317" s="355">
        <f>FF!K858</f>
        <v>425.82</v>
      </c>
      <c r="G317" s="353">
        <f t="shared" si="11"/>
        <v>0</v>
      </c>
      <c r="H317" s="633" t="s">
        <v>2313</v>
      </c>
    </row>
    <row r="318" spans="1:8" s="360" customFormat="1">
      <c r="A318" s="356" t="s">
        <v>1518</v>
      </c>
      <c r="B318" s="804" t="s">
        <v>2600</v>
      </c>
      <c r="C318" s="632" t="s">
        <v>541</v>
      </c>
      <c r="D318" s="358">
        <f>FF!I865</f>
        <v>0</v>
      </c>
      <c r="E318" s="354" t="s">
        <v>102</v>
      </c>
      <c r="F318" s="355">
        <f>FF!K865</f>
        <v>362.01</v>
      </c>
      <c r="G318" s="353">
        <f t="shared" si="11"/>
        <v>0</v>
      </c>
      <c r="H318" s="633" t="s">
        <v>2217</v>
      </c>
    </row>
    <row r="319" spans="1:8" s="360" customFormat="1" hidden="1">
      <c r="A319" s="356" t="s">
        <v>499</v>
      </c>
      <c r="B319" s="804" t="s">
        <v>2600</v>
      </c>
      <c r="C319" s="632" t="s">
        <v>541</v>
      </c>
      <c r="D319" s="358">
        <f>FF!I890</f>
        <v>0</v>
      </c>
      <c r="E319" s="354" t="s">
        <v>102</v>
      </c>
      <c r="F319" s="355">
        <f>FF!K890</f>
        <v>390.9</v>
      </c>
      <c r="G319" s="353">
        <f t="shared" si="11"/>
        <v>0</v>
      </c>
      <c r="H319" s="633" t="s">
        <v>2299</v>
      </c>
    </row>
    <row r="320" spans="1:8" s="360" customFormat="1" ht="15" hidden="1" customHeight="1">
      <c r="A320" s="356" t="s">
        <v>520</v>
      </c>
      <c r="B320" s="804" t="s">
        <v>2600</v>
      </c>
      <c r="C320" s="632" t="s">
        <v>541</v>
      </c>
      <c r="D320" s="358">
        <f>FF!I897</f>
        <v>0</v>
      </c>
      <c r="E320" s="354" t="s">
        <v>102</v>
      </c>
      <c r="F320" s="355">
        <f>FF!K897</f>
        <v>415.44</v>
      </c>
      <c r="G320" s="353">
        <f t="shared" si="11"/>
        <v>0</v>
      </c>
      <c r="H320" s="633" t="s">
        <v>2312</v>
      </c>
    </row>
    <row r="321" spans="1:8" s="360" customFormat="1" ht="15" hidden="1" customHeight="1">
      <c r="A321" s="356" t="s">
        <v>520</v>
      </c>
      <c r="B321" s="804" t="s">
        <v>2600</v>
      </c>
      <c r="C321" s="632" t="s">
        <v>541</v>
      </c>
      <c r="D321" s="358">
        <f>FF!I904</f>
        <v>0</v>
      </c>
      <c r="E321" s="354" t="s">
        <v>102</v>
      </c>
      <c r="F321" s="355">
        <f>FF!K904</f>
        <v>441.63</v>
      </c>
      <c r="G321" s="353">
        <f t="shared" si="11"/>
        <v>0</v>
      </c>
      <c r="H321" s="633" t="s">
        <v>2313</v>
      </c>
    </row>
    <row r="322" spans="1:8" s="360" customFormat="1" ht="15" hidden="1" customHeight="1">
      <c r="A322" s="356" t="s">
        <v>503</v>
      </c>
      <c r="B322" s="804" t="s">
        <v>2629</v>
      </c>
      <c r="C322" s="632" t="s">
        <v>2071</v>
      </c>
      <c r="D322" s="358">
        <f>FF!I911</f>
        <v>0</v>
      </c>
      <c r="E322" s="354" t="s">
        <v>5</v>
      </c>
      <c r="F322" s="355">
        <f>FF!K911</f>
        <v>5049.2099999999991</v>
      </c>
      <c r="G322" s="353">
        <f t="shared" si="11"/>
        <v>0</v>
      </c>
      <c r="H322" s="633" t="s">
        <v>2217</v>
      </c>
    </row>
    <row r="323" spans="1:8" s="360" customFormat="1" ht="15" hidden="1" customHeight="1">
      <c r="A323" s="356" t="s">
        <v>503</v>
      </c>
      <c r="B323" s="804" t="s">
        <v>2629</v>
      </c>
      <c r="C323" s="632" t="s">
        <v>2071</v>
      </c>
      <c r="D323" s="358">
        <f>FF!I918</f>
        <v>0</v>
      </c>
      <c r="E323" s="354" t="s">
        <v>5</v>
      </c>
      <c r="F323" s="355">
        <f>FF!K918</f>
        <v>5224.6200000000008</v>
      </c>
      <c r="G323" s="353">
        <f t="shared" si="11"/>
        <v>0</v>
      </c>
      <c r="H323" s="633" t="s">
        <v>2299</v>
      </c>
    </row>
    <row r="324" spans="1:8" s="360" customFormat="1" ht="15" hidden="1" customHeight="1">
      <c r="A324" s="356" t="s">
        <v>503</v>
      </c>
      <c r="B324" s="804" t="s">
        <v>2629</v>
      </c>
      <c r="C324" s="632" t="s">
        <v>2071</v>
      </c>
      <c r="D324" s="358">
        <f>FF!I925</f>
        <v>0</v>
      </c>
      <c r="E324" s="354" t="s">
        <v>5</v>
      </c>
      <c r="F324" s="355">
        <f>FF!K925</f>
        <v>5464.2000000000007</v>
      </c>
      <c r="G324" s="353">
        <f t="shared" si="11"/>
        <v>0</v>
      </c>
      <c r="H324" s="633" t="s">
        <v>2312</v>
      </c>
    </row>
    <row r="325" spans="1:8" s="360" customFormat="1" ht="15" hidden="1" customHeight="1">
      <c r="A325" s="356" t="s">
        <v>503</v>
      </c>
      <c r="B325" s="804" t="s">
        <v>2629</v>
      </c>
      <c r="C325" s="632" t="s">
        <v>2071</v>
      </c>
      <c r="D325" s="358">
        <f>FF!I932</f>
        <v>0</v>
      </c>
      <c r="E325" s="354" t="s">
        <v>5</v>
      </c>
      <c r="F325" s="355">
        <f>FF!K932</f>
        <v>5722.81</v>
      </c>
      <c r="G325" s="353">
        <f t="shared" si="11"/>
        <v>0</v>
      </c>
      <c r="H325" s="633" t="s">
        <v>2313</v>
      </c>
    </row>
    <row r="326" spans="1:8" s="360" customFormat="1" hidden="1">
      <c r="A326" s="356" t="s">
        <v>522</v>
      </c>
      <c r="B326" s="804" t="s">
        <v>2603</v>
      </c>
      <c r="C326" s="632" t="s">
        <v>507</v>
      </c>
      <c r="D326" s="358">
        <f>FF!I939</f>
        <v>0</v>
      </c>
      <c r="E326" s="354" t="s">
        <v>102</v>
      </c>
      <c r="F326" s="355">
        <f>FF!K939</f>
        <v>1020.01</v>
      </c>
      <c r="G326" s="353">
        <f t="shared" si="11"/>
        <v>0</v>
      </c>
      <c r="H326" s="633" t="s">
        <v>2217</v>
      </c>
    </row>
    <row r="327" spans="1:8" s="360" customFormat="1" hidden="1">
      <c r="A327" s="356" t="s">
        <v>500</v>
      </c>
      <c r="B327" s="804" t="s">
        <v>2603</v>
      </c>
      <c r="C327" s="632" t="s">
        <v>507</v>
      </c>
      <c r="D327" s="358">
        <f>FF!I949</f>
        <v>0</v>
      </c>
      <c r="E327" s="354" t="s">
        <v>102</v>
      </c>
      <c r="F327" s="355">
        <f>FF!K949</f>
        <v>1051.0899999999999</v>
      </c>
      <c r="G327" s="353">
        <f t="shared" si="11"/>
        <v>0</v>
      </c>
      <c r="H327" s="633" t="s">
        <v>2299</v>
      </c>
    </row>
    <row r="328" spans="1:8" s="360" customFormat="1" ht="15" hidden="1" customHeight="1">
      <c r="A328" s="356" t="s">
        <v>522</v>
      </c>
      <c r="B328" s="804" t="s">
        <v>2603</v>
      </c>
      <c r="C328" s="632" t="s">
        <v>507</v>
      </c>
      <c r="D328" s="358">
        <f>FF!I956</f>
        <v>0</v>
      </c>
      <c r="E328" s="354" t="s">
        <v>102</v>
      </c>
      <c r="F328" s="355">
        <f>FF!K956</f>
        <v>1074.81</v>
      </c>
      <c r="G328" s="353">
        <f t="shared" si="11"/>
        <v>0</v>
      </c>
      <c r="H328" s="633" t="s">
        <v>2312</v>
      </c>
    </row>
    <row r="329" spans="1:8" s="360" customFormat="1" ht="15" hidden="1" customHeight="1">
      <c r="A329" s="356" t="s">
        <v>522</v>
      </c>
      <c r="B329" s="804" t="s">
        <v>2603</v>
      </c>
      <c r="C329" s="632" t="s">
        <v>507</v>
      </c>
      <c r="D329" s="358">
        <f>FF!I963</f>
        <v>0</v>
      </c>
      <c r="E329" s="354" t="s">
        <v>102</v>
      </c>
      <c r="F329" s="355">
        <f>FF!K963</f>
        <v>1103.3900000000001</v>
      </c>
      <c r="G329" s="353">
        <f t="shared" si="11"/>
        <v>0</v>
      </c>
      <c r="H329" s="633" t="s">
        <v>2313</v>
      </c>
    </row>
    <row r="330" spans="1:8" s="360" customFormat="1" hidden="1">
      <c r="A330" s="356" t="s">
        <v>525</v>
      </c>
      <c r="B330" s="804" t="s">
        <v>2604</v>
      </c>
      <c r="C330" s="632" t="s">
        <v>509</v>
      </c>
      <c r="D330" s="358">
        <f>FF!I970</f>
        <v>0</v>
      </c>
      <c r="E330" s="354" t="s">
        <v>102</v>
      </c>
      <c r="F330" s="355">
        <f>FF!K970</f>
        <v>1015.94</v>
      </c>
      <c r="G330" s="353">
        <f t="shared" si="11"/>
        <v>0</v>
      </c>
      <c r="H330" s="633" t="s">
        <v>2217</v>
      </c>
    </row>
    <row r="331" spans="1:8" s="360" customFormat="1" hidden="1">
      <c r="A331" s="356" t="s">
        <v>501</v>
      </c>
      <c r="B331" s="804" t="s">
        <v>2604</v>
      </c>
      <c r="C331" s="632" t="s">
        <v>509</v>
      </c>
      <c r="D331" s="358">
        <f>FF!I988</f>
        <v>0</v>
      </c>
      <c r="E331" s="354" t="s">
        <v>102</v>
      </c>
      <c r="F331" s="355">
        <f>FF!K988</f>
        <v>1046.76</v>
      </c>
      <c r="G331" s="353">
        <f t="shared" si="11"/>
        <v>0</v>
      </c>
      <c r="H331" s="633" t="s">
        <v>2299</v>
      </c>
    </row>
    <row r="332" spans="1:8" s="360" customFormat="1" ht="15" hidden="1" customHeight="1">
      <c r="A332" s="356" t="s">
        <v>525</v>
      </c>
      <c r="B332" s="804" t="s">
        <v>2604</v>
      </c>
      <c r="C332" s="632" t="s">
        <v>509</v>
      </c>
      <c r="D332" s="358">
        <f>FF!I995</f>
        <v>0</v>
      </c>
      <c r="E332" s="354" t="s">
        <v>102</v>
      </c>
      <c r="F332" s="355">
        <f>FF!K995</f>
        <v>1069.8699999999999</v>
      </c>
      <c r="G332" s="353">
        <f t="shared" si="11"/>
        <v>0</v>
      </c>
      <c r="H332" s="633" t="s">
        <v>2312</v>
      </c>
    </row>
    <row r="333" spans="1:8" s="360" customFormat="1" ht="15" hidden="1" customHeight="1">
      <c r="A333" s="356" t="s">
        <v>525</v>
      </c>
      <c r="B333" s="804" t="s">
        <v>2604</v>
      </c>
      <c r="C333" s="632" t="s">
        <v>509</v>
      </c>
      <c r="D333" s="358">
        <f>FF!I1002</f>
        <v>0</v>
      </c>
      <c r="E333" s="354" t="s">
        <v>102</v>
      </c>
      <c r="F333" s="355">
        <f>FF!K1002</f>
        <v>1098.05</v>
      </c>
      <c r="G333" s="353">
        <f t="shared" si="11"/>
        <v>0</v>
      </c>
      <c r="H333" s="633" t="s">
        <v>2313</v>
      </c>
    </row>
    <row r="334" spans="1:8" s="360" customFormat="1" ht="15" hidden="1" customHeight="1">
      <c r="A334" s="356" t="s">
        <v>526</v>
      </c>
      <c r="B334" s="804" t="s">
        <v>2605</v>
      </c>
      <c r="C334" s="809" t="s">
        <v>708</v>
      </c>
      <c r="D334" s="358">
        <f>FF!I1009</f>
        <v>0</v>
      </c>
      <c r="E334" s="354" t="s">
        <v>77</v>
      </c>
      <c r="F334" s="355">
        <f>FF!K1009</f>
        <v>2881.3</v>
      </c>
      <c r="G334" s="353">
        <f t="shared" si="11"/>
        <v>0</v>
      </c>
      <c r="H334" s="633" t="s">
        <v>2217</v>
      </c>
    </row>
    <row r="335" spans="1:8" s="360" customFormat="1" hidden="1">
      <c r="A335" s="356" t="s">
        <v>502</v>
      </c>
      <c r="B335" s="804" t="s">
        <v>2605</v>
      </c>
      <c r="C335" s="809" t="s">
        <v>708</v>
      </c>
      <c r="D335" s="358">
        <f>FF!I1017</f>
        <v>0</v>
      </c>
      <c r="E335" s="354" t="s">
        <v>77</v>
      </c>
      <c r="F335" s="355">
        <f>FF!K1017</f>
        <v>2944.91</v>
      </c>
      <c r="G335" s="353">
        <f t="shared" si="11"/>
        <v>0</v>
      </c>
      <c r="H335" s="633" t="s">
        <v>2299</v>
      </c>
    </row>
    <row r="336" spans="1:8" s="360" customFormat="1" ht="15" hidden="1" customHeight="1">
      <c r="A336" s="356" t="s">
        <v>526</v>
      </c>
      <c r="B336" s="804" t="s">
        <v>2605</v>
      </c>
      <c r="C336" s="809" t="s">
        <v>708</v>
      </c>
      <c r="D336" s="358">
        <f>FF!I1024</f>
        <v>0</v>
      </c>
      <c r="E336" s="354" t="s">
        <v>77</v>
      </c>
      <c r="F336" s="355">
        <f>FF!K1024</f>
        <v>3004.62</v>
      </c>
      <c r="G336" s="353">
        <f t="shared" si="11"/>
        <v>0</v>
      </c>
      <c r="H336" s="633" t="s">
        <v>2312</v>
      </c>
    </row>
    <row r="337" spans="1:10" s="360" customFormat="1" ht="15" customHeight="1">
      <c r="A337" s="356" t="s">
        <v>1519</v>
      </c>
      <c r="B337" s="804" t="s">
        <v>3111</v>
      </c>
      <c r="C337" s="809" t="s">
        <v>708</v>
      </c>
      <c r="D337" s="358">
        <f>FF!I1041</f>
        <v>0</v>
      </c>
      <c r="E337" s="354" t="s">
        <v>77</v>
      </c>
      <c r="F337" s="355">
        <f>FF!K1041</f>
        <v>3181.62</v>
      </c>
      <c r="G337" s="353">
        <f t="shared" si="11"/>
        <v>0</v>
      </c>
      <c r="H337" s="633" t="s">
        <v>2313</v>
      </c>
    </row>
    <row r="338" spans="1:10" s="360" customFormat="1" ht="15" hidden="1" customHeight="1">
      <c r="A338" s="356" t="s">
        <v>527</v>
      </c>
      <c r="B338" s="804"/>
      <c r="C338" s="809" t="s">
        <v>877</v>
      </c>
      <c r="D338" s="358">
        <f>FF!I1048</f>
        <v>0</v>
      </c>
      <c r="E338" s="354" t="s">
        <v>102</v>
      </c>
      <c r="F338" s="355">
        <f>FF!K1048</f>
        <v>2704.03</v>
      </c>
      <c r="G338" s="353">
        <f t="shared" si="11"/>
        <v>0</v>
      </c>
      <c r="H338" s="633" t="s">
        <v>2217</v>
      </c>
    </row>
    <row r="339" spans="1:10" s="360" customFormat="1" hidden="1">
      <c r="A339" s="356" t="s">
        <v>527</v>
      </c>
      <c r="B339" s="804"/>
      <c r="C339" s="809" t="s">
        <v>877</v>
      </c>
      <c r="D339" s="358">
        <f>FF!I1057</f>
        <v>0</v>
      </c>
      <c r="E339" s="354" t="s">
        <v>102</v>
      </c>
      <c r="F339" s="355">
        <f>FF!K1057</f>
        <v>2747.8</v>
      </c>
      <c r="H339" s="633" t="s">
        <v>2299</v>
      </c>
      <c r="J339" s="353">
        <f>ROUND(D339*F339,0)</f>
        <v>0</v>
      </c>
    </row>
    <row r="340" spans="1:10" s="360" customFormat="1" ht="15" hidden="1" customHeight="1">
      <c r="A340" s="356" t="s">
        <v>527</v>
      </c>
      <c r="B340" s="804"/>
      <c r="C340" s="809" t="s">
        <v>877</v>
      </c>
      <c r="D340" s="358">
        <f>FF!I1064</f>
        <v>0</v>
      </c>
      <c r="E340" s="354" t="s">
        <v>102</v>
      </c>
      <c r="F340" s="355">
        <f>FF!K1064</f>
        <v>2789.27</v>
      </c>
      <c r="G340" s="353">
        <f t="shared" ref="G340:G371" si="12">ROUND(D340*F340,0)</f>
        <v>0</v>
      </c>
      <c r="H340" s="633" t="s">
        <v>2312</v>
      </c>
    </row>
    <row r="341" spans="1:10" s="360" customFormat="1" ht="15" customHeight="1">
      <c r="A341" s="356" t="s">
        <v>497</v>
      </c>
      <c r="B341" s="804" t="s">
        <v>3112</v>
      </c>
      <c r="C341" s="809" t="s">
        <v>877</v>
      </c>
      <c r="D341" s="358">
        <f>FF!I1081</f>
        <v>0</v>
      </c>
      <c r="E341" s="354" t="s">
        <v>102</v>
      </c>
      <c r="F341" s="355">
        <f>FF!K1081</f>
        <v>2950.54</v>
      </c>
      <c r="G341" s="353">
        <f t="shared" si="12"/>
        <v>0</v>
      </c>
      <c r="H341" s="633" t="s">
        <v>2313</v>
      </c>
    </row>
    <row r="342" spans="1:10" s="360" customFormat="1" ht="15" hidden="1" customHeight="1">
      <c r="A342" s="356" t="s">
        <v>529</v>
      </c>
      <c r="B342" s="804" t="s">
        <v>2606</v>
      </c>
      <c r="C342" s="632" t="s">
        <v>710</v>
      </c>
      <c r="D342" s="358">
        <f>FF!I1089</f>
        <v>0</v>
      </c>
      <c r="E342" s="354" t="s">
        <v>102</v>
      </c>
      <c r="F342" s="355">
        <f>FF!K1089</f>
        <v>633.27</v>
      </c>
      <c r="G342" s="353">
        <f t="shared" si="12"/>
        <v>0</v>
      </c>
      <c r="H342" s="633" t="s">
        <v>2217</v>
      </c>
    </row>
    <row r="343" spans="1:10" s="360" customFormat="1" ht="15" hidden="1" customHeight="1">
      <c r="A343" s="356" t="s">
        <v>529</v>
      </c>
      <c r="B343" s="804" t="s">
        <v>2606</v>
      </c>
      <c r="C343" s="632" t="s">
        <v>710</v>
      </c>
      <c r="D343" s="358">
        <f>FF!I1100</f>
        <v>0</v>
      </c>
      <c r="E343" s="354" t="s">
        <v>102</v>
      </c>
      <c r="F343" s="355">
        <f>FF!K1100</f>
        <v>677.99</v>
      </c>
      <c r="G343" s="353">
        <f t="shared" si="12"/>
        <v>0</v>
      </c>
      <c r="H343" s="633" t="s">
        <v>2299</v>
      </c>
    </row>
    <row r="344" spans="1:10" s="360" customFormat="1" ht="15" hidden="1" customHeight="1">
      <c r="A344" s="356" t="s">
        <v>529</v>
      </c>
      <c r="B344" s="804" t="s">
        <v>2606</v>
      </c>
      <c r="C344" s="632" t="s">
        <v>710</v>
      </c>
      <c r="D344" s="358">
        <f>FF!I1108</f>
        <v>0</v>
      </c>
      <c r="E344" s="354" t="s">
        <v>102</v>
      </c>
      <c r="F344" s="355">
        <f>FF!K1108</f>
        <v>686.13</v>
      </c>
      <c r="G344" s="353">
        <f t="shared" si="12"/>
        <v>0</v>
      </c>
      <c r="H344" s="633" t="s">
        <v>2312</v>
      </c>
    </row>
    <row r="345" spans="1:10" s="360" customFormat="1" ht="15" hidden="1" customHeight="1">
      <c r="A345" s="356" t="s">
        <v>529</v>
      </c>
      <c r="B345" s="804" t="s">
        <v>2606</v>
      </c>
      <c r="C345" s="632" t="s">
        <v>710</v>
      </c>
      <c r="D345" s="358">
        <f>FF!I1116</f>
        <v>0</v>
      </c>
      <c r="E345" s="354" t="s">
        <v>102</v>
      </c>
      <c r="F345" s="355">
        <f>FF!K1116</f>
        <v>780.73</v>
      </c>
      <c r="G345" s="353">
        <f t="shared" si="12"/>
        <v>0</v>
      </c>
      <c r="H345" s="633" t="s">
        <v>2313</v>
      </c>
    </row>
    <row r="346" spans="1:10" s="360" customFormat="1" ht="15" hidden="1" customHeight="1">
      <c r="A346" s="356" t="s">
        <v>530</v>
      </c>
      <c r="B346" s="804"/>
      <c r="C346" s="809" t="s">
        <v>711</v>
      </c>
      <c r="D346" s="358">
        <f>FF!I1123</f>
        <v>0</v>
      </c>
      <c r="E346" s="354" t="s">
        <v>102</v>
      </c>
      <c r="F346" s="355">
        <f>FF!K1123</f>
        <v>652.64</v>
      </c>
      <c r="G346" s="353">
        <f t="shared" si="12"/>
        <v>0</v>
      </c>
      <c r="H346" s="633" t="s">
        <v>2217</v>
      </c>
    </row>
    <row r="347" spans="1:10" s="360" customFormat="1" ht="15" hidden="1" customHeight="1">
      <c r="A347" s="356" t="s">
        <v>530</v>
      </c>
      <c r="B347" s="804"/>
      <c r="C347" s="809" t="s">
        <v>711</v>
      </c>
      <c r="D347" s="358">
        <f>FF!I1134</f>
        <v>0</v>
      </c>
      <c r="E347" s="354" t="s">
        <v>102</v>
      </c>
      <c r="F347" s="355">
        <f>FF!K1134</f>
        <v>683.46</v>
      </c>
      <c r="G347" s="353">
        <f t="shared" si="12"/>
        <v>0</v>
      </c>
      <c r="H347" s="633" t="s">
        <v>2299</v>
      </c>
    </row>
    <row r="348" spans="1:10" s="360" customFormat="1" ht="15" hidden="1" customHeight="1">
      <c r="A348" s="356" t="s">
        <v>530</v>
      </c>
      <c r="B348" s="804"/>
      <c r="C348" s="809" t="s">
        <v>711</v>
      </c>
      <c r="D348" s="358">
        <f>FF!I1141</f>
        <v>0</v>
      </c>
      <c r="E348" s="354" t="s">
        <v>102</v>
      </c>
      <c r="F348" s="355">
        <f>FF!K1141</f>
        <v>706.57</v>
      </c>
      <c r="G348" s="353">
        <f t="shared" si="12"/>
        <v>0</v>
      </c>
      <c r="H348" s="633" t="s">
        <v>2312</v>
      </c>
    </row>
    <row r="349" spans="1:10" s="360" customFormat="1" ht="15" hidden="1" customHeight="1">
      <c r="A349" s="356" t="s">
        <v>530</v>
      </c>
      <c r="B349" s="804"/>
      <c r="C349" s="809" t="s">
        <v>711</v>
      </c>
      <c r="D349" s="358">
        <f>FF!I1148</f>
        <v>0</v>
      </c>
      <c r="E349" s="354" t="s">
        <v>102</v>
      </c>
      <c r="F349" s="355">
        <f>FF!K1148</f>
        <v>786.2</v>
      </c>
      <c r="G349" s="353">
        <f t="shared" si="12"/>
        <v>0</v>
      </c>
      <c r="H349" s="633" t="s">
        <v>2313</v>
      </c>
    </row>
    <row r="350" spans="1:10" s="360" customFormat="1" hidden="1">
      <c r="A350" s="356" t="s">
        <v>528</v>
      </c>
      <c r="B350" s="804" t="s">
        <v>2607</v>
      </c>
      <c r="C350" s="632" t="s">
        <v>511</v>
      </c>
      <c r="D350" s="358">
        <f>FF!I1155</f>
        <v>0</v>
      </c>
      <c r="E350" s="354" t="s">
        <v>102</v>
      </c>
      <c r="F350" s="355">
        <f>FF!K1155</f>
        <v>755.74</v>
      </c>
      <c r="G350" s="353">
        <f t="shared" si="12"/>
        <v>0</v>
      </c>
      <c r="H350" s="633" t="s">
        <v>2217</v>
      </c>
    </row>
    <row r="351" spans="1:10" s="360" customFormat="1" hidden="1">
      <c r="A351" s="356" t="s">
        <v>503</v>
      </c>
      <c r="B351" s="804" t="s">
        <v>2607</v>
      </c>
      <c r="C351" s="632" t="s">
        <v>511</v>
      </c>
      <c r="D351" s="358">
        <f>FF!I1163</f>
        <v>0</v>
      </c>
      <c r="E351" s="354" t="s">
        <v>102</v>
      </c>
      <c r="F351" s="355">
        <f>FF!K1163</f>
        <v>786.57</v>
      </c>
      <c r="G351" s="353">
        <f t="shared" si="12"/>
        <v>0</v>
      </c>
      <c r="H351" s="633" t="s">
        <v>2299</v>
      </c>
    </row>
    <row r="352" spans="1:10" s="360" customFormat="1" ht="15" hidden="1" customHeight="1">
      <c r="A352" s="356" t="s">
        <v>528</v>
      </c>
      <c r="B352" s="804" t="s">
        <v>2607</v>
      </c>
      <c r="C352" s="632" t="s">
        <v>511</v>
      </c>
      <c r="D352" s="358">
        <f>FF!I1170</f>
        <v>0</v>
      </c>
      <c r="E352" s="354" t="s">
        <v>102</v>
      </c>
      <c r="F352" s="355">
        <f>FF!K1170</f>
        <v>809.68</v>
      </c>
      <c r="G352" s="353">
        <f t="shared" si="12"/>
        <v>0</v>
      </c>
      <c r="H352" s="633" t="s">
        <v>2312</v>
      </c>
    </row>
    <row r="353" spans="1:8" s="360" customFormat="1" ht="15" hidden="1" customHeight="1">
      <c r="A353" s="356" t="s">
        <v>528</v>
      </c>
      <c r="B353" s="804" t="s">
        <v>2607</v>
      </c>
      <c r="C353" s="632" t="s">
        <v>511</v>
      </c>
      <c r="D353" s="358">
        <f>FF!I1175</f>
        <v>0</v>
      </c>
      <c r="E353" s="354" t="s">
        <v>102</v>
      </c>
      <c r="F353" s="355">
        <f>FF!K1175</f>
        <v>837.86</v>
      </c>
      <c r="G353" s="353">
        <f t="shared" si="12"/>
        <v>0</v>
      </c>
      <c r="H353" s="633" t="s">
        <v>2313</v>
      </c>
    </row>
    <row r="354" spans="1:8" s="360" customFormat="1" hidden="1">
      <c r="A354" s="356" t="s">
        <v>529</v>
      </c>
      <c r="B354" s="804" t="s">
        <v>2608</v>
      </c>
      <c r="C354" s="632" t="s">
        <v>570</v>
      </c>
      <c r="D354" s="358">
        <f>FF!I1182</f>
        <v>0</v>
      </c>
      <c r="E354" s="354" t="s">
        <v>102</v>
      </c>
      <c r="F354" s="355">
        <f>FF!K1182</f>
        <v>494.82</v>
      </c>
      <c r="G354" s="353">
        <f t="shared" si="12"/>
        <v>0</v>
      </c>
      <c r="H354" s="633" t="s">
        <v>2217</v>
      </c>
    </row>
    <row r="355" spans="1:8" s="360" customFormat="1" hidden="1">
      <c r="A355" s="356" t="s">
        <v>504</v>
      </c>
      <c r="B355" s="804" t="s">
        <v>2608</v>
      </c>
      <c r="C355" s="632" t="s">
        <v>570</v>
      </c>
      <c r="D355" s="358">
        <f>FF!I1190</f>
        <v>0</v>
      </c>
      <c r="E355" s="354" t="s">
        <v>102</v>
      </c>
      <c r="F355" s="355">
        <f>FF!K1190</f>
        <v>504.13</v>
      </c>
      <c r="G355" s="353">
        <f t="shared" si="12"/>
        <v>0</v>
      </c>
      <c r="H355" s="633" t="s">
        <v>2299</v>
      </c>
    </row>
    <row r="356" spans="1:8" s="360" customFormat="1" ht="15" hidden="1" customHeight="1">
      <c r="A356" s="356" t="s">
        <v>529</v>
      </c>
      <c r="B356" s="804" t="s">
        <v>2608</v>
      </c>
      <c r="C356" s="632" t="s">
        <v>570</v>
      </c>
      <c r="D356" s="358">
        <f>FF!I1197</f>
        <v>0</v>
      </c>
      <c r="E356" s="354" t="s">
        <v>102</v>
      </c>
      <c r="F356" s="355">
        <f>FF!K1197</f>
        <v>512.09</v>
      </c>
      <c r="G356" s="353">
        <f t="shared" si="12"/>
        <v>0</v>
      </c>
      <c r="H356" s="633" t="s">
        <v>2312</v>
      </c>
    </row>
    <row r="357" spans="1:8" s="360" customFormat="1" ht="15" hidden="1" customHeight="1">
      <c r="A357" s="356" t="s">
        <v>529</v>
      </c>
      <c r="B357" s="804" t="s">
        <v>2608</v>
      </c>
      <c r="C357" s="632" t="s">
        <v>570</v>
      </c>
      <c r="D357" s="358">
        <f>FF!I1209</f>
        <v>0</v>
      </c>
      <c r="E357" s="354" t="s">
        <v>102</v>
      </c>
      <c r="F357" s="355">
        <f>FF!K1209</f>
        <v>527.21</v>
      </c>
      <c r="G357" s="353">
        <f t="shared" si="12"/>
        <v>0</v>
      </c>
      <c r="H357" s="633" t="s">
        <v>2313</v>
      </c>
    </row>
    <row r="358" spans="1:8" s="360" customFormat="1" ht="15" hidden="1" customHeight="1">
      <c r="A358" s="356" t="s">
        <v>492</v>
      </c>
      <c r="B358" s="804"/>
      <c r="C358" s="809" t="s">
        <v>1222</v>
      </c>
      <c r="D358" s="358">
        <f>FF!I1217</f>
        <v>0</v>
      </c>
      <c r="E358" s="354" t="s">
        <v>102</v>
      </c>
      <c r="F358" s="355">
        <f>FF!K1217</f>
        <v>944.79</v>
      </c>
      <c r="G358" s="353">
        <f t="shared" si="12"/>
        <v>0</v>
      </c>
      <c r="H358" s="633" t="s">
        <v>2217</v>
      </c>
    </row>
    <row r="359" spans="1:8" s="360" customFormat="1" ht="15" hidden="1" customHeight="1">
      <c r="A359" s="356" t="s">
        <v>492</v>
      </c>
      <c r="B359" s="804"/>
      <c r="C359" s="809" t="s">
        <v>1222</v>
      </c>
      <c r="D359" s="358">
        <f>FF!I1225</f>
        <v>0</v>
      </c>
      <c r="E359" s="354" t="s">
        <v>102</v>
      </c>
      <c r="F359" s="355">
        <f>FF!K1225</f>
        <v>986.93</v>
      </c>
      <c r="G359" s="353">
        <f t="shared" si="12"/>
        <v>0</v>
      </c>
      <c r="H359" s="633" t="s">
        <v>2299</v>
      </c>
    </row>
    <row r="360" spans="1:8" s="360" customFormat="1" ht="15" hidden="1" customHeight="1">
      <c r="A360" s="356" t="s">
        <v>492</v>
      </c>
      <c r="B360" s="804"/>
      <c r="C360" s="809" t="s">
        <v>1222</v>
      </c>
      <c r="D360" s="358">
        <f>FF!I1233</f>
        <v>0</v>
      </c>
      <c r="E360" s="354" t="s">
        <v>102</v>
      </c>
      <c r="F360" s="355">
        <f>FF!K1233</f>
        <v>1020.23</v>
      </c>
      <c r="G360" s="353">
        <f t="shared" si="12"/>
        <v>0</v>
      </c>
      <c r="H360" s="633" t="s">
        <v>2312</v>
      </c>
    </row>
    <row r="361" spans="1:8" s="360" customFormat="1" ht="15" hidden="1" customHeight="1">
      <c r="A361" s="356" t="s">
        <v>492</v>
      </c>
      <c r="B361" s="804"/>
      <c r="C361" s="809" t="s">
        <v>1222</v>
      </c>
      <c r="D361" s="358">
        <f>FF!I1241</f>
        <v>0</v>
      </c>
      <c r="E361" s="354" t="s">
        <v>102</v>
      </c>
      <c r="F361" s="355">
        <f>FF!K1241</f>
        <v>1059.21</v>
      </c>
      <c r="G361" s="353">
        <f t="shared" si="12"/>
        <v>0</v>
      </c>
      <c r="H361" s="633" t="s">
        <v>2313</v>
      </c>
    </row>
    <row r="362" spans="1:8" s="360" customFormat="1" ht="15" hidden="1" customHeight="1">
      <c r="A362" s="356" t="s">
        <v>533</v>
      </c>
      <c r="B362" s="804" t="s">
        <v>2609</v>
      </c>
      <c r="C362" s="632" t="s">
        <v>707</v>
      </c>
      <c r="D362" s="358">
        <f>FF!I1250</f>
        <v>0</v>
      </c>
      <c r="E362" s="354" t="s">
        <v>102</v>
      </c>
      <c r="F362" s="355">
        <f>FF!K1250</f>
        <v>21.43</v>
      </c>
      <c r="G362" s="353">
        <f t="shared" si="12"/>
        <v>0</v>
      </c>
      <c r="H362" s="633" t="s">
        <v>2217</v>
      </c>
    </row>
    <row r="363" spans="1:8" s="360" customFormat="1" ht="15" hidden="1" customHeight="1">
      <c r="A363" s="356" t="s">
        <v>533</v>
      </c>
      <c r="B363" s="804" t="s">
        <v>2609</v>
      </c>
      <c r="C363" s="632" t="s">
        <v>707</v>
      </c>
      <c r="D363" s="358">
        <f>FF!I1259</f>
        <v>0</v>
      </c>
      <c r="E363" s="354" t="s">
        <v>102</v>
      </c>
      <c r="F363" s="355">
        <f>FF!K1259</f>
        <v>22.88</v>
      </c>
      <c r="G363" s="353">
        <f t="shared" si="12"/>
        <v>0</v>
      </c>
      <c r="H363" s="633" t="s">
        <v>2299</v>
      </c>
    </row>
    <row r="364" spans="1:8" s="360" customFormat="1" ht="15" hidden="1" customHeight="1">
      <c r="A364" s="356" t="s">
        <v>533</v>
      </c>
      <c r="B364" s="804" t="s">
        <v>2609</v>
      </c>
      <c r="C364" s="632" t="s">
        <v>707</v>
      </c>
      <c r="D364" s="358">
        <f>FF!I1268</f>
        <v>0</v>
      </c>
      <c r="E364" s="354" t="s">
        <v>102</v>
      </c>
      <c r="F364" s="355">
        <f>FF!K1268</f>
        <v>24.15</v>
      </c>
      <c r="G364" s="353">
        <f t="shared" si="12"/>
        <v>0</v>
      </c>
      <c r="H364" s="633" t="s">
        <v>2312</v>
      </c>
    </row>
    <row r="365" spans="1:8" s="360" customFormat="1" ht="15" hidden="1" customHeight="1">
      <c r="A365" s="356" t="s">
        <v>533</v>
      </c>
      <c r="B365" s="804" t="s">
        <v>2609</v>
      </c>
      <c r="C365" s="632" t="s">
        <v>707</v>
      </c>
      <c r="D365" s="358">
        <f>FF!I1277</f>
        <v>0</v>
      </c>
      <c r="E365" s="354" t="s">
        <v>102</v>
      </c>
      <c r="F365" s="355">
        <f>FF!K1277</f>
        <v>25.98</v>
      </c>
      <c r="G365" s="353">
        <f t="shared" si="12"/>
        <v>0</v>
      </c>
      <c r="H365" s="633" t="s">
        <v>2313</v>
      </c>
    </row>
    <row r="366" spans="1:8" s="360" customFormat="1" ht="15" customHeight="1">
      <c r="A366" s="356" t="s">
        <v>498</v>
      </c>
      <c r="B366" s="804" t="s">
        <v>2610</v>
      </c>
      <c r="C366" s="632" t="s">
        <v>888</v>
      </c>
      <c r="D366" s="358">
        <f>FF!I1302</f>
        <v>0</v>
      </c>
      <c r="E366" s="354" t="s">
        <v>102</v>
      </c>
      <c r="F366" s="355">
        <f>FF!K1302</f>
        <v>156.41</v>
      </c>
      <c r="G366" s="353">
        <f t="shared" si="12"/>
        <v>0</v>
      </c>
      <c r="H366" s="633" t="s">
        <v>2217</v>
      </c>
    </row>
    <row r="367" spans="1:8" s="360" customFormat="1" hidden="1">
      <c r="A367" s="356" t="s">
        <v>506</v>
      </c>
      <c r="B367" s="804" t="s">
        <v>2610</v>
      </c>
      <c r="C367" s="632" t="s">
        <v>888</v>
      </c>
      <c r="D367" s="358">
        <f>FF!I1334</f>
        <v>0</v>
      </c>
      <c r="E367" s="354" t="s">
        <v>102</v>
      </c>
      <c r="F367" s="355">
        <f>FF!K1334</f>
        <v>164.34</v>
      </c>
      <c r="G367" s="353">
        <f t="shared" si="12"/>
        <v>0</v>
      </c>
      <c r="H367" s="633" t="s">
        <v>2299</v>
      </c>
    </row>
    <row r="368" spans="1:8" s="360" customFormat="1" ht="15" hidden="1" customHeight="1">
      <c r="A368" s="356" t="s">
        <v>530</v>
      </c>
      <c r="B368" s="804" t="s">
        <v>2610</v>
      </c>
      <c r="C368" s="632" t="s">
        <v>888</v>
      </c>
      <c r="D368" s="358">
        <f>FF!I1344</f>
        <v>0</v>
      </c>
      <c r="E368" s="354" t="s">
        <v>102</v>
      </c>
      <c r="F368" s="355">
        <f>FF!K1344</f>
        <v>170.35</v>
      </c>
      <c r="G368" s="353">
        <f t="shared" si="12"/>
        <v>0</v>
      </c>
      <c r="H368" s="633" t="s">
        <v>2312</v>
      </c>
    </row>
    <row r="369" spans="1:8" s="360" customFormat="1" ht="15" hidden="1" customHeight="1">
      <c r="A369" s="356" t="s">
        <v>530</v>
      </c>
      <c r="B369" s="804" t="s">
        <v>2610</v>
      </c>
      <c r="C369" s="632" t="s">
        <v>888</v>
      </c>
      <c r="D369" s="358">
        <f>FF!I1369</f>
        <v>0</v>
      </c>
      <c r="E369" s="354" t="s">
        <v>102</v>
      </c>
      <c r="F369" s="355">
        <f>FF!K1369</f>
        <v>184.03</v>
      </c>
      <c r="G369" s="353">
        <f t="shared" si="12"/>
        <v>0</v>
      </c>
      <c r="H369" s="633" t="s">
        <v>2313</v>
      </c>
    </row>
    <row r="370" spans="1:8" s="360" customFormat="1" hidden="1">
      <c r="A370" s="356" t="s">
        <v>532</v>
      </c>
      <c r="B370" s="804" t="s">
        <v>2611</v>
      </c>
      <c r="C370" s="632" t="s">
        <v>2564</v>
      </c>
      <c r="D370" s="358">
        <f>FF!I1378</f>
        <v>0</v>
      </c>
      <c r="E370" s="354" t="s">
        <v>102</v>
      </c>
      <c r="F370" s="355">
        <f>FF!K1378</f>
        <v>131.44999999999999</v>
      </c>
      <c r="G370" s="353">
        <f t="shared" si="12"/>
        <v>0</v>
      </c>
      <c r="H370" s="633" t="s">
        <v>2217</v>
      </c>
    </row>
    <row r="371" spans="1:8" s="360" customFormat="1" hidden="1">
      <c r="A371" s="356" t="s">
        <v>508</v>
      </c>
      <c r="B371" s="804" t="s">
        <v>2611</v>
      </c>
      <c r="C371" s="632" t="s">
        <v>571</v>
      </c>
      <c r="D371" s="358">
        <f>FF!I1420</f>
        <v>0</v>
      </c>
      <c r="E371" s="354" t="s">
        <v>102</v>
      </c>
      <c r="F371" s="355">
        <f>FF!K1420</f>
        <v>139.51</v>
      </c>
      <c r="G371" s="353">
        <f t="shared" si="12"/>
        <v>0</v>
      </c>
      <c r="H371" s="633" t="s">
        <v>2299</v>
      </c>
    </row>
    <row r="372" spans="1:8" s="360" customFormat="1" ht="15" hidden="1" customHeight="1">
      <c r="A372" s="356" t="s">
        <v>532</v>
      </c>
      <c r="B372" s="804" t="s">
        <v>2611</v>
      </c>
      <c r="C372" s="632" t="s">
        <v>571</v>
      </c>
      <c r="D372" s="358">
        <f>FF!I1429</f>
        <v>0</v>
      </c>
      <c r="E372" s="354" t="s">
        <v>102</v>
      </c>
      <c r="F372" s="355">
        <f>FF!K1429</f>
        <v>145.68</v>
      </c>
      <c r="G372" s="353">
        <f t="shared" ref="G372:G403" si="13">ROUND(D372*F372,0)</f>
        <v>0</v>
      </c>
      <c r="H372" s="633" t="s">
        <v>2312</v>
      </c>
    </row>
    <row r="373" spans="1:8" s="360" customFormat="1" ht="15" customHeight="1">
      <c r="A373" s="356" t="s">
        <v>499</v>
      </c>
      <c r="B373" s="804" t="s">
        <v>2611</v>
      </c>
      <c r="C373" s="632" t="s">
        <v>571</v>
      </c>
      <c r="D373" s="358">
        <f>FF!I1454</f>
        <v>0</v>
      </c>
      <c r="E373" s="354" t="s">
        <v>102</v>
      </c>
      <c r="F373" s="355">
        <f>FF!K1454</f>
        <v>158.36000000000001</v>
      </c>
      <c r="G373" s="353">
        <f t="shared" si="13"/>
        <v>0</v>
      </c>
      <c r="H373" s="633" t="s">
        <v>2313</v>
      </c>
    </row>
    <row r="374" spans="1:8" s="360" customFormat="1" hidden="1">
      <c r="A374" s="356" t="s">
        <v>533</v>
      </c>
      <c r="B374" s="804" t="s">
        <v>2612</v>
      </c>
      <c r="C374" s="632" t="s">
        <v>1226</v>
      </c>
      <c r="D374" s="358">
        <f>FF!I1461</f>
        <v>0</v>
      </c>
      <c r="E374" s="354" t="s">
        <v>102</v>
      </c>
      <c r="F374" s="355">
        <f>FF!K1461</f>
        <v>179.47</v>
      </c>
      <c r="G374" s="353">
        <f t="shared" si="13"/>
        <v>0</v>
      </c>
      <c r="H374" s="633" t="s">
        <v>2217</v>
      </c>
    </row>
    <row r="375" spans="1:8" s="360" customFormat="1" hidden="1">
      <c r="A375" s="356" t="s">
        <v>510</v>
      </c>
      <c r="B375" s="804" t="s">
        <v>2612</v>
      </c>
      <c r="C375" s="632" t="s">
        <v>1226</v>
      </c>
      <c r="D375" s="358">
        <f>FF!I1493</f>
        <v>0</v>
      </c>
      <c r="E375" s="354" t="s">
        <v>102</v>
      </c>
      <c r="F375" s="355">
        <f>FF!K1493</f>
        <v>192.01</v>
      </c>
      <c r="G375" s="353">
        <f t="shared" si="13"/>
        <v>0</v>
      </c>
      <c r="H375" s="633" t="s">
        <v>2299</v>
      </c>
    </row>
    <row r="376" spans="1:8" s="360" customFormat="1" ht="15" hidden="1" customHeight="1">
      <c r="A376" s="356" t="s">
        <v>533</v>
      </c>
      <c r="B376" s="804" t="s">
        <v>2612</v>
      </c>
      <c r="C376" s="632" t="s">
        <v>1226</v>
      </c>
      <c r="D376" s="358">
        <f>FF!I1500</f>
        <v>0</v>
      </c>
      <c r="E376" s="354" t="s">
        <v>102</v>
      </c>
      <c r="F376" s="355">
        <f>FF!K1500</f>
        <v>201.51</v>
      </c>
      <c r="G376" s="353">
        <f t="shared" si="13"/>
        <v>0</v>
      </c>
      <c r="H376" s="633" t="s">
        <v>2312</v>
      </c>
    </row>
    <row r="377" spans="1:8" s="360" customFormat="1" ht="15" customHeight="1">
      <c r="A377" s="356" t="s">
        <v>500</v>
      </c>
      <c r="B377" s="804" t="s">
        <v>2612</v>
      </c>
      <c r="C377" s="632" t="s">
        <v>1226</v>
      </c>
      <c r="D377" s="358">
        <f>FF!I1514</f>
        <v>0</v>
      </c>
      <c r="E377" s="354" t="s">
        <v>102</v>
      </c>
      <c r="F377" s="355">
        <f>FF!K1514</f>
        <v>217.22</v>
      </c>
      <c r="G377" s="353">
        <f t="shared" si="13"/>
        <v>0</v>
      </c>
      <c r="H377" s="633" t="s">
        <v>2313</v>
      </c>
    </row>
    <row r="378" spans="1:8" s="360" customFormat="1">
      <c r="A378" s="356" t="s">
        <v>501</v>
      </c>
      <c r="B378" s="804" t="s">
        <v>2616</v>
      </c>
      <c r="C378" s="632" t="s">
        <v>477</v>
      </c>
      <c r="D378" s="429">
        <f>FF!I1522</f>
        <v>0</v>
      </c>
      <c r="E378" s="221" t="s">
        <v>29</v>
      </c>
      <c r="F378" s="430">
        <f>FF!K1522</f>
        <v>63243.5</v>
      </c>
      <c r="G378" s="353">
        <f t="shared" si="13"/>
        <v>0</v>
      </c>
      <c r="H378" s="633" t="s">
        <v>2217</v>
      </c>
    </row>
    <row r="379" spans="1:8" s="360" customFormat="1" ht="15" hidden="1" customHeight="1">
      <c r="A379" s="356" t="s">
        <v>512</v>
      </c>
      <c r="B379" s="804" t="s">
        <v>2616</v>
      </c>
      <c r="C379" s="632" t="s">
        <v>477</v>
      </c>
      <c r="D379" s="429">
        <f>FF!I1527</f>
        <v>0</v>
      </c>
      <c r="E379" s="221" t="s">
        <v>29</v>
      </c>
      <c r="F379" s="430">
        <f>FF!K1527</f>
        <v>63510</v>
      </c>
      <c r="G379" s="353">
        <f t="shared" si="13"/>
        <v>0</v>
      </c>
      <c r="H379" s="633" t="s">
        <v>2299</v>
      </c>
    </row>
    <row r="380" spans="1:8" s="360" customFormat="1" ht="15" hidden="1" customHeight="1">
      <c r="A380" s="356" t="s">
        <v>1143</v>
      </c>
      <c r="B380" s="804" t="s">
        <v>2616</v>
      </c>
      <c r="C380" s="632" t="s">
        <v>477</v>
      </c>
      <c r="D380" s="429">
        <f>FF!I1535</f>
        <v>0</v>
      </c>
      <c r="E380" s="221" t="s">
        <v>29</v>
      </c>
      <c r="F380" s="430">
        <f>FF!K1535</f>
        <v>80999.5</v>
      </c>
      <c r="G380" s="353">
        <f t="shared" si="13"/>
        <v>0</v>
      </c>
      <c r="H380" s="633" t="s">
        <v>2312</v>
      </c>
    </row>
    <row r="381" spans="1:8" s="360" customFormat="1" ht="15" hidden="1" customHeight="1">
      <c r="A381" s="356" t="s">
        <v>1143</v>
      </c>
      <c r="B381" s="804" t="s">
        <v>2616</v>
      </c>
      <c r="C381" s="632" t="s">
        <v>477</v>
      </c>
      <c r="D381" s="429">
        <f>FF!I1542</f>
        <v>0</v>
      </c>
      <c r="E381" s="221" t="s">
        <v>29</v>
      </c>
      <c r="F381" s="430">
        <f>FF!K1542</f>
        <v>93741</v>
      </c>
      <c r="G381" s="353">
        <f t="shared" si="13"/>
        <v>0</v>
      </c>
      <c r="H381" s="633" t="s">
        <v>2313</v>
      </c>
    </row>
    <row r="382" spans="1:8" s="26" customFormat="1" hidden="1">
      <c r="A382" s="23"/>
      <c r="B382" s="23"/>
      <c r="C382" s="627" t="s">
        <v>889</v>
      </c>
      <c r="D382" s="28"/>
      <c r="E382" s="224"/>
      <c r="F382" s="37"/>
      <c r="G382" s="11">
        <f t="shared" si="13"/>
        <v>0</v>
      </c>
      <c r="H382" s="633" t="s">
        <v>2217</v>
      </c>
    </row>
    <row r="383" spans="1:8" s="360" customFormat="1">
      <c r="A383" s="356" t="s">
        <v>502</v>
      </c>
      <c r="B383" s="804" t="s">
        <v>2624</v>
      </c>
      <c r="C383" s="809" t="s">
        <v>2061</v>
      </c>
      <c r="D383" s="358">
        <f>SF!I14</f>
        <v>0</v>
      </c>
      <c r="E383" s="354" t="s">
        <v>5</v>
      </c>
      <c r="F383" s="355">
        <f>SF!K14</f>
        <v>10542.140000000001</v>
      </c>
      <c r="G383" s="353">
        <f t="shared" si="13"/>
        <v>0</v>
      </c>
      <c r="H383" s="633" t="s">
        <v>2217</v>
      </c>
    </row>
    <row r="384" spans="1:8" s="360" customFormat="1" ht="15" hidden="1" customHeight="1">
      <c r="A384" s="356" t="s">
        <v>513</v>
      </c>
      <c r="B384" s="804" t="s">
        <v>2624</v>
      </c>
      <c r="C384" s="809" t="s">
        <v>2061</v>
      </c>
      <c r="D384" s="358">
        <f>SF!I21</f>
        <v>0</v>
      </c>
      <c r="E384" s="354" t="s">
        <v>5</v>
      </c>
      <c r="F384" s="355">
        <f>SF!K21</f>
        <v>10932.800000000001</v>
      </c>
      <c r="G384" s="353">
        <f t="shared" si="13"/>
        <v>0</v>
      </c>
      <c r="H384" s="633" t="s">
        <v>2299</v>
      </c>
    </row>
    <row r="385" spans="1:8" s="360" customFormat="1" ht="15" hidden="1" customHeight="1">
      <c r="A385" s="356" t="s">
        <v>1583</v>
      </c>
      <c r="B385" s="804" t="s">
        <v>2624</v>
      </c>
      <c r="C385" s="809" t="s">
        <v>2061</v>
      </c>
      <c r="D385" s="358">
        <f>SF!I28</f>
        <v>0</v>
      </c>
      <c r="E385" s="354" t="s">
        <v>5</v>
      </c>
      <c r="F385" s="355">
        <f>SF!K28</f>
        <v>11565.1</v>
      </c>
      <c r="G385" s="353">
        <f t="shared" si="13"/>
        <v>0</v>
      </c>
      <c r="H385" s="633" t="s">
        <v>2312</v>
      </c>
    </row>
    <row r="386" spans="1:8" s="360" customFormat="1" ht="15" hidden="1" customHeight="1">
      <c r="A386" s="356" t="s">
        <v>1583</v>
      </c>
      <c r="B386" s="804" t="s">
        <v>2624</v>
      </c>
      <c r="C386" s="809" t="s">
        <v>2061</v>
      </c>
      <c r="D386" s="358">
        <f>SF!I33</f>
        <v>0</v>
      </c>
      <c r="E386" s="354" t="s">
        <v>5</v>
      </c>
      <c r="F386" s="355">
        <f>SF!K33</f>
        <v>12013.61</v>
      </c>
      <c r="G386" s="353">
        <f t="shared" si="13"/>
        <v>0</v>
      </c>
      <c r="H386" s="633" t="s">
        <v>2313</v>
      </c>
    </row>
    <row r="387" spans="1:8" s="360" customFormat="1">
      <c r="A387" s="356" t="s">
        <v>503</v>
      </c>
      <c r="B387" s="804" t="s">
        <v>2625</v>
      </c>
      <c r="C387" s="809" t="s">
        <v>2063</v>
      </c>
      <c r="D387" s="358">
        <f>SF!I39</f>
        <v>0</v>
      </c>
      <c r="E387" s="354" t="s">
        <v>5</v>
      </c>
      <c r="F387" s="355">
        <f>SF!K39</f>
        <v>10021.1</v>
      </c>
      <c r="G387" s="353">
        <f t="shared" si="13"/>
        <v>0</v>
      </c>
      <c r="H387" s="633" t="s">
        <v>2217</v>
      </c>
    </row>
    <row r="388" spans="1:8" s="360" customFormat="1" ht="15" hidden="1" customHeight="1">
      <c r="A388" s="356" t="s">
        <v>514</v>
      </c>
      <c r="B388" s="804" t="s">
        <v>2625</v>
      </c>
      <c r="C388" s="809" t="s">
        <v>2063</v>
      </c>
      <c r="D388" s="358">
        <f>SF!I45</f>
        <v>0</v>
      </c>
      <c r="E388" s="354" t="s">
        <v>5</v>
      </c>
      <c r="F388" s="355">
        <f>SF!K45</f>
        <v>10257.99</v>
      </c>
      <c r="G388" s="353">
        <f t="shared" si="13"/>
        <v>0</v>
      </c>
      <c r="H388" s="633" t="s">
        <v>2299</v>
      </c>
    </row>
    <row r="389" spans="1:8" s="360" customFormat="1" ht="15" hidden="1" customHeight="1">
      <c r="A389" s="356" t="s">
        <v>645</v>
      </c>
      <c r="B389" s="804" t="s">
        <v>2625</v>
      </c>
      <c r="C389" s="809" t="s">
        <v>2063</v>
      </c>
      <c r="D389" s="358">
        <f>SF!I51</f>
        <v>0</v>
      </c>
      <c r="E389" s="354" t="s">
        <v>5</v>
      </c>
      <c r="F389" s="355">
        <f>SF!K51</f>
        <v>10793.54</v>
      </c>
      <c r="G389" s="353">
        <f t="shared" si="13"/>
        <v>0</v>
      </c>
      <c r="H389" s="633" t="s">
        <v>2312</v>
      </c>
    </row>
    <row r="390" spans="1:8" s="360" customFormat="1" ht="15" hidden="1" customHeight="1">
      <c r="A390" s="356" t="s">
        <v>645</v>
      </c>
      <c r="B390" s="804" t="s">
        <v>2625</v>
      </c>
      <c r="C390" s="809" t="s">
        <v>2063</v>
      </c>
      <c r="D390" s="358">
        <f>SF!I57</f>
        <v>0</v>
      </c>
      <c r="E390" s="354" t="s">
        <v>5</v>
      </c>
      <c r="F390" s="355">
        <f>SF!K57</f>
        <v>11098.560000000001</v>
      </c>
      <c r="G390" s="353">
        <f t="shared" si="13"/>
        <v>0</v>
      </c>
      <c r="H390" s="633" t="s">
        <v>2313</v>
      </c>
    </row>
    <row r="391" spans="1:8" s="360" customFormat="1" hidden="1">
      <c r="A391" s="356" t="s">
        <v>513</v>
      </c>
      <c r="B391" s="804" t="s">
        <v>2626</v>
      </c>
      <c r="C391" s="809" t="s">
        <v>2064</v>
      </c>
      <c r="D391" s="358">
        <f>SF!I86</f>
        <v>0</v>
      </c>
      <c r="E391" s="354" t="s">
        <v>102</v>
      </c>
      <c r="F391" s="355">
        <f>SF!K86</f>
        <v>1395.34</v>
      </c>
      <c r="G391" s="353">
        <f t="shared" si="13"/>
        <v>0</v>
      </c>
      <c r="H391" s="633" t="s">
        <v>2217</v>
      </c>
    </row>
    <row r="392" spans="1:8" s="360" customFormat="1" ht="15" hidden="1" customHeight="1">
      <c r="A392" s="356" t="s">
        <v>515</v>
      </c>
      <c r="B392" s="804" t="s">
        <v>2626</v>
      </c>
      <c r="C392" s="809" t="s">
        <v>2064</v>
      </c>
      <c r="D392" s="358">
        <f>SF!I91</f>
        <v>0</v>
      </c>
      <c r="E392" s="354" t="s">
        <v>102</v>
      </c>
      <c r="F392" s="355">
        <f>SF!K91</f>
        <v>1443.96</v>
      </c>
      <c r="G392" s="353">
        <f t="shared" si="13"/>
        <v>0</v>
      </c>
      <c r="H392" s="633" t="s">
        <v>2299</v>
      </c>
    </row>
    <row r="393" spans="1:8" s="360" customFormat="1" ht="15" hidden="1" customHeight="1">
      <c r="A393" s="356" t="s">
        <v>1584</v>
      </c>
      <c r="B393" s="804" t="s">
        <v>2626</v>
      </c>
      <c r="C393" s="809" t="s">
        <v>2064</v>
      </c>
      <c r="D393" s="358">
        <f>SF!I96</f>
        <v>0</v>
      </c>
      <c r="E393" s="354" t="s">
        <v>102</v>
      </c>
      <c r="F393" s="355">
        <f>SF!K96</f>
        <v>1539.2800000000002</v>
      </c>
      <c r="G393" s="353">
        <f t="shared" si="13"/>
        <v>0</v>
      </c>
      <c r="H393" s="633" t="s">
        <v>2312</v>
      </c>
    </row>
    <row r="394" spans="1:8" s="360" customFormat="1" ht="15" hidden="1" customHeight="1">
      <c r="A394" s="356" t="s">
        <v>1584</v>
      </c>
      <c r="B394" s="804" t="s">
        <v>2626</v>
      </c>
      <c r="C394" s="809" t="s">
        <v>2064</v>
      </c>
      <c r="D394" s="358">
        <f>SF!I101</f>
        <v>0</v>
      </c>
      <c r="E394" s="354" t="s">
        <v>102</v>
      </c>
      <c r="F394" s="355">
        <f>SF!K101</f>
        <v>1594.17</v>
      </c>
      <c r="G394" s="353">
        <f t="shared" si="13"/>
        <v>0</v>
      </c>
      <c r="H394" s="633" t="s">
        <v>2313</v>
      </c>
    </row>
    <row r="395" spans="1:8" s="360" customFormat="1" ht="15" customHeight="1">
      <c r="A395" s="356" t="s">
        <v>504</v>
      </c>
      <c r="B395" s="804" t="s">
        <v>2626</v>
      </c>
      <c r="C395" s="809" t="s">
        <v>2066</v>
      </c>
      <c r="D395" s="358">
        <f>SF!I106</f>
        <v>0</v>
      </c>
      <c r="E395" s="354" t="s">
        <v>102</v>
      </c>
      <c r="F395" s="355">
        <f>SF!K106</f>
        <v>1271.18</v>
      </c>
      <c r="G395" s="353">
        <f t="shared" si="13"/>
        <v>0</v>
      </c>
      <c r="H395" s="633" t="s">
        <v>2217</v>
      </c>
    </row>
    <row r="396" spans="1:8" s="360" customFormat="1" ht="15" hidden="1" customHeight="1">
      <c r="A396" s="356" t="s">
        <v>487</v>
      </c>
      <c r="B396" s="804" t="s">
        <v>2626</v>
      </c>
      <c r="C396" s="809" t="s">
        <v>2066</v>
      </c>
      <c r="D396" s="358">
        <f>SF!I111</f>
        <v>0</v>
      </c>
      <c r="E396" s="354" t="s">
        <v>102</v>
      </c>
      <c r="F396" s="355">
        <f>SF!K111</f>
        <v>1314.42</v>
      </c>
      <c r="G396" s="353">
        <f t="shared" si="13"/>
        <v>0</v>
      </c>
      <c r="H396" s="633" t="s">
        <v>2299</v>
      </c>
    </row>
    <row r="397" spans="1:8" s="360" customFormat="1" ht="15" hidden="1" customHeight="1">
      <c r="A397" s="356" t="s">
        <v>487</v>
      </c>
      <c r="B397" s="804" t="s">
        <v>2626</v>
      </c>
      <c r="C397" s="809" t="s">
        <v>2066</v>
      </c>
      <c r="D397" s="358">
        <f>SF!I116</f>
        <v>0</v>
      </c>
      <c r="E397" s="354" t="s">
        <v>102</v>
      </c>
      <c r="F397" s="355">
        <f>SF!K116</f>
        <v>1403.54</v>
      </c>
      <c r="G397" s="353">
        <f t="shared" si="13"/>
        <v>0</v>
      </c>
      <c r="H397" s="633" t="s">
        <v>2312</v>
      </c>
    </row>
    <row r="398" spans="1:8" s="360" customFormat="1" ht="15" hidden="1" customHeight="1">
      <c r="A398" s="356" t="s">
        <v>487</v>
      </c>
      <c r="B398" s="804" t="s">
        <v>2626</v>
      </c>
      <c r="C398" s="809" t="s">
        <v>2066</v>
      </c>
      <c r="D398" s="358">
        <f>SF!I121</f>
        <v>0</v>
      </c>
      <c r="E398" s="354" t="s">
        <v>102</v>
      </c>
      <c r="F398" s="355">
        <f>SF!K121</f>
        <v>1451.29</v>
      </c>
      <c r="G398" s="353">
        <f t="shared" si="13"/>
        <v>0</v>
      </c>
      <c r="H398" s="633" t="s">
        <v>2313</v>
      </c>
    </row>
    <row r="399" spans="1:8" s="360" customFormat="1" ht="15" hidden="1" customHeight="1">
      <c r="A399" s="356" t="s">
        <v>516</v>
      </c>
      <c r="B399" s="804" t="s">
        <v>2622</v>
      </c>
      <c r="C399" s="809" t="s">
        <v>2065</v>
      </c>
      <c r="D399" s="358">
        <f>SF!I63</f>
        <v>0</v>
      </c>
      <c r="E399" s="221" t="s">
        <v>102</v>
      </c>
      <c r="F399" s="355">
        <f>SF!K63</f>
        <v>1519.49</v>
      </c>
      <c r="G399" s="353">
        <f t="shared" si="13"/>
        <v>0</v>
      </c>
      <c r="H399" s="633" t="s">
        <v>2217</v>
      </c>
    </row>
    <row r="400" spans="1:8" s="360" customFormat="1" ht="15" hidden="1" customHeight="1">
      <c r="A400" s="356" t="s">
        <v>516</v>
      </c>
      <c r="B400" s="804" t="s">
        <v>2622</v>
      </c>
      <c r="C400" s="809" t="s">
        <v>2065</v>
      </c>
      <c r="D400" s="358">
        <f>SF!I69</f>
        <v>0</v>
      </c>
      <c r="E400" s="221" t="s">
        <v>102</v>
      </c>
      <c r="F400" s="355">
        <f>SF!K69</f>
        <v>1573.5</v>
      </c>
      <c r="G400" s="353">
        <f t="shared" si="13"/>
        <v>0</v>
      </c>
      <c r="H400" s="633" t="s">
        <v>2299</v>
      </c>
    </row>
    <row r="401" spans="1:8" s="360" customFormat="1" ht="15" hidden="1" customHeight="1">
      <c r="A401" s="356" t="s">
        <v>516</v>
      </c>
      <c r="B401" s="804" t="s">
        <v>2622</v>
      </c>
      <c r="C401" s="809" t="s">
        <v>2065</v>
      </c>
      <c r="D401" s="358">
        <f>SF!I75</f>
        <v>0</v>
      </c>
      <c r="E401" s="221" t="s">
        <v>102</v>
      </c>
      <c r="F401" s="355">
        <f>SF!K75</f>
        <v>1675.0100000000002</v>
      </c>
      <c r="G401" s="353">
        <f t="shared" si="13"/>
        <v>0</v>
      </c>
      <c r="H401" s="633" t="s">
        <v>2312</v>
      </c>
    </row>
    <row r="402" spans="1:8" s="360" customFormat="1" ht="15" hidden="1" customHeight="1">
      <c r="A402" s="356" t="s">
        <v>516</v>
      </c>
      <c r="B402" s="804" t="s">
        <v>2622</v>
      </c>
      <c r="C402" s="809" t="s">
        <v>2065</v>
      </c>
      <c r="D402" s="358">
        <f>SF!I81</f>
        <v>0</v>
      </c>
      <c r="E402" s="221" t="s">
        <v>102</v>
      </c>
      <c r="F402" s="355">
        <f>SF!K81</f>
        <v>1737.05</v>
      </c>
      <c r="G402" s="353">
        <f t="shared" si="13"/>
        <v>0</v>
      </c>
      <c r="H402" s="633" t="s">
        <v>2313</v>
      </c>
    </row>
    <row r="403" spans="1:8" s="360" customFormat="1" ht="15" hidden="1" customHeight="1">
      <c r="A403" s="356" t="s">
        <v>517</v>
      </c>
      <c r="B403" s="804" t="s">
        <v>2626</v>
      </c>
      <c r="C403" s="809" t="s">
        <v>2072</v>
      </c>
      <c r="D403" s="358">
        <f>SF!I127</f>
        <v>0</v>
      </c>
      <c r="E403" s="221" t="s">
        <v>102</v>
      </c>
      <c r="F403" s="355">
        <f>SF!K127</f>
        <v>747.27</v>
      </c>
      <c r="G403" s="353">
        <f t="shared" si="13"/>
        <v>0</v>
      </c>
      <c r="H403" s="633" t="s">
        <v>2217</v>
      </c>
    </row>
    <row r="404" spans="1:8" s="360" customFormat="1" ht="15" hidden="1" customHeight="1">
      <c r="A404" s="356" t="s">
        <v>517</v>
      </c>
      <c r="B404" s="804" t="s">
        <v>2626</v>
      </c>
      <c r="C404" s="809" t="s">
        <v>2072</v>
      </c>
      <c r="D404" s="358">
        <f>SF!I133</f>
        <v>0</v>
      </c>
      <c r="E404" s="221" t="s">
        <v>102</v>
      </c>
      <c r="F404" s="355">
        <f>SF!K133</f>
        <v>779.57</v>
      </c>
      <c r="G404" s="353">
        <f t="shared" ref="G404:G434" si="14">ROUND(D404*F404,0)</f>
        <v>0</v>
      </c>
      <c r="H404" s="633" t="s">
        <v>2299</v>
      </c>
    </row>
    <row r="405" spans="1:8" s="360" customFormat="1" ht="15" hidden="1" customHeight="1">
      <c r="A405" s="356" t="s">
        <v>517</v>
      </c>
      <c r="B405" s="804" t="s">
        <v>2626</v>
      </c>
      <c r="C405" s="809" t="s">
        <v>2072</v>
      </c>
      <c r="D405" s="358">
        <f>SF!I139</f>
        <v>0</v>
      </c>
      <c r="E405" s="221" t="s">
        <v>102</v>
      </c>
      <c r="F405" s="355">
        <f>SF!K139</f>
        <v>831.97</v>
      </c>
      <c r="G405" s="353">
        <f t="shared" si="14"/>
        <v>0</v>
      </c>
      <c r="H405" s="633" t="s">
        <v>2312</v>
      </c>
    </row>
    <row r="406" spans="1:8" s="360" customFormat="1" ht="15" hidden="1" customHeight="1">
      <c r="A406" s="356" t="s">
        <v>517</v>
      </c>
      <c r="B406" s="804" t="s">
        <v>2626</v>
      </c>
      <c r="C406" s="809" t="s">
        <v>2072</v>
      </c>
      <c r="D406" s="358">
        <f>SF!I145</f>
        <v>0</v>
      </c>
      <c r="E406" s="221" t="s">
        <v>102</v>
      </c>
      <c r="F406" s="355">
        <f>SF!K145</f>
        <v>865.17</v>
      </c>
      <c r="G406" s="353">
        <f t="shared" si="14"/>
        <v>0</v>
      </c>
      <c r="H406" s="633" t="s">
        <v>2313</v>
      </c>
    </row>
    <row r="407" spans="1:8" s="360" customFormat="1" ht="15" hidden="1" customHeight="1">
      <c r="A407" s="356" t="s">
        <v>517</v>
      </c>
      <c r="B407" s="804" t="s">
        <v>2626</v>
      </c>
      <c r="C407" s="809" t="s">
        <v>2073</v>
      </c>
      <c r="D407" s="358">
        <f>SF!I151</f>
        <v>0</v>
      </c>
      <c r="E407" s="221" t="s">
        <v>102</v>
      </c>
      <c r="F407" s="355">
        <f>SF!K151</f>
        <v>624.5</v>
      </c>
      <c r="G407" s="353">
        <f t="shared" si="14"/>
        <v>0</v>
      </c>
      <c r="H407" s="633" t="s">
        <v>2217</v>
      </c>
    </row>
    <row r="408" spans="1:8" s="360" customFormat="1" ht="15" hidden="1" customHeight="1">
      <c r="A408" s="356" t="s">
        <v>517</v>
      </c>
      <c r="B408" s="804" t="s">
        <v>2626</v>
      </c>
      <c r="C408" s="809" t="s">
        <v>2073</v>
      </c>
      <c r="D408" s="358">
        <f>SF!I157</f>
        <v>0</v>
      </c>
      <c r="E408" s="221" t="s">
        <v>102</v>
      </c>
      <c r="F408" s="355">
        <f>SF!K157</f>
        <v>651.52</v>
      </c>
      <c r="G408" s="353">
        <f t="shared" si="14"/>
        <v>0</v>
      </c>
      <c r="H408" s="633" t="s">
        <v>2299</v>
      </c>
    </row>
    <row r="409" spans="1:8" s="360" customFormat="1" ht="15" hidden="1" customHeight="1">
      <c r="A409" s="356" t="s">
        <v>517</v>
      </c>
      <c r="B409" s="804" t="s">
        <v>2626</v>
      </c>
      <c r="C409" s="809" t="s">
        <v>2073</v>
      </c>
      <c r="D409" s="358">
        <f>SF!I163</f>
        <v>0</v>
      </c>
      <c r="E409" s="221" t="s">
        <v>102</v>
      </c>
      <c r="F409" s="355">
        <f>SF!K163</f>
        <v>697.83999999999992</v>
      </c>
      <c r="G409" s="353">
        <f t="shared" si="14"/>
        <v>0</v>
      </c>
      <c r="H409" s="633" t="s">
        <v>2312</v>
      </c>
    </row>
    <row r="410" spans="1:8" s="360" customFormat="1" ht="15" hidden="1" customHeight="1">
      <c r="A410" s="356" t="s">
        <v>517</v>
      </c>
      <c r="B410" s="804" t="s">
        <v>2626</v>
      </c>
      <c r="C410" s="809" t="s">
        <v>2073</v>
      </c>
      <c r="D410" s="358">
        <f>SF!I169</f>
        <v>0</v>
      </c>
      <c r="E410" s="221" t="s">
        <v>102</v>
      </c>
      <c r="F410" s="355">
        <f>SF!K169</f>
        <v>724.02</v>
      </c>
      <c r="G410" s="353">
        <f t="shared" si="14"/>
        <v>0</v>
      </c>
      <c r="H410" s="633" t="s">
        <v>2313</v>
      </c>
    </row>
    <row r="411" spans="1:8" s="360" customFormat="1" ht="15" hidden="1" customHeight="1">
      <c r="A411" s="356" t="s">
        <v>518</v>
      </c>
      <c r="B411" s="804" t="s">
        <v>2618</v>
      </c>
      <c r="C411" s="809" t="s">
        <v>2069</v>
      </c>
      <c r="D411" s="358">
        <f>SF!I176</f>
        <v>0</v>
      </c>
      <c r="E411" s="354" t="s">
        <v>5</v>
      </c>
      <c r="F411" s="355">
        <f>SF!K176</f>
        <v>10426.34</v>
      </c>
      <c r="G411" s="353">
        <f t="shared" si="14"/>
        <v>0</v>
      </c>
      <c r="H411" s="633" t="s">
        <v>2217</v>
      </c>
    </row>
    <row r="412" spans="1:8" s="360" customFormat="1" ht="15" hidden="1" customHeight="1">
      <c r="A412" s="356" t="s">
        <v>518</v>
      </c>
      <c r="B412" s="804" t="s">
        <v>2618</v>
      </c>
      <c r="C412" s="809" t="s">
        <v>2069</v>
      </c>
      <c r="D412" s="358">
        <f>SF!I183</f>
        <v>0</v>
      </c>
      <c r="E412" s="354" t="s">
        <v>5</v>
      </c>
      <c r="F412" s="355">
        <f>SF!K183</f>
        <v>10817</v>
      </c>
      <c r="G412" s="353">
        <f t="shared" si="14"/>
        <v>0</v>
      </c>
      <c r="H412" s="633" t="s">
        <v>2299</v>
      </c>
    </row>
    <row r="413" spans="1:8" s="360" customFormat="1" ht="15" hidden="1" customHeight="1">
      <c r="A413" s="356" t="s">
        <v>518</v>
      </c>
      <c r="B413" s="804" t="s">
        <v>2618</v>
      </c>
      <c r="C413" s="809" t="s">
        <v>2069</v>
      </c>
      <c r="D413" s="358">
        <f>SF!I190</f>
        <v>0</v>
      </c>
      <c r="E413" s="354" t="s">
        <v>5</v>
      </c>
      <c r="F413" s="355">
        <f>SF!K190</f>
        <v>11426.3</v>
      </c>
      <c r="G413" s="353">
        <f t="shared" si="14"/>
        <v>0</v>
      </c>
      <c r="H413" s="633" t="s">
        <v>2312</v>
      </c>
    </row>
    <row r="414" spans="1:8" s="360" customFormat="1" ht="15" hidden="1" customHeight="1">
      <c r="A414" s="356" t="s">
        <v>518</v>
      </c>
      <c r="B414" s="804" t="s">
        <v>2618</v>
      </c>
      <c r="C414" s="809" t="s">
        <v>2069</v>
      </c>
      <c r="D414" s="358">
        <f>SF!I197</f>
        <v>0</v>
      </c>
      <c r="E414" s="354" t="s">
        <v>5</v>
      </c>
      <c r="F414" s="355">
        <f>SF!K197</f>
        <v>11874.810000000001</v>
      </c>
      <c r="G414" s="353">
        <f t="shared" si="14"/>
        <v>0</v>
      </c>
      <c r="H414" s="633" t="s">
        <v>2313</v>
      </c>
    </row>
    <row r="415" spans="1:8" s="360" customFormat="1" ht="15" hidden="1" customHeight="1">
      <c r="A415" s="356" t="s">
        <v>519</v>
      </c>
      <c r="B415" s="804" t="s">
        <v>2621</v>
      </c>
      <c r="C415" s="809" t="s">
        <v>2070</v>
      </c>
      <c r="D415" s="358">
        <f>SF!I202</f>
        <v>0</v>
      </c>
      <c r="E415" s="221" t="s">
        <v>277</v>
      </c>
      <c r="F415" s="355">
        <f>SF!K202</f>
        <v>663.65999999999985</v>
      </c>
      <c r="G415" s="353">
        <f t="shared" si="14"/>
        <v>0</v>
      </c>
      <c r="H415" s="633" t="s">
        <v>2217</v>
      </c>
    </row>
    <row r="416" spans="1:8" s="360" customFormat="1" ht="15" hidden="1" customHeight="1">
      <c r="A416" s="356" t="s">
        <v>519</v>
      </c>
      <c r="B416" s="804" t="s">
        <v>2621</v>
      </c>
      <c r="C416" s="809" t="s">
        <v>2070</v>
      </c>
      <c r="D416" s="358">
        <f>SF!I207</f>
        <v>0</v>
      </c>
      <c r="E416" s="221" t="s">
        <v>277</v>
      </c>
      <c r="F416" s="355">
        <f>SF!K207</f>
        <v>684.77</v>
      </c>
      <c r="G416" s="353">
        <f t="shared" si="14"/>
        <v>0</v>
      </c>
      <c r="H416" s="633" t="s">
        <v>2299</v>
      </c>
    </row>
    <row r="417" spans="1:8" s="360" customFormat="1" ht="15" hidden="1" customHeight="1">
      <c r="A417" s="356" t="s">
        <v>519</v>
      </c>
      <c r="B417" s="804" t="s">
        <v>2621</v>
      </c>
      <c r="C417" s="809" t="s">
        <v>2070</v>
      </c>
      <c r="D417" s="358">
        <f>SF!I212</f>
        <v>0</v>
      </c>
      <c r="E417" s="221" t="s">
        <v>277</v>
      </c>
      <c r="F417" s="355">
        <f>SF!K212</f>
        <v>722.50999999999988</v>
      </c>
      <c r="G417" s="353">
        <f t="shared" si="14"/>
        <v>0</v>
      </c>
      <c r="H417" s="633" t="s">
        <v>2312</v>
      </c>
    </row>
    <row r="418" spans="1:8" s="360" customFormat="1" ht="15" hidden="1" customHeight="1">
      <c r="A418" s="356" t="s">
        <v>519</v>
      </c>
      <c r="B418" s="804" t="s">
        <v>2621</v>
      </c>
      <c r="C418" s="809" t="s">
        <v>2070</v>
      </c>
      <c r="D418" s="358">
        <f>SF!I217</f>
        <v>0</v>
      </c>
      <c r="E418" s="221" t="s">
        <v>277</v>
      </c>
      <c r="F418" s="355">
        <f>SF!K217</f>
        <v>744.7299999999999</v>
      </c>
      <c r="G418" s="353">
        <f t="shared" si="14"/>
        <v>0</v>
      </c>
      <c r="H418" s="633" t="s">
        <v>2313</v>
      </c>
    </row>
    <row r="419" spans="1:8" s="360" customFormat="1" ht="15" hidden="1" customHeight="1">
      <c r="A419" s="356" t="s">
        <v>519</v>
      </c>
      <c r="B419" s="804"/>
      <c r="C419" s="809" t="s">
        <v>1478</v>
      </c>
      <c r="D419" s="358">
        <f>SF!I222</f>
        <v>0</v>
      </c>
      <c r="E419" s="221" t="s">
        <v>102</v>
      </c>
      <c r="F419" s="355">
        <f>SF!K222</f>
        <v>297.64999999999998</v>
      </c>
      <c r="G419" s="353">
        <f t="shared" si="14"/>
        <v>0</v>
      </c>
      <c r="H419" s="633" t="s">
        <v>2217</v>
      </c>
    </row>
    <row r="420" spans="1:8" s="360" customFormat="1" ht="15" hidden="1" customHeight="1">
      <c r="A420" s="356" t="s">
        <v>519</v>
      </c>
      <c r="B420" s="804"/>
      <c r="C420" s="809" t="s">
        <v>1478</v>
      </c>
      <c r="D420" s="358">
        <f>SF!I227</f>
        <v>0</v>
      </c>
      <c r="E420" s="221" t="s">
        <v>102</v>
      </c>
      <c r="F420" s="355">
        <f>SF!K227</f>
        <v>321.24</v>
      </c>
      <c r="G420" s="353">
        <f t="shared" si="14"/>
        <v>0</v>
      </c>
      <c r="H420" s="633" t="s">
        <v>2299</v>
      </c>
    </row>
    <row r="421" spans="1:8" s="360" customFormat="1" ht="15" hidden="1" customHeight="1">
      <c r="A421" s="356" t="s">
        <v>519</v>
      </c>
      <c r="B421" s="804"/>
      <c r="C421" s="809" t="s">
        <v>1478</v>
      </c>
      <c r="D421" s="358">
        <f>SF!I232</f>
        <v>0</v>
      </c>
      <c r="E421" s="221" t="s">
        <v>102</v>
      </c>
      <c r="F421" s="355">
        <f>SF!K232</f>
        <v>340.95</v>
      </c>
      <c r="G421" s="353">
        <f t="shared" si="14"/>
        <v>0</v>
      </c>
      <c r="H421" s="633" t="s">
        <v>2312</v>
      </c>
    </row>
    <row r="422" spans="1:8" s="360" customFormat="1" ht="15" hidden="1" customHeight="1">
      <c r="A422" s="356" t="s">
        <v>519</v>
      </c>
      <c r="B422" s="804"/>
      <c r="C422" s="809" t="s">
        <v>1478</v>
      </c>
      <c r="D422" s="358">
        <f>SF!I237</f>
        <v>0</v>
      </c>
      <c r="E422" s="221" t="s">
        <v>102</v>
      </c>
      <c r="F422" s="355">
        <f>SF!K237</f>
        <v>362.63</v>
      </c>
      <c r="G422" s="353">
        <f t="shared" si="14"/>
        <v>0</v>
      </c>
      <c r="H422" s="633" t="s">
        <v>2313</v>
      </c>
    </row>
    <row r="423" spans="1:8" s="360" customFormat="1" ht="15" hidden="1" customHeight="1">
      <c r="A423" s="356" t="s">
        <v>520</v>
      </c>
      <c r="B423" s="804" t="s">
        <v>2627</v>
      </c>
      <c r="C423" s="809" t="s">
        <v>1479</v>
      </c>
      <c r="D423" s="358">
        <f>SF!I243</f>
        <v>0</v>
      </c>
      <c r="E423" s="221" t="s">
        <v>102</v>
      </c>
      <c r="F423" s="355">
        <f>SF!K243</f>
        <v>382.24</v>
      </c>
      <c r="G423" s="353">
        <f t="shared" si="14"/>
        <v>0</v>
      </c>
      <c r="H423" s="633" t="s">
        <v>2217</v>
      </c>
    </row>
    <row r="424" spans="1:8" s="360" customFormat="1" ht="15" hidden="1" customHeight="1">
      <c r="A424" s="356" t="s">
        <v>520</v>
      </c>
      <c r="B424" s="804" t="s">
        <v>2627</v>
      </c>
      <c r="C424" s="809" t="s">
        <v>1479</v>
      </c>
      <c r="D424" s="358">
        <f>SF!I249</f>
        <v>0</v>
      </c>
      <c r="E424" s="221" t="s">
        <v>102</v>
      </c>
      <c r="F424" s="355">
        <f>SF!K249</f>
        <v>414.32</v>
      </c>
      <c r="G424" s="353">
        <f t="shared" si="14"/>
        <v>0</v>
      </c>
      <c r="H424" s="633" t="s">
        <v>2299</v>
      </c>
    </row>
    <row r="425" spans="1:8" s="360" customFormat="1" ht="15" hidden="1" customHeight="1">
      <c r="A425" s="356" t="s">
        <v>520</v>
      </c>
      <c r="B425" s="804" t="s">
        <v>2627</v>
      </c>
      <c r="C425" s="809" t="s">
        <v>1479</v>
      </c>
      <c r="D425" s="358">
        <f>SF!I255</f>
        <v>0</v>
      </c>
      <c r="E425" s="221" t="s">
        <v>102</v>
      </c>
      <c r="F425" s="355">
        <f>SF!K255</f>
        <v>440.9</v>
      </c>
      <c r="G425" s="353">
        <f t="shared" si="14"/>
        <v>0</v>
      </c>
      <c r="H425" s="633" t="s">
        <v>2312</v>
      </c>
    </row>
    <row r="426" spans="1:8" s="360" customFormat="1" ht="15" hidden="1" customHeight="1">
      <c r="A426" s="356" t="s">
        <v>520</v>
      </c>
      <c r="B426" s="804" t="s">
        <v>2627</v>
      </c>
      <c r="C426" s="809" t="s">
        <v>1479</v>
      </c>
      <c r="D426" s="358">
        <f>SF!I261</f>
        <v>0</v>
      </c>
      <c r="E426" s="221" t="s">
        <v>102</v>
      </c>
      <c r="F426" s="355">
        <f>SF!K261</f>
        <v>470.34</v>
      </c>
      <c r="G426" s="353">
        <f t="shared" si="14"/>
        <v>0</v>
      </c>
      <c r="H426" s="633" t="s">
        <v>2313</v>
      </c>
    </row>
    <row r="427" spans="1:8" s="360" customFormat="1">
      <c r="A427" s="356" t="s">
        <v>506</v>
      </c>
      <c r="B427" s="804" t="s">
        <v>2596</v>
      </c>
      <c r="C427" s="809" t="s">
        <v>829</v>
      </c>
      <c r="D427" s="358">
        <f>SF!I298</f>
        <v>0</v>
      </c>
      <c r="E427" s="354" t="s">
        <v>5</v>
      </c>
      <c r="F427" s="355">
        <f>SF!K298</f>
        <v>6307.0100000000011</v>
      </c>
      <c r="G427" s="353">
        <f t="shared" si="14"/>
        <v>0</v>
      </c>
      <c r="H427" s="633" t="s">
        <v>2217</v>
      </c>
    </row>
    <row r="428" spans="1:8" s="360" customFormat="1" ht="15" hidden="1" customHeight="1">
      <c r="A428" s="356" t="s">
        <v>516</v>
      </c>
      <c r="B428" s="804" t="s">
        <v>2596</v>
      </c>
      <c r="C428" s="809" t="s">
        <v>829</v>
      </c>
      <c r="D428" s="358">
        <f>SF!I307</f>
        <v>0</v>
      </c>
      <c r="E428" s="354" t="s">
        <v>5</v>
      </c>
      <c r="F428" s="355">
        <f>SF!K307</f>
        <v>6491.829999999999</v>
      </c>
      <c r="G428" s="353">
        <f t="shared" si="14"/>
        <v>0</v>
      </c>
      <c r="H428" s="633" t="s">
        <v>2299</v>
      </c>
    </row>
    <row r="429" spans="1:8" s="360" customFormat="1" ht="15" hidden="1" customHeight="1">
      <c r="A429" s="356" t="s">
        <v>1585</v>
      </c>
      <c r="B429" s="804" t="s">
        <v>2596</v>
      </c>
      <c r="C429" s="809" t="s">
        <v>829</v>
      </c>
      <c r="D429" s="358">
        <f>SF!I312</f>
        <v>0</v>
      </c>
      <c r="E429" s="354" t="s">
        <v>5</v>
      </c>
      <c r="F429" s="355">
        <f>SF!K312</f>
        <v>6937.8099999999995</v>
      </c>
      <c r="G429" s="353">
        <f t="shared" si="14"/>
        <v>0</v>
      </c>
      <c r="H429" s="633" t="s">
        <v>2312</v>
      </c>
    </row>
    <row r="430" spans="1:8" s="360" customFormat="1" ht="15" hidden="1" customHeight="1">
      <c r="A430" s="356" t="s">
        <v>1585</v>
      </c>
      <c r="B430" s="804" t="s">
        <v>2596</v>
      </c>
      <c r="C430" s="809" t="s">
        <v>829</v>
      </c>
      <c r="D430" s="358">
        <f>SF!I320</f>
        <v>0</v>
      </c>
      <c r="E430" s="354" t="s">
        <v>5</v>
      </c>
      <c r="F430" s="355">
        <f>SF!K320</f>
        <v>7673.4</v>
      </c>
      <c r="G430" s="353">
        <f t="shared" si="14"/>
        <v>0</v>
      </c>
      <c r="H430" s="633" t="s">
        <v>2313</v>
      </c>
    </row>
    <row r="431" spans="1:8" s="360" customFormat="1" ht="15" hidden="1" customHeight="1">
      <c r="A431" s="356" t="s">
        <v>491</v>
      </c>
      <c r="B431" s="804" t="s">
        <v>2594</v>
      </c>
      <c r="C431" s="809" t="s">
        <v>828</v>
      </c>
      <c r="D431" s="358">
        <f>SF!I269</f>
        <v>0</v>
      </c>
      <c r="E431" s="354" t="s">
        <v>5</v>
      </c>
      <c r="F431" s="355">
        <f>SF!K269</f>
        <v>6250.6100000000015</v>
      </c>
      <c r="G431" s="353">
        <f t="shared" si="14"/>
        <v>0</v>
      </c>
      <c r="H431" s="633" t="s">
        <v>2217</v>
      </c>
    </row>
    <row r="432" spans="1:8" s="360" customFormat="1" ht="15" hidden="1" customHeight="1">
      <c r="A432" s="356" t="s">
        <v>517</v>
      </c>
      <c r="B432" s="804" t="s">
        <v>2594</v>
      </c>
      <c r="C432" s="809" t="s">
        <v>828</v>
      </c>
      <c r="D432" s="358">
        <f>SF!I274</f>
        <v>0</v>
      </c>
      <c r="E432" s="354" t="s">
        <v>5</v>
      </c>
      <c r="F432" s="355">
        <f>SF!K274</f>
        <v>6435.4299999999994</v>
      </c>
      <c r="G432" s="353">
        <f t="shared" si="14"/>
        <v>0</v>
      </c>
      <c r="H432" s="633" t="s">
        <v>2299</v>
      </c>
    </row>
    <row r="433" spans="1:8" s="360" customFormat="1" ht="15" hidden="1" customHeight="1">
      <c r="A433" s="356" t="s">
        <v>491</v>
      </c>
      <c r="B433" s="804" t="s">
        <v>2594</v>
      </c>
      <c r="C433" s="809" t="s">
        <v>828</v>
      </c>
      <c r="D433" s="358">
        <f>SF!I282</f>
        <v>0</v>
      </c>
      <c r="E433" s="354" t="s">
        <v>5</v>
      </c>
      <c r="F433" s="355">
        <f>SF!K282</f>
        <v>6881.41</v>
      </c>
      <c r="G433" s="353">
        <f t="shared" si="14"/>
        <v>0</v>
      </c>
      <c r="H433" s="633" t="s">
        <v>2312</v>
      </c>
    </row>
    <row r="434" spans="1:8" s="360" customFormat="1" ht="15" hidden="1" customHeight="1">
      <c r="A434" s="356" t="s">
        <v>491</v>
      </c>
      <c r="B434" s="804" t="s">
        <v>2594</v>
      </c>
      <c r="C434" s="809" t="s">
        <v>828</v>
      </c>
      <c r="D434" s="358">
        <f>SF!I290</f>
        <v>0</v>
      </c>
      <c r="E434" s="354" t="s">
        <v>5</v>
      </c>
      <c r="F434" s="355">
        <f>SF!K290</f>
        <v>7616.9999999999991</v>
      </c>
      <c r="G434" s="353">
        <f t="shared" si="14"/>
        <v>0</v>
      </c>
      <c r="H434" s="633" t="s">
        <v>2313</v>
      </c>
    </row>
    <row r="435" spans="1:8" s="360" customFormat="1">
      <c r="A435" s="356" t="s">
        <v>508</v>
      </c>
      <c r="B435" s="804" t="s">
        <v>2595</v>
      </c>
      <c r="C435" s="809" t="s">
        <v>2630</v>
      </c>
      <c r="D435" s="358">
        <f>SF!I328</f>
        <v>0</v>
      </c>
      <c r="E435" s="354" t="s">
        <v>102</v>
      </c>
      <c r="F435" s="355">
        <f>SF!K328</f>
        <v>830.76</v>
      </c>
      <c r="G435" s="353">
        <f t="shared" ref="G435:G442" si="15">ROUND(D435*F435/1,0)</f>
        <v>0</v>
      </c>
      <c r="H435" s="633" t="s">
        <v>2217</v>
      </c>
    </row>
    <row r="436" spans="1:8" s="360" customFormat="1" ht="25.5" hidden="1" customHeight="1">
      <c r="A436" s="356" t="s">
        <v>518</v>
      </c>
      <c r="B436" s="804" t="s">
        <v>2595</v>
      </c>
      <c r="C436" s="809" t="s">
        <v>2630</v>
      </c>
      <c r="D436" s="358">
        <f>SF!I333</f>
        <v>0</v>
      </c>
      <c r="E436" s="354" t="s">
        <v>102</v>
      </c>
      <c r="F436" s="355">
        <f>SF!K333</f>
        <v>856.26</v>
      </c>
      <c r="G436" s="353">
        <f t="shared" si="15"/>
        <v>0</v>
      </c>
      <c r="H436" s="633" t="s">
        <v>2299</v>
      </c>
    </row>
    <row r="437" spans="1:8" s="360" customFormat="1" ht="25.5" hidden="1" customHeight="1">
      <c r="A437" s="356" t="s">
        <v>646</v>
      </c>
      <c r="B437" s="804" t="s">
        <v>2595</v>
      </c>
      <c r="C437" s="809" t="s">
        <v>2630</v>
      </c>
      <c r="D437" s="358">
        <f>SF!I339</f>
        <v>0</v>
      </c>
      <c r="E437" s="354" t="s">
        <v>102</v>
      </c>
      <c r="F437" s="355">
        <f>SF!K339</f>
        <v>913.89</v>
      </c>
      <c r="G437" s="353">
        <f t="shared" si="15"/>
        <v>0</v>
      </c>
      <c r="H437" s="633" t="s">
        <v>2312</v>
      </c>
    </row>
    <row r="438" spans="1:8" s="360" customFormat="1" ht="25.5" hidden="1" customHeight="1">
      <c r="A438" s="356" t="s">
        <v>646</v>
      </c>
      <c r="B438" s="804" t="s">
        <v>2595</v>
      </c>
      <c r="C438" s="809" t="s">
        <v>2630</v>
      </c>
      <c r="D438" s="358">
        <f>SF!I347</f>
        <v>0</v>
      </c>
      <c r="E438" s="354" t="s">
        <v>102</v>
      </c>
      <c r="F438" s="355">
        <f>SF!K347</f>
        <v>999.57</v>
      </c>
      <c r="G438" s="353">
        <f t="shared" si="15"/>
        <v>0</v>
      </c>
      <c r="H438" s="633" t="s">
        <v>2313</v>
      </c>
    </row>
    <row r="439" spans="1:8" s="360" customFormat="1" ht="15" hidden="1" customHeight="1">
      <c r="A439" s="356" t="s">
        <v>483</v>
      </c>
      <c r="B439" s="804" t="s">
        <v>2595</v>
      </c>
      <c r="C439" s="809" t="s">
        <v>1221</v>
      </c>
      <c r="D439" s="358">
        <f>SF!I354</f>
        <v>0</v>
      </c>
      <c r="E439" s="354" t="s">
        <v>102</v>
      </c>
      <c r="F439" s="355">
        <f>SF!K354</f>
        <v>6013.9600000000009</v>
      </c>
      <c r="G439" s="353">
        <f t="shared" si="15"/>
        <v>0</v>
      </c>
      <c r="H439" s="633" t="s">
        <v>2217</v>
      </c>
    </row>
    <row r="440" spans="1:8" s="360" customFormat="1" ht="15" hidden="1" customHeight="1">
      <c r="A440" s="356" t="s">
        <v>483</v>
      </c>
      <c r="B440" s="804" t="s">
        <v>2595</v>
      </c>
      <c r="C440" s="809" t="s">
        <v>1221</v>
      </c>
      <c r="D440" s="358">
        <f>SF!I361</f>
        <v>0</v>
      </c>
      <c r="E440" s="354" t="s">
        <v>102</v>
      </c>
      <c r="F440" s="355">
        <f>SF!K361</f>
        <v>6227.11</v>
      </c>
      <c r="G440" s="353">
        <f t="shared" si="15"/>
        <v>0</v>
      </c>
      <c r="H440" s="633" t="s">
        <v>2299</v>
      </c>
    </row>
    <row r="441" spans="1:8" s="360" customFormat="1" ht="15" hidden="1" customHeight="1">
      <c r="A441" s="356" t="s">
        <v>483</v>
      </c>
      <c r="B441" s="804" t="s">
        <v>2595</v>
      </c>
      <c r="C441" s="809" t="s">
        <v>1221</v>
      </c>
      <c r="D441" s="358">
        <f>SF!I368</f>
        <v>0</v>
      </c>
      <c r="E441" s="354" t="s">
        <v>102</v>
      </c>
      <c r="F441" s="355">
        <f>SF!K368</f>
        <v>6774.69</v>
      </c>
      <c r="G441" s="353">
        <f t="shared" si="15"/>
        <v>0</v>
      </c>
      <c r="H441" s="633" t="s">
        <v>2312</v>
      </c>
    </row>
    <row r="442" spans="1:8" s="360" customFormat="1" ht="15" hidden="1" customHeight="1">
      <c r="A442" s="356" t="s">
        <v>483</v>
      </c>
      <c r="B442" s="804" t="s">
        <v>2595</v>
      </c>
      <c r="C442" s="809" t="s">
        <v>1221</v>
      </c>
      <c r="D442" s="358">
        <f>SF!I375</f>
        <v>0</v>
      </c>
      <c r="E442" s="354" t="s">
        <v>102</v>
      </c>
      <c r="F442" s="355">
        <f>SF!K375</f>
        <v>7187.4500000000007</v>
      </c>
      <c r="G442" s="353">
        <f t="shared" si="15"/>
        <v>0</v>
      </c>
      <c r="H442" s="633" t="s">
        <v>2313</v>
      </c>
    </row>
    <row r="443" spans="1:8" s="360" customFormat="1" ht="15" customHeight="1">
      <c r="A443" s="356" t="s">
        <v>510</v>
      </c>
      <c r="B443" s="804" t="s">
        <v>3110</v>
      </c>
      <c r="C443" s="809" t="s">
        <v>481</v>
      </c>
      <c r="D443" s="358">
        <f>SF!I382</f>
        <v>0</v>
      </c>
      <c r="E443" s="354" t="s">
        <v>102</v>
      </c>
      <c r="F443" s="355">
        <f>SF!K382</f>
        <v>321.79000000000002</v>
      </c>
      <c r="G443" s="353">
        <f t="shared" ref="G443:G474" si="16">ROUND(D443*F443,0)</f>
        <v>0</v>
      </c>
      <c r="H443" s="633" t="s">
        <v>2217</v>
      </c>
    </row>
    <row r="444" spans="1:8" s="360" customFormat="1" hidden="1">
      <c r="A444" s="356" t="s">
        <v>519</v>
      </c>
      <c r="B444" s="804" t="s">
        <v>2628</v>
      </c>
      <c r="C444" s="809" t="s">
        <v>481</v>
      </c>
      <c r="D444" s="358">
        <f>SF!I390</f>
        <v>0</v>
      </c>
      <c r="E444" s="354" t="s">
        <v>102</v>
      </c>
      <c r="F444" s="355">
        <f>SF!K390</f>
        <v>344.38</v>
      </c>
      <c r="G444" s="353">
        <f t="shared" si="16"/>
        <v>0</v>
      </c>
      <c r="H444" s="633" t="s">
        <v>2299</v>
      </c>
    </row>
    <row r="445" spans="1:8" s="360" customFormat="1" ht="15" hidden="1" customHeight="1">
      <c r="A445" s="356" t="s">
        <v>1582</v>
      </c>
      <c r="B445" s="804" t="s">
        <v>2628</v>
      </c>
      <c r="C445" s="809" t="s">
        <v>481</v>
      </c>
      <c r="D445" s="358">
        <f>SF!I397</f>
        <v>0</v>
      </c>
      <c r="E445" s="354" t="s">
        <v>102</v>
      </c>
      <c r="F445" s="355">
        <f>SF!K397</f>
        <v>365.08</v>
      </c>
      <c r="G445" s="353">
        <f t="shared" si="16"/>
        <v>0</v>
      </c>
      <c r="H445" s="633" t="s">
        <v>2312</v>
      </c>
    </row>
    <row r="446" spans="1:8" s="360" customFormat="1" ht="15" hidden="1" customHeight="1">
      <c r="A446" s="356" t="s">
        <v>1582</v>
      </c>
      <c r="B446" s="804" t="s">
        <v>2628</v>
      </c>
      <c r="C446" s="809" t="s">
        <v>481</v>
      </c>
      <c r="D446" s="358">
        <f>SF!I404</f>
        <v>0</v>
      </c>
      <c r="E446" s="354" t="s">
        <v>102</v>
      </c>
      <c r="F446" s="355">
        <f>SF!K404</f>
        <v>385.55</v>
      </c>
      <c r="G446" s="353">
        <f t="shared" si="16"/>
        <v>0</v>
      </c>
      <c r="H446" s="633" t="s">
        <v>2313</v>
      </c>
    </row>
    <row r="447" spans="1:8" s="360" customFormat="1" ht="15" hidden="1" customHeight="1">
      <c r="A447" s="356" t="s">
        <v>1581</v>
      </c>
      <c r="B447" s="804" t="s">
        <v>2601</v>
      </c>
      <c r="C447" s="809" t="s">
        <v>505</v>
      </c>
      <c r="D447" s="358">
        <f>SF!I412</f>
        <v>0</v>
      </c>
      <c r="E447" s="354" t="s">
        <v>102</v>
      </c>
      <c r="F447" s="355">
        <f>SF!K412</f>
        <v>289.52</v>
      </c>
      <c r="G447" s="353">
        <f t="shared" si="16"/>
        <v>0</v>
      </c>
      <c r="H447" s="633" t="s">
        <v>2217</v>
      </c>
    </row>
    <row r="448" spans="1:8" s="360" customFormat="1" ht="15" hidden="1" customHeight="1">
      <c r="A448" s="356" t="s">
        <v>1581</v>
      </c>
      <c r="B448" s="804" t="s">
        <v>2601</v>
      </c>
      <c r="C448" s="809" t="s">
        <v>505</v>
      </c>
      <c r="D448" s="358">
        <f>SF!I420</f>
        <v>0</v>
      </c>
      <c r="E448" s="354" t="s">
        <v>102</v>
      </c>
      <c r="F448" s="355">
        <f>SF!K420</f>
        <v>312.11</v>
      </c>
      <c r="G448" s="353">
        <f t="shared" si="16"/>
        <v>0</v>
      </c>
      <c r="H448" s="633" t="s">
        <v>2299</v>
      </c>
    </row>
    <row r="449" spans="1:8" s="360" customFormat="1" ht="15" hidden="1" customHeight="1">
      <c r="A449" s="356" t="s">
        <v>1581</v>
      </c>
      <c r="B449" s="804" t="s">
        <v>2601</v>
      </c>
      <c r="C449" s="809" t="s">
        <v>505</v>
      </c>
      <c r="D449" s="358">
        <f>SF!I428</f>
        <v>0</v>
      </c>
      <c r="E449" s="354" t="s">
        <v>102</v>
      </c>
      <c r="F449" s="355">
        <f>SF!K428</f>
        <v>331.62</v>
      </c>
      <c r="G449" s="353">
        <f t="shared" si="16"/>
        <v>0</v>
      </c>
      <c r="H449" s="633" t="s">
        <v>2312</v>
      </c>
    </row>
    <row r="450" spans="1:8" s="360" customFormat="1" ht="15" hidden="1" customHeight="1">
      <c r="A450" s="356" t="s">
        <v>1581</v>
      </c>
      <c r="B450" s="804" t="s">
        <v>2601</v>
      </c>
      <c r="C450" s="809" t="s">
        <v>505</v>
      </c>
      <c r="D450" s="358">
        <f>SF!I436</f>
        <v>0</v>
      </c>
      <c r="E450" s="354" t="s">
        <v>102</v>
      </c>
      <c r="F450" s="355">
        <f>SF!K436</f>
        <v>352.1</v>
      </c>
      <c r="G450" s="353">
        <f t="shared" si="16"/>
        <v>0</v>
      </c>
      <c r="H450" s="633" t="s">
        <v>2313</v>
      </c>
    </row>
    <row r="451" spans="1:8" s="360" customFormat="1" ht="15" hidden="1" customHeight="1">
      <c r="A451" s="356" t="s">
        <v>1582</v>
      </c>
      <c r="B451" s="804" t="s">
        <v>2602</v>
      </c>
      <c r="C451" s="809" t="s">
        <v>805</v>
      </c>
      <c r="D451" s="358">
        <f>SF!I444</f>
        <v>0</v>
      </c>
      <c r="E451" s="354" t="s">
        <v>102</v>
      </c>
      <c r="F451" s="355">
        <f>SF!K444</f>
        <v>307.37</v>
      </c>
      <c r="G451" s="353">
        <f t="shared" si="16"/>
        <v>0</v>
      </c>
      <c r="H451" s="633" t="s">
        <v>2217</v>
      </c>
    </row>
    <row r="452" spans="1:8" s="360" customFormat="1" ht="15" hidden="1" customHeight="1">
      <c r="A452" s="356" t="s">
        <v>1582</v>
      </c>
      <c r="B452" s="804" t="s">
        <v>2602</v>
      </c>
      <c r="C452" s="809" t="s">
        <v>805</v>
      </c>
      <c r="D452" s="358">
        <f>SF!I452</f>
        <v>0</v>
      </c>
      <c r="E452" s="354" t="s">
        <v>102</v>
      </c>
      <c r="F452" s="355">
        <f>SF!K452</f>
        <v>330.52</v>
      </c>
      <c r="G452" s="353">
        <f t="shared" si="16"/>
        <v>0</v>
      </c>
      <c r="H452" s="633" t="s">
        <v>2299</v>
      </c>
    </row>
    <row r="453" spans="1:8" s="360" customFormat="1" ht="15" hidden="1" customHeight="1">
      <c r="A453" s="356" t="s">
        <v>1582</v>
      </c>
      <c r="B453" s="804" t="s">
        <v>2602</v>
      </c>
      <c r="C453" s="809" t="s">
        <v>805</v>
      </c>
      <c r="D453" s="358">
        <f>SF!I460</f>
        <v>0</v>
      </c>
      <c r="E453" s="354" t="s">
        <v>102</v>
      </c>
      <c r="F453" s="355">
        <f>SF!K460</f>
        <v>351.31</v>
      </c>
      <c r="G453" s="353">
        <f t="shared" si="16"/>
        <v>0</v>
      </c>
      <c r="H453" s="633" t="s">
        <v>2312</v>
      </c>
    </row>
    <row r="454" spans="1:8" s="360" customFormat="1" ht="15" hidden="1" customHeight="1">
      <c r="A454" s="356" t="s">
        <v>1582</v>
      </c>
      <c r="B454" s="804" t="s">
        <v>2602</v>
      </c>
      <c r="C454" s="809" t="s">
        <v>805</v>
      </c>
      <c r="D454" s="358">
        <f>SF!I468</f>
        <v>0</v>
      </c>
      <c r="E454" s="354" t="s">
        <v>102</v>
      </c>
      <c r="F454" s="355">
        <f>SF!K468</f>
        <v>372.29</v>
      </c>
      <c r="G454" s="353">
        <f t="shared" si="16"/>
        <v>0</v>
      </c>
      <c r="H454" s="633" t="s">
        <v>2313</v>
      </c>
    </row>
    <row r="455" spans="1:8" s="360" customFormat="1" ht="15" customHeight="1">
      <c r="A455" s="356" t="s">
        <v>1520</v>
      </c>
      <c r="B455" s="804" t="s">
        <v>2599</v>
      </c>
      <c r="C455" s="809" t="s">
        <v>830</v>
      </c>
      <c r="D455" s="358">
        <f>SF!I480</f>
        <v>0</v>
      </c>
      <c r="E455" s="354" t="s">
        <v>102</v>
      </c>
      <c r="F455" s="355">
        <f>SF!K480</f>
        <v>380.2</v>
      </c>
      <c r="G455" s="353">
        <f t="shared" si="16"/>
        <v>0</v>
      </c>
      <c r="H455" s="633" t="s">
        <v>2217</v>
      </c>
    </row>
    <row r="456" spans="1:8" s="360" customFormat="1" hidden="1">
      <c r="A456" s="356" t="s">
        <v>520</v>
      </c>
      <c r="B456" s="804" t="s">
        <v>2599</v>
      </c>
      <c r="C456" s="809" t="s">
        <v>830</v>
      </c>
      <c r="D456" s="358">
        <f>SF!I489</f>
        <v>0</v>
      </c>
      <c r="E456" s="354" t="s">
        <v>102</v>
      </c>
      <c r="F456" s="355">
        <f>SF!K489</f>
        <v>410.98</v>
      </c>
      <c r="G456" s="353">
        <f t="shared" si="16"/>
        <v>0</v>
      </c>
      <c r="H456" s="633" t="s">
        <v>2299</v>
      </c>
    </row>
    <row r="457" spans="1:8" s="360" customFormat="1" ht="15" hidden="1" customHeight="1">
      <c r="A457" s="356" t="s">
        <v>1143</v>
      </c>
      <c r="B457" s="804" t="s">
        <v>2599</v>
      </c>
      <c r="C457" s="809" t="s">
        <v>830</v>
      </c>
      <c r="D457" s="358">
        <f>SF!I496</f>
        <v>0</v>
      </c>
      <c r="E457" s="354" t="s">
        <v>102</v>
      </c>
      <c r="F457" s="355">
        <f>SF!K496</f>
        <v>436.23</v>
      </c>
      <c r="G457" s="353">
        <f t="shared" si="16"/>
        <v>0</v>
      </c>
      <c r="H457" s="633" t="s">
        <v>2312</v>
      </c>
    </row>
    <row r="458" spans="1:8" s="360" customFormat="1" ht="15" hidden="1" customHeight="1">
      <c r="A458" s="356" t="s">
        <v>1143</v>
      </c>
      <c r="B458" s="804" t="s">
        <v>2599</v>
      </c>
      <c r="C458" s="809" t="s">
        <v>830</v>
      </c>
      <c r="D458" s="358">
        <f>SF!I508</f>
        <v>0</v>
      </c>
      <c r="E458" s="354" t="s">
        <v>102</v>
      </c>
      <c r="F458" s="355">
        <f>SF!K508</f>
        <v>464.16</v>
      </c>
      <c r="G458" s="353">
        <f t="shared" si="16"/>
        <v>0</v>
      </c>
      <c r="H458" s="633" t="s">
        <v>2313</v>
      </c>
    </row>
    <row r="459" spans="1:8" s="360" customFormat="1" ht="15" customHeight="1">
      <c r="A459" s="356" t="s">
        <v>512</v>
      </c>
      <c r="B459" s="804" t="s">
        <v>2600</v>
      </c>
      <c r="C459" s="809" t="s">
        <v>541</v>
      </c>
      <c r="D459" s="358">
        <f>SF!I515</f>
        <v>0</v>
      </c>
      <c r="E459" s="354" t="s">
        <v>102</v>
      </c>
      <c r="F459" s="355">
        <f>SF!K515</f>
        <v>393.56</v>
      </c>
      <c r="G459" s="353">
        <f t="shared" si="16"/>
        <v>0</v>
      </c>
      <c r="H459" s="633" t="s">
        <v>2217</v>
      </c>
    </row>
    <row r="460" spans="1:8" s="360" customFormat="1" hidden="1">
      <c r="A460" s="356" t="s">
        <v>521</v>
      </c>
      <c r="B460" s="804" t="s">
        <v>2600</v>
      </c>
      <c r="C460" s="809" t="s">
        <v>541</v>
      </c>
      <c r="D460" s="358">
        <f>SF!I525</f>
        <v>0</v>
      </c>
      <c r="E460" s="354" t="s">
        <v>102</v>
      </c>
      <c r="F460" s="355">
        <f>SF!K525</f>
        <v>424.91</v>
      </c>
      <c r="G460" s="353">
        <f t="shared" si="16"/>
        <v>0</v>
      </c>
      <c r="H460" s="633" t="s">
        <v>2299</v>
      </c>
    </row>
    <row r="461" spans="1:8" s="360" customFormat="1" ht="19.5" hidden="1" customHeight="1">
      <c r="A461" s="356" t="s">
        <v>1583</v>
      </c>
      <c r="B461" s="804" t="s">
        <v>2600</v>
      </c>
      <c r="C461" s="809" t="s">
        <v>541</v>
      </c>
      <c r="D461" s="358">
        <f>SF!I532</f>
        <v>0</v>
      </c>
      <c r="E461" s="354" t="s">
        <v>102</v>
      </c>
      <c r="F461" s="355">
        <f>SF!K532</f>
        <v>451.54</v>
      </c>
      <c r="G461" s="353">
        <f t="shared" si="16"/>
        <v>0</v>
      </c>
      <c r="H461" s="633" t="s">
        <v>2312</v>
      </c>
    </row>
    <row r="462" spans="1:8" s="360" customFormat="1" ht="15" hidden="1" customHeight="1">
      <c r="A462" s="356" t="s">
        <v>1583</v>
      </c>
      <c r="B462" s="804" t="s">
        <v>2600</v>
      </c>
      <c r="C462" s="809" t="s">
        <v>541</v>
      </c>
      <c r="D462" s="358">
        <f>SF!I539</f>
        <v>0</v>
      </c>
      <c r="E462" s="354" t="s">
        <v>102</v>
      </c>
      <c r="F462" s="355">
        <f>SF!K539</f>
        <v>479.98</v>
      </c>
      <c r="G462" s="353">
        <f t="shared" si="16"/>
        <v>0</v>
      </c>
      <c r="H462" s="633" t="s">
        <v>2313</v>
      </c>
    </row>
    <row r="463" spans="1:8" s="360" customFormat="1" ht="15" hidden="1" customHeight="1">
      <c r="A463" s="356" t="s">
        <v>473</v>
      </c>
      <c r="B463" s="804" t="s">
        <v>2629</v>
      </c>
      <c r="C463" s="809" t="s">
        <v>2071</v>
      </c>
      <c r="D463" s="358">
        <f>SF!I544</f>
        <v>0</v>
      </c>
      <c r="E463" s="354" t="s">
        <v>5</v>
      </c>
      <c r="F463" s="355">
        <f>SF!K544</f>
        <v>5152.2499999999991</v>
      </c>
      <c r="G463" s="353">
        <f t="shared" si="16"/>
        <v>0</v>
      </c>
      <c r="H463" s="633" t="s">
        <v>2217</v>
      </c>
    </row>
    <row r="464" spans="1:8" s="360" customFormat="1" ht="15" hidden="1" customHeight="1">
      <c r="A464" s="356" t="s">
        <v>473</v>
      </c>
      <c r="B464" s="804" t="s">
        <v>2629</v>
      </c>
      <c r="C464" s="809" t="s">
        <v>2071</v>
      </c>
      <c r="D464" s="358">
        <f>SF!I549</f>
        <v>0</v>
      </c>
      <c r="E464" s="354" t="s">
        <v>5</v>
      </c>
      <c r="F464" s="355">
        <f>SF!K549</f>
        <v>5333.72</v>
      </c>
      <c r="G464" s="353">
        <f t="shared" si="16"/>
        <v>0</v>
      </c>
      <c r="H464" s="633" t="s">
        <v>2299</v>
      </c>
    </row>
    <row r="465" spans="1:8" s="360" customFormat="1" ht="15" hidden="1" customHeight="1">
      <c r="A465" s="356" t="s">
        <v>473</v>
      </c>
      <c r="B465" s="804" t="s">
        <v>2629</v>
      </c>
      <c r="C465" s="809" t="s">
        <v>2071</v>
      </c>
      <c r="D465" s="358">
        <f>SF!I554</f>
        <v>0</v>
      </c>
      <c r="E465" s="354" t="s">
        <v>5</v>
      </c>
      <c r="F465" s="355">
        <f>SF!K554</f>
        <v>5579.3200000000006</v>
      </c>
      <c r="G465" s="353">
        <f t="shared" si="16"/>
        <v>0</v>
      </c>
      <c r="H465" s="633" t="s">
        <v>2312</v>
      </c>
    </row>
    <row r="466" spans="1:8" s="360" customFormat="1" ht="15" hidden="1" customHeight="1">
      <c r="A466" s="356" t="s">
        <v>473</v>
      </c>
      <c r="B466" s="804" t="s">
        <v>2629</v>
      </c>
      <c r="C466" s="809" t="s">
        <v>2071</v>
      </c>
      <c r="D466" s="358">
        <f>SF!I559</f>
        <v>0</v>
      </c>
      <c r="E466" s="354" t="s">
        <v>5</v>
      </c>
      <c r="F466" s="355">
        <f>SF!K559</f>
        <v>5843.9400000000005</v>
      </c>
      <c r="G466" s="353">
        <f t="shared" si="16"/>
        <v>0</v>
      </c>
      <c r="H466" s="633" t="s">
        <v>2313</v>
      </c>
    </row>
    <row r="467" spans="1:8" s="360" customFormat="1" ht="15" hidden="1" customHeight="1">
      <c r="A467" s="356" t="s">
        <v>525</v>
      </c>
      <c r="B467" s="804" t="s">
        <v>2603</v>
      </c>
      <c r="C467" s="809" t="s">
        <v>507</v>
      </c>
      <c r="D467" s="358">
        <f>SF!I565</f>
        <v>0</v>
      </c>
      <c r="E467" s="354" t="s">
        <v>102</v>
      </c>
      <c r="F467" s="355">
        <f>SF!K565</f>
        <v>1048.97</v>
      </c>
      <c r="G467" s="353">
        <f t="shared" si="16"/>
        <v>0</v>
      </c>
      <c r="H467" s="633" t="s">
        <v>2217</v>
      </c>
    </row>
    <row r="468" spans="1:8" s="360" customFormat="1" ht="15" hidden="1" customHeight="1">
      <c r="A468" s="356" t="s">
        <v>525</v>
      </c>
      <c r="B468" s="804" t="s">
        <v>2603</v>
      </c>
      <c r="C468" s="809" t="s">
        <v>507</v>
      </c>
      <c r="D468" s="358">
        <f>SF!I571</f>
        <v>0</v>
      </c>
      <c r="E468" s="354" t="s">
        <v>102</v>
      </c>
      <c r="F468" s="355">
        <f>SF!K571</f>
        <v>1082.75</v>
      </c>
      <c r="G468" s="353">
        <f t="shared" si="16"/>
        <v>0</v>
      </c>
      <c r="H468" s="633" t="s">
        <v>2299</v>
      </c>
    </row>
    <row r="469" spans="1:8" s="360" customFormat="1" ht="15" hidden="1" customHeight="1">
      <c r="A469" s="356" t="s">
        <v>525</v>
      </c>
      <c r="B469" s="804" t="s">
        <v>2603</v>
      </c>
      <c r="C469" s="809" t="s">
        <v>507</v>
      </c>
      <c r="D469" s="358">
        <f>SF!I577</f>
        <v>0</v>
      </c>
      <c r="E469" s="354" t="s">
        <v>102</v>
      </c>
      <c r="F469" s="355">
        <f>SF!K577</f>
        <v>1108.3499999999999</v>
      </c>
      <c r="G469" s="353">
        <f t="shared" si="16"/>
        <v>0</v>
      </c>
      <c r="H469" s="633" t="s">
        <v>2312</v>
      </c>
    </row>
    <row r="470" spans="1:8" s="360" customFormat="1" ht="15" hidden="1" customHeight="1">
      <c r="A470" s="356" t="s">
        <v>525</v>
      </c>
      <c r="B470" s="804" t="s">
        <v>2603</v>
      </c>
      <c r="C470" s="809" t="s">
        <v>507</v>
      </c>
      <c r="D470" s="358">
        <f>SF!I583</f>
        <v>0</v>
      </c>
      <c r="E470" s="354" t="s">
        <v>102</v>
      </c>
      <c r="F470" s="355">
        <f>SF!K583</f>
        <v>1139.42</v>
      </c>
      <c r="G470" s="353">
        <f t="shared" si="16"/>
        <v>0</v>
      </c>
      <c r="H470" s="633" t="s">
        <v>2313</v>
      </c>
    </row>
    <row r="471" spans="1:8" s="360" customFormat="1" ht="15" hidden="1" customHeight="1">
      <c r="A471" s="356" t="s">
        <v>528</v>
      </c>
      <c r="B471" s="804" t="s">
        <v>2604</v>
      </c>
      <c r="C471" s="809" t="s">
        <v>509</v>
      </c>
      <c r="D471" s="358">
        <f>SF!I590</f>
        <v>0</v>
      </c>
      <c r="E471" s="354" t="s">
        <v>102</v>
      </c>
      <c r="F471" s="355">
        <f>SF!K590</f>
        <v>1044.9000000000001</v>
      </c>
      <c r="G471" s="353">
        <f t="shared" si="16"/>
        <v>0</v>
      </c>
      <c r="H471" s="633" t="s">
        <v>2217</v>
      </c>
    </row>
    <row r="472" spans="1:8" s="360" customFormat="1" ht="15" hidden="1" customHeight="1">
      <c r="A472" s="356" t="s">
        <v>528</v>
      </c>
      <c r="B472" s="804" t="s">
        <v>2604</v>
      </c>
      <c r="C472" s="809" t="s">
        <v>509</v>
      </c>
      <c r="D472" s="358">
        <f>SF!I597</f>
        <v>0</v>
      </c>
      <c r="E472" s="354" t="s">
        <v>102</v>
      </c>
      <c r="F472" s="355">
        <f>SF!K597</f>
        <v>1078.42</v>
      </c>
      <c r="G472" s="353">
        <f t="shared" si="16"/>
        <v>0</v>
      </c>
      <c r="H472" s="633" t="s">
        <v>2299</v>
      </c>
    </row>
    <row r="473" spans="1:8" s="360" customFormat="1" ht="15" hidden="1" customHeight="1">
      <c r="A473" s="356" t="s">
        <v>528</v>
      </c>
      <c r="B473" s="804" t="s">
        <v>2604</v>
      </c>
      <c r="C473" s="809" t="s">
        <v>509</v>
      </c>
      <c r="D473" s="358">
        <f>SF!I604</f>
        <v>0</v>
      </c>
      <c r="E473" s="354" t="s">
        <v>102</v>
      </c>
      <c r="F473" s="355">
        <f>SF!K604</f>
        <v>1103.42</v>
      </c>
      <c r="G473" s="353">
        <f t="shared" si="16"/>
        <v>0</v>
      </c>
      <c r="H473" s="633" t="s">
        <v>2312</v>
      </c>
    </row>
    <row r="474" spans="1:8" s="360" customFormat="1" ht="15" hidden="1" customHeight="1">
      <c r="A474" s="356" t="s">
        <v>528</v>
      </c>
      <c r="B474" s="804" t="s">
        <v>2604</v>
      </c>
      <c r="C474" s="809" t="s">
        <v>509</v>
      </c>
      <c r="D474" s="358">
        <f>SF!I611</f>
        <v>0</v>
      </c>
      <c r="E474" s="354" t="s">
        <v>102</v>
      </c>
      <c r="F474" s="355">
        <f>SF!K611</f>
        <v>1134.08</v>
      </c>
      <c r="G474" s="353">
        <f t="shared" si="16"/>
        <v>0</v>
      </c>
      <c r="H474" s="633" t="s">
        <v>2313</v>
      </c>
    </row>
    <row r="475" spans="1:8" s="360" customFormat="1" ht="15" hidden="1" customHeight="1">
      <c r="A475" s="356" t="s">
        <v>508</v>
      </c>
      <c r="B475" s="804" t="s">
        <v>2605</v>
      </c>
      <c r="C475" s="809" t="s">
        <v>708</v>
      </c>
      <c r="D475" s="358">
        <f>SF!I618</f>
        <v>0</v>
      </c>
      <c r="E475" s="354" t="s">
        <v>77</v>
      </c>
      <c r="F475" s="355">
        <f>SF!K618</f>
        <v>2934.5</v>
      </c>
      <c r="G475" s="353">
        <f t="shared" ref="G475:G506" si="17">ROUND(D475*F475,0)</f>
        <v>0</v>
      </c>
      <c r="H475" s="633" t="s">
        <v>2217</v>
      </c>
    </row>
    <row r="476" spans="1:8" s="360" customFormat="1" ht="15" hidden="1" customHeight="1">
      <c r="A476" s="356" t="s">
        <v>508</v>
      </c>
      <c r="B476" s="804" t="s">
        <v>2605</v>
      </c>
      <c r="C476" s="809" t="s">
        <v>708</v>
      </c>
      <c r="D476" s="358">
        <f>SF!I625</f>
        <v>0</v>
      </c>
      <c r="E476" s="354" t="s">
        <v>77</v>
      </c>
      <c r="F476" s="355">
        <f>SF!K625</f>
        <v>3003.21</v>
      </c>
      <c r="G476" s="353">
        <f t="shared" si="17"/>
        <v>0</v>
      </c>
      <c r="H476" s="633" t="s">
        <v>2299</v>
      </c>
    </row>
    <row r="477" spans="1:8" s="360" customFormat="1" ht="15" hidden="1" customHeight="1">
      <c r="A477" s="356" t="s">
        <v>508</v>
      </c>
      <c r="B477" s="804" t="s">
        <v>2605</v>
      </c>
      <c r="C477" s="809" t="s">
        <v>708</v>
      </c>
      <c r="D477" s="358">
        <f>SF!I632</f>
        <v>0</v>
      </c>
      <c r="E477" s="354" t="s">
        <v>77</v>
      </c>
      <c r="F477" s="355">
        <f>SF!K632</f>
        <v>3066.62</v>
      </c>
      <c r="G477" s="353">
        <f t="shared" si="17"/>
        <v>0</v>
      </c>
      <c r="H477" s="633" t="s">
        <v>2312</v>
      </c>
    </row>
    <row r="478" spans="1:8" s="360" customFormat="1" ht="15" hidden="1" customHeight="1">
      <c r="A478" s="356" t="s">
        <v>508</v>
      </c>
      <c r="B478" s="804" t="s">
        <v>2605</v>
      </c>
      <c r="C478" s="809" t="s">
        <v>708</v>
      </c>
      <c r="D478" s="358">
        <f>SF!I639</f>
        <v>0</v>
      </c>
      <c r="E478" s="354" t="s">
        <v>77</v>
      </c>
      <c r="F478" s="355">
        <f>SF!K639</f>
        <v>3248.17</v>
      </c>
      <c r="G478" s="353">
        <f t="shared" si="17"/>
        <v>0</v>
      </c>
      <c r="H478" s="633" t="s">
        <v>2313</v>
      </c>
    </row>
    <row r="479" spans="1:8" s="360" customFormat="1" ht="15" hidden="1" customHeight="1">
      <c r="A479" s="356" t="s">
        <v>510</v>
      </c>
      <c r="B479" s="804"/>
      <c r="C479" s="809" t="s">
        <v>877</v>
      </c>
      <c r="D479" s="358">
        <f>SF!I646</f>
        <v>0</v>
      </c>
      <c r="E479" s="354" t="s">
        <v>102</v>
      </c>
      <c r="F479" s="355">
        <f>SF!K646</f>
        <v>2740.43</v>
      </c>
      <c r="G479" s="353">
        <f t="shared" si="17"/>
        <v>0</v>
      </c>
      <c r="H479" s="633" t="s">
        <v>2217</v>
      </c>
    </row>
    <row r="480" spans="1:8" s="360" customFormat="1" ht="15" hidden="1" customHeight="1">
      <c r="A480" s="356" t="s">
        <v>510</v>
      </c>
      <c r="B480" s="804"/>
      <c r="C480" s="809" t="s">
        <v>877</v>
      </c>
      <c r="D480" s="358">
        <f>SF!I653</f>
        <v>0</v>
      </c>
      <c r="E480" s="354" t="s">
        <v>102</v>
      </c>
      <c r="F480" s="355">
        <f>SF!K653</f>
        <v>2787.53</v>
      </c>
      <c r="G480" s="353">
        <f t="shared" si="17"/>
        <v>0</v>
      </c>
      <c r="H480" s="633" t="s">
        <v>2299</v>
      </c>
    </row>
    <row r="481" spans="1:8" s="360" customFormat="1" ht="15" hidden="1" customHeight="1">
      <c r="A481" s="356" t="s">
        <v>510</v>
      </c>
      <c r="B481" s="804"/>
      <c r="C481" s="809" t="s">
        <v>877</v>
      </c>
      <c r="D481" s="358">
        <f>SF!I660</f>
        <v>0</v>
      </c>
      <c r="E481" s="354" t="s">
        <v>102</v>
      </c>
      <c r="F481" s="355">
        <f>SF!K660</f>
        <v>2831.2</v>
      </c>
      <c r="G481" s="353">
        <f t="shared" si="17"/>
        <v>0</v>
      </c>
      <c r="H481" s="633" t="s">
        <v>2312</v>
      </c>
    </row>
    <row r="482" spans="1:8" s="360" customFormat="1" ht="15" hidden="1" customHeight="1">
      <c r="A482" s="356" t="s">
        <v>510</v>
      </c>
      <c r="B482" s="804"/>
      <c r="C482" s="809" t="s">
        <v>877</v>
      </c>
      <c r="D482" s="358">
        <f>SF!I667</f>
        <v>0</v>
      </c>
      <c r="E482" s="354" t="s">
        <v>102</v>
      </c>
      <c r="F482" s="355">
        <f>SF!K667</f>
        <v>2995.66</v>
      </c>
      <c r="G482" s="353">
        <f t="shared" si="17"/>
        <v>0</v>
      </c>
      <c r="H482" s="633" t="s">
        <v>2313</v>
      </c>
    </row>
    <row r="483" spans="1:8" s="360" customFormat="1" ht="15" hidden="1" customHeight="1">
      <c r="A483" s="356" t="s">
        <v>529</v>
      </c>
      <c r="B483" s="804" t="s">
        <v>2606</v>
      </c>
      <c r="C483" s="809" t="s">
        <v>710</v>
      </c>
      <c r="D483" s="358">
        <f>SF!I674</f>
        <v>0</v>
      </c>
      <c r="E483" s="354" t="s">
        <v>102</v>
      </c>
      <c r="F483" s="355">
        <f>SF!K674</f>
        <v>660.95</v>
      </c>
      <c r="G483" s="353">
        <f t="shared" si="17"/>
        <v>0</v>
      </c>
      <c r="H483" s="633" t="s">
        <v>2217</v>
      </c>
    </row>
    <row r="484" spans="1:8" s="360" customFormat="1" ht="15" hidden="1" customHeight="1">
      <c r="A484" s="356" t="s">
        <v>529</v>
      </c>
      <c r="B484" s="804" t="s">
        <v>2606</v>
      </c>
      <c r="C484" s="809" t="s">
        <v>710</v>
      </c>
      <c r="D484" s="358">
        <f>SF!I681</f>
        <v>0</v>
      </c>
      <c r="E484" s="354" t="s">
        <v>102</v>
      </c>
      <c r="F484" s="355">
        <f>SF!K681</f>
        <v>709.65</v>
      </c>
      <c r="G484" s="353">
        <f t="shared" si="17"/>
        <v>0</v>
      </c>
      <c r="H484" s="633" t="s">
        <v>2299</v>
      </c>
    </row>
    <row r="485" spans="1:8" s="360" customFormat="1" ht="15" hidden="1" customHeight="1">
      <c r="A485" s="356" t="s">
        <v>529</v>
      </c>
      <c r="B485" s="804" t="s">
        <v>2606</v>
      </c>
      <c r="C485" s="809" t="s">
        <v>710</v>
      </c>
      <c r="D485" s="358">
        <f>SF!I688</f>
        <v>0</v>
      </c>
      <c r="E485" s="354" t="s">
        <v>102</v>
      </c>
      <c r="F485" s="355">
        <f>SF!K688</f>
        <v>718.32</v>
      </c>
      <c r="G485" s="353">
        <f t="shared" si="17"/>
        <v>0</v>
      </c>
      <c r="H485" s="633" t="s">
        <v>2312</v>
      </c>
    </row>
    <row r="486" spans="1:8" s="360" customFormat="1" ht="15" hidden="1" customHeight="1">
      <c r="A486" s="356" t="s">
        <v>529</v>
      </c>
      <c r="B486" s="804" t="s">
        <v>2606</v>
      </c>
      <c r="C486" s="809" t="s">
        <v>710</v>
      </c>
      <c r="D486" s="358">
        <f>SF!I695</f>
        <v>0</v>
      </c>
      <c r="E486" s="354" t="s">
        <v>102</v>
      </c>
      <c r="F486" s="355">
        <f>SF!K695</f>
        <v>816.76</v>
      </c>
      <c r="G486" s="353">
        <f t="shared" si="17"/>
        <v>0</v>
      </c>
      <c r="H486" s="633" t="s">
        <v>2313</v>
      </c>
    </row>
    <row r="487" spans="1:8" s="360" customFormat="1" ht="15" hidden="1" customHeight="1">
      <c r="A487" s="356" t="s">
        <v>530</v>
      </c>
      <c r="B487" s="804"/>
      <c r="C487" s="809" t="s">
        <v>711</v>
      </c>
      <c r="D487" s="358">
        <f>SF!I702</f>
        <v>0</v>
      </c>
      <c r="E487" s="354" t="s">
        <v>102</v>
      </c>
      <c r="F487" s="355">
        <f>SF!K702</f>
        <v>681.6</v>
      </c>
      <c r="G487" s="353">
        <f t="shared" si="17"/>
        <v>0</v>
      </c>
      <c r="H487" s="633" t="s">
        <v>2217</v>
      </c>
    </row>
    <row r="488" spans="1:8" s="360" customFormat="1" ht="15" hidden="1" customHeight="1">
      <c r="A488" s="356" t="s">
        <v>530</v>
      </c>
      <c r="B488" s="804"/>
      <c r="C488" s="809" t="s">
        <v>711</v>
      </c>
      <c r="D488" s="358">
        <f>SF!I709</f>
        <v>0</v>
      </c>
      <c r="E488" s="354" t="s">
        <v>102</v>
      </c>
      <c r="F488" s="355">
        <f>SF!K709</f>
        <v>715.12</v>
      </c>
      <c r="G488" s="353">
        <f t="shared" si="17"/>
        <v>0</v>
      </c>
      <c r="H488" s="633" t="s">
        <v>2299</v>
      </c>
    </row>
    <row r="489" spans="1:8" s="360" customFormat="1" ht="15" hidden="1" customHeight="1">
      <c r="A489" s="356" t="s">
        <v>530</v>
      </c>
      <c r="B489" s="804"/>
      <c r="C489" s="809" t="s">
        <v>711</v>
      </c>
      <c r="D489" s="358">
        <f>SF!I716</f>
        <v>0</v>
      </c>
      <c r="E489" s="354" t="s">
        <v>102</v>
      </c>
      <c r="F489" s="355">
        <f>SF!K716</f>
        <v>740.12</v>
      </c>
      <c r="G489" s="353">
        <f t="shared" si="17"/>
        <v>0</v>
      </c>
      <c r="H489" s="633" t="s">
        <v>2312</v>
      </c>
    </row>
    <row r="490" spans="1:8" s="360" customFormat="1" ht="15" hidden="1" customHeight="1">
      <c r="A490" s="356" t="s">
        <v>530</v>
      </c>
      <c r="B490" s="804"/>
      <c r="C490" s="809" t="s">
        <v>711</v>
      </c>
      <c r="D490" s="358">
        <f>SF!I723</f>
        <v>0</v>
      </c>
      <c r="E490" s="354" t="s">
        <v>102</v>
      </c>
      <c r="F490" s="355">
        <f>SF!K723</f>
        <v>822.23</v>
      </c>
      <c r="G490" s="353">
        <f t="shared" si="17"/>
        <v>0</v>
      </c>
      <c r="H490" s="633" t="s">
        <v>2313</v>
      </c>
    </row>
    <row r="491" spans="1:8" s="360" customFormat="1" ht="15" hidden="1" customHeight="1">
      <c r="A491" s="356" t="s">
        <v>531</v>
      </c>
      <c r="B491" s="804" t="s">
        <v>2607</v>
      </c>
      <c r="C491" s="809" t="s">
        <v>511</v>
      </c>
      <c r="D491" s="358">
        <f>SF!I730</f>
        <v>0</v>
      </c>
      <c r="E491" s="354" t="s">
        <v>102</v>
      </c>
      <c r="F491" s="355">
        <f>SF!K730</f>
        <v>784.71</v>
      </c>
      <c r="G491" s="353">
        <f t="shared" si="17"/>
        <v>0</v>
      </c>
      <c r="H491" s="633" t="s">
        <v>2217</v>
      </c>
    </row>
    <row r="492" spans="1:8" s="360" customFormat="1" ht="15" hidden="1" customHeight="1">
      <c r="A492" s="356" t="s">
        <v>531</v>
      </c>
      <c r="B492" s="804" t="s">
        <v>2607</v>
      </c>
      <c r="C492" s="809" t="s">
        <v>511</v>
      </c>
      <c r="D492" s="358">
        <f>SF!I737</f>
        <v>0</v>
      </c>
      <c r="E492" s="354" t="s">
        <v>102</v>
      </c>
      <c r="F492" s="355">
        <f>SF!K737</f>
        <v>818.23</v>
      </c>
      <c r="G492" s="353">
        <f t="shared" si="17"/>
        <v>0</v>
      </c>
      <c r="H492" s="633" t="s">
        <v>2299</v>
      </c>
    </row>
    <row r="493" spans="1:8" s="360" customFormat="1" ht="15" hidden="1" customHeight="1">
      <c r="A493" s="356" t="s">
        <v>531</v>
      </c>
      <c r="B493" s="804" t="s">
        <v>2607</v>
      </c>
      <c r="C493" s="809" t="s">
        <v>511</v>
      </c>
      <c r="D493" s="358">
        <f>SF!I744</f>
        <v>0</v>
      </c>
      <c r="E493" s="354" t="s">
        <v>102</v>
      </c>
      <c r="F493" s="355">
        <f>SF!K744</f>
        <v>843.23</v>
      </c>
      <c r="G493" s="353">
        <f t="shared" si="17"/>
        <v>0</v>
      </c>
      <c r="H493" s="633" t="s">
        <v>2312</v>
      </c>
    </row>
    <row r="494" spans="1:8" s="360" customFormat="1" ht="15" hidden="1" customHeight="1">
      <c r="A494" s="356" t="s">
        <v>531</v>
      </c>
      <c r="B494" s="804" t="s">
        <v>2607</v>
      </c>
      <c r="C494" s="809" t="s">
        <v>511</v>
      </c>
      <c r="D494" s="358">
        <f>SF!I751</f>
        <v>0</v>
      </c>
      <c r="E494" s="354" t="s">
        <v>102</v>
      </c>
      <c r="F494" s="355">
        <f>SF!K751</f>
        <v>873.89</v>
      </c>
      <c r="G494" s="353">
        <f t="shared" si="17"/>
        <v>0</v>
      </c>
      <c r="H494" s="633" t="s">
        <v>2313</v>
      </c>
    </row>
    <row r="495" spans="1:8" s="360" customFormat="1" ht="15" hidden="1" customHeight="1">
      <c r="A495" s="356" t="s">
        <v>532</v>
      </c>
      <c r="B495" s="804" t="s">
        <v>2608</v>
      </c>
      <c r="C495" s="809" t="s">
        <v>570</v>
      </c>
      <c r="D495" s="358">
        <f>SF!I757</f>
        <v>0</v>
      </c>
      <c r="E495" s="354" t="s">
        <v>102</v>
      </c>
      <c r="F495" s="355">
        <f>SF!K757</f>
        <v>502.03</v>
      </c>
      <c r="G495" s="353">
        <f t="shared" si="17"/>
        <v>0</v>
      </c>
      <c r="H495" s="633" t="s">
        <v>2217</v>
      </c>
    </row>
    <row r="496" spans="1:8" s="360" customFormat="1" ht="15" hidden="1" customHeight="1">
      <c r="A496" s="356" t="s">
        <v>532</v>
      </c>
      <c r="B496" s="804" t="s">
        <v>2608</v>
      </c>
      <c r="C496" s="809" t="s">
        <v>570</v>
      </c>
      <c r="D496" s="358">
        <f>SF!I763</f>
        <v>0</v>
      </c>
      <c r="E496" s="354" t="s">
        <v>102</v>
      </c>
      <c r="F496" s="355">
        <f>SF!K763</f>
        <v>512.04</v>
      </c>
      <c r="G496" s="353">
        <f t="shared" si="17"/>
        <v>0</v>
      </c>
      <c r="H496" s="633" t="s">
        <v>2299</v>
      </c>
    </row>
    <row r="497" spans="1:8" s="360" customFormat="1" ht="15" hidden="1" customHeight="1">
      <c r="A497" s="356" t="s">
        <v>532</v>
      </c>
      <c r="B497" s="804" t="s">
        <v>2608</v>
      </c>
      <c r="C497" s="809" t="s">
        <v>570</v>
      </c>
      <c r="D497" s="358">
        <f>SF!I769</f>
        <v>0</v>
      </c>
      <c r="E497" s="354" t="s">
        <v>102</v>
      </c>
      <c r="F497" s="355">
        <f>SF!K769</f>
        <v>520.52</v>
      </c>
      <c r="G497" s="353">
        <f t="shared" si="17"/>
        <v>0</v>
      </c>
      <c r="H497" s="633" t="s">
        <v>2312</v>
      </c>
    </row>
    <row r="498" spans="1:8" s="360" customFormat="1" ht="15" hidden="1" customHeight="1">
      <c r="A498" s="356" t="s">
        <v>532</v>
      </c>
      <c r="B498" s="804" t="s">
        <v>2608</v>
      </c>
      <c r="C498" s="809" t="s">
        <v>570</v>
      </c>
      <c r="D498" s="358">
        <f>SF!I775</f>
        <v>0</v>
      </c>
      <c r="E498" s="354" t="s">
        <v>102</v>
      </c>
      <c r="F498" s="355">
        <f>SF!K775</f>
        <v>536.26</v>
      </c>
      <c r="G498" s="353">
        <f t="shared" si="17"/>
        <v>0</v>
      </c>
      <c r="H498" s="633" t="s">
        <v>2313</v>
      </c>
    </row>
    <row r="499" spans="1:8" s="360" customFormat="1" ht="15" hidden="1" customHeight="1">
      <c r="A499" s="356" t="s">
        <v>492</v>
      </c>
      <c r="B499" s="804"/>
      <c r="C499" s="809" t="s">
        <v>1222</v>
      </c>
      <c r="D499" s="358">
        <f>SF!I781</f>
        <v>0</v>
      </c>
      <c r="E499" s="354" t="s">
        <v>102</v>
      </c>
      <c r="F499" s="355">
        <f>SF!K781</f>
        <v>977.96</v>
      </c>
      <c r="G499" s="353">
        <f t="shared" si="17"/>
        <v>0</v>
      </c>
      <c r="H499" s="633" t="s">
        <v>2217</v>
      </c>
    </row>
    <row r="500" spans="1:8" s="360" customFormat="1" ht="15" hidden="1" customHeight="1">
      <c r="A500" s="356" t="s">
        <v>492</v>
      </c>
      <c r="B500" s="804"/>
      <c r="C500" s="809" t="s">
        <v>1222</v>
      </c>
      <c r="D500" s="358">
        <f>SF!I787</f>
        <v>0</v>
      </c>
      <c r="E500" s="354" t="s">
        <v>102</v>
      </c>
      <c r="F500" s="355">
        <f>SF!K787</f>
        <v>1023.19</v>
      </c>
      <c r="G500" s="353">
        <f t="shared" si="17"/>
        <v>0</v>
      </c>
      <c r="H500" s="633" t="s">
        <v>2299</v>
      </c>
    </row>
    <row r="501" spans="1:8" s="360" customFormat="1" ht="15" hidden="1" customHeight="1">
      <c r="A501" s="356" t="s">
        <v>492</v>
      </c>
      <c r="B501" s="804"/>
      <c r="C501" s="809" t="s">
        <v>1222</v>
      </c>
      <c r="D501" s="358">
        <f>SF!I793</f>
        <v>0</v>
      </c>
      <c r="E501" s="354" t="s">
        <v>102</v>
      </c>
      <c r="F501" s="355">
        <f>SF!K793</f>
        <v>1058.68</v>
      </c>
      <c r="G501" s="353">
        <f t="shared" si="17"/>
        <v>0</v>
      </c>
      <c r="H501" s="633" t="s">
        <v>2312</v>
      </c>
    </row>
    <row r="502" spans="1:8" s="360" customFormat="1" ht="15" hidden="1" customHeight="1">
      <c r="A502" s="356" t="s">
        <v>492</v>
      </c>
      <c r="B502" s="804"/>
      <c r="C502" s="809" t="s">
        <v>1222</v>
      </c>
      <c r="D502" s="358">
        <f>SF!I799</f>
        <v>0</v>
      </c>
      <c r="E502" s="354" t="s">
        <v>102</v>
      </c>
      <c r="F502" s="355">
        <f>SF!K799</f>
        <v>1100.49</v>
      </c>
      <c r="G502" s="353">
        <f t="shared" si="17"/>
        <v>0</v>
      </c>
      <c r="H502" s="633" t="s">
        <v>2313</v>
      </c>
    </row>
    <row r="503" spans="1:8" s="360" customFormat="1" ht="15" hidden="1" customHeight="1">
      <c r="A503" s="356" t="s">
        <v>533</v>
      </c>
      <c r="B503" s="804" t="s">
        <v>2609</v>
      </c>
      <c r="C503" s="809" t="s">
        <v>707</v>
      </c>
      <c r="D503" s="358">
        <f>SF!I807</f>
        <v>0</v>
      </c>
      <c r="E503" s="354" t="s">
        <v>102</v>
      </c>
      <c r="F503" s="355">
        <f>SF!K807</f>
        <v>21.43</v>
      </c>
      <c r="G503" s="353">
        <f t="shared" si="17"/>
        <v>0</v>
      </c>
      <c r="H503" s="633" t="s">
        <v>2217</v>
      </c>
    </row>
    <row r="504" spans="1:8" s="360" customFormat="1" ht="15" hidden="1" customHeight="1">
      <c r="A504" s="356" t="s">
        <v>533</v>
      </c>
      <c r="B504" s="804" t="s">
        <v>2609</v>
      </c>
      <c r="C504" s="809" t="s">
        <v>707</v>
      </c>
      <c r="D504" s="358">
        <f>SF!I815</f>
        <v>0</v>
      </c>
      <c r="E504" s="354" t="s">
        <v>102</v>
      </c>
      <c r="F504" s="355">
        <f>SF!K815</f>
        <v>22.88</v>
      </c>
      <c r="G504" s="353">
        <f t="shared" si="17"/>
        <v>0</v>
      </c>
      <c r="H504" s="633" t="s">
        <v>2299</v>
      </c>
    </row>
    <row r="505" spans="1:8" s="360" customFormat="1" ht="15" hidden="1" customHeight="1">
      <c r="A505" s="356" t="s">
        <v>533</v>
      </c>
      <c r="B505" s="804" t="s">
        <v>2609</v>
      </c>
      <c r="C505" s="809" t="s">
        <v>707</v>
      </c>
      <c r="D505" s="358">
        <f>SF!I823</f>
        <v>0</v>
      </c>
      <c r="E505" s="354" t="s">
        <v>102</v>
      </c>
      <c r="F505" s="355">
        <f>SF!K823</f>
        <v>25.95</v>
      </c>
      <c r="G505" s="353">
        <f t="shared" si="17"/>
        <v>0</v>
      </c>
      <c r="H505" s="633" t="s">
        <v>2312</v>
      </c>
    </row>
    <row r="506" spans="1:8" s="360" customFormat="1" ht="15" hidden="1" customHeight="1">
      <c r="A506" s="356" t="s">
        <v>533</v>
      </c>
      <c r="B506" s="804" t="s">
        <v>2609</v>
      </c>
      <c r="C506" s="809" t="s">
        <v>707</v>
      </c>
      <c r="D506" s="358">
        <f>SF!I831</f>
        <v>0</v>
      </c>
      <c r="E506" s="354" t="s">
        <v>102</v>
      </c>
      <c r="F506" s="355">
        <f>SF!K831</f>
        <v>27.91</v>
      </c>
      <c r="G506" s="353">
        <f t="shared" si="17"/>
        <v>0</v>
      </c>
      <c r="H506" s="633" t="s">
        <v>2313</v>
      </c>
    </row>
    <row r="507" spans="1:8" s="360" customFormat="1" ht="15" customHeight="1">
      <c r="A507" s="356" t="s">
        <v>513</v>
      </c>
      <c r="B507" s="804" t="s">
        <v>2610</v>
      </c>
      <c r="C507" s="809" t="s">
        <v>888</v>
      </c>
      <c r="D507" s="358">
        <f>SF!I839</f>
        <v>0</v>
      </c>
      <c r="E507" s="354" t="s">
        <v>102</v>
      </c>
      <c r="F507" s="355">
        <f>SF!K839</f>
        <v>164.74</v>
      </c>
      <c r="G507" s="353">
        <f t="shared" ref="G507:G522" si="18">ROUND(D507*F507,0)</f>
        <v>0</v>
      </c>
      <c r="H507" s="633" t="s">
        <v>2217</v>
      </c>
    </row>
    <row r="508" spans="1:8" s="360" customFormat="1" ht="15" hidden="1" customHeight="1">
      <c r="A508" s="356" t="s">
        <v>1143</v>
      </c>
      <c r="B508" s="804" t="s">
        <v>2610</v>
      </c>
      <c r="C508" s="809" t="s">
        <v>888</v>
      </c>
      <c r="D508" s="358">
        <f>SF!I847</f>
        <v>0</v>
      </c>
      <c r="E508" s="354" t="s">
        <v>102</v>
      </c>
      <c r="F508" s="355">
        <f>SF!K847</f>
        <v>173.39</v>
      </c>
      <c r="G508" s="353">
        <f t="shared" si="18"/>
        <v>0</v>
      </c>
      <c r="H508" s="633" t="s">
        <v>2299</v>
      </c>
    </row>
    <row r="509" spans="1:8" s="360" customFormat="1" ht="15" hidden="1" customHeight="1">
      <c r="A509" s="356" t="s">
        <v>1143</v>
      </c>
      <c r="B509" s="804" t="s">
        <v>2610</v>
      </c>
      <c r="C509" s="809" t="s">
        <v>888</v>
      </c>
      <c r="D509" s="358">
        <f>SF!I855</f>
        <v>0</v>
      </c>
      <c r="E509" s="354" t="s">
        <v>102</v>
      </c>
      <c r="F509" s="355">
        <f>SF!K855</f>
        <v>179.94</v>
      </c>
      <c r="G509" s="353">
        <f t="shared" si="18"/>
        <v>0</v>
      </c>
      <c r="H509" s="633" t="s">
        <v>2312</v>
      </c>
    </row>
    <row r="510" spans="1:8" s="360" customFormat="1" ht="15" hidden="1" customHeight="1">
      <c r="A510" s="356" t="s">
        <v>1143</v>
      </c>
      <c r="B510" s="804" t="s">
        <v>2610</v>
      </c>
      <c r="C510" s="809" t="s">
        <v>888</v>
      </c>
      <c r="D510" s="358">
        <f>SF!I863</f>
        <v>0</v>
      </c>
      <c r="E510" s="354" t="s">
        <v>102</v>
      </c>
      <c r="F510" s="355">
        <f>SF!K863</f>
        <v>194.34</v>
      </c>
      <c r="G510" s="353">
        <f t="shared" si="18"/>
        <v>0</v>
      </c>
      <c r="H510" s="633" t="s">
        <v>2313</v>
      </c>
    </row>
    <row r="511" spans="1:8" s="360" customFormat="1" ht="15" hidden="1" customHeight="1">
      <c r="A511" s="356" t="s">
        <v>645</v>
      </c>
      <c r="B511" s="804" t="s">
        <v>2611</v>
      </c>
      <c r="C511" s="809" t="s">
        <v>571</v>
      </c>
      <c r="D511" s="358">
        <f>SF!I871</f>
        <v>0</v>
      </c>
      <c r="E511" s="354" t="s">
        <v>102</v>
      </c>
      <c r="F511" s="355">
        <f>SF!K871</f>
        <v>140.87</v>
      </c>
      <c r="G511" s="353">
        <f t="shared" si="18"/>
        <v>0</v>
      </c>
      <c r="H511" s="633" t="s">
        <v>2217</v>
      </c>
    </row>
    <row r="512" spans="1:8" s="360" customFormat="1" hidden="1">
      <c r="A512" s="356" t="s">
        <v>522</v>
      </c>
      <c r="B512" s="804" t="s">
        <v>2611</v>
      </c>
      <c r="C512" s="809" t="s">
        <v>571</v>
      </c>
      <c r="D512" s="358">
        <f>SF!I883</f>
        <v>0</v>
      </c>
      <c r="E512" s="354" t="s">
        <v>102</v>
      </c>
      <c r="F512" s="355">
        <f>SF!K883</f>
        <v>149.66</v>
      </c>
      <c r="G512" s="353">
        <f t="shared" si="18"/>
        <v>0</v>
      </c>
      <c r="H512" s="633" t="s">
        <v>2299</v>
      </c>
    </row>
    <row r="513" spans="1:10" s="360" customFormat="1" ht="15" hidden="1" customHeight="1">
      <c r="A513" s="356" t="s">
        <v>645</v>
      </c>
      <c r="B513" s="804" t="s">
        <v>2611</v>
      </c>
      <c r="C513" s="809" t="s">
        <v>571</v>
      </c>
      <c r="D513" s="358">
        <f>SF!I891</f>
        <v>0</v>
      </c>
      <c r="E513" s="354" t="s">
        <v>102</v>
      </c>
      <c r="F513" s="355">
        <f>SF!K891</f>
        <v>156.4</v>
      </c>
      <c r="G513" s="353">
        <f t="shared" si="18"/>
        <v>0</v>
      </c>
      <c r="H513" s="633" t="s">
        <v>2312</v>
      </c>
    </row>
    <row r="514" spans="1:10" s="360" customFormat="1" ht="15" customHeight="1">
      <c r="A514" s="356" t="s">
        <v>514</v>
      </c>
      <c r="B514" s="804" t="s">
        <v>2611</v>
      </c>
      <c r="C514" s="809" t="s">
        <v>571</v>
      </c>
      <c r="D514" s="358">
        <f>SF!I899</f>
        <v>0</v>
      </c>
      <c r="E514" s="354" t="s">
        <v>102</v>
      </c>
      <c r="F514" s="355">
        <f>SF!K899</f>
        <v>169.89</v>
      </c>
      <c r="G514" s="353">
        <f t="shared" si="18"/>
        <v>0</v>
      </c>
      <c r="H514" s="633" t="s">
        <v>2313</v>
      </c>
    </row>
    <row r="515" spans="1:10" s="360" customFormat="1" ht="15" hidden="1" customHeight="1">
      <c r="A515" s="356" t="s">
        <v>1584</v>
      </c>
      <c r="B515" s="804" t="s">
        <v>2612</v>
      </c>
      <c r="C515" s="809" t="s">
        <v>1226</v>
      </c>
      <c r="D515" s="358">
        <f>SF!I906</f>
        <v>0</v>
      </c>
      <c r="E515" s="354" t="s">
        <v>102</v>
      </c>
      <c r="F515" s="355">
        <f>SF!K906</f>
        <v>192.71</v>
      </c>
      <c r="G515" s="353">
        <f t="shared" si="18"/>
        <v>0</v>
      </c>
      <c r="H515" s="633" t="s">
        <v>2217</v>
      </c>
    </row>
    <row r="516" spans="1:10" s="360" customFormat="1" hidden="1">
      <c r="A516" s="356" t="s">
        <v>524</v>
      </c>
      <c r="B516" s="804" t="s">
        <v>2612</v>
      </c>
      <c r="C516" s="809" t="s">
        <v>1226</v>
      </c>
      <c r="D516" s="358">
        <f>SF!I914</f>
        <v>0</v>
      </c>
      <c r="E516" s="354" t="s">
        <v>102</v>
      </c>
      <c r="F516" s="355">
        <f>SF!K914</f>
        <v>206.39</v>
      </c>
      <c r="G516" s="353">
        <f t="shared" si="18"/>
        <v>0</v>
      </c>
      <c r="H516" s="633" t="s">
        <v>2299</v>
      </c>
    </row>
    <row r="517" spans="1:10" s="360" customFormat="1" ht="15" hidden="1" customHeight="1">
      <c r="A517" s="356" t="s">
        <v>1584</v>
      </c>
      <c r="B517" s="804" t="s">
        <v>2612</v>
      </c>
      <c r="C517" s="809" t="s">
        <v>1226</v>
      </c>
      <c r="D517" s="358">
        <f>SF!I921</f>
        <v>0</v>
      </c>
      <c r="E517" s="354" t="s">
        <v>102</v>
      </c>
      <c r="F517" s="355">
        <f>SF!K921</f>
        <v>216.76</v>
      </c>
      <c r="G517" s="353">
        <f t="shared" si="18"/>
        <v>0</v>
      </c>
      <c r="H517" s="633" t="s">
        <v>2312</v>
      </c>
    </row>
    <row r="518" spans="1:10" s="360" customFormat="1" ht="15" customHeight="1">
      <c r="A518" s="356" t="s">
        <v>515</v>
      </c>
      <c r="B518" s="804" t="s">
        <v>2612</v>
      </c>
      <c r="C518" s="809" t="s">
        <v>1226</v>
      </c>
      <c r="D518" s="358">
        <f>SF!I937</f>
        <v>0</v>
      </c>
      <c r="E518" s="354" t="s">
        <v>102</v>
      </c>
      <c r="F518" s="355">
        <f>SF!K937</f>
        <v>233.59</v>
      </c>
      <c r="G518" s="353">
        <f t="shared" si="18"/>
        <v>0</v>
      </c>
      <c r="H518" s="633" t="s">
        <v>2313</v>
      </c>
    </row>
    <row r="519" spans="1:10" s="360" customFormat="1">
      <c r="A519" s="356" t="s">
        <v>516</v>
      </c>
      <c r="B519" s="804" t="s">
        <v>2616</v>
      </c>
      <c r="C519" s="809" t="s">
        <v>477</v>
      </c>
      <c r="D519" s="429">
        <f>SF!I943</f>
        <v>0</v>
      </c>
      <c r="E519" s="221" t="s">
        <v>29</v>
      </c>
      <c r="F519" s="430">
        <f>SF!K943</f>
        <v>64288.5</v>
      </c>
      <c r="G519" s="353">
        <f t="shared" si="18"/>
        <v>0</v>
      </c>
      <c r="H519" s="633" t="s">
        <v>2217</v>
      </c>
    </row>
    <row r="520" spans="1:10" s="360" customFormat="1" ht="15" hidden="1" customHeight="1">
      <c r="A520" s="356" t="s">
        <v>525</v>
      </c>
      <c r="B520" s="804" t="s">
        <v>2616</v>
      </c>
      <c r="C520" s="809" t="s">
        <v>477</v>
      </c>
      <c r="D520" s="429">
        <f>SF!I948</f>
        <v>0</v>
      </c>
      <c r="E520" s="221" t="s">
        <v>29</v>
      </c>
      <c r="F520" s="430">
        <f>SF!K948</f>
        <v>64635</v>
      </c>
      <c r="G520" s="353">
        <f t="shared" si="18"/>
        <v>0</v>
      </c>
      <c r="H520" s="633" t="s">
        <v>2299</v>
      </c>
    </row>
    <row r="521" spans="1:10" s="360" customFormat="1" ht="15" hidden="1" customHeight="1">
      <c r="A521" s="356" t="s">
        <v>1575</v>
      </c>
      <c r="B521" s="804" t="s">
        <v>2616</v>
      </c>
      <c r="C521" s="809" t="s">
        <v>477</v>
      </c>
      <c r="D521" s="429">
        <f>SF!I954</f>
        <v>0</v>
      </c>
      <c r="E521" s="221" t="s">
        <v>29</v>
      </c>
      <c r="F521" s="430">
        <f>SF!K954</f>
        <v>82189.5</v>
      </c>
      <c r="G521" s="353">
        <f t="shared" si="18"/>
        <v>0</v>
      </c>
      <c r="H521" s="633" t="s">
        <v>2312</v>
      </c>
    </row>
    <row r="522" spans="1:10" s="360" customFormat="1" ht="15" hidden="1" customHeight="1">
      <c r="A522" s="356" t="s">
        <v>1575</v>
      </c>
      <c r="B522" s="804" t="s">
        <v>2616</v>
      </c>
      <c r="C522" s="809" t="s">
        <v>477</v>
      </c>
      <c r="D522" s="429">
        <f>SF!I960</f>
        <v>0</v>
      </c>
      <c r="E522" s="221" t="s">
        <v>29</v>
      </c>
      <c r="F522" s="430">
        <f>SF!K960</f>
        <v>95016</v>
      </c>
      <c r="G522" s="353">
        <f t="shared" si="18"/>
        <v>0</v>
      </c>
      <c r="H522" s="633" t="s">
        <v>2313</v>
      </c>
    </row>
    <row r="523" spans="1:10" s="26" customFormat="1" hidden="1">
      <c r="A523" s="23"/>
      <c r="B523" s="23"/>
      <c r="C523" s="627" t="s">
        <v>890</v>
      </c>
      <c r="D523" s="648"/>
      <c r="E523" s="649"/>
      <c r="F523" s="650"/>
      <c r="G523" s="11"/>
      <c r="H523" s="633" t="s">
        <v>2217</v>
      </c>
    </row>
    <row r="524" spans="1:10" s="360" customFormat="1" hidden="1">
      <c r="A524" s="356" t="s">
        <v>504</v>
      </c>
      <c r="B524" s="804" t="s">
        <v>2631</v>
      </c>
      <c r="C524" s="632" t="s">
        <v>1228</v>
      </c>
      <c r="D524" s="358">
        <f>'PART-A'!I2499</f>
        <v>0</v>
      </c>
      <c r="E524" s="354" t="s">
        <v>115</v>
      </c>
      <c r="F524" s="355">
        <f>'PART-A'!K2499</f>
        <v>20396.340000000004</v>
      </c>
      <c r="G524" s="353">
        <f t="shared" ref="G524:G555" si="19">ROUND(D524*F524,0)</f>
        <v>0</v>
      </c>
      <c r="H524" s="633" t="s">
        <v>2217</v>
      </c>
    </row>
    <row r="525" spans="1:10" s="360" customFormat="1" hidden="1">
      <c r="A525" s="356" t="s">
        <v>526</v>
      </c>
      <c r="B525" s="804" t="s">
        <v>2631</v>
      </c>
      <c r="C525" s="632" t="s">
        <v>1228</v>
      </c>
      <c r="D525" s="358">
        <f>'PART-A'!I2632</f>
        <v>0</v>
      </c>
      <c r="E525" s="354" t="s">
        <v>115</v>
      </c>
      <c r="F525" s="355">
        <f>'PART-A'!K2632</f>
        <v>20396.340000000004</v>
      </c>
      <c r="G525" s="353">
        <f t="shared" si="19"/>
        <v>0</v>
      </c>
      <c r="H525" s="633" t="s">
        <v>2299</v>
      </c>
    </row>
    <row r="526" spans="1:10" s="360" customFormat="1" ht="15" hidden="1" customHeight="1">
      <c r="A526" s="356" t="s">
        <v>506</v>
      </c>
      <c r="B526" s="804" t="s">
        <v>2631</v>
      </c>
      <c r="C526" s="632" t="s">
        <v>1228</v>
      </c>
      <c r="D526" s="358">
        <f>'PART-A'!I2770</f>
        <v>0</v>
      </c>
      <c r="E526" s="354" t="s">
        <v>115</v>
      </c>
      <c r="F526" s="355">
        <f>'PART-A'!K2770</f>
        <v>18903.09</v>
      </c>
      <c r="G526" s="353">
        <f t="shared" si="19"/>
        <v>0</v>
      </c>
      <c r="H526" s="633" t="s">
        <v>2312</v>
      </c>
    </row>
    <row r="527" spans="1:10" s="360" customFormat="1" ht="15" hidden="1" customHeight="1">
      <c r="A527" s="356" t="s">
        <v>1144</v>
      </c>
      <c r="B527" s="804"/>
      <c r="C527" s="632" t="s">
        <v>1228</v>
      </c>
      <c r="D527" s="358">
        <f>'PART-A'!I2903</f>
        <v>0</v>
      </c>
      <c r="E527" s="354" t="s">
        <v>115</v>
      </c>
      <c r="F527" s="355">
        <f>'PART-A'!K2903</f>
        <v>22903.660000000003</v>
      </c>
      <c r="H527" s="633" t="s">
        <v>2313</v>
      </c>
      <c r="J527" s="353">
        <f>ROUND(D527*F527,0)</f>
        <v>0</v>
      </c>
    </row>
    <row r="528" spans="1:10" s="360" customFormat="1" ht="15" hidden="1" customHeight="1">
      <c r="A528" s="356" t="s">
        <v>508</v>
      </c>
      <c r="B528" s="804"/>
      <c r="C528" s="632" t="s">
        <v>1998</v>
      </c>
      <c r="D528" s="358">
        <f>'PART-A'!I2514</f>
        <v>0</v>
      </c>
      <c r="E528" s="354" t="s">
        <v>115</v>
      </c>
      <c r="F528" s="355">
        <f>'PART-A'!K2514</f>
        <v>14099.53</v>
      </c>
      <c r="G528" s="353">
        <f t="shared" si="19"/>
        <v>0</v>
      </c>
      <c r="H528" s="633" t="s">
        <v>2217</v>
      </c>
    </row>
    <row r="529" spans="1:8" s="360" customFormat="1" ht="15" hidden="1" customHeight="1">
      <c r="A529" s="356" t="s">
        <v>485</v>
      </c>
      <c r="B529" s="804"/>
      <c r="C529" s="632" t="s">
        <v>1998</v>
      </c>
      <c r="D529" s="358">
        <f>'PART-A'!I2647</f>
        <v>0</v>
      </c>
      <c r="E529" s="354" t="s">
        <v>115</v>
      </c>
      <c r="F529" s="355">
        <f>'PART-A'!K2647</f>
        <v>14099.53</v>
      </c>
      <c r="G529" s="353">
        <f t="shared" si="19"/>
        <v>0</v>
      </c>
      <c r="H529" s="633" t="s">
        <v>2299</v>
      </c>
    </row>
    <row r="530" spans="1:8" s="360" customFormat="1" ht="15" hidden="1" customHeight="1">
      <c r="A530" s="356" t="s">
        <v>485</v>
      </c>
      <c r="B530" s="804"/>
      <c r="C530" s="632" t="s">
        <v>1998</v>
      </c>
      <c r="D530" s="358">
        <f>'PART-A'!I2785</f>
        <v>0</v>
      </c>
      <c r="E530" s="354" t="s">
        <v>115</v>
      </c>
      <c r="F530" s="355">
        <f>'PART-A'!K2785</f>
        <v>12770.460000000001</v>
      </c>
      <c r="G530" s="353">
        <f t="shared" si="19"/>
        <v>0</v>
      </c>
      <c r="H530" s="633" t="s">
        <v>2312</v>
      </c>
    </row>
    <row r="531" spans="1:8" s="360" customFormat="1" ht="15" hidden="1" customHeight="1">
      <c r="A531" s="356" t="s">
        <v>485</v>
      </c>
      <c r="B531" s="804"/>
      <c r="C531" s="632" t="s">
        <v>1998</v>
      </c>
      <c r="D531" s="358">
        <f>'PART-A'!I2918</f>
        <v>0</v>
      </c>
      <c r="E531" s="354" t="s">
        <v>115</v>
      </c>
      <c r="F531" s="355">
        <f>'PART-A'!K2918</f>
        <v>15875.19</v>
      </c>
      <c r="G531" s="353">
        <f t="shared" si="19"/>
        <v>0</v>
      </c>
      <c r="H531" s="633" t="s">
        <v>2313</v>
      </c>
    </row>
    <row r="532" spans="1:8" s="360" customFormat="1" ht="15" hidden="1" customHeight="1">
      <c r="A532" s="356"/>
      <c r="B532" s="804"/>
      <c r="C532" s="632" t="s">
        <v>1999</v>
      </c>
      <c r="D532" s="358">
        <f>'PART-A'!I2519</f>
        <v>0</v>
      </c>
      <c r="E532" s="354" t="s">
        <v>115</v>
      </c>
      <c r="F532" s="355">
        <f>'PART-A'!K2519</f>
        <v>13359.1</v>
      </c>
      <c r="G532" s="353">
        <f t="shared" si="19"/>
        <v>0</v>
      </c>
      <c r="H532" s="633" t="s">
        <v>2217</v>
      </c>
    </row>
    <row r="533" spans="1:8" s="360" customFormat="1" ht="15" hidden="1" customHeight="1">
      <c r="A533" s="356"/>
      <c r="B533" s="804"/>
      <c r="C533" s="632" t="s">
        <v>1999</v>
      </c>
      <c r="D533" s="358">
        <f>'PART-A'!I2652</f>
        <v>0</v>
      </c>
      <c r="E533" s="354" t="s">
        <v>115</v>
      </c>
      <c r="F533" s="355">
        <f>'PART-A'!K2652</f>
        <v>13359.1</v>
      </c>
      <c r="G533" s="353">
        <f t="shared" si="19"/>
        <v>0</v>
      </c>
      <c r="H533" s="633" t="s">
        <v>2299</v>
      </c>
    </row>
    <row r="534" spans="1:8" s="360" customFormat="1" ht="15" hidden="1" customHeight="1">
      <c r="A534" s="356"/>
      <c r="B534" s="804"/>
      <c r="C534" s="632" t="s">
        <v>1999</v>
      </c>
      <c r="D534" s="358">
        <f>'PART-A'!I2790</f>
        <v>0</v>
      </c>
      <c r="E534" s="354" t="s">
        <v>115</v>
      </c>
      <c r="F534" s="355">
        <f>'PART-A'!K2790</f>
        <v>10756.689999999999</v>
      </c>
      <c r="G534" s="353">
        <f t="shared" si="19"/>
        <v>0</v>
      </c>
      <c r="H534" s="633" t="s">
        <v>2312</v>
      </c>
    </row>
    <row r="535" spans="1:8" s="360" customFormat="1" ht="15" hidden="1" customHeight="1">
      <c r="A535" s="356"/>
      <c r="B535" s="804"/>
      <c r="C535" s="632" t="s">
        <v>1999</v>
      </c>
      <c r="D535" s="358">
        <f>'PART-A'!I2923</f>
        <v>0</v>
      </c>
      <c r="E535" s="354" t="s">
        <v>115</v>
      </c>
      <c r="F535" s="355">
        <f>'PART-A'!K2923</f>
        <v>15037.220000000001</v>
      </c>
      <c r="G535" s="353">
        <f t="shared" si="19"/>
        <v>0</v>
      </c>
      <c r="H535" s="633" t="s">
        <v>2313</v>
      </c>
    </row>
    <row r="536" spans="1:8" s="360" customFormat="1" ht="15" hidden="1" customHeight="1">
      <c r="A536" s="356" t="s">
        <v>1144</v>
      </c>
      <c r="B536" s="804"/>
      <c r="C536" s="632" t="s">
        <v>1998</v>
      </c>
      <c r="D536" s="358">
        <f>'PART-A'!I2524</f>
        <v>0</v>
      </c>
      <c r="E536" s="354" t="s">
        <v>115</v>
      </c>
      <c r="F536" s="355">
        <f>'PART-A'!K2524</f>
        <v>8905.99</v>
      </c>
      <c r="G536" s="353">
        <f t="shared" si="19"/>
        <v>0</v>
      </c>
      <c r="H536" s="633" t="s">
        <v>2217</v>
      </c>
    </row>
    <row r="537" spans="1:8" s="360" customFormat="1" ht="15" hidden="1" customHeight="1">
      <c r="A537" s="356" t="s">
        <v>1144</v>
      </c>
      <c r="B537" s="804"/>
      <c r="C537" s="632" t="s">
        <v>1998</v>
      </c>
      <c r="D537" s="358">
        <f>'PART-A'!I2657</f>
        <v>0</v>
      </c>
      <c r="E537" s="354" t="s">
        <v>115</v>
      </c>
      <c r="F537" s="355">
        <f>'PART-A'!K2657</f>
        <v>8905.99</v>
      </c>
      <c r="G537" s="353">
        <f t="shared" si="19"/>
        <v>0</v>
      </c>
      <c r="H537" s="633" t="s">
        <v>2299</v>
      </c>
    </row>
    <row r="538" spans="1:8" s="360" customFormat="1" ht="15" hidden="1" customHeight="1">
      <c r="A538" s="356" t="s">
        <v>1144</v>
      </c>
      <c r="B538" s="804"/>
      <c r="C538" s="632" t="s">
        <v>1998</v>
      </c>
      <c r="D538" s="358">
        <f>'PART-A'!I2795</f>
        <v>0</v>
      </c>
      <c r="E538" s="354" t="s">
        <v>115</v>
      </c>
      <c r="F538" s="355">
        <f>'PART-A'!K2795</f>
        <v>9185.3799999999992</v>
      </c>
      <c r="G538" s="353">
        <f t="shared" si="19"/>
        <v>0</v>
      </c>
      <c r="H538" s="633" t="s">
        <v>2312</v>
      </c>
    </row>
    <row r="539" spans="1:8" s="360" customFormat="1" ht="15" hidden="1" customHeight="1">
      <c r="A539" s="356" t="s">
        <v>1144</v>
      </c>
      <c r="B539" s="804"/>
      <c r="C539" s="632" t="s">
        <v>1998</v>
      </c>
      <c r="D539" s="358">
        <f>'PART-A'!I2928</f>
        <v>0</v>
      </c>
      <c r="E539" s="354" t="s">
        <v>115</v>
      </c>
      <c r="F539" s="355">
        <f>'PART-A'!K2928</f>
        <v>10330.61</v>
      </c>
      <c r="G539" s="353">
        <f t="shared" si="19"/>
        <v>0</v>
      </c>
      <c r="H539" s="633" t="s">
        <v>2313</v>
      </c>
    </row>
    <row r="540" spans="1:8" s="360" customFormat="1" ht="15" hidden="1" customHeight="1">
      <c r="A540" s="356" t="s">
        <v>1579</v>
      </c>
      <c r="B540" s="804"/>
      <c r="C540" s="632" t="s">
        <v>2000</v>
      </c>
      <c r="D540" s="358">
        <f>'PART-A'!I2529</f>
        <v>0</v>
      </c>
      <c r="E540" s="354" t="s">
        <v>115</v>
      </c>
      <c r="F540" s="355">
        <f>'PART-A'!K2529</f>
        <v>6334.76</v>
      </c>
      <c r="G540" s="353">
        <f t="shared" si="19"/>
        <v>0</v>
      </c>
      <c r="H540" s="633" t="s">
        <v>2217</v>
      </c>
    </row>
    <row r="541" spans="1:8" s="360" customFormat="1" ht="15" hidden="1" customHeight="1">
      <c r="A541" s="356" t="s">
        <v>1579</v>
      </c>
      <c r="B541" s="804"/>
      <c r="C541" s="632" t="s">
        <v>2000</v>
      </c>
      <c r="D541" s="358">
        <f>'PART-A'!I2662</f>
        <v>0</v>
      </c>
      <c r="E541" s="354" t="s">
        <v>115</v>
      </c>
      <c r="F541" s="355">
        <f>'PART-A'!K2662</f>
        <v>6334.76</v>
      </c>
      <c r="G541" s="353">
        <f t="shared" si="19"/>
        <v>0</v>
      </c>
      <c r="H541" s="633" t="s">
        <v>2299</v>
      </c>
    </row>
    <row r="542" spans="1:8" s="360" customFormat="1" ht="15" hidden="1" customHeight="1">
      <c r="A542" s="356" t="s">
        <v>1579</v>
      </c>
      <c r="B542" s="804"/>
      <c r="C542" s="632" t="s">
        <v>2000</v>
      </c>
      <c r="D542" s="358">
        <f>'PART-A'!I2800</f>
        <v>0</v>
      </c>
      <c r="E542" s="354" t="s">
        <v>115</v>
      </c>
      <c r="F542" s="355">
        <f>'PART-A'!K2800</f>
        <v>6584.41</v>
      </c>
      <c r="G542" s="353">
        <f t="shared" si="19"/>
        <v>0</v>
      </c>
      <c r="H542" s="633" t="s">
        <v>2312</v>
      </c>
    </row>
    <row r="543" spans="1:8" s="360" customFormat="1" ht="15" hidden="1" customHeight="1">
      <c r="A543" s="356" t="s">
        <v>1579</v>
      </c>
      <c r="B543" s="804"/>
      <c r="C543" s="632" t="s">
        <v>2000</v>
      </c>
      <c r="D543" s="358">
        <f>'PART-A'!I2933</f>
        <v>0</v>
      </c>
      <c r="E543" s="354" t="s">
        <v>115</v>
      </c>
      <c r="F543" s="355">
        <f>'PART-A'!K2933</f>
        <v>7015.49</v>
      </c>
      <c r="G543" s="353">
        <f t="shared" si="19"/>
        <v>0</v>
      </c>
      <c r="H543" s="633" t="s">
        <v>2313</v>
      </c>
    </row>
    <row r="544" spans="1:8" s="360" customFormat="1" ht="15" hidden="1" customHeight="1">
      <c r="A544" s="356" t="s">
        <v>1586</v>
      </c>
      <c r="B544" s="804"/>
      <c r="C544" s="632" t="s">
        <v>1227</v>
      </c>
      <c r="D544" s="358">
        <f>'PART-A'!I2504</f>
        <v>0</v>
      </c>
      <c r="E544" s="354" t="s">
        <v>115</v>
      </c>
      <c r="F544" s="355">
        <f>'PART-A'!K2504</f>
        <v>10891.57</v>
      </c>
      <c r="G544" s="353">
        <f t="shared" si="19"/>
        <v>0</v>
      </c>
      <c r="H544" s="633" t="s">
        <v>2217</v>
      </c>
    </row>
    <row r="545" spans="1:8" s="360" customFormat="1" ht="15" hidden="1" customHeight="1">
      <c r="A545" s="356" t="s">
        <v>527</v>
      </c>
      <c r="B545" s="804" t="s">
        <v>2632</v>
      </c>
      <c r="C545" s="632" t="s">
        <v>1227</v>
      </c>
      <c r="D545" s="358">
        <f>'PART-A'!I2637</f>
        <v>0</v>
      </c>
      <c r="E545" s="354" t="s">
        <v>115</v>
      </c>
      <c r="F545" s="355">
        <f>'PART-A'!K2637</f>
        <v>4180.6099999999997</v>
      </c>
      <c r="G545" s="353">
        <f t="shared" si="19"/>
        <v>0</v>
      </c>
      <c r="H545" s="633" t="s">
        <v>2299</v>
      </c>
    </row>
    <row r="546" spans="1:8" s="360" customFormat="1" ht="15" hidden="1" customHeight="1">
      <c r="A546" s="356" t="s">
        <v>1586</v>
      </c>
      <c r="B546" s="804"/>
      <c r="C546" s="632" t="s">
        <v>1227</v>
      </c>
      <c r="D546" s="358">
        <f>'PART-A'!I2775</f>
        <v>0</v>
      </c>
      <c r="E546" s="354" t="s">
        <v>115</v>
      </c>
      <c r="F546" s="355">
        <f>'PART-A'!K2775</f>
        <v>11215.33</v>
      </c>
      <c r="G546" s="353">
        <f t="shared" si="19"/>
        <v>0</v>
      </c>
      <c r="H546" s="633" t="s">
        <v>2312</v>
      </c>
    </row>
    <row r="547" spans="1:8" s="360" customFormat="1" ht="15" customHeight="1">
      <c r="A547" s="356" t="s">
        <v>517</v>
      </c>
      <c r="B547" s="804" t="s">
        <v>3113</v>
      </c>
      <c r="C547" s="632" t="s">
        <v>1227</v>
      </c>
      <c r="D547" s="358">
        <f>'PART-A'!I2908</f>
        <v>0</v>
      </c>
      <c r="E547" s="354" t="s">
        <v>115</v>
      </c>
      <c r="F547" s="355">
        <f>'PART-A'!K2908</f>
        <v>11464.42</v>
      </c>
      <c r="G547" s="353">
        <f t="shared" si="19"/>
        <v>0</v>
      </c>
      <c r="H547" s="633" t="s">
        <v>2313</v>
      </c>
    </row>
    <row r="548" spans="1:8" s="360" customFormat="1" ht="15" hidden="1" customHeight="1">
      <c r="A548" s="356" t="s">
        <v>1587</v>
      </c>
      <c r="B548" s="804"/>
      <c r="C548" s="632" t="s">
        <v>1227</v>
      </c>
      <c r="D548" s="358">
        <f>'PART-A'!I2509</f>
        <v>0</v>
      </c>
      <c r="E548" s="354" t="s">
        <v>115</v>
      </c>
      <c r="F548" s="355">
        <f>'PART-A'!K2509</f>
        <v>9855.7799999999988</v>
      </c>
      <c r="G548" s="353">
        <f t="shared" si="19"/>
        <v>0</v>
      </c>
      <c r="H548" s="633" t="s">
        <v>2217</v>
      </c>
    </row>
    <row r="549" spans="1:8" s="360" customFormat="1" ht="15" hidden="1" customHeight="1">
      <c r="A549" s="356" t="s">
        <v>525</v>
      </c>
      <c r="B549" s="804" t="s">
        <v>2632</v>
      </c>
      <c r="C549" s="809" t="s">
        <v>1227</v>
      </c>
      <c r="D549" s="358">
        <f>'PART-A'!I2642</f>
        <v>0</v>
      </c>
      <c r="E549" s="354" t="s">
        <v>115</v>
      </c>
      <c r="F549" s="355">
        <f>'PART-A'!K2642</f>
        <v>9855.7799999999988</v>
      </c>
      <c r="G549" s="353">
        <f t="shared" si="19"/>
        <v>0</v>
      </c>
      <c r="H549" s="633" t="s">
        <v>2299</v>
      </c>
    </row>
    <row r="550" spans="1:8" s="360" customFormat="1" ht="15" hidden="1" customHeight="1">
      <c r="A550" s="356" t="s">
        <v>1587</v>
      </c>
      <c r="B550" s="804"/>
      <c r="C550" s="632" t="s">
        <v>1227</v>
      </c>
      <c r="D550" s="358">
        <f>'PART-A'!I2780</f>
        <v>0</v>
      </c>
      <c r="E550" s="354" t="s">
        <v>115</v>
      </c>
      <c r="F550" s="355">
        <f>'PART-A'!K2780</f>
        <v>10134.49</v>
      </c>
      <c r="G550" s="353">
        <f t="shared" si="19"/>
        <v>0</v>
      </c>
      <c r="H550" s="633" t="s">
        <v>2312</v>
      </c>
    </row>
    <row r="551" spans="1:8" s="360" customFormat="1" ht="15" hidden="1" customHeight="1">
      <c r="A551" s="356" t="s">
        <v>1587</v>
      </c>
      <c r="B551" s="804"/>
      <c r="C551" s="632" t="s">
        <v>1227</v>
      </c>
      <c r="D551" s="358">
        <f>'PART-A'!I2913</f>
        <v>0</v>
      </c>
      <c r="E551" s="354" t="s">
        <v>115</v>
      </c>
      <c r="F551" s="355">
        <f>'PART-A'!K2913</f>
        <v>11442.58</v>
      </c>
      <c r="G551" s="353">
        <f t="shared" si="19"/>
        <v>0</v>
      </c>
      <c r="H551" s="633" t="s">
        <v>2313</v>
      </c>
    </row>
    <row r="552" spans="1:8" s="360" customFormat="1" hidden="1">
      <c r="A552" s="356" t="s">
        <v>529</v>
      </c>
      <c r="B552" s="804"/>
      <c r="C552" s="632" t="s">
        <v>2634</v>
      </c>
      <c r="D552" s="358">
        <f>'PART-A'!I2536</f>
        <v>0</v>
      </c>
      <c r="E552" s="354" t="s">
        <v>115</v>
      </c>
      <c r="F552" s="355">
        <f>'PART-A'!K2536</f>
        <v>15555.64</v>
      </c>
      <c r="G552" s="353">
        <f t="shared" si="19"/>
        <v>0</v>
      </c>
      <c r="H552" s="633" t="s">
        <v>2217</v>
      </c>
    </row>
    <row r="553" spans="1:8" s="360" customFormat="1" ht="15" hidden="1" customHeight="1">
      <c r="A553" s="356" t="s">
        <v>529</v>
      </c>
      <c r="B553" s="804"/>
      <c r="C553" s="632" t="s">
        <v>2634</v>
      </c>
      <c r="D553" s="358">
        <f>'PART-A'!I2670</f>
        <v>0</v>
      </c>
      <c r="E553" s="354" t="s">
        <v>115</v>
      </c>
      <c r="F553" s="355">
        <f>'PART-A'!K2670</f>
        <v>15555.64</v>
      </c>
      <c r="G553" s="353">
        <f t="shared" si="19"/>
        <v>0</v>
      </c>
      <c r="H553" s="633" t="s">
        <v>2299</v>
      </c>
    </row>
    <row r="554" spans="1:8" s="360" customFormat="1" ht="15" hidden="1" customHeight="1">
      <c r="A554" s="356" t="s">
        <v>529</v>
      </c>
      <c r="B554" s="804"/>
      <c r="C554" s="632" t="s">
        <v>2634</v>
      </c>
      <c r="D554" s="358">
        <f>'PART-A'!I2807</f>
        <v>0</v>
      </c>
      <c r="E554" s="354" t="s">
        <v>115</v>
      </c>
      <c r="F554" s="355">
        <f>'PART-A'!K2807</f>
        <v>13789.809999999998</v>
      </c>
      <c r="G554" s="353">
        <f t="shared" si="19"/>
        <v>0</v>
      </c>
      <c r="H554" s="633" t="s">
        <v>2312</v>
      </c>
    </row>
    <row r="555" spans="1:8" s="360" customFormat="1" ht="15" hidden="1" customHeight="1">
      <c r="A555" s="356" t="s">
        <v>529</v>
      </c>
      <c r="B555" s="804"/>
      <c r="C555" s="632" t="s">
        <v>2634</v>
      </c>
      <c r="D555" s="358">
        <f>'PART-A'!I2940</f>
        <v>0</v>
      </c>
      <c r="E555" s="354" t="s">
        <v>115</v>
      </c>
      <c r="F555" s="355">
        <f>'PART-A'!K2940</f>
        <v>17517.36</v>
      </c>
      <c r="G555" s="353">
        <f t="shared" si="19"/>
        <v>0</v>
      </c>
      <c r="H555" s="633" t="s">
        <v>2313</v>
      </c>
    </row>
    <row r="556" spans="1:8" s="360" customFormat="1" hidden="1">
      <c r="A556" s="356" t="s">
        <v>1589</v>
      </c>
      <c r="B556" s="804" t="s">
        <v>2633</v>
      </c>
      <c r="C556" s="632" t="s">
        <v>2634</v>
      </c>
      <c r="D556" s="358">
        <f>'PART-A'!I2543</f>
        <v>0</v>
      </c>
      <c r="E556" s="354" t="s">
        <v>115</v>
      </c>
      <c r="F556" s="355">
        <f>'PART-A'!K2543</f>
        <v>9631.65</v>
      </c>
      <c r="G556" s="353">
        <f t="shared" ref="G556:G587" si="20">ROUND(D556*F556,0)</f>
        <v>0</v>
      </c>
      <c r="H556" s="633" t="s">
        <v>2217</v>
      </c>
    </row>
    <row r="557" spans="1:8" s="360" customFormat="1" hidden="1">
      <c r="A557" s="356" t="s">
        <v>1578</v>
      </c>
      <c r="B557" s="804" t="s">
        <v>2633</v>
      </c>
      <c r="C557" s="632" t="s">
        <v>2634</v>
      </c>
      <c r="D557" s="358">
        <f>'PART-A'!I2678</f>
        <v>0</v>
      </c>
      <c r="E557" s="354" t="s">
        <v>115</v>
      </c>
      <c r="F557" s="355">
        <f>'PART-A'!K2678</f>
        <v>4472.53</v>
      </c>
      <c r="G557" s="353">
        <f t="shared" si="20"/>
        <v>0</v>
      </c>
      <c r="H557" s="633" t="s">
        <v>2299</v>
      </c>
    </row>
    <row r="558" spans="1:8" s="360" customFormat="1" ht="15" hidden="1" customHeight="1">
      <c r="A558" s="356" t="s">
        <v>1589</v>
      </c>
      <c r="B558" s="804" t="s">
        <v>2633</v>
      </c>
      <c r="C558" s="632" t="s">
        <v>2634</v>
      </c>
      <c r="D558" s="358">
        <f>'PART-A'!I2814</f>
        <v>0</v>
      </c>
      <c r="E558" s="354" t="s">
        <v>115</v>
      </c>
      <c r="F558" s="355">
        <f>'PART-A'!K2814</f>
        <v>9936.0399999999991</v>
      </c>
      <c r="G558" s="353">
        <f t="shared" si="20"/>
        <v>0</v>
      </c>
      <c r="H558" s="633" t="s">
        <v>2312</v>
      </c>
    </row>
    <row r="559" spans="1:8" s="360" customFormat="1" ht="15" hidden="1" customHeight="1">
      <c r="A559" s="356" t="s">
        <v>1589</v>
      </c>
      <c r="B559" s="804" t="s">
        <v>2633</v>
      </c>
      <c r="C559" s="632" t="s">
        <v>2634</v>
      </c>
      <c r="D559" s="358">
        <f>'PART-A'!I2947</f>
        <v>0</v>
      </c>
      <c r="E559" s="354" t="s">
        <v>115</v>
      </c>
      <c r="F559" s="355">
        <f>'PART-A'!K2947</f>
        <v>11186.3</v>
      </c>
      <c r="G559" s="353">
        <f t="shared" si="20"/>
        <v>0</v>
      </c>
      <c r="H559" s="633" t="s">
        <v>2313</v>
      </c>
    </row>
    <row r="560" spans="1:8" s="360" customFormat="1" hidden="1">
      <c r="A560" s="356" t="s">
        <v>1575</v>
      </c>
      <c r="B560" s="804" t="s">
        <v>2635</v>
      </c>
      <c r="C560" s="632" t="s">
        <v>2030</v>
      </c>
      <c r="D560" s="358">
        <f>'PART-A'!I2548</f>
        <v>0</v>
      </c>
      <c r="E560" s="354" t="s">
        <v>102</v>
      </c>
      <c r="F560" s="355">
        <f>'PART-A'!K2548</f>
        <v>6011.2</v>
      </c>
      <c r="G560" s="353">
        <f t="shared" si="20"/>
        <v>0</v>
      </c>
      <c r="H560" s="633" t="s">
        <v>2217</v>
      </c>
    </row>
    <row r="561" spans="1:8" s="360" customFormat="1" ht="15" hidden="1" customHeight="1">
      <c r="A561" s="356" t="s">
        <v>1575</v>
      </c>
      <c r="B561" s="804" t="s">
        <v>2635</v>
      </c>
      <c r="C561" s="632" t="s">
        <v>2030</v>
      </c>
      <c r="D561" s="358">
        <f>'PART-A'!I2683</f>
        <v>0</v>
      </c>
      <c r="E561" s="354" t="s">
        <v>102</v>
      </c>
      <c r="F561" s="355">
        <f>'PART-A'!K2683</f>
        <v>6011.2</v>
      </c>
      <c r="G561" s="353">
        <f t="shared" si="20"/>
        <v>0</v>
      </c>
      <c r="H561" s="633" t="s">
        <v>2299</v>
      </c>
    </row>
    <row r="562" spans="1:8" s="360" customFormat="1" ht="15" hidden="1" customHeight="1">
      <c r="A562" s="356" t="s">
        <v>1575</v>
      </c>
      <c r="B562" s="804" t="s">
        <v>2635</v>
      </c>
      <c r="C562" s="632" t="s">
        <v>2030</v>
      </c>
      <c r="D562" s="358">
        <f>'PART-A'!I2819</f>
        <v>0</v>
      </c>
      <c r="E562" s="354" t="s">
        <v>102</v>
      </c>
      <c r="F562" s="355">
        <f>'PART-A'!K2819</f>
        <v>6057.2</v>
      </c>
      <c r="G562" s="353">
        <f t="shared" si="20"/>
        <v>0</v>
      </c>
      <c r="H562" s="633" t="s">
        <v>2312</v>
      </c>
    </row>
    <row r="563" spans="1:8" s="360" customFormat="1" ht="15" hidden="1" customHeight="1">
      <c r="A563" s="356" t="s">
        <v>1575</v>
      </c>
      <c r="B563" s="804" t="s">
        <v>2635</v>
      </c>
      <c r="C563" s="632" t="s">
        <v>2030</v>
      </c>
      <c r="D563" s="358">
        <f>'PART-A'!I2954</f>
        <v>0</v>
      </c>
      <c r="E563" s="354" t="s">
        <v>102</v>
      </c>
      <c r="F563" s="355">
        <f>'PART-A'!K2954</f>
        <v>6958.78</v>
      </c>
      <c r="G563" s="353">
        <f t="shared" si="20"/>
        <v>0</v>
      </c>
      <c r="H563" s="633" t="s">
        <v>2313</v>
      </c>
    </row>
    <row r="564" spans="1:8" s="360" customFormat="1" ht="15" hidden="1" customHeight="1">
      <c r="A564" s="356" t="s">
        <v>1147</v>
      </c>
      <c r="B564" s="804" t="s">
        <v>2635</v>
      </c>
      <c r="C564" s="809" t="s">
        <v>2031</v>
      </c>
      <c r="D564" s="358">
        <f>'PART-A'!I2555</f>
        <v>0</v>
      </c>
      <c r="E564" s="354" t="s">
        <v>102</v>
      </c>
      <c r="F564" s="355">
        <f>'PART-A'!K2555</f>
        <v>5617.52</v>
      </c>
      <c r="G564" s="353">
        <f t="shared" si="20"/>
        <v>0</v>
      </c>
      <c r="H564" s="633" t="s">
        <v>2217</v>
      </c>
    </row>
    <row r="565" spans="1:8" s="360" customFormat="1" ht="15" hidden="1" customHeight="1">
      <c r="A565" s="356" t="s">
        <v>1147</v>
      </c>
      <c r="B565" s="804" t="s">
        <v>2635</v>
      </c>
      <c r="C565" s="809" t="s">
        <v>2031</v>
      </c>
      <c r="D565" s="358">
        <f>'PART-A'!I2690</f>
        <v>0</v>
      </c>
      <c r="E565" s="354" t="s">
        <v>102</v>
      </c>
      <c r="F565" s="355">
        <f>'PART-A'!K2690</f>
        <v>5617.52</v>
      </c>
      <c r="G565" s="353">
        <f t="shared" si="20"/>
        <v>0</v>
      </c>
      <c r="H565" s="633" t="s">
        <v>2299</v>
      </c>
    </row>
    <row r="566" spans="1:8" s="360" customFormat="1" ht="15" hidden="1" customHeight="1">
      <c r="A566" s="356" t="s">
        <v>1147</v>
      </c>
      <c r="B566" s="804" t="s">
        <v>2635</v>
      </c>
      <c r="C566" s="809" t="s">
        <v>2031</v>
      </c>
      <c r="D566" s="358">
        <f>'PART-A'!I2826</f>
        <v>0</v>
      </c>
      <c r="E566" s="354" t="s">
        <v>102</v>
      </c>
      <c r="F566" s="355">
        <f>'PART-A'!K2826</f>
        <v>5663.52</v>
      </c>
      <c r="G566" s="353">
        <f t="shared" si="20"/>
        <v>0</v>
      </c>
      <c r="H566" s="633" t="s">
        <v>2312</v>
      </c>
    </row>
    <row r="567" spans="1:8" s="360" customFormat="1" ht="15" hidden="1" customHeight="1">
      <c r="A567" s="356" t="s">
        <v>1147</v>
      </c>
      <c r="B567" s="804" t="s">
        <v>2635</v>
      </c>
      <c r="C567" s="809" t="s">
        <v>2031</v>
      </c>
      <c r="D567" s="358">
        <f>'PART-A'!I2961</f>
        <v>0</v>
      </c>
      <c r="E567" s="354" t="s">
        <v>102</v>
      </c>
      <c r="F567" s="355">
        <f>'PART-A'!K2961</f>
        <v>6508.85</v>
      </c>
      <c r="G567" s="353">
        <f t="shared" si="20"/>
        <v>0</v>
      </c>
      <c r="H567" s="633" t="s">
        <v>2313</v>
      </c>
    </row>
    <row r="568" spans="1:8" s="360" customFormat="1" hidden="1">
      <c r="A568" s="356" t="s">
        <v>1595</v>
      </c>
      <c r="B568" s="356"/>
      <c r="C568" s="357" t="s">
        <v>2566</v>
      </c>
      <c r="D568" s="358"/>
      <c r="E568" s="354"/>
      <c r="F568" s="355"/>
      <c r="G568" s="353">
        <f t="shared" si="20"/>
        <v>0</v>
      </c>
      <c r="H568" s="633" t="s">
        <v>2217</v>
      </c>
    </row>
    <row r="569" spans="1:8" s="360" customFormat="1" ht="25.5" hidden="1">
      <c r="A569" s="356" t="s">
        <v>510</v>
      </c>
      <c r="B569" s="804" t="s">
        <v>2636</v>
      </c>
      <c r="C569" s="632" t="s">
        <v>965</v>
      </c>
      <c r="D569" s="358">
        <f>'PART-A'!I2560</f>
        <v>0</v>
      </c>
      <c r="E569" s="354" t="s">
        <v>102</v>
      </c>
      <c r="F569" s="355">
        <f>'PART-A'!K2560</f>
        <v>8058</v>
      </c>
      <c r="G569" s="353">
        <f t="shared" si="20"/>
        <v>0</v>
      </c>
      <c r="H569" s="633" t="s">
        <v>2217</v>
      </c>
    </row>
    <row r="570" spans="1:8" s="360" customFormat="1" ht="25.5" hidden="1">
      <c r="A570" s="356" t="s">
        <v>527</v>
      </c>
      <c r="B570" s="804" t="s">
        <v>2636</v>
      </c>
      <c r="C570" s="632" t="s">
        <v>965</v>
      </c>
      <c r="D570" s="358">
        <f>'PART-A'!I2696</f>
        <v>0</v>
      </c>
      <c r="E570" s="354" t="s">
        <v>102</v>
      </c>
      <c r="F570" s="355">
        <f>'PART-A'!K2696</f>
        <v>8058</v>
      </c>
      <c r="G570" s="353">
        <f t="shared" si="20"/>
        <v>0</v>
      </c>
      <c r="H570" s="633" t="s">
        <v>2299</v>
      </c>
    </row>
    <row r="571" spans="1:8" s="360" customFormat="1" ht="25.5" hidden="1" customHeight="1">
      <c r="A571" s="356" t="s">
        <v>528</v>
      </c>
      <c r="B571" s="804" t="s">
        <v>2636</v>
      </c>
      <c r="C571" s="632" t="s">
        <v>965</v>
      </c>
      <c r="D571" s="358">
        <f>'PART-A'!I2832</f>
        <v>0</v>
      </c>
      <c r="E571" s="354" t="s">
        <v>102</v>
      </c>
      <c r="F571" s="355">
        <f>'PART-A'!K2832</f>
        <v>8058</v>
      </c>
      <c r="G571" s="353">
        <f t="shared" si="20"/>
        <v>0</v>
      </c>
      <c r="H571" s="633" t="s">
        <v>2312</v>
      </c>
    </row>
    <row r="572" spans="1:8" s="360" customFormat="1" ht="25.5" customHeight="1">
      <c r="A572" s="356" t="s">
        <v>518</v>
      </c>
      <c r="B572" s="804" t="s">
        <v>2636</v>
      </c>
      <c r="C572" s="632" t="s">
        <v>965</v>
      </c>
      <c r="D572" s="358">
        <f>'PART-A'!I2966</f>
        <v>0</v>
      </c>
      <c r="E572" s="354" t="s">
        <v>102</v>
      </c>
      <c r="F572" s="355">
        <f>'PART-A'!K2966</f>
        <v>8622</v>
      </c>
      <c r="G572" s="353">
        <f t="shared" si="20"/>
        <v>0</v>
      </c>
      <c r="H572" s="633" t="s">
        <v>2313</v>
      </c>
    </row>
    <row r="573" spans="1:8" s="360" customFormat="1" ht="25.5" hidden="1" customHeight="1">
      <c r="A573" s="356" t="s">
        <v>1145</v>
      </c>
      <c r="B573" s="804" t="s">
        <v>2638</v>
      </c>
      <c r="C573" s="632" t="s">
        <v>2637</v>
      </c>
      <c r="D573" s="358">
        <f>'PART-A'!I2564</f>
        <v>0</v>
      </c>
      <c r="E573" s="354" t="s">
        <v>102</v>
      </c>
      <c r="F573" s="355">
        <f>'PART-A'!K2564</f>
        <v>6038</v>
      </c>
      <c r="G573" s="353">
        <f t="shared" si="20"/>
        <v>0</v>
      </c>
      <c r="H573" s="633" t="s">
        <v>2217</v>
      </c>
    </row>
    <row r="574" spans="1:8" s="360" customFormat="1" ht="25.5" hidden="1">
      <c r="A574" s="356" t="s">
        <v>1578</v>
      </c>
      <c r="B574" s="804" t="s">
        <v>2638</v>
      </c>
      <c r="C574" s="632" t="s">
        <v>2637</v>
      </c>
      <c r="D574" s="358">
        <f>'PART-A'!I2700</f>
        <v>0</v>
      </c>
      <c r="E574" s="354" t="s">
        <v>102</v>
      </c>
      <c r="F574" s="355">
        <f>'PART-A'!K2700</f>
        <v>6038</v>
      </c>
      <c r="G574" s="353">
        <f t="shared" si="20"/>
        <v>0</v>
      </c>
      <c r="H574" s="633" t="s">
        <v>2299</v>
      </c>
    </row>
    <row r="575" spans="1:8" s="360" customFormat="1" ht="25.5" hidden="1" customHeight="1">
      <c r="A575" s="356" t="s">
        <v>1145</v>
      </c>
      <c r="B575" s="804" t="s">
        <v>2638</v>
      </c>
      <c r="C575" s="632" t="s">
        <v>2637</v>
      </c>
      <c r="D575" s="358">
        <f>'PART-A'!I2836</f>
        <v>0</v>
      </c>
      <c r="E575" s="354" t="s">
        <v>102</v>
      </c>
      <c r="F575" s="355">
        <f>'PART-A'!K2836</f>
        <v>6038</v>
      </c>
      <c r="G575" s="353">
        <f t="shared" si="20"/>
        <v>0</v>
      </c>
      <c r="H575" s="633" t="s">
        <v>2312</v>
      </c>
    </row>
    <row r="576" spans="1:8" s="360" customFormat="1" ht="25.5" hidden="1" customHeight="1">
      <c r="A576" s="356" t="s">
        <v>1145</v>
      </c>
      <c r="B576" s="804" t="s">
        <v>2638</v>
      </c>
      <c r="C576" s="632" t="s">
        <v>2637</v>
      </c>
      <c r="D576" s="358">
        <f>'PART-A'!I2970</f>
        <v>0</v>
      </c>
      <c r="E576" s="354" t="s">
        <v>102</v>
      </c>
      <c r="F576" s="355">
        <f>'PART-A'!K2970</f>
        <v>6460</v>
      </c>
      <c r="G576" s="353">
        <f t="shared" si="20"/>
        <v>0</v>
      </c>
      <c r="H576" s="633" t="s">
        <v>2313</v>
      </c>
    </row>
    <row r="577" spans="1:8" s="360" customFormat="1" ht="25.5" hidden="1" customHeight="1">
      <c r="A577" s="356" t="s">
        <v>1576</v>
      </c>
      <c r="B577" s="804" t="s">
        <v>2639</v>
      </c>
      <c r="C577" s="632" t="s">
        <v>966</v>
      </c>
      <c r="D577" s="358">
        <f>'PART-A'!I2568</f>
        <v>0</v>
      </c>
      <c r="E577" s="354" t="s">
        <v>102</v>
      </c>
      <c r="F577" s="355">
        <f>'PART-A'!K2568</f>
        <v>5830</v>
      </c>
      <c r="G577" s="353">
        <f t="shared" si="20"/>
        <v>0</v>
      </c>
      <c r="H577" s="633" t="s">
        <v>2217</v>
      </c>
    </row>
    <row r="578" spans="1:8" s="360" customFormat="1" ht="25.5" hidden="1" customHeight="1">
      <c r="A578" s="356" t="s">
        <v>1576</v>
      </c>
      <c r="B578" s="804" t="s">
        <v>2639</v>
      </c>
      <c r="C578" s="632" t="s">
        <v>966</v>
      </c>
      <c r="D578" s="358">
        <f>'PART-A'!I2706</f>
        <v>0</v>
      </c>
      <c r="E578" s="354" t="s">
        <v>102</v>
      </c>
      <c r="F578" s="355">
        <f>'PART-A'!K2706</f>
        <v>5830</v>
      </c>
      <c r="G578" s="353">
        <f t="shared" si="20"/>
        <v>0</v>
      </c>
      <c r="H578" s="633" t="s">
        <v>2299</v>
      </c>
    </row>
    <row r="579" spans="1:8" s="360" customFormat="1" ht="25.5" hidden="1" customHeight="1">
      <c r="A579" s="356" t="s">
        <v>1576</v>
      </c>
      <c r="B579" s="804" t="s">
        <v>2639</v>
      </c>
      <c r="C579" s="632" t="s">
        <v>966</v>
      </c>
      <c r="D579" s="358">
        <f>'PART-A'!I2840</f>
        <v>0</v>
      </c>
      <c r="E579" s="354" t="s">
        <v>102</v>
      </c>
      <c r="F579" s="355">
        <f>'PART-A'!K2840</f>
        <v>5830</v>
      </c>
      <c r="G579" s="353">
        <f t="shared" si="20"/>
        <v>0</v>
      </c>
      <c r="H579" s="633" t="s">
        <v>2312</v>
      </c>
    </row>
    <row r="580" spans="1:8" s="360" customFormat="1" ht="25.5" hidden="1" customHeight="1">
      <c r="A580" s="356" t="s">
        <v>1576</v>
      </c>
      <c r="B580" s="804" t="s">
        <v>2639</v>
      </c>
      <c r="C580" s="632" t="s">
        <v>966</v>
      </c>
      <c r="D580" s="358">
        <f>'PART-A'!I2974</f>
        <v>0</v>
      </c>
      <c r="E580" s="354" t="s">
        <v>102</v>
      </c>
      <c r="F580" s="355">
        <f>'PART-A'!K2974</f>
        <v>6238</v>
      </c>
      <c r="G580" s="353">
        <f t="shared" si="20"/>
        <v>0</v>
      </c>
      <c r="H580" s="633" t="s">
        <v>2313</v>
      </c>
    </row>
    <row r="581" spans="1:8" s="360" customFormat="1" ht="15" hidden="1" customHeight="1">
      <c r="A581" s="356"/>
      <c r="B581" s="804" t="s">
        <v>2640</v>
      </c>
      <c r="C581" s="632" t="s">
        <v>2285</v>
      </c>
      <c r="D581" s="358">
        <f>'PART-A'!I2573</f>
        <v>0</v>
      </c>
      <c r="E581" s="354" t="s">
        <v>102</v>
      </c>
      <c r="F581" s="355">
        <f>'PART-A'!K2573</f>
        <v>3797</v>
      </c>
      <c r="G581" s="353">
        <f t="shared" si="20"/>
        <v>0</v>
      </c>
      <c r="H581" s="633" t="s">
        <v>2217</v>
      </c>
    </row>
    <row r="582" spans="1:8" s="360" customFormat="1" ht="15" hidden="1" customHeight="1">
      <c r="A582" s="356"/>
      <c r="B582" s="804" t="s">
        <v>2640</v>
      </c>
      <c r="C582" s="632" t="s">
        <v>2285</v>
      </c>
      <c r="D582" s="358">
        <f>'PART-A'!I2711</f>
        <v>0</v>
      </c>
      <c r="E582" s="354" t="s">
        <v>102</v>
      </c>
      <c r="F582" s="355">
        <f>'PART-A'!K2711</f>
        <v>3797</v>
      </c>
      <c r="G582" s="353">
        <f t="shared" si="20"/>
        <v>0</v>
      </c>
      <c r="H582" s="633" t="s">
        <v>2299</v>
      </c>
    </row>
    <row r="583" spans="1:8" s="360" customFormat="1" ht="15" hidden="1" customHeight="1">
      <c r="A583" s="356"/>
      <c r="B583" s="804" t="s">
        <v>2640</v>
      </c>
      <c r="C583" s="632" t="s">
        <v>2285</v>
      </c>
      <c r="D583" s="358">
        <f>'PART-A'!I2845</f>
        <v>0</v>
      </c>
      <c r="E583" s="354" t="s">
        <v>102</v>
      </c>
      <c r="F583" s="355">
        <f>'PART-A'!K2845</f>
        <v>3797</v>
      </c>
      <c r="G583" s="353">
        <f t="shared" si="20"/>
        <v>0</v>
      </c>
      <c r="H583" s="633" t="s">
        <v>2312</v>
      </c>
    </row>
    <row r="584" spans="1:8" s="360" customFormat="1" ht="15" hidden="1" customHeight="1">
      <c r="A584" s="356"/>
      <c r="B584" s="804" t="s">
        <v>2640</v>
      </c>
      <c r="C584" s="632" t="s">
        <v>2285</v>
      </c>
      <c r="D584" s="358">
        <f>'PART-A'!I2979</f>
        <v>0</v>
      </c>
      <c r="E584" s="354" t="s">
        <v>102</v>
      </c>
      <c r="F584" s="355">
        <f>'PART-A'!K2979</f>
        <v>4062</v>
      </c>
      <c r="G584" s="353">
        <f t="shared" si="20"/>
        <v>0</v>
      </c>
      <c r="H584" s="633" t="s">
        <v>2313</v>
      </c>
    </row>
    <row r="585" spans="1:8" s="360" customFormat="1" ht="15" hidden="1" customHeight="1">
      <c r="A585" s="356" t="s">
        <v>1147</v>
      </c>
      <c r="B585" s="804"/>
      <c r="C585" s="632" t="s">
        <v>712</v>
      </c>
      <c r="D585" s="358">
        <f>'PART-A'!I2578</f>
        <v>0</v>
      </c>
      <c r="E585" s="354" t="s">
        <v>115</v>
      </c>
      <c r="F585" s="355">
        <f>'PART-A'!K2578</f>
        <v>494.94</v>
      </c>
      <c r="G585" s="353">
        <f t="shared" si="20"/>
        <v>0</v>
      </c>
      <c r="H585" s="633" t="s">
        <v>2217</v>
      </c>
    </row>
    <row r="586" spans="1:8" s="360" customFormat="1" ht="15" hidden="1" customHeight="1">
      <c r="A586" s="356" t="s">
        <v>1147</v>
      </c>
      <c r="B586" s="804"/>
      <c r="C586" s="632" t="s">
        <v>712</v>
      </c>
      <c r="D586" s="358">
        <f>'PART-A'!I2716</f>
        <v>0</v>
      </c>
      <c r="E586" s="354" t="s">
        <v>115</v>
      </c>
      <c r="F586" s="355">
        <f>'PART-A'!K2716</f>
        <v>494.64</v>
      </c>
      <c r="G586" s="353">
        <f t="shared" si="20"/>
        <v>0</v>
      </c>
      <c r="H586" s="633" t="s">
        <v>2299</v>
      </c>
    </row>
    <row r="587" spans="1:8" s="360" customFormat="1" ht="15" hidden="1" customHeight="1">
      <c r="A587" s="356" t="s">
        <v>1147</v>
      </c>
      <c r="B587" s="804"/>
      <c r="C587" s="632" t="s">
        <v>712</v>
      </c>
      <c r="D587" s="358">
        <f>'PART-A'!I2850</f>
        <v>0</v>
      </c>
      <c r="E587" s="354" t="s">
        <v>115</v>
      </c>
      <c r="F587" s="355">
        <f>'PART-A'!K2850</f>
        <v>520.87</v>
      </c>
      <c r="G587" s="353">
        <f t="shared" si="20"/>
        <v>0</v>
      </c>
      <c r="H587" s="633" t="s">
        <v>2312</v>
      </c>
    </row>
    <row r="588" spans="1:8" s="360" customFormat="1" ht="15" hidden="1" customHeight="1">
      <c r="A588" s="356" t="s">
        <v>1147</v>
      </c>
      <c r="B588" s="804"/>
      <c r="C588" s="632" t="s">
        <v>712</v>
      </c>
      <c r="D588" s="358">
        <f>'PART-A'!I2984</f>
        <v>0</v>
      </c>
      <c r="E588" s="354" t="s">
        <v>115</v>
      </c>
      <c r="F588" s="355">
        <f>'PART-A'!K2984</f>
        <v>576.98</v>
      </c>
      <c r="G588" s="353">
        <f t="shared" ref="G588:G597" si="21">ROUND(D588*F588,0)</f>
        <v>0</v>
      </c>
      <c r="H588" s="633" t="s">
        <v>2313</v>
      </c>
    </row>
    <row r="589" spans="1:8" s="360" customFormat="1" ht="15" hidden="1" customHeight="1">
      <c r="A589" s="356" t="s">
        <v>1577</v>
      </c>
      <c r="B589" s="804" t="s">
        <v>2641</v>
      </c>
      <c r="C589" s="632" t="s">
        <v>932</v>
      </c>
      <c r="D589" s="358">
        <f>'PART-A'!I2583</f>
        <v>0</v>
      </c>
      <c r="E589" s="354" t="s">
        <v>102</v>
      </c>
      <c r="F589" s="355">
        <f>'PART-A'!K2583</f>
        <v>513.1</v>
      </c>
      <c r="G589" s="353">
        <f t="shared" si="21"/>
        <v>0</v>
      </c>
      <c r="H589" s="633" t="s">
        <v>2217</v>
      </c>
    </row>
    <row r="590" spans="1:8" s="360" customFormat="1" ht="15" hidden="1" customHeight="1">
      <c r="A590" s="356" t="s">
        <v>1577</v>
      </c>
      <c r="B590" s="804" t="s">
        <v>2641</v>
      </c>
      <c r="C590" s="632" t="s">
        <v>932</v>
      </c>
      <c r="D590" s="358">
        <f>'PART-A'!I2721</f>
        <v>0</v>
      </c>
      <c r="E590" s="354" t="s">
        <v>102</v>
      </c>
      <c r="F590" s="355">
        <f>'PART-A'!K2721</f>
        <v>529.5</v>
      </c>
      <c r="G590" s="353">
        <f t="shared" si="21"/>
        <v>0</v>
      </c>
      <c r="H590" s="633" t="s">
        <v>2299</v>
      </c>
    </row>
    <row r="591" spans="1:8" s="360" customFormat="1" ht="15" hidden="1" customHeight="1">
      <c r="A591" s="356" t="s">
        <v>1577</v>
      </c>
      <c r="B591" s="804" t="s">
        <v>2641</v>
      </c>
      <c r="C591" s="632" t="s">
        <v>932</v>
      </c>
      <c r="D591" s="358">
        <f>'PART-A'!I2855</f>
        <v>0</v>
      </c>
      <c r="E591" s="354" t="s">
        <v>102</v>
      </c>
      <c r="F591" s="355">
        <f>'PART-A'!K2855</f>
        <v>554.35</v>
      </c>
      <c r="G591" s="353">
        <f t="shared" si="21"/>
        <v>0</v>
      </c>
      <c r="H591" s="633" t="s">
        <v>2312</v>
      </c>
    </row>
    <row r="592" spans="1:8" s="360" customFormat="1" ht="15" hidden="1" customHeight="1">
      <c r="A592" s="356" t="s">
        <v>1577</v>
      </c>
      <c r="B592" s="804" t="s">
        <v>2641</v>
      </c>
      <c r="C592" s="632" t="s">
        <v>932</v>
      </c>
      <c r="D592" s="358">
        <f>'PART-A'!I2990</f>
        <v>0</v>
      </c>
      <c r="E592" s="354" t="s">
        <v>102</v>
      </c>
      <c r="F592" s="355">
        <f>'PART-A'!K2990</f>
        <v>604.07999999999993</v>
      </c>
      <c r="G592" s="353">
        <f t="shared" si="21"/>
        <v>0</v>
      </c>
      <c r="H592" s="633" t="s">
        <v>2313</v>
      </c>
    </row>
    <row r="593" spans="1:10" s="360" customFormat="1" ht="15" customHeight="1">
      <c r="A593" s="356" t="s">
        <v>519</v>
      </c>
      <c r="B593" s="804" t="s">
        <v>2681</v>
      </c>
      <c r="C593" s="632" t="s">
        <v>542</v>
      </c>
      <c r="D593" s="358">
        <f>'PART-A'!I2588</f>
        <v>320</v>
      </c>
      <c r="E593" s="354" t="s">
        <v>872</v>
      </c>
      <c r="F593" s="355">
        <f>'PART-A'!K2588</f>
        <v>84.009999999999991</v>
      </c>
      <c r="G593" s="353">
        <f t="shared" si="21"/>
        <v>26883</v>
      </c>
      <c r="H593" s="633" t="s">
        <v>2217</v>
      </c>
    </row>
    <row r="594" spans="1:10" s="360" customFormat="1" ht="15" hidden="1" customHeight="1">
      <c r="A594" s="356" t="s">
        <v>533</v>
      </c>
      <c r="B594" s="804" t="s">
        <v>2681</v>
      </c>
      <c r="C594" s="632" t="s">
        <v>542</v>
      </c>
      <c r="D594" s="358">
        <f>'PART-A'!I2726</f>
        <v>0</v>
      </c>
      <c r="E594" s="354" t="s">
        <v>872</v>
      </c>
      <c r="F594" s="355">
        <f>'PART-A'!K2726</f>
        <v>82.8</v>
      </c>
      <c r="G594" s="353">
        <f t="shared" si="21"/>
        <v>0</v>
      </c>
      <c r="H594" s="633" t="s">
        <v>2299</v>
      </c>
    </row>
    <row r="595" spans="1:10" s="360" customFormat="1" ht="15" hidden="1" customHeight="1">
      <c r="A595" s="356" t="s">
        <v>533</v>
      </c>
      <c r="B595" s="804" t="s">
        <v>2681</v>
      </c>
      <c r="C595" s="632" t="s">
        <v>542</v>
      </c>
      <c r="D595" s="358">
        <f>'PART-A'!I2861</f>
        <v>0</v>
      </c>
      <c r="E595" s="354" t="s">
        <v>872</v>
      </c>
      <c r="F595" s="355">
        <f>'PART-A'!K2861</f>
        <v>95.89</v>
      </c>
      <c r="G595" s="353">
        <f t="shared" si="21"/>
        <v>0</v>
      </c>
      <c r="H595" s="633" t="s">
        <v>2312</v>
      </c>
    </row>
    <row r="596" spans="1:10" s="360" customFormat="1" ht="15" customHeight="1">
      <c r="A596" s="356" t="s">
        <v>520</v>
      </c>
      <c r="B596" s="804" t="s">
        <v>2681</v>
      </c>
      <c r="C596" s="632" t="s">
        <v>542</v>
      </c>
      <c r="D596" s="358">
        <f>'PART-A'!I2995</f>
        <v>0</v>
      </c>
      <c r="E596" s="354" t="s">
        <v>872</v>
      </c>
      <c r="F596" s="355">
        <f>'PART-A'!K2995</f>
        <v>110.99</v>
      </c>
      <c r="G596" s="353">
        <f t="shared" si="21"/>
        <v>0</v>
      </c>
      <c r="H596" s="633" t="s">
        <v>2313</v>
      </c>
    </row>
    <row r="597" spans="1:10" s="360" customFormat="1" ht="15" hidden="1" customHeight="1">
      <c r="A597" s="356" t="s">
        <v>1591</v>
      </c>
      <c r="B597" s="804"/>
      <c r="C597" s="809" t="s">
        <v>542</v>
      </c>
      <c r="D597" s="358">
        <f>'PART-A'!I2595</f>
        <v>0</v>
      </c>
      <c r="E597" s="354" t="s">
        <v>102</v>
      </c>
      <c r="F597" s="355">
        <f>'PART-A'!K2595</f>
        <v>2353.58</v>
      </c>
      <c r="G597" s="353">
        <f t="shared" si="21"/>
        <v>0</v>
      </c>
      <c r="H597" s="633" t="s">
        <v>2217</v>
      </c>
    </row>
    <row r="598" spans="1:10" s="360" customFormat="1" hidden="1">
      <c r="A598" s="356" t="s">
        <v>1591</v>
      </c>
      <c r="B598" s="804"/>
      <c r="C598" s="809" t="s">
        <v>542</v>
      </c>
      <c r="D598" s="358">
        <f>'PART-A'!I2731</f>
        <v>0</v>
      </c>
      <c r="E598" s="354" t="s">
        <v>102</v>
      </c>
      <c r="F598" s="355">
        <f>'PART-A'!K2731</f>
        <v>2324.02</v>
      </c>
      <c r="H598" s="633" t="s">
        <v>2299</v>
      </c>
      <c r="J598" s="353">
        <f>ROUND(D598*F598,0)</f>
        <v>0</v>
      </c>
    </row>
    <row r="599" spans="1:10" s="360" customFormat="1" ht="15" hidden="1" customHeight="1">
      <c r="A599" s="356" t="s">
        <v>1520</v>
      </c>
      <c r="B599" s="804"/>
      <c r="C599" s="809" t="s">
        <v>542</v>
      </c>
      <c r="D599" s="358">
        <f>'PART-A'!I2866</f>
        <v>0</v>
      </c>
      <c r="E599" s="354" t="s">
        <v>102</v>
      </c>
      <c r="F599" s="355">
        <f>'PART-A'!K2866</f>
        <v>2719.44</v>
      </c>
      <c r="G599" s="353">
        <f t="shared" ref="G599:G605" si="22">ROUND(D599*F599,0)</f>
        <v>0</v>
      </c>
      <c r="H599" s="633" t="s">
        <v>2312</v>
      </c>
    </row>
    <row r="600" spans="1:10" s="360" customFormat="1" ht="15" hidden="1" customHeight="1">
      <c r="A600" s="356" t="s">
        <v>1591</v>
      </c>
      <c r="B600" s="804"/>
      <c r="C600" s="809" t="s">
        <v>542</v>
      </c>
      <c r="D600" s="358">
        <f>'PART-A'!I3002</f>
        <v>0</v>
      </c>
      <c r="E600" s="354" t="s">
        <v>102</v>
      </c>
      <c r="F600" s="355">
        <f>'PART-A'!K3002</f>
        <v>3138.49</v>
      </c>
      <c r="G600" s="353">
        <f t="shared" si="22"/>
        <v>0</v>
      </c>
      <c r="H600" s="633" t="s">
        <v>2313</v>
      </c>
    </row>
    <row r="601" spans="1:10" s="360" customFormat="1" ht="15" hidden="1" customHeight="1">
      <c r="A601" s="356" t="s">
        <v>518</v>
      </c>
      <c r="B601" s="804"/>
      <c r="C601" s="809" t="s">
        <v>632</v>
      </c>
      <c r="D601" s="358">
        <f>'PART-A'!I2600</f>
        <v>0</v>
      </c>
      <c r="E601" s="354" t="s">
        <v>102</v>
      </c>
      <c r="F601" s="355">
        <f>'PART-A'!K2600</f>
        <v>106.5</v>
      </c>
      <c r="G601" s="353">
        <f t="shared" si="22"/>
        <v>0</v>
      </c>
      <c r="H601" s="633" t="s">
        <v>2217</v>
      </c>
    </row>
    <row r="602" spans="1:10" s="360" customFormat="1" ht="15" hidden="1" customHeight="1">
      <c r="A602" s="356" t="s">
        <v>518</v>
      </c>
      <c r="B602" s="804"/>
      <c r="C602" s="809" t="s">
        <v>632</v>
      </c>
      <c r="D602" s="358">
        <f>'PART-A'!I2736</f>
        <v>0</v>
      </c>
      <c r="E602" s="354" t="s">
        <v>102</v>
      </c>
      <c r="F602" s="355">
        <f>'PART-A'!K2736</f>
        <v>106.5</v>
      </c>
      <c r="G602" s="353">
        <f t="shared" si="22"/>
        <v>0</v>
      </c>
      <c r="H602" s="633" t="s">
        <v>2299</v>
      </c>
    </row>
    <row r="603" spans="1:10" s="360" customFormat="1" ht="15" hidden="1" customHeight="1">
      <c r="A603" s="356" t="s">
        <v>518</v>
      </c>
      <c r="B603" s="804"/>
      <c r="C603" s="809" t="s">
        <v>632</v>
      </c>
      <c r="D603" s="358">
        <f>'PART-A'!I2871</f>
        <v>0</v>
      </c>
      <c r="E603" s="354" t="s">
        <v>102</v>
      </c>
      <c r="F603" s="355">
        <f>'PART-A'!K2871</f>
        <v>114.65</v>
      </c>
      <c r="G603" s="353">
        <f t="shared" si="22"/>
        <v>0</v>
      </c>
      <c r="H603" s="633" t="s">
        <v>2312</v>
      </c>
    </row>
    <row r="604" spans="1:10" s="360" customFormat="1" ht="15" hidden="1" customHeight="1">
      <c r="A604" s="356" t="s">
        <v>518</v>
      </c>
      <c r="B604" s="804"/>
      <c r="C604" s="809" t="s">
        <v>632</v>
      </c>
      <c r="D604" s="358">
        <f>'PART-A'!I3007</f>
        <v>0</v>
      </c>
      <c r="E604" s="354" t="s">
        <v>102</v>
      </c>
      <c r="F604" s="355">
        <f>'PART-A'!K3007</f>
        <v>126.9</v>
      </c>
      <c r="G604" s="353">
        <f t="shared" si="22"/>
        <v>0</v>
      </c>
      <c r="H604" s="633" t="s">
        <v>2313</v>
      </c>
    </row>
    <row r="605" spans="1:10" s="360" customFormat="1" ht="15" hidden="1" customHeight="1">
      <c r="A605" s="356" t="s">
        <v>1592</v>
      </c>
      <c r="B605" s="804"/>
      <c r="C605" s="809" t="s">
        <v>2001</v>
      </c>
      <c r="D605" s="358">
        <f>'PART-A'!I2605</f>
        <v>0</v>
      </c>
      <c r="E605" s="354" t="s">
        <v>102</v>
      </c>
      <c r="F605" s="355">
        <f>'PART-A'!K2605</f>
        <v>2839.34</v>
      </c>
      <c r="G605" s="353">
        <f t="shared" si="22"/>
        <v>0</v>
      </c>
      <c r="H605" s="633" t="s">
        <v>2217</v>
      </c>
    </row>
    <row r="606" spans="1:10" s="360" customFormat="1" hidden="1">
      <c r="A606" s="356" t="s">
        <v>1592</v>
      </c>
      <c r="B606" s="804"/>
      <c r="C606" s="809" t="s">
        <v>2001</v>
      </c>
      <c r="D606" s="358">
        <f>'PART-A'!I2743</f>
        <v>0</v>
      </c>
      <c r="E606" s="354" t="s">
        <v>102</v>
      </c>
      <c r="F606" s="355">
        <f>'PART-A'!K2743</f>
        <v>2839.34</v>
      </c>
      <c r="H606" s="633" t="s">
        <v>2299</v>
      </c>
      <c r="J606" s="353">
        <f>ROUND(D606*F606,0)</f>
        <v>0</v>
      </c>
    </row>
    <row r="607" spans="1:10" s="360" customFormat="1" ht="15" hidden="1" customHeight="1">
      <c r="A607" s="356" t="s">
        <v>1592</v>
      </c>
      <c r="B607" s="804"/>
      <c r="C607" s="809" t="s">
        <v>2001</v>
      </c>
      <c r="D607" s="358">
        <f>'PART-A'!I2876</f>
        <v>0</v>
      </c>
      <c r="E607" s="354" t="s">
        <v>102</v>
      </c>
      <c r="F607" s="355">
        <f>'PART-A'!K2876</f>
        <v>3034.69</v>
      </c>
      <c r="G607" s="353">
        <f t="shared" ref="G607:G638" si="23">ROUND(D607*F607,0)</f>
        <v>0</v>
      </c>
      <c r="H607" s="633" t="s">
        <v>2312</v>
      </c>
    </row>
    <row r="608" spans="1:10" s="360" customFormat="1" ht="15" hidden="1" customHeight="1">
      <c r="A608" s="356" t="s">
        <v>1592</v>
      </c>
      <c r="B608" s="804"/>
      <c r="C608" s="809" t="s">
        <v>2001</v>
      </c>
      <c r="D608" s="358">
        <f>'PART-A'!I3017</f>
        <v>0</v>
      </c>
      <c r="E608" s="354" t="s">
        <v>102</v>
      </c>
      <c r="F608" s="355">
        <f>'PART-A'!K3017</f>
        <v>3345.94</v>
      </c>
      <c r="G608" s="353">
        <f t="shared" si="23"/>
        <v>0</v>
      </c>
      <c r="H608" s="633" t="s">
        <v>2313</v>
      </c>
    </row>
    <row r="609" spans="1:8" s="360" customFormat="1" ht="15" hidden="1" customHeight="1">
      <c r="A609" s="356" t="s">
        <v>642</v>
      </c>
      <c r="B609" s="804"/>
      <c r="C609" s="809" t="s">
        <v>2076</v>
      </c>
      <c r="D609" s="358">
        <f>'PART-A'!I2613</f>
        <v>0</v>
      </c>
      <c r="E609" s="354" t="s">
        <v>102</v>
      </c>
      <c r="F609" s="355">
        <f>'PART-A'!K2613</f>
        <v>1258.8900000000001</v>
      </c>
      <c r="G609" s="353">
        <f t="shared" si="23"/>
        <v>0</v>
      </c>
      <c r="H609" s="633" t="s">
        <v>2217</v>
      </c>
    </row>
    <row r="610" spans="1:8" s="360" customFormat="1" ht="15" hidden="1" customHeight="1">
      <c r="A610" s="356" t="s">
        <v>642</v>
      </c>
      <c r="B610" s="804"/>
      <c r="C610" s="809" t="s">
        <v>2076</v>
      </c>
      <c r="D610" s="358">
        <f>'PART-A'!I2751</f>
        <v>0</v>
      </c>
      <c r="E610" s="354" t="s">
        <v>102</v>
      </c>
      <c r="F610" s="355">
        <f>'PART-A'!K2751</f>
        <v>1258.8900000000001</v>
      </c>
      <c r="G610" s="353">
        <f t="shared" si="23"/>
        <v>0</v>
      </c>
      <c r="H610" s="633" t="s">
        <v>2299</v>
      </c>
    </row>
    <row r="611" spans="1:8" s="360" customFormat="1" ht="15" hidden="1" customHeight="1">
      <c r="A611" s="356" t="s">
        <v>642</v>
      </c>
      <c r="B611" s="804"/>
      <c r="C611" s="809" t="s">
        <v>2076</v>
      </c>
      <c r="D611" s="358">
        <f>'PART-A'!I2884</f>
        <v>0</v>
      </c>
      <c r="E611" s="354" t="s">
        <v>102</v>
      </c>
      <c r="F611" s="355">
        <f>'PART-A'!K2884</f>
        <v>1357.37</v>
      </c>
      <c r="G611" s="353">
        <f t="shared" si="23"/>
        <v>0</v>
      </c>
      <c r="H611" s="633" t="s">
        <v>2312</v>
      </c>
    </row>
    <row r="612" spans="1:8" s="360" customFormat="1" ht="15" hidden="1" customHeight="1">
      <c r="A612" s="356" t="s">
        <v>642</v>
      </c>
      <c r="B612" s="804"/>
      <c r="C612" s="809" t="s">
        <v>2076</v>
      </c>
      <c r="D612" s="358">
        <f>'PART-A'!I3025</f>
        <v>0</v>
      </c>
      <c r="E612" s="354" t="s">
        <v>102</v>
      </c>
      <c r="F612" s="355">
        <f>'PART-A'!K3025</f>
        <v>1514.34</v>
      </c>
      <c r="G612" s="353">
        <f t="shared" si="23"/>
        <v>0</v>
      </c>
      <c r="H612" s="633" t="s">
        <v>2313</v>
      </c>
    </row>
    <row r="613" spans="1:8" s="360" customFormat="1" ht="15" hidden="1" customHeight="1">
      <c r="A613" s="356" t="s">
        <v>642</v>
      </c>
      <c r="B613" s="804" t="s">
        <v>2642</v>
      </c>
      <c r="C613" s="632" t="s">
        <v>2288</v>
      </c>
      <c r="D613" s="358">
        <f>'PART-A'!I2618</f>
        <v>0</v>
      </c>
      <c r="E613" s="354" t="s">
        <v>872</v>
      </c>
      <c r="F613" s="355">
        <f>'PART-A'!K2618</f>
        <v>470.28</v>
      </c>
      <c r="G613" s="353">
        <f t="shared" si="23"/>
        <v>0</v>
      </c>
      <c r="H613" s="633" t="s">
        <v>2217</v>
      </c>
    </row>
    <row r="614" spans="1:8" s="360" customFormat="1" ht="15" hidden="1" customHeight="1">
      <c r="A614" s="356" t="s">
        <v>642</v>
      </c>
      <c r="B614" s="804" t="s">
        <v>2642</v>
      </c>
      <c r="C614" s="632" t="s">
        <v>2288</v>
      </c>
      <c r="D614" s="358">
        <f>'PART-A'!I2756</f>
        <v>0</v>
      </c>
      <c r="E614" s="354" t="s">
        <v>872</v>
      </c>
      <c r="F614" s="355">
        <f>'PART-A'!K2756</f>
        <v>470.28</v>
      </c>
      <c r="G614" s="353">
        <f t="shared" si="23"/>
        <v>0</v>
      </c>
      <c r="H614" s="633" t="s">
        <v>2299</v>
      </c>
    </row>
    <row r="615" spans="1:8" s="360" customFormat="1" ht="15" hidden="1" customHeight="1">
      <c r="A615" s="356" t="s">
        <v>642</v>
      </c>
      <c r="B615" s="804" t="s">
        <v>2642</v>
      </c>
      <c r="C615" s="632" t="s">
        <v>2288</v>
      </c>
      <c r="D615" s="358">
        <f>'PART-A'!I2889</f>
        <v>0</v>
      </c>
      <c r="E615" s="354" t="s">
        <v>872</v>
      </c>
      <c r="F615" s="355">
        <f>'PART-A'!K2889</f>
        <v>508</v>
      </c>
      <c r="G615" s="353">
        <f t="shared" si="23"/>
        <v>0</v>
      </c>
      <c r="H615" s="633" t="s">
        <v>2312</v>
      </c>
    </row>
    <row r="616" spans="1:8" s="360" customFormat="1" ht="15" hidden="1" customHeight="1">
      <c r="A616" s="356" t="s">
        <v>642</v>
      </c>
      <c r="B616" s="804" t="s">
        <v>2642</v>
      </c>
      <c r="C616" s="632" t="s">
        <v>2288</v>
      </c>
      <c r="D616" s="358">
        <f>'PART-A'!I3030</f>
        <v>0</v>
      </c>
      <c r="E616" s="354" t="s">
        <v>872</v>
      </c>
      <c r="F616" s="355">
        <f>'PART-A'!K3030</f>
        <v>568.35</v>
      </c>
      <c r="G616" s="353">
        <f t="shared" si="23"/>
        <v>0</v>
      </c>
      <c r="H616" s="633" t="s">
        <v>2313</v>
      </c>
    </row>
    <row r="617" spans="1:8" s="360" customFormat="1" ht="15" hidden="1" customHeight="1">
      <c r="A617" s="356" t="s">
        <v>1151</v>
      </c>
      <c r="B617" s="804"/>
      <c r="C617" s="632" t="s">
        <v>962</v>
      </c>
      <c r="D617" s="429">
        <f>'PART-A'!I2626</f>
        <v>0</v>
      </c>
      <c r="E617" s="221" t="s">
        <v>277</v>
      </c>
      <c r="F617" s="430">
        <f>'PART-A'!K2626</f>
        <v>412</v>
      </c>
      <c r="G617" s="353">
        <f t="shared" si="23"/>
        <v>0</v>
      </c>
      <c r="H617" s="633" t="s">
        <v>2217</v>
      </c>
    </row>
    <row r="618" spans="1:8" s="360" customFormat="1" ht="15" hidden="1" customHeight="1">
      <c r="A618" s="356" t="s">
        <v>1151</v>
      </c>
      <c r="B618" s="804"/>
      <c r="C618" s="632" t="s">
        <v>962</v>
      </c>
      <c r="D618" s="429">
        <f>'PART-A'!I2764</f>
        <v>0</v>
      </c>
      <c r="E618" s="221" t="s">
        <v>277</v>
      </c>
      <c r="F618" s="430">
        <f>'PART-A'!K2764</f>
        <v>412</v>
      </c>
      <c r="G618" s="353">
        <f t="shared" si="23"/>
        <v>0</v>
      </c>
      <c r="H618" s="633" t="s">
        <v>2299</v>
      </c>
    </row>
    <row r="619" spans="1:8" s="360" customFormat="1" ht="15" hidden="1" customHeight="1">
      <c r="A619" s="356" t="s">
        <v>1151</v>
      </c>
      <c r="B619" s="804"/>
      <c r="C619" s="632" t="s">
        <v>962</v>
      </c>
      <c r="D619" s="429">
        <f>'PART-A'!I2897</f>
        <v>0</v>
      </c>
      <c r="E619" s="221" t="s">
        <v>277</v>
      </c>
      <c r="F619" s="430">
        <f>'PART-A'!K2897</f>
        <v>438</v>
      </c>
      <c r="G619" s="353">
        <f t="shared" si="23"/>
        <v>0</v>
      </c>
      <c r="H619" s="633" t="s">
        <v>2312</v>
      </c>
    </row>
    <row r="620" spans="1:8" s="360" customFormat="1" ht="15" hidden="1" customHeight="1">
      <c r="A620" s="356" t="s">
        <v>1151</v>
      </c>
      <c r="B620" s="804"/>
      <c r="C620" s="632" t="s">
        <v>962</v>
      </c>
      <c r="D620" s="429">
        <f>'PART-A'!I3038</f>
        <v>0</v>
      </c>
      <c r="E620" s="221" t="s">
        <v>277</v>
      </c>
      <c r="F620" s="430">
        <f>'PART-A'!K3038</f>
        <v>453</v>
      </c>
      <c r="G620" s="353">
        <f t="shared" si="23"/>
        <v>0</v>
      </c>
      <c r="H620" s="633" t="s">
        <v>2313</v>
      </c>
    </row>
    <row r="621" spans="1:8" s="26" customFormat="1" ht="25.5" hidden="1">
      <c r="A621" s="23"/>
      <c r="B621" s="23"/>
      <c r="C621" s="627" t="s">
        <v>523</v>
      </c>
      <c r="D621" s="652"/>
      <c r="E621" s="653"/>
      <c r="F621" s="654"/>
      <c r="G621" s="11">
        <f t="shared" si="23"/>
        <v>0</v>
      </c>
      <c r="H621" s="633" t="s">
        <v>2217</v>
      </c>
    </row>
    <row r="622" spans="1:8" s="360" customFormat="1" hidden="1">
      <c r="A622" s="356" t="s">
        <v>512</v>
      </c>
      <c r="B622" s="804" t="s">
        <v>2643</v>
      </c>
      <c r="C622" s="632" t="s">
        <v>543</v>
      </c>
      <c r="D622" s="358">
        <f>'PART-A'!I3044</f>
        <v>0</v>
      </c>
      <c r="E622" s="354" t="s">
        <v>277</v>
      </c>
      <c r="F622" s="355">
        <f>'PART-A'!K3044</f>
        <v>193</v>
      </c>
      <c r="G622" s="353">
        <f t="shared" si="23"/>
        <v>0</v>
      </c>
      <c r="H622" s="633" t="s">
        <v>2217</v>
      </c>
    </row>
    <row r="623" spans="1:8" s="360" customFormat="1" ht="15" hidden="1" customHeight="1">
      <c r="A623" s="356" t="s">
        <v>1516</v>
      </c>
      <c r="B623" s="804" t="s">
        <v>2643</v>
      </c>
      <c r="C623" s="632" t="s">
        <v>543</v>
      </c>
      <c r="D623" s="358">
        <f>'PART-A'!I3182</f>
        <v>0</v>
      </c>
      <c r="E623" s="354" t="s">
        <v>277</v>
      </c>
      <c r="F623" s="355">
        <f>'PART-A'!K3182</f>
        <v>193</v>
      </c>
      <c r="G623" s="353">
        <f t="shared" si="23"/>
        <v>0</v>
      </c>
      <c r="H623" s="633" t="s">
        <v>2299</v>
      </c>
    </row>
    <row r="624" spans="1:8" s="360" customFormat="1" ht="15" hidden="1" customHeight="1">
      <c r="A624" s="356" t="s">
        <v>1516</v>
      </c>
      <c r="B624" s="804" t="s">
        <v>2643</v>
      </c>
      <c r="C624" s="632" t="s">
        <v>543</v>
      </c>
      <c r="D624" s="358">
        <f>'PART-A'!I3320</f>
        <v>0</v>
      </c>
      <c r="E624" s="354" t="s">
        <v>277</v>
      </c>
      <c r="F624" s="355">
        <f>'PART-A'!K3320</f>
        <v>202</v>
      </c>
      <c r="G624" s="353">
        <f t="shared" si="23"/>
        <v>0</v>
      </c>
      <c r="H624" s="633" t="s">
        <v>2312</v>
      </c>
    </row>
    <row r="625" spans="1:8" s="360" customFormat="1" ht="15" hidden="1" customHeight="1">
      <c r="A625" s="356" t="s">
        <v>1516</v>
      </c>
      <c r="B625" s="804" t="s">
        <v>2643</v>
      </c>
      <c r="C625" s="632" t="s">
        <v>543</v>
      </c>
      <c r="D625" s="358">
        <f>'PART-A'!I3462</f>
        <v>0</v>
      </c>
      <c r="E625" s="354" t="s">
        <v>277</v>
      </c>
      <c r="F625" s="355">
        <f>'PART-A'!K3462</f>
        <v>214</v>
      </c>
      <c r="G625" s="353">
        <f t="shared" si="23"/>
        <v>0</v>
      </c>
      <c r="H625" s="633" t="s">
        <v>2313</v>
      </c>
    </row>
    <row r="626" spans="1:8" s="360" customFormat="1" hidden="1">
      <c r="A626" s="356" t="s">
        <v>513</v>
      </c>
      <c r="B626" s="804" t="s">
        <v>2644</v>
      </c>
      <c r="C626" s="632" t="s">
        <v>544</v>
      </c>
      <c r="D626" s="358">
        <f>'PART-A'!I3049</f>
        <v>0</v>
      </c>
      <c r="E626" s="354" t="s">
        <v>277</v>
      </c>
      <c r="F626" s="355">
        <f>'PART-A'!K3049</f>
        <v>123</v>
      </c>
      <c r="G626" s="353">
        <f t="shared" si="23"/>
        <v>0</v>
      </c>
      <c r="H626" s="633" t="s">
        <v>2217</v>
      </c>
    </row>
    <row r="627" spans="1:8" s="360" customFormat="1" hidden="1">
      <c r="A627" s="356" t="s">
        <v>528</v>
      </c>
      <c r="B627" s="804" t="s">
        <v>2644</v>
      </c>
      <c r="C627" s="632" t="s">
        <v>544</v>
      </c>
      <c r="D627" s="358">
        <f>'PART-A'!I3187</f>
        <v>0</v>
      </c>
      <c r="E627" s="354" t="s">
        <v>277</v>
      </c>
      <c r="F627" s="355">
        <f>'PART-A'!K3187</f>
        <v>123</v>
      </c>
      <c r="G627" s="353">
        <f t="shared" si="23"/>
        <v>0</v>
      </c>
      <c r="H627" s="633" t="s">
        <v>2299</v>
      </c>
    </row>
    <row r="628" spans="1:8" s="360" customFormat="1" ht="15" hidden="1" customHeight="1">
      <c r="A628" s="356" t="s">
        <v>1146</v>
      </c>
      <c r="B628" s="804" t="s">
        <v>2644</v>
      </c>
      <c r="C628" s="632" t="s">
        <v>544</v>
      </c>
      <c r="D628" s="358">
        <f>'PART-A'!I3325</f>
        <v>0</v>
      </c>
      <c r="E628" s="354" t="s">
        <v>277</v>
      </c>
      <c r="F628" s="355">
        <f>'PART-A'!K3325</f>
        <v>129</v>
      </c>
      <c r="G628" s="353">
        <f t="shared" si="23"/>
        <v>0</v>
      </c>
      <c r="H628" s="633" t="s">
        <v>2312</v>
      </c>
    </row>
    <row r="629" spans="1:8" s="360" customFormat="1" ht="15" hidden="1" customHeight="1">
      <c r="A629" s="356" t="s">
        <v>1146</v>
      </c>
      <c r="B629" s="804" t="s">
        <v>2644</v>
      </c>
      <c r="C629" s="632" t="s">
        <v>544</v>
      </c>
      <c r="D629" s="358">
        <f>'PART-A'!I3467</f>
        <v>0</v>
      </c>
      <c r="E629" s="354" t="s">
        <v>277</v>
      </c>
      <c r="F629" s="355">
        <f>'PART-A'!K3467</f>
        <v>136</v>
      </c>
      <c r="G629" s="353">
        <f t="shared" si="23"/>
        <v>0</v>
      </c>
      <c r="H629" s="633" t="s">
        <v>2313</v>
      </c>
    </row>
    <row r="630" spans="1:8" s="360" customFormat="1" ht="15" hidden="1" customHeight="1">
      <c r="A630" s="356" t="s">
        <v>514</v>
      </c>
      <c r="B630" s="804" t="s">
        <v>2645</v>
      </c>
      <c r="C630" s="632" t="s">
        <v>2002</v>
      </c>
      <c r="D630" s="358">
        <f>'PART-A'!I3054</f>
        <v>0</v>
      </c>
      <c r="E630" s="354" t="s">
        <v>277</v>
      </c>
      <c r="F630" s="355">
        <f>'PART-A'!K3054</f>
        <v>85</v>
      </c>
      <c r="G630" s="353">
        <f t="shared" si="23"/>
        <v>0</v>
      </c>
      <c r="H630" s="633" t="s">
        <v>2217</v>
      </c>
    </row>
    <row r="631" spans="1:8" s="360" customFormat="1" ht="15" hidden="1" customHeight="1">
      <c r="A631" s="356" t="s">
        <v>1579</v>
      </c>
      <c r="B631" s="804" t="s">
        <v>2645</v>
      </c>
      <c r="C631" s="632" t="s">
        <v>2002</v>
      </c>
      <c r="D631" s="358">
        <f>'PART-A'!I3192</f>
        <v>0</v>
      </c>
      <c r="E631" s="354" t="s">
        <v>277</v>
      </c>
      <c r="F631" s="355">
        <f>'PART-A'!K3192</f>
        <v>85</v>
      </c>
      <c r="G631" s="353">
        <f t="shared" si="23"/>
        <v>0</v>
      </c>
      <c r="H631" s="633" t="s">
        <v>2299</v>
      </c>
    </row>
    <row r="632" spans="1:8" s="360" customFormat="1" ht="15" hidden="1" customHeight="1">
      <c r="A632" s="356" t="s">
        <v>515</v>
      </c>
      <c r="B632" s="804" t="s">
        <v>2645</v>
      </c>
      <c r="C632" s="632" t="s">
        <v>2002</v>
      </c>
      <c r="D632" s="358">
        <f>'PART-A'!I3331</f>
        <v>0</v>
      </c>
      <c r="E632" s="354" t="s">
        <v>277</v>
      </c>
      <c r="F632" s="355">
        <f>'PART-A'!K3331</f>
        <v>89</v>
      </c>
      <c r="G632" s="353">
        <f t="shared" si="23"/>
        <v>0</v>
      </c>
      <c r="H632" s="633" t="s">
        <v>2312</v>
      </c>
    </row>
    <row r="633" spans="1:8" s="360" customFormat="1" ht="15" hidden="1" customHeight="1">
      <c r="A633" s="356" t="s">
        <v>1594</v>
      </c>
      <c r="B633" s="804" t="s">
        <v>2645</v>
      </c>
      <c r="C633" s="632" t="s">
        <v>2002</v>
      </c>
      <c r="D633" s="358">
        <f>'PART-A'!I3472</f>
        <v>0</v>
      </c>
      <c r="E633" s="354" t="s">
        <v>277</v>
      </c>
      <c r="F633" s="355">
        <f>'PART-A'!K3472</f>
        <v>94</v>
      </c>
      <c r="G633" s="353">
        <f t="shared" si="23"/>
        <v>0</v>
      </c>
      <c r="H633" s="633" t="s">
        <v>2313</v>
      </c>
    </row>
    <row r="634" spans="1:8" s="360" customFormat="1" hidden="1">
      <c r="A634" s="356" t="s">
        <v>1153</v>
      </c>
      <c r="B634" s="804"/>
      <c r="C634" s="632" t="s">
        <v>1255</v>
      </c>
      <c r="D634" s="358">
        <f>'PART-A'!I3059</f>
        <v>0</v>
      </c>
      <c r="E634" s="354" t="s">
        <v>277</v>
      </c>
      <c r="F634" s="355">
        <f>'PART-A'!K3059</f>
        <v>24</v>
      </c>
      <c r="G634" s="353">
        <f t="shared" si="23"/>
        <v>0</v>
      </c>
      <c r="H634" s="633" t="s">
        <v>2217</v>
      </c>
    </row>
    <row r="635" spans="1:8" s="360" customFormat="1" ht="15" hidden="1" customHeight="1">
      <c r="A635" s="356" t="s">
        <v>1153</v>
      </c>
      <c r="B635" s="804"/>
      <c r="C635" s="632" t="s">
        <v>1255</v>
      </c>
      <c r="D635" s="358">
        <f>'PART-A'!I3197</f>
        <v>0</v>
      </c>
      <c r="E635" s="354" t="s">
        <v>277</v>
      </c>
      <c r="F635" s="355">
        <f>'PART-A'!K3197</f>
        <v>24</v>
      </c>
      <c r="G635" s="353">
        <f t="shared" si="23"/>
        <v>0</v>
      </c>
      <c r="H635" s="633" t="s">
        <v>2299</v>
      </c>
    </row>
    <row r="636" spans="1:8" s="360" customFormat="1" ht="15" hidden="1" customHeight="1">
      <c r="A636" s="356" t="s">
        <v>1153</v>
      </c>
      <c r="B636" s="804"/>
      <c r="C636" s="632" t="s">
        <v>1255</v>
      </c>
      <c r="D636" s="358">
        <f>'PART-A'!I3336</f>
        <v>0</v>
      </c>
      <c r="E636" s="354" t="s">
        <v>277</v>
      </c>
      <c r="F636" s="355">
        <f>'PART-A'!K3336</f>
        <v>33</v>
      </c>
      <c r="G636" s="353">
        <f t="shared" si="23"/>
        <v>0</v>
      </c>
      <c r="H636" s="633" t="s">
        <v>2312</v>
      </c>
    </row>
    <row r="637" spans="1:8" s="360" customFormat="1" ht="15" hidden="1" customHeight="1">
      <c r="A637" s="356" t="s">
        <v>1153</v>
      </c>
      <c r="B637" s="804"/>
      <c r="C637" s="632" t="s">
        <v>1255</v>
      </c>
      <c r="D637" s="358">
        <f>'PART-A'!I3477</f>
        <v>0</v>
      </c>
      <c r="E637" s="354" t="s">
        <v>277</v>
      </c>
      <c r="F637" s="355">
        <f>'PART-A'!K3477</f>
        <v>35</v>
      </c>
      <c r="G637" s="353">
        <f t="shared" si="23"/>
        <v>0</v>
      </c>
      <c r="H637" s="633" t="s">
        <v>2313</v>
      </c>
    </row>
    <row r="638" spans="1:8" s="360" customFormat="1" hidden="1">
      <c r="A638" s="356" t="s">
        <v>517</v>
      </c>
      <c r="B638" s="804" t="s">
        <v>2646</v>
      </c>
      <c r="C638" s="632" t="s">
        <v>545</v>
      </c>
      <c r="D638" s="358">
        <f>'PART-A'!I3064</f>
        <v>0</v>
      </c>
      <c r="E638" s="354" t="s">
        <v>277</v>
      </c>
      <c r="F638" s="355">
        <f>'PART-A'!K3064</f>
        <v>31</v>
      </c>
      <c r="G638" s="353">
        <f t="shared" si="23"/>
        <v>0</v>
      </c>
      <c r="H638" s="633" t="s">
        <v>2217</v>
      </c>
    </row>
    <row r="639" spans="1:8" s="360" customFormat="1" hidden="1">
      <c r="A639" s="356" t="s">
        <v>529</v>
      </c>
      <c r="B639" s="804" t="s">
        <v>2646</v>
      </c>
      <c r="C639" s="632" t="s">
        <v>545</v>
      </c>
      <c r="D639" s="358">
        <f>'PART-A'!I3202</f>
        <v>0</v>
      </c>
      <c r="E639" s="354" t="s">
        <v>277</v>
      </c>
      <c r="F639" s="355">
        <f>'PART-A'!K3202</f>
        <v>31</v>
      </c>
      <c r="G639" s="353">
        <f t="shared" ref="G639:G665" si="24">ROUND(D639*F639,0)</f>
        <v>0</v>
      </c>
      <c r="H639" s="633" t="s">
        <v>2299</v>
      </c>
    </row>
    <row r="640" spans="1:8" s="360" customFormat="1" ht="15" hidden="1" customHeight="1">
      <c r="A640" s="356" t="s">
        <v>518</v>
      </c>
      <c r="B640" s="804" t="s">
        <v>2646</v>
      </c>
      <c r="C640" s="632" t="s">
        <v>545</v>
      </c>
      <c r="D640" s="358">
        <f>'PART-A'!I3342</f>
        <v>0</v>
      </c>
      <c r="E640" s="354" t="s">
        <v>277</v>
      </c>
      <c r="F640" s="355">
        <f>'PART-A'!K3342</f>
        <v>33</v>
      </c>
      <c r="G640" s="353">
        <f t="shared" si="24"/>
        <v>0</v>
      </c>
      <c r="H640" s="633" t="s">
        <v>2312</v>
      </c>
    </row>
    <row r="641" spans="1:8" s="360" customFormat="1" ht="15" hidden="1" customHeight="1">
      <c r="A641" s="356" t="s">
        <v>1150</v>
      </c>
      <c r="B641" s="804" t="s">
        <v>2646</v>
      </c>
      <c r="C641" s="632" t="s">
        <v>545</v>
      </c>
      <c r="D641" s="358">
        <f>'PART-A'!I3482</f>
        <v>0</v>
      </c>
      <c r="E641" s="354" t="s">
        <v>277</v>
      </c>
      <c r="F641" s="355">
        <f>'PART-A'!K3482</f>
        <v>33</v>
      </c>
      <c r="G641" s="353">
        <f t="shared" si="24"/>
        <v>0</v>
      </c>
      <c r="H641" s="633" t="s">
        <v>2313</v>
      </c>
    </row>
    <row r="642" spans="1:8" s="360" customFormat="1" hidden="1">
      <c r="A642" s="356" t="s">
        <v>519</v>
      </c>
      <c r="B642" s="804" t="s">
        <v>2647</v>
      </c>
      <c r="C642" s="632" t="s">
        <v>546</v>
      </c>
      <c r="D642" s="358">
        <f>'PART-A'!I3069</f>
        <v>0</v>
      </c>
      <c r="E642" s="354" t="s">
        <v>115</v>
      </c>
      <c r="F642" s="355">
        <f>'PART-A'!K3069</f>
        <v>349</v>
      </c>
      <c r="G642" s="353">
        <f t="shared" si="24"/>
        <v>0</v>
      </c>
      <c r="H642" s="633" t="s">
        <v>2217</v>
      </c>
    </row>
    <row r="643" spans="1:8" s="360" customFormat="1" hidden="1">
      <c r="A643" s="356" t="s">
        <v>530</v>
      </c>
      <c r="B643" s="804" t="s">
        <v>2647</v>
      </c>
      <c r="C643" s="632" t="s">
        <v>546</v>
      </c>
      <c r="D643" s="358">
        <f>'PART-A'!I3207</f>
        <v>0</v>
      </c>
      <c r="E643" s="354" t="s">
        <v>115</v>
      </c>
      <c r="F643" s="355">
        <f>'PART-A'!K3207</f>
        <v>349</v>
      </c>
      <c r="G643" s="353">
        <f t="shared" si="24"/>
        <v>0</v>
      </c>
      <c r="H643" s="633" t="s">
        <v>2299</v>
      </c>
    </row>
    <row r="644" spans="1:8" s="360" customFormat="1" ht="15" hidden="1" customHeight="1">
      <c r="A644" s="356" t="s">
        <v>1152</v>
      </c>
      <c r="B644" s="804" t="s">
        <v>2647</v>
      </c>
      <c r="C644" s="632" t="s">
        <v>546</v>
      </c>
      <c r="D644" s="358">
        <f>'PART-A'!I3347</f>
        <v>0</v>
      </c>
      <c r="E644" s="354" t="s">
        <v>115</v>
      </c>
      <c r="F644" s="355">
        <f>'PART-A'!K3347</f>
        <v>366</v>
      </c>
      <c r="G644" s="353">
        <f t="shared" si="24"/>
        <v>0</v>
      </c>
      <c r="H644" s="633" t="s">
        <v>2312</v>
      </c>
    </row>
    <row r="645" spans="1:8" s="360" customFormat="1" ht="15" hidden="1" customHeight="1">
      <c r="A645" s="356" t="s">
        <v>1152</v>
      </c>
      <c r="B645" s="804" t="s">
        <v>2647</v>
      </c>
      <c r="C645" s="632" t="s">
        <v>546</v>
      </c>
      <c r="D645" s="358">
        <f>'PART-A'!I3487</f>
        <v>0</v>
      </c>
      <c r="E645" s="354" t="s">
        <v>115</v>
      </c>
      <c r="F645" s="355">
        <f>'PART-A'!K3487</f>
        <v>387</v>
      </c>
      <c r="G645" s="353">
        <f t="shared" si="24"/>
        <v>0</v>
      </c>
      <c r="H645" s="633" t="s">
        <v>2313</v>
      </c>
    </row>
    <row r="646" spans="1:8" s="360" customFormat="1" ht="25.5" hidden="1">
      <c r="A646" s="356" t="s">
        <v>520</v>
      </c>
      <c r="B646" s="804" t="s">
        <v>2649</v>
      </c>
      <c r="C646" s="632" t="s">
        <v>2648</v>
      </c>
      <c r="D646" s="358">
        <f>'PART-A'!I3074</f>
        <v>0</v>
      </c>
      <c r="E646" s="354" t="s">
        <v>115</v>
      </c>
      <c r="F646" s="355">
        <f>'PART-A'!K3074</f>
        <v>1483</v>
      </c>
      <c r="G646" s="353">
        <f t="shared" si="24"/>
        <v>0</v>
      </c>
      <c r="H646" s="633" t="s">
        <v>2217</v>
      </c>
    </row>
    <row r="647" spans="1:8" s="360" customFormat="1" ht="25.5" hidden="1">
      <c r="A647" s="356" t="s">
        <v>530</v>
      </c>
      <c r="B647" s="804" t="s">
        <v>2649</v>
      </c>
      <c r="C647" s="632" t="s">
        <v>2648</v>
      </c>
      <c r="D647" s="358">
        <f>'PART-A'!I3212</f>
        <v>0</v>
      </c>
      <c r="E647" s="354" t="s">
        <v>115</v>
      </c>
      <c r="F647" s="355">
        <f>'PART-A'!K3212</f>
        <v>2769</v>
      </c>
      <c r="G647" s="353">
        <f t="shared" si="24"/>
        <v>0</v>
      </c>
      <c r="H647" s="633" t="s">
        <v>2299</v>
      </c>
    </row>
    <row r="648" spans="1:8" s="360" customFormat="1" ht="25.5" hidden="1" customHeight="1">
      <c r="A648" s="356" t="s">
        <v>499</v>
      </c>
      <c r="B648" s="804" t="s">
        <v>2649</v>
      </c>
      <c r="C648" s="632" t="s">
        <v>2648</v>
      </c>
      <c r="D648" s="358">
        <f>'PART-A'!I3352</f>
        <v>0</v>
      </c>
      <c r="E648" s="354" t="s">
        <v>115</v>
      </c>
      <c r="F648" s="355">
        <f>'PART-A'!K3352</f>
        <v>1554</v>
      </c>
      <c r="G648" s="353">
        <f t="shared" si="24"/>
        <v>0</v>
      </c>
      <c r="H648" s="633" t="s">
        <v>2312</v>
      </c>
    </row>
    <row r="649" spans="1:8" s="360" customFormat="1" ht="25.5" hidden="1" customHeight="1">
      <c r="A649" s="356" t="s">
        <v>499</v>
      </c>
      <c r="B649" s="804" t="s">
        <v>2649</v>
      </c>
      <c r="C649" s="632" t="s">
        <v>2648</v>
      </c>
      <c r="D649" s="358">
        <f>'PART-A'!I3492</f>
        <v>0</v>
      </c>
      <c r="E649" s="354" t="s">
        <v>115</v>
      </c>
      <c r="F649" s="355">
        <f>'PART-A'!K3492</f>
        <v>1644</v>
      </c>
      <c r="G649" s="353">
        <f t="shared" si="24"/>
        <v>0</v>
      </c>
      <c r="H649" s="633" t="s">
        <v>2313</v>
      </c>
    </row>
    <row r="650" spans="1:8" s="360" customFormat="1" hidden="1">
      <c r="A650" s="356" t="s">
        <v>521</v>
      </c>
      <c r="B650" s="804" t="s">
        <v>2650</v>
      </c>
      <c r="C650" s="632" t="s">
        <v>547</v>
      </c>
      <c r="D650" s="358">
        <f>'PART-A'!I3079</f>
        <v>0</v>
      </c>
      <c r="E650" s="354" t="s">
        <v>277</v>
      </c>
      <c r="F650" s="355">
        <f>'PART-A'!K3079</f>
        <v>136.66666666666666</v>
      </c>
      <c r="G650" s="353">
        <f t="shared" si="24"/>
        <v>0</v>
      </c>
      <c r="H650" s="633" t="s">
        <v>2217</v>
      </c>
    </row>
    <row r="651" spans="1:8" s="360" customFormat="1" hidden="1">
      <c r="A651" s="356" t="s">
        <v>531</v>
      </c>
      <c r="B651" s="804" t="s">
        <v>2650</v>
      </c>
      <c r="C651" s="632" t="s">
        <v>547</v>
      </c>
      <c r="D651" s="358">
        <f>'PART-A'!I3217</f>
        <v>0</v>
      </c>
      <c r="E651" s="354" t="s">
        <v>277</v>
      </c>
      <c r="F651" s="355">
        <f>'PART-A'!K3217</f>
        <v>136.66666666666666</v>
      </c>
      <c r="G651" s="353">
        <f t="shared" si="24"/>
        <v>0</v>
      </c>
      <c r="H651" s="633" t="s">
        <v>2299</v>
      </c>
    </row>
    <row r="652" spans="1:8" s="360" customFormat="1" ht="15" hidden="1" customHeight="1">
      <c r="A652" s="356" t="s">
        <v>522</v>
      </c>
      <c r="B652" s="804" t="s">
        <v>2650</v>
      </c>
      <c r="C652" s="632" t="s">
        <v>547</v>
      </c>
      <c r="D652" s="358">
        <f>'PART-A'!I3358</f>
        <v>0</v>
      </c>
      <c r="E652" s="354" t="s">
        <v>277</v>
      </c>
      <c r="F652" s="355">
        <f>'PART-A'!K3358</f>
        <v>142</v>
      </c>
      <c r="G652" s="353">
        <f t="shared" si="24"/>
        <v>0</v>
      </c>
      <c r="H652" s="633" t="s">
        <v>2312</v>
      </c>
    </row>
    <row r="653" spans="1:8" s="360" customFormat="1" ht="15" hidden="1" customHeight="1">
      <c r="A653" s="356" t="s">
        <v>1154</v>
      </c>
      <c r="B653" s="804" t="s">
        <v>2650</v>
      </c>
      <c r="C653" s="632" t="s">
        <v>547</v>
      </c>
      <c r="D653" s="358">
        <f>'PART-A'!I3497</f>
        <v>0</v>
      </c>
      <c r="E653" s="354" t="s">
        <v>277</v>
      </c>
      <c r="F653" s="355">
        <f>'PART-A'!K3497</f>
        <v>149</v>
      </c>
      <c r="G653" s="353">
        <f t="shared" si="24"/>
        <v>0</v>
      </c>
      <c r="H653" s="633" t="s">
        <v>2313</v>
      </c>
    </row>
    <row r="654" spans="1:8" s="360" customFormat="1" hidden="1">
      <c r="A654" s="356" t="s">
        <v>524</v>
      </c>
      <c r="B654" s="804"/>
      <c r="C654" s="632" t="s">
        <v>548</v>
      </c>
      <c r="D654" s="358">
        <f>'PART-A'!I3084</f>
        <v>0</v>
      </c>
      <c r="E654" s="354" t="s">
        <v>277</v>
      </c>
      <c r="F654" s="355">
        <f>'PART-A'!K3084</f>
        <v>129.66666666666666</v>
      </c>
      <c r="G654" s="353">
        <f t="shared" si="24"/>
        <v>0</v>
      </c>
      <c r="H654" s="633" t="s">
        <v>2217</v>
      </c>
    </row>
    <row r="655" spans="1:8" s="360" customFormat="1" ht="15" hidden="1" customHeight="1">
      <c r="A655" s="356" t="s">
        <v>1258</v>
      </c>
      <c r="B655" s="804"/>
      <c r="C655" s="632" t="s">
        <v>548</v>
      </c>
      <c r="D655" s="358">
        <f>'PART-A'!I3222</f>
        <v>0</v>
      </c>
      <c r="E655" s="354" t="s">
        <v>277</v>
      </c>
      <c r="F655" s="355">
        <f>'PART-A'!K3222</f>
        <v>129.66666666666666</v>
      </c>
      <c r="G655" s="353">
        <f t="shared" si="24"/>
        <v>0</v>
      </c>
      <c r="H655" s="633" t="s">
        <v>2299</v>
      </c>
    </row>
    <row r="656" spans="1:8" s="360" customFormat="1" ht="15" hidden="1" customHeight="1">
      <c r="A656" s="356" t="s">
        <v>1258</v>
      </c>
      <c r="B656" s="804"/>
      <c r="C656" s="632" t="s">
        <v>548</v>
      </c>
      <c r="D656" s="358">
        <f>'PART-A'!I3363</f>
        <v>0</v>
      </c>
      <c r="E656" s="354" t="s">
        <v>277</v>
      </c>
      <c r="F656" s="355">
        <f>'PART-A'!K3363</f>
        <v>135</v>
      </c>
      <c r="G656" s="353">
        <f t="shared" si="24"/>
        <v>0</v>
      </c>
      <c r="H656" s="633" t="s">
        <v>2312</v>
      </c>
    </row>
    <row r="657" spans="1:8" s="360" customFormat="1" ht="15" hidden="1" customHeight="1">
      <c r="A657" s="356" t="s">
        <v>1258</v>
      </c>
      <c r="B657" s="804"/>
      <c r="C657" s="632" t="s">
        <v>548</v>
      </c>
      <c r="D657" s="358">
        <f>'PART-A'!I3502</f>
        <v>0</v>
      </c>
      <c r="E657" s="354" t="s">
        <v>277</v>
      </c>
      <c r="F657" s="355">
        <f>'PART-A'!K3502</f>
        <v>141.66666666666666</v>
      </c>
      <c r="G657" s="353">
        <f t="shared" si="24"/>
        <v>0</v>
      </c>
      <c r="H657" s="633" t="s">
        <v>2313</v>
      </c>
    </row>
    <row r="658" spans="1:8" s="360" customFormat="1" hidden="1">
      <c r="A658" s="356" t="s">
        <v>525</v>
      </c>
      <c r="B658" s="804" t="s">
        <v>2651</v>
      </c>
      <c r="C658" s="632" t="s">
        <v>549</v>
      </c>
      <c r="D658" s="358">
        <f>'PART-A'!I3089</f>
        <v>0</v>
      </c>
      <c r="E658" s="354" t="s">
        <v>277</v>
      </c>
      <c r="F658" s="355">
        <f>'PART-A'!K3089</f>
        <v>81.333333333333329</v>
      </c>
      <c r="G658" s="353">
        <f t="shared" si="24"/>
        <v>0</v>
      </c>
      <c r="H658" s="633" t="s">
        <v>2217</v>
      </c>
    </row>
    <row r="659" spans="1:8" s="360" customFormat="1" hidden="1">
      <c r="A659" s="356" t="s">
        <v>532</v>
      </c>
      <c r="B659" s="804" t="s">
        <v>2651</v>
      </c>
      <c r="C659" s="632" t="s">
        <v>549</v>
      </c>
      <c r="D659" s="358">
        <f>'PART-A'!I3227</f>
        <v>0</v>
      </c>
      <c r="E659" s="354" t="s">
        <v>277</v>
      </c>
      <c r="F659" s="355">
        <f>'PART-A'!K3227</f>
        <v>81.333333333333329</v>
      </c>
      <c r="G659" s="353">
        <f t="shared" si="24"/>
        <v>0</v>
      </c>
      <c r="H659" s="633" t="s">
        <v>2299</v>
      </c>
    </row>
    <row r="660" spans="1:8" s="360" customFormat="1" ht="15" hidden="1" customHeight="1">
      <c r="A660" s="356" t="s">
        <v>526</v>
      </c>
      <c r="B660" s="804" t="s">
        <v>2651</v>
      </c>
      <c r="C660" s="632" t="s">
        <v>549</v>
      </c>
      <c r="D660" s="358">
        <f>'PART-A'!I3369</f>
        <v>0</v>
      </c>
      <c r="E660" s="354" t="s">
        <v>277</v>
      </c>
      <c r="F660" s="355">
        <f>'PART-A'!K3369</f>
        <v>84.666666666666671</v>
      </c>
      <c r="G660" s="353">
        <f t="shared" si="24"/>
        <v>0</v>
      </c>
      <c r="H660" s="633" t="s">
        <v>2312</v>
      </c>
    </row>
    <row r="661" spans="1:8" s="360" customFormat="1" ht="15" hidden="1" customHeight="1">
      <c r="A661" s="356" t="s">
        <v>1156</v>
      </c>
      <c r="B661" s="804" t="s">
        <v>2651</v>
      </c>
      <c r="C661" s="632" t="s">
        <v>549</v>
      </c>
      <c r="D661" s="358">
        <f>'PART-A'!I3507</f>
        <v>0</v>
      </c>
      <c r="E661" s="354" t="s">
        <v>277</v>
      </c>
      <c r="F661" s="355">
        <f>'PART-A'!K3507</f>
        <v>89</v>
      </c>
      <c r="G661" s="353">
        <f t="shared" si="24"/>
        <v>0</v>
      </c>
      <c r="H661" s="633" t="s">
        <v>2313</v>
      </c>
    </row>
    <row r="662" spans="1:8" s="360" customFormat="1" hidden="1">
      <c r="A662" s="356" t="s">
        <v>527</v>
      </c>
      <c r="B662" s="804" t="s">
        <v>2646</v>
      </c>
      <c r="C662" s="632" t="s">
        <v>550</v>
      </c>
      <c r="D662" s="358">
        <f>'PART-A'!I3095</f>
        <v>0</v>
      </c>
      <c r="E662" s="354" t="s">
        <v>277</v>
      </c>
      <c r="F662" s="355">
        <f>'PART-A'!K3095</f>
        <v>70</v>
      </c>
      <c r="G662" s="353">
        <f t="shared" si="24"/>
        <v>0</v>
      </c>
      <c r="H662" s="633" t="s">
        <v>2217</v>
      </c>
    </row>
    <row r="663" spans="1:8" s="360" customFormat="1" hidden="1">
      <c r="A663" s="356" t="s">
        <v>1580</v>
      </c>
      <c r="B663" s="804" t="s">
        <v>2646</v>
      </c>
      <c r="C663" s="632" t="s">
        <v>550</v>
      </c>
      <c r="D663" s="358">
        <f>'PART-A'!I3233</f>
        <v>0</v>
      </c>
      <c r="E663" s="354" t="s">
        <v>277</v>
      </c>
      <c r="F663" s="355">
        <f>'PART-A'!K3233</f>
        <v>70</v>
      </c>
      <c r="G663" s="353">
        <f t="shared" si="24"/>
        <v>0</v>
      </c>
      <c r="H663" s="633" t="s">
        <v>2299</v>
      </c>
    </row>
    <row r="664" spans="1:8" s="360" customFormat="1" ht="15" hidden="1" customHeight="1">
      <c r="A664" s="356" t="s">
        <v>1578</v>
      </c>
      <c r="B664" s="804" t="s">
        <v>2646</v>
      </c>
      <c r="C664" s="632" t="s">
        <v>550</v>
      </c>
      <c r="D664" s="358">
        <f>'PART-A'!I3375</f>
        <v>0</v>
      </c>
      <c r="E664" s="354" t="s">
        <v>277</v>
      </c>
      <c r="F664" s="355">
        <f>'PART-A'!K3375</f>
        <v>74</v>
      </c>
      <c r="G664" s="353">
        <f t="shared" si="24"/>
        <v>0</v>
      </c>
      <c r="H664" s="633" t="s">
        <v>2312</v>
      </c>
    </row>
    <row r="665" spans="1:8" s="360" customFormat="1" ht="15" hidden="1" customHeight="1">
      <c r="A665" s="356" t="s">
        <v>1157</v>
      </c>
      <c r="B665" s="804" t="s">
        <v>2646</v>
      </c>
      <c r="C665" s="632" t="s">
        <v>550</v>
      </c>
      <c r="D665" s="358">
        <f>'PART-A'!I3513</f>
        <v>0</v>
      </c>
      <c r="E665" s="354" t="s">
        <v>277</v>
      </c>
      <c r="F665" s="355">
        <f>'PART-A'!K3513</f>
        <v>79</v>
      </c>
      <c r="G665" s="353">
        <f t="shared" si="24"/>
        <v>0</v>
      </c>
      <c r="H665" s="633" t="s">
        <v>2313</v>
      </c>
    </row>
    <row r="666" spans="1:8" s="360" customFormat="1" hidden="1">
      <c r="A666" s="356" t="s">
        <v>528</v>
      </c>
      <c r="B666" s="356"/>
      <c r="C666" s="357" t="s">
        <v>2436</v>
      </c>
      <c r="D666" s="358"/>
      <c r="E666" s="354"/>
      <c r="F666" s="355"/>
      <c r="G666" s="353"/>
      <c r="H666" s="633" t="s">
        <v>2217</v>
      </c>
    </row>
    <row r="667" spans="1:8" s="360" customFormat="1" hidden="1">
      <c r="A667" s="356" t="s">
        <v>1579</v>
      </c>
      <c r="B667" s="804" t="s">
        <v>2652</v>
      </c>
      <c r="C667" s="632" t="s">
        <v>551</v>
      </c>
      <c r="D667" s="358">
        <f>'PART-A'!I3100</f>
        <v>0</v>
      </c>
      <c r="E667" s="354" t="s">
        <v>115</v>
      </c>
      <c r="F667" s="355">
        <f>'PART-A'!K3100</f>
        <v>4776</v>
      </c>
      <c r="G667" s="353">
        <f t="shared" ref="G667:G698" si="25">ROUND(D667*F667,0)</f>
        <v>0</v>
      </c>
      <c r="H667" s="633" t="s">
        <v>2217</v>
      </c>
    </row>
    <row r="668" spans="1:8" s="360" customFormat="1" hidden="1">
      <c r="A668" s="356" t="s">
        <v>533</v>
      </c>
      <c r="B668" s="804" t="s">
        <v>2652</v>
      </c>
      <c r="C668" s="632" t="s">
        <v>551</v>
      </c>
      <c r="D668" s="358">
        <f>'PART-A'!I3238</f>
        <v>0</v>
      </c>
      <c r="E668" s="354" t="s">
        <v>115</v>
      </c>
      <c r="F668" s="355">
        <f>'PART-A'!K3238</f>
        <v>4776</v>
      </c>
      <c r="G668" s="353">
        <f t="shared" si="25"/>
        <v>0</v>
      </c>
      <c r="H668" s="633" t="s">
        <v>2299</v>
      </c>
    </row>
    <row r="669" spans="1:8" s="360" customFormat="1" ht="15" hidden="1" customHeight="1">
      <c r="A669" s="356" t="s">
        <v>1158</v>
      </c>
      <c r="B669" s="804" t="s">
        <v>2652</v>
      </c>
      <c r="C669" s="632" t="s">
        <v>551</v>
      </c>
      <c r="D669" s="358">
        <f>'PART-A'!I3380</f>
        <v>0</v>
      </c>
      <c r="E669" s="354" t="s">
        <v>115</v>
      </c>
      <c r="F669" s="355">
        <f>'PART-A'!K3380</f>
        <v>5006</v>
      </c>
      <c r="G669" s="353">
        <f t="shared" si="25"/>
        <v>0</v>
      </c>
      <c r="H669" s="633" t="s">
        <v>2312</v>
      </c>
    </row>
    <row r="670" spans="1:8" s="360" customFormat="1" ht="15" hidden="1" customHeight="1">
      <c r="A670" s="356" t="s">
        <v>1158</v>
      </c>
      <c r="B670" s="804" t="s">
        <v>2652</v>
      </c>
      <c r="C670" s="632" t="s">
        <v>551</v>
      </c>
      <c r="D670" s="358">
        <f>'PART-A'!I3518</f>
        <v>0</v>
      </c>
      <c r="E670" s="354" t="s">
        <v>115</v>
      </c>
      <c r="F670" s="355">
        <f>'PART-A'!K3518</f>
        <v>5297</v>
      </c>
      <c r="G670" s="353">
        <f t="shared" si="25"/>
        <v>0</v>
      </c>
      <c r="H670" s="633" t="s">
        <v>2313</v>
      </c>
    </row>
    <row r="671" spans="1:8" s="360" customFormat="1" ht="15" hidden="1" customHeight="1">
      <c r="A671" s="356" t="s">
        <v>644</v>
      </c>
      <c r="B671" s="804" t="s">
        <v>2653</v>
      </c>
      <c r="C671" s="632" t="s">
        <v>633</v>
      </c>
      <c r="D671" s="358">
        <f>'PART-A'!I3105</f>
        <v>0</v>
      </c>
      <c r="E671" s="354" t="s">
        <v>115</v>
      </c>
      <c r="F671" s="355">
        <f>'PART-A'!K3105</f>
        <v>934</v>
      </c>
      <c r="G671" s="353">
        <f t="shared" si="25"/>
        <v>0</v>
      </c>
      <c r="H671" s="633" t="s">
        <v>2217</v>
      </c>
    </row>
    <row r="672" spans="1:8" s="360" customFormat="1" ht="15" hidden="1" customHeight="1">
      <c r="A672" s="356" t="s">
        <v>644</v>
      </c>
      <c r="B672" s="804" t="s">
        <v>2653</v>
      </c>
      <c r="C672" s="632" t="s">
        <v>633</v>
      </c>
      <c r="D672" s="358">
        <f>'PART-A'!I3243</f>
        <v>0</v>
      </c>
      <c r="E672" s="354" t="s">
        <v>115</v>
      </c>
      <c r="F672" s="355">
        <f>'PART-A'!K3243</f>
        <v>934</v>
      </c>
      <c r="G672" s="353">
        <f t="shared" si="25"/>
        <v>0</v>
      </c>
      <c r="H672" s="633" t="s">
        <v>2299</v>
      </c>
    </row>
    <row r="673" spans="1:8" s="360" customFormat="1" ht="15" hidden="1" customHeight="1">
      <c r="A673" s="356" t="s">
        <v>644</v>
      </c>
      <c r="B673" s="804" t="s">
        <v>2653</v>
      </c>
      <c r="C673" s="632" t="s">
        <v>633</v>
      </c>
      <c r="D673" s="358">
        <f>'PART-A'!I3385</f>
        <v>0</v>
      </c>
      <c r="E673" s="354" t="s">
        <v>115</v>
      </c>
      <c r="F673" s="355">
        <f>'PART-A'!K3385</f>
        <v>979</v>
      </c>
      <c r="G673" s="353">
        <f t="shared" si="25"/>
        <v>0</v>
      </c>
      <c r="H673" s="633" t="s">
        <v>2312</v>
      </c>
    </row>
    <row r="674" spans="1:8" s="360" customFormat="1" ht="15" hidden="1" customHeight="1">
      <c r="A674" s="356" t="s">
        <v>644</v>
      </c>
      <c r="B674" s="804" t="s">
        <v>2653</v>
      </c>
      <c r="C674" s="632" t="s">
        <v>633</v>
      </c>
      <c r="D674" s="358">
        <f>'PART-A'!I3523</f>
        <v>0</v>
      </c>
      <c r="E674" s="354" t="s">
        <v>115</v>
      </c>
      <c r="F674" s="355">
        <f>'PART-A'!K3523</f>
        <v>1036</v>
      </c>
      <c r="G674" s="353">
        <f t="shared" si="25"/>
        <v>0</v>
      </c>
      <c r="H674" s="633" t="s">
        <v>2313</v>
      </c>
    </row>
    <row r="675" spans="1:8" s="360" customFormat="1" hidden="1">
      <c r="A675" s="356" t="s">
        <v>529</v>
      </c>
      <c r="B675" s="804" t="s">
        <v>2654</v>
      </c>
      <c r="C675" s="632" t="s">
        <v>634</v>
      </c>
      <c r="D675" s="358">
        <f>'PART-A'!I3115</f>
        <v>0</v>
      </c>
      <c r="E675" s="354" t="s">
        <v>115</v>
      </c>
      <c r="F675" s="355">
        <f>'PART-A'!K3115</f>
        <v>1827</v>
      </c>
      <c r="G675" s="353">
        <f t="shared" si="25"/>
        <v>0</v>
      </c>
      <c r="H675" s="633" t="s">
        <v>2217</v>
      </c>
    </row>
    <row r="676" spans="1:8" s="360" customFormat="1" ht="15" hidden="1" customHeight="1">
      <c r="A676" s="356" t="s">
        <v>534</v>
      </c>
      <c r="B676" s="804" t="s">
        <v>2654</v>
      </c>
      <c r="C676" s="632" t="s">
        <v>634</v>
      </c>
      <c r="D676" s="358">
        <f>'PART-A'!I3253</f>
        <v>0</v>
      </c>
      <c r="E676" s="354" t="s">
        <v>115</v>
      </c>
      <c r="F676" s="355">
        <f>'PART-A'!K3253</f>
        <v>1827</v>
      </c>
      <c r="G676" s="353">
        <f t="shared" si="25"/>
        <v>0</v>
      </c>
      <c r="H676" s="633" t="s">
        <v>2299</v>
      </c>
    </row>
    <row r="677" spans="1:8" s="360" customFormat="1" ht="15" hidden="1" customHeight="1">
      <c r="A677" s="356" t="s">
        <v>1158</v>
      </c>
      <c r="B677" s="804" t="s">
        <v>2654</v>
      </c>
      <c r="C677" s="632" t="s">
        <v>634</v>
      </c>
      <c r="D677" s="358">
        <f>'PART-A'!I3395</f>
        <v>0</v>
      </c>
      <c r="E677" s="354" t="s">
        <v>115</v>
      </c>
      <c r="F677" s="355">
        <f>'PART-A'!K3395</f>
        <v>1915</v>
      </c>
      <c r="G677" s="353">
        <f t="shared" si="25"/>
        <v>0</v>
      </c>
      <c r="H677" s="633" t="s">
        <v>2312</v>
      </c>
    </row>
    <row r="678" spans="1:8" s="360" customFormat="1" ht="15" hidden="1" customHeight="1">
      <c r="A678" s="356" t="s">
        <v>1158</v>
      </c>
      <c r="B678" s="804" t="s">
        <v>2654</v>
      </c>
      <c r="C678" s="632" t="s">
        <v>634</v>
      </c>
      <c r="D678" s="358">
        <f>'PART-A'!I3533</f>
        <v>0</v>
      </c>
      <c r="E678" s="354" t="s">
        <v>115</v>
      </c>
      <c r="F678" s="355">
        <f>'PART-A'!K3533</f>
        <v>2025</v>
      </c>
      <c r="G678" s="353">
        <f t="shared" si="25"/>
        <v>0</v>
      </c>
      <c r="H678" s="633" t="s">
        <v>2313</v>
      </c>
    </row>
    <row r="679" spans="1:8" s="360" customFormat="1" ht="15" hidden="1" customHeight="1">
      <c r="A679" s="356" t="s">
        <v>1595</v>
      </c>
      <c r="B679" s="804" t="s">
        <v>2655</v>
      </c>
      <c r="C679" s="632" t="s">
        <v>1256</v>
      </c>
      <c r="D679" s="358">
        <f>'PART-A'!I3110</f>
        <v>0</v>
      </c>
      <c r="E679" s="354" t="s">
        <v>115</v>
      </c>
      <c r="F679" s="355">
        <f>'PART-A'!K3110</f>
        <v>2385</v>
      </c>
      <c r="G679" s="353">
        <f t="shared" si="25"/>
        <v>0</v>
      </c>
      <c r="H679" s="633" t="s">
        <v>2217</v>
      </c>
    </row>
    <row r="680" spans="1:8" s="360" customFormat="1" hidden="1">
      <c r="A680" s="356" t="s">
        <v>534</v>
      </c>
      <c r="B680" s="804" t="s">
        <v>2655</v>
      </c>
      <c r="C680" s="632" t="s">
        <v>1256</v>
      </c>
      <c r="D680" s="358">
        <f>'PART-A'!I3248</f>
        <v>0</v>
      </c>
      <c r="E680" s="354" t="s">
        <v>115</v>
      </c>
      <c r="F680" s="355">
        <f>'PART-A'!K3248</f>
        <v>2385</v>
      </c>
      <c r="G680" s="353">
        <f t="shared" si="25"/>
        <v>0</v>
      </c>
      <c r="H680" s="633" t="s">
        <v>2299</v>
      </c>
    </row>
    <row r="681" spans="1:8" s="360" customFormat="1" ht="15" hidden="1" customHeight="1">
      <c r="A681" s="356" t="s">
        <v>1595</v>
      </c>
      <c r="B681" s="804" t="s">
        <v>2655</v>
      </c>
      <c r="C681" s="632" t="s">
        <v>1256</v>
      </c>
      <c r="D681" s="358">
        <f>'PART-A'!I3390</f>
        <v>0</v>
      </c>
      <c r="E681" s="354" t="s">
        <v>115</v>
      </c>
      <c r="F681" s="355">
        <f>'PART-A'!K3390</f>
        <v>2499</v>
      </c>
      <c r="G681" s="353">
        <f t="shared" si="25"/>
        <v>0</v>
      </c>
      <c r="H681" s="633" t="s">
        <v>2312</v>
      </c>
    </row>
    <row r="682" spans="1:8" s="360" customFormat="1" ht="15" hidden="1" customHeight="1">
      <c r="A682" s="356" t="s">
        <v>1595</v>
      </c>
      <c r="B682" s="804" t="s">
        <v>2655</v>
      </c>
      <c r="C682" s="632" t="s">
        <v>1256</v>
      </c>
      <c r="D682" s="358">
        <f>'PART-A'!I3528</f>
        <v>0</v>
      </c>
      <c r="E682" s="354" t="s">
        <v>115</v>
      </c>
      <c r="F682" s="355">
        <f>'PART-A'!K3528</f>
        <v>2644</v>
      </c>
      <c r="G682" s="353">
        <f t="shared" si="25"/>
        <v>0</v>
      </c>
      <c r="H682" s="633" t="s">
        <v>2313</v>
      </c>
    </row>
    <row r="683" spans="1:8" s="360" customFormat="1" hidden="1">
      <c r="A683" s="356" t="s">
        <v>530</v>
      </c>
      <c r="B683" s="804" t="s">
        <v>2656</v>
      </c>
      <c r="C683" s="632" t="s">
        <v>719</v>
      </c>
      <c r="D683" s="358">
        <f>'PART-A'!I3120</f>
        <v>0</v>
      </c>
      <c r="E683" s="354" t="s">
        <v>115</v>
      </c>
      <c r="F683" s="355">
        <f>'PART-A'!K3120</f>
        <v>122</v>
      </c>
      <c r="G683" s="353">
        <f t="shared" si="25"/>
        <v>0</v>
      </c>
      <c r="H683" s="633" t="s">
        <v>2217</v>
      </c>
    </row>
    <row r="684" spans="1:8" s="360" customFormat="1" hidden="1">
      <c r="A684" s="356" t="s">
        <v>642</v>
      </c>
      <c r="B684" s="804" t="s">
        <v>2656</v>
      </c>
      <c r="C684" s="632" t="s">
        <v>719</v>
      </c>
      <c r="D684" s="358">
        <f>'PART-A'!I3258</f>
        <v>0</v>
      </c>
      <c r="E684" s="354" t="s">
        <v>115</v>
      </c>
      <c r="F684" s="355">
        <f>'PART-A'!K3258</f>
        <v>86</v>
      </c>
      <c r="G684" s="353">
        <f t="shared" si="25"/>
        <v>0</v>
      </c>
      <c r="H684" s="633" t="s">
        <v>2299</v>
      </c>
    </row>
    <row r="685" spans="1:8" s="360" customFormat="1" ht="15" hidden="1" customHeight="1">
      <c r="A685" s="356" t="s">
        <v>1259</v>
      </c>
      <c r="B685" s="804" t="s">
        <v>2656</v>
      </c>
      <c r="C685" s="632" t="s">
        <v>719</v>
      </c>
      <c r="D685" s="358">
        <f>'PART-A'!I3400</f>
        <v>0</v>
      </c>
      <c r="E685" s="354" t="s">
        <v>115</v>
      </c>
      <c r="F685" s="355">
        <f>'PART-A'!K3400</f>
        <v>89</v>
      </c>
      <c r="G685" s="353">
        <f t="shared" si="25"/>
        <v>0</v>
      </c>
      <c r="H685" s="633" t="s">
        <v>2312</v>
      </c>
    </row>
    <row r="686" spans="1:8" s="360" customFormat="1" ht="15" hidden="1" customHeight="1">
      <c r="A686" s="356" t="s">
        <v>1259</v>
      </c>
      <c r="B686" s="804" t="s">
        <v>2656</v>
      </c>
      <c r="C686" s="632" t="s">
        <v>719</v>
      </c>
      <c r="D686" s="358">
        <f>'PART-A'!I3538</f>
        <v>0</v>
      </c>
      <c r="E686" s="354" t="s">
        <v>115</v>
      </c>
      <c r="F686" s="355">
        <f>'PART-A'!K3538</f>
        <v>93</v>
      </c>
      <c r="G686" s="353">
        <f t="shared" si="25"/>
        <v>0</v>
      </c>
      <c r="H686" s="633" t="s">
        <v>2313</v>
      </c>
    </row>
    <row r="687" spans="1:8" s="360" customFormat="1" hidden="1">
      <c r="A687" s="356" t="s">
        <v>532</v>
      </c>
      <c r="B687" s="804" t="s">
        <v>2657</v>
      </c>
      <c r="C687" s="632" t="s">
        <v>552</v>
      </c>
      <c r="D687" s="358">
        <f>'PART-A'!I3125</f>
        <v>0</v>
      </c>
      <c r="E687" s="354" t="s">
        <v>574</v>
      </c>
      <c r="F687" s="355">
        <f>'PART-A'!K3125</f>
        <v>6</v>
      </c>
      <c r="G687" s="353">
        <f t="shared" si="25"/>
        <v>0</v>
      </c>
      <c r="H687" s="633" t="s">
        <v>2217</v>
      </c>
    </row>
    <row r="688" spans="1:8" s="360" customFormat="1" hidden="1">
      <c r="A688" s="356" t="s">
        <v>643</v>
      </c>
      <c r="B688" s="804" t="s">
        <v>2657</v>
      </c>
      <c r="C688" s="632" t="s">
        <v>552</v>
      </c>
      <c r="D688" s="358">
        <f>'PART-A'!I3263</f>
        <v>0</v>
      </c>
      <c r="E688" s="354" t="s">
        <v>574</v>
      </c>
      <c r="F688" s="355">
        <f>'PART-A'!K3263</f>
        <v>6</v>
      </c>
      <c r="G688" s="353">
        <f t="shared" si="25"/>
        <v>0</v>
      </c>
      <c r="H688" s="633" t="s">
        <v>2299</v>
      </c>
    </row>
    <row r="689" spans="1:10" s="360" customFormat="1" ht="15" hidden="1" customHeight="1">
      <c r="A689" s="356" t="s">
        <v>1259</v>
      </c>
      <c r="B689" s="804" t="s">
        <v>2657</v>
      </c>
      <c r="C689" s="632" t="s">
        <v>552</v>
      </c>
      <c r="D689" s="358">
        <f>'PART-A'!I3405</f>
        <v>0</v>
      </c>
      <c r="E689" s="354" t="s">
        <v>574</v>
      </c>
      <c r="F689" s="355">
        <f>'PART-A'!K3405</f>
        <v>6</v>
      </c>
      <c r="G689" s="353">
        <f t="shared" si="25"/>
        <v>0</v>
      </c>
      <c r="H689" s="633" t="s">
        <v>2312</v>
      </c>
    </row>
    <row r="690" spans="1:10" s="360" customFormat="1" ht="15" hidden="1" customHeight="1">
      <c r="A690" s="356" t="s">
        <v>1259</v>
      </c>
      <c r="B690" s="804" t="s">
        <v>2657</v>
      </c>
      <c r="C690" s="632" t="s">
        <v>552</v>
      </c>
      <c r="D690" s="358">
        <f>'PART-A'!I3543</f>
        <v>0</v>
      </c>
      <c r="E690" s="354" t="s">
        <v>574</v>
      </c>
      <c r="F690" s="355">
        <f>'PART-A'!K3543</f>
        <v>9.5</v>
      </c>
      <c r="G690" s="353">
        <f t="shared" si="25"/>
        <v>0</v>
      </c>
      <c r="H690" s="633" t="s">
        <v>2313</v>
      </c>
    </row>
    <row r="691" spans="1:10" s="360" customFormat="1" hidden="1">
      <c r="A691" s="356" t="s">
        <v>1160</v>
      </c>
      <c r="B691" s="804"/>
      <c r="C691" s="632" t="s">
        <v>553</v>
      </c>
      <c r="D691" s="358">
        <f>'PART-A'!I3128</f>
        <v>0</v>
      </c>
      <c r="E691" s="354" t="s">
        <v>277</v>
      </c>
      <c r="F691" s="355">
        <f>'PART-A'!K3128</f>
        <v>446.4</v>
      </c>
      <c r="H691" s="633" t="s">
        <v>2217</v>
      </c>
      <c r="J691" s="353">
        <f>ROUND(D691*F691,0)</f>
        <v>0</v>
      </c>
    </row>
    <row r="692" spans="1:10" s="360" customFormat="1" ht="15" hidden="1" customHeight="1">
      <c r="A692" s="356" t="s">
        <v>1160</v>
      </c>
      <c r="B692" s="804"/>
      <c r="C692" s="632" t="s">
        <v>553</v>
      </c>
      <c r="D692" s="358">
        <f>'PART-A'!I3266</f>
        <v>0</v>
      </c>
      <c r="E692" s="354" t="s">
        <v>277</v>
      </c>
      <c r="F692" s="355">
        <f>'PART-A'!K3266</f>
        <v>446.4</v>
      </c>
      <c r="H692" s="633" t="s">
        <v>2299</v>
      </c>
      <c r="J692" s="353">
        <f>ROUND(D692*F692,0)</f>
        <v>0</v>
      </c>
    </row>
    <row r="693" spans="1:10" s="360" customFormat="1" ht="15" hidden="1" customHeight="1">
      <c r="A693" s="356" t="s">
        <v>1160</v>
      </c>
      <c r="B693" s="804"/>
      <c r="C693" s="632" t="s">
        <v>553</v>
      </c>
      <c r="D693" s="358">
        <f>'PART-A'!I3408</f>
        <v>0</v>
      </c>
      <c r="E693" s="354" t="s">
        <v>277</v>
      </c>
      <c r="F693" s="355">
        <f>'PART-A'!K3408</f>
        <v>470</v>
      </c>
      <c r="G693" s="353">
        <f t="shared" si="25"/>
        <v>0</v>
      </c>
      <c r="H693" s="633" t="s">
        <v>2312</v>
      </c>
    </row>
    <row r="694" spans="1:10" s="360" customFormat="1" ht="15" hidden="1" customHeight="1">
      <c r="A694" s="356" t="s">
        <v>1160</v>
      </c>
      <c r="B694" s="804"/>
      <c r="C694" s="632" t="s">
        <v>553</v>
      </c>
      <c r="D694" s="358">
        <f>'PART-A'!I3546</f>
        <v>0</v>
      </c>
      <c r="E694" s="354" t="s">
        <v>277</v>
      </c>
      <c r="F694" s="355">
        <f>'PART-A'!K3546</f>
        <v>446.4</v>
      </c>
      <c r="G694" s="353">
        <f t="shared" si="25"/>
        <v>0</v>
      </c>
      <c r="H694" s="633" t="s">
        <v>2313</v>
      </c>
    </row>
    <row r="695" spans="1:10" s="360" customFormat="1" ht="15" hidden="1" customHeight="1">
      <c r="A695" s="356" t="s">
        <v>524</v>
      </c>
      <c r="B695" s="804"/>
      <c r="C695" s="632" t="s">
        <v>553</v>
      </c>
      <c r="D695" s="358">
        <f>'PART-A'!I3129</f>
        <v>0</v>
      </c>
      <c r="E695" s="354" t="s">
        <v>277</v>
      </c>
      <c r="F695" s="355">
        <f>'PART-A'!K3129</f>
        <v>477.6</v>
      </c>
      <c r="H695" s="633" t="s">
        <v>2217</v>
      </c>
      <c r="J695" s="353">
        <f>ROUND(D695*F695,0)</f>
        <v>0</v>
      </c>
    </row>
    <row r="696" spans="1:10" s="360" customFormat="1" ht="15" hidden="1" customHeight="1">
      <c r="A696" s="356" t="s">
        <v>524</v>
      </c>
      <c r="B696" s="804"/>
      <c r="C696" s="632" t="s">
        <v>553</v>
      </c>
      <c r="D696" s="358">
        <f>'PART-A'!I3267</f>
        <v>0</v>
      </c>
      <c r="E696" s="354" t="s">
        <v>277</v>
      </c>
      <c r="F696" s="355">
        <f>'PART-A'!K3267</f>
        <v>477.6</v>
      </c>
      <c r="G696" s="353">
        <f t="shared" si="25"/>
        <v>0</v>
      </c>
      <c r="H696" s="633" t="s">
        <v>2299</v>
      </c>
    </row>
    <row r="697" spans="1:10" s="360" customFormat="1" ht="15" hidden="1" customHeight="1">
      <c r="A697" s="356" t="s">
        <v>524</v>
      </c>
      <c r="B697" s="804"/>
      <c r="C697" s="632" t="s">
        <v>553</v>
      </c>
      <c r="D697" s="358">
        <f>'PART-A'!I3409</f>
        <v>0</v>
      </c>
      <c r="E697" s="354" t="s">
        <v>277</v>
      </c>
      <c r="F697" s="355">
        <f>'PART-A'!K3409</f>
        <v>502</v>
      </c>
      <c r="G697" s="353">
        <f t="shared" si="25"/>
        <v>0</v>
      </c>
      <c r="H697" s="633" t="s">
        <v>2312</v>
      </c>
    </row>
    <row r="698" spans="1:10" s="360" customFormat="1" ht="15" hidden="1" customHeight="1">
      <c r="A698" s="356" t="s">
        <v>524</v>
      </c>
      <c r="B698" s="804"/>
      <c r="C698" s="632" t="s">
        <v>553</v>
      </c>
      <c r="D698" s="358">
        <f>'PART-A'!I3547</f>
        <v>0</v>
      </c>
      <c r="E698" s="354" t="s">
        <v>277</v>
      </c>
      <c r="F698" s="355">
        <f>'PART-A'!K3547</f>
        <v>477.6</v>
      </c>
      <c r="G698" s="353">
        <f t="shared" si="25"/>
        <v>0</v>
      </c>
      <c r="H698" s="633" t="s">
        <v>2313</v>
      </c>
    </row>
    <row r="699" spans="1:10" s="360" customFormat="1" ht="15" hidden="1" customHeight="1">
      <c r="A699" s="356" t="s">
        <v>525</v>
      </c>
      <c r="B699" s="804"/>
      <c r="C699" s="632" t="s">
        <v>553</v>
      </c>
      <c r="D699" s="358">
        <f>'PART-A'!I3130</f>
        <v>0</v>
      </c>
      <c r="E699" s="354" t="s">
        <v>277</v>
      </c>
      <c r="F699" s="355">
        <f>'PART-A'!K3130</f>
        <v>600</v>
      </c>
      <c r="G699" s="353">
        <f t="shared" ref="G699:G730" si="26">ROUND(D699*F699,0)</f>
        <v>0</v>
      </c>
      <c r="H699" s="633" t="s">
        <v>2217</v>
      </c>
    </row>
    <row r="700" spans="1:10" s="360" customFormat="1" ht="15" hidden="1" customHeight="1">
      <c r="A700" s="356" t="s">
        <v>525</v>
      </c>
      <c r="B700" s="804"/>
      <c r="C700" s="632" t="s">
        <v>553</v>
      </c>
      <c r="D700" s="358">
        <f>'PART-A'!I3268</f>
        <v>0</v>
      </c>
      <c r="E700" s="354" t="s">
        <v>277</v>
      </c>
      <c r="F700" s="355">
        <f>'PART-A'!K3268</f>
        <v>535.70000000000005</v>
      </c>
      <c r="G700" s="353">
        <f t="shared" si="26"/>
        <v>0</v>
      </c>
      <c r="H700" s="633" t="s">
        <v>2299</v>
      </c>
    </row>
    <row r="701" spans="1:10" s="360" customFormat="1" ht="15" hidden="1" customHeight="1">
      <c r="A701" s="356" t="s">
        <v>525</v>
      </c>
      <c r="B701" s="804"/>
      <c r="C701" s="632" t="s">
        <v>553</v>
      </c>
      <c r="D701" s="358">
        <f>'PART-A'!I3410</f>
        <v>0</v>
      </c>
      <c r="E701" s="354" t="s">
        <v>277</v>
      </c>
      <c r="F701" s="355">
        <f>'PART-A'!K3410</f>
        <v>563</v>
      </c>
      <c r="G701" s="353">
        <f t="shared" si="26"/>
        <v>0</v>
      </c>
      <c r="H701" s="633" t="s">
        <v>2312</v>
      </c>
    </row>
    <row r="702" spans="1:10" s="360" customFormat="1" ht="15" hidden="1" customHeight="1">
      <c r="A702" s="356" t="s">
        <v>525</v>
      </c>
      <c r="B702" s="804"/>
      <c r="C702" s="632" t="s">
        <v>553</v>
      </c>
      <c r="D702" s="358">
        <f>'PART-A'!I3548</f>
        <v>0</v>
      </c>
      <c r="E702" s="354" t="s">
        <v>277</v>
      </c>
      <c r="F702" s="355">
        <f>'PART-A'!K3548</f>
        <v>535.70000000000005</v>
      </c>
      <c r="G702" s="353">
        <f t="shared" si="26"/>
        <v>0</v>
      </c>
      <c r="H702" s="633" t="s">
        <v>2313</v>
      </c>
    </row>
    <row r="703" spans="1:10" s="360" customFormat="1" hidden="1">
      <c r="A703" s="356" t="s">
        <v>1260</v>
      </c>
      <c r="B703" s="804"/>
      <c r="C703" s="632" t="s">
        <v>554</v>
      </c>
      <c r="D703" s="358">
        <f>'PART-A'!I3136</f>
        <v>0</v>
      </c>
      <c r="E703" s="354" t="s">
        <v>277</v>
      </c>
      <c r="F703" s="355">
        <f>'PART-A'!K3136</f>
        <v>325</v>
      </c>
      <c r="H703" s="633" t="s">
        <v>2217</v>
      </c>
      <c r="J703" s="353">
        <f>ROUND(D703*F703,0)</f>
        <v>0</v>
      </c>
    </row>
    <row r="704" spans="1:10" s="360" customFormat="1" ht="15" hidden="1" customHeight="1">
      <c r="A704" s="356" t="s">
        <v>1260</v>
      </c>
      <c r="B704" s="804"/>
      <c r="C704" s="632" t="s">
        <v>554</v>
      </c>
      <c r="D704" s="358">
        <f>'PART-A'!I3274</f>
        <v>0</v>
      </c>
      <c r="E704" s="354" t="s">
        <v>277</v>
      </c>
      <c r="F704" s="355">
        <f>'PART-A'!K3274</f>
        <v>325</v>
      </c>
      <c r="H704" s="633" t="s">
        <v>2299</v>
      </c>
      <c r="J704" s="353">
        <f>ROUND(D704*F704,0)</f>
        <v>0</v>
      </c>
    </row>
    <row r="705" spans="1:10" s="360" customFormat="1" ht="15" hidden="1" customHeight="1">
      <c r="A705" s="356" t="s">
        <v>1260</v>
      </c>
      <c r="B705" s="804"/>
      <c r="C705" s="632" t="s">
        <v>554</v>
      </c>
      <c r="D705" s="358">
        <f>'PART-A'!I3416</f>
        <v>0</v>
      </c>
      <c r="E705" s="354" t="s">
        <v>277</v>
      </c>
      <c r="F705" s="355">
        <f>'PART-A'!K3416</f>
        <v>342</v>
      </c>
      <c r="G705" s="353">
        <f t="shared" si="26"/>
        <v>0</v>
      </c>
      <c r="H705" s="633" t="s">
        <v>2312</v>
      </c>
    </row>
    <row r="706" spans="1:10" s="360" customFormat="1" ht="15" hidden="1" customHeight="1">
      <c r="A706" s="356" t="s">
        <v>1260</v>
      </c>
      <c r="B706" s="804"/>
      <c r="C706" s="632" t="s">
        <v>554</v>
      </c>
      <c r="D706" s="358">
        <f>'PART-A'!I3554</f>
        <v>0</v>
      </c>
      <c r="E706" s="354" t="s">
        <v>277</v>
      </c>
      <c r="F706" s="355">
        <f>'PART-A'!K3554</f>
        <v>325</v>
      </c>
      <c r="G706" s="353">
        <f t="shared" si="26"/>
        <v>0</v>
      </c>
      <c r="H706" s="633" t="s">
        <v>2313</v>
      </c>
    </row>
    <row r="707" spans="1:10" s="360" customFormat="1" hidden="1">
      <c r="A707" s="356" t="s">
        <v>1161</v>
      </c>
      <c r="B707" s="804"/>
      <c r="C707" s="632" t="s">
        <v>635</v>
      </c>
      <c r="D707" s="358">
        <f>'PART-A'!I3141</f>
        <v>0</v>
      </c>
      <c r="E707" s="354" t="s">
        <v>115</v>
      </c>
      <c r="F707" s="355">
        <f>'PART-A'!K3141</f>
        <v>18409</v>
      </c>
      <c r="H707" s="633" t="s">
        <v>2217</v>
      </c>
      <c r="J707" s="353">
        <f>ROUND(D707*F707,0)</f>
        <v>0</v>
      </c>
    </row>
    <row r="708" spans="1:10" s="360" customFormat="1" ht="15" hidden="1" customHeight="1">
      <c r="A708" s="356" t="s">
        <v>1161</v>
      </c>
      <c r="B708" s="804"/>
      <c r="C708" s="632" t="s">
        <v>635</v>
      </c>
      <c r="D708" s="358">
        <f>'PART-A'!I3279</f>
        <v>0</v>
      </c>
      <c r="E708" s="354" t="s">
        <v>115</v>
      </c>
      <c r="F708" s="355">
        <f>'PART-A'!K3279</f>
        <v>18526</v>
      </c>
      <c r="H708" s="633" t="s">
        <v>2299</v>
      </c>
      <c r="J708" s="353">
        <f>ROUND(D708*F708,0)</f>
        <v>0</v>
      </c>
    </row>
    <row r="709" spans="1:10" s="360" customFormat="1" ht="15" hidden="1" customHeight="1">
      <c r="A709" s="356" t="s">
        <v>1161</v>
      </c>
      <c r="B709" s="804"/>
      <c r="C709" s="632" t="s">
        <v>635</v>
      </c>
      <c r="D709" s="358">
        <f>'PART-A'!I3421</f>
        <v>0</v>
      </c>
      <c r="E709" s="354" t="s">
        <v>115</v>
      </c>
      <c r="F709" s="355">
        <f>'PART-A'!K3421</f>
        <v>18370</v>
      </c>
      <c r="G709" s="353">
        <f t="shared" si="26"/>
        <v>0</v>
      </c>
      <c r="H709" s="633" t="s">
        <v>2312</v>
      </c>
    </row>
    <row r="710" spans="1:10" s="360" customFormat="1" ht="15" hidden="1" customHeight="1">
      <c r="A710" s="356" t="s">
        <v>1161</v>
      </c>
      <c r="B710" s="804"/>
      <c r="C710" s="632" t="s">
        <v>635</v>
      </c>
      <c r="D710" s="358">
        <f>'PART-A'!I3559</f>
        <v>0</v>
      </c>
      <c r="E710" s="354" t="s">
        <v>115</v>
      </c>
      <c r="F710" s="355">
        <f>'PART-A'!K3559</f>
        <v>18370</v>
      </c>
      <c r="G710" s="353">
        <f t="shared" si="26"/>
        <v>0</v>
      </c>
      <c r="H710" s="633" t="s">
        <v>2313</v>
      </c>
    </row>
    <row r="711" spans="1:10" s="360" customFormat="1" hidden="1">
      <c r="A711" s="356" t="s">
        <v>1596</v>
      </c>
      <c r="B711" s="804"/>
      <c r="C711" s="632" t="s">
        <v>2565</v>
      </c>
      <c r="D711" s="358">
        <f>'PART-A'!I3146</f>
        <v>0</v>
      </c>
      <c r="E711" s="354" t="s">
        <v>277</v>
      </c>
      <c r="F711" s="355">
        <f>'PART-A'!K3146</f>
        <v>64</v>
      </c>
      <c r="H711" s="633" t="s">
        <v>2217</v>
      </c>
      <c r="J711" s="353">
        <f>ROUND(D711*F711,0)</f>
        <v>0</v>
      </c>
    </row>
    <row r="712" spans="1:10" s="360" customFormat="1" ht="15" hidden="1" customHeight="1">
      <c r="A712" s="356" t="s">
        <v>1596</v>
      </c>
      <c r="B712" s="804"/>
      <c r="C712" s="632" t="s">
        <v>636</v>
      </c>
      <c r="D712" s="358">
        <f>'PART-A'!I3284</f>
        <v>0</v>
      </c>
      <c r="E712" s="354" t="s">
        <v>277</v>
      </c>
      <c r="F712" s="355">
        <f>'PART-A'!K3284</f>
        <v>59</v>
      </c>
      <c r="H712" s="633" t="s">
        <v>2299</v>
      </c>
      <c r="J712" s="353">
        <f>ROUND(D712*F712,0)</f>
        <v>0</v>
      </c>
    </row>
    <row r="713" spans="1:10" s="360" customFormat="1" ht="15" hidden="1" customHeight="1">
      <c r="A713" s="356" t="s">
        <v>1596</v>
      </c>
      <c r="B713" s="804"/>
      <c r="C713" s="632" t="s">
        <v>636</v>
      </c>
      <c r="D713" s="358">
        <f>'PART-A'!I3426</f>
        <v>0</v>
      </c>
      <c r="E713" s="354" t="s">
        <v>277</v>
      </c>
      <c r="F713" s="355">
        <f>'PART-A'!K3426</f>
        <v>73</v>
      </c>
      <c r="G713" s="353">
        <f t="shared" si="26"/>
        <v>0</v>
      </c>
      <c r="H713" s="633" t="s">
        <v>2312</v>
      </c>
    </row>
    <row r="714" spans="1:10" s="360" customFormat="1" ht="15" hidden="1" customHeight="1">
      <c r="A714" s="356" t="s">
        <v>1596</v>
      </c>
      <c r="B714" s="804"/>
      <c r="C714" s="632" t="s">
        <v>636</v>
      </c>
      <c r="D714" s="358">
        <f>'PART-A'!I3564</f>
        <v>0</v>
      </c>
      <c r="E714" s="354" t="s">
        <v>277</v>
      </c>
      <c r="F714" s="355">
        <f>'PART-A'!K3564</f>
        <v>85</v>
      </c>
      <c r="G714" s="353">
        <f t="shared" si="26"/>
        <v>0</v>
      </c>
      <c r="H714" s="633" t="s">
        <v>2313</v>
      </c>
    </row>
    <row r="715" spans="1:10" s="360" customFormat="1" hidden="1">
      <c r="A715" s="356" t="s">
        <v>1597</v>
      </c>
      <c r="B715" s="804"/>
      <c r="C715" s="632" t="s">
        <v>284</v>
      </c>
      <c r="D715" s="358">
        <f>'PART-A'!I3151</f>
        <v>0</v>
      </c>
      <c r="E715" s="354" t="s">
        <v>115</v>
      </c>
      <c r="F715" s="355">
        <f>'PART-A'!K3151</f>
        <v>109</v>
      </c>
      <c r="H715" s="633" t="s">
        <v>2217</v>
      </c>
      <c r="J715" s="353">
        <f>ROUND(D715*F715,0)</f>
        <v>0</v>
      </c>
    </row>
    <row r="716" spans="1:10" s="360" customFormat="1" ht="15" hidden="1" customHeight="1">
      <c r="A716" s="356" t="s">
        <v>1597</v>
      </c>
      <c r="B716" s="804"/>
      <c r="C716" s="632" t="s">
        <v>284</v>
      </c>
      <c r="D716" s="358">
        <f>'PART-A'!I3289</f>
        <v>0</v>
      </c>
      <c r="E716" s="354" t="s">
        <v>115</v>
      </c>
      <c r="F716" s="355">
        <f>'PART-A'!K3289</f>
        <v>300</v>
      </c>
      <c r="H716" s="633" t="s">
        <v>2299</v>
      </c>
      <c r="J716" s="353">
        <f>ROUND(D716*F716,0)</f>
        <v>0</v>
      </c>
    </row>
    <row r="717" spans="1:10" s="360" customFormat="1" ht="15" hidden="1" customHeight="1">
      <c r="A717" s="356" t="s">
        <v>1597</v>
      </c>
      <c r="B717" s="804"/>
      <c r="C717" s="632" t="s">
        <v>284</v>
      </c>
      <c r="D717" s="358">
        <f>'PART-A'!I3431</f>
        <v>0</v>
      </c>
      <c r="E717" s="354" t="s">
        <v>115</v>
      </c>
      <c r="F717" s="355">
        <f>'PART-A'!K3431</f>
        <v>315</v>
      </c>
      <c r="G717" s="353">
        <f t="shared" si="26"/>
        <v>0</v>
      </c>
      <c r="H717" s="633" t="s">
        <v>2312</v>
      </c>
    </row>
    <row r="718" spans="1:10" s="360" customFormat="1" ht="15" hidden="1" customHeight="1">
      <c r="A718" s="356" t="s">
        <v>1597</v>
      </c>
      <c r="B718" s="804"/>
      <c r="C718" s="632" t="s">
        <v>284</v>
      </c>
      <c r="D718" s="358">
        <f>'PART-A'!I3569</f>
        <v>0</v>
      </c>
      <c r="E718" s="354" t="s">
        <v>115</v>
      </c>
      <c r="F718" s="355">
        <f>'PART-A'!K3569</f>
        <v>300</v>
      </c>
      <c r="G718" s="353">
        <f t="shared" si="26"/>
        <v>0</v>
      </c>
      <c r="H718" s="633" t="s">
        <v>2313</v>
      </c>
    </row>
    <row r="719" spans="1:10" s="360" customFormat="1" hidden="1">
      <c r="A719" s="356" t="s">
        <v>2032</v>
      </c>
      <c r="B719" s="804"/>
      <c r="C719" s="632" t="s">
        <v>285</v>
      </c>
      <c r="D719" s="358">
        <f>'PART-A'!I3156</f>
        <v>0</v>
      </c>
      <c r="E719" s="354" t="s">
        <v>115</v>
      </c>
      <c r="F719" s="355">
        <f>'PART-A'!K3156</f>
        <v>198</v>
      </c>
      <c r="H719" s="633" t="s">
        <v>2217</v>
      </c>
      <c r="J719" s="353">
        <f>ROUND(D719*F719,0)</f>
        <v>0</v>
      </c>
    </row>
    <row r="720" spans="1:10" s="360" customFormat="1" ht="15" hidden="1" customHeight="1">
      <c r="A720" s="356" t="s">
        <v>2032</v>
      </c>
      <c r="B720" s="804"/>
      <c r="C720" s="632" t="s">
        <v>285</v>
      </c>
      <c r="D720" s="358">
        <f>'PART-A'!I3294</f>
        <v>0</v>
      </c>
      <c r="E720" s="354" t="s">
        <v>115</v>
      </c>
      <c r="F720" s="355">
        <f>'PART-A'!K3294</f>
        <v>400</v>
      </c>
      <c r="H720" s="633" t="s">
        <v>2299</v>
      </c>
      <c r="J720" s="353">
        <f>ROUND(D720*F720,0)</f>
        <v>0</v>
      </c>
    </row>
    <row r="721" spans="1:10" s="360" customFormat="1" ht="15" hidden="1" customHeight="1">
      <c r="A721" s="356" t="s">
        <v>2032</v>
      </c>
      <c r="B721" s="804"/>
      <c r="C721" s="632" t="s">
        <v>285</v>
      </c>
      <c r="D721" s="358">
        <f>'PART-A'!I3436</f>
        <v>0</v>
      </c>
      <c r="E721" s="354" t="s">
        <v>115</v>
      </c>
      <c r="F721" s="355">
        <f>'PART-A'!K3436</f>
        <v>420</v>
      </c>
      <c r="G721" s="353">
        <f t="shared" si="26"/>
        <v>0</v>
      </c>
      <c r="H721" s="633" t="s">
        <v>2312</v>
      </c>
    </row>
    <row r="722" spans="1:10" s="360" customFormat="1" ht="15" hidden="1" customHeight="1">
      <c r="A722" s="356" t="s">
        <v>2032</v>
      </c>
      <c r="B722" s="804"/>
      <c r="C722" s="632" t="s">
        <v>285</v>
      </c>
      <c r="D722" s="358">
        <f>'PART-A'!I3574</f>
        <v>0</v>
      </c>
      <c r="E722" s="354" t="s">
        <v>115</v>
      </c>
      <c r="F722" s="355">
        <f>'PART-A'!K3574</f>
        <v>400</v>
      </c>
      <c r="G722" s="353">
        <f t="shared" si="26"/>
        <v>0</v>
      </c>
      <c r="H722" s="633" t="s">
        <v>2313</v>
      </c>
    </row>
    <row r="723" spans="1:10" s="360" customFormat="1" hidden="1">
      <c r="A723" s="356" t="s">
        <v>1163</v>
      </c>
      <c r="B723" s="804"/>
      <c r="C723" s="632" t="s">
        <v>286</v>
      </c>
      <c r="D723" s="358">
        <f>'PART-A'!I3161</f>
        <v>0</v>
      </c>
      <c r="E723" s="354" t="s">
        <v>115</v>
      </c>
      <c r="F723" s="355">
        <f>'PART-A'!K3161</f>
        <v>22</v>
      </c>
      <c r="H723" s="633" t="s">
        <v>2217</v>
      </c>
      <c r="J723" s="353">
        <f>ROUND(D723*F723,0)</f>
        <v>0</v>
      </c>
    </row>
    <row r="724" spans="1:10" s="360" customFormat="1" ht="15" hidden="1" customHeight="1">
      <c r="A724" s="356" t="s">
        <v>1163</v>
      </c>
      <c r="B724" s="804"/>
      <c r="C724" s="632" t="s">
        <v>286</v>
      </c>
      <c r="D724" s="358">
        <f>'PART-A'!I3299</f>
        <v>0</v>
      </c>
      <c r="E724" s="354" t="s">
        <v>115</v>
      </c>
      <c r="F724" s="355">
        <f>'PART-A'!K3299</f>
        <v>70</v>
      </c>
      <c r="H724" s="633" t="s">
        <v>2299</v>
      </c>
      <c r="J724" s="353">
        <f>ROUND(D724*F724,0)</f>
        <v>0</v>
      </c>
    </row>
    <row r="725" spans="1:10" s="360" customFormat="1" ht="15" hidden="1" customHeight="1">
      <c r="A725" s="356" t="s">
        <v>1163</v>
      </c>
      <c r="B725" s="804"/>
      <c r="C725" s="632" t="s">
        <v>286</v>
      </c>
      <c r="D725" s="358">
        <f>'PART-A'!I3441</f>
        <v>0</v>
      </c>
      <c r="E725" s="354" t="s">
        <v>115</v>
      </c>
      <c r="F725" s="355">
        <f>'PART-A'!K3441</f>
        <v>73</v>
      </c>
      <c r="G725" s="353">
        <f t="shared" si="26"/>
        <v>0</v>
      </c>
      <c r="H725" s="633" t="s">
        <v>2312</v>
      </c>
    </row>
    <row r="726" spans="1:10" s="360" customFormat="1" ht="15" hidden="1" customHeight="1">
      <c r="A726" s="356" t="s">
        <v>1163</v>
      </c>
      <c r="B726" s="804"/>
      <c r="C726" s="632" t="s">
        <v>286</v>
      </c>
      <c r="D726" s="358">
        <f>'PART-A'!I3579</f>
        <v>0</v>
      </c>
      <c r="E726" s="354" t="s">
        <v>115</v>
      </c>
      <c r="F726" s="355">
        <f>'PART-A'!K3579</f>
        <v>77</v>
      </c>
      <c r="G726" s="353">
        <f t="shared" si="26"/>
        <v>0</v>
      </c>
      <c r="H726" s="633" t="s">
        <v>2313</v>
      </c>
    </row>
    <row r="727" spans="1:10" s="360" customFormat="1" hidden="1">
      <c r="A727" s="356" t="s">
        <v>2035</v>
      </c>
      <c r="B727" s="804"/>
      <c r="C727" s="632" t="s">
        <v>287</v>
      </c>
      <c r="D727" s="358">
        <f>'PART-A'!I3166</f>
        <v>0</v>
      </c>
      <c r="E727" s="354" t="s">
        <v>115</v>
      </c>
      <c r="F727" s="355">
        <f>'PART-A'!K3166</f>
        <v>145.19999999999999</v>
      </c>
      <c r="H727" s="633" t="s">
        <v>2217</v>
      </c>
      <c r="J727" s="353">
        <f>ROUND(D727*F727,0)</f>
        <v>0</v>
      </c>
    </row>
    <row r="728" spans="1:10" s="360" customFormat="1" ht="15" hidden="1" customHeight="1">
      <c r="A728" s="356" t="s">
        <v>2035</v>
      </c>
      <c r="B728" s="804"/>
      <c r="C728" s="632" t="s">
        <v>287</v>
      </c>
      <c r="D728" s="358">
        <f>'PART-A'!I3304</f>
        <v>0</v>
      </c>
      <c r="E728" s="354" t="s">
        <v>115</v>
      </c>
      <c r="F728" s="355">
        <f>'PART-A'!K3304</f>
        <v>175</v>
      </c>
      <c r="H728" s="633" t="s">
        <v>2299</v>
      </c>
      <c r="J728" s="353">
        <f>ROUND(D728*F728,0)</f>
        <v>0</v>
      </c>
    </row>
    <row r="729" spans="1:10" s="360" customFormat="1" ht="15" hidden="1" customHeight="1">
      <c r="A729" s="356" t="s">
        <v>2035</v>
      </c>
      <c r="B729" s="804"/>
      <c r="C729" s="632" t="s">
        <v>287</v>
      </c>
      <c r="D729" s="358">
        <f>'PART-A'!I3446</f>
        <v>0</v>
      </c>
      <c r="E729" s="354" t="s">
        <v>115</v>
      </c>
      <c r="F729" s="355">
        <f>'PART-A'!K3446</f>
        <v>177</v>
      </c>
      <c r="G729" s="353">
        <f t="shared" si="26"/>
        <v>0</v>
      </c>
      <c r="H729" s="633" t="s">
        <v>2312</v>
      </c>
    </row>
    <row r="730" spans="1:10" s="360" customFormat="1" ht="15" hidden="1" customHeight="1">
      <c r="A730" s="356" t="s">
        <v>2035</v>
      </c>
      <c r="B730" s="804"/>
      <c r="C730" s="632" t="s">
        <v>287</v>
      </c>
      <c r="D730" s="358">
        <f>'PART-A'!I3584</f>
        <v>0</v>
      </c>
      <c r="E730" s="354" t="s">
        <v>115</v>
      </c>
      <c r="F730" s="355">
        <f>'PART-A'!K3584</f>
        <v>194</v>
      </c>
      <c r="G730" s="353">
        <f t="shared" si="26"/>
        <v>0</v>
      </c>
      <c r="H730" s="633" t="s">
        <v>2313</v>
      </c>
    </row>
    <row r="731" spans="1:10" s="360" customFormat="1" hidden="1">
      <c r="A731" s="356" t="s">
        <v>1163</v>
      </c>
      <c r="B731" s="804"/>
      <c r="C731" s="632" t="s">
        <v>637</v>
      </c>
      <c r="D731" s="358">
        <f>'PART-A'!I3171</f>
        <v>0</v>
      </c>
      <c r="E731" s="354" t="s">
        <v>277</v>
      </c>
      <c r="F731" s="355">
        <f>'PART-A'!K3171</f>
        <v>80</v>
      </c>
      <c r="H731" s="633" t="s">
        <v>2217</v>
      </c>
      <c r="J731" s="353">
        <f>ROUND(D731*F731,0)</f>
        <v>0</v>
      </c>
    </row>
    <row r="732" spans="1:10" s="360" customFormat="1" ht="15" hidden="1" customHeight="1">
      <c r="A732" s="356" t="s">
        <v>1163</v>
      </c>
      <c r="B732" s="804"/>
      <c r="C732" s="632" t="s">
        <v>637</v>
      </c>
      <c r="D732" s="358">
        <f>'PART-A'!I3309</f>
        <v>0</v>
      </c>
      <c r="E732" s="354" t="s">
        <v>277</v>
      </c>
      <c r="F732" s="355">
        <f>'PART-A'!K3309</f>
        <v>80</v>
      </c>
      <c r="H732" s="633" t="s">
        <v>2299</v>
      </c>
      <c r="J732" s="353">
        <f>ROUND(D732*F732,0)</f>
        <v>0</v>
      </c>
    </row>
    <row r="733" spans="1:10" s="360" customFormat="1" ht="15" hidden="1" customHeight="1">
      <c r="A733" s="356" t="s">
        <v>1163</v>
      </c>
      <c r="B733" s="804"/>
      <c r="C733" s="632" t="s">
        <v>637</v>
      </c>
      <c r="D733" s="358">
        <f>'PART-A'!I3451</f>
        <v>0</v>
      </c>
      <c r="E733" s="354" t="s">
        <v>277</v>
      </c>
      <c r="F733" s="355">
        <f>'PART-A'!K3451</f>
        <v>92</v>
      </c>
      <c r="G733" s="353">
        <f t="shared" ref="G733:G738" si="27">ROUND(D733*F733,0)</f>
        <v>0</v>
      </c>
      <c r="H733" s="633" t="s">
        <v>2312</v>
      </c>
    </row>
    <row r="734" spans="1:10" s="360" customFormat="1" ht="15" hidden="1" customHeight="1">
      <c r="A734" s="356" t="s">
        <v>1163</v>
      </c>
      <c r="B734" s="804"/>
      <c r="C734" s="632" t="s">
        <v>637</v>
      </c>
      <c r="D734" s="358">
        <f>'PART-A'!I3589</f>
        <v>0</v>
      </c>
      <c r="E734" s="354" t="s">
        <v>277</v>
      </c>
      <c r="F734" s="355">
        <f>'PART-A'!K3589</f>
        <v>105</v>
      </c>
      <c r="G734" s="353">
        <f t="shared" si="27"/>
        <v>0</v>
      </c>
      <c r="H734" s="633" t="s">
        <v>2313</v>
      </c>
    </row>
    <row r="735" spans="1:10" s="360" customFormat="1" hidden="1">
      <c r="A735" s="356" t="s">
        <v>2035</v>
      </c>
      <c r="B735" s="804"/>
      <c r="C735" s="632" t="s">
        <v>638</v>
      </c>
      <c r="D735" s="358">
        <f>'PART-A'!I3176</f>
        <v>0</v>
      </c>
      <c r="E735" s="354" t="s">
        <v>115</v>
      </c>
      <c r="F735" s="355">
        <f>'PART-A'!K3176</f>
        <v>4500</v>
      </c>
      <c r="H735" s="633" t="s">
        <v>2217</v>
      </c>
      <c r="J735" s="353">
        <f>ROUND(D735*F735,0)</f>
        <v>0</v>
      </c>
    </row>
    <row r="736" spans="1:10" s="360" customFormat="1" ht="15" hidden="1" customHeight="1">
      <c r="A736" s="356" t="s">
        <v>2035</v>
      </c>
      <c r="B736" s="804"/>
      <c r="C736" s="632" t="s">
        <v>638</v>
      </c>
      <c r="D736" s="358">
        <f>'PART-A'!I3314</f>
        <v>0</v>
      </c>
      <c r="E736" s="354" t="s">
        <v>115</v>
      </c>
      <c r="F736" s="355">
        <f>'PART-A'!K3314</f>
        <v>4500</v>
      </c>
      <c r="H736" s="633" t="s">
        <v>2299</v>
      </c>
      <c r="J736" s="353">
        <f>ROUND(D736*F736,0)</f>
        <v>0</v>
      </c>
    </row>
    <row r="737" spans="1:8" s="360" customFormat="1" ht="15" hidden="1" customHeight="1">
      <c r="A737" s="356" t="s">
        <v>2035</v>
      </c>
      <c r="B737" s="804"/>
      <c r="C737" s="632" t="s">
        <v>638</v>
      </c>
      <c r="D737" s="358">
        <f>'PART-A'!I3456</f>
        <v>0</v>
      </c>
      <c r="E737" s="354" t="s">
        <v>115</v>
      </c>
      <c r="F737" s="355">
        <f>'PART-A'!K3456</f>
        <v>4950</v>
      </c>
      <c r="G737" s="353">
        <f t="shared" si="27"/>
        <v>0</v>
      </c>
      <c r="H737" s="633" t="s">
        <v>2312</v>
      </c>
    </row>
    <row r="738" spans="1:8" s="360" customFormat="1" ht="15" hidden="1" customHeight="1">
      <c r="A738" s="356" t="s">
        <v>2035</v>
      </c>
      <c r="B738" s="804"/>
      <c r="C738" s="632" t="s">
        <v>638</v>
      </c>
      <c r="D738" s="358">
        <f>'PART-A'!I3594</f>
        <v>0</v>
      </c>
      <c r="E738" s="354" t="s">
        <v>115</v>
      </c>
      <c r="F738" s="355">
        <f>'PART-A'!K3594</f>
        <v>5445</v>
      </c>
      <c r="G738" s="353">
        <f t="shared" si="27"/>
        <v>0</v>
      </c>
      <c r="H738" s="633" t="s">
        <v>2313</v>
      </c>
    </row>
    <row r="739" spans="1:8" s="26" customFormat="1" hidden="1">
      <c r="A739" s="23"/>
      <c r="B739" s="23"/>
      <c r="C739" s="627" t="s">
        <v>426</v>
      </c>
      <c r="D739" s="652"/>
      <c r="E739" s="658"/>
      <c r="F739" s="654"/>
      <c r="G739" s="11"/>
      <c r="H739" s="633" t="s">
        <v>2217</v>
      </c>
    </row>
    <row r="740" spans="1:8" s="360" customFormat="1">
      <c r="A740" s="356" t="s">
        <v>521</v>
      </c>
      <c r="B740" s="804" t="s">
        <v>2658</v>
      </c>
      <c r="C740" s="632" t="s">
        <v>555</v>
      </c>
      <c r="D740" s="358">
        <f>'PART-A'!I3602</f>
        <v>70</v>
      </c>
      <c r="E740" s="354" t="s">
        <v>277</v>
      </c>
      <c r="F740" s="355">
        <f>'PART-A'!K3602</f>
        <v>71.040000000000006</v>
      </c>
      <c r="G740" s="353">
        <f t="shared" ref="G740:G752" si="28">ROUND(D740*F740,0)</f>
        <v>4973</v>
      </c>
      <c r="H740" s="633" t="s">
        <v>2217</v>
      </c>
    </row>
    <row r="741" spans="1:8" s="360" customFormat="1" ht="15" hidden="1" customHeight="1">
      <c r="A741" s="356" t="s">
        <v>644</v>
      </c>
      <c r="B741" s="804" t="s">
        <v>2658</v>
      </c>
      <c r="C741" s="632" t="s">
        <v>555</v>
      </c>
      <c r="D741" s="358">
        <f>'PART-A'!I3825</f>
        <v>0</v>
      </c>
      <c r="E741" s="354" t="s">
        <v>277</v>
      </c>
      <c r="F741" s="355">
        <f>'PART-A'!K3825</f>
        <v>64.86</v>
      </c>
      <c r="G741" s="353">
        <f t="shared" si="28"/>
        <v>0</v>
      </c>
      <c r="H741" s="633" t="s">
        <v>2299</v>
      </c>
    </row>
    <row r="742" spans="1:8" s="360" customFormat="1" ht="15" hidden="1" customHeight="1">
      <c r="A742" s="356" t="s">
        <v>1260</v>
      </c>
      <c r="B742" s="804" t="s">
        <v>2658</v>
      </c>
      <c r="C742" s="632" t="s">
        <v>555</v>
      </c>
      <c r="D742" s="358">
        <f>'PART-A'!I4044</f>
        <v>0</v>
      </c>
      <c r="E742" s="354" t="s">
        <v>277</v>
      </c>
      <c r="F742" s="355">
        <f>'PART-A'!K4044</f>
        <v>69.88</v>
      </c>
      <c r="G742" s="353">
        <f t="shared" si="28"/>
        <v>0</v>
      </c>
      <c r="H742" s="633" t="s">
        <v>2312</v>
      </c>
    </row>
    <row r="743" spans="1:8" s="360" customFormat="1" ht="15" hidden="1" customHeight="1">
      <c r="A743" s="356" t="s">
        <v>1260</v>
      </c>
      <c r="B743" s="804" t="s">
        <v>2658</v>
      </c>
      <c r="C743" s="632" t="s">
        <v>555</v>
      </c>
      <c r="D743" s="358">
        <f>'PART-A'!I4265</f>
        <v>0</v>
      </c>
      <c r="E743" s="354" t="s">
        <v>277</v>
      </c>
      <c r="F743" s="355">
        <f>'PART-A'!K4265</f>
        <v>80.180000000000007</v>
      </c>
      <c r="G743" s="353">
        <f t="shared" si="28"/>
        <v>0</v>
      </c>
      <c r="H743" s="633" t="s">
        <v>2313</v>
      </c>
    </row>
    <row r="744" spans="1:8" s="360" customFormat="1" hidden="1">
      <c r="A744" s="356" t="s">
        <v>642</v>
      </c>
      <c r="B744" s="804" t="s">
        <v>2673</v>
      </c>
      <c r="C744" s="632" t="s">
        <v>555</v>
      </c>
      <c r="D744" s="358">
        <f>'PART-A'!I3607</f>
        <v>0</v>
      </c>
      <c r="E744" s="354" t="s">
        <v>277</v>
      </c>
      <c r="F744" s="355">
        <f>'PART-A'!K3607</f>
        <v>79.19</v>
      </c>
      <c r="G744" s="353">
        <f t="shared" si="28"/>
        <v>0</v>
      </c>
      <c r="H744" s="633" t="s">
        <v>2217</v>
      </c>
    </row>
    <row r="745" spans="1:8" s="360" customFormat="1" hidden="1">
      <c r="A745" s="356" t="s">
        <v>1574</v>
      </c>
      <c r="B745" s="804" t="s">
        <v>2673</v>
      </c>
      <c r="C745" s="632" t="s">
        <v>555</v>
      </c>
      <c r="D745" s="358">
        <f>'PART-A'!I3831</f>
        <v>0</v>
      </c>
      <c r="E745" s="354" t="s">
        <v>277</v>
      </c>
      <c r="F745" s="355">
        <f>'PART-A'!K3831</f>
        <v>73.41</v>
      </c>
      <c r="G745" s="353">
        <f t="shared" si="28"/>
        <v>0</v>
      </c>
      <c r="H745" s="633" t="s">
        <v>2299</v>
      </c>
    </row>
    <row r="746" spans="1:8" s="360" customFormat="1" ht="15" hidden="1" customHeight="1">
      <c r="A746" s="356" t="s">
        <v>643</v>
      </c>
      <c r="B746" s="804" t="s">
        <v>2673</v>
      </c>
      <c r="C746" s="632" t="s">
        <v>555</v>
      </c>
      <c r="D746" s="358">
        <f>'PART-A'!I4049</f>
        <v>0</v>
      </c>
      <c r="E746" s="354" t="s">
        <v>277</v>
      </c>
      <c r="F746" s="355">
        <f>'PART-A'!K4049</f>
        <v>79.430000000000007</v>
      </c>
      <c r="G746" s="353">
        <f t="shared" si="28"/>
        <v>0</v>
      </c>
      <c r="H746" s="633" t="s">
        <v>2312</v>
      </c>
    </row>
    <row r="747" spans="1:8" s="360" customFormat="1" ht="15" hidden="1" customHeight="1">
      <c r="A747" s="356" t="s">
        <v>2078</v>
      </c>
      <c r="B747" s="804" t="s">
        <v>2673</v>
      </c>
      <c r="C747" s="632" t="s">
        <v>555</v>
      </c>
      <c r="D747" s="358">
        <f>'PART-A'!I4270</f>
        <v>0</v>
      </c>
      <c r="E747" s="354" t="s">
        <v>277</v>
      </c>
      <c r="F747" s="355">
        <f>'PART-A'!K4270</f>
        <v>89.61</v>
      </c>
      <c r="G747" s="353">
        <f t="shared" si="28"/>
        <v>0</v>
      </c>
      <c r="H747" s="633" t="s">
        <v>2313</v>
      </c>
    </row>
    <row r="748" spans="1:8" s="360" customFormat="1" hidden="1">
      <c r="A748" s="356" t="s">
        <v>644</v>
      </c>
      <c r="B748" s="804"/>
      <c r="C748" s="632" t="s">
        <v>572</v>
      </c>
      <c r="D748" s="358">
        <f>'PART-A'!I3615</f>
        <v>0</v>
      </c>
      <c r="E748" s="354" t="s">
        <v>277</v>
      </c>
      <c r="F748" s="355">
        <f>'PART-A'!K3615</f>
        <v>55</v>
      </c>
      <c r="G748" s="353">
        <f t="shared" si="28"/>
        <v>0</v>
      </c>
      <c r="H748" s="633" t="s">
        <v>2217</v>
      </c>
    </row>
    <row r="749" spans="1:8" s="360" customFormat="1" ht="15" hidden="1" customHeight="1">
      <c r="A749" s="356" t="s">
        <v>517</v>
      </c>
      <c r="B749" s="804"/>
      <c r="C749" s="632" t="s">
        <v>572</v>
      </c>
      <c r="D749" s="358">
        <f>'PART-A'!I3839</f>
        <v>0</v>
      </c>
      <c r="E749" s="354" t="s">
        <v>277</v>
      </c>
      <c r="F749" s="355">
        <f>'PART-A'!K3839</f>
        <v>55</v>
      </c>
      <c r="G749" s="353">
        <f t="shared" si="28"/>
        <v>0</v>
      </c>
      <c r="H749" s="633" t="s">
        <v>2299</v>
      </c>
    </row>
    <row r="750" spans="1:8" s="360" customFormat="1" ht="15" hidden="1" customHeight="1">
      <c r="A750" s="356" t="s">
        <v>517</v>
      </c>
      <c r="B750" s="804"/>
      <c r="C750" s="632" t="s">
        <v>572</v>
      </c>
      <c r="D750" s="358">
        <f>'PART-A'!I4057</f>
        <v>0</v>
      </c>
      <c r="E750" s="354" t="s">
        <v>277</v>
      </c>
      <c r="F750" s="355">
        <f>'PART-A'!K4057</f>
        <v>58</v>
      </c>
      <c r="G750" s="353">
        <f t="shared" si="28"/>
        <v>0</v>
      </c>
      <c r="H750" s="633" t="s">
        <v>2312</v>
      </c>
    </row>
    <row r="751" spans="1:8" s="360" customFormat="1" ht="15" hidden="1" customHeight="1">
      <c r="A751" s="356" t="s">
        <v>517</v>
      </c>
      <c r="B751" s="804"/>
      <c r="C751" s="632" t="s">
        <v>572</v>
      </c>
      <c r="D751" s="358">
        <f>'PART-A'!I4278</f>
        <v>0</v>
      </c>
      <c r="E751" s="354" t="s">
        <v>277</v>
      </c>
      <c r="F751" s="355">
        <f>'PART-A'!K4278</f>
        <v>64</v>
      </c>
      <c r="G751" s="353">
        <f t="shared" si="28"/>
        <v>0</v>
      </c>
      <c r="H751" s="633" t="s">
        <v>2313</v>
      </c>
    </row>
    <row r="752" spans="1:8" s="360" customFormat="1" ht="15" hidden="1" customHeight="1">
      <c r="A752" s="356" t="s">
        <v>1162</v>
      </c>
      <c r="B752" s="804"/>
      <c r="C752" s="632" t="s">
        <v>556</v>
      </c>
      <c r="D752" s="358">
        <f>'PART-A'!I3620</f>
        <v>0</v>
      </c>
      <c r="E752" s="354" t="s">
        <v>115</v>
      </c>
      <c r="F752" s="355">
        <f>'PART-A'!K3620</f>
        <v>205</v>
      </c>
      <c r="G752" s="353">
        <f t="shared" si="28"/>
        <v>0</v>
      </c>
      <c r="H752" s="633" t="s">
        <v>2217</v>
      </c>
    </row>
    <row r="753" spans="1:10" s="360" customFormat="1" hidden="1">
      <c r="A753" s="356" t="s">
        <v>1162</v>
      </c>
      <c r="B753" s="804"/>
      <c r="C753" s="632" t="s">
        <v>556</v>
      </c>
      <c r="D753" s="358">
        <f>'PART-A'!I3844</f>
        <v>0</v>
      </c>
      <c r="E753" s="354" t="s">
        <v>115</v>
      </c>
      <c r="F753" s="355">
        <f>'PART-A'!K3844</f>
        <v>205</v>
      </c>
      <c r="H753" s="633" t="s">
        <v>2299</v>
      </c>
      <c r="J753" s="353">
        <f>ROUND(D753*F753,0)</f>
        <v>0</v>
      </c>
    </row>
    <row r="754" spans="1:10" s="360" customFormat="1" ht="15" hidden="1" customHeight="1">
      <c r="A754" s="356" t="s">
        <v>1162</v>
      </c>
      <c r="B754" s="804"/>
      <c r="C754" s="632" t="s">
        <v>556</v>
      </c>
      <c r="D754" s="358">
        <f>'PART-A'!I4062</f>
        <v>0</v>
      </c>
      <c r="E754" s="354" t="s">
        <v>115</v>
      </c>
      <c r="F754" s="355">
        <f>'PART-A'!K4062</f>
        <v>226</v>
      </c>
      <c r="G754" s="353">
        <f>ROUND(D754*F754,0)</f>
        <v>0</v>
      </c>
      <c r="H754" s="633" t="s">
        <v>2312</v>
      </c>
    </row>
    <row r="755" spans="1:10" s="360" customFormat="1" ht="15" hidden="1" customHeight="1">
      <c r="A755" s="356" t="s">
        <v>1162</v>
      </c>
      <c r="B755" s="804"/>
      <c r="C755" s="632" t="s">
        <v>556</v>
      </c>
      <c r="D755" s="358">
        <f>'PART-A'!I4283</f>
        <v>0</v>
      </c>
      <c r="E755" s="354" t="s">
        <v>115</v>
      </c>
      <c r="F755" s="355">
        <f>'PART-A'!K4283</f>
        <v>245</v>
      </c>
      <c r="G755" s="353">
        <f>ROUND(D755*F755,0)</f>
        <v>0</v>
      </c>
      <c r="H755" s="633" t="s">
        <v>2313</v>
      </c>
    </row>
    <row r="756" spans="1:10" s="360" customFormat="1" ht="15" hidden="1" customHeight="1">
      <c r="A756" s="356" t="s">
        <v>1596</v>
      </c>
      <c r="B756" s="804"/>
      <c r="C756" s="632" t="s">
        <v>639</v>
      </c>
      <c r="D756" s="358">
        <f>'PART-A'!I3625</f>
        <v>0</v>
      </c>
      <c r="E756" s="354" t="s">
        <v>115</v>
      </c>
      <c r="F756" s="355">
        <f>'PART-A'!K3625</f>
        <v>170</v>
      </c>
      <c r="G756" s="353">
        <f>ROUND(D756*F756,0)</f>
        <v>0</v>
      </c>
      <c r="H756" s="633" t="s">
        <v>2217</v>
      </c>
    </row>
    <row r="757" spans="1:10" s="360" customFormat="1" hidden="1">
      <c r="A757" s="356" t="s">
        <v>1596</v>
      </c>
      <c r="B757" s="804"/>
      <c r="C757" s="632" t="s">
        <v>639</v>
      </c>
      <c r="D757" s="358">
        <f>'PART-A'!I3849</f>
        <v>0</v>
      </c>
      <c r="E757" s="354" t="s">
        <v>115</v>
      </c>
      <c r="F757" s="355">
        <f>'PART-A'!K3849</f>
        <v>170</v>
      </c>
      <c r="H757" s="633" t="s">
        <v>2299</v>
      </c>
      <c r="J757" s="353">
        <f>ROUND(D757*F757,0)</f>
        <v>0</v>
      </c>
    </row>
    <row r="758" spans="1:10" s="360" customFormat="1" ht="15" hidden="1" customHeight="1">
      <c r="A758" s="356" t="s">
        <v>1596</v>
      </c>
      <c r="B758" s="804"/>
      <c r="C758" s="632" t="s">
        <v>639</v>
      </c>
      <c r="D758" s="358">
        <f>'PART-A'!I4067</f>
        <v>0</v>
      </c>
      <c r="E758" s="354" t="s">
        <v>115</v>
      </c>
      <c r="F758" s="355">
        <f>'PART-A'!K4067</f>
        <v>187</v>
      </c>
      <c r="G758" s="353">
        <f>ROUND(D758*F758,0)</f>
        <v>0</v>
      </c>
      <c r="H758" s="633" t="s">
        <v>2312</v>
      </c>
    </row>
    <row r="759" spans="1:10" s="360" customFormat="1" ht="15" hidden="1" customHeight="1">
      <c r="A759" s="356" t="s">
        <v>1596</v>
      </c>
      <c r="B759" s="804"/>
      <c r="C759" s="632" t="s">
        <v>639</v>
      </c>
      <c r="D759" s="358">
        <f>'PART-A'!I4288</f>
        <v>0</v>
      </c>
      <c r="E759" s="354" t="s">
        <v>115</v>
      </c>
      <c r="F759" s="355">
        <f>'PART-A'!K4288</f>
        <v>203</v>
      </c>
      <c r="G759" s="353">
        <f>ROUND(D759*F759,0)</f>
        <v>0</v>
      </c>
      <c r="H759" s="633" t="s">
        <v>2313</v>
      </c>
    </row>
    <row r="760" spans="1:10" s="360" customFormat="1" ht="15" hidden="1" customHeight="1">
      <c r="A760" s="356" t="s">
        <v>2077</v>
      </c>
      <c r="B760" s="804"/>
      <c r="C760" s="632" t="s">
        <v>714</v>
      </c>
      <c r="D760" s="358">
        <f>'PART-A'!I3630</f>
        <v>0</v>
      </c>
      <c r="E760" s="354" t="s">
        <v>115</v>
      </c>
      <c r="F760" s="355">
        <f>'PART-A'!K3630</f>
        <v>130</v>
      </c>
      <c r="G760" s="353">
        <f>ROUND(D760*F760,0)</f>
        <v>0</v>
      </c>
      <c r="H760" s="633" t="s">
        <v>2217</v>
      </c>
    </row>
    <row r="761" spans="1:10" s="360" customFormat="1" hidden="1">
      <c r="A761" s="356" t="s">
        <v>2077</v>
      </c>
      <c r="B761" s="804"/>
      <c r="C761" s="632" t="s">
        <v>714</v>
      </c>
      <c r="D761" s="358">
        <f>'PART-A'!I3854</f>
        <v>0</v>
      </c>
      <c r="E761" s="354" t="s">
        <v>115</v>
      </c>
      <c r="F761" s="355">
        <f>'PART-A'!K3854</f>
        <v>130</v>
      </c>
      <c r="H761" s="633" t="s">
        <v>2299</v>
      </c>
      <c r="J761" s="353">
        <f>ROUND(D761*F761,0)</f>
        <v>0</v>
      </c>
    </row>
    <row r="762" spans="1:10" s="360" customFormat="1" ht="15" hidden="1" customHeight="1">
      <c r="A762" s="356" t="s">
        <v>2077</v>
      </c>
      <c r="B762" s="804"/>
      <c r="C762" s="632" t="s">
        <v>714</v>
      </c>
      <c r="D762" s="358">
        <f>'PART-A'!I4072</f>
        <v>0</v>
      </c>
      <c r="E762" s="354" t="s">
        <v>115</v>
      </c>
      <c r="F762" s="355">
        <f>'PART-A'!K4072</f>
        <v>143</v>
      </c>
      <c r="G762" s="353">
        <f>ROUND(D762*F762,0)</f>
        <v>0</v>
      </c>
      <c r="H762" s="633" t="s">
        <v>2312</v>
      </c>
    </row>
    <row r="763" spans="1:10" s="360" customFormat="1" ht="15" hidden="1" customHeight="1">
      <c r="A763" s="356" t="s">
        <v>2077</v>
      </c>
      <c r="B763" s="804"/>
      <c r="C763" s="632" t="s">
        <v>714</v>
      </c>
      <c r="D763" s="358">
        <f>'PART-A'!I4293</f>
        <v>0</v>
      </c>
      <c r="E763" s="354" t="s">
        <v>115</v>
      </c>
      <c r="F763" s="355">
        <f>'PART-A'!K4293</f>
        <v>155</v>
      </c>
      <c r="G763" s="353">
        <f>ROUND(D763*F763,0)</f>
        <v>0</v>
      </c>
      <c r="H763" s="633" t="s">
        <v>2313</v>
      </c>
    </row>
    <row r="764" spans="1:10" s="360" customFormat="1" ht="15" hidden="1" customHeight="1">
      <c r="A764" s="356" t="s">
        <v>1597</v>
      </c>
      <c r="B764" s="804"/>
      <c r="C764" s="632" t="s">
        <v>796</v>
      </c>
      <c r="D764" s="358">
        <f>'PART-A'!I3648</f>
        <v>0</v>
      </c>
      <c r="E764" s="354" t="s">
        <v>115</v>
      </c>
      <c r="F764" s="355">
        <f>'PART-A'!K3648</f>
        <v>95</v>
      </c>
      <c r="G764" s="353">
        <f>ROUND(D764*F764,0)</f>
        <v>0</v>
      </c>
      <c r="H764" s="633" t="s">
        <v>2217</v>
      </c>
    </row>
    <row r="765" spans="1:10" s="360" customFormat="1" hidden="1">
      <c r="A765" s="356" t="s">
        <v>1597</v>
      </c>
      <c r="B765" s="804"/>
      <c r="C765" s="632" t="s">
        <v>796</v>
      </c>
      <c r="D765" s="358">
        <f>'PART-A'!I3872</f>
        <v>0</v>
      </c>
      <c r="E765" s="354" t="s">
        <v>115</v>
      </c>
      <c r="F765" s="355">
        <f>'PART-A'!K3872</f>
        <v>95</v>
      </c>
      <c r="H765" s="633" t="s">
        <v>2299</v>
      </c>
      <c r="J765" s="353">
        <f>ROUND(D765*F765,0)</f>
        <v>0</v>
      </c>
    </row>
    <row r="766" spans="1:10" s="360" customFormat="1" ht="15" hidden="1" customHeight="1">
      <c r="A766" s="356" t="s">
        <v>1597</v>
      </c>
      <c r="B766" s="804"/>
      <c r="C766" s="632" t="s">
        <v>796</v>
      </c>
      <c r="D766" s="358">
        <f>'PART-A'!I4090</f>
        <v>0</v>
      </c>
      <c r="E766" s="354" t="s">
        <v>115</v>
      </c>
      <c r="F766" s="355">
        <f>'PART-A'!K4090</f>
        <v>105</v>
      </c>
      <c r="G766" s="353">
        <f t="shared" ref="G766:G804" si="29">ROUND(D766*F766,0)</f>
        <v>0</v>
      </c>
      <c r="H766" s="633" t="s">
        <v>2312</v>
      </c>
    </row>
    <row r="767" spans="1:10" s="360" customFormat="1" ht="15" hidden="1" customHeight="1">
      <c r="A767" s="356" t="s">
        <v>1597</v>
      </c>
      <c r="B767" s="804"/>
      <c r="C767" s="632" t="s">
        <v>796</v>
      </c>
      <c r="D767" s="358">
        <f>'PART-A'!I4311</f>
        <v>0</v>
      </c>
      <c r="E767" s="354" t="s">
        <v>115</v>
      </c>
      <c r="F767" s="355">
        <f>'PART-A'!K4311</f>
        <v>114</v>
      </c>
      <c r="G767" s="353">
        <f t="shared" si="29"/>
        <v>0</v>
      </c>
      <c r="H767" s="633" t="s">
        <v>2313</v>
      </c>
    </row>
    <row r="768" spans="1:10" s="360" customFormat="1" ht="15" hidden="1" customHeight="1">
      <c r="A768" s="356" t="s">
        <v>2043</v>
      </c>
      <c r="B768" s="804"/>
      <c r="C768" s="632" t="s">
        <v>640</v>
      </c>
      <c r="D768" s="358">
        <f>'PART-A'!I3643</f>
        <v>0</v>
      </c>
      <c r="E768" s="354" t="s">
        <v>115</v>
      </c>
      <c r="F768" s="355">
        <f>'PART-A'!K3643</f>
        <v>335</v>
      </c>
      <c r="G768" s="353">
        <f t="shared" si="29"/>
        <v>0</v>
      </c>
      <c r="H768" s="633" t="s">
        <v>2217</v>
      </c>
    </row>
    <row r="769" spans="1:10" s="360" customFormat="1" ht="15" hidden="1" customHeight="1">
      <c r="A769" s="356" t="s">
        <v>2043</v>
      </c>
      <c r="B769" s="804"/>
      <c r="C769" s="632" t="s">
        <v>640</v>
      </c>
      <c r="D769" s="358">
        <f>'PART-A'!I3867</f>
        <v>0</v>
      </c>
      <c r="E769" s="354" t="s">
        <v>115</v>
      </c>
      <c r="F769" s="355">
        <f>'PART-A'!K3867</f>
        <v>335</v>
      </c>
      <c r="G769" s="353">
        <f t="shared" si="29"/>
        <v>0</v>
      </c>
      <c r="H769" s="633" t="s">
        <v>2299</v>
      </c>
    </row>
    <row r="770" spans="1:10" s="360" customFormat="1" ht="15" hidden="1" customHeight="1">
      <c r="A770" s="356" t="s">
        <v>2043</v>
      </c>
      <c r="B770" s="804"/>
      <c r="C770" s="632" t="s">
        <v>640</v>
      </c>
      <c r="D770" s="358">
        <f>'PART-A'!I4085</f>
        <v>0</v>
      </c>
      <c r="E770" s="354" t="s">
        <v>115</v>
      </c>
      <c r="F770" s="355">
        <f>'PART-A'!K4085</f>
        <v>369</v>
      </c>
      <c r="G770" s="353">
        <f t="shared" si="29"/>
        <v>0</v>
      </c>
      <c r="H770" s="633" t="s">
        <v>2312</v>
      </c>
    </row>
    <row r="771" spans="1:10" s="360" customFormat="1" ht="15" hidden="1" customHeight="1">
      <c r="A771" s="356" t="s">
        <v>2043</v>
      </c>
      <c r="B771" s="804"/>
      <c r="C771" s="632" t="s">
        <v>640</v>
      </c>
      <c r="D771" s="358">
        <f>'PART-A'!I4306</f>
        <v>0</v>
      </c>
      <c r="E771" s="354" t="s">
        <v>115</v>
      </c>
      <c r="F771" s="355">
        <f>'PART-A'!K4306</f>
        <v>400</v>
      </c>
      <c r="G771" s="353">
        <f t="shared" si="29"/>
        <v>0</v>
      </c>
      <c r="H771" s="633" t="s">
        <v>2313</v>
      </c>
    </row>
    <row r="772" spans="1:10" s="360" customFormat="1" ht="15" hidden="1" customHeight="1">
      <c r="A772" s="356" t="s">
        <v>2044</v>
      </c>
      <c r="B772" s="804"/>
      <c r="C772" s="632" t="s">
        <v>1512</v>
      </c>
      <c r="D772" s="358">
        <f>'PART-A'!I3638</f>
        <v>0</v>
      </c>
      <c r="E772" s="354" t="s">
        <v>115</v>
      </c>
      <c r="F772" s="355">
        <f>'PART-A'!K3638</f>
        <v>300</v>
      </c>
      <c r="G772" s="353">
        <f t="shared" si="29"/>
        <v>0</v>
      </c>
      <c r="H772" s="633" t="s">
        <v>2217</v>
      </c>
    </row>
    <row r="773" spans="1:10" s="360" customFormat="1" ht="15" hidden="1" customHeight="1">
      <c r="A773" s="356" t="s">
        <v>2044</v>
      </c>
      <c r="B773" s="804"/>
      <c r="C773" s="632" t="s">
        <v>1512</v>
      </c>
      <c r="D773" s="358">
        <f>'PART-A'!I3862</f>
        <v>0</v>
      </c>
      <c r="E773" s="354" t="s">
        <v>115</v>
      </c>
      <c r="F773" s="355">
        <f>'PART-A'!K3862</f>
        <v>300</v>
      </c>
      <c r="G773" s="353">
        <f t="shared" si="29"/>
        <v>0</v>
      </c>
      <c r="H773" s="633" t="s">
        <v>2299</v>
      </c>
    </row>
    <row r="774" spans="1:10" s="360" customFormat="1" ht="15" hidden="1" customHeight="1">
      <c r="A774" s="356" t="s">
        <v>2044</v>
      </c>
      <c r="B774" s="804"/>
      <c r="C774" s="632" t="s">
        <v>1512</v>
      </c>
      <c r="D774" s="358">
        <f>'PART-A'!I4080</f>
        <v>0</v>
      </c>
      <c r="E774" s="354" t="s">
        <v>115</v>
      </c>
      <c r="F774" s="355">
        <f>'PART-A'!K4080</f>
        <v>331</v>
      </c>
      <c r="G774" s="353">
        <f t="shared" si="29"/>
        <v>0</v>
      </c>
      <c r="H774" s="633" t="s">
        <v>2312</v>
      </c>
    </row>
    <row r="775" spans="1:10" s="360" customFormat="1" ht="15" hidden="1" customHeight="1">
      <c r="A775" s="356" t="s">
        <v>2044</v>
      </c>
      <c r="B775" s="804"/>
      <c r="C775" s="632" t="s">
        <v>1512</v>
      </c>
      <c r="D775" s="358">
        <f>'PART-A'!I4301</f>
        <v>0</v>
      </c>
      <c r="E775" s="354" t="s">
        <v>115</v>
      </c>
      <c r="F775" s="355">
        <f>'PART-A'!K4301</f>
        <v>359</v>
      </c>
      <c r="G775" s="353">
        <f t="shared" si="29"/>
        <v>0</v>
      </c>
      <c r="H775" s="633" t="s">
        <v>2313</v>
      </c>
    </row>
    <row r="776" spans="1:10" s="360" customFormat="1" ht="15" hidden="1" customHeight="1">
      <c r="A776" s="356" t="s">
        <v>2077</v>
      </c>
      <c r="B776" s="804"/>
      <c r="C776" s="632" t="s">
        <v>557</v>
      </c>
      <c r="D776" s="358">
        <f>'PART-A'!I3653</f>
        <v>0</v>
      </c>
      <c r="E776" s="354" t="s">
        <v>115</v>
      </c>
      <c r="F776" s="355">
        <f>'PART-A'!K3653</f>
        <v>57</v>
      </c>
      <c r="G776" s="353">
        <f t="shared" si="29"/>
        <v>0</v>
      </c>
      <c r="H776" s="633" t="s">
        <v>2217</v>
      </c>
    </row>
    <row r="777" spans="1:10" s="360" customFormat="1" ht="15" hidden="1" customHeight="1">
      <c r="A777" s="356" t="s">
        <v>2077</v>
      </c>
      <c r="B777" s="804"/>
      <c r="C777" s="632" t="s">
        <v>557</v>
      </c>
      <c r="D777" s="358">
        <f>'PART-A'!I3877</f>
        <v>0</v>
      </c>
      <c r="E777" s="354" t="s">
        <v>115</v>
      </c>
      <c r="F777" s="355">
        <f>'PART-A'!K3877</f>
        <v>57</v>
      </c>
      <c r="H777" s="633" t="s">
        <v>2299</v>
      </c>
      <c r="J777" s="353">
        <f>ROUND(D777*F777,0)</f>
        <v>0</v>
      </c>
    </row>
    <row r="778" spans="1:10" s="360" customFormat="1" ht="15" hidden="1" customHeight="1">
      <c r="A778" s="356" t="s">
        <v>2077</v>
      </c>
      <c r="B778" s="804"/>
      <c r="C778" s="632" t="s">
        <v>557</v>
      </c>
      <c r="D778" s="358">
        <f>'PART-A'!I4095</f>
        <v>0</v>
      </c>
      <c r="E778" s="354" t="s">
        <v>115</v>
      </c>
      <c r="F778" s="355">
        <f>'PART-A'!K4095</f>
        <v>63</v>
      </c>
      <c r="G778" s="353">
        <f t="shared" si="29"/>
        <v>0</v>
      </c>
      <c r="H778" s="633" t="s">
        <v>2312</v>
      </c>
    </row>
    <row r="779" spans="1:10" s="360" customFormat="1" ht="15" hidden="1" customHeight="1">
      <c r="A779" s="356" t="s">
        <v>2077</v>
      </c>
      <c r="B779" s="804"/>
      <c r="C779" s="632" t="s">
        <v>557</v>
      </c>
      <c r="D779" s="358">
        <f>'PART-A'!I4316</f>
        <v>0</v>
      </c>
      <c r="E779" s="354" t="s">
        <v>115</v>
      </c>
      <c r="F779" s="355">
        <f>'PART-A'!K4316</f>
        <v>68</v>
      </c>
      <c r="G779" s="353">
        <f t="shared" si="29"/>
        <v>0</v>
      </c>
      <c r="H779" s="633" t="s">
        <v>2313</v>
      </c>
    </row>
    <row r="780" spans="1:10" s="360" customFormat="1" hidden="1">
      <c r="A780" s="356" t="s">
        <v>1574</v>
      </c>
      <c r="B780" s="804" t="s">
        <v>2661</v>
      </c>
      <c r="C780" s="632" t="s">
        <v>558</v>
      </c>
      <c r="D780" s="358">
        <f>'PART-A'!I3660</f>
        <v>0</v>
      </c>
      <c r="E780" s="354" t="s">
        <v>568</v>
      </c>
      <c r="F780" s="355">
        <f>'PART-A'!K3660</f>
        <v>383.5</v>
      </c>
      <c r="G780" s="353">
        <f t="shared" si="29"/>
        <v>0</v>
      </c>
      <c r="H780" s="633" t="s">
        <v>2217</v>
      </c>
    </row>
    <row r="781" spans="1:10" s="360" customFormat="1" hidden="1">
      <c r="A781" s="356" t="s">
        <v>1581</v>
      </c>
      <c r="B781" s="804" t="s">
        <v>2661</v>
      </c>
      <c r="C781" s="632" t="s">
        <v>558</v>
      </c>
      <c r="D781" s="358">
        <f>'PART-A'!I3882</f>
        <v>0</v>
      </c>
      <c r="E781" s="354" t="s">
        <v>568</v>
      </c>
      <c r="F781" s="355">
        <f>'PART-A'!K3882</f>
        <v>395.5</v>
      </c>
      <c r="G781" s="353">
        <f t="shared" si="29"/>
        <v>0</v>
      </c>
      <c r="H781" s="633" t="s">
        <v>2299</v>
      </c>
    </row>
    <row r="782" spans="1:10" s="360" customFormat="1" ht="15" hidden="1" customHeight="1">
      <c r="A782" s="356" t="s">
        <v>2032</v>
      </c>
      <c r="B782" s="804" t="s">
        <v>2661</v>
      </c>
      <c r="C782" s="632" t="s">
        <v>558</v>
      </c>
      <c r="D782" s="358">
        <f>'PART-A'!I4102</f>
        <v>0</v>
      </c>
      <c r="E782" s="354" t="s">
        <v>568</v>
      </c>
      <c r="F782" s="355">
        <f>'PART-A'!K4102</f>
        <v>436.33</v>
      </c>
      <c r="G782" s="353">
        <f t="shared" si="29"/>
        <v>0</v>
      </c>
      <c r="H782" s="633" t="s">
        <v>2312</v>
      </c>
    </row>
    <row r="783" spans="1:10" s="360" customFormat="1" ht="15" hidden="1" customHeight="1">
      <c r="A783" s="356" t="s">
        <v>2032</v>
      </c>
      <c r="B783" s="804" t="s">
        <v>2661</v>
      </c>
      <c r="C783" s="632" t="s">
        <v>558</v>
      </c>
      <c r="D783" s="358">
        <f>'PART-A'!I4322</f>
        <v>0</v>
      </c>
      <c r="E783" s="354" t="s">
        <v>568</v>
      </c>
      <c r="F783" s="355">
        <f>'PART-A'!K4322</f>
        <v>481.67</v>
      </c>
      <c r="G783" s="353">
        <f t="shared" si="29"/>
        <v>0</v>
      </c>
      <c r="H783" s="633" t="s">
        <v>2313</v>
      </c>
    </row>
    <row r="784" spans="1:10" s="360" customFormat="1" hidden="1">
      <c r="A784" s="356" t="s">
        <v>1581</v>
      </c>
      <c r="B784" s="804" t="s">
        <v>2661</v>
      </c>
      <c r="C784" s="632" t="s">
        <v>558</v>
      </c>
      <c r="D784" s="358">
        <f>'PART-A'!I3667</f>
        <v>0</v>
      </c>
      <c r="E784" s="354" t="s">
        <v>568</v>
      </c>
      <c r="F784" s="355">
        <f>'PART-A'!K3667</f>
        <v>402.5</v>
      </c>
      <c r="G784" s="353">
        <f t="shared" si="29"/>
        <v>0</v>
      </c>
      <c r="H784" s="633" t="s">
        <v>2217</v>
      </c>
    </row>
    <row r="785" spans="1:8" s="360" customFormat="1" ht="15" hidden="1" customHeight="1">
      <c r="A785" s="356" t="s">
        <v>522</v>
      </c>
      <c r="B785" s="804" t="s">
        <v>2661</v>
      </c>
      <c r="C785" s="632" t="s">
        <v>558</v>
      </c>
      <c r="D785" s="358">
        <f>'PART-A'!I3889</f>
        <v>0</v>
      </c>
      <c r="E785" s="354" t="s">
        <v>568</v>
      </c>
      <c r="F785" s="355">
        <f>'PART-A'!K3889</f>
        <v>414.5</v>
      </c>
      <c r="G785" s="353">
        <f t="shared" si="29"/>
        <v>0</v>
      </c>
      <c r="H785" s="633" t="s">
        <v>2299</v>
      </c>
    </row>
    <row r="786" spans="1:8" s="360" customFormat="1" ht="15" hidden="1" customHeight="1">
      <c r="A786" s="356" t="s">
        <v>522</v>
      </c>
      <c r="B786" s="804" t="s">
        <v>2661</v>
      </c>
      <c r="C786" s="632" t="s">
        <v>558</v>
      </c>
      <c r="D786" s="358">
        <f>'PART-A'!I4109</f>
        <v>0</v>
      </c>
      <c r="E786" s="354" t="s">
        <v>568</v>
      </c>
      <c r="F786" s="355">
        <f>'PART-A'!K4109</f>
        <v>457.33</v>
      </c>
      <c r="G786" s="353">
        <f t="shared" si="29"/>
        <v>0</v>
      </c>
      <c r="H786" s="633" t="s">
        <v>2312</v>
      </c>
    </row>
    <row r="787" spans="1:8" s="360" customFormat="1" ht="15" hidden="1" customHeight="1">
      <c r="A787" s="356" t="s">
        <v>522</v>
      </c>
      <c r="B787" s="804" t="s">
        <v>2661</v>
      </c>
      <c r="C787" s="632" t="s">
        <v>558</v>
      </c>
      <c r="D787" s="358">
        <f>'PART-A'!I4327</f>
        <v>0</v>
      </c>
      <c r="E787" s="354" t="s">
        <v>568</v>
      </c>
      <c r="F787" s="355">
        <f>'PART-A'!K4327</f>
        <v>503.67</v>
      </c>
      <c r="G787" s="353">
        <f t="shared" si="29"/>
        <v>0</v>
      </c>
      <c r="H787" s="633" t="s">
        <v>2313</v>
      </c>
    </row>
    <row r="788" spans="1:8" s="360" customFormat="1" ht="15" hidden="1" customHeight="1">
      <c r="A788" s="356" t="s">
        <v>2033</v>
      </c>
      <c r="B788" s="804" t="s">
        <v>2662</v>
      </c>
      <c r="C788" s="632" t="s">
        <v>2264</v>
      </c>
      <c r="D788" s="358">
        <f>'PART-A'!I3673</f>
        <v>0</v>
      </c>
      <c r="E788" s="354" t="s">
        <v>277</v>
      </c>
      <c r="F788" s="355">
        <f>'PART-A'!K3673</f>
        <v>18.59</v>
      </c>
      <c r="G788" s="353">
        <f t="shared" si="29"/>
        <v>0</v>
      </c>
      <c r="H788" s="633" t="s">
        <v>2217</v>
      </c>
    </row>
    <row r="789" spans="1:8" s="360" customFormat="1" hidden="1">
      <c r="A789" s="356" t="s">
        <v>1582</v>
      </c>
      <c r="B789" s="804" t="s">
        <v>2662</v>
      </c>
      <c r="C789" s="632" t="s">
        <v>2264</v>
      </c>
      <c r="D789" s="358">
        <f>'PART-A'!I3895</f>
        <v>0</v>
      </c>
      <c r="E789" s="354" t="s">
        <v>277</v>
      </c>
      <c r="F789" s="355">
        <f>'PART-A'!K3895</f>
        <v>19.09</v>
      </c>
      <c r="G789" s="353">
        <f t="shared" si="29"/>
        <v>0</v>
      </c>
      <c r="H789" s="633" t="s">
        <v>2299</v>
      </c>
    </row>
    <row r="790" spans="1:8" s="360" customFormat="1" ht="15" hidden="1" customHeight="1">
      <c r="A790" s="356" t="s">
        <v>2033</v>
      </c>
      <c r="B790" s="804" t="s">
        <v>2662</v>
      </c>
      <c r="C790" s="632" t="s">
        <v>2264</v>
      </c>
      <c r="D790" s="358">
        <f>'PART-A'!I4115</f>
        <v>0</v>
      </c>
      <c r="E790" s="354" t="s">
        <v>277</v>
      </c>
      <c r="F790" s="355">
        <f>'PART-A'!K4115</f>
        <v>21.19</v>
      </c>
      <c r="G790" s="353">
        <f t="shared" si="29"/>
        <v>0</v>
      </c>
      <c r="H790" s="633" t="s">
        <v>2312</v>
      </c>
    </row>
    <row r="791" spans="1:8" s="360" customFormat="1" ht="15" hidden="1" customHeight="1">
      <c r="A791" s="356" t="s">
        <v>2033</v>
      </c>
      <c r="B791" s="804" t="s">
        <v>2662</v>
      </c>
      <c r="C791" s="632" t="s">
        <v>2264</v>
      </c>
      <c r="D791" s="358">
        <f>'PART-A'!I4332</f>
        <v>0</v>
      </c>
      <c r="E791" s="354" t="s">
        <v>277</v>
      </c>
      <c r="F791" s="355">
        <f>'PART-A'!K4332</f>
        <v>23.55</v>
      </c>
      <c r="G791" s="353">
        <f t="shared" si="29"/>
        <v>0</v>
      </c>
      <c r="H791" s="633" t="s">
        <v>2313</v>
      </c>
    </row>
    <row r="792" spans="1:8" s="360" customFormat="1" hidden="1">
      <c r="A792" s="356" t="s">
        <v>1582</v>
      </c>
      <c r="B792" s="804"/>
      <c r="C792" s="632" t="s">
        <v>2265</v>
      </c>
      <c r="D792" s="358">
        <f>'PART-A'!I3678</f>
        <v>0</v>
      </c>
      <c r="E792" s="354" t="s">
        <v>277</v>
      </c>
      <c r="F792" s="355">
        <f>'PART-A'!K3678</f>
        <v>60.7</v>
      </c>
      <c r="G792" s="353">
        <f t="shared" si="29"/>
        <v>0</v>
      </c>
      <c r="H792" s="633" t="s">
        <v>2217</v>
      </c>
    </row>
    <row r="793" spans="1:8" s="360" customFormat="1" ht="15" hidden="1" customHeight="1">
      <c r="A793" s="356" t="s">
        <v>2034</v>
      </c>
      <c r="B793" s="804"/>
      <c r="C793" s="632" t="s">
        <v>2265</v>
      </c>
      <c r="D793" s="358">
        <f>'PART-A'!I3900</f>
        <v>0</v>
      </c>
      <c r="E793" s="354" t="s">
        <v>277</v>
      </c>
      <c r="F793" s="355">
        <f>'PART-A'!K3900</f>
        <v>60.7</v>
      </c>
      <c r="G793" s="353">
        <f t="shared" si="29"/>
        <v>0</v>
      </c>
      <c r="H793" s="633" t="s">
        <v>2299</v>
      </c>
    </row>
    <row r="794" spans="1:8" s="360" customFormat="1" ht="15" hidden="1" customHeight="1">
      <c r="A794" s="356" t="s">
        <v>2034</v>
      </c>
      <c r="B794" s="804"/>
      <c r="C794" s="632" t="s">
        <v>2265</v>
      </c>
      <c r="D794" s="358">
        <f>'PART-A'!I4120</f>
        <v>0</v>
      </c>
      <c r="E794" s="354" t="s">
        <v>277</v>
      </c>
      <c r="F794" s="355">
        <f>'PART-A'!K4120</f>
        <v>69.83</v>
      </c>
      <c r="G794" s="353">
        <f t="shared" si="29"/>
        <v>0</v>
      </c>
      <c r="H794" s="633" t="s">
        <v>2312</v>
      </c>
    </row>
    <row r="795" spans="1:8" s="360" customFormat="1" ht="15" hidden="1" customHeight="1">
      <c r="A795" s="356" t="s">
        <v>2034</v>
      </c>
      <c r="B795" s="804"/>
      <c r="C795" s="632" t="s">
        <v>2265</v>
      </c>
      <c r="D795" s="358">
        <f>'PART-A'!I4341</f>
        <v>0</v>
      </c>
      <c r="E795" s="354" t="s">
        <v>277</v>
      </c>
      <c r="F795" s="355">
        <f>'PART-A'!K4341</f>
        <v>79.48</v>
      </c>
      <c r="G795" s="353">
        <f t="shared" si="29"/>
        <v>0</v>
      </c>
      <c r="H795" s="633" t="s">
        <v>2313</v>
      </c>
    </row>
    <row r="796" spans="1:8" s="360" customFormat="1" hidden="1">
      <c r="A796" s="356" t="s">
        <v>1143</v>
      </c>
      <c r="B796" s="804" t="s">
        <v>2659</v>
      </c>
      <c r="C796" s="632" t="s">
        <v>559</v>
      </c>
      <c r="D796" s="358">
        <f>'PART-A'!I3683</f>
        <v>0</v>
      </c>
      <c r="E796" s="354" t="s">
        <v>277</v>
      </c>
      <c r="F796" s="355">
        <f>'PART-A'!K3683</f>
        <v>64.873099999999994</v>
      </c>
      <c r="G796" s="353">
        <f t="shared" si="29"/>
        <v>0</v>
      </c>
      <c r="H796" s="633" t="s">
        <v>2217</v>
      </c>
    </row>
    <row r="797" spans="1:8" s="360" customFormat="1" hidden="1">
      <c r="A797" s="356" t="s">
        <v>1143</v>
      </c>
      <c r="B797" s="804" t="s">
        <v>2659</v>
      </c>
      <c r="C797" s="632" t="s">
        <v>559</v>
      </c>
      <c r="D797" s="358">
        <f>'PART-A'!I3905</f>
        <v>0</v>
      </c>
      <c r="E797" s="354" t="s">
        <v>277</v>
      </c>
      <c r="F797" s="355">
        <f>'PART-A'!K3905</f>
        <v>65.868499999999997</v>
      </c>
      <c r="G797" s="353">
        <f t="shared" si="29"/>
        <v>0</v>
      </c>
      <c r="H797" s="633" t="s">
        <v>2299</v>
      </c>
    </row>
    <row r="798" spans="1:8" s="360" customFormat="1" ht="15" hidden="1" customHeight="1">
      <c r="A798" s="356" t="s">
        <v>2034</v>
      </c>
      <c r="B798" s="804" t="s">
        <v>2659</v>
      </c>
      <c r="C798" s="632" t="s">
        <v>559</v>
      </c>
      <c r="D798" s="358">
        <f>'PART-A'!I4125</f>
        <v>0</v>
      </c>
      <c r="E798" s="354" t="s">
        <v>277</v>
      </c>
      <c r="F798" s="355">
        <f>'PART-A'!K4125</f>
        <v>74.22399999999999</v>
      </c>
      <c r="G798" s="353">
        <f t="shared" si="29"/>
        <v>0</v>
      </c>
      <c r="H798" s="633" t="s">
        <v>2312</v>
      </c>
    </row>
    <row r="799" spans="1:8" s="360" customFormat="1" ht="15" hidden="1" customHeight="1">
      <c r="A799" s="356" t="s">
        <v>2034</v>
      </c>
      <c r="B799" s="804" t="s">
        <v>2659</v>
      </c>
      <c r="C799" s="632" t="s">
        <v>559</v>
      </c>
      <c r="D799" s="358">
        <f>'PART-A'!I4347</f>
        <v>0</v>
      </c>
      <c r="E799" s="354" t="s">
        <v>277</v>
      </c>
      <c r="F799" s="355">
        <f>'PART-A'!K4347</f>
        <v>83.333500000000001</v>
      </c>
      <c r="G799" s="353">
        <f t="shared" si="29"/>
        <v>0</v>
      </c>
      <c r="H799" s="633" t="s">
        <v>2313</v>
      </c>
    </row>
    <row r="800" spans="1:8" s="360" customFormat="1" hidden="1">
      <c r="A800" s="356" t="s">
        <v>1583</v>
      </c>
      <c r="B800" s="804" t="s">
        <v>2660</v>
      </c>
      <c r="C800" s="632" t="s">
        <v>560</v>
      </c>
      <c r="D800" s="358">
        <f>'PART-A'!I3688</f>
        <v>0</v>
      </c>
      <c r="E800" s="354" t="s">
        <v>277</v>
      </c>
      <c r="F800" s="355">
        <f>'PART-A'!K3688</f>
        <v>98.56</v>
      </c>
      <c r="G800" s="353">
        <f t="shared" si="29"/>
        <v>0</v>
      </c>
      <c r="H800" s="633" t="s">
        <v>2217</v>
      </c>
    </row>
    <row r="801" spans="1:10" s="360" customFormat="1" ht="15" hidden="1" customHeight="1">
      <c r="A801" s="356" t="s">
        <v>1583</v>
      </c>
      <c r="B801" s="804" t="s">
        <v>2660</v>
      </c>
      <c r="C801" s="632" t="s">
        <v>560</v>
      </c>
      <c r="D801" s="358">
        <f>'PART-A'!I3910</f>
        <v>0</v>
      </c>
      <c r="E801" s="354" t="s">
        <v>277</v>
      </c>
      <c r="F801" s="355">
        <f>'PART-A'!K3910</f>
        <v>100.05</v>
      </c>
      <c r="G801" s="353">
        <f t="shared" si="29"/>
        <v>0</v>
      </c>
      <c r="H801" s="633" t="s">
        <v>2299</v>
      </c>
    </row>
    <row r="802" spans="1:10" s="360" customFormat="1" ht="15" hidden="1" customHeight="1">
      <c r="A802" s="356" t="s">
        <v>2034</v>
      </c>
      <c r="B802" s="804" t="s">
        <v>2660</v>
      </c>
      <c r="C802" s="632" t="s">
        <v>560</v>
      </c>
      <c r="D802" s="358">
        <f>'PART-A'!I4130</f>
        <v>0</v>
      </c>
      <c r="E802" s="354" t="s">
        <v>277</v>
      </c>
      <c r="F802" s="355">
        <f>'PART-A'!K4130</f>
        <v>112.78</v>
      </c>
      <c r="G802" s="353">
        <f t="shared" si="29"/>
        <v>0</v>
      </c>
      <c r="H802" s="633" t="s">
        <v>2312</v>
      </c>
    </row>
    <row r="803" spans="1:10" s="360" customFormat="1" ht="15" hidden="1" customHeight="1">
      <c r="A803" s="356" t="s">
        <v>2034</v>
      </c>
      <c r="B803" s="804" t="s">
        <v>2660</v>
      </c>
      <c r="C803" s="632" t="s">
        <v>560</v>
      </c>
      <c r="D803" s="358">
        <f>'PART-A'!I4352</f>
        <v>0</v>
      </c>
      <c r="E803" s="354" t="s">
        <v>277</v>
      </c>
      <c r="F803" s="355">
        <f>'PART-A'!K4352</f>
        <v>126.65</v>
      </c>
      <c r="G803" s="353">
        <f t="shared" si="29"/>
        <v>0</v>
      </c>
      <c r="H803" s="633" t="s">
        <v>2313</v>
      </c>
    </row>
    <row r="804" spans="1:10" s="360" customFormat="1" hidden="1">
      <c r="A804" s="356" t="s">
        <v>645</v>
      </c>
      <c r="B804" s="804"/>
      <c r="C804" s="632" t="s">
        <v>833</v>
      </c>
      <c r="D804" s="358">
        <f>'PART-A'!I3693</f>
        <v>0</v>
      </c>
      <c r="E804" s="354" t="s">
        <v>277</v>
      </c>
      <c r="F804" s="355">
        <f>'PART-A'!K3693</f>
        <v>50.795000000000002</v>
      </c>
      <c r="G804" s="353">
        <f t="shared" si="29"/>
        <v>0</v>
      </c>
      <c r="H804" s="633" t="s">
        <v>2217</v>
      </c>
    </row>
    <row r="805" spans="1:10" s="360" customFormat="1" hidden="1">
      <c r="A805" s="356" t="s">
        <v>2036</v>
      </c>
      <c r="B805" s="804"/>
      <c r="C805" s="632" t="s">
        <v>833</v>
      </c>
      <c r="D805" s="358">
        <f>'PART-A'!I3915</f>
        <v>0</v>
      </c>
      <c r="E805" s="354" t="s">
        <v>277</v>
      </c>
      <c r="F805" s="355">
        <f>'PART-A'!K3915</f>
        <v>54.465000000000003</v>
      </c>
      <c r="H805" s="633" t="s">
        <v>2299</v>
      </c>
      <c r="J805" s="353">
        <f>ROUND(D805*F805,0)</f>
        <v>0</v>
      </c>
    </row>
    <row r="806" spans="1:10" s="360" customFormat="1" ht="15" hidden="1" customHeight="1">
      <c r="A806" s="356" t="s">
        <v>2036</v>
      </c>
      <c r="B806" s="804"/>
      <c r="C806" s="632" t="s">
        <v>833</v>
      </c>
      <c r="D806" s="358">
        <f>'PART-A'!I4135</f>
        <v>0</v>
      </c>
      <c r="E806" s="354" t="s">
        <v>277</v>
      </c>
      <c r="F806" s="355">
        <f>'PART-A'!K4135</f>
        <v>56.313999999999993</v>
      </c>
      <c r="G806" s="353">
        <f>ROUND(D806*F806,0)</f>
        <v>0</v>
      </c>
      <c r="H806" s="633" t="s">
        <v>2312</v>
      </c>
    </row>
    <row r="807" spans="1:10" s="360" customFormat="1" ht="15" hidden="1" customHeight="1">
      <c r="A807" s="356" t="s">
        <v>2036</v>
      </c>
      <c r="B807" s="804"/>
      <c r="C807" s="632" t="s">
        <v>833</v>
      </c>
      <c r="D807" s="358">
        <f>'PART-A'!I4357</f>
        <v>0</v>
      </c>
      <c r="E807" s="354" t="s">
        <v>277</v>
      </c>
      <c r="F807" s="355">
        <f>'PART-A'!K4357</f>
        <v>64.563000000000002</v>
      </c>
      <c r="G807" s="353">
        <f>ROUND(D807*F807,0)</f>
        <v>0</v>
      </c>
      <c r="H807" s="633" t="s">
        <v>2313</v>
      </c>
    </row>
    <row r="808" spans="1:10" s="360" customFormat="1" ht="15" hidden="1" customHeight="1">
      <c r="A808" s="356" t="s">
        <v>2037</v>
      </c>
      <c r="B808" s="804"/>
      <c r="C808" s="632" t="s">
        <v>437</v>
      </c>
      <c r="D808" s="358">
        <f>'PART-A'!I3698</f>
        <v>0</v>
      </c>
      <c r="E808" s="354" t="s">
        <v>115</v>
      </c>
      <c r="F808" s="355">
        <f>'PART-A'!K3698</f>
        <v>190</v>
      </c>
      <c r="G808" s="353">
        <f>ROUND(D808*F808,0)</f>
        <v>0</v>
      </c>
      <c r="H808" s="633" t="s">
        <v>2217</v>
      </c>
    </row>
    <row r="809" spans="1:10" s="360" customFormat="1" hidden="1">
      <c r="A809" s="356" t="s">
        <v>2037</v>
      </c>
      <c r="B809" s="804"/>
      <c r="C809" s="632" t="s">
        <v>437</v>
      </c>
      <c r="D809" s="358">
        <f>'PART-A'!I3920</f>
        <v>0</v>
      </c>
      <c r="E809" s="354" t="s">
        <v>115</v>
      </c>
      <c r="F809" s="355">
        <f>'PART-A'!K3920</f>
        <v>190</v>
      </c>
      <c r="H809" s="633" t="s">
        <v>2299</v>
      </c>
      <c r="J809" s="353">
        <f>ROUND(D809*F809,0)</f>
        <v>0</v>
      </c>
    </row>
    <row r="810" spans="1:10" s="360" customFormat="1" ht="15" hidden="1" customHeight="1">
      <c r="A810" s="356" t="s">
        <v>2037</v>
      </c>
      <c r="B810" s="804"/>
      <c r="C810" s="632" t="s">
        <v>437</v>
      </c>
      <c r="D810" s="358">
        <f>'PART-A'!I4140</f>
        <v>0</v>
      </c>
      <c r="E810" s="354" t="s">
        <v>115</v>
      </c>
      <c r="F810" s="355">
        <f>'PART-A'!K4140</f>
        <v>209</v>
      </c>
      <c r="G810" s="353">
        <f>ROUND(D810*F810,0)</f>
        <v>0</v>
      </c>
      <c r="H810" s="633" t="s">
        <v>2312</v>
      </c>
    </row>
    <row r="811" spans="1:10" s="360" customFormat="1" ht="15" hidden="1" customHeight="1">
      <c r="A811" s="356" t="s">
        <v>2037</v>
      </c>
      <c r="B811" s="804"/>
      <c r="C811" s="632" t="s">
        <v>437</v>
      </c>
      <c r="D811" s="358">
        <f>'PART-A'!I4362</f>
        <v>0</v>
      </c>
      <c r="E811" s="354" t="s">
        <v>115</v>
      </c>
      <c r="F811" s="355">
        <f>'PART-A'!K4362</f>
        <v>209</v>
      </c>
      <c r="G811" s="353">
        <f>ROUND(D811*F811,0)</f>
        <v>0</v>
      </c>
      <c r="H811" s="633" t="s">
        <v>2313</v>
      </c>
    </row>
    <row r="812" spans="1:10" s="360" customFormat="1" ht="15" hidden="1" customHeight="1">
      <c r="A812" s="356" t="s">
        <v>2038</v>
      </c>
      <c r="B812" s="804"/>
      <c r="C812" s="632" t="s">
        <v>615</v>
      </c>
      <c r="D812" s="358">
        <f>'PART-A'!I3703</f>
        <v>0</v>
      </c>
      <c r="E812" s="354" t="s">
        <v>115</v>
      </c>
      <c r="F812" s="355">
        <f>'PART-A'!K3703</f>
        <v>155</v>
      </c>
      <c r="G812" s="353">
        <f>ROUND(D812*F812,0)</f>
        <v>0</v>
      </c>
      <c r="H812" s="633" t="s">
        <v>2217</v>
      </c>
    </row>
    <row r="813" spans="1:10" s="360" customFormat="1" hidden="1">
      <c r="A813" s="356" t="s">
        <v>2038</v>
      </c>
      <c r="B813" s="804"/>
      <c r="C813" s="632" t="s">
        <v>615</v>
      </c>
      <c r="D813" s="358">
        <f>'PART-A'!I3925</f>
        <v>0</v>
      </c>
      <c r="E813" s="354" t="s">
        <v>115</v>
      </c>
      <c r="F813" s="355">
        <f>'PART-A'!K3925</f>
        <v>155</v>
      </c>
      <c r="H813" s="633" t="s">
        <v>2299</v>
      </c>
      <c r="J813" s="353">
        <f>ROUND(D813*F813,0)</f>
        <v>0</v>
      </c>
    </row>
    <row r="814" spans="1:10" s="360" customFormat="1" ht="15" hidden="1" customHeight="1">
      <c r="A814" s="356" t="s">
        <v>2038</v>
      </c>
      <c r="B814" s="804"/>
      <c r="C814" s="632" t="s">
        <v>615</v>
      </c>
      <c r="D814" s="358">
        <f>'PART-A'!I4145</f>
        <v>0</v>
      </c>
      <c r="E814" s="354" t="s">
        <v>115</v>
      </c>
      <c r="F814" s="355">
        <f>'PART-A'!K4145</f>
        <v>171</v>
      </c>
      <c r="G814" s="353">
        <f>ROUND(D814*F814,0)</f>
        <v>0</v>
      </c>
      <c r="H814" s="633" t="s">
        <v>2312</v>
      </c>
    </row>
    <row r="815" spans="1:10" s="360" customFormat="1" ht="15" hidden="1" customHeight="1">
      <c r="A815" s="356" t="s">
        <v>2038</v>
      </c>
      <c r="B815" s="804"/>
      <c r="C815" s="632" t="s">
        <v>615</v>
      </c>
      <c r="D815" s="358">
        <f>'PART-A'!I4367</f>
        <v>0</v>
      </c>
      <c r="E815" s="354" t="s">
        <v>115</v>
      </c>
      <c r="F815" s="355">
        <f>'PART-A'!K4367</f>
        <v>171</v>
      </c>
      <c r="G815" s="353">
        <f>ROUND(D815*F815,0)</f>
        <v>0</v>
      </c>
      <c r="H815" s="633" t="s">
        <v>2313</v>
      </c>
    </row>
    <row r="816" spans="1:10" s="360" customFormat="1" ht="15" hidden="1" customHeight="1">
      <c r="A816" s="356" t="s">
        <v>2078</v>
      </c>
      <c r="B816" s="804"/>
      <c r="C816" s="632" t="s">
        <v>694</v>
      </c>
      <c r="D816" s="358">
        <f>'PART-A'!I3708</f>
        <v>0</v>
      </c>
      <c r="E816" s="354" t="s">
        <v>115</v>
      </c>
      <c r="F816" s="355">
        <f>'PART-A'!K3708</f>
        <v>120</v>
      </c>
      <c r="G816" s="353">
        <f>ROUND(D816*F816,0)</f>
        <v>0</v>
      </c>
      <c r="H816" s="633" t="s">
        <v>2217</v>
      </c>
    </row>
    <row r="817" spans="1:10" s="360" customFormat="1" hidden="1">
      <c r="A817" s="356" t="s">
        <v>2078</v>
      </c>
      <c r="B817" s="804"/>
      <c r="C817" s="632" t="s">
        <v>694</v>
      </c>
      <c r="D817" s="358">
        <f>'PART-A'!I3930</f>
        <v>0</v>
      </c>
      <c r="E817" s="354" t="s">
        <v>115</v>
      </c>
      <c r="F817" s="355">
        <f>'PART-A'!K3930</f>
        <v>120</v>
      </c>
      <c r="H817" s="633" t="s">
        <v>2299</v>
      </c>
      <c r="J817" s="353">
        <f>ROUND(D817*F817,0)</f>
        <v>0</v>
      </c>
    </row>
    <row r="818" spans="1:10" s="360" customFormat="1" ht="15" hidden="1" customHeight="1">
      <c r="A818" s="356" t="s">
        <v>2078</v>
      </c>
      <c r="B818" s="804"/>
      <c r="C818" s="632" t="s">
        <v>694</v>
      </c>
      <c r="D818" s="358">
        <f>'PART-A'!I4150</f>
        <v>0</v>
      </c>
      <c r="E818" s="354" t="s">
        <v>115</v>
      </c>
      <c r="F818" s="355">
        <f>'PART-A'!K4150</f>
        <v>132</v>
      </c>
      <c r="G818" s="353">
        <f>ROUND(D818*F818,0)</f>
        <v>0</v>
      </c>
      <c r="H818" s="633" t="s">
        <v>2312</v>
      </c>
    </row>
    <row r="819" spans="1:10" s="360" customFormat="1" ht="15" hidden="1" customHeight="1">
      <c r="A819" s="356" t="s">
        <v>2078</v>
      </c>
      <c r="B819" s="804"/>
      <c r="C819" s="632" t="s">
        <v>694</v>
      </c>
      <c r="D819" s="358">
        <f>'PART-A'!I4372</f>
        <v>0</v>
      </c>
      <c r="E819" s="354" t="s">
        <v>115</v>
      </c>
      <c r="F819" s="355">
        <f>'PART-A'!K4372</f>
        <v>132</v>
      </c>
      <c r="G819" s="353">
        <f>ROUND(D819*F819,0)</f>
        <v>0</v>
      </c>
      <c r="H819" s="633" t="s">
        <v>2313</v>
      </c>
    </row>
    <row r="820" spans="1:10" s="360" customFormat="1" ht="15" hidden="1" customHeight="1">
      <c r="A820" s="356" t="s">
        <v>2039</v>
      </c>
      <c r="B820" s="804"/>
      <c r="C820" s="632" t="s">
        <v>792</v>
      </c>
      <c r="D820" s="358">
        <f>'PART-A'!I3718</f>
        <v>0</v>
      </c>
      <c r="E820" s="354" t="s">
        <v>115</v>
      </c>
      <c r="F820" s="355">
        <f>'PART-A'!K3718</f>
        <v>80</v>
      </c>
      <c r="G820" s="353">
        <f>ROUND(D820*F820,0)</f>
        <v>0</v>
      </c>
      <c r="H820" s="633" t="s">
        <v>2217</v>
      </c>
    </row>
    <row r="821" spans="1:10" s="360" customFormat="1" hidden="1">
      <c r="A821" s="356" t="s">
        <v>2039</v>
      </c>
      <c r="B821" s="804"/>
      <c r="C821" s="632" t="s">
        <v>792</v>
      </c>
      <c r="D821" s="358">
        <f>'PART-A'!I3940</f>
        <v>0</v>
      </c>
      <c r="E821" s="354" t="s">
        <v>115</v>
      </c>
      <c r="F821" s="355">
        <f>'PART-A'!K3940</f>
        <v>80</v>
      </c>
      <c r="H821" s="633" t="s">
        <v>2299</v>
      </c>
      <c r="J821" s="353">
        <f>ROUND(D821*F821,0)</f>
        <v>0</v>
      </c>
    </row>
    <row r="822" spans="1:10" s="360" customFormat="1" ht="15" hidden="1" customHeight="1">
      <c r="A822" s="356" t="s">
        <v>2039</v>
      </c>
      <c r="B822" s="804"/>
      <c r="C822" s="632" t="s">
        <v>792</v>
      </c>
      <c r="D822" s="358">
        <f>'PART-A'!I4160</f>
        <v>0</v>
      </c>
      <c r="E822" s="354" t="s">
        <v>115</v>
      </c>
      <c r="F822" s="355">
        <f>'PART-A'!K4160</f>
        <v>88</v>
      </c>
      <c r="G822" s="353">
        <f t="shared" ref="G822:G844" si="30">ROUND(D822*F822,0)</f>
        <v>0</v>
      </c>
      <c r="H822" s="633" t="s">
        <v>2312</v>
      </c>
    </row>
    <row r="823" spans="1:10" s="360" customFormat="1" ht="15" hidden="1" customHeight="1">
      <c r="A823" s="356" t="s">
        <v>2039</v>
      </c>
      <c r="B823" s="804"/>
      <c r="C823" s="632" t="s">
        <v>792</v>
      </c>
      <c r="D823" s="358">
        <f>'PART-A'!I4382</f>
        <v>0</v>
      </c>
      <c r="E823" s="354" t="s">
        <v>115</v>
      </c>
      <c r="F823" s="355">
        <f>'PART-A'!K4382</f>
        <v>88</v>
      </c>
      <c r="G823" s="353">
        <f t="shared" si="30"/>
        <v>0</v>
      </c>
      <c r="H823" s="633" t="s">
        <v>2313</v>
      </c>
    </row>
    <row r="824" spans="1:10" s="360" customFormat="1" ht="15" hidden="1" customHeight="1">
      <c r="A824" s="356" t="s">
        <v>525</v>
      </c>
      <c r="B824" s="804"/>
      <c r="C824" s="632" t="s">
        <v>617</v>
      </c>
      <c r="D824" s="358">
        <f>'PART-A'!I3713</f>
        <v>0</v>
      </c>
      <c r="E824" s="354" t="s">
        <v>115</v>
      </c>
      <c r="F824" s="355">
        <f>'PART-A'!K3713</f>
        <v>310</v>
      </c>
      <c r="G824" s="353">
        <f t="shared" si="30"/>
        <v>0</v>
      </c>
      <c r="H824" s="633" t="s">
        <v>2217</v>
      </c>
    </row>
    <row r="825" spans="1:10" s="360" customFormat="1" ht="15" hidden="1" customHeight="1">
      <c r="A825" s="356" t="s">
        <v>525</v>
      </c>
      <c r="B825" s="804"/>
      <c r="C825" s="632" t="s">
        <v>617</v>
      </c>
      <c r="D825" s="358">
        <f>'PART-A'!I3935</f>
        <v>0</v>
      </c>
      <c r="E825" s="354" t="s">
        <v>115</v>
      </c>
      <c r="F825" s="355">
        <f>'PART-A'!K3935</f>
        <v>310</v>
      </c>
      <c r="G825" s="353">
        <f t="shared" si="30"/>
        <v>0</v>
      </c>
      <c r="H825" s="633" t="s">
        <v>2299</v>
      </c>
    </row>
    <row r="826" spans="1:10" s="360" customFormat="1" ht="15" hidden="1" customHeight="1">
      <c r="A826" s="356" t="s">
        <v>525</v>
      </c>
      <c r="B826" s="804"/>
      <c r="C826" s="632" t="s">
        <v>617</v>
      </c>
      <c r="D826" s="358">
        <f>'PART-A'!I4155</f>
        <v>0</v>
      </c>
      <c r="E826" s="354" t="s">
        <v>115</v>
      </c>
      <c r="F826" s="355">
        <f>'PART-A'!K4155</f>
        <v>341</v>
      </c>
      <c r="G826" s="353">
        <f t="shared" si="30"/>
        <v>0</v>
      </c>
      <c r="H826" s="633" t="s">
        <v>2312</v>
      </c>
    </row>
    <row r="827" spans="1:10" s="360" customFormat="1" ht="15" hidden="1" customHeight="1">
      <c r="A827" s="356" t="s">
        <v>525</v>
      </c>
      <c r="B827" s="804"/>
      <c r="C827" s="632" t="s">
        <v>617</v>
      </c>
      <c r="D827" s="358">
        <f>'PART-A'!I4377</f>
        <v>0</v>
      </c>
      <c r="E827" s="354" t="s">
        <v>115</v>
      </c>
      <c r="F827" s="355">
        <f>'PART-A'!K4377</f>
        <v>341</v>
      </c>
      <c r="G827" s="353">
        <f t="shared" si="30"/>
        <v>0</v>
      </c>
      <c r="H827" s="633" t="s">
        <v>2313</v>
      </c>
    </row>
    <row r="828" spans="1:10" s="360" customFormat="1" ht="15" hidden="1" customHeight="1">
      <c r="A828" s="356" t="s">
        <v>2039</v>
      </c>
      <c r="B828" s="804"/>
      <c r="C828" s="632" t="s">
        <v>439</v>
      </c>
      <c r="D828" s="358">
        <f>'PART-A'!I3723</f>
        <v>0</v>
      </c>
      <c r="E828" s="354" t="s">
        <v>115</v>
      </c>
      <c r="F828" s="355">
        <f>'PART-A'!K3723</f>
        <v>60</v>
      </c>
      <c r="G828" s="353">
        <f t="shared" si="30"/>
        <v>0</v>
      </c>
      <c r="H828" s="633" t="s">
        <v>2217</v>
      </c>
    </row>
    <row r="829" spans="1:10" s="360" customFormat="1" ht="15" hidden="1" customHeight="1">
      <c r="A829" s="356" t="s">
        <v>2039</v>
      </c>
      <c r="B829" s="804"/>
      <c r="C829" s="632" t="s">
        <v>439</v>
      </c>
      <c r="D829" s="358">
        <f>'PART-A'!I3945</f>
        <v>0</v>
      </c>
      <c r="E829" s="354" t="s">
        <v>115</v>
      </c>
      <c r="F829" s="355">
        <f>'PART-A'!K3945</f>
        <v>60</v>
      </c>
      <c r="H829" s="633" t="s">
        <v>2299</v>
      </c>
      <c r="J829" s="353">
        <f>ROUND(D829*F829,0)</f>
        <v>0</v>
      </c>
    </row>
    <row r="830" spans="1:10" s="360" customFormat="1" ht="15" hidden="1" customHeight="1">
      <c r="A830" s="356" t="s">
        <v>2039</v>
      </c>
      <c r="B830" s="804"/>
      <c r="C830" s="632" t="s">
        <v>439</v>
      </c>
      <c r="D830" s="358">
        <f>'PART-A'!I4165</f>
        <v>0</v>
      </c>
      <c r="E830" s="354" t="s">
        <v>115</v>
      </c>
      <c r="F830" s="355">
        <f>'PART-A'!K4165</f>
        <v>66</v>
      </c>
      <c r="G830" s="353">
        <f t="shared" si="30"/>
        <v>0</v>
      </c>
      <c r="H830" s="633" t="s">
        <v>2312</v>
      </c>
    </row>
    <row r="831" spans="1:10" s="360" customFormat="1" ht="15" hidden="1" customHeight="1">
      <c r="A831" s="356" t="s">
        <v>2039</v>
      </c>
      <c r="B831" s="804"/>
      <c r="C831" s="632" t="s">
        <v>439</v>
      </c>
      <c r="D831" s="358">
        <f>'PART-A'!I4387</f>
        <v>0</v>
      </c>
      <c r="E831" s="354" t="s">
        <v>115</v>
      </c>
      <c r="F831" s="355">
        <f>'PART-A'!K4387</f>
        <v>66</v>
      </c>
      <c r="G831" s="353">
        <f t="shared" si="30"/>
        <v>0</v>
      </c>
      <c r="H831" s="633" t="s">
        <v>2313</v>
      </c>
    </row>
    <row r="832" spans="1:10" s="360" customFormat="1" hidden="1">
      <c r="A832" s="356" t="s">
        <v>1584</v>
      </c>
      <c r="B832" s="804" t="s">
        <v>2663</v>
      </c>
      <c r="C832" s="632" t="s">
        <v>561</v>
      </c>
      <c r="D832" s="358">
        <f>'PART-A'!I3734</f>
        <v>0</v>
      </c>
      <c r="E832" s="354" t="s">
        <v>115</v>
      </c>
      <c r="F832" s="355">
        <f>'PART-A'!K3734</f>
        <v>105.53100000000001</v>
      </c>
      <c r="G832" s="353">
        <f t="shared" si="30"/>
        <v>0</v>
      </c>
      <c r="H832" s="633" t="s">
        <v>2217</v>
      </c>
    </row>
    <row r="833" spans="1:10" s="360" customFormat="1" hidden="1">
      <c r="A833" s="356" t="s">
        <v>645</v>
      </c>
      <c r="B833" s="804" t="s">
        <v>2663</v>
      </c>
      <c r="C833" s="632" t="s">
        <v>561</v>
      </c>
      <c r="D833" s="358">
        <f>'PART-A'!I3955</f>
        <v>0</v>
      </c>
      <c r="E833" s="354" t="s">
        <v>115</v>
      </c>
      <c r="F833" s="355">
        <f>'PART-A'!K3955</f>
        <v>109.685</v>
      </c>
      <c r="G833" s="353">
        <f t="shared" si="30"/>
        <v>0</v>
      </c>
      <c r="H833" s="633" t="s">
        <v>2299</v>
      </c>
    </row>
    <row r="834" spans="1:10" s="360" customFormat="1" ht="15" hidden="1" customHeight="1">
      <c r="A834" s="356" t="s">
        <v>2040</v>
      </c>
      <c r="B834" s="804" t="s">
        <v>2663</v>
      </c>
      <c r="C834" s="632" t="s">
        <v>561</v>
      </c>
      <c r="D834" s="358">
        <f>'PART-A'!I4176</f>
        <v>0</v>
      </c>
      <c r="E834" s="354" t="s">
        <v>115</v>
      </c>
      <c r="F834" s="355">
        <f>'PART-A'!K4176</f>
        <v>118.04</v>
      </c>
      <c r="G834" s="353">
        <f t="shared" si="30"/>
        <v>0</v>
      </c>
      <c r="H834" s="633" t="s">
        <v>2312</v>
      </c>
    </row>
    <row r="835" spans="1:10" s="360" customFormat="1" ht="15" hidden="1" customHeight="1">
      <c r="A835" s="356" t="s">
        <v>2040</v>
      </c>
      <c r="B835" s="804" t="s">
        <v>2663</v>
      </c>
      <c r="C835" s="632" t="s">
        <v>561</v>
      </c>
      <c r="D835" s="358">
        <f>'PART-A'!I4397</f>
        <v>0</v>
      </c>
      <c r="E835" s="354" t="s">
        <v>115</v>
      </c>
      <c r="F835" s="355">
        <f>'PART-A'!K4397</f>
        <v>125.73500000000001</v>
      </c>
      <c r="G835" s="353">
        <f t="shared" si="30"/>
        <v>0</v>
      </c>
      <c r="H835" s="633" t="s">
        <v>2313</v>
      </c>
    </row>
    <row r="836" spans="1:10" s="360" customFormat="1" ht="15" hidden="1" customHeight="1">
      <c r="A836" s="356" t="s">
        <v>2041</v>
      </c>
      <c r="B836" s="804" t="s">
        <v>2664</v>
      </c>
      <c r="C836" s="632" t="s">
        <v>1257</v>
      </c>
      <c r="D836" s="358">
        <f>'PART-A'!I3728</f>
        <v>0</v>
      </c>
      <c r="E836" s="354" t="s">
        <v>115</v>
      </c>
      <c r="F836" s="355">
        <f>'PART-A'!K3728</f>
        <v>344.3</v>
      </c>
      <c r="G836" s="353">
        <f t="shared" si="30"/>
        <v>0</v>
      </c>
      <c r="H836" s="633" t="s">
        <v>2217</v>
      </c>
    </row>
    <row r="837" spans="1:10" s="360" customFormat="1" ht="15" hidden="1" customHeight="1">
      <c r="A837" s="356" t="s">
        <v>1584</v>
      </c>
      <c r="B837" s="804" t="s">
        <v>2664</v>
      </c>
      <c r="C837" s="632" t="s">
        <v>1257</v>
      </c>
      <c r="D837" s="358">
        <f>'PART-A'!I3950</f>
        <v>0</v>
      </c>
      <c r="E837" s="354" t="s">
        <v>115</v>
      </c>
      <c r="F837" s="355">
        <f>'PART-A'!K3950</f>
        <v>375.5</v>
      </c>
      <c r="G837" s="353">
        <f t="shared" si="30"/>
        <v>0</v>
      </c>
      <c r="H837" s="633" t="s">
        <v>2299</v>
      </c>
    </row>
    <row r="838" spans="1:10" s="360" customFormat="1" ht="15" hidden="1" customHeight="1">
      <c r="A838" s="356" t="s">
        <v>2041</v>
      </c>
      <c r="B838" s="804" t="s">
        <v>2664</v>
      </c>
      <c r="C838" s="632" t="s">
        <v>1257</v>
      </c>
      <c r="D838" s="358">
        <f>'PART-A'!I4170</f>
        <v>0</v>
      </c>
      <c r="E838" s="354" t="s">
        <v>115</v>
      </c>
      <c r="F838" s="355">
        <f>'PART-A'!K4170</f>
        <v>410</v>
      </c>
      <c r="G838" s="353">
        <f t="shared" si="30"/>
        <v>0</v>
      </c>
      <c r="H838" s="633" t="s">
        <v>2312</v>
      </c>
    </row>
    <row r="839" spans="1:10" s="360" customFormat="1" ht="15" hidden="1" customHeight="1">
      <c r="A839" s="356" t="s">
        <v>2041</v>
      </c>
      <c r="B839" s="804" t="s">
        <v>2664</v>
      </c>
      <c r="C839" s="632" t="s">
        <v>1257</v>
      </c>
      <c r="D839" s="358">
        <f>'PART-A'!I4392</f>
        <v>0</v>
      </c>
      <c r="E839" s="354" t="s">
        <v>115</v>
      </c>
      <c r="F839" s="355">
        <f>'PART-A'!K4392</f>
        <v>422.5</v>
      </c>
      <c r="G839" s="353">
        <f t="shared" si="30"/>
        <v>0</v>
      </c>
      <c r="H839" s="633" t="s">
        <v>2313</v>
      </c>
    </row>
    <row r="840" spans="1:10" s="360" customFormat="1" ht="15" hidden="1" customHeight="1">
      <c r="A840" s="356" t="s">
        <v>646</v>
      </c>
      <c r="B840" s="804"/>
      <c r="C840" s="632" t="s">
        <v>641</v>
      </c>
      <c r="D840" s="358">
        <f>'PART-A'!I3739</f>
        <v>0</v>
      </c>
      <c r="E840" s="354" t="s">
        <v>115</v>
      </c>
      <c r="F840" s="355">
        <f>'PART-A'!K3739</f>
        <v>99.531000000000006</v>
      </c>
      <c r="G840" s="353">
        <f t="shared" si="30"/>
        <v>0</v>
      </c>
      <c r="H840" s="633" t="s">
        <v>2217</v>
      </c>
    </row>
    <row r="841" spans="1:10" s="360" customFormat="1" ht="15" hidden="1" customHeight="1">
      <c r="A841" s="356" t="s">
        <v>646</v>
      </c>
      <c r="B841" s="804"/>
      <c r="C841" s="632" t="s">
        <v>641</v>
      </c>
      <c r="D841" s="358">
        <f>'PART-A'!I3960</f>
        <v>0</v>
      </c>
      <c r="E841" s="354" t="s">
        <v>115</v>
      </c>
      <c r="F841" s="355">
        <f>'PART-A'!K3960</f>
        <v>103.685</v>
      </c>
      <c r="G841" s="353">
        <f t="shared" si="30"/>
        <v>0</v>
      </c>
      <c r="H841" s="633" t="s">
        <v>2299</v>
      </c>
    </row>
    <row r="842" spans="1:10" s="360" customFormat="1" ht="15" hidden="1" customHeight="1">
      <c r="A842" s="356" t="s">
        <v>646</v>
      </c>
      <c r="B842" s="804"/>
      <c r="C842" s="632" t="s">
        <v>641</v>
      </c>
      <c r="D842" s="358">
        <f>'PART-A'!I4181</f>
        <v>0</v>
      </c>
      <c r="E842" s="354" t="s">
        <v>115</v>
      </c>
      <c r="F842" s="355">
        <f>'PART-A'!K4181</f>
        <v>112.04</v>
      </c>
      <c r="G842" s="353">
        <f t="shared" si="30"/>
        <v>0</v>
      </c>
      <c r="H842" s="633" t="s">
        <v>2312</v>
      </c>
    </row>
    <row r="843" spans="1:10" s="360" customFormat="1" ht="15" hidden="1" customHeight="1">
      <c r="A843" s="356" t="s">
        <v>646</v>
      </c>
      <c r="B843" s="804"/>
      <c r="C843" s="632" t="s">
        <v>641</v>
      </c>
      <c r="D843" s="358">
        <f>'PART-A'!I4402</f>
        <v>0</v>
      </c>
      <c r="E843" s="354" t="s">
        <v>115</v>
      </c>
      <c r="F843" s="355">
        <f>'PART-A'!K4402</f>
        <v>119.73500000000001</v>
      </c>
      <c r="G843" s="353">
        <f t="shared" si="30"/>
        <v>0</v>
      </c>
      <c r="H843" s="633" t="s">
        <v>2313</v>
      </c>
    </row>
    <row r="844" spans="1:10" s="360" customFormat="1" ht="15" hidden="1" customHeight="1">
      <c r="A844" s="356" t="s">
        <v>2042</v>
      </c>
      <c r="B844" s="804"/>
      <c r="C844" s="632" t="s">
        <v>624</v>
      </c>
      <c r="D844" s="358">
        <f>'PART-A'!I3744</f>
        <v>0</v>
      </c>
      <c r="E844" s="354" t="s">
        <v>115</v>
      </c>
      <c r="F844" s="355">
        <f>'PART-A'!K3744</f>
        <v>18</v>
      </c>
      <c r="G844" s="353">
        <f t="shared" si="30"/>
        <v>0</v>
      </c>
      <c r="H844" s="633" t="s">
        <v>2217</v>
      </c>
    </row>
    <row r="845" spans="1:10" s="360" customFormat="1" hidden="1">
      <c r="A845" s="356" t="s">
        <v>2042</v>
      </c>
      <c r="B845" s="804"/>
      <c r="C845" s="632" t="s">
        <v>624</v>
      </c>
      <c r="D845" s="358">
        <f>'PART-A'!I3965</f>
        <v>0</v>
      </c>
      <c r="E845" s="354" t="s">
        <v>115</v>
      </c>
      <c r="F845" s="355">
        <f>'PART-A'!K3965</f>
        <v>18</v>
      </c>
      <c r="H845" s="633" t="s">
        <v>2299</v>
      </c>
      <c r="J845" s="353">
        <f>ROUND(D845*F845,0)</f>
        <v>0</v>
      </c>
    </row>
    <row r="846" spans="1:10" s="360" customFormat="1" ht="15" hidden="1" customHeight="1">
      <c r="A846" s="356" t="s">
        <v>2042</v>
      </c>
      <c r="B846" s="804"/>
      <c r="C846" s="632" t="s">
        <v>624</v>
      </c>
      <c r="D846" s="358">
        <f>'PART-A'!I4186</f>
        <v>0</v>
      </c>
      <c r="E846" s="354" t="s">
        <v>115</v>
      </c>
      <c r="F846" s="355">
        <f>'PART-A'!K4186</f>
        <v>20</v>
      </c>
      <c r="G846" s="353">
        <f t="shared" ref="G846:G864" si="31">ROUND(D846*F846,0)</f>
        <v>0</v>
      </c>
      <c r="H846" s="633" t="s">
        <v>2312</v>
      </c>
    </row>
    <row r="847" spans="1:10" s="360" customFormat="1" ht="15" hidden="1" customHeight="1">
      <c r="A847" s="356" t="s">
        <v>2042</v>
      </c>
      <c r="B847" s="804"/>
      <c r="C847" s="632" t="s">
        <v>624</v>
      </c>
      <c r="D847" s="358">
        <f>'PART-A'!I4407</f>
        <v>0</v>
      </c>
      <c r="E847" s="354" t="s">
        <v>115</v>
      </c>
      <c r="F847" s="355">
        <f>'PART-A'!K4407</f>
        <v>21</v>
      </c>
      <c r="G847" s="353">
        <f t="shared" si="31"/>
        <v>0</v>
      </c>
      <c r="H847" s="633" t="s">
        <v>2313</v>
      </c>
    </row>
    <row r="848" spans="1:10" s="360" customFormat="1" hidden="1">
      <c r="A848" s="356" t="s">
        <v>1585</v>
      </c>
      <c r="B848" s="804" t="s">
        <v>2668</v>
      </c>
      <c r="C848" s="632" t="s">
        <v>562</v>
      </c>
      <c r="D848" s="358">
        <f>'PART-A'!I3749</f>
        <v>0</v>
      </c>
      <c r="E848" s="354" t="s">
        <v>115</v>
      </c>
      <c r="F848" s="355">
        <f>'PART-A'!K3749</f>
        <v>177.65</v>
      </c>
      <c r="G848" s="353">
        <f t="shared" si="31"/>
        <v>0</v>
      </c>
      <c r="H848" s="633" t="s">
        <v>2217</v>
      </c>
    </row>
    <row r="849" spans="1:8" s="360" customFormat="1" hidden="1">
      <c r="A849" s="356" t="s">
        <v>1585</v>
      </c>
      <c r="B849" s="804" t="s">
        <v>2668</v>
      </c>
      <c r="C849" s="632" t="s">
        <v>562</v>
      </c>
      <c r="D849" s="358">
        <f>'PART-A'!I3970</f>
        <v>0</v>
      </c>
      <c r="E849" s="354" t="s">
        <v>115</v>
      </c>
      <c r="F849" s="355">
        <f>'PART-A'!K3970</f>
        <v>120.75</v>
      </c>
      <c r="G849" s="353">
        <f t="shared" si="31"/>
        <v>0</v>
      </c>
      <c r="H849" s="633" t="s">
        <v>2299</v>
      </c>
    </row>
    <row r="850" spans="1:8" s="360" customFormat="1" ht="15" hidden="1" customHeight="1">
      <c r="A850" s="356" t="s">
        <v>2043</v>
      </c>
      <c r="B850" s="804" t="s">
        <v>2668</v>
      </c>
      <c r="C850" s="632" t="s">
        <v>562</v>
      </c>
      <c r="D850" s="358">
        <f>'PART-A'!I4191</f>
        <v>0</v>
      </c>
      <c r="E850" s="354" t="s">
        <v>115</v>
      </c>
      <c r="F850" s="355">
        <f>'PART-A'!K4191</f>
        <v>122</v>
      </c>
      <c r="G850" s="353">
        <f t="shared" si="31"/>
        <v>0</v>
      </c>
      <c r="H850" s="633" t="s">
        <v>2312</v>
      </c>
    </row>
    <row r="851" spans="1:8" s="360" customFormat="1" ht="15" hidden="1" customHeight="1">
      <c r="A851" s="356" t="s">
        <v>2043</v>
      </c>
      <c r="B851" s="804" t="s">
        <v>2668</v>
      </c>
      <c r="C851" s="632" t="s">
        <v>562</v>
      </c>
      <c r="D851" s="358">
        <f>'PART-A'!I4412</f>
        <v>0</v>
      </c>
      <c r="E851" s="354" t="s">
        <v>115</v>
      </c>
      <c r="F851" s="355">
        <f>'PART-A'!K4412</f>
        <v>127.25</v>
      </c>
      <c r="G851" s="353">
        <f t="shared" si="31"/>
        <v>0</v>
      </c>
      <c r="H851" s="633" t="s">
        <v>2313</v>
      </c>
    </row>
    <row r="852" spans="1:8" s="360" customFormat="1" hidden="1">
      <c r="A852" s="356" t="s">
        <v>2051</v>
      </c>
      <c r="B852" s="804" t="s">
        <v>2665</v>
      </c>
      <c r="C852" s="632" t="s">
        <v>563</v>
      </c>
      <c r="D852" s="358">
        <f>'PART-A'!I3754</f>
        <v>0</v>
      </c>
      <c r="E852" s="354" t="s">
        <v>115</v>
      </c>
      <c r="F852" s="355">
        <f>'PART-A'!K3754</f>
        <v>2636.625</v>
      </c>
      <c r="G852" s="353">
        <f t="shared" si="31"/>
        <v>0</v>
      </c>
      <c r="H852" s="633" t="s">
        <v>2217</v>
      </c>
    </row>
    <row r="853" spans="1:8" s="360" customFormat="1" ht="15" hidden="1" customHeight="1">
      <c r="A853" s="356" t="s">
        <v>2051</v>
      </c>
      <c r="B853" s="804" t="s">
        <v>2665</v>
      </c>
      <c r="C853" s="632" t="s">
        <v>563</v>
      </c>
      <c r="D853" s="358">
        <f>'PART-A'!I3976</f>
        <v>0</v>
      </c>
      <c r="E853" s="354" t="s">
        <v>115</v>
      </c>
      <c r="F853" s="355">
        <f>'PART-A'!K3976</f>
        <v>2644.375</v>
      </c>
      <c r="G853" s="353">
        <f t="shared" si="31"/>
        <v>0</v>
      </c>
      <c r="H853" s="633" t="s">
        <v>2299</v>
      </c>
    </row>
    <row r="854" spans="1:8" s="360" customFormat="1" ht="15" hidden="1" customHeight="1">
      <c r="A854" s="356" t="s">
        <v>2051</v>
      </c>
      <c r="B854" s="804" t="s">
        <v>2665</v>
      </c>
      <c r="C854" s="632" t="s">
        <v>563</v>
      </c>
      <c r="D854" s="358">
        <f>'PART-A'!I4196</f>
        <v>0</v>
      </c>
      <c r="E854" s="354" t="s">
        <v>115</v>
      </c>
      <c r="F854" s="355">
        <f>'PART-A'!K4196</f>
        <v>3020.3799999999997</v>
      </c>
      <c r="G854" s="353">
        <f t="shared" si="31"/>
        <v>0</v>
      </c>
      <c r="H854" s="633" t="s">
        <v>2312</v>
      </c>
    </row>
    <row r="855" spans="1:8" s="360" customFormat="1" ht="15" hidden="1" customHeight="1">
      <c r="A855" s="356" t="s">
        <v>2051</v>
      </c>
      <c r="B855" s="804" t="s">
        <v>2665</v>
      </c>
      <c r="C855" s="632" t="s">
        <v>563</v>
      </c>
      <c r="D855" s="358">
        <f>'PART-A'!I4418</f>
        <v>0</v>
      </c>
      <c r="E855" s="354" t="s">
        <v>115</v>
      </c>
      <c r="F855" s="355">
        <f>'PART-A'!K4418</f>
        <v>3312.1849999999999</v>
      </c>
      <c r="G855" s="353">
        <f t="shared" si="31"/>
        <v>0</v>
      </c>
      <c r="H855" s="633" t="s">
        <v>2313</v>
      </c>
    </row>
    <row r="856" spans="1:8" s="360" customFormat="1" ht="15" hidden="1" customHeight="1">
      <c r="A856" s="356" t="s">
        <v>646</v>
      </c>
      <c r="B856" s="804" t="s">
        <v>2665</v>
      </c>
      <c r="C856" s="632" t="s">
        <v>563</v>
      </c>
      <c r="D856" s="358">
        <f>'PART-A'!I3764</f>
        <v>0</v>
      </c>
      <c r="E856" s="354" t="s">
        <v>115</v>
      </c>
      <c r="F856" s="355">
        <f>'PART-A'!K3764</f>
        <v>2323</v>
      </c>
      <c r="G856" s="353">
        <f t="shared" si="31"/>
        <v>0</v>
      </c>
      <c r="H856" s="633" t="s">
        <v>2217</v>
      </c>
    </row>
    <row r="857" spans="1:8" s="360" customFormat="1" hidden="1">
      <c r="A857" s="356" t="s">
        <v>646</v>
      </c>
      <c r="B857" s="804" t="s">
        <v>2665</v>
      </c>
      <c r="C857" s="632" t="s">
        <v>563</v>
      </c>
      <c r="D857" s="358">
        <f>'PART-A'!I3986</f>
        <v>0</v>
      </c>
      <c r="E857" s="354" t="s">
        <v>115</v>
      </c>
      <c r="F857" s="355">
        <f>'PART-A'!K3986</f>
        <v>2323</v>
      </c>
      <c r="G857" s="353">
        <f t="shared" si="31"/>
        <v>0</v>
      </c>
      <c r="H857" s="633" t="s">
        <v>2299</v>
      </c>
    </row>
    <row r="858" spans="1:8" s="360" customFormat="1" ht="15" hidden="1" customHeight="1">
      <c r="A858" s="356" t="s">
        <v>2045</v>
      </c>
      <c r="B858" s="804" t="s">
        <v>2665</v>
      </c>
      <c r="C858" s="632" t="s">
        <v>563</v>
      </c>
      <c r="D858" s="358">
        <f>'PART-A'!I4206</f>
        <v>0</v>
      </c>
      <c r="E858" s="354" t="s">
        <v>115</v>
      </c>
      <c r="F858" s="355">
        <f>'PART-A'!K4206</f>
        <v>2671.45</v>
      </c>
      <c r="G858" s="353">
        <f t="shared" si="31"/>
        <v>0</v>
      </c>
      <c r="H858" s="633" t="s">
        <v>2312</v>
      </c>
    </row>
    <row r="859" spans="1:8" s="360" customFormat="1" ht="15" hidden="1" customHeight="1">
      <c r="A859" s="356" t="s">
        <v>2045</v>
      </c>
      <c r="B859" s="804" t="s">
        <v>2665</v>
      </c>
      <c r="C859" s="632" t="s">
        <v>563</v>
      </c>
      <c r="D859" s="358">
        <f>'PART-A'!I4435</f>
        <v>0</v>
      </c>
      <c r="E859" s="354" t="s">
        <v>115</v>
      </c>
      <c r="F859" s="355">
        <f>'PART-A'!K4435</f>
        <v>2941.12</v>
      </c>
      <c r="G859" s="353">
        <f t="shared" si="31"/>
        <v>0</v>
      </c>
      <c r="H859" s="633" t="s">
        <v>2313</v>
      </c>
    </row>
    <row r="860" spans="1:8" s="360" customFormat="1" hidden="1">
      <c r="A860" s="356" t="s">
        <v>1144</v>
      </c>
      <c r="B860" s="804" t="s">
        <v>2666</v>
      </c>
      <c r="C860" s="632" t="s">
        <v>831</v>
      </c>
      <c r="D860" s="358">
        <f>'PART-A'!I3769</f>
        <v>0</v>
      </c>
      <c r="E860" s="354" t="s">
        <v>115</v>
      </c>
      <c r="F860" s="355">
        <f>'PART-A'!K3769</f>
        <v>237.5</v>
      </c>
      <c r="G860" s="353">
        <f t="shared" si="31"/>
        <v>0</v>
      </c>
      <c r="H860" s="633" t="s">
        <v>2217</v>
      </c>
    </row>
    <row r="861" spans="1:8" s="360" customFormat="1" hidden="1">
      <c r="A861" s="356" t="s">
        <v>1144</v>
      </c>
      <c r="B861" s="804" t="s">
        <v>2666</v>
      </c>
      <c r="C861" s="632" t="s">
        <v>831</v>
      </c>
      <c r="D861" s="358">
        <f>'PART-A'!I3991</f>
        <v>0</v>
      </c>
      <c r="E861" s="354" t="s">
        <v>115</v>
      </c>
      <c r="F861" s="355">
        <f>'PART-A'!K3991</f>
        <v>241</v>
      </c>
      <c r="G861" s="353">
        <f t="shared" si="31"/>
        <v>0</v>
      </c>
      <c r="H861" s="633" t="s">
        <v>2299</v>
      </c>
    </row>
    <row r="862" spans="1:8" s="360" customFormat="1" ht="15" hidden="1" customHeight="1">
      <c r="A862" s="356" t="s">
        <v>2046</v>
      </c>
      <c r="B862" s="804" t="s">
        <v>2666</v>
      </c>
      <c r="C862" s="632" t="s">
        <v>831</v>
      </c>
      <c r="D862" s="358">
        <f>'PART-A'!I4211</f>
        <v>0</v>
      </c>
      <c r="E862" s="354" t="s">
        <v>115</v>
      </c>
      <c r="F862" s="355">
        <f>'PART-A'!K4211</f>
        <v>263</v>
      </c>
      <c r="G862" s="353">
        <f t="shared" si="31"/>
        <v>0</v>
      </c>
      <c r="H862" s="633" t="s">
        <v>2312</v>
      </c>
    </row>
    <row r="863" spans="1:8" s="360" customFormat="1" ht="15" hidden="1" customHeight="1">
      <c r="A863" s="356" t="s">
        <v>2046</v>
      </c>
      <c r="B863" s="804" t="s">
        <v>2666</v>
      </c>
      <c r="C863" s="632" t="s">
        <v>831</v>
      </c>
      <c r="D863" s="358">
        <f>'PART-A'!I4447</f>
        <v>0</v>
      </c>
      <c r="E863" s="354" t="s">
        <v>115</v>
      </c>
      <c r="F863" s="355">
        <f>'PART-A'!K4447</f>
        <v>278</v>
      </c>
      <c r="G863" s="353">
        <f t="shared" si="31"/>
        <v>0</v>
      </c>
      <c r="H863" s="633" t="s">
        <v>2313</v>
      </c>
    </row>
    <row r="864" spans="1:8" s="360" customFormat="1" hidden="1">
      <c r="A864" s="356" t="s">
        <v>1586</v>
      </c>
      <c r="B864" s="804"/>
      <c r="C864" s="632" t="s">
        <v>967</v>
      </c>
      <c r="D864" s="358">
        <f>'PART-A'!I3774</f>
        <v>0</v>
      </c>
      <c r="E864" s="354" t="s">
        <v>115</v>
      </c>
      <c r="F864" s="355">
        <f>'PART-A'!K3774</f>
        <v>133.625</v>
      </c>
      <c r="G864" s="353">
        <f t="shared" si="31"/>
        <v>0</v>
      </c>
      <c r="H864" s="633" t="s">
        <v>2217</v>
      </c>
    </row>
    <row r="865" spans="1:10" s="360" customFormat="1" hidden="1">
      <c r="A865" s="356" t="s">
        <v>2047</v>
      </c>
      <c r="B865" s="804"/>
      <c r="C865" s="632" t="s">
        <v>967</v>
      </c>
      <c r="D865" s="358">
        <f>'PART-A'!I3996</f>
        <v>0</v>
      </c>
      <c r="E865" s="354" t="s">
        <v>115</v>
      </c>
      <c r="F865" s="355">
        <f>'PART-A'!K3996</f>
        <v>141.375</v>
      </c>
      <c r="H865" s="633" t="s">
        <v>2299</v>
      </c>
      <c r="J865" s="353">
        <f>ROUND(D865*F865,0)</f>
        <v>0</v>
      </c>
    </row>
    <row r="866" spans="1:10" s="360" customFormat="1" ht="15" hidden="1" customHeight="1">
      <c r="A866" s="356" t="s">
        <v>2047</v>
      </c>
      <c r="B866" s="804"/>
      <c r="C866" s="632" t="s">
        <v>967</v>
      </c>
      <c r="D866" s="358">
        <f>'PART-A'!I4216</f>
        <v>0</v>
      </c>
      <c r="E866" s="354" t="s">
        <v>115</v>
      </c>
      <c r="F866" s="355">
        <f>'PART-A'!K4216</f>
        <v>158.43</v>
      </c>
      <c r="G866" s="353">
        <f t="shared" ref="G866:G872" si="32">ROUND(D866*F866,0)</f>
        <v>0</v>
      </c>
      <c r="H866" s="633" t="s">
        <v>2312</v>
      </c>
    </row>
    <row r="867" spans="1:10" s="360" customFormat="1" ht="15" hidden="1" customHeight="1">
      <c r="A867" s="356" t="s">
        <v>2047</v>
      </c>
      <c r="B867" s="804"/>
      <c r="C867" s="632" t="s">
        <v>967</v>
      </c>
      <c r="D867" s="358">
        <f>'PART-A'!I4459</f>
        <v>0</v>
      </c>
      <c r="E867" s="354" t="s">
        <v>115</v>
      </c>
      <c r="F867" s="355">
        <f>'PART-A'!K4459</f>
        <v>163.065</v>
      </c>
      <c r="G867" s="353">
        <f t="shared" si="32"/>
        <v>0</v>
      </c>
      <c r="H867" s="633" t="s">
        <v>2313</v>
      </c>
    </row>
    <row r="868" spans="1:10" s="360" customFormat="1" hidden="1">
      <c r="A868" s="356" t="s">
        <v>1587</v>
      </c>
      <c r="B868" s="804"/>
      <c r="C868" s="632" t="s">
        <v>832</v>
      </c>
      <c r="D868" s="358">
        <f>'PART-A'!I3781</f>
        <v>0</v>
      </c>
      <c r="E868" s="354" t="s">
        <v>115</v>
      </c>
      <c r="F868" s="355">
        <f>'PART-A'!K3781</f>
        <v>126.80000000000001</v>
      </c>
      <c r="G868" s="353">
        <f t="shared" si="32"/>
        <v>0</v>
      </c>
      <c r="H868" s="633" t="s">
        <v>2217</v>
      </c>
    </row>
    <row r="869" spans="1:10" s="360" customFormat="1" ht="15" hidden="1" customHeight="1">
      <c r="A869" s="356" t="s">
        <v>642</v>
      </c>
      <c r="B869" s="804"/>
      <c r="C869" s="632" t="s">
        <v>832</v>
      </c>
      <c r="D869" s="358">
        <f>'PART-A'!I4003</f>
        <v>0</v>
      </c>
      <c r="E869" s="354" t="s">
        <v>115</v>
      </c>
      <c r="F869" s="355">
        <f>'PART-A'!K4003</f>
        <v>129.5</v>
      </c>
      <c r="G869" s="353">
        <f t="shared" si="32"/>
        <v>0</v>
      </c>
      <c r="H869" s="633" t="s">
        <v>2299</v>
      </c>
    </row>
    <row r="870" spans="1:10" s="360" customFormat="1" ht="15" hidden="1" customHeight="1">
      <c r="A870" s="356" t="s">
        <v>642</v>
      </c>
      <c r="B870" s="804"/>
      <c r="C870" s="632" t="s">
        <v>832</v>
      </c>
      <c r="D870" s="358">
        <f>'PART-A'!I4223</f>
        <v>0</v>
      </c>
      <c r="E870" s="354" t="s">
        <v>115</v>
      </c>
      <c r="F870" s="355">
        <f>'PART-A'!K4223</f>
        <v>147</v>
      </c>
      <c r="G870" s="353">
        <f t="shared" si="32"/>
        <v>0</v>
      </c>
      <c r="H870" s="633" t="s">
        <v>2312</v>
      </c>
    </row>
    <row r="871" spans="1:10" s="360" customFormat="1" ht="15" hidden="1" customHeight="1">
      <c r="A871" s="356" t="s">
        <v>642</v>
      </c>
      <c r="B871" s="804"/>
      <c r="C871" s="632" t="s">
        <v>832</v>
      </c>
      <c r="D871" s="358">
        <f>'PART-A'!I4466</f>
        <v>0</v>
      </c>
      <c r="E871" s="354" t="s">
        <v>115</v>
      </c>
      <c r="F871" s="355">
        <f>'PART-A'!K4466</f>
        <v>161.5</v>
      </c>
      <c r="G871" s="353">
        <f t="shared" si="32"/>
        <v>0</v>
      </c>
      <c r="H871" s="633" t="s">
        <v>2313</v>
      </c>
    </row>
    <row r="872" spans="1:10" s="360" customFormat="1" ht="15" hidden="1" customHeight="1">
      <c r="A872" s="356" t="s">
        <v>2048</v>
      </c>
      <c r="B872" s="804"/>
      <c r="C872" s="632" t="s">
        <v>1573</v>
      </c>
      <c r="D872" s="358">
        <f>'PART-A'!I3759</f>
        <v>0</v>
      </c>
      <c r="E872" s="354" t="s">
        <v>115</v>
      </c>
      <c r="F872" s="355">
        <f>'PART-A'!K3759</f>
        <v>252.38800000000001</v>
      </c>
      <c r="G872" s="353">
        <f t="shared" si="32"/>
        <v>0</v>
      </c>
      <c r="H872" s="633" t="s">
        <v>2217</v>
      </c>
    </row>
    <row r="873" spans="1:10" s="360" customFormat="1" hidden="1">
      <c r="A873" s="356" t="s">
        <v>2048</v>
      </c>
      <c r="B873" s="804"/>
      <c r="C873" s="632" t="s">
        <v>1573</v>
      </c>
      <c r="D873" s="358">
        <f>'PART-A'!I3981</f>
        <v>0</v>
      </c>
      <c r="E873" s="354" t="s">
        <v>115</v>
      </c>
      <c r="F873" s="355">
        <f>'PART-A'!K3981</f>
        <v>195.17000000000002</v>
      </c>
      <c r="H873" s="633" t="s">
        <v>2299</v>
      </c>
      <c r="J873" s="353">
        <f>ROUND(D873*F873,0)</f>
        <v>0</v>
      </c>
    </row>
    <row r="874" spans="1:10" s="360" customFormat="1" ht="15" hidden="1" customHeight="1">
      <c r="A874" s="356" t="s">
        <v>2048</v>
      </c>
      <c r="B874" s="804"/>
      <c r="C874" s="632" t="s">
        <v>1573</v>
      </c>
      <c r="D874" s="358">
        <f>'PART-A'!I4201</f>
        <v>0</v>
      </c>
      <c r="E874" s="354" t="s">
        <v>115</v>
      </c>
      <c r="F874" s="355">
        <f>'PART-A'!K4201</f>
        <v>208.13000000000002</v>
      </c>
      <c r="G874" s="353">
        <f t="shared" ref="G874:G903" si="33">ROUND(D874*F874,0)</f>
        <v>0</v>
      </c>
      <c r="H874" s="633" t="s">
        <v>2312</v>
      </c>
    </row>
    <row r="875" spans="1:10" s="360" customFormat="1" ht="15" hidden="1" customHeight="1">
      <c r="A875" s="356" t="s">
        <v>2048</v>
      </c>
      <c r="B875" s="804"/>
      <c r="C875" s="632" t="s">
        <v>1573</v>
      </c>
      <c r="D875" s="358">
        <f>'PART-A'!I4423</f>
        <v>0</v>
      </c>
      <c r="E875" s="354" t="s">
        <v>115</v>
      </c>
      <c r="F875" s="355">
        <f>'PART-A'!K4423</f>
        <v>230.73000000000002</v>
      </c>
      <c r="G875" s="353">
        <f t="shared" si="33"/>
        <v>0</v>
      </c>
      <c r="H875" s="633" t="s">
        <v>2313</v>
      </c>
    </row>
    <row r="876" spans="1:10" s="360" customFormat="1" hidden="1">
      <c r="A876" s="356" t="s">
        <v>1588</v>
      </c>
      <c r="B876" s="804" t="s">
        <v>2667</v>
      </c>
      <c r="C876" s="632" t="s">
        <v>564</v>
      </c>
      <c r="D876" s="358">
        <f>'PART-A'!I3786</f>
        <v>0</v>
      </c>
      <c r="E876" s="354" t="s">
        <v>115</v>
      </c>
      <c r="F876" s="355">
        <f>'PART-A'!K3786</f>
        <v>404.1</v>
      </c>
      <c r="G876" s="353">
        <f t="shared" si="33"/>
        <v>0</v>
      </c>
      <c r="H876" s="633" t="s">
        <v>2217</v>
      </c>
    </row>
    <row r="877" spans="1:10" s="360" customFormat="1" hidden="1">
      <c r="A877" s="356" t="s">
        <v>1586</v>
      </c>
      <c r="B877" s="804" t="s">
        <v>2667</v>
      </c>
      <c r="C877" s="632" t="s">
        <v>564</v>
      </c>
      <c r="D877" s="358">
        <f>'PART-A'!I4008</f>
        <v>0</v>
      </c>
      <c r="E877" s="354" t="s">
        <v>115</v>
      </c>
      <c r="F877" s="355">
        <f>'PART-A'!K4008</f>
        <v>410.5</v>
      </c>
      <c r="G877" s="353">
        <f t="shared" si="33"/>
        <v>0</v>
      </c>
      <c r="H877" s="633" t="s">
        <v>2299</v>
      </c>
    </row>
    <row r="878" spans="1:10" s="360" customFormat="1" ht="15" hidden="1" customHeight="1">
      <c r="A878" s="356" t="s">
        <v>2049</v>
      </c>
      <c r="B878" s="804" t="s">
        <v>2667</v>
      </c>
      <c r="C878" s="632" t="s">
        <v>564</v>
      </c>
      <c r="D878" s="358">
        <f>'PART-A'!I4228</f>
        <v>0</v>
      </c>
      <c r="E878" s="354" t="s">
        <v>115</v>
      </c>
      <c r="F878" s="355">
        <f>'PART-A'!K4228</f>
        <v>395.93</v>
      </c>
      <c r="G878" s="353">
        <f t="shared" si="33"/>
        <v>0</v>
      </c>
      <c r="H878" s="633" t="s">
        <v>2312</v>
      </c>
    </row>
    <row r="879" spans="1:10" s="360" customFormat="1" ht="15" hidden="1" customHeight="1">
      <c r="A879" s="356" t="s">
        <v>2049</v>
      </c>
      <c r="B879" s="804" t="s">
        <v>2667</v>
      </c>
      <c r="C879" s="632" t="s">
        <v>564</v>
      </c>
      <c r="D879" s="358">
        <f>'PART-A'!I4471</f>
        <v>0</v>
      </c>
      <c r="E879" s="354" t="s">
        <v>115</v>
      </c>
      <c r="F879" s="355">
        <f>'PART-A'!K4471</f>
        <v>406.44</v>
      </c>
      <c r="G879" s="353">
        <f t="shared" si="33"/>
        <v>0</v>
      </c>
      <c r="H879" s="633" t="s">
        <v>2313</v>
      </c>
    </row>
    <row r="880" spans="1:10" s="360" customFormat="1" ht="15" hidden="1" customHeight="1">
      <c r="A880" s="356" t="s">
        <v>2053</v>
      </c>
      <c r="B880" s="804" t="s">
        <v>2669</v>
      </c>
      <c r="C880" s="632" t="s">
        <v>2266</v>
      </c>
      <c r="D880" s="358">
        <f>'PART-A'!I3791</f>
        <v>0</v>
      </c>
      <c r="E880" s="354" t="s">
        <v>115</v>
      </c>
      <c r="F880" s="355">
        <f>'PART-A'!K3791</f>
        <v>1980</v>
      </c>
      <c r="G880" s="353">
        <f t="shared" si="33"/>
        <v>0</v>
      </c>
      <c r="H880" s="633" t="s">
        <v>2217</v>
      </c>
    </row>
    <row r="881" spans="1:8" s="360" customFormat="1" ht="15" hidden="1" customHeight="1">
      <c r="A881" s="356" t="s">
        <v>2053</v>
      </c>
      <c r="B881" s="804" t="s">
        <v>2669</v>
      </c>
      <c r="C881" s="632" t="s">
        <v>2266</v>
      </c>
      <c r="D881" s="358">
        <f>'PART-A'!I4013</f>
        <v>0</v>
      </c>
      <c r="E881" s="354" t="s">
        <v>115</v>
      </c>
      <c r="F881" s="355">
        <f>'PART-A'!K4013</f>
        <v>1980</v>
      </c>
      <c r="G881" s="353">
        <f t="shared" si="33"/>
        <v>0</v>
      </c>
      <c r="H881" s="633" t="s">
        <v>2299</v>
      </c>
    </row>
    <row r="882" spans="1:8" s="360" customFormat="1" ht="15" hidden="1" customHeight="1">
      <c r="A882" s="356" t="s">
        <v>2053</v>
      </c>
      <c r="B882" s="804" t="s">
        <v>2669</v>
      </c>
      <c r="C882" s="632" t="s">
        <v>2266</v>
      </c>
      <c r="D882" s="358">
        <f>'PART-A'!I4233</f>
        <v>0</v>
      </c>
      <c r="E882" s="354" t="s">
        <v>115</v>
      </c>
      <c r="F882" s="355">
        <f>'PART-A'!K4233</f>
        <v>1822</v>
      </c>
      <c r="G882" s="353">
        <f t="shared" si="33"/>
        <v>0</v>
      </c>
      <c r="H882" s="633" t="s">
        <v>2312</v>
      </c>
    </row>
    <row r="883" spans="1:8" s="360" customFormat="1" ht="15" hidden="1" customHeight="1">
      <c r="A883" s="356" t="s">
        <v>2053</v>
      </c>
      <c r="B883" s="804" t="s">
        <v>2669</v>
      </c>
      <c r="C883" s="632" t="s">
        <v>2266</v>
      </c>
      <c r="D883" s="358">
        <f>'PART-A'!I4476</f>
        <v>0</v>
      </c>
      <c r="E883" s="354" t="s">
        <v>115</v>
      </c>
      <c r="F883" s="355">
        <f>'PART-A'!K4476</f>
        <v>1822</v>
      </c>
      <c r="G883" s="353">
        <f t="shared" si="33"/>
        <v>0</v>
      </c>
      <c r="H883" s="633" t="s">
        <v>2313</v>
      </c>
    </row>
    <row r="884" spans="1:8" s="360" customFormat="1" ht="15" hidden="1" customHeight="1">
      <c r="A884" s="356" t="s">
        <v>2053</v>
      </c>
      <c r="B884" s="804" t="s">
        <v>2669</v>
      </c>
      <c r="C884" s="632" t="s">
        <v>2267</v>
      </c>
      <c r="D884" s="358">
        <f>'PART-A'!I3796</f>
        <v>0</v>
      </c>
      <c r="E884" s="354" t="s">
        <v>115</v>
      </c>
      <c r="F884" s="355">
        <f>'PART-A'!K3796</f>
        <v>5900</v>
      </c>
      <c r="G884" s="353">
        <f t="shared" si="33"/>
        <v>0</v>
      </c>
      <c r="H884" s="633" t="s">
        <v>2217</v>
      </c>
    </row>
    <row r="885" spans="1:8" s="360" customFormat="1" ht="15" hidden="1" customHeight="1">
      <c r="A885" s="356" t="s">
        <v>2053</v>
      </c>
      <c r="B885" s="804" t="s">
        <v>2669</v>
      </c>
      <c r="C885" s="632" t="s">
        <v>2267</v>
      </c>
      <c r="D885" s="358">
        <f>'PART-A'!I4018</f>
        <v>0</v>
      </c>
      <c r="E885" s="354" t="s">
        <v>115</v>
      </c>
      <c r="F885" s="355">
        <f>'PART-A'!K4018</f>
        <v>5900</v>
      </c>
      <c r="G885" s="353">
        <f t="shared" si="33"/>
        <v>0</v>
      </c>
      <c r="H885" s="633" t="s">
        <v>2299</v>
      </c>
    </row>
    <row r="886" spans="1:8" s="360" customFormat="1" ht="15" hidden="1" customHeight="1">
      <c r="A886" s="356" t="s">
        <v>2053</v>
      </c>
      <c r="B886" s="804" t="s">
        <v>2669</v>
      </c>
      <c r="C886" s="632" t="s">
        <v>2267</v>
      </c>
      <c r="D886" s="358">
        <f>'PART-A'!I4238</f>
        <v>0</v>
      </c>
      <c r="E886" s="354" t="s">
        <v>115</v>
      </c>
      <c r="F886" s="355">
        <f>'PART-A'!K4238</f>
        <v>5428</v>
      </c>
      <c r="G886" s="353">
        <f t="shared" si="33"/>
        <v>0</v>
      </c>
      <c r="H886" s="633" t="s">
        <v>2312</v>
      </c>
    </row>
    <row r="887" spans="1:8" s="360" customFormat="1" ht="15" hidden="1" customHeight="1">
      <c r="A887" s="356" t="s">
        <v>2053</v>
      </c>
      <c r="B887" s="804" t="s">
        <v>2669</v>
      </c>
      <c r="C887" s="632" t="s">
        <v>2267</v>
      </c>
      <c r="D887" s="358">
        <f>'PART-A'!I4481</f>
        <v>0</v>
      </c>
      <c r="E887" s="354" t="s">
        <v>115</v>
      </c>
      <c r="F887" s="355">
        <f>'PART-A'!K4481</f>
        <v>5428</v>
      </c>
      <c r="G887" s="353">
        <f t="shared" si="33"/>
        <v>0</v>
      </c>
      <c r="H887" s="633" t="s">
        <v>2313</v>
      </c>
    </row>
    <row r="888" spans="1:8" s="360" customFormat="1" ht="15" hidden="1" customHeight="1">
      <c r="A888" s="356" t="s">
        <v>647</v>
      </c>
      <c r="B888" s="804" t="s">
        <v>2672</v>
      </c>
      <c r="C888" s="632" t="s">
        <v>715</v>
      </c>
      <c r="D888" s="358">
        <f>'PART-A'!I3807</f>
        <v>0</v>
      </c>
      <c r="E888" s="354" t="s">
        <v>115</v>
      </c>
      <c r="F888" s="355">
        <f>'PART-A'!K3807</f>
        <v>2936</v>
      </c>
      <c r="G888" s="353">
        <f t="shared" si="33"/>
        <v>0</v>
      </c>
      <c r="H888" s="633" t="s">
        <v>2217</v>
      </c>
    </row>
    <row r="889" spans="1:8" s="360" customFormat="1" hidden="1">
      <c r="A889" s="356" t="s">
        <v>1587</v>
      </c>
      <c r="B889" s="804" t="s">
        <v>2672</v>
      </c>
      <c r="C889" s="632" t="s">
        <v>715</v>
      </c>
      <c r="D889" s="358">
        <f>'PART-A'!I4028</f>
        <v>0</v>
      </c>
      <c r="E889" s="354" t="s">
        <v>115</v>
      </c>
      <c r="F889" s="355">
        <f>'PART-A'!K4028</f>
        <v>2995</v>
      </c>
      <c r="G889" s="353">
        <f t="shared" si="33"/>
        <v>0</v>
      </c>
      <c r="H889" s="633" t="s">
        <v>2299</v>
      </c>
    </row>
    <row r="890" spans="1:8" s="360" customFormat="1" ht="15" hidden="1" customHeight="1">
      <c r="A890" s="356" t="s">
        <v>2050</v>
      </c>
      <c r="B890" s="804" t="s">
        <v>2672</v>
      </c>
      <c r="C890" s="632" t="s">
        <v>715</v>
      </c>
      <c r="D890" s="358">
        <f>'PART-A'!I4249</f>
        <v>0</v>
      </c>
      <c r="E890" s="354" t="s">
        <v>115</v>
      </c>
      <c r="F890" s="355">
        <f>'PART-A'!K4249</f>
        <v>3255</v>
      </c>
      <c r="G890" s="353">
        <f t="shared" si="33"/>
        <v>0</v>
      </c>
      <c r="H890" s="633" t="s">
        <v>2312</v>
      </c>
    </row>
    <row r="891" spans="1:8" s="360" customFormat="1" ht="15" hidden="1" customHeight="1">
      <c r="A891" s="356" t="s">
        <v>2050</v>
      </c>
      <c r="B891" s="804" t="s">
        <v>2672</v>
      </c>
      <c r="C891" s="632" t="s">
        <v>715</v>
      </c>
      <c r="D891" s="358">
        <f>'PART-A'!I4491</f>
        <v>0</v>
      </c>
      <c r="E891" s="354" t="s">
        <v>115</v>
      </c>
      <c r="F891" s="355">
        <f>'PART-A'!K4491</f>
        <v>3662</v>
      </c>
      <c r="G891" s="353">
        <f t="shared" si="33"/>
        <v>0</v>
      </c>
      <c r="H891" s="633" t="s">
        <v>2313</v>
      </c>
    </row>
    <row r="892" spans="1:8" s="360" customFormat="1" hidden="1">
      <c r="A892" s="356" t="s">
        <v>1589</v>
      </c>
      <c r="B892" s="804"/>
      <c r="C892" s="632" t="s">
        <v>797</v>
      </c>
      <c r="D892" s="358">
        <f>'PART-A'!I3801</f>
        <v>0</v>
      </c>
      <c r="E892" s="354" t="s">
        <v>115</v>
      </c>
      <c r="F892" s="355">
        <f>'PART-A'!K3801</f>
        <v>1290</v>
      </c>
      <c r="G892" s="353">
        <f t="shared" si="33"/>
        <v>0</v>
      </c>
      <c r="H892" s="633" t="s">
        <v>2217</v>
      </c>
    </row>
    <row r="893" spans="1:8" s="360" customFormat="1" ht="15" hidden="1" customHeight="1">
      <c r="A893" s="356" t="s">
        <v>1574</v>
      </c>
      <c r="B893" s="804"/>
      <c r="C893" s="632" t="s">
        <v>797</v>
      </c>
      <c r="D893" s="358">
        <f>'PART-A'!I4023</f>
        <v>0</v>
      </c>
      <c r="E893" s="354" t="s">
        <v>115</v>
      </c>
      <c r="F893" s="355">
        <f>'PART-A'!K4023</f>
        <v>1290</v>
      </c>
      <c r="G893" s="353">
        <f t="shared" si="33"/>
        <v>0</v>
      </c>
      <c r="H893" s="633" t="s">
        <v>2299</v>
      </c>
    </row>
    <row r="894" spans="1:8" s="360" customFormat="1" ht="15" hidden="1" customHeight="1">
      <c r="A894" s="356" t="s">
        <v>1574</v>
      </c>
      <c r="B894" s="804"/>
      <c r="C894" s="632" t="s">
        <v>797</v>
      </c>
      <c r="D894" s="358">
        <f>'PART-A'!I4243</f>
        <v>0</v>
      </c>
      <c r="E894" s="354" t="s">
        <v>115</v>
      </c>
      <c r="F894" s="355">
        <f>'PART-A'!K4243</f>
        <v>1484</v>
      </c>
      <c r="G894" s="353">
        <f t="shared" si="33"/>
        <v>0</v>
      </c>
      <c r="H894" s="633" t="s">
        <v>2312</v>
      </c>
    </row>
    <row r="895" spans="1:8" s="360" customFormat="1" ht="15" hidden="1" customHeight="1">
      <c r="A895" s="356" t="s">
        <v>1574</v>
      </c>
      <c r="B895" s="804"/>
      <c r="C895" s="632" t="s">
        <v>797</v>
      </c>
      <c r="D895" s="358">
        <f>'PART-A'!I4486</f>
        <v>0</v>
      </c>
      <c r="E895" s="354" t="s">
        <v>115</v>
      </c>
      <c r="F895" s="355">
        <f>'PART-A'!K4486</f>
        <v>1634</v>
      </c>
      <c r="G895" s="353">
        <f t="shared" si="33"/>
        <v>0</v>
      </c>
      <c r="H895" s="633" t="s">
        <v>2313</v>
      </c>
    </row>
    <row r="896" spans="1:8" s="360" customFormat="1" ht="15" hidden="1" customHeight="1">
      <c r="A896" s="356" t="s">
        <v>2052</v>
      </c>
      <c r="B896" s="804" t="s">
        <v>2670</v>
      </c>
      <c r="C896" s="632" t="s">
        <v>2446</v>
      </c>
      <c r="D896" s="358">
        <f>'PART-A'!I3812</f>
        <v>0</v>
      </c>
      <c r="E896" s="354" t="s">
        <v>115</v>
      </c>
      <c r="F896" s="355">
        <f>'PART-A'!K3812</f>
        <v>886.80000000000007</v>
      </c>
      <c r="G896" s="353">
        <f t="shared" si="33"/>
        <v>0</v>
      </c>
      <c r="H896" s="633" t="s">
        <v>2217</v>
      </c>
    </row>
    <row r="897" spans="1:8" s="360" customFormat="1" hidden="1">
      <c r="A897" s="356" t="s">
        <v>1588</v>
      </c>
      <c r="B897" s="804" t="s">
        <v>2670</v>
      </c>
      <c r="C897" s="632" t="s">
        <v>2446</v>
      </c>
      <c r="D897" s="358">
        <f>'PART-A'!I4033</f>
        <v>0</v>
      </c>
      <c r="E897" s="354" t="s">
        <v>115</v>
      </c>
      <c r="F897" s="355">
        <f>'PART-A'!K4033</f>
        <v>905</v>
      </c>
      <c r="G897" s="353">
        <f t="shared" si="33"/>
        <v>0</v>
      </c>
      <c r="H897" s="633" t="s">
        <v>2299</v>
      </c>
    </row>
    <row r="898" spans="1:8" s="360" customFormat="1" ht="15" hidden="1" customHeight="1">
      <c r="A898" s="356" t="s">
        <v>2052</v>
      </c>
      <c r="B898" s="804" t="s">
        <v>2670</v>
      </c>
      <c r="C898" s="632" t="s">
        <v>2446</v>
      </c>
      <c r="D898" s="358">
        <f>'PART-A'!I4254</f>
        <v>0</v>
      </c>
      <c r="E898" s="354" t="s">
        <v>115</v>
      </c>
      <c r="F898" s="355">
        <f>'PART-A'!K4254</f>
        <v>1005.6</v>
      </c>
      <c r="G898" s="353">
        <f t="shared" si="33"/>
        <v>0</v>
      </c>
      <c r="H898" s="633" t="s">
        <v>2312</v>
      </c>
    </row>
    <row r="899" spans="1:8" s="360" customFormat="1" ht="15" hidden="1" customHeight="1">
      <c r="A899" s="356" t="s">
        <v>2052</v>
      </c>
      <c r="B899" s="804" t="s">
        <v>2670</v>
      </c>
      <c r="C899" s="632" t="s">
        <v>2446</v>
      </c>
      <c r="D899" s="358">
        <f>'PART-A'!I4496</f>
        <v>0</v>
      </c>
      <c r="E899" s="354" t="s">
        <v>115</v>
      </c>
      <c r="F899" s="355">
        <f>'PART-A'!K4496</f>
        <v>1089.96</v>
      </c>
      <c r="G899" s="353">
        <f t="shared" si="33"/>
        <v>0</v>
      </c>
      <c r="H899" s="633" t="s">
        <v>2313</v>
      </c>
    </row>
    <row r="900" spans="1:8" s="360" customFormat="1" hidden="1">
      <c r="A900" s="356" t="s">
        <v>1575</v>
      </c>
      <c r="B900" s="804" t="s">
        <v>2671</v>
      </c>
      <c r="C900" s="632" t="s">
        <v>565</v>
      </c>
      <c r="D900" s="358">
        <f>'PART-A'!I3817</f>
        <v>0</v>
      </c>
      <c r="E900" s="354" t="s">
        <v>115</v>
      </c>
      <c r="F900" s="355">
        <f>'PART-A'!K3817</f>
        <v>3404.82</v>
      </c>
      <c r="G900" s="353">
        <f t="shared" si="33"/>
        <v>0</v>
      </c>
      <c r="H900" s="633" t="s">
        <v>2217</v>
      </c>
    </row>
    <row r="901" spans="1:8" s="360" customFormat="1" hidden="1">
      <c r="A901" s="356" t="s">
        <v>647</v>
      </c>
      <c r="B901" s="804" t="s">
        <v>2671</v>
      </c>
      <c r="C901" s="632" t="s">
        <v>565</v>
      </c>
      <c r="D901" s="358">
        <f>'PART-A'!I4038</f>
        <v>0</v>
      </c>
      <c r="E901" s="354" t="s">
        <v>115</v>
      </c>
      <c r="F901" s="355">
        <f>'PART-A'!K4038</f>
        <v>3432.82</v>
      </c>
      <c r="G901" s="353">
        <f t="shared" si="33"/>
        <v>0</v>
      </c>
      <c r="H901" s="633" t="s">
        <v>2299</v>
      </c>
    </row>
    <row r="902" spans="1:8" s="360" customFormat="1" ht="15" hidden="1" customHeight="1">
      <c r="A902" s="356" t="s">
        <v>2188</v>
      </c>
      <c r="B902" s="804" t="s">
        <v>2671</v>
      </c>
      <c r="C902" s="632" t="s">
        <v>565</v>
      </c>
      <c r="D902" s="358">
        <f>'PART-A'!I4259</f>
        <v>0</v>
      </c>
      <c r="E902" s="354" t="s">
        <v>115</v>
      </c>
      <c r="F902" s="355">
        <f>'PART-A'!K4259</f>
        <v>3771.9349999999999</v>
      </c>
      <c r="G902" s="353">
        <f t="shared" si="33"/>
        <v>0</v>
      </c>
      <c r="H902" s="633" t="s">
        <v>2312</v>
      </c>
    </row>
    <row r="903" spans="1:8" s="360" customFormat="1" ht="15" hidden="1" customHeight="1">
      <c r="A903" s="356" t="s">
        <v>2188</v>
      </c>
      <c r="B903" s="804" t="s">
        <v>2671</v>
      </c>
      <c r="C903" s="632" t="s">
        <v>565</v>
      </c>
      <c r="D903" s="358">
        <f>'PART-A'!I4501</f>
        <v>0</v>
      </c>
      <c r="E903" s="354" t="s">
        <v>115</v>
      </c>
      <c r="F903" s="355">
        <f>'PART-A'!K4501</f>
        <v>4142.4250000000002</v>
      </c>
      <c r="G903" s="353">
        <f t="shared" si="33"/>
        <v>0</v>
      </c>
      <c r="H903" s="633" t="s">
        <v>2313</v>
      </c>
    </row>
    <row r="904" spans="1:8" s="26" customFormat="1" hidden="1">
      <c r="A904" s="23"/>
      <c r="B904" s="805"/>
      <c r="C904" s="763" t="s">
        <v>2755</v>
      </c>
      <c r="D904" s="28"/>
      <c r="E904" s="224"/>
      <c r="F904" s="37"/>
      <c r="G904" s="223"/>
      <c r="H904" s="759"/>
    </row>
    <row r="905" spans="1:8" s="360" customFormat="1" hidden="1">
      <c r="A905" s="356" t="s">
        <v>460</v>
      </c>
      <c r="B905" s="804"/>
      <c r="C905" s="632" t="s">
        <v>537</v>
      </c>
      <c r="D905" s="358">
        <f>'PART-B'!I14</f>
        <v>0</v>
      </c>
      <c r="E905" s="354" t="s">
        <v>102</v>
      </c>
      <c r="F905" s="355">
        <f>'PART-B'!K14</f>
        <v>6.06</v>
      </c>
      <c r="G905" s="353">
        <f t="shared" ref="G905:G930" si="34">ROUND(D905*F905,0)</f>
        <v>0</v>
      </c>
      <c r="H905" s="633" t="s">
        <v>2313</v>
      </c>
    </row>
    <row r="906" spans="1:8" s="360" customFormat="1" hidden="1">
      <c r="A906" s="356" t="s">
        <v>460</v>
      </c>
      <c r="B906" s="804"/>
      <c r="C906" s="632" t="s">
        <v>471</v>
      </c>
      <c r="D906" s="358">
        <f>'PART-B'!I19</f>
        <v>0</v>
      </c>
      <c r="E906" s="354" t="s">
        <v>5</v>
      </c>
      <c r="F906" s="355">
        <f>'PART-B'!K19</f>
        <v>144.26</v>
      </c>
      <c r="G906" s="353">
        <f t="shared" si="34"/>
        <v>0</v>
      </c>
      <c r="H906" s="633" t="s">
        <v>2313</v>
      </c>
    </row>
    <row r="907" spans="1:8" s="360" customFormat="1" hidden="1">
      <c r="A907" s="356" t="s">
        <v>463</v>
      </c>
      <c r="B907" s="804"/>
      <c r="C907" s="632" t="s">
        <v>538</v>
      </c>
      <c r="D907" s="358">
        <f>'PART-B'!I24</f>
        <v>0</v>
      </c>
      <c r="E907" s="354" t="s">
        <v>5</v>
      </c>
      <c r="F907" s="355">
        <f>'PART-B'!K24</f>
        <v>4583.3100000000004</v>
      </c>
      <c r="G907" s="353">
        <f t="shared" si="34"/>
        <v>0</v>
      </c>
      <c r="H907" s="633" t="s">
        <v>2313</v>
      </c>
    </row>
    <row r="908" spans="1:8" s="360" customFormat="1" hidden="1">
      <c r="A908" s="356" t="s">
        <v>463</v>
      </c>
      <c r="B908" s="804"/>
      <c r="C908" s="632" t="s">
        <v>539</v>
      </c>
      <c r="D908" s="358">
        <f>'PART-B'!I33</f>
        <v>0</v>
      </c>
      <c r="E908" s="354" t="s">
        <v>5</v>
      </c>
      <c r="F908" s="355">
        <f>'PART-B'!K33</f>
        <v>4431.03</v>
      </c>
      <c r="G908" s="353">
        <f t="shared" si="34"/>
        <v>0</v>
      </c>
      <c r="H908" s="633" t="s">
        <v>2313</v>
      </c>
    </row>
    <row r="909" spans="1:8" s="360" customFormat="1" hidden="1">
      <c r="A909" s="356" t="s">
        <v>462</v>
      </c>
      <c r="B909" s="804"/>
      <c r="C909" s="632" t="s">
        <v>1218</v>
      </c>
      <c r="D909" s="358">
        <f>'PART-B'!I39</f>
        <v>0</v>
      </c>
      <c r="E909" s="354" t="s">
        <v>5</v>
      </c>
      <c r="F909" s="355">
        <f>'PART-B'!K39</f>
        <v>216.13</v>
      </c>
      <c r="G909" s="353">
        <f t="shared" si="34"/>
        <v>0</v>
      </c>
      <c r="H909" s="633" t="s">
        <v>2313</v>
      </c>
    </row>
    <row r="910" spans="1:8" s="360" customFormat="1" hidden="1">
      <c r="A910" s="356" t="s">
        <v>464</v>
      </c>
      <c r="B910" s="804"/>
      <c r="C910" s="632" t="s">
        <v>716</v>
      </c>
      <c r="D910" s="358">
        <f>'PART-B'!I45</f>
        <v>0</v>
      </c>
      <c r="E910" s="354" t="s">
        <v>5</v>
      </c>
      <c r="F910" s="355">
        <f>'PART-B'!K45</f>
        <v>272.13</v>
      </c>
      <c r="G910" s="353">
        <f t="shared" si="34"/>
        <v>0</v>
      </c>
      <c r="H910" s="633" t="s">
        <v>2313</v>
      </c>
    </row>
    <row r="911" spans="1:8" s="360" customFormat="1" hidden="1">
      <c r="A911" s="356" t="s">
        <v>466</v>
      </c>
      <c r="B911" s="804"/>
      <c r="C911" s="632" t="s">
        <v>704</v>
      </c>
      <c r="D911" s="358">
        <f>'PART-B'!I51</f>
        <v>0</v>
      </c>
      <c r="E911" s="354" t="s">
        <v>5</v>
      </c>
      <c r="F911" s="355">
        <f>'PART-B'!K51</f>
        <v>1603.13</v>
      </c>
      <c r="G911" s="353">
        <f t="shared" si="34"/>
        <v>0</v>
      </c>
      <c r="H911" s="633" t="s">
        <v>2313</v>
      </c>
    </row>
    <row r="912" spans="1:8" s="360" customFormat="1" hidden="1">
      <c r="A912" s="356" t="s">
        <v>326</v>
      </c>
      <c r="B912" s="804"/>
      <c r="C912" s="632" t="s">
        <v>540</v>
      </c>
      <c r="D912" s="358">
        <f>'PART-B'!I58</f>
        <v>0</v>
      </c>
      <c r="E912" s="354" t="s">
        <v>5</v>
      </c>
      <c r="F912" s="355">
        <f>'PART-B'!K58</f>
        <v>284.39999999999998</v>
      </c>
      <c r="G912" s="353">
        <f t="shared" si="34"/>
        <v>0</v>
      </c>
      <c r="H912" s="633" t="s">
        <v>2313</v>
      </c>
    </row>
    <row r="913" spans="1:9" s="360" customFormat="1" ht="25.5" hidden="1">
      <c r="A913" s="356" t="s">
        <v>465</v>
      </c>
      <c r="B913" s="804"/>
      <c r="C913" s="632" t="s">
        <v>2059</v>
      </c>
      <c r="D913" s="358">
        <f>'PART-B'!I63</f>
        <v>0</v>
      </c>
      <c r="E913" s="354" t="s">
        <v>5</v>
      </c>
      <c r="F913" s="355">
        <f>'PART-B'!K63</f>
        <v>8062.18</v>
      </c>
      <c r="G913" s="353">
        <f t="shared" si="34"/>
        <v>0</v>
      </c>
      <c r="H913" s="633" t="s">
        <v>2313</v>
      </c>
    </row>
    <row r="914" spans="1:9" s="360" customFormat="1" hidden="1">
      <c r="A914" s="356" t="s">
        <v>466</v>
      </c>
      <c r="B914" s="804"/>
      <c r="C914" s="632" t="s">
        <v>2060</v>
      </c>
      <c r="D914" s="358">
        <f>'PART-B'!I68</f>
        <v>0</v>
      </c>
      <c r="E914" s="354" t="s">
        <v>5</v>
      </c>
      <c r="F914" s="355">
        <f>'PART-B'!K68</f>
        <v>8501.18</v>
      </c>
      <c r="G914" s="353">
        <f t="shared" si="34"/>
        <v>0</v>
      </c>
      <c r="H914" s="633" t="s">
        <v>2313</v>
      </c>
    </row>
    <row r="915" spans="1:9" s="360" customFormat="1" hidden="1">
      <c r="A915" s="356" t="s">
        <v>467</v>
      </c>
      <c r="B915" s="804"/>
      <c r="C915" s="632" t="s">
        <v>2061</v>
      </c>
      <c r="D915" s="358">
        <f>'PART-B'!I80</f>
        <v>0</v>
      </c>
      <c r="E915" s="354" t="s">
        <v>5</v>
      </c>
      <c r="F915" s="355">
        <f>'PART-B'!K80</f>
        <v>10417.6</v>
      </c>
      <c r="G915" s="353">
        <f t="shared" si="34"/>
        <v>0</v>
      </c>
      <c r="H915" s="633" t="s">
        <v>2313</v>
      </c>
    </row>
    <row r="916" spans="1:9" s="360" customFormat="1" hidden="1">
      <c r="A916" s="356" t="s">
        <v>468</v>
      </c>
      <c r="B916" s="804"/>
      <c r="C916" s="632" t="s">
        <v>2062</v>
      </c>
      <c r="D916" s="358">
        <f>'PART-B'!I88</f>
        <v>0</v>
      </c>
      <c r="E916" s="354" t="s">
        <v>5</v>
      </c>
      <c r="F916" s="355">
        <f>'PART-B'!K88</f>
        <v>10162.18</v>
      </c>
      <c r="G916" s="353">
        <f t="shared" si="34"/>
        <v>0</v>
      </c>
      <c r="H916" s="633" t="s">
        <v>2313</v>
      </c>
    </row>
    <row r="917" spans="1:9" s="360" customFormat="1" hidden="1">
      <c r="A917" s="356" t="s">
        <v>326</v>
      </c>
      <c r="B917" s="804"/>
      <c r="C917" s="632" t="s">
        <v>2063</v>
      </c>
      <c r="D917" s="358">
        <f>'PART-B'!I96</f>
        <v>0</v>
      </c>
      <c r="E917" s="428" t="s">
        <v>5</v>
      </c>
      <c r="F917" s="355">
        <f>'PART-B'!K96</f>
        <v>9921.19</v>
      </c>
      <c r="G917" s="353">
        <f t="shared" si="34"/>
        <v>0</v>
      </c>
      <c r="H917" s="633" t="s">
        <v>2313</v>
      </c>
      <c r="I917" s="637"/>
    </row>
    <row r="918" spans="1:9" s="360" customFormat="1" hidden="1">
      <c r="A918" s="356" t="s">
        <v>469</v>
      </c>
      <c r="B918" s="804"/>
      <c r="C918" s="632" t="s">
        <v>2064</v>
      </c>
      <c r="D918" s="358">
        <f>'PART-B'!I108</f>
        <v>0</v>
      </c>
      <c r="E918" s="354" t="s">
        <v>102</v>
      </c>
      <c r="F918" s="355">
        <f>'PART-B'!K108</f>
        <v>1202.4000000000001</v>
      </c>
      <c r="G918" s="353">
        <f t="shared" si="34"/>
        <v>0</v>
      </c>
      <c r="H918" s="633" t="s">
        <v>2313</v>
      </c>
    </row>
    <row r="919" spans="1:9" s="360" customFormat="1" hidden="1">
      <c r="A919" s="356" t="s">
        <v>472</v>
      </c>
      <c r="B919" s="804"/>
      <c r="C919" s="632" t="s">
        <v>2065</v>
      </c>
      <c r="D919" s="358">
        <f>'PART-B'!I102</f>
        <v>0</v>
      </c>
      <c r="E919" s="354" t="s">
        <v>102</v>
      </c>
      <c r="F919" s="355">
        <f>'PART-B'!K102</f>
        <v>1345.28</v>
      </c>
      <c r="G919" s="353">
        <f t="shared" si="34"/>
        <v>0</v>
      </c>
      <c r="H919" s="633" t="s">
        <v>2313</v>
      </c>
    </row>
    <row r="920" spans="1:9" s="360" customFormat="1" hidden="1">
      <c r="A920" s="356" t="s">
        <v>469</v>
      </c>
      <c r="B920" s="804"/>
      <c r="C920" s="632" t="s">
        <v>2066</v>
      </c>
      <c r="D920" s="358">
        <f>'PART-B'!I114</f>
        <v>0</v>
      </c>
      <c r="E920" s="354" t="s">
        <v>102</v>
      </c>
      <c r="F920" s="355">
        <f>'PART-B'!K114</f>
        <v>1059.52</v>
      </c>
      <c r="G920" s="353">
        <f t="shared" si="34"/>
        <v>0</v>
      </c>
      <c r="H920" s="633" t="s">
        <v>2313</v>
      </c>
    </row>
    <row r="921" spans="1:9" s="360" customFormat="1" hidden="1">
      <c r="A921" s="356" t="s">
        <v>469</v>
      </c>
      <c r="B921" s="804"/>
      <c r="C921" s="632" t="s">
        <v>2067</v>
      </c>
      <c r="D921" s="358">
        <f>'PART-B'!I120</f>
        <v>0</v>
      </c>
      <c r="E921" s="354" t="s">
        <v>102</v>
      </c>
      <c r="F921" s="355">
        <f>'PART-B'!K120</f>
        <v>526.29999999999995</v>
      </c>
      <c r="G921" s="353">
        <f t="shared" si="34"/>
        <v>0</v>
      </c>
      <c r="H921" s="633" t="s">
        <v>2313</v>
      </c>
    </row>
    <row r="922" spans="1:9" s="360" customFormat="1" hidden="1">
      <c r="A922" s="356" t="s">
        <v>475</v>
      </c>
      <c r="B922" s="804"/>
      <c r="C922" s="632" t="s">
        <v>2068</v>
      </c>
      <c r="D922" s="358">
        <f>'PART-B'!I127</f>
        <v>0</v>
      </c>
      <c r="E922" s="354" t="s">
        <v>102</v>
      </c>
      <c r="F922" s="355">
        <f>'PART-B'!K127</f>
        <v>385.15</v>
      </c>
      <c r="G922" s="353">
        <f t="shared" si="34"/>
        <v>0</v>
      </c>
      <c r="H922" s="633" t="s">
        <v>2313</v>
      </c>
    </row>
    <row r="923" spans="1:9" s="360" customFormat="1" hidden="1">
      <c r="A923" s="356" t="s">
        <v>475</v>
      </c>
      <c r="B923" s="804"/>
      <c r="C923" s="632" t="s">
        <v>2069</v>
      </c>
      <c r="D923" s="358">
        <f>'PART-B'!I136</f>
        <v>0</v>
      </c>
      <c r="E923" s="354" t="s">
        <v>5</v>
      </c>
      <c r="F923" s="355">
        <f>'PART-B'!K136</f>
        <v>10584.6</v>
      </c>
      <c r="G923" s="353">
        <f t="shared" si="34"/>
        <v>0</v>
      </c>
      <c r="H923" s="633" t="s">
        <v>2313</v>
      </c>
    </row>
    <row r="924" spans="1:9" s="360" customFormat="1" hidden="1">
      <c r="A924" s="356" t="s">
        <v>478</v>
      </c>
      <c r="B924" s="804"/>
      <c r="C924" s="632" t="s">
        <v>2070</v>
      </c>
      <c r="D924" s="358">
        <f>'PART-B'!I142</f>
        <v>0</v>
      </c>
      <c r="E924" s="354" t="s">
        <v>277</v>
      </c>
      <c r="F924" s="355">
        <f>'PART-B'!K142</f>
        <v>518.52</v>
      </c>
      <c r="G924" s="353">
        <f t="shared" si="34"/>
        <v>0</v>
      </c>
      <c r="H924" s="633" t="s">
        <v>2313</v>
      </c>
    </row>
    <row r="925" spans="1:9" s="360" customFormat="1" hidden="1">
      <c r="A925" s="356" t="s">
        <v>480</v>
      </c>
      <c r="B925" s="804"/>
      <c r="C925" s="632" t="s">
        <v>1478</v>
      </c>
      <c r="D925" s="358">
        <f>'PART-B'!I148</f>
        <v>0</v>
      </c>
      <c r="E925" s="221" t="s">
        <v>102</v>
      </c>
      <c r="F925" s="355">
        <f>'PART-B'!K148</f>
        <v>315.69</v>
      </c>
      <c r="G925" s="353">
        <f t="shared" si="34"/>
        <v>0</v>
      </c>
      <c r="H925" s="633" t="s">
        <v>2313</v>
      </c>
    </row>
    <row r="926" spans="1:9" s="360" customFormat="1" hidden="1">
      <c r="A926" s="356" t="s">
        <v>476</v>
      </c>
      <c r="B926" s="804"/>
      <c r="C926" s="632" t="s">
        <v>1479</v>
      </c>
      <c r="D926" s="358">
        <f>'PART-B'!I154</f>
        <v>0</v>
      </c>
      <c r="E926" s="221" t="s">
        <v>102</v>
      </c>
      <c r="F926" s="355">
        <f>'PART-B'!K154</f>
        <v>405.78</v>
      </c>
      <c r="G926" s="353">
        <f t="shared" si="34"/>
        <v>0</v>
      </c>
      <c r="H926" s="633" t="s">
        <v>2313</v>
      </c>
    </row>
    <row r="927" spans="1:9" s="360" customFormat="1" hidden="1">
      <c r="A927" s="356" t="s">
        <v>475</v>
      </c>
      <c r="B927" s="804"/>
      <c r="C927" s="632" t="s">
        <v>2071</v>
      </c>
      <c r="D927" s="358">
        <f>'PART-B'!I322</f>
        <v>0</v>
      </c>
      <c r="E927" s="354" t="s">
        <v>5</v>
      </c>
      <c r="F927" s="355">
        <f>'PART-B'!K322</f>
        <v>5601.67</v>
      </c>
      <c r="G927" s="353">
        <f t="shared" si="34"/>
        <v>0</v>
      </c>
      <c r="H927" s="633" t="s">
        <v>2313</v>
      </c>
    </row>
    <row r="928" spans="1:9" s="360" customFormat="1" hidden="1">
      <c r="A928" s="356" t="s">
        <v>476</v>
      </c>
      <c r="B928" s="804"/>
      <c r="C928" s="632" t="s">
        <v>1219</v>
      </c>
      <c r="D928" s="358">
        <f>'PART-B'!I161</f>
        <v>0</v>
      </c>
      <c r="E928" s="354" t="s">
        <v>5</v>
      </c>
      <c r="F928" s="355">
        <f>'PART-B'!K161</f>
        <v>3828.3500000000004</v>
      </c>
      <c r="G928" s="353">
        <f t="shared" si="34"/>
        <v>0</v>
      </c>
      <c r="H928" s="633" t="s">
        <v>2313</v>
      </c>
    </row>
    <row r="929" spans="1:8" s="360" customFormat="1" hidden="1">
      <c r="A929" s="356" t="s">
        <v>479</v>
      </c>
      <c r="B929" s="804"/>
      <c r="C929" s="632" t="s">
        <v>828</v>
      </c>
      <c r="D929" s="358">
        <f>'PART-B'!I169</f>
        <v>0</v>
      </c>
      <c r="E929" s="354" t="s">
        <v>5</v>
      </c>
      <c r="F929" s="355">
        <f>'PART-B'!K169</f>
        <v>6869.83</v>
      </c>
      <c r="G929" s="353">
        <f t="shared" si="34"/>
        <v>0</v>
      </c>
      <c r="H929" s="633" t="s">
        <v>2313</v>
      </c>
    </row>
    <row r="930" spans="1:8" s="360" customFormat="1" hidden="1">
      <c r="A930" s="356" t="s">
        <v>480</v>
      </c>
      <c r="B930" s="804"/>
      <c r="C930" s="632" t="s">
        <v>829</v>
      </c>
      <c r="D930" s="358">
        <f>'PART-B'!I177</f>
        <v>0</v>
      </c>
      <c r="E930" s="354" t="s">
        <v>5</v>
      </c>
      <c r="F930" s="355">
        <f>'PART-B'!K177</f>
        <v>6926.2300000000005</v>
      </c>
      <c r="G930" s="353">
        <f t="shared" si="34"/>
        <v>0</v>
      </c>
      <c r="H930" s="633" t="s">
        <v>2313</v>
      </c>
    </row>
    <row r="931" spans="1:8" s="360" customFormat="1" ht="25.5" hidden="1">
      <c r="A931" s="356" t="s">
        <v>484</v>
      </c>
      <c r="B931" s="804"/>
      <c r="C931" s="632" t="s">
        <v>705</v>
      </c>
      <c r="D931" s="358">
        <f>'PART-B'!I184</f>
        <v>0</v>
      </c>
      <c r="E931" s="354" t="s">
        <v>102</v>
      </c>
      <c r="F931" s="355">
        <f>'PART-B'!K184</f>
        <v>865.32</v>
      </c>
      <c r="G931" s="353">
        <f>ROUND(D931*F931/1,0)</f>
        <v>0</v>
      </c>
      <c r="H931" s="633" t="s">
        <v>2313</v>
      </c>
    </row>
    <row r="932" spans="1:8" s="360" customFormat="1" hidden="1">
      <c r="A932" s="356" t="s">
        <v>482</v>
      </c>
      <c r="B932" s="804"/>
      <c r="C932" s="632" t="s">
        <v>1221</v>
      </c>
      <c r="D932" s="358">
        <f>'PART-B'!I192</f>
        <v>0</v>
      </c>
      <c r="E932" s="354" t="s">
        <v>102</v>
      </c>
      <c r="F932" s="355">
        <f>'PART-B'!K192</f>
        <v>6281.3700000000008</v>
      </c>
      <c r="G932" s="353">
        <f>ROUND(D932*F932/1,0)</f>
        <v>0</v>
      </c>
      <c r="H932" s="633" t="s">
        <v>2313</v>
      </c>
    </row>
    <row r="933" spans="1:8" s="360" customFormat="1" hidden="1">
      <c r="A933" s="356" t="s">
        <v>479</v>
      </c>
      <c r="B933" s="804"/>
      <c r="C933" s="632" t="s">
        <v>1214</v>
      </c>
      <c r="D933" s="358">
        <f>'PART-B'!I199</f>
        <v>0</v>
      </c>
      <c r="E933" s="354" t="s">
        <v>102</v>
      </c>
      <c r="F933" s="355">
        <f>'PART-B'!K199</f>
        <v>2232.9699999999998</v>
      </c>
      <c r="G933" s="353">
        <f>ROUND(D933*F933/1,0)</f>
        <v>0</v>
      </c>
      <c r="H933" s="633" t="s">
        <v>2313</v>
      </c>
    </row>
    <row r="934" spans="1:8" s="360" customFormat="1" hidden="1">
      <c r="A934" s="356" t="s">
        <v>484</v>
      </c>
      <c r="B934" s="804"/>
      <c r="C934" s="632" t="s">
        <v>481</v>
      </c>
      <c r="D934" s="358">
        <f>'PART-B'!I223</f>
        <v>0</v>
      </c>
      <c r="E934" s="354" t="s">
        <v>102</v>
      </c>
      <c r="F934" s="355">
        <f>'PART-B'!K223</f>
        <v>318.2</v>
      </c>
      <c r="G934" s="353">
        <f t="shared" ref="G934:G973" si="35">ROUND(D934*F934,0)</f>
        <v>0</v>
      </c>
      <c r="H934" s="633" t="s">
        <v>2313</v>
      </c>
    </row>
    <row r="935" spans="1:8" s="360" customFormat="1" hidden="1">
      <c r="A935" s="356" t="s">
        <v>483</v>
      </c>
      <c r="B935" s="804"/>
      <c r="C935" s="632" t="s">
        <v>505</v>
      </c>
      <c r="D935" s="358">
        <f>'PART-B'!I233</f>
        <v>0</v>
      </c>
      <c r="E935" s="354" t="s">
        <v>102</v>
      </c>
      <c r="F935" s="355">
        <f>'PART-B'!K233</f>
        <v>294.70999999999998</v>
      </c>
      <c r="G935" s="353">
        <f t="shared" si="35"/>
        <v>0</v>
      </c>
      <c r="H935" s="633" t="s">
        <v>2313</v>
      </c>
    </row>
    <row r="936" spans="1:8" s="360" customFormat="1" hidden="1">
      <c r="A936" s="356" t="s">
        <v>484</v>
      </c>
      <c r="B936" s="804"/>
      <c r="C936" s="632" t="s">
        <v>631</v>
      </c>
      <c r="D936" s="358">
        <f>'PART-B'!I251</f>
        <v>0</v>
      </c>
      <c r="E936" s="354" t="s">
        <v>102</v>
      </c>
      <c r="F936" s="355">
        <f>'PART-B'!K251</f>
        <v>314.89999999999998</v>
      </c>
      <c r="G936" s="353">
        <f t="shared" si="35"/>
        <v>0</v>
      </c>
      <c r="H936" s="633" t="s">
        <v>2313</v>
      </c>
    </row>
    <row r="937" spans="1:8" s="360" customFormat="1" hidden="1">
      <c r="A937" s="356" t="s">
        <v>486</v>
      </c>
      <c r="B937" s="804"/>
      <c r="C937" s="632" t="s">
        <v>830</v>
      </c>
      <c r="D937" s="358">
        <f>'PART-B'!I297</f>
        <v>0</v>
      </c>
      <c r="E937" s="354" t="s">
        <v>102</v>
      </c>
      <c r="F937" s="355">
        <f>'PART-B'!K297</f>
        <v>388.21</v>
      </c>
      <c r="G937" s="353">
        <f t="shared" si="35"/>
        <v>0</v>
      </c>
      <c r="H937" s="633" t="s">
        <v>2313</v>
      </c>
    </row>
    <row r="938" spans="1:8" s="360" customFormat="1" hidden="1">
      <c r="A938" s="356" t="s">
        <v>488</v>
      </c>
      <c r="B938" s="804"/>
      <c r="C938" s="632" t="s">
        <v>541</v>
      </c>
      <c r="D938" s="358">
        <f>'PART-B'!I304</f>
        <v>0</v>
      </c>
      <c r="E938" s="354" t="s">
        <v>102</v>
      </c>
      <c r="F938" s="355">
        <f>'PART-B'!K304</f>
        <v>404.02</v>
      </c>
      <c r="G938" s="353">
        <f t="shared" si="35"/>
        <v>0</v>
      </c>
      <c r="H938" s="633" t="s">
        <v>2313</v>
      </c>
    </row>
    <row r="939" spans="1:8" s="360" customFormat="1" hidden="1">
      <c r="A939" s="356" t="s">
        <v>461</v>
      </c>
      <c r="B939" s="804"/>
      <c r="C939" s="632" t="s">
        <v>507</v>
      </c>
      <c r="D939" s="358">
        <f>'PART-B'!I338</f>
        <v>0</v>
      </c>
      <c r="E939" s="354" t="s">
        <v>102</v>
      </c>
      <c r="F939" s="355">
        <f>'PART-B'!K338</f>
        <v>1067.3599999999999</v>
      </c>
      <c r="G939" s="353">
        <f t="shared" si="35"/>
        <v>0</v>
      </c>
      <c r="H939" s="633" t="s">
        <v>2313</v>
      </c>
    </row>
    <row r="940" spans="1:8" s="360" customFormat="1" hidden="1">
      <c r="A940" s="356" t="s">
        <v>462</v>
      </c>
      <c r="B940" s="804"/>
      <c r="C940" s="632" t="s">
        <v>1480</v>
      </c>
      <c r="D940" s="358">
        <f>'PART-B'!I354</f>
        <v>0</v>
      </c>
      <c r="E940" s="354" t="s">
        <v>102</v>
      </c>
      <c r="F940" s="355">
        <f>'PART-B'!K354</f>
        <v>1062.03</v>
      </c>
      <c r="G940" s="353">
        <f t="shared" si="35"/>
        <v>0</v>
      </c>
      <c r="H940" s="633" t="s">
        <v>2313</v>
      </c>
    </row>
    <row r="941" spans="1:8" s="360" customFormat="1" hidden="1">
      <c r="A941" s="356" t="s">
        <v>492</v>
      </c>
      <c r="B941" s="804"/>
      <c r="C941" s="632" t="s">
        <v>708</v>
      </c>
      <c r="D941" s="358">
        <f>'PART-B'!I361</f>
        <v>0</v>
      </c>
      <c r="E941" s="354" t="s">
        <v>77</v>
      </c>
      <c r="F941" s="355">
        <f>'PART-B'!K361</f>
        <v>3115.07</v>
      </c>
      <c r="G941" s="353">
        <f t="shared" si="35"/>
        <v>0</v>
      </c>
      <c r="H941" s="633" t="s">
        <v>2313</v>
      </c>
    </row>
    <row r="942" spans="1:8" s="360" customFormat="1" hidden="1">
      <c r="A942" s="356" t="s">
        <v>493</v>
      </c>
      <c r="B942" s="804"/>
      <c r="C942" s="632" t="s">
        <v>709</v>
      </c>
      <c r="D942" s="358">
        <f>'PART-B'!I369</f>
        <v>0</v>
      </c>
      <c r="E942" s="354" t="s">
        <v>102</v>
      </c>
      <c r="F942" s="355">
        <f>'PART-B'!K369</f>
        <v>2905.43</v>
      </c>
      <c r="G942" s="353">
        <f t="shared" si="35"/>
        <v>0</v>
      </c>
      <c r="H942" s="633" t="s">
        <v>2313</v>
      </c>
    </row>
    <row r="943" spans="1:8" s="360" customFormat="1" hidden="1">
      <c r="A943" s="356" t="s">
        <v>498</v>
      </c>
      <c r="B943" s="804"/>
      <c r="C943" s="632" t="s">
        <v>710</v>
      </c>
      <c r="D943" s="358">
        <f>'PART-B'!I376</f>
        <v>0</v>
      </c>
      <c r="E943" s="354" t="s">
        <v>102</v>
      </c>
      <c r="F943" s="355">
        <f>'PART-B'!K376</f>
        <v>744.7</v>
      </c>
      <c r="G943" s="353">
        <f t="shared" si="35"/>
        <v>0</v>
      </c>
      <c r="H943" s="633" t="s">
        <v>2313</v>
      </c>
    </row>
    <row r="944" spans="1:8" s="360" customFormat="1" hidden="1">
      <c r="A944" s="356" t="s">
        <v>499</v>
      </c>
      <c r="B944" s="804"/>
      <c r="C944" s="632" t="s">
        <v>711</v>
      </c>
      <c r="D944" s="358">
        <f>'PART-B'!I383</f>
        <v>0</v>
      </c>
      <c r="E944" s="354" t="s">
        <v>102</v>
      </c>
      <c r="F944" s="355">
        <f>'PART-B'!K383</f>
        <v>750.18</v>
      </c>
      <c r="G944" s="353">
        <f t="shared" si="35"/>
        <v>0</v>
      </c>
      <c r="H944" s="633" t="s">
        <v>2313</v>
      </c>
    </row>
    <row r="945" spans="1:8" s="360" customFormat="1" hidden="1">
      <c r="A945" s="356" t="s">
        <v>463</v>
      </c>
      <c r="B945" s="804"/>
      <c r="C945" s="632" t="s">
        <v>511</v>
      </c>
      <c r="D945" s="358">
        <f>'PART-B'!I395</f>
        <v>0</v>
      </c>
      <c r="E945" s="354" t="s">
        <v>102</v>
      </c>
      <c r="F945" s="355">
        <f>'PART-B'!K395</f>
        <v>801.83</v>
      </c>
      <c r="G945" s="353">
        <f t="shared" si="35"/>
        <v>0</v>
      </c>
      <c r="H945" s="633" t="s">
        <v>2313</v>
      </c>
    </row>
    <row r="946" spans="1:8" s="360" customFormat="1" hidden="1">
      <c r="A946" s="356" t="s">
        <v>464</v>
      </c>
      <c r="B946" s="804"/>
      <c r="C946" s="632" t="s">
        <v>570</v>
      </c>
      <c r="D946" s="358">
        <f>'PART-B'!I410</f>
        <v>0</v>
      </c>
      <c r="E946" s="354" t="s">
        <v>102</v>
      </c>
      <c r="F946" s="355">
        <f>'PART-B'!K410</f>
        <v>518.15</v>
      </c>
      <c r="G946" s="353">
        <f t="shared" si="35"/>
        <v>0</v>
      </c>
      <c r="H946" s="633" t="s">
        <v>2313</v>
      </c>
    </row>
    <row r="947" spans="1:8" s="360" customFormat="1" hidden="1">
      <c r="A947" s="356" t="s">
        <v>487</v>
      </c>
      <c r="B947" s="804"/>
      <c r="C947" s="632" t="s">
        <v>1222</v>
      </c>
      <c r="D947" s="358">
        <f>'PART-B'!I416</f>
        <v>22.14</v>
      </c>
      <c r="E947" s="354" t="s">
        <v>102</v>
      </c>
      <c r="F947" s="355">
        <f>'PART-B'!K416</f>
        <v>1017.93</v>
      </c>
      <c r="G947" s="353">
        <f t="shared" si="35"/>
        <v>22537</v>
      </c>
      <c r="H947" s="633" t="s">
        <v>2313</v>
      </c>
    </row>
    <row r="948" spans="1:8" s="360" customFormat="1" hidden="1">
      <c r="A948" s="356"/>
      <c r="B948" s="804"/>
      <c r="C948" s="632" t="s">
        <v>2262</v>
      </c>
      <c r="D948" s="358">
        <f>'PART-B'!I423</f>
        <v>0</v>
      </c>
      <c r="E948" s="354" t="s">
        <v>102</v>
      </c>
      <c r="F948" s="355">
        <f>'PART-B'!K423</f>
        <v>610</v>
      </c>
      <c r="G948" s="353">
        <f t="shared" si="35"/>
        <v>0</v>
      </c>
      <c r="H948" s="633" t="s">
        <v>2313</v>
      </c>
    </row>
    <row r="949" spans="1:8" s="360" customFormat="1" hidden="1">
      <c r="A949" s="356"/>
      <c r="B949" s="804"/>
      <c r="C949" s="632" t="s">
        <v>2263</v>
      </c>
      <c r="D949" s="358">
        <f>'PART-B'!I430</f>
        <v>0</v>
      </c>
      <c r="E949" s="354" t="s">
        <v>102</v>
      </c>
      <c r="F949" s="355">
        <f>'PART-B'!K430</f>
        <v>345.47</v>
      </c>
      <c r="G949" s="353">
        <f t="shared" si="35"/>
        <v>0</v>
      </c>
      <c r="H949" s="633" t="s">
        <v>2313</v>
      </c>
    </row>
    <row r="950" spans="1:8" s="360" customFormat="1" hidden="1">
      <c r="A950" s="356" t="s">
        <v>491</v>
      </c>
      <c r="B950" s="804"/>
      <c r="C950" s="632" t="s">
        <v>959</v>
      </c>
      <c r="D950" s="358">
        <f>'PART-B'!I437</f>
        <v>0</v>
      </c>
      <c r="E950" s="354" t="s">
        <v>102</v>
      </c>
      <c r="F950" s="355">
        <f>'PART-B'!K437</f>
        <v>24.05</v>
      </c>
      <c r="G950" s="353">
        <f t="shared" si="35"/>
        <v>0</v>
      </c>
      <c r="H950" s="633" t="s">
        <v>2313</v>
      </c>
    </row>
    <row r="951" spans="1:8" s="360" customFormat="1" hidden="1">
      <c r="A951" s="356" t="s">
        <v>495</v>
      </c>
      <c r="B951" s="804"/>
      <c r="C951" s="632" t="s">
        <v>960</v>
      </c>
      <c r="D951" s="358">
        <f>'PART-B'!I485</f>
        <v>0</v>
      </c>
      <c r="E951" s="354" t="s">
        <v>102</v>
      </c>
      <c r="F951" s="355">
        <f>'PART-B'!K485</f>
        <v>173.73</v>
      </c>
      <c r="G951" s="353">
        <f t="shared" si="35"/>
        <v>0</v>
      </c>
      <c r="H951" s="633" t="s">
        <v>2313</v>
      </c>
    </row>
    <row r="952" spans="1:8" s="360" customFormat="1" hidden="1">
      <c r="A952" s="356" t="s">
        <v>1516</v>
      </c>
      <c r="B952" s="804"/>
      <c r="C952" s="632" t="s">
        <v>1165</v>
      </c>
      <c r="D952" s="358">
        <f>'PART-B'!I516</f>
        <v>268.64000000000004</v>
      </c>
      <c r="E952" s="354" t="s">
        <v>102</v>
      </c>
      <c r="F952" s="355">
        <f>'PART-B'!K516</f>
        <v>146.82</v>
      </c>
      <c r="G952" s="353">
        <f t="shared" si="35"/>
        <v>39442</v>
      </c>
      <c r="H952" s="633" t="s">
        <v>2313</v>
      </c>
    </row>
    <row r="953" spans="1:8" s="360" customFormat="1" hidden="1">
      <c r="A953" s="356" t="s">
        <v>1518</v>
      </c>
      <c r="B953" s="804"/>
      <c r="C953" s="632" t="s">
        <v>1166</v>
      </c>
      <c r="D953" s="358">
        <f>'PART-B'!I537</f>
        <v>223.53</v>
      </c>
      <c r="E953" s="354" t="s">
        <v>102</v>
      </c>
      <c r="F953" s="355">
        <f>'PART-B'!K537</f>
        <v>200.84</v>
      </c>
      <c r="G953" s="353">
        <f t="shared" si="35"/>
        <v>44894</v>
      </c>
      <c r="H953" s="633" t="s">
        <v>2313</v>
      </c>
    </row>
    <row r="954" spans="1:8" s="360" customFormat="1" ht="25.5" hidden="1">
      <c r="A954" s="356" t="s">
        <v>491</v>
      </c>
      <c r="B954" s="804"/>
      <c r="C954" s="632" t="s">
        <v>1223</v>
      </c>
      <c r="D954" s="358">
        <f>'PART-B'!I551</f>
        <v>14.879999999999999</v>
      </c>
      <c r="E954" s="354" t="s">
        <v>102</v>
      </c>
      <c r="F954" s="355">
        <f>'PART-B'!K551</f>
        <v>968.78</v>
      </c>
      <c r="G954" s="353">
        <f t="shared" si="35"/>
        <v>14415</v>
      </c>
      <c r="H954" s="633" t="s">
        <v>2313</v>
      </c>
    </row>
    <row r="955" spans="1:8" s="360" customFormat="1" ht="25.5" hidden="1">
      <c r="A955" s="356" t="s">
        <v>497</v>
      </c>
      <c r="B955" s="804"/>
      <c r="C955" s="632" t="s">
        <v>706</v>
      </c>
      <c r="D955" s="429">
        <f>'PART-B'!I556</f>
        <v>0</v>
      </c>
      <c r="E955" s="221" t="s">
        <v>102</v>
      </c>
      <c r="F955" s="430">
        <f>'PART-B'!K556</f>
        <v>4025</v>
      </c>
      <c r="G955" s="353">
        <f t="shared" si="35"/>
        <v>0</v>
      </c>
      <c r="H955" s="633" t="s">
        <v>2313</v>
      </c>
    </row>
    <row r="956" spans="1:8" s="360" customFormat="1" ht="25.5" hidden="1">
      <c r="A956" s="356" t="s">
        <v>492</v>
      </c>
      <c r="B956" s="804"/>
      <c r="C956" s="632" t="s">
        <v>961</v>
      </c>
      <c r="D956" s="358">
        <f>'PART-B'!I544</f>
        <v>0</v>
      </c>
      <c r="E956" s="354" t="s">
        <v>102</v>
      </c>
      <c r="F956" s="355">
        <f>'PART-B'!K544</f>
        <v>149.86000000000001</v>
      </c>
      <c r="G956" s="353">
        <f t="shared" si="35"/>
        <v>0</v>
      </c>
      <c r="H956" s="633" t="s">
        <v>2313</v>
      </c>
    </row>
    <row r="957" spans="1:8" s="360" customFormat="1" hidden="1">
      <c r="A957" s="356" t="s">
        <v>492</v>
      </c>
      <c r="B957" s="804"/>
      <c r="C957" s="632" t="s">
        <v>1481</v>
      </c>
      <c r="D957" s="358">
        <f>'PART-B'!I561</f>
        <v>0</v>
      </c>
      <c r="E957" s="354" t="s">
        <v>115</v>
      </c>
      <c r="F957" s="355">
        <f>'PART-B'!K561</f>
        <v>808</v>
      </c>
      <c r="G957" s="353">
        <f t="shared" si="35"/>
        <v>0</v>
      </c>
      <c r="H957" s="633" t="s">
        <v>2313</v>
      </c>
    </row>
    <row r="958" spans="1:8" s="360" customFormat="1" hidden="1">
      <c r="A958" s="356" t="s">
        <v>465</v>
      </c>
      <c r="B958" s="804"/>
      <c r="C958" s="632" t="s">
        <v>1482</v>
      </c>
      <c r="D958" s="358">
        <f>'PART-B'!I566</f>
        <v>0</v>
      </c>
      <c r="E958" s="354" t="s">
        <v>115</v>
      </c>
      <c r="F958" s="355">
        <f>'PART-B'!K566</f>
        <v>500</v>
      </c>
      <c r="G958" s="353">
        <f t="shared" si="35"/>
        <v>0</v>
      </c>
      <c r="H958" s="633" t="s">
        <v>2313</v>
      </c>
    </row>
    <row r="959" spans="1:8" s="360" customFormat="1" hidden="1">
      <c r="A959" s="356" t="s">
        <v>466</v>
      </c>
      <c r="B959" s="804"/>
      <c r="C959" s="632" t="s">
        <v>1483</v>
      </c>
      <c r="D959" s="358">
        <f>'PART-B'!I571</f>
        <v>0</v>
      </c>
      <c r="E959" s="354" t="s">
        <v>115</v>
      </c>
      <c r="F959" s="355">
        <f>'PART-B'!K571</f>
        <v>130</v>
      </c>
      <c r="G959" s="353">
        <f t="shared" si="35"/>
        <v>0</v>
      </c>
      <c r="H959" s="633" t="s">
        <v>2313</v>
      </c>
    </row>
    <row r="960" spans="1:8" s="360" customFormat="1" hidden="1">
      <c r="A960" s="356" t="s">
        <v>503</v>
      </c>
      <c r="B960" s="804"/>
      <c r="C960" s="632" t="s">
        <v>477</v>
      </c>
      <c r="D960" s="429">
        <f>'PART-B'!I578</f>
        <v>0</v>
      </c>
      <c r="E960" s="221" t="s">
        <v>29</v>
      </c>
      <c r="F960" s="430">
        <f>'PART-B'!K578</f>
        <v>89280</v>
      </c>
      <c r="G960" s="353">
        <f t="shared" si="35"/>
        <v>0</v>
      </c>
      <c r="H960" s="633" t="s">
        <v>2313</v>
      </c>
    </row>
    <row r="961" spans="1:8" s="360" customFormat="1" hidden="1">
      <c r="A961" s="356" t="s">
        <v>495</v>
      </c>
      <c r="B961" s="804"/>
      <c r="C961" s="632" t="s">
        <v>2061</v>
      </c>
      <c r="D961" s="358">
        <f>'PART-B'!I584</f>
        <v>0</v>
      </c>
      <c r="E961" s="354" t="s">
        <v>5</v>
      </c>
      <c r="F961" s="355">
        <f>'PART-B'!K584</f>
        <v>11192.01</v>
      </c>
      <c r="G961" s="353">
        <f t="shared" si="35"/>
        <v>0</v>
      </c>
      <c r="H961" s="633" t="s">
        <v>2313</v>
      </c>
    </row>
    <row r="962" spans="1:8" s="360" customFormat="1" hidden="1">
      <c r="A962" s="356" t="s">
        <v>1515</v>
      </c>
      <c r="B962" s="804"/>
      <c r="C962" s="632" t="s">
        <v>2063</v>
      </c>
      <c r="D962" s="358">
        <f>'PART-B'!I590</f>
        <v>0</v>
      </c>
      <c r="E962" s="354" t="s">
        <v>5</v>
      </c>
      <c r="F962" s="355">
        <f>'PART-B'!K590</f>
        <v>10490.18</v>
      </c>
      <c r="G962" s="353">
        <f t="shared" si="35"/>
        <v>0</v>
      </c>
      <c r="H962" s="633" t="s">
        <v>2313</v>
      </c>
    </row>
    <row r="963" spans="1:8" s="360" customFormat="1" hidden="1">
      <c r="A963" s="356" t="s">
        <v>1516</v>
      </c>
      <c r="B963" s="804"/>
      <c r="C963" s="632" t="s">
        <v>2064</v>
      </c>
      <c r="D963" s="358">
        <f>'PART-B'!I601</f>
        <v>0</v>
      </c>
      <c r="E963" s="354" t="s">
        <v>102</v>
      </c>
      <c r="F963" s="355">
        <f>'PART-B'!K601</f>
        <v>1395.89</v>
      </c>
      <c r="G963" s="353">
        <f t="shared" si="35"/>
        <v>0</v>
      </c>
      <c r="H963" s="633" t="s">
        <v>2313</v>
      </c>
    </row>
    <row r="964" spans="1:8" s="360" customFormat="1" hidden="1">
      <c r="A964" s="356" t="s">
        <v>487</v>
      </c>
      <c r="B964" s="804"/>
      <c r="C964" s="632" t="s">
        <v>2066</v>
      </c>
      <c r="D964" s="358">
        <f>'PART-B'!I606</f>
        <v>0</v>
      </c>
      <c r="E964" s="354" t="s">
        <v>102</v>
      </c>
      <c r="F964" s="355">
        <f>'PART-B'!K606</f>
        <v>1253.01</v>
      </c>
      <c r="G964" s="353">
        <f t="shared" si="35"/>
        <v>0</v>
      </c>
      <c r="H964" s="633" t="s">
        <v>2313</v>
      </c>
    </row>
    <row r="965" spans="1:8" s="360" customFormat="1" hidden="1">
      <c r="A965" s="356" t="s">
        <v>1517</v>
      </c>
      <c r="B965" s="804"/>
      <c r="C965" s="632" t="s">
        <v>2065</v>
      </c>
      <c r="D965" s="358">
        <f>'PART-B'!I595</f>
        <v>0</v>
      </c>
      <c r="E965" s="221" t="s">
        <v>102</v>
      </c>
      <c r="F965" s="355">
        <f>'PART-B'!K595</f>
        <v>1538.77</v>
      </c>
      <c r="G965" s="353">
        <f t="shared" si="35"/>
        <v>0</v>
      </c>
      <c r="H965" s="633" t="s">
        <v>2313</v>
      </c>
    </row>
    <row r="966" spans="1:8" s="360" customFormat="1" hidden="1">
      <c r="A966" s="356" t="s">
        <v>517</v>
      </c>
      <c r="B966" s="804"/>
      <c r="C966" s="632" t="s">
        <v>2072</v>
      </c>
      <c r="D966" s="358">
        <f>'PART-B'!I612</f>
        <v>0</v>
      </c>
      <c r="E966" s="221" t="s">
        <v>102</v>
      </c>
      <c r="F966" s="355">
        <f>'PART-B'!K612</f>
        <v>694.54</v>
      </c>
      <c r="G966" s="353">
        <f t="shared" si="35"/>
        <v>0</v>
      </c>
      <c r="H966" s="633" t="s">
        <v>2313</v>
      </c>
    </row>
    <row r="967" spans="1:8" s="360" customFormat="1" hidden="1">
      <c r="A967" s="356" t="s">
        <v>517</v>
      </c>
      <c r="B967" s="804"/>
      <c r="C967" s="632" t="s">
        <v>2073</v>
      </c>
      <c r="D967" s="358">
        <f>'PART-B'!I618</f>
        <v>0</v>
      </c>
      <c r="E967" s="221" t="s">
        <v>102</v>
      </c>
      <c r="F967" s="355">
        <f>'PART-B'!K618</f>
        <v>553.39</v>
      </c>
      <c r="G967" s="353">
        <f t="shared" si="35"/>
        <v>0</v>
      </c>
      <c r="H967" s="633" t="s">
        <v>2313</v>
      </c>
    </row>
    <row r="968" spans="1:8" s="360" customFormat="1" hidden="1">
      <c r="A968" s="356" t="s">
        <v>513</v>
      </c>
      <c r="B968" s="804"/>
      <c r="C968" s="632" t="s">
        <v>2069</v>
      </c>
      <c r="D968" s="358">
        <f>'PART-B'!I624</f>
        <v>0</v>
      </c>
      <c r="E968" s="354" t="s">
        <v>5</v>
      </c>
      <c r="F968" s="355">
        <f>'PART-B'!K624</f>
        <v>11212.51</v>
      </c>
      <c r="G968" s="353">
        <f t="shared" si="35"/>
        <v>0</v>
      </c>
      <c r="H968" s="633" t="s">
        <v>2313</v>
      </c>
    </row>
    <row r="969" spans="1:8" s="360" customFormat="1" hidden="1">
      <c r="A969" s="356" t="s">
        <v>515</v>
      </c>
      <c r="B969" s="804"/>
      <c r="C969" s="632" t="s">
        <v>2070</v>
      </c>
      <c r="D969" s="358">
        <f>'PART-B'!I630</f>
        <v>0</v>
      </c>
      <c r="E969" s="221" t="s">
        <v>277</v>
      </c>
      <c r="F969" s="355">
        <f>'PART-B'!K630</f>
        <v>630.35</v>
      </c>
      <c r="G969" s="353">
        <f t="shared" si="35"/>
        <v>0</v>
      </c>
      <c r="H969" s="633" t="s">
        <v>2313</v>
      </c>
    </row>
    <row r="970" spans="1:8" s="360" customFormat="1" hidden="1">
      <c r="A970" s="356" t="s">
        <v>497</v>
      </c>
      <c r="B970" s="804"/>
      <c r="C970" s="632" t="s">
        <v>1478</v>
      </c>
      <c r="D970" s="358">
        <f>'PART-B'!I636</f>
        <v>0</v>
      </c>
      <c r="E970" s="221" t="s">
        <v>102</v>
      </c>
      <c r="F970" s="355">
        <f>'PART-B'!K636</f>
        <v>339.16</v>
      </c>
      <c r="G970" s="353">
        <f t="shared" si="35"/>
        <v>0</v>
      </c>
      <c r="H970" s="633" t="s">
        <v>2313</v>
      </c>
    </row>
    <row r="971" spans="1:8" s="360" customFormat="1" hidden="1">
      <c r="A971" s="356" t="s">
        <v>520</v>
      </c>
      <c r="B971" s="804"/>
      <c r="C971" s="632" t="s">
        <v>1479</v>
      </c>
      <c r="D971" s="358">
        <f>'PART-B'!I642</f>
        <v>0</v>
      </c>
      <c r="E971" s="221" t="s">
        <v>102</v>
      </c>
      <c r="F971" s="355">
        <f>'PART-B'!K642</f>
        <v>438.06</v>
      </c>
      <c r="G971" s="353">
        <f t="shared" si="35"/>
        <v>0</v>
      </c>
      <c r="H971" s="633" t="s">
        <v>2313</v>
      </c>
    </row>
    <row r="972" spans="1:8" s="360" customFormat="1" hidden="1">
      <c r="A972" s="356" t="s">
        <v>519</v>
      </c>
      <c r="B972" s="804"/>
      <c r="C972" s="632" t="s">
        <v>829</v>
      </c>
      <c r="D972" s="358">
        <f>'PART-B'!I654</f>
        <v>0</v>
      </c>
      <c r="E972" s="354" t="s">
        <v>5</v>
      </c>
      <c r="F972" s="355">
        <f>'PART-B'!K654</f>
        <v>7283.96</v>
      </c>
      <c r="G972" s="353">
        <f t="shared" si="35"/>
        <v>0</v>
      </c>
      <c r="H972" s="633" t="s">
        <v>2313</v>
      </c>
    </row>
    <row r="973" spans="1:8" s="360" customFormat="1" hidden="1">
      <c r="A973" s="356" t="s">
        <v>491</v>
      </c>
      <c r="B973" s="804"/>
      <c r="C973" s="632" t="s">
        <v>828</v>
      </c>
      <c r="D973" s="358">
        <f>'PART-B'!I648</f>
        <v>0</v>
      </c>
      <c r="E973" s="354" t="s">
        <v>5</v>
      </c>
      <c r="F973" s="355">
        <f>'PART-B'!K648</f>
        <v>7227.5599999999995</v>
      </c>
      <c r="G973" s="353">
        <f t="shared" si="35"/>
        <v>0</v>
      </c>
      <c r="H973" s="633" t="s">
        <v>2313</v>
      </c>
    </row>
    <row r="974" spans="1:8" s="360" customFormat="1" ht="25.5" hidden="1">
      <c r="A974" s="356" t="s">
        <v>521</v>
      </c>
      <c r="B974" s="804"/>
      <c r="C974" s="632" t="s">
        <v>705</v>
      </c>
      <c r="D974" s="358">
        <f>'PART-B'!I661</f>
        <v>0</v>
      </c>
      <c r="E974" s="354" t="s">
        <v>102</v>
      </c>
      <c r="F974" s="355">
        <f>'PART-B'!K661</f>
        <v>929.28</v>
      </c>
      <c r="G974" s="353">
        <f>ROUND(D974*F974/1,0)</f>
        <v>0</v>
      </c>
      <c r="H974" s="633" t="s">
        <v>2313</v>
      </c>
    </row>
    <row r="975" spans="1:8" s="360" customFormat="1" hidden="1">
      <c r="A975" s="356" t="s">
        <v>483</v>
      </c>
      <c r="B975" s="804"/>
      <c r="C975" s="632" t="s">
        <v>1221</v>
      </c>
      <c r="D975" s="358">
        <f>'PART-B'!I668</f>
        <v>0</v>
      </c>
      <c r="E975" s="354" t="s">
        <v>102</v>
      </c>
      <c r="F975" s="355">
        <f>'PART-B'!K668</f>
        <v>6718.55</v>
      </c>
      <c r="G975" s="353">
        <f>ROUND(D975*F975/1,0)</f>
        <v>0</v>
      </c>
      <c r="H975" s="633" t="s">
        <v>2313</v>
      </c>
    </row>
    <row r="976" spans="1:8" s="360" customFormat="1" hidden="1">
      <c r="A976" s="356" t="s">
        <v>484</v>
      </c>
      <c r="B976" s="804"/>
      <c r="C976" s="632" t="s">
        <v>1214</v>
      </c>
      <c r="D976" s="358">
        <f>'PART-B'!I674</f>
        <v>0</v>
      </c>
      <c r="E976" s="354" t="s">
        <v>102</v>
      </c>
      <c r="F976" s="355">
        <f>'PART-B'!K674</f>
        <v>2346.34</v>
      </c>
      <c r="G976" s="353">
        <f>ROUND(D976*F976/1,0)</f>
        <v>0</v>
      </c>
      <c r="H976" s="633" t="s">
        <v>2313</v>
      </c>
    </row>
    <row r="977" spans="1:8" s="360" customFormat="1" hidden="1">
      <c r="A977" s="356" t="s">
        <v>516</v>
      </c>
      <c r="B977" s="804"/>
      <c r="C977" s="632" t="s">
        <v>481</v>
      </c>
      <c r="D977" s="358">
        <f>'PART-B'!I681</f>
        <v>0</v>
      </c>
      <c r="E977" s="354" t="s">
        <v>102</v>
      </c>
      <c r="F977" s="355">
        <f>'PART-B'!K681</f>
        <v>351.17</v>
      </c>
      <c r="G977" s="353">
        <f t="shared" ref="G977:G1009" si="36">ROUND(D977*F977,0)</f>
        <v>0</v>
      </c>
      <c r="H977" s="633" t="s">
        <v>2313</v>
      </c>
    </row>
    <row r="978" spans="1:8" s="360" customFormat="1" hidden="1">
      <c r="A978" s="356" t="s">
        <v>516</v>
      </c>
      <c r="B978" s="804"/>
      <c r="C978" s="632" t="s">
        <v>505</v>
      </c>
      <c r="D978" s="358">
        <f>'PART-B'!I689</f>
        <v>0</v>
      </c>
      <c r="E978" s="354" t="s">
        <v>102</v>
      </c>
      <c r="F978" s="355">
        <f>'PART-B'!K689</f>
        <v>323.04000000000002</v>
      </c>
      <c r="G978" s="353">
        <f t="shared" si="36"/>
        <v>0</v>
      </c>
      <c r="H978" s="633" t="s">
        <v>2313</v>
      </c>
    </row>
    <row r="979" spans="1:8" s="360" customFormat="1" hidden="1">
      <c r="A979" s="356" t="s">
        <v>517</v>
      </c>
      <c r="B979" s="804"/>
      <c r="C979" s="632" t="s">
        <v>805</v>
      </c>
      <c r="D979" s="358">
        <f>'PART-B'!I697</f>
        <v>0</v>
      </c>
      <c r="E979" s="354" t="s">
        <v>102</v>
      </c>
      <c r="F979" s="355">
        <f>'PART-B'!K697</f>
        <v>343.23</v>
      </c>
      <c r="G979" s="353">
        <f t="shared" si="36"/>
        <v>0</v>
      </c>
      <c r="H979" s="633" t="s">
        <v>2313</v>
      </c>
    </row>
    <row r="980" spans="1:8" s="360" customFormat="1" hidden="1">
      <c r="A980" s="356" t="s">
        <v>518</v>
      </c>
      <c r="B980" s="804"/>
      <c r="C980" s="632" t="s">
        <v>830</v>
      </c>
      <c r="D980" s="358">
        <f>'PART-B'!I704</f>
        <v>0</v>
      </c>
      <c r="E980" s="354" t="s">
        <v>102</v>
      </c>
      <c r="F980" s="355">
        <f>'PART-B'!K704</f>
        <v>425.82</v>
      </c>
      <c r="G980" s="353">
        <f t="shared" si="36"/>
        <v>0</v>
      </c>
      <c r="H980" s="633" t="s">
        <v>2313</v>
      </c>
    </row>
    <row r="981" spans="1:8" s="360" customFormat="1" hidden="1">
      <c r="A981" s="356" t="s">
        <v>520</v>
      </c>
      <c r="B981" s="804"/>
      <c r="C981" s="632" t="s">
        <v>541</v>
      </c>
      <c r="D981" s="358">
        <f>'PART-B'!I711</f>
        <v>0</v>
      </c>
      <c r="E981" s="354" t="s">
        <v>102</v>
      </c>
      <c r="F981" s="355">
        <f>'PART-B'!K711</f>
        <v>441.63</v>
      </c>
      <c r="G981" s="353">
        <f t="shared" si="36"/>
        <v>0</v>
      </c>
      <c r="H981" s="633" t="s">
        <v>2313</v>
      </c>
    </row>
    <row r="982" spans="1:8" s="360" customFormat="1" hidden="1">
      <c r="A982" s="356" t="s">
        <v>503</v>
      </c>
      <c r="B982" s="804"/>
      <c r="C982" s="632" t="s">
        <v>2071</v>
      </c>
      <c r="D982" s="358">
        <f>'PART-B'!I718</f>
        <v>0</v>
      </c>
      <c r="E982" s="354" t="s">
        <v>5</v>
      </c>
      <c r="F982" s="355">
        <f>'PART-B'!K718</f>
        <v>5722.81</v>
      </c>
      <c r="G982" s="353">
        <f t="shared" si="36"/>
        <v>0</v>
      </c>
      <c r="H982" s="633" t="s">
        <v>2313</v>
      </c>
    </row>
    <row r="983" spans="1:8" s="360" customFormat="1" hidden="1">
      <c r="A983" s="356" t="s">
        <v>522</v>
      </c>
      <c r="B983" s="804"/>
      <c r="C983" s="632" t="s">
        <v>507</v>
      </c>
      <c r="D983" s="358">
        <f>'PART-B'!I725</f>
        <v>0</v>
      </c>
      <c r="E983" s="354" t="s">
        <v>102</v>
      </c>
      <c r="F983" s="355">
        <f>'PART-B'!K725</f>
        <v>1103.3900000000001</v>
      </c>
      <c r="G983" s="353">
        <f t="shared" si="36"/>
        <v>0</v>
      </c>
      <c r="H983" s="633" t="s">
        <v>2313</v>
      </c>
    </row>
    <row r="984" spans="1:8" s="360" customFormat="1" hidden="1">
      <c r="A984" s="356" t="s">
        <v>525</v>
      </c>
      <c r="B984" s="804"/>
      <c r="C984" s="632" t="s">
        <v>509</v>
      </c>
      <c r="D984" s="358">
        <f>'PART-B'!I732</f>
        <v>0</v>
      </c>
      <c r="E984" s="354" t="s">
        <v>102</v>
      </c>
      <c r="F984" s="355">
        <f>'PART-B'!K732</f>
        <v>1098.05</v>
      </c>
      <c r="G984" s="353">
        <f t="shared" si="36"/>
        <v>0</v>
      </c>
      <c r="H984" s="633" t="s">
        <v>2313</v>
      </c>
    </row>
    <row r="985" spans="1:8" s="360" customFormat="1" hidden="1">
      <c r="A985" s="356" t="s">
        <v>526</v>
      </c>
      <c r="B985" s="804"/>
      <c r="C985" s="632" t="s">
        <v>708</v>
      </c>
      <c r="D985" s="358">
        <f>'PART-B'!I739</f>
        <v>0</v>
      </c>
      <c r="E985" s="354" t="s">
        <v>77</v>
      </c>
      <c r="F985" s="355">
        <f>'PART-B'!K739</f>
        <v>3181.62</v>
      </c>
      <c r="G985" s="353">
        <f t="shared" si="36"/>
        <v>0</v>
      </c>
      <c r="H985" s="633" t="s">
        <v>2313</v>
      </c>
    </row>
    <row r="986" spans="1:8" s="360" customFormat="1" hidden="1">
      <c r="A986" s="356" t="s">
        <v>527</v>
      </c>
      <c r="B986" s="804"/>
      <c r="C986" s="632" t="s">
        <v>877</v>
      </c>
      <c r="D986" s="358">
        <f>'PART-B'!I746</f>
        <v>0</v>
      </c>
      <c r="E986" s="354" t="s">
        <v>102</v>
      </c>
      <c r="F986" s="355">
        <f>'PART-B'!K746</f>
        <v>2950.54</v>
      </c>
      <c r="G986" s="353">
        <f t="shared" si="36"/>
        <v>0</v>
      </c>
      <c r="H986" s="633" t="s">
        <v>2313</v>
      </c>
    </row>
    <row r="987" spans="1:8" s="360" customFormat="1" hidden="1">
      <c r="A987" s="356" t="s">
        <v>529</v>
      </c>
      <c r="B987" s="804"/>
      <c r="C987" s="632" t="s">
        <v>710</v>
      </c>
      <c r="D987" s="358">
        <f>'PART-B'!I754</f>
        <v>0</v>
      </c>
      <c r="E987" s="354" t="s">
        <v>102</v>
      </c>
      <c r="F987" s="355">
        <f>'PART-B'!K754</f>
        <v>780.73</v>
      </c>
      <c r="G987" s="353">
        <f t="shared" si="36"/>
        <v>0</v>
      </c>
      <c r="H987" s="633" t="s">
        <v>2313</v>
      </c>
    </row>
    <row r="988" spans="1:8" s="360" customFormat="1" hidden="1">
      <c r="A988" s="356" t="s">
        <v>530</v>
      </c>
      <c r="B988" s="804"/>
      <c r="C988" s="632" t="s">
        <v>711</v>
      </c>
      <c r="D988" s="358">
        <f>'PART-B'!I761</f>
        <v>0</v>
      </c>
      <c r="E988" s="354" t="s">
        <v>102</v>
      </c>
      <c r="F988" s="355">
        <f>'PART-B'!K761</f>
        <v>786.2</v>
      </c>
      <c r="G988" s="353">
        <f t="shared" si="36"/>
        <v>0</v>
      </c>
      <c r="H988" s="633" t="s">
        <v>2313</v>
      </c>
    </row>
    <row r="989" spans="1:8" s="360" customFormat="1" hidden="1">
      <c r="A989" s="356" t="s">
        <v>528</v>
      </c>
      <c r="B989" s="804"/>
      <c r="C989" s="632" t="s">
        <v>511</v>
      </c>
      <c r="D989" s="358">
        <f>'PART-B'!I768</f>
        <v>0</v>
      </c>
      <c r="E989" s="354" t="s">
        <v>102</v>
      </c>
      <c r="F989" s="355">
        <f>'PART-B'!K768</f>
        <v>837.86</v>
      </c>
      <c r="G989" s="353">
        <f t="shared" si="36"/>
        <v>0</v>
      </c>
      <c r="H989" s="633" t="s">
        <v>2313</v>
      </c>
    </row>
    <row r="990" spans="1:8" s="360" customFormat="1" hidden="1">
      <c r="A990" s="356" t="s">
        <v>529</v>
      </c>
      <c r="B990" s="804"/>
      <c r="C990" s="632" t="s">
        <v>570</v>
      </c>
      <c r="D990" s="358">
        <f>'PART-B'!I775</f>
        <v>0</v>
      </c>
      <c r="E990" s="354" t="s">
        <v>102</v>
      </c>
      <c r="F990" s="355">
        <f>'PART-B'!K775</f>
        <v>527.21</v>
      </c>
      <c r="G990" s="353">
        <f t="shared" si="36"/>
        <v>0</v>
      </c>
      <c r="H990" s="633" t="s">
        <v>2313</v>
      </c>
    </row>
    <row r="991" spans="1:8" s="360" customFormat="1" hidden="1">
      <c r="A991" s="356" t="s">
        <v>492</v>
      </c>
      <c r="B991" s="804"/>
      <c r="C991" s="632" t="s">
        <v>1222</v>
      </c>
      <c r="D991" s="358">
        <f>'PART-B'!I783</f>
        <v>0</v>
      </c>
      <c r="E991" s="354" t="s">
        <v>102</v>
      </c>
      <c r="F991" s="355">
        <f>'PART-B'!K783</f>
        <v>1059.21</v>
      </c>
      <c r="G991" s="353">
        <f t="shared" si="36"/>
        <v>0</v>
      </c>
      <c r="H991" s="633" t="s">
        <v>2313</v>
      </c>
    </row>
    <row r="992" spans="1:8" s="360" customFormat="1" hidden="1">
      <c r="A992" s="356" t="s">
        <v>533</v>
      </c>
      <c r="B992" s="804"/>
      <c r="C992" s="632" t="s">
        <v>707</v>
      </c>
      <c r="D992" s="358">
        <f>'PART-B'!I792</f>
        <v>0</v>
      </c>
      <c r="E992" s="354" t="s">
        <v>102</v>
      </c>
      <c r="F992" s="355">
        <f>'PART-B'!K792</f>
        <v>25.98</v>
      </c>
      <c r="G992" s="353">
        <f t="shared" si="36"/>
        <v>0</v>
      </c>
      <c r="H992" s="633" t="s">
        <v>2313</v>
      </c>
    </row>
    <row r="993" spans="1:8" s="360" customFormat="1" hidden="1">
      <c r="A993" s="356" t="s">
        <v>530</v>
      </c>
      <c r="B993" s="804"/>
      <c r="C993" s="632" t="s">
        <v>888</v>
      </c>
      <c r="D993" s="358">
        <f>'PART-B'!I802</f>
        <v>0</v>
      </c>
      <c r="E993" s="354" t="s">
        <v>102</v>
      </c>
      <c r="F993" s="355">
        <f>'PART-B'!K802</f>
        <v>184.03</v>
      </c>
      <c r="G993" s="353">
        <f t="shared" si="36"/>
        <v>0</v>
      </c>
      <c r="H993" s="633" t="s">
        <v>2313</v>
      </c>
    </row>
    <row r="994" spans="1:8" s="360" customFormat="1" hidden="1">
      <c r="A994" s="356" t="s">
        <v>532</v>
      </c>
      <c r="B994" s="804"/>
      <c r="C994" s="632" t="s">
        <v>571</v>
      </c>
      <c r="D994" s="358">
        <f>'PART-B'!I811</f>
        <v>0</v>
      </c>
      <c r="E994" s="354" t="s">
        <v>102</v>
      </c>
      <c r="F994" s="355">
        <f>'PART-B'!K811</f>
        <v>158.36000000000001</v>
      </c>
      <c r="G994" s="353">
        <f t="shared" si="36"/>
        <v>0</v>
      </c>
      <c r="H994" s="633" t="s">
        <v>2313</v>
      </c>
    </row>
    <row r="995" spans="1:8" s="360" customFormat="1" hidden="1">
      <c r="A995" s="356" t="s">
        <v>533</v>
      </c>
      <c r="B995" s="804"/>
      <c r="C995" s="632" t="s">
        <v>1226</v>
      </c>
      <c r="D995" s="358">
        <f>'PART-B'!I818</f>
        <v>0</v>
      </c>
      <c r="E995" s="354" t="s">
        <v>102</v>
      </c>
      <c r="F995" s="355">
        <f>'PART-B'!K818</f>
        <v>217.22</v>
      </c>
      <c r="G995" s="353">
        <f t="shared" si="36"/>
        <v>0</v>
      </c>
      <c r="H995" s="633" t="s">
        <v>2313</v>
      </c>
    </row>
    <row r="996" spans="1:8" s="360" customFormat="1" hidden="1">
      <c r="A996" s="356" t="s">
        <v>1143</v>
      </c>
      <c r="B996" s="804"/>
      <c r="C996" s="632" t="s">
        <v>477</v>
      </c>
      <c r="D996" s="429">
        <f>'PART-B'!I825</f>
        <v>0</v>
      </c>
      <c r="E996" s="221" t="s">
        <v>29</v>
      </c>
      <c r="F996" s="430">
        <f>'PART-B'!K825</f>
        <v>90555</v>
      </c>
      <c r="G996" s="353">
        <f t="shared" si="36"/>
        <v>0</v>
      </c>
      <c r="H996" s="633" t="s">
        <v>2313</v>
      </c>
    </row>
    <row r="997" spans="1:8" s="360" customFormat="1" hidden="1">
      <c r="A997" s="356" t="s">
        <v>1583</v>
      </c>
      <c r="B997" s="804"/>
      <c r="C997" s="632" t="s">
        <v>2061</v>
      </c>
      <c r="D997" s="358">
        <f>'PART-B'!I831</f>
        <v>0</v>
      </c>
      <c r="E997" s="354" t="s">
        <v>5</v>
      </c>
      <c r="F997" s="355">
        <f>'PART-B'!K831</f>
        <v>12013.61</v>
      </c>
      <c r="G997" s="353">
        <f t="shared" si="36"/>
        <v>0</v>
      </c>
      <c r="H997" s="633" t="s">
        <v>2313</v>
      </c>
    </row>
    <row r="998" spans="1:8" s="360" customFormat="1" hidden="1">
      <c r="A998" s="356" t="s">
        <v>645</v>
      </c>
      <c r="B998" s="804"/>
      <c r="C998" s="632" t="s">
        <v>2063</v>
      </c>
      <c r="D998" s="358">
        <f>'PART-B'!I837</f>
        <v>0</v>
      </c>
      <c r="E998" s="354" t="s">
        <v>5</v>
      </c>
      <c r="F998" s="355">
        <f>'PART-B'!K837</f>
        <v>11098.560000000001</v>
      </c>
      <c r="G998" s="353">
        <f t="shared" si="36"/>
        <v>0</v>
      </c>
      <c r="H998" s="633" t="s">
        <v>2313</v>
      </c>
    </row>
    <row r="999" spans="1:8" s="360" customFormat="1" hidden="1">
      <c r="A999" s="356" t="s">
        <v>1584</v>
      </c>
      <c r="B999" s="804"/>
      <c r="C999" s="632" t="s">
        <v>2064</v>
      </c>
      <c r="D999" s="358">
        <f>'PART-B'!I848</f>
        <v>0</v>
      </c>
      <c r="E999" s="354" t="s">
        <v>102</v>
      </c>
      <c r="F999" s="355">
        <f>'PART-B'!K848</f>
        <v>1594.17</v>
      </c>
      <c r="G999" s="353">
        <f t="shared" si="36"/>
        <v>0</v>
      </c>
      <c r="H999" s="633" t="s">
        <v>2313</v>
      </c>
    </row>
    <row r="1000" spans="1:8" s="360" customFormat="1" hidden="1">
      <c r="A1000" s="356" t="s">
        <v>487</v>
      </c>
      <c r="B1000" s="804"/>
      <c r="C1000" s="632" t="s">
        <v>2066</v>
      </c>
      <c r="D1000" s="358">
        <f>'PART-B'!I853</f>
        <v>0</v>
      </c>
      <c r="E1000" s="354" t="s">
        <v>102</v>
      </c>
      <c r="F1000" s="355">
        <f>'PART-B'!K853</f>
        <v>1451.29</v>
      </c>
      <c r="G1000" s="353">
        <f t="shared" si="36"/>
        <v>0</v>
      </c>
      <c r="H1000" s="633" t="s">
        <v>2313</v>
      </c>
    </row>
    <row r="1001" spans="1:8" s="360" customFormat="1" hidden="1">
      <c r="A1001" s="356" t="s">
        <v>516</v>
      </c>
      <c r="B1001" s="804"/>
      <c r="C1001" s="632" t="s">
        <v>2065</v>
      </c>
      <c r="D1001" s="358">
        <f>'PART-B'!I843</f>
        <v>0</v>
      </c>
      <c r="E1001" s="221" t="s">
        <v>102</v>
      </c>
      <c r="F1001" s="355">
        <f>'PART-B'!K843</f>
        <v>1737.05</v>
      </c>
      <c r="G1001" s="353">
        <f t="shared" si="36"/>
        <v>0</v>
      </c>
      <c r="H1001" s="633" t="s">
        <v>2313</v>
      </c>
    </row>
    <row r="1002" spans="1:8" s="360" customFormat="1" hidden="1">
      <c r="A1002" s="356" t="s">
        <v>517</v>
      </c>
      <c r="B1002" s="804"/>
      <c r="C1002" s="632" t="s">
        <v>2072</v>
      </c>
      <c r="D1002" s="358">
        <f>'PART-B'!I859</f>
        <v>0</v>
      </c>
      <c r="E1002" s="221" t="s">
        <v>102</v>
      </c>
      <c r="F1002" s="355">
        <f>'PART-B'!K859</f>
        <v>865.17</v>
      </c>
      <c r="G1002" s="353">
        <f t="shared" si="36"/>
        <v>0</v>
      </c>
      <c r="H1002" s="633" t="s">
        <v>2313</v>
      </c>
    </row>
    <row r="1003" spans="1:8" s="360" customFormat="1" hidden="1">
      <c r="A1003" s="356" t="s">
        <v>517</v>
      </c>
      <c r="B1003" s="804"/>
      <c r="C1003" s="632" t="s">
        <v>2073</v>
      </c>
      <c r="D1003" s="358">
        <f>'PART-B'!I865</f>
        <v>0</v>
      </c>
      <c r="E1003" s="221" t="s">
        <v>102</v>
      </c>
      <c r="F1003" s="355">
        <f>'PART-B'!K865</f>
        <v>724.02</v>
      </c>
      <c r="G1003" s="353">
        <f t="shared" si="36"/>
        <v>0</v>
      </c>
      <c r="H1003" s="633" t="s">
        <v>2313</v>
      </c>
    </row>
    <row r="1004" spans="1:8" s="360" customFormat="1" hidden="1">
      <c r="A1004" s="356" t="s">
        <v>518</v>
      </c>
      <c r="B1004" s="804"/>
      <c r="C1004" s="632" t="s">
        <v>2069</v>
      </c>
      <c r="D1004" s="358">
        <f>'PART-B'!I872</f>
        <v>0</v>
      </c>
      <c r="E1004" s="354" t="s">
        <v>5</v>
      </c>
      <c r="F1004" s="355">
        <f>'PART-B'!K872</f>
        <v>11874.810000000001</v>
      </c>
      <c r="G1004" s="353">
        <f t="shared" si="36"/>
        <v>0</v>
      </c>
      <c r="H1004" s="633" t="s">
        <v>2313</v>
      </c>
    </row>
    <row r="1005" spans="1:8" s="360" customFormat="1" hidden="1">
      <c r="A1005" s="356" t="s">
        <v>519</v>
      </c>
      <c r="B1005" s="804"/>
      <c r="C1005" s="632" t="s">
        <v>2070</v>
      </c>
      <c r="D1005" s="358">
        <f>'PART-B'!I877</f>
        <v>0</v>
      </c>
      <c r="E1005" s="221" t="s">
        <v>277</v>
      </c>
      <c r="F1005" s="355">
        <f>'PART-B'!K877</f>
        <v>744.7299999999999</v>
      </c>
      <c r="G1005" s="353">
        <f t="shared" si="36"/>
        <v>0</v>
      </c>
      <c r="H1005" s="633" t="s">
        <v>2313</v>
      </c>
    </row>
    <row r="1006" spans="1:8" s="360" customFormat="1" hidden="1">
      <c r="A1006" s="356" t="s">
        <v>519</v>
      </c>
      <c r="B1006" s="804"/>
      <c r="C1006" s="632" t="s">
        <v>1478</v>
      </c>
      <c r="D1006" s="358">
        <f>'PART-B'!I882</f>
        <v>0</v>
      </c>
      <c r="E1006" s="221" t="s">
        <v>102</v>
      </c>
      <c r="F1006" s="355">
        <f>'PART-B'!K882</f>
        <v>362.63</v>
      </c>
      <c r="G1006" s="353">
        <f t="shared" si="36"/>
        <v>0</v>
      </c>
      <c r="H1006" s="633" t="s">
        <v>2313</v>
      </c>
    </row>
    <row r="1007" spans="1:8" s="360" customFormat="1" hidden="1">
      <c r="A1007" s="356" t="s">
        <v>520</v>
      </c>
      <c r="B1007" s="804"/>
      <c r="C1007" s="632" t="s">
        <v>1479</v>
      </c>
      <c r="D1007" s="358">
        <f>'PART-B'!I888</f>
        <v>0</v>
      </c>
      <c r="E1007" s="221" t="s">
        <v>102</v>
      </c>
      <c r="F1007" s="355">
        <f>'PART-B'!K888</f>
        <v>470.34</v>
      </c>
      <c r="G1007" s="353">
        <f t="shared" si="36"/>
        <v>0</v>
      </c>
      <c r="H1007" s="633" t="s">
        <v>2313</v>
      </c>
    </row>
    <row r="1008" spans="1:8" s="360" customFormat="1" hidden="1">
      <c r="A1008" s="356" t="s">
        <v>1585</v>
      </c>
      <c r="B1008" s="804"/>
      <c r="C1008" s="632" t="s">
        <v>829</v>
      </c>
      <c r="D1008" s="358">
        <f>'PART-B'!I901</f>
        <v>0</v>
      </c>
      <c r="E1008" s="354" t="s">
        <v>5</v>
      </c>
      <c r="F1008" s="355">
        <f>'PART-B'!K901</f>
        <v>7673.4</v>
      </c>
      <c r="G1008" s="353">
        <f t="shared" si="36"/>
        <v>0</v>
      </c>
      <c r="H1008" s="633" t="s">
        <v>2313</v>
      </c>
    </row>
    <row r="1009" spans="1:8" s="360" customFormat="1" hidden="1">
      <c r="A1009" s="356" t="s">
        <v>491</v>
      </c>
      <c r="B1009" s="804"/>
      <c r="C1009" s="632" t="s">
        <v>828</v>
      </c>
      <c r="D1009" s="358">
        <f>'PART-B'!I896</f>
        <v>0</v>
      </c>
      <c r="E1009" s="354" t="s">
        <v>5</v>
      </c>
      <c r="F1009" s="355">
        <f>'PART-B'!K896</f>
        <v>7616.9999999999991</v>
      </c>
      <c r="G1009" s="353">
        <f t="shared" si="36"/>
        <v>0</v>
      </c>
      <c r="H1009" s="633" t="s">
        <v>2313</v>
      </c>
    </row>
    <row r="1010" spans="1:8" s="360" customFormat="1" ht="25.5" hidden="1">
      <c r="A1010" s="356" t="s">
        <v>646</v>
      </c>
      <c r="B1010" s="804"/>
      <c r="C1010" s="632" t="s">
        <v>705</v>
      </c>
      <c r="D1010" s="358">
        <f>'PART-B'!I907</f>
        <v>0</v>
      </c>
      <c r="E1010" s="354" t="s">
        <v>102</v>
      </c>
      <c r="F1010" s="355">
        <f>'PART-B'!K907</f>
        <v>999.57</v>
      </c>
      <c r="G1010" s="353">
        <f>ROUND(D1010*F1010/1,0)</f>
        <v>0</v>
      </c>
      <c r="H1010" s="633" t="s">
        <v>2313</v>
      </c>
    </row>
    <row r="1011" spans="1:8" s="360" customFormat="1" hidden="1">
      <c r="A1011" s="356" t="s">
        <v>483</v>
      </c>
      <c r="B1011" s="804"/>
      <c r="C1011" s="632" t="s">
        <v>1221</v>
      </c>
      <c r="D1011" s="358">
        <f>'PART-B'!I914</f>
        <v>0</v>
      </c>
      <c r="E1011" s="354" t="s">
        <v>102</v>
      </c>
      <c r="F1011" s="355">
        <f>'PART-B'!K914</f>
        <v>7187.4500000000007</v>
      </c>
      <c r="G1011" s="353">
        <f>ROUND(D1011*F1011/1,0)</f>
        <v>0</v>
      </c>
      <c r="H1011" s="633" t="s">
        <v>2313</v>
      </c>
    </row>
    <row r="1012" spans="1:8" s="360" customFormat="1" hidden="1">
      <c r="A1012" s="356" t="s">
        <v>1582</v>
      </c>
      <c r="B1012" s="804"/>
      <c r="C1012" s="632" t="s">
        <v>481</v>
      </c>
      <c r="D1012" s="358">
        <f>'PART-B'!I921</f>
        <v>0</v>
      </c>
      <c r="E1012" s="354" t="s">
        <v>102</v>
      </c>
      <c r="F1012" s="355">
        <f>'PART-B'!K921</f>
        <v>385.55</v>
      </c>
      <c r="G1012" s="353">
        <f t="shared" ref="G1012:G1075" si="37">ROUND(D1012*F1012,0)</f>
        <v>0</v>
      </c>
      <c r="H1012" s="633" t="s">
        <v>2313</v>
      </c>
    </row>
    <row r="1013" spans="1:8" s="360" customFormat="1" hidden="1">
      <c r="A1013" s="356" t="s">
        <v>1581</v>
      </c>
      <c r="B1013" s="804"/>
      <c r="C1013" s="632" t="s">
        <v>505</v>
      </c>
      <c r="D1013" s="358">
        <f>'PART-B'!I929</f>
        <v>0</v>
      </c>
      <c r="E1013" s="354" t="s">
        <v>102</v>
      </c>
      <c r="F1013" s="355">
        <f>'PART-B'!K929</f>
        <v>352.1</v>
      </c>
      <c r="G1013" s="353">
        <f t="shared" si="37"/>
        <v>0</v>
      </c>
      <c r="H1013" s="633" t="s">
        <v>2313</v>
      </c>
    </row>
    <row r="1014" spans="1:8" s="360" customFormat="1" hidden="1">
      <c r="A1014" s="356" t="s">
        <v>1582</v>
      </c>
      <c r="B1014" s="804"/>
      <c r="C1014" s="632" t="s">
        <v>805</v>
      </c>
      <c r="D1014" s="358">
        <f>'PART-B'!I937</f>
        <v>0</v>
      </c>
      <c r="E1014" s="354" t="s">
        <v>102</v>
      </c>
      <c r="F1014" s="355">
        <f>'PART-B'!K937</f>
        <v>372.29</v>
      </c>
      <c r="G1014" s="353">
        <f t="shared" si="37"/>
        <v>0</v>
      </c>
      <c r="H1014" s="633" t="s">
        <v>2313</v>
      </c>
    </row>
    <row r="1015" spans="1:8" s="360" customFormat="1" hidden="1">
      <c r="A1015" s="356" t="s">
        <v>1143</v>
      </c>
      <c r="B1015" s="804"/>
      <c r="C1015" s="632" t="s">
        <v>830</v>
      </c>
      <c r="D1015" s="358">
        <f>'PART-B'!I944</f>
        <v>0</v>
      </c>
      <c r="E1015" s="354" t="s">
        <v>102</v>
      </c>
      <c r="F1015" s="355">
        <f>'PART-B'!K944</f>
        <v>464.16</v>
      </c>
      <c r="G1015" s="353">
        <f t="shared" si="37"/>
        <v>0</v>
      </c>
      <c r="H1015" s="633" t="s">
        <v>2313</v>
      </c>
    </row>
    <row r="1016" spans="1:8" s="360" customFormat="1" hidden="1">
      <c r="A1016" s="356" t="s">
        <v>1583</v>
      </c>
      <c r="B1016" s="804"/>
      <c r="C1016" s="632" t="s">
        <v>541</v>
      </c>
      <c r="D1016" s="358">
        <f>'PART-B'!I951</f>
        <v>0</v>
      </c>
      <c r="E1016" s="354" t="s">
        <v>102</v>
      </c>
      <c r="F1016" s="355">
        <f>'PART-B'!K951</f>
        <v>479.98</v>
      </c>
      <c r="G1016" s="353">
        <f t="shared" si="37"/>
        <v>0</v>
      </c>
      <c r="H1016" s="633" t="s">
        <v>2313</v>
      </c>
    </row>
    <row r="1017" spans="1:8" s="360" customFormat="1" hidden="1">
      <c r="A1017" s="356" t="s">
        <v>473</v>
      </c>
      <c r="B1017" s="804"/>
      <c r="C1017" s="632" t="s">
        <v>2071</v>
      </c>
      <c r="D1017" s="358">
        <f>'PART-B'!I956</f>
        <v>0</v>
      </c>
      <c r="E1017" s="354" t="s">
        <v>5</v>
      </c>
      <c r="F1017" s="355">
        <f>'PART-B'!K956</f>
        <v>5843.9400000000005</v>
      </c>
      <c r="G1017" s="353">
        <f t="shared" si="37"/>
        <v>0</v>
      </c>
      <c r="H1017" s="633" t="s">
        <v>2313</v>
      </c>
    </row>
    <row r="1018" spans="1:8" s="360" customFormat="1" hidden="1">
      <c r="A1018" s="356" t="s">
        <v>525</v>
      </c>
      <c r="B1018" s="804"/>
      <c r="C1018" s="632" t="s">
        <v>507</v>
      </c>
      <c r="D1018" s="358">
        <f>'PART-B'!I962</f>
        <v>0</v>
      </c>
      <c r="E1018" s="354" t="s">
        <v>102</v>
      </c>
      <c r="F1018" s="355">
        <f>'PART-B'!K962</f>
        <v>1139.42</v>
      </c>
      <c r="G1018" s="353">
        <f t="shared" si="37"/>
        <v>0</v>
      </c>
      <c r="H1018" s="633" t="s">
        <v>2313</v>
      </c>
    </row>
    <row r="1019" spans="1:8" s="360" customFormat="1" hidden="1">
      <c r="A1019" s="356" t="s">
        <v>528</v>
      </c>
      <c r="B1019" s="804"/>
      <c r="C1019" s="632" t="s">
        <v>509</v>
      </c>
      <c r="D1019" s="358">
        <f>'PART-B'!I969</f>
        <v>0</v>
      </c>
      <c r="E1019" s="354" t="s">
        <v>102</v>
      </c>
      <c r="F1019" s="355">
        <f>'PART-B'!K969</f>
        <v>1134.08</v>
      </c>
      <c r="G1019" s="353">
        <f t="shared" si="37"/>
        <v>0</v>
      </c>
      <c r="H1019" s="633" t="s">
        <v>2313</v>
      </c>
    </row>
    <row r="1020" spans="1:8" s="360" customFormat="1" hidden="1">
      <c r="A1020" s="356" t="s">
        <v>508</v>
      </c>
      <c r="B1020" s="804"/>
      <c r="C1020" s="632" t="s">
        <v>708</v>
      </c>
      <c r="D1020" s="358">
        <f>'PART-B'!I976</f>
        <v>0</v>
      </c>
      <c r="E1020" s="354" t="s">
        <v>77</v>
      </c>
      <c r="F1020" s="355">
        <f>'PART-B'!K976</f>
        <v>3248.17</v>
      </c>
      <c r="G1020" s="353">
        <f t="shared" si="37"/>
        <v>0</v>
      </c>
      <c r="H1020" s="633" t="s">
        <v>2313</v>
      </c>
    </row>
    <row r="1021" spans="1:8" s="360" customFormat="1" hidden="1">
      <c r="A1021" s="356" t="s">
        <v>510</v>
      </c>
      <c r="B1021" s="804"/>
      <c r="C1021" s="632" t="s">
        <v>877</v>
      </c>
      <c r="D1021" s="358">
        <f>'PART-B'!I983</f>
        <v>0</v>
      </c>
      <c r="E1021" s="354" t="s">
        <v>102</v>
      </c>
      <c r="F1021" s="355">
        <f>'PART-B'!K983</f>
        <v>2995.66</v>
      </c>
      <c r="G1021" s="353">
        <f t="shared" si="37"/>
        <v>0</v>
      </c>
      <c r="H1021" s="633" t="s">
        <v>2313</v>
      </c>
    </row>
    <row r="1022" spans="1:8" s="360" customFormat="1" hidden="1">
      <c r="A1022" s="356" t="s">
        <v>529</v>
      </c>
      <c r="B1022" s="804"/>
      <c r="C1022" s="632" t="s">
        <v>710</v>
      </c>
      <c r="D1022" s="358">
        <f>'PART-B'!I990</f>
        <v>0</v>
      </c>
      <c r="E1022" s="354" t="s">
        <v>102</v>
      </c>
      <c r="F1022" s="355">
        <f>'PART-B'!K990</f>
        <v>816.76</v>
      </c>
      <c r="G1022" s="353">
        <f t="shared" si="37"/>
        <v>0</v>
      </c>
      <c r="H1022" s="633" t="s">
        <v>2313</v>
      </c>
    </row>
    <row r="1023" spans="1:8" s="360" customFormat="1" hidden="1">
      <c r="A1023" s="356" t="s">
        <v>530</v>
      </c>
      <c r="B1023" s="804"/>
      <c r="C1023" s="632" t="s">
        <v>711</v>
      </c>
      <c r="D1023" s="358">
        <f>'PART-B'!I997</f>
        <v>0</v>
      </c>
      <c r="E1023" s="354" t="s">
        <v>102</v>
      </c>
      <c r="F1023" s="355">
        <f>'PART-B'!K997</f>
        <v>822.23</v>
      </c>
      <c r="G1023" s="353">
        <f t="shared" si="37"/>
        <v>0</v>
      </c>
      <c r="H1023" s="633" t="s">
        <v>2313</v>
      </c>
    </row>
    <row r="1024" spans="1:8" s="360" customFormat="1" hidden="1">
      <c r="A1024" s="356" t="s">
        <v>531</v>
      </c>
      <c r="B1024" s="804"/>
      <c r="C1024" s="632" t="s">
        <v>511</v>
      </c>
      <c r="D1024" s="358">
        <f>'PART-B'!I1004</f>
        <v>0</v>
      </c>
      <c r="E1024" s="354" t="s">
        <v>102</v>
      </c>
      <c r="F1024" s="355">
        <f>'PART-B'!K1004</f>
        <v>873.89</v>
      </c>
      <c r="G1024" s="353">
        <f t="shared" si="37"/>
        <v>0</v>
      </c>
      <c r="H1024" s="633" t="s">
        <v>2313</v>
      </c>
    </row>
    <row r="1025" spans="1:8" s="360" customFormat="1" hidden="1">
      <c r="A1025" s="356" t="s">
        <v>532</v>
      </c>
      <c r="B1025" s="804"/>
      <c r="C1025" s="632" t="s">
        <v>570</v>
      </c>
      <c r="D1025" s="358">
        <f>'PART-B'!I1010</f>
        <v>0</v>
      </c>
      <c r="E1025" s="354" t="s">
        <v>102</v>
      </c>
      <c r="F1025" s="355">
        <f>'PART-B'!K1010</f>
        <v>536.26</v>
      </c>
      <c r="G1025" s="353">
        <f t="shared" si="37"/>
        <v>0</v>
      </c>
      <c r="H1025" s="633" t="s">
        <v>2313</v>
      </c>
    </row>
    <row r="1026" spans="1:8" s="360" customFormat="1" hidden="1">
      <c r="A1026" s="356" t="s">
        <v>492</v>
      </c>
      <c r="B1026" s="804"/>
      <c r="C1026" s="632" t="s">
        <v>1222</v>
      </c>
      <c r="D1026" s="358">
        <f>'PART-B'!I1016</f>
        <v>0</v>
      </c>
      <c r="E1026" s="354" t="s">
        <v>102</v>
      </c>
      <c r="F1026" s="355">
        <f>'PART-B'!K1016</f>
        <v>1100.49</v>
      </c>
      <c r="G1026" s="353">
        <f t="shared" si="37"/>
        <v>0</v>
      </c>
      <c r="H1026" s="633" t="s">
        <v>2313</v>
      </c>
    </row>
    <row r="1027" spans="1:8" s="360" customFormat="1" hidden="1">
      <c r="A1027" s="356" t="s">
        <v>533</v>
      </c>
      <c r="B1027" s="804"/>
      <c r="C1027" s="632" t="s">
        <v>707</v>
      </c>
      <c r="D1027" s="358">
        <f>'PART-B'!I1024</f>
        <v>0</v>
      </c>
      <c r="E1027" s="354" t="s">
        <v>102</v>
      </c>
      <c r="F1027" s="355">
        <f>'PART-B'!K1024</f>
        <v>27.91</v>
      </c>
      <c r="G1027" s="353">
        <f t="shared" si="37"/>
        <v>0</v>
      </c>
      <c r="H1027" s="633" t="s">
        <v>2313</v>
      </c>
    </row>
    <row r="1028" spans="1:8" s="360" customFormat="1" hidden="1">
      <c r="A1028" s="356" t="s">
        <v>1143</v>
      </c>
      <c r="B1028" s="804"/>
      <c r="C1028" s="632" t="s">
        <v>888</v>
      </c>
      <c r="D1028" s="358">
        <f>'PART-B'!I1032</f>
        <v>0</v>
      </c>
      <c r="E1028" s="354" t="s">
        <v>102</v>
      </c>
      <c r="F1028" s="355">
        <f>'PART-B'!K1032</f>
        <v>194.34</v>
      </c>
      <c r="G1028" s="353">
        <f t="shared" si="37"/>
        <v>0</v>
      </c>
      <c r="H1028" s="633" t="s">
        <v>2313</v>
      </c>
    </row>
    <row r="1029" spans="1:8" s="360" customFormat="1" hidden="1">
      <c r="A1029" s="356" t="s">
        <v>645</v>
      </c>
      <c r="B1029" s="804"/>
      <c r="C1029" s="632" t="s">
        <v>571</v>
      </c>
      <c r="D1029" s="358">
        <f>'PART-B'!I1040</f>
        <v>0</v>
      </c>
      <c r="E1029" s="354" t="s">
        <v>102</v>
      </c>
      <c r="F1029" s="355">
        <f>'PART-B'!K1040</f>
        <v>169.89</v>
      </c>
      <c r="G1029" s="353">
        <f t="shared" si="37"/>
        <v>0</v>
      </c>
      <c r="H1029" s="633" t="s">
        <v>2313</v>
      </c>
    </row>
    <row r="1030" spans="1:8" s="360" customFormat="1" hidden="1">
      <c r="A1030" s="356" t="s">
        <v>1584</v>
      </c>
      <c r="B1030" s="804"/>
      <c r="C1030" s="632" t="s">
        <v>1226</v>
      </c>
      <c r="D1030" s="358">
        <f>'PART-B'!I1047</f>
        <v>0</v>
      </c>
      <c r="E1030" s="354" t="s">
        <v>102</v>
      </c>
      <c r="F1030" s="355">
        <f>'PART-B'!K1047</f>
        <v>233.59</v>
      </c>
      <c r="G1030" s="353">
        <f t="shared" si="37"/>
        <v>0</v>
      </c>
      <c r="H1030" s="633" t="s">
        <v>2313</v>
      </c>
    </row>
    <row r="1031" spans="1:8" s="360" customFormat="1" hidden="1">
      <c r="A1031" s="356" t="s">
        <v>1575</v>
      </c>
      <c r="B1031" s="804"/>
      <c r="C1031" s="632" t="s">
        <v>477</v>
      </c>
      <c r="D1031" s="429">
        <f>'PART-B'!I1053</f>
        <v>0</v>
      </c>
      <c r="E1031" s="221" t="s">
        <v>29</v>
      </c>
      <c r="F1031" s="430">
        <f>'PART-B'!K1053</f>
        <v>91830</v>
      </c>
      <c r="G1031" s="353">
        <f t="shared" si="37"/>
        <v>0</v>
      </c>
      <c r="H1031" s="633" t="s">
        <v>2313</v>
      </c>
    </row>
    <row r="1032" spans="1:8" s="360" customFormat="1" hidden="1">
      <c r="A1032" s="356" t="s">
        <v>1144</v>
      </c>
      <c r="B1032" s="804"/>
      <c r="C1032" s="632" t="s">
        <v>1228</v>
      </c>
      <c r="D1032" s="358">
        <f>'PART-B'!I1059</f>
        <v>1</v>
      </c>
      <c r="E1032" s="354" t="s">
        <v>115</v>
      </c>
      <c r="F1032" s="355">
        <f>'PART-B'!K1059</f>
        <v>22903.660000000003</v>
      </c>
      <c r="G1032" s="353">
        <f t="shared" si="37"/>
        <v>22904</v>
      </c>
      <c r="H1032" s="633" t="s">
        <v>2313</v>
      </c>
    </row>
    <row r="1033" spans="1:8" s="360" customFormat="1" hidden="1">
      <c r="A1033" s="356" t="s">
        <v>485</v>
      </c>
      <c r="B1033" s="804"/>
      <c r="C1033" s="632" t="s">
        <v>1998</v>
      </c>
      <c r="D1033" s="358">
        <f>'PART-B'!I1074</f>
        <v>0</v>
      </c>
      <c r="E1033" s="354" t="s">
        <v>115</v>
      </c>
      <c r="F1033" s="355">
        <f>'PART-B'!K1074</f>
        <v>15875.19</v>
      </c>
      <c r="G1033" s="353">
        <f t="shared" si="37"/>
        <v>0</v>
      </c>
      <c r="H1033" s="633" t="s">
        <v>2313</v>
      </c>
    </row>
    <row r="1034" spans="1:8" s="360" customFormat="1" hidden="1">
      <c r="A1034" s="356"/>
      <c r="B1034" s="804"/>
      <c r="C1034" s="632" t="s">
        <v>1999</v>
      </c>
      <c r="D1034" s="358">
        <f>'PART-B'!I1079</f>
        <v>0</v>
      </c>
      <c r="E1034" s="354" t="s">
        <v>115</v>
      </c>
      <c r="F1034" s="355">
        <f>'PART-B'!K1079</f>
        <v>15037.220000000001</v>
      </c>
      <c r="G1034" s="353">
        <f t="shared" si="37"/>
        <v>0</v>
      </c>
      <c r="H1034" s="633" t="s">
        <v>2313</v>
      </c>
    </row>
    <row r="1035" spans="1:8" s="360" customFormat="1" hidden="1">
      <c r="A1035" s="356" t="s">
        <v>1144</v>
      </c>
      <c r="B1035" s="804"/>
      <c r="C1035" s="632" t="s">
        <v>1998</v>
      </c>
      <c r="D1035" s="358">
        <f>'PART-B'!I1084</f>
        <v>0</v>
      </c>
      <c r="E1035" s="354" t="s">
        <v>115</v>
      </c>
      <c r="F1035" s="355">
        <f>'PART-B'!K1084</f>
        <v>11732.029999999999</v>
      </c>
      <c r="G1035" s="353">
        <f t="shared" si="37"/>
        <v>0</v>
      </c>
      <c r="H1035" s="633" t="s">
        <v>2313</v>
      </c>
    </row>
    <row r="1036" spans="1:8" s="360" customFormat="1" hidden="1">
      <c r="A1036" s="356" t="s">
        <v>1579</v>
      </c>
      <c r="B1036" s="804"/>
      <c r="C1036" s="632" t="s">
        <v>2000</v>
      </c>
      <c r="D1036" s="358">
        <f>'PART-B'!I1089</f>
        <v>1</v>
      </c>
      <c r="E1036" s="354" t="s">
        <v>115</v>
      </c>
      <c r="F1036" s="355">
        <f>'PART-B'!K1089</f>
        <v>7651.36</v>
      </c>
      <c r="G1036" s="353">
        <f t="shared" si="37"/>
        <v>7651</v>
      </c>
      <c r="H1036" s="633" t="s">
        <v>2313</v>
      </c>
    </row>
    <row r="1037" spans="1:8" s="360" customFormat="1" ht="15" hidden="1" customHeight="1">
      <c r="A1037" s="356" t="s">
        <v>1589</v>
      </c>
      <c r="B1037" s="804" t="s">
        <v>2631</v>
      </c>
      <c r="C1037" s="632" t="s">
        <v>1227</v>
      </c>
      <c r="D1037" s="358">
        <f>'PART-B'!I1064</f>
        <v>0</v>
      </c>
      <c r="E1037" s="354" t="s">
        <v>115</v>
      </c>
      <c r="F1037" s="355">
        <f>'PART-B'!K1064</f>
        <v>7927.96</v>
      </c>
      <c r="G1037" s="353">
        <f>ROUND(D1037*F1037,0)</f>
        <v>0</v>
      </c>
      <c r="H1037" s="633" t="s">
        <v>2313</v>
      </c>
    </row>
    <row r="1038" spans="1:8" s="360" customFormat="1" ht="15" hidden="1" customHeight="1">
      <c r="A1038" s="356" t="s">
        <v>1587</v>
      </c>
      <c r="B1038" s="804"/>
      <c r="C1038" s="632" t="s">
        <v>1227</v>
      </c>
      <c r="D1038" s="358">
        <f>'PART-B'!I1069</f>
        <v>0</v>
      </c>
      <c r="E1038" s="354" t="s">
        <v>115</v>
      </c>
      <c r="F1038" s="355">
        <f>'PART-B'!K1069</f>
        <v>11442.58</v>
      </c>
      <c r="G1038" s="353">
        <f t="shared" si="37"/>
        <v>0</v>
      </c>
      <c r="H1038" s="633" t="s">
        <v>2313</v>
      </c>
    </row>
    <row r="1039" spans="1:8" s="360" customFormat="1" hidden="1">
      <c r="A1039" s="356" t="s">
        <v>529</v>
      </c>
      <c r="B1039" s="804"/>
      <c r="C1039" s="632" t="s">
        <v>963</v>
      </c>
      <c r="D1039" s="358">
        <f>'PART-B'!I1094</f>
        <v>1</v>
      </c>
      <c r="E1039" s="354" t="s">
        <v>115</v>
      </c>
      <c r="F1039" s="355">
        <f>'PART-B'!K1094</f>
        <v>8519.25</v>
      </c>
      <c r="G1039" s="353">
        <f t="shared" si="37"/>
        <v>8519</v>
      </c>
      <c r="H1039" s="633" t="s">
        <v>2313</v>
      </c>
    </row>
    <row r="1040" spans="1:8" s="360" customFormat="1" hidden="1">
      <c r="A1040" s="356" t="s">
        <v>1575</v>
      </c>
      <c r="B1040" s="804" t="s">
        <v>2633</v>
      </c>
      <c r="C1040" s="632" t="s">
        <v>964</v>
      </c>
      <c r="D1040" s="358">
        <f>'PART-B'!I1099</f>
        <v>0</v>
      </c>
      <c r="E1040" s="354" t="s">
        <v>115</v>
      </c>
      <c r="F1040" s="355">
        <f>'PART-B'!K1099</f>
        <v>7005.16</v>
      </c>
      <c r="G1040" s="353">
        <f>ROUND(D1040*F1040,0)</f>
        <v>0</v>
      </c>
      <c r="H1040" s="633" t="s">
        <v>2313</v>
      </c>
    </row>
    <row r="1041" spans="1:10" s="360" customFormat="1" hidden="1">
      <c r="A1041" s="356" t="s">
        <v>467</v>
      </c>
      <c r="B1041" s="804"/>
      <c r="C1041" s="632" t="s">
        <v>2756</v>
      </c>
      <c r="D1041" s="358">
        <f>'PART-B'!I1106</f>
        <v>0</v>
      </c>
      <c r="E1041" s="354" t="s">
        <v>102</v>
      </c>
      <c r="F1041" s="355">
        <f>'PART-B'!K1106</f>
        <v>6846.88</v>
      </c>
      <c r="H1041" s="633" t="s">
        <v>2313</v>
      </c>
      <c r="J1041" s="353">
        <f>ROUND(D1041*F1041,0)</f>
        <v>0</v>
      </c>
    </row>
    <row r="1042" spans="1:10" s="360" customFormat="1" hidden="1">
      <c r="A1042" s="356" t="s">
        <v>1147</v>
      </c>
      <c r="B1042" s="804"/>
      <c r="C1042" s="632" t="s">
        <v>2031</v>
      </c>
      <c r="D1042" s="358">
        <f>'PART-B'!I1112</f>
        <v>0</v>
      </c>
      <c r="E1042" s="354" t="s">
        <v>102</v>
      </c>
      <c r="F1042" s="355">
        <f>'PART-B'!K1112</f>
        <v>6132.48</v>
      </c>
      <c r="G1042" s="353">
        <f t="shared" si="37"/>
        <v>0</v>
      </c>
      <c r="H1042" s="633" t="s">
        <v>2313</v>
      </c>
    </row>
    <row r="1043" spans="1:10" s="360" customFormat="1">
      <c r="A1043" s="356" t="s">
        <v>522</v>
      </c>
      <c r="B1043" s="804" t="s">
        <v>2636</v>
      </c>
      <c r="C1043" s="632" t="s">
        <v>2757</v>
      </c>
      <c r="D1043" s="358">
        <f>'PART-B'!I1123</f>
        <v>5.76</v>
      </c>
      <c r="E1043" s="354" t="s">
        <v>102</v>
      </c>
      <c r="F1043" s="355">
        <f>'PART-B'!K1123</f>
        <v>8622</v>
      </c>
      <c r="G1043" s="353">
        <f t="shared" si="37"/>
        <v>49663</v>
      </c>
      <c r="H1043" s="633" t="s">
        <v>2313</v>
      </c>
    </row>
    <row r="1044" spans="1:10" s="360" customFormat="1" ht="25.5" hidden="1">
      <c r="A1044" s="356" t="s">
        <v>1145</v>
      </c>
      <c r="B1044" s="804"/>
      <c r="C1044" s="632" t="s">
        <v>965</v>
      </c>
      <c r="D1044" s="358">
        <f>'PART-B'!I1127</f>
        <v>0</v>
      </c>
      <c r="E1044" s="354" t="s">
        <v>102</v>
      </c>
      <c r="F1044" s="355">
        <f>'PART-B'!K1127</f>
        <v>6460</v>
      </c>
      <c r="G1044" s="353">
        <f t="shared" si="37"/>
        <v>0</v>
      </c>
      <c r="H1044" s="633" t="s">
        <v>2313</v>
      </c>
    </row>
    <row r="1045" spans="1:10" s="360" customFormat="1" ht="25.5" hidden="1">
      <c r="A1045" s="356" t="s">
        <v>1576</v>
      </c>
      <c r="B1045" s="804"/>
      <c r="C1045" s="632" t="s">
        <v>966</v>
      </c>
      <c r="D1045" s="358">
        <f>'PART-B'!I1131</f>
        <v>0</v>
      </c>
      <c r="E1045" s="354" t="s">
        <v>102</v>
      </c>
      <c r="F1045" s="355">
        <f>'PART-B'!K1131</f>
        <v>6238</v>
      </c>
      <c r="G1045" s="353">
        <f t="shared" si="37"/>
        <v>0</v>
      </c>
      <c r="H1045" s="633" t="s">
        <v>2313</v>
      </c>
    </row>
    <row r="1046" spans="1:10" s="360" customFormat="1" hidden="1">
      <c r="A1046" s="356"/>
      <c r="B1046" s="804"/>
      <c r="C1046" s="632" t="s">
        <v>2285</v>
      </c>
      <c r="D1046" s="358">
        <f>'PART-B'!I1136</f>
        <v>0</v>
      </c>
      <c r="E1046" s="354" t="s">
        <v>102</v>
      </c>
      <c r="F1046" s="355">
        <f>'PART-B'!K1136</f>
        <v>4062</v>
      </c>
      <c r="G1046" s="353">
        <f t="shared" si="37"/>
        <v>0</v>
      </c>
      <c r="H1046" s="633" t="s">
        <v>2313</v>
      </c>
    </row>
    <row r="1047" spans="1:10" s="360" customFormat="1" hidden="1">
      <c r="A1047" s="356" t="s">
        <v>1147</v>
      </c>
      <c r="B1047" s="804"/>
      <c r="C1047" s="632" t="s">
        <v>712</v>
      </c>
      <c r="D1047" s="358">
        <f>'PART-B'!I1141</f>
        <v>0</v>
      </c>
      <c r="E1047" s="354" t="s">
        <v>115</v>
      </c>
      <c r="F1047" s="355">
        <f>'PART-B'!K1141</f>
        <v>577.28</v>
      </c>
      <c r="G1047" s="353">
        <f t="shared" si="37"/>
        <v>0</v>
      </c>
      <c r="H1047" s="633" t="s">
        <v>2313</v>
      </c>
    </row>
    <row r="1048" spans="1:10" s="360" customFormat="1" hidden="1">
      <c r="A1048" s="356" t="s">
        <v>1577</v>
      </c>
      <c r="B1048" s="804"/>
      <c r="C1048" s="632" t="s">
        <v>932</v>
      </c>
      <c r="D1048" s="358">
        <f>'PART-B'!I1146</f>
        <v>0</v>
      </c>
      <c r="E1048" s="354" t="s">
        <v>102</v>
      </c>
      <c r="F1048" s="355">
        <f>'PART-B'!K1146</f>
        <v>604.07999999999993</v>
      </c>
      <c r="G1048" s="353">
        <f t="shared" si="37"/>
        <v>0</v>
      </c>
      <c r="H1048" s="633" t="s">
        <v>2313</v>
      </c>
    </row>
    <row r="1049" spans="1:10" s="360" customFormat="1" hidden="1">
      <c r="A1049" s="356" t="s">
        <v>533</v>
      </c>
      <c r="B1049" s="804"/>
      <c r="C1049" s="632" t="s">
        <v>542</v>
      </c>
      <c r="D1049" s="358">
        <f>'PART-B'!I1151</f>
        <v>0</v>
      </c>
      <c r="E1049" s="354" t="s">
        <v>872</v>
      </c>
      <c r="F1049" s="355">
        <f>'PART-B'!K1151</f>
        <v>110.38</v>
      </c>
      <c r="G1049" s="353">
        <f t="shared" si="37"/>
        <v>0</v>
      </c>
      <c r="H1049" s="633" t="s">
        <v>2313</v>
      </c>
    </row>
    <row r="1050" spans="1:10" s="360" customFormat="1" hidden="1">
      <c r="A1050" s="356" t="s">
        <v>1591</v>
      </c>
      <c r="B1050" s="804"/>
      <c r="C1050" s="632" t="s">
        <v>542</v>
      </c>
      <c r="D1050" s="358">
        <f>'PART-B'!I1158</f>
        <v>0</v>
      </c>
      <c r="E1050" s="354" t="s">
        <v>102</v>
      </c>
      <c r="F1050" s="355">
        <f>'PART-B'!K1158</f>
        <v>3130</v>
      </c>
      <c r="G1050" s="353">
        <f t="shared" si="37"/>
        <v>0</v>
      </c>
      <c r="H1050" s="633" t="s">
        <v>2313</v>
      </c>
    </row>
    <row r="1051" spans="1:10" s="360" customFormat="1" hidden="1">
      <c r="A1051" s="356" t="s">
        <v>518</v>
      </c>
      <c r="B1051" s="804"/>
      <c r="C1051" s="632" t="s">
        <v>632</v>
      </c>
      <c r="D1051" s="358">
        <f>'PART-B'!I1163</f>
        <v>0</v>
      </c>
      <c r="E1051" s="354"/>
      <c r="F1051" s="355">
        <f>'PART-B'!K1163</f>
        <v>126.9</v>
      </c>
      <c r="G1051" s="353">
        <f t="shared" si="37"/>
        <v>0</v>
      </c>
      <c r="H1051" s="633" t="s">
        <v>2313</v>
      </c>
    </row>
    <row r="1052" spans="1:10" s="360" customFormat="1" hidden="1">
      <c r="A1052" s="356" t="s">
        <v>1592</v>
      </c>
      <c r="B1052" s="804"/>
      <c r="C1052" s="632" t="s">
        <v>2001</v>
      </c>
      <c r="D1052" s="358">
        <f>'PART-B'!I1172</f>
        <v>0</v>
      </c>
      <c r="E1052" s="354" t="s">
        <v>102</v>
      </c>
      <c r="F1052" s="355">
        <f>'PART-B'!K1172</f>
        <v>3345.94</v>
      </c>
      <c r="H1052" s="633" t="s">
        <v>2313</v>
      </c>
      <c r="J1052" s="353">
        <f>ROUND(D1052*F1052,0)</f>
        <v>0</v>
      </c>
    </row>
    <row r="1053" spans="1:10" s="360" customFormat="1" hidden="1">
      <c r="A1053" s="356" t="s">
        <v>642</v>
      </c>
      <c r="B1053" s="804"/>
      <c r="C1053" s="632" t="s">
        <v>2076</v>
      </c>
      <c r="D1053" s="358">
        <f>'PART-B'!I1180</f>
        <v>0</v>
      </c>
      <c r="E1053" s="354" t="s">
        <v>102</v>
      </c>
      <c r="F1053" s="355">
        <f>'PART-B'!K1180</f>
        <v>1514.34</v>
      </c>
      <c r="G1053" s="353">
        <f t="shared" si="37"/>
        <v>0</v>
      </c>
      <c r="H1053" s="633" t="s">
        <v>2313</v>
      </c>
    </row>
    <row r="1054" spans="1:10" s="360" customFormat="1" hidden="1">
      <c r="A1054" s="356" t="s">
        <v>642</v>
      </c>
      <c r="B1054" s="804"/>
      <c r="C1054" s="632" t="s">
        <v>2288</v>
      </c>
      <c r="D1054" s="358">
        <f>'PART-B'!I1185</f>
        <v>0</v>
      </c>
      <c r="E1054" s="354" t="s">
        <v>872</v>
      </c>
      <c r="F1054" s="355">
        <f>'PART-B'!K1185</f>
        <v>568.35</v>
      </c>
      <c r="G1054" s="353">
        <f t="shared" si="37"/>
        <v>0</v>
      </c>
      <c r="H1054" s="633" t="s">
        <v>2313</v>
      </c>
    </row>
    <row r="1055" spans="1:10" s="360" customFormat="1" hidden="1">
      <c r="A1055" s="356" t="s">
        <v>1151</v>
      </c>
      <c r="B1055" s="804"/>
      <c r="C1055" s="632" t="s">
        <v>962</v>
      </c>
      <c r="D1055" s="429">
        <f>'PART-B'!I1193</f>
        <v>0</v>
      </c>
      <c r="E1055" s="221" t="s">
        <v>277</v>
      </c>
      <c r="F1055" s="430">
        <f>'PART-B'!K1193</f>
        <v>453</v>
      </c>
      <c r="G1055" s="353">
        <f t="shared" si="37"/>
        <v>0</v>
      </c>
      <c r="H1055" s="633" t="s">
        <v>2313</v>
      </c>
    </row>
    <row r="1056" spans="1:10" s="360" customFormat="1">
      <c r="A1056" s="356" t="s">
        <v>524</v>
      </c>
      <c r="B1056" s="804" t="s">
        <v>2643</v>
      </c>
      <c r="C1056" s="632" t="s">
        <v>543</v>
      </c>
      <c r="D1056" s="358">
        <f>'PART-B'!I1199</f>
        <v>0</v>
      </c>
      <c r="E1056" s="354" t="s">
        <v>277</v>
      </c>
      <c r="F1056" s="355">
        <f>'PART-B'!K1199</f>
        <v>214</v>
      </c>
      <c r="G1056" s="353">
        <f t="shared" si="37"/>
        <v>0</v>
      </c>
      <c r="H1056" s="633" t="s">
        <v>2313</v>
      </c>
    </row>
    <row r="1057" spans="1:8" s="360" customFormat="1">
      <c r="A1057" s="356" t="s">
        <v>525</v>
      </c>
      <c r="B1057" s="804" t="s">
        <v>2644</v>
      </c>
      <c r="C1057" s="632" t="s">
        <v>544</v>
      </c>
      <c r="D1057" s="358">
        <f>'PART-B'!I1205</f>
        <v>40</v>
      </c>
      <c r="E1057" s="354" t="s">
        <v>277</v>
      </c>
      <c r="F1057" s="355">
        <f>'PART-B'!K1205</f>
        <v>136</v>
      </c>
      <c r="G1057" s="353">
        <f t="shared" si="37"/>
        <v>5440</v>
      </c>
      <c r="H1057" s="633" t="s">
        <v>2313</v>
      </c>
    </row>
    <row r="1058" spans="1:8" s="360" customFormat="1" hidden="1">
      <c r="A1058" s="356" t="s">
        <v>1594</v>
      </c>
      <c r="B1058" s="804"/>
      <c r="C1058" s="632" t="s">
        <v>2002</v>
      </c>
      <c r="D1058" s="358">
        <f>'PART-B'!I1210</f>
        <v>0</v>
      </c>
      <c r="E1058" s="354" t="s">
        <v>277</v>
      </c>
      <c r="F1058" s="355">
        <f>'PART-B'!K1210</f>
        <v>94</v>
      </c>
      <c r="G1058" s="353">
        <f t="shared" si="37"/>
        <v>0</v>
      </c>
      <c r="H1058" s="633" t="s">
        <v>2313</v>
      </c>
    </row>
    <row r="1059" spans="1:8" s="360" customFormat="1" hidden="1">
      <c r="A1059" s="356" t="s">
        <v>1153</v>
      </c>
      <c r="B1059" s="804"/>
      <c r="C1059" s="632" t="s">
        <v>1255</v>
      </c>
      <c r="D1059" s="358">
        <f>'PART-B'!I1220</f>
        <v>0</v>
      </c>
      <c r="E1059" s="354" t="s">
        <v>277</v>
      </c>
      <c r="F1059" s="355">
        <f>'PART-B'!K1220</f>
        <v>35</v>
      </c>
      <c r="G1059" s="353">
        <f t="shared" si="37"/>
        <v>0</v>
      </c>
      <c r="H1059" s="633" t="s">
        <v>2313</v>
      </c>
    </row>
    <row r="1060" spans="1:8" s="360" customFormat="1">
      <c r="A1060" s="356" t="s">
        <v>526</v>
      </c>
      <c r="B1060" s="804" t="s">
        <v>2646</v>
      </c>
      <c r="C1060" s="632" t="s">
        <v>545</v>
      </c>
      <c r="D1060" s="358">
        <f>'PART-B'!I1226</f>
        <v>40</v>
      </c>
      <c r="E1060" s="354" t="s">
        <v>277</v>
      </c>
      <c r="F1060" s="355">
        <f>'PART-B'!K1226</f>
        <v>33</v>
      </c>
      <c r="G1060" s="353">
        <f t="shared" si="37"/>
        <v>1320</v>
      </c>
      <c r="H1060" s="633" t="s">
        <v>2313</v>
      </c>
    </row>
    <row r="1061" spans="1:8" s="360" customFormat="1" hidden="1">
      <c r="A1061" s="356" t="s">
        <v>1152</v>
      </c>
      <c r="B1061" s="804"/>
      <c r="C1061" s="632" t="s">
        <v>546</v>
      </c>
      <c r="D1061" s="358">
        <f>'PART-B'!I1231</f>
        <v>0</v>
      </c>
      <c r="E1061" s="354" t="s">
        <v>115</v>
      </c>
      <c r="F1061" s="355">
        <f>'PART-B'!K1231</f>
        <v>387</v>
      </c>
      <c r="G1061" s="353">
        <f t="shared" si="37"/>
        <v>0</v>
      </c>
      <c r="H1061" s="633" t="s">
        <v>2313</v>
      </c>
    </row>
    <row r="1062" spans="1:8" s="360" customFormat="1" ht="25.5" hidden="1">
      <c r="A1062" s="356" t="s">
        <v>499</v>
      </c>
      <c r="B1062" s="804"/>
      <c r="C1062" s="632" t="s">
        <v>713</v>
      </c>
      <c r="D1062" s="358">
        <f>'PART-B'!I1236</f>
        <v>0</v>
      </c>
      <c r="E1062" s="354" t="s">
        <v>115</v>
      </c>
      <c r="F1062" s="355">
        <f>'PART-B'!K1236</f>
        <v>1644</v>
      </c>
      <c r="G1062" s="353">
        <f t="shared" si="37"/>
        <v>0</v>
      </c>
      <c r="H1062" s="633" t="s">
        <v>2313</v>
      </c>
    </row>
    <row r="1063" spans="1:8" s="360" customFormat="1">
      <c r="A1063" s="356" t="s">
        <v>527</v>
      </c>
      <c r="B1063" s="804" t="s">
        <v>2650</v>
      </c>
      <c r="C1063" s="632" t="s">
        <v>547</v>
      </c>
      <c r="D1063" s="358">
        <f>'PART-B'!I1241</f>
        <v>10</v>
      </c>
      <c r="E1063" s="354" t="s">
        <v>277</v>
      </c>
      <c r="F1063" s="355">
        <f>'PART-B'!K1241</f>
        <v>149</v>
      </c>
      <c r="G1063" s="353">
        <f t="shared" si="37"/>
        <v>1490</v>
      </c>
      <c r="H1063" s="633" t="s">
        <v>2313</v>
      </c>
    </row>
    <row r="1064" spans="1:8" s="360" customFormat="1" hidden="1">
      <c r="A1064" s="356" t="s">
        <v>1258</v>
      </c>
      <c r="B1064" s="804"/>
      <c r="C1064" s="632" t="s">
        <v>548</v>
      </c>
      <c r="D1064" s="358">
        <f>'PART-B'!I1246</f>
        <v>0</v>
      </c>
      <c r="E1064" s="354" t="s">
        <v>277</v>
      </c>
      <c r="F1064" s="355">
        <f>'PART-B'!K1246</f>
        <v>141.66666666666666</v>
      </c>
      <c r="G1064" s="353">
        <f t="shared" si="37"/>
        <v>0</v>
      </c>
      <c r="H1064" s="633" t="s">
        <v>2313</v>
      </c>
    </row>
    <row r="1065" spans="1:8" s="360" customFormat="1">
      <c r="A1065" s="356" t="s">
        <v>1578</v>
      </c>
      <c r="B1065" s="804" t="s">
        <v>2651</v>
      </c>
      <c r="C1065" s="632" t="s">
        <v>549</v>
      </c>
      <c r="D1065" s="358">
        <f>'PART-B'!I1251</f>
        <v>10</v>
      </c>
      <c r="E1065" s="354" t="s">
        <v>277</v>
      </c>
      <c r="F1065" s="355">
        <f>'PART-B'!K1251</f>
        <v>89</v>
      </c>
      <c r="G1065" s="353">
        <f t="shared" si="37"/>
        <v>890</v>
      </c>
      <c r="H1065" s="633" t="s">
        <v>2313</v>
      </c>
    </row>
    <row r="1066" spans="1:8" s="360" customFormat="1">
      <c r="A1066" s="356" t="s">
        <v>528</v>
      </c>
      <c r="B1066" s="804" t="s">
        <v>2646</v>
      </c>
      <c r="C1066" s="632" t="s">
        <v>550</v>
      </c>
      <c r="D1066" s="358">
        <f>'PART-B'!I1257</f>
        <v>20</v>
      </c>
      <c r="E1066" s="354" t="s">
        <v>277</v>
      </c>
      <c r="F1066" s="355">
        <f>'PART-B'!K1257</f>
        <v>79</v>
      </c>
      <c r="G1066" s="353">
        <f t="shared" si="37"/>
        <v>1580</v>
      </c>
      <c r="H1066" s="633" t="s">
        <v>2313</v>
      </c>
    </row>
    <row r="1067" spans="1:8" s="360" customFormat="1">
      <c r="A1067" s="356" t="s">
        <v>1579</v>
      </c>
      <c r="B1067" s="804" t="s">
        <v>2652</v>
      </c>
      <c r="C1067" s="632" t="s">
        <v>551</v>
      </c>
      <c r="D1067" s="358">
        <f>'PART-B'!I1262</f>
        <v>2</v>
      </c>
      <c r="E1067" s="354" t="s">
        <v>115</v>
      </c>
      <c r="F1067" s="355">
        <f>'PART-B'!K1262</f>
        <v>5297</v>
      </c>
      <c r="G1067" s="353">
        <f t="shared" si="37"/>
        <v>10594</v>
      </c>
      <c r="H1067" s="633" t="s">
        <v>2313</v>
      </c>
    </row>
    <row r="1068" spans="1:8" s="360" customFormat="1" hidden="1">
      <c r="A1068" s="356" t="s">
        <v>644</v>
      </c>
      <c r="B1068" s="804"/>
      <c r="C1068" s="632" t="s">
        <v>633</v>
      </c>
      <c r="D1068" s="358">
        <f>'PART-B'!I1267</f>
        <v>0</v>
      </c>
      <c r="E1068" s="354" t="s">
        <v>115</v>
      </c>
      <c r="F1068" s="355">
        <f>'PART-B'!K1267</f>
        <v>1036</v>
      </c>
      <c r="G1068" s="353">
        <f t="shared" si="37"/>
        <v>0</v>
      </c>
      <c r="H1068" s="633" t="s">
        <v>2313</v>
      </c>
    </row>
    <row r="1069" spans="1:8" s="360" customFormat="1" hidden="1">
      <c r="A1069" s="356" t="s">
        <v>476</v>
      </c>
      <c r="B1069" s="804"/>
      <c r="C1069" s="632" t="s">
        <v>634</v>
      </c>
      <c r="D1069" s="358">
        <f>'PART-B'!I1277</f>
        <v>2</v>
      </c>
      <c r="E1069" s="354" t="s">
        <v>115</v>
      </c>
      <c r="F1069" s="355">
        <f>'PART-B'!K1277</f>
        <v>2025</v>
      </c>
      <c r="G1069" s="353">
        <f t="shared" si="37"/>
        <v>4050</v>
      </c>
      <c r="H1069" s="633" t="s">
        <v>2313</v>
      </c>
    </row>
    <row r="1070" spans="1:8" s="360" customFormat="1" hidden="1">
      <c r="A1070" s="356" t="s">
        <v>1595</v>
      </c>
      <c r="B1070" s="804"/>
      <c r="C1070" s="632" t="s">
        <v>1256</v>
      </c>
      <c r="D1070" s="358">
        <f>'PART-B'!I1272</f>
        <v>0</v>
      </c>
      <c r="E1070" s="354" t="s">
        <v>115</v>
      </c>
      <c r="F1070" s="355">
        <f>'PART-B'!K1272</f>
        <v>2644</v>
      </c>
      <c r="G1070" s="353">
        <f t="shared" si="37"/>
        <v>0</v>
      </c>
      <c r="H1070" s="633" t="s">
        <v>2313</v>
      </c>
    </row>
    <row r="1071" spans="1:8" s="360" customFormat="1">
      <c r="A1071" s="356" t="s">
        <v>529</v>
      </c>
      <c r="B1071" s="804" t="s">
        <v>2656</v>
      </c>
      <c r="C1071" s="632" t="s">
        <v>719</v>
      </c>
      <c r="D1071" s="358">
        <f>'PART-B'!I1282</f>
        <v>0</v>
      </c>
      <c r="E1071" s="354" t="s">
        <v>115</v>
      </c>
      <c r="F1071" s="355">
        <f>'PART-B'!K1282</f>
        <v>93</v>
      </c>
      <c r="G1071" s="353">
        <f t="shared" si="37"/>
        <v>0</v>
      </c>
      <c r="H1071" s="633" t="s">
        <v>2313</v>
      </c>
    </row>
    <row r="1072" spans="1:8" s="360" customFormat="1">
      <c r="A1072" s="356" t="s">
        <v>530</v>
      </c>
      <c r="B1072" s="804" t="s">
        <v>2657</v>
      </c>
      <c r="C1072" s="632" t="s">
        <v>552</v>
      </c>
      <c r="D1072" s="358">
        <f>'PART-B'!I1287</f>
        <v>500</v>
      </c>
      <c r="E1072" s="354" t="s">
        <v>574</v>
      </c>
      <c r="F1072" s="355">
        <f>'PART-B'!K1287</f>
        <v>9.5</v>
      </c>
      <c r="G1072" s="353">
        <f t="shared" si="37"/>
        <v>4750</v>
      </c>
      <c r="H1072" s="633" t="s">
        <v>2313</v>
      </c>
    </row>
    <row r="1073" spans="1:10" s="360" customFormat="1" hidden="1">
      <c r="A1073" s="356" t="s">
        <v>1160</v>
      </c>
      <c r="B1073" s="804"/>
      <c r="C1073" s="632" t="s">
        <v>553</v>
      </c>
      <c r="D1073" s="358">
        <f>'PART-B'!I1290</f>
        <v>0</v>
      </c>
      <c r="E1073" s="354" t="s">
        <v>277</v>
      </c>
      <c r="F1073" s="355">
        <f>'PART-B'!K1290</f>
        <v>446.4</v>
      </c>
      <c r="G1073" s="353">
        <f t="shared" si="37"/>
        <v>0</v>
      </c>
      <c r="H1073" s="633" t="s">
        <v>2313</v>
      </c>
    </row>
    <row r="1074" spans="1:10" s="360" customFormat="1" hidden="1">
      <c r="A1074" s="356" t="s">
        <v>524</v>
      </c>
      <c r="B1074" s="804"/>
      <c r="C1074" s="632" t="s">
        <v>553</v>
      </c>
      <c r="D1074" s="358">
        <f>'PART-B'!I1291</f>
        <v>0</v>
      </c>
      <c r="E1074" s="354" t="s">
        <v>277</v>
      </c>
      <c r="F1074" s="355">
        <f>'PART-B'!K1291</f>
        <v>477.6</v>
      </c>
      <c r="G1074" s="353">
        <f t="shared" si="37"/>
        <v>0</v>
      </c>
      <c r="H1074" s="633" t="s">
        <v>2313</v>
      </c>
    </row>
    <row r="1075" spans="1:10" s="360" customFormat="1" hidden="1">
      <c r="A1075" s="356" t="s">
        <v>525</v>
      </c>
      <c r="B1075" s="804"/>
      <c r="C1075" s="632" t="s">
        <v>553</v>
      </c>
      <c r="D1075" s="358">
        <f>'PART-B'!I1292</f>
        <v>0</v>
      </c>
      <c r="E1075" s="354" t="s">
        <v>277</v>
      </c>
      <c r="F1075" s="355">
        <f>'PART-B'!K1292</f>
        <v>535.70000000000005</v>
      </c>
      <c r="G1075" s="353">
        <f t="shared" si="37"/>
        <v>0</v>
      </c>
      <c r="H1075" s="633" t="s">
        <v>2313</v>
      </c>
    </row>
    <row r="1076" spans="1:10" s="360" customFormat="1" hidden="1">
      <c r="A1076" s="356" t="s">
        <v>1260</v>
      </c>
      <c r="B1076" s="804"/>
      <c r="C1076" s="632" t="s">
        <v>554</v>
      </c>
      <c r="D1076" s="358">
        <f>'PART-B'!I1298</f>
        <v>0</v>
      </c>
      <c r="E1076" s="354" t="s">
        <v>277</v>
      </c>
      <c r="F1076" s="355">
        <f>'PART-B'!K1298</f>
        <v>325</v>
      </c>
      <c r="G1076" s="353">
        <f t="shared" ref="G1076:G1125" si="38">ROUND(D1076*F1076,0)</f>
        <v>0</v>
      </c>
      <c r="H1076" s="633" t="s">
        <v>2313</v>
      </c>
    </row>
    <row r="1077" spans="1:10" s="360" customFormat="1" hidden="1">
      <c r="A1077" s="356" t="s">
        <v>1161</v>
      </c>
      <c r="B1077" s="804"/>
      <c r="C1077" s="632" t="s">
        <v>635</v>
      </c>
      <c r="D1077" s="358">
        <f>'PART-B'!I1303</f>
        <v>0</v>
      </c>
      <c r="E1077" s="354" t="s">
        <v>115</v>
      </c>
      <c r="F1077" s="355">
        <f>'PART-B'!K1303</f>
        <v>18370</v>
      </c>
      <c r="G1077" s="353">
        <f t="shared" si="38"/>
        <v>0</v>
      </c>
      <c r="H1077" s="633" t="s">
        <v>2313</v>
      </c>
    </row>
    <row r="1078" spans="1:10" s="360" customFormat="1" hidden="1">
      <c r="A1078" s="356" t="s">
        <v>1596</v>
      </c>
      <c r="B1078" s="804"/>
      <c r="C1078" s="632" t="s">
        <v>636</v>
      </c>
      <c r="D1078" s="358">
        <f>'PART-B'!I1308</f>
        <v>0</v>
      </c>
      <c r="E1078" s="354" t="s">
        <v>277</v>
      </c>
      <c r="F1078" s="355">
        <f>'PART-B'!K1308</f>
        <v>85</v>
      </c>
      <c r="G1078" s="353">
        <f t="shared" si="38"/>
        <v>0</v>
      </c>
      <c r="H1078" s="633" t="s">
        <v>2313</v>
      </c>
    </row>
    <row r="1079" spans="1:10" s="360" customFormat="1" hidden="1">
      <c r="A1079" s="356" t="s">
        <v>1597</v>
      </c>
      <c r="B1079" s="804"/>
      <c r="C1079" s="632" t="s">
        <v>284</v>
      </c>
      <c r="D1079" s="358">
        <f>'PART-B'!I1313</f>
        <v>0</v>
      </c>
      <c r="E1079" s="354" t="s">
        <v>115</v>
      </c>
      <c r="F1079" s="355">
        <f>'PART-B'!K1313</f>
        <v>300</v>
      </c>
      <c r="G1079" s="353">
        <f t="shared" si="38"/>
        <v>0</v>
      </c>
      <c r="H1079" s="633" t="s">
        <v>2313</v>
      </c>
    </row>
    <row r="1080" spans="1:10" s="360" customFormat="1" hidden="1">
      <c r="A1080" s="356" t="s">
        <v>2032</v>
      </c>
      <c r="B1080" s="804"/>
      <c r="C1080" s="632" t="s">
        <v>285</v>
      </c>
      <c r="D1080" s="358">
        <f>'PART-B'!I1318</f>
        <v>0</v>
      </c>
      <c r="E1080" s="354" t="s">
        <v>115</v>
      </c>
      <c r="F1080" s="355">
        <f>'PART-B'!K1318</f>
        <v>400</v>
      </c>
      <c r="G1080" s="353">
        <f t="shared" si="38"/>
        <v>0</v>
      </c>
      <c r="H1080" s="633" t="s">
        <v>2313</v>
      </c>
    </row>
    <row r="1081" spans="1:10" s="360" customFormat="1" hidden="1">
      <c r="A1081" s="356" t="s">
        <v>1163</v>
      </c>
      <c r="B1081" s="804"/>
      <c r="C1081" s="632" t="s">
        <v>286</v>
      </c>
      <c r="D1081" s="358">
        <f>'PART-B'!I1323</f>
        <v>0</v>
      </c>
      <c r="E1081" s="354" t="s">
        <v>115</v>
      </c>
      <c r="F1081" s="355">
        <f>'PART-B'!K1323</f>
        <v>77</v>
      </c>
      <c r="G1081" s="353">
        <f t="shared" si="38"/>
        <v>0</v>
      </c>
      <c r="H1081" s="633" t="s">
        <v>2313</v>
      </c>
    </row>
    <row r="1082" spans="1:10" s="360" customFormat="1" hidden="1">
      <c r="A1082" s="356" t="s">
        <v>2035</v>
      </c>
      <c r="B1082" s="804"/>
      <c r="C1082" s="632" t="s">
        <v>287</v>
      </c>
      <c r="D1082" s="358">
        <f>'PART-B'!I1328</f>
        <v>0</v>
      </c>
      <c r="E1082" s="354" t="s">
        <v>115</v>
      </c>
      <c r="F1082" s="355">
        <f>'PART-B'!K1328</f>
        <v>194</v>
      </c>
      <c r="G1082" s="353">
        <f t="shared" si="38"/>
        <v>0</v>
      </c>
      <c r="H1082" s="633" t="s">
        <v>2313</v>
      </c>
    </row>
    <row r="1083" spans="1:10" s="360" customFormat="1" hidden="1">
      <c r="A1083" s="356" t="s">
        <v>1163</v>
      </c>
      <c r="B1083" s="804"/>
      <c r="C1083" s="632" t="s">
        <v>637</v>
      </c>
      <c r="D1083" s="358">
        <f>'PART-B'!I1333</f>
        <v>0</v>
      </c>
      <c r="E1083" s="354" t="s">
        <v>277</v>
      </c>
      <c r="F1083" s="355">
        <f>'PART-B'!K1333</f>
        <v>105</v>
      </c>
      <c r="G1083" s="353">
        <f t="shared" si="38"/>
        <v>0</v>
      </c>
      <c r="H1083" s="633" t="s">
        <v>2313</v>
      </c>
    </row>
    <row r="1084" spans="1:10" s="360" customFormat="1" hidden="1">
      <c r="A1084" s="356" t="s">
        <v>2035</v>
      </c>
      <c r="B1084" s="804"/>
      <c r="C1084" s="632" t="s">
        <v>638</v>
      </c>
      <c r="D1084" s="358">
        <f>'PART-B'!I1338</f>
        <v>0</v>
      </c>
      <c r="E1084" s="354" t="s">
        <v>115</v>
      </c>
      <c r="F1084" s="355">
        <f>'PART-B'!K1338</f>
        <v>5445</v>
      </c>
      <c r="G1084" s="353">
        <f t="shared" si="38"/>
        <v>0</v>
      </c>
      <c r="H1084" s="633" t="s">
        <v>2313</v>
      </c>
    </row>
    <row r="1085" spans="1:10" s="360" customFormat="1" hidden="1">
      <c r="A1085" s="356" t="s">
        <v>1260</v>
      </c>
      <c r="B1085" s="804"/>
      <c r="C1085" s="632" t="s">
        <v>555</v>
      </c>
      <c r="D1085" s="358">
        <f>'PART-B'!I1344</f>
        <v>0</v>
      </c>
      <c r="E1085" s="354" t="s">
        <v>277</v>
      </c>
      <c r="F1085" s="355">
        <f>'PART-B'!K1344</f>
        <v>73.94</v>
      </c>
      <c r="G1085" s="353">
        <f t="shared" si="38"/>
        <v>0</v>
      </c>
      <c r="H1085" s="633" t="s">
        <v>2313</v>
      </c>
    </row>
    <row r="1086" spans="1:10" s="360" customFormat="1">
      <c r="A1086" s="356" t="s">
        <v>531</v>
      </c>
      <c r="B1086" s="804" t="s">
        <v>2673</v>
      </c>
      <c r="C1086" s="632" t="s">
        <v>555</v>
      </c>
      <c r="D1086" s="358">
        <f>'PART-B'!I1354</f>
        <v>40</v>
      </c>
      <c r="E1086" s="354" t="s">
        <v>277</v>
      </c>
      <c r="F1086" s="355">
        <f>'PART-B'!K1354</f>
        <v>89.61</v>
      </c>
      <c r="G1086" s="353">
        <f t="shared" si="38"/>
        <v>3584</v>
      </c>
      <c r="H1086" s="633" t="s">
        <v>2313</v>
      </c>
    </row>
    <row r="1087" spans="1:10" s="360" customFormat="1" hidden="1">
      <c r="A1087" s="356" t="s">
        <v>517</v>
      </c>
      <c r="B1087" s="804"/>
      <c r="C1087" s="632" t="s">
        <v>572</v>
      </c>
      <c r="D1087" s="358">
        <f>'PART-B'!I1362</f>
        <v>0</v>
      </c>
      <c r="E1087" s="354" t="s">
        <v>277</v>
      </c>
      <c r="F1087" s="355">
        <f>'PART-B'!K1362</f>
        <v>64</v>
      </c>
      <c r="G1087" s="353">
        <f t="shared" si="38"/>
        <v>0</v>
      </c>
      <c r="H1087" s="633" t="s">
        <v>2313</v>
      </c>
    </row>
    <row r="1088" spans="1:10" s="360" customFormat="1" hidden="1">
      <c r="A1088" s="356" t="s">
        <v>479</v>
      </c>
      <c r="B1088" s="804"/>
      <c r="C1088" s="632" t="s">
        <v>556</v>
      </c>
      <c r="D1088" s="358">
        <f>'PART-B'!I1367</f>
        <v>3</v>
      </c>
      <c r="E1088" s="354" t="s">
        <v>115</v>
      </c>
      <c r="F1088" s="355">
        <f>'PART-B'!K1367</f>
        <v>245</v>
      </c>
      <c r="H1088" s="633" t="s">
        <v>2313</v>
      </c>
      <c r="J1088" s="353">
        <f>ROUND(D1088*F1088,0)</f>
        <v>735</v>
      </c>
    </row>
    <row r="1089" spans="1:10" s="360" customFormat="1" hidden="1">
      <c r="A1089" s="356" t="s">
        <v>1596</v>
      </c>
      <c r="B1089" s="804"/>
      <c r="C1089" s="632" t="s">
        <v>639</v>
      </c>
      <c r="D1089" s="358">
        <f>'PART-B'!I1372</f>
        <v>2</v>
      </c>
      <c r="E1089" s="354" t="s">
        <v>115</v>
      </c>
      <c r="F1089" s="355">
        <f>'PART-B'!K1372</f>
        <v>203</v>
      </c>
      <c r="H1089" s="633" t="s">
        <v>2313</v>
      </c>
      <c r="J1089" s="353">
        <f>ROUND(D1089*F1089,0)</f>
        <v>406</v>
      </c>
    </row>
    <row r="1090" spans="1:10" s="360" customFormat="1" hidden="1">
      <c r="A1090" s="356" t="s">
        <v>2077</v>
      </c>
      <c r="B1090" s="804"/>
      <c r="C1090" s="632" t="s">
        <v>714</v>
      </c>
      <c r="D1090" s="358">
        <f>'PART-B'!I1377</f>
        <v>0</v>
      </c>
      <c r="E1090" s="354" t="s">
        <v>115</v>
      </c>
      <c r="F1090" s="355">
        <f>'PART-B'!K1377</f>
        <v>155</v>
      </c>
      <c r="G1090" s="353">
        <f t="shared" si="38"/>
        <v>0</v>
      </c>
      <c r="H1090" s="633" t="s">
        <v>2313</v>
      </c>
    </row>
    <row r="1091" spans="1:10" s="360" customFormat="1" hidden="1">
      <c r="A1091" s="356" t="s">
        <v>1597</v>
      </c>
      <c r="B1091" s="804"/>
      <c r="C1091" s="632" t="s">
        <v>796</v>
      </c>
      <c r="D1091" s="358">
        <f>'PART-B'!I1392</f>
        <v>0</v>
      </c>
      <c r="E1091" s="354" t="s">
        <v>115</v>
      </c>
      <c r="F1091" s="355">
        <f>'PART-B'!K1392</f>
        <v>114</v>
      </c>
      <c r="G1091" s="353">
        <f t="shared" si="38"/>
        <v>0</v>
      </c>
      <c r="H1091" s="633" t="s">
        <v>2313</v>
      </c>
    </row>
    <row r="1092" spans="1:10" s="360" customFormat="1" hidden="1">
      <c r="A1092" s="356" t="s">
        <v>2043</v>
      </c>
      <c r="B1092" s="804"/>
      <c r="C1092" s="632" t="s">
        <v>640</v>
      </c>
      <c r="D1092" s="358">
        <f>'PART-B'!I1387</f>
        <v>0</v>
      </c>
      <c r="E1092" s="354" t="s">
        <v>115</v>
      </c>
      <c r="F1092" s="355">
        <f>'PART-B'!K1387</f>
        <v>400</v>
      </c>
      <c r="G1092" s="353">
        <f t="shared" si="38"/>
        <v>0</v>
      </c>
      <c r="H1092" s="633" t="s">
        <v>2313</v>
      </c>
    </row>
    <row r="1093" spans="1:10" s="360" customFormat="1" hidden="1">
      <c r="A1093" s="356" t="s">
        <v>2044</v>
      </c>
      <c r="B1093" s="804"/>
      <c r="C1093" s="632" t="s">
        <v>1512</v>
      </c>
      <c r="D1093" s="358">
        <f>'PART-B'!I1382</f>
        <v>3</v>
      </c>
      <c r="E1093" s="354" t="s">
        <v>115</v>
      </c>
      <c r="F1093" s="355">
        <f>'PART-B'!K1382</f>
        <v>359</v>
      </c>
      <c r="G1093" s="353">
        <f t="shared" si="38"/>
        <v>1077</v>
      </c>
      <c r="H1093" s="633" t="s">
        <v>2313</v>
      </c>
    </row>
    <row r="1094" spans="1:10" s="360" customFormat="1" hidden="1">
      <c r="A1094" s="356" t="s">
        <v>2455</v>
      </c>
      <c r="B1094" s="804"/>
      <c r="C1094" s="632" t="s">
        <v>557</v>
      </c>
      <c r="D1094" s="358">
        <f>'PART-B'!I1397</f>
        <v>0</v>
      </c>
      <c r="E1094" s="354" t="s">
        <v>115</v>
      </c>
      <c r="F1094" s="355">
        <f>'PART-B'!K1397</f>
        <v>68</v>
      </c>
      <c r="G1094" s="353">
        <f t="shared" si="38"/>
        <v>0</v>
      </c>
      <c r="H1094" s="633" t="s">
        <v>2313</v>
      </c>
    </row>
    <row r="1095" spans="1:10" s="360" customFormat="1">
      <c r="A1095" s="356" t="s">
        <v>532</v>
      </c>
      <c r="B1095" s="804" t="s">
        <v>2661</v>
      </c>
      <c r="C1095" s="632" t="s">
        <v>558</v>
      </c>
      <c r="D1095" s="358">
        <f>'PART-B'!I1403</f>
        <v>22</v>
      </c>
      <c r="E1095" s="354" t="s">
        <v>568</v>
      </c>
      <c r="F1095" s="355">
        <f>'PART-B'!K1403</f>
        <v>481.67</v>
      </c>
      <c r="G1095" s="353">
        <f t="shared" si="38"/>
        <v>10597</v>
      </c>
      <c r="H1095" s="633" t="s">
        <v>2313</v>
      </c>
    </row>
    <row r="1096" spans="1:10" s="360" customFormat="1" hidden="1">
      <c r="A1096" s="356" t="s">
        <v>482</v>
      </c>
      <c r="B1096" s="804"/>
      <c r="C1096" s="632" t="s">
        <v>558</v>
      </c>
      <c r="D1096" s="358">
        <f>'PART-B'!I1408</f>
        <v>6</v>
      </c>
      <c r="E1096" s="354" t="s">
        <v>568</v>
      </c>
      <c r="F1096" s="355">
        <f>'PART-B'!K1408</f>
        <v>503.67</v>
      </c>
      <c r="H1096" s="633" t="s">
        <v>2313</v>
      </c>
      <c r="J1096" s="353">
        <f>ROUND(D1096*F1096,0)</f>
        <v>3022</v>
      </c>
    </row>
    <row r="1097" spans="1:10" s="360" customFormat="1" hidden="1">
      <c r="A1097" s="356" t="s">
        <v>2033</v>
      </c>
      <c r="B1097" s="804"/>
      <c r="C1097" s="632" t="s">
        <v>2264</v>
      </c>
      <c r="D1097" s="358">
        <f>'PART-B'!I1414</f>
        <v>0</v>
      </c>
      <c r="E1097" s="354" t="s">
        <v>277</v>
      </c>
      <c r="F1097" s="355">
        <f>'PART-B'!K1414</f>
        <v>23.55</v>
      </c>
      <c r="G1097" s="353">
        <f t="shared" si="38"/>
        <v>0</v>
      </c>
      <c r="H1097" s="633" t="s">
        <v>2313</v>
      </c>
    </row>
    <row r="1098" spans="1:10" s="360" customFormat="1" hidden="1">
      <c r="A1098" s="356" t="s">
        <v>2034</v>
      </c>
      <c r="B1098" s="804"/>
      <c r="C1098" s="632" t="s">
        <v>2265</v>
      </c>
      <c r="D1098" s="358">
        <f>'PART-B'!I1419</f>
        <v>0</v>
      </c>
      <c r="E1098" s="354" t="s">
        <v>277</v>
      </c>
      <c r="F1098" s="355">
        <f>'PART-B'!K1419</f>
        <v>79.48</v>
      </c>
      <c r="G1098" s="353">
        <f t="shared" si="38"/>
        <v>0</v>
      </c>
      <c r="H1098" s="633" t="s">
        <v>2313</v>
      </c>
    </row>
    <row r="1099" spans="1:10" s="360" customFormat="1">
      <c r="A1099" s="356" t="s">
        <v>1580</v>
      </c>
      <c r="B1099" s="804" t="s">
        <v>2659</v>
      </c>
      <c r="C1099" s="632" t="s">
        <v>559</v>
      </c>
      <c r="D1099" s="358">
        <f>'PART-B'!I1429</f>
        <v>40</v>
      </c>
      <c r="E1099" s="354" t="s">
        <v>277</v>
      </c>
      <c r="F1099" s="355">
        <f>'PART-B'!K1429</f>
        <v>83.333500000000001</v>
      </c>
      <c r="G1099" s="353">
        <f t="shared" si="38"/>
        <v>3333</v>
      </c>
      <c r="H1099" s="633" t="s">
        <v>2313</v>
      </c>
    </row>
    <row r="1100" spans="1:10" s="360" customFormat="1" hidden="1">
      <c r="A1100" s="356" t="s">
        <v>2034</v>
      </c>
      <c r="B1100" s="804"/>
      <c r="C1100" s="632" t="s">
        <v>560</v>
      </c>
      <c r="D1100" s="358">
        <f>'PART-B'!I1434</f>
        <v>0</v>
      </c>
      <c r="E1100" s="354" t="s">
        <v>277</v>
      </c>
      <c r="F1100" s="355">
        <f>'PART-B'!K1434</f>
        <v>126.65</v>
      </c>
      <c r="G1100" s="353">
        <f t="shared" si="38"/>
        <v>0</v>
      </c>
      <c r="H1100" s="633" t="s">
        <v>2313</v>
      </c>
    </row>
    <row r="1101" spans="1:10" s="360" customFormat="1" hidden="1">
      <c r="A1101" s="356" t="s">
        <v>2036</v>
      </c>
      <c r="B1101" s="804"/>
      <c r="C1101" s="632" t="s">
        <v>833</v>
      </c>
      <c r="D1101" s="358">
        <f>'PART-B'!I1439</f>
        <v>0</v>
      </c>
      <c r="E1101" s="354" t="s">
        <v>277</v>
      </c>
      <c r="F1101" s="355">
        <f>'PART-B'!K1439</f>
        <v>64.563000000000002</v>
      </c>
      <c r="G1101" s="353">
        <f t="shared" si="38"/>
        <v>0</v>
      </c>
      <c r="H1101" s="633" t="s">
        <v>2313</v>
      </c>
    </row>
    <row r="1102" spans="1:10" s="360" customFormat="1" hidden="1">
      <c r="A1102" s="356" t="s">
        <v>484</v>
      </c>
      <c r="B1102" s="804"/>
      <c r="C1102" s="632" t="s">
        <v>437</v>
      </c>
      <c r="D1102" s="358">
        <f>'PART-B'!I1444</f>
        <v>3</v>
      </c>
      <c r="E1102" s="354" t="s">
        <v>115</v>
      </c>
      <c r="F1102" s="355">
        <f>'PART-B'!K1444</f>
        <v>209</v>
      </c>
      <c r="H1102" s="633" t="s">
        <v>2313</v>
      </c>
      <c r="J1102" s="353">
        <f>ROUND(D1102*F1102,0)</f>
        <v>627</v>
      </c>
    </row>
    <row r="1103" spans="1:10" s="360" customFormat="1" hidden="1">
      <c r="A1103" s="356" t="s">
        <v>2038</v>
      </c>
      <c r="B1103" s="804"/>
      <c r="C1103" s="632" t="s">
        <v>615</v>
      </c>
      <c r="D1103" s="358">
        <f>'PART-B'!I1449</f>
        <v>2</v>
      </c>
      <c r="E1103" s="354" t="s">
        <v>115</v>
      </c>
      <c r="F1103" s="355">
        <f>'PART-B'!K1449</f>
        <v>171</v>
      </c>
      <c r="H1103" s="633" t="s">
        <v>2313</v>
      </c>
      <c r="J1103" s="353">
        <f>ROUND(D1103*F1103,0)</f>
        <v>342</v>
      </c>
    </row>
    <row r="1104" spans="1:10" s="360" customFormat="1" hidden="1">
      <c r="A1104" s="356" t="s">
        <v>2078</v>
      </c>
      <c r="B1104" s="804"/>
      <c r="C1104" s="632" t="s">
        <v>694</v>
      </c>
      <c r="D1104" s="358">
        <f>'PART-B'!I1454</f>
        <v>0</v>
      </c>
      <c r="E1104" s="354" t="s">
        <v>115</v>
      </c>
      <c r="F1104" s="355">
        <f>'PART-B'!K1454</f>
        <v>132</v>
      </c>
      <c r="G1104" s="353">
        <f t="shared" si="38"/>
        <v>0</v>
      </c>
      <c r="H1104" s="633" t="s">
        <v>2313</v>
      </c>
    </row>
    <row r="1105" spans="1:8" s="360" customFormat="1" hidden="1">
      <c r="A1105" s="356" t="s">
        <v>2039</v>
      </c>
      <c r="B1105" s="804"/>
      <c r="C1105" s="632" t="s">
        <v>792</v>
      </c>
      <c r="D1105" s="358">
        <f>'PART-B'!I1464</f>
        <v>0</v>
      </c>
      <c r="E1105" s="354" t="s">
        <v>115</v>
      </c>
      <c r="F1105" s="355">
        <f>'PART-B'!K1464</f>
        <v>88</v>
      </c>
      <c r="G1105" s="353">
        <f t="shared" si="38"/>
        <v>0</v>
      </c>
      <c r="H1105" s="633" t="s">
        <v>2313</v>
      </c>
    </row>
    <row r="1106" spans="1:8" s="360" customFormat="1" hidden="1">
      <c r="A1106" s="356" t="s">
        <v>525</v>
      </c>
      <c r="B1106" s="804"/>
      <c r="C1106" s="632" t="s">
        <v>617</v>
      </c>
      <c r="D1106" s="358">
        <f>'PART-B'!I1459</f>
        <v>3</v>
      </c>
      <c r="E1106" s="354" t="s">
        <v>115</v>
      </c>
      <c r="F1106" s="355">
        <f>'PART-B'!K1459</f>
        <v>297</v>
      </c>
      <c r="G1106" s="353">
        <f t="shared" si="38"/>
        <v>891</v>
      </c>
      <c r="H1106" s="633" t="s">
        <v>2313</v>
      </c>
    </row>
    <row r="1107" spans="1:8" s="360" customFormat="1" hidden="1">
      <c r="A1107" s="356" t="s">
        <v>485</v>
      </c>
      <c r="B1107" s="804"/>
      <c r="C1107" s="632" t="s">
        <v>439</v>
      </c>
      <c r="D1107" s="358">
        <f>'PART-B'!I1469</f>
        <v>0</v>
      </c>
      <c r="E1107" s="354" t="s">
        <v>115</v>
      </c>
      <c r="F1107" s="355">
        <f>'PART-B'!K1469</f>
        <v>66</v>
      </c>
      <c r="G1107" s="353">
        <f t="shared" si="38"/>
        <v>0</v>
      </c>
      <c r="H1107" s="633" t="s">
        <v>2313</v>
      </c>
    </row>
    <row r="1108" spans="1:8" s="360" customFormat="1">
      <c r="A1108" s="356" t="s">
        <v>533</v>
      </c>
      <c r="B1108" s="804" t="s">
        <v>2663</v>
      </c>
      <c r="C1108" s="632" t="s">
        <v>561</v>
      </c>
      <c r="D1108" s="358">
        <f>'PART-B'!I1479</f>
        <v>11</v>
      </c>
      <c r="E1108" s="354" t="s">
        <v>115</v>
      </c>
      <c r="F1108" s="355">
        <f>'PART-B'!K1479</f>
        <v>125.73500000000001</v>
      </c>
      <c r="G1108" s="353">
        <f t="shared" si="38"/>
        <v>1383</v>
      </c>
      <c r="H1108" s="633" t="s">
        <v>2313</v>
      </c>
    </row>
    <row r="1109" spans="1:8" s="360" customFormat="1" hidden="1">
      <c r="A1109" s="356" t="s">
        <v>2041</v>
      </c>
      <c r="B1109" s="804"/>
      <c r="C1109" s="632" t="s">
        <v>1257</v>
      </c>
      <c r="D1109" s="358">
        <f>'PART-B'!I1474</f>
        <v>0</v>
      </c>
      <c r="E1109" s="354" t="s">
        <v>115</v>
      </c>
      <c r="F1109" s="355">
        <f>'PART-B'!K1474</f>
        <v>422.5</v>
      </c>
      <c r="G1109" s="353">
        <f t="shared" si="38"/>
        <v>0</v>
      </c>
      <c r="H1109" s="633" t="s">
        <v>2313</v>
      </c>
    </row>
    <row r="1110" spans="1:8" s="360" customFormat="1" hidden="1">
      <c r="A1110" s="356" t="s">
        <v>646</v>
      </c>
      <c r="B1110" s="804"/>
      <c r="C1110" s="632" t="s">
        <v>641</v>
      </c>
      <c r="D1110" s="358">
        <f>'PART-B'!I1484</f>
        <v>3</v>
      </c>
      <c r="E1110" s="354" t="s">
        <v>115</v>
      </c>
      <c r="F1110" s="355">
        <f>'PART-B'!K1484</f>
        <v>119.73500000000001</v>
      </c>
      <c r="G1110" s="353">
        <f t="shared" si="38"/>
        <v>359</v>
      </c>
      <c r="H1110" s="633" t="s">
        <v>2313</v>
      </c>
    </row>
    <row r="1111" spans="1:8" s="360" customFormat="1" hidden="1">
      <c r="A1111" s="356" t="s">
        <v>2042</v>
      </c>
      <c r="B1111" s="804"/>
      <c r="C1111" s="632" t="s">
        <v>624</v>
      </c>
      <c r="D1111" s="358">
        <f>'PART-B'!I1489</f>
        <v>0</v>
      </c>
      <c r="E1111" s="354" t="s">
        <v>115</v>
      </c>
      <c r="F1111" s="355">
        <f>'PART-B'!K1489</f>
        <v>21</v>
      </c>
      <c r="G1111" s="353">
        <f t="shared" si="38"/>
        <v>0</v>
      </c>
      <c r="H1111" s="633" t="s">
        <v>2313</v>
      </c>
    </row>
    <row r="1112" spans="1:8" s="360" customFormat="1">
      <c r="A1112" s="356" t="s">
        <v>534</v>
      </c>
      <c r="B1112" s="804" t="s">
        <v>2668</v>
      </c>
      <c r="C1112" s="632" t="s">
        <v>562</v>
      </c>
      <c r="D1112" s="358">
        <f>'PART-B'!I1494</f>
        <v>14</v>
      </c>
      <c r="E1112" s="354" t="s">
        <v>115</v>
      </c>
      <c r="F1112" s="355">
        <f>'PART-B'!K1494</f>
        <v>127.25</v>
      </c>
      <c r="G1112" s="353">
        <f t="shared" si="38"/>
        <v>1782</v>
      </c>
      <c r="H1112" s="633" t="s">
        <v>2313</v>
      </c>
    </row>
    <row r="1113" spans="1:8" s="360" customFormat="1">
      <c r="A1113" s="356" t="s">
        <v>642</v>
      </c>
      <c r="B1113" s="804" t="s">
        <v>2665</v>
      </c>
      <c r="C1113" s="632" t="s">
        <v>563</v>
      </c>
      <c r="D1113" s="358">
        <f>'PART-B'!I1499</f>
        <v>6</v>
      </c>
      <c r="E1113" s="354" t="s">
        <v>115</v>
      </c>
      <c r="F1113" s="355">
        <f>'PART-B'!K1499</f>
        <v>3312.1849999999999</v>
      </c>
      <c r="G1113" s="353">
        <f t="shared" si="38"/>
        <v>19873</v>
      </c>
      <c r="H1113" s="633" t="s">
        <v>2313</v>
      </c>
    </row>
    <row r="1114" spans="1:8" s="360" customFormat="1" hidden="1">
      <c r="A1114" s="356" t="s">
        <v>2045</v>
      </c>
      <c r="B1114" s="804"/>
      <c r="C1114" s="632" t="s">
        <v>563</v>
      </c>
      <c r="D1114" s="358">
        <f>'PART-B'!I1509</f>
        <v>0</v>
      </c>
      <c r="E1114" s="354" t="s">
        <v>115</v>
      </c>
      <c r="F1114" s="355">
        <f>'PART-B'!K1509</f>
        <v>2941.12</v>
      </c>
      <c r="G1114" s="353">
        <f t="shared" si="38"/>
        <v>0</v>
      </c>
      <c r="H1114" s="633" t="s">
        <v>2313</v>
      </c>
    </row>
    <row r="1115" spans="1:8" s="360" customFormat="1" hidden="1">
      <c r="A1115" s="356" t="s">
        <v>2046</v>
      </c>
      <c r="B1115" s="804"/>
      <c r="C1115" s="632" t="s">
        <v>831</v>
      </c>
      <c r="D1115" s="358">
        <f>'PART-B'!I1514</f>
        <v>0</v>
      </c>
      <c r="E1115" s="354" t="s">
        <v>115</v>
      </c>
      <c r="F1115" s="355">
        <f>'PART-B'!K1514</f>
        <v>278</v>
      </c>
      <c r="G1115" s="353">
        <f t="shared" si="38"/>
        <v>0</v>
      </c>
      <c r="H1115" s="633" t="s">
        <v>2313</v>
      </c>
    </row>
    <row r="1116" spans="1:8" s="360" customFormat="1" hidden="1">
      <c r="A1116" s="356" t="s">
        <v>2047</v>
      </c>
      <c r="B1116" s="804"/>
      <c r="C1116" s="632" t="s">
        <v>967</v>
      </c>
      <c r="D1116" s="358">
        <f>'PART-B'!I1519</f>
        <v>0</v>
      </c>
      <c r="E1116" s="354" t="s">
        <v>115</v>
      </c>
      <c r="F1116" s="355">
        <f>'PART-B'!K1519</f>
        <v>163.065</v>
      </c>
      <c r="G1116" s="353">
        <f t="shared" si="38"/>
        <v>0</v>
      </c>
      <c r="H1116" s="633" t="s">
        <v>2313</v>
      </c>
    </row>
    <row r="1117" spans="1:8" s="360" customFormat="1" hidden="1">
      <c r="A1117" s="356" t="s">
        <v>642</v>
      </c>
      <c r="B1117" s="804"/>
      <c r="C1117" s="632" t="s">
        <v>832</v>
      </c>
      <c r="D1117" s="358">
        <f>'PART-B'!I1526</f>
        <v>0</v>
      </c>
      <c r="E1117" s="354" t="s">
        <v>115</v>
      </c>
      <c r="F1117" s="355">
        <f>'PART-B'!K1526</f>
        <v>161.5</v>
      </c>
      <c r="G1117" s="353">
        <f t="shared" si="38"/>
        <v>0</v>
      </c>
      <c r="H1117" s="633" t="s">
        <v>2313</v>
      </c>
    </row>
    <row r="1118" spans="1:8" s="360" customFormat="1" hidden="1">
      <c r="A1118" s="356" t="s">
        <v>2048</v>
      </c>
      <c r="B1118" s="804"/>
      <c r="C1118" s="632" t="s">
        <v>1573</v>
      </c>
      <c r="D1118" s="358">
        <f>'PART-B'!I1504</f>
        <v>0</v>
      </c>
      <c r="E1118" s="354" t="s">
        <v>115</v>
      </c>
      <c r="F1118" s="355">
        <f>'PART-B'!K1504</f>
        <v>227.41000000000003</v>
      </c>
      <c r="G1118" s="353">
        <f t="shared" si="38"/>
        <v>0</v>
      </c>
      <c r="H1118" s="633" t="s">
        <v>2313</v>
      </c>
    </row>
    <row r="1119" spans="1:8" s="360" customFormat="1">
      <c r="A1119" s="356" t="s">
        <v>643</v>
      </c>
      <c r="B1119" s="804" t="s">
        <v>2667</v>
      </c>
      <c r="C1119" s="632" t="s">
        <v>564</v>
      </c>
      <c r="D1119" s="358">
        <f>'PART-B'!I1531</f>
        <v>8</v>
      </c>
      <c r="E1119" s="354" t="s">
        <v>115</v>
      </c>
      <c r="F1119" s="355">
        <f>'PART-B'!K1531</f>
        <v>399.94</v>
      </c>
      <c r="G1119" s="353">
        <f t="shared" si="38"/>
        <v>3200</v>
      </c>
      <c r="H1119" s="633" t="s">
        <v>2313</v>
      </c>
    </row>
    <row r="1120" spans="1:8" s="360" customFormat="1" hidden="1">
      <c r="A1120" s="356" t="s">
        <v>2053</v>
      </c>
      <c r="B1120" s="804"/>
      <c r="C1120" s="632" t="s">
        <v>2266</v>
      </c>
      <c r="D1120" s="358">
        <f>'PART-B'!I1536</f>
        <v>0</v>
      </c>
      <c r="E1120" s="354" t="s">
        <v>115</v>
      </c>
      <c r="F1120" s="355">
        <f>'PART-B'!K1536</f>
        <v>1822</v>
      </c>
      <c r="G1120" s="353">
        <f t="shared" si="38"/>
        <v>0</v>
      </c>
      <c r="H1120" s="633" t="s">
        <v>2313</v>
      </c>
    </row>
    <row r="1121" spans="1:10" s="360" customFormat="1" hidden="1">
      <c r="A1121" s="356" t="s">
        <v>2053</v>
      </c>
      <c r="B1121" s="804"/>
      <c r="C1121" s="632" t="s">
        <v>2267</v>
      </c>
      <c r="D1121" s="358">
        <f>'PART-B'!I1541</f>
        <v>0</v>
      </c>
      <c r="E1121" s="354" t="s">
        <v>115</v>
      </c>
      <c r="F1121" s="355">
        <f>'PART-B'!K1541</f>
        <v>5428</v>
      </c>
      <c r="G1121" s="353">
        <f t="shared" si="38"/>
        <v>0</v>
      </c>
      <c r="H1121" s="633" t="s">
        <v>2313</v>
      </c>
    </row>
    <row r="1122" spans="1:10" s="360" customFormat="1">
      <c r="A1122" s="356" t="s">
        <v>644</v>
      </c>
      <c r="B1122" s="804" t="s">
        <v>2672</v>
      </c>
      <c r="C1122" s="632" t="s">
        <v>715</v>
      </c>
      <c r="D1122" s="358">
        <f>'PART-B'!I1551</f>
        <v>1</v>
      </c>
      <c r="E1122" s="354" t="s">
        <v>115</v>
      </c>
      <c r="F1122" s="355">
        <f>'PART-B'!K1551</f>
        <v>3662</v>
      </c>
      <c r="G1122" s="353">
        <f t="shared" si="38"/>
        <v>3662</v>
      </c>
      <c r="H1122" s="633" t="s">
        <v>2313</v>
      </c>
    </row>
    <row r="1123" spans="1:10" s="360" customFormat="1" hidden="1">
      <c r="A1123" s="356" t="s">
        <v>1574</v>
      </c>
      <c r="B1123" s="804"/>
      <c r="C1123" s="632" t="s">
        <v>797</v>
      </c>
      <c r="D1123" s="358">
        <f>'PART-B'!I1546</f>
        <v>0</v>
      </c>
      <c r="E1123" s="354" t="s">
        <v>115</v>
      </c>
      <c r="F1123" s="355">
        <f>'PART-B'!K1546</f>
        <v>1634</v>
      </c>
      <c r="G1123" s="353">
        <f t="shared" si="38"/>
        <v>0</v>
      </c>
      <c r="H1123" s="633" t="s">
        <v>2313</v>
      </c>
    </row>
    <row r="1124" spans="1:10" s="360" customFormat="1" ht="25.5">
      <c r="A1124" s="356" t="s">
        <v>1574</v>
      </c>
      <c r="B1124" s="804" t="s">
        <v>2670</v>
      </c>
      <c r="C1124" s="632" t="s">
        <v>968</v>
      </c>
      <c r="D1124" s="358">
        <f>'PART-B'!I1556</f>
        <v>1</v>
      </c>
      <c r="E1124" s="354" t="s">
        <v>115</v>
      </c>
      <c r="F1124" s="355">
        <f>'PART-B'!K1556</f>
        <v>1089.96</v>
      </c>
      <c r="G1124" s="353">
        <f t="shared" si="38"/>
        <v>1090</v>
      </c>
      <c r="H1124" s="633" t="s">
        <v>2313</v>
      </c>
    </row>
    <row r="1125" spans="1:10" s="360" customFormat="1">
      <c r="A1125" s="356" t="s">
        <v>1581</v>
      </c>
      <c r="B1125" s="804" t="s">
        <v>2671</v>
      </c>
      <c r="C1125" s="632" t="s">
        <v>565</v>
      </c>
      <c r="D1125" s="358">
        <f>'PART-B'!I1561</f>
        <v>0</v>
      </c>
      <c r="E1125" s="354" t="s">
        <v>115</v>
      </c>
      <c r="F1125" s="355">
        <f>'PART-B'!K1561</f>
        <v>4142.4250000000002</v>
      </c>
      <c r="G1125" s="353">
        <f t="shared" si="38"/>
        <v>0</v>
      </c>
      <c r="H1125" s="633" t="s">
        <v>2313</v>
      </c>
    </row>
    <row r="1126" spans="1:10" s="360" customFormat="1" hidden="1">
      <c r="A1126" s="356" t="s">
        <v>491</v>
      </c>
      <c r="B1126" s="804"/>
      <c r="C1126" s="632" t="s">
        <v>2268</v>
      </c>
      <c r="D1126" s="358">
        <f>'PART-B'!I1567</f>
        <v>31.745999999999999</v>
      </c>
      <c r="E1126" s="354" t="s">
        <v>102</v>
      </c>
      <c r="F1126" s="355">
        <f>'PART-B'!K1567</f>
        <v>630</v>
      </c>
      <c r="H1126" s="633" t="s">
        <v>2313</v>
      </c>
      <c r="J1126" s="353">
        <f>ROUND(D1126*F1126,0)</f>
        <v>20000</v>
      </c>
    </row>
    <row r="1127" spans="1:10" s="360" customFormat="1" hidden="1">
      <c r="A1127" s="356" t="s">
        <v>1514</v>
      </c>
      <c r="B1127" s="804"/>
      <c r="C1127" s="632" t="s">
        <v>2453</v>
      </c>
      <c r="D1127" s="358"/>
      <c r="E1127" s="354"/>
      <c r="F1127" s="355"/>
      <c r="G1127" s="353">
        <f>'PART-B'!M1569</f>
        <v>0</v>
      </c>
      <c r="H1127" s="633"/>
    </row>
    <row r="1128" spans="1:10" s="26" customFormat="1">
      <c r="A1128" s="23" t="s">
        <v>1582</v>
      </c>
      <c r="B1128" s="804" t="s">
        <v>2678</v>
      </c>
      <c r="C1128" s="54" t="s">
        <v>2202</v>
      </c>
      <c r="D1128" s="28"/>
      <c r="E1128" s="24"/>
      <c r="F1128" s="37"/>
      <c r="G1128" s="11">
        <f>'PART-A'!M4503</f>
        <v>-53531</v>
      </c>
      <c r="H1128" s="23" t="s">
        <v>15</v>
      </c>
    </row>
    <row r="1129" spans="1:10" s="26" customFormat="1">
      <c r="A1129" s="23" t="s">
        <v>1143</v>
      </c>
      <c r="B1129" s="804" t="s">
        <v>2678</v>
      </c>
      <c r="C1129" s="54" t="s">
        <v>1454</v>
      </c>
      <c r="D1129" s="28"/>
      <c r="E1129" s="24"/>
      <c r="F1129" s="37"/>
      <c r="G1129" s="11">
        <f>'PART-A'!M4502</f>
        <v>64528</v>
      </c>
      <c r="H1129" s="23" t="s">
        <v>15</v>
      </c>
    </row>
    <row r="1130" spans="1:10" s="26" customFormat="1" hidden="1">
      <c r="A1130" s="23" t="s">
        <v>1593</v>
      </c>
      <c r="B1130" s="23"/>
      <c r="C1130" s="54" t="s">
        <v>2528</v>
      </c>
      <c r="D1130" s="28"/>
      <c r="E1130" s="24"/>
      <c r="F1130" s="37"/>
      <c r="H1130" s="23" t="s">
        <v>15</v>
      </c>
      <c r="J1130" s="11">
        <f>'PART-A'!M4504</f>
        <v>0</v>
      </c>
    </row>
    <row r="1131" spans="1:10" s="26" customFormat="1" hidden="1">
      <c r="A1131" s="23" t="s">
        <v>1593</v>
      </c>
      <c r="B1131" s="804" t="s">
        <v>2677</v>
      </c>
      <c r="C1131" s="54" t="s">
        <v>2444</v>
      </c>
      <c r="D1131" s="28"/>
      <c r="E1131" s="24"/>
      <c r="F1131" s="37"/>
      <c r="G1131" s="11">
        <v>0</v>
      </c>
      <c r="H1131" s="23" t="s">
        <v>15</v>
      </c>
    </row>
    <row r="1132" spans="1:10" s="26" customFormat="1">
      <c r="A1132" s="23" t="s">
        <v>1583</v>
      </c>
      <c r="B1132" s="804" t="s">
        <v>2676</v>
      </c>
      <c r="C1132" s="27" t="s">
        <v>566</v>
      </c>
      <c r="D1132" s="28"/>
      <c r="E1132" s="224"/>
      <c r="F1132" s="29"/>
      <c r="G1132" s="223">
        <f>'PART-A'!M4507</f>
        <v>8548</v>
      </c>
      <c r="H1132" s="23" t="s">
        <v>15</v>
      </c>
    </row>
    <row r="1133" spans="1:10" s="26" customFormat="1">
      <c r="A1133" s="23" t="s">
        <v>645</v>
      </c>
      <c r="B1133" s="804" t="s">
        <v>2675</v>
      </c>
      <c r="C1133" s="27" t="s">
        <v>444</v>
      </c>
      <c r="D1133" s="28"/>
      <c r="E1133" s="224"/>
      <c r="F1133" s="29"/>
      <c r="G1133" s="223">
        <f>'PART-A'!M4508</f>
        <v>21507</v>
      </c>
      <c r="H1133" s="23" t="s">
        <v>15</v>
      </c>
    </row>
    <row r="1134" spans="1:10" s="26" customFormat="1" hidden="1">
      <c r="A1134" s="23" t="s">
        <v>1592</v>
      </c>
      <c r="B1134" s="804" t="s">
        <v>2680</v>
      </c>
      <c r="C1134" s="27" t="s">
        <v>445</v>
      </c>
      <c r="D1134" s="28"/>
      <c r="E1134" s="224"/>
      <c r="F1134" s="29"/>
      <c r="G1134" s="223" t="e">
        <f>abstract!#REF!</f>
        <v>#REF!</v>
      </c>
      <c r="H1134" s="23" t="s">
        <v>15</v>
      </c>
    </row>
    <row r="1135" spans="1:10" s="26" customFormat="1">
      <c r="A1135" s="23" t="s">
        <v>1584</v>
      </c>
      <c r="B1135" s="804" t="s">
        <v>2674</v>
      </c>
      <c r="C1135" s="27" t="s">
        <v>567</v>
      </c>
      <c r="D1135" s="28"/>
      <c r="E1135" s="224"/>
      <c r="F1135" s="29"/>
      <c r="G1135" s="223">
        <f>'PART-A'!M4510</f>
        <v>0</v>
      </c>
      <c r="H1135" s="23" t="s">
        <v>15</v>
      </c>
    </row>
    <row r="1136" spans="1:10" s="26" customFormat="1">
      <c r="A1136" s="23" t="s">
        <v>1585</v>
      </c>
      <c r="B1136" s="804" t="s">
        <v>2679</v>
      </c>
      <c r="C1136" s="27" t="s">
        <v>292</v>
      </c>
      <c r="D1136" s="28"/>
      <c r="E1136" s="224"/>
      <c r="F1136" s="29"/>
      <c r="G1136" s="223">
        <f>'PART-A'!M4511+J1136</f>
        <v>26561</v>
      </c>
      <c r="H1136" s="23" t="s">
        <v>15</v>
      </c>
      <c r="J1136" s="26">
        <f>SUM(J8:J1135)</f>
        <v>25132</v>
      </c>
    </row>
    <row r="1137" spans="1:8" s="26" customFormat="1">
      <c r="A1137" s="23"/>
      <c r="B1137" s="805"/>
      <c r="C1137" s="811"/>
      <c r="D1137" s="28"/>
      <c r="E1137" s="224"/>
      <c r="F1137" s="37"/>
      <c r="G1137" s="223"/>
      <c r="H1137" s="759"/>
    </row>
    <row r="1138" spans="1:8" s="26" customFormat="1">
      <c r="A1138" s="23"/>
      <c r="B1138" s="805"/>
      <c r="C1138" s="811"/>
      <c r="D1138" s="28"/>
      <c r="E1138" s="224"/>
      <c r="F1138" s="37"/>
      <c r="G1138" s="223" t="e">
        <f>SUM(G7:G1137)</f>
        <v>#REF!</v>
      </c>
      <c r="H1138" s="759"/>
    </row>
    <row r="1139" spans="1:8" ht="24.75" customHeight="1">
      <c r="A1139" s="26"/>
      <c r="B1139" s="26"/>
      <c r="C1139" s="32"/>
    </row>
    <row r="1140" spans="1:8" ht="17.25" customHeight="1">
      <c r="A1140" s="26"/>
      <c r="B1140" s="26"/>
      <c r="C1140" s="32"/>
    </row>
    <row r="1141" spans="1:8">
      <c r="A1141" s="26"/>
      <c r="B1141" s="26"/>
      <c r="C1141" s="55" t="str">
        <f>'lead 19-20'!$H$31</f>
        <v>Deputy Executive Engineer</v>
      </c>
      <c r="F1141" s="812" t="str">
        <f>'lead 19-20'!K31</f>
        <v>Assistant  Engineer</v>
      </c>
    </row>
    <row r="1142" spans="1:8">
      <c r="A1142" s="26"/>
      <c r="B1142" s="26"/>
      <c r="C1142" s="55" t="str">
        <f>'lead 19-20'!$H$32</f>
        <v>PRI Sub Division</v>
      </c>
      <c r="F1142" s="812" t="str">
        <f>'lead 19-20'!K32</f>
        <v>Mandal Praja parishad</v>
      </c>
    </row>
    <row r="1143" spans="1:8">
      <c r="A1143" s="26"/>
      <c r="B1143" s="26"/>
      <c r="C1143" s="55" t="str">
        <f>'lead 19-20'!$H$33</f>
        <v>Kanigiri</v>
      </c>
      <c r="F1143" s="812" t="str">
        <f>'lead 19-20'!K33</f>
        <v>Kanigiri</v>
      </c>
    </row>
    <row r="1144" spans="1:8">
      <c r="A1144" s="26"/>
      <c r="B1144" s="26"/>
      <c r="C1144" s="32"/>
    </row>
    <row r="1145" spans="1:8" s="33" customFormat="1">
      <c r="A1145" s="26"/>
      <c r="B1145" s="26"/>
      <c r="C1145" s="32"/>
      <c r="E1145" s="34"/>
      <c r="F1145" s="17"/>
      <c r="G1145" s="17"/>
      <c r="H1145" s="17"/>
    </row>
    <row r="1146" spans="1:8" s="33" customFormat="1">
      <c r="A1146" s="26"/>
      <c r="B1146" s="26"/>
      <c r="C1146" s="32"/>
      <c r="E1146" s="34"/>
      <c r="F1146" s="17"/>
      <c r="G1146" s="17"/>
      <c r="H1146" s="17"/>
    </row>
    <row r="1147" spans="1:8" s="33" customFormat="1">
      <c r="A1147" s="26"/>
      <c r="B1147" s="26"/>
      <c r="C1147" s="32"/>
      <c r="E1147" s="34"/>
      <c r="F1147" s="17"/>
      <c r="G1147" s="17"/>
      <c r="H1147" s="17"/>
    </row>
    <row r="1148" spans="1:8" s="33" customFormat="1">
      <c r="A1148" s="26"/>
      <c r="B1148" s="26"/>
      <c r="C1148" s="32"/>
      <c r="E1148" s="34"/>
      <c r="F1148" s="17"/>
      <c r="G1148" s="17"/>
      <c r="H1148" s="17"/>
    </row>
    <row r="1149" spans="1:8" s="33" customFormat="1">
      <c r="A1149" s="26"/>
      <c r="B1149" s="26"/>
      <c r="C1149" s="17"/>
      <c r="E1149" s="34"/>
      <c r="F1149" s="17"/>
      <c r="G1149" s="17"/>
      <c r="H1149" s="17"/>
    </row>
    <row r="1150" spans="1:8" s="33" customFormat="1">
      <c r="A1150" s="26"/>
      <c r="B1150" s="26"/>
      <c r="C1150" s="17"/>
      <c r="E1150" s="34"/>
      <c r="F1150" s="17"/>
      <c r="G1150" s="17"/>
      <c r="H1150" s="17"/>
    </row>
    <row r="1151" spans="1:8" s="33" customFormat="1">
      <c r="A1151" s="26"/>
      <c r="B1151" s="26"/>
      <c r="C1151" s="17"/>
      <c r="E1151" s="34"/>
      <c r="F1151" s="17"/>
      <c r="G1151" s="17"/>
      <c r="H1151" s="17"/>
    </row>
    <row r="1152" spans="1:8" s="33" customFormat="1">
      <c r="A1152" s="26"/>
      <c r="B1152" s="26"/>
      <c r="C1152" s="17"/>
      <c r="E1152" s="34"/>
      <c r="F1152" s="17"/>
      <c r="G1152" s="17"/>
      <c r="H1152" s="17"/>
    </row>
    <row r="1153" spans="1:8" s="33" customFormat="1">
      <c r="A1153" s="26"/>
      <c r="B1153" s="26"/>
      <c r="C1153" s="17"/>
      <c r="E1153" s="34"/>
      <c r="F1153" s="17"/>
      <c r="G1153" s="17"/>
      <c r="H1153" s="17"/>
    </row>
    <row r="1154" spans="1:8" s="33" customFormat="1">
      <c r="A1154" s="26"/>
      <c r="B1154" s="26"/>
      <c r="C1154" s="17"/>
      <c r="E1154" s="34"/>
      <c r="F1154" s="17"/>
      <c r="G1154" s="17"/>
      <c r="H1154" s="17"/>
    </row>
    <row r="1155" spans="1:8" s="33" customFormat="1">
      <c r="A1155" s="26"/>
      <c r="B1155" s="26"/>
      <c r="C1155" s="17"/>
      <c r="E1155" s="34"/>
      <c r="F1155" s="17"/>
      <c r="G1155" s="17"/>
      <c r="H1155" s="17"/>
    </row>
    <row r="1156" spans="1:8" s="33" customFormat="1">
      <c r="A1156" s="26"/>
      <c r="B1156" s="26"/>
      <c r="C1156" s="17"/>
      <c r="E1156" s="34"/>
      <c r="F1156" s="17"/>
      <c r="G1156" s="17"/>
      <c r="H1156" s="17"/>
    </row>
    <row r="1157" spans="1:8" s="33" customFormat="1">
      <c r="A1157" s="26"/>
      <c r="B1157" s="26"/>
      <c r="C1157" s="17"/>
      <c r="E1157" s="34"/>
      <c r="F1157" s="17"/>
      <c r="G1157" s="17"/>
      <c r="H1157" s="17"/>
    </row>
    <row r="1158" spans="1:8" s="33" customFormat="1">
      <c r="A1158" s="26"/>
      <c r="B1158" s="26"/>
      <c r="C1158" s="17"/>
      <c r="E1158" s="34"/>
      <c r="F1158" s="17"/>
      <c r="G1158" s="17"/>
      <c r="H1158" s="17"/>
    </row>
    <row r="1159" spans="1:8" s="33" customFormat="1">
      <c r="A1159" s="26"/>
      <c r="B1159" s="26"/>
      <c r="C1159" s="17"/>
      <c r="E1159" s="34"/>
      <c r="F1159" s="17"/>
      <c r="G1159" s="17"/>
      <c r="H1159" s="17"/>
    </row>
    <row r="1160" spans="1:8" s="33" customFormat="1">
      <c r="A1160" s="26"/>
      <c r="B1160" s="26"/>
      <c r="C1160" s="17"/>
      <c r="E1160" s="34"/>
      <c r="F1160" s="17"/>
      <c r="G1160" s="17"/>
      <c r="H1160" s="17"/>
    </row>
    <row r="1161" spans="1:8">
      <c r="A1161" s="26"/>
      <c r="B1161" s="26"/>
    </row>
    <row r="1162" spans="1:8">
      <c r="A1162" s="26"/>
      <c r="B1162" s="26"/>
    </row>
    <row r="1163" spans="1:8">
      <c r="A1163" s="26"/>
      <c r="B1163" s="26"/>
    </row>
    <row r="1164" spans="1:8">
      <c r="A1164" s="26"/>
      <c r="B1164" s="26"/>
    </row>
    <row r="1165" spans="1:8">
      <c r="A1165" s="26"/>
      <c r="B1165" s="26"/>
    </row>
    <row r="1166" spans="1:8">
      <c r="A1166" s="26"/>
      <c r="B1166" s="26"/>
    </row>
    <row r="1167" spans="1:8">
      <c r="A1167" s="26"/>
      <c r="B1167" s="26"/>
    </row>
    <row r="1168" spans="1:8">
      <c r="A1168" s="26"/>
      <c r="B1168" s="26"/>
    </row>
    <row r="1169" spans="1:5">
      <c r="A1169" s="26"/>
      <c r="B1169" s="26"/>
      <c r="D1169" s="17"/>
      <c r="E1169" s="17"/>
    </row>
    <row r="1170" spans="1:5">
      <c r="A1170" s="26"/>
      <c r="B1170" s="26"/>
      <c r="D1170" s="17"/>
      <c r="E1170" s="17"/>
    </row>
    <row r="1171" spans="1:5">
      <c r="A1171" s="26"/>
      <c r="B1171" s="26"/>
      <c r="D1171" s="17"/>
      <c r="E1171" s="17"/>
    </row>
    <row r="1172" spans="1:5">
      <c r="A1172" s="26"/>
      <c r="B1172" s="26"/>
      <c r="D1172" s="17"/>
      <c r="E1172" s="17"/>
    </row>
    <row r="1173" spans="1:5">
      <c r="A1173" s="26"/>
      <c r="B1173" s="26"/>
      <c r="D1173" s="17"/>
      <c r="E1173" s="17"/>
    </row>
    <row r="1174" spans="1:5">
      <c r="A1174" s="26"/>
      <c r="B1174" s="26"/>
      <c r="D1174" s="17"/>
      <c r="E1174" s="17"/>
    </row>
    <row r="1175" spans="1:5">
      <c r="A1175" s="26"/>
      <c r="B1175" s="26"/>
      <c r="D1175" s="17"/>
      <c r="E1175" s="17"/>
    </row>
    <row r="1176" spans="1:5">
      <c r="A1176" s="26"/>
      <c r="B1176" s="26"/>
      <c r="D1176" s="17"/>
      <c r="E1176" s="17"/>
    </row>
    <row r="1177" spans="1:5">
      <c r="A1177" s="26"/>
      <c r="B1177" s="26"/>
      <c r="D1177" s="17"/>
      <c r="E1177" s="17"/>
    </row>
    <row r="1178" spans="1:5">
      <c r="A1178" s="26"/>
      <c r="B1178" s="26"/>
      <c r="D1178" s="17"/>
      <c r="E1178" s="17"/>
    </row>
    <row r="1179" spans="1:5">
      <c r="A1179" s="26"/>
      <c r="B1179" s="26"/>
      <c r="D1179" s="17"/>
      <c r="E1179" s="17"/>
    </row>
    <row r="1180" spans="1:5">
      <c r="A1180" s="26"/>
      <c r="B1180" s="26"/>
      <c r="D1180" s="17"/>
      <c r="E1180" s="17"/>
    </row>
    <row r="1181" spans="1:5">
      <c r="A1181" s="26"/>
      <c r="B1181" s="26"/>
      <c r="D1181" s="17"/>
      <c r="E1181" s="17"/>
    </row>
    <row r="1182" spans="1:5">
      <c r="A1182" s="26"/>
      <c r="B1182" s="26"/>
      <c r="D1182" s="17"/>
      <c r="E1182" s="17"/>
    </row>
    <row r="1183" spans="1:5">
      <c r="A1183" s="26"/>
      <c r="B1183" s="26"/>
      <c r="D1183" s="17"/>
      <c r="E1183" s="17"/>
    </row>
    <row r="1184" spans="1:5">
      <c r="A1184" s="26"/>
      <c r="B1184" s="26"/>
      <c r="D1184" s="17"/>
      <c r="E1184" s="17"/>
    </row>
    <row r="1185" spans="1:5">
      <c r="A1185" s="26"/>
      <c r="B1185" s="26"/>
      <c r="D1185" s="17"/>
      <c r="E1185" s="17"/>
    </row>
    <row r="1186" spans="1:5">
      <c r="A1186" s="26"/>
      <c r="B1186" s="26"/>
      <c r="D1186" s="17"/>
      <c r="E1186" s="17"/>
    </row>
    <row r="1187" spans="1:5">
      <c r="A1187" s="26"/>
      <c r="B1187" s="26"/>
      <c r="D1187" s="17"/>
      <c r="E1187" s="17"/>
    </row>
    <row r="1188" spans="1:5">
      <c r="A1188" s="26"/>
      <c r="B1188" s="26"/>
      <c r="D1188" s="17"/>
      <c r="E1188" s="17"/>
    </row>
    <row r="1189" spans="1:5">
      <c r="A1189" s="26"/>
      <c r="B1189" s="26"/>
      <c r="D1189" s="17"/>
      <c r="E1189" s="17"/>
    </row>
    <row r="1190" spans="1:5">
      <c r="A1190" s="26"/>
      <c r="B1190" s="26"/>
      <c r="D1190" s="17"/>
      <c r="E1190" s="17"/>
    </row>
    <row r="1191" spans="1:5">
      <c r="A1191" s="26"/>
      <c r="B1191" s="26"/>
      <c r="D1191" s="17"/>
      <c r="E1191" s="17"/>
    </row>
    <row r="1192" spans="1:5">
      <c r="A1192" s="26"/>
      <c r="B1192" s="26"/>
      <c r="D1192" s="17"/>
      <c r="E1192" s="17"/>
    </row>
    <row r="1193" spans="1:5">
      <c r="A1193" s="26"/>
      <c r="B1193" s="26"/>
      <c r="D1193" s="17"/>
      <c r="E1193" s="17"/>
    </row>
    <row r="1194" spans="1:5">
      <c r="A1194" s="26"/>
      <c r="B1194" s="26"/>
      <c r="D1194" s="17"/>
      <c r="E1194" s="17"/>
    </row>
    <row r="1195" spans="1:5">
      <c r="A1195" s="26"/>
      <c r="B1195" s="26"/>
      <c r="D1195" s="17"/>
      <c r="E1195" s="17"/>
    </row>
    <row r="1196" spans="1:5">
      <c r="A1196" s="26"/>
      <c r="B1196" s="26"/>
      <c r="D1196" s="17"/>
      <c r="E1196" s="17"/>
    </row>
    <row r="1197" spans="1:5">
      <c r="A1197" s="26"/>
      <c r="B1197" s="26"/>
      <c r="D1197" s="17"/>
      <c r="E1197" s="17"/>
    </row>
    <row r="1198" spans="1:5">
      <c r="A1198" s="26"/>
      <c r="B1198" s="26"/>
      <c r="D1198" s="17"/>
      <c r="E1198" s="17"/>
    </row>
    <row r="1199" spans="1:5">
      <c r="A1199" s="26"/>
      <c r="B1199" s="26"/>
      <c r="D1199" s="17"/>
      <c r="E1199" s="17"/>
    </row>
    <row r="1200" spans="1:5">
      <c r="A1200" s="26"/>
      <c r="B1200" s="26"/>
      <c r="D1200" s="17"/>
      <c r="E1200" s="17"/>
    </row>
    <row r="1201" spans="1:5">
      <c r="A1201" s="26"/>
      <c r="B1201" s="26"/>
      <c r="D1201" s="17"/>
      <c r="E1201" s="17"/>
    </row>
    <row r="1202" spans="1:5">
      <c r="A1202" s="26"/>
      <c r="B1202" s="26"/>
      <c r="D1202" s="17"/>
      <c r="E1202" s="17"/>
    </row>
    <row r="1203" spans="1:5">
      <c r="A1203" s="26"/>
      <c r="B1203" s="26"/>
      <c r="D1203" s="17"/>
      <c r="E1203" s="17"/>
    </row>
    <row r="1204" spans="1:5">
      <c r="A1204" s="26"/>
      <c r="B1204" s="26"/>
      <c r="D1204" s="17"/>
      <c r="E1204" s="17"/>
    </row>
    <row r="1205" spans="1:5">
      <c r="A1205" s="26"/>
      <c r="B1205" s="26"/>
      <c r="D1205" s="17"/>
      <c r="E1205" s="17"/>
    </row>
    <row r="1206" spans="1:5">
      <c r="A1206" s="26"/>
      <c r="B1206" s="26"/>
      <c r="D1206" s="17"/>
      <c r="E1206" s="17"/>
    </row>
    <row r="1207" spans="1:5">
      <c r="A1207" s="26"/>
      <c r="B1207" s="26"/>
      <c r="D1207" s="17"/>
      <c r="E1207" s="17"/>
    </row>
    <row r="1208" spans="1:5">
      <c r="A1208" s="26"/>
      <c r="B1208" s="26"/>
      <c r="D1208" s="17"/>
      <c r="E1208" s="17"/>
    </row>
    <row r="1209" spans="1:5">
      <c r="A1209" s="26"/>
      <c r="B1209" s="26"/>
      <c r="D1209" s="17"/>
      <c r="E1209" s="17"/>
    </row>
    <row r="1210" spans="1:5">
      <c r="A1210" s="26"/>
      <c r="B1210" s="26"/>
      <c r="D1210" s="17"/>
      <c r="E1210" s="17"/>
    </row>
    <row r="1211" spans="1:5">
      <c r="A1211" s="26"/>
      <c r="B1211" s="26"/>
      <c r="D1211" s="17"/>
      <c r="E1211" s="17"/>
    </row>
    <row r="1212" spans="1:5">
      <c r="A1212" s="26"/>
      <c r="B1212" s="26"/>
      <c r="D1212" s="17"/>
      <c r="E1212" s="17"/>
    </row>
    <row r="1213" spans="1:5">
      <c r="A1213" s="26"/>
      <c r="B1213" s="26"/>
      <c r="D1213" s="17"/>
      <c r="E1213" s="17"/>
    </row>
    <row r="1214" spans="1:5">
      <c r="A1214" s="26"/>
      <c r="B1214" s="26"/>
      <c r="D1214" s="17"/>
      <c r="E1214" s="17"/>
    </row>
    <row r="1215" spans="1:5">
      <c r="A1215" s="26"/>
      <c r="B1215" s="26"/>
      <c r="D1215" s="17"/>
      <c r="E1215" s="17"/>
    </row>
    <row r="1216" spans="1:5">
      <c r="A1216" s="26"/>
      <c r="B1216" s="26"/>
      <c r="D1216" s="17"/>
      <c r="E1216" s="17"/>
    </row>
    <row r="1217" spans="1:5">
      <c r="A1217" s="26"/>
      <c r="B1217" s="26"/>
      <c r="D1217" s="17"/>
      <c r="E1217" s="17"/>
    </row>
    <row r="1218" spans="1:5">
      <c r="A1218" s="26"/>
      <c r="B1218" s="26"/>
      <c r="D1218" s="17"/>
      <c r="E1218" s="17"/>
    </row>
    <row r="1219" spans="1:5">
      <c r="A1219" s="26"/>
      <c r="B1219" s="26"/>
      <c r="D1219" s="17"/>
      <c r="E1219" s="17"/>
    </row>
    <row r="1220" spans="1:5">
      <c r="A1220" s="26"/>
      <c r="B1220" s="26"/>
      <c r="D1220" s="17"/>
      <c r="E1220" s="17"/>
    </row>
    <row r="1221" spans="1:5">
      <c r="A1221" s="26"/>
      <c r="B1221" s="26"/>
      <c r="D1221" s="17"/>
      <c r="E1221" s="17"/>
    </row>
    <row r="1222" spans="1:5">
      <c r="A1222" s="26"/>
      <c r="B1222" s="26"/>
      <c r="D1222" s="17"/>
      <c r="E1222" s="17"/>
    </row>
    <row r="1223" spans="1:5">
      <c r="A1223" s="26"/>
      <c r="B1223" s="26"/>
      <c r="D1223" s="17"/>
      <c r="E1223" s="17"/>
    </row>
    <row r="1224" spans="1:5">
      <c r="A1224" s="26"/>
      <c r="B1224" s="26"/>
      <c r="D1224" s="17"/>
      <c r="E1224" s="17"/>
    </row>
    <row r="1225" spans="1:5">
      <c r="A1225" s="26"/>
      <c r="B1225" s="26"/>
      <c r="D1225" s="17"/>
      <c r="E1225" s="17"/>
    </row>
    <row r="1226" spans="1:5">
      <c r="A1226" s="26"/>
      <c r="B1226" s="26"/>
      <c r="D1226" s="17"/>
      <c r="E1226" s="17"/>
    </row>
    <row r="1227" spans="1:5">
      <c r="A1227" s="26"/>
      <c r="B1227" s="26"/>
      <c r="D1227" s="17"/>
      <c r="E1227" s="17"/>
    </row>
    <row r="1228" spans="1:5">
      <c r="A1228" s="26"/>
      <c r="B1228" s="26"/>
      <c r="D1228" s="17"/>
      <c r="E1228" s="17"/>
    </row>
    <row r="1229" spans="1:5">
      <c r="A1229" s="26"/>
      <c r="B1229" s="26"/>
      <c r="D1229" s="17"/>
      <c r="E1229" s="17"/>
    </row>
    <row r="1230" spans="1:5">
      <c r="A1230" s="26"/>
      <c r="B1230" s="26"/>
      <c r="D1230" s="17"/>
      <c r="E1230" s="17"/>
    </row>
    <row r="1231" spans="1:5">
      <c r="A1231" s="26"/>
      <c r="B1231" s="26"/>
      <c r="D1231" s="17"/>
      <c r="E1231" s="17"/>
    </row>
    <row r="1232" spans="1:5">
      <c r="A1232" s="26"/>
      <c r="B1232" s="26"/>
      <c r="D1232" s="17"/>
      <c r="E1232" s="17"/>
    </row>
    <row r="1233" spans="1:5">
      <c r="A1233" s="26"/>
      <c r="B1233" s="26"/>
      <c r="D1233" s="17"/>
      <c r="E1233" s="17"/>
    </row>
    <row r="1234" spans="1:5">
      <c r="A1234" s="26"/>
      <c r="B1234" s="26"/>
      <c r="D1234" s="17"/>
      <c r="E1234" s="17"/>
    </row>
    <row r="1235" spans="1:5">
      <c r="A1235" s="26"/>
      <c r="B1235" s="26"/>
      <c r="D1235" s="17"/>
      <c r="E1235" s="17"/>
    </row>
    <row r="1236" spans="1:5">
      <c r="A1236" s="26"/>
      <c r="B1236" s="26"/>
      <c r="D1236" s="17"/>
      <c r="E1236" s="17"/>
    </row>
    <row r="1237" spans="1:5">
      <c r="A1237" s="26"/>
      <c r="B1237" s="26"/>
      <c r="D1237" s="17"/>
      <c r="E1237" s="17"/>
    </row>
    <row r="1238" spans="1:5">
      <c r="A1238" s="26"/>
      <c r="B1238" s="26"/>
      <c r="D1238" s="17"/>
      <c r="E1238" s="17"/>
    </row>
    <row r="1239" spans="1:5">
      <c r="A1239" s="26"/>
      <c r="B1239" s="26"/>
      <c r="D1239" s="17"/>
      <c r="E1239" s="17"/>
    </row>
    <row r="1240" spans="1:5">
      <c r="A1240" s="26"/>
      <c r="B1240" s="26"/>
      <c r="D1240" s="17"/>
      <c r="E1240" s="17"/>
    </row>
    <row r="1241" spans="1:5">
      <c r="A1241" s="26"/>
      <c r="B1241" s="26"/>
      <c r="D1241" s="17"/>
      <c r="E1241" s="17"/>
    </row>
    <row r="1242" spans="1:5">
      <c r="A1242" s="26"/>
      <c r="B1242" s="26"/>
      <c r="D1242" s="17"/>
      <c r="E1242" s="17"/>
    </row>
    <row r="1243" spans="1:5">
      <c r="A1243" s="26"/>
      <c r="B1243" s="26"/>
      <c r="D1243" s="17"/>
      <c r="E1243" s="17"/>
    </row>
    <row r="1244" spans="1:5">
      <c r="A1244" s="26"/>
      <c r="B1244" s="26"/>
      <c r="D1244" s="17"/>
      <c r="E1244" s="17"/>
    </row>
    <row r="1245" spans="1:5">
      <c r="A1245" s="26"/>
      <c r="B1245" s="26"/>
      <c r="D1245" s="17"/>
      <c r="E1245" s="17"/>
    </row>
    <row r="1246" spans="1:5">
      <c r="A1246" s="26"/>
      <c r="B1246" s="26"/>
      <c r="D1246" s="17"/>
      <c r="E1246" s="17"/>
    </row>
    <row r="1247" spans="1:5">
      <c r="A1247" s="26"/>
      <c r="B1247" s="26"/>
      <c r="D1247" s="17"/>
      <c r="E1247" s="17"/>
    </row>
    <row r="1248" spans="1:5">
      <c r="A1248" s="26"/>
      <c r="B1248" s="26"/>
      <c r="D1248" s="17"/>
      <c r="E1248" s="17"/>
    </row>
    <row r="1249" spans="1:5">
      <c r="A1249" s="26"/>
      <c r="B1249" s="26"/>
      <c r="D1249" s="17"/>
      <c r="E1249" s="17"/>
    </row>
    <row r="1250" spans="1:5">
      <c r="A1250" s="26"/>
      <c r="B1250" s="26"/>
      <c r="D1250" s="17"/>
      <c r="E1250" s="17"/>
    </row>
    <row r="1251" spans="1:5">
      <c r="A1251" s="26"/>
      <c r="B1251" s="26"/>
      <c r="D1251" s="17"/>
      <c r="E1251" s="17"/>
    </row>
  </sheetData>
  <autoFilter ref="A5:G1136">
    <filterColumn colId="6">
      <customFilters>
        <customFilter operator="notEqual" val=" "/>
      </customFilters>
    </filterColumn>
  </autoFilter>
  <mergeCells count="2">
    <mergeCell ref="A2:G2"/>
    <mergeCell ref="A1:G1"/>
  </mergeCells>
  <printOptions horizontalCentered="1"/>
  <pageMargins left="0.23622047244094499" right="0.15748031496063" top="0.25" bottom="0.34" header="0.22" footer="0.23622047244094499"/>
  <pageSetup paperSize="9" orientation="portrait" errors="blank" r:id="rId1"/>
  <headerFooter alignWithMargins="0"/>
  <rowBreaks count="1" manualBreakCount="1">
    <brk id="1134" max="6" man="1"/>
  </rowBreaks>
</worksheet>
</file>

<file path=xl/worksheets/sheet6.xml><?xml version="1.0" encoding="utf-8"?>
<worksheet xmlns="http://schemas.openxmlformats.org/spreadsheetml/2006/main" xmlns:r="http://schemas.openxmlformats.org/officeDocument/2006/relationships">
  <sheetPr filterMode="1"/>
  <dimension ref="A1:L133"/>
  <sheetViews>
    <sheetView showZeros="0" view="pageBreakPreview" zoomScale="115" zoomScaleNormal="115" zoomScaleSheetLayoutView="115" workbookViewId="0">
      <selection activeCell="G88" sqref="G88:G100"/>
    </sheetView>
  </sheetViews>
  <sheetFormatPr defaultRowHeight="12.75"/>
  <cols>
    <col min="1" max="1" width="4.140625" style="41" customWidth="1"/>
    <col min="2" max="2" width="8" style="14" customWidth="1"/>
    <col min="3" max="3" width="35.7109375" style="41" customWidth="1"/>
    <col min="4" max="4" width="5.5703125" style="41" customWidth="1"/>
    <col min="5" max="5" width="8.85546875" style="327" customWidth="1"/>
    <col min="6" max="6" width="9.85546875" style="328" bestFit="1" customWidth="1"/>
    <col min="7" max="7" width="12.42578125" style="329" customWidth="1"/>
    <col min="8" max="8" width="10.7109375" style="329" customWidth="1"/>
    <col min="9" max="9" width="10.42578125" style="41" bestFit="1" customWidth="1"/>
    <col min="10" max="10" width="9.7109375" style="41" customWidth="1"/>
    <col min="11" max="11" width="10.5703125" style="41" bestFit="1" customWidth="1"/>
    <col min="12" max="12" width="11" style="41" bestFit="1" customWidth="1"/>
    <col min="13" max="257" width="9.140625" style="41"/>
    <col min="258" max="258" width="4.140625" style="41" customWidth="1"/>
    <col min="259" max="259" width="43.140625" style="41" customWidth="1"/>
    <col min="260" max="260" width="8.5703125" style="41" customWidth="1"/>
    <col min="261" max="261" width="5.5703125" style="41" customWidth="1"/>
    <col min="262" max="262" width="10.140625" style="41" bestFit="1" customWidth="1"/>
    <col min="263" max="263" width="9.140625" style="41"/>
    <col min="264" max="264" width="10.7109375" style="41" customWidth="1"/>
    <col min="265" max="513" width="9.140625" style="41"/>
    <col min="514" max="514" width="4.140625" style="41" customWidth="1"/>
    <col min="515" max="515" width="43.140625" style="41" customWidth="1"/>
    <col min="516" max="516" width="8.5703125" style="41" customWidth="1"/>
    <col min="517" max="517" width="5.5703125" style="41" customWidth="1"/>
    <col min="518" max="518" width="10.140625" style="41" bestFit="1" customWidth="1"/>
    <col min="519" max="519" width="9.140625" style="41"/>
    <col min="520" max="520" width="10.7109375" style="41" customWidth="1"/>
    <col min="521" max="769" width="9.140625" style="41"/>
    <col min="770" max="770" width="4.140625" style="41" customWidth="1"/>
    <col min="771" max="771" width="43.140625" style="41" customWidth="1"/>
    <col min="772" max="772" width="8.5703125" style="41" customWidth="1"/>
    <col min="773" max="773" width="5.5703125" style="41" customWidth="1"/>
    <col min="774" max="774" width="10.140625" style="41" bestFit="1" customWidth="1"/>
    <col min="775" max="775" width="9.140625" style="41"/>
    <col min="776" max="776" width="10.7109375" style="41" customWidth="1"/>
    <col min="777" max="1025" width="9.140625" style="41"/>
    <col min="1026" max="1026" width="4.140625" style="41" customWidth="1"/>
    <col min="1027" max="1027" width="43.140625" style="41" customWidth="1"/>
    <col min="1028" max="1028" width="8.5703125" style="41" customWidth="1"/>
    <col min="1029" max="1029" width="5.5703125" style="41" customWidth="1"/>
    <col min="1030" max="1030" width="10.140625" style="41" bestFit="1" customWidth="1"/>
    <col min="1031" max="1031" width="9.140625" style="41"/>
    <col min="1032" max="1032" width="10.7109375" style="41" customWidth="1"/>
    <col min="1033" max="1281" width="9.140625" style="41"/>
    <col min="1282" max="1282" width="4.140625" style="41" customWidth="1"/>
    <col min="1283" max="1283" width="43.140625" style="41" customWidth="1"/>
    <col min="1284" max="1284" width="8.5703125" style="41" customWidth="1"/>
    <col min="1285" max="1285" width="5.5703125" style="41" customWidth="1"/>
    <col min="1286" max="1286" width="10.140625" style="41" bestFit="1" customWidth="1"/>
    <col min="1287" max="1287" width="9.140625" style="41"/>
    <col min="1288" max="1288" width="10.7109375" style="41" customWidth="1"/>
    <col min="1289" max="1537" width="9.140625" style="41"/>
    <col min="1538" max="1538" width="4.140625" style="41" customWidth="1"/>
    <col min="1539" max="1539" width="43.140625" style="41" customWidth="1"/>
    <col min="1540" max="1540" width="8.5703125" style="41" customWidth="1"/>
    <col min="1541" max="1541" width="5.5703125" style="41" customWidth="1"/>
    <col min="1542" max="1542" width="10.140625" style="41" bestFit="1" customWidth="1"/>
    <col min="1543" max="1543" width="9.140625" style="41"/>
    <col min="1544" max="1544" width="10.7109375" style="41" customWidth="1"/>
    <col min="1545" max="1793" width="9.140625" style="41"/>
    <col min="1794" max="1794" width="4.140625" style="41" customWidth="1"/>
    <col min="1795" max="1795" width="43.140625" style="41" customWidth="1"/>
    <col min="1796" max="1796" width="8.5703125" style="41" customWidth="1"/>
    <col min="1797" max="1797" width="5.5703125" style="41" customWidth="1"/>
    <col min="1798" max="1798" width="10.140625" style="41" bestFit="1" customWidth="1"/>
    <col min="1799" max="1799" width="9.140625" style="41"/>
    <col min="1800" max="1800" width="10.7109375" style="41" customWidth="1"/>
    <col min="1801" max="2049" width="9.140625" style="41"/>
    <col min="2050" max="2050" width="4.140625" style="41" customWidth="1"/>
    <col min="2051" max="2051" width="43.140625" style="41" customWidth="1"/>
    <col min="2052" max="2052" width="8.5703125" style="41" customWidth="1"/>
    <col min="2053" max="2053" width="5.5703125" style="41" customWidth="1"/>
    <col min="2054" max="2054" width="10.140625" style="41" bestFit="1" customWidth="1"/>
    <col min="2055" max="2055" width="9.140625" style="41"/>
    <col min="2056" max="2056" width="10.7109375" style="41" customWidth="1"/>
    <col min="2057" max="2305" width="9.140625" style="41"/>
    <col min="2306" max="2306" width="4.140625" style="41" customWidth="1"/>
    <col min="2307" max="2307" width="43.140625" style="41" customWidth="1"/>
    <col min="2308" max="2308" width="8.5703125" style="41" customWidth="1"/>
    <col min="2309" max="2309" width="5.5703125" style="41" customWidth="1"/>
    <col min="2310" max="2310" width="10.140625" style="41" bestFit="1" customWidth="1"/>
    <col min="2311" max="2311" width="9.140625" style="41"/>
    <col min="2312" max="2312" width="10.7109375" style="41" customWidth="1"/>
    <col min="2313" max="2561" width="9.140625" style="41"/>
    <col min="2562" max="2562" width="4.140625" style="41" customWidth="1"/>
    <col min="2563" max="2563" width="43.140625" style="41" customWidth="1"/>
    <col min="2564" max="2564" width="8.5703125" style="41" customWidth="1"/>
    <col min="2565" max="2565" width="5.5703125" style="41" customWidth="1"/>
    <col min="2566" max="2566" width="10.140625" style="41" bestFit="1" customWidth="1"/>
    <col min="2567" max="2567" width="9.140625" style="41"/>
    <col min="2568" max="2568" width="10.7109375" style="41" customWidth="1"/>
    <col min="2569" max="2817" width="9.140625" style="41"/>
    <col min="2818" max="2818" width="4.140625" style="41" customWidth="1"/>
    <col min="2819" max="2819" width="43.140625" style="41" customWidth="1"/>
    <col min="2820" max="2820" width="8.5703125" style="41" customWidth="1"/>
    <col min="2821" max="2821" width="5.5703125" style="41" customWidth="1"/>
    <col min="2822" max="2822" width="10.140625" style="41" bestFit="1" customWidth="1"/>
    <col min="2823" max="2823" width="9.140625" style="41"/>
    <col min="2824" max="2824" width="10.7109375" style="41" customWidth="1"/>
    <col min="2825" max="3073" width="9.140625" style="41"/>
    <col min="3074" max="3074" width="4.140625" style="41" customWidth="1"/>
    <col min="3075" max="3075" width="43.140625" style="41" customWidth="1"/>
    <col min="3076" max="3076" width="8.5703125" style="41" customWidth="1"/>
    <col min="3077" max="3077" width="5.5703125" style="41" customWidth="1"/>
    <col min="3078" max="3078" width="10.140625" style="41" bestFit="1" customWidth="1"/>
    <col min="3079" max="3079" width="9.140625" style="41"/>
    <col min="3080" max="3080" width="10.7109375" style="41" customWidth="1"/>
    <col min="3081" max="3329" width="9.140625" style="41"/>
    <col min="3330" max="3330" width="4.140625" style="41" customWidth="1"/>
    <col min="3331" max="3331" width="43.140625" style="41" customWidth="1"/>
    <col min="3332" max="3332" width="8.5703125" style="41" customWidth="1"/>
    <col min="3333" max="3333" width="5.5703125" style="41" customWidth="1"/>
    <col min="3334" max="3334" width="10.140625" style="41" bestFit="1" customWidth="1"/>
    <col min="3335" max="3335" width="9.140625" style="41"/>
    <col min="3336" max="3336" width="10.7109375" style="41" customWidth="1"/>
    <col min="3337" max="3585" width="9.140625" style="41"/>
    <col min="3586" max="3586" width="4.140625" style="41" customWidth="1"/>
    <col min="3587" max="3587" width="43.140625" style="41" customWidth="1"/>
    <col min="3588" max="3588" width="8.5703125" style="41" customWidth="1"/>
    <col min="3589" max="3589" width="5.5703125" style="41" customWidth="1"/>
    <col min="3590" max="3590" width="10.140625" style="41" bestFit="1" customWidth="1"/>
    <col min="3591" max="3591" width="9.140625" style="41"/>
    <col min="3592" max="3592" width="10.7109375" style="41" customWidth="1"/>
    <col min="3593" max="3841" width="9.140625" style="41"/>
    <col min="3842" max="3842" width="4.140625" style="41" customWidth="1"/>
    <col min="3843" max="3843" width="43.140625" style="41" customWidth="1"/>
    <col min="3844" max="3844" width="8.5703125" style="41" customWidth="1"/>
    <col min="3845" max="3845" width="5.5703125" style="41" customWidth="1"/>
    <col min="3846" max="3846" width="10.140625" style="41" bestFit="1" customWidth="1"/>
    <col min="3847" max="3847" width="9.140625" style="41"/>
    <col min="3848" max="3848" width="10.7109375" style="41" customWidth="1"/>
    <col min="3849" max="4097" width="9.140625" style="41"/>
    <col min="4098" max="4098" width="4.140625" style="41" customWidth="1"/>
    <col min="4099" max="4099" width="43.140625" style="41" customWidth="1"/>
    <col min="4100" max="4100" width="8.5703125" style="41" customWidth="1"/>
    <col min="4101" max="4101" width="5.5703125" style="41" customWidth="1"/>
    <col min="4102" max="4102" width="10.140625" style="41" bestFit="1" customWidth="1"/>
    <col min="4103" max="4103" width="9.140625" style="41"/>
    <col min="4104" max="4104" width="10.7109375" style="41" customWidth="1"/>
    <col min="4105" max="4353" width="9.140625" style="41"/>
    <col min="4354" max="4354" width="4.140625" style="41" customWidth="1"/>
    <col min="4355" max="4355" width="43.140625" style="41" customWidth="1"/>
    <col min="4356" max="4356" width="8.5703125" style="41" customWidth="1"/>
    <col min="4357" max="4357" width="5.5703125" style="41" customWidth="1"/>
    <col min="4358" max="4358" width="10.140625" style="41" bestFit="1" customWidth="1"/>
    <col min="4359" max="4359" width="9.140625" style="41"/>
    <col min="4360" max="4360" width="10.7109375" style="41" customWidth="1"/>
    <col min="4361" max="4609" width="9.140625" style="41"/>
    <col min="4610" max="4610" width="4.140625" style="41" customWidth="1"/>
    <col min="4611" max="4611" width="43.140625" style="41" customWidth="1"/>
    <col min="4612" max="4612" width="8.5703125" style="41" customWidth="1"/>
    <col min="4613" max="4613" width="5.5703125" style="41" customWidth="1"/>
    <col min="4614" max="4614" width="10.140625" style="41" bestFit="1" customWidth="1"/>
    <col min="4615" max="4615" width="9.140625" style="41"/>
    <col min="4616" max="4616" width="10.7109375" style="41" customWidth="1"/>
    <col min="4617" max="4865" width="9.140625" style="41"/>
    <col min="4866" max="4866" width="4.140625" style="41" customWidth="1"/>
    <col min="4867" max="4867" width="43.140625" style="41" customWidth="1"/>
    <col min="4868" max="4868" width="8.5703125" style="41" customWidth="1"/>
    <col min="4869" max="4869" width="5.5703125" style="41" customWidth="1"/>
    <col min="4870" max="4870" width="10.140625" style="41" bestFit="1" customWidth="1"/>
    <col min="4871" max="4871" width="9.140625" style="41"/>
    <col min="4872" max="4872" width="10.7109375" style="41" customWidth="1"/>
    <col min="4873" max="5121" width="9.140625" style="41"/>
    <col min="5122" max="5122" width="4.140625" style="41" customWidth="1"/>
    <col min="5123" max="5123" width="43.140625" style="41" customWidth="1"/>
    <col min="5124" max="5124" width="8.5703125" style="41" customWidth="1"/>
    <col min="5125" max="5125" width="5.5703125" style="41" customWidth="1"/>
    <col min="5126" max="5126" width="10.140625" style="41" bestFit="1" customWidth="1"/>
    <col min="5127" max="5127" width="9.140625" style="41"/>
    <col min="5128" max="5128" width="10.7109375" style="41" customWidth="1"/>
    <col min="5129" max="5377" width="9.140625" style="41"/>
    <col min="5378" max="5378" width="4.140625" style="41" customWidth="1"/>
    <col min="5379" max="5379" width="43.140625" style="41" customWidth="1"/>
    <col min="5380" max="5380" width="8.5703125" style="41" customWidth="1"/>
    <col min="5381" max="5381" width="5.5703125" style="41" customWidth="1"/>
    <col min="5382" max="5382" width="10.140625" style="41" bestFit="1" customWidth="1"/>
    <col min="5383" max="5383" width="9.140625" style="41"/>
    <col min="5384" max="5384" width="10.7109375" style="41" customWidth="1"/>
    <col min="5385" max="5633" width="9.140625" style="41"/>
    <col min="5634" max="5634" width="4.140625" style="41" customWidth="1"/>
    <col min="5635" max="5635" width="43.140625" style="41" customWidth="1"/>
    <col min="5636" max="5636" width="8.5703125" style="41" customWidth="1"/>
    <col min="5637" max="5637" width="5.5703125" style="41" customWidth="1"/>
    <col min="5638" max="5638" width="10.140625" style="41" bestFit="1" customWidth="1"/>
    <col min="5639" max="5639" width="9.140625" style="41"/>
    <col min="5640" max="5640" width="10.7109375" style="41" customWidth="1"/>
    <col min="5641" max="5889" width="9.140625" style="41"/>
    <col min="5890" max="5890" width="4.140625" style="41" customWidth="1"/>
    <col min="5891" max="5891" width="43.140625" style="41" customWidth="1"/>
    <col min="5892" max="5892" width="8.5703125" style="41" customWidth="1"/>
    <col min="5893" max="5893" width="5.5703125" style="41" customWidth="1"/>
    <col min="5894" max="5894" width="10.140625" style="41" bestFit="1" customWidth="1"/>
    <col min="5895" max="5895" width="9.140625" style="41"/>
    <col min="5896" max="5896" width="10.7109375" style="41" customWidth="1"/>
    <col min="5897" max="6145" width="9.140625" style="41"/>
    <col min="6146" max="6146" width="4.140625" style="41" customWidth="1"/>
    <col min="6147" max="6147" width="43.140625" style="41" customWidth="1"/>
    <col min="6148" max="6148" width="8.5703125" style="41" customWidth="1"/>
    <col min="6149" max="6149" width="5.5703125" style="41" customWidth="1"/>
    <col min="6150" max="6150" width="10.140625" style="41" bestFit="1" customWidth="1"/>
    <col min="6151" max="6151" width="9.140625" style="41"/>
    <col min="6152" max="6152" width="10.7109375" style="41" customWidth="1"/>
    <col min="6153" max="6401" width="9.140625" style="41"/>
    <col min="6402" max="6402" width="4.140625" style="41" customWidth="1"/>
    <col min="6403" max="6403" width="43.140625" style="41" customWidth="1"/>
    <col min="6404" max="6404" width="8.5703125" style="41" customWidth="1"/>
    <col min="6405" max="6405" width="5.5703125" style="41" customWidth="1"/>
    <col min="6406" max="6406" width="10.140625" style="41" bestFit="1" customWidth="1"/>
    <col min="6407" max="6407" width="9.140625" style="41"/>
    <col min="6408" max="6408" width="10.7109375" style="41" customWidth="1"/>
    <col min="6409" max="6657" width="9.140625" style="41"/>
    <col min="6658" max="6658" width="4.140625" style="41" customWidth="1"/>
    <col min="6659" max="6659" width="43.140625" style="41" customWidth="1"/>
    <col min="6660" max="6660" width="8.5703125" style="41" customWidth="1"/>
    <col min="6661" max="6661" width="5.5703125" style="41" customWidth="1"/>
    <col min="6662" max="6662" width="10.140625" style="41" bestFit="1" customWidth="1"/>
    <col min="6663" max="6663" width="9.140625" style="41"/>
    <col min="6664" max="6664" width="10.7109375" style="41" customWidth="1"/>
    <col min="6665" max="6913" width="9.140625" style="41"/>
    <col min="6914" max="6914" width="4.140625" style="41" customWidth="1"/>
    <col min="6915" max="6915" width="43.140625" style="41" customWidth="1"/>
    <col min="6916" max="6916" width="8.5703125" style="41" customWidth="1"/>
    <col min="6917" max="6917" width="5.5703125" style="41" customWidth="1"/>
    <col min="6918" max="6918" width="10.140625" style="41" bestFit="1" customWidth="1"/>
    <col min="6919" max="6919" width="9.140625" style="41"/>
    <col min="6920" max="6920" width="10.7109375" style="41" customWidth="1"/>
    <col min="6921" max="7169" width="9.140625" style="41"/>
    <col min="7170" max="7170" width="4.140625" style="41" customWidth="1"/>
    <col min="7171" max="7171" width="43.140625" style="41" customWidth="1"/>
    <col min="7172" max="7172" width="8.5703125" style="41" customWidth="1"/>
    <col min="7173" max="7173" width="5.5703125" style="41" customWidth="1"/>
    <col min="7174" max="7174" width="10.140625" style="41" bestFit="1" customWidth="1"/>
    <col min="7175" max="7175" width="9.140625" style="41"/>
    <col min="7176" max="7176" width="10.7109375" style="41" customWidth="1"/>
    <col min="7177" max="7425" width="9.140625" style="41"/>
    <col min="7426" max="7426" width="4.140625" style="41" customWidth="1"/>
    <col min="7427" max="7427" width="43.140625" style="41" customWidth="1"/>
    <col min="7428" max="7428" width="8.5703125" style="41" customWidth="1"/>
    <col min="7429" max="7429" width="5.5703125" style="41" customWidth="1"/>
    <col min="7430" max="7430" width="10.140625" style="41" bestFit="1" customWidth="1"/>
    <col min="7431" max="7431" width="9.140625" style="41"/>
    <col min="7432" max="7432" width="10.7109375" style="41" customWidth="1"/>
    <col min="7433" max="7681" width="9.140625" style="41"/>
    <col min="7682" max="7682" width="4.140625" style="41" customWidth="1"/>
    <col min="7683" max="7683" width="43.140625" style="41" customWidth="1"/>
    <col min="7684" max="7684" width="8.5703125" style="41" customWidth="1"/>
    <col min="7685" max="7685" width="5.5703125" style="41" customWidth="1"/>
    <col min="7686" max="7686" width="10.140625" style="41" bestFit="1" customWidth="1"/>
    <col min="7687" max="7687" width="9.140625" style="41"/>
    <col min="7688" max="7688" width="10.7109375" style="41" customWidth="1"/>
    <col min="7689" max="7937" width="9.140625" style="41"/>
    <col min="7938" max="7938" width="4.140625" style="41" customWidth="1"/>
    <col min="7939" max="7939" width="43.140625" style="41" customWidth="1"/>
    <col min="7940" max="7940" width="8.5703125" style="41" customWidth="1"/>
    <col min="7941" max="7941" width="5.5703125" style="41" customWidth="1"/>
    <col min="7942" max="7942" width="10.140625" style="41" bestFit="1" customWidth="1"/>
    <col min="7943" max="7943" width="9.140625" style="41"/>
    <col min="7944" max="7944" width="10.7109375" style="41" customWidth="1"/>
    <col min="7945" max="8193" width="9.140625" style="41"/>
    <col min="8194" max="8194" width="4.140625" style="41" customWidth="1"/>
    <col min="8195" max="8195" width="43.140625" style="41" customWidth="1"/>
    <col min="8196" max="8196" width="8.5703125" style="41" customWidth="1"/>
    <col min="8197" max="8197" width="5.5703125" style="41" customWidth="1"/>
    <col min="8198" max="8198" width="10.140625" style="41" bestFit="1" customWidth="1"/>
    <col min="8199" max="8199" width="9.140625" style="41"/>
    <col min="8200" max="8200" width="10.7109375" style="41" customWidth="1"/>
    <col min="8201" max="8449" width="9.140625" style="41"/>
    <col min="8450" max="8450" width="4.140625" style="41" customWidth="1"/>
    <col min="8451" max="8451" width="43.140625" style="41" customWidth="1"/>
    <col min="8452" max="8452" width="8.5703125" style="41" customWidth="1"/>
    <col min="8453" max="8453" width="5.5703125" style="41" customWidth="1"/>
    <col min="8454" max="8454" width="10.140625" style="41" bestFit="1" customWidth="1"/>
    <col min="8455" max="8455" width="9.140625" style="41"/>
    <col min="8456" max="8456" width="10.7109375" style="41" customWidth="1"/>
    <col min="8457" max="8705" width="9.140625" style="41"/>
    <col min="8706" max="8706" width="4.140625" style="41" customWidth="1"/>
    <col min="8707" max="8707" width="43.140625" style="41" customWidth="1"/>
    <col min="8708" max="8708" width="8.5703125" style="41" customWidth="1"/>
    <col min="8709" max="8709" width="5.5703125" style="41" customWidth="1"/>
    <col min="8710" max="8710" width="10.140625" style="41" bestFit="1" customWidth="1"/>
    <col min="8711" max="8711" width="9.140625" style="41"/>
    <col min="8712" max="8712" width="10.7109375" style="41" customWidth="1"/>
    <col min="8713" max="8961" width="9.140625" style="41"/>
    <col min="8962" max="8962" width="4.140625" style="41" customWidth="1"/>
    <col min="8963" max="8963" width="43.140625" style="41" customWidth="1"/>
    <col min="8964" max="8964" width="8.5703125" style="41" customWidth="1"/>
    <col min="8965" max="8965" width="5.5703125" style="41" customWidth="1"/>
    <col min="8966" max="8966" width="10.140625" style="41" bestFit="1" customWidth="1"/>
    <col min="8967" max="8967" width="9.140625" style="41"/>
    <col min="8968" max="8968" width="10.7109375" style="41" customWidth="1"/>
    <col min="8969" max="9217" width="9.140625" style="41"/>
    <col min="9218" max="9218" width="4.140625" style="41" customWidth="1"/>
    <col min="9219" max="9219" width="43.140625" style="41" customWidth="1"/>
    <col min="9220" max="9220" width="8.5703125" style="41" customWidth="1"/>
    <col min="9221" max="9221" width="5.5703125" style="41" customWidth="1"/>
    <col min="9222" max="9222" width="10.140625" style="41" bestFit="1" customWidth="1"/>
    <col min="9223" max="9223" width="9.140625" style="41"/>
    <col min="9224" max="9224" width="10.7109375" style="41" customWidth="1"/>
    <col min="9225" max="9473" width="9.140625" style="41"/>
    <col min="9474" max="9474" width="4.140625" style="41" customWidth="1"/>
    <col min="9475" max="9475" width="43.140625" style="41" customWidth="1"/>
    <col min="9476" max="9476" width="8.5703125" style="41" customWidth="1"/>
    <col min="9477" max="9477" width="5.5703125" style="41" customWidth="1"/>
    <col min="9478" max="9478" width="10.140625" style="41" bestFit="1" customWidth="1"/>
    <col min="9479" max="9479" width="9.140625" style="41"/>
    <col min="9480" max="9480" width="10.7109375" style="41" customWidth="1"/>
    <col min="9481" max="9729" width="9.140625" style="41"/>
    <col min="9730" max="9730" width="4.140625" style="41" customWidth="1"/>
    <col min="9731" max="9731" width="43.140625" style="41" customWidth="1"/>
    <col min="9732" max="9732" width="8.5703125" style="41" customWidth="1"/>
    <col min="9733" max="9733" width="5.5703125" style="41" customWidth="1"/>
    <col min="9734" max="9734" width="10.140625" style="41" bestFit="1" customWidth="1"/>
    <col min="9735" max="9735" width="9.140625" style="41"/>
    <col min="9736" max="9736" width="10.7109375" style="41" customWidth="1"/>
    <col min="9737" max="9985" width="9.140625" style="41"/>
    <col min="9986" max="9986" width="4.140625" style="41" customWidth="1"/>
    <col min="9987" max="9987" width="43.140625" style="41" customWidth="1"/>
    <col min="9988" max="9988" width="8.5703125" style="41" customWidth="1"/>
    <col min="9989" max="9989" width="5.5703125" style="41" customWidth="1"/>
    <col min="9990" max="9990" width="10.140625" style="41" bestFit="1" customWidth="1"/>
    <col min="9991" max="9991" width="9.140625" style="41"/>
    <col min="9992" max="9992" width="10.7109375" style="41" customWidth="1"/>
    <col min="9993" max="10241" width="9.140625" style="41"/>
    <col min="10242" max="10242" width="4.140625" style="41" customWidth="1"/>
    <col min="10243" max="10243" width="43.140625" style="41" customWidth="1"/>
    <col min="10244" max="10244" width="8.5703125" style="41" customWidth="1"/>
    <col min="10245" max="10245" width="5.5703125" style="41" customWidth="1"/>
    <col min="10246" max="10246" width="10.140625" style="41" bestFit="1" customWidth="1"/>
    <col min="10247" max="10247" width="9.140625" style="41"/>
    <col min="10248" max="10248" width="10.7109375" style="41" customWidth="1"/>
    <col min="10249" max="10497" width="9.140625" style="41"/>
    <col min="10498" max="10498" width="4.140625" style="41" customWidth="1"/>
    <col min="10499" max="10499" width="43.140625" style="41" customWidth="1"/>
    <col min="10500" max="10500" width="8.5703125" style="41" customWidth="1"/>
    <col min="10501" max="10501" width="5.5703125" style="41" customWidth="1"/>
    <col min="10502" max="10502" width="10.140625" style="41" bestFit="1" customWidth="1"/>
    <col min="10503" max="10503" width="9.140625" style="41"/>
    <col min="10504" max="10504" width="10.7109375" style="41" customWidth="1"/>
    <col min="10505" max="10753" width="9.140625" style="41"/>
    <col min="10754" max="10754" width="4.140625" style="41" customWidth="1"/>
    <col min="10755" max="10755" width="43.140625" style="41" customWidth="1"/>
    <col min="10756" max="10756" width="8.5703125" style="41" customWidth="1"/>
    <col min="10757" max="10757" width="5.5703125" style="41" customWidth="1"/>
    <col min="10758" max="10758" width="10.140625" style="41" bestFit="1" customWidth="1"/>
    <col min="10759" max="10759" width="9.140625" style="41"/>
    <col min="10760" max="10760" width="10.7109375" style="41" customWidth="1"/>
    <col min="10761" max="11009" width="9.140625" style="41"/>
    <col min="11010" max="11010" width="4.140625" style="41" customWidth="1"/>
    <col min="11011" max="11011" width="43.140625" style="41" customWidth="1"/>
    <col min="11012" max="11012" width="8.5703125" style="41" customWidth="1"/>
    <col min="11013" max="11013" width="5.5703125" style="41" customWidth="1"/>
    <col min="11014" max="11014" width="10.140625" style="41" bestFit="1" customWidth="1"/>
    <col min="11015" max="11015" width="9.140625" style="41"/>
    <col min="11016" max="11016" width="10.7109375" style="41" customWidth="1"/>
    <col min="11017" max="11265" width="9.140625" style="41"/>
    <col min="11266" max="11266" width="4.140625" style="41" customWidth="1"/>
    <col min="11267" max="11267" width="43.140625" style="41" customWidth="1"/>
    <col min="11268" max="11268" width="8.5703125" style="41" customWidth="1"/>
    <col min="11269" max="11269" width="5.5703125" style="41" customWidth="1"/>
    <col min="11270" max="11270" width="10.140625" style="41" bestFit="1" customWidth="1"/>
    <col min="11271" max="11271" width="9.140625" style="41"/>
    <col min="11272" max="11272" width="10.7109375" style="41" customWidth="1"/>
    <col min="11273" max="11521" width="9.140625" style="41"/>
    <col min="11522" max="11522" width="4.140625" style="41" customWidth="1"/>
    <col min="11523" max="11523" width="43.140625" style="41" customWidth="1"/>
    <col min="11524" max="11524" width="8.5703125" style="41" customWidth="1"/>
    <col min="11525" max="11525" width="5.5703125" style="41" customWidth="1"/>
    <col min="11526" max="11526" width="10.140625" style="41" bestFit="1" customWidth="1"/>
    <col min="11527" max="11527" width="9.140625" style="41"/>
    <col min="11528" max="11528" width="10.7109375" style="41" customWidth="1"/>
    <col min="11529" max="11777" width="9.140625" style="41"/>
    <col min="11778" max="11778" width="4.140625" style="41" customWidth="1"/>
    <col min="11779" max="11779" width="43.140625" style="41" customWidth="1"/>
    <col min="11780" max="11780" width="8.5703125" style="41" customWidth="1"/>
    <col min="11781" max="11781" width="5.5703125" style="41" customWidth="1"/>
    <col min="11782" max="11782" width="10.140625" style="41" bestFit="1" customWidth="1"/>
    <col min="11783" max="11783" width="9.140625" style="41"/>
    <col min="11784" max="11784" width="10.7109375" style="41" customWidth="1"/>
    <col min="11785" max="12033" width="9.140625" style="41"/>
    <col min="12034" max="12034" width="4.140625" style="41" customWidth="1"/>
    <col min="12035" max="12035" width="43.140625" style="41" customWidth="1"/>
    <col min="12036" max="12036" width="8.5703125" style="41" customWidth="1"/>
    <col min="12037" max="12037" width="5.5703125" style="41" customWidth="1"/>
    <col min="12038" max="12038" width="10.140625" style="41" bestFit="1" customWidth="1"/>
    <col min="12039" max="12039" width="9.140625" style="41"/>
    <col min="12040" max="12040" width="10.7109375" style="41" customWidth="1"/>
    <col min="12041" max="12289" width="9.140625" style="41"/>
    <col min="12290" max="12290" width="4.140625" style="41" customWidth="1"/>
    <col min="12291" max="12291" width="43.140625" style="41" customWidth="1"/>
    <col min="12292" max="12292" width="8.5703125" style="41" customWidth="1"/>
    <col min="12293" max="12293" width="5.5703125" style="41" customWidth="1"/>
    <col min="12294" max="12294" width="10.140625" style="41" bestFit="1" customWidth="1"/>
    <col min="12295" max="12295" width="9.140625" style="41"/>
    <col min="12296" max="12296" width="10.7109375" style="41" customWidth="1"/>
    <col min="12297" max="12545" width="9.140625" style="41"/>
    <col min="12546" max="12546" width="4.140625" style="41" customWidth="1"/>
    <col min="12547" max="12547" width="43.140625" style="41" customWidth="1"/>
    <col min="12548" max="12548" width="8.5703125" style="41" customWidth="1"/>
    <col min="12549" max="12549" width="5.5703125" style="41" customWidth="1"/>
    <col min="12550" max="12550" width="10.140625" style="41" bestFit="1" customWidth="1"/>
    <col min="12551" max="12551" width="9.140625" style="41"/>
    <col min="12552" max="12552" width="10.7109375" style="41" customWidth="1"/>
    <col min="12553" max="12801" width="9.140625" style="41"/>
    <col min="12802" max="12802" width="4.140625" style="41" customWidth="1"/>
    <col min="12803" max="12803" width="43.140625" style="41" customWidth="1"/>
    <col min="12804" max="12804" width="8.5703125" style="41" customWidth="1"/>
    <col min="12805" max="12805" width="5.5703125" style="41" customWidth="1"/>
    <col min="12806" max="12806" width="10.140625" style="41" bestFit="1" customWidth="1"/>
    <col min="12807" max="12807" width="9.140625" style="41"/>
    <col min="12808" max="12808" width="10.7109375" style="41" customWidth="1"/>
    <col min="12809" max="13057" width="9.140625" style="41"/>
    <col min="13058" max="13058" width="4.140625" style="41" customWidth="1"/>
    <col min="13059" max="13059" width="43.140625" style="41" customWidth="1"/>
    <col min="13060" max="13060" width="8.5703125" style="41" customWidth="1"/>
    <col min="13061" max="13061" width="5.5703125" style="41" customWidth="1"/>
    <col min="13062" max="13062" width="10.140625" style="41" bestFit="1" customWidth="1"/>
    <col min="13063" max="13063" width="9.140625" style="41"/>
    <col min="13064" max="13064" width="10.7109375" style="41" customWidth="1"/>
    <col min="13065" max="13313" width="9.140625" style="41"/>
    <col min="13314" max="13314" width="4.140625" style="41" customWidth="1"/>
    <col min="13315" max="13315" width="43.140625" style="41" customWidth="1"/>
    <col min="13316" max="13316" width="8.5703125" style="41" customWidth="1"/>
    <col min="13317" max="13317" width="5.5703125" style="41" customWidth="1"/>
    <col min="13318" max="13318" width="10.140625" style="41" bestFit="1" customWidth="1"/>
    <col min="13319" max="13319" width="9.140625" style="41"/>
    <col min="13320" max="13320" width="10.7109375" style="41" customWidth="1"/>
    <col min="13321" max="13569" width="9.140625" style="41"/>
    <col min="13570" max="13570" width="4.140625" style="41" customWidth="1"/>
    <col min="13571" max="13571" width="43.140625" style="41" customWidth="1"/>
    <col min="13572" max="13572" width="8.5703125" style="41" customWidth="1"/>
    <col min="13573" max="13573" width="5.5703125" style="41" customWidth="1"/>
    <col min="13574" max="13574" width="10.140625" style="41" bestFit="1" customWidth="1"/>
    <col min="13575" max="13575" width="9.140625" style="41"/>
    <col min="13576" max="13576" width="10.7109375" style="41" customWidth="1"/>
    <col min="13577" max="13825" width="9.140625" style="41"/>
    <col min="13826" max="13826" width="4.140625" style="41" customWidth="1"/>
    <col min="13827" max="13827" width="43.140625" style="41" customWidth="1"/>
    <col min="13828" max="13828" width="8.5703125" style="41" customWidth="1"/>
    <col min="13829" max="13829" width="5.5703125" style="41" customWidth="1"/>
    <col min="13830" max="13830" width="10.140625" style="41" bestFit="1" customWidth="1"/>
    <col min="13831" max="13831" width="9.140625" style="41"/>
    <col min="13832" max="13832" width="10.7109375" style="41" customWidth="1"/>
    <col min="13833" max="14081" width="9.140625" style="41"/>
    <col min="14082" max="14082" width="4.140625" style="41" customWidth="1"/>
    <col min="14083" max="14083" width="43.140625" style="41" customWidth="1"/>
    <col min="14084" max="14084" width="8.5703125" style="41" customWidth="1"/>
    <col min="14085" max="14085" width="5.5703125" style="41" customWidth="1"/>
    <col min="14086" max="14086" width="10.140625" style="41" bestFit="1" customWidth="1"/>
    <col min="14087" max="14087" width="9.140625" style="41"/>
    <col min="14088" max="14088" width="10.7109375" style="41" customWidth="1"/>
    <col min="14089" max="14337" width="9.140625" style="41"/>
    <col min="14338" max="14338" width="4.140625" style="41" customWidth="1"/>
    <col min="14339" max="14339" width="43.140625" style="41" customWidth="1"/>
    <col min="14340" max="14340" width="8.5703125" style="41" customWidth="1"/>
    <col min="14341" max="14341" width="5.5703125" style="41" customWidth="1"/>
    <col min="14342" max="14342" width="10.140625" style="41" bestFit="1" customWidth="1"/>
    <col min="14343" max="14343" width="9.140625" style="41"/>
    <col min="14344" max="14344" width="10.7109375" style="41" customWidth="1"/>
    <col min="14345" max="14593" width="9.140625" style="41"/>
    <col min="14594" max="14594" width="4.140625" style="41" customWidth="1"/>
    <col min="14595" max="14595" width="43.140625" style="41" customWidth="1"/>
    <col min="14596" max="14596" width="8.5703125" style="41" customWidth="1"/>
    <col min="14597" max="14597" width="5.5703125" style="41" customWidth="1"/>
    <col min="14598" max="14598" width="10.140625" style="41" bestFit="1" customWidth="1"/>
    <col min="14599" max="14599" width="9.140625" style="41"/>
    <col min="14600" max="14600" width="10.7109375" style="41" customWidth="1"/>
    <col min="14601" max="14849" width="9.140625" style="41"/>
    <col min="14850" max="14850" width="4.140625" style="41" customWidth="1"/>
    <col min="14851" max="14851" width="43.140625" style="41" customWidth="1"/>
    <col min="14852" max="14852" width="8.5703125" style="41" customWidth="1"/>
    <col min="14853" max="14853" width="5.5703125" style="41" customWidth="1"/>
    <col min="14854" max="14854" width="10.140625" style="41" bestFit="1" customWidth="1"/>
    <col min="14855" max="14855" width="9.140625" style="41"/>
    <col min="14856" max="14856" width="10.7109375" style="41" customWidth="1"/>
    <col min="14857" max="15105" width="9.140625" style="41"/>
    <col min="15106" max="15106" width="4.140625" style="41" customWidth="1"/>
    <col min="15107" max="15107" width="43.140625" style="41" customWidth="1"/>
    <col min="15108" max="15108" width="8.5703125" style="41" customWidth="1"/>
    <col min="15109" max="15109" width="5.5703125" style="41" customWidth="1"/>
    <col min="15110" max="15110" width="10.140625" style="41" bestFit="1" customWidth="1"/>
    <col min="15111" max="15111" width="9.140625" style="41"/>
    <col min="15112" max="15112" width="10.7109375" style="41" customWidth="1"/>
    <col min="15113" max="15361" width="9.140625" style="41"/>
    <col min="15362" max="15362" width="4.140625" style="41" customWidth="1"/>
    <col min="15363" max="15363" width="43.140625" style="41" customWidth="1"/>
    <col min="15364" max="15364" width="8.5703125" style="41" customWidth="1"/>
    <col min="15365" max="15365" width="5.5703125" style="41" customWidth="1"/>
    <col min="15366" max="15366" width="10.140625" style="41" bestFit="1" customWidth="1"/>
    <col min="15367" max="15367" width="9.140625" style="41"/>
    <col min="15368" max="15368" width="10.7109375" style="41" customWidth="1"/>
    <col min="15369" max="15617" width="9.140625" style="41"/>
    <col min="15618" max="15618" width="4.140625" style="41" customWidth="1"/>
    <col min="15619" max="15619" width="43.140625" style="41" customWidth="1"/>
    <col min="15620" max="15620" width="8.5703125" style="41" customWidth="1"/>
    <col min="15621" max="15621" width="5.5703125" style="41" customWidth="1"/>
    <col min="15622" max="15622" width="10.140625" style="41" bestFit="1" customWidth="1"/>
    <col min="15623" max="15623" width="9.140625" style="41"/>
    <col min="15624" max="15624" width="10.7109375" style="41" customWidth="1"/>
    <col min="15625" max="15873" width="9.140625" style="41"/>
    <col min="15874" max="15874" width="4.140625" style="41" customWidth="1"/>
    <col min="15875" max="15875" width="43.140625" style="41" customWidth="1"/>
    <col min="15876" max="15876" width="8.5703125" style="41" customWidth="1"/>
    <col min="15877" max="15877" width="5.5703125" style="41" customWidth="1"/>
    <col min="15878" max="15878" width="10.140625" style="41" bestFit="1" customWidth="1"/>
    <col min="15879" max="15879" width="9.140625" style="41"/>
    <col min="15880" max="15880" width="10.7109375" style="41" customWidth="1"/>
    <col min="15881" max="16129" width="9.140625" style="41"/>
    <col min="16130" max="16130" width="4.140625" style="41" customWidth="1"/>
    <col min="16131" max="16131" width="43.140625" style="41" customWidth="1"/>
    <col min="16132" max="16132" width="8.5703125" style="41" customWidth="1"/>
    <col min="16133" max="16133" width="5.5703125" style="41" customWidth="1"/>
    <col min="16134" max="16134" width="10.140625" style="41" bestFit="1" customWidth="1"/>
    <col min="16135" max="16135" width="9.140625" style="41"/>
    <col min="16136" max="16136" width="10.7109375" style="41" customWidth="1"/>
    <col min="16137" max="16384" width="9.140625" style="41"/>
  </cols>
  <sheetData>
    <row r="1" spans="1:8" ht="18.75">
      <c r="A1" s="1599" t="s">
        <v>1513</v>
      </c>
      <c r="B1" s="1599"/>
      <c r="C1" s="1599"/>
      <c r="D1" s="1599"/>
      <c r="E1" s="1599"/>
      <c r="F1" s="1599"/>
      <c r="G1" s="1599"/>
      <c r="H1" s="1599"/>
    </row>
    <row r="2" spans="1:8" ht="28.5" customHeight="1">
      <c r="A2" s="1600" t="str">
        <f>'lead 19-20'!B2&amp;'lead 19-20'!C2</f>
        <v>Name of the Work: Providing Additional Space for Health Staff in Grama Sachivalayam of Baduguleru GP of Kanigiri Mandal</v>
      </c>
      <c r="B2" s="1600"/>
      <c r="C2" s="1600"/>
      <c r="D2" s="1600"/>
      <c r="E2" s="1600"/>
      <c r="F2" s="1600"/>
      <c r="G2" s="1600"/>
      <c r="H2" s="1600"/>
    </row>
    <row r="3" spans="1:8">
      <c r="A3" s="331"/>
      <c r="B3" s="332"/>
      <c r="C3" s="14"/>
      <c r="D3" s="14"/>
      <c r="E3" s="333" t="s">
        <v>270</v>
      </c>
      <c r="F3" s="328" t="str">
        <f>'lead 19-20'!K4</f>
        <v>20.80 Lakhs</v>
      </c>
      <c r="G3" s="330"/>
      <c r="H3" s="330"/>
    </row>
    <row r="4" spans="1:8" ht="35.25" customHeight="1">
      <c r="A4" s="13" t="s">
        <v>23</v>
      </c>
      <c r="B4" s="13" t="s">
        <v>144</v>
      </c>
      <c r="C4" s="13" t="s">
        <v>143</v>
      </c>
      <c r="D4" s="13" t="s">
        <v>16</v>
      </c>
      <c r="E4" s="13" t="s">
        <v>138</v>
      </c>
      <c r="F4" s="334" t="s">
        <v>145</v>
      </c>
      <c r="G4" s="334" t="s">
        <v>10</v>
      </c>
      <c r="H4" s="334" t="s">
        <v>1429</v>
      </c>
    </row>
    <row r="5" spans="1:8" ht="20.100000000000001" customHeight="1">
      <c r="A5" s="335">
        <v>1</v>
      </c>
      <c r="B5" s="335">
        <v>34816</v>
      </c>
      <c r="C5" s="326" t="s">
        <v>243</v>
      </c>
      <c r="D5" s="326"/>
      <c r="E5" s="336"/>
      <c r="F5" s="25"/>
      <c r="G5" s="337">
        <v>1</v>
      </c>
      <c r="H5" s="338"/>
    </row>
    <row r="6" spans="1:8" s="434" customFormat="1" hidden="1">
      <c r="A6" s="435"/>
      <c r="B6" s="435"/>
      <c r="C6" s="436" t="s">
        <v>2015</v>
      </c>
      <c r="D6" s="436"/>
      <c r="E6" s="437"/>
      <c r="F6" s="438"/>
      <c r="G6" s="439"/>
      <c r="H6" s="440"/>
    </row>
    <row r="7" spans="1:8" s="366" customFormat="1" hidden="1">
      <c r="A7" s="453"/>
      <c r="B7" s="453"/>
      <c r="C7" s="367" t="s">
        <v>1428</v>
      </c>
      <c r="D7" s="367" t="s">
        <v>102</v>
      </c>
      <c r="E7" s="454">
        <f>'PART-A'!I14</f>
        <v>0</v>
      </c>
      <c r="F7" s="368">
        <f>'PART-A'!K14</f>
        <v>5.22</v>
      </c>
      <c r="G7" s="451">
        <f>ROUND(E7*F7,0)</f>
        <v>0</v>
      </c>
      <c r="H7" s="451"/>
    </row>
    <row r="8" spans="1:8" s="366" customFormat="1">
      <c r="A8" s="453"/>
      <c r="B8" s="453"/>
      <c r="C8" s="367" t="s">
        <v>1430</v>
      </c>
      <c r="D8" s="367" t="s">
        <v>5</v>
      </c>
      <c r="E8" s="454">
        <f>'PART-A'!I49</f>
        <v>71.969999999999985</v>
      </c>
      <c r="F8" s="368">
        <f>'PART-A'!K49</f>
        <v>124.24</v>
      </c>
      <c r="G8" s="451">
        <f>ROUND(E8*F8,0)</f>
        <v>8942</v>
      </c>
      <c r="H8" s="451"/>
    </row>
    <row r="9" spans="1:8" s="434" customFormat="1" hidden="1">
      <c r="A9" s="435"/>
      <c r="B9" s="435"/>
      <c r="C9" s="436" t="s">
        <v>2016</v>
      </c>
      <c r="D9" s="436"/>
      <c r="E9" s="437"/>
      <c r="F9" s="438"/>
      <c r="G9" s="439"/>
      <c r="H9" s="440"/>
    </row>
    <row r="10" spans="1:8" s="434" customFormat="1" hidden="1">
      <c r="A10" s="435"/>
      <c r="B10" s="435"/>
      <c r="C10" s="436" t="s">
        <v>1428</v>
      </c>
      <c r="D10" s="436" t="s">
        <v>102</v>
      </c>
      <c r="E10" s="441">
        <f>'PART-A'!I20</f>
        <v>0</v>
      </c>
      <c r="F10" s="438">
        <f>'PART-A'!K20</f>
        <v>5.86</v>
      </c>
      <c r="G10" s="440">
        <f>ROUND(E10*F10,0)</f>
        <v>0</v>
      </c>
      <c r="H10" s="440"/>
    </row>
    <row r="11" spans="1:8" s="366" customFormat="1" hidden="1">
      <c r="A11" s="453"/>
      <c r="B11" s="453"/>
      <c r="C11" s="367" t="s">
        <v>1430</v>
      </c>
      <c r="D11" s="367" t="s">
        <v>5</v>
      </c>
      <c r="E11" s="454">
        <f>'PART-A'!I56</f>
        <v>0</v>
      </c>
      <c r="F11" s="368">
        <f>'PART-A'!K56</f>
        <v>139.55000000000001</v>
      </c>
      <c r="G11" s="451">
        <f>ROUND(E11*F11,0)</f>
        <v>0</v>
      </c>
      <c r="H11" s="451"/>
    </row>
    <row r="12" spans="1:8" s="434" customFormat="1" hidden="1">
      <c r="A12" s="435"/>
      <c r="B12" s="435"/>
      <c r="C12" s="436" t="s">
        <v>2310</v>
      </c>
      <c r="D12" s="436"/>
      <c r="E12" s="437"/>
      <c r="F12" s="438"/>
      <c r="G12" s="439"/>
      <c r="H12" s="440"/>
    </row>
    <row r="13" spans="1:8" s="434" customFormat="1" hidden="1">
      <c r="A13" s="435"/>
      <c r="B13" s="435"/>
      <c r="C13" s="436" t="s">
        <v>1428</v>
      </c>
      <c r="D13" s="436" t="s">
        <v>102</v>
      </c>
      <c r="E13" s="441">
        <f>'PART-A'!I26</f>
        <v>0</v>
      </c>
      <c r="F13" s="438">
        <f>'PART-A'!K26</f>
        <v>6.06</v>
      </c>
      <c r="G13" s="440">
        <f>ROUND(E13*F13,0)</f>
        <v>0</v>
      </c>
      <c r="H13" s="440"/>
    </row>
    <row r="14" spans="1:8" s="366" customFormat="1" hidden="1">
      <c r="A14" s="453"/>
      <c r="B14" s="453"/>
      <c r="C14" s="367" t="s">
        <v>1430</v>
      </c>
      <c r="D14" s="367" t="s">
        <v>5</v>
      </c>
      <c r="E14" s="454">
        <f>'PART-A'!I62</f>
        <v>0</v>
      </c>
      <c r="F14" s="368">
        <f>'PART-A'!K62</f>
        <v>144.26</v>
      </c>
      <c r="G14" s="451">
        <f>ROUND(E14*F14,0)</f>
        <v>0</v>
      </c>
      <c r="H14" s="451"/>
    </row>
    <row r="15" spans="1:8" s="434" customFormat="1" hidden="1">
      <c r="A15" s="435"/>
      <c r="B15" s="435"/>
      <c r="C15" s="436" t="s">
        <v>2311</v>
      </c>
      <c r="D15" s="436"/>
      <c r="E15" s="437"/>
      <c r="F15" s="438"/>
      <c r="G15" s="439"/>
      <c r="H15" s="440"/>
    </row>
    <row r="16" spans="1:8" s="434" customFormat="1" hidden="1">
      <c r="A16" s="435"/>
      <c r="B16" s="435"/>
      <c r="C16" s="436" t="s">
        <v>1428</v>
      </c>
      <c r="D16" s="436" t="s">
        <v>102</v>
      </c>
      <c r="E16" s="441">
        <f>'PART-A'!I32</f>
        <v>0</v>
      </c>
      <c r="F16" s="438">
        <f>'PART-A'!K32</f>
        <v>6.06</v>
      </c>
      <c r="G16" s="440">
        <f>ROUND(E16*F16,0)</f>
        <v>0</v>
      </c>
      <c r="H16" s="440"/>
    </row>
    <row r="17" spans="1:11" s="366" customFormat="1" hidden="1">
      <c r="A17" s="453"/>
      <c r="B17" s="453"/>
      <c r="C17" s="367" t="s">
        <v>1430</v>
      </c>
      <c r="D17" s="367" t="s">
        <v>5</v>
      </c>
      <c r="E17" s="454">
        <f>'PART-A'!I72</f>
        <v>0</v>
      </c>
      <c r="F17" s="368">
        <f>'PART-A'!K72</f>
        <v>144.26</v>
      </c>
      <c r="G17" s="451">
        <f>ROUND(E17*F17,0)</f>
        <v>0</v>
      </c>
      <c r="H17" s="451"/>
    </row>
    <row r="18" spans="1:11">
      <c r="A18" s="335"/>
      <c r="B18" s="335"/>
      <c r="C18" s="326"/>
      <c r="D18" s="326"/>
      <c r="E18" s="336"/>
      <c r="F18" s="25"/>
      <c r="G18" s="340">
        <f>SUM(G6:G17)</f>
        <v>8942</v>
      </c>
      <c r="H18" s="340">
        <f>SUM(G18)</f>
        <v>8942</v>
      </c>
    </row>
    <row r="19" spans="1:11">
      <c r="A19" s="335">
        <v>2</v>
      </c>
      <c r="B19" s="335">
        <v>34817</v>
      </c>
      <c r="C19" s="326" t="s">
        <v>244</v>
      </c>
      <c r="D19" s="326"/>
      <c r="E19" s="25"/>
      <c r="F19" s="25"/>
      <c r="G19" s="337">
        <v>1</v>
      </c>
      <c r="H19" s="25"/>
    </row>
    <row r="20" spans="1:11" s="366" customFormat="1" hidden="1">
      <c r="A20" s="453"/>
      <c r="B20" s="453"/>
      <c r="C20" s="326" t="s">
        <v>2210</v>
      </c>
      <c r="D20" s="367" t="s">
        <v>142</v>
      </c>
      <c r="E20" s="368">
        <f>'Differ- Material'!C8</f>
        <v>498.10999999999996</v>
      </c>
      <c r="F20" s="368">
        <f>'Differ- Material'!D8</f>
        <v>235</v>
      </c>
      <c r="G20" s="451">
        <f t="shared" ref="G20" si="0">ROUND(E20*F20,0)</f>
        <v>117056</v>
      </c>
      <c r="H20" s="368"/>
    </row>
    <row r="21" spans="1:11" s="366" customFormat="1" hidden="1">
      <c r="A21" s="453"/>
      <c r="B21" s="453"/>
      <c r="C21" s="326" t="s">
        <v>2211</v>
      </c>
      <c r="D21" s="367" t="s">
        <v>142</v>
      </c>
      <c r="E21" s="368">
        <f>'Differ- Material'!C9</f>
        <v>0</v>
      </c>
      <c r="F21" s="368">
        <f>'Differ- Material'!D9</f>
        <v>235</v>
      </c>
      <c r="G21" s="451">
        <f t="shared" ref="G21:G23" si="1">ROUND(E21*F21,0)</f>
        <v>0</v>
      </c>
      <c r="H21" s="368"/>
    </row>
    <row r="22" spans="1:11" s="366" customFormat="1" hidden="1">
      <c r="A22" s="453"/>
      <c r="B22" s="453"/>
      <c r="C22" s="326" t="s">
        <v>2212</v>
      </c>
      <c r="D22" s="367" t="s">
        <v>142</v>
      </c>
      <c r="E22" s="368">
        <f>'Differ- Material'!C10</f>
        <v>0</v>
      </c>
      <c r="F22" s="368">
        <f>'Differ- Material'!D10</f>
        <v>235</v>
      </c>
      <c r="G22" s="451">
        <f t="shared" si="1"/>
        <v>0</v>
      </c>
      <c r="H22" s="368"/>
    </row>
    <row r="23" spans="1:11" s="366" customFormat="1" hidden="1">
      <c r="A23" s="453"/>
      <c r="B23" s="453"/>
      <c r="C23" s="326" t="s">
        <v>2213</v>
      </c>
      <c r="D23" s="367" t="s">
        <v>142</v>
      </c>
      <c r="E23" s="368">
        <f>'Differ- Material'!C11</f>
        <v>18.03</v>
      </c>
      <c r="F23" s="368">
        <f>'Differ- Material'!D11</f>
        <v>235</v>
      </c>
      <c r="G23" s="451">
        <f t="shared" si="1"/>
        <v>4237</v>
      </c>
      <c r="H23" s="368"/>
    </row>
    <row r="24" spans="1:11" hidden="1">
      <c r="A24" s="335"/>
      <c r="B24" s="335"/>
      <c r="C24" s="326" t="s">
        <v>117</v>
      </c>
      <c r="D24" s="326"/>
      <c r="E24" s="340">
        <f>SUM(E20:E23)</f>
        <v>516.14</v>
      </c>
      <c r="F24" s="339"/>
      <c r="G24" s="340">
        <f>SUM(G20:G23)</f>
        <v>121293</v>
      </c>
      <c r="H24" s="340"/>
      <c r="J24" s="329"/>
      <c r="K24" s="329"/>
    </row>
    <row r="25" spans="1:11" hidden="1">
      <c r="A25" s="335"/>
      <c r="B25" s="335"/>
      <c r="C25" s="326"/>
      <c r="D25" s="326"/>
      <c r="E25" s="338"/>
      <c r="F25" s="25"/>
      <c r="G25" s="338"/>
      <c r="H25" s="340"/>
      <c r="J25" s="329"/>
      <c r="K25" s="329"/>
    </row>
    <row r="26" spans="1:11">
      <c r="A26" s="335"/>
      <c r="B26" s="335"/>
      <c r="C26" s="326" t="s">
        <v>1464</v>
      </c>
      <c r="D26" s="326" t="s">
        <v>142</v>
      </c>
      <c r="E26" s="25">
        <f>'Differ- Material'!C14</f>
        <v>336.14</v>
      </c>
      <c r="F26" s="25">
        <f>'Differ- Material'!D14</f>
        <v>235</v>
      </c>
      <c r="G26" s="338">
        <f>ROUND(E26*F26,0)</f>
        <v>78993</v>
      </c>
      <c r="H26" s="25"/>
    </row>
    <row r="27" spans="1:11">
      <c r="A27" s="335"/>
      <c r="B27" s="335"/>
      <c r="C27" s="326" t="s">
        <v>1464</v>
      </c>
      <c r="D27" s="326" t="s">
        <v>142</v>
      </c>
      <c r="E27" s="25">
        <f>'Differ- Material'!C15</f>
        <v>180</v>
      </c>
      <c r="F27" s="25">
        <f>'Differ- Material'!D15</f>
        <v>260</v>
      </c>
      <c r="G27" s="338">
        <f>ROUND(E27*F27,0)</f>
        <v>46800</v>
      </c>
      <c r="H27" s="25"/>
    </row>
    <row r="28" spans="1:11" hidden="1">
      <c r="A28" s="335"/>
      <c r="B28" s="335"/>
      <c r="C28" s="326"/>
      <c r="D28" s="326"/>
      <c r="E28" s="25"/>
      <c r="F28" s="25"/>
      <c r="G28" s="338"/>
      <c r="H28" s="25"/>
    </row>
    <row r="29" spans="1:11">
      <c r="A29" s="335"/>
      <c r="B29" s="335"/>
      <c r="C29" s="326"/>
      <c r="D29" s="326"/>
      <c r="E29" s="339">
        <f>SUM(E26:E28)</f>
        <v>516.14</v>
      </c>
      <c r="F29" s="25"/>
      <c r="G29" s="339">
        <f>SUM(G26:G28)</f>
        <v>125793</v>
      </c>
      <c r="H29" s="340">
        <f>SUM(G29)</f>
        <v>125793</v>
      </c>
    </row>
    <row r="30" spans="1:11">
      <c r="A30" s="335">
        <v>3</v>
      </c>
      <c r="B30" s="335"/>
      <c r="C30" s="326" t="s">
        <v>1563</v>
      </c>
      <c r="D30" s="326"/>
      <c r="E30" s="25"/>
      <c r="F30" s="25"/>
      <c r="G30" s="337">
        <v>1</v>
      </c>
      <c r="H30" s="25"/>
    </row>
    <row r="31" spans="1:11" hidden="1">
      <c r="A31" s="335"/>
      <c r="B31" s="335"/>
      <c r="C31" s="326" t="s">
        <v>1563</v>
      </c>
      <c r="D31" s="326" t="s">
        <v>29</v>
      </c>
      <c r="E31" s="25">
        <f>'Differ- Material'!C33</f>
        <v>0</v>
      </c>
      <c r="F31" s="25">
        <f>'Differ- Material'!D33</f>
        <v>375</v>
      </c>
      <c r="G31" s="338">
        <f>ROUND(E31*F31,0)</f>
        <v>0</v>
      </c>
      <c r="H31" s="340"/>
    </row>
    <row r="32" spans="1:11" hidden="1">
      <c r="A32" s="335"/>
      <c r="B32" s="335"/>
      <c r="C32" s="326" t="s">
        <v>1564</v>
      </c>
      <c r="D32" s="326" t="s">
        <v>35</v>
      </c>
      <c r="E32" s="25">
        <f>'Differ- Material'!C34</f>
        <v>0</v>
      </c>
      <c r="F32" s="25">
        <f>'Differ- Material'!D34</f>
        <v>739.6</v>
      </c>
      <c r="G32" s="338">
        <f>ROUND(E32*F32,0)</f>
        <v>0</v>
      </c>
      <c r="H32" s="340"/>
    </row>
    <row r="33" spans="1:11" hidden="1">
      <c r="A33" s="335"/>
      <c r="B33" s="335"/>
      <c r="C33" s="326"/>
      <c r="D33" s="326"/>
      <c r="E33" s="25"/>
      <c r="F33" s="25"/>
      <c r="G33" s="338"/>
      <c r="H33" s="340"/>
    </row>
    <row r="34" spans="1:11" hidden="1">
      <c r="A34" s="335"/>
      <c r="B34" s="335"/>
      <c r="C34" s="326"/>
      <c r="D34" s="326"/>
      <c r="E34" s="339"/>
      <c r="F34" s="25"/>
      <c r="G34" s="25">
        <f>SUM(G31:G33)</f>
        <v>0</v>
      </c>
      <c r="H34" s="340">
        <f>SUM(G34)</f>
        <v>0</v>
      </c>
    </row>
    <row r="35" spans="1:11">
      <c r="A35" s="335">
        <v>4</v>
      </c>
      <c r="B35" s="335">
        <v>34818</v>
      </c>
      <c r="C35" s="326" t="s">
        <v>971</v>
      </c>
      <c r="D35" s="326"/>
      <c r="E35" s="25"/>
      <c r="F35" s="25"/>
      <c r="G35" s="337">
        <v>1</v>
      </c>
      <c r="H35" s="25"/>
    </row>
    <row r="36" spans="1:11" s="366" customFormat="1" hidden="1">
      <c r="A36" s="453"/>
      <c r="B36" s="453"/>
      <c r="C36" s="326" t="s">
        <v>2210</v>
      </c>
      <c r="D36" s="326" t="s">
        <v>35</v>
      </c>
      <c r="E36" s="368">
        <f>'Differ- Material'!C21</f>
        <v>87.509999999999991</v>
      </c>
      <c r="F36" s="368">
        <f>'Differ- Material'!D21</f>
        <v>1249.7999999999988</v>
      </c>
      <c r="G36" s="451">
        <f t="shared" ref="G36:G39" si="2">ROUND(E36*F36,0)</f>
        <v>109370</v>
      </c>
      <c r="H36" s="368"/>
    </row>
    <row r="37" spans="1:11" s="366" customFormat="1" hidden="1">
      <c r="A37" s="453"/>
      <c r="B37" s="453"/>
      <c r="C37" s="326" t="s">
        <v>2211</v>
      </c>
      <c r="D37" s="326" t="s">
        <v>35</v>
      </c>
      <c r="E37" s="368">
        <f>'Differ- Material'!C22</f>
        <v>0</v>
      </c>
      <c r="F37" s="368">
        <f>'Differ- Material'!D22</f>
        <v>1316.600000000001</v>
      </c>
      <c r="G37" s="451">
        <f t="shared" si="2"/>
        <v>0</v>
      </c>
      <c r="H37" s="368"/>
    </row>
    <row r="38" spans="1:11" s="366" customFormat="1" hidden="1">
      <c r="A38" s="453"/>
      <c r="B38" s="453"/>
      <c r="C38" s="326" t="s">
        <v>2212</v>
      </c>
      <c r="D38" s="326" t="s">
        <v>35</v>
      </c>
      <c r="E38" s="368">
        <f>'Differ- Material'!C23</f>
        <v>0</v>
      </c>
      <c r="F38" s="368">
        <f>'Differ- Material'!D23</f>
        <v>1503.4000000000019</v>
      </c>
      <c r="G38" s="451">
        <f t="shared" si="2"/>
        <v>0</v>
      </c>
      <c r="H38" s="368"/>
    </row>
    <row r="39" spans="1:11" s="366" customFormat="1" hidden="1">
      <c r="A39" s="453"/>
      <c r="B39" s="453"/>
      <c r="C39" s="326" t="s">
        <v>2213</v>
      </c>
      <c r="D39" s="326" t="s">
        <v>35</v>
      </c>
      <c r="E39" s="368">
        <f>'Differ- Material'!C24</f>
        <v>0</v>
      </c>
      <c r="F39" s="368">
        <f>'Differ- Material'!D24</f>
        <v>1575.9999999999998</v>
      </c>
      <c r="G39" s="451">
        <f t="shared" si="2"/>
        <v>0</v>
      </c>
      <c r="H39" s="368"/>
    </row>
    <row r="40" spans="1:11" hidden="1">
      <c r="A40" s="335"/>
      <c r="B40" s="335"/>
      <c r="C40" s="326"/>
      <c r="D40" s="326"/>
      <c r="E40" s="338">
        <f>SUM(E36:E39)</f>
        <v>87.509999999999991</v>
      </c>
      <c r="F40" s="25"/>
      <c r="G40" s="338">
        <f>SUM(G36:G39)</f>
        <v>109370</v>
      </c>
      <c r="H40" s="340"/>
      <c r="J40" s="329"/>
      <c r="K40" s="329">
        <f>E40-J40</f>
        <v>87.509999999999991</v>
      </c>
    </row>
    <row r="41" spans="1:11" hidden="1">
      <c r="A41" s="335"/>
      <c r="B41" s="335"/>
      <c r="C41" s="326"/>
      <c r="D41" s="326"/>
      <c r="E41" s="25"/>
      <c r="F41" s="25"/>
      <c r="G41" s="338"/>
      <c r="H41" s="340"/>
      <c r="J41" s="329"/>
      <c r="K41" s="329"/>
    </row>
    <row r="42" spans="1:11">
      <c r="A42" s="335"/>
      <c r="B42" s="335"/>
      <c r="C42" s="326" t="s">
        <v>1464</v>
      </c>
      <c r="D42" s="326" t="s">
        <v>35</v>
      </c>
      <c r="E42" s="25">
        <f>'Differ- Material'!C27</f>
        <v>87.509999999999991</v>
      </c>
      <c r="F42" s="25">
        <f>'Differ- Material'!D27</f>
        <v>292.39999999999998</v>
      </c>
      <c r="G42" s="338">
        <f>ROUND(E42*F42,0)</f>
        <v>25588</v>
      </c>
      <c r="H42" s="340"/>
    </row>
    <row r="43" spans="1:11" hidden="1">
      <c r="A43" s="335"/>
      <c r="B43" s="335"/>
      <c r="C43" s="326" t="s">
        <v>1464</v>
      </c>
      <c r="D43" s="326" t="s">
        <v>35</v>
      </c>
      <c r="E43" s="25">
        <f>'Differ- Material'!C28</f>
        <v>0</v>
      </c>
      <c r="F43" s="25">
        <f>'Differ- Material'!D28</f>
        <v>536.4</v>
      </c>
      <c r="G43" s="338">
        <f>ROUND(E43*F43,0)</f>
        <v>0</v>
      </c>
      <c r="H43" s="340"/>
    </row>
    <row r="44" spans="1:11">
      <c r="A44" s="335"/>
      <c r="B44" s="335"/>
      <c r="C44" s="326"/>
      <c r="D44" s="326"/>
      <c r="E44" s="339"/>
      <c r="F44" s="25"/>
      <c r="G44" s="25">
        <f>SUM(G42:G43)</f>
        <v>25588</v>
      </c>
      <c r="H44" s="340">
        <f>SUM(G44)</f>
        <v>25588</v>
      </c>
    </row>
    <row r="45" spans="1:11">
      <c r="A45" s="335">
        <v>3</v>
      </c>
      <c r="B45" s="335">
        <v>34819</v>
      </c>
      <c r="C45" s="326" t="s">
        <v>972</v>
      </c>
      <c r="D45" s="326"/>
      <c r="E45" s="25"/>
      <c r="F45" s="25"/>
      <c r="G45" s="337">
        <v>1</v>
      </c>
      <c r="H45" s="25"/>
    </row>
    <row r="46" spans="1:11" s="366" customFormat="1" hidden="1">
      <c r="A46" s="453"/>
      <c r="B46" s="453"/>
      <c r="C46" s="326" t="s">
        <v>2210</v>
      </c>
      <c r="D46" s="326" t="s">
        <v>35</v>
      </c>
      <c r="E46" s="368">
        <f>'Differ- Material'!C39</f>
        <v>18.57</v>
      </c>
      <c r="F46" s="368">
        <f>'Differ- Material'!D39</f>
        <v>1464.7999999999988</v>
      </c>
      <c r="G46" s="451">
        <f t="shared" ref="G46:G49" si="3">ROUND(E46*F46,0)</f>
        <v>27201</v>
      </c>
      <c r="H46" s="368"/>
    </row>
    <row r="47" spans="1:11" s="366" customFormat="1" hidden="1">
      <c r="A47" s="453"/>
      <c r="B47" s="453"/>
      <c r="C47" s="326" t="s">
        <v>2211</v>
      </c>
      <c r="D47" s="326" t="s">
        <v>35</v>
      </c>
      <c r="E47" s="368">
        <f>'Differ- Material'!C40</f>
        <v>0</v>
      </c>
      <c r="F47" s="368">
        <f>'Differ- Material'!D40</f>
        <v>1546.600000000001</v>
      </c>
      <c r="G47" s="451">
        <f t="shared" si="3"/>
        <v>0</v>
      </c>
      <c r="H47" s="368"/>
    </row>
    <row r="48" spans="1:11" s="366" customFormat="1" hidden="1">
      <c r="A48" s="453"/>
      <c r="B48" s="453"/>
      <c r="C48" s="326" t="s">
        <v>2212</v>
      </c>
      <c r="D48" s="326" t="s">
        <v>35</v>
      </c>
      <c r="E48" s="368">
        <f>'Differ- Material'!C41</f>
        <v>0</v>
      </c>
      <c r="F48" s="368">
        <f>'Differ- Material'!D41</f>
        <v>1743.4000000000019</v>
      </c>
      <c r="G48" s="451">
        <f t="shared" si="3"/>
        <v>0</v>
      </c>
      <c r="H48" s="368"/>
    </row>
    <row r="49" spans="1:11" s="366" customFormat="1" hidden="1">
      <c r="A49" s="453"/>
      <c r="B49" s="453"/>
      <c r="C49" s="326" t="s">
        <v>2213</v>
      </c>
      <c r="D49" s="326" t="s">
        <v>35</v>
      </c>
      <c r="E49" s="368">
        <f>'Differ- Material'!C42</f>
        <v>1.57</v>
      </c>
      <c r="F49" s="368">
        <f>'Differ- Material'!D42</f>
        <v>1815.9999999999998</v>
      </c>
      <c r="G49" s="451">
        <f t="shared" si="3"/>
        <v>2851</v>
      </c>
      <c r="H49" s="368"/>
    </row>
    <row r="50" spans="1:11" hidden="1">
      <c r="A50" s="335"/>
      <c r="B50" s="335"/>
      <c r="C50" s="326"/>
      <c r="D50" s="326"/>
      <c r="E50" s="338">
        <f>SUM(E46:E49)</f>
        <v>20.14</v>
      </c>
      <c r="F50" s="25"/>
      <c r="G50" s="338">
        <f>SUM(G46:G49)</f>
        <v>30052</v>
      </c>
      <c r="H50" s="340"/>
      <c r="J50" s="329"/>
      <c r="K50" s="329"/>
    </row>
    <row r="51" spans="1:11" hidden="1">
      <c r="A51" s="335"/>
      <c r="B51" s="335"/>
      <c r="C51" s="326"/>
      <c r="D51" s="326"/>
      <c r="E51" s="338"/>
      <c r="F51" s="25"/>
      <c r="G51" s="338"/>
      <c r="H51" s="340"/>
      <c r="J51" s="329"/>
      <c r="K51" s="329"/>
    </row>
    <row r="52" spans="1:11">
      <c r="A52" s="335"/>
      <c r="B52" s="335"/>
      <c r="C52" s="326" t="s">
        <v>1440</v>
      </c>
      <c r="D52" s="326" t="s">
        <v>35</v>
      </c>
      <c r="E52" s="25">
        <f>'Differ- Material'!C46</f>
        <v>6.07</v>
      </c>
      <c r="F52" s="25">
        <f>'Differ- Material'!D46</f>
        <v>984.9</v>
      </c>
      <c r="G52" s="338">
        <f>ROUND(E52*F52,0)</f>
        <v>5978</v>
      </c>
      <c r="H52" s="340"/>
    </row>
    <row r="53" spans="1:11" ht="19.5" customHeight="1">
      <c r="A53" s="335"/>
      <c r="B53" s="335"/>
      <c r="C53" s="326" t="s">
        <v>1440</v>
      </c>
      <c r="D53" s="326" t="s">
        <v>35</v>
      </c>
      <c r="E53" s="25">
        <f>'Differ- Material'!C47</f>
        <v>14.07</v>
      </c>
      <c r="F53" s="25">
        <f>'Differ- Material'!D47</f>
        <v>2098</v>
      </c>
      <c r="G53" s="338">
        <f>ROUND(E53*F53,0)</f>
        <v>29519</v>
      </c>
      <c r="H53" s="340"/>
    </row>
    <row r="54" spans="1:11" ht="19.5" hidden="1" customHeight="1">
      <c r="A54" s="335"/>
      <c r="B54" s="335"/>
      <c r="C54" s="326" t="s">
        <v>1440</v>
      </c>
      <c r="D54" s="326" t="s">
        <v>35</v>
      </c>
      <c r="E54" s="25">
        <f>'Differ- Material'!C48</f>
        <v>0</v>
      </c>
      <c r="F54" s="25">
        <f>'Differ- Material'!D48</f>
        <v>321</v>
      </c>
      <c r="G54" s="338">
        <f>ROUND(E54*F54,0)</f>
        <v>0</v>
      </c>
      <c r="H54" s="340"/>
    </row>
    <row r="55" spans="1:11" s="348" customFormat="1">
      <c r="A55" s="349"/>
      <c r="B55" s="349"/>
      <c r="C55" s="350"/>
      <c r="D55" s="350"/>
      <c r="E55" s="339">
        <f>SUM(E52:E54)</f>
        <v>20.14</v>
      </c>
      <c r="F55" s="339"/>
      <c r="G55" s="339">
        <f>SUM(G52:G54)</f>
        <v>35497</v>
      </c>
      <c r="H55" s="340">
        <f>SUM(G55)</f>
        <v>35497</v>
      </c>
    </row>
    <row r="56" spans="1:11" hidden="1">
      <c r="A56" s="335"/>
      <c r="B56" s="335"/>
      <c r="C56" s="326"/>
      <c r="D56" s="326"/>
      <c r="E56" s="25"/>
      <c r="F56" s="25"/>
      <c r="G56" s="338"/>
      <c r="H56" s="25"/>
    </row>
    <row r="57" spans="1:11">
      <c r="A57" s="335">
        <v>4</v>
      </c>
      <c r="B57" s="335">
        <v>34832</v>
      </c>
      <c r="C57" s="326" t="s">
        <v>973</v>
      </c>
      <c r="D57" s="326"/>
      <c r="E57" s="25"/>
      <c r="F57" s="25"/>
      <c r="G57" s="337">
        <v>1</v>
      </c>
      <c r="H57" s="25"/>
    </row>
    <row r="58" spans="1:11" s="366" customFormat="1" hidden="1">
      <c r="A58" s="453"/>
      <c r="B58" s="453"/>
      <c r="C58" s="326" t="s">
        <v>2210</v>
      </c>
      <c r="D58" s="326" t="s">
        <v>35</v>
      </c>
      <c r="E58" s="368">
        <f>'Differ- Material'!C53</f>
        <v>28.47</v>
      </c>
      <c r="F58" s="368">
        <f>'Differ- Material'!D53</f>
        <v>1384.7999999999988</v>
      </c>
      <c r="G58" s="451">
        <f t="shared" ref="G58:G61" si="4">ROUND(E58*F58,0)</f>
        <v>39425</v>
      </c>
      <c r="H58" s="368"/>
    </row>
    <row r="59" spans="1:11" s="366" customFormat="1" hidden="1">
      <c r="A59" s="453"/>
      <c r="B59" s="453"/>
      <c r="C59" s="326" t="s">
        <v>2211</v>
      </c>
      <c r="D59" s="326" t="s">
        <v>35</v>
      </c>
      <c r="E59" s="368">
        <f>'Differ- Material'!C54</f>
        <v>0</v>
      </c>
      <c r="F59" s="368">
        <f>'Differ- Material'!D54</f>
        <v>1451.600000000001</v>
      </c>
      <c r="G59" s="451">
        <f t="shared" si="4"/>
        <v>0</v>
      </c>
      <c r="H59" s="368"/>
    </row>
    <row r="60" spans="1:11" s="366" customFormat="1" hidden="1">
      <c r="A60" s="453"/>
      <c r="B60" s="453"/>
      <c r="C60" s="326" t="s">
        <v>2212</v>
      </c>
      <c r="D60" s="326" t="s">
        <v>35</v>
      </c>
      <c r="E60" s="368">
        <f>'Differ- Material'!C55</f>
        <v>0</v>
      </c>
      <c r="F60" s="368">
        <f>'Differ- Material'!D55</f>
        <v>1648.4000000000019</v>
      </c>
      <c r="G60" s="451">
        <f t="shared" si="4"/>
        <v>0</v>
      </c>
      <c r="H60" s="368"/>
    </row>
    <row r="61" spans="1:11" s="366" customFormat="1" hidden="1">
      <c r="A61" s="453"/>
      <c r="B61" s="453"/>
      <c r="C61" s="326" t="s">
        <v>2213</v>
      </c>
      <c r="D61" s="326" t="s">
        <v>35</v>
      </c>
      <c r="E61" s="368">
        <f>'Differ- Material'!C56</f>
        <v>0</v>
      </c>
      <c r="F61" s="368">
        <f>'Differ- Material'!D56</f>
        <v>1720.9999999999998</v>
      </c>
      <c r="G61" s="451">
        <f t="shared" si="4"/>
        <v>0</v>
      </c>
      <c r="H61" s="368"/>
    </row>
    <row r="62" spans="1:11" hidden="1">
      <c r="A62" s="335"/>
      <c r="B62" s="335"/>
      <c r="C62" s="326"/>
      <c r="D62" s="326"/>
      <c r="E62" s="338">
        <f>SUM(E58:E61)</f>
        <v>28.47</v>
      </c>
      <c r="F62" s="25"/>
      <c r="G62" s="338">
        <f>SUM(G58:G61)</f>
        <v>39425</v>
      </c>
      <c r="H62" s="340"/>
      <c r="J62" s="329"/>
      <c r="K62" s="329"/>
    </row>
    <row r="63" spans="1:11" hidden="1">
      <c r="A63" s="335"/>
      <c r="B63" s="335"/>
      <c r="C63" s="326"/>
      <c r="D63" s="326"/>
      <c r="E63" s="338"/>
      <c r="F63" s="25"/>
      <c r="G63" s="338"/>
      <c r="H63" s="340"/>
      <c r="J63" s="329"/>
      <c r="K63" s="329"/>
    </row>
    <row r="64" spans="1:11">
      <c r="A64" s="335"/>
      <c r="B64" s="335"/>
      <c r="C64" s="326" t="s">
        <v>1440</v>
      </c>
      <c r="D64" s="326" t="s">
        <v>35</v>
      </c>
      <c r="E64" s="25">
        <f>'Differ- Material'!C60</f>
        <v>28.47</v>
      </c>
      <c r="F64" s="25">
        <f>'Differ- Material'!D60</f>
        <v>2098</v>
      </c>
      <c r="G64" s="338">
        <f>ROUND(E64*F64,0)</f>
        <v>59730</v>
      </c>
      <c r="H64" s="340"/>
    </row>
    <row r="65" spans="1:11" hidden="1">
      <c r="A65" s="335"/>
      <c r="B65" s="335"/>
      <c r="C65" s="326" t="s">
        <v>1440</v>
      </c>
      <c r="D65" s="326" t="s">
        <v>35</v>
      </c>
      <c r="E65" s="25">
        <f>'Differ- Material'!C61</f>
        <v>0</v>
      </c>
      <c r="F65" s="25">
        <f>'Differ- Material'!D61</f>
        <v>1742</v>
      </c>
      <c r="G65" s="338">
        <f>ROUND(E65*F65,0)</f>
        <v>0</v>
      </c>
      <c r="H65" s="340"/>
    </row>
    <row r="66" spans="1:11" s="348" customFormat="1">
      <c r="A66" s="349"/>
      <c r="B66" s="349"/>
      <c r="C66" s="350"/>
      <c r="D66" s="350"/>
      <c r="E66" s="339">
        <f>SUM(E64:E65)</f>
        <v>28.47</v>
      </c>
      <c r="F66" s="339"/>
      <c r="G66" s="339">
        <f>SUM(G64:G65)</f>
        <v>59730</v>
      </c>
      <c r="H66" s="340">
        <f>SUM(G66)</f>
        <v>59730</v>
      </c>
    </row>
    <row r="67" spans="1:11" hidden="1">
      <c r="A67" s="335"/>
      <c r="B67" s="335"/>
      <c r="C67" s="326"/>
      <c r="D67" s="326"/>
      <c r="E67" s="339"/>
      <c r="F67" s="25"/>
      <c r="G67" s="338"/>
      <c r="H67" s="25"/>
    </row>
    <row r="68" spans="1:11">
      <c r="A68" s="335">
        <v>5</v>
      </c>
      <c r="B68" s="335">
        <v>34822</v>
      </c>
      <c r="C68" s="326" t="s">
        <v>908</v>
      </c>
      <c r="D68" s="326"/>
      <c r="E68" s="25"/>
      <c r="F68" s="341"/>
      <c r="G68" s="337">
        <v>1</v>
      </c>
      <c r="H68" s="25"/>
    </row>
    <row r="69" spans="1:11" s="366" customFormat="1" hidden="1">
      <c r="A69" s="453"/>
      <c r="B69" s="453"/>
      <c r="C69" s="326" t="s">
        <v>2210</v>
      </c>
      <c r="D69" s="326" t="s">
        <v>35</v>
      </c>
      <c r="E69" s="368">
        <f>'Differ- Material'!C66</f>
        <v>38.409999999999997</v>
      </c>
      <c r="F69" s="368">
        <f>'Differ- Material'!D66</f>
        <v>1722.2999999999997</v>
      </c>
      <c r="G69" s="451">
        <f t="shared" ref="G69:G72" si="5">ROUND(E69*F69,0)</f>
        <v>66154</v>
      </c>
      <c r="H69" s="368"/>
    </row>
    <row r="70" spans="1:11" s="366" customFormat="1" hidden="1">
      <c r="A70" s="453"/>
      <c r="B70" s="453"/>
      <c r="C70" s="326" t="s">
        <v>2211</v>
      </c>
      <c r="D70" s="326" t="s">
        <v>35</v>
      </c>
      <c r="E70" s="368">
        <f>'Differ- Material'!C67</f>
        <v>0</v>
      </c>
      <c r="F70" s="368">
        <f>'Differ- Material'!D67</f>
        <v>1799.05</v>
      </c>
      <c r="G70" s="451">
        <f t="shared" si="5"/>
        <v>0</v>
      </c>
      <c r="H70" s="368"/>
    </row>
    <row r="71" spans="1:11" s="366" customFormat="1" hidden="1">
      <c r="A71" s="453"/>
      <c r="B71" s="453"/>
      <c r="C71" s="326" t="s">
        <v>2212</v>
      </c>
      <c r="D71" s="326" t="s">
        <v>35</v>
      </c>
      <c r="E71" s="368">
        <f>'Differ- Material'!C68</f>
        <v>0</v>
      </c>
      <c r="F71" s="368">
        <f>'Differ- Material'!D68</f>
        <v>1876.2299999999998</v>
      </c>
      <c r="G71" s="451">
        <f t="shared" si="5"/>
        <v>0</v>
      </c>
      <c r="H71" s="368"/>
    </row>
    <row r="72" spans="1:11" s="366" customFormat="1" hidden="1">
      <c r="A72" s="453"/>
      <c r="B72" s="453"/>
      <c r="C72" s="326" t="s">
        <v>2213</v>
      </c>
      <c r="D72" s="326" t="s">
        <v>35</v>
      </c>
      <c r="E72" s="368">
        <f>'Differ- Material'!C69</f>
        <v>0</v>
      </c>
      <c r="F72" s="368">
        <f>'Differ- Material'!D69</f>
        <v>2046.91</v>
      </c>
      <c r="G72" s="451">
        <f t="shared" si="5"/>
        <v>0</v>
      </c>
      <c r="H72" s="368"/>
    </row>
    <row r="73" spans="1:11" hidden="1">
      <c r="A73" s="335"/>
      <c r="B73" s="335"/>
      <c r="C73" s="326"/>
      <c r="D73" s="326"/>
      <c r="E73" s="338">
        <f>SUM(E69:E72)</f>
        <v>38.409999999999997</v>
      </c>
      <c r="F73" s="25"/>
      <c r="G73" s="338">
        <f>SUM(G69:G72)</f>
        <v>66154</v>
      </c>
      <c r="H73" s="340"/>
      <c r="J73" s="329"/>
      <c r="K73" s="329"/>
    </row>
    <row r="74" spans="1:11">
      <c r="A74" s="335"/>
      <c r="B74" s="335"/>
      <c r="C74" s="326" t="s">
        <v>1464</v>
      </c>
      <c r="D74" s="326" t="s">
        <v>35</v>
      </c>
      <c r="E74" s="25">
        <f>'Differ- Material'!C73</f>
        <v>38.409999999999997</v>
      </c>
      <c r="F74" s="25">
        <f>'Differ- Material'!D73</f>
        <v>1722.3</v>
      </c>
      <c r="G74" s="338">
        <f>ROUND(E74*F74,0)</f>
        <v>66154</v>
      </c>
      <c r="H74" s="340"/>
    </row>
    <row r="75" spans="1:11" hidden="1">
      <c r="A75" s="335"/>
      <c r="B75" s="335"/>
      <c r="C75" s="326" t="s">
        <v>1464</v>
      </c>
      <c r="D75" s="326" t="s">
        <v>35</v>
      </c>
      <c r="E75" s="25">
        <f>'Differ- Material'!C74</f>
        <v>0</v>
      </c>
      <c r="F75" s="25">
        <f>'Differ- Material'!D74</f>
        <v>2182.9</v>
      </c>
      <c r="G75" s="338">
        <f>ROUND(E75*F75,0)</f>
        <v>0</v>
      </c>
      <c r="H75" s="340"/>
    </row>
    <row r="76" spans="1:11" s="348" customFormat="1">
      <c r="A76" s="349"/>
      <c r="B76" s="349"/>
      <c r="C76" s="350"/>
      <c r="D76" s="350"/>
      <c r="E76" s="339">
        <f>SUM(E74:E75)</f>
        <v>38.409999999999997</v>
      </c>
      <c r="F76" s="339"/>
      <c r="G76" s="339">
        <f>SUM(G74:G75)</f>
        <v>66154</v>
      </c>
      <c r="H76" s="340">
        <f>SUM(G76)</f>
        <v>66154</v>
      </c>
    </row>
    <row r="77" spans="1:11" ht="25.5">
      <c r="A77" s="335">
        <v>6</v>
      </c>
      <c r="B77" s="335">
        <v>34824</v>
      </c>
      <c r="C77" s="326" t="s">
        <v>147</v>
      </c>
      <c r="D77" s="326"/>
      <c r="E77" s="25"/>
      <c r="F77" s="341"/>
      <c r="G77" s="337">
        <v>1</v>
      </c>
      <c r="H77" s="25"/>
    </row>
    <row r="78" spans="1:11" s="366" customFormat="1" hidden="1">
      <c r="A78" s="453"/>
      <c r="B78" s="453"/>
      <c r="C78" s="326" t="s">
        <v>2210</v>
      </c>
      <c r="D78" s="326" t="s">
        <v>35</v>
      </c>
      <c r="E78" s="368">
        <f>'Differ- Material'!C79</f>
        <v>18.53</v>
      </c>
      <c r="F78" s="368">
        <f>'Differ- Material'!D79</f>
        <v>1375.7999999999997</v>
      </c>
      <c r="G78" s="451">
        <f t="shared" ref="G78:G81" si="6">ROUND(E78*F78,0)</f>
        <v>25494</v>
      </c>
      <c r="H78" s="368"/>
    </row>
    <row r="79" spans="1:11" s="366" customFormat="1" hidden="1">
      <c r="A79" s="453"/>
      <c r="B79" s="453"/>
      <c r="C79" s="326" t="s">
        <v>2211</v>
      </c>
      <c r="D79" s="326" t="s">
        <v>35</v>
      </c>
      <c r="E79" s="368">
        <f>'Differ- Material'!C80</f>
        <v>0</v>
      </c>
      <c r="F79" s="368">
        <f>'Differ- Material'!D80</f>
        <v>1436.7999999999997</v>
      </c>
      <c r="G79" s="451">
        <f t="shared" si="6"/>
        <v>0</v>
      </c>
      <c r="H79" s="368"/>
    </row>
    <row r="80" spans="1:11" s="366" customFormat="1" hidden="1">
      <c r="A80" s="453"/>
      <c r="B80" s="453"/>
      <c r="C80" s="326" t="s">
        <v>2212</v>
      </c>
      <c r="D80" s="326" t="s">
        <v>35</v>
      </c>
      <c r="E80" s="368">
        <f>'Differ- Material'!C81</f>
        <v>0</v>
      </c>
      <c r="F80" s="368">
        <f>'Differ- Material'!D81</f>
        <v>1436.7999999999997</v>
      </c>
      <c r="G80" s="451">
        <f t="shared" si="6"/>
        <v>0</v>
      </c>
      <c r="H80" s="368"/>
    </row>
    <row r="81" spans="1:11" s="366" customFormat="1" hidden="1">
      <c r="A81" s="453"/>
      <c r="B81" s="453"/>
      <c r="C81" s="326" t="s">
        <v>2213</v>
      </c>
      <c r="D81" s="326" t="s">
        <v>35</v>
      </c>
      <c r="E81" s="368">
        <f>'Differ- Material'!C82</f>
        <v>0</v>
      </c>
      <c r="F81" s="368">
        <f>'Differ- Material'!D82</f>
        <v>1436.7999999999997</v>
      </c>
      <c r="G81" s="451">
        <f t="shared" si="6"/>
        <v>0</v>
      </c>
      <c r="H81" s="368"/>
    </row>
    <row r="82" spans="1:11" hidden="1">
      <c r="A82" s="335"/>
      <c r="B82" s="335"/>
      <c r="C82" s="326"/>
      <c r="D82" s="326"/>
      <c r="E82" s="338">
        <f>SUM(E78:E81)</f>
        <v>18.53</v>
      </c>
      <c r="F82" s="25"/>
      <c r="G82" s="338">
        <f>SUM(G78:G81)</f>
        <v>25494</v>
      </c>
      <c r="H82" s="340"/>
      <c r="J82" s="329"/>
      <c r="K82" s="329"/>
    </row>
    <row r="83" spans="1:11" hidden="1">
      <c r="A83" s="335"/>
      <c r="B83" s="335"/>
      <c r="C83" s="326"/>
      <c r="D83" s="326"/>
      <c r="E83" s="338"/>
      <c r="F83" s="25"/>
      <c r="G83" s="338"/>
      <c r="H83" s="340"/>
      <c r="J83" s="329"/>
      <c r="K83" s="329"/>
    </row>
    <row r="84" spans="1:11">
      <c r="A84" s="335"/>
      <c r="B84" s="335"/>
      <c r="C84" s="326" t="s">
        <v>1440</v>
      </c>
      <c r="D84" s="326" t="s">
        <v>35</v>
      </c>
      <c r="E84" s="25">
        <f>'Differ- Material'!C85</f>
        <v>18.53</v>
      </c>
      <c r="F84" s="25">
        <f>'Differ- Material'!D85</f>
        <v>1375.8</v>
      </c>
      <c r="G84" s="338">
        <f>ROUND(E84*F84,0)</f>
        <v>25494</v>
      </c>
      <c r="H84" s="340"/>
    </row>
    <row r="85" spans="1:11" hidden="1">
      <c r="A85" s="335"/>
      <c r="B85" s="335"/>
      <c r="C85" s="326" t="s">
        <v>1440</v>
      </c>
      <c r="D85" s="326" t="s">
        <v>35</v>
      </c>
      <c r="E85" s="25">
        <f>'Differ- Material'!C86</f>
        <v>0</v>
      </c>
      <c r="F85" s="25">
        <f>'Differ- Material'!D86</f>
        <v>1730.8</v>
      </c>
      <c r="G85" s="338">
        <f>ROUND(E85*F85,0)</f>
        <v>0</v>
      </c>
      <c r="H85" s="340"/>
    </row>
    <row r="86" spans="1:11" s="348" customFormat="1">
      <c r="A86" s="349"/>
      <c r="B86" s="349"/>
      <c r="C86" s="350"/>
      <c r="D86" s="350"/>
      <c r="E86" s="339">
        <f>SUM(E84:E85)</f>
        <v>18.53</v>
      </c>
      <c r="F86" s="339"/>
      <c r="G86" s="339">
        <f>SUM(G84:G85)</f>
        <v>25494</v>
      </c>
      <c r="H86" s="340">
        <f>SUM(G86)</f>
        <v>25494</v>
      </c>
    </row>
    <row r="87" spans="1:11">
      <c r="A87" s="335">
        <v>7</v>
      </c>
      <c r="B87" s="335">
        <v>35253</v>
      </c>
      <c r="C87" s="326" t="s">
        <v>252</v>
      </c>
      <c r="D87" s="342"/>
      <c r="E87" s="343"/>
      <c r="F87" s="25"/>
      <c r="G87" s="337">
        <v>1</v>
      </c>
      <c r="H87" s="25"/>
    </row>
    <row r="88" spans="1:11" s="366" customFormat="1" hidden="1">
      <c r="A88" s="453"/>
      <c r="B88" s="453"/>
      <c r="C88" s="326" t="s">
        <v>2376</v>
      </c>
      <c r="D88" s="342" t="s">
        <v>29</v>
      </c>
      <c r="E88" s="368">
        <f>'Differ- Material'!C94</f>
        <v>4.25</v>
      </c>
      <c r="F88" s="368">
        <f>'Differ- Material'!D94</f>
        <v>48970</v>
      </c>
      <c r="G88" s="338">
        <f>ROUND(E88*F88,0)</f>
        <v>208123</v>
      </c>
      <c r="H88" s="368"/>
    </row>
    <row r="89" spans="1:11" s="366" customFormat="1" hidden="1">
      <c r="A89" s="453"/>
      <c r="B89" s="453"/>
      <c r="C89" s="326" t="s">
        <v>2377</v>
      </c>
      <c r="D89" s="342" t="s">
        <v>29</v>
      </c>
      <c r="E89" s="368">
        <f>'Differ- Material'!C95</f>
        <v>0</v>
      </c>
      <c r="F89" s="368">
        <f>'Differ- Material'!D95</f>
        <v>48970</v>
      </c>
      <c r="G89" s="338">
        <f t="shared" ref="G89:G93" si="7">ROUND(E89*F89,0)</f>
        <v>0</v>
      </c>
      <c r="H89" s="368"/>
    </row>
    <row r="90" spans="1:11" s="366" customFormat="1" hidden="1">
      <c r="A90" s="453"/>
      <c r="B90" s="453"/>
      <c r="C90" s="326" t="s">
        <v>2378</v>
      </c>
      <c r="D90" s="342" t="s">
        <v>29</v>
      </c>
      <c r="E90" s="368">
        <f>'Differ- Material'!C96</f>
        <v>0</v>
      </c>
      <c r="F90" s="368">
        <f>'Differ- Material'!D96</f>
        <v>48970</v>
      </c>
      <c r="G90" s="338">
        <f t="shared" si="7"/>
        <v>0</v>
      </c>
      <c r="H90" s="368"/>
    </row>
    <row r="91" spans="1:11" s="366" customFormat="1" hidden="1">
      <c r="A91" s="453"/>
      <c r="B91" s="453"/>
      <c r="C91" s="326" t="s">
        <v>2379</v>
      </c>
      <c r="D91" s="342" t="s">
        <v>29</v>
      </c>
      <c r="E91" s="368">
        <f>'Differ- Material'!C98</f>
        <v>0</v>
      </c>
      <c r="F91" s="368">
        <f>'Differ- Material'!D98</f>
        <v>48380</v>
      </c>
      <c r="G91" s="338">
        <f t="shared" si="7"/>
        <v>0</v>
      </c>
      <c r="H91" s="368"/>
    </row>
    <row r="92" spans="1:11" s="366" customFormat="1" hidden="1">
      <c r="A92" s="453"/>
      <c r="B92" s="453"/>
      <c r="C92" s="326" t="s">
        <v>2386</v>
      </c>
      <c r="D92" s="342" t="s">
        <v>29</v>
      </c>
      <c r="E92" s="368">
        <f>'Differ- Material'!C99</f>
        <v>0</v>
      </c>
      <c r="F92" s="368">
        <f>'Differ- Material'!D99</f>
        <v>48380</v>
      </c>
      <c r="G92" s="338">
        <f t="shared" si="7"/>
        <v>0</v>
      </c>
      <c r="H92" s="368"/>
    </row>
    <row r="93" spans="1:11" s="366" customFormat="1" hidden="1">
      <c r="A93" s="453"/>
      <c r="B93" s="453"/>
      <c r="C93" s="326" t="s">
        <v>2387</v>
      </c>
      <c r="D93" s="342" t="s">
        <v>29</v>
      </c>
      <c r="E93" s="368">
        <f>'Differ- Material'!C100</f>
        <v>0</v>
      </c>
      <c r="F93" s="368">
        <f>'Differ- Material'!D100</f>
        <v>48380</v>
      </c>
      <c r="G93" s="338">
        <f t="shared" si="7"/>
        <v>0</v>
      </c>
      <c r="H93" s="368"/>
    </row>
    <row r="94" spans="1:11" s="366" customFormat="1" hidden="1">
      <c r="A94" s="453"/>
      <c r="B94" s="453"/>
      <c r="C94" s="326" t="s">
        <v>2382</v>
      </c>
      <c r="D94" s="342" t="s">
        <v>29</v>
      </c>
      <c r="E94" s="368">
        <f>'Differ- Material'!C102</f>
        <v>0</v>
      </c>
      <c r="F94" s="368">
        <f>'Differ- Material'!D102</f>
        <v>64310</v>
      </c>
      <c r="G94" s="338">
        <f t="shared" ref="G94:G96" si="8">ROUND(E94*F94,0)</f>
        <v>0</v>
      </c>
      <c r="H94" s="368"/>
    </row>
    <row r="95" spans="1:11" s="366" customFormat="1" hidden="1">
      <c r="A95" s="453"/>
      <c r="B95" s="453"/>
      <c r="C95" s="326" t="s">
        <v>2380</v>
      </c>
      <c r="D95" s="342" t="s">
        <v>29</v>
      </c>
      <c r="E95" s="368">
        <f>'Differ- Material'!C103</f>
        <v>0</v>
      </c>
      <c r="F95" s="368">
        <f>'Differ- Material'!D103</f>
        <v>64310</v>
      </c>
      <c r="G95" s="338">
        <f t="shared" si="8"/>
        <v>0</v>
      </c>
      <c r="H95" s="368"/>
    </row>
    <row r="96" spans="1:11" s="366" customFormat="1" hidden="1">
      <c r="A96" s="453"/>
      <c r="B96" s="453"/>
      <c r="C96" s="326" t="s">
        <v>2383</v>
      </c>
      <c r="D96" s="342" t="s">
        <v>29</v>
      </c>
      <c r="E96" s="368">
        <f>'Differ- Material'!C104</f>
        <v>0</v>
      </c>
      <c r="F96" s="368">
        <f>'Differ- Material'!D104</f>
        <v>64310</v>
      </c>
      <c r="G96" s="338">
        <f t="shared" si="8"/>
        <v>0</v>
      </c>
      <c r="H96" s="368"/>
    </row>
    <row r="97" spans="1:10" s="366" customFormat="1" hidden="1">
      <c r="A97" s="453"/>
      <c r="B97" s="453"/>
      <c r="C97" s="326" t="s">
        <v>2384</v>
      </c>
      <c r="D97" s="342" t="s">
        <v>29</v>
      </c>
      <c r="E97" s="368">
        <f>'Differ- Material'!C106</f>
        <v>0</v>
      </c>
      <c r="F97" s="368">
        <f>'Differ- Material'!D106</f>
        <v>75520</v>
      </c>
      <c r="G97" s="338">
        <f t="shared" ref="G97:G99" si="9">ROUND(E97*F97,0)</f>
        <v>0</v>
      </c>
      <c r="H97" s="368"/>
    </row>
    <row r="98" spans="1:10" s="366" customFormat="1" hidden="1">
      <c r="A98" s="453"/>
      <c r="B98" s="453"/>
      <c r="C98" s="326" t="s">
        <v>2385</v>
      </c>
      <c r="D98" s="342" t="s">
        <v>29</v>
      </c>
      <c r="E98" s="368">
        <f>'Differ- Material'!C107</f>
        <v>0</v>
      </c>
      <c r="F98" s="368">
        <f>'Differ- Material'!D107</f>
        <v>75520</v>
      </c>
      <c r="G98" s="338">
        <f t="shared" si="9"/>
        <v>0</v>
      </c>
      <c r="H98" s="368"/>
    </row>
    <row r="99" spans="1:10" s="366" customFormat="1" hidden="1">
      <c r="A99" s="453"/>
      <c r="B99" s="453"/>
      <c r="C99" s="326" t="s">
        <v>2381</v>
      </c>
      <c r="D99" s="342" t="s">
        <v>29</v>
      </c>
      <c r="E99" s="368">
        <f>'Differ- Material'!C108</f>
        <v>0</v>
      </c>
      <c r="F99" s="368">
        <f>'Differ- Material'!D108</f>
        <v>75520</v>
      </c>
      <c r="G99" s="338">
        <f t="shared" si="9"/>
        <v>0</v>
      </c>
      <c r="H99" s="368"/>
    </row>
    <row r="100" spans="1:10" hidden="1">
      <c r="A100" s="335"/>
      <c r="B100" s="335"/>
      <c r="C100" s="39"/>
      <c r="D100" s="342"/>
      <c r="E100" s="339">
        <f>SUM(E88:E99)</f>
        <v>4.25</v>
      </c>
      <c r="F100" s="25"/>
      <c r="G100" s="339">
        <f>SUM(G88:G99)</f>
        <v>208123</v>
      </c>
      <c r="H100" s="340"/>
    </row>
    <row r="101" spans="1:10" hidden="1">
      <c r="A101" s="335"/>
      <c r="B101" s="335"/>
      <c r="C101" s="39"/>
      <c r="D101" s="342"/>
      <c r="E101" s="339"/>
      <c r="F101" s="25"/>
      <c r="G101" s="25"/>
      <c r="H101" s="340"/>
    </row>
    <row r="102" spans="1:10">
      <c r="A102" s="335"/>
      <c r="B102" s="335"/>
      <c r="C102" s="326" t="s">
        <v>1440</v>
      </c>
      <c r="D102" s="326" t="s">
        <v>29</v>
      </c>
      <c r="E102" s="345">
        <f>'Differ- Material'!C112</f>
        <v>2.2200000000000002</v>
      </c>
      <c r="F102" s="25">
        <f>'Differ- Material'!D112</f>
        <v>62540</v>
      </c>
      <c r="G102" s="338">
        <f>ROUND(E102*F102,0)</f>
        <v>138839</v>
      </c>
      <c r="H102" s="340"/>
    </row>
    <row r="103" spans="1:10">
      <c r="A103" s="335"/>
      <c r="B103" s="335"/>
      <c r="C103" s="326"/>
      <c r="D103" s="326" t="s">
        <v>29</v>
      </c>
      <c r="E103" s="345">
        <f>'Differ- Material'!C113</f>
        <v>1.82</v>
      </c>
      <c r="F103" s="25">
        <f>'Differ- Material'!D113</f>
        <v>63720</v>
      </c>
      <c r="G103" s="338">
        <f t="shared" ref="G103:G107" si="10">ROUND(E103*F103,0)</f>
        <v>115970</v>
      </c>
      <c r="H103" s="340"/>
    </row>
    <row r="104" spans="1:10">
      <c r="A104" s="335"/>
      <c r="B104" s="335"/>
      <c r="C104" s="326"/>
      <c r="D104" s="326" t="s">
        <v>29</v>
      </c>
      <c r="E104" s="343">
        <f>'Differ- Material'!C114</f>
        <v>0.20999999999999974</v>
      </c>
      <c r="F104" s="25">
        <f>'Differ- Material'!D114</f>
        <v>84960</v>
      </c>
      <c r="G104" s="338">
        <f t="shared" si="10"/>
        <v>17842</v>
      </c>
      <c r="H104" s="340"/>
    </row>
    <row r="105" spans="1:10" hidden="1">
      <c r="A105" s="335"/>
      <c r="B105" s="335"/>
      <c r="C105" s="326"/>
      <c r="D105" s="326" t="s">
        <v>29</v>
      </c>
      <c r="E105" s="343">
        <f>'Differ- Material'!C115</f>
        <v>0</v>
      </c>
      <c r="F105" s="25">
        <f>'Differ- Material'!D115</f>
        <v>71980</v>
      </c>
      <c r="G105" s="338">
        <f t="shared" si="10"/>
        <v>0</v>
      </c>
      <c r="H105" s="340"/>
    </row>
    <row r="106" spans="1:10" hidden="1">
      <c r="A106" s="335"/>
      <c r="B106" s="335"/>
      <c r="C106" s="326"/>
      <c r="D106" s="326" t="s">
        <v>29</v>
      </c>
      <c r="E106" s="343">
        <f>'Differ- Material'!C116</f>
        <v>0</v>
      </c>
      <c r="F106" s="25">
        <f>'Differ- Material'!D116</f>
        <v>75520</v>
      </c>
      <c r="G106" s="338">
        <f t="shared" si="10"/>
        <v>0</v>
      </c>
      <c r="H106" s="340"/>
    </row>
    <row r="107" spans="1:10" hidden="1">
      <c r="A107" s="335"/>
      <c r="B107" s="335"/>
      <c r="C107" s="326"/>
      <c r="D107" s="326" t="s">
        <v>29</v>
      </c>
      <c r="E107" s="343">
        <f>'Differ- Material'!C117</f>
        <v>0</v>
      </c>
      <c r="F107" s="25">
        <f>'Differ- Material'!D117</f>
        <v>35000</v>
      </c>
      <c r="G107" s="338">
        <f t="shared" si="10"/>
        <v>0</v>
      </c>
      <c r="H107" s="340"/>
    </row>
    <row r="108" spans="1:10">
      <c r="A108" s="335"/>
      <c r="B108" s="335"/>
      <c r="C108" s="326"/>
      <c r="D108" s="326"/>
      <c r="E108" s="345">
        <f>SUM(E102:E107)</f>
        <v>4.25</v>
      </c>
      <c r="F108" s="25"/>
      <c r="G108" s="25">
        <f>SUM(G102:G107)</f>
        <v>272651</v>
      </c>
      <c r="H108" s="340">
        <f t="shared" ref="H108:H113" si="11">SUM(G108)</f>
        <v>272651</v>
      </c>
    </row>
    <row r="109" spans="1:10" s="366" customFormat="1" ht="51">
      <c r="A109" s="453">
        <v>8</v>
      </c>
      <c r="B109" s="453"/>
      <c r="C109" s="326" t="s">
        <v>245</v>
      </c>
      <c r="D109" s="367"/>
      <c r="E109" s="368"/>
      <c r="F109" s="368"/>
      <c r="G109" s="451">
        <f>J109-H108-H86-H76-H66-H55-H44-H29-H18-H34</f>
        <v>1098667</v>
      </c>
      <c r="H109" s="340">
        <f t="shared" si="11"/>
        <v>1098667</v>
      </c>
      <c r="J109" s="452">
        <f>'PART-A'!M4506</f>
        <v>1718516</v>
      </c>
    </row>
    <row r="110" spans="1:10" s="366" customFormat="1" hidden="1">
      <c r="A110" s="453">
        <v>10</v>
      </c>
      <c r="B110" s="453"/>
      <c r="C110" s="326" t="s">
        <v>2530</v>
      </c>
      <c r="D110" s="367"/>
      <c r="E110" s="368"/>
      <c r="F110" s="368"/>
      <c r="G110" s="451"/>
      <c r="H110" s="340">
        <f t="shared" si="11"/>
        <v>0</v>
      </c>
      <c r="J110" s="452"/>
    </row>
    <row r="111" spans="1:10" s="366" customFormat="1" hidden="1">
      <c r="A111" s="453">
        <v>10</v>
      </c>
      <c r="B111" s="453"/>
      <c r="C111" s="326" t="s">
        <v>2529</v>
      </c>
      <c r="D111" s="367"/>
      <c r="E111" s="368"/>
      <c r="F111" s="368"/>
      <c r="G111" s="451"/>
      <c r="H111" s="340">
        <f t="shared" si="11"/>
        <v>0</v>
      </c>
      <c r="J111" s="452"/>
    </row>
    <row r="112" spans="1:10" s="366" customFormat="1" ht="15.75" customHeight="1">
      <c r="A112" s="453">
        <v>9</v>
      </c>
      <c r="B112" s="453"/>
      <c r="C112" s="367" t="s">
        <v>2530</v>
      </c>
      <c r="D112" s="367"/>
      <c r="E112" s="368"/>
      <c r="F112" s="368"/>
      <c r="G112" s="451">
        <v>30000</v>
      </c>
      <c r="H112" s="876">
        <f t="shared" si="11"/>
        <v>30000</v>
      </c>
      <c r="J112" s="452">
        <f>[3]WORK!M4369</f>
        <v>0</v>
      </c>
    </row>
    <row r="113" spans="1:12" s="366" customFormat="1" ht="16.5" customHeight="1">
      <c r="A113" s="453">
        <v>10</v>
      </c>
      <c r="B113" s="453"/>
      <c r="C113" s="367" t="s">
        <v>2529</v>
      </c>
      <c r="D113" s="367"/>
      <c r="E113" s="368"/>
      <c r="F113" s="368"/>
      <c r="G113" s="451">
        <v>300000</v>
      </c>
      <c r="H113" s="876">
        <f t="shared" si="11"/>
        <v>300000</v>
      </c>
      <c r="J113" s="452">
        <f>[3]WORK!M4370</f>
        <v>100</v>
      </c>
    </row>
    <row r="114" spans="1:12" s="366" customFormat="1">
      <c r="A114" s="453"/>
      <c r="B114" s="453"/>
      <c r="C114" s="326"/>
      <c r="D114" s="367"/>
      <c r="E114" s="368"/>
      <c r="F114" s="368"/>
      <c r="G114" s="451"/>
      <c r="H114" s="340"/>
      <c r="J114" s="452"/>
    </row>
    <row r="115" spans="1:12">
      <c r="A115" s="335"/>
      <c r="B115" s="335"/>
      <c r="C115" s="326"/>
      <c r="D115" s="342"/>
      <c r="E115" s="345"/>
      <c r="F115" s="25"/>
      <c r="G115" s="25"/>
      <c r="H115" s="339">
        <f>SUM(H5:H114)</f>
        <v>2048516</v>
      </c>
      <c r="J115" s="329"/>
      <c r="K115" s="329"/>
      <c r="L115" s="452"/>
    </row>
    <row r="116" spans="1:12">
      <c r="A116" s="335">
        <v>11</v>
      </c>
      <c r="B116" s="335">
        <v>34826</v>
      </c>
      <c r="C116" s="326" t="s">
        <v>246</v>
      </c>
      <c r="D116" s="326" t="s">
        <v>104</v>
      </c>
      <c r="E116" s="344"/>
      <c r="F116" s="25"/>
      <c r="G116" s="338"/>
      <c r="H116" s="338">
        <f>'PART-A'!M4507</f>
        <v>8548</v>
      </c>
    </row>
    <row r="117" spans="1:12" ht="22.5" customHeight="1">
      <c r="A117" s="335">
        <v>12</v>
      </c>
      <c r="B117" s="335">
        <v>34827</v>
      </c>
      <c r="C117" s="326" t="s">
        <v>247</v>
      </c>
      <c r="D117" s="326" t="s">
        <v>104</v>
      </c>
      <c r="E117" s="344"/>
      <c r="F117" s="25"/>
      <c r="G117" s="338"/>
      <c r="H117" s="338">
        <f>'PART-A'!M4508</f>
        <v>21507</v>
      </c>
    </row>
    <row r="118" spans="1:12" ht="25.5" hidden="1">
      <c r="A118" s="335">
        <v>15</v>
      </c>
      <c r="B118" s="335">
        <v>34828</v>
      </c>
      <c r="C118" s="326" t="s">
        <v>248</v>
      </c>
      <c r="D118" s="342" t="s">
        <v>104</v>
      </c>
      <c r="E118" s="344">
        <v>0</v>
      </c>
      <c r="F118" s="25">
        <v>0</v>
      </c>
      <c r="G118" s="25"/>
      <c r="H118" s="338">
        <v>0</v>
      </c>
    </row>
    <row r="119" spans="1:12" ht="25.5" hidden="1">
      <c r="A119" s="335">
        <v>16</v>
      </c>
      <c r="B119" s="335">
        <v>34461</v>
      </c>
      <c r="C119" s="326" t="s">
        <v>251</v>
      </c>
      <c r="D119" s="326" t="s">
        <v>146</v>
      </c>
      <c r="E119" s="346">
        <v>1</v>
      </c>
      <c r="F119" s="25">
        <f>'PART-A'!M4509</f>
        <v>0</v>
      </c>
      <c r="G119" s="25"/>
      <c r="H119" s="25">
        <f>ROUND(E119*F119,0)</f>
        <v>0</v>
      </c>
    </row>
    <row r="120" spans="1:12" hidden="1">
      <c r="A120" s="335">
        <v>17</v>
      </c>
      <c r="B120" s="335">
        <v>35270</v>
      </c>
      <c r="C120" s="326" t="s">
        <v>249</v>
      </c>
      <c r="D120" s="342" t="s">
        <v>104</v>
      </c>
      <c r="E120" s="344">
        <v>0</v>
      </c>
      <c r="F120" s="25">
        <v>0</v>
      </c>
      <c r="G120" s="25"/>
      <c r="H120" s="338">
        <f>'PART-A'!M4510</f>
        <v>0</v>
      </c>
    </row>
    <row r="121" spans="1:12">
      <c r="A121" s="335">
        <v>13</v>
      </c>
      <c r="B121" s="335">
        <v>34829</v>
      </c>
      <c r="C121" s="326" t="s">
        <v>250</v>
      </c>
      <c r="D121" s="326" t="s">
        <v>104</v>
      </c>
      <c r="E121" s="344"/>
      <c r="F121" s="25"/>
      <c r="G121" s="334"/>
      <c r="H121" s="25">
        <f>'PART-A'!M4511</f>
        <v>1429</v>
      </c>
      <c r="I121" s="347"/>
      <c r="J121" s="348"/>
    </row>
    <row r="122" spans="1:12">
      <c r="A122" s="1601" t="s">
        <v>153</v>
      </c>
      <c r="B122" s="1601"/>
      <c r="C122" s="1601"/>
      <c r="D122" s="1601"/>
      <c r="E122" s="442"/>
      <c r="F122" s="443"/>
      <c r="G122" s="339"/>
      <c r="H122" s="339">
        <f>SUM(H115:H121)</f>
        <v>2080000</v>
      </c>
      <c r="I122" s="347"/>
      <c r="J122" s="348"/>
    </row>
    <row r="123" spans="1:12">
      <c r="C123" s="41" t="s">
        <v>155</v>
      </c>
      <c r="D123" s="329"/>
    </row>
    <row r="128" spans="1:12">
      <c r="C128" s="55" t="str">
        <f>'lead 19-20'!$H$31</f>
        <v>Deputy Executive Engineer</v>
      </c>
      <c r="D128" s="348"/>
      <c r="E128" s="333"/>
      <c r="G128" s="226" t="str">
        <f>'lead 19-20'!$K$31</f>
        <v>Assistant  Engineer</v>
      </c>
      <c r="H128" s="351"/>
    </row>
    <row r="129" spans="3:8">
      <c r="C129" s="55" t="str">
        <f>'lead 19-20'!$H$32</f>
        <v>PRI Sub Division</v>
      </c>
      <c r="D129" s="348"/>
      <c r="E129" s="333"/>
      <c r="G129" s="226" t="str">
        <f>'lead 19-20'!$K$32</f>
        <v>Mandal Praja parishad</v>
      </c>
      <c r="H129" s="351"/>
    </row>
    <row r="130" spans="3:8" ht="15" customHeight="1">
      <c r="C130" s="55" t="str">
        <f>'lead 19-20'!$H$33</f>
        <v>Kanigiri</v>
      </c>
      <c r="G130" s="226" t="str">
        <f>'lead 19-20'!$K$33</f>
        <v>Kanigiri</v>
      </c>
    </row>
    <row r="131" spans="3:8" ht="12.75" customHeight="1">
      <c r="C131" s="332"/>
      <c r="D131" s="348"/>
      <c r="E131" s="333"/>
      <c r="F131" s="352"/>
      <c r="G131" s="351"/>
      <c r="H131" s="351"/>
    </row>
    <row r="132" spans="3:8" ht="12.75" customHeight="1">
      <c r="C132" s="332"/>
      <c r="D132" s="348"/>
      <c r="E132" s="333"/>
      <c r="F132" s="352"/>
      <c r="G132" s="351"/>
      <c r="H132" s="351"/>
    </row>
    <row r="133" spans="3:8" ht="7.5" customHeight="1"/>
  </sheetData>
  <autoFilter ref="A4:H113">
    <filterColumn colId="6">
      <customFilters>
        <customFilter operator="notEqual" val=" "/>
      </customFilters>
    </filterColumn>
  </autoFilter>
  <mergeCells count="3">
    <mergeCell ref="A1:H1"/>
    <mergeCell ref="A2:H2"/>
    <mergeCell ref="A122:D122"/>
  </mergeCells>
  <pageMargins left="0.7" right="0.22" top="0.52" bottom="0.25" header="0.16" footer="0.16"/>
  <pageSetup paperSize="9" orientation="portrait" r:id="rId1"/>
</worksheet>
</file>

<file path=xl/worksheets/sheet7.xml><?xml version="1.0" encoding="utf-8"?>
<worksheet xmlns="http://schemas.openxmlformats.org/spreadsheetml/2006/main" xmlns:r="http://schemas.openxmlformats.org/officeDocument/2006/relationships">
  <sheetPr>
    <tabColor rgb="FF00B050"/>
  </sheetPr>
  <dimension ref="A1:H17"/>
  <sheetViews>
    <sheetView showZeros="0" defaultGridColor="0" view="pageBreakPreview" colorId="22" zoomScale="115" zoomScaleNormal="115" zoomScaleSheetLayoutView="115" workbookViewId="0">
      <selection activeCell="B8" sqref="B8"/>
    </sheetView>
  </sheetViews>
  <sheetFormatPr defaultColWidth="9.140625" defaultRowHeight="12.75"/>
  <cols>
    <col min="1" max="1" width="3.5703125" style="58" customWidth="1"/>
    <col min="2" max="2" width="33.7109375" style="58" customWidth="1"/>
    <col min="3" max="3" width="8.7109375" style="592" customWidth="1"/>
    <col min="4" max="4" width="5.28515625" style="592" customWidth="1"/>
    <col min="5" max="5" width="9.7109375" style="12" customWidth="1"/>
    <col min="6" max="6" width="8.85546875" style="593" customWidth="1"/>
    <col min="7" max="7" width="10.85546875" style="592" customWidth="1"/>
    <col min="8" max="9" width="10.42578125" style="58" bestFit="1" customWidth="1"/>
    <col min="10" max="16384" width="9.140625" style="58"/>
  </cols>
  <sheetData>
    <row r="1" spans="1:8" ht="26.25" customHeight="1">
      <c r="A1" s="1604" t="s">
        <v>3268</v>
      </c>
      <c r="B1" s="1604"/>
      <c r="C1" s="1604"/>
      <c r="D1" s="1604"/>
      <c r="E1" s="1604"/>
      <c r="F1" s="1604"/>
      <c r="G1" s="1604"/>
    </row>
    <row r="2" spans="1:8" ht="53.25" customHeight="1">
      <c r="A2" s="1605" t="s">
        <v>896</v>
      </c>
      <c r="B2" s="1605"/>
      <c r="C2" s="1606" t="str">
        <f>'lead 19-20'!C2:L2</f>
        <v>Providing Additional Space for Health Staff in Grama Sachivalayam of Baduguleru GP of Kanigiri Mandal</v>
      </c>
      <c r="D2" s="1606"/>
      <c r="E2" s="1606"/>
      <c r="F2" s="1606"/>
      <c r="G2" s="1606"/>
    </row>
    <row r="3" spans="1:8" ht="19.5" hidden="1" customHeight="1">
      <c r="A3" s="1605" t="s">
        <v>897</v>
      </c>
      <c r="B3" s="1605"/>
      <c r="C3" s="1606"/>
      <c r="D3" s="1606"/>
      <c r="E3" s="1606"/>
      <c r="F3" s="1606"/>
      <c r="G3" s="1606"/>
    </row>
    <row r="4" spans="1:8" ht="15" customHeight="1">
      <c r="A4" s="526"/>
      <c r="B4" s="817"/>
      <c r="C4" s="1602" t="s">
        <v>452</v>
      </c>
      <c r="D4" s="1602"/>
      <c r="E4" s="1602"/>
      <c r="F4" s="1603" t="str">
        <f>'lead 19-20'!K4</f>
        <v>20.80 Lakhs</v>
      </c>
      <c r="G4" s="1603"/>
    </row>
    <row r="5" spans="1:8" s="528" customFormat="1" ht="12.75" customHeight="1">
      <c r="A5" s="1608" t="s">
        <v>271</v>
      </c>
      <c r="B5" s="1608" t="s">
        <v>272</v>
      </c>
      <c r="C5" s="1608" t="s">
        <v>6</v>
      </c>
      <c r="D5" s="1608"/>
      <c r="E5" s="1608" t="s">
        <v>8</v>
      </c>
      <c r="F5" s="1607" t="s">
        <v>9</v>
      </c>
      <c r="G5" s="1608" t="s">
        <v>10</v>
      </c>
    </row>
    <row r="6" spans="1:8" s="528" customFormat="1" ht="21.75" customHeight="1">
      <c r="A6" s="1608"/>
      <c r="B6" s="1608"/>
      <c r="C6" s="1608"/>
      <c r="D6" s="1608"/>
      <c r="E6" s="1608"/>
      <c r="F6" s="1607"/>
      <c r="G6" s="1608"/>
    </row>
    <row r="7" spans="1:8" s="528" customFormat="1" ht="15.75">
      <c r="A7" s="816">
        <v>1</v>
      </c>
      <c r="B7" s="816">
        <v>2</v>
      </c>
      <c r="C7" s="530">
        <v>7</v>
      </c>
      <c r="D7" s="531"/>
      <c r="E7" s="816">
        <v>8</v>
      </c>
      <c r="F7" s="815">
        <v>9</v>
      </c>
      <c r="G7" s="816">
        <v>10</v>
      </c>
    </row>
    <row r="8" spans="1:8" ht="24" customHeight="1">
      <c r="A8" s="16">
        <v>1</v>
      </c>
      <c r="B8" s="818" t="s">
        <v>3283</v>
      </c>
      <c r="C8" s="534"/>
      <c r="D8" s="535"/>
      <c r="E8" s="16"/>
      <c r="F8" s="208"/>
      <c r="G8" s="9">
        <f>'PART-A'!M4512</f>
        <v>1750000</v>
      </c>
      <c r="H8" s="533"/>
    </row>
    <row r="9" spans="1:8" ht="25.5" customHeight="1">
      <c r="A9" s="16">
        <v>2</v>
      </c>
      <c r="B9" s="818" t="s">
        <v>3323</v>
      </c>
      <c r="C9" s="534"/>
      <c r="D9" s="535"/>
      <c r="E9" s="16"/>
      <c r="F9" s="208"/>
      <c r="G9" s="9">
        <f>'PART-B'!M1576</f>
        <v>330000</v>
      </c>
      <c r="H9" s="533"/>
    </row>
    <row r="10" spans="1:8" s="753" customFormat="1" ht="20.25" customHeight="1">
      <c r="A10" s="750"/>
      <c r="B10" s="418" t="s">
        <v>2758</v>
      </c>
      <c r="C10" s="755"/>
      <c r="D10" s="752"/>
      <c r="E10" s="750"/>
      <c r="F10" s="750"/>
      <c r="G10" s="787">
        <f>SUBTOTAL(9,G8:G9)</f>
        <v>2080000</v>
      </c>
      <c r="H10" s="753">
        <v>4360000</v>
      </c>
    </row>
    <row r="15" spans="1:8">
      <c r="C15" s="12" t="str">
        <f>'lead 19-20'!H31</f>
        <v>Deputy Executive Engineer</v>
      </c>
      <c r="F15" s="593" t="str">
        <f>'lead 19-20'!K31</f>
        <v>Assistant  Engineer</v>
      </c>
    </row>
    <row r="16" spans="1:8">
      <c r="C16" s="12" t="str">
        <f>'lead 19-20'!H32</f>
        <v>PRI Sub Division</v>
      </c>
      <c r="F16" s="593" t="str">
        <f>'lead 19-20'!K32</f>
        <v>Mandal Praja parishad</v>
      </c>
    </row>
    <row r="17" spans="3:6">
      <c r="C17" s="12" t="str">
        <f>'lead 19-20'!H33</f>
        <v>Kanigiri</v>
      </c>
      <c r="F17" s="593" t="str">
        <f>'lead 19-20'!K33</f>
        <v>Kanigiri</v>
      </c>
    </row>
  </sheetData>
  <autoFilter ref="A7:G9"/>
  <mergeCells count="13">
    <mergeCell ref="F5:F6"/>
    <mergeCell ref="G5:G6"/>
    <mergeCell ref="A5:A6"/>
    <mergeCell ref="B5:B6"/>
    <mergeCell ref="C5:D6"/>
    <mergeCell ref="E5:E6"/>
    <mergeCell ref="C4:E4"/>
    <mergeCell ref="F4:G4"/>
    <mergeCell ref="A1:G1"/>
    <mergeCell ref="A2:B2"/>
    <mergeCell ref="C2:G2"/>
    <mergeCell ref="A3:B3"/>
    <mergeCell ref="C3:G3"/>
  </mergeCells>
  <printOptions horizontalCentered="1"/>
  <pageMargins left="0.15" right="0.1" top="0.2" bottom="0.23" header="0.25" footer="0.08"/>
  <pageSetup paperSize="9" scale="90" pageOrder="overThenDown" orientation="portrait" r:id="rId1"/>
  <headerFooter alignWithMargins="0"/>
</worksheet>
</file>

<file path=xl/worksheets/sheet8.xml><?xml version="1.0" encoding="utf-8"?>
<worksheet xmlns="http://schemas.openxmlformats.org/spreadsheetml/2006/main" xmlns:r="http://schemas.openxmlformats.org/officeDocument/2006/relationships">
  <sheetPr filterMode="1">
    <tabColor rgb="FF00B050"/>
  </sheetPr>
  <dimension ref="A1:Q4524"/>
  <sheetViews>
    <sheetView showZeros="0" defaultGridColor="0" view="pageBreakPreview" topLeftCell="A3596" colorId="22" zoomScale="130" zoomScaleNormal="115" zoomScaleSheetLayoutView="130" workbookViewId="0">
      <selection activeCell="J3598" sqref="J3598"/>
    </sheetView>
  </sheetViews>
  <sheetFormatPr defaultColWidth="9.140625" defaultRowHeight="12.75"/>
  <cols>
    <col min="1" max="1" width="3.5703125" style="901" customWidth="1"/>
    <col min="2" max="2" width="31.42578125" style="901" customWidth="1"/>
    <col min="3" max="3" width="3.5703125" style="901" customWidth="1"/>
    <col min="4" max="4" width="1.7109375" style="901" customWidth="1"/>
    <col min="5" max="5" width="5.140625" style="1356" customWidth="1"/>
    <col min="6" max="6" width="6.7109375" style="1357" customWidth="1"/>
    <col min="7" max="7" width="6.140625" style="1358" customWidth="1"/>
    <col min="8" max="8" width="7.42578125" style="964" customWidth="1"/>
    <col min="9" max="9" width="8.7109375" style="965" customWidth="1"/>
    <col min="10" max="10" width="5.28515625" style="965" customWidth="1"/>
    <col min="11" max="11" width="8.42578125" style="964" customWidth="1"/>
    <col min="12" max="12" width="8.7109375" style="1359" customWidth="1"/>
    <col min="13" max="13" width="10.28515625" style="965" customWidth="1"/>
    <col min="14" max="15" width="10.42578125" style="901" bestFit="1" customWidth="1"/>
    <col min="16" max="16384" width="9.140625" style="901"/>
  </cols>
  <sheetData>
    <row r="1" spans="1:14" ht="26.25" customHeight="1">
      <c r="A1" s="1618" t="s">
        <v>898</v>
      </c>
      <c r="B1" s="1618"/>
      <c r="C1" s="1618"/>
      <c r="D1" s="1618"/>
      <c r="E1" s="1618"/>
      <c r="F1" s="1618"/>
      <c r="G1" s="1618"/>
      <c r="H1" s="1618"/>
      <c r="I1" s="1618"/>
      <c r="J1" s="1618"/>
      <c r="K1" s="1618"/>
      <c r="L1" s="1618"/>
      <c r="M1" s="1618"/>
    </row>
    <row r="2" spans="1:14" ht="42" customHeight="1">
      <c r="A2" s="1619" t="s">
        <v>896</v>
      </c>
      <c r="B2" s="1619"/>
      <c r="C2" s="1620" t="str">
        <f>'lead 19-20'!C2</f>
        <v>Providing Additional Space for Health Staff in Grama Sachivalayam of Baduguleru GP of Kanigiri Mandal</v>
      </c>
      <c r="D2" s="1620"/>
      <c r="E2" s="1620"/>
      <c r="F2" s="1620"/>
      <c r="G2" s="1620"/>
      <c r="H2" s="1620"/>
      <c r="I2" s="1620"/>
      <c r="J2" s="1620"/>
      <c r="K2" s="1620"/>
      <c r="L2" s="1620"/>
      <c r="M2" s="1620"/>
    </row>
    <row r="3" spans="1:14" ht="15" customHeight="1">
      <c r="A3" s="1253"/>
      <c r="B3" s="1254"/>
      <c r="C3" s="1254"/>
      <c r="D3" s="1254"/>
      <c r="E3" s="1254"/>
      <c r="F3" s="1254"/>
      <c r="G3" s="1254"/>
      <c r="H3" s="1255"/>
      <c r="I3" s="1621" t="s">
        <v>270</v>
      </c>
      <c r="J3" s="1621"/>
      <c r="K3" s="1621"/>
      <c r="L3" s="1622" t="str">
        <f>'lead 19-20'!K4</f>
        <v>20.80 Lakhs</v>
      </c>
      <c r="M3" s="1622"/>
    </row>
    <row r="4" spans="1:14" s="1256" customFormat="1" ht="12.75" customHeight="1">
      <c r="A4" s="1611" t="s">
        <v>271</v>
      </c>
      <c r="B4" s="1611" t="s">
        <v>272</v>
      </c>
      <c r="C4" s="1611" t="s">
        <v>115</v>
      </c>
      <c r="D4" s="1611"/>
      <c r="E4" s="1611"/>
      <c r="F4" s="1611" t="s">
        <v>123</v>
      </c>
      <c r="G4" s="1611"/>
      <c r="H4" s="1611"/>
      <c r="I4" s="1623" t="s">
        <v>6</v>
      </c>
      <c r="J4" s="1624"/>
      <c r="K4" s="1611" t="s">
        <v>8</v>
      </c>
      <c r="L4" s="1625" t="s">
        <v>9</v>
      </c>
      <c r="M4" s="1611" t="s">
        <v>10</v>
      </c>
    </row>
    <row r="5" spans="1:14" s="1256" customFormat="1" ht="21.75" customHeight="1">
      <c r="A5" s="1611"/>
      <c r="B5" s="1611"/>
      <c r="C5" s="1611"/>
      <c r="D5" s="1611"/>
      <c r="E5" s="1611"/>
      <c r="F5" s="1257" t="s">
        <v>12</v>
      </c>
      <c r="G5" s="1257" t="s">
        <v>13</v>
      </c>
      <c r="H5" s="1390" t="s">
        <v>14</v>
      </c>
      <c r="I5" s="1623"/>
      <c r="J5" s="1624"/>
      <c r="K5" s="1611"/>
      <c r="L5" s="1625"/>
      <c r="M5" s="1611"/>
    </row>
    <row r="6" spans="1:14" s="1256" customFormat="1" ht="15.75">
      <c r="A6" s="1390">
        <v>1</v>
      </c>
      <c r="B6" s="1390">
        <v>2</v>
      </c>
      <c r="C6" s="1611">
        <v>3</v>
      </c>
      <c r="D6" s="1611"/>
      <c r="E6" s="1611"/>
      <c r="F6" s="1391">
        <v>4</v>
      </c>
      <c r="G6" s="1391">
        <v>5</v>
      </c>
      <c r="H6" s="1390">
        <v>6</v>
      </c>
      <c r="I6" s="1258">
        <v>7</v>
      </c>
      <c r="J6" s="1259"/>
      <c r="K6" s="1390">
        <v>8</v>
      </c>
      <c r="L6" s="1391">
        <v>9</v>
      </c>
      <c r="M6" s="1390">
        <v>10</v>
      </c>
    </row>
    <row r="7" spans="1:14" s="1253" customFormat="1" ht="15.75" hidden="1">
      <c r="A7" s="967"/>
      <c r="B7" s="1260" t="s">
        <v>2425</v>
      </c>
      <c r="C7" s="1387"/>
      <c r="D7" s="1388"/>
      <c r="E7" s="1389"/>
      <c r="F7" s="973"/>
      <c r="G7" s="973"/>
      <c r="H7" s="967"/>
      <c r="I7" s="1261"/>
      <c r="J7" s="1262"/>
      <c r="K7" s="967"/>
      <c r="L7" s="988"/>
      <c r="M7" s="967"/>
      <c r="N7" s="900" t="s">
        <v>2209</v>
      </c>
    </row>
    <row r="8" spans="1:14" s="1253" customFormat="1" ht="15.75" hidden="1">
      <c r="A8" s="967"/>
      <c r="B8" s="1260" t="s">
        <v>293</v>
      </c>
      <c r="C8" s="1387"/>
      <c r="D8" s="1388"/>
      <c r="E8" s="1389"/>
      <c r="F8" s="973"/>
      <c r="G8" s="973"/>
      <c r="H8" s="967"/>
      <c r="I8" s="1261"/>
      <c r="J8" s="1262"/>
      <c r="K8" s="967"/>
      <c r="L8" s="988"/>
      <c r="M8" s="967"/>
      <c r="N8" s="900" t="s">
        <v>2209</v>
      </c>
    </row>
    <row r="9" spans="1:14" ht="30" hidden="1" customHeight="1">
      <c r="A9" s="896">
        <v>1</v>
      </c>
      <c r="B9" s="1609" t="s">
        <v>294</v>
      </c>
      <c r="C9" s="1609"/>
      <c r="D9" s="1609"/>
      <c r="E9" s="1609"/>
      <c r="F9" s="1609"/>
      <c r="G9" s="1609"/>
      <c r="H9" s="1609"/>
      <c r="I9" s="897"/>
      <c r="J9" s="898"/>
      <c r="K9" s="896"/>
      <c r="L9" s="923"/>
      <c r="M9" s="899"/>
      <c r="N9" s="900" t="s">
        <v>2209</v>
      </c>
    </row>
    <row r="10" spans="1:14" s="910" customFormat="1" ht="16.5" hidden="1" customHeight="1">
      <c r="A10" s="896"/>
      <c r="B10" s="902" t="s">
        <v>3344</v>
      </c>
      <c r="C10" s="897"/>
      <c r="D10" s="1263" t="s">
        <v>3508</v>
      </c>
      <c r="E10" s="919"/>
      <c r="F10" s="920"/>
      <c r="G10" s="920"/>
      <c r="H10" s="920"/>
      <c r="I10" s="1264"/>
      <c r="J10" s="1265"/>
      <c r="K10" s="902"/>
      <c r="L10" s="896"/>
      <c r="M10" s="902"/>
      <c r="N10" s="900" t="s">
        <v>2209</v>
      </c>
    </row>
    <row r="11" spans="1:14" s="910" customFormat="1" ht="16.5" hidden="1" customHeight="1">
      <c r="A11" s="896"/>
      <c r="B11" s="902"/>
      <c r="C11" s="897">
        <v>1</v>
      </c>
      <c r="D11" s="1263" t="s">
        <v>273</v>
      </c>
      <c r="E11" s="919">
        <v>1</v>
      </c>
      <c r="F11" s="920">
        <v>12</v>
      </c>
      <c r="G11" s="920">
        <v>6</v>
      </c>
      <c r="H11" s="920">
        <v>0</v>
      </c>
      <c r="I11" s="1266">
        <f>ROUND(IF(AND(F11:H11),C11*E11*F11*G11*H11,IF(AND(F11,G11),C11*E11*F11*G11,IF(AND(F11,H11),C11*E11*F11*H11,IF(AND(G11,H11),C11*E11*G11*H11,IF(F11,C11*E11*F11,IF(G11,C11*E11*G11,IF(H11,C11*E11*H11,C11*E11))))))),2)</f>
        <v>72</v>
      </c>
      <c r="J11" s="1267" t="s">
        <v>102</v>
      </c>
      <c r="K11" s="902"/>
      <c r="L11" s="896"/>
      <c r="M11" s="902"/>
      <c r="N11" s="900" t="s">
        <v>2209</v>
      </c>
    </row>
    <row r="12" spans="1:14" s="910" customFormat="1" ht="16.5" hidden="1" customHeight="1">
      <c r="A12" s="896"/>
      <c r="B12" s="956"/>
      <c r="C12" s="957"/>
      <c r="D12" s="958"/>
      <c r="E12" s="1268"/>
      <c r="F12" s="960"/>
      <c r="G12" s="960"/>
      <c r="H12" s="960"/>
      <c r="I12" s="916">
        <f>SUM(I11:I11)</f>
        <v>72</v>
      </c>
      <c r="J12" s="955" t="s">
        <v>102</v>
      </c>
      <c r="K12" s="902"/>
      <c r="L12" s="896"/>
      <c r="M12" s="902"/>
      <c r="N12" s="900" t="s">
        <v>2209</v>
      </c>
    </row>
    <row r="13" spans="1:14" s="910" customFormat="1" ht="16.5" hidden="1" customHeight="1">
      <c r="A13" s="896"/>
      <c r="B13" s="956" t="s">
        <v>295</v>
      </c>
      <c r="C13" s="957"/>
      <c r="D13" s="958"/>
      <c r="E13" s="1268"/>
      <c r="F13" s="1268"/>
      <c r="G13" s="960"/>
      <c r="H13" s="960"/>
      <c r="I13" s="916">
        <f>-ROUND(I12*40%,2)</f>
        <v>-28.8</v>
      </c>
      <c r="J13" s="955" t="s">
        <v>102</v>
      </c>
      <c r="K13" s="902"/>
      <c r="L13" s="896"/>
      <c r="M13" s="902"/>
      <c r="N13" s="900" t="s">
        <v>2209</v>
      </c>
    </row>
    <row r="14" spans="1:14" ht="15.75" hidden="1">
      <c r="A14" s="896"/>
      <c r="B14" s="899"/>
      <c r="C14" s="917"/>
      <c r="D14" s="918"/>
      <c r="E14" s="919"/>
      <c r="F14" s="920"/>
      <c r="G14" s="920"/>
      <c r="H14" s="920"/>
      <c r="I14" s="916"/>
      <c r="J14" s="955" t="s">
        <v>102</v>
      </c>
      <c r="K14" s="922">
        <f>data!G44</f>
        <v>5.22</v>
      </c>
      <c r="L14" s="923" t="s">
        <v>2209</v>
      </c>
      <c r="M14" s="924">
        <f>ROUND(I14*K14,0)</f>
        <v>0</v>
      </c>
      <c r="N14" s="900" t="s">
        <v>2209</v>
      </c>
    </row>
    <row r="15" spans="1:14" ht="30" hidden="1" customHeight="1">
      <c r="A15" s="896">
        <v>1</v>
      </c>
      <c r="B15" s="1609" t="s">
        <v>294</v>
      </c>
      <c r="C15" s="1609"/>
      <c r="D15" s="1609"/>
      <c r="E15" s="1609"/>
      <c r="F15" s="1609"/>
      <c r="G15" s="1609"/>
      <c r="H15" s="1609"/>
      <c r="I15" s="897"/>
      <c r="J15" s="898"/>
      <c r="K15" s="896"/>
      <c r="L15" s="923"/>
      <c r="M15" s="899"/>
      <c r="N15" s="900" t="s">
        <v>2297</v>
      </c>
    </row>
    <row r="16" spans="1:14" s="910" customFormat="1" ht="16.5" hidden="1" customHeight="1">
      <c r="A16" s="896"/>
      <c r="B16" s="902" t="s">
        <v>3510</v>
      </c>
      <c r="C16" s="897"/>
      <c r="D16" s="1263"/>
      <c r="E16" s="919"/>
      <c r="F16" s="920"/>
      <c r="G16" s="920"/>
      <c r="H16" s="920"/>
      <c r="I16" s="1264"/>
      <c r="J16" s="1265"/>
      <c r="K16" s="902"/>
      <c r="L16" s="896"/>
      <c r="M16" s="902"/>
      <c r="N16" s="900" t="s">
        <v>2297</v>
      </c>
    </row>
    <row r="17" spans="1:14" s="910" customFormat="1" ht="16.5" hidden="1" customHeight="1">
      <c r="A17" s="896"/>
      <c r="B17" s="902"/>
      <c r="C17" s="897">
        <v>1</v>
      </c>
      <c r="D17" s="1263" t="s">
        <v>273</v>
      </c>
      <c r="E17" s="919">
        <v>1</v>
      </c>
      <c r="F17" s="920">
        <v>7.6</v>
      </c>
      <c r="G17" s="920">
        <v>5.24</v>
      </c>
      <c r="H17" s="920">
        <v>0</v>
      </c>
      <c r="I17" s="1266">
        <f>ROUND(IF(AND(F17:H17),C17*E17*F17*G17*H17,IF(AND(F17,G17),C17*E17*F17*G17,IF(AND(F17,H17),C17*E17*F17*H17,IF(AND(G17,H17),C17*E17*G17*H17,IF(F17,C17*E17*F17,IF(G17,C17*E17*G17,IF(H17,C17*E17*H17,C17*E17))))))),2)</f>
        <v>39.82</v>
      </c>
      <c r="J17" s="1267" t="s">
        <v>102</v>
      </c>
      <c r="K17" s="902"/>
      <c r="L17" s="896"/>
      <c r="M17" s="902"/>
      <c r="N17" s="900" t="s">
        <v>2297</v>
      </c>
    </row>
    <row r="18" spans="1:14" s="910" customFormat="1" ht="16.5" hidden="1" customHeight="1">
      <c r="A18" s="896"/>
      <c r="B18" s="956"/>
      <c r="C18" s="957"/>
      <c r="D18" s="958"/>
      <c r="E18" s="1268"/>
      <c r="F18" s="960"/>
      <c r="G18" s="960"/>
      <c r="H18" s="960"/>
      <c r="I18" s="916">
        <f>SUM(I17:I17)</f>
        <v>39.82</v>
      </c>
      <c r="J18" s="955" t="s">
        <v>102</v>
      </c>
      <c r="K18" s="902"/>
      <c r="L18" s="896"/>
      <c r="M18" s="902"/>
      <c r="N18" s="900" t="s">
        <v>2297</v>
      </c>
    </row>
    <row r="19" spans="1:14" s="910" customFormat="1" ht="16.5" hidden="1" customHeight="1">
      <c r="A19" s="896"/>
      <c r="B19" s="956" t="s">
        <v>295</v>
      </c>
      <c r="C19" s="957"/>
      <c r="D19" s="958"/>
      <c r="E19" s="1268"/>
      <c r="F19" s="1268"/>
      <c r="G19" s="960"/>
      <c r="H19" s="960"/>
      <c r="I19" s="916">
        <f>-ROUND(I18*40%,2)</f>
        <v>-15.93</v>
      </c>
      <c r="J19" s="955" t="s">
        <v>102</v>
      </c>
      <c r="K19" s="902"/>
      <c r="L19" s="896"/>
      <c r="M19" s="902"/>
      <c r="N19" s="900" t="s">
        <v>2297</v>
      </c>
    </row>
    <row r="20" spans="1:14" ht="15.75" hidden="1">
      <c r="A20" s="896"/>
      <c r="B20" s="899"/>
      <c r="C20" s="917"/>
      <c r="D20" s="918"/>
      <c r="E20" s="919"/>
      <c r="F20" s="920"/>
      <c r="G20" s="920"/>
      <c r="H20" s="920"/>
      <c r="I20" s="916"/>
      <c r="J20" s="955" t="s">
        <v>102</v>
      </c>
      <c r="K20" s="922">
        <f>data!G960</f>
        <v>5.86</v>
      </c>
      <c r="L20" s="923" t="s">
        <v>2297</v>
      </c>
      <c r="M20" s="924">
        <f>ROUND(I20*K20,0)</f>
        <v>0</v>
      </c>
      <c r="N20" s="900" t="s">
        <v>2297</v>
      </c>
    </row>
    <row r="21" spans="1:14" ht="30" hidden="1" customHeight="1">
      <c r="A21" s="896">
        <v>1</v>
      </c>
      <c r="B21" s="1609" t="s">
        <v>294</v>
      </c>
      <c r="C21" s="1609"/>
      <c r="D21" s="1609"/>
      <c r="E21" s="1609"/>
      <c r="F21" s="1609"/>
      <c r="G21" s="1609"/>
      <c r="H21" s="1609"/>
      <c r="I21" s="897"/>
      <c r="J21" s="898"/>
      <c r="K21" s="896"/>
      <c r="L21" s="923"/>
      <c r="M21" s="899"/>
      <c r="N21" s="900" t="s">
        <v>2308</v>
      </c>
    </row>
    <row r="22" spans="1:14" s="910" customFormat="1" ht="16.5" hidden="1" customHeight="1">
      <c r="A22" s="896"/>
      <c r="B22" s="902" t="s">
        <v>3510</v>
      </c>
      <c r="C22" s="897"/>
      <c r="D22" s="1263"/>
      <c r="E22" s="919"/>
      <c r="F22" s="920"/>
      <c r="G22" s="920"/>
      <c r="H22" s="920"/>
      <c r="I22" s="1264"/>
      <c r="J22" s="1265"/>
      <c r="K22" s="902"/>
      <c r="L22" s="896"/>
      <c r="M22" s="902"/>
      <c r="N22" s="900" t="s">
        <v>2308</v>
      </c>
    </row>
    <row r="23" spans="1:14" s="910" customFormat="1" ht="16.5" hidden="1" customHeight="1">
      <c r="A23" s="896"/>
      <c r="B23" s="902"/>
      <c r="C23" s="897">
        <v>1</v>
      </c>
      <c r="D23" s="1263" t="s">
        <v>273</v>
      </c>
      <c r="E23" s="919">
        <v>1</v>
      </c>
      <c r="F23" s="920">
        <v>7.6</v>
      </c>
      <c r="G23" s="920">
        <v>5.24</v>
      </c>
      <c r="H23" s="920">
        <v>0</v>
      </c>
      <c r="I23" s="1266">
        <f>ROUND(IF(AND(F23:H23),C23*E23*F23*G23*H23,IF(AND(F23,G23),C23*E23*F23*G23,IF(AND(F23,H23),C23*E23*F23*H23,IF(AND(G23,H23),C23*E23*G23*H23,IF(F23,C23*E23*F23,IF(G23,C23*E23*G23,IF(H23,C23*E23*H23,C23*E23))))))),2)</f>
        <v>39.82</v>
      </c>
      <c r="J23" s="1267" t="s">
        <v>102</v>
      </c>
      <c r="K23" s="902"/>
      <c r="L23" s="896"/>
      <c r="M23" s="902"/>
      <c r="N23" s="900" t="s">
        <v>2308</v>
      </c>
    </row>
    <row r="24" spans="1:14" s="910" customFormat="1" ht="16.5" hidden="1" customHeight="1">
      <c r="A24" s="896"/>
      <c r="B24" s="956"/>
      <c r="C24" s="957"/>
      <c r="D24" s="958"/>
      <c r="E24" s="1268"/>
      <c r="F24" s="960"/>
      <c r="G24" s="960"/>
      <c r="H24" s="960"/>
      <c r="I24" s="916">
        <f>SUM(I23:I23)</f>
        <v>39.82</v>
      </c>
      <c r="J24" s="955" t="s">
        <v>102</v>
      </c>
      <c r="K24" s="902"/>
      <c r="L24" s="896"/>
      <c r="M24" s="902"/>
      <c r="N24" s="900" t="s">
        <v>2308</v>
      </c>
    </row>
    <row r="25" spans="1:14" s="910" customFormat="1" ht="16.5" hidden="1" customHeight="1">
      <c r="A25" s="896"/>
      <c r="B25" s="956" t="s">
        <v>295</v>
      </c>
      <c r="C25" s="957"/>
      <c r="D25" s="958"/>
      <c r="E25" s="1268"/>
      <c r="F25" s="1268"/>
      <c r="G25" s="960"/>
      <c r="H25" s="960"/>
      <c r="I25" s="916">
        <f>-ROUND(I24*40%,2)</f>
        <v>-15.93</v>
      </c>
      <c r="J25" s="955" t="s">
        <v>102</v>
      </c>
      <c r="K25" s="902"/>
      <c r="L25" s="896"/>
      <c r="M25" s="902"/>
      <c r="N25" s="900" t="s">
        <v>2308</v>
      </c>
    </row>
    <row r="26" spans="1:14" ht="15.75" hidden="1">
      <c r="A26" s="896"/>
      <c r="B26" s="899"/>
      <c r="C26" s="917"/>
      <c r="D26" s="918"/>
      <c r="E26" s="919"/>
      <c r="F26" s="920"/>
      <c r="G26" s="920"/>
      <c r="H26" s="920"/>
      <c r="I26" s="916"/>
      <c r="J26" s="955" t="s">
        <v>102</v>
      </c>
      <c r="K26" s="922">
        <f>data!G1877</f>
        <v>6.06</v>
      </c>
      <c r="L26" s="923" t="s">
        <v>2308</v>
      </c>
      <c r="M26" s="924">
        <f>ROUND(I26*K26,0)</f>
        <v>0</v>
      </c>
      <c r="N26" s="900" t="s">
        <v>2308</v>
      </c>
    </row>
    <row r="27" spans="1:14" ht="30" hidden="1" customHeight="1">
      <c r="A27" s="896">
        <v>1</v>
      </c>
      <c r="B27" s="1609" t="s">
        <v>294</v>
      </c>
      <c r="C27" s="1609"/>
      <c r="D27" s="1609"/>
      <c r="E27" s="1609"/>
      <c r="F27" s="1609"/>
      <c r="G27" s="1609"/>
      <c r="H27" s="1609"/>
      <c r="I27" s="897"/>
      <c r="J27" s="898"/>
      <c r="K27" s="896"/>
      <c r="L27" s="923"/>
      <c r="M27" s="899"/>
      <c r="N27" s="900" t="s">
        <v>2309</v>
      </c>
    </row>
    <row r="28" spans="1:14" s="910" customFormat="1" ht="16.5" hidden="1" customHeight="1">
      <c r="A28" s="896"/>
      <c r="B28" s="902" t="s">
        <v>3510</v>
      </c>
      <c r="C28" s="897"/>
      <c r="D28" s="1263"/>
      <c r="E28" s="919"/>
      <c r="F28" s="920"/>
      <c r="G28" s="920"/>
      <c r="H28" s="920"/>
      <c r="I28" s="1264"/>
      <c r="J28" s="1265"/>
      <c r="K28" s="902"/>
      <c r="L28" s="896"/>
      <c r="M28" s="902"/>
      <c r="N28" s="900" t="s">
        <v>2309</v>
      </c>
    </row>
    <row r="29" spans="1:14" s="910" customFormat="1" ht="16.5" hidden="1" customHeight="1">
      <c r="A29" s="896"/>
      <c r="B29" s="902"/>
      <c r="C29" s="897">
        <v>1</v>
      </c>
      <c r="D29" s="1263" t="s">
        <v>273</v>
      </c>
      <c r="E29" s="919">
        <v>1</v>
      </c>
      <c r="F29" s="920">
        <v>7.6</v>
      </c>
      <c r="G29" s="920">
        <v>5.24</v>
      </c>
      <c r="H29" s="920">
        <v>0</v>
      </c>
      <c r="I29" s="1266">
        <f>ROUND(IF(AND(F29:H29),C29*E29*F29*G29*H29,IF(AND(F29,G29),C29*E29*F29*G29,IF(AND(F29,H29),C29*E29*F29*H29,IF(AND(G29,H29),C29*E29*G29*H29,IF(F29,C29*E29*F29,IF(G29,C29*E29*G29,IF(H29,C29*E29*H29,C29*E29))))))),2)</f>
        <v>39.82</v>
      </c>
      <c r="J29" s="1267" t="s">
        <v>102</v>
      </c>
      <c r="K29" s="902"/>
      <c r="L29" s="896"/>
      <c r="M29" s="902"/>
      <c r="N29" s="900" t="s">
        <v>2309</v>
      </c>
    </row>
    <row r="30" spans="1:14" s="910" customFormat="1" ht="16.5" hidden="1" customHeight="1">
      <c r="A30" s="896"/>
      <c r="B30" s="956"/>
      <c r="C30" s="957"/>
      <c r="D30" s="958"/>
      <c r="E30" s="1268"/>
      <c r="F30" s="960"/>
      <c r="G30" s="960"/>
      <c r="H30" s="960"/>
      <c r="I30" s="916">
        <f>SUM(I29:I29)</f>
        <v>39.82</v>
      </c>
      <c r="J30" s="955" t="s">
        <v>102</v>
      </c>
      <c r="K30" s="902"/>
      <c r="L30" s="896"/>
      <c r="M30" s="902"/>
      <c r="N30" s="900" t="s">
        <v>2309</v>
      </c>
    </row>
    <row r="31" spans="1:14" s="910" customFormat="1" ht="16.5" hidden="1" customHeight="1">
      <c r="A31" s="896"/>
      <c r="B31" s="956" t="s">
        <v>295</v>
      </c>
      <c r="C31" s="957"/>
      <c r="D31" s="958"/>
      <c r="E31" s="1268"/>
      <c r="F31" s="1268"/>
      <c r="G31" s="960"/>
      <c r="H31" s="960"/>
      <c r="I31" s="916">
        <f>-ROUND(I30*40%,2)</f>
        <v>-15.93</v>
      </c>
      <c r="J31" s="955" t="s">
        <v>102</v>
      </c>
      <c r="K31" s="902"/>
      <c r="L31" s="896"/>
      <c r="M31" s="902"/>
      <c r="N31" s="900" t="s">
        <v>2309</v>
      </c>
    </row>
    <row r="32" spans="1:14" ht="15.75" hidden="1">
      <c r="A32" s="896"/>
      <c r="B32" s="899"/>
      <c r="C32" s="917"/>
      <c r="D32" s="918"/>
      <c r="E32" s="919"/>
      <c r="F32" s="920"/>
      <c r="G32" s="920"/>
      <c r="H32" s="920"/>
      <c r="I32" s="916"/>
      <c r="J32" s="955" t="s">
        <v>102</v>
      </c>
      <c r="K32" s="922">
        <f>data!G2794</f>
        <v>6.06</v>
      </c>
      <c r="L32" s="923" t="s">
        <v>2309</v>
      </c>
      <c r="M32" s="924">
        <f>ROUND(I32*K32,0)</f>
        <v>0</v>
      </c>
      <c r="N32" s="900" t="s">
        <v>2309</v>
      </c>
    </row>
    <row r="33" spans="1:14" s="1403" customFormat="1" ht="49.5" customHeight="1">
      <c r="A33" s="1397">
        <v>1</v>
      </c>
      <c r="B33" s="1610" t="s">
        <v>296</v>
      </c>
      <c r="C33" s="1610"/>
      <c r="D33" s="1610"/>
      <c r="E33" s="1610"/>
      <c r="F33" s="1610"/>
      <c r="G33" s="1610"/>
      <c r="H33" s="1610"/>
      <c r="I33" s="1398"/>
      <c r="J33" s="1399"/>
      <c r="K33" s="1397"/>
      <c r="L33" s="1400"/>
      <c r="M33" s="1401"/>
      <c r="N33" s="1402" t="s">
        <v>2209</v>
      </c>
    </row>
    <row r="34" spans="1:14" s="1411" customFormat="1" ht="16.5" customHeight="1">
      <c r="A34" s="1397"/>
      <c r="B34" s="1404" t="s">
        <v>3878</v>
      </c>
      <c r="C34" s="1405"/>
      <c r="D34" s="1395" t="s">
        <v>3997</v>
      </c>
      <c r="E34" s="1406"/>
      <c r="F34" s="1407"/>
      <c r="G34" s="1407"/>
      <c r="H34" s="1407"/>
      <c r="I34" s="1408"/>
      <c r="J34" s="1409"/>
      <c r="K34" s="1410"/>
      <c r="L34" s="1400"/>
      <c r="M34" s="1410"/>
      <c r="N34" s="1402" t="s">
        <v>2209</v>
      </c>
    </row>
    <row r="35" spans="1:14" s="1411" customFormat="1" ht="18" customHeight="1">
      <c r="A35" s="1397"/>
      <c r="B35" s="1410" t="s">
        <v>3688</v>
      </c>
      <c r="C35" s="1398">
        <v>1</v>
      </c>
      <c r="D35" s="1412" t="s">
        <v>273</v>
      </c>
      <c r="E35" s="1413">
        <v>3</v>
      </c>
      <c r="F35" s="1414">
        <v>1.45</v>
      </c>
      <c r="G35" s="1414">
        <v>1.45</v>
      </c>
      <c r="H35" s="1414">
        <v>1.5</v>
      </c>
      <c r="I35" s="1415">
        <f t="shared" ref="I35:I37" si="0">ROUND(IF(AND(F35:H35),C35*E35*F35*G35*H35,IF(AND(F35,G35),C35*E35*F35*G35,IF(AND(F35,H35),C35*E35*F35*H35,IF(AND(G35,H35),C35*E35*G35*H35,IF(F35,C35*E35*F35,IF(G35,C35*E35*G35,IF(H35,C35*E35*H35,C35*E35))))))),2)</f>
        <v>9.4600000000000009</v>
      </c>
      <c r="J35" s="1416" t="s">
        <v>5</v>
      </c>
      <c r="K35" s="1410"/>
      <c r="L35" s="1400"/>
      <c r="M35" s="1410"/>
      <c r="N35" s="1402" t="s">
        <v>2209</v>
      </c>
    </row>
    <row r="36" spans="1:14" s="1411" customFormat="1" ht="18" customHeight="1">
      <c r="A36" s="1397"/>
      <c r="B36" s="1410" t="s">
        <v>3689</v>
      </c>
      <c r="C36" s="1398">
        <v>1</v>
      </c>
      <c r="D36" s="1412" t="s">
        <v>273</v>
      </c>
      <c r="E36" s="1413">
        <v>9</v>
      </c>
      <c r="F36" s="1414">
        <v>1.7</v>
      </c>
      <c r="G36" s="1414">
        <v>1.7</v>
      </c>
      <c r="H36" s="1414">
        <v>1.5</v>
      </c>
      <c r="I36" s="1415">
        <f t="shared" si="0"/>
        <v>39.020000000000003</v>
      </c>
      <c r="J36" s="1416" t="s">
        <v>5</v>
      </c>
      <c r="K36" s="1410"/>
      <c r="L36" s="1400"/>
      <c r="M36" s="1410"/>
      <c r="N36" s="1402" t="s">
        <v>2209</v>
      </c>
    </row>
    <row r="37" spans="1:14" s="1411" customFormat="1" ht="18" customHeight="1">
      <c r="A37" s="1397"/>
      <c r="B37" s="1410" t="s">
        <v>3690</v>
      </c>
      <c r="C37" s="1398">
        <v>1</v>
      </c>
      <c r="D37" s="1412" t="s">
        <v>273</v>
      </c>
      <c r="E37" s="1413">
        <v>3</v>
      </c>
      <c r="F37" s="1414">
        <v>1.85</v>
      </c>
      <c r="G37" s="1414">
        <v>1.85</v>
      </c>
      <c r="H37" s="1414">
        <v>1.5</v>
      </c>
      <c r="I37" s="1415">
        <f t="shared" si="0"/>
        <v>15.4</v>
      </c>
      <c r="J37" s="1416" t="s">
        <v>5</v>
      </c>
      <c r="K37" s="1410"/>
      <c r="L37" s="1400"/>
      <c r="M37" s="1410"/>
      <c r="N37" s="1402" t="s">
        <v>2209</v>
      </c>
    </row>
    <row r="38" spans="1:14" s="1411" customFormat="1" ht="18" customHeight="1">
      <c r="A38" s="1397"/>
      <c r="B38" s="1404" t="s">
        <v>3908</v>
      </c>
      <c r="C38" s="1405"/>
      <c r="D38" s="1395" t="s">
        <v>3998</v>
      </c>
      <c r="E38" s="1406"/>
      <c r="F38" s="1407"/>
      <c r="G38" s="1407"/>
      <c r="H38" s="1407"/>
      <c r="I38" s="1408"/>
      <c r="J38" s="1409"/>
      <c r="K38" s="1410"/>
      <c r="L38" s="1400"/>
      <c r="M38" s="1410"/>
      <c r="N38" s="1402" t="s">
        <v>2209</v>
      </c>
    </row>
    <row r="39" spans="1:14" s="1411" customFormat="1" ht="18" customHeight="1">
      <c r="A39" s="1397"/>
      <c r="B39" s="1410" t="s">
        <v>3743</v>
      </c>
      <c r="C39" s="1398">
        <v>1</v>
      </c>
      <c r="D39" s="1412" t="s">
        <v>273</v>
      </c>
      <c r="E39" s="1413">
        <v>2</v>
      </c>
      <c r="F39" s="1414">
        <v>13.81</v>
      </c>
      <c r="G39" s="1414">
        <v>0.5</v>
      </c>
      <c r="H39" s="1414">
        <v>0.3</v>
      </c>
      <c r="I39" s="1415">
        <f t="shared" ref="I39:I40" si="1">ROUND(IF(AND(F39:H39),C39*E39*F39*G39*H39,IF(AND(F39,G39),C39*E39*F39*G39,IF(AND(F39,H39),C39*E39*F39*H39,IF(AND(G39,H39),C39*E39*G39*H39,IF(F39,C39*E39*F39,IF(G39,C39*E39*G39,IF(H39,C39*E39*H39,C39*E39))))))),2)</f>
        <v>4.1399999999999997</v>
      </c>
      <c r="J39" s="1416" t="s">
        <v>5</v>
      </c>
      <c r="K39" s="1410"/>
      <c r="L39" s="1400"/>
      <c r="M39" s="1410"/>
      <c r="N39" s="1402" t="s">
        <v>2209</v>
      </c>
    </row>
    <row r="40" spans="1:14" s="1411" customFormat="1" ht="18" customHeight="1">
      <c r="A40" s="1397"/>
      <c r="B40" s="1410" t="s">
        <v>3073</v>
      </c>
      <c r="C40" s="1398">
        <v>1</v>
      </c>
      <c r="D40" s="1412" t="s">
        <v>273</v>
      </c>
      <c r="E40" s="1413">
        <v>2</v>
      </c>
      <c r="F40" s="1414">
        <v>5.66</v>
      </c>
      <c r="G40" s="1414">
        <v>0.5</v>
      </c>
      <c r="H40" s="1414">
        <v>0.3</v>
      </c>
      <c r="I40" s="1415">
        <f t="shared" si="1"/>
        <v>1.7</v>
      </c>
      <c r="J40" s="1416" t="s">
        <v>5</v>
      </c>
      <c r="K40" s="1410"/>
      <c r="L40" s="1400"/>
      <c r="M40" s="1410"/>
      <c r="N40" s="1402" t="s">
        <v>2209</v>
      </c>
    </row>
    <row r="41" spans="1:14" s="1411" customFormat="1" ht="18" customHeight="1">
      <c r="A41" s="1397"/>
      <c r="B41" s="1410" t="s">
        <v>281</v>
      </c>
      <c r="C41" s="1398">
        <v>1</v>
      </c>
      <c r="D41" s="1412" t="s">
        <v>273</v>
      </c>
      <c r="E41" s="1413">
        <v>12</v>
      </c>
      <c r="F41" s="1414">
        <v>0.23</v>
      </c>
      <c r="G41" s="1414">
        <v>0.38</v>
      </c>
      <c r="H41" s="1414">
        <v>0.3</v>
      </c>
      <c r="I41" s="1415">
        <f>-ROUND(IF(AND(F41:H41),C41*E41*F41*G41*H41,IF(AND(F41,G41),C41*E41*F41*G41,IF(AND(F41,H41),C41*E41*F41*H41,IF(AND(G41,H41),C41*E41*G41*H41,IF(F41,C41*E41*F41,IF(G41,C41*E41*G41,IF(H41,C41*E41*H41,C41*E41))))))),2)</f>
        <v>-0.31</v>
      </c>
      <c r="J41" s="1416" t="s">
        <v>5</v>
      </c>
      <c r="K41" s="1410"/>
      <c r="L41" s="1400"/>
      <c r="M41" s="1410"/>
      <c r="N41" s="1402" t="s">
        <v>2209</v>
      </c>
    </row>
    <row r="42" spans="1:14" s="1411" customFormat="1" ht="18" customHeight="1">
      <c r="A42" s="1397"/>
      <c r="B42" s="1404" t="s">
        <v>3999</v>
      </c>
      <c r="C42" s="1405"/>
      <c r="D42" s="1395" t="s">
        <v>4000</v>
      </c>
      <c r="E42" s="1406"/>
      <c r="F42" s="1407"/>
      <c r="G42" s="1407"/>
      <c r="H42" s="1407"/>
      <c r="I42" s="1408"/>
      <c r="J42" s="1409"/>
      <c r="K42" s="1410"/>
      <c r="L42" s="1400"/>
      <c r="M42" s="1410"/>
      <c r="N42" s="1402" t="s">
        <v>2209</v>
      </c>
    </row>
    <row r="43" spans="1:14" s="1411" customFormat="1" ht="18" customHeight="1">
      <c r="A43" s="1397"/>
      <c r="B43" s="1410" t="s">
        <v>578</v>
      </c>
      <c r="C43" s="1398">
        <v>1</v>
      </c>
      <c r="D43" s="1412" t="s">
        <v>273</v>
      </c>
      <c r="E43" s="1413">
        <v>1</v>
      </c>
      <c r="F43" s="1414">
        <v>1.2</v>
      </c>
      <c r="G43" s="1414">
        <v>0.35</v>
      </c>
      <c r="H43" s="1414">
        <v>0.3</v>
      </c>
      <c r="I43" s="1415">
        <f t="shared" ref="I43:I47" si="2">ROUND(IF(AND(F43:H43),C43*E43*F43*G43*H43,IF(AND(F43,G43),C43*E43*F43*G43,IF(AND(F43,H43),C43*E43*F43*H43,IF(AND(G43,H43),C43*E43*G43*H43,IF(F43,C43*E43*F43,IF(G43,C43*E43*G43,IF(H43,C43*E43*H43,C43*E43))))))),2)</f>
        <v>0.13</v>
      </c>
      <c r="J43" s="1416" t="s">
        <v>5</v>
      </c>
      <c r="K43" s="1410"/>
      <c r="L43" s="1400"/>
      <c r="M43" s="1410"/>
      <c r="N43" s="1402" t="s">
        <v>2209</v>
      </c>
    </row>
    <row r="44" spans="1:14" s="1411" customFormat="1" ht="18" customHeight="1">
      <c r="A44" s="1397"/>
      <c r="B44" s="1410"/>
      <c r="C44" s="1398">
        <v>1</v>
      </c>
      <c r="D44" s="1412" t="s">
        <v>273</v>
      </c>
      <c r="E44" s="1413">
        <v>1</v>
      </c>
      <c r="F44" s="1414">
        <v>4.67</v>
      </c>
      <c r="G44" s="1414">
        <v>0.35</v>
      </c>
      <c r="H44" s="1414">
        <v>0.3</v>
      </c>
      <c r="I44" s="1415">
        <f t="shared" si="2"/>
        <v>0.49</v>
      </c>
      <c r="J44" s="1416" t="s">
        <v>5</v>
      </c>
      <c r="K44" s="1410"/>
      <c r="L44" s="1400"/>
      <c r="M44" s="1410"/>
      <c r="N44" s="1402" t="s">
        <v>2209</v>
      </c>
    </row>
    <row r="45" spans="1:14" s="1411" customFormat="1" ht="18" customHeight="1">
      <c r="A45" s="1397"/>
      <c r="B45" s="1410"/>
      <c r="C45" s="1398">
        <v>1</v>
      </c>
      <c r="D45" s="1412" t="s">
        <v>273</v>
      </c>
      <c r="E45" s="1413">
        <v>1</v>
      </c>
      <c r="F45" s="1414">
        <v>12.5</v>
      </c>
      <c r="G45" s="1414">
        <v>0.35</v>
      </c>
      <c r="H45" s="1414">
        <v>0.3</v>
      </c>
      <c r="I45" s="1415">
        <f t="shared" si="2"/>
        <v>1.31</v>
      </c>
      <c r="J45" s="1416" t="s">
        <v>5</v>
      </c>
      <c r="K45" s="1410"/>
      <c r="L45" s="1400"/>
      <c r="M45" s="1410"/>
      <c r="N45" s="1402" t="s">
        <v>2209</v>
      </c>
    </row>
    <row r="46" spans="1:14" s="1411" customFormat="1" ht="18" customHeight="1">
      <c r="A46" s="1397"/>
      <c r="B46" s="1410"/>
      <c r="C46" s="1398">
        <v>1</v>
      </c>
      <c r="D46" s="1412" t="s">
        <v>273</v>
      </c>
      <c r="E46" s="1413">
        <v>1</v>
      </c>
      <c r="F46" s="1414">
        <v>5</v>
      </c>
      <c r="G46" s="1414">
        <v>0.35</v>
      </c>
      <c r="H46" s="1414">
        <v>0.3</v>
      </c>
      <c r="I46" s="1415">
        <f t="shared" si="2"/>
        <v>0.53</v>
      </c>
      <c r="J46" s="1416" t="s">
        <v>5</v>
      </c>
      <c r="K46" s="1410"/>
      <c r="L46" s="1400"/>
      <c r="M46" s="1410"/>
      <c r="N46" s="1402" t="s">
        <v>2209</v>
      </c>
    </row>
    <row r="47" spans="1:14" s="1411" customFormat="1" ht="18" customHeight="1">
      <c r="A47" s="1397"/>
      <c r="B47" s="1410"/>
      <c r="C47" s="1398">
        <v>1</v>
      </c>
      <c r="D47" s="1412" t="s">
        <v>273</v>
      </c>
      <c r="E47" s="1413">
        <v>1</v>
      </c>
      <c r="F47" s="1414">
        <v>0.97</v>
      </c>
      <c r="G47" s="1414">
        <v>0.35</v>
      </c>
      <c r="H47" s="1414">
        <v>0.3</v>
      </c>
      <c r="I47" s="1415">
        <f t="shared" si="2"/>
        <v>0.1</v>
      </c>
      <c r="J47" s="1416" t="s">
        <v>5</v>
      </c>
      <c r="K47" s="1410"/>
      <c r="L47" s="1400"/>
      <c r="M47" s="1410"/>
      <c r="N47" s="1402" t="s">
        <v>2209</v>
      </c>
    </row>
    <row r="48" spans="1:14" s="1411" customFormat="1" ht="15.75">
      <c r="A48" s="1397"/>
      <c r="B48" s="1410"/>
      <c r="C48" s="1398"/>
      <c r="D48" s="1412"/>
      <c r="E48" s="1413"/>
      <c r="F48" s="1414"/>
      <c r="G48" s="1414"/>
      <c r="H48" s="1414"/>
      <c r="I48" s="1415"/>
      <c r="J48" s="1423"/>
      <c r="K48" s="1410"/>
      <c r="L48" s="1400"/>
      <c r="M48" s="1410"/>
      <c r="N48" s="1402" t="s">
        <v>2209</v>
      </c>
    </row>
    <row r="49" spans="1:14" s="1403" customFormat="1" ht="15.75">
      <c r="A49" s="1397"/>
      <c r="B49" s="1410"/>
      <c r="C49" s="1431"/>
      <c r="D49" s="1432"/>
      <c r="E49" s="1413"/>
      <c r="F49" s="1414"/>
      <c r="G49" s="1433"/>
      <c r="H49" s="1397"/>
      <c r="I49" s="1430">
        <f>SUM(I35:I48)</f>
        <v>71.969999999999985</v>
      </c>
      <c r="J49" s="1423" t="s">
        <v>5</v>
      </c>
      <c r="K49" s="1434">
        <f>data!G49</f>
        <v>124.24</v>
      </c>
      <c r="L49" s="1400" t="s">
        <v>2209</v>
      </c>
      <c r="M49" s="1435">
        <f>ROUND(I49*K49,0)</f>
        <v>8942</v>
      </c>
      <c r="N49" s="1402" t="s">
        <v>2209</v>
      </c>
    </row>
    <row r="50" spans="1:14" ht="49.5" hidden="1" customHeight="1">
      <c r="A50" s="896">
        <v>2</v>
      </c>
      <c r="B50" s="1612" t="s">
        <v>296</v>
      </c>
      <c r="C50" s="1613"/>
      <c r="D50" s="1613"/>
      <c r="E50" s="1613"/>
      <c r="F50" s="1613"/>
      <c r="G50" s="1613"/>
      <c r="H50" s="1614"/>
      <c r="I50" s="897"/>
      <c r="J50" s="898"/>
      <c r="K50" s="896"/>
      <c r="L50" s="923"/>
      <c r="M50" s="899"/>
      <c r="N50" s="900" t="s">
        <v>2297</v>
      </c>
    </row>
    <row r="51" spans="1:14" s="910" customFormat="1" ht="16.5" hidden="1" customHeight="1">
      <c r="A51" s="896"/>
      <c r="B51" s="902" t="s">
        <v>3649</v>
      </c>
      <c r="C51" s="897"/>
      <c r="D51" s="954" t="s">
        <v>3812</v>
      </c>
      <c r="E51" s="919"/>
      <c r="F51" s="920"/>
      <c r="G51" s="920"/>
      <c r="H51" s="920"/>
      <c r="I51" s="1264"/>
      <c r="J51" s="1265"/>
      <c r="K51" s="902"/>
      <c r="L51" s="923"/>
      <c r="M51" s="902"/>
      <c r="N51" s="900" t="s">
        <v>2297</v>
      </c>
    </row>
    <row r="52" spans="1:14" s="910" customFormat="1" ht="18" hidden="1" customHeight="1">
      <c r="A52" s="896"/>
      <c r="B52" s="902" t="s">
        <v>3744</v>
      </c>
      <c r="C52" s="897">
        <v>1</v>
      </c>
      <c r="D52" s="1263" t="s">
        <v>273</v>
      </c>
      <c r="E52" s="919">
        <v>1</v>
      </c>
      <c r="F52" s="920">
        <v>15.95</v>
      </c>
      <c r="G52" s="920">
        <v>0.35</v>
      </c>
      <c r="H52" s="920">
        <v>0.45</v>
      </c>
      <c r="I52" s="1266">
        <f t="shared" ref="I52:I54" si="3">ROUND(IF(AND(F52:H52),C52*E52*F52*G52*H52,IF(AND(F52,G52),C52*E52*F52*G52,IF(AND(F52,H52),C52*E52*F52*H52,IF(AND(G52,H52),C52*E52*G52*H52,IF(F52,C52*E52*F52,IF(G52,C52*E52*G52,IF(H52,C52*E52*H52,C52*E52))))))),2)</f>
        <v>2.5099999999999998</v>
      </c>
      <c r="J52" s="1267" t="s">
        <v>5</v>
      </c>
      <c r="K52" s="902"/>
      <c r="L52" s="923"/>
      <c r="M52" s="902"/>
      <c r="N52" s="900" t="s">
        <v>2297</v>
      </c>
    </row>
    <row r="53" spans="1:14" s="910" customFormat="1" ht="18" hidden="1" customHeight="1">
      <c r="A53" s="896"/>
      <c r="B53" s="902" t="s">
        <v>3745</v>
      </c>
      <c r="C53" s="897">
        <v>1</v>
      </c>
      <c r="D53" s="1263" t="s">
        <v>273</v>
      </c>
      <c r="E53" s="919">
        <v>1</v>
      </c>
      <c r="F53" s="920">
        <v>9.25</v>
      </c>
      <c r="G53" s="920">
        <v>0.35</v>
      </c>
      <c r="H53" s="920">
        <v>0.4</v>
      </c>
      <c r="I53" s="1266">
        <f t="shared" si="3"/>
        <v>1.3</v>
      </c>
      <c r="J53" s="1267" t="s">
        <v>5</v>
      </c>
      <c r="K53" s="902"/>
      <c r="L53" s="923"/>
      <c r="M53" s="902"/>
      <c r="N53" s="900" t="s">
        <v>2297</v>
      </c>
    </row>
    <row r="54" spans="1:14" s="910" customFormat="1" ht="18" hidden="1" customHeight="1">
      <c r="A54" s="896"/>
      <c r="B54" s="902" t="s">
        <v>2523</v>
      </c>
      <c r="C54" s="897">
        <v>1</v>
      </c>
      <c r="D54" s="1263" t="s">
        <v>273</v>
      </c>
      <c r="E54" s="919">
        <v>3</v>
      </c>
      <c r="F54" s="920">
        <v>1.2</v>
      </c>
      <c r="G54" s="920">
        <v>0.6</v>
      </c>
      <c r="H54" s="920">
        <v>0.1</v>
      </c>
      <c r="I54" s="1266">
        <f t="shared" si="3"/>
        <v>0.22</v>
      </c>
      <c r="J54" s="1267" t="s">
        <v>5</v>
      </c>
      <c r="K54" s="902"/>
      <c r="L54" s="923"/>
      <c r="M54" s="902"/>
      <c r="N54" s="900" t="s">
        <v>2297</v>
      </c>
    </row>
    <row r="55" spans="1:14" s="910" customFormat="1" ht="16.5" hidden="1" customHeight="1">
      <c r="A55" s="896"/>
      <c r="B55" s="956"/>
      <c r="C55" s="957"/>
      <c r="D55" s="958"/>
      <c r="E55" s="1268"/>
      <c r="F55" s="960"/>
      <c r="G55" s="960"/>
      <c r="H55" s="960"/>
      <c r="I55" s="916"/>
      <c r="J55" s="1267"/>
      <c r="K55" s="902"/>
      <c r="L55" s="923"/>
      <c r="M55" s="902"/>
      <c r="N55" s="900" t="s">
        <v>2297</v>
      </c>
    </row>
    <row r="56" spans="1:14" ht="15.75" hidden="1">
      <c r="A56" s="896"/>
      <c r="B56" s="902"/>
      <c r="C56" s="917"/>
      <c r="D56" s="918"/>
      <c r="E56" s="919"/>
      <c r="F56" s="920"/>
      <c r="G56" s="921"/>
      <c r="H56" s="896"/>
      <c r="I56" s="916"/>
      <c r="J56" s="955" t="s">
        <v>5</v>
      </c>
      <c r="K56" s="922">
        <f>data!G965</f>
        <v>139.55000000000001</v>
      </c>
      <c r="L56" s="923" t="s">
        <v>2297</v>
      </c>
      <c r="M56" s="924">
        <f>ROUND(I56*K56,0)</f>
        <v>0</v>
      </c>
      <c r="N56" s="900" t="s">
        <v>2297</v>
      </c>
    </row>
    <row r="57" spans="1:14" ht="49.5" hidden="1" customHeight="1">
      <c r="A57" s="896">
        <v>3</v>
      </c>
      <c r="B57" s="1609" t="s">
        <v>296</v>
      </c>
      <c r="C57" s="1609"/>
      <c r="D57" s="1609"/>
      <c r="E57" s="1609"/>
      <c r="F57" s="1609"/>
      <c r="G57" s="1609"/>
      <c r="H57" s="1609"/>
      <c r="I57" s="897"/>
      <c r="J57" s="898"/>
      <c r="K57" s="896"/>
      <c r="L57" s="923"/>
      <c r="M57" s="899"/>
      <c r="N57" s="900" t="s">
        <v>2308</v>
      </c>
    </row>
    <row r="58" spans="1:14" s="910" customFormat="1" ht="15.75" hidden="1">
      <c r="A58" s="896"/>
      <c r="B58" s="902" t="s">
        <v>3650</v>
      </c>
      <c r="C58" s="897"/>
      <c r="D58" s="954" t="s">
        <v>3813</v>
      </c>
      <c r="E58" s="919"/>
      <c r="F58" s="920"/>
      <c r="G58" s="920"/>
      <c r="H58" s="920"/>
      <c r="I58" s="1264"/>
      <c r="J58" s="1265"/>
      <c r="K58" s="902"/>
      <c r="L58" s="923"/>
      <c r="M58" s="902"/>
      <c r="N58" s="900" t="s">
        <v>2308</v>
      </c>
    </row>
    <row r="59" spans="1:14" s="910" customFormat="1" ht="15.75" hidden="1">
      <c r="A59" s="896"/>
      <c r="B59" s="902" t="s">
        <v>2517</v>
      </c>
      <c r="C59" s="897">
        <v>1</v>
      </c>
      <c r="D59" s="1263" t="s">
        <v>273</v>
      </c>
      <c r="E59" s="919">
        <v>3</v>
      </c>
      <c r="F59" s="920">
        <v>1.2</v>
      </c>
      <c r="G59" s="920">
        <v>1</v>
      </c>
      <c r="H59" s="920">
        <v>0.1</v>
      </c>
      <c r="I59" s="1266">
        <f t="shared" ref="I59:I60" si="4">ROUND(IF(AND(F59:H59),C59*E59*F59*G59*H59,IF(AND(F59,G59),C59*E59*F59*G59,IF(AND(F59,H59),C59*E59*F59*H59,IF(AND(G59,H59),C59*E59*G59*H59,IF(F59,C59*E59*F59,IF(G59,C59*E59*G59,IF(H59,C59*E59*H59,C59*E59))))))),2)</f>
        <v>0.36</v>
      </c>
      <c r="J59" s="1267" t="s">
        <v>5</v>
      </c>
      <c r="K59" s="902"/>
      <c r="L59" s="923"/>
      <c r="M59" s="902"/>
      <c r="N59" s="900" t="s">
        <v>2308</v>
      </c>
    </row>
    <row r="60" spans="1:14" s="910" customFormat="1" ht="15.75" hidden="1">
      <c r="A60" s="896"/>
      <c r="B60" s="902"/>
      <c r="C60" s="897">
        <v>1</v>
      </c>
      <c r="D60" s="1263" t="s">
        <v>273</v>
      </c>
      <c r="E60" s="919">
        <v>1</v>
      </c>
      <c r="F60" s="920">
        <v>1.1000000000000001</v>
      </c>
      <c r="G60" s="920">
        <v>0.7</v>
      </c>
      <c r="H60" s="920">
        <v>0.1</v>
      </c>
      <c r="I60" s="1266">
        <f t="shared" si="4"/>
        <v>0.08</v>
      </c>
      <c r="J60" s="1267" t="s">
        <v>5</v>
      </c>
      <c r="K60" s="902"/>
      <c r="L60" s="923"/>
      <c r="M60" s="902"/>
      <c r="N60" s="900" t="s">
        <v>2308</v>
      </c>
    </row>
    <row r="61" spans="1:14" s="910" customFormat="1" ht="15.75" hidden="1">
      <c r="A61" s="896"/>
      <c r="B61" s="956"/>
      <c r="C61" s="957"/>
      <c r="D61" s="958"/>
      <c r="E61" s="1268"/>
      <c r="F61" s="960"/>
      <c r="G61" s="960"/>
      <c r="H61" s="960"/>
      <c r="I61" s="916"/>
      <c r="J61" s="1267"/>
      <c r="K61" s="902"/>
      <c r="L61" s="923"/>
      <c r="M61" s="902"/>
      <c r="N61" s="900" t="s">
        <v>2308</v>
      </c>
    </row>
    <row r="62" spans="1:14" ht="15.75" hidden="1">
      <c r="A62" s="896"/>
      <c r="B62" s="902"/>
      <c r="C62" s="917"/>
      <c r="D62" s="918"/>
      <c r="E62" s="919"/>
      <c r="F62" s="920"/>
      <c r="G62" s="921"/>
      <c r="H62" s="896"/>
      <c r="I62" s="916"/>
      <c r="J62" s="955" t="s">
        <v>5</v>
      </c>
      <c r="K62" s="922">
        <f>data!G1882</f>
        <v>144.26</v>
      </c>
      <c r="L62" s="923" t="s">
        <v>2308</v>
      </c>
      <c r="M62" s="924">
        <f>ROUND(I62*K62,0)</f>
        <v>0</v>
      </c>
      <c r="N62" s="900" t="s">
        <v>2308</v>
      </c>
    </row>
    <row r="63" spans="1:14" ht="49.5" hidden="1" customHeight="1">
      <c r="A63" s="896">
        <v>18</v>
      </c>
      <c r="B63" s="1609" t="s">
        <v>296</v>
      </c>
      <c r="C63" s="1609"/>
      <c r="D63" s="1609"/>
      <c r="E63" s="1609"/>
      <c r="F63" s="1609"/>
      <c r="G63" s="1609"/>
      <c r="H63" s="1609"/>
      <c r="I63" s="897"/>
      <c r="J63" s="898"/>
      <c r="K63" s="896"/>
      <c r="L63" s="923"/>
      <c r="M63" s="899"/>
      <c r="N63" s="900" t="s">
        <v>2309</v>
      </c>
    </row>
    <row r="64" spans="1:14" s="910" customFormat="1" ht="16.5" hidden="1" customHeight="1">
      <c r="A64" s="896"/>
      <c r="B64" s="902" t="s">
        <v>3532</v>
      </c>
      <c r="C64" s="897"/>
      <c r="D64" s="1263"/>
      <c r="E64" s="919"/>
      <c r="F64" s="920"/>
      <c r="G64" s="920"/>
      <c r="H64" s="920"/>
      <c r="I64" s="1264"/>
      <c r="J64" s="955"/>
      <c r="K64" s="902"/>
      <c r="L64" s="923"/>
      <c r="M64" s="902"/>
      <c r="N64" s="900" t="s">
        <v>2309</v>
      </c>
    </row>
    <row r="65" spans="1:14" s="910" customFormat="1" ht="18" hidden="1" customHeight="1">
      <c r="A65" s="896"/>
      <c r="B65" s="902"/>
      <c r="C65" s="897">
        <v>1</v>
      </c>
      <c r="D65" s="1263" t="s">
        <v>273</v>
      </c>
      <c r="E65" s="919">
        <v>1</v>
      </c>
      <c r="F65" s="920">
        <v>5.5</v>
      </c>
      <c r="G65" s="920">
        <v>0.5</v>
      </c>
      <c r="H65" s="920">
        <v>0.3</v>
      </c>
      <c r="I65" s="1266">
        <f t="shared" ref="I65:I70" si="5">ROUND(IF(AND(F65:H65),C65*E65*F65*G65*H65,IF(AND(F65,G65),C65*E65*F65*G65,IF(AND(F65,H65),C65*E65*F65*H65,IF(AND(G65,H65),C65*E65*G65*H65,IF(F65,C65*E65*F65,IF(G65,C65*E65*G65,IF(H65,C65*E65*H65,C65*E65))))))),2)</f>
        <v>0.83</v>
      </c>
      <c r="J65" s="955" t="s">
        <v>5</v>
      </c>
      <c r="K65" s="902"/>
      <c r="L65" s="923"/>
      <c r="M65" s="902"/>
      <c r="N65" s="900" t="s">
        <v>2309</v>
      </c>
    </row>
    <row r="66" spans="1:14" s="910" customFormat="1" ht="18" hidden="1" customHeight="1">
      <c r="A66" s="896"/>
      <c r="B66" s="902"/>
      <c r="C66" s="897">
        <v>1</v>
      </c>
      <c r="D66" s="1263" t="s">
        <v>273</v>
      </c>
      <c r="E66" s="919">
        <v>2</v>
      </c>
      <c r="F66" s="920">
        <v>2.25</v>
      </c>
      <c r="G66" s="920">
        <v>0.5</v>
      </c>
      <c r="H66" s="920">
        <v>0.3</v>
      </c>
      <c r="I66" s="1266">
        <f t="shared" si="5"/>
        <v>0.68</v>
      </c>
      <c r="J66" s="955" t="s">
        <v>5</v>
      </c>
      <c r="K66" s="902"/>
      <c r="L66" s="923"/>
      <c r="M66" s="902"/>
      <c r="N66" s="900" t="s">
        <v>2309</v>
      </c>
    </row>
    <row r="67" spans="1:14" s="910" customFormat="1" ht="18" hidden="1" customHeight="1">
      <c r="A67" s="896"/>
      <c r="B67" s="902"/>
      <c r="C67" s="897">
        <v>1</v>
      </c>
      <c r="D67" s="1263" t="s">
        <v>273</v>
      </c>
      <c r="E67" s="919">
        <v>1</v>
      </c>
      <c r="F67" s="920">
        <v>3.3</v>
      </c>
      <c r="G67" s="920">
        <v>0.5</v>
      </c>
      <c r="H67" s="920">
        <v>0.3</v>
      </c>
      <c r="I67" s="1266">
        <f t="shared" si="5"/>
        <v>0.5</v>
      </c>
      <c r="J67" s="955" t="s">
        <v>5</v>
      </c>
      <c r="K67" s="902"/>
      <c r="L67" s="923"/>
      <c r="M67" s="902"/>
      <c r="N67" s="900" t="s">
        <v>2309</v>
      </c>
    </row>
    <row r="68" spans="1:14" s="910" customFormat="1" ht="18" hidden="1" customHeight="1">
      <c r="A68" s="896"/>
      <c r="B68" s="902"/>
      <c r="C68" s="897">
        <v>1</v>
      </c>
      <c r="D68" s="1263" t="s">
        <v>273</v>
      </c>
      <c r="E68" s="919">
        <v>1</v>
      </c>
      <c r="F68" s="920">
        <v>2.25</v>
      </c>
      <c r="G68" s="920">
        <v>0.5</v>
      </c>
      <c r="H68" s="920">
        <v>0.3</v>
      </c>
      <c r="I68" s="1266">
        <f t="shared" si="5"/>
        <v>0.34</v>
      </c>
      <c r="J68" s="955" t="s">
        <v>5</v>
      </c>
      <c r="K68" s="902"/>
      <c r="L68" s="923"/>
      <c r="M68" s="902"/>
      <c r="N68" s="900" t="s">
        <v>2309</v>
      </c>
    </row>
    <row r="69" spans="1:14" s="910" customFormat="1" ht="18" hidden="1" customHeight="1">
      <c r="A69" s="896"/>
      <c r="B69" s="902"/>
      <c r="C69" s="897">
        <v>1</v>
      </c>
      <c r="D69" s="1263" t="s">
        <v>273</v>
      </c>
      <c r="E69" s="919">
        <v>1</v>
      </c>
      <c r="F69" s="920">
        <v>5.6</v>
      </c>
      <c r="G69" s="920">
        <v>1.2</v>
      </c>
      <c r="H69" s="920">
        <v>0.1</v>
      </c>
      <c r="I69" s="1266">
        <f t="shared" si="5"/>
        <v>0.67</v>
      </c>
      <c r="J69" s="955" t="s">
        <v>5</v>
      </c>
      <c r="K69" s="902"/>
      <c r="L69" s="923"/>
      <c r="M69" s="902"/>
      <c r="N69" s="900" t="s">
        <v>2309</v>
      </c>
    </row>
    <row r="70" spans="1:14" s="910" customFormat="1" ht="18" hidden="1" customHeight="1">
      <c r="A70" s="896"/>
      <c r="B70" s="902"/>
      <c r="C70" s="897">
        <v>1</v>
      </c>
      <c r="D70" s="1263" t="s">
        <v>273</v>
      </c>
      <c r="E70" s="919">
        <v>1</v>
      </c>
      <c r="F70" s="920">
        <v>3.6</v>
      </c>
      <c r="G70" s="920">
        <v>1.8</v>
      </c>
      <c r="H70" s="920">
        <v>0.1</v>
      </c>
      <c r="I70" s="1266">
        <f t="shared" si="5"/>
        <v>0.65</v>
      </c>
      <c r="J70" s="955" t="s">
        <v>5</v>
      </c>
      <c r="K70" s="902"/>
      <c r="L70" s="923"/>
      <c r="M70" s="902"/>
      <c r="N70" s="900" t="s">
        <v>2309</v>
      </c>
    </row>
    <row r="71" spans="1:14" s="910" customFormat="1" ht="16.5" hidden="1" customHeight="1">
      <c r="A71" s="896"/>
      <c r="B71" s="956"/>
      <c r="C71" s="957"/>
      <c r="D71" s="958"/>
      <c r="E71" s="1268"/>
      <c r="F71" s="960"/>
      <c r="G71" s="960"/>
      <c r="H71" s="960"/>
      <c r="I71" s="916"/>
      <c r="J71" s="1267"/>
      <c r="K71" s="902"/>
      <c r="L71" s="923"/>
      <c r="M71" s="902"/>
      <c r="N71" s="900" t="s">
        <v>2309</v>
      </c>
    </row>
    <row r="72" spans="1:14" ht="15.75" hidden="1">
      <c r="A72" s="896"/>
      <c r="B72" s="902"/>
      <c r="C72" s="917"/>
      <c r="D72" s="918"/>
      <c r="E72" s="919"/>
      <c r="F72" s="920"/>
      <c r="G72" s="921"/>
      <c r="H72" s="896"/>
      <c r="I72" s="916"/>
      <c r="J72" s="955" t="s">
        <v>5</v>
      </c>
      <c r="K72" s="922">
        <f>data!G2799</f>
        <v>144.26</v>
      </c>
      <c r="L72" s="923" t="s">
        <v>2309</v>
      </c>
      <c r="M72" s="924">
        <f>ROUND(I72*K72,0)</f>
        <v>0</v>
      </c>
      <c r="N72" s="900" t="s">
        <v>2309</v>
      </c>
    </row>
    <row r="73" spans="1:14" s="1403" customFormat="1" ht="57" customHeight="1">
      <c r="A73" s="1397">
        <v>2</v>
      </c>
      <c r="B73" s="1610" t="s">
        <v>297</v>
      </c>
      <c r="C73" s="1610"/>
      <c r="D73" s="1610"/>
      <c r="E73" s="1610"/>
      <c r="F73" s="1610"/>
      <c r="G73" s="1610"/>
      <c r="H73" s="1610"/>
      <c r="I73" s="1398"/>
      <c r="J73" s="1399"/>
      <c r="K73" s="1397"/>
      <c r="L73" s="1400"/>
      <c r="M73" s="1401"/>
      <c r="N73" s="1402" t="s">
        <v>2209</v>
      </c>
    </row>
    <row r="74" spans="1:14" s="1411" customFormat="1" ht="16.5" customHeight="1">
      <c r="A74" s="1397"/>
      <c r="B74" s="1404" t="s">
        <v>3894</v>
      </c>
      <c r="C74" s="1405"/>
      <c r="D74" s="1395" t="s">
        <v>4007</v>
      </c>
      <c r="E74" s="1406"/>
      <c r="F74" s="1407"/>
      <c r="G74" s="1407"/>
      <c r="H74" s="1407"/>
      <c r="I74" s="1408"/>
      <c r="J74" s="1409"/>
      <c r="K74" s="1410"/>
      <c r="L74" s="1400"/>
      <c r="M74" s="1410"/>
      <c r="N74" s="1402" t="s">
        <v>2209</v>
      </c>
    </row>
    <row r="75" spans="1:14" s="1411" customFormat="1" ht="18" customHeight="1">
      <c r="A75" s="1397"/>
      <c r="B75" s="1410" t="s">
        <v>3688</v>
      </c>
      <c r="C75" s="1398">
        <v>1</v>
      </c>
      <c r="D75" s="1412" t="s">
        <v>273</v>
      </c>
      <c r="E75" s="1413">
        <v>3</v>
      </c>
      <c r="F75" s="1414">
        <v>1.45</v>
      </c>
      <c r="G75" s="1414">
        <v>1.45</v>
      </c>
      <c r="H75" s="1414">
        <v>0.15</v>
      </c>
      <c r="I75" s="1415">
        <f t="shared" ref="I75:I77" si="6">ROUND(IF(AND(F75:H75),C75*E75*F75*G75*H75,IF(AND(F75,G75),C75*E75*F75*G75,IF(AND(F75,H75),C75*E75*F75*H75,IF(AND(G75,H75),C75*E75*G75*H75,IF(F75,C75*E75*F75,IF(G75,C75*E75*G75,IF(H75,C75*E75*H75,C75*E75))))))),2)</f>
        <v>0.95</v>
      </c>
      <c r="J75" s="1416" t="s">
        <v>5</v>
      </c>
      <c r="K75" s="1410"/>
      <c r="L75" s="1400"/>
      <c r="M75" s="1410"/>
      <c r="N75" s="1402" t="s">
        <v>2209</v>
      </c>
    </row>
    <row r="76" spans="1:14" s="1411" customFormat="1" ht="18" customHeight="1">
      <c r="A76" s="1397"/>
      <c r="B76" s="1410" t="s">
        <v>3689</v>
      </c>
      <c r="C76" s="1398">
        <v>1</v>
      </c>
      <c r="D76" s="1412" t="s">
        <v>273</v>
      </c>
      <c r="E76" s="1413">
        <v>9</v>
      </c>
      <c r="F76" s="1414">
        <v>1.7</v>
      </c>
      <c r="G76" s="1414">
        <v>1.7</v>
      </c>
      <c r="H76" s="1414">
        <v>0.15</v>
      </c>
      <c r="I76" s="1415">
        <f t="shared" si="6"/>
        <v>3.9</v>
      </c>
      <c r="J76" s="1416" t="s">
        <v>5</v>
      </c>
      <c r="K76" s="1410"/>
      <c r="L76" s="1400"/>
      <c r="M76" s="1410"/>
      <c r="N76" s="1402" t="s">
        <v>2209</v>
      </c>
    </row>
    <row r="77" spans="1:14" s="1411" customFormat="1" ht="18" customHeight="1">
      <c r="A77" s="1397"/>
      <c r="B77" s="1410" t="s">
        <v>3690</v>
      </c>
      <c r="C77" s="1398">
        <v>1</v>
      </c>
      <c r="D77" s="1412" t="s">
        <v>273</v>
      </c>
      <c r="E77" s="1413">
        <v>3</v>
      </c>
      <c r="F77" s="1414">
        <v>1.85</v>
      </c>
      <c r="G77" s="1414">
        <v>1.85</v>
      </c>
      <c r="H77" s="1414">
        <v>0.15</v>
      </c>
      <c r="I77" s="1415">
        <f t="shared" si="6"/>
        <v>1.54</v>
      </c>
      <c r="J77" s="1416" t="s">
        <v>5</v>
      </c>
      <c r="K77" s="1410"/>
      <c r="L77" s="1400"/>
      <c r="M77" s="1410"/>
      <c r="N77" s="1402" t="s">
        <v>2209</v>
      </c>
    </row>
    <row r="78" spans="1:14" s="1411" customFormat="1" ht="18" customHeight="1">
      <c r="A78" s="1397"/>
      <c r="B78" s="1404" t="s">
        <v>3909</v>
      </c>
      <c r="C78" s="1405"/>
      <c r="D78" s="1395" t="s">
        <v>4008</v>
      </c>
      <c r="E78" s="1406"/>
      <c r="F78" s="1407"/>
      <c r="G78" s="1407"/>
      <c r="H78" s="1407"/>
      <c r="I78" s="1408"/>
      <c r="J78" s="1409"/>
      <c r="K78" s="1410"/>
      <c r="L78" s="1400"/>
      <c r="M78" s="1410"/>
      <c r="N78" s="1402" t="s">
        <v>2209</v>
      </c>
    </row>
    <row r="79" spans="1:14" s="1411" customFormat="1" ht="18" customHeight="1">
      <c r="A79" s="1397"/>
      <c r="B79" s="1410" t="s">
        <v>3743</v>
      </c>
      <c r="C79" s="1398">
        <v>1</v>
      </c>
      <c r="D79" s="1412" t="s">
        <v>273</v>
      </c>
      <c r="E79" s="1413">
        <v>2</v>
      </c>
      <c r="F79" s="1414">
        <v>13.81</v>
      </c>
      <c r="G79" s="1414">
        <v>0.5</v>
      </c>
      <c r="H79" s="1414">
        <v>0.15</v>
      </c>
      <c r="I79" s="1415">
        <f t="shared" ref="I79:I80" si="7">ROUND(IF(AND(F79:H79),C79*E79*F79*G79*H79,IF(AND(F79,G79),C79*E79*F79*G79,IF(AND(F79,H79),C79*E79*F79*H79,IF(AND(G79,H79),C79*E79*G79*H79,IF(F79,C79*E79*F79,IF(G79,C79*E79*G79,IF(H79,C79*E79*H79,C79*E79))))))),2)</f>
        <v>2.0699999999999998</v>
      </c>
      <c r="J79" s="1416" t="s">
        <v>5</v>
      </c>
      <c r="K79" s="1410"/>
      <c r="L79" s="1400"/>
      <c r="M79" s="1410"/>
      <c r="N79" s="1402" t="s">
        <v>2209</v>
      </c>
    </row>
    <row r="80" spans="1:14" s="1411" customFormat="1" ht="18" customHeight="1">
      <c r="A80" s="1397"/>
      <c r="B80" s="1410" t="s">
        <v>3073</v>
      </c>
      <c r="C80" s="1398">
        <v>1</v>
      </c>
      <c r="D80" s="1412" t="s">
        <v>273</v>
      </c>
      <c r="E80" s="1413">
        <v>2</v>
      </c>
      <c r="F80" s="1414">
        <v>5.66</v>
      </c>
      <c r="G80" s="1414">
        <v>0.5</v>
      </c>
      <c r="H80" s="1414">
        <v>0.15</v>
      </c>
      <c r="I80" s="1415">
        <f t="shared" si="7"/>
        <v>0.85</v>
      </c>
      <c r="J80" s="1416" t="s">
        <v>5</v>
      </c>
      <c r="K80" s="1410"/>
      <c r="L80" s="1400"/>
      <c r="M80" s="1410"/>
      <c r="N80" s="1402" t="s">
        <v>2209</v>
      </c>
    </row>
    <row r="81" spans="1:14" s="1411" customFormat="1" ht="18" customHeight="1">
      <c r="A81" s="1397"/>
      <c r="B81" s="1410" t="s">
        <v>281</v>
      </c>
      <c r="C81" s="1398">
        <v>1</v>
      </c>
      <c r="D81" s="1412" t="s">
        <v>273</v>
      </c>
      <c r="E81" s="1413">
        <v>12</v>
      </c>
      <c r="F81" s="1414">
        <v>0.23</v>
      </c>
      <c r="G81" s="1414">
        <v>0.38</v>
      </c>
      <c r="H81" s="1414">
        <v>0.15</v>
      </c>
      <c r="I81" s="1415">
        <f>-ROUND(IF(AND(F81:H81),C81*E81*F81*G81*H81,IF(AND(F81,G81),C81*E81*F81*G81,IF(AND(F81,H81),C81*E81*F81*H81,IF(AND(G81,H81),C81*E81*G81*H81,IF(F81,C81*E81*F81,IF(G81,C81*E81*G81,IF(H81,C81*E81*H81,C81*E81))))))),2)</f>
        <v>-0.16</v>
      </c>
      <c r="J81" s="1416" t="s">
        <v>5</v>
      </c>
      <c r="K81" s="1410"/>
      <c r="L81" s="1400"/>
      <c r="M81" s="1410"/>
      <c r="N81" s="1402" t="s">
        <v>2209</v>
      </c>
    </row>
    <row r="82" spans="1:14" s="1411" customFormat="1" ht="18" customHeight="1">
      <c r="A82" s="1397"/>
      <c r="B82" s="1404" t="s">
        <v>3912</v>
      </c>
      <c r="C82" s="1405"/>
      <c r="D82" s="1395" t="s">
        <v>4009</v>
      </c>
      <c r="E82" s="1406"/>
      <c r="F82" s="1407"/>
      <c r="G82" s="1407"/>
      <c r="H82" s="1407"/>
      <c r="I82" s="1408"/>
      <c r="J82" s="1409"/>
      <c r="K82" s="1410"/>
      <c r="L82" s="1400"/>
      <c r="M82" s="1410"/>
      <c r="N82" s="1402" t="s">
        <v>2209</v>
      </c>
    </row>
    <row r="83" spans="1:14" s="1411" customFormat="1" ht="18" customHeight="1">
      <c r="A83" s="1397"/>
      <c r="B83" s="1410" t="s">
        <v>3052</v>
      </c>
      <c r="C83" s="1398">
        <v>1</v>
      </c>
      <c r="D83" s="1412" t="s">
        <v>273</v>
      </c>
      <c r="E83" s="1413">
        <v>1</v>
      </c>
      <c r="F83" s="1414">
        <v>12.96</v>
      </c>
      <c r="G83" s="1414">
        <v>0.38</v>
      </c>
      <c r="H83" s="1414">
        <v>0.1</v>
      </c>
      <c r="I83" s="1415">
        <f t="shared" ref="I83:I87" si="8">ROUND(IF(AND(F83:H83),C83*E83*F83*G83*H83,IF(AND(F83,G83),C83*E83*F83*G83,IF(AND(F83,H83),C83*E83*F83*H83,IF(AND(G83,H83),C83*E83*G83*H83,IF(F83,C83*E83*F83,IF(G83,C83*E83*G83,IF(H83,C83*E83*H83,C83*E83))))))),2)</f>
        <v>0.49</v>
      </c>
      <c r="J83" s="1416" t="s">
        <v>5</v>
      </c>
      <c r="K83" s="1410"/>
      <c r="L83" s="1400"/>
      <c r="M83" s="1410"/>
      <c r="N83" s="1402" t="s">
        <v>2209</v>
      </c>
    </row>
    <row r="84" spans="1:14" s="1411" customFormat="1" ht="18" customHeight="1">
      <c r="A84" s="1397"/>
      <c r="B84" s="1410" t="s">
        <v>3303</v>
      </c>
      <c r="C84" s="1398">
        <v>1</v>
      </c>
      <c r="D84" s="1412" t="s">
        <v>273</v>
      </c>
      <c r="E84" s="1413">
        <v>1</v>
      </c>
      <c r="F84" s="1414">
        <v>5.81</v>
      </c>
      <c r="G84" s="1414">
        <v>0.38</v>
      </c>
      <c r="H84" s="1414">
        <v>0.1</v>
      </c>
      <c r="I84" s="1415">
        <f t="shared" si="8"/>
        <v>0.22</v>
      </c>
      <c r="J84" s="1416" t="s">
        <v>5</v>
      </c>
      <c r="K84" s="1410"/>
      <c r="L84" s="1400"/>
      <c r="M84" s="1410"/>
      <c r="N84" s="1402" t="s">
        <v>2209</v>
      </c>
    </row>
    <row r="85" spans="1:14" s="1411" customFormat="1" ht="18" customHeight="1">
      <c r="A85" s="1397"/>
      <c r="B85" s="1410" t="s">
        <v>3832</v>
      </c>
      <c r="C85" s="1398">
        <v>1</v>
      </c>
      <c r="D85" s="1412" t="s">
        <v>273</v>
      </c>
      <c r="E85" s="1413">
        <v>1</v>
      </c>
      <c r="F85" s="1414">
        <v>0.23</v>
      </c>
      <c r="G85" s="1414">
        <v>0.38</v>
      </c>
      <c r="H85" s="1414">
        <v>0.1</v>
      </c>
      <c r="I85" s="1415">
        <f t="shared" si="8"/>
        <v>0.01</v>
      </c>
      <c r="J85" s="1416" t="s">
        <v>5</v>
      </c>
      <c r="K85" s="1410"/>
      <c r="L85" s="1400"/>
      <c r="M85" s="1410"/>
      <c r="N85" s="1402" t="s">
        <v>2209</v>
      </c>
    </row>
    <row r="86" spans="1:14" s="1411" customFormat="1" ht="18" customHeight="1">
      <c r="A86" s="1397"/>
      <c r="B86" s="1410" t="s">
        <v>3833</v>
      </c>
      <c r="C86" s="1398">
        <v>1</v>
      </c>
      <c r="D86" s="1412" t="s">
        <v>273</v>
      </c>
      <c r="E86" s="1413">
        <v>4</v>
      </c>
      <c r="F86" s="1414">
        <v>2.64</v>
      </c>
      <c r="G86" s="1414">
        <v>0.38</v>
      </c>
      <c r="H86" s="1414">
        <v>0.1</v>
      </c>
      <c r="I86" s="1415">
        <f t="shared" si="8"/>
        <v>0.4</v>
      </c>
      <c r="J86" s="1416" t="s">
        <v>5</v>
      </c>
      <c r="K86" s="1410"/>
      <c r="L86" s="1400"/>
      <c r="M86" s="1410"/>
      <c r="N86" s="1402" t="s">
        <v>2209</v>
      </c>
    </row>
    <row r="87" spans="1:14" s="1411" customFormat="1" ht="18" customHeight="1">
      <c r="A87" s="1397"/>
      <c r="B87" s="1410" t="s">
        <v>3834</v>
      </c>
      <c r="C87" s="1398">
        <v>1</v>
      </c>
      <c r="D87" s="1412" t="s">
        <v>273</v>
      </c>
      <c r="E87" s="1413">
        <v>2</v>
      </c>
      <c r="F87" s="1414">
        <v>1.21</v>
      </c>
      <c r="G87" s="1414">
        <v>0.38</v>
      </c>
      <c r="H87" s="1414">
        <v>0.1</v>
      </c>
      <c r="I87" s="1415">
        <f t="shared" si="8"/>
        <v>0.09</v>
      </c>
      <c r="J87" s="1416" t="s">
        <v>5</v>
      </c>
      <c r="K87" s="1410"/>
      <c r="L87" s="1400"/>
      <c r="M87" s="1410"/>
      <c r="N87" s="1402" t="s">
        <v>2209</v>
      </c>
    </row>
    <row r="88" spans="1:14" s="1411" customFormat="1" ht="18" customHeight="1">
      <c r="A88" s="1397"/>
      <c r="B88" s="1404" t="s">
        <v>3915</v>
      </c>
      <c r="C88" s="1405"/>
      <c r="D88" s="1395" t="s">
        <v>4010</v>
      </c>
      <c r="E88" s="1406"/>
      <c r="F88" s="1407"/>
      <c r="G88" s="1407"/>
      <c r="H88" s="1407"/>
      <c r="I88" s="1408"/>
      <c r="J88" s="1409"/>
      <c r="K88" s="1410"/>
      <c r="L88" s="1400"/>
      <c r="M88" s="1410"/>
      <c r="N88" s="1402" t="s">
        <v>2209</v>
      </c>
    </row>
    <row r="89" spans="1:14" s="1411" customFormat="1" ht="18" customHeight="1">
      <c r="A89" s="1397"/>
      <c r="B89" s="1410" t="s">
        <v>2360</v>
      </c>
      <c r="C89" s="1398">
        <v>1</v>
      </c>
      <c r="D89" s="1412" t="s">
        <v>273</v>
      </c>
      <c r="E89" s="1413">
        <v>1</v>
      </c>
      <c r="F89" s="1414">
        <v>2.895</v>
      </c>
      <c r="G89" s="1414">
        <v>2.82</v>
      </c>
      <c r="H89" s="1414">
        <v>0.1</v>
      </c>
      <c r="I89" s="1415">
        <f t="shared" ref="I89:I96" si="9">ROUND(IF(AND(F89:H89),C89*E89*F89*G89*H89,IF(AND(F89,G89),C89*E89*F89*G89,IF(AND(F89,H89),C89*E89*F89*H89,IF(AND(G89,H89),C89*E89*G89*H89,IF(F89,C89*E89*F89,IF(G89,C89*E89*G89,IF(H89,C89*E89*H89,C89*E89))))))),2)</f>
        <v>0.82</v>
      </c>
      <c r="J89" s="1416" t="s">
        <v>5</v>
      </c>
      <c r="K89" s="1410"/>
      <c r="L89" s="1400"/>
      <c r="M89" s="1410"/>
      <c r="N89" s="1402" t="s">
        <v>2209</v>
      </c>
    </row>
    <row r="90" spans="1:14" s="1411" customFormat="1" ht="18" customHeight="1">
      <c r="A90" s="1397"/>
      <c r="B90" s="1410" t="s">
        <v>3310</v>
      </c>
      <c r="C90" s="1398">
        <v>1</v>
      </c>
      <c r="D90" s="1412" t="s">
        <v>273</v>
      </c>
      <c r="E90" s="1413">
        <v>1</v>
      </c>
      <c r="F90" s="1414">
        <v>1.36</v>
      </c>
      <c r="G90" s="1414">
        <v>2.82</v>
      </c>
      <c r="H90" s="1414">
        <v>0.1</v>
      </c>
      <c r="I90" s="1415">
        <f t="shared" si="9"/>
        <v>0.38</v>
      </c>
      <c r="J90" s="1416" t="s">
        <v>5</v>
      </c>
      <c r="K90" s="1410"/>
      <c r="L90" s="1400"/>
      <c r="M90" s="1410"/>
      <c r="N90" s="1402" t="s">
        <v>2209</v>
      </c>
    </row>
    <row r="91" spans="1:14" s="1411" customFormat="1" ht="18" customHeight="1">
      <c r="A91" s="1397"/>
      <c r="B91" s="1410" t="s">
        <v>2521</v>
      </c>
      <c r="C91" s="1398">
        <v>1</v>
      </c>
      <c r="D91" s="1412" t="s">
        <v>273</v>
      </c>
      <c r="E91" s="1413">
        <v>1</v>
      </c>
      <c r="F91" s="1414">
        <v>2.34</v>
      </c>
      <c r="G91" s="1414">
        <v>2.82</v>
      </c>
      <c r="H91" s="1414">
        <v>0.1</v>
      </c>
      <c r="I91" s="1415">
        <f t="shared" si="9"/>
        <v>0.66</v>
      </c>
      <c r="J91" s="1416" t="s">
        <v>5</v>
      </c>
      <c r="K91" s="1410"/>
      <c r="L91" s="1400"/>
      <c r="M91" s="1410"/>
      <c r="N91" s="1402" t="s">
        <v>2209</v>
      </c>
    </row>
    <row r="92" spans="1:14" s="1411" customFormat="1" ht="18" customHeight="1">
      <c r="A92" s="1397"/>
      <c r="B92" s="1410" t="s">
        <v>2358</v>
      </c>
      <c r="C92" s="1398">
        <v>1</v>
      </c>
      <c r="D92" s="1412" t="s">
        <v>273</v>
      </c>
      <c r="E92" s="1413">
        <v>1</v>
      </c>
      <c r="F92" s="1414">
        <v>2.75</v>
      </c>
      <c r="G92" s="1414">
        <v>2.82</v>
      </c>
      <c r="H92" s="1414">
        <v>0.1</v>
      </c>
      <c r="I92" s="1415">
        <f t="shared" si="9"/>
        <v>0.78</v>
      </c>
      <c r="J92" s="1416" t="s">
        <v>5</v>
      </c>
      <c r="K92" s="1410"/>
      <c r="L92" s="1400"/>
      <c r="M92" s="1410"/>
      <c r="N92" s="1402" t="s">
        <v>2209</v>
      </c>
    </row>
    <row r="93" spans="1:14" s="1411" customFormat="1" ht="18" customHeight="1">
      <c r="A93" s="1397"/>
      <c r="B93" s="1410" t="s">
        <v>3310</v>
      </c>
      <c r="C93" s="1398">
        <v>1</v>
      </c>
      <c r="D93" s="1412" t="s">
        <v>273</v>
      </c>
      <c r="E93" s="1413">
        <v>1</v>
      </c>
      <c r="F93" s="1414">
        <v>1.36</v>
      </c>
      <c r="G93" s="1414">
        <v>2.82</v>
      </c>
      <c r="H93" s="1414">
        <v>0.1</v>
      </c>
      <c r="I93" s="1415">
        <f t="shared" si="9"/>
        <v>0.38</v>
      </c>
      <c r="J93" s="1416" t="s">
        <v>5</v>
      </c>
      <c r="K93" s="1410"/>
      <c r="L93" s="1400"/>
      <c r="M93" s="1410"/>
      <c r="N93" s="1402" t="s">
        <v>2209</v>
      </c>
    </row>
    <row r="94" spans="1:14" s="1411" customFormat="1" ht="18" customHeight="1">
      <c r="A94" s="1397"/>
      <c r="B94" s="1410" t="s">
        <v>2357</v>
      </c>
      <c r="C94" s="1398">
        <v>1</v>
      </c>
      <c r="D94" s="1412" t="s">
        <v>273</v>
      </c>
      <c r="E94" s="1413">
        <v>1</v>
      </c>
      <c r="F94" s="1414">
        <v>1.83</v>
      </c>
      <c r="G94" s="1414">
        <v>2.82</v>
      </c>
      <c r="H94" s="1414">
        <v>0.1</v>
      </c>
      <c r="I94" s="1415">
        <f t="shared" si="9"/>
        <v>0.52</v>
      </c>
      <c r="J94" s="1416" t="s">
        <v>5</v>
      </c>
      <c r="K94" s="1410"/>
      <c r="L94" s="1400"/>
      <c r="M94" s="1410"/>
      <c r="N94" s="1402" t="s">
        <v>2209</v>
      </c>
    </row>
    <row r="95" spans="1:14" s="1411" customFormat="1" ht="18" customHeight="1">
      <c r="A95" s="1397"/>
      <c r="B95" s="1410" t="s">
        <v>3700</v>
      </c>
      <c r="C95" s="1398">
        <v>1</v>
      </c>
      <c r="D95" s="1412" t="s">
        <v>273</v>
      </c>
      <c r="E95" s="1413">
        <v>1</v>
      </c>
      <c r="F95" s="1414">
        <v>6.67</v>
      </c>
      <c r="G95" s="1414">
        <v>3</v>
      </c>
      <c r="H95" s="1414">
        <v>0.1</v>
      </c>
      <c r="I95" s="1415">
        <f t="shared" si="9"/>
        <v>2</v>
      </c>
      <c r="J95" s="1416" t="s">
        <v>5</v>
      </c>
      <c r="K95" s="1410"/>
      <c r="L95" s="1400"/>
      <c r="M95" s="1410"/>
      <c r="N95" s="1402" t="s">
        <v>2209</v>
      </c>
    </row>
    <row r="96" spans="1:14" s="1411" customFormat="1" ht="18" customHeight="1">
      <c r="A96" s="1397"/>
      <c r="B96" s="1410" t="s">
        <v>2355</v>
      </c>
      <c r="C96" s="1398">
        <v>1</v>
      </c>
      <c r="D96" s="1412" t="s">
        <v>273</v>
      </c>
      <c r="E96" s="1413">
        <v>1</v>
      </c>
      <c r="F96" s="1414">
        <v>6.17</v>
      </c>
      <c r="G96" s="1414">
        <v>3</v>
      </c>
      <c r="H96" s="1414">
        <v>0.1</v>
      </c>
      <c r="I96" s="1415">
        <f t="shared" si="9"/>
        <v>1.85</v>
      </c>
      <c r="J96" s="1416" t="s">
        <v>5</v>
      </c>
      <c r="K96" s="1410"/>
      <c r="L96" s="1400"/>
      <c r="M96" s="1410"/>
      <c r="N96" s="1402" t="s">
        <v>2209</v>
      </c>
    </row>
    <row r="97" spans="1:14" s="1411" customFormat="1" ht="18" customHeight="1">
      <c r="A97" s="1397"/>
      <c r="B97" s="1404" t="s">
        <v>4001</v>
      </c>
      <c r="C97" s="1405"/>
      <c r="D97" s="1395" t="s">
        <v>4011</v>
      </c>
      <c r="E97" s="1406"/>
      <c r="F97" s="1407"/>
      <c r="G97" s="1407"/>
      <c r="H97" s="1407"/>
      <c r="I97" s="1408"/>
      <c r="J97" s="1409"/>
      <c r="K97" s="1410"/>
      <c r="L97" s="1400"/>
      <c r="M97" s="1410"/>
      <c r="N97" s="1402" t="s">
        <v>2209</v>
      </c>
    </row>
    <row r="98" spans="1:14" s="1411" customFormat="1" ht="18" customHeight="1">
      <c r="A98" s="1397"/>
      <c r="B98" s="1410" t="s">
        <v>578</v>
      </c>
      <c r="C98" s="1398">
        <v>1</v>
      </c>
      <c r="D98" s="1412" t="s">
        <v>273</v>
      </c>
      <c r="E98" s="1413">
        <v>1</v>
      </c>
      <c r="F98" s="1414">
        <v>1.2</v>
      </c>
      <c r="G98" s="1414">
        <v>0.35</v>
      </c>
      <c r="H98" s="1414">
        <v>0.1</v>
      </c>
      <c r="I98" s="1415">
        <f t="shared" ref="I98:I102" si="10">ROUND(IF(AND(F98:H98),C98*E98*F98*G98*H98,IF(AND(F98,G98),C98*E98*F98*G98,IF(AND(F98,H98),C98*E98*F98*H98,IF(AND(G98,H98),C98*E98*G98*H98,IF(F98,C98*E98*F98,IF(G98,C98*E98*G98,IF(H98,C98*E98*H98,C98*E98))))))),2)</f>
        <v>0.04</v>
      </c>
      <c r="J98" s="1416" t="s">
        <v>5</v>
      </c>
      <c r="K98" s="1410"/>
      <c r="L98" s="1400"/>
      <c r="M98" s="1410"/>
      <c r="N98" s="1402" t="s">
        <v>2209</v>
      </c>
    </row>
    <row r="99" spans="1:14" s="1411" customFormat="1" ht="18" customHeight="1">
      <c r="A99" s="1397"/>
      <c r="B99" s="1410"/>
      <c r="C99" s="1398">
        <v>1</v>
      </c>
      <c r="D99" s="1412" t="s">
        <v>273</v>
      </c>
      <c r="E99" s="1413">
        <v>1</v>
      </c>
      <c r="F99" s="1414">
        <v>4.67</v>
      </c>
      <c r="G99" s="1414">
        <v>0.35</v>
      </c>
      <c r="H99" s="1414">
        <v>0.1</v>
      </c>
      <c r="I99" s="1415">
        <f t="shared" si="10"/>
        <v>0.16</v>
      </c>
      <c r="J99" s="1416" t="s">
        <v>5</v>
      </c>
      <c r="K99" s="1410"/>
      <c r="L99" s="1400"/>
      <c r="M99" s="1410"/>
      <c r="N99" s="1402" t="s">
        <v>2209</v>
      </c>
    </row>
    <row r="100" spans="1:14" s="1411" customFormat="1" ht="18" customHeight="1">
      <c r="A100" s="1397"/>
      <c r="B100" s="1410"/>
      <c r="C100" s="1398">
        <v>1</v>
      </c>
      <c r="D100" s="1412" t="s">
        <v>273</v>
      </c>
      <c r="E100" s="1413">
        <v>1</v>
      </c>
      <c r="F100" s="1414">
        <v>12.5</v>
      </c>
      <c r="G100" s="1414">
        <v>0.35</v>
      </c>
      <c r="H100" s="1414">
        <v>0.1</v>
      </c>
      <c r="I100" s="1415">
        <f t="shared" si="10"/>
        <v>0.44</v>
      </c>
      <c r="J100" s="1416" t="s">
        <v>5</v>
      </c>
      <c r="K100" s="1410"/>
      <c r="L100" s="1400"/>
      <c r="M100" s="1410"/>
      <c r="N100" s="1402" t="s">
        <v>2209</v>
      </c>
    </row>
    <row r="101" spans="1:14" s="1411" customFormat="1" ht="18" customHeight="1">
      <c r="A101" s="1397"/>
      <c r="B101" s="1410"/>
      <c r="C101" s="1398">
        <v>1</v>
      </c>
      <c r="D101" s="1412" t="s">
        <v>273</v>
      </c>
      <c r="E101" s="1413">
        <v>1</v>
      </c>
      <c r="F101" s="1414">
        <v>5</v>
      </c>
      <c r="G101" s="1414">
        <v>0.35</v>
      </c>
      <c r="H101" s="1414">
        <v>0.1</v>
      </c>
      <c r="I101" s="1415">
        <f t="shared" si="10"/>
        <v>0.18</v>
      </c>
      <c r="J101" s="1416" t="s">
        <v>5</v>
      </c>
      <c r="K101" s="1410"/>
      <c r="L101" s="1400"/>
      <c r="M101" s="1410"/>
      <c r="N101" s="1402" t="s">
        <v>2209</v>
      </c>
    </row>
    <row r="102" spans="1:14" s="1411" customFormat="1" ht="18" customHeight="1">
      <c r="A102" s="1397"/>
      <c r="B102" s="1410"/>
      <c r="C102" s="1398">
        <v>1</v>
      </c>
      <c r="D102" s="1412" t="s">
        <v>273</v>
      </c>
      <c r="E102" s="1413">
        <v>1</v>
      </c>
      <c r="F102" s="1414">
        <v>0.97</v>
      </c>
      <c r="G102" s="1414">
        <v>0.35</v>
      </c>
      <c r="H102" s="1414">
        <v>0.1</v>
      </c>
      <c r="I102" s="1415">
        <f t="shared" si="10"/>
        <v>0.03</v>
      </c>
      <c r="J102" s="1416" t="s">
        <v>5</v>
      </c>
      <c r="K102" s="1410"/>
      <c r="L102" s="1400"/>
      <c r="M102" s="1410"/>
      <c r="N102" s="1402" t="s">
        <v>2209</v>
      </c>
    </row>
    <row r="103" spans="1:14" s="1411" customFormat="1" ht="18" customHeight="1">
      <c r="A103" s="1397"/>
      <c r="B103" s="1404" t="s">
        <v>4002</v>
      </c>
      <c r="C103" s="1398"/>
      <c r="D103" s="1395" t="s">
        <v>4012</v>
      </c>
      <c r="E103" s="1413"/>
      <c r="F103" s="1414"/>
      <c r="G103" s="1414"/>
      <c r="H103" s="1414"/>
      <c r="I103" s="1463"/>
      <c r="J103" s="1464"/>
      <c r="K103" s="1410"/>
      <c r="L103" s="1400"/>
      <c r="M103" s="1410"/>
      <c r="N103" s="1402" t="s">
        <v>2209</v>
      </c>
    </row>
    <row r="104" spans="1:14" s="1411" customFormat="1" ht="18" customHeight="1">
      <c r="A104" s="1397"/>
      <c r="B104" s="1410" t="s">
        <v>3760</v>
      </c>
      <c r="C104" s="1398">
        <v>1</v>
      </c>
      <c r="D104" s="1412" t="s">
        <v>273</v>
      </c>
      <c r="E104" s="1413">
        <v>1</v>
      </c>
      <c r="F104" s="1414">
        <v>3.24</v>
      </c>
      <c r="G104" s="1414">
        <v>0.97</v>
      </c>
      <c r="H104" s="1414">
        <v>0.1</v>
      </c>
      <c r="I104" s="1415">
        <f t="shared" ref="I104:I106" si="11">ROUND(IF(AND(F104:H104),C104*E104*F104*G104*H104,IF(AND(F104,G104),C104*E104*F104*G104,IF(AND(F104,H104),C104*E104*F104*H104,IF(AND(G104,H104),C104*E104*G104*H104,IF(F104,C104*E104*F104,IF(G104,C104*E104*G104,IF(H104,C104*E104*H104,C104*E104))))))),2)</f>
        <v>0.31</v>
      </c>
      <c r="J104" s="1416" t="s">
        <v>5</v>
      </c>
      <c r="K104" s="1410"/>
      <c r="L104" s="1400"/>
      <c r="M104" s="1410"/>
      <c r="N104" s="1402" t="s">
        <v>2209</v>
      </c>
    </row>
    <row r="105" spans="1:14" s="1411" customFormat="1" ht="18" customHeight="1">
      <c r="A105" s="1397"/>
      <c r="B105" s="1410"/>
      <c r="C105" s="1398">
        <v>1</v>
      </c>
      <c r="D105" s="1412" t="s">
        <v>273</v>
      </c>
      <c r="E105" s="1413">
        <v>1</v>
      </c>
      <c r="F105" s="1414">
        <v>12.29</v>
      </c>
      <c r="G105" s="1414">
        <v>0.97</v>
      </c>
      <c r="H105" s="1414">
        <v>0.1</v>
      </c>
      <c r="I105" s="1415">
        <f t="shared" si="11"/>
        <v>1.19</v>
      </c>
      <c r="J105" s="1416" t="s">
        <v>5</v>
      </c>
      <c r="K105" s="1410"/>
      <c r="L105" s="1400"/>
      <c r="M105" s="1410"/>
      <c r="N105" s="1402" t="s">
        <v>2209</v>
      </c>
    </row>
    <row r="106" spans="1:14" s="1411" customFormat="1" ht="18" customHeight="1">
      <c r="A106" s="1397"/>
      <c r="B106" s="1410"/>
      <c r="C106" s="1398">
        <v>1</v>
      </c>
      <c r="D106" s="1412" t="s">
        <v>273</v>
      </c>
      <c r="E106" s="1413">
        <v>1</v>
      </c>
      <c r="F106" s="1414">
        <v>5</v>
      </c>
      <c r="G106" s="1414">
        <v>0.97</v>
      </c>
      <c r="H106" s="1414">
        <v>0.1</v>
      </c>
      <c r="I106" s="1415">
        <f t="shared" si="11"/>
        <v>0.49</v>
      </c>
      <c r="J106" s="1416" t="s">
        <v>5</v>
      </c>
      <c r="K106" s="1410"/>
      <c r="L106" s="1400"/>
      <c r="M106" s="1410"/>
      <c r="N106" s="1402" t="s">
        <v>2209</v>
      </c>
    </row>
    <row r="107" spans="1:14" s="1411" customFormat="1" ht="16.5" customHeight="1">
      <c r="A107" s="1397"/>
      <c r="B107" s="1425"/>
      <c r="C107" s="1426"/>
      <c r="D107" s="1427"/>
      <c r="E107" s="1428"/>
      <c r="F107" s="1429"/>
      <c r="G107" s="1429"/>
      <c r="H107" s="1429"/>
      <c r="I107" s="1430"/>
      <c r="J107" s="1423"/>
      <c r="K107" s="1410"/>
      <c r="L107" s="1400"/>
      <c r="M107" s="1410"/>
      <c r="N107" s="1402" t="s">
        <v>2209</v>
      </c>
    </row>
    <row r="108" spans="1:14" s="1403" customFormat="1" ht="15.75">
      <c r="A108" s="1397"/>
      <c r="B108" s="1410"/>
      <c r="C108" s="1431"/>
      <c r="D108" s="1432"/>
      <c r="E108" s="1413"/>
      <c r="F108" s="1414"/>
      <c r="G108" s="1433"/>
      <c r="H108" s="1397"/>
      <c r="I108" s="1430">
        <f>SUM(I75:I107)</f>
        <v>20.59</v>
      </c>
      <c r="J108" s="1423" t="s">
        <v>5</v>
      </c>
      <c r="K108" s="1434">
        <f>data!G92</f>
        <v>3877.2799999999997</v>
      </c>
      <c r="L108" s="1400" t="s">
        <v>2209</v>
      </c>
      <c r="M108" s="1435">
        <f>ROUND(I108*K108,0)</f>
        <v>79833</v>
      </c>
      <c r="N108" s="1402" t="s">
        <v>2209</v>
      </c>
    </row>
    <row r="109" spans="1:14" ht="57" hidden="1" customHeight="1">
      <c r="A109" s="896">
        <v>5</v>
      </c>
      <c r="B109" s="1612" t="s">
        <v>297</v>
      </c>
      <c r="C109" s="1613"/>
      <c r="D109" s="1613"/>
      <c r="E109" s="1613"/>
      <c r="F109" s="1613"/>
      <c r="G109" s="1613"/>
      <c r="H109" s="1614"/>
      <c r="I109" s="897"/>
      <c r="J109" s="898"/>
      <c r="K109" s="896"/>
      <c r="L109" s="923"/>
      <c r="M109" s="899"/>
      <c r="N109" s="900" t="s">
        <v>2297</v>
      </c>
    </row>
    <row r="110" spans="1:14" s="910" customFormat="1" ht="18" hidden="1" customHeight="1">
      <c r="A110" s="896"/>
      <c r="B110" s="928" t="s">
        <v>3699</v>
      </c>
      <c r="C110" s="1269"/>
      <c r="D110" s="954" t="s">
        <v>3814</v>
      </c>
      <c r="E110" s="1270"/>
      <c r="F110" s="1271"/>
      <c r="G110" s="1271"/>
      <c r="H110" s="1271"/>
      <c r="I110" s="1272"/>
      <c r="J110" s="1267"/>
      <c r="K110" s="902"/>
      <c r="L110" s="923"/>
      <c r="M110" s="902"/>
      <c r="N110" s="900" t="s">
        <v>2209</v>
      </c>
    </row>
    <row r="111" spans="1:14" s="910" customFormat="1" ht="18" hidden="1" customHeight="1">
      <c r="A111" s="896"/>
      <c r="B111" s="902" t="s">
        <v>2360</v>
      </c>
      <c r="C111" s="897">
        <v>1</v>
      </c>
      <c r="D111" s="1263" t="s">
        <v>273</v>
      </c>
      <c r="E111" s="919">
        <v>1</v>
      </c>
      <c r="F111" s="920">
        <v>2.89</v>
      </c>
      <c r="G111" s="920">
        <v>2.82</v>
      </c>
      <c r="H111" s="920">
        <v>0.1</v>
      </c>
      <c r="I111" s="1266">
        <f t="shared" ref="I111:I118" si="12">ROUND(IF(AND(F111:H111),C111*E111*F111*G111*H111,IF(AND(F111,G111),C111*E111*F111*G111,IF(AND(F111,H111),C111*E111*F111*H111,IF(AND(G111,H111),C111*E111*G111*H111,IF(F111,C111*E111*F111,IF(G111,C111*E111*G111,IF(H111,C111*E111*H111,C111*E111))))))),2)</f>
        <v>0.81</v>
      </c>
      <c r="J111" s="1267" t="s">
        <v>5</v>
      </c>
      <c r="K111" s="902"/>
      <c r="L111" s="923"/>
      <c r="M111" s="902"/>
      <c r="N111" s="900" t="s">
        <v>2209</v>
      </c>
    </row>
    <row r="112" spans="1:14" s="910" customFormat="1" ht="18" hidden="1" customHeight="1">
      <c r="A112" s="896"/>
      <c r="B112" s="902" t="s">
        <v>3310</v>
      </c>
      <c r="C112" s="897">
        <v>1</v>
      </c>
      <c r="D112" s="1263" t="s">
        <v>273</v>
      </c>
      <c r="E112" s="919">
        <v>1</v>
      </c>
      <c r="F112" s="920">
        <v>1.36</v>
      </c>
      <c r="G112" s="920">
        <v>2.82</v>
      </c>
      <c r="H112" s="920">
        <v>0.1</v>
      </c>
      <c r="I112" s="1266">
        <f t="shared" si="12"/>
        <v>0.38</v>
      </c>
      <c r="J112" s="1267" t="s">
        <v>5</v>
      </c>
      <c r="K112" s="902"/>
      <c r="L112" s="923"/>
      <c r="M112" s="902"/>
      <c r="N112" s="900" t="s">
        <v>2209</v>
      </c>
    </row>
    <row r="113" spans="1:14" s="910" customFormat="1" ht="18" hidden="1" customHeight="1">
      <c r="A113" s="896"/>
      <c r="B113" s="902" t="s">
        <v>2521</v>
      </c>
      <c r="C113" s="897">
        <v>1</v>
      </c>
      <c r="D113" s="1263" t="s">
        <v>273</v>
      </c>
      <c r="E113" s="919">
        <v>1</v>
      </c>
      <c r="F113" s="920">
        <v>2.34</v>
      </c>
      <c r="G113" s="920">
        <v>2.82</v>
      </c>
      <c r="H113" s="920">
        <v>0.1</v>
      </c>
      <c r="I113" s="1266">
        <f t="shared" si="12"/>
        <v>0.66</v>
      </c>
      <c r="J113" s="1267" t="s">
        <v>5</v>
      </c>
      <c r="K113" s="902"/>
      <c r="L113" s="923"/>
      <c r="M113" s="902"/>
      <c r="N113" s="900" t="s">
        <v>2209</v>
      </c>
    </row>
    <row r="114" spans="1:14" s="910" customFormat="1" ht="18" hidden="1" customHeight="1">
      <c r="A114" s="896"/>
      <c r="B114" s="902" t="s">
        <v>2358</v>
      </c>
      <c r="C114" s="897">
        <v>1</v>
      </c>
      <c r="D114" s="1263" t="s">
        <v>273</v>
      </c>
      <c r="E114" s="919">
        <v>1</v>
      </c>
      <c r="F114" s="920">
        <v>2.75</v>
      </c>
      <c r="G114" s="920">
        <v>2.82</v>
      </c>
      <c r="H114" s="920">
        <v>0.1</v>
      </c>
      <c r="I114" s="1266">
        <f t="shared" si="12"/>
        <v>0.78</v>
      </c>
      <c r="J114" s="1267" t="s">
        <v>5</v>
      </c>
      <c r="K114" s="902"/>
      <c r="L114" s="923"/>
      <c r="M114" s="902"/>
      <c r="N114" s="900" t="s">
        <v>2209</v>
      </c>
    </row>
    <row r="115" spans="1:14" s="910" customFormat="1" ht="18" hidden="1" customHeight="1">
      <c r="A115" s="896"/>
      <c r="B115" s="902" t="s">
        <v>3310</v>
      </c>
      <c r="C115" s="897">
        <v>1</v>
      </c>
      <c r="D115" s="1263" t="s">
        <v>273</v>
      </c>
      <c r="E115" s="919">
        <v>1</v>
      </c>
      <c r="F115" s="920">
        <v>1.36</v>
      </c>
      <c r="G115" s="920">
        <v>2.82</v>
      </c>
      <c r="H115" s="920">
        <v>0.1</v>
      </c>
      <c r="I115" s="1266">
        <f t="shared" si="12"/>
        <v>0.38</v>
      </c>
      <c r="J115" s="1267" t="s">
        <v>5</v>
      </c>
      <c r="K115" s="902"/>
      <c r="L115" s="923"/>
      <c r="M115" s="902"/>
      <c r="N115" s="900" t="s">
        <v>2209</v>
      </c>
    </row>
    <row r="116" spans="1:14" s="910" customFormat="1" ht="18" hidden="1" customHeight="1">
      <c r="A116" s="896"/>
      <c r="B116" s="902" t="s">
        <v>2357</v>
      </c>
      <c r="C116" s="897">
        <v>1</v>
      </c>
      <c r="D116" s="1263" t="s">
        <v>273</v>
      </c>
      <c r="E116" s="919">
        <v>1</v>
      </c>
      <c r="F116" s="920">
        <v>1.83</v>
      </c>
      <c r="G116" s="920">
        <v>2.82</v>
      </c>
      <c r="H116" s="920">
        <v>0.1</v>
      </c>
      <c r="I116" s="1266">
        <f t="shared" si="12"/>
        <v>0.52</v>
      </c>
      <c r="J116" s="1267" t="s">
        <v>5</v>
      </c>
      <c r="K116" s="902"/>
      <c r="L116" s="923"/>
      <c r="M116" s="902"/>
      <c r="N116" s="900" t="s">
        <v>2209</v>
      </c>
    </row>
    <row r="117" spans="1:14" s="910" customFormat="1" ht="18" hidden="1" customHeight="1">
      <c r="A117" s="896"/>
      <c r="B117" s="902" t="s">
        <v>3700</v>
      </c>
      <c r="C117" s="897">
        <v>1</v>
      </c>
      <c r="D117" s="1263" t="s">
        <v>273</v>
      </c>
      <c r="E117" s="919">
        <v>1</v>
      </c>
      <c r="F117" s="920">
        <v>6.67</v>
      </c>
      <c r="G117" s="920">
        <v>3</v>
      </c>
      <c r="H117" s="920">
        <v>0.1</v>
      </c>
      <c r="I117" s="1266">
        <f t="shared" si="12"/>
        <v>2</v>
      </c>
      <c r="J117" s="1267" t="s">
        <v>5</v>
      </c>
      <c r="K117" s="902"/>
      <c r="L117" s="923"/>
      <c r="M117" s="902"/>
      <c r="N117" s="900" t="s">
        <v>2209</v>
      </c>
    </row>
    <row r="118" spans="1:14" s="910" customFormat="1" ht="18" hidden="1" customHeight="1">
      <c r="A118" s="896"/>
      <c r="B118" s="902" t="s">
        <v>2355</v>
      </c>
      <c r="C118" s="897">
        <v>1</v>
      </c>
      <c r="D118" s="1263" t="s">
        <v>273</v>
      </c>
      <c r="E118" s="919">
        <v>1</v>
      </c>
      <c r="F118" s="920">
        <v>6.17</v>
      </c>
      <c r="G118" s="920">
        <v>3</v>
      </c>
      <c r="H118" s="920">
        <v>0.1</v>
      </c>
      <c r="I118" s="1266">
        <f t="shared" si="12"/>
        <v>1.85</v>
      </c>
      <c r="J118" s="1267" t="s">
        <v>5</v>
      </c>
      <c r="K118" s="902"/>
      <c r="L118" s="923"/>
      <c r="M118" s="902"/>
      <c r="N118" s="900" t="s">
        <v>2209</v>
      </c>
    </row>
    <row r="119" spans="1:14" s="910" customFormat="1" ht="16.5" hidden="1" customHeight="1">
      <c r="A119" s="896"/>
      <c r="B119" s="902" t="s">
        <v>3651</v>
      </c>
      <c r="C119" s="897"/>
      <c r="D119" s="954" t="s">
        <v>3812</v>
      </c>
      <c r="E119" s="919"/>
      <c r="F119" s="920"/>
      <c r="G119" s="920"/>
      <c r="H119" s="920"/>
      <c r="I119" s="1264"/>
      <c r="J119" s="1265"/>
      <c r="K119" s="902"/>
      <c r="L119" s="923"/>
      <c r="M119" s="902"/>
      <c r="N119" s="900" t="s">
        <v>2297</v>
      </c>
    </row>
    <row r="120" spans="1:14" s="910" customFormat="1" ht="18" hidden="1" customHeight="1">
      <c r="A120" s="896"/>
      <c r="B120" s="902" t="s">
        <v>3744</v>
      </c>
      <c r="C120" s="897">
        <v>1</v>
      </c>
      <c r="D120" s="1263" t="s">
        <v>273</v>
      </c>
      <c r="E120" s="919">
        <v>1</v>
      </c>
      <c r="F120" s="920">
        <v>15.95</v>
      </c>
      <c r="G120" s="920">
        <v>0.3</v>
      </c>
      <c r="H120" s="920">
        <v>0.15</v>
      </c>
      <c r="I120" s="1266">
        <f t="shared" ref="I120:I122" si="13">ROUND(IF(AND(F120:H120),C120*E120*F120*G120*H120,IF(AND(F120,G120),C120*E120*F120*G120,IF(AND(F120,H120),C120*E120*F120*H120,IF(AND(G120,H120),C120*E120*G120*H120,IF(F120,C120*E120*F120,IF(G120,C120*E120*G120,IF(H120,C120*E120*H120,C120*E120))))))),2)</f>
        <v>0.72</v>
      </c>
      <c r="J120" s="1267" t="s">
        <v>5</v>
      </c>
      <c r="K120" s="902"/>
      <c r="L120" s="923"/>
      <c r="M120" s="902"/>
      <c r="N120" s="900" t="s">
        <v>2297</v>
      </c>
    </row>
    <row r="121" spans="1:14" s="910" customFormat="1" ht="18" hidden="1" customHeight="1">
      <c r="A121" s="896"/>
      <c r="B121" s="902" t="s">
        <v>3745</v>
      </c>
      <c r="C121" s="897">
        <v>1</v>
      </c>
      <c r="D121" s="1263" t="s">
        <v>273</v>
      </c>
      <c r="E121" s="919">
        <v>1</v>
      </c>
      <c r="F121" s="920">
        <v>9.25</v>
      </c>
      <c r="G121" s="920">
        <v>0.3</v>
      </c>
      <c r="H121" s="920">
        <v>0.15</v>
      </c>
      <c r="I121" s="1266">
        <f t="shared" si="13"/>
        <v>0.42</v>
      </c>
      <c r="J121" s="1267" t="s">
        <v>5</v>
      </c>
      <c r="K121" s="902"/>
      <c r="L121" s="923"/>
      <c r="M121" s="902"/>
      <c r="N121" s="900" t="s">
        <v>2297</v>
      </c>
    </row>
    <row r="122" spans="1:14" s="910" customFormat="1" ht="18" hidden="1" customHeight="1">
      <c r="A122" s="896"/>
      <c r="B122" s="902" t="s">
        <v>2523</v>
      </c>
      <c r="C122" s="897">
        <v>1</v>
      </c>
      <c r="D122" s="1263" t="s">
        <v>273</v>
      </c>
      <c r="E122" s="919">
        <v>3</v>
      </c>
      <c r="F122" s="920">
        <v>1.2</v>
      </c>
      <c r="G122" s="920">
        <v>0.6</v>
      </c>
      <c r="H122" s="920">
        <v>0.1</v>
      </c>
      <c r="I122" s="1266">
        <f t="shared" si="13"/>
        <v>0.22</v>
      </c>
      <c r="J122" s="1267" t="s">
        <v>5</v>
      </c>
      <c r="K122" s="902"/>
      <c r="L122" s="923"/>
      <c r="M122" s="902"/>
      <c r="N122" s="900" t="s">
        <v>2297</v>
      </c>
    </row>
    <row r="123" spans="1:14" s="910" customFormat="1" ht="16.5" hidden="1" customHeight="1">
      <c r="A123" s="896"/>
      <c r="B123" s="902" t="s">
        <v>3652</v>
      </c>
      <c r="C123" s="897"/>
      <c r="D123" s="954" t="s">
        <v>3815</v>
      </c>
      <c r="E123" s="919"/>
      <c r="F123" s="920"/>
      <c r="G123" s="920"/>
      <c r="H123" s="920"/>
      <c r="I123" s="1264"/>
      <c r="J123" s="1265"/>
      <c r="K123" s="902"/>
      <c r="L123" s="923"/>
      <c r="M123" s="902"/>
      <c r="N123" s="900" t="s">
        <v>2297</v>
      </c>
    </row>
    <row r="124" spans="1:14" s="910" customFormat="1" ht="18" hidden="1" customHeight="1">
      <c r="A124" s="896"/>
      <c r="B124" s="902" t="s">
        <v>2957</v>
      </c>
      <c r="C124" s="897">
        <v>1</v>
      </c>
      <c r="D124" s="1263" t="s">
        <v>273</v>
      </c>
      <c r="E124" s="919">
        <v>1</v>
      </c>
      <c r="F124" s="920">
        <v>15.2</v>
      </c>
      <c r="G124" s="920">
        <v>1.2</v>
      </c>
      <c r="H124" s="920">
        <v>0.1</v>
      </c>
      <c r="I124" s="1266">
        <f t="shared" ref="I124:I125" si="14">ROUND(IF(AND(F124:H124),C124*E124*F124*G124*H124,IF(AND(F124,G124),C124*E124*F124*G124,IF(AND(F124,H124),C124*E124*F124*H124,IF(AND(G124,H124),C124*E124*G124*H124,IF(F124,C124*E124*F124,IF(G124,C124*E124*G124,IF(H124,C124*E124*H124,C124*E124))))))),2)</f>
        <v>1.82</v>
      </c>
      <c r="J124" s="1267" t="s">
        <v>5</v>
      </c>
      <c r="K124" s="902"/>
      <c r="L124" s="923"/>
      <c r="M124" s="902"/>
      <c r="N124" s="900" t="s">
        <v>2297</v>
      </c>
    </row>
    <row r="125" spans="1:14" s="910" customFormat="1" ht="18" hidden="1" customHeight="1">
      <c r="A125" s="896"/>
      <c r="B125" s="902" t="s">
        <v>2958</v>
      </c>
      <c r="C125" s="897">
        <v>1</v>
      </c>
      <c r="D125" s="1263" t="s">
        <v>273</v>
      </c>
      <c r="E125" s="919">
        <v>1</v>
      </c>
      <c r="F125" s="920">
        <v>5.75</v>
      </c>
      <c r="G125" s="920">
        <v>1.2</v>
      </c>
      <c r="H125" s="920">
        <v>0.1</v>
      </c>
      <c r="I125" s="1266">
        <f t="shared" si="14"/>
        <v>0.69</v>
      </c>
      <c r="J125" s="1267" t="s">
        <v>5</v>
      </c>
      <c r="K125" s="902"/>
      <c r="L125" s="923"/>
      <c r="M125" s="902"/>
      <c r="N125" s="900" t="s">
        <v>2297</v>
      </c>
    </row>
    <row r="126" spans="1:14" s="910" customFormat="1" ht="16.5" hidden="1" customHeight="1">
      <c r="A126" s="896"/>
      <c r="B126" s="956"/>
      <c r="C126" s="957"/>
      <c r="D126" s="958"/>
      <c r="E126" s="1268"/>
      <c r="F126" s="960"/>
      <c r="G126" s="960"/>
      <c r="H126" s="960"/>
      <c r="I126" s="916"/>
      <c r="J126" s="955"/>
      <c r="K126" s="902"/>
      <c r="L126" s="923"/>
      <c r="M126" s="902"/>
      <c r="N126" s="900" t="s">
        <v>2297</v>
      </c>
    </row>
    <row r="127" spans="1:14" ht="15.75" hidden="1">
      <c r="A127" s="896"/>
      <c r="B127" s="902"/>
      <c r="C127" s="917"/>
      <c r="D127" s="918"/>
      <c r="E127" s="919"/>
      <c r="F127" s="920"/>
      <c r="G127" s="921"/>
      <c r="H127" s="896"/>
      <c r="I127" s="916"/>
      <c r="J127" s="955" t="s">
        <v>5</v>
      </c>
      <c r="K127" s="922">
        <f>data!G1008</f>
        <v>4067.8399999999997</v>
      </c>
      <c r="L127" s="923" t="s">
        <v>2297</v>
      </c>
      <c r="M127" s="924">
        <f>ROUND(I127*K127,0)</f>
        <v>0</v>
      </c>
      <c r="N127" s="900" t="s">
        <v>2297</v>
      </c>
    </row>
    <row r="128" spans="1:14" ht="57" hidden="1" customHeight="1">
      <c r="A128" s="896">
        <v>6</v>
      </c>
      <c r="B128" s="1609" t="s">
        <v>297</v>
      </c>
      <c r="C128" s="1609"/>
      <c r="D128" s="1609"/>
      <c r="E128" s="1609"/>
      <c r="F128" s="1609"/>
      <c r="G128" s="1609"/>
      <c r="H128" s="1609"/>
      <c r="I128" s="897"/>
      <c r="J128" s="898"/>
      <c r="K128" s="896"/>
      <c r="L128" s="923"/>
      <c r="M128" s="899"/>
      <c r="N128" s="900" t="s">
        <v>2308</v>
      </c>
    </row>
    <row r="129" spans="1:14" s="910" customFormat="1" ht="16.5" hidden="1" customHeight="1">
      <c r="A129" s="896"/>
      <c r="B129" s="902" t="s">
        <v>3653</v>
      </c>
      <c r="C129" s="897"/>
      <c r="D129" s="954" t="s">
        <v>3816</v>
      </c>
      <c r="E129" s="919"/>
      <c r="F129" s="920"/>
      <c r="G129" s="920"/>
      <c r="H129" s="920"/>
      <c r="I129" s="1264"/>
      <c r="J129" s="1265"/>
      <c r="K129" s="902"/>
      <c r="L129" s="923"/>
      <c r="M129" s="902"/>
      <c r="N129" s="900" t="s">
        <v>2308</v>
      </c>
    </row>
    <row r="130" spans="1:14" s="910" customFormat="1" ht="18" hidden="1" customHeight="1">
      <c r="A130" s="896"/>
      <c r="B130" s="902" t="s">
        <v>2517</v>
      </c>
      <c r="C130" s="897">
        <v>1</v>
      </c>
      <c r="D130" s="1263" t="s">
        <v>273</v>
      </c>
      <c r="E130" s="919">
        <v>3</v>
      </c>
      <c r="F130" s="920">
        <v>1.2</v>
      </c>
      <c r="G130" s="920">
        <v>1</v>
      </c>
      <c r="H130" s="920">
        <v>0.1</v>
      </c>
      <c r="I130" s="1266">
        <f t="shared" ref="I130:I131" si="15">ROUND(IF(AND(F130:H130),C130*E130*F130*G130*H130,IF(AND(F130,G130),C130*E130*F130*G130,IF(AND(F130,H130),C130*E130*F130*H130,IF(AND(G130,H130),C130*E130*G130*H130,IF(F130,C130*E130*F130,IF(G130,C130*E130*G130,IF(H130,C130*E130*H130,C130*E130))))))),2)</f>
        <v>0.36</v>
      </c>
      <c r="J130" s="1267" t="s">
        <v>5</v>
      </c>
      <c r="K130" s="902"/>
      <c r="L130" s="923"/>
      <c r="M130" s="902"/>
      <c r="N130" s="900" t="s">
        <v>2308</v>
      </c>
    </row>
    <row r="131" spans="1:14" s="910" customFormat="1" ht="16.5" hidden="1" customHeight="1">
      <c r="A131" s="896"/>
      <c r="B131" s="902"/>
      <c r="C131" s="897">
        <v>1</v>
      </c>
      <c r="D131" s="1263" t="s">
        <v>273</v>
      </c>
      <c r="E131" s="919">
        <v>1</v>
      </c>
      <c r="F131" s="920">
        <v>1.1000000000000001</v>
      </c>
      <c r="G131" s="920">
        <v>0.7</v>
      </c>
      <c r="H131" s="920">
        <v>0.1</v>
      </c>
      <c r="I131" s="1266">
        <f t="shared" si="15"/>
        <v>0.08</v>
      </c>
      <c r="J131" s="1267" t="s">
        <v>5</v>
      </c>
      <c r="K131" s="902"/>
      <c r="L131" s="923"/>
      <c r="M131" s="902"/>
      <c r="N131" s="900" t="s">
        <v>2308</v>
      </c>
    </row>
    <row r="132" spans="1:14" s="910" customFormat="1" ht="16.5" hidden="1" customHeight="1">
      <c r="A132" s="896"/>
      <c r="B132" s="902"/>
      <c r="C132" s="897"/>
      <c r="D132" s="1263"/>
      <c r="E132" s="919"/>
      <c r="F132" s="920"/>
      <c r="G132" s="920"/>
      <c r="H132" s="920"/>
      <c r="I132" s="1266"/>
      <c r="J132" s="1267"/>
      <c r="K132" s="902"/>
      <c r="L132" s="923"/>
      <c r="M132" s="902"/>
      <c r="N132" s="900"/>
    </row>
    <row r="133" spans="1:14" ht="15.75" hidden="1">
      <c r="A133" s="896"/>
      <c r="B133" s="902"/>
      <c r="C133" s="917"/>
      <c r="D133" s="918"/>
      <c r="E133" s="919"/>
      <c r="F133" s="920"/>
      <c r="G133" s="921"/>
      <c r="H133" s="896"/>
      <c r="I133" s="916"/>
      <c r="J133" s="955" t="s">
        <v>5</v>
      </c>
      <c r="K133" s="922">
        <f>data!G1925</f>
        <v>4332.55</v>
      </c>
      <c r="L133" s="923" t="s">
        <v>2308</v>
      </c>
      <c r="M133" s="924">
        <f>ROUND(I133*K133,0)</f>
        <v>0</v>
      </c>
      <c r="N133" s="900" t="s">
        <v>2308</v>
      </c>
    </row>
    <row r="134" spans="1:14" ht="57" hidden="1" customHeight="1">
      <c r="A134" s="896">
        <v>19</v>
      </c>
      <c r="B134" s="1609" t="s">
        <v>297</v>
      </c>
      <c r="C134" s="1609"/>
      <c r="D134" s="1609"/>
      <c r="E134" s="1609"/>
      <c r="F134" s="1609"/>
      <c r="G134" s="1609"/>
      <c r="H134" s="1609"/>
      <c r="I134" s="897"/>
      <c r="J134" s="898"/>
      <c r="K134" s="896"/>
      <c r="L134" s="923"/>
      <c r="M134" s="899"/>
      <c r="N134" s="900" t="s">
        <v>2309</v>
      </c>
    </row>
    <row r="135" spans="1:14" s="910" customFormat="1" ht="16.5" hidden="1" customHeight="1">
      <c r="A135" s="896"/>
      <c r="B135" s="902" t="s">
        <v>3518</v>
      </c>
      <c r="C135" s="897"/>
      <c r="D135" s="1263"/>
      <c r="E135" s="919"/>
      <c r="F135" s="920"/>
      <c r="G135" s="920"/>
      <c r="H135" s="920"/>
      <c r="I135" s="1264"/>
      <c r="J135" s="955"/>
      <c r="K135" s="902"/>
      <c r="L135" s="923"/>
      <c r="M135" s="902"/>
      <c r="N135" s="900" t="s">
        <v>2309</v>
      </c>
    </row>
    <row r="136" spans="1:14" s="910" customFormat="1" ht="18" hidden="1" customHeight="1">
      <c r="A136" s="896"/>
      <c r="B136" s="902"/>
      <c r="C136" s="897">
        <v>1</v>
      </c>
      <c r="D136" s="1263" t="s">
        <v>273</v>
      </c>
      <c r="E136" s="919">
        <v>1</v>
      </c>
      <c r="F136" s="920">
        <v>5.5</v>
      </c>
      <c r="G136" s="920">
        <v>0.5</v>
      </c>
      <c r="H136" s="920">
        <v>0.1</v>
      </c>
      <c r="I136" s="1266">
        <f t="shared" ref="I136:I141" si="16">ROUND(IF(AND(F136:H136),C136*E136*F136*G136*H136,IF(AND(F136,G136),C136*E136*F136*G136,IF(AND(F136,H136),C136*E136*F136*H136,IF(AND(G136,H136),C136*E136*G136*H136,IF(F136,C136*E136*F136,IF(G136,C136*E136*G136,IF(H136,C136*E136*H136,C136*E136))))))),2)</f>
        <v>0.28000000000000003</v>
      </c>
      <c r="J136" s="955" t="s">
        <v>5</v>
      </c>
      <c r="K136" s="902"/>
      <c r="L136" s="923"/>
      <c r="M136" s="902"/>
      <c r="N136" s="900" t="s">
        <v>2309</v>
      </c>
    </row>
    <row r="137" spans="1:14" s="910" customFormat="1" ht="16.5" hidden="1" customHeight="1">
      <c r="A137" s="896"/>
      <c r="B137" s="902"/>
      <c r="C137" s="897">
        <v>1</v>
      </c>
      <c r="D137" s="1263" t="s">
        <v>273</v>
      </c>
      <c r="E137" s="919">
        <v>2</v>
      </c>
      <c r="F137" s="920">
        <v>2.25</v>
      </c>
      <c r="G137" s="920">
        <v>0.5</v>
      </c>
      <c r="H137" s="920">
        <v>0.1</v>
      </c>
      <c r="I137" s="1266">
        <f t="shared" si="16"/>
        <v>0.23</v>
      </c>
      <c r="J137" s="955" t="s">
        <v>5</v>
      </c>
      <c r="K137" s="902"/>
      <c r="L137" s="923"/>
      <c r="M137" s="902"/>
      <c r="N137" s="900" t="s">
        <v>2309</v>
      </c>
    </row>
    <row r="138" spans="1:14" s="910" customFormat="1" ht="16.5" hidden="1" customHeight="1">
      <c r="A138" s="896"/>
      <c r="B138" s="902"/>
      <c r="C138" s="897">
        <v>1</v>
      </c>
      <c r="D138" s="1263" t="s">
        <v>273</v>
      </c>
      <c r="E138" s="919">
        <v>1</v>
      </c>
      <c r="F138" s="920">
        <v>3.3</v>
      </c>
      <c r="G138" s="920">
        <v>0.5</v>
      </c>
      <c r="H138" s="920">
        <v>0.1</v>
      </c>
      <c r="I138" s="1266">
        <f t="shared" si="16"/>
        <v>0.17</v>
      </c>
      <c r="J138" s="955" t="s">
        <v>5</v>
      </c>
      <c r="K138" s="902"/>
      <c r="L138" s="923"/>
      <c r="M138" s="902"/>
      <c r="N138" s="900" t="s">
        <v>2309</v>
      </c>
    </row>
    <row r="139" spans="1:14" s="910" customFormat="1" ht="16.5" hidden="1" customHeight="1">
      <c r="A139" s="896"/>
      <c r="B139" s="902"/>
      <c r="C139" s="897">
        <v>1</v>
      </c>
      <c r="D139" s="1263" t="s">
        <v>273</v>
      </c>
      <c r="E139" s="919">
        <v>1</v>
      </c>
      <c r="F139" s="920">
        <v>2.25</v>
      </c>
      <c r="G139" s="920">
        <v>0.5</v>
      </c>
      <c r="H139" s="920">
        <v>0.1</v>
      </c>
      <c r="I139" s="1266">
        <f t="shared" si="16"/>
        <v>0.11</v>
      </c>
      <c r="J139" s="955" t="s">
        <v>5</v>
      </c>
      <c r="K139" s="902"/>
      <c r="L139" s="923"/>
      <c r="M139" s="902"/>
      <c r="N139" s="900" t="s">
        <v>2309</v>
      </c>
    </row>
    <row r="140" spans="1:14" s="910" customFormat="1" ht="16.5" hidden="1" customHeight="1">
      <c r="A140" s="896"/>
      <c r="B140" s="902"/>
      <c r="C140" s="897">
        <v>1</v>
      </c>
      <c r="D140" s="1263" t="s">
        <v>273</v>
      </c>
      <c r="E140" s="919">
        <v>1</v>
      </c>
      <c r="F140" s="920">
        <v>5.6</v>
      </c>
      <c r="G140" s="920">
        <v>1.2</v>
      </c>
      <c r="H140" s="920">
        <v>0.1</v>
      </c>
      <c r="I140" s="1266">
        <f t="shared" si="16"/>
        <v>0.67</v>
      </c>
      <c r="J140" s="955" t="s">
        <v>5</v>
      </c>
      <c r="K140" s="902"/>
      <c r="L140" s="923"/>
      <c r="M140" s="902"/>
      <c r="N140" s="900" t="s">
        <v>2309</v>
      </c>
    </row>
    <row r="141" spans="1:14" s="910" customFormat="1" ht="16.5" hidden="1" customHeight="1">
      <c r="A141" s="896"/>
      <c r="B141" s="902"/>
      <c r="C141" s="897">
        <v>1</v>
      </c>
      <c r="D141" s="1263" t="s">
        <v>273</v>
      </c>
      <c r="E141" s="919">
        <v>1</v>
      </c>
      <c r="F141" s="920">
        <v>3.6</v>
      </c>
      <c r="G141" s="920">
        <v>1.8</v>
      </c>
      <c r="H141" s="920">
        <v>0.1</v>
      </c>
      <c r="I141" s="1266">
        <f t="shared" si="16"/>
        <v>0.65</v>
      </c>
      <c r="J141" s="955" t="s">
        <v>5</v>
      </c>
      <c r="K141" s="902"/>
      <c r="L141" s="923"/>
      <c r="M141" s="902"/>
      <c r="N141" s="900" t="s">
        <v>2309</v>
      </c>
    </row>
    <row r="142" spans="1:14" s="910" customFormat="1" ht="16.5" hidden="1" customHeight="1">
      <c r="A142" s="896"/>
      <c r="B142" s="902" t="s">
        <v>3513</v>
      </c>
      <c r="C142" s="897"/>
      <c r="D142" s="1263"/>
      <c r="E142" s="919"/>
      <c r="F142" s="920"/>
      <c r="G142" s="920"/>
      <c r="H142" s="920"/>
      <c r="I142" s="1264"/>
      <c r="J142" s="955"/>
      <c r="K142" s="902"/>
      <c r="L142" s="923"/>
      <c r="M142" s="902"/>
      <c r="N142" s="900" t="s">
        <v>2309</v>
      </c>
    </row>
    <row r="143" spans="1:14" s="910" customFormat="1" ht="16.5" hidden="1" customHeight="1">
      <c r="A143" s="896"/>
      <c r="B143" s="902"/>
      <c r="C143" s="897">
        <v>1</v>
      </c>
      <c r="D143" s="1263" t="s">
        <v>273</v>
      </c>
      <c r="E143" s="919">
        <v>1</v>
      </c>
      <c r="F143" s="920">
        <v>4.9000000000000004</v>
      </c>
      <c r="G143" s="920">
        <v>2.2999999999999998</v>
      </c>
      <c r="H143" s="920">
        <v>0.1</v>
      </c>
      <c r="I143" s="1266">
        <f t="shared" ref="I143:I144" si="17">ROUND(IF(AND(F143:H143),C143*E143*F143*G143*H143,IF(AND(F143,G143),C143*E143*F143*G143,IF(AND(F143,H143),C143*E143*F143*H143,IF(AND(G143,H143),C143*E143*G143*H143,IF(F143,C143*E143*F143,IF(G143,C143*E143*G143,IF(H143,C143*E143*H143,C143*E143))))))),2)</f>
        <v>1.1299999999999999</v>
      </c>
      <c r="J143" s="955" t="s">
        <v>5</v>
      </c>
      <c r="K143" s="902"/>
      <c r="L143" s="923"/>
      <c r="M143" s="902"/>
      <c r="N143" s="900" t="s">
        <v>2309</v>
      </c>
    </row>
    <row r="144" spans="1:14" s="910" customFormat="1" ht="16.5" hidden="1" customHeight="1">
      <c r="A144" s="896"/>
      <c r="B144" s="902"/>
      <c r="C144" s="897">
        <v>1</v>
      </c>
      <c r="D144" s="1263" t="s">
        <v>273</v>
      </c>
      <c r="E144" s="919">
        <v>1</v>
      </c>
      <c r="F144" s="920">
        <v>3</v>
      </c>
      <c r="G144" s="920">
        <v>2.2999999999999998</v>
      </c>
      <c r="H144" s="920">
        <v>0.1</v>
      </c>
      <c r="I144" s="1266">
        <f t="shared" si="17"/>
        <v>0.69</v>
      </c>
      <c r="J144" s="955" t="s">
        <v>5</v>
      </c>
      <c r="K144" s="902"/>
      <c r="L144" s="923"/>
      <c r="M144" s="902"/>
      <c r="N144" s="900" t="s">
        <v>2309</v>
      </c>
    </row>
    <row r="145" spans="1:14" s="910" customFormat="1" ht="16.5" hidden="1" customHeight="1">
      <c r="A145" s="896"/>
      <c r="B145" s="956"/>
      <c r="C145" s="957"/>
      <c r="D145" s="958"/>
      <c r="E145" s="1268"/>
      <c r="F145" s="960"/>
      <c r="G145" s="960"/>
      <c r="H145" s="960"/>
      <c r="I145" s="916"/>
      <c r="J145" s="955"/>
      <c r="K145" s="902"/>
      <c r="L145" s="923"/>
      <c r="M145" s="902"/>
      <c r="N145" s="900" t="s">
        <v>2309</v>
      </c>
    </row>
    <row r="146" spans="1:14" ht="15.75" hidden="1">
      <c r="A146" s="896"/>
      <c r="B146" s="902"/>
      <c r="C146" s="917"/>
      <c r="D146" s="918"/>
      <c r="E146" s="919"/>
      <c r="F146" s="920"/>
      <c r="G146" s="921"/>
      <c r="H146" s="896"/>
      <c r="I146" s="916"/>
      <c r="J146" s="955" t="s">
        <v>5</v>
      </c>
      <c r="K146" s="922">
        <f>data!G2842</f>
        <v>4583.3100000000004</v>
      </c>
      <c r="L146" s="923" t="s">
        <v>2309</v>
      </c>
      <c r="M146" s="924">
        <f>ROUND(I146*K146,0)</f>
        <v>0</v>
      </c>
      <c r="N146" s="900" t="s">
        <v>2309</v>
      </c>
    </row>
    <row r="147" spans="1:14" ht="57" hidden="1" customHeight="1">
      <c r="A147" s="896">
        <v>3</v>
      </c>
      <c r="B147" s="1609" t="s">
        <v>67</v>
      </c>
      <c r="C147" s="1609"/>
      <c r="D147" s="1609"/>
      <c r="E147" s="1609"/>
      <c r="F147" s="1609"/>
      <c r="G147" s="1609"/>
      <c r="H147" s="1609"/>
      <c r="I147" s="897"/>
      <c r="J147" s="898"/>
      <c r="K147" s="896"/>
      <c r="L147" s="923"/>
      <c r="M147" s="899"/>
      <c r="N147" s="900" t="s">
        <v>2209</v>
      </c>
    </row>
    <row r="148" spans="1:14" s="910" customFormat="1" ht="16.5" hidden="1" customHeight="1">
      <c r="A148" s="896"/>
      <c r="B148" s="1274" t="s">
        <v>3548</v>
      </c>
      <c r="C148" s="1275"/>
      <c r="D148" s="1276"/>
      <c r="E148" s="1177"/>
      <c r="F148" s="1277"/>
      <c r="G148" s="1277"/>
      <c r="H148" s="1277"/>
      <c r="I148" s="1278"/>
      <c r="J148" s="955"/>
      <c r="K148" s="902"/>
      <c r="L148" s="923"/>
      <c r="M148" s="902"/>
      <c r="N148" s="900" t="s">
        <v>2209</v>
      </c>
    </row>
    <row r="149" spans="1:14" s="910" customFormat="1" ht="16.5" hidden="1" customHeight="1">
      <c r="A149" s="896"/>
      <c r="B149" s="1274"/>
      <c r="C149" s="1275">
        <v>1</v>
      </c>
      <c r="D149" s="1276" t="s">
        <v>273</v>
      </c>
      <c r="E149" s="1177">
        <v>1</v>
      </c>
      <c r="F149" s="1277">
        <v>4.72</v>
      </c>
      <c r="G149" s="1277">
        <v>0.45</v>
      </c>
      <c r="H149" s="1277">
        <v>0.1</v>
      </c>
      <c r="I149" s="1278">
        <f>ROUND(IF(AND(F149:H149),C149*E149*F149*G149*H149,IF(AND(F149,G149),C149*E149*F149*G149,IF(AND(F149,H149),C149*E149*F149*H149,IF(AND(G149,H149),C149*E149*G149*H149,IF(F149,C149*E149*F149,IF(G149,C149*E149*G149,IF(H149,C149*E149*H149,C149*E149))))))),2)</f>
        <v>0.21</v>
      </c>
      <c r="J149" s="955" t="s">
        <v>5</v>
      </c>
      <c r="K149" s="902"/>
      <c r="L149" s="923"/>
      <c r="M149" s="902"/>
      <c r="N149" s="900" t="s">
        <v>2209</v>
      </c>
    </row>
    <row r="150" spans="1:14" s="910" customFormat="1" ht="16.5" hidden="1" customHeight="1">
      <c r="A150" s="896"/>
      <c r="B150" s="1274" t="s">
        <v>651</v>
      </c>
      <c r="C150" s="1275">
        <v>1</v>
      </c>
      <c r="D150" s="1276" t="s">
        <v>273</v>
      </c>
      <c r="E150" s="1177">
        <v>1</v>
      </c>
      <c r="F150" s="1277">
        <v>5.4</v>
      </c>
      <c r="G150" s="1277">
        <v>0.45</v>
      </c>
      <c r="H150" s="1277">
        <v>0.1</v>
      </c>
      <c r="I150" s="1278">
        <f>ROUND(IF(AND(F150:H150),C150*E150*F150*G150*H150,IF(AND(F150,G150),C150*E150*F150*G150,IF(AND(F150,H150),C150*E150*F150*H150,IF(AND(G150,H150),C150*E150*G150*H150,IF(F150,C150*E150*F150,IF(G150,C150*E150*G150,IF(H150,C150*E150*H150,C150*E150))))))),2)</f>
        <v>0.24</v>
      </c>
      <c r="J150" s="955" t="s">
        <v>5</v>
      </c>
      <c r="K150" s="902"/>
      <c r="L150" s="923"/>
      <c r="M150" s="902"/>
      <c r="N150" s="900" t="s">
        <v>2209</v>
      </c>
    </row>
    <row r="151" spans="1:14" s="910" customFormat="1" ht="16.5" hidden="1" customHeight="1">
      <c r="A151" s="896"/>
      <c r="B151" s="1274" t="s">
        <v>652</v>
      </c>
      <c r="C151" s="1275">
        <v>1</v>
      </c>
      <c r="D151" s="1276" t="s">
        <v>273</v>
      </c>
      <c r="E151" s="1177">
        <v>1</v>
      </c>
      <c r="F151" s="1277">
        <v>10.050000000000001</v>
      </c>
      <c r="G151" s="1277">
        <v>0.45</v>
      </c>
      <c r="H151" s="1277">
        <v>0.1</v>
      </c>
      <c r="I151" s="1278">
        <f>ROUND(IF(AND(F151:H151),C151*E151*F151*G151*H151,IF(AND(F151,G151),C151*E151*F151*G151,IF(AND(F151,H151),C151*E151*F151*H151,IF(AND(G151,H151),C151*E151*G151*H151,IF(F151,C151*E151*F151,IF(G151,C151*E151*G151,IF(H151,C151*E151*H151,C151*E151))))))),2)</f>
        <v>0.45</v>
      </c>
      <c r="J151" s="955" t="s">
        <v>5</v>
      </c>
      <c r="K151" s="902"/>
      <c r="L151" s="923"/>
      <c r="M151" s="902"/>
      <c r="N151" s="900" t="s">
        <v>2209</v>
      </c>
    </row>
    <row r="152" spans="1:14" s="910" customFormat="1" ht="16.5" hidden="1" customHeight="1">
      <c r="A152" s="896"/>
      <c r="B152" s="1274" t="s">
        <v>653</v>
      </c>
      <c r="C152" s="1275">
        <v>1</v>
      </c>
      <c r="D152" s="1276" t="s">
        <v>273</v>
      </c>
      <c r="E152" s="1177">
        <v>1</v>
      </c>
      <c r="F152" s="1277">
        <v>5.46</v>
      </c>
      <c r="G152" s="1277">
        <v>0.3</v>
      </c>
      <c r="H152" s="1277">
        <v>0.1</v>
      </c>
      <c r="I152" s="1278">
        <f>ROUND(IF(AND(F152:H152),C152*E152*F152*G152*H152,IF(AND(F152,G152),C152*E152*F152*G152,IF(AND(F152,H152),C152*E152*F152*H152,IF(AND(G152,H152),C152*E152*G152*H152,IF(F152,C152*E152*F152,IF(G152,C152*E152*G152,IF(H152,C152*E152*H152,C152*E152))))))),2)</f>
        <v>0.16</v>
      </c>
      <c r="J152" s="955" t="s">
        <v>5</v>
      </c>
      <c r="K152" s="902"/>
      <c r="L152" s="923"/>
      <c r="M152" s="902"/>
      <c r="N152" s="900" t="s">
        <v>2209</v>
      </c>
    </row>
    <row r="153" spans="1:14" s="910" customFormat="1" ht="16.5" hidden="1" customHeight="1">
      <c r="A153" s="896"/>
      <c r="B153" s="1274" t="s">
        <v>720</v>
      </c>
      <c r="C153" s="1275">
        <v>1</v>
      </c>
      <c r="D153" s="1276" t="s">
        <v>273</v>
      </c>
      <c r="E153" s="1177">
        <v>1</v>
      </c>
      <c r="F153" s="1277">
        <v>4.7</v>
      </c>
      <c r="G153" s="1277">
        <v>2.2999999999999998</v>
      </c>
      <c r="H153" s="1277">
        <v>0.15</v>
      </c>
      <c r="I153" s="1278">
        <f>ROUND(IF(AND(F153:H153),C153*E153*F153*G153*H153,IF(AND(F153,G153),C153*E153*F153*G153,IF(AND(F153,H153),C153*E153*F153*H153,IF(AND(G153,H153),C153*E153*G153*H153,IF(F153,C153*E153*F153,IF(G153,C153*E153*G153,IF(H153,C153*E153*H153,C153*E153))))))),2)</f>
        <v>1.62</v>
      </c>
      <c r="J153" s="955" t="s">
        <v>5</v>
      </c>
      <c r="K153" s="902"/>
      <c r="L153" s="923"/>
      <c r="M153" s="902"/>
      <c r="N153" s="900" t="s">
        <v>2209</v>
      </c>
    </row>
    <row r="154" spans="1:14" s="910" customFormat="1" ht="16.5" hidden="1" customHeight="1">
      <c r="A154" s="896"/>
      <c r="B154" s="956"/>
      <c r="C154" s="957"/>
      <c r="D154" s="958"/>
      <c r="E154" s="1268"/>
      <c r="F154" s="960"/>
      <c r="G154" s="960"/>
      <c r="H154" s="960"/>
      <c r="I154" s="916"/>
      <c r="J154" s="955"/>
      <c r="K154" s="902"/>
      <c r="L154" s="923"/>
      <c r="M154" s="902"/>
      <c r="N154" s="900" t="s">
        <v>2209</v>
      </c>
    </row>
    <row r="155" spans="1:14" ht="15.75" hidden="1">
      <c r="A155" s="896"/>
      <c r="B155" s="902"/>
      <c r="C155" s="917"/>
      <c r="D155" s="918"/>
      <c r="E155" s="919"/>
      <c r="F155" s="920"/>
      <c r="G155" s="921"/>
      <c r="H155" s="896"/>
      <c r="I155" s="916"/>
      <c r="J155" s="955" t="s">
        <v>5</v>
      </c>
      <c r="K155" s="922">
        <f>data!G104</f>
        <v>3725</v>
      </c>
      <c r="L155" s="923" t="s">
        <v>2209</v>
      </c>
      <c r="M155" s="924">
        <f>ROUND(I155*K155,0)</f>
        <v>0</v>
      </c>
      <c r="N155" s="900" t="s">
        <v>2209</v>
      </c>
    </row>
    <row r="156" spans="1:14" ht="57" hidden="1" customHeight="1">
      <c r="A156" s="896">
        <v>3</v>
      </c>
      <c r="B156" s="1609" t="s">
        <v>67</v>
      </c>
      <c r="C156" s="1609"/>
      <c r="D156" s="1609"/>
      <c r="E156" s="1609"/>
      <c r="F156" s="1609"/>
      <c r="G156" s="1609"/>
      <c r="H156" s="1609"/>
      <c r="I156" s="897"/>
      <c r="J156" s="898"/>
      <c r="K156" s="896"/>
      <c r="L156" s="923"/>
      <c r="M156" s="899"/>
      <c r="N156" s="900" t="s">
        <v>2297</v>
      </c>
    </row>
    <row r="157" spans="1:14" s="910" customFormat="1" ht="16.5" hidden="1" customHeight="1">
      <c r="A157" s="896"/>
      <c r="B157" s="1274" t="s">
        <v>3548</v>
      </c>
      <c r="C157" s="1275"/>
      <c r="D157" s="1276"/>
      <c r="E157" s="1177"/>
      <c r="F157" s="1277"/>
      <c r="G157" s="1277"/>
      <c r="H157" s="1277"/>
      <c r="I157" s="1278"/>
      <c r="J157" s="955"/>
      <c r="K157" s="902"/>
      <c r="L157" s="923"/>
      <c r="M157" s="902"/>
      <c r="N157" s="900" t="s">
        <v>2297</v>
      </c>
    </row>
    <row r="158" spans="1:14" s="910" customFormat="1" ht="16.5" hidden="1" customHeight="1">
      <c r="A158" s="896"/>
      <c r="B158" s="1274"/>
      <c r="C158" s="1275">
        <v>1</v>
      </c>
      <c r="D158" s="1276" t="s">
        <v>273</v>
      </c>
      <c r="E158" s="1177">
        <v>1</v>
      </c>
      <c r="F158" s="1277">
        <v>4.72</v>
      </c>
      <c r="G158" s="1277">
        <v>0.45</v>
      </c>
      <c r="H158" s="1277">
        <v>0.1</v>
      </c>
      <c r="I158" s="1278">
        <f>ROUND(IF(AND(F158:H158),C158*E158*F158*G158*H158,IF(AND(F158,G158),C158*E158*F158*G158,IF(AND(F158,H158),C158*E158*F158*H158,IF(AND(G158,H158),C158*E158*G158*H158,IF(F158,C158*E158*F158,IF(G158,C158*E158*G158,IF(H158,C158*E158*H158,C158*E158))))))),2)</f>
        <v>0.21</v>
      </c>
      <c r="J158" s="955" t="s">
        <v>5</v>
      </c>
      <c r="K158" s="902"/>
      <c r="L158" s="923"/>
      <c r="M158" s="902"/>
      <c r="N158" s="900" t="s">
        <v>2297</v>
      </c>
    </row>
    <row r="159" spans="1:14" s="910" customFormat="1" ht="16.5" hidden="1" customHeight="1">
      <c r="A159" s="896"/>
      <c r="B159" s="1274" t="s">
        <v>651</v>
      </c>
      <c r="C159" s="1275">
        <v>1</v>
      </c>
      <c r="D159" s="1276" t="s">
        <v>273</v>
      </c>
      <c r="E159" s="1177">
        <v>1</v>
      </c>
      <c r="F159" s="1277">
        <v>5.4</v>
      </c>
      <c r="G159" s="1277">
        <v>0.45</v>
      </c>
      <c r="H159" s="1277">
        <v>0.1</v>
      </c>
      <c r="I159" s="1278">
        <f>ROUND(IF(AND(F159:H159),C159*E159*F159*G159*H159,IF(AND(F159,G159),C159*E159*F159*G159,IF(AND(F159,H159),C159*E159*F159*H159,IF(AND(G159,H159),C159*E159*G159*H159,IF(F159,C159*E159*F159,IF(G159,C159*E159*G159,IF(H159,C159*E159*H159,C159*E159))))))),2)</f>
        <v>0.24</v>
      </c>
      <c r="J159" s="955" t="s">
        <v>5</v>
      </c>
      <c r="K159" s="902"/>
      <c r="L159" s="923"/>
      <c r="M159" s="902"/>
      <c r="N159" s="900" t="s">
        <v>2297</v>
      </c>
    </row>
    <row r="160" spans="1:14" s="910" customFormat="1" ht="16.5" hidden="1" customHeight="1">
      <c r="A160" s="896"/>
      <c r="B160" s="1274" t="s">
        <v>652</v>
      </c>
      <c r="C160" s="1275">
        <v>1</v>
      </c>
      <c r="D160" s="1276" t="s">
        <v>273</v>
      </c>
      <c r="E160" s="1177">
        <v>1</v>
      </c>
      <c r="F160" s="1277">
        <v>10.050000000000001</v>
      </c>
      <c r="G160" s="1277">
        <v>0.45</v>
      </c>
      <c r="H160" s="1277">
        <v>0.1</v>
      </c>
      <c r="I160" s="1278">
        <f>ROUND(IF(AND(F160:H160),C160*E160*F160*G160*H160,IF(AND(F160,G160),C160*E160*F160*G160,IF(AND(F160,H160),C160*E160*F160*H160,IF(AND(G160,H160),C160*E160*G160*H160,IF(F160,C160*E160*F160,IF(G160,C160*E160*G160,IF(H160,C160*E160*H160,C160*E160))))))),2)</f>
        <v>0.45</v>
      </c>
      <c r="J160" s="955" t="s">
        <v>5</v>
      </c>
      <c r="K160" s="902"/>
      <c r="L160" s="923"/>
      <c r="M160" s="902"/>
      <c r="N160" s="900" t="s">
        <v>2297</v>
      </c>
    </row>
    <row r="161" spans="1:14" s="910" customFormat="1" ht="16.5" hidden="1" customHeight="1">
      <c r="A161" s="896"/>
      <c r="B161" s="1274" t="s">
        <v>653</v>
      </c>
      <c r="C161" s="1275">
        <v>1</v>
      </c>
      <c r="D161" s="1276" t="s">
        <v>273</v>
      </c>
      <c r="E161" s="1177">
        <v>1</v>
      </c>
      <c r="F161" s="1277">
        <v>5.46</v>
      </c>
      <c r="G161" s="1277">
        <v>0.3</v>
      </c>
      <c r="H161" s="1277">
        <v>0.1</v>
      </c>
      <c r="I161" s="1278">
        <f>ROUND(IF(AND(F161:H161),C161*E161*F161*G161*H161,IF(AND(F161,G161),C161*E161*F161*G161,IF(AND(F161,H161),C161*E161*F161*H161,IF(AND(G161,H161),C161*E161*G161*H161,IF(F161,C161*E161*F161,IF(G161,C161*E161*G161,IF(H161,C161*E161*H161,C161*E161))))))),2)</f>
        <v>0.16</v>
      </c>
      <c r="J161" s="955" t="s">
        <v>5</v>
      </c>
      <c r="K161" s="902"/>
      <c r="L161" s="923"/>
      <c r="M161" s="902"/>
      <c r="N161" s="900" t="s">
        <v>2297</v>
      </c>
    </row>
    <row r="162" spans="1:14" s="910" customFormat="1" ht="16.5" hidden="1" customHeight="1">
      <c r="A162" s="896"/>
      <c r="B162" s="1274" t="s">
        <v>720</v>
      </c>
      <c r="C162" s="1275">
        <v>1</v>
      </c>
      <c r="D162" s="1276" t="s">
        <v>273</v>
      </c>
      <c r="E162" s="1177">
        <v>1</v>
      </c>
      <c r="F162" s="1277">
        <v>4.7</v>
      </c>
      <c r="G162" s="1277">
        <v>2.2999999999999998</v>
      </c>
      <c r="H162" s="1277">
        <v>0.15</v>
      </c>
      <c r="I162" s="1278">
        <f>ROUND(IF(AND(F162:H162),C162*E162*F162*G162*H162,IF(AND(F162,G162),C162*E162*F162*G162,IF(AND(F162,H162),C162*E162*F162*H162,IF(AND(G162,H162),C162*E162*G162*H162,IF(F162,C162*E162*F162,IF(G162,C162*E162*G162,IF(H162,C162*E162*H162,C162*E162))))))),2)</f>
        <v>1.62</v>
      </c>
      <c r="J162" s="955" t="s">
        <v>5</v>
      </c>
      <c r="K162" s="902"/>
      <c r="L162" s="923"/>
      <c r="M162" s="902"/>
      <c r="N162" s="900" t="s">
        <v>2297</v>
      </c>
    </row>
    <row r="163" spans="1:14" s="910" customFormat="1" ht="16.5" hidden="1" customHeight="1">
      <c r="A163" s="896"/>
      <c r="B163" s="956"/>
      <c r="C163" s="957"/>
      <c r="D163" s="958"/>
      <c r="E163" s="1268"/>
      <c r="F163" s="960"/>
      <c r="G163" s="960"/>
      <c r="H163" s="960"/>
      <c r="I163" s="916"/>
      <c r="J163" s="955"/>
      <c r="K163" s="902"/>
      <c r="L163" s="923"/>
      <c r="M163" s="902"/>
      <c r="N163" s="900" t="s">
        <v>2297</v>
      </c>
    </row>
    <row r="164" spans="1:14" ht="15.75" hidden="1">
      <c r="A164" s="896"/>
      <c r="B164" s="902"/>
      <c r="C164" s="917"/>
      <c r="D164" s="918"/>
      <c r="E164" s="919"/>
      <c r="F164" s="920"/>
      <c r="G164" s="921"/>
      <c r="H164" s="896"/>
      <c r="I164" s="916"/>
      <c r="J164" s="955" t="s">
        <v>5</v>
      </c>
      <c r="K164" s="922">
        <f>data!G1020</f>
        <v>3915.56</v>
      </c>
      <c r="L164" s="923" t="s">
        <v>2297</v>
      </c>
      <c r="M164" s="924">
        <f>ROUND(I164*K164,0)</f>
        <v>0</v>
      </c>
      <c r="N164" s="900" t="s">
        <v>2297</v>
      </c>
    </row>
    <row r="165" spans="1:14" ht="57" hidden="1" customHeight="1">
      <c r="A165" s="896">
        <v>3</v>
      </c>
      <c r="B165" s="1609" t="s">
        <v>67</v>
      </c>
      <c r="C165" s="1609"/>
      <c r="D165" s="1609"/>
      <c r="E165" s="1609"/>
      <c r="F165" s="1609"/>
      <c r="G165" s="1609"/>
      <c r="H165" s="1609"/>
      <c r="I165" s="897"/>
      <c r="J165" s="898"/>
      <c r="K165" s="896"/>
      <c r="L165" s="923"/>
      <c r="M165" s="899"/>
      <c r="N165" s="900" t="s">
        <v>2308</v>
      </c>
    </row>
    <row r="166" spans="1:14" s="910" customFormat="1" ht="16.5" hidden="1" customHeight="1">
      <c r="A166" s="896"/>
      <c r="B166" s="1274" t="s">
        <v>3548</v>
      </c>
      <c r="C166" s="1275"/>
      <c r="D166" s="1276"/>
      <c r="E166" s="1177"/>
      <c r="F166" s="1277"/>
      <c r="G166" s="1277"/>
      <c r="H166" s="1277"/>
      <c r="I166" s="1278"/>
      <c r="J166" s="955"/>
      <c r="K166" s="902"/>
      <c r="L166" s="923"/>
      <c r="M166" s="902"/>
      <c r="N166" s="900" t="s">
        <v>2308</v>
      </c>
    </row>
    <row r="167" spans="1:14" s="910" customFormat="1" ht="16.5" hidden="1" customHeight="1">
      <c r="A167" s="896"/>
      <c r="B167" s="1274"/>
      <c r="C167" s="1275">
        <v>1</v>
      </c>
      <c r="D167" s="1276" t="s">
        <v>273</v>
      </c>
      <c r="E167" s="1177">
        <v>1</v>
      </c>
      <c r="F167" s="1277">
        <v>4.72</v>
      </c>
      <c r="G167" s="1277">
        <v>0.45</v>
      </c>
      <c r="H167" s="1277">
        <v>0.1</v>
      </c>
      <c r="I167" s="1278">
        <f>ROUND(IF(AND(F167:H167),C167*E167*F167*G167*H167,IF(AND(F167,G167),C167*E167*F167*G167,IF(AND(F167,H167),C167*E167*F167*H167,IF(AND(G167,H167),C167*E167*G167*H167,IF(F167,C167*E167*F167,IF(G167,C167*E167*G167,IF(H167,C167*E167*H167,C167*E167))))))),2)</f>
        <v>0.21</v>
      </c>
      <c r="J167" s="955" t="s">
        <v>5</v>
      </c>
      <c r="K167" s="902"/>
      <c r="L167" s="923"/>
      <c r="M167" s="902"/>
      <c r="N167" s="900" t="s">
        <v>2308</v>
      </c>
    </row>
    <row r="168" spans="1:14" s="910" customFormat="1" ht="16.5" hidden="1" customHeight="1">
      <c r="A168" s="896"/>
      <c r="B168" s="1274" t="s">
        <v>651</v>
      </c>
      <c r="C168" s="1275">
        <v>1</v>
      </c>
      <c r="D168" s="1276" t="s">
        <v>273</v>
      </c>
      <c r="E168" s="1177">
        <v>1</v>
      </c>
      <c r="F168" s="1277">
        <v>5.4</v>
      </c>
      <c r="G168" s="1277">
        <v>0.45</v>
      </c>
      <c r="H168" s="1277">
        <v>0.1</v>
      </c>
      <c r="I168" s="1278">
        <f>ROUND(IF(AND(F168:H168),C168*E168*F168*G168*H168,IF(AND(F168,G168),C168*E168*F168*G168,IF(AND(F168,H168),C168*E168*F168*H168,IF(AND(G168,H168),C168*E168*G168*H168,IF(F168,C168*E168*F168,IF(G168,C168*E168*G168,IF(H168,C168*E168*H168,C168*E168))))))),2)</f>
        <v>0.24</v>
      </c>
      <c r="J168" s="955" t="s">
        <v>5</v>
      </c>
      <c r="K168" s="902"/>
      <c r="L168" s="923"/>
      <c r="M168" s="902"/>
      <c r="N168" s="900" t="s">
        <v>2308</v>
      </c>
    </row>
    <row r="169" spans="1:14" s="910" customFormat="1" ht="16.5" hidden="1" customHeight="1">
      <c r="A169" s="896"/>
      <c r="B169" s="1274" t="s">
        <v>652</v>
      </c>
      <c r="C169" s="1275">
        <v>1</v>
      </c>
      <c r="D169" s="1276" t="s">
        <v>273</v>
      </c>
      <c r="E169" s="1177">
        <v>1</v>
      </c>
      <c r="F169" s="1277">
        <v>10.050000000000001</v>
      </c>
      <c r="G169" s="1277">
        <v>0.45</v>
      </c>
      <c r="H169" s="1277">
        <v>0.1</v>
      </c>
      <c r="I169" s="1278">
        <f>ROUND(IF(AND(F169:H169),C169*E169*F169*G169*H169,IF(AND(F169,G169),C169*E169*F169*G169,IF(AND(F169,H169),C169*E169*F169*H169,IF(AND(G169,H169),C169*E169*G169*H169,IF(F169,C169*E169*F169,IF(G169,C169*E169*G169,IF(H169,C169*E169*H169,C169*E169))))))),2)</f>
        <v>0.45</v>
      </c>
      <c r="J169" s="955" t="s">
        <v>5</v>
      </c>
      <c r="K169" s="902"/>
      <c r="L169" s="923"/>
      <c r="M169" s="902"/>
      <c r="N169" s="900" t="s">
        <v>2308</v>
      </c>
    </row>
    <row r="170" spans="1:14" s="910" customFormat="1" ht="16.5" hidden="1" customHeight="1">
      <c r="A170" s="896"/>
      <c r="B170" s="1274" t="s">
        <v>653</v>
      </c>
      <c r="C170" s="1275">
        <v>1</v>
      </c>
      <c r="D170" s="1276" t="s">
        <v>273</v>
      </c>
      <c r="E170" s="1177">
        <v>1</v>
      </c>
      <c r="F170" s="1277">
        <v>5.46</v>
      </c>
      <c r="G170" s="1277">
        <v>0.3</v>
      </c>
      <c r="H170" s="1277">
        <v>0.1</v>
      </c>
      <c r="I170" s="1278">
        <f>ROUND(IF(AND(F170:H170),C170*E170*F170*G170*H170,IF(AND(F170,G170),C170*E170*F170*G170,IF(AND(F170,H170),C170*E170*F170*H170,IF(AND(G170,H170),C170*E170*G170*H170,IF(F170,C170*E170*F170,IF(G170,C170*E170*G170,IF(H170,C170*E170*H170,C170*E170))))))),2)</f>
        <v>0.16</v>
      </c>
      <c r="J170" s="955" t="s">
        <v>5</v>
      </c>
      <c r="K170" s="902"/>
      <c r="L170" s="923"/>
      <c r="M170" s="902"/>
      <c r="N170" s="900" t="s">
        <v>2308</v>
      </c>
    </row>
    <row r="171" spans="1:14" s="910" customFormat="1" ht="16.5" hidden="1" customHeight="1">
      <c r="A171" s="896"/>
      <c r="B171" s="1274" t="s">
        <v>720</v>
      </c>
      <c r="C171" s="1275">
        <v>1</v>
      </c>
      <c r="D171" s="1276" t="s">
        <v>273</v>
      </c>
      <c r="E171" s="1177">
        <v>1</v>
      </c>
      <c r="F171" s="1277">
        <v>4.7</v>
      </c>
      <c r="G171" s="1277">
        <v>2.2999999999999998</v>
      </c>
      <c r="H171" s="1277">
        <v>0.15</v>
      </c>
      <c r="I171" s="1278">
        <f>ROUND(IF(AND(F171:H171),C171*E171*F171*G171*H171,IF(AND(F171,G171),C171*E171*F171*G171,IF(AND(F171,H171),C171*E171*F171*H171,IF(AND(G171,H171),C171*E171*G171*H171,IF(F171,C171*E171*F171,IF(G171,C171*E171*G171,IF(H171,C171*E171*H171,C171*E171))))))),2)</f>
        <v>1.62</v>
      </c>
      <c r="J171" s="955" t="s">
        <v>5</v>
      </c>
      <c r="K171" s="902"/>
      <c r="L171" s="923"/>
      <c r="M171" s="902"/>
      <c r="N171" s="900" t="s">
        <v>2308</v>
      </c>
    </row>
    <row r="172" spans="1:14" s="910" customFormat="1" ht="16.5" hidden="1" customHeight="1">
      <c r="A172" s="896"/>
      <c r="B172" s="956"/>
      <c r="C172" s="957"/>
      <c r="D172" s="958"/>
      <c r="E172" s="1268"/>
      <c r="F172" s="960"/>
      <c r="G172" s="960"/>
      <c r="H172" s="960"/>
      <c r="I172" s="916"/>
      <c r="J172" s="955"/>
      <c r="K172" s="902"/>
      <c r="L172" s="923"/>
      <c r="M172" s="902"/>
      <c r="N172" s="900" t="s">
        <v>2308</v>
      </c>
    </row>
    <row r="173" spans="1:14" ht="15.75" hidden="1">
      <c r="A173" s="896"/>
      <c r="B173" s="902"/>
      <c r="C173" s="917"/>
      <c r="D173" s="918"/>
      <c r="E173" s="919"/>
      <c r="F173" s="920"/>
      <c r="G173" s="921"/>
      <c r="H173" s="896"/>
      <c r="I173" s="916"/>
      <c r="J173" s="955" t="s">
        <v>5</v>
      </c>
      <c r="K173" s="922">
        <f>data!G1937</f>
        <v>4180.2700000000004</v>
      </c>
      <c r="L173" s="923" t="s">
        <v>2308</v>
      </c>
      <c r="M173" s="924">
        <f>ROUND(I173*K173,0)</f>
        <v>0</v>
      </c>
      <c r="N173" s="900" t="s">
        <v>2308</v>
      </c>
    </row>
    <row r="174" spans="1:14" ht="57" hidden="1" customHeight="1">
      <c r="A174" s="896">
        <v>3</v>
      </c>
      <c r="B174" s="1609" t="s">
        <v>67</v>
      </c>
      <c r="C174" s="1609"/>
      <c r="D174" s="1609"/>
      <c r="E174" s="1609"/>
      <c r="F174" s="1609"/>
      <c r="G174" s="1609"/>
      <c r="H174" s="1609"/>
      <c r="I174" s="897"/>
      <c r="J174" s="898"/>
      <c r="K174" s="896"/>
      <c r="L174" s="923"/>
      <c r="M174" s="899"/>
      <c r="N174" s="900" t="s">
        <v>2309</v>
      </c>
    </row>
    <row r="175" spans="1:14" s="910" customFormat="1" ht="16.5" hidden="1" customHeight="1">
      <c r="A175" s="896"/>
      <c r="B175" s="1274" t="s">
        <v>3548</v>
      </c>
      <c r="C175" s="1275"/>
      <c r="D175" s="1276"/>
      <c r="E175" s="1177"/>
      <c r="F175" s="1277"/>
      <c r="G175" s="1277"/>
      <c r="H175" s="1277"/>
      <c r="I175" s="1278"/>
      <c r="J175" s="955"/>
      <c r="K175" s="902"/>
      <c r="L175" s="923"/>
      <c r="M175" s="902"/>
      <c r="N175" s="900" t="s">
        <v>2309</v>
      </c>
    </row>
    <row r="176" spans="1:14" s="910" customFormat="1" ht="16.5" hidden="1" customHeight="1">
      <c r="A176" s="896"/>
      <c r="B176" s="1274"/>
      <c r="C176" s="1275">
        <v>1</v>
      </c>
      <c r="D176" s="1276" t="s">
        <v>273</v>
      </c>
      <c r="E176" s="1177">
        <v>1</v>
      </c>
      <c r="F176" s="1277">
        <v>4.72</v>
      </c>
      <c r="G176" s="1277">
        <v>0.45</v>
      </c>
      <c r="H176" s="1277">
        <v>0.1</v>
      </c>
      <c r="I176" s="1278">
        <f>ROUND(IF(AND(F176:H176),C176*E176*F176*G176*H176,IF(AND(F176,G176),C176*E176*F176*G176,IF(AND(F176,H176),C176*E176*F176*H176,IF(AND(G176,H176),C176*E176*G176*H176,IF(F176,C176*E176*F176,IF(G176,C176*E176*G176,IF(H176,C176*E176*H176,C176*E176))))))),2)</f>
        <v>0.21</v>
      </c>
      <c r="J176" s="955" t="s">
        <v>5</v>
      </c>
      <c r="K176" s="902"/>
      <c r="L176" s="923"/>
      <c r="M176" s="902"/>
      <c r="N176" s="900" t="s">
        <v>2309</v>
      </c>
    </row>
    <row r="177" spans="1:14" s="910" customFormat="1" ht="16.5" hidden="1" customHeight="1">
      <c r="A177" s="896"/>
      <c r="B177" s="1274" t="s">
        <v>651</v>
      </c>
      <c r="C177" s="1275">
        <v>1</v>
      </c>
      <c r="D177" s="1276" t="s">
        <v>273</v>
      </c>
      <c r="E177" s="1177">
        <v>1</v>
      </c>
      <c r="F177" s="1277">
        <v>5.4</v>
      </c>
      <c r="G177" s="1277">
        <v>0.45</v>
      </c>
      <c r="H177" s="1277">
        <v>0.1</v>
      </c>
      <c r="I177" s="1278">
        <f>ROUND(IF(AND(F177:H177),C177*E177*F177*G177*H177,IF(AND(F177,G177),C177*E177*F177*G177,IF(AND(F177,H177),C177*E177*F177*H177,IF(AND(G177,H177),C177*E177*G177*H177,IF(F177,C177*E177*F177,IF(G177,C177*E177*G177,IF(H177,C177*E177*H177,C177*E177))))))),2)</f>
        <v>0.24</v>
      </c>
      <c r="J177" s="955" t="s">
        <v>5</v>
      </c>
      <c r="K177" s="902"/>
      <c r="L177" s="923"/>
      <c r="M177" s="902"/>
      <c r="N177" s="900" t="s">
        <v>2309</v>
      </c>
    </row>
    <row r="178" spans="1:14" s="910" customFormat="1" ht="16.5" hidden="1" customHeight="1">
      <c r="A178" s="896"/>
      <c r="B178" s="1274" t="s">
        <v>652</v>
      </c>
      <c r="C178" s="1275">
        <v>1</v>
      </c>
      <c r="D178" s="1276" t="s">
        <v>273</v>
      </c>
      <c r="E178" s="1177">
        <v>1</v>
      </c>
      <c r="F178" s="1277">
        <v>10.050000000000001</v>
      </c>
      <c r="G178" s="1277">
        <v>0.45</v>
      </c>
      <c r="H178" s="1277">
        <v>0.1</v>
      </c>
      <c r="I178" s="1278">
        <f>ROUND(IF(AND(F178:H178),C178*E178*F178*G178*H178,IF(AND(F178,G178),C178*E178*F178*G178,IF(AND(F178,H178),C178*E178*F178*H178,IF(AND(G178,H178),C178*E178*G178*H178,IF(F178,C178*E178*F178,IF(G178,C178*E178*G178,IF(H178,C178*E178*H178,C178*E178))))))),2)</f>
        <v>0.45</v>
      </c>
      <c r="J178" s="955" t="s">
        <v>5</v>
      </c>
      <c r="K178" s="902"/>
      <c r="L178" s="923"/>
      <c r="M178" s="902"/>
      <c r="N178" s="900" t="s">
        <v>2309</v>
      </c>
    </row>
    <row r="179" spans="1:14" s="910" customFormat="1" ht="16.5" hidden="1" customHeight="1">
      <c r="A179" s="896"/>
      <c r="B179" s="1274" t="s">
        <v>653</v>
      </c>
      <c r="C179" s="1275">
        <v>1</v>
      </c>
      <c r="D179" s="1276" t="s">
        <v>273</v>
      </c>
      <c r="E179" s="1177">
        <v>1</v>
      </c>
      <c r="F179" s="1277">
        <v>5.46</v>
      </c>
      <c r="G179" s="1277">
        <v>0.3</v>
      </c>
      <c r="H179" s="1277">
        <v>0.1</v>
      </c>
      <c r="I179" s="1278">
        <f>ROUND(IF(AND(F179:H179),C179*E179*F179*G179*H179,IF(AND(F179,G179),C179*E179*F179*G179,IF(AND(F179,H179),C179*E179*F179*H179,IF(AND(G179,H179),C179*E179*G179*H179,IF(F179,C179*E179*F179,IF(G179,C179*E179*G179,IF(H179,C179*E179*H179,C179*E179))))))),2)</f>
        <v>0.16</v>
      </c>
      <c r="J179" s="955" t="s">
        <v>5</v>
      </c>
      <c r="K179" s="902"/>
      <c r="L179" s="923"/>
      <c r="M179" s="902"/>
      <c r="N179" s="900" t="s">
        <v>2309</v>
      </c>
    </row>
    <row r="180" spans="1:14" s="910" customFormat="1" ht="16.5" hidden="1" customHeight="1">
      <c r="A180" s="896"/>
      <c r="B180" s="1274" t="s">
        <v>720</v>
      </c>
      <c r="C180" s="1275">
        <v>1</v>
      </c>
      <c r="D180" s="1276" t="s">
        <v>273</v>
      </c>
      <c r="E180" s="1177">
        <v>1</v>
      </c>
      <c r="F180" s="1277">
        <v>4.7</v>
      </c>
      <c r="G180" s="1277">
        <v>2.2999999999999998</v>
      </c>
      <c r="H180" s="1277">
        <v>0.15</v>
      </c>
      <c r="I180" s="1278">
        <f>ROUND(IF(AND(F180:H180),C180*E180*F180*G180*H180,IF(AND(F180,G180),C180*E180*F180*G180,IF(AND(F180,H180),C180*E180*F180*H180,IF(AND(G180,H180),C180*E180*G180*H180,IF(F180,C180*E180*F180,IF(G180,C180*E180*G180,IF(H180,C180*E180*H180,C180*E180))))))),2)</f>
        <v>1.62</v>
      </c>
      <c r="J180" s="955" t="s">
        <v>5</v>
      </c>
      <c r="K180" s="902"/>
      <c r="L180" s="923"/>
      <c r="M180" s="902"/>
      <c r="N180" s="900" t="s">
        <v>2309</v>
      </c>
    </row>
    <row r="181" spans="1:14" s="910" customFormat="1" ht="16.5" hidden="1" customHeight="1">
      <c r="A181" s="896"/>
      <c r="B181" s="956"/>
      <c r="C181" s="957"/>
      <c r="D181" s="958"/>
      <c r="E181" s="1268"/>
      <c r="F181" s="960"/>
      <c r="G181" s="960"/>
      <c r="H181" s="960"/>
      <c r="I181" s="916"/>
      <c r="J181" s="955"/>
      <c r="K181" s="902"/>
      <c r="L181" s="923"/>
      <c r="M181" s="902"/>
      <c r="N181" s="900" t="s">
        <v>2309</v>
      </c>
    </row>
    <row r="182" spans="1:14" ht="15.75" hidden="1">
      <c r="A182" s="896"/>
      <c r="B182" s="902"/>
      <c r="C182" s="917"/>
      <c r="D182" s="918"/>
      <c r="E182" s="919"/>
      <c r="F182" s="920"/>
      <c r="G182" s="921"/>
      <c r="H182" s="896"/>
      <c r="I182" s="916"/>
      <c r="J182" s="955" t="s">
        <v>5</v>
      </c>
      <c r="K182" s="922">
        <f>data!G2854</f>
        <v>4431.03</v>
      </c>
      <c r="L182" s="923" t="s">
        <v>2309</v>
      </c>
      <c r="M182" s="924">
        <f>ROUND(I182*K182,0)</f>
        <v>0</v>
      </c>
      <c r="N182" s="900" t="s">
        <v>2309</v>
      </c>
    </row>
    <row r="183" spans="1:14" s="1403" customFormat="1" ht="43.5" customHeight="1">
      <c r="A183" s="1397">
        <v>3</v>
      </c>
      <c r="B183" s="1610" t="s">
        <v>1187</v>
      </c>
      <c r="C183" s="1610"/>
      <c r="D183" s="1610"/>
      <c r="E183" s="1610"/>
      <c r="F183" s="1610"/>
      <c r="G183" s="1610"/>
      <c r="H183" s="1610"/>
      <c r="I183" s="1398"/>
      <c r="J183" s="1399"/>
      <c r="K183" s="1397"/>
      <c r="L183" s="1400"/>
      <c r="M183" s="1401"/>
      <c r="N183" s="1402" t="s">
        <v>2209</v>
      </c>
    </row>
    <row r="184" spans="1:14" s="1411" customFormat="1" ht="18.75" customHeight="1">
      <c r="A184" s="1397"/>
      <c r="B184" s="1404" t="s">
        <v>4003</v>
      </c>
      <c r="C184" s="1398"/>
      <c r="D184" s="1395" t="s">
        <v>4012</v>
      </c>
      <c r="E184" s="1413"/>
      <c r="F184" s="1414"/>
      <c r="G184" s="1414"/>
      <c r="H184" s="1414"/>
      <c r="I184" s="1463"/>
      <c r="J184" s="1464"/>
      <c r="K184" s="1410"/>
      <c r="L184" s="1400"/>
      <c r="M184" s="1410"/>
      <c r="N184" s="1402" t="s">
        <v>2209</v>
      </c>
    </row>
    <row r="185" spans="1:14" s="1411" customFormat="1" ht="16.5" customHeight="1">
      <c r="A185" s="1397"/>
      <c r="B185" s="1410" t="s">
        <v>3760</v>
      </c>
      <c r="C185" s="1398">
        <v>1</v>
      </c>
      <c r="D185" s="1412" t="s">
        <v>273</v>
      </c>
      <c r="E185" s="1413">
        <v>1</v>
      </c>
      <c r="F185" s="1414">
        <v>3.24</v>
      </c>
      <c r="G185" s="1414">
        <v>0.97</v>
      </c>
      <c r="H185" s="1414">
        <v>0.9</v>
      </c>
      <c r="I185" s="1415">
        <f t="shared" ref="I185:I187" si="18">ROUND(IF(AND(F185:H185),C185*E185*F185*G185*H185,IF(AND(F185,G185),C185*E185*F185*G185,IF(AND(F185,H185),C185*E185*F185*H185,IF(AND(G185,H185),C185*E185*G185*H185,IF(F185,C185*E185*F185,IF(G185,C185*E185*G185,IF(H185,C185*E185*H185,C185*E185))))))),2)</f>
        <v>2.83</v>
      </c>
      <c r="J185" s="1416" t="s">
        <v>5</v>
      </c>
      <c r="K185" s="1410"/>
      <c r="L185" s="1400"/>
      <c r="M185" s="1410"/>
      <c r="N185" s="1402" t="s">
        <v>2209</v>
      </c>
    </row>
    <row r="186" spans="1:14" s="1411" customFormat="1" ht="16.5" customHeight="1">
      <c r="A186" s="1397"/>
      <c r="B186" s="1410"/>
      <c r="C186" s="1398">
        <v>1</v>
      </c>
      <c r="D186" s="1412" t="s">
        <v>273</v>
      </c>
      <c r="E186" s="1413">
        <v>1</v>
      </c>
      <c r="F186" s="1414">
        <v>12.29</v>
      </c>
      <c r="G186" s="1414">
        <v>0.97</v>
      </c>
      <c r="H186" s="1414">
        <v>0.9</v>
      </c>
      <c r="I186" s="1415">
        <f t="shared" si="18"/>
        <v>10.73</v>
      </c>
      <c r="J186" s="1416" t="s">
        <v>5</v>
      </c>
      <c r="K186" s="1410"/>
      <c r="L186" s="1400"/>
      <c r="M186" s="1410"/>
      <c r="N186" s="1402" t="s">
        <v>2209</v>
      </c>
    </row>
    <row r="187" spans="1:14" s="1411" customFormat="1" ht="16.5" customHeight="1">
      <c r="A187" s="1397"/>
      <c r="B187" s="1410"/>
      <c r="C187" s="1398">
        <v>1</v>
      </c>
      <c r="D187" s="1412" t="s">
        <v>273</v>
      </c>
      <c r="E187" s="1413">
        <v>1</v>
      </c>
      <c r="F187" s="1414">
        <v>5</v>
      </c>
      <c r="G187" s="1414">
        <v>0.97</v>
      </c>
      <c r="H187" s="1414">
        <v>0.9</v>
      </c>
      <c r="I187" s="1415">
        <f t="shared" si="18"/>
        <v>4.37</v>
      </c>
      <c r="J187" s="1416" t="s">
        <v>5</v>
      </c>
      <c r="K187" s="1410"/>
      <c r="L187" s="1400"/>
      <c r="M187" s="1410"/>
      <c r="N187" s="1402" t="s">
        <v>2209</v>
      </c>
    </row>
    <row r="188" spans="1:14" s="1411" customFormat="1" ht="16.5" customHeight="1">
      <c r="A188" s="1397"/>
      <c r="B188" s="1410"/>
      <c r="C188" s="1398"/>
      <c r="D188" s="1412"/>
      <c r="E188" s="1413"/>
      <c r="F188" s="1414"/>
      <c r="G188" s="1414"/>
      <c r="H188" s="1414"/>
      <c r="I188" s="1415"/>
      <c r="J188" s="1416"/>
      <c r="K188" s="1410"/>
      <c r="L188" s="1400"/>
      <c r="M188" s="1410"/>
      <c r="N188" s="1402" t="s">
        <v>2209</v>
      </c>
    </row>
    <row r="189" spans="1:14" s="1403" customFormat="1" ht="15.75">
      <c r="A189" s="1397"/>
      <c r="B189" s="1410"/>
      <c r="C189" s="1431"/>
      <c r="D189" s="1432"/>
      <c r="E189" s="1413"/>
      <c r="F189" s="1414"/>
      <c r="G189" s="1433"/>
      <c r="H189" s="1397"/>
      <c r="I189" s="1430">
        <f>SUM(I185:I188)</f>
        <v>17.93</v>
      </c>
      <c r="J189" s="1423" t="s">
        <v>5</v>
      </c>
      <c r="K189" s="1434">
        <f>data!G66</f>
        <v>183</v>
      </c>
      <c r="L189" s="1400" t="s">
        <v>2209</v>
      </c>
      <c r="M189" s="1435">
        <f>ROUND(I189*K189,0)</f>
        <v>3281</v>
      </c>
      <c r="N189" s="1402" t="s">
        <v>2209</v>
      </c>
    </row>
    <row r="190" spans="1:14" ht="43.5" hidden="1" customHeight="1">
      <c r="A190" s="896">
        <v>7</v>
      </c>
      <c r="B190" s="1609" t="s">
        <v>1187</v>
      </c>
      <c r="C190" s="1609"/>
      <c r="D190" s="1609"/>
      <c r="E190" s="1609"/>
      <c r="F190" s="1609"/>
      <c r="G190" s="1609"/>
      <c r="H190" s="1609"/>
      <c r="I190" s="897"/>
      <c r="J190" s="898"/>
      <c r="K190" s="896"/>
      <c r="L190" s="923"/>
      <c r="M190" s="899"/>
      <c r="N190" s="900" t="s">
        <v>2297</v>
      </c>
    </row>
    <row r="191" spans="1:14" s="910" customFormat="1" ht="16.5" hidden="1" customHeight="1">
      <c r="A191" s="896"/>
      <c r="B191" s="902" t="s">
        <v>3654</v>
      </c>
      <c r="C191" s="897"/>
      <c r="D191" s="954" t="s">
        <v>3812</v>
      </c>
      <c r="E191" s="919"/>
      <c r="F191" s="920"/>
      <c r="G191" s="920"/>
      <c r="H191" s="920"/>
      <c r="I191" s="1264"/>
      <c r="J191" s="1265"/>
      <c r="K191" s="902"/>
      <c r="L191" s="896"/>
      <c r="M191" s="902"/>
      <c r="N191" s="900" t="s">
        <v>2297</v>
      </c>
    </row>
    <row r="192" spans="1:14" s="910" customFormat="1" ht="16.5" hidden="1" customHeight="1">
      <c r="A192" s="896"/>
      <c r="B192" s="902" t="s">
        <v>2957</v>
      </c>
      <c r="C192" s="897">
        <v>1</v>
      </c>
      <c r="D192" s="1263" t="s">
        <v>273</v>
      </c>
      <c r="E192" s="919">
        <v>1</v>
      </c>
      <c r="F192" s="920">
        <v>14.2</v>
      </c>
      <c r="G192" s="920">
        <v>0.95</v>
      </c>
      <c r="H192" s="920">
        <v>0.6</v>
      </c>
      <c r="I192" s="1266">
        <f t="shared" ref="I192:I193" si="19">ROUND(IF(AND(F192:H192),C192*E192*F192*G192*H192,IF(AND(F192,G192),C192*E192*F192*G192,IF(AND(F192,H192),C192*E192*F192*H192,IF(AND(G192,H192),C192*E192*G192*H192,IF(F192,C192*E192*F192,IF(G192,C192*E192*G192,IF(H192,C192*E192*H192,C192*E192))))))),2)</f>
        <v>8.09</v>
      </c>
      <c r="J192" s="1267" t="s">
        <v>5</v>
      </c>
      <c r="K192" s="902"/>
      <c r="L192" s="896"/>
      <c r="M192" s="902"/>
      <c r="N192" s="900" t="s">
        <v>2297</v>
      </c>
    </row>
    <row r="193" spans="1:14" s="910" customFormat="1" ht="16.5" hidden="1" customHeight="1">
      <c r="A193" s="896"/>
      <c r="B193" s="902" t="s">
        <v>2958</v>
      </c>
      <c r="C193" s="897">
        <v>1</v>
      </c>
      <c r="D193" s="1263" t="s">
        <v>273</v>
      </c>
      <c r="E193" s="919">
        <v>1</v>
      </c>
      <c r="F193" s="920">
        <v>5.5</v>
      </c>
      <c r="G193" s="920">
        <v>0.95</v>
      </c>
      <c r="H193" s="920">
        <v>0.3</v>
      </c>
      <c r="I193" s="1266">
        <f t="shared" si="19"/>
        <v>1.57</v>
      </c>
      <c r="J193" s="1267" t="s">
        <v>5</v>
      </c>
      <c r="K193" s="902"/>
      <c r="L193" s="896"/>
      <c r="M193" s="902"/>
      <c r="N193" s="900" t="s">
        <v>2297</v>
      </c>
    </row>
    <row r="194" spans="1:14" s="910" customFormat="1" ht="16.5" hidden="1" customHeight="1">
      <c r="A194" s="896"/>
      <c r="B194" s="956"/>
      <c r="C194" s="957"/>
      <c r="D194" s="958"/>
      <c r="E194" s="1268"/>
      <c r="F194" s="960"/>
      <c r="G194" s="960"/>
      <c r="H194" s="960"/>
      <c r="I194" s="916"/>
      <c r="J194" s="955"/>
      <c r="K194" s="902"/>
      <c r="L194" s="923"/>
      <c r="M194" s="902"/>
      <c r="N194" s="900" t="s">
        <v>2297</v>
      </c>
    </row>
    <row r="195" spans="1:14" ht="15.75" hidden="1">
      <c r="A195" s="896"/>
      <c r="B195" s="902"/>
      <c r="C195" s="917"/>
      <c r="D195" s="918"/>
      <c r="E195" s="919"/>
      <c r="F195" s="920"/>
      <c r="G195" s="921"/>
      <c r="H195" s="896"/>
      <c r="I195" s="916"/>
      <c r="J195" s="955" t="s">
        <v>5</v>
      </c>
      <c r="K195" s="922">
        <f>data!G982</f>
        <v>205.87</v>
      </c>
      <c r="L195" s="923" t="s">
        <v>2297</v>
      </c>
      <c r="M195" s="924">
        <f>ROUND(I195*K195,0)</f>
        <v>0</v>
      </c>
      <c r="N195" s="900" t="s">
        <v>2297</v>
      </c>
    </row>
    <row r="196" spans="1:14" ht="43.5" hidden="1" customHeight="1">
      <c r="A196" s="896">
        <v>3</v>
      </c>
      <c r="B196" s="1609" t="s">
        <v>1187</v>
      </c>
      <c r="C196" s="1609"/>
      <c r="D196" s="1609"/>
      <c r="E196" s="1609"/>
      <c r="F196" s="1609"/>
      <c r="G196" s="1609"/>
      <c r="H196" s="1609"/>
      <c r="I196" s="897"/>
      <c r="J196" s="898"/>
      <c r="K196" s="896"/>
      <c r="L196" s="923"/>
      <c r="M196" s="899"/>
      <c r="N196" s="900" t="s">
        <v>2308</v>
      </c>
    </row>
    <row r="197" spans="1:14" s="910" customFormat="1" ht="18.75" hidden="1" customHeight="1">
      <c r="A197" s="896"/>
      <c r="B197" s="928" t="s">
        <v>3550</v>
      </c>
      <c r="C197" s="1269"/>
      <c r="D197" s="1279"/>
      <c r="E197" s="1270"/>
      <c r="F197" s="1271"/>
      <c r="G197" s="1271"/>
      <c r="H197" s="1271"/>
      <c r="I197" s="1272"/>
      <c r="J197" s="1267"/>
      <c r="K197" s="902"/>
      <c r="L197" s="896"/>
      <c r="M197" s="902"/>
      <c r="N197" s="900" t="s">
        <v>2308</v>
      </c>
    </row>
    <row r="198" spans="1:14" s="910" customFormat="1" ht="16.5" hidden="1" customHeight="1">
      <c r="A198" s="896"/>
      <c r="B198" s="902" t="s">
        <v>1604</v>
      </c>
      <c r="C198" s="897">
        <v>1</v>
      </c>
      <c r="D198" s="1263" t="s">
        <v>273</v>
      </c>
      <c r="E198" s="919">
        <v>1</v>
      </c>
      <c r="F198" s="920">
        <v>1.65</v>
      </c>
      <c r="G198" s="920">
        <v>1.65</v>
      </c>
      <c r="H198" s="920">
        <v>2.25</v>
      </c>
      <c r="I198" s="1266">
        <f>ROUND(IF(AND(F198:H198),C198*E198*F198*G198*H198,IF(AND(F198,G198),C198*E198*F198*G198,IF(AND(F198,H198),C198*E198*F198*H198,IF(AND(G198,H198),C198*E198*G198*H198,IF(F198,C198*E198*F198,IF(G198,C198*E198*G198,IF(H198,C198*E198*H198,C198*E198))))))),2)</f>
        <v>6.13</v>
      </c>
      <c r="J198" s="1267" t="s">
        <v>5</v>
      </c>
      <c r="K198" s="902"/>
      <c r="L198" s="896"/>
      <c r="M198" s="902"/>
      <c r="N198" s="900" t="s">
        <v>2308</v>
      </c>
    </row>
    <row r="199" spans="1:14" s="910" customFormat="1" ht="16.5" hidden="1" customHeight="1">
      <c r="A199" s="896"/>
      <c r="B199" s="902" t="s">
        <v>1603</v>
      </c>
      <c r="C199" s="897">
        <v>1</v>
      </c>
      <c r="D199" s="1263" t="s">
        <v>273</v>
      </c>
      <c r="E199" s="919">
        <v>1</v>
      </c>
      <c r="F199" s="920">
        <v>2.17</v>
      </c>
      <c r="G199" s="920">
        <v>5</v>
      </c>
      <c r="H199" s="920">
        <v>0.18</v>
      </c>
      <c r="I199" s="1266">
        <f>ROUND(IF(AND(F199:H199),C199*E199*F199*G199*H199,IF(AND(F199,G199),C199*E199*F199*G199,IF(AND(F199,H199),C199*E199*F199*H199,IF(AND(G199,H199),C199*E199*G199*H199,IF(F199,C199*E199*F199,IF(G199,C199*E199*G199,IF(H199,C199*E199*H199,C199*E199))))))),2)</f>
        <v>1.95</v>
      </c>
      <c r="J199" s="1267" t="s">
        <v>5</v>
      </c>
      <c r="K199" s="902"/>
      <c r="L199" s="896"/>
      <c r="M199" s="902"/>
      <c r="N199" s="900" t="s">
        <v>2308</v>
      </c>
    </row>
    <row r="200" spans="1:14" s="910" customFormat="1" ht="16.5" hidden="1" customHeight="1">
      <c r="A200" s="896"/>
      <c r="B200" s="956"/>
      <c r="C200" s="957"/>
      <c r="D200" s="958"/>
      <c r="E200" s="1268"/>
      <c r="F200" s="960"/>
      <c r="G200" s="960"/>
      <c r="H200" s="960"/>
      <c r="I200" s="916"/>
      <c r="J200" s="955"/>
      <c r="K200" s="902"/>
      <c r="L200" s="923"/>
      <c r="M200" s="902"/>
      <c r="N200" s="900" t="s">
        <v>2308</v>
      </c>
    </row>
    <row r="201" spans="1:14" ht="15.75" hidden="1">
      <c r="A201" s="896"/>
      <c r="B201" s="902"/>
      <c r="C201" s="917"/>
      <c r="D201" s="918"/>
      <c r="E201" s="919"/>
      <c r="F201" s="920"/>
      <c r="G201" s="921"/>
      <c r="H201" s="896"/>
      <c r="I201" s="916"/>
      <c r="J201" s="955" t="s">
        <v>5</v>
      </c>
      <c r="K201" s="922">
        <f>data!G1899</f>
        <v>199.97</v>
      </c>
      <c r="L201" s="923" t="s">
        <v>2308</v>
      </c>
      <c r="M201" s="924">
        <f>ROUND(I201*K201,0)</f>
        <v>0</v>
      </c>
      <c r="N201" s="900" t="s">
        <v>2308</v>
      </c>
    </row>
    <row r="202" spans="1:14" ht="43.5" hidden="1" customHeight="1">
      <c r="A202" s="896">
        <v>3</v>
      </c>
      <c r="B202" s="1609" t="s">
        <v>1187</v>
      </c>
      <c r="C202" s="1609"/>
      <c r="D202" s="1609"/>
      <c r="E202" s="1609"/>
      <c r="F202" s="1609"/>
      <c r="G202" s="1609"/>
      <c r="H202" s="1609"/>
      <c r="I202" s="897"/>
      <c r="J202" s="898"/>
      <c r="K202" s="896"/>
      <c r="L202" s="923"/>
      <c r="M202" s="899"/>
      <c r="N202" s="900" t="s">
        <v>2309</v>
      </c>
    </row>
    <row r="203" spans="1:14" s="910" customFormat="1" ht="18.75" hidden="1" customHeight="1">
      <c r="A203" s="896"/>
      <c r="B203" s="902" t="s">
        <v>3511</v>
      </c>
      <c r="C203" s="897"/>
      <c r="D203" s="1263"/>
      <c r="E203" s="919"/>
      <c r="F203" s="920"/>
      <c r="G203" s="920"/>
      <c r="H203" s="920"/>
      <c r="I203" s="1264"/>
      <c r="J203" s="955"/>
      <c r="K203" s="902"/>
      <c r="L203" s="896"/>
      <c r="M203" s="902"/>
      <c r="N203" s="900" t="s">
        <v>2309</v>
      </c>
    </row>
    <row r="204" spans="1:14" s="910" customFormat="1" ht="16.5" hidden="1" customHeight="1">
      <c r="A204" s="896"/>
      <c r="B204" s="902"/>
      <c r="C204" s="897">
        <v>1</v>
      </c>
      <c r="D204" s="1263" t="s">
        <v>273</v>
      </c>
      <c r="E204" s="919">
        <v>1</v>
      </c>
      <c r="F204" s="920">
        <v>4.9000000000000004</v>
      </c>
      <c r="G204" s="920">
        <v>2.2999999999999998</v>
      </c>
      <c r="H204" s="920">
        <v>0.4</v>
      </c>
      <c r="I204" s="1266">
        <f t="shared" ref="I204:I205" si="20">ROUND(IF(AND(F204:H204),C204*E204*F204*G204*H204,IF(AND(F204,G204),C204*E204*F204*G204,IF(AND(F204,H204),C204*E204*F204*H204,IF(AND(G204,H204),C204*E204*G204*H204,IF(F204,C204*E204*F204,IF(G204,C204*E204*G204,IF(H204,C204*E204*H204,C204*E204))))))),2)</f>
        <v>4.51</v>
      </c>
      <c r="J204" s="955" t="s">
        <v>5</v>
      </c>
      <c r="K204" s="902"/>
      <c r="L204" s="896"/>
      <c r="M204" s="902"/>
      <c r="N204" s="900" t="s">
        <v>2309</v>
      </c>
    </row>
    <row r="205" spans="1:14" s="910" customFormat="1" ht="16.5" hidden="1" customHeight="1">
      <c r="A205" s="896"/>
      <c r="B205" s="902"/>
      <c r="C205" s="897">
        <v>1</v>
      </c>
      <c r="D205" s="1263" t="s">
        <v>273</v>
      </c>
      <c r="E205" s="919">
        <v>1</v>
      </c>
      <c r="F205" s="920">
        <v>3</v>
      </c>
      <c r="G205" s="920">
        <v>2.2999999999999998</v>
      </c>
      <c r="H205" s="920">
        <v>0.25</v>
      </c>
      <c r="I205" s="1266">
        <f t="shared" si="20"/>
        <v>1.73</v>
      </c>
      <c r="J205" s="955" t="s">
        <v>5</v>
      </c>
      <c r="K205" s="902"/>
      <c r="L205" s="896"/>
      <c r="M205" s="902"/>
      <c r="N205" s="900" t="s">
        <v>2309</v>
      </c>
    </row>
    <row r="206" spans="1:14" s="910" customFormat="1" ht="16.5" hidden="1" customHeight="1">
      <c r="A206" s="896"/>
      <c r="B206" s="956"/>
      <c r="C206" s="957"/>
      <c r="D206" s="958"/>
      <c r="E206" s="1268"/>
      <c r="F206" s="960"/>
      <c r="G206" s="960"/>
      <c r="H206" s="960"/>
      <c r="I206" s="916"/>
      <c r="J206" s="955"/>
      <c r="K206" s="902"/>
      <c r="L206" s="923"/>
      <c r="M206" s="902"/>
      <c r="N206" s="900" t="s">
        <v>2309</v>
      </c>
    </row>
    <row r="207" spans="1:14" ht="15.75" hidden="1">
      <c r="A207" s="896"/>
      <c r="B207" s="902"/>
      <c r="C207" s="917"/>
      <c r="D207" s="918"/>
      <c r="E207" s="919"/>
      <c r="F207" s="920"/>
      <c r="G207" s="921"/>
      <c r="H207" s="896"/>
      <c r="I207" s="916"/>
      <c r="J207" s="955" t="s">
        <v>5</v>
      </c>
      <c r="K207" s="922">
        <f>data!G2816</f>
        <v>216.13</v>
      </c>
      <c r="L207" s="923" t="s">
        <v>2309</v>
      </c>
      <c r="M207" s="924">
        <f>ROUND(I207*K207,0)</f>
        <v>0</v>
      </c>
      <c r="N207" s="900" t="s">
        <v>2309</v>
      </c>
    </row>
    <row r="208" spans="1:14" ht="43.5" hidden="1" customHeight="1">
      <c r="A208" s="896">
        <v>4</v>
      </c>
      <c r="B208" s="1609" t="s">
        <v>656</v>
      </c>
      <c r="C208" s="1609"/>
      <c r="D208" s="1609"/>
      <c r="E208" s="1609"/>
      <c r="F208" s="1609"/>
      <c r="G208" s="1609"/>
      <c r="H208" s="1609"/>
      <c r="I208" s="897"/>
      <c r="J208" s="898"/>
      <c r="K208" s="896"/>
      <c r="L208" s="923"/>
      <c r="M208" s="899"/>
      <c r="N208" s="900" t="s">
        <v>2209</v>
      </c>
    </row>
    <row r="209" spans="1:14" s="910" customFormat="1" ht="16.5" hidden="1" customHeight="1">
      <c r="A209" s="896"/>
      <c r="B209" s="1274" t="s">
        <v>3549</v>
      </c>
      <c r="C209" s="903"/>
      <c r="D209" s="904"/>
      <c r="E209" s="905"/>
      <c r="F209" s="906"/>
      <c r="G209" s="906"/>
      <c r="H209" s="907"/>
      <c r="I209" s="908"/>
      <c r="J209" s="955"/>
      <c r="K209" s="902"/>
      <c r="L209" s="923"/>
      <c r="M209" s="902"/>
      <c r="N209" s="900" t="s">
        <v>2209</v>
      </c>
    </row>
    <row r="210" spans="1:14" s="910" customFormat="1" ht="16.5" hidden="1" customHeight="1">
      <c r="A210" s="896"/>
      <c r="B210" s="956" t="s">
        <v>657</v>
      </c>
      <c r="C210" s="957">
        <v>1</v>
      </c>
      <c r="D210" s="958" t="s">
        <v>273</v>
      </c>
      <c r="E210" s="1268">
        <v>1</v>
      </c>
      <c r="F210" s="960">
        <v>2.72</v>
      </c>
      <c r="G210" s="960">
        <v>0.77</v>
      </c>
      <c r="H210" s="960">
        <v>1.25</v>
      </c>
      <c r="I210" s="916">
        <f>ROUND(IF(AND(F210:H210),C210*E210*F210*G210*H210,IF(AND(F210,G210),C210*E210*F210*G210,IF(AND(F210,H210),C210*E210*F210*H210,IF(AND(G210,H210),C210*E210*G210*H210,IF(F210,C210*E210*F210,IF(G210,C210*E210*G210,IF(H210,C210*E210*H210,C210*E210))))))),2)</f>
        <v>2.62</v>
      </c>
      <c r="J210" s="955" t="s">
        <v>5</v>
      </c>
      <c r="K210" s="902"/>
      <c r="L210" s="923"/>
      <c r="M210" s="902"/>
      <c r="N210" s="900" t="s">
        <v>2209</v>
      </c>
    </row>
    <row r="211" spans="1:14" s="910" customFormat="1" ht="16.5" hidden="1" customHeight="1">
      <c r="A211" s="896"/>
      <c r="B211" s="956" t="s">
        <v>655</v>
      </c>
      <c r="C211" s="957">
        <v>1</v>
      </c>
      <c r="D211" s="958" t="s">
        <v>273</v>
      </c>
      <c r="E211" s="1268">
        <v>1</v>
      </c>
      <c r="F211" s="960">
        <v>3.16</v>
      </c>
      <c r="G211" s="960">
        <v>1.27</v>
      </c>
      <c r="H211" s="960">
        <f>(0.1+0.77)/2</f>
        <v>0.435</v>
      </c>
      <c r="I211" s="916">
        <f>ROUND(IF(AND(F211:H211),C211*E211*F211*G211*H211,IF(AND(F211,G211),C211*E211*F211*G211,IF(AND(F211,H211),C211*E211*F211*H211,IF(AND(G211,H211),C211*E211*G211*H211,IF(F211,C211*E211*F211,IF(G211,C211*E211*G211,IF(H211,C211*E211*H211,C211*E211))))))),2)</f>
        <v>1.75</v>
      </c>
      <c r="J211" s="955" t="s">
        <v>5</v>
      </c>
      <c r="K211" s="902"/>
      <c r="L211" s="923"/>
      <c r="M211" s="902"/>
      <c r="N211" s="900" t="s">
        <v>2209</v>
      </c>
    </row>
    <row r="212" spans="1:14" s="910" customFormat="1" ht="16.5" hidden="1" customHeight="1">
      <c r="A212" s="896"/>
      <c r="B212" s="956"/>
      <c r="C212" s="957"/>
      <c r="D212" s="958"/>
      <c r="E212" s="1268"/>
      <c r="F212" s="960"/>
      <c r="G212" s="960"/>
      <c r="H212" s="960"/>
      <c r="I212" s="916"/>
      <c r="J212" s="955"/>
      <c r="K212" s="902"/>
      <c r="L212" s="923"/>
      <c r="M212" s="902"/>
      <c r="N212" s="900" t="s">
        <v>2209</v>
      </c>
    </row>
    <row r="213" spans="1:14" ht="15.75" hidden="1">
      <c r="A213" s="896"/>
      <c r="B213" s="902"/>
      <c r="C213" s="917"/>
      <c r="D213" s="918"/>
      <c r="E213" s="919"/>
      <c r="F213" s="920"/>
      <c r="G213" s="921"/>
      <c r="H213" s="896"/>
      <c r="I213" s="916"/>
      <c r="J213" s="955" t="s">
        <v>5</v>
      </c>
      <c r="K213" s="922">
        <f>data!G74</f>
        <v>210</v>
      </c>
      <c r="L213" s="923" t="s">
        <v>2209</v>
      </c>
      <c r="M213" s="924">
        <f>ROUND(I213*K213,0)</f>
        <v>0</v>
      </c>
      <c r="N213" s="900" t="s">
        <v>2209</v>
      </c>
    </row>
    <row r="214" spans="1:14" ht="43.5" hidden="1" customHeight="1">
      <c r="A214" s="896">
        <v>4</v>
      </c>
      <c r="B214" s="1609" t="s">
        <v>656</v>
      </c>
      <c r="C214" s="1609"/>
      <c r="D214" s="1609"/>
      <c r="E214" s="1609"/>
      <c r="F214" s="1609"/>
      <c r="G214" s="1609"/>
      <c r="H214" s="1609"/>
      <c r="I214" s="897"/>
      <c r="J214" s="898"/>
      <c r="K214" s="896"/>
      <c r="L214" s="923"/>
      <c r="M214" s="899"/>
      <c r="N214" s="900" t="s">
        <v>2297</v>
      </c>
    </row>
    <row r="215" spans="1:14" s="910" customFormat="1" ht="16.5" hidden="1" customHeight="1">
      <c r="A215" s="896"/>
      <c r="B215" s="1274" t="s">
        <v>3549</v>
      </c>
      <c r="C215" s="903"/>
      <c r="D215" s="904"/>
      <c r="E215" s="905"/>
      <c r="F215" s="906"/>
      <c r="G215" s="906"/>
      <c r="H215" s="907"/>
      <c r="I215" s="908"/>
      <c r="J215" s="955"/>
      <c r="K215" s="902"/>
      <c r="L215" s="923"/>
      <c r="M215" s="902"/>
      <c r="N215" s="900" t="s">
        <v>2297</v>
      </c>
    </row>
    <row r="216" spans="1:14" s="910" customFormat="1" ht="16.5" hidden="1" customHeight="1">
      <c r="A216" s="896"/>
      <c r="B216" s="956" t="s">
        <v>657</v>
      </c>
      <c r="C216" s="957">
        <v>1</v>
      </c>
      <c r="D216" s="958" t="s">
        <v>273</v>
      </c>
      <c r="E216" s="1268">
        <v>1</v>
      </c>
      <c r="F216" s="960">
        <v>2.72</v>
      </c>
      <c r="G216" s="960">
        <v>0.77</v>
      </c>
      <c r="H216" s="960">
        <v>1.25</v>
      </c>
      <c r="I216" s="916">
        <f>ROUND(IF(AND(F216:H216),C216*E216*F216*G216*H216,IF(AND(F216,G216),C216*E216*F216*G216,IF(AND(F216,H216),C216*E216*F216*H216,IF(AND(G216,H216),C216*E216*G216*H216,IF(F216,C216*E216*F216,IF(G216,C216*E216*G216,IF(H216,C216*E216*H216,C216*E216))))))),2)</f>
        <v>2.62</v>
      </c>
      <c r="J216" s="955" t="s">
        <v>5</v>
      </c>
      <c r="K216" s="902"/>
      <c r="L216" s="923"/>
      <c r="M216" s="902"/>
      <c r="N216" s="900" t="s">
        <v>2297</v>
      </c>
    </row>
    <row r="217" spans="1:14" s="910" customFormat="1" ht="16.5" hidden="1" customHeight="1">
      <c r="A217" s="896"/>
      <c r="B217" s="956" t="s">
        <v>655</v>
      </c>
      <c r="C217" s="957">
        <v>1</v>
      </c>
      <c r="D217" s="958" t="s">
        <v>273</v>
      </c>
      <c r="E217" s="1268">
        <v>1</v>
      </c>
      <c r="F217" s="960">
        <v>3.16</v>
      </c>
      <c r="G217" s="960">
        <v>1.27</v>
      </c>
      <c r="H217" s="960">
        <f>(0.1+0.77)/2</f>
        <v>0.435</v>
      </c>
      <c r="I217" s="916">
        <f>ROUND(IF(AND(F217:H217),C217*E217*F217*G217*H217,IF(AND(F217,G217),C217*E217*F217*G217,IF(AND(F217,H217),C217*E217*F217*H217,IF(AND(G217,H217),C217*E217*G217*H217,IF(F217,C217*E217*F217,IF(G217,C217*E217*G217,IF(H217,C217*E217*H217,C217*E217))))))),2)</f>
        <v>1.75</v>
      </c>
      <c r="J217" s="955" t="s">
        <v>5</v>
      </c>
      <c r="K217" s="902"/>
      <c r="L217" s="923"/>
      <c r="M217" s="902"/>
      <c r="N217" s="900" t="s">
        <v>2297</v>
      </c>
    </row>
    <row r="218" spans="1:14" s="910" customFormat="1" ht="16.5" hidden="1" customHeight="1">
      <c r="A218" s="896"/>
      <c r="B218" s="956"/>
      <c r="C218" s="957"/>
      <c r="D218" s="958"/>
      <c r="E218" s="1268"/>
      <c r="F218" s="960"/>
      <c r="G218" s="960"/>
      <c r="H218" s="960"/>
      <c r="I218" s="916"/>
      <c r="J218" s="955"/>
      <c r="K218" s="902"/>
      <c r="L218" s="923"/>
      <c r="M218" s="902"/>
      <c r="N218" s="900" t="s">
        <v>2297</v>
      </c>
    </row>
    <row r="219" spans="1:14" ht="15.75" hidden="1">
      <c r="A219" s="896"/>
      <c r="B219" s="902"/>
      <c r="C219" s="917"/>
      <c r="D219" s="918"/>
      <c r="E219" s="919"/>
      <c r="F219" s="920"/>
      <c r="G219" s="921"/>
      <c r="H219" s="896"/>
      <c r="I219" s="916"/>
      <c r="J219" s="955" t="s">
        <v>5</v>
      </c>
      <c r="K219" s="922">
        <f>data!G990</f>
        <v>234.87</v>
      </c>
      <c r="L219" s="923" t="s">
        <v>2297</v>
      </c>
      <c r="M219" s="924">
        <f>ROUND(I219*K219,0)</f>
        <v>0</v>
      </c>
      <c r="N219" s="900" t="s">
        <v>2297</v>
      </c>
    </row>
    <row r="220" spans="1:14" ht="43.5" hidden="1" customHeight="1">
      <c r="A220" s="896">
        <v>4</v>
      </c>
      <c r="B220" s="1609" t="s">
        <v>656</v>
      </c>
      <c r="C220" s="1609"/>
      <c r="D220" s="1609"/>
      <c r="E220" s="1609"/>
      <c r="F220" s="1609"/>
      <c r="G220" s="1609"/>
      <c r="H220" s="1609"/>
      <c r="I220" s="897"/>
      <c r="J220" s="898"/>
      <c r="K220" s="896"/>
      <c r="L220" s="923"/>
      <c r="M220" s="899"/>
      <c r="N220" s="900" t="s">
        <v>2308</v>
      </c>
    </row>
    <row r="221" spans="1:14" s="910" customFormat="1" ht="16.5" hidden="1" customHeight="1">
      <c r="A221" s="896"/>
      <c r="B221" s="1274" t="s">
        <v>3549</v>
      </c>
      <c r="C221" s="903"/>
      <c r="D221" s="904"/>
      <c r="E221" s="905"/>
      <c r="F221" s="906"/>
      <c r="G221" s="906"/>
      <c r="H221" s="907"/>
      <c r="I221" s="908"/>
      <c r="J221" s="955"/>
      <c r="K221" s="902"/>
      <c r="L221" s="923"/>
      <c r="M221" s="902"/>
      <c r="N221" s="900" t="s">
        <v>2308</v>
      </c>
    </row>
    <row r="222" spans="1:14" s="910" customFormat="1" ht="16.5" hidden="1" customHeight="1">
      <c r="A222" s="896"/>
      <c r="B222" s="956" t="s">
        <v>657</v>
      </c>
      <c r="C222" s="957">
        <v>1</v>
      </c>
      <c r="D222" s="958" t="s">
        <v>273</v>
      </c>
      <c r="E222" s="1268">
        <v>1</v>
      </c>
      <c r="F222" s="960">
        <v>2.72</v>
      </c>
      <c r="G222" s="960">
        <v>0.77</v>
      </c>
      <c r="H222" s="960">
        <v>1.25</v>
      </c>
      <c r="I222" s="916">
        <f>ROUND(IF(AND(F222:H222),C222*E222*F222*G222*H222,IF(AND(F222,G222),C222*E222*F222*G222,IF(AND(F222,H222),C222*E222*F222*H222,IF(AND(G222,H222),C222*E222*G222*H222,IF(F222,C222*E222*F222,IF(G222,C222*E222*G222,IF(H222,C222*E222*H222,C222*E222))))))),2)</f>
        <v>2.62</v>
      </c>
      <c r="J222" s="955" t="s">
        <v>5</v>
      </c>
      <c r="K222" s="902"/>
      <c r="L222" s="923"/>
      <c r="M222" s="902"/>
      <c r="N222" s="900" t="s">
        <v>2308</v>
      </c>
    </row>
    <row r="223" spans="1:14" s="910" customFormat="1" ht="16.5" hidden="1" customHeight="1">
      <c r="A223" s="896"/>
      <c r="B223" s="956" t="s">
        <v>655</v>
      </c>
      <c r="C223" s="957">
        <v>1</v>
      </c>
      <c r="D223" s="958" t="s">
        <v>273</v>
      </c>
      <c r="E223" s="1268">
        <v>1</v>
      </c>
      <c r="F223" s="960">
        <v>3.16</v>
      </c>
      <c r="G223" s="960">
        <v>1.27</v>
      </c>
      <c r="H223" s="960">
        <f>(0.1+0.77)/2</f>
        <v>0.435</v>
      </c>
      <c r="I223" s="916">
        <f>ROUND(IF(AND(F223:H223),C223*E223*F223*G223*H223,IF(AND(F223,G223),C223*E223*F223*G223,IF(AND(F223,H223),C223*E223*F223*H223,IF(AND(G223,H223),C223*E223*G223*H223,IF(F223,C223*E223*F223,IF(G223,C223*E223*G223,IF(H223,C223*E223*H223,C223*E223))))))),2)</f>
        <v>1.75</v>
      </c>
      <c r="J223" s="955" t="s">
        <v>5</v>
      </c>
      <c r="K223" s="902"/>
      <c r="L223" s="923"/>
      <c r="M223" s="902"/>
      <c r="N223" s="900" t="s">
        <v>2308</v>
      </c>
    </row>
    <row r="224" spans="1:14" s="910" customFormat="1" ht="16.5" hidden="1" customHeight="1">
      <c r="A224" s="896"/>
      <c r="B224" s="956"/>
      <c r="C224" s="957"/>
      <c r="D224" s="958"/>
      <c r="E224" s="1268"/>
      <c r="F224" s="960"/>
      <c r="G224" s="960"/>
      <c r="H224" s="960"/>
      <c r="I224" s="916"/>
      <c r="J224" s="955"/>
      <c r="K224" s="902"/>
      <c r="L224" s="923"/>
      <c r="M224" s="902"/>
      <c r="N224" s="900" t="s">
        <v>2308</v>
      </c>
    </row>
    <row r="225" spans="1:14" ht="15.75" hidden="1">
      <c r="A225" s="896"/>
      <c r="B225" s="902"/>
      <c r="C225" s="917"/>
      <c r="D225" s="918"/>
      <c r="E225" s="919"/>
      <c r="F225" s="920"/>
      <c r="G225" s="921"/>
      <c r="H225" s="896"/>
      <c r="I225" s="916"/>
      <c r="J225" s="955" t="s">
        <v>5</v>
      </c>
      <c r="K225" s="922">
        <f>data!G1907</f>
        <v>253.22</v>
      </c>
      <c r="L225" s="923" t="s">
        <v>2308</v>
      </c>
      <c r="M225" s="924">
        <f>ROUND(I225*K225,0)</f>
        <v>0</v>
      </c>
      <c r="N225" s="900" t="s">
        <v>2308</v>
      </c>
    </row>
    <row r="226" spans="1:14" ht="43.5" hidden="1" customHeight="1">
      <c r="A226" s="896">
        <v>4</v>
      </c>
      <c r="B226" s="1609" t="s">
        <v>656</v>
      </c>
      <c r="C226" s="1609"/>
      <c r="D226" s="1609"/>
      <c r="E226" s="1609"/>
      <c r="F226" s="1609"/>
      <c r="G226" s="1609"/>
      <c r="H226" s="1609"/>
      <c r="I226" s="897"/>
      <c r="J226" s="898"/>
      <c r="K226" s="896"/>
      <c r="L226" s="923"/>
      <c r="M226" s="899"/>
      <c r="N226" s="900" t="s">
        <v>2309</v>
      </c>
    </row>
    <row r="227" spans="1:14" s="910" customFormat="1" ht="16.5" hidden="1" customHeight="1">
      <c r="A227" s="896"/>
      <c r="B227" s="1274" t="s">
        <v>3549</v>
      </c>
      <c r="C227" s="903"/>
      <c r="D227" s="904"/>
      <c r="E227" s="905"/>
      <c r="F227" s="906"/>
      <c r="G227" s="906"/>
      <c r="H227" s="907"/>
      <c r="I227" s="908"/>
      <c r="J227" s="955"/>
      <c r="K227" s="902"/>
      <c r="L227" s="923"/>
      <c r="M227" s="902"/>
      <c r="N227" s="900" t="s">
        <v>2309</v>
      </c>
    </row>
    <row r="228" spans="1:14" s="910" customFormat="1" ht="16.5" hidden="1" customHeight="1">
      <c r="A228" s="896"/>
      <c r="B228" s="956" t="s">
        <v>657</v>
      </c>
      <c r="C228" s="957">
        <v>1</v>
      </c>
      <c r="D228" s="958" t="s">
        <v>273</v>
      </c>
      <c r="E228" s="1268">
        <v>1</v>
      </c>
      <c r="F228" s="960">
        <v>2.72</v>
      </c>
      <c r="G228" s="960">
        <v>0.77</v>
      </c>
      <c r="H228" s="960">
        <v>1.25</v>
      </c>
      <c r="I228" s="916">
        <f>ROUND(IF(AND(F228:H228),C228*E228*F228*G228*H228,IF(AND(F228,G228),C228*E228*F228*G228,IF(AND(F228,H228),C228*E228*F228*H228,IF(AND(G228,H228),C228*E228*G228*H228,IF(F228,C228*E228*F228,IF(G228,C228*E228*G228,IF(H228,C228*E228*H228,C228*E228))))))),2)</f>
        <v>2.62</v>
      </c>
      <c r="J228" s="955" t="s">
        <v>5</v>
      </c>
      <c r="K228" s="902"/>
      <c r="L228" s="923"/>
      <c r="M228" s="902"/>
      <c r="N228" s="900" t="s">
        <v>2309</v>
      </c>
    </row>
    <row r="229" spans="1:14" s="910" customFormat="1" ht="16.5" hidden="1" customHeight="1">
      <c r="A229" s="896"/>
      <c r="B229" s="956" t="s">
        <v>655</v>
      </c>
      <c r="C229" s="957">
        <v>1</v>
      </c>
      <c r="D229" s="958" t="s">
        <v>273</v>
      </c>
      <c r="E229" s="1268">
        <v>1</v>
      </c>
      <c r="F229" s="960">
        <v>3.16</v>
      </c>
      <c r="G229" s="960">
        <v>1.27</v>
      </c>
      <c r="H229" s="960">
        <f>(0.1+0.77)/2</f>
        <v>0.435</v>
      </c>
      <c r="I229" s="916">
        <f>ROUND(IF(AND(F229:H229),C229*E229*F229*G229*H229,IF(AND(F229,G229),C229*E229*F229*G229,IF(AND(F229,H229),C229*E229*F229*H229,IF(AND(G229,H229),C229*E229*G229*H229,IF(F229,C229*E229*F229,IF(G229,C229*E229*G229,IF(H229,C229*E229*H229,C229*E229))))))),2)</f>
        <v>1.75</v>
      </c>
      <c r="J229" s="955" t="s">
        <v>5</v>
      </c>
      <c r="K229" s="902"/>
      <c r="L229" s="923"/>
      <c r="M229" s="902"/>
      <c r="N229" s="900" t="s">
        <v>2309</v>
      </c>
    </row>
    <row r="230" spans="1:14" s="910" customFormat="1" ht="16.5" hidden="1" customHeight="1">
      <c r="A230" s="896"/>
      <c r="B230" s="956"/>
      <c r="C230" s="957"/>
      <c r="D230" s="958"/>
      <c r="E230" s="1268"/>
      <c r="F230" s="960"/>
      <c r="G230" s="960"/>
      <c r="H230" s="960"/>
      <c r="I230" s="916"/>
      <c r="J230" s="955"/>
      <c r="K230" s="902"/>
      <c r="L230" s="923"/>
      <c r="M230" s="902"/>
      <c r="N230" s="900" t="s">
        <v>2309</v>
      </c>
    </row>
    <row r="231" spans="1:14" ht="15.75" hidden="1">
      <c r="A231" s="896"/>
      <c r="B231" s="902"/>
      <c r="C231" s="917"/>
      <c r="D231" s="918"/>
      <c r="E231" s="919"/>
      <c r="F231" s="920"/>
      <c r="G231" s="921"/>
      <c r="H231" s="896"/>
      <c r="I231" s="916"/>
      <c r="J231" s="955" t="s">
        <v>5</v>
      </c>
      <c r="K231" s="922">
        <f>data!G2824</f>
        <v>272.13</v>
      </c>
      <c r="L231" s="923" t="s">
        <v>2309</v>
      </c>
      <c r="M231" s="924">
        <f>ROUND(I231*K231,0)</f>
        <v>0</v>
      </c>
      <c r="N231" s="900" t="s">
        <v>2309</v>
      </c>
    </row>
    <row r="232" spans="1:14" s="1403" customFormat="1" ht="57" customHeight="1">
      <c r="A232" s="1397">
        <v>4</v>
      </c>
      <c r="B232" s="1610" t="s">
        <v>55</v>
      </c>
      <c r="C232" s="1610"/>
      <c r="D232" s="1610"/>
      <c r="E232" s="1610"/>
      <c r="F232" s="1610"/>
      <c r="G232" s="1610"/>
      <c r="H232" s="1610"/>
      <c r="I232" s="1398"/>
      <c r="J232" s="1399"/>
      <c r="K232" s="1397"/>
      <c r="L232" s="1400"/>
      <c r="M232" s="1401"/>
      <c r="N232" s="1402" t="s">
        <v>2209</v>
      </c>
    </row>
    <row r="233" spans="1:14" s="1411" customFormat="1" ht="15.75">
      <c r="A233" s="1397"/>
      <c r="B233" s="1404" t="s">
        <v>3879</v>
      </c>
      <c r="C233" s="1405"/>
      <c r="D233" s="1395" t="s">
        <v>4009</v>
      </c>
      <c r="E233" s="1406"/>
      <c r="F233" s="1407"/>
      <c r="G233" s="1407"/>
      <c r="H233" s="1407"/>
      <c r="I233" s="1408"/>
      <c r="J233" s="1409"/>
      <c r="K233" s="1410"/>
      <c r="L233" s="1400"/>
      <c r="M233" s="1410"/>
      <c r="N233" s="1402" t="s">
        <v>2209</v>
      </c>
    </row>
    <row r="234" spans="1:14" s="1411" customFormat="1" ht="15.75">
      <c r="A234" s="1397"/>
      <c r="B234" s="1410" t="s">
        <v>3831</v>
      </c>
      <c r="C234" s="1398">
        <v>1</v>
      </c>
      <c r="D234" s="1412" t="s">
        <v>273</v>
      </c>
      <c r="E234" s="1413">
        <v>1</v>
      </c>
      <c r="F234" s="1414">
        <v>12.96</v>
      </c>
      <c r="G234" s="1414">
        <v>5.81</v>
      </c>
      <c r="H234" s="1414">
        <v>0.9</v>
      </c>
      <c r="I234" s="1415">
        <f t="shared" ref="I234" si="21">ROUND(IF(AND(F234:H234),C234*E234*F234*G234*H234,IF(AND(F234,G234),C234*E234*F234*G234,IF(AND(F234,H234),C234*E234*F234*H234,IF(AND(G234,H234),C234*E234*G234*H234,IF(F234,C234*E234*F234,IF(G234,C234*E234*G234,IF(H234,C234*E234*H234,C234*E234))))))),2)</f>
        <v>67.77</v>
      </c>
      <c r="J234" s="1416" t="s">
        <v>5</v>
      </c>
      <c r="K234" s="1410"/>
      <c r="L234" s="1400"/>
      <c r="M234" s="1410"/>
      <c r="N234" s="1402" t="s">
        <v>2209</v>
      </c>
    </row>
    <row r="235" spans="1:14" s="1411" customFormat="1" ht="15.75">
      <c r="A235" s="1397"/>
      <c r="B235" s="1410" t="s">
        <v>281</v>
      </c>
      <c r="C235" s="1398">
        <v>1</v>
      </c>
      <c r="D235" s="1412" t="s">
        <v>273</v>
      </c>
      <c r="E235" s="1413">
        <v>3</v>
      </c>
      <c r="F235" s="1414">
        <v>0.23</v>
      </c>
      <c r="G235" s="1414">
        <v>0.38</v>
      </c>
      <c r="H235" s="1414">
        <v>0.9</v>
      </c>
      <c r="I235" s="1415">
        <f>-ROUND(IF(AND(F235:H235),C235*E235*F235*G235*H235,IF(AND(F235,G235),C235*E235*F235*G235,IF(AND(F235,H235),C235*E235*F235*H235,IF(AND(G235,H235),C235*E235*G235*H235,IF(F235,C235*E235*F235,IF(G235,C235*E235*G235,IF(H235,C235*E235*H235,C235*E235))))))),2)</f>
        <v>-0.24</v>
      </c>
      <c r="J235" s="1416" t="s">
        <v>5</v>
      </c>
      <c r="K235" s="1410"/>
      <c r="L235" s="1400"/>
      <c r="M235" s="1410"/>
      <c r="N235" s="1402" t="s">
        <v>2209</v>
      </c>
    </row>
    <row r="236" spans="1:14" s="1411" customFormat="1" ht="15.75">
      <c r="A236" s="1397"/>
      <c r="B236" s="1404" t="s">
        <v>3880</v>
      </c>
      <c r="C236" s="1405"/>
      <c r="D236" s="1395" t="s">
        <v>4013</v>
      </c>
      <c r="E236" s="1406"/>
      <c r="F236" s="1407"/>
      <c r="G236" s="1407"/>
      <c r="H236" s="1407"/>
      <c r="I236" s="1408"/>
      <c r="J236" s="1409"/>
      <c r="K236" s="1410"/>
      <c r="L236" s="1400"/>
      <c r="M236" s="1410"/>
      <c r="N236" s="1402" t="s">
        <v>2209</v>
      </c>
    </row>
    <row r="237" spans="1:14" s="1411" customFormat="1" ht="15.75">
      <c r="A237" s="1397"/>
      <c r="B237" s="1410" t="s">
        <v>2360</v>
      </c>
      <c r="C237" s="1398">
        <v>1</v>
      </c>
      <c r="D237" s="1412" t="s">
        <v>273</v>
      </c>
      <c r="E237" s="1413">
        <v>1</v>
      </c>
      <c r="F237" s="1414">
        <v>2.78</v>
      </c>
      <c r="G237" s="1414">
        <v>2.7</v>
      </c>
      <c r="H237" s="1414">
        <v>0.28000000000000003</v>
      </c>
      <c r="I237" s="1415">
        <f t="shared" ref="I237:I246" si="22">ROUND(IF(AND(F237:H237),C237*E237*F237*G237*H237,IF(AND(F237,G237),C237*E237*F237*G237,IF(AND(F237,H237),C237*E237*F237*H237,IF(AND(G237,H237),C237*E237*G237*H237,IF(F237,C237*E237*F237,IF(G237,C237*E237*G237,IF(H237,C237*E237*H237,C237*E237))))))),2)</f>
        <v>2.1</v>
      </c>
      <c r="J237" s="1416" t="s">
        <v>5</v>
      </c>
      <c r="K237" s="1410"/>
      <c r="L237" s="1400"/>
      <c r="M237" s="1410"/>
      <c r="N237" s="1402" t="s">
        <v>2209</v>
      </c>
    </row>
    <row r="238" spans="1:14" s="1411" customFormat="1" ht="15.75">
      <c r="A238" s="1397"/>
      <c r="B238" s="1410" t="s">
        <v>2521</v>
      </c>
      <c r="C238" s="1398">
        <v>1</v>
      </c>
      <c r="D238" s="1412" t="s">
        <v>273</v>
      </c>
      <c r="E238" s="1413">
        <v>1</v>
      </c>
      <c r="F238" s="1414">
        <v>2.08</v>
      </c>
      <c r="G238" s="1414">
        <v>2.7</v>
      </c>
      <c r="H238" s="1414">
        <v>0.28000000000000003</v>
      </c>
      <c r="I238" s="1415">
        <f>ROUND(IF(AND(F238:H238),C238*E238*F238*G238*H238,IF(AND(F238,G238),C238*E238*F238*G238,IF(AND(F238,H238),C238*E238*F238*H238,IF(AND(G238,H238),C238*E238*G238*H238,IF(F238,C238*E238*F238,IF(G238,C238*E238*G238,IF(H238,C238*E238*H238,C238*E238))))))),2)</f>
        <v>1.57</v>
      </c>
      <c r="J238" s="1416" t="s">
        <v>5</v>
      </c>
      <c r="K238" s="1410"/>
      <c r="L238" s="1400"/>
      <c r="M238" s="1410"/>
      <c r="N238" s="1402" t="s">
        <v>2209</v>
      </c>
    </row>
    <row r="239" spans="1:14" s="1411" customFormat="1" ht="15.75">
      <c r="A239" s="1397"/>
      <c r="B239" s="1410" t="s">
        <v>3075</v>
      </c>
      <c r="C239" s="1398">
        <v>1</v>
      </c>
      <c r="D239" s="1412" t="s">
        <v>273</v>
      </c>
      <c r="E239" s="1413">
        <v>1</v>
      </c>
      <c r="F239" s="1414">
        <v>1.36</v>
      </c>
      <c r="G239" s="1414">
        <v>1.7450000000000001</v>
      </c>
      <c r="H239" s="1414">
        <v>0.28000000000000003</v>
      </c>
      <c r="I239" s="1415">
        <f t="shared" si="22"/>
        <v>0.66</v>
      </c>
      <c r="J239" s="1416" t="s">
        <v>5</v>
      </c>
      <c r="K239" s="1410"/>
      <c r="L239" s="1400"/>
      <c r="M239" s="1410"/>
      <c r="N239" s="1402" t="s">
        <v>2209</v>
      </c>
    </row>
    <row r="240" spans="1:14" s="1411" customFormat="1" ht="15.75">
      <c r="A240" s="1397"/>
      <c r="B240" s="1410"/>
      <c r="C240" s="1398">
        <v>1</v>
      </c>
      <c r="D240" s="1412" t="s">
        <v>273</v>
      </c>
      <c r="E240" s="1413">
        <v>1</v>
      </c>
      <c r="F240" s="1414">
        <v>1.36</v>
      </c>
      <c r="G240" s="1414">
        <v>0.96</v>
      </c>
      <c r="H240" s="1414">
        <v>0.28000000000000003</v>
      </c>
      <c r="I240" s="1415">
        <f t="shared" si="22"/>
        <v>0.37</v>
      </c>
      <c r="J240" s="1416" t="s">
        <v>5</v>
      </c>
      <c r="K240" s="1410"/>
      <c r="L240" s="1400"/>
      <c r="M240" s="1410"/>
      <c r="N240" s="1402" t="s">
        <v>2209</v>
      </c>
    </row>
    <row r="241" spans="1:14" s="1411" customFormat="1" ht="15.75">
      <c r="A241" s="1397"/>
      <c r="B241" s="1410" t="s">
        <v>2358</v>
      </c>
      <c r="C241" s="1398">
        <v>1</v>
      </c>
      <c r="D241" s="1412" t="s">
        <v>273</v>
      </c>
      <c r="E241" s="1413">
        <v>1</v>
      </c>
      <c r="F241" s="1414">
        <v>2.75</v>
      </c>
      <c r="G241" s="1414">
        <v>2.7</v>
      </c>
      <c r="H241" s="1414">
        <v>0.28000000000000003</v>
      </c>
      <c r="I241" s="1415">
        <f t="shared" si="22"/>
        <v>2.08</v>
      </c>
      <c r="J241" s="1416" t="s">
        <v>5</v>
      </c>
      <c r="K241" s="1410"/>
      <c r="L241" s="1400"/>
      <c r="M241" s="1410"/>
      <c r="N241" s="1402" t="s">
        <v>2209</v>
      </c>
    </row>
    <row r="242" spans="1:14" s="1411" customFormat="1" ht="15.75">
      <c r="A242" s="1397"/>
      <c r="B242" s="1410" t="s">
        <v>3304</v>
      </c>
      <c r="C242" s="1398">
        <v>1</v>
      </c>
      <c r="D242" s="1412" t="s">
        <v>273</v>
      </c>
      <c r="E242" s="1413">
        <v>1</v>
      </c>
      <c r="F242" s="1414">
        <v>1.36</v>
      </c>
      <c r="G242" s="1414">
        <v>2.09</v>
      </c>
      <c r="H242" s="1414">
        <v>0.28000000000000003</v>
      </c>
      <c r="I242" s="1415">
        <f t="shared" si="22"/>
        <v>0.8</v>
      </c>
      <c r="J242" s="1416" t="s">
        <v>5</v>
      </c>
      <c r="K242" s="1410"/>
      <c r="L242" s="1400"/>
      <c r="M242" s="1410"/>
      <c r="N242" s="1402" t="s">
        <v>2209</v>
      </c>
    </row>
    <row r="243" spans="1:14" s="1411" customFormat="1" ht="15.75">
      <c r="A243" s="1397"/>
      <c r="B243" s="1410"/>
      <c r="C243" s="1398">
        <v>1</v>
      </c>
      <c r="D243" s="1412" t="s">
        <v>273</v>
      </c>
      <c r="E243" s="1413">
        <v>1</v>
      </c>
      <c r="F243" s="1414">
        <v>1.36</v>
      </c>
      <c r="G243" s="1414">
        <v>0.61</v>
      </c>
      <c r="H243" s="1414">
        <v>0.28000000000000003</v>
      </c>
      <c r="I243" s="1415">
        <f t="shared" si="22"/>
        <v>0.23</v>
      </c>
      <c r="J243" s="1416" t="s">
        <v>5</v>
      </c>
      <c r="K243" s="1410"/>
      <c r="L243" s="1400"/>
      <c r="M243" s="1410"/>
      <c r="N243" s="1402" t="s">
        <v>2209</v>
      </c>
    </row>
    <row r="244" spans="1:14" s="1411" customFormat="1" ht="15.75">
      <c r="A244" s="1397"/>
      <c r="B244" s="1410" t="s">
        <v>3308</v>
      </c>
      <c r="C244" s="1398">
        <v>1</v>
      </c>
      <c r="D244" s="1412" t="s">
        <v>273</v>
      </c>
      <c r="E244" s="1413">
        <v>1</v>
      </c>
      <c r="F244" s="1414">
        <v>1.83</v>
      </c>
      <c r="G244" s="1414">
        <v>2.7</v>
      </c>
      <c r="H244" s="1414">
        <v>0.28000000000000003</v>
      </c>
      <c r="I244" s="1415">
        <f t="shared" si="22"/>
        <v>1.38</v>
      </c>
      <c r="J244" s="1416" t="s">
        <v>5</v>
      </c>
      <c r="K244" s="1410"/>
      <c r="L244" s="1400"/>
      <c r="M244" s="1410"/>
      <c r="N244" s="1402" t="s">
        <v>2209</v>
      </c>
    </row>
    <row r="245" spans="1:14" s="1411" customFormat="1" ht="15.75">
      <c r="A245" s="1397"/>
      <c r="B245" s="1410" t="s">
        <v>3842</v>
      </c>
      <c r="C245" s="1398">
        <v>1</v>
      </c>
      <c r="D245" s="1412" t="s">
        <v>273</v>
      </c>
      <c r="E245" s="1413">
        <v>1</v>
      </c>
      <c r="F245" s="1414">
        <v>6.68</v>
      </c>
      <c r="G245" s="1414">
        <v>3</v>
      </c>
      <c r="H245" s="1414">
        <v>0.28000000000000003</v>
      </c>
      <c r="I245" s="1415">
        <f t="shared" si="22"/>
        <v>5.61</v>
      </c>
      <c r="J245" s="1416" t="s">
        <v>5</v>
      </c>
      <c r="K245" s="1410"/>
      <c r="L245" s="1400"/>
      <c r="M245" s="1410"/>
      <c r="N245" s="1402" t="s">
        <v>2209</v>
      </c>
    </row>
    <row r="246" spans="1:14" s="1411" customFormat="1" ht="15.75">
      <c r="A246" s="1397"/>
      <c r="B246" s="1410" t="s">
        <v>2355</v>
      </c>
      <c r="C246" s="1398">
        <v>1</v>
      </c>
      <c r="D246" s="1412" t="s">
        <v>273</v>
      </c>
      <c r="E246" s="1413">
        <v>1</v>
      </c>
      <c r="F246" s="1414">
        <v>6.17</v>
      </c>
      <c r="G246" s="1414">
        <v>3</v>
      </c>
      <c r="H246" s="1414">
        <v>0.28000000000000003</v>
      </c>
      <c r="I246" s="1415">
        <f t="shared" si="22"/>
        <v>5.18</v>
      </c>
      <c r="J246" s="1416" t="s">
        <v>5</v>
      </c>
      <c r="K246" s="1410"/>
      <c r="L246" s="1400"/>
      <c r="M246" s="1410"/>
      <c r="N246" s="1402" t="s">
        <v>2209</v>
      </c>
    </row>
    <row r="247" spans="1:14" s="1411" customFormat="1" ht="15.75">
      <c r="A247" s="1397"/>
      <c r="B247" s="1425"/>
      <c r="C247" s="1426"/>
      <c r="D247" s="1427"/>
      <c r="E247" s="1428"/>
      <c r="F247" s="1429"/>
      <c r="G247" s="1429"/>
      <c r="H247" s="1429"/>
      <c r="I247" s="1430"/>
      <c r="J247" s="1423"/>
      <c r="K247" s="1410"/>
      <c r="L247" s="1400"/>
      <c r="M247" s="1410"/>
      <c r="N247" s="1402" t="s">
        <v>2209</v>
      </c>
    </row>
    <row r="248" spans="1:14" s="1403" customFormat="1" ht="15.75">
      <c r="A248" s="1397"/>
      <c r="B248" s="1410"/>
      <c r="C248" s="1431"/>
      <c r="D248" s="1432"/>
      <c r="E248" s="1413"/>
      <c r="F248" s="1414"/>
      <c r="G248" s="1433"/>
      <c r="H248" s="1397"/>
      <c r="I248" s="1430">
        <f>SUM(I234:I247)</f>
        <v>87.509999999999991</v>
      </c>
      <c r="J248" s="1423" t="s">
        <v>5</v>
      </c>
      <c r="K248" s="1434">
        <f>data!G58</f>
        <v>1271.5</v>
      </c>
      <c r="L248" s="1400" t="s">
        <v>2209</v>
      </c>
      <c r="M248" s="1435">
        <f>ROUND(I248*K248,0)</f>
        <v>111269</v>
      </c>
      <c r="N248" s="1402" t="s">
        <v>2209</v>
      </c>
    </row>
    <row r="249" spans="1:14" ht="57" hidden="1" customHeight="1">
      <c r="A249" s="896">
        <v>4</v>
      </c>
      <c r="B249" s="1609" t="s">
        <v>55</v>
      </c>
      <c r="C249" s="1609"/>
      <c r="D249" s="1609"/>
      <c r="E249" s="1609"/>
      <c r="F249" s="1609"/>
      <c r="G249" s="1609"/>
      <c r="H249" s="1609"/>
      <c r="I249" s="897"/>
      <c r="J249" s="898"/>
      <c r="K249" s="896"/>
      <c r="L249" s="923"/>
      <c r="M249" s="899"/>
      <c r="N249" s="900" t="s">
        <v>2297</v>
      </c>
    </row>
    <row r="250" spans="1:14" s="910" customFormat="1" ht="16.5" hidden="1" customHeight="1">
      <c r="A250" s="896"/>
      <c r="B250" s="902" t="s">
        <v>3515</v>
      </c>
      <c r="C250" s="897"/>
      <c r="D250" s="1263" t="s">
        <v>3439</v>
      </c>
      <c r="E250" s="919"/>
      <c r="F250" s="920"/>
      <c r="G250" s="920"/>
      <c r="H250" s="920"/>
      <c r="I250" s="1264"/>
      <c r="J250" s="1265"/>
      <c r="K250" s="902"/>
      <c r="L250" s="896"/>
      <c r="M250" s="902"/>
      <c r="N250" s="900" t="s">
        <v>2297</v>
      </c>
    </row>
    <row r="251" spans="1:14" s="910" customFormat="1" ht="16.5" hidden="1" customHeight="1">
      <c r="A251" s="896"/>
      <c r="B251" s="902" t="s">
        <v>3440</v>
      </c>
      <c r="C251" s="897">
        <v>1</v>
      </c>
      <c r="D251" s="1263" t="s">
        <v>273</v>
      </c>
      <c r="E251" s="919">
        <v>1</v>
      </c>
      <c r="F251" s="920">
        <v>12.94</v>
      </c>
      <c r="G251" s="920">
        <v>5.7949999999999999</v>
      </c>
      <c r="H251" s="920">
        <v>1</v>
      </c>
      <c r="I251" s="1266">
        <f t="shared" ref="I251" si="23">ROUND(IF(AND(F251:H251),C251*E251*F251*G251*H251,IF(AND(F251,G251),C251*E251*F251*G251,IF(AND(F251,H251),C251*E251*F251*H251,IF(AND(G251,H251),C251*E251*G251*H251,IF(F251,C251*E251*F251,IF(G251,C251*E251*G251,IF(H251,C251*E251*H251,C251*E251))))))),2)</f>
        <v>74.989999999999995</v>
      </c>
      <c r="J251" s="1267" t="s">
        <v>5</v>
      </c>
      <c r="K251" s="902"/>
      <c r="L251" s="896"/>
      <c r="M251" s="902"/>
      <c r="N251" s="900" t="s">
        <v>2297</v>
      </c>
    </row>
    <row r="252" spans="1:14" s="910" customFormat="1" ht="16.5" hidden="1" customHeight="1">
      <c r="A252" s="896"/>
      <c r="B252" s="902" t="s">
        <v>281</v>
      </c>
      <c r="C252" s="897">
        <v>1</v>
      </c>
      <c r="D252" s="1263" t="s">
        <v>273</v>
      </c>
      <c r="E252" s="919">
        <v>3</v>
      </c>
      <c r="F252" s="920">
        <v>0.23</v>
      </c>
      <c r="G252" s="920">
        <v>0.38</v>
      </c>
      <c r="H252" s="920">
        <v>1</v>
      </c>
      <c r="I252" s="1266">
        <f t="shared" ref="I252:I257" si="24">-ROUND(IF(AND(F252:H252),C252*E252*F252*G252*H252,IF(AND(F252,G252),C252*E252*F252*G252,IF(AND(F252,H252),C252*E252*F252*H252,IF(AND(G252,H252),C252*E252*G252*H252,IF(F252,C252*E252*F252,IF(G252,C252*E252*G252,IF(H252,C252*E252*H252,C252*E252))))))),2)</f>
        <v>-0.26</v>
      </c>
      <c r="J252" s="1267" t="s">
        <v>5</v>
      </c>
      <c r="K252" s="902"/>
      <c r="L252" s="896"/>
      <c r="M252" s="902"/>
      <c r="N252" s="900" t="s">
        <v>2297</v>
      </c>
    </row>
    <row r="253" spans="1:14" s="910" customFormat="1" ht="16.5" hidden="1" customHeight="1">
      <c r="A253" s="896"/>
      <c r="B253" s="902" t="s">
        <v>3441</v>
      </c>
      <c r="C253" s="897">
        <v>1</v>
      </c>
      <c r="D253" s="1263" t="s">
        <v>273</v>
      </c>
      <c r="E253" s="919">
        <v>1</v>
      </c>
      <c r="F253" s="920">
        <v>13.08</v>
      </c>
      <c r="G253" s="920">
        <v>0.45</v>
      </c>
      <c r="H253" s="920">
        <v>0.1</v>
      </c>
      <c r="I253" s="1266">
        <f t="shared" si="24"/>
        <v>-0.59</v>
      </c>
      <c r="J253" s="1267" t="s">
        <v>5</v>
      </c>
      <c r="K253" s="902"/>
      <c r="L253" s="896"/>
      <c r="M253" s="902"/>
      <c r="N253" s="900" t="s">
        <v>2297</v>
      </c>
    </row>
    <row r="254" spans="1:14" s="910" customFormat="1" ht="16.5" hidden="1" customHeight="1">
      <c r="A254" s="896"/>
      <c r="B254" s="902"/>
      <c r="C254" s="897">
        <v>1</v>
      </c>
      <c r="D254" s="1263" t="s">
        <v>273</v>
      </c>
      <c r="E254" s="919">
        <v>4</v>
      </c>
      <c r="F254" s="920">
        <v>2.7050000000000001</v>
      </c>
      <c r="G254" s="920">
        <v>0.45</v>
      </c>
      <c r="H254" s="920">
        <v>0.1</v>
      </c>
      <c r="I254" s="1266">
        <f t="shared" si="24"/>
        <v>-0.49</v>
      </c>
      <c r="J254" s="1267" t="s">
        <v>5</v>
      </c>
      <c r="K254" s="902"/>
      <c r="L254" s="896"/>
      <c r="M254" s="902"/>
      <c r="N254" s="900" t="s">
        <v>2297</v>
      </c>
    </row>
    <row r="255" spans="1:14" s="910" customFormat="1" ht="16.5" hidden="1" customHeight="1">
      <c r="A255" s="896"/>
      <c r="B255" s="902"/>
      <c r="C255" s="897">
        <v>1</v>
      </c>
      <c r="D255" s="1263" t="s">
        <v>273</v>
      </c>
      <c r="E255" s="919">
        <v>1</v>
      </c>
      <c r="F255" s="920">
        <v>1.38</v>
      </c>
      <c r="G255" s="920">
        <v>0.45</v>
      </c>
      <c r="H255" s="920">
        <v>0.1</v>
      </c>
      <c r="I255" s="1266">
        <f t="shared" si="24"/>
        <v>-0.06</v>
      </c>
      <c r="J255" s="1267" t="s">
        <v>5</v>
      </c>
      <c r="K255" s="902"/>
      <c r="L255" s="896"/>
      <c r="M255" s="902"/>
      <c r="N255" s="900" t="s">
        <v>2297</v>
      </c>
    </row>
    <row r="256" spans="1:14" s="910" customFormat="1" ht="16.5" hidden="1" customHeight="1">
      <c r="A256" s="896"/>
      <c r="B256" s="902"/>
      <c r="C256" s="897">
        <v>1</v>
      </c>
      <c r="D256" s="1263" t="s">
        <v>273</v>
      </c>
      <c r="E256" s="919">
        <v>1</v>
      </c>
      <c r="F256" s="920">
        <v>1.36</v>
      </c>
      <c r="G256" s="920">
        <v>0.45</v>
      </c>
      <c r="H256" s="920">
        <v>0.1</v>
      </c>
      <c r="I256" s="1266">
        <f t="shared" si="24"/>
        <v>-0.06</v>
      </c>
      <c r="J256" s="1267" t="s">
        <v>5</v>
      </c>
      <c r="K256" s="902"/>
      <c r="L256" s="896"/>
      <c r="M256" s="902"/>
      <c r="N256" s="900" t="s">
        <v>2297</v>
      </c>
    </row>
    <row r="257" spans="1:14" s="910" customFormat="1" ht="16.5" hidden="1" customHeight="1">
      <c r="A257" s="896"/>
      <c r="B257" s="902"/>
      <c r="C257" s="897">
        <v>1</v>
      </c>
      <c r="D257" s="1263" t="s">
        <v>273</v>
      </c>
      <c r="E257" s="919">
        <v>1</v>
      </c>
      <c r="F257" s="920">
        <v>5.9349999999999996</v>
      </c>
      <c r="G257" s="920">
        <v>0.45</v>
      </c>
      <c r="H257" s="920">
        <v>0.1</v>
      </c>
      <c r="I257" s="1266">
        <f t="shared" si="24"/>
        <v>-0.27</v>
      </c>
      <c r="J257" s="1267" t="s">
        <v>5</v>
      </c>
      <c r="K257" s="902"/>
      <c r="L257" s="896"/>
      <c r="M257" s="902"/>
      <c r="N257" s="900" t="s">
        <v>2297</v>
      </c>
    </row>
    <row r="258" spans="1:14" s="910" customFormat="1" ht="16.5" hidden="1" customHeight="1">
      <c r="A258" s="896"/>
      <c r="B258" s="902" t="s">
        <v>2959</v>
      </c>
      <c r="C258" s="897">
        <v>1</v>
      </c>
      <c r="D258" s="1263" t="s">
        <v>273</v>
      </c>
      <c r="E258" s="919">
        <v>1</v>
      </c>
      <c r="F258" s="920">
        <v>10.3</v>
      </c>
      <c r="G258" s="920">
        <v>0.85</v>
      </c>
      <c r="H258" s="920">
        <v>1.38</v>
      </c>
      <c r="I258" s="1266">
        <f t="shared" ref="I258:I259" si="25">ROUND(IF(AND(F258:H258),C258*E258*F258*G258*H258,IF(AND(F258,G258),C258*E258*F258*G258,IF(AND(F258,H258),C258*E258*F258*H258,IF(AND(G258,H258),C258*E258*G258*H258,IF(F258,C258*E258*F258,IF(G258,C258*E258*G258,IF(H258,C258*E258*H258,C258*E258))))))),2)</f>
        <v>12.08</v>
      </c>
      <c r="J258" s="1267" t="s">
        <v>5</v>
      </c>
      <c r="K258" s="902"/>
      <c r="L258" s="896"/>
      <c r="M258" s="902"/>
      <c r="N258" s="900" t="s">
        <v>2297</v>
      </c>
    </row>
    <row r="259" spans="1:14" s="910" customFormat="1" ht="16.5" hidden="1" customHeight="1">
      <c r="A259" s="896"/>
      <c r="B259" s="902"/>
      <c r="C259" s="897">
        <v>1</v>
      </c>
      <c r="D259" s="1263" t="s">
        <v>273</v>
      </c>
      <c r="E259" s="919">
        <v>1</v>
      </c>
      <c r="F259" s="920">
        <v>1.5</v>
      </c>
      <c r="G259" s="920">
        <v>0.85</v>
      </c>
      <c r="H259" s="920">
        <v>1.38</v>
      </c>
      <c r="I259" s="1266">
        <f t="shared" si="25"/>
        <v>1.76</v>
      </c>
      <c r="J259" s="1267" t="s">
        <v>5</v>
      </c>
      <c r="K259" s="902"/>
      <c r="L259" s="896"/>
      <c r="M259" s="902"/>
      <c r="N259" s="900" t="s">
        <v>2297</v>
      </c>
    </row>
    <row r="260" spans="1:14" s="910" customFormat="1" ht="16.5" hidden="1" customHeight="1">
      <c r="A260" s="896"/>
      <c r="B260" s="902" t="s">
        <v>3516</v>
      </c>
      <c r="C260" s="897"/>
      <c r="D260" s="1263" t="s">
        <v>3448</v>
      </c>
      <c r="E260" s="919"/>
      <c r="F260" s="920"/>
      <c r="G260" s="920"/>
      <c r="H260" s="920"/>
      <c r="I260" s="1264"/>
      <c r="J260" s="1265"/>
      <c r="K260" s="902"/>
      <c r="L260" s="896"/>
      <c r="M260" s="902"/>
      <c r="N260" s="900" t="s">
        <v>2297</v>
      </c>
    </row>
    <row r="261" spans="1:14" s="910" customFormat="1" ht="16.5" hidden="1" customHeight="1">
      <c r="A261" s="896"/>
      <c r="B261" s="902" t="s">
        <v>3440</v>
      </c>
      <c r="C261" s="897">
        <v>1</v>
      </c>
      <c r="D261" s="1263" t="s">
        <v>273</v>
      </c>
      <c r="E261" s="919">
        <v>1</v>
      </c>
      <c r="F261" s="920">
        <v>13.54</v>
      </c>
      <c r="G261" s="920">
        <v>6.3949999999999996</v>
      </c>
      <c r="H261" s="920">
        <v>0.38</v>
      </c>
      <c r="I261" s="1266">
        <f t="shared" ref="I261" si="26">ROUND(IF(AND(F261:H261),C261*E261*F261*G261*H261,IF(AND(F261,G261),C261*E261*F261*G261,IF(AND(F261,H261),C261*E261*F261*H261,IF(AND(G261,H261),C261*E261*G261*H261,IF(F261,C261*E261*F261,IF(G261,C261*E261*G261,IF(H261,C261*E261*H261,C261*E261))))))),2)</f>
        <v>32.9</v>
      </c>
      <c r="J261" s="1267" t="s">
        <v>5</v>
      </c>
      <c r="K261" s="902"/>
      <c r="L261" s="896"/>
      <c r="M261" s="902"/>
      <c r="N261" s="900" t="s">
        <v>2297</v>
      </c>
    </row>
    <row r="262" spans="1:14" s="910" customFormat="1" ht="16.5" hidden="1" customHeight="1">
      <c r="A262" s="896"/>
      <c r="B262" s="902" t="s">
        <v>3441</v>
      </c>
      <c r="C262" s="897"/>
      <c r="D262" s="1263"/>
      <c r="E262" s="919"/>
      <c r="F262" s="920"/>
      <c r="G262" s="920"/>
      <c r="H262" s="920"/>
      <c r="I262" s="1266">
        <v>-6.24</v>
      </c>
      <c r="J262" s="1267" t="s">
        <v>5</v>
      </c>
      <c r="K262" s="902"/>
      <c r="L262" s="896"/>
      <c r="M262" s="902"/>
      <c r="N262" s="900" t="s">
        <v>2297</v>
      </c>
    </row>
    <row r="263" spans="1:14" s="910" customFormat="1" ht="16.5" hidden="1" customHeight="1">
      <c r="A263" s="896"/>
      <c r="B263" s="956"/>
      <c r="C263" s="957"/>
      <c r="D263" s="958"/>
      <c r="E263" s="1268"/>
      <c r="F263" s="960"/>
      <c r="G263" s="960"/>
      <c r="H263" s="960"/>
      <c r="I263" s="916"/>
      <c r="J263" s="955"/>
      <c r="K263" s="902"/>
      <c r="L263" s="923"/>
      <c r="M263" s="902"/>
      <c r="N263" s="900" t="s">
        <v>2297</v>
      </c>
    </row>
    <row r="264" spans="1:14" ht="15.75" hidden="1">
      <c r="A264" s="896"/>
      <c r="B264" s="902"/>
      <c r="C264" s="917"/>
      <c r="D264" s="918"/>
      <c r="E264" s="919"/>
      <c r="F264" s="920"/>
      <c r="G264" s="921"/>
      <c r="H264" s="896"/>
      <c r="I264" s="916"/>
      <c r="J264" s="955" t="s">
        <v>5</v>
      </c>
      <c r="K264" s="922">
        <f>data!G974</f>
        <v>1340.37</v>
      </c>
      <c r="L264" s="923" t="s">
        <v>2297</v>
      </c>
      <c r="M264" s="924">
        <f>ROUND(I264*K264,0)</f>
        <v>0</v>
      </c>
      <c r="N264" s="900" t="s">
        <v>2297</v>
      </c>
    </row>
    <row r="265" spans="1:14" ht="57" hidden="1" customHeight="1">
      <c r="A265" s="896">
        <v>4</v>
      </c>
      <c r="B265" s="1609" t="s">
        <v>55</v>
      </c>
      <c r="C265" s="1609"/>
      <c r="D265" s="1609"/>
      <c r="E265" s="1609"/>
      <c r="F265" s="1609"/>
      <c r="G265" s="1609"/>
      <c r="H265" s="1609"/>
      <c r="I265" s="897"/>
      <c r="J265" s="898"/>
      <c r="K265" s="896"/>
      <c r="L265" s="923"/>
      <c r="M265" s="899"/>
      <c r="N265" s="900" t="s">
        <v>2308</v>
      </c>
    </row>
    <row r="266" spans="1:14" s="910" customFormat="1" ht="16.5" hidden="1" customHeight="1">
      <c r="A266" s="896"/>
      <c r="B266" s="928" t="s">
        <v>3512</v>
      </c>
      <c r="C266" s="1269"/>
      <c r="D266" s="1279"/>
      <c r="E266" s="1270"/>
      <c r="F266" s="1271"/>
      <c r="G266" s="1271"/>
      <c r="H266" s="1271"/>
      <c r="I266" s="1272"/>
      <c r="J266" s="1267"/>
      <c r="K266" s="902"/>
      <c r="L266" s="896"/>
      <c r="M266" s="902"/>
      <c r="N266" s="900" t="s">
        <v>2308</v>
      </c>
    </row>
    <row r="267" spans="1:14" s="910" customFormat="1" ht="16.5" hidden="1" customHeight="1">
      <c r="A267" s="896"/>
      <c r="B267" s="902" t="s">
        <v>298</v>
      </c>
      <c r="C267" s="897">
        <v>1</v>
      </c>
      <c r="D267" s="1263" t="s">
        <v>273</v>
      </c>
      <c r="E267" s="919">
        <v>1</v>
      </c>
      <c r="F267" s="920">
        <v>1.65</v>
      </c>
      <c r="G267" s="920">
        <v>1.65</v>
      </c>
      <c r="H267" s="920">
        <v>0.15</v>
      </c>
      <c r="I267" s="1266">
        <f>ROUND(IF(AND(F267:H267),C267*E267*F267*G267*H267,IF(AND(F267,G267),C267*E267*F267*G267,IF(AND(F267,H267),C267*E267*F267*H267,IF(AND(G267,H267),C267*E267*G267*H267,IF(F267,C267*E267*F267,IF(G267,C267*E267*G267,IF(H267,C267*E267*H267,C267*E267))))))),2)</f>
        <v>0.41</v>
      </c>
      <c r="J267" s="1267" t="s">
        <v>5</v>
      </c>
      <c r="K267" s="902"/>
      <c r="L267" s="896"/>
      <c r="M267" s="902"/>
      <c r="N267" s="900" t="s">
        <v>2308</v>
      </c>
    </row>
    <row r="268" spans="1:14" s="910" customFormat="1" ht="16.5" hidden="1" customHeight="1">
      <c r="A268" s="896"/>
      <c r="B268" s="902" t="s">
        <v>299</v>
      </c>
      <c r="C268" s="897">
        <v>1</v>
      </c>
      <c r="D268" s="1263" t="s">
        <v>273</v>
      </c>
      <c r="E268" s="919">
        <v>4</v>
      </c>
      <c r="F268" s="920">
        <v>2</v>
      </c>
      <c r="G268" s="920">
        <v>2</v>
      </c>
      <c r="H268" s="920">
        <v>0.15</v>
      </c>
      <c r="I268" s="1266">
        <f>ROUND(IF(AND(F268:H268),C268*E268*F268*G268*H268,IF(AND(F268,G268),C268*E268*F268*G268,IF(AND(F268,H268),C268*E268*F268*H268,IF(AND(G268,H268),C268*E268*G268*H268,IF(F268,C268*E268*F268,IF(G268,C268*E268*G268,IF(H268,C268*E268*H268,C268*E268))))))),2)</f>
        <v>2.4</v>
      </c>
      <c r="J268" s="1267" t="s">
        <v>5</v>
      </c>
      <c r="K268" s="902"/>
      <c r="L268" s="896"/>
      <c r="M268" s="902"/>
      <c r="N268" s="900" t="s">
        <v>2308</v>
      </c>
    </row>
    <row r="269" spans="1:14" s="910" customFormat="1" ht="16.5" hidden="1" customHeight="1">
      <c r="A269" s="896"/>
      <c r="B269" s="956"/>
      <c r="C269" s="957"/>
      <c r="D269" s="958"/>
      <c r="E269" s="1268"/>
      <c r="F269" s="960"/>
      <c r="G269" s="960"/>
      <c r="H269" s="960"/>
      <c r="I269" s="916"/>
      <c r="J269" s="955"/>
      <c r="K269" s="902"/>
      <c r="L269" s="923"/>
      <c r="M269" s="902"/>
      <c r="N269" s="900" t="s">
        <v>2308</v>
      </c>
    </row>
    <row r="270" spans="1:14" ht="15.75" hidden="1">
      <c r="A270" s="896"/>
      <c r="B270" s="902"/>
      <c r="C270" s="917"/>
      <c r="D270" s="918"/>
      <c r="E270" s="919"/>
      <c r="F270" s="920"/>
      <c r="G270" s="921"/>
      <c r="H270" s="896"/>
      <c r="I270" s="916"/>
      <c r="J270" s="955" t="s">
        <v>5</v>
      </c>
      <c r="K270" s="922">
        <f>data!G1891</f>
        <v>1528.72</v>
      </c>
      <c r="L270" s="923" t="s">
        <v>2308</v>
      </c>
      <c r="M270" s="924">
        <f>ROUND(I270*K270,0)</f>
        <v>0</v>
      </c>
      <c r="N270" s="900" t="s">
        <v>2308</v>
      </c>
    </row>
    <row r="271" spans="1:14" ht="57" hidden="1" customHeight="1">
      <c r="A271" s="896">
        <v>4</v>
      </c>
      <c r="B271" s="1609" t="s">
        <v>55</v>
      </c>
      <c r="C271" s="1609"/>
      <c r="D271" s="1609"/>
      <c r="E271" s="1609"/>
      <c r="F271" s="1609"/>
      <c r="G271" s="1609"/>
      <c r="H271" s="1609"/>
      <c r="I271" s="897"/>
      <c r="J271" s="898"/>
      <c r="K271" s="896"/>
      <c r="L271" s="923"/>
      <c r="M271" s="899"/>
      <c r="N271" s="900" t="s">
        <v>2309</v>
      </c>
    </row>
    <row r="272" spans="1:14" s="910" customFormat="1" ht="16.5" hidden="1" customHeight="1">
      <c r="A272" s="896"/>
      <c r="B272" s="928" t="s">
        <v>3512</v>
      </c>
      <c r="C272" s="1269"/>
      <c r="D272" s="1279"/>
      <c r="E272" s="1270"/>
      <c r="F272" s="1271"/>
      <c r="G272" s="1271"/>
      <c r="H272" s="1271"/>
      <c r="I272" s="1272"/>
      <c r="J272" s="1267"/>
      <c r="K272" s="902"/>
      <c r="L272" s="896"/>
      <c r="M272" s="902"/>
      <c r="N272" s="900" t="s">
        <v>2309</v>
      </c>
    </row>
    <row r="273" spans="1:14" s="910" customFormat="1" ht="16.5" hidden="1" customHeight="1">
      <c r="A273" s="896"/>
      <c r="B273" s="902" t="s">
        <v>298</v>
      </c>
      <c r="C273" s="897">
        <v>1</v>
      </c>
      <c r="D273" s="1263" t="s">
        <v>273</v>
      </c>
      <c r="E273" s="919">
        <v>1</v>
      </c>
      <c r="F273" s="920">
        <v>1.65</v>
      </c>
      <c r="G273" s="920">
        <v>1.65</v>
      </c>
      <c r="H273" s="920">
        <v>0.15</v>
      </c>
      <c r="I273" s="1266">
        <f>ROUND(IF(AND(F273:H273),C273*E273*F273*G273*H273,IF(AND(F273,G273),C273*E273*F273*G273,IF(AND(F273,H273),C273*E273*F273*H273,IF(AND(G273,H273),C273*E273*G273*H273,IF(F273,C273*E273*F273,IF(G273,C273*E273*G273,IF(H273,C273*E273*H273,C273*E273))))))),2)</f>
        <v>0.41</v>
      </c>
      <c r="J273" s="1267" t="s">
        <v>5</v>
      </c>
      <c r="K273" s="902"/>
      <c r="L273" s="896"/>
      <c r="M273" s="902"/>
      <c r="N273" s="900" t="s">
        <v>2309</v>
      </c>
    </row>
    <row r="274" spans="1:14" s="910" customFormat="1" ht="16.5" hidden="1" customHeight="1">
      <c r="A274" s="896"/>
      <c r="B274" s="902" t="s">
        <v>299</v>
      </c>
      <c r="C274" s="897">
        <v>1</v>
      </c>
      <c r="D274" s="1263" t="s">
        <v>273</v>
      </c>
      <c r="E274" s="919">
        <v>4</v>
      </c>
      <c r="F274" s="920">
        <v>2</v>
      </c>
      <c r="G274" s="920">
        <v>2</v>
      </c>
      <c r="H274" s="920">
        <v>0.15</v>
      </c>
      <c r="I274" s="1266">
        <f>ROUND(IF(AND(F274:H274),C274*E274*F274*G274*H274,IF(AND(F274,G274),C274*E274*F274*G274,IF(AND(F274,H274),C274*E274*F274*H274,IF(AND(G274,H274),C274*E274*G274*H274,IF(F274,C274*E274*F274,IF(G274,C274*E274*G274,IF(H274,C274*E274*H274,C274*E274))))))),2)</f>
        <v>2.4</v>
      </c>
      <c r="J274" s="1267" t="s">
        <v>5</v>
      </c>
      <c r="K274" s="902"/>
      <c r="L274" s="896"/>
      <c r="M274" s="902"/>
      <c r="N274" s="900" t="s">
        <v>2309</v>
      </c>
    </row>
    <row r="275" spans="1:14" s="910" customFormat="1" ht="16.5" hidden="1" customHeight="1">
      <c r="A275" s="896"/>
      <c r="B275" s="956"/>
      <c r="C275" s="957"/>
      <c r="D275" s="958"/>
      <c r="E275" s="1268"/>
      <c r="F275" s="960"/>
      <c r="G275" s="960"/>
      <c r="H275" s="960"/>
      <c r="I275" s="916"/>
      <c r="J275" s="955"/>
      <c r="K275" s="902"/>
      <c r="L275" s="923"/>
      <c r="M275" s="902"/>
      <c r="N275" s="900" t="s">
        <v>2309</v>
      </c>
    </row>
    <row r="276" spans="1:14" ht="15.75" hidden="1">
      <c r="A276" s="896"/>
      <c r="B276" s="902"/>
      <c r="C276" s="917"/>
      <c r="D276" s="918"/>
      <c r="E276" s="919"/>
      <c r="F276" s="920"/>
      <c r="G276" s="921"/>
      <c r="H276" s="896"/>
      <c r="I276" s="916"/>
      <c r="J276" s="955" t="s">
        <v>5</v>
      </c>
      <c r="K276" s="922">
        <f>data!G2808</f>
        <v>1603.13</v>
      </c>
      <c r="L276" s="923" t="s">
        <v>2309</v>
      </c>
      <c r="M276" s="924">
        <f>ROUND(I276*K276,0)</f>
        <v>0</v>
      </c>
      <c r="N276" s="900" t="s">
        <v>2309</v>
      </c>
    </row>
    <row r="277" spans="1:14" s="1403" customFormat="1" ht="30.75" customHeight="1">
      <c r="A277" s="1397">
        <v>5</v>
      </c>
      <c r="B277" s="1610" t="s">
        <v>282</v>
      </c>
      <c r="C277" s="1610"/>
      <c r="D277" s="1610"/>
      <c r="E277" s="1610"/>
      <c r="F277" s="1610"/>
      <c r="G277" s="1610"/>
      <c r="H277" s="1610"/>
      <c r="I277" s="1398"/>
      <c r="J277" s="1399"/>
      <c r="K277" s="1397"/>
      <c r="L277" s="1400"/>
      <c r="M277" s="1401"/>
      <c r="N277" s="1402" t="s">
        <v>2209</v>
      </c>
    </row>
    <row r="278" spans="1:14" s="1411" customFormat="1" ht="16.5" customHeight="1">
      <c r="A278" s="1397"/>
      <c r="B278" s="1404" t="s">
        <v>3905</v>
      </c>
      <c r="C278" s="1405"/>
      <c r="D278" s="1395" t="s">
        <v>3998</v>
      </c>
      <c r="E278" s="1406"/>
      <c r="F278" s="1407"/>
      <c r="G278" s="1407"/>
      <c r="H278" s="1407"/>
      <c r="I278" s="1408"/>
      <c r="J278" s="1409"/>
      <c r="K278" s="1410"/>
      <c r="L278" s="1397"/>
      <c r="M278" s="1410"/>
      <c r="N278" s="1402" t="s">
        <v>2209</v>
      </c>
    </row>
    <row r="279" spans="1:14" s="1411" customFormat="1" ht="16.5" customHeight="1">
      <c r="A279" s="1397"/>
      <c r="B279" s="1410" t="s">
        <v>3688</v>
      </c>
      <c r="C279" s="1398">
        <v>1</v>
      </c>
      <c r="D279" s="1412" t="s">
        <v>273</v>
      </c>
      <c r="E279" s="1413">
        <v>3</v>
      </c>
      <c r="F279" s="1414">
        <v>1.45</v>
      </c>
      <c r="G279" s="1414">
        <v>1.45</v>
      </c>
      <c r="H279" s="1414">
        <v>1.5</v>
      </c>
      <c r="I279" s="1415">
        <f t="shared" ref="I279:I281" si="27">ROUND(IF(AND(F279:H279),C279*E279*F279*G279*H279,IF(AND(F279,G279),C279*E279*F279*G279,IF(AND(F279,H279),C279*E279*F279*H279,IF(AND(G279,H279),C279*E279*G279*H279,IF(F279,C279*E279*F279,IF(G279,C279*E279*G279,IF(H279,C279*E279*H279,C279*E279))))))),2)</f>
        <v>9.4600000000000009</v>
      </c>
      <c r="J279" s="1416" t="s">
        <v>5</v>
      </c>
      <c r="K279" s="1410"/>
      <c r="L279" s="1400"/>
      <c r="M279" s="1410"/>
      <c r="N279" s="1402" t="s">
        <v>2209</v>
      </c>
    </row>
    <row r="280" spans="1:14" s="1411" customFormat="1" ht="16.5" customHeight="1">
      <c r="A280" s="1397"/>
      <c r="B280" s="1410" t="s">
        <v>3689</v>
      </c>
      <c r="C280" s="1398">
        <v>1</v>
      </c>
      <c r="D280" s="1412" t="s">
        <v>273</v>
      </c>
      <c r="E280" s="1413">
        <v>9</v>
      </c>
      <c r="F280" s="1414">
        <v>1.7</v>
      </c>
      <c r="G280" s="1414">
        <v>1.7</v>
      </c>
      <c r="H280" s="1414">
        <v>1.5</v>
      </c>
      <c r="I280" s="1415">
        <f t="shared" si="27"/>
        <v>39.020000000000003</v>
      </c>
      <c r="J280" s="1416" t="s">
        <v>5</v>
      </c>
      <c r="K280" s="1410"/>
      <c r="L280" s="1400"/>
      <c r="M280" s="1410"/>
      <c r="N280" s="1402" t="s">
        <v>2209</v>
      </c>
    </row>
    <row r="281" spans="1:14" s="1411" customFormat="1" ht="16.5" customHeight="1">
      <c r="A281" s="1397"/>
      <c r="B281" s="1410" t="s">
        <v>3690</v>
      </c>
      <c r="C281" s="1398">
        <v>1</v>
      </c>
      <c r="D281" s="1412" t="s">
        <v>273</v>
      </c>
      <c r="E281" s="1413">
        <v>3</v>
      </c>
      <c r="F281" s="1414">
        <v>1.85</v>
      </c>
      <c r="G281" s="1414">
        <v>1.85</v>
      </c>
      <c r="H281" s="1414">
        <v>1.5</v>
      </c>
      <c r="I281" s="1415">
        <f t="shared" si="27"/>
        <v>15.4</v>
      </c>
      <c r="J281" s="1416" t="s">
        <v>5</v>
      </c>
      <c r="K281" s="1410"/>
      <c r="L281" s="1400"/>
      <c r="M281" s="1410"/>
      <c r="N281" s="1402" t="s">
        <v>2209</v>
      </c>
    </row>
    <row r="282" spans="1:14" s="1411" customFormat="1" ht="16.5" customHeight="1">
      <c r="A282" s="1397"/>
      <c r="B282" s="1410" t="s">
        <v>3906</v>
      </c>
      <c r="C282" s="1398"/>
      <c r="D282" s="1412"/>
      <c r="E282" s="1413"/>
      <c r="F282" s="1414"/>
      <c r="G282" s="1414"/>
      <c r="H282" s="1414"/>
      <c r="I282" s="1415"/>
      <c r="J282" s="1416"/>
      <c r="K282" s="1410"/>
      <c r="L282" s="1400"/>
      <c r="M282" s="1410"/>
      <c r="N282" s="1402"/>
    </row>
    <row r="283" spans="1:14" s="1411" customFormat="1" ht="16.5" customHeight="1">
      <c r="A283" s="1397"/>
      <c r="B283" s="1410" t="s">
        <v>3436</v>
      </c>
      <c r="C283" s="1398">
        <v>1</v>
      </c>
      <c r="D283" s="1412" t="s">
        <v>273</v>
      </c>
      <c r="E283" s="1413">
        <v>3</v>
      </c>
      <c r="F283" s="1414">
        <v>1.45</v>
      </c>
      <c r="G283" s="1414">
        <v>1.45</v>
      </c>
      <c r="H283" s="1414">
        <v>0.15</v>
      </c>
      <c r="I283" s="1415">
        <f>-ROUND(IF(AND(F283:H283),C283*E283*F283*G283*H283,IF(AND(F283,G283),C283*E283*F283*G283,IF(AND(F283,H283),C283*E283*F283*H283,IF(AND(G283,H283),C283*E283*G283*H283,IF(F283,C283*E283*F283,IF(G283,C283*E283*G283,IF(H283,C283*E283*H283,C283*E283))))))),2)</f>
        <v>-0.95</v>
      </c>
      <c r="J283" s="1416" t="s">
        <v>5</v>
      </c>
      <c r="K283" s="1410"/>
      <c r="L283" s="1400"/>
      <c r="M283" s="1410"/>
      <c r="N283" s="1402" t="s">
        <v>2209</v>
      </c>
    </row>
    <row r="284" spans="1:14" s="1411" customFormat="1" ht="16.5" customHeight="1">
      <c r="A284" s="1397"/>
      <c r="B284" s="1410"/>
      <c r="C284" s="1398">
        <v>1</v>
      </c>
      <c r="D284" s="1412" t="s">
        <v>273</v>
      </c>
      <c r="E284" s="1413">
        <v>9</v>
      </c>
      <c r="F284" s="1414">
        <v>1.7</v>
      </c>
      <c r="G284" s="1414">
        <v>1.7</v>
      </c>
      <c r="H284" s="1414">
        <v>0.15</v>
      </c>
      <c r="I284" s="1415">
        <f t="shared" ref="I284:I291" si="28">-ROUND(IF(AND(F284:H284),C284*E284*F284*G284*H284,IF(AND(F284,G284),C284*E284*F284*G284,IF(AND(F284,H284),C284*E284*F284*H284,IF(AND(G284,H284),C284*E284*G284*H284,IF(F284,C284*E284*F284,IF(G284,C284*E284*G284,IF(H284,C284*E284*H284,C284*E284))))))),2)</f>
        <v>-3.9</v>
      </c>
      <c r="J284" s="1416" t="s">
        <v>5</v>
      </c>
      <c r="K284" s="1410"/>
      <c r="L284" s="1400"/>
      <c r="M284" s="1410"/>
      <c r="N284" s="1402" t="s">
        <v>2209</v>
      </c>
    </row>
    <row r="285" spans="1:14" s="1411" customFormat="1" ht="16.5" customHeight="1">
      <c r="A285" s="1397"/>
      <c r="B285" s="1410"/>
      <c r="C285" s="1398">
        <v>1</v>
      </c>
      <c r="D285" s="1412" t="s">
        <v>273</v>
      </c>
      <c r="E285" s="1413">
        <v>3</v>
      </c>
      <c r="F285" s="1414">
        <v>1.85</v>
      </c>
      <c r="G285" s="1414">
        <v>1.85</v>
      </c>
      <c r="H285" s="1414">
        <v>0.15</v>
      </c>
      <c r="I285" s="1415">
        <f t="shared" si="28"/>
        <v>-1.54</v>
      </c>
      <c r="J285" s="1416" t="s">
        <v>5</v>
      </c>
      <c r="K285" s="1410"/>
      <c r="L285" s="1400"/>
      <c r="M285" s="1410"/>
      <c r="N285" s="1402" t="s">
        <v>2209</v>
      </c>
    </row>
    <row r="286" spans="1:14" s="1411" customFormat="1" ht="16.5" customHeight="1">
      <c r="A286" s="1397"/>
      <c r="B286" s="1410" t="s">
        <v>3437</v>
      </c>
      <c r="C286" s="1398">
        <v>1</v>
      </c>
      <c r="D286" s="1412" t="s">
        <v>273</v>
      </c>
      <c r="E286" s="1413">
        <v>3</v>
      </c>
      <c r="F286" s="1414">
        <v>1.1499999999999999</v>
      </c>
      <c r="G286" s="1414">
        <v>1.1499999999999999</v>
      </c>
      <c r="H286" s="1414">
        <v>0.3</v>
      </c>
      <c r="I286" s="1415">
        <f t="shared" si="28"/>
        <v>-1.19</v>
      </c>
      <c r="J286" s="1416" t="s">
        <v>5</v>
      </c>
      <c r="K286" s="1410"/>
      <c r="L286" s="1400"/>
      <c r="M286" s="1410"/>
      <c r="N286" s="1402" t="s">
        <v>2209</v>
      </c>
    </row>
    <row r="287" spans="1:14" s="1411" customFormat="1" ht="16.5" customHeight="1">
      <c r="A287" s="1397"/>
      <c r="B287" s="1410"/>
      <c r="C287" s="1398">
        <v>1</v>
      </c>
      <c r="D287" s="1412" t="s">
        <v>273</v>
      </c>
      <c r="E287" s="1413">
        <v>9</v>
      </c>
      <c r="F287" s="1414">
        <v>1.4</v>
      </c>
      <c r="G287" s="1414">
        <v>1.4</v>
      </c>
      <c r="H287" s="1414">
        <v>0.32500000000000001</v>
      </c>
      <c r="I287" s="1415">
        <f t="shared" si="28"/>
        <v>-5.73</v>
      </c>
      <c r="J287" s="1416" t="s">
        <v>5</v>
      </c>
      <c r="K287" s="1410"/>
      <c r="L287" s="1400"/>
      <c r="M287" s="1410"/>
      <c r="N287" s="1402" t="s">
        <v>2209</v>
      </c>
    </row>
    <row r="288" spans="1:14" s="1411" customFormat="1" ht="16.5" customHeight="1">
      <c r="A288" s="1397"/>
      <c r="B288" s="1410"/>
      <c r="C288" s="1398">
        <v>1</v>
      </c>
      <c r="D288" s="1412" t="s">
        <v>273</v>
      </c>
      <c r="E288" s="1413">
        <v>3</v>
      </c>
      <c r="F288" s="1414">
        <v>1.55</v>
      </c>
      <c r="G288" s="1414">
        <v>1.55</v>
      </c>
      <c r="H288" s="1414">
        <v>0.35</v>
      </c>
      <c r="I288" s="1415">
        <f t="shared" si="28"/>
        <v>-2.52</v>
      </c>
      <c r="J288" s="1416" t="s">
        <v>5</v>
      </c>
      <c r="K288" s="1410"/>
      <c r="L288" s="1400"/>
      <c r="M288" s="1410"/>
      <c r="N288" s="1402" t="s">
        <v>2209</v>
      </c>
    </row>
    <row r="289" spans="1:14" s="1411" customFormat="1" ht="16.5" customHeight="1">
      <c r="A289" s="1397"/>
      <c r="B289" s="1410" t="s">
        <v>3907</v>
      </c>
      <c r="C289" s="1398">
        <v>1</v>
      </c>
      <c r="D289" s="1412" t="s">
        <v>273</v>
      </c>
      <c r="E289" s="1413">
        <v>3</v>
      </c>
      <c r="F289" s="1414">
        <v>0.23</v>
      </c>
      <c r="G289" s="1414">
        <v>0.38</v>
      </c>
      <c r="H289" s="1414">
        <v>0.6</v>
      </c>
      <c r="I289" s="1415">
        <f t="shared" si="28"/>
        <v>-0.16</v>
      </c>
      <c r="J289" s="1416" t="s">
        <v>5</v>
      </c>
      <c r="K289" s="1410"/>
      <c r="L289" s="1400"/>
      <c r="M289" s="1410"/>
      <c r="N289" s="1402" t="s">
        <v>2209</v>
      </c>
    </row>
    <row r="290" spans="1:14" s="1411" customFormat="1" ht="16.5" customHeight="1">
      <c r="A290" s="1397"/>
      <c r="B290" s="1410"/>
      <c r="C290" s="1398">
        <v>1</v>
      </c>
      <c r="D290" s="1412" t="s">
        <v>273</v>
      </c>
      <c r="E290" s="1413">
        <v>9</v>
      </c>
      <c r="F290" s="1414">
        <v>0.23</v>
      </c>
      <c r="G290" s="1414">
        <v>0.38</v>
      </c>
      <c r="H290" s="1414">
        <v>0.57499999999999996</v>
      </c>
      <c r="I290" s="1415">
        <f t="shared" si="28"/>
        <v>-0.45</v>
      </c>
      <c r="J290" s="1416" t="s">
        <v>5</v>
      </c>
      <c r="K290" s="1410"/>
      <c r="L290" s="1400"/>
      <c r="M290" s="1410"/>
      <c r="N290" s="1402" t="s">
        <v>2209</v>
      </c>
    </row>
    <row r="291" spans="1:14" s="1411" customFormat="1" ht="16.5" customHeight="1">
      <c r="A291" s="1397"/>
      <c r="B291" s="1410"/>
      <c r="C291" s="1398">
        <v>1</v>
      </c>
      <c r="D291" s="1412" t="s">
        <v>273</v>
      </c>
      <c r="E291" s="1413">
        <v>3</v>
      </c>
      <c r="F291" s="1414">
        <v>0.23</v>
      </c>
      <c r="G291" s="1414">
        <v>0.38</v>
      </c>
      <c r="H291" s="1414">
        <v>0.55000000000000004</v>
      </c>
      <c r="I291" s="1415">
        <f t="shared" si="28"/>
        <v>-0.14000000000000001</v>
      </c>
      <c r="J291" s="1416" t="s">
        <v>5</v>
      </c>
      <c r="K291" s="1410"/>
      <c r="L291" s="1400"/>
      <c r="M291" s="1410"/>
      <c r="N291" s="1402" t="s">
        <v>2209</v>
      </c>
    </row>
    <row r="292" spans="1:14" s="1411" customFormat="1" ht="16.5" customHeight="1">
      <c r="A292" s="1397"/>
      <c r="B292" s="1410"/>
      <c r="C292" s="1398"/>
      <c r="D292" s="1412"/>
      <c r="E292" s="1413"/>
      <c r="F292" s="1414"/>
      <c r="G292" s="1414"/>
      <c r="H292" s="1414"/>
      <c r="I292" s="1415"/>
      <c r="J292" s="1416"/>
      <c r="K292" s="1410"/>
      <c r="L292" s="1400"/>
      <c r="M292" s="1410"/>
      <c r="N292" s="1402" t="s">
        <v>2209</v>
      </c>
    </row>
    <row r="293" spans="1:14" s="1403" customFormat="1" ht="15.75">
      <c r="A293" s="1397"/>
      <c r="B293" s="1410"/>
      <c r="C293" s="1431"/>
      <c r="D293" s="1432"/>
      <c r="E293" s="1413"/>
      <c r="F293" s="1414"/>
      <c r="G293" s="1433"/>
      <c r="H293" s="1397"/>
      <c r="I293" s="1430">
        <f>SUM(I279:I292)</f>
        <v>47.300000000000004</v>
      </c>
      <c r="J293" s="1423" t="s">
        <v>5</v>
      </c>
      <c r="K293" s="1434">
        <f>data!G80</f>
        <v>228</v>
      </c>
      <c r="L293" s="1400" t="s">
        <v>2209</v>
      </c>
      <c r="M293" s="1435">
        <f>ROUND(I293*K293,0)</f>
        <v>10784</v>
      </c>
      <c r="N293" s="1402" t="s">
        <v>2209</v>
      </c>
    </row>
    <row r="294" spans="1:14" ht="29.25" hidden="1" customHeight="1">
      <c r="A294" s="896">
        <v>4</v>
      </c>
      <c r="B294" s="1612" t="s">
        <v>282</v>
      </c>
      <c r="C294" s="1613"/>
      <c r="D294" s="1613"/>
      <c r="E294" s="1613"/>
      <c r="F294" s="1613"/>
      <c r="G294" s="1613"/>
      <c r="H294" s="1614"/>
      <c r="I294" s="897"/>
      <c r="J294" s="898"/>
      <c r="K294" s="896"/>
      <c r="L294" s="923"/>
      <c r="M294" s="899"/>
      <c r="N294" s="900" t="s">
        <v>2297</v>
      </c>
    </row>
    <row r="295" spans="1:14" s="910" customFormat="1" ht="16.5" hidden="1" customHeight="1">
      <c r="A295" s="896"/>
      <c r="B295" s="902" t="s">
        <v>3517</v>
      </c>
      <c r="C295" s="897"/>
      <c r="D295" s="954" t="s">
        <v>3637</v>
      </c>
      <c r="E295" s="919"/>
      <c r="F295" s="920"/>
      <c r="G295" s="920"/>
      <c r="H295" s="920"/>
      <c r="I295" s="1264"/>
      <c r="J295" s="1265"/>
      <c r="K295" s="902"/>
      <c r="L295" s="896"/>
      <c r="M295" s="902"/>
      <c r="N295" s="900" t="s">
        <v>2297</v>
      </c>
    </row>
    <row r="296" spans="1:14" s="910" customFormat="1" ht="16.5" hidden="1" customHeight="1">
      <c r="A296" s="896"/>
      <c r="B296" s="902" t="s">
        <v>1430</v>
      </c>
      <c r="C296" s="897"/>
      <c r="D296" s="1263"/>
      <c r="E296" s="919"/>
      <c r="F296" s="920"/>
      <c r="G296" s="920"/>
      <c r="H296" s="920"/>
      <c r="I296" s="1266">
        <v>63.88</v>
      </c>
      <c r="J296" s="1267" t="s">
        <v>5</v>
      </c>
      <c r="K296" s="902"/>
      <c r="L296" s="896"/>
      <c r="M296" s="902"/>
      <c r="N296" s="900" t="s">
        <v>2297</v>
      </c>
    </row>
    <row r="297" spans="1:14" s="910" customFormat="1" ht="16.5" hidden="1" customHeight="1">
      <c r="A297" s="896"/>
      <c r="B297" s="902" t="s">
        <v>3436</v>
      </c>
      <c r="C297" s="897"/>
      <c r="D297" s="1263"/>
      <c r="E297" s="919"/>
      <c r="F297" s="920"/>
      <c r="G297" s="920"/>
      <c r="H297" s="920"/>
      <c r="I297" s="1266">
        <v>-6.39</v>
      </c>
      <c r="J297" s="1267" t="s">
        <v>5</v>
      </c>
      <c r="K297" s="902"/>
      <c r="L297" s="896"/>
      <c r="M297" s="902"/>
      <c r="N297" s="900" t="s">
        <v>2297</v>
      </c>
    </row>
    <row r="298" spans="1:14" s="910" customFormat="1" ht="16.5" hidden="1" customHeight="1">
      <c r="A298" s="896"/>
      <c r="B298" s="902" t="s">
        <v>3437</v>
      </c>
      <c r="C298" s="897"/>
      <c r="D298" s="1263"/>
      <c r="E298" s="919"/>
      <c r="F298" s="920"/>
      <c r="G298" s="920"/>
      <c r="H298" s="920"/>
      <c r="I298" s="1266">
        <v>-9.44</v>
      </c>
      <c r="J298" s="1267" t="s">
        <v>5</v>
      </c>
      <c r="K298" s="902"/>
      <c r="L298" s="896"/>
      <c r="M298" s="902"/>
      <c r="N298" s="900" t="s">
        <v>2297</v>
      </c>
    </row>
    <row r="299" spans="1:14" s="910" customFormat="1" ht="16.5" hidden="1" customHeight="1">
      <c r="A299" s="896"/>
      <c r="B299" s="902" t="s">
        <v>3438</v>
      </c>
      <c r="C299" s="897"/>
      <c r="D299" s="1263"/>
      <c r="E299" s="919"/>
      <c r="F299" s="920"/>
      <c r="G299" s="920"/>
      <c r="H299" s="920"/>
      <c r="I299" s="1266">
        <v>-1.37</v>
      </c>
      <c r="J299" s="1267" t="s">
        <v>5</v>
      </c>
      <c r="K299" s="902"/>
      <c r="L299" s="896"/>
      <c r="M299" s="902"/>
      <c r="N299" s="900" t="s">
        <v>2297</v>
      </c>
    </row>
    <row r="300" spans="1:14" s="910" customFormat="1" ht="16.5" hidden="1" customHeight="1">
      <c r="A300" s="896"/>
      <c r="B300" s="902" t="s">
        <v>1433</v>
      </c>
      <c r="C300" s="897">
        <v>1</v>
      </c>
      <c r="D300" s="1263" t="s">
        <v>273</v>
      </c>
      <c r="E300" s="919">
        <v>3</v>
      </c>
      <c r="F300" s="920">
        <v>0.23</v>
      </c>
      <c r="G300" s="920">
        <v>0.38</v>
      </c>
      <c r="H300" s="920">
        <v>0.6</v>
      </c>
      <c r="I300" s="1266">
        <f t="shared" ref="I300" si="29">-ROUND(IF(AND(F300:H300),C300*E300*F300*G300*H300,IF(AND(F300,G300),C300*E300*F300*G300,IF(AND(F300,H300),C300*E300*F300*H300,IF(AND(G300,H300),C300*E300*G300*H300,IF(F300,C300*E300*F300,IF(G300,C300*E300*G300,IF(H300,C300*E300*H300,C300*E300))))))),2)</f>
        <v>-0.16</v>
      </c>
      <c r="J300" s="1267" t="s">
        <v>5</v>
      </c>
      <c r="K300" s="902"/>
      <c r="L300" s="896"/>
      <c r="M300" s="902"/>
      <c r="N300" s="900" t="s">
        <v>2297</v>
      </c>
    </row>
    <row r="301" spans="1:14" s="910" customFormat="1" ht="16.5" hidden="1" customHeight="1">
      <c r="A301" s="896"/>
      <c r="B301" s="902"/>
      <c r="C301" s="897">
        <v>1</v>
      </c>
      <c r="D301" s="1263" t="s">
        <v>273</v>
      </c>
      <c r="E301" s="919">
        <v>9</v>
      </c>
      <c r="F301" s="920">
        <v>0.23</v>
      </c>
      <c r="G301" s="920">
        <v>0.38</v>
      </c>
      <c r="H301" s="920">
        <v>0.57499999999999996</v>
      </c>
      <c r="I301" s="1266">
        <f>-ROUND(IF(AND(F301:H301),C301*E301*F301*G301*H301,IF(AND(F301,G301),C301*E301*F301*G301,IF(AND(F301,H301),C301*E301*F301*H301,IF(AND(G301,H301),C301*E301*G301*H301,IF(F301,C301*E301*F301,IF(G301,C301*E301*G301,IF(H301,C301*E301*H301,C301*E301))))))),2)</f>
        <v>-0.45</v>
      </c>
      <c r="J301" s="1267" t="s">
        <v>5</v>
      </c>
      <c r="K301" s="902"/>
      <c r="L301" s="896"/>
      <c r="M301" s="902"/>
      <c r="N301" s="900" t="s">
        <v>2297</v>
      </c>
    </row>
    <row r="302" spans="1:14" s="910" customFormat="1" ht="16.5" hidden="1" customHeight="1">
      <c r="A302" s="896"/>
      <c r="B302" s="902"/>
      <c r="C302" s="897">
        <v>1</v>
      </c>
      <c r="D302" s="1263" t="s">
        <v>273</v>
      </c>
      <c r="E302" s="919">
        <v>3</v>
      </c>
      <c r="F302" s="920">
        <v>0.23</v>
      </c>
      <c r="G302" s="920">
        <v>0.38</v>
      </c>
      <c r="H302" s="920">
        <v>0.55000000000000004</v>
      </c>
      <c r="I302" s="1266">
        <f>-ROUND(IF(AND(F302:H302),C302*E302*F302*G302*H302,IF(AND(F302,G302),C302*E302*F302*G302,IF(AND(F302,H302),C302*E302*F302*H302,IF(AND(G302,H302),C302*E302*G302*H302,IF(F302,C302*E302*F302,IF(G302,C302*E302*G302,IF(H302,C302*E302*H302,C302*E302))))))),2)</f>
        <v>-0.14000000000000001</v>
      </c>
      <c r="J302" s="1267" t="s">
        <v>5</v>
      </c>
      <c r="K302" s="902"/>
      <c r="L302" s="896"/>
      <c r="M302" s="902"/>
      <c r="N302" s="900" t="s">
        <v>2297</v>
      </c>
    </row>
    <row r="303" spans="1:14" s="910" customFormat="1" ht="16.5" hidden="1" customHeight="1">
      <c r="A303" s="896"/>
      <c r="B303" s="956"/>
      <c r="C303" s="957"/>
      <c r="D303" s="958"/>
      <c r="E303" s="1268"/>
      <c r="F303" s="960"/>
      <c r="G303" s="960"/>
      <c r="H303" s="960"/>
      <c r="I303" s="916"/>
      <c r="J303" s="955"/>
      <c r="K303" s="902"/>
      <c r="L303" s="923"/>
      <c r="M303" s="902"/>
      <c r="N303" s="900" t="s">
        <v>2297</v>
      </c>
    </row>
    <row r="304" spans="1:14" ht="15.75" hidden="1">
      <c r="A304" s="896"/>
      <c r="B304" s="902"/>
      <c r="C304" s="917"/>
      <c r="D304" s="918"/>
      <c r="E304" s="919"/>
      <c r="F304" s="920"/>
      <c r="G304" s="921"/>
      <c r="H304" s="896"/>
      <c r="I304" s="916"/>
      <c r="J304" s="955" t="s">
        <v>5</v>
      </c>
      <c r="K304" s="922">
        <f>data!G996</f>
        <v>249.16</v>
      </c>
      <c r="L304" s="923" t="s">
        <v>2297</v>
      </c>
      <c r="M304" s="924">
        <f>ROUND(I304*K304,0)</f>
        <v>0</v>
      </c>
      <c r="N304" s="900" t="s">
        <v>2297</v>
      </c>
    </row>
    <row r="305" spans="1:14" ht="30.75" hidden="1" customHeight="1">
      <c r="A305" s="896">
        <v>4</v>
      </c>
      <c r="B305" s="1609" t="s">
        <v>282</v>
      </c>
      <c r="C305" s="1609"/>
      <c r="D305" s="1609"/>
      <c r="E305" s="1609"/>
      <c r="F305" s="1609"/>
      <c r="G305" s="1609"/>
      <c r="H305" s="1609"/>
      <c r="I305" s="897"/>
      <c r="J305" s="898"/>
      <c r="K305" s="896"/>
      <c r="L305" s="923"/>
      <c r="M305" s="899"/>
      <c r="N305" s="900" t="s">
        <v>2308</v>
      </c>
    </row>
    <row r="306" spans="1:14" s="910" customFormat="1" ht="16.5" hidden="1" customHeight="1">
      <c r="A306" s="896"/>
      <c r="B306" s="928" t="s">
        <v>3538</v>
      </c>
      <c r="C306" s="1269"/>
      <c r="D306" s="1279"/>
      <c r="E306" s="1270"/>
      <c r="F306" s="1271"/>
      <c r="G306" s="1271"/>
      <c r="H306" s="1271"/>
      <c r="I306" s="1272"/>
      <c r="J306" s="1265"/>
      <c r="K306" s="902"/>
      <c r="L306" s="896"/>
      <c r="M306" s="902"/>
      <c r="N306" s="900" t="s">
        <v>2308</v>
      </c>
    </row>
    <row r="307" spans="1:14" s="910" customFormat="1" ht="16.5" hidden="1" customHeight="1">
      <c r="A307" s="896"/>
      <c r="B307" s="902" t="s">
        <v>1599</v>
      </c>
      <c r="C307" s="897">
        <v>1</v>
      </c>
      <c r="D307" s="1263" t="s">
        <v>273</v>
      </c>
      <c r="E307" s="919">
        <v>10</v>
      </c>
      <c r="F307" s="920">
        <v>1.5</v>
      </c>
      <c r="G307" s="920">
        <v>1.5</v>
      </c>
      <c r="H307" s="920">
        <v>1.8</v>
      </c>
      <c r="I307" s="1266">
        <f>ROUND(IF(AND(F307:H307),C307*E307*F307*G307*H307,IF(AND(F307,G307),C307*E307*F307*G307,IF(AND(F307,H307),C307*E307*F307*H307,IF(AND(G307,H307),C307*E307*G307*H307,IF(F307,C307*E307*F307,IF(G307,C307*E307*G307,IF(H307,C307*E307*H307,C307*E307))))))),2)</f>
        <v>40.5</v>
      </c>
      <c r="J307" s="1267" t="s">
        <v>5</v>
      </c>
      <c r="K307" s="902"/>
      <c r="L307" s="896"/>
      <c r="M307" s="902"/>
      <c r="N307" s="900" t="s">
        <v>2308</v>
      </c>
    </row>
    <row r="308" spans="1:14" s="910" customFormat="1" ht="16.5" hidden="1" customHeight="1">
      <c r="A308" s="896"/>
      <c r="B308" s="902" t="s">
        <v>1600</v>
      </c>
      <c r="C308" s="897">
        <v>1</v>
      </c>
      <c r="D308" s="1263" t="s">
        <v>273</v>
      </c>
      <c r="E308" s="919">
        <v>4</v>
      </c>
      <c r="F308" s="920">
        <v>1.5</v>
      </c>
      <c r="G308" s="920">
        <v>1.5</v>
      </c>
      <c r="H308" s="920">
        <v>1.8</v>
      </c>
      <c r="I308" s="1266">
        <f>ROUND(IF(AND(F308:H308),C308*E308*F308*G308*H308,IF(AND(F308,G308),C308*E308*F308*G308,IF(AND(F308,H308),C308*E308*F308*H308,IF(AND(G308,H308),C308*E308*G308*H308,IF(F308,C308*E308*F308,IF(G308,C308*E308*G308,IF(H308,C308*E308*H308,C308*E308))))))),2)</f>
        <v>16.2</v>
      </c>
      <c r="J308" s="1267" t="s">
        <v>5</v>
      </c>
      <c r="K308" s="902"/>
      <c r="L308" s="896"/>
      <c r="M308" s="902"/>
      <c r="N308" s="900" t="s">
        <v>2308</v>
      </c>
    </row>
    <row r="309" spans="1:14" s="910" customFormat="1" ht="16.5" hidden="1" customHeight="1">
      <c r="A309" s="896"/>
      <c r="B309" s="902" t="s">
        <v>1607</v>
      </c>
      <c r="C309" s="897"/>
      <c r="D309" s="1263"/>
      <c r="E309" s="919"/>
      <c r="F309" s="920"/>
      <c r="G309" s="920"/>
      <c r="H309" s="920"/>
      <c r="I309" s="1266">
        <v>-16.2</v>
      </c>
      <c r="J309" s="1267" t="s">
        <v>5</v>
      </c>
      <c r="K309" s="902"/>
      <c r="L309" s="896"/>
      <c r="M309" s="902"/>
      <c r="N309" s="900" t="s">
        <v>2308</v>
      </c>
    </row>
    <row r="310" spans="1:14" s="910" customFormat="1" ht="16.5" hidden="1" customHeight="1">
      <c r="A310" s="896"/>
      <c r="B310" s="956"/>
      <c r="C310" s="957"/>
      <c r="D310" s="958"/>
      <c r="E310" s="1268"/>
      <c r="F310" s="960"/>
      <c r="G310" s="960"/>
      <c r="H310" s="960"/>
      <c r="I310" s="916"/>
      <c r="J310" s="955"/>
      <c r="K310" s="902"/>
      <c r="L310" s="923"/>
      <c r="M310" s="902"/>
      <c r="N310" s="900" t="s">
        <v>2308</v>
      </c>
    </row>
    <row r="311" spans="1:14" ht="15.75" hidden="1">
      <c r="A311" s="896"/>
      <c r="B311" s="902"/>
      <c r="C311" s="917"/>
      <c r="D311" s="918"/>
      <c r="E311" s="919"/>
      <c r="F311" s="920"/>
      <c r="G311" s="921"/>
      <c r="H311" s="896"/>
      <c r="I311" s="916"/>
      <c r="J311" s="955" t="s">
        <v>5</v>
      </c>
      <c r="K311" s="922">
        <f>data!G1913</f>
        <v>265.36</v>
      </c>
      <c r="L311" s="923" t="s">
        <v>2308</v>
      </c>
      <c r="M311" s="924">
        <f>ROUND(I311*K311,0)</f>
        <v>0</v>
      </c>
      <c r="N311" s="900" t="s">
        <v>2308</v>
      </c>
    </row>
    <row r="312" spans="1:14" ht="29.25" hidden="1" customHeight="1">
      <c r="A312" s="896">
        <v>4</v>
      </c>
      <c r="B312" s="1609" t="s">
        <v>282</v>
      </c>
      <c r="C312" s="1609"/>
      <c r="D312" s="1609"/>
      <c r="E312" s="1609"/>
      <c r="F312" s="1609"/>
      <c r="G312" s="1609"/>
      <c r="H312" s="1609"/>
      <c r="I312" s="897"/>
      <c r="J312" s="898"/>
      <c r="K312" s="896"/>
      <c r="L312" s="923"/>
      <c r="M312" s="899"/>
      <c r="N312" s="900" t="s">
        <v>2309</v>
      </c>
    </row>
    <row r="313" spans="1:14" s="910" customFormat="1" ht="16.5" hidden="1" customHeight="1">
      <c r="A313" s="896"/>
      <c r="B313" s="928" t="s">
        <v>3538</v>
      </c>
      <c r="C313" s="1269"/>
      <c r="D313" s="1279"/>
      <c r="E313" s="1270"/>
      <c r="F313" s="1271"/>
      <c r="G313" s="1271"/>
      <c r="H313" s="1271"/>
      <c r="I313" s="1272"/>
      <c r="J313" s="1265"/>
      <c r="K313" s="902"/>
      <c r="L313" s="896"/>
      <c r="M313" s="902"/>
      <c r="N313" s="900" t="s">
        <v>2309</v>
      </c>
    </row>
    <row r="314" spans="1:14" s="910" customFormat="1" ht="16.5" hidden="1" customHeight="1">
      <c r="A314" s="896"/>
      <c r="B314" s="902" t="s">
        <v>1599</v>
      </c>
      <c r="C314" s="897">
        <v>1</v>
      </c>
      <c r="D314" s="1263" t="s">
        <v>273</v>
      </c>
      <c r="E314" s="919">
        <v>10</v>
      </c>
      <c r="F314" s="920">
        <v>1.5</v>
      </c>
      <c r="G314" s="920">
        <v>1.5</v>
      </c>
      <c r="H314" s="920">
        <v>1.8</v>
      </c>
      <c r="I314" s="1266">
        <f>ROUND(IF(AND(F314:H314),C314*E314*F314*G314*H314,IF(AND(F314,G314),C314*E314*F314*G314,IF(AND(F314,H314),C314*E314*F314*H314,IF(AND(G314,H314),C314*E314*G314*H314,IF(F314,C314*E314*F314,IF(G314,C314*E314*G314,IF(H314,C314*E314*H314,C314*E314))))))),2)</f>
        <v>40.5</v>
      </c>
      <c r="J314" s="1267" t="s">
        <v>5</v>
      </c>
      <c r="K314" s="902"/>
      <c r="L314" s="896"/>
      <c r="M314" s="902"/>
      <c r="N314" s="900" t="s">
        <v>2309</v>
      </c>
    </row>
    <row r="315" spans="1:14" s="910" customFormat="1" ht="16.5" hidden="1" customHeight="1">
      <c r="A315" s="896"/>
      <c r="B315" s="902" t="s">
        <v>1600</v>
      </c>
      <c r="C315" s="897">
        <v>1</v>
      </c>
      <c r="D315" s="1263" t="s">
        <v>273</v>
      </c>
      <c r="E315" s="919">
        <v>4</v>
      </c>
      <c r="F315" s="920">
        <v>1.5</v>
      </c>
      <c r="G315" s="920">
        <v>1.5</v>
      </c>
      <c r="H315" s="920">
        <v>1.8</v>
      </c>
      <c r="I315" s="1266">
        <f>ROUND(IF(AND(F315:H315),C315*E315*F315*G315*H315,IF(AND(F315,G315),C315*E315*F315*G315,IF(AND(F315,H315),C315*E315*F315*H315,IF(AND(G315,H315),C315*E315*G315*H315,IF(F315,C315*E315*F315,IF(G315,C315*E315*G315,IF(H315,C315*E315*H315,C315*E315))))))),2)</f>
        <v>16.2</v>
      </c>
      <c r="J315" s="1267" t="s">
        <v>5</v>
      </c>
      <c r="K315" s="902"/>
      <c r="L315" s="896"/>
      <c r="M315" s="902"/>
      <c r="N315" s="900" t="s">
        <v>2309</v>
      </c>
    </row>
    <row r="316" spans="1:14" s="910" customFormat="1" ht="16.5" hidden="1" customHeight="1">
      <c r="A316" s="896"/>
      <c r="B316" s="902" t="s">
        <v>1607</v>
      </c>
      <c r="C316" s="897"/>
      <c r="D316" s="1263"/>
      <c r="E316" s="919"/>
      <c r="F316" s="920"/>
      <c r="G316" s="920"/>
      <c r="H316" s="920"/>
      <c r="I316" s="1266">
        <v>-16.2</v>
      </c>
      <c r="J316" s="1267" t="s">
        <v>5</v>
      </c>
      <c r="K316" s="902"/>
      <c r="L316" s="896"/>
      <c r="M316" s="902"/>
      <c r="N316" s="900" t="s">
        <v>2309</v>
      </c>
    </row>
    <row r="317" spans="1:14" s="910" customFormat="1" ht="16.5" hidden="1" customHeight="1">
      <c r="A317" s="896"/>
      <c r="B317" s="956"/>
      <c r="C317" s="957"/>
      <c r="D317" s="958"/>
      <c r="E317" s="1268"/>
      <c r="F317" s="960"/>
      <c r="G317" s="960"/>
      <c r="H317" s="960"/>
      <c r="I317" s="916"/>
      <c r="J317" s="955"/>
      <c r="K317" s="902"/>
      <c r="L317" s="923"/>
      <c r="M317" s="902"/>
      <c r="N317" s="900" t="s">
        <v>2309</v>
      </c>
    </row>
    <row r="318" spans="1:14" ht="15.75" hidden="1">
      <c r="A318" s="896"/>
      <c r="B318" s="902"/>
      <c r="C318" s="917"/>
      <c r="D318" s="918"/>
      <c r="E318" s="919"/>
      <c r="F318" s="920"/>
      <c r="G318" s="921"/>
      <c r="H318" s="896"/>
      <c r="I318" s="916"/>
      <c r="J318" s="955" t="s">
        <v>5</v>
      </c>
      <c r="K318" s="922">
        <f>data!G2830</f>
        <v>284.39999999999998</v>
      </c>
      <c r="L318" s="923" t="s">
        <v>2309</v>
      </c>
      <c r="M318" s="924">
        <f>ROUND(I318*K318,0)</f>
        <v>0</v>
      </c>
      <c r="N318" s="900" t="s">
        <v>2309</v>
      </c>
    </row>
    <row r="319" spans="1:14" s="1403" customFormat="1" ht="87.75" customHeight="1">
      <c r="A319" s="1397">
        <v>6</v>
      </c>
      <c r="B319" s="1610" t="s">
        <v>1569</v>
      </c>
      <c r="C319" s="1610"/>
      <c r="D319" s="1610"/>
      <c r="E319" s="1610"/>
      <c r="F319" s="1610"/>
      <c r="G319" s="1610"/>
      <c r="H319" s="1610"/>
      <c r="I319" s="1398"/>
      <c r="J319" s="1399"/>
      <c r="K319" s="1397"/>
      <c r="L319" s="1400"/>
      <c r="M319" s="1401"/>
      <c r="N319" s="1402" t="s">
        <v>2209</v>
      </c>
    </row>
    <row r="320" spans="1:14" s="1411" customFormat="1" ht="16.5" customHeight="1">
      <c r="A320" s="1397"/>
      <c r="B320" s="1404" t="s">
        <v>3896</v>
      </c>
      <c r="C320" s="1405"/>
      <c r="D320" s="1395" t="s">
        <v>4014</v>
      </c>
      <c r="E320" s="1406"/>
      <c r="F320" s="1407"/>
      <c r="G320" s="1407"/>
      <c r="H320" s="1407"/>
      <c r="I320" s="1408"/>
      <c r="J320" s="1409"/>
      <c r="K320" s="1410"/>
      <c r="L320" s="1400"/>
      <c r="M320" s="1410"/>
      <c r="N320" s="1402" t="s">
        <v>2209</v>
      </c>
    </row>
    <row r="321" spans="1:14" s="1411" customFormat="1" ht="18" customHeight="1">
      <c r="A321" s="1397"/>
      <c r="B321" s="1410" t="s">
        <v>3688</v>
      </c>
      <c r="C321" s="1398">
        <v>1</v>
      </c>
      <c r="D321" s="1412" t="s">
        <v>273</v>
      </c>
      <c r="E321" s="1413">
        <v>3</v>
      </c>
      <c r="F321" s="1414">
        <v>1.1499999999999999</v>
      </c>
      <c r="G321" s="1414">
        <v>1.1499999999999999</v>
      </c>
      <c r="H321" s="1414">
        <v>0.3</v>
      </c>
      <c r="I321" s="1415">
        <f t="shared" ref="I321:I323" si="30">ROUND(IF(AND(F321:H321),C321*E321*F321*G321*H321,IF(AND(F321,G321),C321*E321*F321*G321,IF(AND(F321,H321),C321*E321*F321*H321,IF(AND(G321,H321),C321*E321*G321*H321,IF(F321,C321*E321*F321,IF(G321,C321*E321*G321,IF(H321,C321*E321*H321,C321*E321))))))),2)</f>
        <v>1.19</v>
      </c>
      <c r="J321" s="1416" t="s">
        <v>5</v>
      </c>
      <c r="K321" s="1410"/>
      <c r="L321" s="1400"/>
      <c r="M321" s="1410"/>
      <c r="N321" s="1402" t="s">
        <v>2209</v>
      </c>
    </row>
    <row r="322" spans="1:14" s="1411" customFormat="1" ht="18" customHeight="1">
      <c r="A322" s="1397"/>
      <c r="B322" s="1410" t="s">
        <v>3689</v>
      </c>
      <c r="C322" s="1398">
        <v>1</v>
      </c>
      <c r="D322" s="1412" t="s">
        <v>273</v>
      </c>
      <c r="E322" s="1413">
        <v>9</v>
      </c>
      <c r="F322" s="1414">
        <v>1.4</v>
      </c>
      <c r="G322" s="1414">
        <v>1.4</v>
      </c>
      <c r="H322" s="1414">
        <v>0.32500000000000001</v>
      </c>
      <c r="I322" s="1415">
        <f t="shared" si="30"/>
        <v>5.73</v>
      </c>
      <c r="J322" s="1416" t="s">
        <v>5</v>
      </c>
      <c r="K322" s="1410"/>
      <c r="L322" s="1400"/>
      <c r="M322" s="1410"/>
      <c r="N322" s="1402" t="s">
        <v>2209</v>
      </c>
    </row>
    <row r="323" spans="1:14" s="1411" customFormat="1" ht="18" customHeight="1">
      <c r="A323" s="1397"/>
      <c r="B323" s="1410" t="s">
        <v>3690</v>
      </c>
      <c r="C323" s="1398">
        <v>1</v>
      </c>
      <c r="D323" s="1412" t="s">
        <v>273</v>
      </c>
      <c r="E323" s="1413">
        <v>3</v>
      </c>
      <c r="F323" s="1414">
        <v>1.55</v>
      </c>
      <c r="G323" s="1414">
        <v>1.55</v>
      </c>
      <c r="H323" s="1414">
        <v>0.35</v>
      </c>
      <c r="I323" s="1415">
        <f t="shared" si="30"/>
        <v>2.52</v>
      </c>
      <c r="J323" s="1416" t="s">
        <v>5</v>
      </c>
      <c r="K323" s="1410"/>
      <c r="L323" s="1400"/>
      <c r="M323" s="1410"/>
      <c r="N323" s="1402" t="s">
        <v>2209</v>
      </c>
    </row>
    <row r="324" spans="1:14" s="1411" customFormat="1" ht="16.5" customHeight="1">
      <c r="A324" s="1397"/>
      <c r="B324" s="1425"/>
      <c r="C324" s="1426"/>
      <c r="D324" s="1427"/>
      <c r="E324" s="1428"/>
      <c r="F324" s="1429"/>
      <c r="G324" s="1429"/>
      <c r="H324" s="1429"/>
      <c r="I324" s="1430"/>
      <c r="J324" s="1423"/>
      <c r="K324" s="1410"/>
      <c r="L324" s="1400"/>
      <c r="M324" s="1410"/>
      <c r="N324" s="1402" t="s">
        <v>2209</v>
      </c>
    </row>
    <row r="325" spans="1:14" s="1403" customFormat="1" ht="15.75">
      <c r="A325" s="1397"/>
      <c r="B325" s="1410"/>
      <c r="C325" s="1431"/>
      <c r="D325" s="1432"/>
      <c r="E325" s="1413"/>
      <c r="F325" s="1414"/>
      <c r="G325" s="1433"/>
      <c r="H325" s="1397"/>
      <c r="I325" s="1430">
        <f>SUM(I321:I324)</f>
        <v>9.44</v>
      </c>
      <c r="J325" s="1423" t="s">
        <v>5</v>
      </c>
      <c r="K325" s="1434">
        <f>data!G124</f>
        <v>6979.88</v>
      </c>
      <c r="L325" s="1400" t="s">
        <v>2209</v>
      </c>
      <c r="M325" s="1435">
        <f>ROUND(I325*K325,0)</f>
        <v>65890</v>
      </c>
      <c r="N325" s="1402" t="s">
        <v>2209</v>
      </c>
    </row>
    <row r="326" spans="1:14" ht="87.75" hidden="1" customHeight="1">
      <c r="A326" s="896">
        <v>5</v>
      </c>
      <c r="B326" s="1609" t="s">
        <v>1569</v>
      </c>
      <c r="C326" s="1609"/>
      <c r="D326" s="1609"/>
      <c r="E326" s="1609"/>
      <c r="F326" s="1609"/>
      <c r="G326" s="1609"/>
      <c r="H326" s="1609"/>
      <c r="I326" s="897"/>
      <c r="J326" s="898"/>
      <c r="K326" s="896"/>
      <c r="L326" s="923"/>
      <c r="M326" s="899"/>
      <c r="N326" s="900" t="s">
        <v>2297</v>
      </c>
    </row>
    <row r="327" spans="1:14" s="910" customFormat="1" ht="16.5" hidden="1" customHeight="1">
      <c r="A327" s="896"/>
      <c r="B327" s="902" t="s">
        <v>3537</v>
      </c>
      <c r="C327" s="897"/>
      <c r="D327" s="954" t="s">
        <v>3640</v>
      </c>
      <c r="E327" s="919"/>
      <c r="F327" s="920"/>
      <c r="G327" s="920"/>
      <c r="H327" s="920"/>
      <c r="I327" s="1264"/>
      <c r="J327" s="1265"/>
      <c r="K327" s="902"/>
      <c r="L327" s="896"/>
      <c r="M327" s="902"/>
      <c r="N327" s="900" t="s">
        <v>2297</v>
      </c>
    </row>
    <row r="328" spans="1:14" s="910" customFormat="1" ht="16.5" hidden="1" customHeight="1">
      <c r="A328" s="896"/>
      <c r="B328" s="902" t="s">
        <v>3432</v>
      </c>
      <c r="C328" s="897">
        <v>1</v>
      </c>
      <c r="D328" s="1263" t="s">
        <v>273</v>
      </c>
      <c r="E328" s="919">
        <v>3</v>
      </c>
      <c r="F328" s="920">
        <v>1.1499999999999999</v>
      </c>
      <c r="G328" s="920">
        <v>1.1499999999999999</v>
      </c>
      <c r="H328" s="920">
        <v>0.3</v>
      </c>
      <c r="I328" s="1266">
        <f t="shared" ref="I328:I330" si="31">ROUND(IF(AND(F328:H328),C328*E328*F328*G328*H328,IF(AND(F328,G328),C328*E328*F328*G328,IF(AND(F328,H328),C328*E328*F328*H328,IF(AND(G328,H328),C328*E328*G328*H328,IF(F328,C328*E328*F328,IF(G328,C328*E328*G328,IF(H328,C328*E328*H328,C328*E328))))))),2)</f>
        <v>1.19</v>
      </c>
      <c r="J328" s="1267" t="s">
        <v>5</v>
      </c>
      <c r="K328" s="902"/>
      <c r="L328" s="896"/>
      <c r="M328" s="902"/>
      <c r="N328" s="900" t="s">
        <v>2297</v>
      </c>
    </row>
    <row r="329" spans="1:14" s="910" customFormat="1" ht="16.5" hidden="1" customHeight="1">
      <c r="A329" s="896"/>
      <c r="B329" s="902" t="s">
        <v>2485</v>
      </c>
      <c r="C329" s="897">
        <v>1</v>
      </c>
      <c r="D329" s="1263" t="s">
        <v>273</v>
      </c>
      <c r="E329" s="919">
        <v>9</v>
      </c>
      <c r="F329" s="920">
        <v>1.4</v>
      </c>
      <c r="G329" s="920">
        <v>1.4</v>
      </c>
      <c r="H329" s="920">
        <v>0.32500000000000001</v>
      </c>
      <c r="I329" s="1266">
        <f t="shared" ref="I329" si="32">ROUND(IF(AND(F329:H329),C329*E329*F329*G329*H329,IF(AND(F329,G329),C329*E329*F329*G329,IF(AND(F329,H329),C329*E329*F329*H329,IF(AND(G329,H329),C329*E329*G329*H329,IF(F329,C329*E329*F329,IF(G329,C329*E329*G329,IF(H329,C329*E329*H329,C329*E329))))))),2)</f>
        <v>5.73</v>
      </c>
      <c r="J329" s="1267" t="s">
        <v>5</v>
      </c>
      <c r="K329" s="902"/>
      <c r="L329" s="896"/>
      <c r="M329" s="902"/>
      <c r="N329" s="900" t="s">
        <v>2297</v>
      </c>
    </row>
    <row r="330" spans="1:14" s="910" customFormat="1" ht="16.5" hidden="1" customHeight="1">
      <c r="A330" s="896"/>
      <c r="B330" s="902" t="s">
        <v>3302</v>
      </c>
      <c r="C330" s="897">
        <v>1</v>
      </c>
      <c r="D330" s="1263" t="s">
        <v>273</v>
      </c>
      <c r="E330" s="919">
        <v>3</v>
      </c>
      <c r="F330" s="920">
        <v>1.55</v>
      </c>
      <c r="G330" s="920">
        <v>1.55</v>
      </c>
      <c r="H330" s="920">
        <v>0.35</v>
      </c>
      <c r="I330" s="1266">
        <f t="shared" si="31"/>
        <v>2.52</v>
      </c>
      <c r="J330" s="1267" t="s">
        <v>5</v>
      </c>
      <c r="K330" s="902"/>
      <c r="L330" s="896"/>
      <c r="M330" s="902"/>
      <c r="N330" s="900" t="s">
        <v>2297</v>
      </c>
    </row>
    <row r="331" spans="1:14" s="910" customFormat="1" ht="16.5" hidden="1" customHeight="1">
      <c r="A331" s="896"/>
      <c r="B331" s="956"/>
      <c r="C331" s="957"/>
      <c r="D331" s="958"/>
      <c r="E331" s="1268"/>
      <c r="F331" s="960"/>
      <c r="G331" s="960"/>
      <c r="H331" s="960"/>
      <c r="I331" s="916"/>
      <c r="J331" s="955"/>
      <c r="K331" s="902"/>
      <c r="L331" s="923"/>
      <c r="M331" s="902"/>
      <c r="N331" s="900" t="s">
        <v>2297</v>
      </c>
    </row>
    <row r="332" spans="1:14" ht="15.75" hidden="1">
      <c r="A332" s="896"/>
      <c r="B332" s="902"/>
      <c r="C332" s="917"/>
      <c r="D332" s="918"/>
      <c r="E332" s="919"/>
      <c r="F332" s="920"/>
      <c r="G332" s="921"/>
      <c r="H332" s="896"/>
      <c r="I332" s="916"/>
      <c r="J332" s="955" t="s">
        <v>5</v>
      </c>
      <c r="K332" s="922">
        <f>data!G1040</f>
        <v>7288.23</v>
      </c>
      <c r="L332" s="923" t="s">
        <v>2297</v>
      </c>
      <c r="M332" s="924">
        <f>ROUND(I332*K332,0)</f>
        <v>0</v>
      </c>
      <c r="N332" s="900" t="s">
        <v>2297</v>
      </c>
    </row>
    <row r="333" spans="1:14" ht="87.75" hidden="1" customHeight="1">
      <c r="A333" s="896">
        <v>11</v>
      </c>
      <c r="B333" s="1609" t="s">
        <v>1569</v>
      </c>
      <c r="C333" s="1609"/>
      <c r="D333" s="1609"/>
      <c r="E333" s="1609"/>
      <c r="F333" s="1609"/>
      <c r="G333" s="1609"/>
      <c r="H333" s="1609"/>
      <c r="I333" s="897"/>
      <c r="J333" s="898"/>
      <c r="K333" s="896"/>
      <c r="L333" s="923"/>
      <c r="M333" s="899"/>
      <c r="N333" s="900" t="s">
        <v>2308</v>
      </c>
    </row>
    <row r="334" spans="1:14" s="910" customFormat="1" ht="16.5" hidden="1" customHeight="1">
      <c r="A334" s="896"/>
      <c r="B334" s="902" t="s">
        <v>3796</v>
      </c>
      <c r="C334" s="897"/>
      <c r="D334" s="954" t="s">
        <v>3817</v>
      </c>
      <c r="E334" s="919"/>
      <c r="F334" s="920"/>
      <c r="G334" s="920"/>
      <c r="H334" s="920"/>
      <c r="I334" s="1264"/>
      <c r="J334" s="1265"/>
      <c r="K334" s="902"/>
      <c r="L334" s="896"/>
      <c r="M334" s="902"/>
      <c r="N334" s="900" t="s">
        <v>2308</v>
      </c>
    </row>
    <row r="335" spans="1:14" s="910" customFormat="1" ht="16.5" hidden="1" customHeight="1">
      <c r="A335" s="896"/>
      <c r="B335" s="902" t="s">
        <v>3795</v>
      </c>
      <c r="C335" s="897">
        <v>1</v>
      </c>
      <c r="D335" s="1263" t="s">
        <v>273</v>
      </c>
      <c r="E335" s="919">
        <v>2</v>
      </c>
      <c r="F335" s="920">
        <v>1.2</v>
      </c>
      <c r="G335" s="920">
        <v>0.5</v>
      </c>
      <c r="H335" s="920">
        <v>0.05</v>
      </c>
      <c r="I335" s="1266">
        <f t="shared" ref="I335:I336" si="33">ROUND(IF(AND(F335:H335),C335*E335*F335*G335*H335,IF(AND(F335,G335),C335*E335*F335*G335,IF(AND(F335,H335),C335*E335*F335*H335,IF(AND(G335,H335),C335*E335*G335*H335,IF(F335,C335*E335*F335,IF(G335,C335*E335*G335,IF(H335,C335*E335*H335,C335*E335))))))),2)</f>
        <v>0.06</v>
      </c>
      <c r="J335" s="1267" t="s">
        <v>5</v>
      </c>
      <c r="K335" s="902"/>
      <c r="L335" s="896"/>
      <c r="M335" s="902"/>
      <c r="N335" s="900" t="s">
        <v>2308</v>
      </c>
    </row>
    <row r="336" spans="1:14" s="910" customFormat="1" ht="16.5" hidden="1" customHeight="1">
      <c r="A336" s="896"/>
      <c r="B336" s="902"/>
      <c r="C336" s="897">
        <v>1</v>
      </c>
      <c r="D336" s="1263" t="s">
        <v>273</v>
      </c>
      <c r="E336" s="919">
        <v>1</v>
      </c>
      <c r="F336" s="920">
        <v>2.15</v>
      </c>
      <c r="G336" s="920">
        <v>0.45</v>
      </c>
      <c r="H336" s="920">
        <v>0.05</v>
      </c>
      <c r="I336" s="1266">
        <f t="shared" si="33"/>
        <v>0.05</v>
      </c>
      <c r="J336" s="1267" t="s">
        <v>5</v>
      </c>
      <c r="K336" s="902"/>
      <c r="L336" s="896"/>
      <c r="M336" s="902"/>
      <c r="N336" s="900" t="s">
        <v>2308</v>
      </c>
    </row>
    <row r="337" spans="1:14" s="910" customFormat="1" ht="16.5" hidden="1" customHeight="1">
      <c r="A337" s="896"/>
      <c r="B337" s="956"/>
      <c r="C337" s="957"/>
      <c r="D337" s="958"/>
      <c r="E337" s="1268"/>
      <c r="F337" s="960"/>
      <c r="G337" s="960"/>
      <c r="H337" s="960"/>
      <c r="I337" s="916"/>
      <c r="J337" s="955"/>
      <c r="K337" s="902"/>
      <c r="L337" s="923"/>
      <c r="M337" s="902"/>
      <c r="N337" s="900" t="s">
        <v>2308</v>
      </c>
    </row>
    <row r="338" spans="1:14" ht="15.75" hidden="1">
      <c r="A338" s="896"/>
      <c r="B338" s="902"/>
      <c r="C338" s="917"/>
      <c r="D338" s="918"/>
      <c r="E338" s="919"/>
      <c r="F338" s="920"/>
      <c r="G338" s="921"/>
      <c r="H338" s="896"/>
      <c r="I338" s="916"/>
      <c r="J338" s="955" t="s">
        <v>5</v>
      </c>
      <c r="K338" s="922">
        <f>data!G1957</f>
        <v>7685.43</v>
      </c>
      <c r="L338" s="923" t="s">
        <v>2308</v>
      </c>
      <c r="M338" s="924">
        <f>ROUND(I338*K338,0)</f>
        <v>0</v>
      </c>
      <c r="N338" s="900" t="s">
        <v>2308</v>
      </c>
    </row>
    <row r="339" spans="1:14" ht="87.75" hidden="1" customHeight="1">
      <c r="A339" s="896">
        <v>5</v>
      </c>
      <c r="B339" s="1609" t="s">
        <v>1569</v>
      </c>
      <c r="C339" s="1609"/>
      <c r="D339" s="1609"/>
      <c r="E339" s="1609"/>
      <c r="F339" s="1609"/>
      <c r="G339" s="1609"/>
      <c r="H339" s="1609"/>
      <c r="I339" s="897"/>
      <c r="J339" s="898"/>
      <c r="K339" s="896"/>
      <c r="L339" s="923"/>
      <c r="M339" s="899"/>
      <c r="N339" s="900" t="s">
        <v>2309</v>
      </c>
    </row>
    <row r="340" spans="1:14" s="910" customFormat="1" ht="16.5" hidden="1" customHeight="1">
      <c r="A340" s="896"/>
      <c r="B340" s="928" t="s">
        <v>3552</v>
      </c>
      <c r="C340" s="1269"/>
      <c r="D340" s="1279"/>
      <c r="E340" s="1270"/>
      <c r="F340" s="1271"/>
      <c r="G340" s="1271"/>
      <c r="H340" s="1271"/>
      <c r="I340" s="1272"/>
      <c r="J340" s="1265"/>
      <c r="K340" s="902"/>
      <c r="L340" s="896"/>
      <c r="M340" s="902"/>
      <c r="N340" s="900" t="s">
        <v>2309</v>
      </c>
    </row>
    <row r="341" spans="1:14" s="910" customFormat="1" ht="16.5" hidden="1" customHeight="1">
      <c r="A341" s="896"/>
      <c r="B341" s="902" t="s">
        <v>1604</v>
      </c>
      <c r="C341" s="897">
        <v>1</v>
      </c>
      <c r="D341" s="1263" t="s">
        <v>273</v>
      </c>
      <c r="E341" s="919">
        <v>1</v>
      </c>
      <c r="F341" s="920">
        <v>1.35</v>
      </c>
      <c r="G341" s="920">
        <v>1.35</v>
      </c>
      <c r="H341" s="920">
        <v>0.3</v>
      </c>
      <c r="I341" s="1266">
        <f>ROUND(IF(AND(F341:H341),C341*E341*F341*G341*H341,IF(AND(F341,G341),C341*E341*F341*G341,IF(AND(F341,H341),C341*E341*F341*H341,IF(AND(G341,H341),C341*E341*G341*H341,IF(F341,C341*E341*F341,IF(G341,C341*E341*G341,IF(H341,C341*E341*H341,C341*E341))))))),2)</f>
        <v>0.55000000000000004</v>
      </c>
      <c r="J341" s="1267" t="s">
        <v>5</v>
      </c>
      <c r="K341" s="902"/>
      <c r="L341" s="896"/>
      <c r="M341" s="902"/>
      <c r="N341" s="900" t="s">
        <v>2309</v>
      </c>
    </row>
    <row r="342" spans="1:14" s="910" customFormat="1" ht="16.5" hidden="1" customHeight="1">
      <c r="A342" s="896"/>
      <c r="B342" s="956"/>
      <c r="C342" s="957"/>
      <c r="D342" s="958"/>
      <c r="E342" s="1268"/>
      <c r="F342" s="960"/>
      <c r="G342" s="960"/>
      <c r="H342" s="960"/>
      <c r="I342" s="916"/>
      <c r="J342" s="955"/>
      <c r="K342" s="902"/>
      <c r="L342" s="923"/>
      <c r="M342" s="902"/>
      <c r="N342" s="900" t="s">
        <v>2309</v>
      </c>
    </row>
    <row r="343" spans="1:14" ht="15.75" hidden="1">
      <c r="A343" s="896"/>
      <c r="B343" s="902"/>
      <c r="C343" s="917"/>
      <c r="D343" s="918"/>
      <c r="E343" s="919"/>
      <c r="F343" s="920"/>
      <c r="G343" s="921"/>
      <c r="H343" s="896"/>
      <c r="I343" s="916"/>
      <c r="J343" s="955" t="s">
        <v>5</v>
      </c>
      <c r="K343" s="922">
        <f>data!G2874</f>
        <v>8062.18</v>
      </c>
      <c r="L343" s="923" t="s">
        <v>2309</v>
      </c>
      <c r="M343" s="924">
        <f>ROUND(I343*K343,0)</f>
        <v>0</v>
      </c>
      <c r="N343" s="900" t="s">
        <v>2309</v>
      </c>
    </row>
    <row r="344" spans="1:14" s="1403" customFormat="1" ht="17.25" customHeight="1">
      <c r="A344" s="1397">
        <v>7</v>
      </c>
      <c r="B344" s="1610" t="s">
        <v>300</v>
      </c>
      <c r="C344" s="1610"/>
      <c r="D344" s="1610"/>
      <c r="E344" s="1610"/>
      <c r="F344" s="1610"/>
      <c r="G344" s="1610"/>
      <c r="H344" s="1610"/>
      <c r="I344" s="1398"/>
      <c r="J344" s="1399"/>
      <c r="K344" s="1397"/>
      <c r="L344" s="1400"/>
      <c r="M344" s="1401"/>
      <c r="N344" s="1402" t="s">
        <v>2209</v>
      </c>
    </row>
    <row r="345" spans="1:14" s="1411" customFormat="1" ht="16.5" customHeight="1">
      <c r="A345" s="1397"/>
      <c r="B345" s="1404" t="s">
        <v>3881</v>
      </c>
      <c r="C345" s="1405"/>
      <c r="D345" s="1395" t="s">
        <v>4014</v>
      </c>
      <c r="E345" s="1406"/>
      <c r="F345" s="1407"/>
      <c r="G345" s="1407"/>
      <c r="H345" s="1407"/>
      <c r="I345" s="1408"/>
      <c r="J345" s="1423"/>
      <c r="K345" s="1410"/>
      <c r="L345" s="1397"/>
      <c r="M345" s="1410"/>
      <c r="N345" s="1402" t="s">
        <v>2209</v>
      </c>
    </row>
    <row r="346" spans="1:14" s="1411" customFormat="1" ht="16.5" customHeight="1">
      <c r="A346" s="1397"/>
      <c r="B346" s="1436"/>
      <c r="C346" s="1398">
        <v>1</v>
      </c>
      <c r="D346" s="1412" t="s">
        <v>273</v>
      </c>
      <c r="E346" s="1413">
        <v>15</v>
      </c>
      <c r="F346" s="1414">
        <v>0.45</v>
      </c>
      <c r="G346" s="1414">
        <v>0.45</v>
      </c>
      <c r="H346" s="1414">
        <v>0.45</v>
      </c>
      <c r="I346" s="1415">
        <f t="shared" ref="I346" si="34">ROUND(IF(AND(F346:H346),C346*E346*F346*G346*H346,IF(AND(F346,G346),C346*E346*F346*G346,IF(AND(F346,H346),C346*E346*F346*H346,IF(AND(G346,H346),C346*E346*G346*H346,IF(F346,C346*E346*F346,IF(G346,C346*E346*G346,IF(H346,C346*E346*H346,C346*E346))))))),2)</f>
        <v>1.37</v>
      </c>
      <c r="J346" s="1423" t="s">
        <v>5</v>
      </c>
      <c r="K346" s="1410"/>
      <c r="L346" s="1397"/>
      <c r="M346" s="1410"/>
      <c r="N346" s="1402" t="s">
        <v>2209</v>
      </c>
    </row>
    <row r="347" spans="1:14" s="1411" customFormat="1" ht="16.5" customHeight="1">
      <c r="A347" s="1397"/>
      <c r="B347" s="1437"/>
      <c r="C347" s="1398"/>
      <c r="D347" s="1412"/>
      <c r="E347" s="1413"/>
      <c r="F347" s="1414"/>
      <c r="G347" s="1414"/>
      <c r="H347" s="1414"/>
      <c r="I347" s="1415"/>
      <c r="J347" s="1423"/>
      <c r="K347" s="1410"/>
      <c r="L347" s="1400"/>
      <c r="M347" s="1410"/>
      <c r="N347" s="1402" t="s">
        <v>2209</v>
      </c>
    </row>
    <row r="348" spans="1:14" s="1403" customFormat="1" ht="15.75">
      <c r="A348" s="1397"/>
      <c r="B348" s="1410"/>
      <c r="C348" s="1431"/>
      <c r="D348" s="1432"/>
      <c r="E348" s="1413"/>
      <c r="F348" s="1414"/>
      <c r="G348" s="1433"/>
      <c r="H348" s="1397"/>
      <c r="I348" s="1430">
        <f>SUM(I346:I347)</f>
        <v>1.37</v>
      </c>
      <c r="J348" s="1423" t="s">
        <v>5</v>
      </c>
      <c r="K348" s="1434">
        <f>data!G129</f>
        <v>7392.88</v>
      </c>
      <c r="L348" s="1400" t="s">
        <v>2209</v>
      </c>
      <c r="M348" s="1435">
        <f>ROUND(I348*K348,0)</f>
        <v>10128</v>
      </c>
      <c r="N348" s="1402" t="s">
        <v>2209</v>
      </c>
    </row>
    <row r="349" spans="1:14" ht="17.25" hidden="1" customHeight="1">
      <c r="A349" s="896">
        <v>6</v>
      </c>
      <c r="B349" s="1609" t="s">
        <v>300</v>
      </c>
      <c r="C349" s="1609"/>
      <c r="D349" s="1609"/>
      <c r="E349" s="1609"/>
      <c r="F349" s="1609"/>
      <c r="G349" s="1609"/>
      <c r="H349" s="1609"/>
      <c r="I349" s="897"/>
      <c r="J349" s="898"/>
      <c r="K349" s="896"/>
      <c r="L349" s="923"/>
      <c r="M349" s="899"/>
      <c r="N349" s="900" t="s">
        <v>2297</v>
      </c>
    </row>
    <row r="350" spans="1:14" s="910" customFormat="1" ht="16.5" hidden="1" customHeight="1">
      <c r="A350" s="896"/>
      <c r="B350" s="902" t="s">
        <v>3538</v>
      </c>
      <c r="C350" s="897"/>
      <c r="D350" s="954" t="s">
        <v>3640</v>
      </c>
      <c r="E350" s="919"/>
      <c r="F350" s="920"/>
      <c r="G350" s="920"/>
      <c r="H350" s="920"/>
      <c r="I350" s="1264"/>
      <c r="J350" s="955"/>
      <c r="K350" s="902"/>
      <c r="L350" s="896"/>
      <c r="M350" s="902"/>
      <c r="N350" s="900" t="s">
        <v>2297</v>
      </c>
    </row>
    <row r="351" spans="1:14" s="910" customFormat="1" ht="16.5" hidden="1" customHeight="1">
      <c r="A351" s="896"/>
      <c r="B351" s="962"/>
      <c r="C351" s="897">
        <v>1</v>
      </c>
      <c r="D351" s="1263" t="s">
        <v>273</v>
      </c>
      <c r="E351" s="919">
        <v>15</v>
      </c>
      <c r="F351" s="920">
        <v>0.45</v>
      </c>
      <c r="G351" s="920">
        <v>0.45</v>
      </c>
      <c r="H351" s="920">
        <v>0.45</v>
      </c>
      <c r="I351" s="1266">
        <f t="shared" ref="I351" si="35">ROUND(IF(AND(F351:H351),C351*E351*F351*G351*H351,IF(AND(F351,G351),C351*E351*F351*G351,IF(AND(F351,H351),C351*E351*F351*H351,IF(AND(G351,H351),C351*E351*G351*H351,IF(F351,C351*E351*F351,IF(G351,C351*E351*G351,IF(H351,C351*E351*H351,C351*E351))))))),2)</f>
        <v>1.37</v>
      </c>
      <c r="J351" s="955" t="s">
        <v>5</v>
      </c>
      <c r="K351" s="902"/>
      <c r="L351" s="896"/>
      <c r="M351" s="902"/>
      <c r="N351" s="900" t="s">
        <v>2297</v>
      </c>
    </row>
    <row r="352" spans="1:14" s="910" customFormat="1" ht="16.5" hidden="1" customHeight="1">
      <c r="A352" s="896"/>
      <c r="B352" s="962"/>
      <c r="C352" s="897"/>
      <c r="D352" s="1263"/>
      <c r="E352" s="919"/>
      <c r="F352" s="920"/>
      <c r="G352" s="920"/>
      <c r="H352" s="920"/>
      <c r="I352" s="1266"/>
      <c r="J352" s="955"/>
      <c r="K352" s="902"/>
      <c r="L352" s="923"/>
      <c r="M352" s="902"/>
      <c r="N352" s="900" t="s">
        <v>2297</v>
      </c>
    </row>
    <row r="353" spans="1:14" ht="15.75" hidden="1">
      <c r="A353" s="896"/>
      <c r="B353" s="902"/>
      <c r="C353" s="917"/>
      <c r="D353" s="918"/>
      <c r="E353" s="919"/>
      <c r="F353" s="920"/>
      <c r="G353" s="921"/>
      <c r="H353" s="896"/>
      <c r="I353" s="916"/>
      <c r="J353" s="955" t="s">
        <v>5</v>
      </c>
      <c r="K353" s="922">
        <f>data!G1045</f>
        <v>7701.23</v>
      </c>
      <c r="L353" s="923" t="s">
        <v>2297</v>
      </c>
      <c r="M353" s="924">
        <f>ROUND(I353*K353,0)</f>
        <v>0</v>
      </c>
      <c r="N353" s="900" t="s">
        <v>2297</v>
      </c>
    </row>
    <row r="354" spans="1:14" ht="17.25" hidden="1" customHeight="1">
      <c r="A354" s="896">
        <v>6</v>
      </c>
      <c r="B354" s="1609" t="s">
        <v>300</v>
      </c>
      <c r="C354" s="1609"/>
      <c r="D354" s="1609"/>
      <c r="E354" s="1609"/>
      <c r="F354" s="1609"/>
      <c r="G354" s="1609"/>
      <c r="H354" s="1609"/>
      <c r="I354" s="897"/>
      <c r="J354" s="898"/>
      <c r="K354" s="896"/>
      <c r="L354" s="923"/>
      <c r="M354" s="899"/>
      <c r="N354" s="900" t="s">
        <v>2308</v>
      </c>
    </row>
    <row r="355" spans="1:14" s="910" customFormat="1" ht="16.5" hidden="1" customHeight="1">
      <c r="A355" s="896"/>
      <c r="B355" s="928" t="s">
        <v>3540</v>
      </c>
      <c r="C355" s="1269"/>
      <c r="D355" s="1279"/>
      <c r="E355" s="1270"/>
      <c r="F355" s="1271"/>
      <c r="G355" s="1271"/>
      <c r="H355" s="1271"/>
      <c r="I355" s="1272"/>
      <c r="J355" s="955"/>
      <c r="K355" s="902"/>
      <c r="L355" s="896"/>
      <c r="M355" s="902"/>
      <c r="N355" s="900" t="s">
        <v>2308</v>
      </c>
    </row>
    <row r="356" spans="1:14" s="910" customFormat="1" ht="16.5" hidden="1" customHeight="1">
      <c r="A356" s="896"/>
      <c r="B356" s="1004"/>
      <c r="C356" s="897">
        <v>1</v>
      </c>
      <c r="D356" s="1263" t="s">
        <v>273</v>
      </c>
      <c r="E356" s="919">
        <v>18</v>
      </c>
      <c r="F356" s="920">
        <v>0.45</v>
      </c>
      <c r="G356" s="920">
        <v>0.45</v>
      </c>
      <c r="H356" s="920">
        <v>0.45</v>
      </c>
      <c r="I356" s="1266">
        <f>ROUND(IF(AND(F356:H356),C356*E356*F356*G356*H356,IF(AND(F356,G356),C356*E356*F356*G356,IF(AND(F356,H356),C356*E356*F356*H356,IF(AND(G356,H356),C356*E356*G356*H356,IF(F356,C356*E356*F356,IF(G356,C356*E356*G356,IF(H356,C356*E356*H356,C356*E356))))))),2)</f>
        <v>1.64</v>
      </c>
      <c r="J356" s="955" t="s">
        <v>5</v>
      </c>
      <c r="K356" s="902"/>
      <c r="L356" s="896"/>
      <c r="M356" s="902"/>
      <c r="N356" s="900" t="s">
        <v>2308</v>
      </c>
    </row>
    <row r="357" spans="1:14" s="910" customFormat="1" ht="16.5" hidden="1" customHeight="1">
      <c r="A357" s="896"/>
      <c r="B357" s="962"/>
      <c r="C357" s="897"/>
      <c r="D357" s="1263"/>
      <c r="E357" s="919"/>
      <c r="F357" s="920"/>
      <c r="G357" s="920"/>
      <c r="H357" s="920"/>
      <c r="I357" s="1266"/>
      <c r="J357" s="955"/>
      <c r="K357" s="902"/>
      <c r="L357" s="923"/>
      <c r="M357" s="902"/>
      <c r="N357" s="900" t="s">
        <v>2308</v>
      </c>
    </row>
    <row r="358" spans="1:14" ht="15.75" hidden="1">
      <c r="A358" s="896"/>
      <c r="B358" s="902"/>
      <c r="C358" s="917"/>
      <c r="D358" s="918"/>
      <c r="E358" s="919"/>
      <c r="F358" s="920"/>
      <c r="G358" s="921"/>
      <c r="H358" s="896"/>
      <c r="I358" s="916"/>
      <c r="J358" s="955" t="s">
        <v>5</v>
      </c>
      <c r="K358" s="922">
        <f>data!G1962</f>
        <v>8124.43</v>
      </c>
      <c r="L358" s="923" t="s">
        <v>2308</v>
      </c>
      <c r="M358" s="924">
        <f>ROUND(I358*K358,0)</f>
        <v>0</v>
      </c>
      <c r="N358" s="900" t="s">
        <v>2308</v>
      </c>
    </row>
    <row r="359" spans="1:14" ht="17.25" hidden="1" customHeight="1">
      <c r="A359" s="896">
        <v>6</v>
      </c>
      <c r="B359" s="1609" t="s">
        <v>300</v>
      </c>
      <c r="C359" s="1609"/>
      <c r="D359" s="1609"/>
      <c r="E359" s="1609"/>
      <c r="F359" s="1609"/>
      <c r="G359" s="1609"/>
      <c r="H359" s="1609"/>
      <c r="I359" s="897"/>
      <c r="J359" s="898"/>
      <c r="K359" s="896"/>
      <c r="L359" s="923"/>
      <c r="M359" s="899"/>
      <c r="N359" s="900" t="s">
        <v>2309</v>
      </c>
    </row>
    <row r="360" spans="1:14" s="910" customFormat="1" ht="16.5" hidden="1" customHeight="1">
      <c r="A360" s="896"/>
      <c r="B360" s="928" t="s">
        <v>3540</v>
      </c>
      <c r="C360" s="1269"/>
      <c r="D360" s="1279"/>
      <c r="E360" s="1270"/>
      <c r="F360" s="1271"/>
      <c r="G360" s="1271"/>
      <c r="H360" s="1271"/>
      <c r="I360" s="1272"/>
      <c r="J360" s="955"/>
      <c r="K360" s="902"/>
      <c r="L360" s="896"/>
      <c r="M360" s="902"/>
      <c r="N360" s="900" t="s">
        <v>2309</v>
      </c>
    </row>
    <row r="361" spans="1:14" s="910" customFormat="1" ht="16.5" hidden="1" customHeight="1">
      <c r="A361" s="896"/>
      <c r="B361" s="1004"/>
      <c r="C361" s="897">
        <v>1</v>
      </c>
      <c r="D361" s="1263" t="s">
        <v>273</v>
      </c>
      <c r="E361" s="919">
        <v>18</v>
      </c>
      <c r="F361" s="920">
        <v>0.45</v>
      </c>
      <c r="G361" s="920">
        <v>0.45</v>
      </c>
      <c r="H361" s="920">
        <v>0.45</v>
      </c>
      <c r="I361" s="1266">
        <f>ROUND(IF(AND(F361:H361),C361*E361*F361*G361*H361,IF(AND(F361,G361),C361*E361*F361*G361,IF(AND(F361,H361),C361*E361*F361*H361,IF(AND(G361,H361),C361*E361*G361*H361,IF(F361,C361*E361*F361,IF(G361,C361*E361*G361,IF(H361,C361*E361*H361,C361*E361))))))),2)</f>
        <v>1.64</v>
      </c>
      <c r="J361" s="955" t="s">
        <v>5</v>
      </c>
      <c r="K361" s="902"/>
      <c r="L361" s="896"/>
      <c r="M361" s="902"/>
      <c r="N361" s="900" t="s">
        <v>2309</v>
      </c>
    </row>
    <row r="362" spans="1:14" s="910" customFormat="1" ht="16.5" hidden="1" customHeight="1">
      <c r="A362" s="896"/>
      <c r="B362" s="962"/>
      <c r="C362" s="897"/>
      <c r="D362" s="1263"/>
      <c r="E362" s="919"/>
      <c r="F362" s="920"/>
      <c r="G362" s="920"/>
      <c r="H362" s="920"/>
      <c r="I362" s="1266"/>
      <c r="J362" s="955"/>
      <c r="K362" s="902"/>
      <c r="L362" s="923"/>
      <c r="M362" s="902"/>
      <c r="N362" s="900" t="s">
        <v>2309</v>
      </c>
    </row>
    <row r="363" spans="1:14" ht="15.75" hidden="1">
      <c r="A363" s="896"/>
      <c r="B363" s="902"/>
      <c r="C363" s="917"/>
      <c r="D363" s="918"/>
      <c r="E363" s="919"/>
      <c r="F363" s="920"/>
      <c r="G363" s="921"/>
      <c r="H363" s="896"/>
      <c r="I363" s="916"/>
      <c r="J363" s="955" t="s">
        <v>5</v>
      </c>
      <c r="K363" s="922">
        <f>data!G2879</f>
        <v>8501.18</v>
      </c>
      <c r="L363" s="923" t="s">
        <v>2309</v>
      </c>
      <c r="M363" s="924">
        <f>ROUND(I363*K363,0)</f>
        <v>0</v>
      </c>
      <c r="N363" s="900" t="s">
        <v>2309</v>
      </c>
    </row>
    <row r="364" spans="1:14" s="1403" customFormat="1" ht="17.25" customHeight="1">
      <c r="A364" s="1397">
        <v>8</v>
      </c>
      <c r="B364" s="1610" t="s">
        <v>301</v>
      </c>
      <c r="C364" s="1610"/>
      <c r="D364" s="1610"/>
      <c r="E364" s="1610"/>
      <c r="F364" s="1610"/>
      <c r="G364" s="1610"/>
      <c r="H364" s="1610"/>
      <c r="I364" s="1398"/>
      <c r="J364" s="1399"/>
      <c r="K364" s="1397"/>
      <c r="L364" s="1400"/>
      <c r="M364" s="1401"/>
      <c r="N364" s="1402" t="s">
        <v>2209</v>
      </c>
    </row>
    <row r="365" spans="1:14" s="1411" customFormat="1" ht="16.5" customHeight="1">
      <c r="A365" s="1397"/>
      <c r="B365" s="1404" t="s">
        <v>3897</v>
      </c>
      <c r="C365" s="1405"/>
      <c r="D365" s="1395" t="s">
        <v>4014</v>
      </c>
      <c r="E365" s="1406"/>
      <c r="F365" s="1407"/>
      <c r="G365" s="1407"/>
      <c r="H365" s="1407"/>
      <c r="I365" s="1408"/>
      <c r="J365" s="1409"/>
      <c r="K365" s="1410"/>
      <c r="L365" s="1397"/>
      <c r="M365" s="1410"/>
      <c r="N365" s="1402" t="s">
        <v>2209</v>
      </c>
    </row>
    <row r="366" spans="1:14" s="1411" customFormat="1" ht="16.5" customHeight="1">
      <c r="A366" s="1397"/>
      <c r="B366" s="1410" t="s">
        <v>3898</v>
      </c>
      <c r="C366" s="1398">
        <v>1</v>
      </c>
      <c r="D366" s="1412" t="s">
        <v>273</v>
      </c>
      <c r="E366" s="1413">
        <v>1</v>
      </c>
      <c r="F366" s="1414">
        <v>0.23</v>
      </c>
      <c r="G366" s="1414">
        <v>0.38</v>
      </c>
      <c r="H366" s="1414">
        <v>1.2</v>
      </c>
      <c r="I366" s="1415">
        <f t="shared" ref="I366:I372" si="36">ROUND(IF(AND(F366:H366),C366*E366*F366*G366*H366,IF(AND(F366,G366),C366*E366*F366*G366,IF(AND(F366,H366),C366*E366*F366*H366,IF(AND(G366,H366),C366*E366*G366*H366,IF(F366,C366*E366*F366,IF(G366,C366*E366*G366,IF(H366,C366*E366*H366,C366*E366))))))),2)</f>
        <v>0.1</v>
      </c>
      <c r="J366" s="1416" t="s">
        <v>5</v>
      </c>
      <c r="K366" s="1410"/>
      <c r="L366" s="1397"/>
      <c r="M366" s="1410"/>
      <c r="N366" s="1402" t="s">
        <v>2209</v>
      </c>
    </row>
    <row r="367" spans="1:14" s="1411" customFormat="1" ht="16.5" customHeight="1">
      <c r="A367" s="1397"/>
      <c r="B367" s="1410" t="s">
        <v>3899</v>
      </c>
      <c r="C367" s="1398">
        <v>1</v>
      </c>
      <c r="D367" s="1412" t="s">
        <v>273</v>
      </c>
      <c r="E367" s="1413">
        <v>5</v>
      </c>
      <c r="F367" s="1414">
        <v>0.23</v>
      </c>
      <c r="G367" s="1414">
        <v>0.38</v>
      </c>
      <c r="H367" s="1414">
        <v>1.35</v>
      </c>
      <c r="I367" s="1415">
        <f t="shared" si="36"/>
        <v>0.59</v>
      </c>
      <c r="J367" s="1416" t="s">
        <v>5</v>
      </c>
      <c r="K367" s="1410"/>
      <c r="L367" s="1397"/>
      <c r="M367" s="1410"/>
      <c r="N367" s="1402" t="s">
        <v>2209</v>
      </c>
    </row>
    <row r="368" spans="1:14" s="1411" customFormat="1" ht="16.5" customHeight="1">
      <c r="A368" s="1397"/>
      <c r="B368" s="1410" t="s">
        <v>3900</v>
      </c>
      <c r="C368" s="1398">
        <v>1</v>
      </c>
      <c r="D368" s="1412" t="s">
        <v>273</v>
      </c>
      <c r="E368" s="1413">
        <v>3</v>
      </c>
      <c r="F368" s="1414">
        <v>0.23</v>
      </c>
      <c r="G368" s="1414">
        <v>0.38</v>
      </c>
      <c r="H368" s="1414">
        <v>1.45</v>
      </c>
      <c r="I368" s="1415">
        <f t="shared" si="36"/>
        <v>0.38</v>
      </c>
      <c r="J368" s="1416" t="s">
        <v>5</v>
      </c>
      <c r="K368" s="1410"/>
      <c r="L368" s="1397"/>
      <c r="M368" s="1410"/>
      <c r="N368" s="1402" t="s">
        <v>2209</v>
      </c>
    </row>
    <row r="369" spans="1:14" s="1411" customFormat="1" ht="16.5" customHeight="1">
      <c r="A369" s="1397"/>
      <c r="B369" s="1410" t="s">
        <v>3901</v>
      </c>
      <c r="C369" s="1398">
        <v>1</v>
      </c>
      <c r="D369" s="1412" t="s">
        <v>273</v>
      </c>
      <c r="E369" s="1413">
        <v>2</v>
      </c>
      <c r="F369" s="1414">
        <v>0.23</v>
      </c>
      <c r="G369" s="1414">
        <v>0.38</v>
      </c>
      <c r="H369" s="1414">
        <v>1.5</v>
      </c>
      <c r="I369" s="1415">
        <f t="shared" si="36"/>
        <v>0.26</v>
      </c>
      <c r="J369" s="1416" t="s">
        <v>5</v>
      </c>
      <c r="K369" s="1410"/>
      <c r="L369" s="1397"/>
      <c r="M369" s="1410"/>
      <c r="N369" s="1402" t="s">
        <v>2209</v>
      </c>
    </row>
    <row r="370" spans="1:14" s="1411" customFormat="1" ht="16.5" customHeight="1">
      <c r="A370" s="1397"/>
      <c r="B370" s="1410" t="s">
        <v>3902</v>
      </c>
      <c r="C370" s="1398">
        <v>1</v>
      </c>
      <c r="D370" s="1412" t="s">
        <v>273</v>
      </c>
      <c r="E370" s="1413">
        <v>1</v>
      </c>
      <c r="F370" s="1414">
        <v>0.23</v>
      </c>
      <c r="G370" s="1414">
        <v>0.38</v>
      </c>
      <c r="H370" s="1414">
        <v>1.65</v>
      </c>
      <c r="I370" s="1415">
        <f t="shared" si="36"/>
        <v>0.14000000000000001</v>
      </c>
      <c r="J370" s="1416" t="s">
        <v>5</v>
      </c>
      <c r="K370" s="1410"/>
      <c r="L370" s="1397"/>
      <c r="M370" s="1410"/>
      <c r="N370" s="1402" t="s">
        <v>2209</v>
      </c>
    </row>
    <row r="371" spans="1:14" s="1411" customFormat="1" ht="16.5" customHeight="1">
      <c r="A371" s="1397"/>
      <c r="B371" s="1410" t="s">
        <v>3903</v>
      </c>
      <c r="C371" s="1398">
        <v>1</v>
      </c>
      <c r="D371" s="1412" t="s">
        <v>273</v>
      </c>
      <c r="E371" s="1413">
        <v>2</v>
      </c>
      <c r="F371" s="1414">
        <v>0.23</v>
      </c>
      <c r="G371" s="1414">
        <v>0.38</v>
      </c>
      <c r="H371" s="1414">
        <v>1.35</v>
      </c>
      <c r="I371" s="1415">
        <f t="shared" si="36"/>
        <v>0.24</v>
      </c>
      <c r="J371" s="1416" t="s">
        <v>5</v>
      </c>
      <c r="K371" s="1410"/>
      <c r="L371" s="1397"/>
      <c r="M371" s="1410"/>
      <c r="N371" s="1402" t="s">
        <v>2209</v>
      </c>
    </row>
    <row r="372" spans="1:14" s="1411" customFormat="1" ht="16.5" customHeight="1">
      <c r="A372" s="1397"/>
      <c r="B372" s="1410" t="s">
        <v>3904</v>
      </c>
      <c r="C372" s="1398">
        <v>1</v>
      </c>
      <c r="D372" s="1412" t="s">
        <v>273</v>
      </c>
      <c r="E372" s="1413">
        <v>1</v>
      </c>
      <c r="F372" s="1414">
        <v>0.23</v>
      </c>
      <c r="G372" s="1414">
        <v>0.38</v>
      </c>
      <c r="H372" s="1414">
        <v>1.45</v>
      </c>
      <c r="I372" s="1415">
        <f t="shared" si="36"/>
        <v>0.13</v>
      </c>
      <c r="J372" s="1416" t="s">
        <v>5</v>
      </c>
      <c r="K372" s="1410"/>
      <c r="L372" s="1397"/>
      <c r="M372" s="1410"/>
      <c r="N372" s="1402" t="s">
        <v>2209</v>
      </c>
    </row>
    <row r="373" spans="1:14" s="1411" customFormat="1" ht="16.5" customHeight="1">
      <c r="A373" s="1397"/>
      <c r="B373" s="1404" t="s">
        <v>3882</v>
      </c>
      <c r="C373" s="1405"/>
      <c r="D373" s="1395" t="s">
        <v>4015</v>
      </c>
      <c r="E373" s="1406"/>
      <c r="F373" s="1407"/>
      <c r="G373" s="1407"/>
      <c r="H373" s="1407"/>
      <c r="I373" s="1408"/>
      <c r="J373" s="1409"/>
      <c r="K373" s="1410"/>
      <c r="L373" s="1397"/>
      <c r="M373" s="1410"/>
      <c r="N373" s="1402" t="s">
        <v>2209</v>
      </c>
    </row>
    <row r="374" spans="1:14" s="1411" customFormat="1" ht="16.5" customHeight="1">
      <c r="A374" s="1397"/>
      <c r="B374" s="1410" t="s">
        <v>3835</v>
      </c>
      <c r="C374" s="1398">
        <v>1</v>
      </c>
      <c r="D374" s="1412" t="s">
        <v>273</v>
      </c>
      <c r="E374" s="1413">
        <v>15</v>
      </c>
      <c r="F374" s="1414">
        <v>0.23</v>
      </c>
      <c r="G374" s="1414">
        <v>0.38</v>
      </c>
      <c r="H374" s="1414">
        <v>2.9</v>
      </c>
      <c r="I374" s="1415">
        <f t="shared" ref="I374" si="37">ROUND(IF(AND(F374:H374),C374*E374*F374*G374*H374,IF(AND(F374,G374),C374*E374*F374*G374,IF(AND(F374,H374),C374*E374*F374*H374,IF(AND(G374,H374),C374*E374*G374*H374,IF(F374,C374*E374*F374,IF(G374,C374*E374*G374,IF(H374,C374*E374*H374,C374*E374))))))),2)</f>
        <v>3.8</v>
      </c>
      <c r="J374" s="1416" t="s">
        <v>5</v>
      </c>
      <c r="K374" s="1410"/>
      <c r="L374" s="1397"/>
      <c r="M374" s="1410"/>
      <c r="N374" s="1402" t="s">
        <v>2209</v>
      </c>
    </row>
    <row r="375" spans="1:14" s="1411" customFormat="1" ht="16.5" customHeight="1">
      <c r="A375" s="1397"/>
      <c r="B375" s="1410"/>
      <c r="C375" s="1398"/>
      <c r="D375" s="1412"/>
      <c r="E375" s="1413"/>
      <c r="F375" s="1414"/>
      <c r="G375" s="1414"/>
      <c r="H375" s="1414"/>
      <c r="I375" s="1415"/>
      <c r="J375" s="1423"/>
      <c r="K375" s="1410"/>
      <c r="L375" s="1400"/>
      <c r="M375" s="1410"/>
      <c r="N375" s="1402" t="s">
        <v>2209</v>
      </c>
    </row>
    <row r="376" spans="1:14" s="1403" customFormat="1" ht="15.75">
      <c r="A376" s="1397"/>
      <c r="B376" s="1410"/>
      <c r="C376" s="1431"/>
      <c r="D376" s="1432"/>
      <c r="E376" s="1413"/>
      <c r="F376" s="1414"/>
      <c r="G376" s="1433"/>
      <c r="H376" s="1397"/>
      <c r="I376" s="1430">
        <f>SUM(I366:I375)</f>
        <v>5.64</v>
      </c>
      <c r="J376" s="1423" t="s">
        <v>5</v>
      </c>
      <c r="K376" s="1434">
        <f>data!E155</f>
        <v>9116.880000000001</v>
      </c>
      <c r="L376" s="1400" t="s">
        <v>2209</v>
      </c>
      <c r="M376" s="1435">
        <f>ROUND(I376*K376,0)</f>
        <v>51419</v>
      </c>
      <c r="N376" s="1402" t="s">
        <v>2209</v>
      </c>
    </row>
    <row r="377" spans="1:14" ht="17.25" hidden="1" customHeight="1">
      <c r="A377" s="896">
        <v>7</v>
      </c>
      <c r="B377" s="1609" t="s">
        <v>301</v>
      </c>
      <c r="C377" s="1609"/>
      <c r="D377" s="1609"/>
      <c r="E377" s="1609"/>
      <c r="F377" s="1609"/>
      <c r="G377" s="1609"/>
      <c r="H377" s="1609"/>
      <c r="I377" s="897"/>
      <c r="J377" s="898"/>
      <c r="K377" s="896"/>
      <c r="L377" s="923"/>
      <c r="M377" s="899"/>
      <c r="N377" s="900" t="s">
        <v>2297</v>
      </c>
    </row>
    <row r="378" spans="1:14" s="910" customFormat="1" ht="16.5" hidden="1" customHeight="1">
      <c r="A378" s="896"/>
      <c r="B378" s="902" t="s">
        <v>3539</v>
      </c>
      <c r="C378" s="897"/>
      <c r="D378" s="954" t="s">
        <v>3640</v>
      </c>
      <c r="E378" s="919"/>
      <c r="F378" s="920"/>
      <c r="G378" s="920"/>
      <c r="H378" s="920"/>
      <c r="I378" s="1264"/>
      <c r="J378" s="1265"/>
      <c r="K378" s="902"/>
      <c r="L378" s="896"/>
      <c r="M378" s="902"/>
      <c r="N378" s="900" t="s">
        <v>2297</v>
      </c>
    </row>
    <row r="379" spans="1:14" s="910" customFormat="1" ht="16.5" hidden="1" customHeight="1">
      <c r="A379" s="896"/>
      <c r="B379" s="902" t="s">
        <v>3433</v>
      </c>
      <c r="C379" s="897">
        <v>1</v>
      </c>
      <c r="D379" s="1263" t="s">
        <v>273</v>
      </c>
      <c r="E379" s="919">
        <v>3</v>
      </c>
      <c r="F379" s="920">
        <v>0.23</v>
      </c>
      <c r="G379" s="920">
        <v>0.38</v>
      </c>
      <c r="H379" s="920">
        <v>1.4</v>
      </c>
      <c r="I379" s="1266">
        <f t="shared" ref="I379:I381" si="38">ROUND(IF(AND(F379:H379),C379*E379*F379*G379*H379,IF(AND(F379,G379),C379*E379*F379*G379,IF(AND(F379,H379),C379*E379*F379*H379,IF(AND(G379,H379),C379*E379*G379*H379,IF(F379,C379*E379*F379,IF(G379,C379*E379*G379,IF(H379,C379*E379*H379,C379*E379))))))),2)</f>
        <v>0.37</v>
      </c>
      <c r="J379" s="1267" t="s">
        <v>5</v>
      </c>
      <c r="K379" s="902"/>
      <c r="L379" s="896"/>
      <c r="M379" s="902"/>
      <c r="N379" s="900" t="s">
        <v>2297</v>
      </c>
    </row>
    <row r="380" spans="1:14" s="910" customFormat="1" ht="16.5" hidden="1" customHeight="1">
      <c r="A380" s="896"/>
      <c r="B380" s="902" t="s">
        <v>3434</v>
      </c>
      <c r="C380" s="897">
        <v>1</v>
      </c>
      <c r="D380" s="1263" t="s">
        <v>273</v>
      </c>
      <c r="E380" s="919">
        <v>9</v>
      </c>
      <c r="F380" s="920">
        <v>0.23</v>
      </c>
      <c r="G380" s="920">
        <v>0.38</v>
      </c>
      <c r="H380" s="920">
        <v>1.375</v>
      </c>
      <c r="I380" s="1266">
        <f t="shared" si="38"/>
        <v>1.08</v>
      </c>
      <c r="J380" s="1267" t="s">
        <v>5</v>
      </c>
      <c r="K380" s="902"/>
      <c r="L380" s="896"/>
      <c r="M380" s="902"/>
      <c r="N380" s="900" t="s">
        <v>2297</v>
      </c>
    </row>
    <row r="381" spans="1:14" s="910" customFormat="1" ht="16.5" hidden="1" customHeight="1">
      <c r="A381" s="896"/>
      <c r="B381" s="902" t="s">
        <v>3435</v>
      </c>
      <c r="C381" s="897">
        <v>1</v>
      </c>
      <c r="D381" s="1263" t="s">
        <v>273</v>
      </c>
      <c r="E381" s="919">
        <v>3</v>
      </c>
      <c r="F381" s="920">
        <v>0.23</v>
      </c>
      <c r="G381" s="920">
        <v>0.38</v>
      </c>
      <c r="H381" s="920">
        <v>1.35</v>
      </c>
      <c r="I381" s="1266">
        <f t="shared" si="38"/>
        <v>0.35</v>
      </c>
      <c r="J381" s="1267" t="s">
        <v>5</v>
      </c>
      <c r="K381" s="902"/>
      <c r="L381" s="896"/>
      <c r="M381" s="902"/>
      <c r="N381" s="900" t="s">
        <v>2297</v>
      </c>
    </row>
    <row r="382" spans="1:14" s="910" customFormat="1" ht="16.5" hidden="1" customHeight="1">
      <c r="A382" s="896"/>
      <c r="B382" s="902" t="s">
        <v>3516</v>
      </c>
      <c r="C382" s="897"/>
      <c r="D382" s="954" t="s">
        <v>3638</v>
      </c>
      <c r="E382" s="919"/>
      <c r="F382" s="920"/>
      <c r="G382" s="920"/>
      <c r="H382" s="920"/>
      <c r="I382" s="1264"/>
      <c r="J382" s="1265"/>
      <c r="K382" s="902"/>
      <c r="L382" s="896"/>
      <c r="M382" s="902"/>
      <c r="N382" s="900" t="s">
        <v>2297</v>
      </c>
    </row>
    <row r="383" spans="1:14" s="910" customFormat="1" ht="16.5" hidden="1" customHeight="1">
      <c r="A383" s="896"/>
      <c r="B383" s="902"/>
      <c r="C383" s="897">
        <v>1</v>
      </c>
      <c r="D383" s="1263" t="s">
        <v>273</v>
      </c>
      <c r="E383" s="919">
        <v>15</v>
      </c>
      <c r="F383" s="920">
        <v>0.23</v>
      </c>
      <c r="G383" s="920">
        <v>0.38</v>
      </c>
      <c r="H383" s="920">
        <v>2.875</v>
      </c>
      <c r="I383" s="1266">
        <f t="shared" ref="I383" si="39">ROUND(IF(AND(F383:H383),C383*E383*F383*G383*H383,IF(AND(F383,G383),C383*E383*F383*G383,IF(AND(F383,H383),C383*E383*F383*H383,IF(AND(G383,H383),C383*E383*G383*H383,IF(F383,C383*E383*F383,IF(G383,C383*E383*G383,IF(H383,C383*E383*H383,C383*E383))))))),2)</f>
        <v>3.77</v>
      </c>
      <c r="J383" s="1267" t="s">
        <v>5</v>
      </c>
      <c r="K383" s="902"/>
      <c r="L383" s="896"/>
      <c r="M383" s="902"/>
      <c r="N383" s="900" t="s">
        <v>2297</v>
      </c>
    </row>
    <row r="384" spans="1:14" s="910" customFormat="1" ht="16.5" hidden="1" customHeight="1">
      <c r="A384" s="896"/>
      <c r="B384" s="902" t="s">
        <v>3525</v>
      </c>
      <c r="C384" s="897"/>
      <c r="D384" s="954" t="s">
        <v>3641</v>
      </c>
      <c r="E384" s="919"/>
      <c r="F384" s="920"/>
      <c r="G384" s="920"/>
      <c r="H384" s="920"/>
      <c r="I384" s="1264"/>
      <c r="J384" s="1265"/>
      <c r="K384" s="902"/>
      <c r="L384" s="896"/>
      <c r="M384" s="902"/>
      <c r="N384" s="900" t="s">
        <v>2297</v>
      </c>
    </row>
    <row r="385" spans="1:14" s="910" customFormat="1" ht="16.5" hidden="1" customHeight="1">
      <c r="A385" s="896"/>
      <c r="B385" s="902" t="s">
        <v>2719</v>
      </c>
      <c r="C385" s="897">
        <v>1</v>
      </c>
      <c r="D385" s="1263" t="s">
        <v>273</v>
      </c>
      <c r="E385" s="919">
        <v>15</v>
      </c>
      <c r="F385" s="920">
        <v>0.23</v>
      </c>
      <c r="G385" s="920">
        <v>0.38</v>
      </c>
      <c r="H385" s="920">
        <v>0.9</v>
      </c>
      <c r="I385" s="1266">
        <f t="shared" ref="I385" si="40">ROUND(IF(AND(F385:H385),C385*E385*F385*G385*H385,IF(AND(F385,G385),C385*E385*F385*G385,IF(AND(F385,H385),C385*E385*F385*H385,IF(AND(G385,H385),C385*E385*G385*H385,IF(F385,C385*E385*F385,IF(G385,C385*E385*G385,IF(H385,C385*E385*H385,C385*E385))))))),2)</f>
        <v>1.18</v>
      </c>
      <c r="J385" s="1267" t="s">
        <v>5</v>
      </c>
      <c r="K385" s="902"/>
      <c r="L385" s="896"/>
      <c r="M385" s="902"/>
      <c r="N385" s="900" t="s">
        <v>2297</v>
      </c>
    </row>
    <row r="386" spans="1:14" s="910" customFormat="1" ht="16.5" hidden="1" customHeight="1">
      <c r="A386" s="896"/>
      <c r="B386" s="956"/>
      <c r="C386" s="957"/>
      <c r="D386" s="958"/>
      <c r="E386" s="1268"/>
      <c r="F386" s="960"/>
      <c r="G386" s="960"/>
      <c r="H386" s="960"/>
      <c r="I386" s="916"/>
      <c r="J386" s="955"/>
      <c r="K386" s="902"/>
      <c r="L386" s="923"/>
      <c r="M386" s="902"/>
      <c r="N386" s="900" t="s">
        <v>2297</v>
      </c>
    </row>
    <row r="387" spans="1:14" ht="15.75" hidden="1">
      <c r="A387" s="896"/>
      <c r="B387" s="902"/>
      <c r="C387" s="917"/>
      <c r="D387" s="918"/>
      <c r="E387" s="919"/>
      <c r="F387" s="920"/>
      <c r="G387" s="921"/>
      <c r="H387" s="896"/>
      <c r="I387" s="916"/>
      <c r="J387" s="955" t="s">
        <v>5</v>
      </c>
      <c r="K387" s="922">
        <f>data!E1071</f>
        <v>9466.93</v>
      </c>
      <c r="L387" s="923" t="s">
        <v>2297</v>
      </c>
      <c r="M387" s="924">
        <f>ROUND(I387*K387,0)</f>
        <v>0</v>
      </c>
      <c r="N387" s="900" t="s">
        <v>2297</v>
      </c>
    </row>
    <row r="388" spans="1:14" ht="17.25" hidden="1" customHeight="1">
      <c r="A388" s="896">
        <v>7</v>
      </c>
      <c r="B388" s="1609" t="s">
        <v>301</v>
      </c>
      <c r="C388" s="1609"/>
      <c r="D388" s="1609"/>
      <c r="E388" s="1609"/>
      <c r="F388" s="1609"/>
      <c r="G388" s="1609"/>
      <c r="H388" s="1609"/>
      <c r="I388" s="897"/>
      <c r="J388" s="898"/>
      <c r="K388" s="896"/>
      <c r="L388" s="923"/>
      <c r="M388" s="899"/>
      <c r="N388" s="900" t="s">
        <v>2308</v>
      </c>
    </row>
    <row r="389" spans="1:14" s="910" customFormat="1" ht="16.5" hidden="1" customHeight="1">
      <c r="A389" s="896"/>
      <c r="B389" s="928" t="s">
        <v>3541</v>
      </c>
      <c r="C389" s="1269"/>
      <c r="D389" s="1279"/>
      <c r="E389" s="1270"/>
      <c r="F389" s="1271"/>
      <c r="G389" s="1271"/>
      <c r="H389" s="1271"/>
      <c r="I389" s="1272"/>
      <c r="J389" s="955"/>
      <c r="K389" s="902"/>
      <c r="L389" s="896"/>
      <c r="M389" s="902"/>
      <c r="N389" s="900" t="s">
        <v>2308</v>
      </c>
    </row>
    <row r="390" spans="1:14" s="910" customFormat="1" ht="16.5" hidden="1" customHeight="1">
      <c r="A390" s="896"/>
      <c r="B390" s="902" t="s">
        <v>1604</v>
      </c>
      <c r="C390" s="897">
        <v>1</v>
      </c>
      <c r="D390" s="1263" t="s">
        <v>273</v>
      </c>
      <c r="E390" s="919">
        <v>1</v>
      </c>
      <c r="F390" s="920">
        <v>0.23</v>
      </c>
      <c r="G390" s="920">
        <v>0.38</v>
      </c>
      <c r="H390" s="920">
        <v>1.72</v>
      </c>
      <c r="I390" s="1266">
        <f t="shared" ref="I390:I397" si="41">ROUND(IF(AND(F390:H390),C390*E390*F390*G390*H390,IF(AND(F390,G390),C390*E390*F390*G390,IF(AND(F390,H390),C390*E390*F390*H390,IF(AND(G390,H390),C390*E390*G390*H390,IF(F390,C390*E390*F390,IF(G390,C390*E390*G390,IF(H390,C390*E390*H390,C390*E390))))))),2)</f>
        <v>0.15</v>
      </c>
      <c r="J390" s="955" t="s">
        <v>5</v>
      </c>
      <c r="K390" s="902"/>
      <c r="L390" s="896"/>
      <c r="M390" s="902"/>
      <c r="N390" s="900" t="s">
        <v>2308</v>
      </c>
    </row>
    <row r="391" spans="1:14" s="910" customFormat="1" ht="16.5" hidden="1" customHeight="1">
      <c r="A391" s="896"/>
      <c r="B391" s="902" t="s">
        <v>1605</v>
      </c>
      <c r="C391" s="897">
        <v>1</v>
      </c>
      <c r="D391" s="1263" t="s">
        <v>273</v>
      </c>
      <c r="E391" s="919">
        <v>1</v>
      </c>
      <c r="F391" s="920">
        <v>0.23</v>
      </c>
      <c r="G391" s="920">
        <v>0.38</v>
      </c>
      <c r="H391" s="920">
        <v>1.79</v>
      </c>
      <c r="I391" s="1266">
        <f t="shared" si="41"/>
        <v>0.16</v>
      </c>
      <c r="J391" s="955" t="s">
        <v>5</v>
      </c>
      <c r="K391" s="902"/>
      <c r="L391" s="896"/>
      <c r="M391" s="902"/>
      <c r="N391" s="900" t="s">
        <v>2308</v>
      </c>
    </row>
    <row r="392" spans="1:14" s="910" customFormat="1" ht="16.5" hidden="1" customHeight="1">
      <c r="A392" s="896"/>
      <c r="B392" s="902" t="s">
        <v>1605</v>
      </c>
      <c r="C392" s="897">
        <v>1</v>
      </c>
      <c r="D392" s="1263" t="s">
        <v>273</v>
      </c>
      <c r="E392" s="919">
        <v>1</v>
      </c>
      <c r="F392" s="920">
        <v>0.23</v>
      </c>
      <c r="G392" s="920">
        <v>0.38</v>
      </c>
      <c r="H392" s="920">
        <v>1.75</v>
      </c>
      <c r="I392" s="1266">
        <f t="shared" si="41"/>
        <v>0.15</v>
      </c>
      <c r="J392" s="955" t="s">
        <v>5</v>
      </c>
      <c r="K392" s="902"/>
      <c r="L392" s="896"/>
      <c r="M392" s="902"/>
      <c r="N392" s="900" t="s">
        <v>2308</v>
      </c>
    </row>
    <row r="393" spans="1:14" s="910" customFormat="1" ht="16.5" hidden="1" customHeight="1">
      <c r="A393" s="896"/>
      <c r="B393" s="902" t="s">
        <v>1606</v>
      </c>
      <c r="C393" s="897">
        <v>1</v>
      </c>
      <c r="D393" s="1263" t="s">
        <v>273</v>
      </c>
      <c r="E393" s="919">
        <v>1</v>
      </c>
      <c r="F393" s="920">
        <v>0.23</v>
      </c>
      <c r="G393" s="920">
        <v>0.38</v>
      </c>
      <c r="H393" s="920">
        <v>1.68</v>
      </c>
      <c r="I393" s="1266">
        <f t="shared" si="41"/>
        <v>0.15</v>
      </c>
      <c r="J393" s="955" t="s">
        <v>5</v>
      </c>
      <c r="K393" s="902"/>
      <c r="L393" s="896"/>
      <c r="M393" s="902"/>
      <c r="N393" s="900" t="s">
        <v>2308</v>
      </c>
    </row>
    <row r="394" spans="1:14" s="910" customFormat="1" ht="16.5" hidden="1" customHeight="1">
      <c r="A394" s="896"/>
      <c r="B394" s="902" t="s">
        <v>1606</v>
      </c>
      <c r="C394" s="897">
        <v>1</v>
      </c>
      <c r="D394" s="1263" t="s">
        <v>273</v>
      </c>
      <c r="E394" s="919">
        <v>1</v>
      </c>
      <c r="F394" s="920">
        <v>0.23</v>
      </c>
      <c r="G394" s="920">
        <v>0.38</v>
      </c>
      <c r="H394" s="920">
        <v>1.74</v>
      </c>
      <c r="I394" s="1266">
        <f t="shared" si="41"/>
        <v>0.15</v>
      </c>
      <c r="J394" s="955" t="s">
        <v>5</v>
      </c>
      <c r="K394" s="902"/>
      <c r="L394" s="896"/>
      <c r="M394" s="902"/>
      <c r="N394" s="900" t="s">
        <v>2308</v>
      </c>
    </row>
    <row r="395" spans="1:14" s="910" customFormat="1" ht="16.5" hidden="1" customHeight="1">
      <c r="A395" s="896"/>
      <c r="B395" s="902" t="s">
        <v>1604</v>
      </c>
      <c r="C395" s="897">
        <v>1</v>
      </c>
      <c r="D395" s="1263" t="s">
        <v>273</v>
      </c>
      <c r="E395" s="919">
        <v>1</v>
      </c>
      <c r="F395" s="920">
        <v>0.23</v>
      </c>
      <c r="G395" s="920">
        <v>0.23</v>
      </c>
      <c r="H395" s="920">
        <v>2.7949999999999999</v>
      </c>
      <c r="I395" s="1266">
        <f t="shared" si="41"/>
        <v>0.15</v>
      </c>
      <c r="J395" s="955" t="s">
        <v>5</v>
      </c>
      <c r="K395" s="902"/>
      <c r="L395" s="896"/>
      <c r="M395" s="902"/>
      <c r="N395" s="900" t="s">
        <v>2308</v>
      </c>
    </row>
    <row r="396" spans="1:14" s="910" customFormat="1" ht="16.5" hidden="1" customHeight="1">
      <c r="A396" s="896"/>
      <c r="B396" s="902" t="s">
        <v>1608</v>
      </c>
      <c r="C396" s="897">
        <v>1</v>
      </c>
      <c r="D396" s="1263" t="s">
        <v>273</v>
      </c>
      <c r="E396" s="919">
        <v>5</v>
      </c>
      <c r="F396" s="920">
        <v>0.23</v>
      </c>
      <c r="G396" s="920">
        <v>0.38</v>
      </c>
      <c r="H396" s="920">
        <v>2.7949999999999999</v>
      </c>
      <c r="I396" s="1266">
        <f t="shared" si="41"/>
        <v>1.22</v>
      </c>
      <c r="J396" s="955" t="s">
        <v>5</v>
      </c>
      <c r="K396" s="902"/>
      <c r="L396" s="896"/>
      <c r="M396" s="902"/>
      <c r="N396" s="900" t="s">
        <v>2308</v>
      </c>
    </row>
    <row r="397" spans="1:14" s="910" customFormat="1" ht="16.5" hidden="1" customHeight="1">
      <c r="A397" s="896"/>
      <c r="B397" s="902" t="s">
        <v>1604</v>
      </c>
      <c r="C397" s="897">
        <v>1</v>
      </c>
      <c r="D397" s="1263" t="s">
        <v>273</v>
      </c>
      <c r="E397" s="919">
        <v>1</v>
      </c>
      <c r="F397" s="920">
        <v>0.23</v>
      </c>
      <c r="G397" s="920">
        <v>0.23</v>
      </c>
      <c r="H397" s="920">
        <v>2.7949999999999999</v>
      </c>
      <c r="I397" s="1266">
        <f t="shared" si="41"/>
        <v>0.15</v>
      </c>
      <c r="J397" s="955" t="s">
        <v>5</v>
      </c>
      <c r="K397" s="902"/>
      <c r="L397" s="896"/>
      <c r="M397" s="902"/>
      <c r="N397" s="900" t="s">
        <v>2308</v>
      </c>
    </row>
    <row r="398" spans="1:14" s="910" customFormat="1" ht="16.5" hidden="1" customHeight="1">
      <c r="A398" s="896"/>
      <c r="B398" s="956"/>
      <c r="C398" s="957"/>
      <c r="D398" s="958"/>
      <c r="E398" s="1268"/>
      <c r="F398" s="960"/>
      <c r="G398" s="960"/>
      <c r="H398" s="960"/>
      <c r="I398" s="916"/>
      <c r="J398" s="955"/>
      <c r="K398" s="902"/>
      <c r="L398" s="923"/>
      <c r="M398" s="902"/>
      <c r="N398" s="900" t="s">
        <v>2308</v>
      </c>
    </row>
    <row r="399" spans="1:14" ht="15.75" hidden="1">
      <c r="A399" s="896"/>
      <c r="B399" s="902"/>
      <c r="C399" s="917"/>
      <c r="D399" s="918"/>
      <c r="E399" s="919"/>
      <c r="F399" s="920"/>
      <c r="G399" s="921"/>
      <c r="H399" s="896"/>
      <c r="I399" s="916"/>
      <c r="J399" s="955" t="s">
        <v>5</v>
      </c>
      <c r="K399" s="922">
        <f>data!E1988</f>
        <v>10004.82</v>
      </c>
      <c r="L399" s="923" t="s">
        <v>2308</v>
      </c>
      <c r="M399" s="924">
        <f>ROUND(I399*K399,0)</f>
        <v>0</v>
      </c>
      <c r="N399" s="900" t="s">
        <v>2308</v>
      </c>
    </row>
    <row r="400" spans="1:14" ht="17.25" hidden="1" customHeight="1">
      <c r="A400" s="896">
        <v>7</v>
      </c>
      <c r="B400" s="1609" t="s">
        <v>301</v>
      </c>
      <c r="C400" s="1609"/>
      <c r="D400" s="1609"/>
      <c r="E400" s="1609"/>
      <c r="F400" s="1609"/>
      <c r="G400" s="1609"/>
      <c r="H400" s="1609"/>
      <c r="I400" s="897"/>
      <c r="J400" s="898"/>
      <c r="K400" s="896"/>
      <c r="L400" s="923"/>
      <c r="M400" s="899"/>
      <c r="N400" s="900" t="s">
        <v>2309</v>
      </c>
    </row>
    <row r="401" spans="1:14" s="910" customFormat="1" ht="16.5" hidden="1" customHeight="1">
      <c r="A401" s="896"/>
      <c r="B401" s="928" t="s">
        <v>3541</v>
      </c>
      <c r="C401" s="1269"/>
      <c r="D401" s="1279"/>
      <c r="E401" s="1270"/>
      <c r="F401" s="1271"/>
      <c r="G401" s="1271"/>
      <c r="H401" s="1271"/>
      <c r="I401" s="1272"/>
      <c r="J401" s="955"/>
      <c r="K401" s="902"/>
      <c r="L401" s="896"/>
      <c r="M401" s="902"/>
      <c r="N401" s="900" t="s">
        <v>2309</v>
      </c>
    </row>
    <row r="402" spans="1:14" s="910" customFormat="1" ht="16.5" hidden="1" customHeight="1">
      <c r="A402" s="896"/>
      <c r="B402" s="902" t="s">
        <v>1604</v>
      </c>
      <c r="C402" s="897">
        <v>1</v>
      </c>
      <c r="D402" s="1263" t="s">
        <v>273</v>
      </c>
      <c r="E402" s="919">
        <v>1</v>
      </c>
      <c r="F402" s="920">
        <v>0.23</v>
      </c>
      <c r="G402" s="920">
        <v>0.38</v>
      </c>
      <c r="H402" s="920">
        <v>1.72</v>
      </c>
      <c r="I402" s="1266">
        <f t="shared" ref="I402:I409" si="42">ROUND(IF(AND(F402:H402),C402*E402*F402*G402*H402,IF(AND(F402,G402),C402*E402*F402*G402,IF(AND(F402,H402),C402*E402*F402*H402,IF(AND(G402,H402),C402*E402*G402*H402,IF(F402,C402*E402*F402,IF(G402,C402*E402*G402,IF(H402,C402*E402*H402,C402*E402))))))),2)</f>
        <v>0.15</v>
      </c>
      <c r="J402" s="955" t="s">
        <v>5</v>
      </c>
      <c r="K402" s="902"/>
      <c r="L402" s="896"/>
      <c r="M402" s="902"/>
      <c r="N402" s="900" t="s">
        <v>2309</v>
      </c>
    </row>
    <row r="403" spans="1:14" s="910" customFormat="1" ht="16.5" hidden="1" customHeight="1">
      <c r="A403" s="896"/>
      <c r="B403" s="902" t="s">
        <v>1605</v>
      </c>
      <c r="C403" s="897">
        <v>1</v>
      </c>
      <c r="D403" s="1263" t="s">
        <v>273</v>
      </c>
      <c r="E403" s="919">
        <v>1</v>
      </c>
      <c r="F403" s="920">
        <v>0.23</v>
      </c>
      <c r="G403" s="920">
        <v>0.38</v>
      </c>
      <c r="H403" s="920">
        <v>1.79</v>
      </c>
      <c r="I403" s="1266">
        <f t="shared" si="42"/>
        <v>0.16</v>
      </c>
      <c r="J403" s="955" t="s">
        <v>5</v>
      </c>
      <c r="K403" s="902"/>
      <c r="L403" s="896"/>
      <c r="M403" s="902"/>
      <c r="N403" s="900" t="s">
        <v>2309</v>
      </c>
    </row>
    <row r="404" spans="1:14" s="910" customFormat="1" ht="16.5" hidden="1" customHeight="1">
      <c r="A404" s="896"/>
      <c r="B404" s="902" t="s">
        <v>1605</v>
      </c>
      <c r="C404" s="897">
        <v>1</v>
      </c>
      <c r="D404" s="1263" t="s">
        <v>273</v>
      </c>
      <c r="E404" s="919">
        <v>1</v>
      </c>
      <c r="F404" s="920">
        <v>0.23</v>
      </c>
      <c r="G404" s="920">
        <v>0.38</v>
      </c>
      <c r="H404" s="920">
        <v>1.75</v>
      </c>
      <c r="I404" s="1266">
        <f t="shared" si="42"/>
        <v>0.15</v>
      </c>
      <c r="J404" s="955" t="s">
        <v>5</v>
      </c>
      <c r="K404" s="902"/>
      <c r="L404" s="896"/>
      <c r="M404" s="902"/>
      <c r="N404" s="900" t="s">
        <v>2309</v>
      </c>
    </row>
    <row r="405" spans="1:14" s="910" customFormat="1" ht="16.5" hidden="1" customHeight="1">
      <c r="A405" s="896"/>
      <c r="B405" s="902" t="s">
        <v>1606</v>
      </c>
      <c r="C405" s="897">
        <v>1</v>
      </c>
      <c r="D405" s="1263" t="s">
        <v>273</v>
      </c>
      <c r="E405" s="919">
        <v>1</v>
      </c>
      <c r="F405" s="920">
        <v>0.23</v>
      </c>
      <c r="G405" s="920">
        <v>0.38</v>
      </c>
      <c r="H405" s="920">
        <v>1.68</v>
      </c>
      <c r="I405" s="1266">
        <f t="shared" si="42"/>
        <v>0.15</v>
      </c>
      <c r="J405" s="955" t="s">
        <v>5</v>
      </c>
      <c r="K405" s="902"/>
      <c r="L405" s="896"/>
      <c r="M405" s="902"/>
      <c r="N405" s="900" t="s">
        <v>2309</v>
      </c>
    </row>
    <row r="406" spans="1:14" s="910" customFormat="1" ht="16.5" hidden="1" customHeight="1">
      <c r="A406" s="896"/>
      <c r="B406" s="902" t="s">
        <v>1606</v>
      </c>
      <c r="C406" s="897">
        <v>1</v>
      </c>
      <c r="D406" s="1263" t="s">
        <v>273</v>
      </c>
      <c r="E406" s="919">
        <v>1</v>
      </c>
      <c r="F406" s="920">
        <v>0.23</v>
      </c>
      <c r="G406" s="920">
        <v>0.38</v>
      </c>
      <c r="H406" s="920">
        <v>1.74</v>
      </c>
      <c r="I406" s="1266">
        <f t="shared" si="42"/>
        <v>0.15</v>
      </c>
      <c r="J406" s="955" t="s">
        <v>5</v>
      </c>
      <c r="K406" s="902"/>
      <c r="L406" s="896"/>
      <c r="M406" s="902"/>
      <c r="N406" s="900" t="s">
        <v>2309</v>
      </c>
    </row>
    <row r="407" spans="1:14" s="910" customFormat="1" ht="16.5" hidden="1" customHeight="1">
      <c r="A407" s="896"/>
      <c r="B407" s="902" t="s">
        <v>1604</v>
      </c>
      <c r="C407" s="897">
        <v>1</v>
      </c>
      <c r="D407" s="1263" t="s">
        <v>273</v>
      </c>
      <c r="E407" s="919">
        <v>1</v>
      </c>
      <c r="F407" s="920">
        <v>0.23</v>
      </c>
      <c r="G407" s="920">
        <v>0.23</v>
      </c>
      <c r="H407" s="920">
        <v>2.7949999999999999</v>
      </c>
      <c r="I407" s="1266">
        <f t="shared" si="42"/>
        <v>0.15</v>
      </c>
      <c r="J407" s="955" t="s">
        <v>5</v>
      </c>
      <c r="K407" s="902"/>
      <c r="L407" s="896"/>
      <c r="M407" s="902"/>
      <c r="N407" s="900" t="s">
        <v>2309</v>
      </c>
    </row>
    <row r="408" spans="1:14" s="910" customFormat="1" ht="16.5" hidden="1" customHeight="1">
      <c r="A408" s="896"/>
      <c r="B408" s="902" t="s">
        <v>1608</v>
      </c>
      <c r="C408" s="897">
        <v>1</v>
      </c>
      <c r="D408" s="1263" t="s">
        <v>273</v>
      </c>
      <c r="E408" s="919">
        <v>5</v>
      </c>
      <c r="F408" s="920">
        <v>0.23</v>
      </c>
      <c r="G408" s="920">
        <v>0.38</v>
      </c>
      <c r="H408" s="920">
        <v>2.7949999999999999</v>
      </c>
      <c r="I408" s="1266">
        <f t="shared" si="42"/>
        <v>1.22</v>
      </c>
      <c r="J408" s="955" t="s">
        <v>5</v>
      </c>
      <c r="K408" s="902"/>
      <c r="L408" s="896"/>
      <c r="M408" s="902"/>
      <c r="N408" s="900" t="s">
        <v>2309</v>
      </c>
    </row>
    <row r="409" spans="1:14" s="910" customFormat="1" ht="16.5" hidden="1" customHeight="1">
      <c r="A409" s="896"/>
      <c r="B409" s="902" t="s">
        <v>1604</v>
      </c>
      <c r="C409" s="897">
        <v>1</v>
      </c>
      <c r="D409" s="1263" t="s">
        <v>273</v>
      </c>
      <c r="E409" s="919">
        <v>1</v>
      </c>
      <c r="F409" s="920">
        <v>0.23</v>
      </c>
      <c r="G409" s="920">
        <v>0.23</v>
      </c>
      <c r="H409" s="920">
        <v>2.7949999999999999</v>
      </c>
      <c r="I409" s="1266">
        <f t="shared" si="42"/>
        <v>0.15</v>
      </c>
      <c r="J409" s="955" t="s">
        <v>5</v>
      </c>
      <c r="K409" s="902"/>
      <c r="L409" s="896"/>
      <c r="M409" s="902"/>
      <c r="N409" s="900" t="s">
        <v>2309</v>
      </c>
    </row>
    <row r="410" spans="1:14" s="910" customFormat="1" ht="16.5" hidden="1" customHeight="1">
      <c r="A410" s="896"/>
      <c r="B410" s="956"/>
      <c r="C410" s="957"/>
      <c r="D410" s="958"/>
      <c r="E410" s="1268"/>
      <c r="F410" s="960"/>
      <c r="G410" s="960"/>
      <c r="H410" s="960"/>
      <c r="I410" s="916"/>
      <c r="J410" s="955"/>
      <c r="K410" s="902"/>
      <c r="L410" s="923"/>
      <c r="M410" s="902"/>
      <c r="N410" s="900" t="s">
        <v>2309</v>
      </c>
    </row>
    <row r="411" spans="1:14" ht="15.75" hidden="1">
      <c r="A411" s="896"/>
      <c r="B411" s="902"/>
      <c r="C411" s="917"/>
      <c r="D411" s="918"/>
      <c r="E411" s="919"/>
      <c r="F411" s="920"/>
      <c r="G411" s="921"/>
      <c r="H411" s="896"/>
      <c r="I411" s="916"/>
      <c r="J411" s="955" t="s">
        <v>5</v>
      </c>
      <c r="K411" s="922">
        <f>data!E2905</f>
        <v>10417.6</v>
      </c>
      <c r="L411" s="923" t="s">
        <v>2309</v>
      </c>
      <c r="M411" s="924">
        <f>ROUND(I411*K411,0)</f>
        <v>0</v>
      </c>
      <c r="N411" s="900" t="s">
        <v>2309</v>
      </c>
    </row>
    <row r="412" spans="1:14" s="1403" customFormat="1" ht="17.25" customHeight="1">
      <c r="A412" s="1397">
        <v>9</v>
      </c>
      <c r="B412" s="1610" t="s">
        <v>302</v>
      </c>
      <c r="C412" s="1610"/>
      <c r="D412" s="1610"/>
      <c r="E412" s="1610"/>
      <c r="F412" s="1610"/>
      <c r="G412" s="1610"/>
      <c r="H412" s="1610"/>
      <c r="I412" s="1398"/>
      <c r="J412" s="1399"/>
      <c r="K412" s="1397"/>
      <c r="L412" s="1400"/>
      <c r="M412" s="1401"/>
      <c r="N412" s="1402" t="s">
        <v>2209</v>
      </c>
    </row>
    <row r="413" spans="1:14" s="1411" customFormat="1" ht="16.5" customHeight="1">
      <c r="A413" s="1397"/>
      <c r="B413" s="1404" t="s">
        <v>3914</v>
      </c>
      <c r="C413" s="1405"/>
      <c r="D413" s="1395" t="s">
        <v>4015</v>
      </c>
      <c r="E413" s="1406"/>
      <c r="F413" s="1407"/>
      <c r="G413" s="1407"/>
      <c r="H413" s="1407"/>
      <c r="I413" s="1408"/>
      <c r="J413" s="1409"/>
      <c r="K413" s="1410"/>
      <c r="L413" s="1397"/>
      <c r="M413" s="1410"/>
      <c r="N413" s="1402" t="s">
        <v>2209</v>
      </c>
    </row>
    <row r="414" spans="1:14" s="1411" customFormat="1" ht="16.5" customHeight="1">
      <c r="A414" s="1397"/>
      <c r="B414" s="1410" t="s">
        <v>3691</v>
      </c>
      <c r="C414" s="1398">
        <v>1</v>
      </c>
      <c r="D414" s="1412" t="s">
        <v>273</v>
      </c>
      <c r="E414" s="1413">
        <v>1</v>
      </c>
      <c r="F414" s="1414">
        <v>13.54</v>
      </c>
      <c r="G414" s="1414">
        <v>0.23</v>
      </c>
      <c r="H414" s="1414">
        <v>0.38</v>
      </c>
      <c r="I414" s="1415">
        <f t="shared" ref="I414:I427" si="43">ROUND(IF(AND(F414:H414),C414*E414*F414*G414*H414,IF(AND(F414,G414),C414*E414*F414*G414,IF(AND(F414,H414),C414*E414*F414*H414,IF(AND(G414,H414),C414*E414*G414*H414,IF(F414,C414*E414*F414,IF(G414,C414*E414*G414,IF(H414,C414*E414*H414,C414*E414))))))),2)</f>
        <v>1.18</v>
      </c>
      <c r="J414" s="1416" t="s">
        <v>5</v>
      </c>
      <c r="K414" s="1410"/>
      <c r="L414" s="1397"/>
      <c r="M414" s="1410"/>
      <c r="N414" s="1402" t="s">
        <v>2209</v>
      </c>
    </row>
    <row r="415" spans="1:14" s="1411" customFormat="1" ht="16.5" customHeight="1">
      <c r="A415" s="1397"/>
      <c r="B415" s="1410" t="s">
        <v>3443</v>
      </c>
      <c r="C415" s="1398">
        <v>1</v>
      </c>
      <c r="D415" s="1412" t="s">
        <v>273</v>
      </c>
      <c r="E415" s="1413">
        <v>1</v>
      </c>
      <c r="F415" s="1414">
        <v>1.36</v>
      </c>
      <c r="G415" s="1414">
        <v>0.23</v>
      </c>
      <c r="H415" s="1414">
        <v>0.38</v>
      </c>
      <c r="I415" s="1415">
        <f t="shared" si="43"/>
        <v>0.12</v>
      </c>
      <c r="J415" s="1416" t="s">
        <v>5</v>
      </c>
      <c r="K415" s="1410"/>
      <c r="L415" s="1397"/>
      <c r="M415" s="1410"/>
      <c r="N415" s="1402" t="s">
        <v>2209</v>
      </c>
    </row>
    <row r="416" spans="1:14" s="1411" customFormat="1" ht="16.5" customHeight="1">
      <c r="A416" s="1397"/>
      <c r="B416" s="1410" t="s">
        <v>3444</v>
      </c>
      <c r="C416" s="1398">
        <v>1</v>
      </c>
      <c r="D416" s="1412" t="s">
        <v>273</v>
      </c>
      <c r="E416" s="1413">
        <v>1</v>
      </c>
      <c r="F416" s="1414">
        <v>1.36</v>
      </c>
      <c r="G416" s="1414">
        <v>0.23</v>
      </c>
      <c r="H416" s="1414">
        <v>0.38</v>
      </c>
      <c r="I416" s="1415">
        <f t="shared" si="43"/>
        <v>0.12</v>
      </c>
      <c r="J416" s="1416" t="s">
        <v>5</v>
      </c>
      <c r="K416" s="1410"/>
      <c r="L416" s="1397"/>
      <c r="M416" s="1410"/>
      <c r="N416" s="1402" t="s">
        <v>2209</v>
      </c>
    </row>
    <row r="417" spans="1:14" s="1411" customFormat="1" ht="16.5" customHeight="1">
      <c r="A417" s="1397"/>
      <c r="B417" s="1410" t="s">
        <v>3052</v>
      </c>
      <c r="C417" s="1398">
        <v>1</v>
      </c>
      <c r="D417" s="1412" t="s">
        <v>273</v>
      </c>
      <c r="E417" s="1413">
        <v>1</v>
      </c>
      <c r="F417" s="1414">
        <v>13.54</v>
      </c>
      <c r="G417" s="1414">
        <v>0.23</v>
      </c>
      <c r="H417" s="1414">
        <v>0.38</v>
      </c>
      <c r="I417" s="1415">
        <f t="shared" si="43"/>
        <v>1.18</v>
      </c>
      <c r="J417" s="1416" t="s">
        <v>5</v>
      </c>
      <c r="K417" s="1410"/>
      <c r="L417" s="1397"/>
      <c r="M417" s="1410"/>
      <c r="N417" s="1402" t="s">
        <v>2209</v>
      </c>
    </row>
    <row r="418" spans="1:14" s="1411" customFormat="1" ht="16.5" customHeight="1">
      <c r="A418" s="1397"/>
      <c r="B418" s="1410" t="s">
        <v>2860</v>
      </c>
      <c r="C418" s="1398">
        <v>1</v>
      </c>
      <c r="D418" s="1412" t="s">
        <v>273</v>
      </c>
      <c r="E418" s="1413">
        <v>1</v>
      </c>
      <c r="F418" s="1414">
        <v>13.54</v>
      </c>
      <c r="G418" s="1414">
        <v>0.23</v>
      </c>
      <c r="H418" s="1414">
        <v>0.38</v>
      </c>
      <c r="I418" s="1415">
        <f t="shared" si="43"/>
        <v>1.18</v>
      </c>
      <c r="J418" s="1416" t="s">
        <v>5</v>
      </c>
      <c r="K418" s="1410"/>
      <c r="L418" s="1397"/>
      <c r="M418" s="1410"/>
      <c r="N418" s="1402" t="s">
        <v>2209</v>
      </c>
    </row>
    <row r="419" spans="1:14" s="1411" customFormat="1" ht="16.5" customHeight="1">
      <c r="A419" s="1397"/>
      <c r="B419" s="1410" t="s">
        <v>3692</v>
      </c>
      <c r="C419" s="1398">
        <v>1</v>
      </c>
      <c r="D419" s="1412" t="s">
        <v>273</v>
      </c>
      <c r="E419" s="1413">
        <v>1</v>
      </c>
      <c r="F419" s="1414">
        <v>5.63</v>
      </c>
      <c r="G419" s="1414">
        <v>0.23</v>
      </c>
      <c r="H419" s="1414">
        <v>0.38</v>
      </c>
      <c r="I419" s="1415">
        <f t="shared" si="43"/>
        <v>0.49</v>
      </c>
      <c r="J419" s="1416" t="s">
        <v>5</v>
      </c>
      <c r="K419" s="1410"/>
      <c r="L419" s="1397"/>
      <c r="M419" s="1410"/>
      <c r="N419" s="1402" t="s">
        <v>2209</v>
      </c>
    </row>
    <row r="420" spans="1:14" s="1411" customFormat="1" ht="16.5" customHeight="1">
      <c r="A420" s="1397"/>
      <c r="B420" s="1410" t="s">
        <v>3693</v>
      </c>
      <c r="C420" s="1398">
        <v>1</v>
      </c>
      <c r="D420" s="1412" t="s">
        <v>273</v>
      </c>
      <c r="E420" s="1413">
        <v>1</v>
      </c>
      <c r="F420" s="1414">
        <v>0.23</v>
      </c>
      <c r="G420" s="1414">
        <v>0.38</v>
      </c>
      <c r="H420" s="1414">
        <v>0.38</v>
      </c>
      <c r="I420" s="1415">
        <f>-ROUND(IF(AND(F420:H420),C420*E420*F420*G420*H420,IF(AND(F420,G420),C420*E420*F420*G420,IF(AND(F420,H420),C420*E420*F420*H420,IF(AND(G420,H420),C420*E420*G420*H420,IF(F420,C420*E420*F420,IF(G420,C420*E420*G420,IF(H420,C420*E420*H420,C420*E420))))))),2)</f>
        <v>-0.03</v>
      </c>
      <c r="J420" s="1416" t="s">
        <v>5</v>
      </c>
      <c r="K420" s="1410"/>
      <c r="L420" s="1397"/>
      <c r="M420" s="1410"/>
      <c r="N420" s="1402" t="s">
        <v>2209</v>
      </c>
    </row>
    <row r="421" spans="1:14" s="1411" customFormat="1" ht="16.5" customHeight="1">
      <c r="A421" s="1397"/>
      <c r="B421" s="1410" t="s">
        <v>3694</v>
      </c>
      <c r="C421" s="1398">
        <v>1</v>
      </c>
      <c r="D421" s="1412" t="s">
        <v>273</v>
      </c>
      <c r="E421" s="1413">
        <v>1</v>
      </c>
      <c r="F421" s="1414">
        <v>2.7</v>
      </c>
      <c r="G421" s="1414">
        <v>0.23</v>
      </c>
      <c r="H421" s="1414">
        <v>0.38</v>
      </c>
      <c r="I421" s="1415">
        <f t="shared" si="43"/>
        <v>0.24</v>
      </c>
      <c r="J421" s="1416" t="s">
        <v>5</v>
      </c>
      <c r="K421" s="1410"/>
      <c r="L421" s="1397"/>
      <c r="M421" s="1410"/>
      <c r="N421" s="1402" t="s">
        <v>2209</v>
      </c>
    </row>
    <row r="422" spans="1:14" s="1411" customFormat="1" ht="16.5" customHeight="1">
      <c r="A422" s="1397"/>
      <c r="B422" s="1410" t="s">
        <v>3695</v>
      </c>
      <c r="C422" s="1398">
        <v>1</v>
      </c>
      <c r="D422" s="1412" t="s">
        <v>273</v>
      </c>
      <c r="E422" s="1413">
        <v>1</v>
      </c>
      <c r="F422" s="1414">
        <v>2.7</v>
      </c>
      <c r="G422" s="1414">
        <v>0.23</v>
      </c>
      <c r="H422" s="1414">
        <v>0.38</v>
      </c>
      <c r="I422" s="1415">
        <f t="shared" si="43"/>
        <v>0.24</v>
      </c>
      <c r="J422" s="1416" t="s">
        <v>5</v>
      </c>
      <c r="K422" s="1410"/>
      <c r="L422" s="1397"/>
      <c r="M422" s="1410"/>
      <c r="N422" s="1402" t="s">
        <v>2209</v>
      </c>
    </row>
    <row r="423" spans="1:14" s="1411" customFormat="1" ht="16.5" customHeight="1">
      <c r="A423" s="1397"/>
      <c r="B423" s="1410" t="s">
        <v>3303</v>
      </c>
      <c r="C423" s="1398">
        <v>1</v>
      </c>
      <c r="D423" s="1412" t="s">
        <v>273</v>
      </c>
      <c r="E423" s="1413">
        <v>1</v>
      </c>
      <c r="F423" s="1414">
        <v>5.93</v>
      </c>
      <c r="G423" s="1414">
        <v>0.23</v>
      </c>
      <c r="H423" s="1414">
        <v>0.35</v>
      </c>
      <c r="I423" s="1415">
        <f t="shared" si="43"/>
        <v>0.48</v>
      </c>
      <c r="J423" s="1416" t="s">
        <v>5</v>
      </c>
      <c r="K423" s="1410"/>
      <c r="L423" s="1397"/>
      <c r="M423" s="1410"/>
      <c r="N423" s="1402" t="s">
        <v>2209</v>
      </c>
    </row>
    <row r="424" spans="1:14" s="1411" customFormat="1" ht="16.5" customHeight="1">
      <c r="A424" s="1397"/>
      <c r="B424" s="1410" t="s">
        <v>3693</v>
      </c>
      <c r="C424" s="1398">
        <v>1</v>
      </c>
      <c r="D424" s="1412" t="s">
        <v>273</v>
      </c>
      <c r="E424" s="1413">
        <v>1</v>
      </c>
      <c r="F424" s="1414">
        <v>0.23</v>
      </c>
      <c r="G424" s="1414">
        <v>0.23</v>
      </c>
      <c r="H424" s="1414">
        <v>0.38</v>
      </c>
      <c r="I424" s="1415">
        <f>-ROUND(IF(AND(F424:H424),C424*E424*F424*G424*H424,IF(AND(F424,G424),C424*E424*F424*G424,IF(AND(F424,H424),C424*E424*F424*H424,IF(AND(G424,H424),C424*E424*G424*H424,IF(F424,C424*E424*F424,IF(G424,C424*E424*G424,IF(H424,C424*E424*H424,C424*E424))))))),2)</f>
        <v>-0.02</v>
      </c>
      <c r="J424" s="1416" t="s">
        <v>5</v>
      </c>
      <c r="K424" s="1410"/>
      <c r="L424" s="1397"/>
      <c r="M424" s="1410"/>
      <c r="N424" s="1402" t="s">
        <v>2209</v>
      </c>
    </row>
    <row r="425" spans="1:14" s="1411" customFormat="1" ht="16.5" customHeight="1">
      <c r="A425" s="1397"/>
      <c r="B425" s="1410" t="s">
        <v>3696</v>
      </c>
      <c r="C425" s="1398">
        <v>1</v>
      </c>
      <c r="D425" s="1412" t="s">
        <v>273</v>
      </c>
      <c r="E425" s="1413">
        <v>1</v>
      </c>
      <c r="F425" s="1414">
        <v>2.7</v>
      </c>
      <c r="G425" s="1414">
        <v>0.23</v>
      </c>
      <c r="H425" s="1414">
        <v>0.38</v>
      </c>
      <c r="I425" s="1415">
        <f t="shared" si="43"/>
        <v>0.24</v>
      </c>
      <c r="J425" s="1416" t="s">
        <v>5</v>
      </c>
      <c r="K425" s="1410"/>
      <c r="L425" s="1397"/>
      <c r="M425" s="1410"/>
      <c r="N425" s="1402" t="s">
        <v>2209</v>
      </c>
    </row>
    <row r="426" spans="1:14" s="1411" customFormat="1" ht="16.5" customHeight="1">
      <c r="A426" s="1397"/>
      <c r="B426" s="1410" t="s">
        <v>3697</v>
      </c>
      <c r="C426" s="1398">
        <v>1</v>
      </c>
      <c r="D426" s="1412" t="s">
        <v>273</v>
      </c>
      <c r="E426" s="1413">
        <v>1</v>
      </c>
      <c r="F426" s="1414">
        <v>2.7</v>
      </c>
      <c r="G426" s="1414">
        <v>0.23</v>
      </c>
      <c r="H426" s="1414">
        <v>0.38</v>
      </c>
      <c r="I426" s="1415">
        <f t="shared" si="43"/>
        <v>0.24</v>
      </c>
      <c r="J426" s="1416" t="s">
        <v>5</v>
      </c>
      <c r="K426" s="1410"/>
      <c r="L426" s="1397"/>
      <c r="M426" s="1410"/>
      <c r="N426" s="1402" t="s">
        <v>2209</v>
      </c>
    </row>
    <row r="427" spans="1:14" s="1411" customFormat="1" ht="16.5" customHeight="1">
      <c r="A427" s="1397"/>
      <c r="B427" s="1410" t="s">
        <v>3698</v>
      </c>
      <c r="C427" s="1398">
        <v>1</v>
      </c>
      <c r="D427" s="1412" t="s">
        <v>273</v>
      </c>
      <c r="E427" s="1413">
        <v>1</v>
      </c>
      <c r="F427" s="1414">
        <v>5.93</v>
      </c>
      <c r="G427" s="1414">
        <v>0.23</v>
      </c>
      <c r="H427" s="1414">
        <v>0.38</v>
      </c>
      <c r="I427" s="1415">
        <f t="shared" si="43"/>
        <v>0.52</v>
      </c>
      <c r="J427" s="1416" t="s">
        <v>5</v>
      </c>
      <c r="K427" s="1410"/>
      <c r="L427" s="1397"/>
      <c r="M427" s="1410"/>
      <c r="N427" s="1402" t="s">
        <v>2209</v>
      </c>
    </row>
    <row r="428" spans="1:14" s="1411" customFormat="1" ht="16.5" customHeight="1">
      <c r="A428" s="1397"/>
      <c r="B428" s="1410" t="s">
        <v>3693</v>
      </c>
      <c r="C428" s="1398">
        <v>1</v>
      </c>
      <c r="D428" s="1412" t="s">
        <v>273</v>
      </c>
      <c r="E428" s="1413">
        <v>1</v>
      </c>
      <c r="F428" s="1414">
        <v>0.23</v>
      </c>
      <c r="G428" s="1414">
        <v>0.38</v>
      </c>
      <c r="H428" s="1414">
        <v>0.38</v>
      </c>
      <c r="I428" s="1415">
        <f>-ROUND(IF(AND(F428:H428),C428*E428*F428*G428*H428,IF(AND(F428,G428),C428*E428*F428*G428,IF(AND(F428,H428),C428*E428*F428*H428,IF(AND(G428,H428),C428*E428*G428*H428,IF(F428,C428*E428*F428,IF(G428,C428*E428*G428,IF(H428,C428*E428*H428,C428*E428))))))),2)</f>
        <v>-0.03</v>
      </c>
      <c r="J428" s="1416" t="s">
        <v>5</v>
      </c>
      <c r="K428" s="1410"/>
      <c r="L428" s="1397"/>
      <c r="M428" s="1410"/>
      <c r="N428" s="1402" t="s">
        <v>2209</v>
      </c>
    </row>
    <row r="429" spans="1:14" s="1411" customFormat="1" ht="16.5" customHeight="1">
      <c r="A429" s="1397"/>
      <c r="B429" s="1425"/>
      <c r="C429" s="1426"/>
      <c r="D429" s="1427"/>
      <c r="E429" s="1428"/>
      <c r="F429" s="1429"/>
      <c r="G429" s="1429"/>
      <c r="H429" s="1429"/>
      <c r="I429" s="1430"/>
      <c r="J429" s="1423"/>
      <c r="K429" s="1410"/>
      <c r="L429" s="1400"/>
      <c r="M429" s="1410"/>
      <c r="N429" s="1402" t="s">
        <v>2209</v>
      </c>
    </row>
    <row r="430" spans="1:14" s="1403" customFormat="1" ht="15.75">
      <c r="A430" s="1397"/>
      <c r="B430" s="1410"/>
      <c r="C430" s="1431"/>
      <c r="D430" s="1432"/>
      <c r="E430" s="1413"/>
      <c r="F430" s="1414"/>
      <c r="G430" s="1433"/>
      <c r="H430" s="1397"/>
      <c r="I430" s="1430">
        <f>SUM(I414:I429)</f>
        <v>6.1499999999999995</v>
      </c>
      <c r="J430" s="1423" t="s">
        <v>5</v>
      </c>
      <c r="K430" s="1434">
        <f>data!G134</f>
        <v>8971.880000000001</v>
      </c>
      <c r="L430" s="1400" t="s">
        <v>2209</v>
      </c>
      <c r="M430" s="1435">
        <f>ROUND(I430*K430,0)</f>
        <v>55177</v>
      </c>
      <c r="N430" s="1402" t="s">
        <v>2209</v>
      </c>
    </row>
    <row r="431" spans="1:14" ht="17.25" hidden="1" customHeight="1">
      <c r="A431" s="896">
        <v>8</v>
      </c>
      <c r="B431" s="1609" t="s">
        <v>302</v>
      </c>
      <c r="C431" s="1609"/>
      <c r="D431" s="1609"/>
      <c r="E431" s="1609"/>
      <c r="F431" s="1609"/>
      <c r="G431" s="1609"/>
      <c r="H431" s="1609"/>
      <c r="I431" s="897"/>
      <c r="J431" s="898"/>
      <c r="K431" s="896"/>
      <c r="L431" s="923"/>
      <c r="M431" s="899"/>
      <c r="N431" s="900" t="s">
        <v>2297</v>
      </c>
    </row>
    <row r="432" spans="1:14" s="910" customFormat="1" ht="16.5" hidden="1" customHeight="1">
      <c r="A432" s="896"/>
      <c r="B432" s="902" t="s">
        <v>3541</v>
      </c>
      <c r="C432" s="897"/>
      <c r="D432" s="954" t="s">
        <v>3639</v>
      </c>
      <c r="E432" s="919"/>
      <c r="F432" s="920"/>
      <c r="G432" s="920"/>
      <c r="H432" s="920"/>
      <c r="I432" s="1264"/>
      <c r="J432" s="1265"/>
      <c r="K432" s="902"/>
      <c r="L432" s="896"/>
      <c r="M432" s="902"/>
      <c r="N432" s="900" t="s">
        <v>2297</v>
      </c>
    </row>
    <row r="433" spans="1:14" s="910" customFormat="1" ht="16.5" hidden="1" customHeight="1">
      <c r="A433" s="896"/>
      <c r="B433" s="902" t="s">
        <v>3445</v>
      </c>
      <c r="C433" s="897">
        <v>1</v>
      </c>
      <c r="D433" s="1263" t="s">
        <v>273</v>
      </c>
      <c r="E433" s="919">
        <v>3</v>
      </c>
      <c r="F433" s="920">
        <v>13.08</v>
      </c>
      <c r="G433" s="920">
        <v>0.23</v>
      </c>
      <c r="H433" s="920">
        <v>0.38</v>
      </c>
      <c r="I433" s="1266">
        <f t="shared" ref="I433" si="44">ROUND(IF(AND(F433:H433),C433*E433*F433*G433*H433,IF(AND(F433,G433),C433*E433*F433*G433,IF(AND(F433,H433),C433*E433*F433*H433,IF(AND(G433,H433),C433*E433*G433*H433,IF(F433,C433*E433*F433,IF(G433,C433*E433*G433,IF(H433,C433*E433*H433,C433*E433))))))),2)</f>
        <v>3.43</v>
      </c>
      <c r="J433" s="1267" t="s">
        <v>5</v>
      </c>
      <c r="K433" s="902"/>
      <c r="L433" s="896"/>
      <c r="M433" s="902"/>
      <c r="N433" s="900" t="s">
        <v>2297</v>
      </c>
    </row>
    <row r="434" spans="1:14" s="910" customFormat="1" ht="16.5" hidden="1" customHeight="1">
      <c r="A434" s="896"/>
      <c r="B434" s="902" t="s">
        <v>3446</v>
      </c>
      <c r="C434" s="897">
        <v>1</v>
      </c>
      <c r="D434" s="1263" t="s">
        <v>273</v>
      </c>
      <c r="E434" s="919">
        <v>2</v>
      </c>
      <c r="F434" s="920">
        <v>6.3949999999999996</v>
      </c>
      <c r="G434" s="920">
        <v>0.23</v>
      </c>
      <c r="H434" s="920">
        <v>0.38</v>
      </c>
      <c r="I434" s="1266">
        <f t="shared" ref="I434:I439" si="45">ROUND(IF(AND(F434:H434),C434*E434*F434*G434*H434,IF(AND(F434,G434),C434*E434*F434*G434,IF(AND(F434,H434),C434*E434*F434*H434,IF(AND(G434,H434),C434*E434*G434*H434,IF(F434,C434*E434*F434,IF(G434,C434*E434*G434,IF(H434,C434*E434*H434,C434*E434))))))),2)</f>
        <v>1.1200000000000001</v>
      </c>
      <c r="J434" s="1267" t="s">
        <v>5</v>
      </c>
      <c r="K434" s="902"/>
      <c r="L434" s="896"/>
      <c r="M434" s="902"/>
      <c r="N434" s="900" t="s">
        <v>2297</v>
      </c>
    </row>
    <row r="435" spans="1:14" s="910" customFormat="1" ht="16.5" hidden="1" customHeight="1">
      <c r="A435" s="896"/>
      <c r="B435" s="902" t="s">
        <v>3303</v>
      </c>
      <c r="C435" s="897">
        <v>1</v>
      </c>
      <c r="D435" s="1263" t="s">
        <v>273</v>
      </c>
      <c r="E435" s="919">
        <v>1</v>
      </c>
      <c r="F435" s="920">
        <v>5.9349999999999996</v>
      </c>
      <c r="G435" s="920">
        <v>0.23</v>
      </c>
      <c r="H435" s="920">
        <v>0.38</v>
      </c>
      <c r="I435" s="1266">
        <f t="shared" si="45"/>
        <v>0.52</v>
      </c>
      <c r="J435" s="1267" t="s">
        <v>5</v>
      </c>
      <c r="K435" s="902"/>
      <c r="L435" s="896"/>
      <c r="M435" s="902"/>
      <c r="N435" s="900" t="s">
        <v>2297</v>
      </c>
    </row>
    <row r="436" spans="1:14" s="910" customFormat="1" ht="16.5" hidden="1" customHeight="1">
      <c r="A436" s="896"/>
      <c r="B436" s="902" t="s">
        <v>3447</v>
      </c>
      <c r="C436" s="897">
        <v>1</v>
      </c>
      <c r="D436" s="1263" t="s">
        <v>273</v>
      </c>
      <c r="E436" s="919">
        <v>1</v>
      </c>
      <c r="F436" s="920">
        <v>0.23</v>
      </c>
      <c r="G436" s="920">
        <v>0.23</v>
      </c>
      <c r="H436" s="920">
        <v>0.38</v>
      </c>
      <c r="I436" s="1266">
        <f>-ROUND(IF(AND(F436:H436),C436*E436*F436*G436*H436,IF(AND(F436,G436),C436*E436*F436*G436,IF(AND(F436,H436),C436*E436*F436*H436,IF(AND(G436,H436),C436*E436*G436*H436,IF(F436,C436*E436*F436,IF(G436,C436*E436*G436,IF(H436,C436*E436*H436,C436*E436))))))),2)</f>
        <v>-0.02</v>
      </c>
      <c r="J436" s="1267" t="s">
        <v>5</v>
      </c>
      <c r="K436" s="902"/>
      <c r="L436" s="896"/>
      <c r="M436" s="902"/>
      <c r="N436" s="900" t="s">
        <v>2297</v>
      </c>
    </row>
    <row r="437" spans="1:14" s="910" customFormat="1" ht="16.5" hidden="1" customHeight="1">
      <c r="A437" s="896"/>
      <c r="B437" s="902" t="s">
        <v>3442</v>
      </c>
      <c r="C437" s="897">
        <v>1</v>
      </c>
      <c r="D437" s="1263" t="s">
        <v>273</v>
      </c>
      <c r="E437" s="919">
        <v>4</v>
      </c>
      <c r="F437" s="920">
        <v>2.7050000000000001</v>
      </c>
      <c r="G437" s="920">
        <v>0.23</v>
      </c>
      <c r="H437" s="920">
        <v>0.38</v>
      </c>
      <c r="I437" s="1266">
        <f t="shared" si="45"/>
        <v>0.95</v>
      </c>
      <c r="J437" s="1267" t="s">
        <v>5</v>
      </c>
      <c r="K437" s="902"/>
      <c r="L437" s="896"/>
      <c r="M437" s="902"/>
      <c r="N437" s="900" t="s">
        <v>2297</v>
      </c>
    </row>
    <row r="438" spans="1:14" s="910" customFormat="1" ht="16.5" hidden="1" customHeight="1">
      <c r="A438" s="896"/>
      <c r="B438" s="902" t="s">
        <v>3443</v>
      </c>
      <c r="C438" s="897">
        <v>1</v>
      </c>
      <c r="D438" s="1263" t="s">
        <v>273</v>
      </c>
      <c r="E438" s="919">
        <v>1</v>
      </c>
      <c r="F438" s="920">
        <v>1.38</v>
      </c>
      <c r="G438" s="920">
        <v>0.23</v>
      </c>
      <c r="H438" s="920">
        <v>0.38</v>
      </c>
      <c r="I438" s="1266">
        <f t="shared" si="45"/>
        <v>0.12</v>
      </c>
      <c r="J438" s="1267" t="s">
        <v>5</v>
      </c>
      <c r="K438" s="902"/>
      <c r="L438" s="896"/>
      <c r="M438" s="902"/>
      <c r="N438" s="900" t="s">
        <v>2297</v>
      </c>
    </row>
    <row r="439" spans="1:14" s="910" customFormat="1" ht="16.5" hidden="1" customHeight="1">
      <c r="A439" s="896"/>
      <c r="B439" s="902" t="s">
        <v>3444</v>
      </c>
      <c r="C439" s="897">
        <v>1</v>
      </c>
      <c r="D439" s="1263" t="s">
        <v>273</v>
      </c>
      <c r="E439" s="919">
        <v>1</v>
      </c>
      <c r="F439" s="920">
        <v>1.36</v>
      </c>
      <c r="G439" s="920">
        <v>0.23</v>
      </c>
      <c r="H439" s="920">
        <v>0.38</v>
      </c>
      <c r="I439" s="1266">
        <f t="shared" si="45"/>
        <v>0.12</v>
      </c>
      <c r="J439" s="1267" t="s">
        <v>5</v>
      </c>
      <c r="K439" s="902"/>
      <c r="L439" s="896"/>
      <c r="M439" s="902"/>
      <c r="N439" s="900" t="s">
        <v>2297</v>
      </c>
    </row>
    <row r="440" spans="1:14" s="910" customFormat="1" ht="16.5" hidden="1" customHeight="1">
      <c r="A440" s="896"/>
      <c r="B440" s="956"/>
      <c r="C440" s="957"/>
      <c r="D440" s="958"/>
      <c r="E440" s="1268"/>
      <c r="F440" s="960"/>
      <c r="G440" s="960"/>
      <c r="H440" s="960"/>
      <c r="I440" s="916"/>
      <c r="J440" s="955"/>
      <c r="K440" s="902"/>
      <c r="L440" s="923"/>
      <c r="M440" s="902"/>
      <c r="N440" s="900" t="s">
        <v>2297</v>
      </c>
    </row>
    <row r="441" spans="1:14" ht="15.75" hidden="1">
      <c r="A441" s="896"/>
      <c r="B441" s="902"/>
      <c r="C441" s="917"/>
      <c r="D441" s="918"/>
      <c r="E441" s="919"/>
      <c r="F441" s="920"/>
      <c r="G441" s="921"/>
      <c r="H441" s="896"/>
      <c r="I441" s="916"/>
      <c r="J441" s="955" t="s">
        <v>5</v>
      </c>
      <c r="K441" s="922">
        <f>data!G1050</f>
        <v>9280.23</v>
      </c>
      <c r="L441" s="923" t="s">
        <v>2297</v>
      </c>
      <c r="M441" s="924">
        <f>ROUND(I441*K441,0)</f>
        <v>0</v>
      </c>
      <c r="N441" s="900" t="s">
        <v>2297</v>
      </c>
    </row>
    <row r="442" spans="1:14" ht="17.25" hidden="1" customHeight="1">
      <c r="A442" s="896">
        <v>8</v>
      </c>
      <c r="B442" s="1609" t="s">
        <v>302</v>
      </c>
      <c r="C442" s="1609"/>
      <c r="D442" s="1609"/>
      <c r="E442" s="1609"/>
      <c r="F442" s="1609"/>
      <c r="G442" s="1609"/>
      <c r="H442" s="1609"/>
      <c r="I442" s="897"/>
      <c r="J442" s="898"/>
      <c r="K442" s="896"/>
      <c r="L442" s="923"/>
      <c r="M442" s="899"/>
      <c r="N442" s="900" t="s">
        <v>2308</v>
      </c>
    </row>
    <row r="443" spans="1:14" s="910" customFormat="1" ht="16.5" hidden="1" customHeight="1">
      <c r="A443" s="896"/>
      <c r="B443" s="928" t="s">
        <v>3553</v>
      </c>
      <c r="C443" s="1269"/>
      <c r="D443" s="1279"/>
      <c r="E443" s="1270"/>
      <c r="F443" s="1271"/>
      <c r="G443" s="1271"/>
      <c r="H443" s="1271"/>
      <c r="I443" s="1272"/>
      <c r="J443" s="955"/>
      <c r="K443" s="902"/>
      <c r="L443" s="896"/>
      <c r="M443" s="902"/>
      <c r="N443" s="900" t="s">
        <v>2308</v>
      </c>
    </row>
    <row r="444" spans="1:14" s="910" customFormat="1" ht="16.5" hidden="1" customHeight="1">
      <c r="A444" s="896"/>
      <c r="B444" s="902" t="s">
        <v>268</v>
      </c>
      <c r="C444" s="897">
        <v>1</v>
      </c>
      <c r="D444" s="1263" t="s">
        <v>273</v>
      </c>
      <c r="E444" s="919">
        <v>1</v>
      </c>
      <c r="F444" s="920">
        <v>48.51</v>
      </c>
      <c r="G444" s="920">
        <v>0.23</v>
      </c>
      <c r="H444" s="920">
        <f>(0.36+0.38)/2</f>
        <v>0.37</v>
      </c>
      <c r="I444" s="1266">
        <f>ROUND(IF(AND(F444:H444),C444*E444*F444*G444*H444,IF(AND(F444,G444),C444*E444*F444*G444,IF(AND(F444,H444),C444*E444*F444*H444,IF(AND(G444,H444),C444*E444*G444*H444,IF(F444,C444*E444*F444,IF(G444,C444*E444*G444,IF(H444,C444*E444*H444,C444*E444))))))),2)</f>
        <v>4.13</v>
      </c>
      <c r="J444" s="955" t="s">
        <v>5</v>
      </c>
      <c r="K444" s="902"/>
      <c r="L444" s="896"/>
      <c r="M444" s="902"/>
      <c r="N444" s="900" t="s">
        <v>2308</v>
      </c>
    </row>
    <row r="445" spans="1:14" s="910" customFormat="1" ht="16.5" hidden="1" customHeight="1">
      <c r="A445" s="896"/>
      <c r="B445" s="902"/>
      <c r="C445" s="897">
        <v>1</v>
      </c>
      <c r="D445" s="1263" t="s">
        <v>273</v>
      </c>
      <c r="E445" s="919">
        <v>1</v>
      </c>
      <c r="F445" s="920">
        <v>6.3</v>
      </c>
      <c r="G445" s="920">
        <v>0.3</v>
      </c>
      <c r="H445" s="920">
        <v>0.2</v>
      </c>
      <c r="I445" s="1266">
        <f>ROUND(IF(AND(F445:H445),C445*E445*F445*G445*H445,IF(AND(F445,G445),C445*E445*F445*G445,IF(AND(F445,H445),C445*E445*F445*H445,IF(AND(G445,H445),C445*E445*G445*H445,IF(F445,C445*E445*F445,IF(G445,C445*E445*G445,IF(H445,C445*E445*H445,C445*E445))))))),2)</f>
        <v>0.38</v>
      </c>
      <c r="J445" s="955" t="s">
        <v>5</v>
      </c>
      <c r="K445" s="902"/>
      <c r="L445" s="896"/>
      <c r="M445" s="902"/>
      <c r="N445" s="900" t="s">
        <v>2308</v>
      </c>
    </row>
    <row r="446" spans="1:14" s="910" customFormat="1" ht="16.5" hidden="1" customHeight="1">
      <c r="A446" s="896"/>
      <c r="B446" s="956"/>
      <c r="C446" s="957"/>
      <c r="D446" s="958"/>
      <c r="E446" s="1268"/>
      <c r="F446" s="960"/>
      <c r="G446" s="960"/>
      <c r="H446" s="960"/>
      <c r="I446" s="916"/>
      <c r="J446" s="955"/>
      <c r="K446" s="902"/>
      <c r="L446" s="923"/>
      <c r="M446" s="902"/>
      <c r="N446" s="900" t="s">
        <v>2308</v>
      </c>
    </row>
    <row r="447" spans="1:14" ht="15.75" hidden="1">
      <c r="A447" s="896"/>
      <c r="B447" s="902"/>
      <c r="C447" s="917"/>
      <c r="D447" s="918"/>
      <c r="E447" s="919"/>
      <c r="F447" s="920"/>
      <c r="G447" s="921"/>
      <c r="H447" s="896"/>
      <c r="I447" s="916"/>
      <c r="J447" s="955" t="s">
        <v>5</v>
      </c>
      <c r="K447" s="922">
        <f>data!G1967</f>
        <v>9785.43</v>
      </c>
      <c r="L447" s="923" t="s">
        <v>2308</v>
      </c>
      <c r="M447" s="924">
        <f>ROUND(I447*K447,0)</f>
        <v>0</v>
      </c>
      <c r="N447" s="900" t="s">
        <v>2308</v>
      </c>
    </row>
    <row r="448" spans="1:14" ht="17.25" hidden="1" customHeight="1">
      <c r="A448" s="896">
        <v>8</v>
      </c>
      <c r="B448" s="1609" t="s">
        <v>302</v>
      </c>
      <c r="C448" s="1609"/>
      <c r="D448" s="1609"/>
      <c r="E448" s="1609"/>
      <c r="F448" s="1609"/>
      <c r="G448" s="1609"/>
      <c r="H448" s="1609"/>
      <c r="I448" s="897"/>
      <c r="J448" s="898"/>
      <c r="K448" s="896"/>
      <c r="L448" s="923"/>
      <c r="M448" s="899"/>
      <c r="N448" s="900" t="s">
        <v>2309</v>
      </c>
    </row>
    <row r="449" spans="1:14" s="910" customFormat="1" ht="16.5" hidden="1" customHeight="1">
      <c r="A449" s="896"/>
      <c r="B449" s="928" t="s">
        <v>3553</v>
      </c>
      <c r="C449" s="1269"/>
      <c r="D449" s="1279"/>
      <c r="E449" s="1270"/>
      <c r="F449" s="1271"/>
      <c r="G449" s="1271"/>
      <c r="H449" s="1271"/>
      <c r="I449" s="1272"/>
      <c r="J449" s="955"/>
      <c r="K449" s="902"/>
      <c r="L449" s="896"/>
      <c r="M449" s="902"/>
      <c r="N449" s="900" t="s">
        <v>2309</v>
      </c>
    </row>
    <row r="450" spans="1:14" s="910" customFormat="1" ht="16.5" hidden="1" customHeight="1">
      <c r="A450" s="896"/>
      <c r="B450" s="902" t="s">
        <v>268</v>
      </c>
      <c r="C450" s="897">
        <v>1</v>
      </c>
      <c r="D450" s="1263" t="s">
        <v>273</v>
      </c>
      <c r="E450" s="919">
        <v>1</v>
      </c>
      <c r="F450" s="920">
        <v>48.51</v>
      </c>
      <c r="G450" s="920">
        <v>0.23</v>
      </c>
      <c r="H450" s="920">
        <f>(0.36+0.38)/2</f>
        <v>0.37</v>
      </c>
      <c r="I450" s="1266">
        <f>ROUND(IF(AND(F450:H450),C450*E450*F450*G450*H450,IF(AND(F450,G450),C450*E450*F450*G450,IF(AND(F450,H450),C450*E450*F450*H450,IF(AND(G450,H450),C450*E450*G450*H450,IF(F450,C450*E450*F450,IF(G450,C450*E450*G450,IF(H450,C450*E450*H450,C450*E450))))))),2)</f>
        <v>4.13</v>
      </c>
      <c r="J450" s="955" t="s">
        <v>5</v>
      </c>
      <c r="K450" s="902"/>
      <c r="L450" s="896"/>
      <c r="M450" s="902"/>
      <c r="N450" s="900" t="s">
        <v>2309</v>
      </c>
    </row>
    <row r="451" spans="1:14" s="910" customFormat="1" ht="16.5" hidden="1" customHeight="1">
      <c r="A451" s="896"/>
      <c r="B451" s="902"/>
      <c r="C451" s="897">
        <v>1</v>
      </c>
      <c r="D451" s="1263" t="s">
        <v>273</v>
      </c>
      <c r="E451" s="919">
        <v>1</v>
      </c>
      <c r="F451" s="920">
        <v>6.3</v>
      </c>
      <c r="G451" s="920">
        <v>0.3</v>
      </c>
      <c r="H451" s="920">
        <v>0.2</v>
      </c>
      <c r="I451" s="1266">
        <f>ROUND(IF(AND(F451:H451),C451*E451*F451*G451*H451,IF(AND(F451,G451),C451*E451*F451*G451,IF(AND(F451,H451),C451*E451*F451*H451,IF(AND(G451,H451),C451*E451*G451*H451,IF(F451,C451*E451*F451,IF(G451,C451*E451*G451,IF(H451,C451*E451*H451,C451*E451))))))),2)</f>
        <v>0.38</v>
      </c>
      <c r="J451" s="955" t="s">
        <v>5</v>
      </c>
      <c r="K451" s="902"/>
      <c r="L451" s="896"/>
      <c r="M451" s="902"/>
      <c r="N451" s="900" t="s">
        <v>2309</v>
      </c>
    </row>
    <row r="452" spans="1:14" s="910" customFormat="1" ht="16.5" hidden="1" customHeight="1">
      <c r="A452" s="896"/>
      <c r="B452" s="956"/>
      <c r="C452" s="957"/>
      <c r="D452" s="958"/>
      <c r="E452" s="1268"/>
      <c r="F452" s="960"/>
      <c r="G452" s="960"/>
      <c r="H452" s="960"/>
      <c r="I452" s="916"/>
      <c r="J452" s="955"/>
      <c r="K452" s="902"/>
      <c r="L452" s="923"/>
      <c r="M452" s="902"/>
      <c r="N452" s="900" t="s">
        <v>2309</v>
      </c>
    </row>
    <row r="453" spans="1:14" ht="15.75" hidden="1">
      <c r="A453" s="896"/>
      <c r="B453" s="902"/>
      <c r="C453" s="917"/>
      <c r="D453" s="918"/>
      <c r="E453" s="919"/>
      <c r="F453" s="920"/>
      <c r="G453" s="921"/>
      <c r="H453" s="896"/>
      <c r="I453" s="916"/>
      <c r="J453" s="955" t="s">
        <v>5</v>
      </c>
      <c r="K453" s="922">
        <f>data!G2884</f>
        <v>10162.18</v>
      </c>
      <c r="L453" s="923" t="s">
        <v>2309</v>
      </c>
      <c r="M453" s="924">
        <f>ROUND(I453*K453,0)</f>
        <v>0</v>
      </c>
      <c r="N453" s="900" t="s">
        <v>2309</v>
      </c>
    </row>
    <row r="454" spans="1:14" s="1403" customFormat="1" ht="17.25" customHeight="1">
      <c r="A454" s="1397">
        <v>10</v>
      </c>
      <c r="B454" s="1610" t="s">
        <v>303</v>
      </c>
      <c r="C454" s="1610"/>
      <c r="D454" s="1610"/>
      <c r="E454" s="1610"/>
      <c r="F454" s="1610"/>
      <c r="G454" s="1610"/>
      <c r="H454" s="1610"/>
      <c r="I454" s="1398"/>
      <c r="J454" s="1399"/>
      <c r="K454" s="1397"/>
      <c r="L454" s="1400"/>
      <c r="M454" s="1401"/>
      <c r="N454" s="1402" t="s">
        <v>2209</v>
      </c>
    </row>
    <row r="455" spans="1:14" s="1411" customFormat="1" ht="16.5" customHeight="1">
      <c r="A455" s="1397"/>
      <c r="B455" s="1404" t="s">
        <v>3918</v>
      </c>
      <c r="C455" s="1405"/>
      <c r="D455" s="1395" t="s">
        <v>4016</v>
      </c>
      <c r="E455" s="1406"/>
      <c r="F455" s="1407"/>
      <c r="G455" s="1407"/>
      <c r="H455" s="1407"/>
      <c r="I455" s="1408"/>
      <c r="J455" s="1409"/>
      <c r="K455" s="1410"/>
      <c r="L455" s="1397"/>
      <c r="M455" s="1410"/>
      <c r="N455" s="1402" t="s">
        <v>2209</v>
      </c>
    </row>
    <row r="456" spans="1:14" s="1411" customFormat="1" ht="16.5" customHeight="1">
      <c r="A456" s="1397"/>
      <c r="B456" s="1410" t="s">
        <v>3704</v>
      </c>
      <c r="C456" s="1398">
        <v>1</v>
      </c>
      <c r="D456" s="1412" t="s">
        <v>273</v>
      </c>
      <c r="E456" s="1413">
        <v>1</v>
      </c>
      <c r="F456" s="1414">
        <v>13.54</v>
      </c>
      <c r="G456" s="1414">
        <v>0.23</v>
      </c>
      <c r="H456" s="1414">
        <v>0.3</v>
      </c>
      <c r="I456" s="1415">
        <f t="shared" ref="I456:I475" si="46">ROUND(IF(AND(F456:H456),C456*E456*F456*G456*H456,IF(AND(F456,G456),C456*E456*F456*G456,IF(AND(F456,H456),C456*E456*F456*H456,IF(AND(G456,H456),C456*E456*G456*H456,IF(F456,C456*E456*F456,IF(G456,C456*E456*G456,IF(H456,C456*E456*H456,C456*E456))))))),2)</f>
        <v>0.93</v>
      </c>
      <c r="J456" s="1416" t="s">
        <v>5</v>
      </c>
      <c r="K456" s="1410"/>
      <c r="L456" s="1397"/>
      <c r="M456" s="1410"/>
      <c r="N456" s="1402" t="s">
        <v>2209</v>
      </c>
    </row>
    <row r="457" spans="1:14" s="1411" customFormat="1" ht="16.5" customHeight="1">
      <c r="A457" s="1397"/>
      <c r="B457" s="1410" t="s">
        <v>3705</v>
      </c>
      <c r="C457" s="1398">
        <v>1</v>
      </c>
      <c r="D457" s="1412" t="s">
        <v>273</v>
      </c>
      <c r="E457" s="1413">
        <v>1</v>
      </c>
      <c r="F457" s="1414">
        <v>13.54</v>
      </c>
      <c r="G457" s="1414">
        <v>0.23</v>
      </c>
      <c r="H457" s="1414">
        <v>0.3</v>
      </c>
      <c r="I457" s="1415">
        <f t="shared" si="46"/>
        <v>0.93</v>
      </c>
      <c r="J457" s="1416" t="s">
        <v>5</v>
      </c>
      <c r="K457" s="1410"/>
      <c r="L457" s="1397"/>
      <c r="M457" s="1410"/>
      <c r="N457" s="1402" t="s">
        <v>2209</v>
      </c>
    </row>
    <row r="458" spans="1:14" s="1411" customFormat="1" ht="16.5" customHeight="1">
      <c r="A458" s="1397"/>
      <c r="B458" s="1410" t="s">
        <v>3706</v>
      </c>
      <c r="C458" s="1398">
        <v>1</v>
      </c>
      <c r="D458" s="1412" t="s">
        <v>273</v>
      </c>
      <c r="E458" s="1413">
        <v>1</v>
      </c>
      <c r="F458" s="1414">
        <v>15.72</v>
      </c>
      <c r="G458" s="1414">
        <v>0.23</v>
      </c>
      <c r="H458" s="1414">
        <v>0.3</v>
      </c>
      <c r="I458" s="1415">
        <f t="shared" si="46"/>
        <v>1.08</v>
      </c>
      <c r="J458" s="1416" t="s">
        <v>5</v>
      </c>
      <c r="K458" s="1410"/>
      <c r="L458" s="1397"/>
      <c r="M458" s="1410"/>
      <c r="N458" s="1402" t="s">
        <v>2209</v>
      </c>
    </row>
    <row r="459" spans="1:14" s="1411" customFormat="1" ht="16.5" customHeight="1">
      <c r="A459" s="1397"/>
      <c r="B459" s="1410" t="s">
        <v>3707</v>
      </c>
      <c r="C459" s="1398">
        <v>1</v>
      </c>
      <c r="D459" s="1412" t="s">
        <v>273</v>
      </c>
      <c r="E459" s="1413">
        <v>1</v>
      </c>
      <c r="F459" s="1414">
        <v>15.72</v>
      </c>
      <c r="G459" s="1414">
        <v>0.23</v>
      </c>
      <c r="H459" s="1414">
        <v>0.3</v>
      </c>
      <c r="I459" s="1415">
        <f t="shared" si="46"/>
        <v>1.08</v>
      </c>
      <c r="J459" s="1416" t="s">
        <v>5</v>
      </c>
      <c r="K459" s="1410"/>
      <c r="L459" s="1397"/>
      <c r="M459" s="1410"/>
      <c r="N459" s="1402" t="s">
        <v>2209</v>
      </c>
    </row>
    <row r="460" spans="1:14" s="1411" customFormat="1" ht="16.5" customHeight="1">
      <c r="A460" s="1397"/>
      <c r="B460" s="1410" t="s">
        <v>3306</v>
      </c>
      <c r="C460" s="1398">
        <v>1</v>
      </c>
      <c r="D460" s="1412" t="s">
        <v>273</v>
      </c>
      <c r="E460" s="1413">
        <v>2</v>
      </c>
      <c r="F460" s="1414">
        <v>3.36</v>
      </c>
      <c r="G460" s="1414">
        <v>0.23</v>
      </c>
      <c r="H460" s="1414">
        <v>0.3</v>
      </c>
      <c r="I460" s="1415">
        <f t="shared" si="46"/>
        <v>0.46</v>
      </c>
      <c r="J460" s="1416" t="s">
        <v>5</v>
      </c>
      <c r="K460" s="1410"/>
      <c r="L460" s="1397"/>
      <c r="M460" s="1410"/>
      <c r="N460" s="1402" t="s">
        <v>2209</v>
      </c>
    </row>
    <row r="461" spans="1:14" s="1411" customFormat="1" ht="16.5" customHeight="1">
      <c r="A461" s="1397"/>
      <c r="B461" s="1410" t="s">
        <v>3708</v>
      </c>
      <c r="C461" s="1398">
        <v>1</v>
      </c>
      <c r="D461" s="1412" t="s">
        <v>273</v>
      </c>
      <c r="E461" s="1413">
        <v>1</v>
      </c>
      <c r="F461" s="1414">
        <v>7.36</v>
      </c>
      <c r="G461" s="1414">
        <v>0.23</v>
      </c>
      <c r="H461" s="1414">
        <v>0.3</v>
      </c>
      <c r="I461" s="1415">
        <f t="shared" si="46"/>
        <v>0.51</v>
      </c>
      <c r="J461" s="1416" t="s">
        <v>5</v>
      </c>
      <c r="K461" s="1410"/>
      <c r="L461" s="1397"/>
      <c r="M461" s="1410"/>
      <c r="N461" s="1402" t="s">
        <v>2209</v>
      </c>
    </row>
    <row r="462" spans="1:14" s="1411" customFormat="1" ht="16.5" customHeight="1">
      <c r="A462" s="1397"/>
      <c r="B462" s="1410" t="s">
        <v>3693</v>
      </c>
      <c r="C462" s="1398">
        <v>1</v>
      </c>
      <c r="D462" s="1412" t="s">
        <v>273</v>
      </c>
      <c r="E462" s="1413">
        <v>1</v>
      </c>
      <c r="F462" s="1414">
        <v>0.23</v>
      </c>
      <c r="G462" s="1414">
        <v>0.23</v>
      </c>
      <c r="H462" s="1414">
        <v>0.3</v>
      </c>
      <c r="I462" s="1415">
        <f>-ROUND(IF(AND(F462:H462),C462*E462*F462*G462*H462,IF(AND(F462,G462),C462*E462*F462*G462,IF(AND(F462,H462),C462*E462*F462*H462,IF(AND(G462,H462),C462*E462*G462*H462,IF(F462,C462*E462*F462,IF(G462,C462*E462*G462,IF(H462,C462*E462*H462,C462*E462))))))),2)</f>
        <v>-0.02</v>
      </c>
      <c r="J462" s="1416" t="s">
        <v>5</v>
      </c>
      <c r="K462" s="1410"/>
      <c r="L462" s="1397"/>
      <c r="M462" s="1410"/>
      <c r="N462" s="1402" t="s">
        <v>2209</v>
      </c>
    </row>
    <row r="463" spans="1:14" s="1411" customFormat="1" ht="16.5" customHeight="1">
      <c r="A463" s="1397"/>
      <c r="B463" s="1410" t="s">
        <v>3693</v>
      </c>
      <c r="C463" s="1398">
        <v>1</v>
      </c>
      <c r="D463" s="1412" t="s">
        <v>273</v>
      </c>
      <c r="E463" s="1413">
        <v>1</v>
      </c>
      <c r="F463" s="1414">
        <v>0.23</v>
      </c>
      <c r="G463" s="1414">
        <v>0.38</v>
      </c>
      <c r="H463" s="1414">
        <v>0.3</v>
      </c>
      <c r="I463" s="1415">
        <f>-ROUND(IF(AND(F463:H463),C463*E463*F463*G463*H463,IF(AND(F463,G463),C463*E463*F463*G463,IF(AND(F463,H463),C463*E463*F463*H463,IF(AND(G463,H463),C463*E463*G463*H463,IF(F463,C463*E463*F463,IF(G463,C463*E463*G463,IF(H463,C463*E463*H463,C463*E463))))))),2)</f>
        <v>-0.03</v>
      </c>
      <c r="J463" s="1416" t="s">
        <v>5</v>
      </c>
      <c r="K463" s="1410"/>
      <c r="L463" s="1397"/>
      <c r="M463" s="1410"/>
      <c r="N463" s="1402" t="s">
        <v>2209</v>
      </c>
    </row>
    <row r="464" spans="1:14" s="1411" customFormat="1" ht="16.5" customHeight="1">
      <c r="A464" s="1397"/>
      <c r="B464" s="1410" t="s">
        <v>3709</v>
      </c>
      <c r="C464" s="1398">
        <v>1</v>
      </c>
      <c r="D464" s="1412" t="s">
        <v>273</v>
      </c>
      <c r="E464" s="1413">
        <v>1</v>
      </c>
      <c r="F464" s="1414">
        <v>1.0900000000000001</v>
      </c>
      <c r="G464" s="1414">
        <v>0.23</v>
      </c>
      <c r="H464" s="1414">
        <v>0.3</v>
      </c>
      <c r="I464" s="1415">
        <f t="shared" si="46"/>
        <v>0.08</v>
      </c>
      <c r="J464" s="1416" t="s">
        <v>5</v>
      </c>
      <c r="K464" s="1410"/>
      <c r="L464" s="1397"/>
      <c r="M464" s="1410"/>
      <c r="N464" s="1402" t="s">
        <v>2209</v>
      </c>
    </row>
    <row r="465" spans="1:14" s="1411" customFormat="1" ht="16.5" customHeight="1">
      <c r="A465" s="1397"/>
      <c r="B465" s="1410" t="s">
        <v>3710</v>
      </c>
      <c r="C465" s="1398">
        <v>1</v>
      </c>
      <c r="D465" s="1412" t="s">
        <v>273</v>
      </c>
      <c r="E465" s="1413">
        <v>1</v>
      </c>
      <c r="F465" s="1414">
        <v>2.7</v>
      </c>
      <c r="G465" s="1414">
        <v>0.23</v>
      </c>
      <c r="H465" s="1414">
        <v>0.3</v>
      </c>
      <c r="I465" s="1415">
        <f t="shared" si="46"/>
        <v>0.19</v>
      </c>
      <c r="J465" s="1416" t="s">
        <v>5</v>
      </c>
      <c r="K465" s="1410"/>
      <c r="L465" s="1397"/>
      <c r="M465" s="1410"/>
      <c r="N465" s="1402" t="s">
        <v>2209</v>
      </c>
    </row>
    <row r="466" spans="1:14" s="1411" customFormat="1" ht="16.5" customHeight="1">
      <c r="A466" s="1397"/>
      <c r="B466" s="1410" t="s">
        <v>3711</v>
      </c>
      <c r="C466" s="1398">
        <v>1</v>
      </c>
      <c r="D466" s="1412" t="s">
        <v>273</v>
      </c>
      <c r="E466" s="1413">
        <v>1</v>
      </c>
      <c r="F466" s="1414">
        <v>2.7</v>
      </c>
      <c r="G466" s="1414">
        <v>0.23</v>
      </c>
      <c r="H466" s="1414">
        <v>0.3</v>
      </c>
      <c r="I466" s="1415">
        <f t="shared" si="46"/>
        <v>0.19</v>
      </c>
      <c r="J466" s="1416" t="s">
        <v>5</v>
      </c>
      <c r="K466" s="1410"/>
      <c r="L466" s="1397"/>
      <c r="M466" s="1410"/>
      <c r="N466" s="1402" t="s">
        <v>2209</v>
      </c>
    </row>
    <row r="467" spans="1:14" s="1411" customFormat="1" ht="16.5" customHeight="1">
      <c r="A467" s="1397"/>
      <c r="B467" s="1410" t="s">
        <v>3712</v>
      </c>
      <c r="C467" s="1398">
        <v>1</v>
      </c>
      <c r="D467" s="1412" t="s">
        <v>273</v>
      </c>
      <c r="E467" s="1413">
        <v>1</v>
      </c>
      <c r="F467" s="1414">
        <v>7.36</v>
      </c>
      <c r="G467" s="1414">
        <v>0.23</v>
      </c>
      <c r="H467" s="1414">
        <v>0.3</v>
      </c>
      <c r="I467" s="1415">
        <f t="shared" si="46"/>
        <v>0.51</v>
      </c>
      <c r="J467" s="1416" t="s">
        <v>5</v>
      </c>
      <c r="K467" s="1410"/>
      <c r="L467" s="1397"/>
      <c r="M467" s="1410"/>
      <c r="N467" s="1402" t="s">
        <v>2209</v>
      </c>
    </row>
    <row r="468" spans="1:14" s="1411" customFormat="1" ht="16.5" customHeight="1">
      <c r="A468" s="1397"/>
      <c r="B468" s="1410" t="s">
        <v>3693</v>
      </c>
      <c r="C468" s="1398">
        <v>1</v>
      </c>
      <c r="D468" s="1412" t="s">
        <v>273</v>
      </c>
      <c r="E468" s="1413">
        <v>2</v>
      </c>
      <c r="F468" s="1414">
        <v>0.23</v>
      </c>
      <c r="G468" s="1414">
        <v>0.23</v>
      </c>
      <c r="H468" s="1414">
        <v>0.3</v>
      </c>
      <c r="I468" s="1415">
        <f>-ROUND(IF(AND(F468:H468),C468*E468*F468*G468*H468,IF(AND(F468,G468),C468*E468*F468*G468,IF(AND(F468,H468),C468*E468*F468*H468,IF(AND(G468,H468),C468*E468*G468*H468,IF(F468,C468*E468*F468,IF(G468,C468*E468*G468,IF(H468,C468*E468*H468,C468*E468))))))),2)</f>
        <v>-0.03</v>
      </c>
      <c r="J468" s="1416" t="s">
        <v>5</v>
      </c>
      <c r="K468" s="1410"/>
      <c r="L468" s="1397"/>
      <c r="M468" s="1410"/>
      <c r="N468" s="1402" t="s">
        <v>2209</v>
      </c>
    </row>
    <row r="469" spans="1:14" s="1411" customFormat="1" ht="16.5" customHeight="1">
      <c r="A469" s="1397"/>
      <c r="B469" s="1410" t="s">
        <v>3713</v>
      </c>
      <c r="C469" s="1398">
        <v>1</v>
      </c>
      <c r="D469" s="1412" t="s">
        <v>273</v>
      </c>
      <c r="E469" s="1413">
        <v>1</v>
      </c>
      <c r="F469" s="1414">
        <v>1.0900000000000001</v>
      </c>
      <c r="G469" s="1414">
        <v>0.23</v>
      </c>
      <c r="H469" s="1414">
        <v>0.3</v>
      </c>
      <c r="I469" s="1415">
        <f t="shared" si="46"/>
        <v>0.08</v>
      </c>
      <c r="J469" s="1416" t="s">
        <v>5</v>
      </c>
      <c r="K469" s="1410"/>
      <c r="L469" s="1397"/>
      <c r="M469" s="1410"/>
      <c r="N469" s="1402" t="s">
        <v>2209</v>
      </c>
    </row>
    <row r="470" spans="1:14" s="1411" customFormat="1" ht="16.5" customHeight="1">
      <c r="A470" s="1397"/>
      <c r="B470" s="1410" t="s">
        <v>3714</v>
      </c>
      <c r="C470" s="1398">
        <v>1</v>
      </c>
      <c r="D470" s="1412" t="s">
        <v>273</v>
      </c>
      <c r="E470" s="1413">
        <v>1</v>
      </c>
      <c r="F470" s="1414">
        <v>2.7</v>
      </c>
      <c r="G470" s="1414">
        <v>0.23</v>
      </c>
      <c r="H470" s="1414">
        <v>0.3</v>
      </c>
      <c r="I470" s="1415">
        <f t="shared" si="46"/>
        <v>0.19</v>
      </c>
      <c r="J470" s="1416" t="s">
        <v>5</v>
      </c>
      <c r="K470" s="1410"/>
      <c r="L470" s="1397"/>
      <c r="M470" s="1410"/>
      <c r="N470" s="1402" t="s">
        <v>2209</v>
      </c>
    </row>
    <row r="471" spans="1:14" s="1411" customFormat="1" ht="16.5" customHeight="1">
      <c r="A471" s="1397"/>
      <c r="B471" s="1410" t="s">
        <v>3715</v>
      </c>
      <c r="C471" s="1398">
        <v>1</v>
      </c>
      <c r="D471" s="1412" t="s">
        <v>273</v>
      </c>
      <c r="E471" s="1413">
        <v>1</v>
      </c>
      <c r="F471" s="1414">
        <v>2.7</v>
      </c>
      <c r="G471" s="1414">
        <v>0.23</v>
      </c>
      <c r="H471" s="1414">
        <v>0.3</v>
      </c>
      <c r="I471" s="1415">
        <f t="shared" si="46"/>
        <v>0.19</v>
      </c>
      <c r="J471" s="1416" t="s">
        <v>5</v>
      </c>
      <c r="K471" s="1410"/>
      <c r="L471" s="1397"/>
      <c r="M471" s="1410"/>
      <c r="N471" s="1402" t="s">
        <v>2209</v>
      </c>
    </row>
    <row r="472" spans="1:14" s="1411" customFormat="1" ht="16.5" customHeight="1">
      <c r="A472" s="1397"/>
      <c r="B472" s="1410" t="s">
        <v>3716</v>
      </c>
      <c r="C472" s="1398">
        <v>1</v>
      </c>
      <c r="D472" s="1412" t="s">
        <v>273</v>
      </c>
      <c r="E472" s="1413">
        <v>1</v>
      </c>
      <c r="F472" s="1414">
        <v>7.3</v>
      </c>
      <c r="G472" s="1414">
        <v>0.23</v>
      </c>
      <c r="H472" s="1414">
        <v>0.3</v>
      </c>
      <c r="I472" s="1415">
        <f t="shared" si="46"/>
        <v>0.5</v>
      </c>
      <c r="J472" s="1416" t="s">
        <v>5</v>
      </c>
      <c r="K472" s="1410"/>
      <c r="L472" s="1397"/>
      <c r="M472" s="1410"/>
      <c r="N472" s="1402" t="s">
        <v>2209</v>
      </c>
    </row>
    <row r="473" spans="1:14" s="1411" customFormat="1" ht="16.5" customHeight="1">
      <c r="A473" s="1397"/>
      <c r="B473" s="1410" t="s">
        <v>3693</v>
      </c>
      <c r="C473" s="1398">
        <v>1</v>
      </c>
      <c r="D473" s="1412" t="s">
        <v>273</v>
      </c>
      <c r="E473" s="1413">
        <v>1</v>
      </c>
      <c r="F473" s="1414">
        <v>0.23</v>
      </c>
      <c r="G473" s="1414">
        <v>0.23</v>
      </c>
      <c r="H473" s="1414">
        <v>0.3</v>
      </c>
      <c r="I473" s="1415">
        <f t="shared" ref="I473:I474" si="47">-ROUND(IF(AND(F473:H473),C473*E473*F473*G473*H473,IF(AND(F473,G473),C473*E473*F473*G473,IF(AND(F473,H473),C473*E473*F473*H473,IF(AND(G473,H473),C473*E473*G473*H473,IF(F473,C473*E473*F473,IF(G473,C473*E473*G473,IF(H473,C473*E473*H473,C473*E473))))))),2)</f>
        <v>-0.02</v>
      </c>
      <c r="J473" s="1416" t="s">
        <v>5</v>
      </c>
      <c r="K473" s="1410"/>
      <c r="L473" s="1397"/>
      <c r="M473" s="1410"/>
      <c r="N473" s="1402" t="s">
        <v>2209</v>
      </c>
    </row>
    <row r="474" spans="1:14" s="1411" customFormat="1" ht="16.5" customHeight="1">
      <c r="A474" s="1397"/>
      <c r="B474" s="1410" t="s">
        <v>3693</v>
      </c>
      <c r="C474" s="1398">
        <v>1</v>
      </c>
      <c r="D474" s="1412" t="s">
        <v>273</v>
      </c>
      <c r="E474" s="1413">
        <v>1</v>
      </c>
      <c r="F474" s="1414">
        <v>0.23</v>
      </c>
      <c r="G474" s="1414">
        <v>0.38</v>
      </c>
      <c r="H474" s="1414">
        <v>0.3</v>
      </c>
      <c r="I474" s="1415">
        <f t="shared" si="47"/>
        <v>-0.03</v>
      </c>
      <c r="J474" s="1416" t="s">
        <v>5</v>
      </c>
      <c r="K474" s="1410"/>
      <c r="L474" s="1397"/>
      <c r="M474" s="1410"/>
      <c r="N474" s="1402" t="s">
        <v>2209</v>
      </c>
    </row>
    <row r="475" spans="1:14" s="1411" customFormat="1" ht="16.5" customHeight="1">
      <c r="A475" s="1397"/>
      <c r="B475" s="1410" t="s">
        <v>3307</v>
      </c>
      <c r="C475" s="1398">
        <v>1</v>
      </c>
      <c r="D475" s="1412" t="s">
        <v>273</v>
      </c>
      <c r="E475" s="1413">
        <v>2</v>
      </c>
      <c r="F475" s="1414">
        <v>1.0900000000000001</v>
      </c>
      <c r="G475" s="1414">
        <v>0.23</v>
      </c>
      <c r="H475" s="1414">
        <v>0.3</v>
      </c>
      <c r="I475" s="1415">
        <f t="shared" si="46"/>
        <v>0.15</v>
      </c>
      <c r="J475" s="1416" t="s">
        <v>5</v>
      </c>
      <c r="K475" s="1410"/>
      <c r="L475" s="1397"/>
      <c r="M475" s="1410"/>
      <c r="N475" s="1402" t="s">
        <v>2209</v>
      </c>
    </row>
    <row r="476" spans="1:14" s="1411" customFormat="1" ht="16.5" customHeight="1">
      <c r="A476" s="1397"/>
      <c r="B476" s="1425"/>
      <c r="C476" s="1426"/>
      <c r="D476" s="1427"/>
      <c r="E476" s="1428"/>
      <c r="F476" s="1429"/>
      <c r="G476" s="1429"/>
      <c r="H476" s="1429"/>
      <c r="I476" s="1430"/>
      <c r="J476" s="1423"/>
      <c r="K476" s="1410"/>
      <c r="L476" s="1400"/>
      <c r="M476" s="1410"/>
      <c r="N476" s="1402" t="s">
        <v>2209</v>
      </c>
    </row>
    <row r="477" spans="1:14" s="1403" customFormat="1" ht="15.75">
      <c r="A477" s="1397"/>
      <c r="B477" s="1410"/>
      <c r="C477" s="1431"/>
      <c r="D477" s="1432"/>
      <c r="E477" s="1413"/>
      <c r="F477" s="1414"/>
      <c r="G477" s="1433"/>
      <c r="H477" s="1397"/>
      <c r="I477" s="1430">
        <f>SUM(I456:I476)</f>
        <v>6.9400000000000022</v>
      </c>
      <c r="J477" s="1423" t="s">
        <v>5</v>
      </c>
      <c r="K477" s="1434">
        <f>data!E182</f>
        <v>8954.36</v>
      </c>
      <c r="L477" s="1400" t="s">
        <v>2209</v>
      </c>
      <c r="M477" s="1435">
        <f>ROUND(I477*K477,0)</f>
        <v>62143</v>
      </c>
      <c r="N477" s="1402" t="s">
        <v>2209</v>
      </c>
    </row>
    <row r="478" spans="1:14" ht="17.25" hidden="1" customHeight="1">
      <c r="A478" s="896">
        <v>15</v>
      </c>
      <c r="B478" s="1609" t="s">
        <v>303</v>
      </c>
      <c r="C478" s="1609"/>
      <c r="D478" s="1609"/>
      <c r="E478" s="1609"/>
      <c r="F478" s="1609"/>
      <c r="G478" s="1609"/>
      <c r="H478" s="1609"/>
      <c r="I478" s="897"/>
      <c r="J478" s="898"/>
      <c r="K478" s="896"/>
      <c r="L478" s="923"/>
      <c r="M478" s="899"/>
      <c r="N478" s="900" t="s">
        <v>2297</v>
      </c>
    </row>
    <row r="479" spans="1:14" s="910" customFormat="1" ht="16.5" hidden="1" customHeight="1">
      <c r="A479" s="896"/>
      <c r="B479" s="928" t="s">
        <v>3703</v>
      </c>
      <c r="C479" s="1269"/>
      <c r="D479" s="954" t="s">
        <v>3818</v>
      </c>
      <c r="E479" s="1270"/>
      <c r="F479" s="1271"/>
      <c r="G479" s="1271"/>
      <c r="H479" s="1271"/>
      <c r="I479" s="1272"/>
      <c r="J479" s="955"/>
      <c r="K479" s="902"/>
      <c r="L479" s="896"/>
      <c r="M479" s="902"/>
      <c r="N479" s="900" t="s">
        <v>2297</v>
      </c>
    </row>
    <row r="480" spans="1:14" s="910" customFormat="1" ht="16.5" hidden="1" customHeight="1">
      <c r="A480" s="896"/>
      <c r="B480" s="902" t="s">
        <v>3704</v>
      </c>
      <c r="C480" s="897">
        <v>1</v>
      </c>
      <c r="D480" s="1263" t="s">
        <v>273</v>
      </c>
      <c r="E480" s="919">
        <v>1</v>
      </c>
      <c r="F480" s="920">
        <v>13.54</v>
      </c>
      <c r="G480" s="920">
        <v>0.23</v>
      </c>
      <c r="H480" s="920">
        <v>0.3</v>
      </c>
      <c r="I480" s="1266">
        <f t="shared" ref="I480:I485" si="48">ROUND(IF(AND(F480:H480),C480*E480*F480*G480*H480,IF(AND(F480,G480),C480*E480*F480*G480,IF(AND(F480,H480),C480*E480*F480*H480,IF(AND(G480,H480),C480*E480*G480*H480,IF(F480,C480*E480*F480,IF(G480,C480*E480*G480,IF(H480,C480*E480*H480,C480*E480))))))),2)</f>
        <v>0.93</v>
      </c>
      <c r="J480" s="955" t="s">
        <v>5</v>
      </c>
      <c r="K480" s="902"/>
      <c r="L480" s="896"/>
      <c r="M480" s="902"/>
      <c r="N480" s="900" t="s">
        <v>2297</v>
      </c>
    </row>
    <row r="481" spans="1:14" s="910" customFormat="1" ht="16.5" hidden="1" customHeight="1">
      <c r="A481" s="896"/>
      <c r="B481" s="902" t="s">
        <v>3705</v>
      </c>
      <c r="C481" s="897">
        <v>1</v>
      </c>
      <c r="D481" s="1263" t="s">
        <v>273</v>
      </c>
      <c r="E481" s="919">
        <v>1</v>
      </c>
      <c r="F481" s="920">
        <v>13.54</v>
      </c>
      <c r="G481" s="920">
        <v>0.23</v>
      </c>
      <c r="H481" s="920">
        <v>0.3</v>
      </c>
      <c r="I481" s="1266">
        <f t="shared" si="48"/>
        <v>0.93</v>
      </c>
      <c r="J481" s="955" t="s">
        <v>5</v>
      </c>
      <c r="K481" s="902"/>
      <c r="L481" s="896"/>
      <c r="M481" s="902"/>
      <c r="N481" s="900" t="s">
        <v>2297</v>
      </c>
    </row>
    <row r="482" spans="1:14" s="910" customFormat="1" ht="16.5" hidden="1" customHeight="1">
      <c r="A482" s="896"/>
      <c r="B482" s="902" t="s">
        <v>3706</v>
      </c>
      <c r="C482" s="897">
        <v>1</v>
      </c>
      <c r="D482" s="1263" t="s">
        <v>273</v>
      </c>
      <c r="E482" s="919">
        <v>1</v>
      </c>
      <c r="F482" s="920">
        <v>15.72</v>
      </c>
      <c r="G482" s="920">
        <v>0.23</v>
      </c>
      <c r="H482" s="920">
        <v>0.3</v>
      </c>
      <c r="I482" s="1266">
        <f t="shared" si="48"/>
        <v>1.08</v>
      </c>
      <c r="J482" s="955" t="s">
        <v>5</v>
      </c>
      <c r="K482" s="902"/>
      <c r="L482" s="896"/>
      <c r="M482" s="902"/>
      <c r="N482" s="900" t="s">
        <v>2297</v>
      </c>
    </row>
    <row r="483" spans="1:14" s="910" customFormat="1" ht="16.5" hidden="1" customHeight="1">
      <c r="A483" s="896"/>
      <c r="B483" s="902" t="s">
        <v>3707</v>
      </c>
      <c r="C483" s="897">
        <v>1</v>
      </c>
      <c r="D483" s="1263" t="s">
        <v>273</v>
      </c>
      <c r="E483" s="919">
        <v>1</v>
      </c>
      <c r="F483" s="920">
        <v>15.72</v>
      </c>
      <c r="G483" s="920">
        <v>0.23</v>
      </c>
      <c r="H483" s="920">
        <v>0.3</v>
      </c>
      <c r="I483" s="1266">
        <f t="shared" si="48"/>
        <v>1.08</v>
      </c>
      <c r="J483" s="955" t="s">
        <v>5</v>
      </c>
      <c r="K483" s="902"/>
      <c r="L483" s="896"/>
      <c r="M483" s="902"/>
      <c r="N483" s="900" t="s">
        <v>2297</v>
      </c>
    </row>
    <row r="484" spans="1:14" s="910" customFormat="1" ht="16.5" hidden="1" customHeight="1">
      <c r="A484" s="896"/>
      <c r="B484" s="902" t="s">
        <v>3306</v>
      </c>
      <c r="C484" s="897">
        <v>1</v>
      </c>
      <c r="D484" s="1263" t="s">
        <v>273</v>
      </c>
      <c r="E484" s="919">
        <v>2</v>
      </c>
      <c r="F484" s="920">
        <v>3.36</v>
      </c>
      <c r="G484" s="920">
        <v>0.23</v>
      </c>
      <c r="H484" s="920">
        <v>0.3</v>
      </c>
      <c r="I484" s="1266">
        <f t="shared" si="48"/>
        <v>0.46</v>
      </c>
      <c r="J484" s="955" t="s">
        <v>5</v>
      </c>
      <c r="K484" s="902"/>
      <c r="L484" s="896"/>
      <c r="M484" s="902"/>
      <c r="N484" s="900" t="s">
        <v>2297</v>
      </c>
    </row>
    <row r="485" spans="1:14" s="910" customFormat="1" ht="16.5" hidden="1" customHeight="1">
      <c r="A485" s="896"/>
      <c r="B485" s="902" t="s">
        <v>3708</v>
      </c>
      <c r="C485" s="897">
        <v>1</v>
      </c>
      <c r="D485" s="1263" t="s">
        <v>273</v>
      </c>
      <c r="E485" s="919">
        <v>1</v>
      </c>
      <c r="F485" s="920">
        <v>7.36</v>
      </c>
      <c r="G485" s="920">
        <v>0.23</v>
      </c>
      <c r="H485" s="920">
        <v>0.3</v>
      </c>
      <c r="I485" s="1266">
        <f t="shared" si="48"/>
        <v>0.51</v>
      </c>
      <c r="J485" s="955" t="s">
        <v>5</v>
      </c>
      <c r="K485" s="902"/>
      <c r="L485" s="896"/>
      <c r="M485" s="902"/>
      <c r="N485" s="900" t="s">
        <v>2297</v>
      </c>
    </row>
    <row r="486" spans="1:14" s="910" customFormat="1" ht="16.5" hidden="1" customHeight="1">
      <c r="A486" s="896"/>
      <c r="B486" s="902" t="s">
        <v>3693</v>
      </c>
      <c r="C486" s="897">
        <v>1</v>
      </c>
      <c r="D486" s="1263" t="s">
        <v>273</v>
      </c>
      <c r="E486" s="919">
        <v>1</v>
      </c>
      <c r="F486" s="920">
        <v>0.23</v>
      </c>
      <c r="G486" s="920">
        <v>0.23</v>
      </c>
      <c r="H486" s="920">
        <v>0.3</v>
      </c>
      <c r="I486" s="1266">
        <f>-ROUND(IF(AND(F486:H486),C486*E486*F486*G486*H486,IF(AND(F486,G486),C486*E486*F486*G486,IF(AND(F486,H486),C486*E486*F486*H486,IF(AND(G486,H486),C486*E486*G486*H486,IF(F486,C486*E486*F486,IF(G486,C486*E486*G486,IF(H486,C486*E486*H486,C486*E486))))))),2)</f>
        <v>-0.02</v>
      </c>
      <c r="J486" s="955" t="s">
        <v>5</v>
      </c>
      <c r="K486" s="902"/>
      <c r="L486" s="896"/>
      <c r="M486" s="902"/>
      <c r="N486" s="900" t="s">
        <v>2297</v>
      </c>
    </row>
    <row r="487" spans="1:14" s="910" customFormat="1" ht="16.5" hidden="1" customHeight="1">
      <c r="A487" s="896"/>
      <c r="B487" s="902" t="s">
        <v>3693</v>
      </c>
      <c r="C487" s="897">
        <v>1</v>
      </c>
      <c r="D487" s="1263" t="s">
        <v>273</v>
      </c>
      <c r="E487" s="919">
        <v>1</v>
      </c>
      <c r="F487" s="920">
        <v>0.23</v>
      </c>
      <c r="G487" s="920">
        <v>0.38</v>
      </c>
      <c r="H487" s="920">
        <v>0.3</v>
      </c>
      <c r="I487" s="1266">
        <f>-ROUND(IF(AND(F487:H487),C487*E487*F487*G487*H487,IF(AND(F487,G487),C487*E487*F487*G487,IF(AND(F487,H487),C487*E487*F487*H487,IF(AND(G487,H487),C487*E487*G487*H487,IF(F487,C487*E487*F487,IF(G487,C487*E487*G487,IF(H487,C487*E487*H487,C487*E487))))))),2)</f>
        <v>-0.03</v>
      </c>
      <c r="J487" s="955" t="s">
        <v>5</v>
      </c>
      <c r="K487" s="902"/>
      <c r="L487" s="896"/>
      <c r="M487" s="902"/>
      <c r="N487" s="900" t="s">
        <v>2297</v>
      </c>
    </row>
    <row r="488" spans="1:14" s="910" customFormat="1" ht="16.5" hidden="1" customHeight="1">
      <c r="A488" s="896"/>
      <c r="B488" s="902" t="s">
        <v>3709</v>
      </c>
      <c r="C488" s="897">
        <v>1</v>
      </c>
      <c r="D488" s="1263" t="s">
        <v>273</v>
      </c>
      <c r="E488" s="919">
        <v>1</v>
      </c>
      <c r="F488" s="920">
        <v>1.0900000000000001</v>
      </c>
      <c r="G488" s="920">
        <v>0.23</v>
      </c>
      <c r="H488" s="920">
        <v>0.3</v>
      </c>
      <c r="I488" s="1266">
        <f t="shared" ref="I488:I491" si="49">ROUND(IF(AND(F488:H488),C488*E488*F488*G488*H488,IF(AND(F488,G488),C488*E488*F488*G488,IF(AND(F488,H488),C488*E488*F488*H488,IF(AND(G488,H488),C488*E488*G488*H488,IF(F488,C488*E488*F488,IF(G488,C488*E488*G488,IF(H488,C488*E488*H488,C488*E488))))))),2)</f>
        <v>0.08</v>
      </c>
      <c r="J488" s="955" t="s">
        <v>5</v>
      </c>
      <c r="K488" s="902"/>
      <c r="L488" s="896"/>
      <c r="M488" s="902"/>
      <c r="N488" s="900" t="s">
        <v>2297</v>
      </c>
    </row>
    <row r="489" spans="1:14" s="910" customFormat="1" ht="16.5" hidden="1" customHeight="1">
      <c r="A489" s="896"/>
      <c r="B489" s="902" t="s">
        <v>3710</v>
      </c>
      <c r="C489" s="897">
        <v>1</v>
      </c>
      <c r="D489" s="1263" t="s">
        <v>273</v>
      </c>
      <c r="E489" s="919">
        <v>1</v>
      </c>
      <c r="F489" s="920">
        <v>2.7</v>
      </c>
      <c r="G489" s="920">
        <v>0.23</v>
      </c>
      <c r="H489" s="920">
        <v>0.3</v>
      </c>
      <c r="I489" s="1266">
        <f t="shared" si="49"/>
        <v>0.19</v>
      </c>
      <c r="J489" s="955" t="s">
        <v>5</v>
      </c>
      <c r="K489" s="902"/>
      <c r="L489" s="896"/>
      <c r="M489" s="902"/>
      <c r="N489" s="900" t="s">
        <v>2297</v>
      </c>
    </row>
    <row r="490" spans="1:14" s="910" customFormat="1" ht="16.5" hidden="1" customHeight="1">
      <c r="A490" s="896"/>
      <c r="B490" s="902" t="s">
        <v>3711</v>
      </c>
      <c r="C490" s="897">
        <v>1</v>
      </c>
      <c r="D490" s="1263" t="s">
        <v>273</v>
      </c>
      <c r="E490" s="919">
        <v>1</v>
      </c>
      <c r="F490" s="920">
        <v>2.7</v>
      </c>
      <c r="G490" s="920">
        <v>0.23</v>
      </c>
      <c r="H490" s="920">
        <v>0.3</v>
      </c>
      <c r="I490" s="1266">
        <f t="shared" si="49"/>
        <v>0.19</v>
      </c>
      <c r="J490" s="955" t="s">
        <v>5</v>
      </c>
      <c r="K490" s="902"/>
      <c r="L490" s="896"/>
      <c r="M490" s="902"/>
      <c r="N490" s="900" t="s">
        <v>2297</v>
      </c>
    </row>
    <row r="491" spans="1:14" s="910" customFormat="1" ht="16.5" hidden="1" customHeight="1">
      <c r="A491" s="896"/>
      <c r="B491" s="902" t="s">
        <v>3712</v>
      </c>
      <c r="C491" s="897">
        <v>1</v>
      </c>
      <c r="D491" s="1263" t="s">
        <v>273</v>
      </c>
      <c r="E491" s="919">
        <v>1</v>
      </c>
      <c r="F491" s="920">
        <v>7.36</v>
      </c>
      <c r="G491" s="920">
        <v>0.23</v>
      </c>
      <c r="H491" s="920">
        <v>0.3</v>
      </c>
      <c r="I491" s="1266">
        <f t="shared" si="49"/>
        <v>0.51</v>
      </c>
      <c r="J491" s="955" t="s">
        <v>5</v>
      </c>
      <c r="K491" s="902"/>
      <c r="L491" s="896"/>
      <c r="M491" s="902"/>
      <c r="N491" s="900" t="s">
        <v>2297</v>
      </c>
    </row>
    <row r="492" spans="1:14" s="910" customFormat="1" ht="16.5" hidden="1" customHeight="1">
      <c r="A492" s="896"/>
      <c r="B492" s="902" t="s">
        <v>3693</v>
      </c>
      <c r="C492" s="897">
        <v>1</v>
      </c>
      <c r="D492" s="1263" t="s">
        <v>273</v>
      </c>
      <c r="E492" s="919">
        <v>2</v>
      </c>
      <c r="F492" s="920">
        <v>0.23</v>
      </c>
      <c r="G492" s="920">
        <v>0.23</v>
      </c>
      <c r="H492" s="920">
        <v>0.3</v>
      </c>
      <c r="I492" s="1266">
        <f>-ROUND(IF(AND(F492:H492),C492*E492*F492*G492*H492,IF(AND(F492,G492),C492*E492*F492*G492,IF(AND(F492,H492),C492*E492*F492*H492,IF(AND(G492,H492),C492*E492*G492*H492,IF(F492,C492*E492*F492,IF(G492,C492*E492*G492,IF(H492,C492*E492*H492,C492*E492))))))),2)</f>
        <v>-0.03</v>
      </c>
      <c r="J492" s="955" t="s">
        <v>5</v>
      </c>
      <c r="K492" s="902"/>
      <c r="L492" s="896"/>
      <c r="M492" s="902"/>
      <c r="N492" s="900" t="s">
        <v>2297</v>
      </c>
    </row>
    <row r="493" spans="1:14" s="910" customFormat="1" ht="16.5" hidden="1" customHeight="1">
      <c r="A493" s="896"/>
      <c r="B493" s="902" t="s">
        <v>3713</v>
      </c>
      <c r="C493" s="897">
        <v>1</v>
      </c>
      <c r="D493" s="1263" t="s">
        <v>273</v>
      </c>
      <c r="E493" s="919">
        <v>1</v>
      </c>
      <c r="F493" s="920">
        <v>1.0900000000000001</v>
      </c>
      <c r="G493" s="920">
        <v>0.23</v>
      </c>
      <c r="H493" s="920">
        <v>0.3</v>
      </c>
      <c r="I493" s="1266">
        <f t="shared" ref="I493:I496" si="50">ROUND(IF(AND(F493:H493),C493*E493*F493*G493*H493,IF(AND(F493,G493),C493*E493*F493*G493,IF(AND(F493,H493),C493*E493*F493*H493,IF(AND(G493,H493),C493*E493*G493*H493,IF(F493,C493*E493*F493,IF(G493,C493*E493*G493,IF(H493,C493*E493*H493,C493*E493))))))),2)</f>
        <v>0.08</v>
      </c>
      <c r="J493" s="955" t="s">
        <v>5</v>
      </c>
      <c r="K493" s="902"/>
      <c r="L493" s="896"/>
      <c r="M493" s="902"/>
      <c r="N493" s="900" t="s">
        <v>2297</v>
      </c>
    </row>
    <row r="494" spans="1:14" s="910" customFormat="1" ht="16.5" hidden="1" customHeight="1">
      <c r="A494" s="896"/>
      <c r="B494" s="902" t="s">
        <v>3714</v>
      </c>
      <c r="C494" s="897">
        <v>1</v>
      </c>
      <c r="D494" s="1263" t="s">
        <v>273</v>
      </c>
      <c r="E494" s="919">
        <v>1</v>
      </c>
      <c r="F494" s="920">
        <v>2.7</v>
      </c>
      <c r="G494" s="920">
        <v>0.23</v>
      </c>
      <c r="H494" s="920">
        <v>0.3</v>
      </c>
      <c r="I494" s="1266">
        <f t="shared" si="50"/>
        <v>0.19</v>
      </c>
      <c r="J494" s="955" t="s">
        <v>5</v>
      </c>
      <c r="K494" s="902"/>
      <c r="L494" s="896"/>
      <c r="M494" s="902"/>
      <c r="N494" s="900" t="s">
        <v>2297</v>
      </c>
    </row>
    <row r="495" spans="1:14" s="910" customFormat="1" ht="16.5" hidden="1" customHeight="1">
      <c r="A495" s="896"/>
      <c r="B495" s="902" t="s">
        <v>3715</v>
      </c>
      <c r="C495" s="897">
        <v>1</v>
      </c>
      <c r="D495" s="1263" t="s">
        <v>273</v>
      </c>
      <c r="E495" s="919">
        <v>1</v>
      </c>
      <c r="F495" s="920">
        <v>2.7</v>
      </c>
      <c r="G495" s="920">
        <v>0.23</v>
      </c>
      <c r="H495" s="920">
        <v>0.3</v>
      </c>
      <c r="I495" s="1266">
        <f t="shared" si="50"/>
        <v>0.19</v>
      </c>
      <c r="J495" s="955" t="s">
        <v>5</v>
      </c>
      <c r="K495" s="902"/>
      <c r="L495" s="896"/>
      <c r="M495" s="902"/>
      <c r="N495" s="900" t="s">
        <v>2297</v>
      </c>
    </row>
    <row r="496" spans="1:14" s="910" customFormat="1" ht="16.5" hidden="1" customHeight="1">
      <c r="A496" s="896"/>
      <c r="B496" s="902" t="s">
        <v>3716</v>
      </c>
      <c r="C496" s="897">
        <v>1</v>
      </c>
      <c r="D496" s="1263" t="s">
        <v>273</v>
      </c>
      <c r="E496" s="919">
        <v>1</v>
      </c>
      <c r="F496" s="920">
        <v>7.3</v>
      </c>
      <c r="G496" s="920">
        <v>0.23</v>
      </c>
      <c r="H496" s="920">
        <v>0.3</v>
      </c>
      <c r="I496" s="1266">
        <f t="shared" si="50"/>
        <v>0.5</v>
      </c>
      <c r="J496" s="955" t="s">
        <v>5</v>
      </c>
      <c r="K496" s="902"/>
      <c r="L496" s="896"/>
      <c r="M496" s="902"/>
      <c r="N496" s="900" t="s">
        <v>2297</v>
      </c>
    </row>
    <row r="497" spans="1:14" s="910" customFormat="1" ht="16.5" hidden="1" customHeight="1">
      <c r="A497" s="896"/>
      <c r="B497" s="902" t="s">
        <v>3693</v>
      </c>
      <c r="C497" s="897">
        <v>1</v>
      </c>
      <c r="D497" s="1263" t="s">
        <v>273</v>
      </c>
      <c r="E497" s="919">
        <v>1</v>
      </c>
      <c r="F497" s="920">
        <v>0.23</v>
      </c>
      <c r="G497" s="920">
        <v>0.23</v>
      </c>
      <c r="H497" s="920">
        <v>0.3</v>
      </c>
      <c r="I497" s="1266">
        <f t="shared" ref="I497:I498" si="51">-ROUND(IF(AND(F497:H497),C497*E497*F497*G497*H497,IF(AND(F497,G497),C497*E497*F497*G497,IF(AND(F497,H497),C497*E497*F497*H497,IF(AND(G497,H497),C497*E497*G497*H497,IF(F497,C497*E497*F497,IF(G497,C497*E497*G497,IF(H497,C497*E497*H497,C497*E497))))))),2)</f>
        <v>-0.02</v>
      </c>
      <c r="J497" s="955" t="s">
        <v>5</v>
      </c>
      <c r="K497" s="902"/>
      <c r="L497" s="896"/>
      <c r="M497" s="902"/>
      <c r="N497" s="900" t="s">
        <v>2297</v>
      </c>
    </row>
    <row r="498" spans="1:14" s="910" customFormat="1" ht="16.5" hidden="1" customHeight="1">
      <c r="A498" s="896"/>
      <c r="B498" s="902" t="s">
        <v>3693</v>
      </c>
      <c r="C498" s="897">
        <v>1</v>
      </c>
      <c r="D498" s="1263" t="s">
        <v>273</v>
      </c>
      <c r="E498" s="919">
        <v>1</v>
      </c>
      <c r="F498" s="920">
        <v>0.23</v>
      </c>
      <c r="G498" s="920">
        <v>0.38</v>
      </c>
      <c r="H498" s="920">
        <v>0.3</v>
      </c>
      <c r="I498" s="1266">
        <f t="shared" si="51"/>
        <v>-0.03</v>
      </c>
      <c r="J498" s="955" t="s">
        <v>5</v>
      </c>
      <c r="K498" s="902"/>
      <c r="L498" s="896"/>
      <c r="M498" s="902"/>
      <c r="N498" s="900" t="s">
        <v>2297</v>
      </c>
    </row>
    <row r="499" spans="1:14" s="910" customFormat="1" ht="16.5" hidden="1" customHeight="1">
      <c r="A499" s="896"/>
      <c r="B499" s="902" t="s">
        <v>3307</v>
      </c>
      <c r="C499" s="897">
        <v>1</v>
      </c>
      <c r="D499" s="1263" t="s">
        <v>273</v>
      </c>
      <c r="E499" s="919">
        <v>2</v>
      </c>
      <c r="F499" s="920">
        <v>1.0900000000000001</v>
      </c>
      <c r="G499" s="920">
        <v>0.23</v>
      </c>
      <c r="H499" s="920">
        <v>0.3</v>
      </c>
      <c r="I499" s="1266">
        <f t="shared" ref="I499" si="52">ROUND(IF(AND(F499:H499),C499*E499*F499*G499*H499,IF(AND(F499,G499),C499*E499*F499*G499,IF(AND(F499,H499),C499*E499*F499*H499,IF(AND(G499,H499),C499*E499*G499*H499,IF(F499,C499*E499*F499,IF(G499,C499*E499*G499,IF(H499,C499*E499*H499,C499*E499))))))),2)</f>
        <v>0.15</v>
      </c>
      <c r="J499" s="955" t="s">
        <v>5</v>
      </c>
      <c r="K499" s="902"/>
      <c r="L499" s="896"/>
      <c r="M499" s="902"/>
      <c r="N499" s="900" t="s">
        <v>2297</v>
      </c>
    </row>
    <row r="500" spans="1:14" s="910" customFormat="1" ht="16.5" hidden="1" customHeight="1">
      <c r="A500" s="896"/>
      <c r="B500" s="956"/>
      <c r="C500" s="957"/>
      <c r="D500" s="958"/>
      <c r="E500" s="1268"/>
      <c r="F500" s="960"/>
      <c r="G500" s="960"/>
      <c r="H500" s="960"/>
      <c r="I500" s="916"/>
      <c r="J500" s="955"/>
      <c r="K500" s="902"/>
      <c r="L500" s="923"/>
      <c r="M500" s="902"/>
      <c r="N500" s="900" t="s">
        <v>2297</v>
      </c>
    </row>
    <row r="501" spans="1:14" ht="15.75" hidden="1">
      <c r="A501" s="896"/>
      <c r="B501" s="902"/>
      <c r="C501" s="917"/>
      <c r="D501" s="918"/>
      <c r="E501" s="919"/>
      <c r="F501" s="920"/>
      <c r="G501" s="921"/>
      <c r="H501" s="896"/>
      <c r="I501" s="916"/>
      <c r="J501" s="955" t="s">
        <v>5</v>
      </c>
      <c r="K501" s="922">
        <f>data!E1098</f>
        <v>9169.52</v>
      </c>
      <c r="L501" s="923" t="s">
        <v>2297</v>
      </c>
      <c r="M501" s="924">
        <f>ROUND(I501*K501,0)</f>
        <v>0</v>
      </c>
      <c r="N501" s="900" t="s">
        <v>2297</v>
      </c>
    </row>
    <row r="502" spans="1:14" ht="17.25" hidden="1" customHeight="1">
      <c r="A502" s="896">
        <v>9</v>
      </c>
      <c r="B502" s="1609" t="s">
        <v>303</v>
      </c>
      <c r="C502" s="1609"/>
      <c r="D502" s="1609"/>
      <c r="E502" s="1609"/>
      <c r="F502" s="1609"/>
      <c r="G502" s="1609"/>
      <c r="H502" s="1609"/>
      <c r="I502" s="897"/>
      <c r="J502" s="898"/>
      <c r="K502" s="896"/>
      <c r="L502" s="923"/>
      <c r="M502" s="899"/>
      <c r="N502" s="900" t="s">
        <v>2308</v>
      </c>
    </row>
    <row r="503" spans="1:14" s="910" customFormat="1" ht="16.5" hidden="1" customHeight="1">
      <c r="A503" s="896"/>
      <c r="B503" s="902" t="s">
        <v>3551</v>
      </c>
      <c r="C503" s="897"/>
      <c r="D503" s="1263"/>
      <c r="E503" s="919"/>
      <c r="F503" s="920"/>
      <c r="G503" s="920"/>
      <c r="H503" s="920"/>
      <c r="I503" s="1264"/>
      <c r="J503" s="1273"/>
      <c r="K503" s="902"/>
      <c r="L503" s="896"/>
      <c r="M503" s="902"/>
      <c r="N503" s="900" t="s">
        <v>2308</v>
      </c>
    </row>
    <row r="504" spans="1:14" s="910" customFormat="1" ht="16.5" hidden="1" customHeight="1">
      <c r="A504" s="896"/>
      <c r="B504" s="902"/>
      <c r="C504" s="897">
        <v>1</v>
      </c>
      <c r="D504" s="1263" t="s">
        <v>273</v>
      </c>
      <c r="E504" s="919">
        <v>1</v>
      </c>
      <c r="F504" s="920">
        <v>3.2749999999999999</v>
      </c>
      <c r="G504" s="920">
        <v>0.23</v>
      </c>
      <c r="H504" s="920">
        <v>0.3</v>
      </c>
      <c r="I504" s="1266">
        <f t="shared" ref="I504:I525" si="53">ROUND(IF(AND(F504:H504),C504*E504*F504*G504*H504,IF(AND(F504,G504),C504*E504*F504*G504,IF(AND(F504,H504),C504*E504*F504*H504,IF(AND(G504,H504),C504*E504*G504*H504,IF(F504,C504*E504*F504,IF(G504,C504*E504*G504,IF(H504,C504*E504*H504,C504*E504))))))),2)</f>
        <v>0.23</v>
      </c>
      <c r="J504" s="1267" t="s">
        <v>5</v>
      </c>
      <c r="K504" s="902"/>
      <c r="L504" s="896"/>
      <c r="M504" s="902"/>
      <c r="N504" s="900" t="s">
        <v>2308</v>
      </c>
    </row>
    <row r="505" spans="1:14" s="910" customFormat="1" ht="16.5" hidden="1" customHeight="1">
      <c r="A505" s="896"/>
      <c r="B505" s="902"/>
      <c r="C505" s="897">
        <v>1</v>
      </c>
      <c r="D505" s="1263" t="s">
        <v>273</v>
      </c>
      <c r="E505" s="919">
        <v>1</v>
      </c>
      <c r="F505" s="920">
        <v>5.45</v>
      </c>
      <c r="G505" s="920">
        <v>0.23</v>
      </c>
      <c r="H505" s="920">
        <v>0.38</v>
      </c>
      <c r="I505" s="1266">
        <f t="shared" si="53"/>
        <v>0.48</v>
      </c>
      <c r="J505" s="1267" t="s">
        <v>5</v>
      </c>
      <c r="K505" s="902"/>
      <c r="L505" s="896"/>
      <c r="M505" s="902"/>
      <c r="N505" s="900" t="s">
        <v>2308</v>
      </c>
    </row>
    <row r="506" spans="1:14" s="910" customFormat="1" ht="16.5" hidden="1" customHeight="1">
      <c r="A506" s="896"/>
      <c r="B506" s="902"/>
      <c r="C506" s="897">
        <v>1</v>
      </c>
      <c r="D506" s="1263" t="s">
        <v>273</v>
      </c>
      <c r="E506" s="919">
        <v>1</v>
      </c>
      <c r="F506" s="920">
        <v>3.2749999999999999</v>
      </c>
      <c r="G506" s="920">
        <v>0.23</v>
      </c>
      <c r="H506" s="920">
        <v>0.3</v>
      </c>
      <c r="I506" s="1266">
        <f t="shared" si="53"/>
        <v>0.23</v>
      </c>
      <c r="J506" s="1267" t="s">
        <v>5</v>
      </c>
      <c r="K506" s="902"/>
      <c r="L506" s="896"/>
      <c r="M506" s="902"/>
      <c r="N506" s="900" t="s">
        <v>2308</v>
      </c>
    </row>
    <row r="507" spans="1:14" s="910" customFormat="1" ht="16.5" hidden="1" customHeight="1">
      <c r="A507" s="896"/>
      <c r="B507" s="902"/>
      <c r="C507" s="897">
        <v>1</v>
      </c>
      <c r="D507" s="1263" t="s">
        <v>273</v>
      </c>
      <c r="E507" s="919">
        <v>1</v>
      </c>
      <c r="F507" s="920">
        <v>5.45</v>
      </c>
      <c r="G507" s="920">
        <v>0.23</v>
      </c>
      <c r="H507" s="920">
        <v>0.38</v>
      </c>
      <c r="I507" s="1266">
        <f t="shared" si="53"/>
        <v>0.48</v>
      </c>
      <c r="J507" s="1267" t="s">
        <v>5</v>
      </c>
      <c r="K507" s="902"/>
      <c r="L507" s="896"/>
      <c r="M507" s="902"/>
      <c r="N507" s="900" t="s">
        <v>2308</v>
      </c>
    </row>
    <row r="508" spans="1:14" s="910" customFormat="1" ht="16.5" hidden="1" customHeight="1">
      <c r="A508" s="896"/>
      <c r="B508" s="902"/>
      <c r="C508" s="897">
        <v>1</v>
      </c>
      <c r="D508" s="1263" t="s">
        <v>273</v>
      </c>
      <c r="E508" s="919">
        <v>1</v>
      </c>
      <c r="F508" s="920">
        <v>3.2749999999999999</v>
      </c>
      <c r="G508" s="920">
        <v>0.23</v>
      </c>
      <c r="H508" s="920">
        <v>0.3</v>
      </c>
      <c r="I508" s="1266">
        <f t="shared" si="53"/>
        <v>0.23</v>
      </c>
      <c r="J508" s="1267" t="s">
        <v>5</v>
      </c>
      <c r="K508" s="902"/>
      <c r="L508" s="896"/>
      <c r="M508" s="902"/>
      <c r="N508" s="900" t="s">
        <v>2308</v>
      </c>
    </row>
    <row r="509" spans="1:14" s="910" customFormat="1" ht="16.5" hidden="1" customHeight="1">
      <c r="A509" s="896"/>
      <c r="B509" s="902"/>
      <c r="C509" s="897">
        <v>1</v>
      </c>
      <c r="D509" s="1263" t="s">
        <v>273</v>
      </c>
      <c r="E509" s="919">
        <v>1</v>
      </c>
      <c r="F509" s="920">
        <v>5.45</v>
      </c>
      <c r="G509" s="920">
        <v>0.23</v>
      </c>
      <c r="H509" s="920">
        <v>0.38</v>
      </c>
      <c r="I509" s="1266">
        <f t="shared" si="53"/>
        <v>0.48</v>
      </c>
      <c r="J509" s="1267" t="s">
        <v>5</v>
      </c>
      <c r="K509" s="902"/>
      <c r="L509" s="896"/>
      <c r="M509" s="902"/>
      <c r="N509" s="900" t="s">
        <v>2308</v>
      </c>
    </row>
    <row r="510" spans="1:14" s="910" customFormat="1" ht="16.5" hidden="1" customHeight="1">
      <c r="A510" s="896"/>
      <c r="B510" s="902"/>
      <c r="C510" s="897">
        <v>1</v>
      </c>
      <c r="D510" s="1263" t="s">
        <v>273</v>
      </c>
      <c r="E510" s="919">
        <v>1</v>
      </c>
      <c r="F510" s="920">
        <v>4.2750000000000004</v>
      </c>
      <c r="G510" s="920">
        <v>0.23</v>
      </c>
      <c r="H510" s="920">
        <v>0.3</v>
      </c>
      <c r="I510" s="1266">
        <f t="shared" si="53"/>
        <v>0.28999999999999998</v>
      </c>
      <c r="J510" s="1267" t="s">
        <v>5</v>
      </c>
      <c r="K510" s="902"/>
      <c r="L510" s="896"/>
      <c r="M510" s="902"/>
      <c r="N510" s="900" t="s">
        <v>2308</v>
      </c>
    </row>
    <row r="511" spans="1:14" s="910" customFormat="1" ht="16.5" hidden="1" customHeight="1">
      <c r="A511" s="896"/>
      <c r="B511" s="902"/>
      <c r="C511" s="897">
        <v>1</v>
      </c>
      <c r="D511" s="1263" t="s">
        <v>273</v>
      </c>
      <c r="E511" s="919">
        <v>1</v>
      </c>
      <c r="F511" s="920">
        <v>5.45</v>
      </c>
      <c r="G511" s="920">
        <v>0.23</v>
      </c>
      <c r="H511" s="920">
        <v>0.38</v>
      </c>
      <c r="I511" s="1266">
        <f t="shared" si="53"/>
        <v>0.48</v>
      </c>
      <c r="J511" s="1267" t="s">
        <v>5</v>
      </c>
      <c r="K511" s="902"/>
      <c r="L511" s="896"/>
      <c r="M511" s="902"/>
      <c r="N511" s="900" t="s">
        <v>2308</v>
      </c>
    </row>
    <row r="512" spans="1:14" s="910" customFormat="1" ht="16.5" hidden="1" customHeight="1">
      <c r="A512" s="896"/>
      <c r="B512" s="902"/>
      <c r="C512" s="897">
        <v>1</v>
      </c>
      <c r="D512" s="1263" t="s">
        <v>273</v>
      </c>
      <c r="E512" s="919">
        <v>1</v>
      </c>
      <c r="F512" s="920">
        <v>4.2750000000000004</v>
      </c>
      <c r="G512" s="920">
        <v>0.23</v>
      </c>
      <c r="H512" s="920">
        <v>0.3</v>
      </c>
      <c r="I512" s="1266">
        <f t="shared" si="53"/>
        <v>0.28999999999999998</v>
      </c>
      <c r="J512" s="1267" t="s">
        <v>5</v>
      </c>
      <c r="K512" s="902"/>
      <c r="L512" s="896"/>
      <c r="M512" s="902"/>
      <c r="N512" s="900" t="s">
        <v>2308</v>
      </c>
    </row>
    <row r="513" spans="1:14" s="910" customFormat="1" ht="16.5" hidden="1" customHeight="1">
      <c r="A513" s="896"/>
      <c r="B513" s="902"/>
      <c r="C513" s="897">
        <v>1</v>
      </c>
      <c r="D513" s="1263" t="s">
        <v>273</v>
      </c>
      <c r="E513" s="919">
        <v>1</v>
      </c>
      <c r="F513" s="920">
        <v>5.45</v>
      </c>
      <c r="G513" s="920">
        <v>0.23</v>
      </c>
      <c r="H513" s="920">
        <v>0.38</v>
      </c>
      <c r="I513" s="1266">
        <f t="shared" si="53"/>
        <v>0.48</v>
      </c>
      <c r="J513" s="1267" t="s">
        <v>5</v>
      </c>
      <c r="K513" s="902"/>
      <c r="L513" s="896"/>
      <c r="M513" s="902"/>
      <c r="N513" s="900" t="s">
        <v>2308</v>
      </c>
    </row>
    <row r="514" spans="1:14" s="910" customFormat="1" ht="16.5" hidden="1" customHeight="1">
      <c r="A514" s="896"/>
      <c r="B514" s="902"/>
      <c r="C514" s="897">
        <v>1</v>
      </c>
      <c r="D514" s="1263" t="s">
        <v>273</v>
      </c>
      <c r="E514" s="919">
        <v>1</v>
      </c>
      <c r="F514" s="920">
        <v>5.45</v>
      </c>
      <c r="G514" s="920">
        <v>0.15</v>
      </c>
      <c r="H514" s="920">
        <v>0.38</v>
      </c>
      <c r="I514" s="1266">
        <f t="shared" si="53"/>
        <v>0.31</v>
      </c>
      <c r="J514" s="1267" t="s">
        <v>5</v>
      </c>
      <c r="K514" s="902"/>
      <c r="L514" s="896"/>
      <c r="M514" s="902"/>
      <c r="N514" s="900" t="s">
        <v>2308</v>
      </c>
    </row>
    <row r="515" spans="1:14" s="910" customFormat="1" ht="16.5" hidden="1" customHeight="1">
      <c r="A515" s="896"/>
      <c r="B515" s="902"/>
      <c r="C515" s="897">
        <v>1</v>
      </c>
      <c r="D515" s="1263" t="s">
        <v>273</v>
      </c>
      <c r="E515" s="919">
        <v>1</v>
      </c>
      <c r="F515" s="920">
        <v>2.75</v>
      </c>
      <c r="G515" s="920">
        <v>0.15</v>
      </c>
      <c r="H515" s="920">
        <v>0.38</v>
      </c>
      <c r="I515" s="1266">
        <f t="shared" si="53"/>
        <v>0.16</v>
      </c>
      <c r="J515" s="1267" t="s">
        <v>5</v>
      </c>
      <c r="K515" s="902"/>
      <c r="L515" s="896"/>
      <c r="M515" s="902"/>
      <c r="N515" s="900" t="s">
        <v>2308</v>
      </c>
    </row>
    <row r="516" spans="1:14" s="910" customFormat="1" ht="16.5" hidden="1" customHeight="1">
      <c r="A516" s="896"/>
      <c r="B516" s="902"/>
      <c r="C516" s="897">
        <v>1</v>
      </c>
      <c r="D516" s="1263" t="s">
        <v>273</v>
      </c>
      <c r="E516" s="919">
        <v>1</v>
      </c>
      <c r="F516" s="920">
        <v>9.52</v>
      </c>
      <c r="G516" s="920">
        <v>0.23</v>
      </c>
      <c r="H516" s="920">
        <v>0.3</v>
      </c>
      <c r="I516" s="1266">
        <f t="shared" si="53"/>
        <v>0.66</v>
      </c>
      <c r="J516" s="1267" t="s">
        <v>5</v>
      </c>
      <c r="K516" s="902"/>
      <c r="L516" s="896"/>
      <c r="M516" s="902"/>
      <c r="N516" s="900" t="s">
        <v>2308</v>
      </c>
    </row>
    <row r="517" spans="1:14" s="910" customFormat="1" ht="16.5" hidden="1" customHeight="1">
      <c r="A517" s="896"/>
      <c r="B517" s="902"/>
      <c r="C517" s="897">
        <v>1</v>
      </c>
      <c r="D517" s="1263" t="s">
        <v>273</v>
      </c>
      <c r="E517" s="919">
        <v>2</v>
      </c>
      <c r="F517" s="920">
        <v>0.23</v>
      </c>
      <c r="G517" s="920">
        <v>0.23</v>
      </c>
      <c r="H517" s="920">
        <v>0.3</v>
      </c>
      <c r="I517" s="1266">
        <f>-ROUND(IF(AND(F517:H517),C517*E517*F517*G517*H517,IF(AND(F517,G517),C517*E517*F517*G517,IF(AND(F517,H517),C517*E517*F517*H517,IF(AND(G517,H517),C517*E517*G517*H517,IF(F517,C517*E517*F517,IF(G517,C517*E517*G517,IF(H517,C517*E517*H517,C517*E517))))))),2)</f>
        <v>-0.03</v>
      </c>
      <c r="J517" s="1267" t="s">
        <v>5</v>
      </c>
      <c r="K517" s="902"/>
      <c r="L517" s="896"/>
      <c r="M517" s="902"/>
      <c r="N517" s="900" t="s">
        <v>2308</v>
      </c>
    </row>
    <row r="518" spans="1:14" s="910" customFormat="1" ht="16.5" hidden="1" customHeight="1">
      <c r="A518" s="896"/>
      <c r="B518" s="902"/>
      <c r="C518" s="897">
        <v>1</v>
      </c>
      <c r="D518" s="1263" t="s">
        <v>273</v>
      </c>
      <c r="E518" s="919">
        <v>1</v>
      </c>
      <c r="F518" s="920">
        <v>9.16</v>
      </c>
      <c r="G518" s="920">
        <v>0.23</v>
      </c>
      <c r="H518" s="920">
        <v>0.3</v>
      </c>
      <c r="I518" s="1266">
        <f t="shared" si="53"/>
        <v>0.63</v>
      </c>
      <c r="J518" s="1267" t="s">
        <v>5</v>
      </c>
      <c r="K518" s="902"/>
      <c r="L518" s="896"/>
      <c r="M518" s="902"/>
      <c r="N518" s="900" t="s">
        <v>2308</v>
      </c>
    </row>
    <row r="519" spans="1:14" s="910" customFormat="1" ht="16.5" hidden="1" customHeight="1">
      <c r="A519" s="896"/>
      <c r="B519" s="902"/>
      <c r="C519" s="897">
        <v>1</v>
      </c>
      <c r="D519" s="1263" t="s">
        <v>273</v>
      </c>
      <c r="E519" s="919">
        <v>1</v>
      </c>
      <c r="F519" s="920">
        <v>1.65</v>
      </c>
      <c r="G519" s="920">
        <v>0.23</v>
      </c>
      <c r="H519" s="920">
        <v>0.38</v>
      </c>
      <c r="I519" s="1266">
        <f t="shared" si="53"/>
        <v>0.14000000000000001</v>
      </c>
      <c r="J519" s="1267" t="s">
        <v>5</v>
      </c>
      <c r="K519" s="902"/>
      <c r="L519" s="896"/>
      <c r="M519" s="902"/>
      <c r="N519" s="900" t="s">
        <v>2308</v>
      </c>
    </row>
    <row r="520" spans="1:14" s="910" customFormat="1" ht="16.5" hidden="1" customHeight="1">
      <c r="A520" s="896"/>
      <c r="B520" s="902"/>
      <c r="C520" s="897">
        <v>1</v>
      </c>
      <c r="D520" s="1263" t="s">
        <v>273</v>
      </c>
      <c r="E520" s="919">
        <v>3</v>
      </c>
      <c r="F520" s="920">
        <v>0.23</v>
      </c>
      <c r="G520" s="920">
        <v>0.23</v>
      </c>
      <c r="H520" s="920">
        <v>0.3</v>
      </c>
      <c r="I520" s="1266">
        <f>-ROUND(IF(AND(F520:H520),C520*E520*F520*G520*H520,IF(AND(F520,G520),C520*E520*F520*G520,IF(AND(F520,H520),C520*E520*F520*H520,IF(AND(G520,H520),C520*E520*G520*H520,IF(F520,C520*E520*F520,IF(G520,C520*E520*G520,IF(H520,C520*E520*H520,C520*E520))))))),2)</f>
        <v>-0.05</v>
      </c>
      <c r="J520" s="1267" t="s">
        <v>5</v>
      </c>
      <c r="K520" s="902"/>
      <c r="L520" s="896"/>
      <c r="M520" s="902"/>
      <c r="N520" s="900" t="s">
        <v>2308</v>
      </c>
    </row>
    <row r="521" spans="1:14" s="910" customFormat="1" ht="16.5" hidden="1" customHeight="1">
      <c r="A521" s="896"/>
      <c r="B521" s="902"/>
      <c r="C521" s="897">
        <v>1</v>
      </c>
      <c r="D521" s="1263" t="s">
        <v>273</v>
      </c>
      <c r="E521" s="919">
        <v>1</v>
      </c>
      <c r="F521" s="920">
        <v>9.16</v>
      </c>
      <c r="G521" s="920">
        <v>0.23</v>
      </c>
      <c r="H521" s="920">
        <v>0.3</v>
      </c>
      <c r="I521" s="1266">
        <f t="shared" si="53"/>
        <v>0.63</v>
      </c>
      <c r="J521" s="1267" t="s">
        <v>5</v>
      </c>
      <c r="K521" s="902"/>
      <c r="L521" s="896"/>
      <c r="M521" s="902"/>
      <c r="N521" s="900" t="s">
        <v>2308</v>
      </c>
    </row>
    <row r="522" spans="1:14" s="910" customFormat="1" ht="16.5" hidden="1" customHeight="1">
      <c r="A522" s="896"/>
      <c r="B522" s="902"/>
      <c r="C522" s="897">
        <v>1</v>
      </c>
      <c r="D522" s="1263" t="s">
        <v>273</v>
      </c>
      <c r="E522" s="919">
        <v>1</v>
      </c>
      <c r="F522" s="920">
        <v>1.65</v>
      </c>
      <c r="G522" s="920">
        <v>0.23</v>
      </c>
      <c r="H522" s="920">
        <v>0.38</v>
      </c>
      <c r="I522" s="1266">
        <f t="shared" si="53"/>
        <v>0.14000000000000001</v>
      </c>
      <c r="J522" s="1267" t="s">
        <v>5</v>
      </c>
      <c r="K522" s="902"/>
      <c r="L522" s="896"/>
      <c r="M522" s="902"/>
      <c r="N522" s="900" t="s">
        <v>2308</v>
      </c>
    </row>
    <row r="523" spans="1:14" s="910" customFormat="1" ht="16.5" hidden="1" customHeight="1">
      <c r="A523" s="896"/>
      <c r="B523" s="902"/>
      <c r="C523" s="897">
        <v>1</v>
      </c>
      <c r="D523" s="1263" t="s">
        <v>273</v>
      </c>
      <c r="E523" s="919">
        <v>3</v>
      </c>
      <c r="F523" s="920">
        <v>0.23</v>
      </c>
      <c r="G523" s="920">
        <v>0.23</v>
      </c>
      <c r="H523" s="920">
        <v>0.3</v>
      </c>
      <c r="I523" s="1266">
        <f>-ROUND(IF(AND(F523:H523),C523*E523*F523*G523*H523,IF(AND(F523,G523),C523*E523*F523*G523,IF(AND(F523,H523),C523*E523*F523*H523,IF(AND(G523,H523),C523*E523*G523*H523,IF(F523,C523*E523*F523,IF(G523,C523*E523*G523,IF(H523,C523*E523*H523,C523*E523))))))),2)</f>
        <v>-0.05</v>
      </c>
      <c r="J523" s="1267" t="s">
        <v>5</v>
      </c>
      <c r="K523" s="902"/>
      <c r="L523" s="896"/>
      <c r="M523" s="902"/>
      <c r="N523" s="900" t="s">
        <v>2308</v>
      </c>
    </row>
    <row r="524" spans="1:14" s="910" customFormat="1" ht="16.5" hidden="1" customHeight="1">
      <c r="A524" s="896"/>
      <c r="B524" s="902"/>
      <c r="C524" s="897">
        <v>1</v>
      </c>
      <c r="D524" s="1263" t="s">
        <v>273</v>
      </c>
      <c r="E524" s="919">
        <v>1</v>
      </c>
      <c r="F524" s="920">
        <v>12.01</v>
      </c>
      <c r="G524" s="920">
        <v>0.23</v>
      </c>
      <c r="H524" s="920">
        <v>0.3</v>
      </c>
      <c r="I524" s="1266">
        <f t="shared" si="53"/>
        <v>0.83</v>
      </c>
      <c r="J524" s="1267" t="s">
        <v>5</v>
      </c>
      <c r="K524" s="902"/>
      <c r="L524" s="896"/>
      <c r="M524" s="902"/>
      <c r="N524" s="900" t="s">
        <v>2308</v>
      </c>
    </row>
    <row r="525" spans="1:14" s="910" customFormat="1" ht="16.5" hidden="1" customHeight="1">
      <c r="A525" s="896"/>
      <c r="B525" s="902"/>
      <c r="C525" s="897">
        <v>1</v>
      </c>
      <c r="D525" s="1263" t="s">
        <v>273</v>
      </c>
      <c r="E525" s="919">
        <v>1</v>
      </c>
      <c r="F525" s="920">
        <v>1.65</v>
      </c>
      <c r="G525" s="920">
        <v>0.23</v>
      </c>
      <c r="H525" s="920">
        <v>0.38</v>
      </c>
      <c r="I525" s="1266">
        <f t="shared" si="53"/>
        <v>0.14000000000000001</v>
      </c>
      <c r="J525" s="1267" t="s">
        <v>5</v>
      </c>
      <c r="K525" s="902"/>
      <c r="L525" s="896"/>
      <c r="M525" s="902"/>
      <c r="N525" s="900" t="s">
        <v>2308</v>
      </c>
    </row>
    <row r="526" spans="1:14" s="910" customFormat="1" ht="16.5" hidden="1" customHeight="1">
      <c r="A526" s="896"/>
      <c r="B526" s="902"/>
      <c r="C526" s="897">
        <v>1</v>
      </c>
      <c r="D526" s="1263" t="s">
        <v>273</v>
      </c>
      <c r="E526" s="919">
        <v>3</v>
      </c>
      <c r="F526" s="920">
        <v>0.23</v>
      </c>
      <c r="G526" s="920">
        <v>0.23</v>
      </c>
      <c r="H526" s="920">
        <v>0.3</v>
      </c>
      <c r="I526" s="1266">
        <f>-ROUND(IF(AND(F526:H526),C526*E526*F526*G526*H526,IF(AND(F526,G526),C526*E526*F526*G526,IF(AND(F526,H526),C526*E526*F526*H526,IF(AND(G526,H526),C526*E526*G526*H526,IF(F526,C526*E526*F526,IF(G526,C526*E526*G526,IF(H526,C526*E526*H526,C526*E526))))))),2)</f>
        <v>-0.05</v>
      </c>
      <c r="J526" s="1267" t="s">
        <v>5</v>
      </c>
      <c r="K526" s="902"/>
      <c r="L526" s="896"/>
      <c r="M526" s="902"/>
      <c r="N526" s="900" t="s">
        <v>2308</v>
      </c>
    </row>
    <row r="527" spans="1:14" s="910" customFormat="1" ht="16.5" hidden="1" customHeight="1">
      <c r="A527" s="896"/>
      <c r="B527" s="956"/>
      <c r="C527" s="957"/>
      <c r="D527" s="958"/>
      <c r="E527" s="1268"/>
      <c r="F527" s="960"/>
      <c r="G527" s="960"/>
      <c r="H527" s="960"/>
      <c r="I527" s="916"/>
      <c r="J527" s="955"/>
      <c r="K527" s="902"/>
      <c r="L527" s="923"/>
      <c r="M527" s="902"/>
      <c r="N527" s="900" t="s">
        <v>2308</v>
      </c>
    </row>
    <row r="528" spans="1:14" ht="15.75" hidden="1">
      <c r="A528" s="896"/>
      <c r="B528" s="902"/>
      <c r="C528" s="917"/>
      <c r="D528" s="918"/>
      <c r="E528" s="919"/>
      <c r="F528" s="920"/>
      <c r="G528" s="921"/>
      <c r="H528" s="896"/>
      <c r="I528" s="916"/>
      <c r="J528" s="955" t="s">
        <v>5</v>
      </c>
      <c r="K528" s="922">
        <f>data!E2015</f>
        <v>9635.33</v>
      </c>
      <c r="L528" s="923" t="s">
        <v>2308</v>
      </c>
      <c r="M528" s="924">
        <f>ROUND(I528*K528,0)</f>
        <v>0</v>
      </c>
      <c r="N528" s="900" t="s">
        <v>2308</v>
      </c>
    </row>
    <row r="529" spans="1:14" ht="17.25" hidden="1" customHeight="1">
      <c r="A529" s="896">
        <v>9</v>
      </c>
      <c r="B529" s="1609" t="s">
        <v>303</v>
      </c>
      <c r="C529" s="1609"/>
      <c r="D529" s="1609"/>
      <c r="E529" s="1609"/>
      <c r="F529" s="1609"/>
      <c r="G529" s="1609"/>
      <c r="H529" s="1609"/>
      <c r="I529" s="897"/>
      <c r="J529" s="898"/>
      <c r="K529" s="896"/>
      <c r="L529" s="923"/>
      <c r="M529" s="899"/>
      <c r="N529" s="900" t="s">
        <v>2309</v>
      </c>
    </row>
    <row r="530" spans="1:14" s="910" customFormat="1" ht="16.5" hidden="1" customHeight="1">
      <c r="A530" s="896"/>
      <c r="B530" s="928" t="s">
        <v>3522</v>
      </c>
      <c r="C530" s="1269"/>
      <c r="D530" s="1279"/>
      <c r="E530" s="1270"/>
      <c r="F530" s="1271"/>
      <c r="G530" s="1271"/>
      <c r="H530" s="1271"/>
      <c r="I530" s="1272"/>
      <c r="J530" s="955"/>
      <c r="K530" s="902"/>
      <c r="L530" s="896"/>
      <c r="M530" s="902"/>
      <c r="N530" s="900" t="s">
        <v>2309</v>
      </c>
    </row>
    <row r="531" spans="1:14" s="910" customFormat="1" ht="16.5" hidden="1" customHeight="1">
      <c r="A531" s="896"/>
      <c r="B531" s="902" t="s">
        <v>1239</v>
      </c>
      <c r="C531" s="897">
        <v>1</v>
      </c>
      <c r="D531" s="1263" t="s">
        <v>273</v>
      </c>
      <c r="E531" s="919">
        <v>1</v>
      </c>
      <c r="F531" s="920">
        <v>2.65</v>
      </c>
      <c r="G531" s="920">
        <v>0.23</v>
      </c>
      <c r="H531" s="920">
        <v>0.3</v>
      </c>
      <c r="I531" s="1266">
        <f>ROUND(IF(AND(F531:H531),C531*E531*F531*G531*H531,IF(AND(F531,G531),C531*E531*F531*G531,IF(AND(F531,H531),C531*E531*F531*H531,IF(AND(G531,H531),C531*E531*G531*H531,IF(F531,C531*E531*F531,IF(G531,C531*E531*G531,IF(H531,C531*E531*H531,C531*E531))))))),2)</f>
        <v>0.18</v>
      </c>
      <c r="J531" s="955" t="s">
        <v>5</v>
      </c>
      <c r="K531" s="902"/>
      <c r="L531" s="896"/>
      <c r="M531" s="902"/>
      <c r="N531" s="900" t="s">
        <v>2309</v>
      </c>
    </row>
    <row r="532" spans="1:14" s="910" customFormat="1" ht="16.5" hidden="1" customHeight="1">
      <c r="A532" s="896"/>
      <c r="B532" s="902" t="s">
        <v>1609</v>
      </c>
      <c r="C532" s="897">
        <v>1</v>
      </c>
      <c r="D532" s="1263" t="s">
        <v>273</v>
      </c>
      <c r="E532" s="919">
        <v>2</v>
      </c>
      <c r="F532" s="920">
        <v>1</v>
      </c>
      <c r="G532" s="920">
        <v>0.23</v>
      </c>
      <c r="H532" s="920">
        <v>0.3</v>
      </c>
      <c r="I532" s="1266">
        <f>ROUND(IF(AND(F532:H532),C532*E532*F532*G532*H532,IF(AND(F532,G532),C532*E532*F532*G532,IF(AND(F532,H532),C532*E532*F532*H532,IF(AND(G532,H532),C532*E532*G532*H532,IF(F532,C532*E532*F532,IF(G532,C532*E532*G532,IF(H532,C532*E532*H532,C532*E532))))))),2)</f>
        <v>0.14000000000000001</v>
      </c>
      <c r="J532" s="955" t="s">
        <v>5</v>
      </c>
      <c r="K532" s="902"/>
      <c r="L532" s="896"/>
      <c r="M532" s="902"/>
      <c r="N532" s="900" t="s">
        <v>2309</v>
      </c>
    </row>
    <row r="533" spans="1:14" s="910" customFormat="1" ht="16.5" hidden="1" customHeight="1">
      <c r="A533" s="896"/>
      <c r="B533" s="902" t="s">
        <v>1611</v>
      </c>
      <c r="C533" s="897">
        <v>1</v>
      </c>
      <c r="D533" s="1263" t="s">
        <v>273</v>
      </c>
      <c r="E533" s="919">
        <v>1</v>
      </c>
      <c r="F533" s="920">
        <v>15.75</v>
      </c>
      <c r="G533" s="920">
        <v>0.23</v>
      </c>
      <c r="H533" s="920">
        <v>0.3</v>
      </c>
      <c r="I533" s="1266">
        <f>ROUND(IF(AND(F533:H533),C533*E533*F533*G533*H533,IF(AND(F533,G533),C533*E533*F533*G533,IF(AND(F533,H533),C533*E533*F533*H533,IF(AND(G533,H533),C533*E533*G533*H533,IF(F533,C533*E533*F533,IF(G533,C533*E533*G533,IF(H533,C533*E533*H533,C533*E533))))))),2)</f>
        <v>1.0900000000000001</v>
      </c>
      <c r="J533" s="955" t="s">
        <v>5</v>
      </c>
      <c r="K533" s="902"/>
      <c r="L533" s="896"/>
      <c r="M533" s="902"/>
      <c r="N533" s="900" t="s">
        <v>2309</v>
      </c>
    </row>
    <row r="534" spans="1:14" s="910" customFormat="1" ht="16.5" hidden="1" customHeight="1">
      <c r="A534" s="896"/>
      <c r="B534" s="902" t="s">
        <v>1610</v>
      </c>
      <c r="C534" s="897">
        <v>1</v>
      </c>
      <c r="D534" s="1263" t="s">
        <v>273</v>
      </c>
      <c r="E534" s="919">
        <v>6</v>
      </c>
      <c r="F534" s="920">
        <v>0.23</v>
      </c>
      <c r="G534" s="920">
        <v>0.23</v>
      </c>
      <c r="H534" s="920">
        <v>0.3</v>
      </c>
      <c r="I534" s="1266">
        <f>-ROUND(IF(AND(F534:H534),C534*E534*F534*G534*H534,IF(AND(F534,G534),C534*E534*F534*G534,IF(AND(F534,H534),C534*E534*F534*H534,IF(AND(G534,H534),C534*E534*G534*H534,IF(F534,C534*E534*F534,IF(G534,C534*E534*G534,IF(H534,C534*E534*H534,C534*E534))))))),2)</f>
        <v>-0.1</v>
      </c>
      <c r="J534" s="955" t="s">
        <v>5</v>
      </c>
      <c r="K534" s="902"/>
      <c r="L534" s="896"/>
      <c r="M534" s="902"/>
      <c r="N534" s="900" t="s">
        <v>2309</v>
      </c>
    </row>
    <row r="535" spans="1:14" s="910" customFormat="1" ht="16.5" hidden="1" customHeight="1">
      <c r="A535" s="896"/>
      <c r="B535" s="956"/>
      <c r="C535" s="957"/>
      <c r="D535" s="958"/>
      <c r="E535" s="1268"/>
      <c r="F535" s="960"/>
      <c r="G535" s="960"/>
      <c r="H535" s="960"/>
      <c r="I535" s="916"/>
      <c r="J535" s="955"/>
      <c r="K535" s="902"/>
      <c r="L535" s="923"/>
      <c r="M535" s="902"/>
      <c r="N535" s="900" t="s">
        <v>2309</v>
      </c>
    </row>
    <row r="536" spans="1:14" ht="15.75" hidden="1">
      <c r="A536" s="896"/>
      <c r="B536" s="902"/>
      <c r="C536" s="917"/>
      <c r="D536" s="918"/>
      <c r="E536" s="919"/>
      <c r="F536" s="920"/>
      <c r="G536" s="921"/>
      <c r="H536" s="896"/>
      <c r="I536" s="916"/>
      <c r="J536" s="955" t="s">
        <v>5</v>
      </c>
      <c r="K536" s="922">
        <f>data!E2932</f>
        <v>9921.19</v>
      </c>
      <c r="L536" s="923" t="s">
        <v>2309</v>
      </c>
      <c r="M536" s="924">
        <f>ROUND(I536*K536,0)</f>
        <v>0</v>
      </c>
      <c r="N536" s="900" t="s">
        <v>2309</v>
      </c>
    </row>
    <row r="537" spans="1:14" ht="17.25" hidden="1" customHeight="1">
      <c r="A537" s="896">
        <v>11</v>
      </c>
      <c r="B537" s="1609" t="s">
        <v>304</v>
      </c>
      <c r="C537" s="1609"/>
      <c r="D537" s="1609"/>
      <c r="E537" s="1609"/>
      <c r="F537" s="1609"/>
      <c r="G537" s="1609"/>
      <c r="H537" s="1609"/>
      <c r="I537" s="897"/>
      <c r="J537" s="898"/>
      <c r="K537" s="896"/>
      <c r="L537" s="923"/>
      <c r="M537" s="899"/>
      <c r="N537" s="900" t="s">
        <v>2209</v>
      </c>
    </row>
    <row r="538" spans="1:14" s="910" customFormat="1" ht="16.5" hidden="1" customHeight="1">
      <c r="A538" s="896"/>
      <c r="B538" s="902" t="s">
        <v>3554</v>
      </c>
      <c r="C538" s="897"/>
      <c r="D538" s="1280" t="s">
        <v>3247</v>
      </c>
      <c r="E538" s="919"/>
      <c r="F538" s="920"/>
      <c r="G538" s="920"/>
      <c r="H538" s="920"/>
      <c r="I538" s="1264"/>
      <c r="J538" s="1273"/>
      <c r="K538" s="902"/>
      <c r="L538" s="896"/>
      <c r="M538" s="902"/>
      <c r="N538" s="900" t="s">
        <v>2209</v>
      </c>
    </row>
    <row r="539" spans="1:14" s="910" customFormat="1" ht="16.5" hidden="1" customHeight="1">
      <c r="A539" s="896"/>
      <c r="B539" s="902" t="s">
        <v>267</v>
      </c>
      <c r="C539" s="897">
        <v>1</v>
      </c>
      <c r="D539" s="1263" t="s">
        <v>273</v>
      </c>
      <c r="E539" s="919">
        <v>1</v>
      </c>
      <c r="F539" s="920">
        <v>3.4</v>
      </c>
      <c r="G539" s="920">
        <v>1.3</v>
      </c>
      <c r="H539" s="920">
        <v>0</v>
      </c>
      <c r="I539" s="1266">
        <f t="shared" ref="I539:I540" si="54">ROUND(IF(AND(F539:H539),C539*E539*F539*G539*H539,IF(AND(F539,G539),C539*E539*F539*G539,IF(AND(F539,H539),C539*E539*F539*H539,IF(AND(G539,H539),C539*E539*G539*H539,IF(F539,C539*E539*F539,IF(G539,C539*E539*G539,IF(H539,C539*E539*H539,C539*E539))))))),2)</f>
        <v>4.42</v>
      </c>
      <c r="J539" s="1267" t="s">
        <v>102</v>
      </c>
      <c r="K539" s="902"/>
      <c r="L539" s="896"/>
      <c r="M539" s="902"/>
      <c r="N539" s="900" t="s">
        <v>2209</v>
      </c>
    </row>
    <row r="540" spans="1:14" s="910" customFormat="1" ht="16.5" hidden="1" customHeight="1">
      <c r="A540" s="896"/>
      <c r="B540" s="902" t="s">
        <v>801</v>
      </c>
      <c r="C540" s="897">
        <v>1</v>
      </c>
      <c r="D540" s="1263" t="s">
        <v>273</v>
      </c>
      <c r="E540" s="919">
        <v>1</v>
      </c>
      <c r="F540" s="920">
        <v>3.2</v>
      </c>
      <c r="G540" s="920">
        <v>1.3</v>
      </c>
      <c r="H540" s="920">
        <v>0</v>
      </c>
      <c r="I540" s="1266">
        <f t="shared" si="54"/>
        <v>4.16</v>
      </c>
      <c r="J540" s="1267" t="s">
        <v>102</v>
      </c>
      <c r="K540" s="902"/>
      <c r="L540" s="896"/>
      <c r="M540" s="902"/>
      <c r="N540" s="900" t="s">
        <v>2209</v>
      </c>
    </row>
    <row r="541" spans="1:14" s="910" customFormat="1" ht="16.5" hidden="1" customHeight="1">
      <c r="A541" s="896"/>
      <c r="B541" s="902" t="s">
        <v>3555</v>
      </c>
      <c r="C541" s="897"/>
      <c r="D541" s="1280" t="s">
        <v>3257</v>
      </c>
      <c r="E541" s="919"/>
      <c r="F541" s="920"/>
      <c r="G541" s="920"/>
      <c r="H541" s="920"/>
      <c r="I541" s="1264"/>
      <c r="J541" s="1273"/>
      <c r="K541" s="902"/>
      <c r="L541" s="896"/>
      <c r="M541" s="902"/>
      <c r="N541" s="900" t="s">
        <v>2209</v>
      </c>
    </row>
    <row r="542" spans="1:14" s="910" customFormat="1" ht="16.5" hidden="1" customHeight="1">
      <c r="A542" s="896"/>
      <c r="B542" s="902" t="s">
        <v>3053</v>
      </c>
      <c r="C542" s="897">
        <v>1</v>
      </c>
      <c r="D542" s="1263" t="s">
        <v>273</v>
      </c>
      <c r="E542" s="919">
        <v>1</v>
      </c>
      <c r="F542" s="920">
        <v>3.2</v>
      </c>
      <c r="G542" s="920">
        <v>1.35</v>
      </c>
      <c r="H542" s="920">
        <v>0</v>
      </c>
      <c r="I542" s="1266">
        <f t="shared" ref="I542" si="55">ROUND(IF(AND(F542:H542),C542*E542*F542*G542*H542,IF(AND(F542,G542),C542*E542*F542*G542,IF(AND(F542,H542),C542*E542*F542*H542,IF(AND(G542,H542),C542*E542*G542*H542,IF(F542,C542*E542*F542,IF(G542,C542*E542*G542,IF(H542,C542*E542*H542,C542*E542))))))),2)</f>
        <v>4.32</v>
      </c>
      <c r="J542" s="1267" t="s">
        <v>102</v>
      </c>
      <c r="K542" s="902"/>
      <c r="L542" s="896"/>
      <c r="M542" s="902"/>
      <c r="N542" s="900" t="s">
        <v>2209</v>
      </c>
    </row>
    <row r="543" spans="1:14" s="910" customFormat="1" ht="16.5" hidden="1" customHeight="1">
      <c r="A543" s="896"/>
      <c r="B543" s="956"/>
      <c r="C543" s="957"/>
      <c r="D543" s="958"/>
      <c r="E543" s="1268"/>
      <c r="F543" s="960"/>
      <c r="G543" s="960"/>
      <c r="H543" s="960"/>
      <c r="I543" s="916"/>
      <c r="J543" s="955"/>
      <c r="K543" s="902"/>
      <c r="L543" s="923"/>
      <c r="M543" s="902"/>
      <c r="N543" s="900" t="s">
        <v>2209</v>
      </c>
    </row>
    <row r="544" spans="1:14" ht="15.75" hidden="1">
      <c r="A544" s="896"/>
      <c r="B544" s="902"/>
      <c r="C544" s="917"/>
      <c r="D544" s="918"/>
      <c r="E544" s="919"/>
      <c r="F544" s="920"/>
      <c r="G544" s="921"/>
      <c r="H544" s="896"/>
      <c r="I544" s="916"/>
      <c r="J544" s="955" t="s">
        <v>102</v>
      </c>
      <c r="K544" s="922">
        <f>data!E203</f>
        <v>1195.95</v>
      </c>
      <c r="L544" s="923" t="s">
        <v>2209</v>
      </c>
      <c r="M544" s="924">
        <f>ROUND(I544*K544,0)</f>
        <v>0</v>
      </c>
      <c r="N544" s="900" t="s">
        <v>2209</v>
      </c>
    </row>
    <row r="545" spans="1:14" ht="17.25" hidden="1" customHeight="1">
      <c r="A545" s="896">
        <v>10</v>
      </c>
      <c r="B545" s="1609" t="s">
        <v>304</v>
      </c>
      <c r="C545" s="1609"/>
      <c r="D545" s="1609"/>
      <c r="E545" s="1609"/>
      <c r="F545" s="1609"/>
      <c r="G545" s="1609"/>
      <c r="H545" s="1609"/>
      <c r="I545" s="897"/>
      <c r="J545" s="898"/>
      <c r="K545" s="896"/>
      <c r="L545" s="923"/>
      <c r="M545" s="899"/>
      <c r="N545" s="900" t="s">
        <v>2297</v>
      </c>
    </row>
    <row r="546" spans="1:14" s="910" customFormat="1" ht="16.5" hidden="1" customHeight="1">
      <c r="A546" s="896"/>
      <c r="B546" s="902" t="s">
        <v>3554</v>
      </c>
      <c r="C546" s="897"/>
      <c r="D546" s="1263"/>
      <c r="E546" s="919"/>
      <c r="F546" s="920"/>
      <c r="G546" s="920"/>
      <c r="H546" s="920"/>
      <c r="I546" s="1264"/>
      <c r="J546" s="1273"/>
      <c r="K546" s="902"/>
      <c r="L546" s="896"/>
      <c r="M546" s="902"/>
      <c r="N546" s="900" t="s">
        <v>2297</v>
      </c>
    </row>
    <row r="547" spans="1:14" s="910" customFormat="1" ht="16.5" hidden="1" customHeight="1">
      <c r="A547" s="896"/>
      <c r="B547" s="902"/>
      <c r="C547" s="897">
        <v>1</v>
      </c>
      <c r="D547" s="1263" t="s">
        <v>273</v>
      </c>
      <c r="E547" s="919">
        <v>1</v>
      </c>
      <c r="F547" s="920">
        <v>3.4</v>
      </c>
      <c r="G547" s="920">
        <v>1.3</v>
      </c>
      <c r="H547" s="920">
        <v>0</v>
      </c>
      <c r="I547" s="1266">
        <f t="shared" ref="I547:I548" si="56">ROUND(IF(AND(F547:H547),C547*E547*F547*G547*H547,IF(AND(F547,G547),C547*E547*F547*G547,IF(AND(F547,H547),C547*E547*F547*H547,IF(AND(G547,H547),C547*E547*G547*H547,IF(F547,C547*E547*F547,IF(G547,C547*E547*G547,IF(H547,C547*E547*H547,C547*E547))))))),2)</f>
        <v>4.42</v>
      </c>
      <c r="J547" s="1267" t="s">
        <v>102</v>
      </c>
      <c r="K547" s="902"/>
      <c r="L547" s="896"/>
      <c r="M547" s="902"/>
      <c r="N547" s="900" t="s">
        <v>2297</v>
      </c>
    </row>
    <row r="548" spans="1:14" s="910" customFormat="1" ht="16.5" hidden="1" customHeight="1">
      <c r="A548" s="896"/>
      <c r="B548" s="902"/>
      <c r="C548" s="897">
        <v>1</v>
      </c>
      <c r="D548" s="1263" t="s">
        <v>273</v>
      </c>
      <c r="E548" s="919">
        <v>1</v>
      </c>
      <c r="F548" s="920">
        <v>3.2</v>
      </c>
      <c r="G548" s="920">
        <v>1.3</v>
      </c>
      <c r="H548" s="920">
        <v>0</v>
      </c>
      <c r="I548" s="1266">
        <f t="shared" si="56"/>
        <v>4.16</v>
      </c>
      <c r="J548" s="1267" t="s">
        <v>102</v>
      </c>
      <c r="K548" s="902"/>
      <c r="L548" s="896"/>
      <c r="M548" s="902"/>
      <c r="N548" s="900" t="s">
        <v>2297</v>
      </c>
    </row>
    <row r="549" spans="1:14" s="910" customFormat="1" ht="16.5" hidden="1" customHeight="1">
      <c r="A549" s="896"/>
      <c r="B549" s="956"/>
      <c r="C549" s="957"/>
      <c r="D549" s="958"/>
      <c r="E549" s="1268"/>
      <c r="F549" s="960"/>
      <c r="G549" s="960"/>
      <c r="H549" s="960"/>
      <c r="I549" s="916"/>
      <c r="J549" s="955"/>
      <c r="K549" s="902"/>
      <c r="L549" s="923"/>
      <c r="M549" s="902"/>
      <c r="N549" s="900" t="s">
        <v>2297</v>
      </c>
    </row>
    <row r="550" spans="1:14" ht="15.75" hidden="1">
      <c r="A550" s="896"/>
      <c r="B550" s="902"/>
      <c r="C550" s="917"/>
      <c r="D550" s="918"/>
      <c r="E550" s="919"/>
      <c r="F550" s="920"/>
      <c r="G550" s="921"/>
      <c r="H550" s="896"/>
      <c r="I550" s="916"/>
      <c r="J550" s="955" t="s">
        <v>102</v>
      </c>
      <c r="K550" s="922">
        <f>data!E1119</f>
        <v>1239.23</v>
      </c>
      <c r="L550" s="923" t="s">
        <v>2297</v>
      </c>
      <c r="M550" s="924">
        <f>ROUND(I550*K550,0)</f>
        <v>0</v>
      </c>
      <c r="N550" s="900" t="s">
        <v>2297</v>
      </c>
    </row>
    <row r="551" spans="1:14" ht="17.25" hidden="1" customHeight="1">
      <c r="A551" s="896">
        <v>10</v>
      </c>
      <c r="B551" s="1609" t="s">
        <v>304</v>
      </c>
      <c r="C551" s="1609"/>
      <c r="D551" s="1609"/>
      <c r="E551" s="1609"/>
      <c r="F551" s="1609"/>
      <c r="G551" s="1609"/>
      <c r="H551" s="1609"/>
      <c r="I551" s="897"/>
      <c r="J551" s="898"/>
      <c r="K551" s="896"/>
      <c r="L551" s="923"/>
      <c r="M551" s="899"/>
      <c r="N551" s="900" t="s">
        <v>2308</v>
      </c>
    </row>
    <row r="552" spans="1:14" s="910" customFormat="1" ht="16.5" hidden="1" customHeight="1">
      <c r="A552" s="896"/>
      <c r="B552" s="902" t="s">
        <v>3555</v>
      </c>
      <c r="C552" s="897"/>
      <c r="D552" s="1263"/>
      <c r="E552" s="919"/>
      <c r="F552" s="920"/>
      <c r="G552" s="920"/>
      <c r="H552" s="920"/>
      <c r="I552" s="1264"/>
      <c r="J552" s="1273"/>
      <c r="K552" s="902"/>
      <c r="L552" s="896"/>
      <c r="M552" s="902"/>
      <c r="N552" s="900" t="s">
        <v>2308</v>
      </c>
    </row>
    <row r="553" spans="1:14" s="910" customFormat="1" ht="16.5" hidden="1" customHeight="1">
      <c r="A553" s="896"/>
      <c r="B553" s="902"/>
      <c r="C553" s="897">
        <v>1</v>
      </c>
      <c r="D553" s="1263" t="s">
        <v>273</v>
      </c>
      <c r="E553" s="919">
        <v>1</v>
      </c>
      <c r="F553" s="920">
        <v>3.2</v>
      </c>
      <c r="G553" s="920">
        <v>1.35</v>
      </c>
      <c r="H553" s="920">
        <v>0</v>
      </c>
      <c r="I553" s="1266">
        <f t="shared" ref="I553" si="57">ROUND(IF(AND(F553:H553),C553*E553*F553*G553*H553,IF(AND(F553,G553),C553*E553*F553*G553,IF(AND(F553,H553),C553*E553*F553*H553,IF(AND(G553,H553),C553*E553*G553*H553,IF(F553,C553*E553*F553,IF(G553,C553*E553*G553,IF(H553,C553*E553*H553,C553*E553))))))),2)</f>
        <v>4.32</v>
      </c>
      <c r="J553" s="1267" t="s">
        <v>102</v>
      </c>
      <c r="K553" s="902"/>
      <c r="L553" s="896"/>
      <c r="M553" s="902"/>
      <c r="N553" s="900" t="s">
        <v>2308</v>
      </c>
    </row>
    <row r="554" spans="1:14" s="910" customFormat="1" ht="16.5" hidden="1" customHeight="1">
      <c r="A554" s="896"/>
      <c r="B554" s="956"/>
      <c r="C554" s="957"/>
      <c r="D554" s="958"/>
      <c r="E554" s="1268"/>
      <c r="F554" s="960"/>
      <c r="G554" s="960"/>
      <c r="H554" s="960"/>
      <c r="I554" s="916"/>
      <c r="J554" s="955"/>
      <c r="K554" s="902"/>
      <c r="L554" s="923"/>
      <c r="M554" s="902"/>
      <c r="N554" s="900" t="s">
        <v>2308</v>
      </c>
    </row>
    <row r="555" spans="1:14" ht="15.75" hidden="1">
      <c r="A555" s="896"/>
      <c r="B555" s="902"/>
      <c r="C555" s="917"/>
      <c r="D555" s="918"/>
      <c r="E555" s="919"/>
      <c r="F555" s="920"/>
      <c r="G555" s="921"/>
      <c r="H555" s="896"/>
      <c r="I555" s="916"/>
      <c r="J555" s="955" t="s">
        <v>102</v>
      </c>
      <c r="K555" s="922">
        <f>data!E2036</f>
        <v>1302.4000000000001</v>
      </c>
      <c r="L555" s="923" t="s">
        <v>2308</v>
      </c>
      <c r="M555" s="924">
        <f>ROUND(I555*K555,0)</f>
        <v>0</v>
      </c>
      <c r="N555" s="900" t="s">
        <v>2308</v>
      </c>
    </row>
    <row r="556" spans="1:14" ht="17.25" hidden="1" customHeight="1">
      <c r="A556" s="896">
        <v>10</v>
      </c>
      <c r="B556" s="1609" t="s">
        <v>304</v>
      </c>
      <c r="C556" s="1609"/>
      <c r="D556" s="1609"/>
      <c r="E556" s="1609"/>
      <c r="F556" s="1609"/>
      <c r="G556" s="1609"/>
      <c r="H556" s="1609"/>
      <c r="I556" s="897"/>
      <c r="J556" s="898"/>
      <c r="K556" s="896"/>
      <c r="L556" s="923"/>
      <c r="M556" s="899"/>
      <c r="N556" s="900" t="s">
        <v>2309</v>
      </c>
    </row>
    <row r="557" spans="1:14" s="910" customFormat="1" ht="16.5" hidden="1" customHeight="1">
      <c r="A557" s="896"/>
      <c r="B557" s="928" t="s">
        <v>3522</v>
      </c>
      <c r="C557" s="1269"/>
      <c r="D557" s="1279"/>
      <c r="E557" s="1270"/>
      <c r="F557" s="1271"/>
      <c r="G557" s="1271"/>
      <c r="H557" s="1271"/>
      <c r="I557" s="1272"/>
      <c r="J557" s="955"/>
      <c r="K557" s="902"/>
      <c r="L557" s="896"/>
      <c r="M557" s="902"/>
      <c r="N557" s="900" t="s">
        <v>2309</v>
      </c>
    </row>
    <row r="558" spans="1:14" s="910" customFormat="1" ht="16.5" hidden="1" customHeight="1">
      <c r="A558" s="896"/>
      <c r="B558" s="902" t="s">
        <v>1612</v>
      </c>
      <c r="C558" s="897">
        <v>1</v>
      </c>
      <c r="D558" s="1263" t="s">
        <v>273</v>
      </c>
      <c r="E558" s="919">
        <v>1</v>
      </c>
      <c r="F558" s="920">
        <v>3.2</v>
      </c>
      <c r="G558" s="920">
        <v>1.2</v>
      </c>
      <c r="H558" s="920">
        <v>0</v>
      </c>
      <c r="I558" s="1266">
        <f>ROUND(IF(AND(F558:H558),C558*E558*F558*G558*H558,IF(AND(F558,G558),C558*E558*F558*G558,IF(AND(F558,H558),C558*E558*F558*H558,IF(AND(G558,H558),C558*E558*G558*H558,IF(F558,C558*E558*F558,IF(G558,C558*E558*G558,IF(H558,C558*E558*H558,C558*E558))))))),2)</f>
        <v>3.84</v>
      </c>
      <c r="J558" s="955" t="s">
        <v>102</v>
      </c>
      <c r="K558" s="902"/>
      <c r="L558" s="896"/>
      <c r="M558" s="902"/>
      <c r="N558" s="900" t="s">
        <v>2309</v>
      </c>
    </row>
    <row r="559" spans="1:14" s="910" customFormat="1" ht="16.5" hidden="1" customHeight="1">
      <c r="A559" s="896"/>
      <c r="B559" s="902" t="s">
        <v>1613</v>
      </c>
      <c r="C559" s="897">
        <v>1</v>
      </c>
      <c r="D559" s="1263" t="s">
        <v>273</v>
      </c>
      <c r="E559" s="919">
        <v>1</v>
      </c>
      <c r="F559" s="920">
        <v>3.6</v>
      </c>
      <c r="G559" s="920">
        <v>1.21</v>
      </c>
      <c r="H559" s="920">
        <v>0</v>
      </c>
      <c r="I559" s="1266">
        <f>ROUND(IF(AND(F559:H559),C559*E559*F559*G559*H559,IF(AND(F559,G559),C559*E559*F559*G559,IF(AND(F559,H559),C559*E559*F559*H559,IF(AND(G559,H559),C559*E559*G559*H559,IF(F559,C559*E559*F559,IF(G559,C559*E559*G559,IF(H559,C559*E559*H559,C559*E559))))))),2)</f>
        <v>4.3600000000000003</v>
      </c>
      <c r="J559" s="955" t="s">
        <v>102</v>
      </c>
      <c r="K559" s="902"/>
      <c r="L559" s="896"/>
      <c r="M559" s="902"/>
      <c r="N559" s="900" t="s">
        <v>2309</v>
      </c>
    </row>
    <row r="560" spans="1:14" s="910" customFormat="1" ht="16.5" hidden="1" customHeight="1">
      <c r="A560" s="896"/>
      <c r="B560" s="956"/>
      <c r="C560" s="957"/>
      <c r="D560" s="958"/>
      <c r="E560" s="1268"/>
      <c r="F560" s="960"/>
      <c r="G560" s="960"/>
      <c r="H560" s="960"/>
      <c r="I560" s="916"/>
      <c r="J560" s="955"/>
      <c r="K560" s="902"/>
      <c r="L560" s="923"/>
      <c r="M560" s="902"/>
      <c r="N560" s="900" t="s">
        <v>2309</v>
      </c>
    </row>
    <row r="561" spans="1:14" ht="15.75" hidden="1">
      <c r="A561" s="896"/>
      <c r="B561" s="902"/>
      <c r="C561" s="917"/>
      <c r="D561" s="918"/>
      <c r="E561" s="919"/>
      <c r="F561" s="920"/>
      <c r="G561" s="921"/>
      <c r="H561" s="896"/>
      <c r="I561" s="916"/>
      <c r="J561" s="955" t="s">
        <v>102</v>
      </c>
      <c r="K561" s="922">
        <f>data!E2953</f>
        <v>1345.28</v>
      </c>
      <c r="L561" s="923" t="s">
        <v>2309</v>
      </c>
      <c r="M561" s="924">
        <f>ROUND(I561*K561,0)</f>
        <v>0</v>
      </c>
      <c r="N561" s="900" t="s">
        <v>2309</v>
      </c>
    </row>
    <row r="562" spans="1:14" s="1403" customFormat="1" ht="17.25" customHeight="1">
      <c r="A562" s="1397">
        <v>11</v>
      </c>
      <c r="B562" s="1610" t="s">
        <v>305</v>
      </c>
      <c r="C562" s="1610"/>
      <c r="D562" s="1610"/>
      <c r="E562" s="1610"/>
      <c r="F562" s="1610"/>
      <c r="G562" s="1610"/>
      <c r="H562" s="1610"/>
      <c r="I562" s="1398"/>
      <c r="J562" s="1399"/>
      <c r="K562" s="1397"/>
      <c r="L562" s="1400"/>
      <c r="M562" s="1401"/>
      <c r="N562" s="1402" t="s">
        <v>2209</v>
      </c>
    </row>
    <row r="563" spans="1:14" s="1411" customFormat="1" ht="16.5" customHeight="1">
      <c r="A563" s="1397"/>
      <c r="B563" s="1404" t="s">
        <v>3883</v>
      </c>
      <c r="C563" s="1405"/>
      <c r="D563" s="1395" t="s">
        <v>4016</v>
      </c>
      <c r="E563" s="1406"/>
      <c r="F563" s="1407"/>
      <c r="G563" s="1407"/>
      <c r="H563" s="1407"/>
      <c r="I563" s="1408"/>
      <c r="J563" s="1423"/>
      <c r="K563" s="1410"/>
      <c r="L563" s="1397"/>
      <c r="M563" s="1410"/>
      <c r="N563" s="1402" t="s">
        <v>2209</v>
      </c>
    </row>
    <row r="564" spans="1:14" s="1411" customFormat="1" ht="16.5" customHeight="1">
      <c r="A564" s="1397"/>
      <c r="B564" s="1410"/>
      <c r="C564" s="1398">
        <v>1</v>
      </c>
      <c r="D564" s="1412" t="s">
        <v>273</v>
      </c>
      <c r="E564" s="1413">
        <v>1</v>
      </c>
      <c r="F564" s="1414">
        <v>14.1</v>
      </c>
      <c r="G564" s="1414">
        <v>7.95</v>
      </c>
      <c r="H564" s="1414">
        <v>0</v>
      </c>
      <c r="I564" s="1415">
        <f t="shared" ref="I564:I565" si="58">ROUND(IF(AND(F564:H564),C564*E564*F564*G564*H564,IF(AND(F564,G564),C564*E564*F564*G564,IF(AND(F564,H564),C564*E564*F564*H564,IF(AND(G564,H564),C564*E564*G564*H564,IF(F564,C564*E564*F564,IF(G564,C564*E564*G564,IF(H564,C564*E564*H564,C564*E564))))))),2)</f>
        <v>112.1</v>
      </c>
      <c r="J564" s="1423" t="s">
        <v>102</v>
      </c>
      <c r="K564" s="1410"/>
      <c r="L564" s="1397"/>
      <c r="M564" s="1410"/>
      <c r="N564" s="1402" t="s">
        <v>2209</v>
      </c>
    </row>
    <row r="565" spans="1:14" s="1411" customFormat="1" ht="16.5" customHeight="1">
      <c r="A565" s="1397"/>
      <c r="B565" s="1410"/>
      <c r="C565" s="1398">
        <v>1</v>
      </c>
      <c r="D565" s="1412" t="s">
        <v>273</v>
      </c>
      <c r="E565" s="1413">
        <v>2</v>
      </c>
      <c r="F565" s="1414">
        <v>3.15</v>
      </c>
      <c r="G565" s="1414">
        <v>0.95</v>
      </c>
      <c r="H565" s="1414">
        <v>0</v>
      </c>
      <c r="I565" s="1415">
        <f t="shared" si="58"/>
        <v>5.99</v>
      </c>
      <c r="J565" s="1423" t="s">
        <v>102</v>
      </c>
      <c r="K565" s="1410"/>
      <c r="L565" s="1397"/>
      <c r="M565" s="1410"/>
      <c r="N565" s="1402" t="s">
        <v>2209</v>
      </c>
    </row>
    <row r="566" spans="1:14" s="1411" customFormat="1" ht="16.5" customHeight="1">
      <c r="A566" s="1397"/>
      <c r="B566" s="1450"/>
      <c r="C566" s="1451"/>
      <c r="D566" s="1452"/>
      <c r="E566" s="1453"/>
      <c r="F566" s="1454"/>
      <c r="G566" s="1454"/>
      <c r="H566" s="1455"/>
      <c r="I566" s="1456"/>
      <c r="J566" s="1423"/>
      <c r="K566" s="1410"/>
      <c r="L566" s="1400"/>
      <c r="M566" s="1410"/>
      <c r="N566" s="1402" t="s">
        <v>2209</v>
      </c>
    </row>
    <row r="567" spans="1:14" s="1403" customFormat="1" ht="15.75">
      <c r="A567" s="1397"/>
      <c r="B567" s="1410"/>
      <c r="C567" s="1431"/>
      <c r="D567" s="1432"/>
      <c r="E567" s="1413"/>
      <c r="F567" s="1414"/>
      <c r="G567" s="1433"/>
      <c r="H567" s="1397"/>
      <c r="I567" s="1430">
        <f>SUM(I564:I566)</f>
        <v>118.08999999999999</v>
      </c>
      <c r="J567" s="1423" t="s">
        <v>102</v>
      </c>
      <c r="K567" s="1434">
        <f>data!E196</f>
        <v>1071.8</v>
      </c>
      <c r="L567" s="1400" t="s">
        <v>2209</v>
      </c>
      <c r="M567" s="1435">
        <f>ROUND(I567*K567,0)</f>
        <v>126569</v>
      </c>
      <c r="N567" s="1402" t="s">
        <v>2209</v>
      </c>
    </row>
    <row r="568" spans="1:14" ht="17.25" hidden="1" customHeight="1">
      <c r="A568" s="896">
        <v>16</v>
      </c>
      <c r="B568" s="1609" t="s">
        <v>305</v>
      </c>
      <c r="C568" s="1609"/>
      <c r="D568" s="1609"/>
      <c r="E568" s="1609"/>
      <c r="F568" s="1609"/>
      <c r="G568" s="1609"/>
      <c r="H568" s="1609"/>
      <c r="I568" s="897"/>
      <c r="J568" s="898"/>
      <c r="K568" s="896"/>
      <c r="L568" s="923"/>
      <c r="M568" s="899"/>
      <c r="N568" s="900" t="s">
        <v>2297</v>
      </c>
    </row>
    <row r="569" spans="1:14" s="910" customFormat="1" ht="16.5" hidden="1" customHeight="1">
      <c r="A569" s="896"/>
      <c r="B569" s="928" t="s">
        <v>3656</v>
      </c>
      <c r="C569" s="1269"/>
      <c r="D569" s="954" t="s">
        <v>3818</v>
      </c>
      <c r="E569" s="1270"/>
      <c r="F569" s="1271"/>
      <c r="G569" s="1271"/>
      <c r="H569" s="1271"/>
      <c r="I569" s="1272"/>
      <c r="J569" s="955"/>
      <c r="K569" s="902"/>
      <c r="L569" s="896"/>
      <c r="M569" s="902"/>
      <c r="N569" s="900" t="s">
        <v>2297</v>
      </c>
    </row>
    <row r="570" spans="1:14" s="910" customFormat="1" ht="16.5" hidden="1" customHeight="1">
      <c r="A570" s="896"/>
      <c r="B570" s="902"/>
      <c r="C570" s="897">
        <v>1</v>
      </c>
      <c r="D570" s="1263" t="s">
        <v>273</v>
      </c>
      <c r="E570" s="919">
        <v>1</v>
      </c>
      <c r="F570" s="920">
        <v>14.2</v>
      </c>
      <c r="G570" s="920">
        <v>4.87</v>
      </c>
      <c r="H570" s="920">
        <v>0</v>
      </c>
      <c r="I570" s="1266">
        <f t="shared" ref="I570:I571" si="59">ROUND(IF(AND(F570:H570),C570*E570*F570*G570*H570,IF(AND(F570,G570),C570*E570*F570*G570,IF(AND(F570,H570),C570*E570*F570*H570,IF(AND(G570,H570),C570*E570*G570*H570,IF(F570,C570*E570*F570,IF(G570,C570*E570*G570,IF(H570,C570*E570*H570,C570*E570))))))),2)</f>
        <v>69.150000000000006</v>
      </c>
      <c r="J570" s="955" t="s">
        <v>102</v>
      </c>
      <c r="K570" s="902"/>
      <c r="L570" s="896"/>
      <c r="M570" s="902"/>
      <c r="N570" s="900" t="s">
        <v>2297</v>
      </c>
    </row>
    <row r="571" spans="1:14" s="910" customFormat="1" ht="16.5" hidden="1" customHeight="1">
      <c r="A571" s="896"/>
      <c r="B571" s="902"/>
      <c r="C571" s="897">
        <v>1</v>
      </c>
      <c r="D571" s="1263" t="s">
        <v>273</v>
      </c>
      <c r="E571" s="919">
        <v>1</v>
      </c>
      <c r="F571" s="920">
        <v>16.100000000000001</v>
      </c>
      <c r="G571" s="920">
        <v>3.05</v>
      </c>
      <c r="H571" s="920">
        <v>0</v>
      </c>
      <c r="I571" s="1266">
        <f t="shared" si="59"/>
        <v>49.11</v>
      </c>
      <c r="J571" s="955" t="s">
        <v>102</v>
      </c>
      <c r="K571" s="902"/>
      <c r="L571" s="896"/>
      <c r="M571" s="902"/>
      <c r="N571" s="900" t="s">
        <v>2297</v>
      </c>
    </row>
    <row r="572" spans="1:14" s="910" customFormat="1" ht="16.5" hidden="1" customHeight="1">
      <c r="A572" s="896"/>
      <c r="B572" s="1281"/>
      <c r="C572" s="1282"/>
      <c r="D572" s="1276"/>
      <c r="E572" s="1283"/>
      <c r="F572" s="1284"/>
      <c r="G572" s="1284"/>
      <c r="H572" s="1285"/>
      <c r="I572" s="1278"/>
      <c r="J572" s="955"/>
      <c r="K572" s="902"/>
      <c r="L572" s="923"/>
      <c r="M572" s="902"/>
      <c r="N572" s="900" t="s">
        <v>2297</v>
      </c>
    </row>
    <row r="573" spans="1:14" ht="15.75" hidden="1">
      <c r="A573" s="896"/>
      <c r="B573" s="902"/>
      <c r="C573" s="917"/>
      <c r="D573" s="918"/>
      <c r="E573" s="919"/>
      <c r="F573" s="920"/>
      <c r="G573" s="921"/>
      <c r="H573" s="896"/>
      <c r="I573" s="916"/>
      <c r="J573" s="955" t="s">
        <v>102</v>
      </c>
      <c r="K573" s="922">
        <f>data!E1112</f>
        <v>1109.69</v>
      </c>
      <c r="L573" s="923" t="s">
        <v>2297</v>
      </c>
      <c r="M573" s="924">
        <f>ROUND(I573*K573,0)</f>
        <v>0</v>
      </c>
      <c r="N573" s="900" t="s">
        <v>2297</v>
      </c>
    </row>
    <row r="574" spans="1:14" ht="17.25" hidden="1" customHeight="1">
      <c r="A574" s="896">
        <v>11</v>
      </c>
      <c r="B574" s="1609" t="s">
        <v>305</v>
      </c>
      <c r="C574" s="1609"/>
      <c r="D574" s="1609"/>
      <c r="E574" s="1609"/>
      <c r="F574" s="1609"/>
      <c r="G574" s="1609"/>
      <c r="H574" s="1609"/>
      <c r="I574" s="897"/>
      <c r="J574" s="898"/>
      <c r="K574" s="896"/>
      <c r="L574" s="923"/>
      <c r="M574" s="899"/>
      <c r="N574" s="900" t="s">
        <v>2308</v>
      </c>
    </row>
    <row r="575" spans="1:14" s="910" customFormat="1" ht="16.5" hidden="1" customHeight="1">
      <c r="A575" s="896"/>
      <c r="B575" s="902" t="s">
        <v>3555</v>
      </c>
      <c r="C575" s="897"/>
      <c r="D575" s="1263"/>
      <c r="E575" s="919"/>
      <c r="F575" s="920"/>
      <c r="G575" s="920"/>
      <c r="H575" s="920"/>
      <c r="I575" s="1264"/>
      <c r="J575" s="955"/>
      <c r="K575" s="902"/>
      <c r="L575" s="896"/>
      <c r="M575" s="902"/>
      <c r="N575" s="900" t="s">
        <v>2308</v>
      </c>
    </row>
    <row r="576" spans="1:14" s="910" customFormat="1" ht="16.5" hidden="1" customHeight="1">
      <c r="A576" s="896"/>
      <c r="B576" s="902"/>
      <c r="C576" s="897">
        <v>1</v>
      </c>
      <c r="D576" s="1263" t="s">
        <v>273</v>
      </c>
      <c r="E576" s="919">
        <v>1</v>
      </c>
      <c r="F576" s="920">
        <v>10.45</v>
      </c>
      <c r="G576" s="920">
        <v>9.4499999999999993</v>
      </c>
      <c r="H576" s="920">
        <v>0</v>
      </c>
      <c r="I576" s="1266">
        <f t="shared" ref="I576:I578" si="60">ROUND(IF(AND(F576:H576),C576*E576*F576*G576*H576,IF(AND(F576,G576),C576*E576*F576*G576,IF(AND(F576,H576),C576*E576*F576*H576,IF(AND(G576,H576),C576*E576*G576*H576,IF(F576,C576*E576*F576,IF(G576,C576*E576*G576,IF(H576,C576*E576*H576,C576*E576))))))),2)</f>
        <v>98.75</v>
      </c>
      <c r="J576" s="955" t="s">
        <v>102</v>
      </c>
      <c r="K576" s="902"/>
      <c r="L576" s="896"/>
      <c r="M576" s="902"/>
      <c r="N576" s="900" t="s">
        <v>2308</v>
      </c>
    </row>
    <row r="577" spans="1:14" s="910" customFormat="1" ht="16.5" hidden="1" customHeight="1">
      <c r="A577" s="896"/>
      <c r="B577" s="902"/>
      <c r="C577" s="897">
        <v>1</v>
      </c>
      <c r="D577" s="1263" t="s">
        <v>273</v>
      </c>
      <c r="E577" s="919">
        <v>1</v>
      </c>
      <c r="F577" s="920">
        <v>5.6</v>
      </c>
      <c r="G577" s="920">
        <v>5.65</v>
      </c>
      <c r="H577" s="920">
        <v>0</v>
      </c>
      <c r="I577" s="1266">
        <f t="shared" si="60"/>
        <v>31.64</v>
      </c>
      <c r="J577" s="955" t="s">
        <v>102</v>
      </c>
      <c r="K577" s="902"/>
      <c r="L577" s="896"/>
      <c r="M577" s="902"/>
      <c r="N577" s="900" t="s">
        <v>2308</v>
      </c>
    </row>
    <row r="578" spans="1:14" s="910" customFormat="1" ht="16.5" hidden="1" customHeight="1">
      <c r="A578" s="896"/>
      <c r="B578" s="902"/>
      <c r="C578" s="897">
        <v>1</v>
      </c>
      <c r="D578" s="1263" t="s">
        <v>273</v>
      </c>
      <c r="E578" s="919">
        <v>1</v>
      </c>
      <c r="F578" s="920">
        <v>4.5</v>
      </c>
      <c r="G578" s="920">
        <v>0.3</v>
      </c>
      <c r="H578" s="920">
        <v>0</v>
      </c>
      <c r="I578" s="1266">
        <f t="shared" si="60"/>
        <v>1.35</v>
      </c>
      <c r="J578" s="955" t="s">
        <v>102</v>
      </c>
      <c r="K578" s="902"/>
      <c r="L578" s="896"/>
      <c r="M578" s="902"/>
      <c r="N578" s="900" t="s">
        <v>2308</v>
      </c>
    </row>
    <row r="579" spans="1:14" s="910" customFormat="1" ht="16.5" hidden="1" customHeight="1">
      <c r="A579" s="896"/>
      <c r="B579" s="1281"/>
      <c r="C579" s="1282"/>
      <c r="D579" s="1276"/>
      <c r="E579" s="1283"/>
      <c r="F579" s="1284"/>
      <c r="G579" s="1284"/>
      <c r="H579" s="1285"/>
      <c r="I579" s="1278"/>
      <c r="J579" s="955"/>
      <c r="K579" s="902"/>
      <c r="L579" s="923"/>
      <c r="M579" s="902"/>
      <c r="N579" s="900" t="s">
        <v>2308</v>
      </c>
    </row>
    <row r="580" spans="1:14" ht="15.75" hidden="1">
      <c r="A580" s="896"/>
      <c r="B580" s="902"/>
      <c r="C580" s="917"/>
      <c r="D580" s="918"/>
      <c r="E580" s="919"/>
      <c r="F580" s="920"/>
      <c r="G580" s="921"/>
      <c r="H580" s="896"/>
      <c r="I580" s="916"/>
      <c r="J580" s="955" t="s">
        <v>102</v>
      </c>
      <c r="K580" s="922">
        <f>data!E2029</f>
        <v>1166.67</v>
      </c>
      <c r="L580" s="923" t="s">
        <v>2308</v>
      </c>
      <c r="M580" s="924">
        <f>ROUND(I580*K580,0)</f>
        <v>0</v>
      </c>
      <c r="N580" s="900" t="s">
        <v>2308</v>
      </c>
    </row>
    <row r="581" spans="1:14" ht="17.25" hidden="1" customHeight="1">
      <c r="A581" s="896">
        <v>11</v>
      </c>
      <c r="B581" s="1609" t="s">
        <v>305</v>
      </c>
      <c r="C581" s="1609"/>
      <c r="D581" s="1609"/>
      <c r="E581" s="1609"/>
      <c r="F581" s="1609"/>
      <c r="G581" s="1609"/>
      <c r="H581" s="1609"/>
      <c r="I581" s="897"/>
      <c r="J581" s="898"/>
      <c r="K581" s="896"/>
      <c r="L581" s="923"/>
      <c r="M581" s="899"/>
      <c r="N581" s="900" t="s">
        <v>2309</v>
      </c>
    </row>
    <row r="582" spans="1:14" s="910" customFormat="1" ht="16.5" hidden="1" customHeight="1">
      <c r="A582" s="896"/>
      <c r="B582" s="928" t="s">
        <v>3556</v>
      </c>
      <c r="C582" s="1269"/>
      <c r="D582" s="1279"/>
      <c r="E582" s="1270"/>
      <c r="F582" s="1271"/>
      <c r="G582" s="1271"/>
      <c r="H582" s="1271"/>
      <c r="I582" s="1272"/>
      <c r="J582" s="955"/>
      <c r="K582" s="902"/>
      <c r="L582" s="896"/>
      <c r="M582" s="902"/>
      <c r="N582" s="900" t="s">
        <v>2309</v>
      </c>
    </row>
    <row r="583" spans="1:14" s="910" customFormat="1" ht="16.5" hidden="1" customHeight="1">
      <c r="A583" s="896"/>
      <c r="B583" s="902"/>
      <c r="C583" s="897">
        <v>1</v>
      </c>
      <c r="D583" s="1263" t="s">
        <v>273</v>
      </c>
      <c r="E583" s="919">
        <v>1</v>
      </c>
      <c r="F583" s="920">
        <v>16.09</v>
      </c>
      <c r="G583" s="920">
        <v>10.19</v>
      </c>
      <c r="H583" s="920">
        <v>0</v>
      </c>
      <c r="I583" s="1266">
        <f>ROUND(IF(AND(F583:H583),C583*E583*F583*G583*H583,IF(AND(F583,G583),C583*E583*F583*G583,IF(AND(F583,H583),C583*E583*F583*H583,IF(AND(G583,H583),C583*E583*G583*H583,IF(F583,C583*E583*F583,IF(G583,C583*E583*G583,IF(H583,C583*E583*H583,C583*E583))))))),2)</f>
        <v>163.96</v>
      </c>
      <c r="J583" s="955" t="s">
        <v>102</v>
      </c>
      <c r="K583" s="902"/>
      <c r="L583" s="896"/>
      <c r="M583" s="902"/>
      <c r="N583" s="900" t="s">
        <v>2309</v>
      </c>
    </row>
    <row r="584" spans="1:14" s="910" customFormat="1" ht="16.5" hidden="1" customHeight="1">
      <c r="A584" s="896"/>
      <c r="B584" s="902"/>
      <c r="C584" s="897">
        <v>1</v>
      </c>
      <c r="D584" s="1263" t="s">
        <v>273</v>
      </c>
      <c r="E584" s="919">
        <v>1</v>
      </c>
      <c r="F584" s="920">
        <v>3.86</v>
      </c>
      <c r="G584" s="920">
        <v>2.63</v>
      </c>
      <c r="H584" s="920">
        <v>0</v>
      </c>
      <c r="I584" s="1266">
        <f>-ROUND(IF(AND(F584:H584),C584*E584*F584*G584*H584,IF(AND(F584,G584),C584*E584*F584*G584,IF(AND(F584,H584),C584*E584*F584*H584,IF(AND(G584,H584),C584*E584*G584*H584,IF(F584,C584*E584*F584,IF(G584,C584*E584*G584,IF(H584,C584*E584*H584,C584*E584))))))),2)</f>
        <v>-10.15</v>
      </c>
      <c r="J584" s="955" t="s">
        <v>102</v>
      </c>
      <c r="K584" s="902"/>
      <c r="L584" s="896"/>
      <c r="M584" s="902"/>
      <c r="N584" s="900" t="s">
        <v>2309</v>
      </c>
    </row>
    <row r="585" spans="1:14" s="910" customFormat="1" ht="16.5" hidden="1" customHeight="1">
      <c r="A585" s="896"/>
      <c r="B585" s="1281"/>
      <c r="C585" s="1282"/>
      <c r="D585" s="1276"/>
      <c r="E585" s="1283"/>
      <c r="F585" s="1284"/>
      <c r="G585" s="1284"/>
      <c r="H585" s="1285"/>
      <c r="I585" s="1278"/>
      <c r="J585" s="955"/>
      <c r="K585" s="902"/>
      <c r="L585" s="923"/>
      <c r="M585" s="902"/>
      <c r="N585" s="900" t="s">
        <v>2309</v>
      </c>
    </row>
    <row r="586" spans="1:14" ht="15.75" hidden="1">
      <c r="A586" s="896"/>
      <c r="B586" s="902"/>
      <c r="C586" s="917"/>
      <c r="D586" s="918"/>
      <c r="E586" s="919"/>
      <c r="F586" s="920"/>
      <c r="G586" s="921"/>
      <c r="H586" s="896"/>
      <c r="I586" s="916"/>
      <c r="J586" s="955" t="s">
        <v>102</v>
      </c>
      <c r="K586" s="922">
        <f>data!E2946</f>
        <v>1202.4000000000001</v>
      </c>
      <c r="L586" s="923" t="s">
        <v>2309</v>
      </c>
      <c r="M586" s="924">
        <f>ROUND(I586*K586,0)</f>
        <v>0</v>
      </c>
      <c r="N586" s="900" t="s">
        <v>2309</v>
      </c>
    </row>
    <row r="587" spans="1:14" s="1403" customFormat="1" ht="17.25" customHeight="1">
      <c r="A587" s="1397">
        <v>12</v>
      </c>
      <c r="B587" s="1610" t="s">
        <v>582</v>
      </c>
      <c r="C587" s="1610"/>
      <c r="D587" s="1610"/>
      <c r="E587" s="1610"/>
      <c r="F587" s="1610"/>
      <c r="G587" s="1610"/>
      <c r="H587" s="1610"/>
      <c r="I587" s="1398"/>
      <c r="J587" s="1399"/>
      <c r="K587" s="1397"/>
      <c r="L587" s="1400"/>
      <c r="M587" s="1401"/>
      <c r="N587" s="1402" t="s">
        <v>2209</v>
      </c>
    </row>
    <row r="588" spans="1:14" s="1411" customFormat="1" ht="16.5" customHeight="1">
      <c r="A588" s="1397"/>
      <c r="B588" s="1404" t="s">
        <v>3884</v>
      </c>
      <c r="C588" s="1405"/>
      <c r="D588" s="1395" t="s">
        <v>4016</v>
      </c>
      <c r="E588" s="1406"/>
      <c r="F588" s="1407"/>
      <c r="G588" s="1407"/>
      <c r="H588" s="1407"/>
      <c r="I588" s="1408"/>
      <c r="J588" s="1423"/>
      <c r="K588" s="1410"/>
      <c r="L588" s="1397"/>
      <c r="M588" s="1410"/>
      <c r="N588" s="1402" t="s">
        <v>2209</v>
      </c>
    </row>
    <row r="589" spans="1:14" s="1411" customFormat="1" ht="16.5" customHeight="1">
      <c r="A589" s="1397"/>
      <c r="B589" s="1410"/>
      <c r="C589" s="1398">
        <v>1</v>
      </c>
      <c r="D589" s="1412" t="s">
        <v>273</v>
      </c>
      <c r="E589" s="1413">
        <v>2</v>
      </c>
      <c r="F589" s="1414">
        <f>(3.05+3.65)/2</f>
        <v>3.3499999999999996</v>
      </c>
      <c r="G589" s="1414">
        <v>0.95</v>
      </c>
      <c r="H589" s="1414">
        <v>0</v>
      </c>
      <c r="I589" s="1415">
        <f t="shared" ref="I589:I590" si="61">ROUND(IF(AND(F589:H589),C589*E589*F589*G589*H589,IF(AND(F589,G589),C589*E589*F589*G589,IF(AND(F589,H589),C589*E589*F589*H589,IF(AND(G589,H589),C589*E589*G589*H589,IF(F589,C589*E589*F589,IF(G589,C589*E589*G589,IF(H589,C589*E589*H589,C589*E589))))))),2)</f>
        <v>6.37</v>
      </c>
      <c r="J589" s="1423" t="s">
        <v>102</v>
      </c>
      <c r="K589" s="1410"/>
      <c r="L589" s="1397"/>
      <c r="M589" s="1410"/>
      <c r="N589" s="1402" t="s">
        <v>2209</v>
      </c>
    </row>
    <row r="590" spans="1:14" s="1411" customFormat="1" ht="16.5" customHeight="1">
      <c r="A590" s="1397"/>
      <c r="B590" s="1410"/>
      <c r="C590" s="1398">
        <v>1</v>
      </c>
      <c r="D590" s="1412" t="s">
        <v>273</v>
      </c>
      <c r="E590" s="1413">
        <v>1</v>
      </c>
      <c r="F590" s="1414">
        <f>(16+17.2)/2</f>
        <v>16.600000000000001</v>
      </c>
      <c r="G590" s="1414">
        <v>0.95</v>
      </c>
      <c r="H590" s="1414">
        <v>0</v>
      </c>
      <c r="I590" s="1415">
        <f t="shared" si="61"/>
        <v>15.77</v>
      </c>
      <c r="J590" s="1423" t="s">
        <v>102</v>
      </c>
      <c r="K590" s="1410"/>
      <c r="L590" s="1397"/>
      <c r="M590" s="1410"/>
      <c r="N590" s="1402" t="s">
        <v>2209</v>
      </c>
    </row>
    <row r="591" spans="1:14" s="1411" customFormat="1" ht="16.5" customHeight="1">
      <c r="A591" s="1397"/>
      <c r="B591" s="1450"/>
      <c r="C591" s="1451"/>
      <c r="D591" s="1452"/>
      <c r="E591" s="1453"/>
      <c r="F591" s="1454"/>
      <c r="G591" s="1454"/>
      <c r="H591" s="1455"/>
      <c r="I591" s="1456"/>
      <c r="J591" s="1423"/>
      <c r="K591" s="1410"/>
      <c r="L591" s="1400"/>
      <c r="M591" s="1410"/>
      <c r="N591" s="1402" t="s">
        <v>2209</v>
      </c>
    </row>
    <row r="592" spans="1:14" s="1403" customFormat="1" ht="15.75">
      <c r="A592" s="1397"/>
      <c r="B592" s="1410"/>
      <c r="C592" s="1431"/>
      <c r="D592" s="1432"/>
      <c r="E592" s="1413"/>
      <c r="F592" s="1414"/>
      <c r="G592" s="1433"/>
      <c r="H592" s="1397"/>
      <c r="I592" s="1430">
        <f>SUM(I589:I591)</f>
        <v>22.14</v>
      </c>
      <c r="J592" s="1423" t="s">
        <v>102</v>
      </c>
      <c r="K592" s="1434">
        <f>data!E189</f>
        <v>947.64</v>
      </c>
      <c r="L592" s="1400" t="s">
        <v>2209</v>
      </c>
      <c r="M592" s="1435">
        <f>ROUND(I592*K592,0)</f>
        <v>20981</v>
      </c>
      <c r="N592" s="1402" t="s">
        <v>2209</v>
      </c>
    </row>
    <row r="593" spans="1:14" ht="17.25" hidden="1" customHeight="1">
      <c r="A593" s="896">
        <v>17</v>
      </c>
      <c r="B593" s="1609" t="s">
        <v>582</v>
      </c>
      <c r="C593" s="1609"/>
      <c r="D593" s="1609"/>
      <c r="E593" s="1609"/>
      <c r="F593" s="1609"/>
      <c r="G593" s="1609"/>
      <c r="H593" s="1609"/>
      <c r="I593" s="897"/>
      <c r="J593" s="898"/>
      <c r="K593" s="896"/>
      <c r="L593" s="923"/>
      <c r="M593" s="899"/>
      <c r="N593" s="900" t="s">
        <v>2297</v>
      </c>
    </row>
    <row r="594" spans="1:14" s="910" customFormat="1" ht="16.5" hidden="1" customHeight="1">
      <c r="A594" s="896"/>
      <c r="B594" s="928" t="s">
        <v>3657</v>
      </c>
      <c r="C594" s="1269"/>
      <c r="D594" s="954" t="s">
        <v>3818</v>
      </c>
      <c r="E594" s="1270"/>
      <c r="F594" s="1271"/>
      <c r="G594" s="1271"/>
      <c r="H594" s="1271"/>
      <c r="I594" s="1272"/>
      <c r="J594" s="955"/>
      <c r="K594" s="902"/>
      <c r="L594" s="896"/>
      <c r="M594" s="902"/>
      <c r="N594" s="900" t="s">
        <v>2297</v>
      </c>
    </row>
    <row r="595" spans="1:14" s="910" customFormat="1" ht="16.5" hidden="1" customHeight="1">
      <c r="A595" s="896"/>
      <c r="B595" s="902"/>
      <c r="C595" s="897">
        <v>1</v>
      </c>
      <c r="D595" s="1263" t="s">
        <v>273</v>
      </c>
      <c r="E595" s="919">
        <v>1</v>
      </c>
      <c r="F595" s="920">
        <f>(16+17.2)/2</f>
        <v>16.600000000000001</v>
      </c>
      <c r="G595" s="920">
        <v>0.9</v>
      </c>
      <c r="H595" s="920">
        <v>0</v>
      </c>
      <c r="I595" s="1266">
        <f t="shared" ref="I595:I596" si="62">ROUND(IF(AND(F595:H595),C595*E595*F595*G595*H595,IF(AND(F595,G595),C595*E595*F595*G595,IF(AND(F595,H595),C595*E595*F595*H595,IF(AND(G595,H595),C595*E595*G595*H595,IF(F595,C595*E595*F595,IF(G595,C595*E595*G595,IF(H595,C595*E595*H595,C595*E595))))))),2)</f>
        <v>14.94</v>
      </c>
      <c r="J595" s="955" t="s">
        <v>102</v>
      </c>
      <c r="K595" s="902"/>
      <c r="L595" s="896"/>
      <c r="M595" s="902"/>
      <c r="N595" s="900" t="s">
        <v>2297</v>
      </c>
    </row>
    <row r="596" spans="1:14" s="910" customFormat="1" ht="16.5" hidden="1" customHeight="1">
      <c r="A596" s="896"/>
      <c r="B596" s="902"/>
      <c r="C596" s="897">
        <v>1</v>
      </c>
      <c r="D596" s="1263" t="s">
        <v>273</v>
      </c>
      <c r="E596" s="919">
        <v>2</v>
      </c>
      <c r="F596" s="920">
        <f>(3.05+3.65)/2</f>
        <v>3.3499999999999996</v>
      </c>
      <c r="G596" s="920">
        <v>0.9</v>
      </c>
      <c r="H596" s="920">
        <v>0</v>
      </c>
      <c r="I596" s="1266">
        <f t="shared" si="62"/>
        <v>6.03</v>
      </c>
      <c r="J596" s="955" t="s">
        <v>102</v>
      </c>
      <c r="K596" s="902"/>
      <c r="L596" s="896"/>
      <c r="M596" s="902"/>
      <c r="N596" s="900" t="s">
        <v>2297</v>
      </c>
    </row>
    <row r="597" spans="1:14" s="910" customFormat="1" ht="16.5" hidden="1" customHeight="1">
      <c r="A597" s="896"/>
      <c r="B597" s="1281"/>
      <c r="C597" s="1282"/>
      <c r="D597" s="1276"/>
      <c r="E597" s="1283"/>
      <c r="F597" s="1284"/>
      <c r="G597" s="1284"/>
      <c r="H597" s="1285"/>
      <c r="I597" s="1278"/>
      <c r="J597" s="955"/>
      <c r="K597" s="902"/>
      <c r="L597" s="923"/>
      <c r="M597" s="902"/>
      <c r="N597" s="900" t="s">
        <v>2297</v>
      </c>
    </row>
    <row r="598" spans="1:14" ht="15.75" hidden="1">
      <c r="A598" s="896"/>
      <c r="B598" s="902"/>
      <c r="C598" s="917"/>
      <c r="D598" s="918"/>
      <c r="E598" s="919"/>
      <c r="F598" s="920"/>
      <c r="G598" s="921"/>
      <c r="H598" s="896"/>
      <c r="I598" s="916"/>
      <c r="J598" s="955" t="s">
        <v>102</v>
      </c>
      <c r="K598" s="922">
        <f>data!E1105</f>
        <v>980.15</v>
      </c>
      <c r="L598" s="923" t="s">
        <v>2297</v>
      </c>
      <c r="M598" s="924">
        <f>ROUND(I598*K598,0)</f>
        <v>0</v>
      </c>
      <c r="N598" s="900" t="s">
        <v>2297</v>
      </c>
    </row>
    <row r="599" spans="1:14" ht="17.25" hidden="1" customHeight="1">
      <c r="A599" s="896">
        <v>11</v>
      </c>
      <c r="B599" s="1609" t="s">
        <v>582</v>
      </c>
      <c r="C599" s="1609"/>
      <c r="D599" s="1609"/>
      <c r="E599" s="1609"/>
      <c r="F599" s="1609"/>
      <c r="G599" s="1609"/>
      <c r="H599" s="1609"/>
      <c r="I599" s="897"/>
      <c r="J599" s="898"/>
      <c r="K599" s="896"/>
      <c r="L599" s="923"/>
      <c r="M599" s="899"/>
      <c r="N599" s="900" t="s">
        <v>2308</v>
      </c>
    </row>
    <row r="600" spans="1:14" s="910" customFormat="1" ht="16.5" hidden="1" customHeight="1">
      <c r="A600" s="896"/>
      <c r="B600" s="928" t="s">
        <v>3553</v>
      </c>
      <c r="C600" s="1269"/>
      <c r="D600" s="1279"/>
      <c r="E600" s="1270"/>
      <c r="F600" s="1271"/>
      <c r="G600" s="1271"/>
      <c r="H600" s="1271"/>
      <c r="I600" s="1272"/>
      <c r="J600" s="955"/>
      <c r="K600" s="902"/>
      <c r="L600" s="896"/>
      <c r="M600" s="902"/>
      <c r="N600" s="900" t="s">
        <v>2308</v>
      </c>
    </row>
    <row r="601" spans="1:14" s="910" customFormat="1" ht="16.5" hidden="1" customHeight="1">
      <c r="A601" s="896"/>
      <c r="B601" s="902"/>
      <c r="C601" s="897">
        <v>1</v>
      </c>
      <c r="D601" s="1263" t="s">
        <v>273</v>
      </c>
      <c r="E601" s="919">
        <v>2</v>
      </c>
      <c r="F601" s="920">
        <f>(3.05+3.65)/2</f>
        <v>3.3499999999999996</v>
      </c>
      <c r="G601" s="920">
        <v>0.95</v>
      </c>
      <c r="H601" s="920">
        <v>0</v>
      </c>
      <c r="I601" s="1266">
        <f>ROUND(IF(AND(F601:H601),C601*E601*F601*G601*H601,IF(AND(F601,G601),C601*E601*F601*G601,IF(AND(F601,H601),C601*E601*F601*H601,IF(AND(G601,H601),C601*E601*G601*H601,IF(F601,C601*E601*F601,IF(G601,C601*E601*G601,IF(H601,C601*E601*H601,C601*E601))))))),2)</f>
        <v>6.37</v>
      </c>
      <c r="J601" s="955" t="s">
        <v>102</v>
      </c>
      <c r="K601" s="902"/>
      <c r="L601" s="896"/>
      <c r="M601" s="902"/>
      <c r="N601" s="900" t="s">
        <v>2308</v>
      </c>
    </row>
    <row r="602" spans="1:14" s="910" customFormat="1" ht="16.5" hidden="1" customHeight="1">
      <c r="A602" s="896"/>
      <c r="B602" s="902"/>
      <c r="C602" s="897">
        <v>1</v>
      </c>
      <c r="D602" s="1263" t="s">
        <v>273</v>
      </c>
      <c r="E602" s="919">
        <v>1</v>
      </c>
      <c r="F602" s="920">
        <f>(16+17.2)/2</f>
        <v>16.600000000000001</v>
      </c>
      <c r="G602" s="920">
        <v>0.95</v>
      </c>
      <c r="H602" s="920">
        <v>0</v>
      </c>
      <c r="I602" s="1266">
        <f>ROUND(IF(AND(F602:H602),C602*E602*F602*G602*H602,IF(AND(F602,G602),C602*E602*F602*G602,IF(AND(F602,H602),C602*E602*F602*H602,IF(AND(G602,H602),C602*E602*G602*H602,IF(F602,C602*E602*F602,IF(G602,C602*E602*G602,IF(H602,C602*E602*H602,C602*E602))))))),2)</f>
        <v>15.77</v>
      </c>
      <c r="J602" s="955" t="s">
        <v>102</v>
      </c>
      <c r="K602" s="902"/>
      <c r="L602" s="896"/>
      <c r="M602" s="902"/>
      <c r="N602" s="900" t="s">
        <v>2308</v>
      </c>
    </row>
    <row r="603" spans="1:14" s="910" customFormat="1" ht="16.5" hidden="1" customHeight="1">
      <c r="A603" s="896"/>
      <c r="B603" s="1281"/>
      <c r="C603" s="1282"/>
      <c r="D603" s="1276"/>
      <c r="E603" s="1283"/>
      <c r="F603" s="1284"/>
      <c r="G603" s="1284"/>
      <c r="H603" s="1285"/>
      <c r="I603" s="1278"/>
      <c r="J603" s="955"/>
      <c r="K603" s="902"/>
      <c r="L603" s="923"/>
      <c r="M603" s="902"/>
      <c r="N603" s="900" t="s">
        <v>2308</v>
      </c>
    </row>
    <row r="604" spans="1:14" ht="15.75" hidden="1">
      <c r="A604" s="896"/>
      <c r="B604" s="902"/>
      <c r="C604" s="917"/>
      <c r="D604" s="918"/>
      <c r="E604" s="919"/>
      <c r="F604" s="920"/>
      <c r="G604" s="921"/>
      <c r="H604" s="896"/>
      <c r="I604" s="916"/>
      <c r="J604" s="955" t="s">
        <v>102</v>
      </c>
      <c r="K604" s="922">
        <f>data!E2022</f>
        <v>1030.9299999999998</v>
      </c>
      <c r="L604" s="923" t="s">
        <v>2308</v>
      </c>
      <c r="M604" s="924">
        <f>ROUND(I604*K604,0)</f>
        <v>0</v>
      </c>
      <c r="N604" s="900" t="s">
        <v>2308</v>
      </c>
    </row>
    <row r="605" spans="1:14" ht="17.25" hidden="1" customHeight="1">
      <c r="A605" s="896">
        <v>11</v>
      </c>
      <c r="B605" s="1609" t="s">
        <v>582</v>
      </c>
      <c r="C605" s="1609"/>
      <c r="D605" s="1609"/>
      <c r="E605" s="1609"/>
      <c r="F605" s="1609"/>
      <c r="G605" s="1609"/>
      <c r="H605" s="1609"/>
      <c r="I605" s="897"/>
      <c r="J605" s="898"/>
      <c r="K605" s="896"/>
      <c r="L605" s="923"/>
      <c r="M605" s="899"/>
      <c r="N605" s="900" t="s">
        <v>2309</v>
      </c>
    </row>
    <row r="606" spans="1:14" s="910" customFormat="1" ht="16.5" hidden="1" customHeight="1">
      <c r="A606" s="896"/>
      <c r="B606" s="928" t="s">
        <v>3553</v>
      </c>
      <c r="C606" s="1269"/>
      <c r="D606" s="1279"/>
      <c r="E606" s="1270"/>
      <c r="F606" s="1271"/>
      <c r="G606" s="1271"/>
      <c r="H606" s="1271"/>
      <c r="I606" s="1272"/>
      <c r="J606" s="955"/>
      <c r="K606" s="902"/>
      <c r="L606" s="896"/>
      <c r="M606" s="902"/>
      <c r="N606" s="900" t="s">
        <v>2309</v>
      </c>
    </row>
    <row r="607" spans="1:14" s="910" customFormat="1" ht="16.5" hidden="1" customHeight="1">
      <c r="A607" s="896"/>
      <c r="B607" s="902"/>
      <c r="C607" s="897">
        <v>1</v>
      </c>
      <c r="D607" s="1263" t="s">
        <v>273</v>
      </c>
      <c r="E607" s="919">
        <v>2</v>
      </c>
      <c r="F607" s="920">
        <f>(3.05+3.65)/2</f>
        <v>3.3499999999999996</v>
      </c>
      <c r="G607" s="920">
        <v>0.95</v>
      </c>
      <c r="H607" s="920">
        <v>0</v>
      </c>
      <c r="I607" s="1266">
        <f>ROUND(IF(AND(F607:H607),C607*E607*F607*G607*H607,IF(AND(F607,G607),C607*E607*F607*G607,IF(AND(F607,H607),C607*E607*F607*H607,IF(AND(G607,H607),C607*E607*G607*H607,IF(F607,C607*E607*F607,IF(G607,C607*E607*G607,IF(H607,C607*E607*H607,C607*E607))))))),2)</f>
        <v>6.37</v>
      </c>
      <c r="J607" s="955" t="s">
        <v>102</v>
      </c>
      <c r="K607" s="902"/>
      <c r="L607" s="896"/>
      <c r="M607" s="902"/>
      <c r="N607" s="900" t="s">
        <v>2309</v>
      </c>
    </row>
    <row r="608" spans="1:14" s="910" customFormat="1" ht="16.5" hidden="1" customHeight="1">
      <c r="A608" s="896"/>
      <c r="B608" s="902"/>
      <c r="C608" s="897">
        <v>1</v>
      </c>
      <c r="D608" s="1263" t="s">
        <v>273</v>
      </c>
      <c r="E608" s="919">
        <v>1</v>
      </c>
      <c r="F608" s="920">
        <f>(16+17.2)/2</f>
        <v>16.600000000000001</v>
      </c>
      <c r="G608" s="920">
        <v>0.95</v>
      </c>
      <c r="H608" s="920">
        <v>0</v>
      </c>
      <c r="I608" s="1266">
        <f>ROUND(IF(AND(F608:H608),C608*E608*F608*G608*H608,IF(AND(F608,G608),C608*E608*F608*G608,IF(AND(F608,H608),C608*E608*F608*H608,IF(AND(G608,H608),C608*E608*G608*H608,IF(F608,C608*E608*F608,IF(G608,C608*E608*G608,IF(H608,C608*E608*H608,C608*E608))))))),2)</f>
        <v>15.77</v>
      </c>
      <c r="J608" s="955" t="s">
        <v>102</v>
      </c>
      <c r="K608" s="902"/>
      <c r="L608" s="896"/>
      <c r="M608" s="902"/>
      <c r="N608" s="900" t="s">
        <v>2309</v>
      </c>
    </row>
    <row r="609" spans="1:14" s="910" customFormat="1" ht="16.5" hidden="1" customHeight="1">
      <c r="A609" s="896"/>
      <c r="B609" s="1281"/>
      <c r="C609" s="1282"/>
      <c r="D609" s="1276"/>
      <c r="E609" s="1283"/>
      <c r="F609" s="1284"/>
      <c r="G609" s="1284"/>
      <c r="H609" s="1285"/>
      <c r="I609" s="1278"/>
      <c r="J609" s="955"/>
      <c r="K609" s="902"/>
      <c r="L609" s="923"/>
      <c r="M609" s="902"/>
      <c r="N609" s="900" t="s">
        <v>2309</v>
      </c>
    </row>
    <row r="610" spans="1:14" ht="15.75" hidden="1">
      <c r="A610" s="896"/>
      <c r="B610" s="902"/>
      <c r="C610" s="917"/>
      <c r="D610" s="918"/>
      <c r="E610" s="919"/>
      <c r="F610" s="920"/>
      <c r="G610" s="921"/>
      <c r="H610" s="896"/>
      <c r="I610" s="916"/>
      <c r="J610" s="955" t="s">
        <v>102</v>
      </c>
      <c r="K610" s="922">
        <f>data!E2939</f>
        <v>1059.52</v>
      </c>
      <c r="L610" s="923" t="s">
        <v>2309</v>
      </c>
      <c r="M610" s="924">
        <f>ROUND(I610*K610,0)</f>
        <v>0</v>
      </c>
      <c r="N610" s="900" t="s">
        <v>2309</v>
      </c>
    </row>
    <row r="611" spans="1:14" ht="18.75" hidden="1" customHeight="1">
      <c r="A611" s="896">
        <v>11</v>
      </c>
      <c r="B611" s="1609" t="s">
        <v>1314</v>
      </c>
      <c r="C611" s="1609"/>
      <c r="D611" s="1609"/>
      <c r="E611" s="1609"/>
      <c r="F611" s="1609"/>
      <c r="G611" s="1609"/>
      <c r="H611" s="1609"/>
      <c r="I611" s="897"/>
      <c r="J611" s="898"/>
      <c r="K611" s="896"/>
      <c r="L611" s="923"/>
      <c r="M611" s="899"/>
      <c r="N611" s="900" t="s">
        <v>2209</v>
      </c>
    </row>
    <row r="612" spans="1:14" s="910" customFormat="1" ht="16.5" hidden="1" customHeight="1">
      <c r="A612" s="896"/>
      <c r="B612" s="902" t="s">
        <v>3541</v>
      </c>
      <c r="C612" s="897"/>
      <c r="D612" s="1263"/>
      <c r="E612" s="919"/>
      <c r="F612" s="920"/>
      <c r="G612" s="920"/>
      <c r="H612" s="920"/>
      <c r="I612" s="1264"/>
      <c r="J612" s="955"/>
      <c r="K612" s="902"/>
      <c r="L612" s="923"/>
      <c r="M612" s="902"/>
      <c r="N612" s="900" t="s">
        <v>2209</v>
      </c>
    </row>
    <row r="613" spans="1:14" s="910" customFormat="1" ht="16.5" hidden="1" customHeight="1">
      <c r="A613" s="896"/>
      <c r="B613" s="902" t="s">
        <v>1489</v>
      </c>
      <c r="C613" s="897">
        <v>1</v>
      </c>
      <c r="D613" s="1263" t="s">
        <v>273</v>
      </c>
      <c r="E613" s="919">
        <v>2</v>
      </c>
      <c r="F613" s="920">
        <v>3.33</v>
      </c>
      <c r="G613" s="920">
        <v>1.32</v>
      </c>
      <c r="H613" s="920">
        <v>0</v>
      </c>
      <c r="I613" s="1266">
        <f>ROUND(IF(AND(F613:H613),C613*E613*F613*G613*H613,IF(AND(F613,G613),C613*E613*F613*G613,IF(AND(F613,H613),C613*E613*F613*H613,IF(AND(G613,H613),C613*E613*G613*H613,IF(F613,C613*E613*F613,IF(G613,C613*E613*G613,IF(H613,C613*E613*H613,C613*E613))))))),2)</f>
        <v>8.7899999999999991</v>
      </c>
      <c r="J613" s="955" t="s">
        <v>102</v>
      </c>
      <c r="K613" s="902"/>
      <c r="L613" s="923"/>
      <c r="M613" s="902"/>
      <c r="N613" s="900" t="s">
        <v>2209</v>
      </c>
    </row>
    <row r="614" spans="1:14" s="910" customFormat="1" ht="16.5" hidden="1" customHeight="1">
      <c r="A614" s="896"/>
      <c r="B614" s="902"/>
      <c r="C614" s="897">
        <v>2</v>
      </c>
      <c r="D614" s="1263" t="s">
        <v>273</v>
      </c>
      <c r="E614" s="919">
        <v>0.5</v>
      </c>
      <c r="F614" s="920">
        <v>0.94</v>
      </c>
      <c r="G614" s="920">
        <v>1.35</v>
      </c>
      <c r="H614" s="920">
        <v>0</v>
      </c>
      <c r="I614" s="1266">
        <f>ROUND(IF(AND(F614:H614),C614*E614*F614*G614*H614,IF(AND(F614,G614),C614*E614*F614*G614,IF(AND(F614,H614),C614*E614*F614*H614,IF(AND(G614,H614),C614*E614*G614*H614,IF(F614,C614*E614*F614,IF(G614,C614*E614*G614,IF(H614,C614*E614*H614,C614*E614))))))),2)</f>
        <v>1.27</v>
      </c>
      <c r="J614" s="955" t="s">
        <v>102</v>
      </c>
      <c r="K614" s="902"/>
      <c r="L614" s="923"/>
      <c r="M614" s="902"/>
      <c r="N614" s="900" t="s">
        <v>2209</v>
      </c>
    </row>
    <row r="615" spans="1:14" s="910" customFormat="1" ht="16.5" hidden="1" customHeight="1">
      <c r="A615" s="896"/>
      <c r="B615" s="956"/>
      <c r="C615" s="957"/>
      <c r="D615" s="958"/>
      <c r="E615" s="1268"/>
      <c r="F615" s="960"/>
      <c r="G615" s="960"/>
      <c r="H615" s="960"/>
      <c r="I615" s="916"/>
      <c r="J615" s="955"/>
      <c r="K615" s="902"/>
      <c r="L615" s="923"/>
      <c r="M615" s="902"/>
      <c r="N615" s="900" t="s">
        <v>2209</v>
      </c>
    </row>
    <row r="616" spans="1:14" ht="15.75" hidden="1">
      <c r="A616" s="896"/>
      <c r="B616" s="902"/>
      <c r="C616" s="917"/>
      <c r="D616" s="918"/>
      <c r="E616" s="919"/>
      <c r="F616" s="920"/>
      <c r="G616" s="921"/>
      <c r="H616" s="896"/>
      <c r="I616" s="916"/>
      <c r="J616" s="955" t="s">
        <v>102</v>
      </c>
      <c r="K616" s="922">
        <f>data!E245</f>
        <v>471.03</v>
      </c>
      <c r="L616" s="923" t="s">
        <v>2209</v>
      </c>
      <c r="M616" s="924">
        <f>ROUND(I616*K616,0)</f>
        <v>0</v>
      </c>
      <c r="N616" s="900" t="s">
        <v>2209</v>
      </c>
    </row>
    <row r="617" spans="1:14" ht="18.75" hidden="1" customHeight="1">
      <c r="A617" s="896">
        <v>11</v>
      </c>
      <c r="B617" s="1609" t="s">
        <v>1314</v>
      </c>
      <c r="C617" s="1609"/>
      <c r="D617" s="1609"/>
      <c r="E617" s="1609"/>
      <c r="F617" s="1609"/>
      <c r="G617" s="1609"/>
      <c r="H617" s="1609"/>
      <c r="I617" s="897"/>
      <c r="J617" s="898"/>
      <c r="K617" s="896"/>
      <c r="L617" s="923"/>
      <c r="M617" s="899"/>
      <c r="N617" s="900" t="s">
        <v>2297</v>
      </c>
    </row>
    <row r="618" spans="1:14" s="910" customFormat="1" ht="16.5" hidden="1" customHeight="1">
      <c r="A618" s="896"/>
      <c r="B618" s="902" t="s">
        <v>3541</v>
      </c>
      <c r="C618" s="897"/>
      <c r="D618" s="1263"/>
      <c r="E618" s="919"/>
      <c r="F618" s="920"/>
      <c r="G618" s="920"/>
      <c r="H618" s="920"/>
      <c r="I618" s="1264"/>
      <c r="J618" s="955"/>
      <c r="K618" s="902"/>
      <c r="L618" s="923"/>
      <c r="M618" s="902"/>
      <c r="N618" s="900" t="s">
        <v>2297</v>
      </c>
    </row>
    <row r="619" spans="1:14" s="910" customFormat="1" ht="16.5" hidden="1" customHeight="1">
      <c r="A619" s="896"/>
      <c r="B619" s="902" t="s">
        <v>1489</v>
      </c>
      <c r="C619" s="897">
        <v>1</v>
      </c>
      <c r="D619" s="1263" t="s">
        <v>273</v>
      </c>
      <c r="E619" s="919">
        <v>2</v>
      </c>
      <c r="F619" s="920">
        <v>3.33</v>
      </c>
      <c r="G619" s="920">
        <v>1.32</v>
      </c>
      <c r="H619" s="920">
        <v>0</v>
      </c>
      <c r="I619" s="1266">
        <f>ROUND(IF(AND(F619:H619),C619*E619*F619*G619*H619,IF(AND(F619,G619),C619*E619*F619*G619,IF(AND(F619,H619),C619*E619*F619*H619,IF(AND(G619,H619),C619*E619*G619*H619,IF(F619,C619*E619*F619,IF(G619,C619*E619*G619,IF(H619,C619*E619*H619,C619*E619))))))),2)</f>
        <v>8.7899999999999991</v>
      </c>
      <c r="J619" s="955" t="s">
        <v>102</v>
      </c>
      <c r="K619" s="902"/>
      <c r="L619" s="923"/>
      <c r="M619" s="902"/>
      <c r="N619" s="900" t="s">
        <v>2297</v>
      </c>
    </row>
    <row r="620" spans="1:14" s="910" customFormat="1" ht="16.5" hidden="1" customHeight="1">
      <c r="A620" s="896"/>
      <c r="B620" s="902"/>
      <c r="C620" s="897">
        <v>2</v>
      </c>
      <c r="D620" s="1263" t="s">
        <v>273</v>
      </c>
      <c r="E620" s="919">
        <v>0.5</v>
      </c>
      <c r="F620" s="920">
        <v>0.94</v>
      </c>
      <c r="G620" s="920">
        <v>1.35</v>
      </c>
      <c r="H620" s="920">
        <v>0</v>
      </c>
      <c r="I620" s="1266">
        <f>ROUND(IF(AND(F620:H620),C620*E620*F620*G620*H620,IF(AND(F620,G620),C620*E620*F620*G620,IF(AND(F620,H620),C620*E620*F620*H620,IF(AND(G620,H620),C620*E620*G620*H620,IF(F620,C620*E620*F620,IF(G620,C620*E620*G620,IF(H620,C620*E620*H620,C620*E620))))))),2)</f>
        <v>1.27</v>
      </c>
      <c r="J620" s="955" t="s">
        <v>102</v>
      </c>
      <c r="K620" s="902"/>
      <c r="L620" s="923"/>
      <c r="M620" s="902"/>
      <c r="N620" s="900" t="s">
        <v>2297</v>
      </c>
    </row>
    <row r="621" spans="1:14" s="910" customFormat="1" ht="16.5" hidden="1" customHeight="1">
      <c r="A621" s="896"/>
      <c r="B621" s="956"/>
      <c r="C621" s="957"/>
      <c r="D621" s="958"/>
      <c r="E621" s="1268"/>
      <c r="F621" s="960"/>
      <c r="G621" s="960"/>
      <c r="H621" s="960"/>
      <c r="I621" s="916"/>
      <c r="J621" s="955"/>
      <c r="K621" s="902"/>
      <c r="L621" s="923"/>
      <c r="M621" s="902"/>
      <c r="N621" s="900" t="s">
        <v>2297</v>
      </c>
    </row>
    <row r="622" spans="1:14" ht="15.75" hidden="1">
      <c r="A622" s="896"/>
      <c r="B622" s="902"/>
      <c r="C622" s="917"/>
      <c r="D622" s="918"/>
      <c r="E622" s="919"/>
      <c r="F622" s="920"/>
      <c r="G622" s="921"/>
      <c r="H622" s="896"/>
      <c r="I622" s="916"/>
      <c r="J622" s="955" t="s">
        <v>102</v>
      </c>
      <c r="K622" s="922">
        <f>data!E1161</f>
        <v>487.1</v>
      </c>
      <c r="L622" s="923" t="s">
        <v>2297</v>
      </c>
      <c r="M622" s="924">
        <f>ROUND(I622*K622,0)</f>
        <v>0</v>
      </c>
      <c r="N622" s="900" t="s">
        <v>2297</v>
      </c>
    </row>
    <row r="623" spans="1:14" ht="18.75" hidden="1" customHeight="1">
      <c r="A623" s="896">
        <v>11</v>
      </c>
      <c r="B623" s="1609" t="s">
        <v>1314</v>
      </c>
      <c r="C623" s="1609"/>
      <c r="D623" s="1609"/>
      <c r="E623" s="1609"/>
      <c r="F623" s="1609"/>
      <c r="G623" s="1609"/>
      <c r="H623" s="1609"/>
      <c r="I623" s="897"/>
      <c r="J623" s="898"/>
      <c r="K623" s="896"/>
      <c r="L623" s="923"/>
      <c r="M623" s="899"/>
      <c r="N623" s="900" t="s">
        <v>2308</v>
      </c>
    </row>
    <row r="624" spans="1:14" s="910" customFormat="1" ht="16.5" hidden="1" customHeight="1">
      <c r="A624" s="896"/>
      <c r="B624" s="902" t="s">
        <v>3541</v>
      </c>
      <c r="C624" s="897"/>
      <c r="D624" s="1263"/>
      <c r="E624" s="919"/>
      <c r="F624" s="920"/>
      <c r="G624" s="920"/>
      <c r="H624" s="920"/>
      <c r="I624" s="1264"/>
      <c r="J624" s="955"/>
      <c r="K624" s="902"/>
      <c r="L624" s="923"/>
      <c r="M624" s="902"/>
      <c r="N624" s="900" t="s">
        <v>2308</v>
      </c>
    </row>
    <row r="625" spans="1:14" s="910" customFormat="1" ht="16.5" hidden="1" customHeight="1">
      <c r="A625" s="896"/>
      <c r="B625" s="902" t="s">
        <v>1489</v>
      </c>
      <c r="C625" s="897">
        <v>1</v>
      </c>
      <c r="D625" s="1263" t="s">
        <v>273</v>
      </c>
      <c r="E625" s="919">
        <v>2</v>
      </c>
      <c r="F625" s="920">
        <v>3.33</v>
      </c>
      <c r="G625" s="920">
        <v>1.32</v>
      </c>
      <c r="H625" s="920">
        <v>0</v>
      </c>
      <c r="I625" s="1266">
        <f>ROUND(IF(AND(F625:H625),C625*E625*F625*G625*H625,IF(AND(F625,G625),C625*E625*F625*G625,IF(AND(F625,H625),C625*E625*F625*H625,IF(AND(G625,H625),C625*E625*G625*H625,IF(F625,C625*E625*F625,IF(G625,C625*E625*G625,IF(H625,C625*E625*H625,C625*E625))))))),2)</f>
        <v>8.7899999999999991</v>
      </c>
      <c r="J625" s="955" t="s">
        <v>102</v>
      </c>
      <c r="K625" s="902"/>
      <c r="L625" s="923"/>
      <c r="M625" s="902"/>
      <c r="N625" s="900" t="s">
        <v>2308</v>
      </c>
    </row>
    <row r="626" spans="1:14" s="910" customFormat="1" ht="16.5" hidden="1" customHeight="1">
      <c r="A626" s="896"/>
      <c r="B626" s="902"/>
      <c r="C626" s="897">
        <v>2</v>
      </c>
      <c r="D626" s="1263" t="s">
        <v>273</v>
      </c>
      <c r="E626" s="919">
        <v>0.5</v>
      </c>
      <c r="F626" s="920">
        <v>0.94</v>
      </c>
      <c r="G626" s="920">
        <v>1.35</v>
      </c>
      <c r="H626" s="920">
        <v>0</v>
      </c>
      <c r="I626" s="1266">
        <f>ROUND(IF(AND(F626:H626),C626*E626*F626*G626*H626,IF(AND(F626,G626),C626*E626*F626*G626,IF(AND(F626,H626),C626*E626*F626*H626,IF(AND(G626,H626),C626*E626*G626*H626,IF(F626,C626*E626*F626,IF(G626,C626*E626*G626,IF(H626,C626*E626*H626,C626*E626))))))),2)</f>
        <v>1.27</v>
      </c>
      <c r="J626" s="955" t="s">
        <v>102</v>
      </c>
      <c r="K626" s="902"/>
      <c r="L626" s="923"/>
      <c r="M626" s="902"/>
      <c r="N626" s="900" t="s">
        <v>2308</v>
      </c>
    </row>
    <row r="627" spans="1:14" s="910" customFormat="1" ht="16.5" hidden="1" customHeight="1">
      <c r="A627" s="896"/>
      <c r="B627" s="956"/>
      <c r="C627" s="957"/>
      <c r="D627" s="958"/>
      <c r="E627" s="1268"/>
      <c r="F627" s="960"/>
      <c r="G627" s="960"/>
      <c r="H627" s="960"/>
      <c r="I627" s="916"/>
      <c r="J627" s="955"/>
      <c r="K627" s="902"/>
      <c r="L627" s="923"/>
      <c r="M627" s="902"/>
      <c r="N627" s="900" t="s">
        <v>2308</v>
      </c>
    </row>
    <row r="628" spans="1:14" ht="15.75" hidden="1">
      <c r="A628" s="896"/>
      <c r="B628" s="902"/>
      <c r="C628" s="917"/>
      <c r="D628" s="918"/>
      <c r="E628" s="919"/>
      <c r="F628" s="920"/>
      <c r="G628" s="921"/>
      <c r="H628" s="896"/>
      <c r="I628" s="916"/>
      <c r="J628" s="955" t="s">
        <v>102</v>
      </c>
      <c r="K628" s="922">
        <f>data!E2078</f>
        <v>512.26</v>
      </c>
      <c r="L628" s="923" t="s">
        <v>2308</v>
      </c>
      <c r="M628" s="924">
        <f>ROUND(I628*K628,0)</f>
        <v>0</v>
      </c>
      <c r="N628" s="900" t="s">
        <v>2308</v>
      </c>
    </row>
    <row r="629" spans="1:14" ht="18.75" hidden="1" customHeight="1">
      <c r="A629" s="896">
        <v>11</v>
      </c>
      <c r="B629" s="1609" t="s">
        <v>1314</v>
      </c>
      <c r="C629" s="1609"/>
      <c r="D629" s="1609"/>
      <c r="E629" s="1609"/>
      <c r="F629" s="1609"/>
      <c r="G629" s="1609"/>
      <c r="H629" s="1609"/>
      <c r="I629" s="897"/>
      <c r="J629" s="898"/>
      <c r="K629" s="896"/>
      <c r="L629" s="923"/>
      <c r="M629" s="899"/>
      <c r="N629" s="900" t="s">
        <v>2309</v>
      </c>
    </row>
    <row r="630" spans="1:14" s="910" customFormat="1" ht="16.5" hidden="1" customHeight="1">
      <c r="A630" s="896"/>
      <c r="B630" s="902" t="s">
        <v>3541</v>
      </c>
      <c r="C630" s="897"/>
      <c r="D630" s="1263"/>
      <c r="E630" s="919"/>
      <c r="F630" s="920"/>
      <c r="G630" s="920"/>
      <c r="H630" s="920"/>
      <c r="I630" s="1264"/>
      <c r="J630" s="955"/>
      <c r="K630" s="902"/>
      <c r="L630" s="923"/>
      <c r="M630" s="902"/>
      <c r="N630" s="900" t="s">
        <v>2309</v>
      </c>
    </row>
    <row r="631" spans="1:14" s="910" customFormat="1" ht="16.5" hidden="1" customHeight="1">
      <c r="A631" s="896"/>
      <c r="B631" s="902" t="s">
        <v>1489</v>
      </c>
      <c r="C631" s="897">
        <v>1</v>
      </c>
      <c r="D631" s="1263" t="s">
        <v>273</v>
      </c>
      <c r="E631" s="919">
        <v>2</v>
      </c>
      <c r="F631" s="920">
        <v>3.33</v>
      </c>
      <c r="G631" s="920">
        <v>1.32</v>
      </c>
      <c r="H631" s="920">
        <v>0</v>
      </c>
      <c r="I631" s="1266">
        <f>ROUND(IF(AND(F631:H631),C631*E631*F631*G631*H631,IF(AND(F631,G631),C631*E631*F631*G631,IF(AND(F631,H631),C631*E631*F631*H631,IF(AND(G631,H631),C631*E631*G631*H631,IF(F631,C631*E631*F631,IF(G631,C631*E631*G631,IF(H631,C631*E631*H631,C631*E631))))))),2)</f>
        <v>8.7899999999999991</v>
      </c>
      <c r="J631" s="955" t="s">
        <v>102</v>
      </c>
      <c r="K631" s="902"/>
      <c r="L631" s="923"/>
      <c r="M631" s="902"/>
      <c r="N631" s="900" t="s">
        <v>2309</v>
      </c>
    </row>
    <row r="632" spans="1:14" s="910" customFormat="1" ht="16.5" hidden="1" customHeight="1">
      <c r="A632" s="896"/>
      <c r="B632" s="902"/>
      <c r="C632" s="897">
        <v>2</v>
      </c>
      <c r="D632" s="1263" t="s">
        <v>273</v>
      </c>
      <c r="E632" s="919">
        <v>0.5</v>
      </c>
      <c r="F632" s="920">
        <v>0.94</v>
      </c>
      <c r="G632" s="920">
        <v>1.35</v>
      </c>
      <c r="H632" s="920">
        <v>0</v>
      </c>
      <c r="I632" s="1266">
        <f>ROUND(IF(AND(F632:H632),C632*E632*F632*G632*H632,IF(AND(F632,G632),C632*E632*F632*G632,IF(AND(F632,H632),C632*E632*F632*H632,IF(AND(G632,H632),C632*E632*G632*H632,IF(F632,C632*E632*F632,IF(G632,C632*E632*G632,IF(H632,C632*E632*H632,C632*E632))))))),2)</f>
        <v>1.27</v>
      </c>
      <c r="J632" s="955" t="s">
        <v>102</v>
      </c>
      <c r="K632" s="902"/>
      <c r="L632" s="923"/>
      <c r="M632" s="902"/>
      <c r="N632" s="900" t="s">
        <v>2309</v>
      </c>
    </row>
    <row r="633" spans="1:14" s="910" customFormat="1" ht="16.5" hidden="1" customHeight="1">
      <c r="A633" s="896"/>
      <c r="B633" s="956"/>
      <c r="C633" s="957"/>
      <c r="D633" s="958"/>
      <c r="E633" s="1268"/>
      <c r="F633" s="960"/>
      <c r="G633" s="960"/>
      <c r="H633" s="960"/>
      <c r="I633" s="916"/>
      <c r="J633" s="955"/>
      <c r="K633" s="902"/>
      <c r="L633" s="923"/>
      <c r="M633" s="902"/>
      <c r="N633" s="900" t="s">
        <v>2309</v>
      </c>
    </row>
    <row r="634" spans="1:14" ht="15.75" hidden="1">
      <c r="A634" s="896"/>
      <c r="B634" s="902"/>
      <c r="C634" s="917"/>
      <c r="D634" s="918"/>
      <c r="E634" s="919"/>
      <c r="F634" s="920"/>
      <c r="G634" s="921"/>
      <c r="H634" s="896"/>
      <c r="I634" s="916"/>
      <c r="J634" s="955" t="s">
        <v>102</v>
      </c>
      <c r="K634" s="922">
        <f>data!E2995</f>
        <v>526.29999999999995</v>
      </c>
      <c r="L634" s="923" t="s">
        <v>2309</v>
      </c>
      <c r="M634" s="924">
        <f>ROUND(I634*K634,0)</f>
        <v>0</v>
      </c>
      <c r="N634" s="900" t="s">
        <v>2309</v>
      </c>
    </row>
    <row r="635" spans="1:14" ht="18.75" hidden="1" customHeight="1">
      <c r="A635" s="896">
        <v>16</v>
      </c>
      <c r="B635" s="1609" t="s">
        <v>1316</v>
      </c>
      <c r="C635" s="1609"/>
      <c r="D635" s="1609"/>
      <c r="E635" s="1609"/>
      <c r="F635" s="1609"/>
      <c r="G635" s="1609"/>
      <c r="H635" s="1609"/>
      <c r="I635" s="897"/>
      <c r="J635" s="898"/>
      <c r="K635" s="896"/>
      <c r="L635" s="923"/>
      <c r="M635" s="899"/>
      <c r="N635" s="900" t="s">
        <v>2209</v>
      </c>
    </row>
    <row r="636" spans="1:14" s="910" customFormat="1" ht="16.5" hidden="1" customHeight="1">
      <c r="A636" s="896"/>
      <c r="B636" s="902" t="s">
        <v>3547</v>
      </c>
      <c r="C636" s="897"/>
      <c r="D636" s="1263"/>
      <c r="E636" s="919"/>
      <c r="F636" s="920"/>
      <c r="G636" s="920"/>
      <c r="H636" s="920"/>
      <c r="I636" s="1264"/>
      <c r="J636" s="955"/>
      <c r="K636" s="902"/>
      <c r="L636" s="923"/>
      <c r="M636" s="902"/>
      <c r="N636" s="900" t="s">
        <v>2209</v>
      </c>
    </row>
    <row r="637" spans="1:14" s="910" customFormat="1" ht="16.5" hidden="1" customHeight="1">
      <c r="A637" s="896"/>
      <c r="B637" s="902" t="s">
        <v>1229</v>
      </c>
      <c r="C637" s="897">
        <v>1</v>
      </c>
      <c r="D637" s="1263" t="s">
        <v>273</v>
      </c>
      <c r="E637" s="919">
        <v>5</v>
      </c>
      <c r="F637" s="920">
        <v>1.52</v>
      </c>
      <c r="G637" s="920">
        <v>0.23</v>
      </c>
      <c r="H637" s="920">
        <v>0</v>
      </c>
      <c r="I637" s="1266">
        <f>ROUND(IF(AND(F637:H637),C637*E637*F637*G637*H637,IF(AND(F637,G637),C637*E637*F637*G637,IF(AND(F637,H637),C637*E637*F637*H637,IF(AND(G637,H637),C637*E637*G637*H637,IF(F637,C637*E637*F637,IF(G637,C637*E637*G637,IF(H637,C637*E637*H637,C637*E637))))))),2)</f>
        <v>1.75</v>
      </c>
      <c r="J637" s="955" t="s">
        <v>102</v>
      </c>
      <c r="K637" s="902"/>
      <c r="L637" s="923"/>
      <c r="M637" s="902"/>
      <c r="N637" s="900" t="s">
        <v>2209</v>
      </c>
    </row>
    <row r="638" spans="1:14" s="910" customFormat="1" ht="16.5" hidden="1" customHeight="1">
      <c r="A638" s="896"/>
      <c r="B638" s="902"/>
      <c r="C638" s="897">
        <v>1</v>
      </c>
      <c r="D638" s="1263" t="s">
        <v>273</v>
      </c>
      <c r="E638" s="919">
        <v>4</v>
      </c>
      <c r="F638" s="920">
        <v>1.83</v>
      </c>
      <c r="G638" s="920">
        <v>0.23</v>
      </c>
      <c r="H638" s="920">
        <v>0</v>
      </c>
      <c r="I638" s="1266">
        <f>ROUND(IF(AND(F638:H638),C638*E638*F638*G638*H638,IF(AND(F638,G638),C638*E638*F638*G638,IF(AND(F638,H638),C638*E638*F638*H638,IF(AND(G638,H638),C638*E638*G638*H638,IF(F638,C638*E638*F638,IF(G638,C638*E638*G638,IF(H638,C638*E638*H638,C638*E638))))))),2)</f>
        <v>1.68</v>
      </c>
      <c r="J638" s="955" t="s">
        <v>102</v>
      </c>
      <c r="K638" s="902"/>
      <c r="L638" s="923"/>
      <c r="M638" s="902"/>
      <c r="N638" s="900" t="s">
        <v>2209</v>
      </c>
    </row>
    <row r="639" spans="1:14" s="910" customFormat="1" ht="16.5" hidden="1" customHeight="1">
      <c r="A639" s="896"/>
      <c r="B639" s="902" t="s">
        <v>1242</v>
      </c>
      <c r="C639" s="897">
        <v>1</v>
      </c>
      <c r="D639" s="1263" t="s">
        <v>273</v>
      </c>
      <c r="E639" s="919">
        <v>1</v>
      </c>
      <c r="F639" s="920">
        <v>1.4</v>
      </c>
      <c r="G639" s="920">
        <v>1.4</v>
      </c>
      <c r="H639" s="920">
        <v>0</v>
      </c>
      <c r="I639" s="1266">
        <f>ROUND(IF(AND(F639:H639),C639*E639*F639*G639*H639,IF(AND(F639,G639),C639*E639*F639*G639,IF(AND(F639,H639),C639*E639*F639*H639,IF(AND(G639,H639),C639*E639*G639*H639,IF(F639,C639*E639*F639,IF(G639,C639*E639*G639,IF(H639,C639*E639*H639,C639*E639))))))),2)</f>
        <v>1.96</v>
      </c>
      <c r="J639" s="955" t="s">
        <v>102</v>
      </c>
      <c r="K639" s="902"/>
      <c r="L639" s="923"/>
      <c r="M639" s="902"/>
      <c r="N639" s="900" t="s">
        <v>2209</v>
      </c>
    </row>
    <row r="640" spans="1:14" s="910" customFormat="1" ht="16.5" hidden="1" customHeight="1">
      <c r="A640" s="896"/>
      <c r="B640" s="956"/>
      <c r="C640" s="957"/>
      <c r="D640" s="958"/>
      <c r="E640" s="1268"/>
      <c r="F640" s="960"/>
      <c r="G640" s="960"/>
      <c r="H640" s="960"/>
      <c r="I640" s="916"/>
      <c r="J640" s="955"/>
      <c r="K640" s="902"/>
      <c r="L640" s="923"/>
      <c r="M640" s="902"/>
      <c r="N640" s="900" t="s">
        <v>2209</v>
      </c>
    </row>
    <row r="641" spans="1:14" ht="15.75" hidden="1">
      <c r="A641" s="896"/>
      <c r="B641" s="902"/>
      <c r="C641" s="917"/>
      <c r="D641" s="918"/>
      <c r="E641" s="919"/>
      <c r="F641" s="920"/>
      <c r="G641" s="921"/>
      <c r="H641" s="896"/>
      <c r="I641" s="916"/>
      <c r="J641" s="955" t="s">
        <v>102</v>
      </c>
      <c r="K641" s="922">
        <f>data!E252</f>
        <v>348.26</v>
      </c>
      <c r="L641" s="923" t="s">
        <v>2209</v>
      </c>
      <c r="M641" s="924">
        <f>ROUND(I641*K641,0)</f>
        <v>0</v>
      </c>
      <c r="N641" s="900" t="s">
        <v>2209</v>
      </c>
    </row>
    <row r="642" spans="1:14" ht="18.75" hidden="1" customHeight="1">
      <c r="A642" s="896">
        <v>16</v>
      </c>
      <c r="B642" s="1609" t="s">
        <v>1316</v>
      </c>
      <c r="C642" s="1609"/>
      <c r="D642" s="1609"/>
      <c r="E642" s="1609"/>
      <c r="F642" s="1609"/>
      <c r="G642" s="1609"/>
      <c r="H642" s="1609"/>
      <c r="I642" s="897"/>
      <c r="J642" s="898"/>
      <c r="K642" s="896"/>
      <c r="L642" s="923"/>
      <c r="M642" s="899"/>
      <c r="N642" s="900" t="s">
        <v>2297</v>
      </c>
    </row>
    <row r="643" spans="1:14" s="910" customFormat="1" ht="16.5" hidden="1" customHeight="1">
      <c r="A643" s="896"/>
      <c r="B643" s="902" t="s">
        <v>3547</v>
      </c>
      <c r="C643" s="897"/>
      <c r="D643" s="1263"/>
      <c r="E643" s="919"/>
      <c r="F643" s="920"/>
      <c r="G643" s="920"/>
      <c r="H643" s="920"/>
      <c r="I643" s="1264"/>
      <c r="J643" s="955"/>
      <c r="K643" s="902"/>
      <c r="L643" s="923"/>
      <c r="M643" s="902"/>
      <c r="N643" s="900" t="s">
        <v>2297</v>
      </c>
    </row>
    <row r="644" spans="1:14" s="910" customFormat="1" ht="16.5" hidden="1" customHeight="1">
      <c r="A644" s="896"/>
      <c r="B644" s="902" t="s">
        <v>1229</v>
      </c>
      <c r="C644" s="897">
        <v>1</v>
      </c>
      <c r="D644" s="1263" t="s">
        <v>273</v>
      </c>
      <c r="E644" s="919">
        <v>5</v>
      </c>
      <c r="F644" s="920">
        <v>1.52</v>
      </c>
      <c r="G644" s="920">
        <v>0.23</v>
      </c>
      <c r="H644" s="920">
        <v>0</v>
      </c>
      <c r="I644" s="1266">
        <f>ROUND(IF(AND(F644:H644),C644*E644*F644*G644*H644,IF(AND(F644,G644),C644*E644*F644*G644,IF(AND(F644,H644),C644*E644*F644*H644,IF(AND(G644,H644),C644*E644*G644*H644,IF(F644,C644*E644*F644,IF(G644,C644*E644*G644,IF(H644,C644*E644*H644,C644*E644))))))),2)</f>
        <v>1.75</v>
      </c>
      <c r="J644" s="955" t="s">
        <v>102</v>
      </c>
      <c r="K644" s="902"/>
      <c r="L644" s="923"/>
      <c r="M644" s="902"/>
      <c r="N644" s="900" t="s">
        <v>2297</v>
      </c>
    </row>
    <row r="645" spans="1:14" s="910" customFormat="1" ht="16.5" hidden="1" customHeight="1">
      <c r="A645" s="896"/>
      <c r="B645" s="902"/>
      <c r="C645" s="897">
        <v>1</v>
      </c>
      <c r="D645" s="1263" t="s">
        <v>273</v>
      </c>
      <c r="E645" s="919">
        <v>4</v>
      </c>
      <c r="F645" s="920">
        <v>1.83</v>
      </c>
      <c r="G645" s="920">
        <v>0.23</v>
      </c>
      <c r="H645" s="920">
        <v>0</v>
      </c>
      <c r="I645" s="1266">
        <f>ROUND(IF(AND(F645:H645),C645*E645*F645*G645*H645,IF(AND(F645,G645),C645*E645*F645*G645,IF(AND(F645,H645),C645*E645*F645*H645,IF(AND(G645,H645),C645*E645*G645*H645,IF(F645,C645*E645*F645,IF(G645,C645*E645*G645,IF(H645,C645*E645*H645,C645*E645))))))),2)</f>
        <v>1.68</v>
      </c>
      <c r="J645" s="955" t="s">
        <v>102</v>
      </c>
      <c r="K645" s="902"/>
      <c r="L645" s="923"/>
      <c r="M645" s="902"/>
      <c r="N645" s="900" t="s">
        <v>2297</v>
      </c>
    </row>
    <row r="646" spans="1:14" s="910" customFormat="1" ht="16.5" hidden="1" customHeight="1">
      <c r="A646" s="896"/>
      <c r="B646" s="902" t="s">
        <v>1242</v>
      </c>
      <c r="C646" s="897">
        <v>1</v>
      </c>
      <c r="D646" s="1263" t="s">
        <v>273</v>
      </c>
      <c r="E646" s="919">
        <v>1</v>
      </c>
      <c r="F646" s="920">
        <v>1.4</v>
      </c>
      <c r="G646" s="920">
        <v>1.4</v>
      </c>
      <c r="H646" s="920">
        <v>0</v>
      </c>
      <c r="I646" s="1266">
        <f>ROUND(IF(AND(F646:H646),C646*E646*F646*G646*H646,IF(AND(F646,G646),C646*E646*F646*G646,IF(AND(F646,H646),C646*E646*F646*H646,IF(AND(G646,H646),C646*E646*G646*H646,IF(F646,C646*E646*F646,IF(G646,C646*E646*G646,IF(H646,C646*E646*H646,C646*E646))))))),2)</f>
        <v>1.96</v>
      </c>
      <c r="J646" s="955" t="s">
        <v>102</v>
      </c>
      <c r="K646" s="902"/>
      <c r="L646" s="923"/>
      <c r="M646" s="902"/>
      <c r="N646" s="900" t="s">
        <v>2297</v>
      </c>
    </row>
    <row r="647" spans="1:14" s="910" customFormat="1" ht="16.5" hidden="1" customHeight="1">
      <c r="A647" s="896"/>
      <c r="B647" s="956"/>
      <c r="C647" s="957"/>
      <c r="D647" s="958"/>
      <c r="E647" s="1268"/>
      <c r="F647" s="960"/>
      <c r="G647" s="960"/>
      <c r="H647" s="960"/>
      <c r="I647" s="916"/>
      <c r="J647" s="955"/>
      <c r="K647" s="902"/>
      <c r="L647" s="923"/>
      <c r="M647" s="902"/>
      <c r="N647" s="900" t="s">
        <v>2297</v>
      </c>
    </row>
    <row r="648" spans="1:14" ht="15.75" hidden="1">
      <c r="A648" s="896"/>
      <c r="B648" s="902"/>
      <c r="C648" s="917"/>
      <c r="D648" s="918"/>
      <c r="E648" s="919"/>
      <c r="F648" s="920"/>
      <c r="G648" s="921"/>
      <c r="H648" s="896"/>
      <c r="I648" s="916"/>
      <c r="J648" s="955" t="s">
        <v>102</v>
      </c>
      <c r="K648" s="922">
        <f>data!E1168</f>
        <v>359.05</v>
      </c>
      <c r="L648" s="923" t="s">
        <v>2297</v>
      </c>
      <c r="M648" s="924">
        <f>ROUND(I648*K648,0)</f>
        <v>0</v>
      </c>
      <c r="N648" s="900" t="s">
        <v>2297</v>
      </c>
    </row>
    <row r="649" spans="1:14" ht="18.75" hidden="1" customHeight="1">
      <c r="A649" s="896">
        <v>16</v>
      </c>
      <c r="B649" s="1609" t="s">
        <v>1316</v>
      </c>
      <c r="C649" s="1609"/>
      <c r="D649" s="1609"/>
      <c r="E649" s="1609"/>
      <c r="F649" s="1609"/>
      <c r="G649" s="1609"/>
      <c r="H649" s="1609"/>
      <c r="I649" s="897"/>
      <c r="J649" s="898"/>
      <c r="K649" s="896"/>
      <c r="L649" s="923"/>
      <c r="M649" s="899"/>
      <c r="N649" s="900" t="s">
        <v>2308</v>
      </c>
    </row>
    <row r="650" spans="1:14" s="910" customFormat="1" ht="16.5" hidden="1" customHeight="1">
      <c r="A650" s="896"/>
      <c r="B650" s="902" t="s">
        <v>3547</v>
      </c>
      <c r="C650" s="897"/>
      <c r="D650" s="1263"/>
      <c r="E650" s="919"/>
      <c r="F650" s="920"/>
      <c r="G650" s="920"/>
      <c r="H650" s="920"/>
      <c r="I650" s="1264"/>
      <c r="J650" s="955"/>
      <c r="K650" s="902"/>
      <c r="L650" s="923"/>
      <c r="M650" s="902"/>
      <c r="N650" s="900" t="s">
        <v>2308</v>
      </c>
    </row>
    <row r="651" spans="1:14" s="910" customFormat="1" ht="16.5" hidden="1" customHeight="1">
      <c r="A651" s="896"/>
      <c r="B651" s="902" t="s">
        <v>1229</v>
      </c>
      <c r="C651" s="897">
        <v>1</v>
      </c>
      <c r="D651" s="1263" t="s">
        <v>273</v>
      </c>
      <c r="E651" s="919">
        <v>5</v>
      </c>
      <c r="F651" s="920">
        <v>1.52</v>
      </c>
      <c r="G651" s="920">
        <v>0.23</v>
      </c>
      <c r="H651" s="920">
        <v>0</v>
      </c>
      <c r="I651" s="1266">
        <f>ROUND(IF(AND(F651:H651),C651*E651*F651*G651*H651,IF(AND(F651,G651),C651*E651*F651*G651,IF(AND(F651,H651),C651*E651*F651*H651,IF(AND(G651,H651),C651*E651*G651*H651,IF(F651,C651*E651*F651,IF(G651,C651*E651*G651,IF(H651,C651*E651*H651,C651*E651))))))),2)</f>
        <v>1.75</v>
      </c>
      <c r="J651" s="955" t="s">
        <v>102</v>
      </c>
      <c r="K651" s="902"/>
      <c r="L651" s="923"/>
      <c r="M651" s="902"/>
      <c r="N651" s="900" t="s">
        <v>2308</v>
      </c>
    </row>
    <row r="652" spans="1:14" s="910" customFormat="1" ht="16.5" hidden="1" customHeight="1">
      <c r="A652" s="896"/>
      <c r="B652" s="902"/>
      <c r="C652" s="897">
        <v>1</v>
      </c>
      <c r="D652" s="1263" t="s">
        <v>273</v>
      </c>
      <c r="E652" s="919">
        <v>4</v>
      </c>
      <c r="F652" s="920">
        <v>1.83</v>
      </c>
      <c r="G652" s="920">
        <v>0.23</v>
      </c>
      <c r="H652" s="920">
        <v>0</v>
      </c>
      <c r="I652" s="1266">
        <f>ROUND(IF(AND(F652:H652),C652*E652*F652*G652*H652,IF(AND(F652,G652),C652*E652*F652*G652,IF(AND(F652,H652),C652*E652*F652*H652,IF(AND(G652,H652),C652*E652*G652*H652,IF(F652,C652*E652*F652,IF(G652,C652*E652*G652,IF(H652,C652*E652*H652,C652*E652))))))),2)</f>
        <v>1.68</v>
      </c>
      <c r="J652" s="955" t="s">
        <v>102</v>
      </c>
      <c r="K652" s="902"/>
      <c r="L652" s="923"/>
      <c r="M652" s="902"/>
      <c r="N652" s="900" t="s">
        <v>2308</v>
      </c>
    </row>
    <row r="653" spans="1:14" s="910" customFormat="1" ht="16.5" hidden="1" customHeight="1">
      <c r="A653" s="896"/>
      <c r="B653" s="902" t="s">
        <v>1242</v>
      </c>
      <c r="C653" s="897">
        <v>1</v>
      </c>
      <c r="D653" s="1263" t="s">
        <v>273</v>
      </c>
      <c r="E653" s="919">
        <v>1</v>
      </c>
      <c r="F653" s="920">
        <v>1.4</v>
      </c>
      <c r="G653" s="920">
        <v>1.4</v>
      </c>
      <c r="H653" s="920">
        <v>0</v>
      </c>
      <c r="I653" s="1266">
        <f>ROUND(IF(AND(F653:H653),C653*E653*F653*G653*H653,IF(AND(F653,G653),C653*E653*F653*G653,IF(AND(F653,H653),C653*E653*F653*H653,IF(AND(G653,H653),C653*E653*G653*H653,IF(F653,C653*E653*F653,IF(G653,C653*E653*G653,IF(H653,C653*E653*H653,C653*E653))))))),2)</f>
        <v>1.96</v>
      </c>
      <c r="J653" s="955" t="s">
        <v>102</v>
      </c>
      <c r="K653" s="902"/>
      <c r="L653" s="923"/>
      <c r="M653" s="902"/>
      <c r="N653" s="900" t="s">
        <v>2308</v>
      </c>
    </row>
    <row r="654" spans="1:14" s="910" customFormat="1" ht="16.5" hidden="1" customHeight="1">
      <c r="A654" s="896"/>
      <c r="B654" s="956"/>
      <c r="C654" s="957"/>
      <c r="D654" s="958"/>
      <c r="E654" s="1268"/>
      <c r="F654" s="960"/>
      <c r="G654" s="960"/>
      <c r="H654" s="960"/>
      <c r="I654" s="916"/>
      <c r="J654" s="955"/>
      <c r="K654" s="902"/>
      <c r="L654" s="923"/>
      <c r="M654" s="902"/>
      <c r="N654" s="900" t="s">
        <v>2308</v>
      </c>
    </row>
    <row r="655" spans="1:14" ht="15.75" hidden="1">
      <c r="A655" s="896"/>
      <c r="B655" s="902"/>
      <c r="C655" s="917"/>
      <c r="D655" s="918"/>
      <c r="E655" s="919"/>
      <c r="F655" s="920"/>
      <c r="G655" s="921"/>
      <c r="H655" s="896"/>
      <c r="I655" s="916"/>
      <c r="J655" s="955" t="s">
        <v>102</v>
      </c>
      <c r="K655" s="922">
        <f>data!E2085</f>
        <v>378.13</v>
      </c>
      <c r="L655" s="923" t="s">
        <v>2308</v>
      </c>
      <c r="M655" s="924">
        <f>ROUND(I655*K655,0)</f>
        <v>0</v>
      </c>
      <c r="N655" s="900" t="s">
        <v>2308</v>
      </c>
    </row>
    <row r="656" spans="1:14" ht="18.75" hidden="1" customHeight="1">
      <c r="A656" s="896">
        <v>16</v>
      </c>
      <c r="B656" s="1609" t="s">
        <v>1316</v>
      </c>
      <c r="C656" s="1609"/>
      <c r="D656" s="1609"/>
      <c r="E656" s="1609"/>
      <c r="F656" s="1609"/>
      <c r="G656" s="1609"/>
      <c r="H656" s="1609"/>
      <c r="I656" s="897"/>
      <c r="J656" s="898"/>
      <c r="K656" s="896"/>
      <c r="L656" s="923"/>
      <c r="M656" s="899"/>
      <c r="N656" s="900" t="s">
        <v>2309</v>
      </c>
    </row>
    <row r="657" spans="1:14" s="910" customFormat="1" ht="16.5" hidden="1" customHeight="1">
      <c r="A657" s="896"/>
      <c r="B657" s="902" t="s">
        <v>3547</v>
      </c>
      <c r="C657" s="897"/>
      <c r="D657" s="1263"/>
      <c r="E657" s="919"/>
      <c r="F657" s="920"/>
      <c r="G657" s="920"/>
      <c r="H657" s="920"/>
      <c r="I657" s="1264"/>
      <c r="J657" s="955"/>
      <c r="K657" s="902"/>
      <c r="L657" s="923"/>
      <c r="M657" s="902"/>
      <c r="N657" s="900" t="s">
        <v>2309</v>
      </c>
    </row>
    <row r="658" spans="1:14" s="910" customFormat="1" ht="16.5" hidden="1" customHeight="1">
      <c r="A658" s="896"/>
      <c r="B658" s="902" t="s">
        <v>1229</v>
      </c>
      <c r="C658" s="897">
        <v>1</v>
      </c>
      <c r="D658" s="1263" t="s">
        <v>273</v>
      </c>
      <c r="E658" s="919">
        <v>5</v>
      </c>
      <c r="F658" s="920">
        <v>1.52</v>
      </c>
      <c r="G658" s="920">
        <v>0.23</v>
      </c>
      <c r="H658" s="920">
        <v>0</v>
      </c>
      <c r="I658" s="1266">
        <f>ROUND(IF(AND(F658:H658),C658*E658*F658*G658*H658,IF(AND(F658,G658),C658*E658*F658*G658,IF(AND(F658,H658),C658*E658*F658*H658,IF(AND(G658,H658),C658*E658*G658*H658,IF(F658,C658*E658*F658,IF(G658,C658*E658*G658,IF(H658,C658*E658*H658,C658*E658))))))),2)</f>
        <v>1.75</v>
      </c>
      <c r="J658" s="955" t="s">
        <v>102</v>
      </c>
      <c r="K658" s="902"/>
      <c r="L658" s="923"/>
      <c r="M658" s="902"/>
      <c r="N658" s="900" t="s">
        <v>2309</v>
      </c>
    </row>
    <row r="659" spans="1:14" s="910" customFormat="1" ht="16.5" hidden="1" customHeight="1">
      <c r="A659" s="896"/>
      <c r="B659" s="902"/>
      <c r="C659" s="897">
        <v>1</v>
      </c>
      <c r="D659" s="1263" t="s">
        <v>273</v>
      </c>
      <c r="E659" s="919">
        <v>4</v>
      </c>
      <c r="F659" s="920">
        <v>1.83</v>
      </c>
      <c r="G659" s="920">
        <v>0.23</v>
      </c>
      <c r="H659" s="920">
        <v>0</v>
      </c>
      <c r="I659" s="1266">
        <f>ROUND(IF(AND(F659:H659),C659*E659*F659*G659*H659,IF(AND(F659,G659),C659*E659*F659*G659,IF(AND(F659,H659),C659*E659*F659*H659,IF(AND(G659,H659),C659*E659*G659*H659,IF(F659,C659*E659*F659,IF(G659,C659*E659*G659,IF(H659,C659*E659*H659,C659*E659))))))),2)</f>
        <v>1.68</v>
      </c>
      <c r="J659" s="955" t="s">
        <v>102</v>
      </c>
      <c r="K659" s="902"/>
      <c r="L659" s="923"/>
      <c r="M659" s="902"/>
      <c r="N659" s="900" t="s">
        <v>2309</v>
      </c>
    </row>
    <row r="660" spans="1:14" s="910" customFormat="1" ht="16.5" hidden="1" customHeight="1">
      <c r="A660" s="896"/>
      <c r="B660" s="902" t="s">
        <v>1242</v>
      </c>
      <c r="C660" s="897">
        <v>1</v>
      </c>
      <c r="D660" s="1263" t="s">
        <v>273</v>
      </c>
      <c r="E660" s="919">
        <v>1</v>
      </c>
      <c r="F660" s="920">
        <v>1.4</v>
      </c>
      <c r="G660" s="920">
        <v>1.4</v>
      </c>
      <c r="H660" s="920">
        <v>0</v>
      </c>
      <c r="I660" s="1266">
        <f>ROUND(IF(AND(F660:H660),C660*E660*F660*G660*H660,IF(AND(F660,G660),C660*E660*F660*G660,IF(AND(F660,H660),C660*E660*F660*H660,IF(AND(G660,H660),C660*E660*G660*H660,IF(F660,C660*E660*F660,IF(G660,C660*E660*G660,IF(H660,C660*E660*H660,C660*E660))))))),2)</f>
        <v>1.96</v>
      </c>
      <c r="J660" s="955" t="s">
        <v>102</v>
      </c>
      <c r="K660" s="902"/>
      <c r="L660" s="923"/>
      <c r="M660" s="902"/>
      <c r="N660" s="900" t="s">
        <v>2309</v>
      </c>
    </row>
    <row r="661" spans="1:14" s="910" customFormat="1" ht="16.5" hidden="1" customHeight="1">
      <c r="A661" s="896"/>
      <c r="B661" s="956"/>
      <c r="C661" s="957"/>
      <c r="D661" s="958"/>
      <c r="E661" s="1268"/>
      <c r="F661" s="960"/>
      <c r="G661" s="960"/>
      <c r="H661" s="960"/>
      <c r="I661" s="916"/>
      <c r="J661" s="955"/>
      <c r="K661" s="902"/>
      <c r="L661" s="923"/>
      <c r="M661" s="902"/>
      <c r="N661" s="900" t="s">
        <v>2309</v>
      </c>
    </row>
    <row r="662" spans="1:14" ht="15.75" hidden="1">
      <c r="A662" s="896"/>
      <c r="B662" s="902"/>
      <c r="C662" s="917"/>
      <c r="D662" s="918"/>
      <c r="E662" s="919"/>
      <c r="F662" s="920"/>
      <c r="G662" s="921"/>
      <c r="H662" s="896"/>
      <c r="I662" s="916"/>
      <c r="J662" s="955" t="s">
        <v>102</v>
      </c>
      <c r="K662" s="922">
        <f>data!E3002</f>
        <v>385.15</v>
      </c>
      <c r="L662" s="923" t="s">
        <v>2309</v>
      </c>
      <c r="M662" s="924">
        <f>ROUND(I662*K662,0)</f>
        <v>0</v>
      </c>
      <c r="N662" s="900" t="s">
        <v>2309</v>
      </c>
    </row>
    <row r="663" spans="1:14" s="1403" customFormat="1" ht="97.5" customHeight="1">
      <c r="A663" s="1397">
        <v>13</v>
      </c>
      <c r="B663" s="1610" t="s">
        <v>3300</v>
      </c>
      <c r="C663" s="1610"/>
      <c r="D663" s="1610"/>
      <c r="E663" s="1610"/>
      <c r="F663" s="1610"/>
      <c r="G663" s="1610"/>
      <c r="H663" s="1610"/>
      <c r="I663" s="1398"/>
      <c r="J663" s="1399"/>
      <c r="K663" s="1397"/>
      <c r="L663" s="1400"/>
      <c r="M663" s="1401"/>
      <c r="N663" s="1402" t="s">
        <v>2209</v>
      </c>
    </row>
    <row r="664" spans="1:14" s="1411" customFormat="1" ht="16.5" customHeight="1">
      <c r="A664" s="1397"/>
      <c r="B664" s="1404" t="s">
        <v>3922</v>
      </c>
      <c r="C664" s="1405"/>
      <c r="D664" s="1395" t="s">
        <v>4017</v>
      </c>
      <c r="E664" s="1406"/>
      <c r="F664" s="1407"/>
      <c r="G664" s="1407"/>
      <c r="H664" s="1407"/>
      <c r="I664" s="1408"/>
      <c r="J664" s="1423"/>
      <c r="K664" s="1410"/>
      <c r="L664" s="1400"/>
      <c r="M664" s="1410"/>
      <c r="N664" s="1402" t="s">
        <v>2209</v>
      </c>
    </row>
    <row r="665" spans="1:14" s="1411" customFormat="1" ht="16.5" customHeight="1">
      <c r="A665" s="1397"/>
      <c r="B665" s="1410" t="s">
        <v>3725</v>
      </c>
      <c r="C665" s="1398">
        <v>1</v>
      </c>
      <c r="D665" s="1412" t="s">
        <v>273</v>
      </c>
      <c r="E665" s="1413">
        <v>2</v>
      </c>
      <c r="F665" s="1414">
        <v>2.63</v>
      </c>
      <c r="G665" s="1414">
        <v>0.23</v>
      </c>
      <c r="H665" s="1414">
        <v>0.15</v>
      </c>
      <c r="I665" s="1415">
        <f t="shared" ref="I665:I670" si="63">ROUND(IF(AND(F665:H665),C665*E665*F665*G665*H665,IF(AND(F665,G665),C665*E665*F665*G665,IF(AND(F665,H665),C665*E665*F665*H665,IF(AND(G665,H665),C665*E665*G665*H665,IF(F665,C665*E665*F665,IF(G665,C665*E665*G665,IF(H665,C665*E665*H665,C665*E665))))))),2)</f>
        <v>0.18</v>
      </c>
      <c r="J665" s="1423" t="s">
        <v>5</v>
      </c>
      <c r="K665" s="1410"/>
      <c r="L665" s="1400"/>
      <c r="M665" s="1410"/>
      <c r="N665" s="1402" t="s">
        <v>2209</v>
      </c>
    </row>
    <row r="666" spans="1:14" s="1411" customFormat="1" ht="16.5" customHeight="1">
      <c r="A666" s="1397"/>
      <c r="B666" s="1410" t="s">
        <v>3726</v>
      </c>
      <c r="C666" s="1398">
        <v>1</v>
      </c>
      <c r="D666" s="1412" t="s">
        <v>273</v>
      </c>
      <c r="E666" s="1413">
        <v>2</v>
      </c>
      <c r="F666" s="1414">
        <v>3.52</v>
      </c>
      <c r="G666" s="1414">
        <v>0.23</v>
      </c>
      <c r="H666" s="1414">
        <v>0.15</v>
      </c>
      <c r="I666" s="1415">
        <f t="shared" si="63"/>
        <v>0.24</v>
      </c>
      <c r="J666" s="1423" t="s">
        <v>5</v>
      </c>
      <c r="K666" s="1410"/>
      <c r="L666" s="1400"/>
      <c r="M666" s="1410"/>
      <c r="N666" s="1402" t="s">
        <v>2209</v>
      </c>
    </row>
    <row r="667" spans="1:14" s="1411" customFormat="1" ht="16.5" customHeight="1">
      <c r="A667" s="1397"/>
      <c r="B667" s="1410" t="s">
        <v>3727</v>
      </c>
      <c r="C667" s="1398">
        <v>1</v>
      </c>
      <c r="D667" s="1412" t="s">
        <v>273</v>
      </c>
      <c r="E667" s="1413">
        <v>2</v>
      </c>
      <c r="F667" s="1414">
        <v>2.83</v>
      </c>
      <c r="G667" s="1414">
        <v>0.23</v>
      </c>
      <c r="H667" s="1414">
        <v>0.15</v>
      </c>
      <c r="I667" s="1415">
        <f t="shared" si="63"/>
        <v>0.2</v>
      </c>
      <c r="J667" s="1423" t="s">
        <v>5</v>
      </c>
      <c r="K667" s="1410"/>
      <c r="L667" s="1400"/>
      <c r="M667" s="1410"/>
      <c r="N667" s="1402" t="s">
        <v>2209</v>
      </c>
    </row>
    <row r="668" spans="1:14" s="1411" customFormat="1" ht="16.5" customHeight="1">
      <c r="A668" s="1397"/>
      <c r="B668" s="1410" t="s">
        <v>3728</v>
      </c>
      <c r="C668" s="1398">
        <v>1</v>
      </c>
      <c r="D668" s="1412" t="s">
        <v>273</v>
      </c>
      <c r="E668" s="1413">
        <v>2</v>
      </c>
      <c r="F668" s="1414">
        <v>3.04</v>
      </c>
      <c r="G668" s="1414">
        <v>0.23</v>
      </c>
      <c r="H668" s="1414">
        <v>0.15</v>
      </c>
      <c r="I668" s="1415">
        <f t="shared" si="63"/>
        <v>0.21</v>
      </c>
      <c r="J668" s="1423" t="s">
        <v>5</v>
      </c>
      <c r="K668" s="1410"/>
      <c r="L668" s="1400"/>
      <c r="M668" s="1410"/>
      <c r="N668" s="1402" t="s">
        <v>2209</v>
      </c>
    </row>
    <row r="669" spans="1:14" s="1411" customFormat="1" ht="16.5" customHeight="1">
      <c r="A669" s="1397"/>
      <c r="B669" s="1410" t="s">
        <v>3923</v>
      </c>
      <c r="C669" s="1398">
        <v>1</v>
      </c>
      <c r="D669" s="1412" t="s">
        <v>273</v>
      </c>
      <c r="E669" s="1413">
        <v>2</v>
      </c>
      <c r="F669" s="1414">
        <v>2.85</v>
      </c>
      <c r="G669" s="1414">
        <v>0.23</v>
      </c>
      <c r="H669" s="1414">
        <v>0.15</v>
      </c>
      <c r="I669" s="1415">
        <f t="shared" si="63"/>
        <v>0.2</v>
      </c>
      <c r="J669" s="1423" t="s">
        <v>5</v>
      </c>
      <c r="K669" s="1410"/>
      <c r="L669" s="1400"/>
      <c r="M669" s="1410"/>
      <c r="N669" s="1402" t="s">
        <v>2209</v>
      </c>
    </row>
    <row r="670" spans="1:14" s="1411" customFormat="1" ht="16.5" customHeight="1">
      <c r="A670" s="1397"/>
      <c r="B670" s="1410" t="s">
        <v>3730</v>
      </c>
      <c r="C670" s="1398">
        <v>1</v>
      </c>
      <c r="D670" s="1412" t="s">
        <v>273</v>
      </c>
      <c r="E670" s="1413">
        <v>2</v>
      </c>
      <c r="F670" s="1414">
        <v>2.5499999999999998</v>
      </c>
      <c r="G670" s="1414">
        <v>0.23</v>
      </c>
      <c r="H670" s="1414">
        <v>0.15</v>
      </c>
      <c r="I670" s="1415">
        <f t="shared" si="63"/>
        <v>0.18</v>
      </c>
      <c r="J670" s="1423" t="s">
        <v>5</v>
      </c>
      <c r="K670" s="1410"/>
      <c r="L670" s="1400"/>
      <c r="M670" s="1410"/>
      <c r="N670" s="1402" t="s">
        <v>2209</v>
      </c>
    </row>
    <row r="671" spans="1:14" s="1411" customFormat="1" ht="16.5" customHeight="1">
      <c r="A671" s="1397"/>
      <c r="B671" s="1425"/>
      <c r="C671" s="1426"/>
      <c r="D671" s="1427"/>
      <c r="E671" s="1428"/>
      <c r="F671" s="1414"/>
      <c r="G671" s="1414"/>
      <c r="H671" s="1414"/>
      <c r="I671" s="1430"/>
      <c r="J671" s="1423"/>
      <c r="K671" s="1410"/>
      <c r="L671" s="1400"/>
      <c r="M671" s="1410"/>
      <c r="N671" s="1402" t="s">
        <v>2209</v>
      </c>
    </row>
    <row r="672" spans="1:14" s="1403" customFormat="1" ht="15.75">
      <c r="A672" s="1397"/>
      <c r="B672" s="1410"/>
      <c r="C672" s="1431"/>
      <c r="D672" s="1432"/>
      <c r="E672" s="1413"/>
      <c r="F672" s="1414"/>
      <c r="G672" s="1433"/>
      <c r="H672" s="1397"/>
      <c r="I672" s="1430">
        <f>SUM(I665:I671)</f>
        <v>1.21</v>
      </c>
      <c r="J672" s="1423" t="s">
        <v>5</v>
      </c>
      <c r="K672" s="1434">
        <f>data!E161</f>
        <v>9288.880000000001</v>
      </c>
      <c r="L672" s="1400" t="s">
        <v>2209</v>
      </c>
      <c r="M672" s="1435">
        <f>ROUND(I672*K672,0)</f>
        <v>11240</v>
      </c>
      <c r="N672" s="1402" t="s">
        <v>2209</v>
      </c>
    </row>
    <row r="673" spans="1:14" ht="97.5" hidden="1" customHeight="1">
      <c r="A673" s="896">
        <v>18</v>
      </c>
      <c r="B673" s="1609" t="s">
        <v>2056</v>
      </c>
      <c r="C673" s="1609"/>
      <c r="D673" s="1609"/>
      <c r="E673" s="1609"/>
      <c r="F673" s="1609"/>
      <c r="G673" s="1609"/>
      <c r="H673" s="1609"/>
      <c r="I673" s="897"/>
      <c r="J673" s="898"/>
      <c r="K673" s="896"/>
      <c r="L673" s="923"/>
      <c r="M673" s="899"/>
      <c r="N673" s="900" t="s">
        <v>2297</v>
      </c>
    </row>
    <row r="674" spans="1:14" s="910" customFormat="1" ht="16.5" hidden="1" customHeight="1">
      <c r="A674" s="896"/>
      <c r="B674" s="928" t="s">
        <v>3724</v>
      </c>
      <c r="C674" s="1269"/>
      <c r="D674" s="954" t="s">
        <v>3247</v>
      </c>
      <c r="E674" s="1270"/>
      <c r="F674" s="1271"/>
      <c r="G674" s="1271"/>
      <c r="H674" s="1271"/>
      <c r="I674" s="1272"/>
      <c r="J674" s="955"/>
      <c r="K674" s="902"/>
      <c r="L674" s="923"/>
      <c r="M674" s="902"/>
      <c r="N674" s="900" t="s">
        <v>2297</v>
      </c>
    </row>
    <row r="675" spans="1:14" s="910" customFormat="1" ht="16.5" hidden="1" customHeight="1">
      <c r="A675" s="896"/>
      <c r="B675" s="902" t="s">
        <v>3725</v>
      </c>
      <c r="C675" s="897">
        <v>1</v>
      </c>
      <c r="D675" s="1263" t="s">
        <v>273</v>
      </c>
      <c r="E675" s="919">
        <v>2</v>
      </c>
      <c r="F675" s="920">
        <v>2.6</v>
      </c>
      <c r="G675" s="920">
        <v>0.23</v>
      </c>
      <c r="H675" s="920">
        <v>0.15</v>
      </c>
      <c r="I675" s="1266">
        <f t="shared" ref="I675:I682" si="64">ROUND(IF(AND(F675:H675),C675*E675*F675*G675*H675,IF(AND(F675,G675),C675*E675*F675*G675,IF(AND(F675,H675),C675*E675*F675*H675,IF(AND(G675,H675),C675*E675*G675*H675,IF(F675,C675*E675*F675,IF(G675,C675*E675*G675,IF(H675,C675*E675*H675,C675*E675))))))),2)</f>
        <v>0.18</v>
      </c>
      <c r="J675" s="955" t="s">
        <v>5</v>
      </c>
      <c r="K675" s="902"/>
      <c r="L675" s="923"/>
      <c r="M675" s="902"/>
      <c r="N675" s="900" t="s">
        <v>2297</v>
      </c>
    </row>
    <row r="676" spans="1:14" s="910" customFormat="1" ht="16.5" hidden="1" customHeight="1">
      <c r="A676" s="896"/>
      <c r="B676" s="902" t="s">
        <v>3726</v>
      </c>
      <c r="C676" s="897">
        <v>1</v>
      </c>
      <c r="D676" s="1263" t="s">
        <v>273</v>
      </c>
      <c r="E676" s="919">
        <v>2</v>
      </c>
      <c r="F676" s="920">
        <v>3.52</v>
      </c>
      <c r="G676" s="920">
        <v>0.23</v>
      </c>
      <c r="H676" s="920">
        <v>0.15</v>
      </c>
      <c r="I676" s="1266">
        <f t="shared" si="64"/>
        <v>0.24</v>
      </c>
      <c r="J676" s="955" t="s">
        <v>5</v>
      </c>
      <c r="K676" s="902"/>
      <c r="L676" s="923"/>
      <c r="M676" s="902"/>
      <c r="N676" s="900" t="s">
        <v>2297</v>
      </c>
    </row>
    <row r="677" spans="1:14" s="910" customFormat="1" ht="16.5" hidden="1" customHeight="1">
      <c r="A677" s="896"/>
      <c r="B677" s="902" t="s">
        <v>3727</v>
      </c>
      <c r="C677" s="897">
        <v>1</v>
      </c>
      <c r="D677" s="1263" t="s">
        <v>273</v>
      </c>
      <c r="E677" s="919">
        <v>2</v>
      </c>
      <c r="F677" s="920">
        <v>2.83</v>
      </c>
      <c r="G677" s="920">
        <v>0.23</v>
      </c>
      <c r="H677" s="920">
        <v>0.15</v>
      </c>
      <c r="I677" s="1266">
        <f t="shared" si="64"/>
        <v>0.2</v>
      </c>
      <c r="J677" s="955" t="s">
        <v>5</v>
      </c>
      <c r="K677" s="902"/>
      <c r="L677" s="923"/>
      <c r="M677" s="902"/>
      <c r="N677" s="900" t="s">
        <v>2297</v>
      </c>
    </row>
    <row r="678" spans="1:14" s="910" customFormat="1" ht="16.5" hidden="1" customHeight="1">
      <c r="A678" s="896"/>
      <c r="B678" s="902" t="s">
        <v>3728</v>
      </c>
      <c r="C678" s="897">
        <v>1</v>
      </c>
      <c r="D678" s="1263" t="s">
        <v>273</v>
      </c>
      <c r="E678" s="919">
        <v>2</v>
      </c>
      <c r="F678" s="920">
        <v>3.04</v>
      </c>
      <c r="G678" s="920">
        <v>0.23</v>
      </c>
      <c r="H678" s="920">
        <v>0.15</v>
      </c>
      <c r="I678" s="1266">
        <f t="shared" si="64"/>
        <v>0.21</v>
      </c>
      <c r="J678" s="955" t="s">
        <v>5</v>
      </c>
      <c r="K678" s="902"/>
      <c r="L678" s="923"/>
      <c r="M678" s="902"/>
      <c r="N678" s="900" t="s">
        <v>2297</v>
      </c>
    </row>
    <row r="679" spans="1:14" s="910" customFormat="1" ht="16.5" hidden="1" customHeight="1">
      <c r="A679" s="896"/>
      <c r="B679" s="902" t="s">
        <v>3729</v>
      </c>
      <c r="C679" s="897">
        <v>1</v>
      </c>
      <c r="D679" s="1263" t="s">
        <v>273</v>
      </c>
      <c r="E679" s="919">
        <v>1</v>
      </c>
      <c r="F679" s="920">
        <v>2.85</v>
      </c>
      <c r="G679" s="920">
        <v>0.23</v>
      </c>
      <c r="H679" s="920">
        <v>0.15</v>
      </c>
      <c r="I679" s="1266">
        <f t="shared" si="64"/>
        <v>0.1</v>
      </c>
      <c r="J679" s="955" t="s">
        <v>5</v>
      </c>
      <c r="K679" s="902"/>
      <c r="L679" s="923"/>
      <c r="M679" s="902"/>
      <c r="N679" s="900" t="s">
        <v>2297</v>
      </c>
    </row>
    <row r="680" spans="1:14" s="910" customFormat="1" ht="16.5" hidden="1" customHeight="1">
      <c r="A680" s="896"/>
      <c r="B680" s="902" t="s">
        <v>3730</v>
      </c>
      <c r="C680" s="897">
        <v>1</v>
      </c>
      <c r="D680" s="1263" t="s">
        <v>273</v>
      </c>
      <c r="E680" s="919">
        <v>1</v>
      </c>
      <c r="F680" s="920">
        <v>2.5499999999999998</v>
      </c>
      <c r="G680" s="920">
        <v>0.23</v>
      </c>
      <c r="H680" s="920">
        <v>0.15</v>
      </c>
      <c r="I680" s="1266">
        <f t="shared" si="64"/>
        <v>0.09</v>
      </c>
      <c r="J680" s="955" t="s">
        <v>5</v>
      </c>
      <c r="K680" s="902"/>
      <c r="L680" s="923"/>
      <c r="M680" s="902"/>
      <c r="N680" s="900" t="s">
        <v>2297</v>
      </c>
    </row>
    <row r="681" spans="1:14" s="910" customFormat="1" ht="16.5" hidden="1" customHeight="1">
      <c r="A681" s="896"/>
      <c r="B681" s="902" t="s">
        <v>3731</v>
      </c>
      <c r="C681" s="897">
        <v>1</v>
      </c>
      <c r="D681" s="1263" t="s">
        <v>273</v>
      </c>
      <c r="E681" s="919">
        <v>5</v>
      </c>
      <c r="F681" s="920">
        <v>1.2</v>
      </c>
      <c r="G681" s="920">
        <v>0.115</v>
      </c>
      <c r="H681" s="920">
        <v>0.15</v>
      </c>
      <c r="I681" s="1266">
        <f t="shared" si="64"/>
        <v>0.1</v>
      </c>
      <c r="J681" s="955" t="s">
        <v>5</v>
      </c>
      <c r="K681" s="902"/>
      <c r="L681" s="923"/>
      <c r="M681" s="902"/>
      <c r="N681" s="900" t="s">
        <v>2297</v>
      </c>
    </row>
    <row r="682" spans="1:14" s="910" customFormat="1" ht="16.5" hidden="1" customHeight="1">
      <c r="A682" s="896"/>
      <c r="B682" s="902" t="s">
        <v>3732</v>
      </c>
      <c r="C682" s="897">
        <v>1</v>
      </c>
      <c r="D682" s="1263" t="s">
        <v>273</v>
      </c>
      <c r="E682" s="919">
        <v>2</v>
      </c>
      <c r="F682" s="920">
        <v>1.05</v>
      </c>
      <c r="G682" s="920">
        <v>0.115</v>
      </c>
      <c r="H682" s="920">
        <v>0.15</v>
      </c>
      <c r="I682" s="1266">
        <f t="shared" si="64"/>
        <v>0.04</v>
      </c>
      <c r="J682" s="955" t="s">
        <v>5</v>
      </c>
      <c r="K682" s="902"/>
      <c r="L682" s="923"/>
      <c r="M682" s="902"/>
      <c r="N682" s="900" t="s">
        <v>2297</v>
      </c>
    </row>
    <row r="683" spans="1:14" s="910" customFormat="1" ht="16.5" hidden="1" customHeight="1">
      <c r="A683" s="896"/>
      <c r="B683" s="956"/>
      <c r="C683" s="957"/>
      <c r="D683" s="958"/>
      <c r="E683" s="1268"/>
      <c r="F683" s="920"/>
      <c r="G683" s="920"/>
      <c r="H683" s="920"/>
      <c r="I683" s="916"/>
      <c r="J683" s="955"/>
      <c r="K683" s="902"/>
      <c r="L683" s="923"/>
      <c r="M683" s="902"/>
      <c r="N683" s="900" t="s">
        <v>2297</v>
      </c>
    </row>
    <row r="684" spans="1:14" ht="15.75" hidden="1">
      <c r="A684" s="896"/>
      <c r="B684" s="902"/>
      <c r="C684" s="917"/>
      <c r="D684" s="918"/>
      <c r="E684" s="919"/>
      <c r="F684" s="920"/>
      <c r="G684" s="921"/>
      <c r="H684" s="896"/>
      <c r="I684" s="916"/>
      <c r="J684" s="955" t="s">
        <v>5</v>
      </c>
      <c r="K684" s="922">
        <f>data!E1077</f>
        <v>9638.93</v>
      </c>
      <c r="L684" s="923" t="s">
        <v>2297</v>
      </c>
      <c r="M684" s="924">
        <f>ROUND(I684*K684,0)</f>
        <v>0</v>
      </c>
      <c r="N684" s="900" t="s">
        <v>2297</v>
      </c>
    </row>
    <row r="685" spans="1:14" ht="97.5" hidden="1" customHeight="1">
      <c r="A685" s="896">
        <v>15</v>
      </c>
      <c r="B685" s="1609" t="s">
        <v>2056</v>
      </c>
      <c r="C685" s="1609"/>
      <c r="D685" s="1609"/>
      <c r="E685" s="1609"/>
      <c r="F685" s="1609"/>
      <c r="G685" s="1609"/>
      <c r="H685" s="1609"/>
      <c r="I685" s="897"/>
      <c r="J685" s="898"/>
      <c r="K685" s="896"/>
      <c r="L685" s="923"/>
      <c r="M685" s="899"/>
      <c r="N685" s="900" t="s">
        <v>2308</v>
      </c>
    </row>
    <row r="686" spans="1:14" s="910" customFormat="1" ht="16.5" hidden="1" customHeight="1">
      <c r="A686" s="896"/>
      <c r="B686" s="902" t="s">
        <v>3521</v>
      </c>
      <c r="C686" s="897"/>
      <c r="D686" s="1263"/>
      <c r="E686" s="919"/>
      <c r="F686" s="920"/>
      <c r="G686" s="920"/>
      <c r="H686" s="920"/>
      <c r="I686" s="1264"/>
      <c r="J686" s="955"/>
      <c r="K686" s="902"/>
      <c r="L686" s="923"/>
      <c r="M686" s="902"/>
      <c r="N686" s="900" t="s">
        <v>2308</v>
      </c>
    </row>
    <row r="687" spans="1:14" s="910" customFormat="1" ht="16.5" hidden="1" customHeight="1">
      <c r="A687" s="896"/>
      <c r="B687" s="902" t="s">
        <v>2131</v>
      </c>
      <c r="C687" s="897">
        <v>1</v>
      </c>
      <c r="D687" s="1263" t="s">
        <v>273</v>
      </c>
      <c r="E687" s="919">
        <v>2</v>
      </c>
      <c r="F687" s="920">
        <v>2.86</v>
      </c>
      <c r="G687" s="920">
        <v>0.23</v>
      </c>
      <c r="H687" s="920">
        <v>0.15</v>
      </c>
      <c r="I687" s="1266">
        <f>ROUND(IF(AND(F687:H687),C687*E687*F687*G687*H687,IF(AND(F687,G687),C687*E687*F687*G687,IF(AND(F687,H687),C687*E687*F687*H687,IF(AND(G687,H687),C687*E687*G687*H687,IF(F687,C687*E687*F687,IF(G687,C687*E687*G687,IF(H687,C687*E687*H687,C687*E687))))))),2)</f>
        <v>0.2</v>
      </c>
      <c r="J687" s="955" t="s">
        <v>5</v>
      </c>
      <c r="K687" s="902"/>
      <c r="L687" s="923"/>
      <c r="M687" s="902"/>
      <c r="N687" s="900" t="s">
        <v>2308</v>
      </c>
    </row>
    <row r="688" spans="1:14" s="910" customFormat="1" ht="16.5" hidden="1" customHeight="1">
      <c r="A688" s="896"/>
      <c r="B688" s="902" t="s">
        <v>2132</v>
      </c>
      <c r="C688" s="897">
        <v>1</v>
      </c>
      <c r="D688" s="1263" t="s">
        <v>273</v>
      </c>
      <c r="E688" s="919">
        <v>2</v>
      </c>
      <c r="F688" s="920">
        <v>4.84</v>
      </c>
      <c r="G688" s="920">
        <v>0.23</v>
      </c>
      <c r="H688" s="920">
        <v>0.15</v>
      </c>
      <c r="I688" s="1266">
        <f>ROUND(IF(AND(F688:H688),C688*E688*F688*G688*H688,IF(AND(F688,G688),C688*E688*F688*G688,IF(AND(F688,H688),C688*E688*F688*H688,IF(AND(G688,H688),C688*E688*G688*H688,IF(F688,C688*E688*F688,IF(G688,C688*E688*G688,IF(H688,C688*E688*H688,C688*E688))))))),2)</f>
        <v>0.33</v>
      </c>
      <c r="J688" s="955" t="s">
        <v>5</v>
      </c>
      <c r="K688" s="902"/>
      <c r="L688" s="923"/>
      <c r="M688" s="902"/>
      <c r="N688" s="900" t="s">
        <v>2308</v>
      </c>
    </row>
    <row r="689" spans="1:14" s="910" customFormat="1" ht="16.5" hidden="1" customHeight="1">
      <c r="A689" s="896"/>
      <c r="B689" s="902" t="s">
        <v>2133</v>
      </c>
      <c r="C689" s="897">
        <v>1</v>
      </c>
      <c r="D689" s="1263" t="s">
        <v>273</v>
      </c>
      <c r="E689" s="919">
        <v>2</v>
      </c>
      <c r="F689" s="920">
        <v>3.23</v>
      </c>
      <c r="G689" s="920">
        <v>0.23</v>
      </c>
      <c r="H689" s="920">
        <v>0.15</v>
      </c>
      <c r="I689" s="1266">
        <f>ROUND(IF(AND(F689:H689),C689*E689*F689*G689*H689,IF(AND(F689,G689),C689*E689*F689*G689,IF(AND(F689,H689),C689*E689*F689*H689,IF(AND(G689,H689),C689*E689*G689*H689,IF(F689,C689*E689*F689,IF(G689,C689*E689*G689,IF(H689,C689*E689*H689,C689*E689))))))),2)</f>
        <v>0.22</v>
      </c>
      <c r="J689" s="955" t="s">
        <v>5</v>
      </c>
      <c r="K689" s="902"/>
      <c r="L689" s="923"/>
      <c r="M689" s="902"/>
      <c r="N689" s="900" t="s">
        <v>2308</v>
      </c>
    </row>
    <row r="690" spans="1:14" s="910" customFormat="1" ht="16.5" hidden="1" customHeight="1">
      <c r="A690" s="896"/>
      <c r="B690" s="902" t="s">
        <v>1530</v>
      </c>
      <c r="C690" s="897">
        <v>1</v>
      </c>
      <c r="D690" s="1263" t="s">
        <v>273</v>
      </c>
      <c r="E690" s="919">
        <v>1</v>
      </c>
      <c r="F690" s="920">
        <v>2.5</v>
      </c>
      <c r="G690" s="920">
        <v>0.115</v>
      </c>
      <c r="H690" s="920">
        <v>0.15</v>
      </c>
      <c r="I690" s="1266">
        <f>ROUND(IF(AND(F690:H690),C690*E690*F690*G690*H690,IF(AND(F690,G690),C690*E690*F690*G690,IF(AND(F690,H690),C690*E690*F690*H690,IF(AND(G690,H690),C690*E690*G690*H690,IF(F690,C690*E690*F690,IF(G690,C690*E690*G690,IF(H690,C690*E690*H690,C690*E690))))))),2)</f>
        <v>0.04</v>
      </c>
      <c r="J690" s="955" t="s">
        <v>5</v>
      </c>
      <c r="K690" s="902"/>
      <c r="L690" s="923"/>
      <c r="M690" s="902"/>
      <c r="N690" s="900" t="s">
        <v>2308</v>
      </c>
    </row>
    <row r="691" spans="1:14" s="910" customFormat="1" ht="16.5" hidden="1" customHeight="1">
      <c r="A691" s="896"/>
      <c r="B691" s="902" t="s">
        <v>1531</v>
      </c>
      <c r="C691" s="897">
        <v>1</v>
      </c>
      <c r="D691" s="1263" t="s">
        <v>273</v>
      </c>
      <c r="E691" s="919">
        <v>1</v>
      </c>
      <c r="F691" s="920">
        <v>2.7</v>
      </c>
      <c r="G691" s="920">
        <v>0.115</v>
      </c>
      <c r="H691" s="920">
        <v>0.15</v>
      </c>
      <c r="I691" s="1266">
        <f>ROUND(IF(AND(F691:H691),C691*E691*F691*G691*H691,IF(AND(F691,G691),C691*E691*F691*G691,IF(AND(F691,H691),C691*E691*F691*H691,IF(AND(G691,H691),C691*E691*G691*H691,IF(F691,C691*E691*F691,IF(G691,C691*E691*G691,IF(H691,C691*E691*H691,C691*E691))))))),2)</f>
        <v>0.05</v>
      </c>
      <c r="J691" s="955" t="s">
        <v>5</v>
      </c>
      <c r="K691" s="902"/>
      <c r="L691" s="923"/>
      <c r="M691" s="902"/>
      <c r="N691" s="900" t="s">
        <v>2308</v>
      </c>
    </row>
    <row r="692" spans="1:14" s="910" customFormat="1" ht="16.5" hidden="1" customHeight="1">
      <c r="A692" s="896"/>
      <c r="B692" s="956"/>
      <c r="C692" s="957"/>
      <c r="D692" s="958"/>
      <c r="E692" s="1268"/>
      <c r="F692" s="920"/>
      <c r="G692" s="920"/>
      <c r="H692" s="920"/>
      <c r="I692" s="916"/>
      <c r="J692" s="955"/>
      <c r="K692" s="902"/>
      <c r="L692" s="923"/>
      <c r="M692" s="902"/>
      <c r="N692" s="900" t="s">
        <v>2308</v>
      </c>
    </row>
    <row r="693" spans="1:14" ht="15.75" hidden="1">
      <c r="A693" s="896"/>
      <c r="B693" s="902"/>
      <c r="C693" s="917"/>
      <c r="D693" s="918"/>
      <c r="E693" s="919"/>
      <c r="F693" s="920"/>
      <c r="G693" s="921"/>
      <c r="H693" s="896"/>
      <c r="I693" s="916"/>
      <c r="J693" s="955" t="s">
        <v>5</v>
      </c>
      <c r="K693" s="922">
        <f>data!E1994</f>
        <v>10171.82</v>
      </c>
      <c r="L693" s="923" t="s">
        <v>2308</v>
      </c>
      <c r="M693" s="924">
        <f>ROUND(I693*K693,0)</f>
        <v>0</v>
      </c>
      <c r="N693" s="900" t="s">
        <v>2308</v>
      </c>
    </row>
    <row r="694" spans="1:14" ht="97.5" hidden="1" customHeight="1">
      <c r="A694" s="896">
        <v>13</v>
      </c>
      <c r="B694" s="1609" t="s">
        <v>2056</v>
      </c>
      <c r="C694" s="1609"/>
      <c r="D694" s="1609"/>
      <c r="E694" s="1609"/>
      <c r="F694" s="1609"/>
      <c r="G694" s="1609"/>
      <c r="H694" s="1609"/>
      <c r="I694" s="897"/>
      <c r="J694" s="898"/>
      <c r="K694" s="896"/>
      <c r="L694" s="923"/>
      <c r="M694" s="899"/>
      <c r="N694" s="900" t="s">
        <v>2309</v>
      </c>
    </row>
    <row r="695" spans="1:14" s="910" customFormat="1" ht="16.5" hidden="1" customHeight="1">
      <c r="A695" s="896"/>
      <c r="B695" s="902" t="s">
        <v>3520</v>
      </c>
      <c r="C695" s="897"/>
      <c r="D695" s="1263" t="s">
        <v>3464</v>
      </c>
      <c r="E695" s="919"/>
      <c r="F695" s="920"/>
      <c r="G695" s="920"/>
      <c r="H695" s="920"/>
      <c r="I695" s="1264"/>
      <c r="J695" s="955"/>
      <c r="K695" s="902"/>
      <c r="L695" s="923"/>
      <c r="M695" s="902"/>
      <c r="N695" s="900" t="s">
        <v>2309</v>
      </c>
    </row>
    <row r="696" spans="1:14" s="910" customFormat="1" ht="16.5" hidden="1" customHeight="1">
      <c r="A696" s="896"/>
      <c r="B696" s="902" t="s">
        <v>3451</v>
      </c>
      <c r="C696" s="897">
        <v>1</v>
      </c>
      <c r="D696" s="1263" t="s">
        <v>273</v>
      </c>
      <c r="E696" s="919">
        <v>1</v>
      </c>
      <c r="F696" s="920">
        <v>13.55</v>
      </c>
      <c r="G696" s="920">
        <v>0.23</v>
      </c>
      <c r="H696" s="920">
        <v>0.15</v>
      </c>
      <c r="I696" s="1266">
        <f>ROUND(IF(AND(F696:H696),C696*E696*F696*G696*H696,IF(AND(F696,G696),C696*E696*F696*G696,IF(AND(F696,H696),C696*E696*F696*H696,IF(AND(G696,H696),C696*E696*G696*H696,IF(F696,C696*E696*F696,IF(G696,C696*E696*G696,IF(H696,C696*E696*H696,C696*E696))))))),2)</f>
        <v>0.47</v>
      </c>
      <c r="J696" s="955" t="s">
        <v>5</v>
      </c>
      <c r="K696" s="902"/>
      <c r="L696" s="923"/>
      <c r="M696" s="902"/>
      <c r="N696" s="900" t="s">
        <v>2309</v>
      </c>
    </row>
    <row r="697" spans="1:14" s="910" customFormat="1" ht="16.5" hidden="1" customHeight="1">
      <c r="A697" s="896"/>
      <c r="B697" s="902" t="s">
        <v>579</v>
      </c>
      <c r="C697" s="897">
        <v>1</v>
      </c>
      <c r="D697" s="1263" t="s">
        <v>273</v>
      </c>
      <c r="E697" s="919">
        <v>1</v>
      </c>
      <c r="F697" s="920">
        <v>1.05</v>
      </c>
      <c r="G697" s="920">
        <v>0.23</v>
      </c>
      <c r="H697" s="920">
        <v>0.15</v>
      </c>
      <c r="I697" s="1266">
        <f>-ROUND(IF(AND(F697:H697),C697*E697*F697*G697*H697,IF(AND(F697,G697),C697*E697*F697*G697,IF(AND(F697,H697),C697*E697*F697*H697,IF(AND(G697,H697),C697*E697*G697*H697,IF(F697,C697*E697*F697,IF(G697,C697*E697*G697,IF(H697,C697*E697*H697,C697*E697))))))),2)</f>
        <v>-0.04</v>
      </c>
      <c r="J697" s="955" t="s">
        <v>5</v>
      </c>
      <c r="K697" s="902"/>
      <c r="L697" s="923"/>
      <c r="M697" s="902"/>
      <c r="N697" s="900" t="s">
        <v>2309</v>
      </c>
    </row>
    <row r="698" spans="1:14" s="910" customFormat="1" ht="16.5" hidden="1" customHeight="1">
      <c r="A698" s="896"/>
      <c r="B698" s="902" t="s">
        <v>281</v>
      </c>
      <c r="C698" s="897">
        <v>1</v>
      </c>
      <c r="D698" s="1263" t="s">
        <v>273</v>
      </c>
      <c r="E698" s="919">
        <v>4</v>
      </c>
      <c r="F698" s="920">
        <v>0.38</v>
      </c>
      <c r="G698" s="920">
        <v>0.23</v>
      </c>
      <c r="H698" s="920">
        <v>0.15</v>
      </c>
      <c r="I698" s="1266">
        <f>-ROUND(IF(AND(F698:H698),C698*E698*F698*G698*H698,IF(AND(F698,G698),C698*E698*F698*G698,IF(AND(F698,H698),C698*E698*F698*H698,IF(AND(G698,H698),C698*E698*G698*H698,IF(F698,C698*E698*F698,IF(G698,C698*E698*G698,IF(H698,C698*E698*H698,C698*E698))))))),2)</f>
        <v>-0.05</v>
      </c>
      <c r="J698" s="955" t="s">
        <v>5</v>
      </c>
      <c r="K698" s="902"/>
      <c r="L698" s="923"/>
      <c r="M698" s="902"/>
      <c r="N698" s="900" t="s">
        <v>2309</v>
      </c>
    </row>
    <row r="699" spans="1:14" s="910" customFormat="1" ht="16.5" hidden="1" customHeight="1">
      <c r="A699" s="896"/>
      <c r="B699" s="902" t="s">
        <v>281</v>
      </c>
      <c r="C699" s="897">
        <v>1</v>
      </c>
      <c r="D699" s="1263" t="s">
        <v>273</v>
      </c>
      <c r="E699" s="919">
        <v>1</v>
      </c>
      <c r="F699" s="920">
        <v>0.23</v>
      </c>
      <c r="G699" s="920">
        <v>0.23</v>
      </c>
      <c r="H699" s="920">
        <v>0.15</v>
      </c>
      <c r="I699" s="1266">
        <f>-ROUND(IF(AND(F699:H699),C699*E699*F699*G699*H699,IF(AND(F699,G699),C699*E699*F699*G699,IF(AND(F699,H699),C699*E699*F699*H699,IF(AND(G699,H699),C699*E699*G699*H699,IF(F699,C699*E699*F699,IF(G699,C699*E699*G699,IF(H699,C699*E699*H699,C699*E699))))))),2)</f>
        <v>-0.01</v>
      </c>
      <c r="J699" s="955" t="s">
        <v>5</v>
      </c>
      <c r="K699" s="902"/>
      <c r="L699" s="923"/>
      <c r="M699" s="902"/>
      <c r="N699" s="900" t="s">
        <v>2309</v>
      </c>
    </row>
    <row r="700" spans="1:14" s="910" customFormat="1" ht="16.5" hidden="1" customHeight="1">
      <c r="A700" s="896"/>
      <c r="B700" s="902" t="s">
        <v>3465</v>
      </c>
      <c r="C700" s="897">
        <v>1</v>
      </c>
      <c r="D700" s="1263" t="s">
        <v>273</v>
      </c>
      <c r="E700" s="919">
        <v>1</v>
      </c>
      <c r="F700" s="920">
        <v>13.55</v>
      </c>
      <c r="G700" s="920">
        <v>0.23</v>
      </c>
      <c r="H700" s="920">
        <v>0.15</v>
      </c>
      <c r="I700" s="1266">
        <f t="shared" ref="I700:I727" si="65">ROUND(IF(AND(F700:H700),C700*E700*F700*G700*H700,IF(AND(F700,G700),C700*E700*F700*G700,IF(AND(F700,H700),C700*E700*F700*H700,IF(AND(G700,H700),C700*E700*G700*H700,IF(F700,C700*E700*F700,IF(G700,C700*E700*G700,IF(H700,C700*E700*H700,C700*E700))))))),2)</f>
        <v>0.47</v>
      </c>
      <c r="J700" s="955" t="s">
        <v>5</v>
      </c>
      <c r="K700" s="902"/>
      <c r="L700" s="923"/>
      <c r="M700" s="902"/>
      <c r="N700" s="900" t="s">
        <v>2309</v>
      </c>
    </row>
    <row r="701" spans="1:14" s="910" customFormat="1" ht="16.5" hidden="1" customHeight="1">
      <c r="A701" s="896"/>
      <c r="B701" s="902" t="s">
        <v>579</v>
      </c>
      <c r="C701" s="897">
        <v>1</v>
      </c>
      <c r="D701" s="1263" t="s">
        <v>273</v>
      </c>
      <c r="E701" s="919">
        <v>1</v>
      </c>
      <c r="F701" s="920">
        <v>0.8</v>
      </c>
      <c r="G701" s="920">
        <v>0.23</v>
      </c>
      <c r="H701" s="920">
        <v>0.15</v>
      </c>
      <c r="I701" s="1266">
        <f>-ROUND(IF(AND(F701:H701),C701*E701*F701*G701*H701,IF(AND(F701,G701),C701*E701*F701*G701,IF(AND(F701,H701),C701*E701*F701*H701,IF(AND(G701,H701),C701*E701*G701*H701,IF(F701,C701*E701*F701,IF(G701,C701*E701*G701,IF(H701,C701*E701*H701,C701*E701))))))),2)</f>
        <v>-0.03</v>
      </c>
      <c r="J701" s="955" t="s">
        <v>5</v>
      </c>
      <c r="K701" s="902"/>
      <c r="L701" s="923"/>
      <c r="M701" s="902"/>
      <c r="N701" s="900" t="s">
        <v>2309</v>
      </c>
    </row>
    <row r="702" spans="1:14" s="910" customFormat="1" ht="16.5" hidden="1" customHeight="1">
      <c r="A702" s="896"/>
      <c r="B702" s="902" t="s">
        <v>281</v>
      </c>
      <c r="C702" s="897">
        <v>1</v>
      </c>
      <c r="D702" s="1263" t="s">
        <v>273</v>
      </c>
      <c r="E702" s="919">
        <v>3</v>
      </c>
      <c r="F702" s="920">
        <v>0.38</v>
      </c>
      <c r="G702" s="920">
        <v>0.23</v>
      </c>
      <c r="H702" s="920">
        <v>0.15</v>
      </c>
      <c r="I702" s="1266">
        <f>-ROUND(IF(AND(F702:H702),C702*E702*F702*G702*H702,IF(AND(F702,G702),C702*E702*F702*G702,IF(AND(F702,H702),C702*E702*F702*H702,IF(AND(G702,H702),C702*E702*G702*H702,IF(F702,C702*E702*F702,IF(G702,C702*E702*G702,IF(H702,C702*E702*H702,C702*E702))))))),2)</f>
        <v>-0.04</v>
      </c>
      <c r="J702" s="955" t="s">
        <v>5</v>
      </c>
      <c r="K702" s="902"/>
      <c r="L702" s="923"/>
      <c r="M702" s="902"/>
      <c r="N702" s="900" t="s">
        <v>2309</v>
      </c>
    </row>
    <row r="703" spans="1:14" s="910" customFormat="1" ht="16.5" hidden="1" customHeight="1">
      <c r="A703" s="896"/>
      <c r="B703" s="902" t="s">
        <v>281</v>
      </c>
      <c r="C703" s="897">
        <v>1</v>
      </c>
      <c r="D703" s="1263" t="s">
        <v>273</v>
      </c>
      <c r="E703" s="919">
        <v>2</v>
      </c>
      <c r="F703" s="920">
        <v>0.23</v>
      </c>
      <c r="G703" s="920">
        <v>0.23</v>
      </c>
      <c r="H703" s="920">
        <v>0.15</v>
      </c>
      <c r="I703" s="1266">
        <f>-ROUND(IF(AND(F703:H703),C703*E703*F703*G703*H703,IF(AND(F703,G703),C703*E703*F703*G703,IF(AND(F703,H703),C703*E703*F703*H703,IF(AND(G703,H703),C703*E703*G703*H703,IF(F703,C703*E703*F703,IF(G703,C703*E703*G703,IF(H703,C703*E703*H703,C703*E703))))))),2)</f>
        <v>-0.02</v>
      </c>
      <c r="J703" s="955" t="s">
        <v>5</v>
      </c>
      <c r="K703" s="902"/>
      <c r="L703" s="923"/>
      <c r="M703" s="902"/>
      <c r="N703" s="900" t="s">
        <v>2309</v>
      </c>
    </row>
    <row r="704" spans="1:14" s="910" customFormat="1" ht="16.5" hidden="1" customHeight="1">
      <c r="A704" s="896"/>
      <c r="B704" s="902" t="s">
        <v>3453</v>
      </c>
      <c r="C704" s="897">
        <v>1</v>
      </c>
      <c r="D704" s="1263" t="s">
        <v>273</v>
      </c>
      <c r="E704" s="919">
        <v>1</v>
      </c>
      <c r="F704" s="920">
        <v>6.41</v>
      </c>
      <c r="G704" s="920">
        <v>0.23</v>
      </c>
      <c r="H704" s="920">
        <v>0.15</v>
      </c>
      <c r="I704" s="1266">
        <f t="shared" si="65"/>
        <v>0.22</v>
      </c>
      <c r="J704" s="955" t="s">
        <v>5</v>
      </c>
      <c r="K704" s="902"/>
      <c r="L704" s="923"/>
      <c r="M704" s="902"/>
      <c r="N704" s="900" t="s">
        <v>2309</v>
      </c>
    </row>
    <row r="705" spans="1:14" s="910" customFormat="1" ht="16.5" hidden="1" customHeight="1">
      <c r="A705" s="896"/>
      <c r="B705" s="902" t="s">
        <v>2890</v>
      </c>
      <c r="C705" s="897">
        <v>1</v>
      </c>
      <c r="D705" s="1263" t="s">
        <v>273</v>
      </c>
      <c r="E705" s="919">
        <v>3</v>
      </c>
      <c r="F705" s="920">
        <v>0.38</v>
      </c>
      <c r="G705" s="920">
        <v>0.23</v>
      </c>
      <c r="H705" s="920">
        <v>0.15</v>
      </c>
      <c r="I705" s="1266">
        <f>-ROUND(IF(AND(F705:H705),C705*E705*F705*G705*H705,IF(AND(F705,G705),C705*E705*F705*G705,IF(AND(F705,H705),C705*E705*F705*H705,IF(AND(G705,H705),C705*E705*G705*H705,IF(F705,C705*E705*F705,IF(G705,C705*E705*G705,IF(H705,C705*E705*H705,C705*E705))))))),2)</f>
        <v>-0.04</v>
      </c>
      <c r="J705" s="955" t="s">
        <v>5</v>
      </c>
      <c r="K705" s="902"/>
      <c r="L705" s="923"/>
      <c r="M705" s="902"/>
      <c r="N705" s="900" t="s">
        <v>2309</v>
      </c>
    </row>
    <row r="706" spans="1:14" s="910" customFormat="1" ht="16.5" hidden="1" customHeight="1">
      <c r="A706" s="896"/>
      <c r="B706" s="902" t="s">
        <v>3454</v>
      </c>
      <c r="C706" s="897">
        <v>1</v>
      </c>
      <c r="D706" s="1263" t="s">
        <v>273</v>
      </c>
      <c r="E706" s="919">
        <v>1</v>
      </c>
      <c r="F706" s="920">
        <v>6.41</v>
      </c>
      <c r="G706" s="920">
        <v>0.23</v>
      </c>
      <c r="H706" s="920">
        <v>0.15</v>
      </c>
      <c r="I706" s="1266">
        <f t="shared" si="65"/>
        <v>0.22</v>
      </c>
      <c r="J706" s="955" t="s">
        <v>5</v>
      </c>
      <c r="K706" s="902"/>
      <c r="L706" s="923"/>
      <c r="M706" s="902"/>
      <c r="N706" s="900" t="s">
        <v>2309</v>
      </c>
    </row>
    <row r="707" spans="1:14" s="910" customFormat="1" ht="16.5" hidden="1" customHeight="1">
      <c r="A707" s="896"/>
      <c r="B707" s="902" t="s">
        <v>579</v>
      </c>
      <c r="C707" s="897">
        <v>1</v>
      </c>
      <c r="D707" s="1263" t="s">
        <v>273</v>
      </c>
      <c r="E707" s="919">
        <v>1</v>
      </c>
      <c r="F707" s="920">
        <v>1.05</v>
      </c>
      <c r="G707" s="920">
        <v>0.23</v>
      </c>
      <c r="H707" s="920">
        <v>0.15</v>
      </c>
      <c r="I707" s="1266">
        <f>-ROUND(IF(AND(F707:H707),C707*E707*F707*G707*H707,IF(AND(F707,G707),C707*E707*F707*G707,IF(AND(F707,H707),C707*E707*F707*H707,IF(AND(G707,H707),C707*E707*G707*H707,IF(F707,C707*E707*F707,IF(G707,C707*E707*G707,IF(H707,C707*E707*H707,C707*E707))))))),2)</f>
        <v>-0.04</v>
      </c>
      <c r="J707" s="955" t="s">
        <v>5</v>
      </c>
      <c r="K707" s="902"/>
      <c r="L707" s="923"/>
      <c r="M707" s="902"/>
      <c r="N707" s="900" t="s">
        <v>2309</v>
      </c>
    </row>
    <row r="708" spans="1:14" s="910" customFormat="1" ht="16.5" hidden="1" customHeight="1">
      <c r="A708" s="896"/>
      <c r="B708" s="902" t="s">
        <v>2890</v>
      </c>
      <c r="C708" s="897">
        <v>1</v>
      </c>
      <c r="D708" s="1263" t="s">
        <v>273</v>
      </c>
      <c r="E708" s="919">
        <v>2</v>
      </c>
      <c r="F708" s="920">
        <v>0.38</v>
      </c>
      <c r="G708" s="920">
        <v>0.23</v>
      </c>
      <c r="H708" s="920">
        <v>0.15</v>
      </c>
      <c r="I708" s="1266">
        <f>-ROUND(IF(AND(F708:H708),C708*E708*F708*G708*H708,IF(AND(F708,G708),C708*E708*F708*G708,IF(AND(F708,H708),C708*E708*F708*H708,IF(AND(G708,H708),C708*E708*G708*H708,IF(F708,C708*E708*F708,IF(G708,C708*E708*G708,IF(H708,C708*E708*H708,C708*E708))))))),2)</f>
        <v>-0.03</v>
      </c>
      <c r="J708" s="955" t="s">
        <v>5</v>
      </c>
      <c r="K708" s="902"/>
      <c r="L708" s="923"/>
      <c r="M708" s="902"/>
      <c r="N708" s="900" t="s">
        <v>2309</v>
      </c>
    </row>
    <row r="709" spans="1:14" s="910" customFormat="1" ht="16.5" hidden="1" customHeight="1">
      <c r="A709" s="896"/>
      <c r="B709" s="902" t="s">
        <v>2890</v>
      </c>
      <c r="C709" s="897">
        <v>1</v>
      </c>
      <c r="D709" s="1263" t="s">
        <v>273</v>
      </c>
      <c r="E709" s="919">
        <v>1</v>
      </c>
      <c r="F709" s="920">
        <v>0.23</v>
      </c>
      <c r="G709" s="920">
        <v>0.23</v>
      </c>
      <c r="H709" s="920">
        <v>0.15</v>
      </c>
      <c r="I709" s="1266">
        <f>-ROUND(IF(AND(F709:H709),C709*E709*F709*G709*H709,IF(AND(F709,G709),C709*E709*F709*G709,IF(AND(F709,H709),C709*E709*F709*H709,IF(AND(G709,H709),C709*E709*G709*H709,IF(F709,C709*E709*F709,IF(G709,C709*E709*G709,IF(H709,C709*E709*H709,C709*E709))))))),2)</f>
        <v>-0.01</v>
      </c>
      <c r="J709" s="955" t="s">
        <v>5</v>
      </c>
      <c r="K709" s="902"/>
      <c r="L709" s="923"/>
      <c r="M709" s="902"/>
      <c r="N709" s="900" t="s">
        <v>2309</v>
      </c>
    </row>
    <row r="710" spans="1:14" s="910" customFormat="1" ht="16.5" hidden="1" customHeight="1">
      <c r="A710" s="896"/>
      <c r="B710" s="902" t="s">
        <v>3466</v>
      </c>
      <c r="C710" s="897">
        <v>1</v>
      </c>
      <c r="D710" s="1263" t="s">
        <v>273</v>
      </c>
      <c r="E710" s="919">
        <v>1</v>
      </c>
      <c r="F710" s="920">
        <v>2.72</v>
      </c>
      <c r="G710" s="920">
        <v>0.115</v>
      </c>
      <c r="H710" s="920">
        <v>0.15</v>
      </c>
      <c r="I710" s="1266">
        <f t="shared" si="65"/>
        <v>0.05</v>
      </c>
      <c r="J710" s="955" t="s">
        <v>5</v>
      </c>
      <c r="K710" s="902"/>
      <c r="L710" s="923"/>
      <c r="M710" s="902"/>
      <c r="N710" s="900" t="s">
        <v>2309</v>
      </c>
    </row>
    <row r="711" spans="1:14" s="910" customFormat="1" ht="16.5" hidden="1" customHeight="1">
      <c r="A711" s="896"/>
      <c r="B711" s="902" t="s">
        <v>3451</v>
      </c>
      <c r="C711" s="897">
        <v>1</v>
      </c>
      <c r="D711" s="1263" t="s">
        <v>273</v>
      </c>
      <c r="E711" s="919">
        <v>1</v>
      </c>
      <c r="F711" s="920">
        <v>2.5099999999999998</v>
      </c>
      <c r="G711" s="920">
        <v>0.115</v>
      </c>
      <c r="H711" s="920">
        <v>0.15</v>
      </c>
      <c r="I711" s="1266">
        <f t="shared" si="65"/>
        <v>0.04</v>
      </c>
      <c r="J711" s="955" t="s">
        <v>5</v>
      </c>
      <c r="K711" s="902"/>
      <c r="L711" s="923"/>
      <c r="M711" s="902"/>
      <c r="N711" s="900" t="s">
        <v>2309</v>
      </c>
    </row>
    <row r="712" spans="1:14" s="910" customFormat="1" ht="16.5" hidden="1" customHeight="1">
      <c r="A712" s="896"/>
      <c r="B712" s="902" t="s">
        <v>579</v>
      </c>
      <c r="C712" s="897">
        <v>1</v>
      </c>
      <c r="D712" s="1263" t="s">
        <v>273</v>
      </c>
      <c r="E712" s="919">
        <v>1</v>
      </c>
      <c r="F712" s="920">
        <v>0.9</v>
      </c>
      <c r="G712" s="920">
        <v>0.115</v>
      </c>
      <c r="H712" s="920">
        <v>0.15</v>
      </c>
      <c r="I712" s="1266">
        <f>-ROUND(IF(AND(F712:H712),C712*E712*F712*G712*H712,IF(AND(F712,G712),C712*E712*F712*G712,IF(AND(F712,H712),C712*E712*F712*H712,IF(AND(G712,H712),C712*E712*G712*H712,IF(F712,C712*E712*F712,IF(G712,C712*E712*G712,IF(H712,C712*E712*H712,C712*E712))))))),2)</f>
        <v>-0.02</v>
      </c>
      <c r="J712" s="955" t="s">
        <v>5</v>
      </c>
      <c r="K712" s="902"/>
      <c r="L712" s="923"/>
      <c r="M712" s="902"/>
      <c r="N712" s="900" t="s">
        <v>2309</v>
      </c>
    </row>
    <row r="713" spans="1:14" s="910" customFormat="1" ht="16.5" hidden="1" customHeight="1">
      <c r="A713" s="896"/>
      <c r="B713" s="902" t="s">
        <v>3467</v>
      </c>
      <c r="C713" s="897">
        <v>1</v>
      </c>
      <c r="D713" s="1263" t="s">
        <v>273</v>
      </c>
      <c r="E713" s="919">
        <v>1</v>
      </c>
      <c r="F713" s="920">
        <v>1.3</v>
      </c>
      <c r="G713" s="920">
        <v>0.115</v>
      </c>
      <c r="H713" s="920">
        <v>0.15</v>
      </c>
      <c r="I713" s="1266">
        <f t="shared" si="65"/>
        <v>0.02</v>
      </c>
      <c r="J713" s="955" t="s">
        <v>5</v>
      </c>
      <c r="K713" s="902"/>
      <c r="L713" s="923"/>
      <c r="M713" s="902"/>
      <c r="N713" s="900" t="s">
        <v>2309</v>
      </c>
    </row>
    <row r="714" spans="1:14" s="910" customFormat="1" ht="16.5" hidden="1" customHeight="1">
      <c r="A714" s="896"/>
      <c r="B714" s="902" t="s">
        <v>579</v>
      </c>
      <c r="C714" s="897">
        <v>1</v>
      </c>
      <c r="D714" s="1263" t="s">
        <v>273</v>
      </c>
      <c r="E714" s="919">
        <v>1</v>
      </c>
      <c r="F714" s="920">
        <v>0.75</v>
      </c>
      <c r="G714" s="920">
        <v>0.115</v>
      </c>
      <c r="H714" s="920">
        <v>0.15</v>
      </c>
      <c r="I714" s="1266">
        <f>-ROUND(IF(AND(F714:H714),C714*E714*F714*G714*H714,IF(AND(F714,G714),C714*E714*F714*G714,IF(AND(F714,H714),C714*E714*F714*H714,IF(AND(G714,H714),C714*E714*G714*H714,IF(F714,C714*E714*F714,IF(G714,C714*E714*G714,IF(H714,C714*E714*H714,C714*E714))))))),2)</f>
        <v>-0.01</v>
      </c>
      <c r="J714" s="955" t="s">
        <v>5</v>
      </c>
      <c r="K714" s="902"/>
      <c r="L714" s="923"/>
      <c r="M714" s="902"/>
      <c r="N714" s="900" t="s">
        <v>2309</v>
      </c>
    </row>
    <row r="715" spans="1:14" s="910" customFormat="1" ht="16.5" hidden="1" customHeight="1">
      <c r="A715" s="896"/>
      <c r="B715" s="902" t="s">
        <v>3457</v>
      </c>
      <c r="C715" s="897">
        <v>1</v>
      </c>
      <c r="D715" s="1263" t="s">
        <v>273</v>
      </c>
      <c r="E715" s="919">
        <v>1</v>
      </c>
      <c r="F715" s="920">
        <v>2.95</v>
      </c>
      <c r="G715" s="920">
        <v>0.115</v>
      </c>
      <c r="H715" s="920">
        <v>0.15</v>
      </c>
      <c r="I715" s="1266">
        <f t="shared" si="65"/>
        <v>0.05</v>
      </c>
      <c r="J715" s="955" t="s">
        <v>5</v>
      </c>
      <c r="K715" s="902"/>
      <c r="L715" s="923"/>
      <c r="M715" s="902"/>
      <c r="N715" s="900" t="s">
        <v>2309</v>
      </c>
    </row>
    <row r="716" spans="1:14" s="910" customFormat="1" ht="16.5" hidden="1" customHeight="1">
      <c r="A716" s="896"/>
      <c r="B716" s="902" t="s">
        <v>579</v>
      </c>
      <c r="C716" s="897">
        <v>1</v>
      </c>
      <c r="D716" s="1263" t="s">
        <v>273</v>
      </c>
      <c r="E716" s="919">
        <v>1</v>
      </c>
      <c r="F716" s="920">
        <v>0.9</v>
      </c>
      <c r="G716" s="920">
        <v>0.115</v>
      </c>
      <c r="H716" s="920">
        <v>0.15</v>
      </c>
      <c r="I716" s="1266">
        <f>-ROUND(IF(AND(F716:H716),C716*E716*F716*G716*H716,IF(AND(F716,G716),C716*E716*F716*G716,IF(AND(F716,H716),C716*E716*F716*H716,IF(AND(G716,H716),C716*E716*G716*H716,IF(F716,C716*E716*F716,IF(G716,C716*E716*G716,IF(H716,C716*E716*H716,C716*E716))))))),2)</f>
        <v>-0.02</v>
      </c>
      <c r="J716" s="955" t="s">
        <v>5</v>
      </c>
      <c r="K716" s="902"/>
      <c r="L716" s="923"/>
      <c r="M716" s="902"/>
      <c r="N716" s="900" t="s">
        <v>2309</v>
      </c>
    </row>
    <row r="717" spans="1:14" s="910" customFormat="1" ht="16.5" hidden="1" customHeight="1">
      <c r="A717" s="896"/>
      <c r="B717" s="902" t="s">
        <v>3454</v>
      </c>
      <c r="C717" s="897">
        <v>1</v>
      </c>
      <c r="D717" s="1263" t="s">
        <v>273</v>
      </c>
      <c r="E717" s="919">
        <v>1</v>
      </c>
      <c r="F717" s="920">
        <v>2.72</v>
      </c>
      <c r="G717" s="920">
        <v>0.115</v>
      </c>
      <c r="H717" s="920">
        <v>0.15</v>
      </c>
      <c r="I717" s="1266">
        <f t="shared" si="65"/>
        <v>0.05</v>
      </c>
      <c r="J717" s="955" t="s">
        <v>5</v>
      </c>
      <c r="K717" s="902"/>
      <c r="L717" s="923"/>
      <c r="M717" s="902"/>
      <c r="N717" s="900" t="s">
        <v>2309</v>
      </c>
    </row>
    <row r="718" spans="1:14" s="910" customFormat="1" ht="16.5" hidden="1" customHeight="1">
      <c r="A718" s="896"/>
      <c r="B718" s="902" t="s">
        <v>3451</v>
      </c>
      <c r="C718" s="897">
        <v>1</v>
      </c>
      <c r="D718" s="1263" t="s">
        <v>273</v>
      </c>
      <c r="E718" s="919">
        <v>1</v>
      </c>
      <c r="F718" s="920">
        <v>2</v>
      </c>
      <c r="G718" s="920">
        <v>0.115</v>
      </c>
      <c r="H718" s="920">
        <v>0.15</v>
      </c>
      <c r="I718" s="1266">
        <f t="shared" si="65"/>
        <v>0.03</v>
      </c>
      <c r="J718" s="955" t="s">
        <v>5</v>
      </c>
      <c r="K718" s="902"/>
      <c r="L718" s="923"/>
      <c r="M718" s="902"/>
      <c r="N718" s="900" t="s">
        <v>2309</v>
      </c>
    </row>
    <row r="719" spans="1:14" s="910" customFormat="1" ht="16.5" hidden="1" customHeight="1">
      <c r="A719" s="896"/>
      <c r="B719" s="902" t="s">
        <v>3458</v>
      </c>
      <c r="C719" s="897">
        <v>1</v>
      </c>
      <c r="D719" s="1263" t="s">
        <v>273</v>
      </c>
      <c r="E719" s="919">
        <v>1</v>
      </c>
      <c r="F719" s="920">
        <v>2.57</v>
      </c>
      <c r="G719" s="920">
        <v>0.115</v>
      </c>
      <c r="H719" s="920">
        <v>0.15</v>
      </c>
      <c r="I719" s="1266">
        <f t="shared" si="65"/>
        <v>0.04</v>
      </c>
      <c r="J719" s="955" t="s">
        <v>5</v>
      </c>
      <c r="K719" s="902"/>
      <c r="L719" s="923"/>
      <c r="M719" s="902"/>
      <c r="N719" s="900" t="s">
        <v>2309</v>
      </c>
    </row>
    <row r="720" spans="1:14" s="910" customFormat="1" ht="16.5" hidden="1" customHeight="1">
      <c r="A720" s="896"/>
      <c r="B720" s="902" t="s">
        <v>3451</v>
      </c>
      <c r="C720" s="897">
        <v>1</v>
      </c>
      <c r="D720" s="1263" t="s">
        <v>273</v>
      </c>
      <c r="E720" s="919">
        <v>1</v>
      </c>
      <c r="F720" s="920">
        <v>2.75</v>
      </c>
      <c r="G720" s="920">
        <v>0.115</v>
      </c>
      <c r="H720" s="920">
        <v>0.15</v>
      </c>
      <c r="I720" s="1266">
        <f t="shared" si="65"/>
        <v>0.05</v>
      </c>
      <c r="J720" s="955" t="s">
        <v>5</v>
      </c>
      <c r="K720" s="902"/>
      <c r="L720" s="923"/>
      <c r="M720" s="902"/>
      <c r="N720" s="900" t="s">
        <v>2309</v>
      </c>
    </row>
    <row r="721" spans="1:14" s="910" customFormat="1" ht="16.5" hidden="1" customHeight="1">
      <c r="A721" s="896"/>
      <c r="B721" s="902" t="s">
        <v>579</v>
      </c>
      <c r="C721" s="897">
        <v>1</v>
      </c>
      <c r="D721" s="1263" t="s">
        <v>273</v>
      </c>
      <c r="E721" s="919">
        <v>1</v>
      </c>
      <c r="F721" s="920">
        <v>0.9</v>
      </c>
      <c r="G721" s="920">
        <v>0.115</v>
      </c>
      <c r="H721" s="920">
        <v>0.15</v>
      </c>
      <c r="I721" s="1266">
        <f>-ROUND(IF(AND(F721:H721),C721*E721*F721*G721*H721,IF(AND(F721,G721),C721*E721*F721*G721,IF(AND(F721,H721),C721*E721*F721*H721,IF(AND(G721,H721),C721*E721*G721*H721,IF(F721,C721*E721*F721,IF(G721,C721*E721*G721,IF(H721,C721*E721*H721,C721*E721))))))),2)</f>
        <v>-0.02</v>
      </c>
      <c r="J721" s="955" t="s">
        <v>5</v>
      </c>
      <c r="K721" s="902"/>
      <c r="L721" s="923"/>
      <c r="M721" s="902"/>
      <c r="N721" s="900" t="s">
        <v>2309</v>
      </c>
    </row>
    <row r="722" spans="1:14" s="910" customFormat="1" ht="16.5" hidden="1" customHeight="1">
      <c r="A722" s="896"/>
      <c r="B722" s="902" t="s">
        <v>3459</v>
      </c>
      <c r="C722" s="897">
        <v>1</v>
      </c>
      <c r="D722" s="1263" t="s">
        <v>273</v>
      </c>
      <c r="E722" s="919">
        <v>1</v>
      </c>
      <c r="F722" s="920">
        <v>1.3</v>
      </c>
      <c r="G722" s="920">
        <v>0.115</v>
      </c>
      <c r="H722" s="920">
        <v>0.15</v>
      </c>
      <c r="I722" s="1266">
        <f t="shared" si="65"/>
        <v>0.02</v>
      </c>
      <c r="J722" s="955" t="s">
        <v>5</v>
      </c>
      <c r="K722" s="902"/>
      <c r="L722" s="923"/>
      <c r="M722" s="902"/>
      <c r="N722" s="900" t="s">
        <v>2309</v>
      </c>
    </row>
    <row r="723" spans="1:14" s="910" customFormat="1" ht="16.5" hidden="1" customHeight="1">
      <c r="A723" s="896"/>
      <c r="B723" s="902" t="s">
        <v>579</v>
      </c>
      <c r="C723" s="897">
        <v>1</v>
      </c>
      <c r="D723" s="1263" t="s">
        <v>273</v>
      </c>
      <c r="E723" s="919">
        <v>1</v>
      </c>
      <c r="F723" s="920">
        <v>0.75</v>
      </c>
      <c r="G723" s="920">
        <v>0.115</v>
      </c>
      <c r="H723" s="920">
        <v>0.15</v>
      </c>
      <c r="I723" s="1266">
        <f>-ROUND(IF(AND(F723:H723),C723*E723*F723*G723*H723,IF(AND(F723,G723),C723*E723*F723*G723,IF(AND(F723,H723),C723*E723*F723*H723,IF(AND(G723,H723),C723*E723*G723*H723,IF(F723,C723*E723*F723,IF(G723,C723*E723*G723,IF(H723,C723*E723*H723,C723*E723))))))),2)</f>
        <v>-0.01</v>
      </c>
      <c r="J723" s="955" t="s">
        <v>5</v>
      </c>
      <c r="K723" s="902"/>
      <c r="L723" s="923"/>
      <c r="M723" s="902"/>
      <c r="N723" s="900" t="s">
        <v>2309</v>
      </c>
    </row>
    <row r="724" spans="1:14" s="910" customFormat="1" ht="16.5" hidden="1" customHeight="1">
      <c r="A724" s="896"/>
      <c r="B724" s="902" t="s">
        <v>3460</v>
      </c>
      <c r="C724" s="897">
        <v>1</v>
      </c>
      <c r="D724" s="1263" t="s">
        <v>273</v>
      </c>
      <c r="E724" s="919">
        <v>1</v>
      </c>
      <c r="F724" s="920">
        <v>2.95</v>
      </c>
      <c r="G724" s="920">
        <v>0.115</v>
      </c>
      <c r="H724" s="920">
        <v>0.15</v>
      </c>
      <c r="I724" s="1266">
        <f t="shared" si="65"/>
        <v>0.05</v>
      </c>
      <c r="J724" s="955" t="s">
        <v>5</v>
      </c>
      <c r="K724" s="902"/>
      <c r="L724" s="923"/>
      <c r="M724" s="902"/>
      <c r="N724" s="900" t="s">
        <v>2309</v>
      </c>
    </row>
    <row r="725" spans="1:14" s="910" customFormat="1" ht="16.5" hidden="1" customHeight="1">
      <c r="A725" s="896"/>
      <c r="B725" s="902" t="s">
        <v>3451</v>
      </c>
      <c r="C725" s="897">
        <v>1</v>
      </c>
      <c r="D725" s="1263" t="s">
        <v>273</v>
      </c>
      <c r="E725" s="919">
        <v>1</v>
      </c>
      <c r="F725" s="920">
        <v>1.8</v>
      </c>
      <c r="G725" s="920">
        <v>0.115</v>
      </c>
      <c r="H725" s="920">
        <v>0.15</v>
      </c>
      <c r="I725" s="1266">
        <f t="shared" si="65"/>
        <v>0.03</v>
      </c>
      <c r="J725" s="955" t="s">
        <v>5</v>
      </c>
      <c r="K725" s="902"/>
      <c r="L725" s="923"/>
      <c r="M725" s="902"/>
      <c r="N725" s="900" t="s">
        <v>2309</v>
      </c>
    </row>
    <row r="726" spans="1:14" s="910" customFormat="1" ht="16.5" hidden="1" customHeight="1">
      <c r="A726" s="896"/>
      <c r="B726" s="902" t="s">
        <v>579</v>
      </c>
      <c r="C726" s="897">
        <v>1</v>
      </c>
      <c r="D726" s="1263" t="s">
        <v>273</v>
      </c>
      <c r="E726" s="919">
        <v>1</v>
      </c>
      <c r="F726" s="920">
        <v>0.8</v>
      </c>
      <c r="G726" s="920">
        <v>0.115</v>
      </c>
      <c r="H726" s="920">
        <v>0.15</v>
      </c>
      <c r="I726" s="1266">
        <f>-ROUND(IF(AND(F726:H726),C726*E726*F726*G726*H726,IF(AND(F726,G726),C726*E726*F726*G726,IF(AND(F726,H726),C726*E726*F726*H726,IF(AND(G726,H726),C726*E726*G726*H726,IF(F726,C726*E726*F726,IF(G726,C726*E726*G726,IF(H726,C726*E726*H726,C726*E726))))))),2)</f>
        <v>-0.01</v>
      </c>
      <c r="J726" s="955" t="s">
        <v>5</v>
      </c>
      <c r="K726" s="902"/>
      <c r="L726" s="923"/>
      <c r="M726" s="902"/>
      <c r="N726" s="900" t="s">
        <v>2309</v>
      </c>
    </row>
    <row r="727" spans="1:14" s="910" customFormat="1" ht="16.5" hidden="1" customHeight="1">
      <c r="A727" s="896"/>
      <c r="B727" s="902" t="s">
        <v>3461</v>
      </c>
      <c r="C727" s="897">
        <v>1</v>
      </c>
      <c r="D727" s="1263" t="s">
        <v>273</v>
      </c>
      <c r="E727" s="919">
        <v>1</v>
      </c>
      <c r="F727" s="920">
        <v>3</v>
      </c>
      <c r="G727" s="920">
        <v>0.115</v>
      </c>
      <c r="H727" s="920">
        <v>0.15</v>
      </c>
      <c r="I727" s="1266">
        <f t="shared" si="65"/>
        <v>0.05</v>
      </c>
      <c r="J727" s="955" t="s">
        <v>5</v>
      </c>
      <c r="K727" s="902"/>
      <c r="L727" s="923"/>
      <c r="M727" s="902"/>
      <c r="N727" s="900" t="s">
        <v>2309</v>
      </c>
    </row>
    <row r="728" spans="1:14" s="910" customFormat="1" ht="16.5" hidden="1" customHeight="1">
      <c r="A728" s="896"/>
      <c r="B728" s="902" t="s">
        <v>3521</v>
      </c>
      <c r="C728" s="897"/>
      <c r="D728" s="1263" t="s">
        <v>3469</v>
      </c>
      <c r="E728" s="919"/>
      <c r="F728" s="920"/>
      <c r="G728" s="920"/>
      <c r="H728" s="920"/>
      <c r="I728" s="1264"/>
      <c r="J728" s="955"/>
      <c r="K728" s="902"/>
      <c r="L728" s="923"/>
      <c r="M728" s="902"/>
      <c r="N728" s="900" t="s">
        <v>2309</v>
      </c>
    </row>
    <row r="729" spans="1:14" s="910" customFormat="1" ht="16.5" hidden="1" customHeight="1">
      <c r="A729" s="896"/>
      <c r="B729" s="902" t="s">
        <v>3451</v>
      </c>
      <c r="C729" s="897">
        <v>1</v>
      </c>
      <c r="D729" s="1263" t="s">
        <v>273</v>
      </c>
      <c r="E729" s="919">
        <v>1</v>
      </c>
      <c r="F729" s="920">
        <v>13.55</v>
      </c>
      <c r="G729" s="920">
        <v>0.23</v>
      </c>
      <c r="H729" s="920">
        <v>0.15</v>
      </c>
      <c r="I729" s="1266">
        <f>ROUND(IF(AND(F729:H729),C729*E729*F729*G729*H729,IF(AND(F729,G729),C729*E729*F729*G729,IF(AND(F729,H729),C729*E729*F729*H729,IF(AND(G729,H729),C729*E729*G729*H729,IF(F729,C729*E729*F729,IF(G729,C729*E729*G729,IF(H729,C729*E729*H729,C729*E729))))))),2)</f>
        <v>0.47</v>
      </c>
      <c r="J729" s="955" t="s">
        <v>5</v>
      </c>
      <c r="K729" s="902"/>
      <c r="L729" s="923"/>
      <c r="M729" s="902"/>
      <c r="N729" s="900" t="s">
        <v>2309</v>
      </c>
    </row>
    <row r="730" spans="1:14" s="910" customFormat="1" ht="16.5" hidden="1" customHeight="1">
      <c r="A730" s="896"/>
      <c r="B730" s="902" t="s">
        <v>579</v>
      </c>
      <c r="C730" s="897">
        <v>1</v>
      </c>
      <c r="D730" s="1263" t="s">
        <v>273</v>
      </c>
      <c r="E730" s="919">
        <v>1</v>
      </c>
      <c r="F730" s="920">
        <v>1.05</v>
      </c>
      <c r="G730" s="920">
        <v>0.23</v>
      </c>
      <c r="H730" s="920">
        <v>0.15</v>
      </c>
      <c r="I730" s="1266">
        <f>-ROUND(IF(AND(F730:H730),C730*E730*F730*G730*H730,IF(AND(F730,G730),C730*E730*F730*G730,IF(AND(F730,H730),C730*E730*F730*H730,IF(AND(G730,H730),C730*E730*G730*H730,IF(F730,C730*E730*F730,IF(G730,C730*E730*G730,IF(H730,C730*E730*H730,C730*E730))))))),2)</f>
        <v>-0.04</v>
      </c>
      <c r="J730" s="955" t="s">
        <v>5</v>
      </c>
      <c r="K730" s="902"/>
      <c r="L730" s="923"/>
      <c r="M730" s="902"/>
      <c r="N730" s="900" t="s">
        <v>2309</v>
      </c>
    </row>
    <row r="731" spans="1:14" s="910" customFormat="1" ht="16.5" hidden="1" customHeight="1">
      <c r="A731" s="896"/>
      <c r="B731" s="902" t="s">
        <v>281</v>
      </c>
      <c r="C731" s="897">
        <v>1</v>
      </c>
      <c r="D731" s="1263" t="s">
        <v>273</v>
      </c>
      <c r="E731" s="919">
        <v>4</v>
      </c>
      <c r="F731" s="920">
        <v>0.38</v>
      </c>
      <c r="G731" s="920">
        <v>0.23</v>
      </c>
      <c r="H731" s="920">
        <v>0.15</v>
      </c>
      <c r="I731" s="1266">
        <f>-ROUND(IF(AND(F731:H731),C731*E731*F731*G731*H731,IF(AND(F731,G731),C731*E731*F731*G731,IF(AND(F731,H731),C731*E731*F731*H731,IF(AND(G731,H731),C731*E731*G731*H731,IF(F731,C731*E731*F731,IF(G731,C731*E731*G731,IF(H731,C731*E731*H731,C731*E731))))))),2)</f>
        <v>-0.05</v>
      </c>
      <c r="J731" s="955" t="s">
        <v>5</v>
      </c>
      <c r="K731" s="902"/>
      <c r="L731" s="923"/>
      <c r="M731" s="902"/>
      <c r="N731" s="900" t="s">
        <v>2309</v>
      </c>
    </row>
    <row r="732" spans="1:14" s="910" customFormat="1" ht="16.5" hidden="1" customHeight="1">
      <c r="A732" s="896"/>
      <c r="B732" s="902" t="s">
        <v>281</v>
      </c>
      <c r="C732" s="897">
        <v>1</v>
      </c>
      <c r="D732" s="1263" t="s">
        <v>273</v>
      </c>
      <c r="E732" s="919">
        <v>1</v>
      </c>
      <c r="F732" s="920">
        <v>0.23</v>
      </c>
      <c r="G732" s="920">
        <v>0.23</v>
      </c>
      <c r="H732" s="920">
        <v>0.15</v>
      </c>
      <c r="I732" s="1266">
        <f>-ROUND(IF(AND(F732:H732),C732*E732*F732*G732*H732,IF(AND(F732,G732),C732*E732*F732*G732,IF(AND(F732,H732),C732*E732*F732*H732,IF(AND(G732,H732),C732*E732*G732*H732,IF(F732,C732*E732*F732,IF(G732,C732*E732*G732,IF(H732,C732*E732*H732,C732*E732))))))),2)</f>
        <v>-0.01</v>
      </c>
      <c r="J732" s="955" t="s">
        <v>5</v>
      </c>
      <c r="K732" s="902"/>
      <c r="L732" s="923"/>
      <c r="M732" s="902"/>
      <c r="N732" s="900" t="s">
        <v>2309</v>
      </c>
    </row>
    <row r="733" spans="1:14" s="910" customFormat="1" ht="16.5" hidden="1" customHeight="1">
      <c r="A733" s="896"/>
      <c r="B733" s="902" t="s">
        <v>3465</v>
      </c>
      <c r="C733" s="897">
        <v>1</v>
      </c>
      <c r="D733" s="1263" t="s">
        <v>273</v>
      </c>
      <c r="E733" s="919">
        <v>1</v>
      </c>
      <c r="F733" s="920">
        <v>13.55</v>
      </c>
      <c r="G733" s="920">
        <v>0.23</v>
      </c>
      <c r="H733" s="920">
        <v>0.15</v>
      </c>
      <c r="I733" s="1266">
        <f t="shared" ref="I733" si="66">ROUND(IF(AND(F733:H733),C733*E733*F733*G733*H733,IF(AND(F733,G733),C733*E733*F733*G733,IF(AND(F733,H733),C733*E733*F733*H733,IF(AND(G733,H733),C733*E733*G733*H733,IF(F733,C733*E733*F733,IF(G733,C733*E733*G733,IF(H733,C733*E733*H733,C733*E733))))))),2)</f>
        <v>0.47</v>
      </c>
      <c r="J733" s="955" t="s">
        <v>5</v>
      </c>
      <c r="K733" s="902"/>
      <c r="L733" s="923"/>
      <c r="M733" s="902"/>
      <c r="N733" s="900" t="s">
        <v>2309</v>
      </c>
    </row>
    <row r="734" spans="1:14" s="910" customFormat="1" ht="16.5" hidden="1" customHeight="1">
      <c r="A734" s="896"/>
      <c r="B734" s="902" t="s">
        <v>579</v>
      </c>
      <c r="C734" s="897">
        <v>1</v>
      </c>
      <c r="D734" s="1263" t="s">
        <v>273</v>
      </c>
      <c r="E734" s="919">
        <v>1</v>
      </c>
      <c r="F734" s="920">
        <v>0.8</v>
      </c>
      <c r="G734" s="920">
        <v>0.23</v>
      </c>
      <c r="H734" s="920">
        <v>0.15</v>
      </c>
      <c r="I734" s="1266">
        <f>-ROUND(IF(AND(F734:H734),C734*E734*F734*G734*H734,IF(AND(F734,G734),C734*E734*F734*G734,IF(AND(F734,H734),C734*E734*F734*H734,IF(AND(G734,H734),C734*E734*G734*H734,IF(F734,C734*E734*F734,IF(G734,C734*E734*G734,IF(H734,C734*E734*H734,C734*E734))))))),2)</f>
        <v>-0.03</v>
      </c>
      <c r="J734" s="955" t="s">
        <v>5</v>
      </c>
      <c r="K734" s="902"/>
      <c r="L734" s="923"/>
      <c r="M734" s="902"/>
      <c r="N734" s="900" t="s">
        <v>2309</v>
      </c>
    </row>
    <row r="735" spans="1:14" s="910" customFormat="1" ht="16.5" hidden="1" customHeight="1">
      <c r="A735" s="896"/>
      <c r="B735" s="902" t="s">
        <v>281</v>
      </c>
      <c r="C735" s="897">
        <v>1</v>
      </c>
      <c r="D735" s="1263" t="s">
        <v>273</v>
      </c>
      <c r="E735" s="919">
        <v>3</v>
      </c>
      <c r="F735" s="920">
        <v>0.38</v>
      </c>
      <c r="G735" s="920">
        <v>0.23</v>
      </c>
      <c r="H735" s="920">
        <v>0.15</v>
      </c>
      <c r="I735" s="1266">
        <f>-ROUND(IF(AND(F735:H735),C735*E735*F735*G735*H735,IF(AND(F735,G735),C735*E735*F735*G735,IF(AND(F735,H735),C735*E735*F735*H735,IF(AND(G735,H735),C735*E735*G735*H735,IF(F735,C735*E735*F735,IF(G735,C735*E735*G735,IF(H735,C735*E735*H735,C735*E735))))))),2)</f>
        <v>-0.04</v>
      </c>
      <c r="J735" s="955" t="s">
        <v>5</v>
      </c>
      <c r="K735" s="902"/>
      <c r="L735" s="923"/>
      <c r="M735" s="902"/>
      <c r="N735" s="900" t="s">
        <v>2309</v>
      </c>
    </row>
    <row r="736" spans="1:14" s="910" customFormat="1" ht="16.5" hidden="1" customHeight="1">
      <c r="A736" s="896"/>
      <c r="B736" s="902" t="s">
        <v>281</v>
      </c>
      <c r="C736" s="897">
        <v>1</v>
      </c>
      <c r="D736" s="1263" t="s">
        <v>273</v>
      </c>
      <c r="E736" s="919">
        <v>2</v>
      </c>
      <c r="F736" s="920">
        <v>0.23</v>
      </c>
      <c r="G736" s="920">
        <v>0.23</v>
      </c>
      <c r="H736" s="920">
        <v>0.15</v>
      </c>
      <c r="I736" s="1266">
        <f>-ROUND(IF(AND(F736:H736),C736*E736*F736*G736*H736,IF(AND(F736,G736),C736*E736*F736*G736,IF(AND(F736,H736),C736*E736*F736*H736,IF(AND(G736,H736),C736*E736*G736*H736,IF(F736,C736*E736*F736,IF(G736,C736*E736*G736,IF(H736,C736*E736*H736,C736*E736))))))),2)</f>
        <v>-0.02</v>
      </c>
      <c r="J736" s="955" t="s">
        <v>5</v>
      </c>
      <c r="K736" s="902"/>
      <c r="L736" s="923"/>
      <c r="M736" s="902"/>
      <c r="N736" s="900" t="s">
        <v>2309</v>
      </c>
    </row>
    <row r="737" spans="1:14" s="910" customFormat="1" ht="16.5" hidden="1" customHeight="1">
      <c r="A737" s="896"/>
      <c r="B737" s="902" t="s">
        <v>3453</v>
      </c>
      <c r="C737" s="897">
        <v>1</v>
      </c>
      <c r="D737" s="1263" t="s">
        <v>273</v>
      </c>
      <c r="E737" s="919">
        <v>1</v>
      </c>
      <c r="F737" s="920">
        <v>6.41</v>
      </c>
      <c r="G737" s="920">
        <v>0.23</v>
      </c>
      <c r="H737" s="920">
        <v>0.15</v>
      </c>
      <c r="I737" s="1266">
        <f t="shared" ref="I737" si="67">ROUND(IF(AND(F737:H737),C737*E737*F737*G737*H737,IF(AND(F737,G737),C737*E737*F737*G737,IF(AND(F737,H737),C737*E737*F737*H737,IF(AND(G737,H737),C737*E737*G737*H737,IF(F737,C737*E737*F737,IF(G737,C737*E737*G737,IF(H737,C737*E737*H737,C737*E737))))))),2)</f>
        <v>0.22</v>
      </c>
      <c r="J737" s="955" t="s">
        <v>5</v>
      </c>
      <c r="K737" s="902"/>
      <c r="L737" s="923"/>
      <c r="M737" s="902"/>
      <c r="N737" s="900" t="s">
        <v>2309</v>
      </c>
    </row>
    <row r="738" spans="1:14" s="910" customFormat="1" ht="16.5" hidden="1" customHeight="1">
      <c r="A738" s="896"/>
      <c r="B738" s="902" t="s">
        <v>2890</v>
      </c>
      <c r="C738" s="897">
        <v>1</v>
      </c>
      <c r="D738" s="1263" t="s">
        <v>273</v>
      </c>
      <c r="E738" s="919">
        <v>3</v>
      </c>
      <c r="F738" s="920">
        <v>0.38</v>
      </c>
      <c r="G738" s="920">
        <v>0.23</v>
      </c>
      <c r="H738" s="920">
        <v>0.15</v>
      </c>
      <c r="I738" s="1266">
        <f>-ROUND(IF(AND(F738:H738),C738*E738*F738*G738*H738,IF(AND(F738,G738),C738*E738*F738*G738,IF(AND(F738,H738),C738*E738*F738*H738,IF(AND(G738,H738),C738*E738*G738*H738,IF(F738,C738*E738*F738,IF(G738,C738*E738*G738,IF(H738,C738*E738*H738,C738*E738))))))),2)</f>
        <v>-0.04</v>
      </c>
      <c r="J738" s="955" t="s">
        <v>5</v>
      </c>
      <c r="K738" s="902"/>
      <c r="L738" s="923"/>
      <c r="M738" s="902"/>
      <c r="N738" s="900" t="s">
        <v>2309</v>
      </c>
    </row>
    <row r="739" spans="1:14" s="910" customFormat="1" ht="16.5" hidden="1" customHeight="1">
      <c r="A739" s="896"/>
      <c r="B739" s="902" t="s">
        <v>3454</v>
      </c>
      <c r="C739" s="897">
        <v>1</v>
      </c>
      <c r="D739" s="1263" t="s">
        <v>273</v>
      </c>
      <c r="E739" s="919">
        <v>1</v>
      </c>
      <c r="F739" s="920">
        <v>6.41</v>
      </c>
      <c r="G739" s="920">
        <v>0.23</v>
      </c>
      <c r="H739" s="920">
        <v>0.15</v>
      </c>
      <c r="I739" s="1266">
        <f t="shared" ref="I739" si="68">ROUND(IF(AND(F739:H739),C739*E739*F739*G739*H739,IF(AND(F739,G739),C739*E739*F739*G739,IF(AND(F739,H739),C739*E739*F739*H739,IF(AND(G739,H739),C739*E739*G739*H739,IF(F739,C739*E739*F739,IF(G739,C739*E739*G739,IF(H739,C739*E739*H739,C739*E739))))))),2)</f>
        <v>0.22</v>
      </c>
      <c r="J739" s="955" t="s">
        <v>5</v>
      </c>
      <c r="K739" s="902"/>
      <c r="L739" s="923"/>
      <c r="M739" s="902"/>
      <c r="N739" s="900" t="s">
        <v>2309</v>
      </c>
    </row>
    <row r="740" spans="1:14" s="910" customFormat="1" ht="16.5" hidden="1" customHeight="1">
      <c r="A740" s="896"/>
      <c r="B740" s="902" t="s">
        <v>579</v>
      </c>
      <c r="C740" s="897">
        <v>1</v>
      </c>
      <c r="D740" s="1263" t="s">
        <v>273</v>
      </c>
      <c r="E740" s="919">
        <v>1</v>
      </c>
      <c r="F740" s="920">
        <v>1.05</v>
      </c>
      <c r="G740" s="920">
        <v>0.23</v>
      </c>
      <c r="H740" s="920">
        <v>0.15</v>
      </c>
      <c r="I740" s="1266">
        <f>-ROUND(IF(AND(F740:H740),C740*E740*F740*G740*H740,IF(AND(F740,G740),C740*E740*F740*G740,IF(AND(F740,H740),C740*E740*F740*H740,IF(AND(G740,H740),C740*E740*G740*H740,IF(F740,C740*E740*F740,IF(G740,C740*E740*G740,IF(H740,C740*E740*H740,C740*E740))))))),2)</f>
        <v>-0.04</v>
      </c>
      <c r="J740" s="955" t="s">
        <v>5</v>
      </c>
      <c r="K740" s="902"/>
      <c r="L740" s="923"/>
      <c r="M740" s="902"/>
      <c r="N740" s="900" t="s">
        <v>2309</v>
      </c>
    </row>
    <row r="741" spans="1:14" s="910" customFormat="1" ht="16.5" hidden="1" customHeight="1">
      <c r="A741" s="896"/>
      <c r="B741" s="902" t="s">
        <v>2890</v>
      </c>
      <c r="C741" s="897">
        <v>1</v>
      </c>
      <c r="D741" s="1263" t="s">
        <v>273</v>
      </c>
      <c r="E741" s="919">
        <v>2</v>
      </c>
      <c r="F741" s="920">
        <v>0.38</v>
      </c>
      <c r="G741" s="920">
        <v>0.23</v>
      </c>
      <c r="H741" s="920">
        <v>0.15</v>
      </c>
      <c r="I741" s="1266">
        <f>-ROUND(IF(AND(F741:H741),C741*E741*F741*G741*H741,IF(AND(F741,G741),C741*E741*F741*G741,IF(AND(F741,H741),C741*E741*F741*H741,IF(AND(G741,H741),C741*E741*G741*H741,IF(F741,C741*E741*F741,IF(G741,C741*E741*G741,IF(H741,C741*E741*H741,C741*E741))))))),2)</f>
        <v>-0.03</v>
      </c>
      <c r="J741" s="955" t="s">
        <v>5</v>
      </c>
      <c r="K741" s="902"/>
      <c r="L741" s="923"/>
      <c r="M741" s="902"/>
      <c r="N741" s="900" t="s">
        <v>2309</v>
      </c>
    </row>
    <row r="742" spans="1:14" s="910" customFormat="1" ht="16.5" hidden="1" customHeight="1">
      <c r="A742" s="896"/>
      <c r="B742" s="902" t="s">
        <v>2890</v>
      </c>
      <c r="C742" s="897">
        <v>1</v>
      </c>
      <c r="D742" s="1263" t="s">
        <v>273</v>
      </c>
      <c r="E742" s="919">
        <v>1</v>
      </c>
      <c r="F742" s="920">
        <v>0.23</v>
      </c>
      <c r="G742" s="920">
        <v>0.23</v>
      </c>
      <c r="H742" s="920">
        <v>0.15</v>
      </c>
      <c r="I742" s="1266">
        <f>-ROUND(IF(AND(F742:H742),C742*E742*F742*G742*H742,IF(AND(F742,G742),C742*E742*F742*G742,IF(AND(F742,H742),C742*E742*F742*H742,IF(AND(G742,H742),C742*E742*G742*H742,IF(F742,C742*E742*F742,IF(G742,C742*E742*G742,IF(H742,C742*E742*H742,C742*E742))))))),2)</f>
        <v>-0.01</v>
      </c>
      <c r="J742" s="955" t="s">
        <v>5</v>
      </c>
      <c r="K742" s="902"/>
      <c r="L742" s="923"/>
      <c r="M742" s="902"/>
      <c r="N742" s="900" t="s">
        <v>2309</v>
      </c>
    </row>
    <row r="743" spans="1:14" s="910" customFormat="1" ht="16.5" hidden="1" customHeight="1">
      <c r="A743" s="896"/>
      <c r="B743" s="902" t="s">
        <v>3466</v>
      </c>
      <c r="C743" s="897">
        <v>1</v>
      </c>
      <c r="D743" s="1263" t="s">
        <v>273</v>
      </c>
      <c r="E743" s="919">
        <v>1</v>
      </c>
      <c r="F743" s="920">
        <v>2.72</v>
      </c>
      <c r="G743" s="920">
        <v>0.115</v>
      </c>
      <c r="H743" s="920">
        <v>0.15</v>
      </c>
      <c r="I743" s="1266">
        <f t="shared" ref="I743:I744" si="69">ROUND(IF(AND(F743:H743),C743*E743*F743*G743*H743,IF(AND(F743,G743),C743*E743*F743*G743,IF(AND(F743,H743),C743*E743*F743*H743,IF(AND(G743,H743),C743*E743*G743*H743,IF(F743,C743*E743*F743,IF(G743,C743*E743*G743,IF(H743,C743*E743*H743,C743*E743))))))),2)</f>
        <v>0.05</v>
      </c>
      <c r="J743" s="955" t="s">
        <v>5</v>
      </c>
      <c r="K743" s="902"/>
      <c r="L743" s="923"/>
      <c r="M743" s="902"/>
      <c r="N743" s="900" t="s">
        <v>2309</v>
      </c>
    </row>
    <row r="744" spans="1:14" s="910" customFormat="1" ht="16.5" hidden="1" customHeight="1">
      <c r="A744" s="896"/>
      <c r="B744" s="902" t="s">
        <v>3451</v>
      </c>
      <c r="C744" s="897">
        <v>1</v>
      </c>
      <c r="D744" s="1263" t="s">
        <v>273</v>
      </c>
      <c r="E744" s="919">
        <v>1</v>
      </c>
      <c r="F744" s="920">
        <v>2.5099999999999998</v>
      </c>
      <c r="G744" s="920">
        <v>0.115</v>
      </c>
      <c r="H744" s="920">
        <v>0.15</v>
      </c>
      <c r="I744" s="1266">
        <f t="shared" si="69"/>
        <v>0.04</v>
      </c>
      <c r="J744" s="955" t="s">
        <v>5</v>
      </c>
      <c r="K744" s="902"/>
      <c r="L744" s="923"/>
      <c r="M744" s="902"/>
      <c r="N744" s="900" t="s">
        <v>2309</v>
      </c>
    </row>
    <row r="745" spans="1:14" s="910" customFormat="1" ht="16.5" hidden="1" customHeight="1">
      <c r="A745" s="896"/>
      <c r="B745" s="902" t="s">
        <v>579</v>
      </c>
      <c r="C745" s="897">
        <v>1</v>
      </c>
      <c r="D745" s="1263" t="s">
        <v>273</v>
      </c>
      <c r="E745" s="919">
        <v>1</v>
      </c>
      <c r="F745" s="920">
        <v>0.9</v>
      </c>
      <c r="G745" s="920">
        <v>0.115</v>
      </c>
      <c r="H745" s="920">
        <v>0.15</v>
      </c>
      <c r="I745" s="1266">
        <f>-ROUND(IF(AND(F745:H745),C745*E745*F745*G745*H745,IF(AND(F745,G745),C745*E745*F745*G745,IF(AND(F745,H745),C745*E745*F745*H745,IF(AND(G745,H745),C745*E745*G745*H745,IF(F745,C745*E745*F745,IF(G745,C745*E745*G745,IF(H745,C745*E745*H745,C745*E745))))))),2)</f>
        <v>-0.02</v>
      </c>
      <c r="J745" s="955" t="s">
        <v>5</v>
      </c>
      <c r="K745" s="902"/>
      <c r="L745" s="923"/>
      <c r="M745" s="902"/>
      <c r="N745" s="900" t="s">
        <v>2309</v>
      </c>
    </row>
    <row r="746" spans="1:14" s="910" customFormat="1" ht="16.5" hidden="1" customHeight="1">
      <c r="A746" s="896"/>
      <c r="B746" s="902" t="s">
        <v>3467</v>
      </c>
      <c r="C746" s="897">
        <v>1</v>
      </c>
      <c r="D746" s="1263" t="s">
        <v>273</v>
      </c>
      <c r="E746" s="919">
        <v>1</v>
      </c>
      <c r="F746" s="920">
        <v>1.3</v>
      </c>
      <c r="G746" s="920">
        <v>0.115</v>
      </c>
      <c r="H746" s="920">
        <v>0.15</v>
      </c>
      <c r="I746" s="1266">
        <f t="shared" ref="I746" si="70">ROUND(IF(AND(F746:H746),C746*E746*F746*G746*H746,IF(AND(F746,G746),C746*E746*F746*G746,IF(AND(F746,H746),C746*E746*F746*H746,IF(AND(G746,H746),C746*E746*G746*H746,IF(F746,C746*E746*F746,IF(G746,C746*E746*G746,IF(H746,C746*E746*H746,C746*E746))))))),2)</f>
        <v>0.02</v>
      </c>
      <c r="J746" s="955" t="s">
        <v>5</v>
      </c>
      <c r="K746" s="902"/>
      <c r="L746" s="923"/>
      <c r="M746" s="902"/>
      <c r="N746" s="900" t="s">
        <v>2309</v>
      </c>
    </row>
    <row r="747" spans="1:14" s="910" customFormat="1" ht="16.5" hidden="1" customHeight="1">
      <c r="A747" s="896"/>
      <c r="B747" s="902" t="s">
        <v>579</v>
      </c>
      <c r="C747" s="897">
        <v>1</v>
      </c>
      <c r="D747" s="1263" t="s">
        <v>273</v>
      </c>
      <c r="E747" s="919">
        <v>1</v>
      </c>
      <c r="F747" s="920">
        <v>0.75</v>
      </c>
      <c r="G747" s="920">
        <v>0.115</v>
      </c>
      <c r="H747" s="920">
        <v>0.15</v>
      </c>
      <c r="I747" s="1266">
        <f>-ROUND(IF(AND(F747:H747),C747*E747*F747*G747*H747,IF(AND(F747,G747),C747*E747*F747*G747,IF(AND(F747,H747),C747*E747*F747*H747,IF(AND(G747,H747),C747*E747*G747*H747,IF(F747,C747*E747*F747,IF(G747,C747*E747*G747,IF(H747,C747*E747*H747,C747*E747))))))),2)</f>
        <v>-0.01</v>
      </c>
      <c r="J747" s="955" t="s">
        <v>5</v>
      </c>
      <c r="K747" s="902"/>
      <c r="L747" s="923"/>
      <c r="M747" s="902"/>
      <c r="N747" s="900" t="s">
        <v>2309</v>
      </c>
    </row>
    <row r="748" spans="1:14" s="910" customFormat="1" ht="16.5" hidden="1" customHeight="1">
      <c r="A748" s="896"/>
      <c r="B748" s="902" t="s">
        <v>3457</v>
      </c>
      <c r="C748" s="897">
        <v>1</v>
      </c>
      <c r="D748" s="1263" t="s">
        <v>273</v>
      </c>
      <c r="E748" s="919">
        <v>1</v>
      </c>
      <c r="F748" s="920">
        <v>2.95</v>
      </c>
      <c r="G748" s="920">
        <v>0.115</v>
      </c>
      <c r="H748" s="920">
        <v>0.15</v>
      </c>
      <c r="I748" s="1266">
        <f t="shared" ref="I748" si="71">ROUND(IF(AND(F748:H748),C748*E748*F748*G748*H748,IF(AND(F748,G748),C748*E748*F748*G748,IF(AND(F748,H748),C748*E748*F748*H748,IF(AND(G748,H748),C748*E748*G748*H748,IF(F748,C748*E748*F748,IF(G748,C748*E748*G748,IF(H748,C748*E748*H748,C748*E748))))))),2)</f>
        <v>0.05</v>
      </c>
      <c r="J748" s="955" t="s">
        <v>5</v>
      </c>
      <c r="K748" s="902"/>
      <c r="L748" s="923"/>
      <c r="M748" s="902"/>
      <c r="N748" s="900" t="s">
        <v>2309</v>
      </c>
    </row>
    <row r="749" spans="1:14" s="910" customFormat="1" ht="16.5" hidden="1" customHeight="1">
      <c r="A749" s="896"/>
      <c r="B749" s="902" t="s">
        <v>579</v>
      </c>
      <c r="C749" s="897">
        <v>1</v>
      </c>
      <c r="D749" s="1263" t="s">
        <v>273</v>
      </c>
      <c r="E749" s="919">
        <v>1</v>
      </c>
      <c r="F749" s="920">
        <v>0.9</v>
      </c>
      <c r="G749" s="920">
        <v>0.115</v>
      </c>
      <c r="H749" s="920">
        <v>0.15</v>
      </c>
      <c r="I749" s="1266">
        <f>-ROUND(IF(AND(F749:H749),C749*E749*F749*G749*H749,IF(AND(F749,G749),C749*E749*F749*G749,IF(AND(F749,H749),C749*E749*F749*H749,IF(AND(G749,H749),C749*E749*G749*H749,IF(F749,C749*E749*F749,IF(G749,C749*E749*G749,IF(H749,C749*E749*H749,C749*E749))))))),2)</f>
        <v>-0.02</v>
      </c>
      <c r="J749" s="955" t="s">
        <v>5</v>
      </c>
      <c r="K749" s="902"/>
      <c r="L749" s="923"/>
      <c r="M749" s="902"/>
      <c r="N749" s="900" t="s">
        <v>2309</v>
      </c>
    </row>
    <row r="750" spans="1:14" s="910" customFormat="1" ht="16.5" hidden="1" customHeight="1">
      <c r="A750" s="896"/>
      <c r="B750" s="902" t="s">
        <v>3454</v>
      </c>
      <c r="C750" s="897">
        <v>1</v>
      </c>
      <c r="D750" s="1263" t="s">
        <v>273</v>
      </c>
      <c r="E750" s="919">
        <v>1</v>
      </c>
      <c r="F750" s="920">
        <v>2.72</v>
      </c>
      <c r="G750" s="920">
        <v>0.115</v>
      </c>
      <c r="H750" s="920">
        <v>0.15</v>
      </c>
      <c r="I750" s="1266">
        <f t="shared" ref="I750:I753" si="72">ROUND(IF(AND(F750:H750),C750*E750*F750*G750*H750,IF(AND(F750,G750),C750*E750*F750*G750,IF(AND(F750,H750),C750*E750*F750*H750,IF(AND(G750,H750),C750*E750*G750*H750,IF(F750,C750*E750*F750,IF(G750,C750*E750*G750,IF(H750,C750*E750*H750,C750*E750))))))),2)</f>
        <v>0.05</v>
      </c>
      <c r="J750" s="955" t="s">
        <v>5</v>
      </c>
      <c r="K750" s="902"/>
      <c r="L750" s="923"/>
      <c r="M750" s="902"/>
      <c r="N750" s="900" t="s">
        <v>2309</v>
      </c>
    </row>
    <row r="751" spans="1:14" s="910" customFormat="1" ht="16.5" hidden="1" customHeight="1">
      <c r="A751" s="896"/>
      <c r="B751" s="902" t="s">
        <v>3451</v>
      </c>
      <c r="C751" s="897">
        <v>1</v>
      </c>
      <c r="D751" s="1263" t="s">
        <v>273</v>
      </c>
      <c r="E751" s="919">
        <v>1</v>
      </c>
      <c r="F751" s="920">
        <v>2</v>
      </c>
      <c r="G751" s="920">
        <v>0.115</v>
      </c>
      <c r="H751" s="920">
        <v>0.15</v>
      </c>
      <c r="I751" s="1266">
        <f t="shared" si="72"/>
        <v>0.03</v>
      </c>
      <c r="J751" s="955" t="s">
        <v>5</v>
      </c>
      <c r="K751" s="902"/>
      <c r="L751" s="923"/>
      <c r="M751" s="902"/>
      <c r="N751" s="900" t="s">
        <v>2309</v>
      </c>
    </row>
    <row r="752" spans="1:14" s="910" customFormat="1" ht="16.5" hidden="1" customHeight="1">
      <c r="A752" s="896"/>
      <c r="B752" s="902" t="s">
        <v>3458</v>
      </c>
      <c r="C752" s="897">
        <v>1</v>
      </c>
      <c r="D752" s="1263" t="s">
        <v>273</v>
      </c>
      <c r="E752" s="919">
        <v>1</v>
      </c>
      <c r="F752" s="920">
        <v>2.57</v>
      </c>
      <c r="G752" s="920">
        <v>0.115</v>
      </c>
      <c r="H752" s="920">
        <v>0.15</v>
      </c>
      <c r="I752" s="1266">
        <f t="shared" si="72"/>
        <v>0.04</v>
      </c>
      <c r="J752" s="955" t="s">
        <v>5</v>
      </c>
      <c r="K752" s="902"/>
      <c r="L752" s="923"/>
      <c r="M752" s="902"/>
      <c r="N752" s="900" t="s">
        <v>2309</v>
      </c>
    </row>
    <row r="753" spans="1:14" s="910" customFormat="1" ht="16.5" hidden="1" customHeight="1">
      <c r="A753" s="896"/>
      <c r="B753" s="902" t="s">
        <v>3451</v>
      </c>
      <c r="C753" s="897">
        <v>1</v>
      </c>
      <c r="D753" s="1263" t="s">
        <v>273</v>
      </c>
      <c r="E753" s="919">
        <v>1</v>
      </c>
      <c r="F753" s="920">
        <v>2.75</v>
      </c>
      <c r="G753" s="920">
        <v>0.115</v>
      </c>
      <c r="H753" s="920">
        <v>0.15</v>
      </c>
      <c r="I753" s="1266">
        <f t="shared" si="72"/>
        <v>0.05</v>
      </c>
      <c r="J753" s="955" t="s">
        <v>5</v>
      </c>
      <c r="K753" s="902"/>
      <c r="L753" s="923"/>
      <c r="M753" s="902"/>
      <c r="N753" s="900" t="s">
        <v>2309</v>
      </c>
    </row>
    <row r="754" spans="1:14" s="910" customFormat="1" ht="16.5" hidden="1" customHeight="1">
      <c r="A754" s="896"/>
      <c r="B754" s="902" t="s">
        <v>579</v>
      </c>
      <c r="C754" s="897">
        <v>1</v>
      </c>
      <c r="D754" s="1263" t="s">
        <v>273</v>
      </c>
      <c r="E754" s="919">
        <v>1</v>
      </c>
      <c r="F754" s="920">
        <v>0.9</v>
      </c>
      <c r="G754" s="920">
        <v>0.115</v>
      </c>
      <c r="H754" s="920">
        <v>0.15</v>
      </c>
      <c r="I754" s="1266">
        <f>-ROUND(IF(AND(F754:H754),C754*E754*F754*G754*H754,IF(AND(F754,G754),C754*E754*F754*G754,IF(AND(F754,H754),C754*E754*F754*H754,IF(AND(G754,H754),C754*E754*G754*H754,IF(F754,C754*E754*F754,IF(G754,C754*E754*G754,IF(H754,C754*E754*H754,C754*E754))))))),2)</f>
        <v>-0.02</v>
      </c>
      <c r="J754" s="955" t="s">
        <v>5</v>
      </c>
      <c r="K754" s="902"/>
      <c r="L754" s="923"/>
      <c r="M754" s="902"/>
      <c r="N754" s="900" t="s">
        <v>2309</v>
      </c>
    </row>
    <row r="755" spans="1:14" s="910" customFormat="1" ht="16.5" hidden="1" customHeight="1">
      <c r="A755" s="896"/>
      <c r="B755" s="902" t="s">
        <v>3459</v>
      </c>
      <c r="C755" s="897">
        <v>1</v>
      </c>
      <c r="D755" s="1263" t="s">
        <v>273</v>
      </c>
      <c r="E755" s="919">
        <v>1</v>
      </c>
      <c r="F755" s="920">
        <v>1.3</v>
      </c>
      <c r="G755" s="920">
        <v>0.115</v>
      </c>
      <c r="H755" s="920">
        <v>0.15</v>
      </c>
      <c r="I755" s="1266">
        <f t="shared" ref="I755" si="73">ROUND(IF(AND(F755:H755),C755*E755*F755*G755*H755,IF(AND(F755,G755),C755*E755*F755*G755,IF(AND(F755,H755),C755*E755*F755*H755,IF(AND(G755,H755),C755*E755*G755*H755,IF(F755,C755*E755*F755,IF(G755,C755*E755*G755,IF(H755,C755*E755*H755,C755*E755))))))),2)</f>
        <v>0.02</v>
      </c>
      <c r="J755" s="955" t="s">
        <v>5</v>
      </c>
      <c r="K755" s="902"/>
      <c r="L755" s="923"/>
      <c r="M755" s="902"/>
      <c r="N755" s="900" t="s">
        <v>2309</v>
      </c>
    </row>
    <row r="756" spans="1:14" s="910" customFormat="1" ht="16.5" hidden="1" customHeight="1">
      <c r="A756" s="896"/>
      <c r="B756" s="902" t="s">
        <v>579</v>
      </c>
      <c r="C756" s="897">
        <v>1</v>
      </c>
      <c r="D756" s="1263" t="s">
        <v>273</v>
      </c>
      <c r="E756" s="919">
        <v>1</v>
      </c>
      <c r="F756" s="920">
        <v>0.75</v>
      </c>
      <c r="G756" s="920">
        <v>0.115</v>
      </c>
      <c r="H756" s="920">
        <v>0.15</v>
      </c>
      <c r="I756" s="1266">
        <f>-ROUND(IF(AND(F756:H756),C756*E756*F756*G756*H756,IF(AND(F756,G756),C756*E756*F756*G756,IF(AND(F756,H756),C756*E756*F756*H756,IF(AND(G756,H756),C756*E756*G756*H756,IF(F756,C756*E756*F756,IF(G756,C756*E756*G756,IF(H756,C756*E756*H756,C756*E756))))))),2)</f>
        <v>-0.01</v>
      </c>
      <c r="J756" s="955" t="s">
        <v>5</v>
      </c>
      <c r="K756" s="902"/>
      <c r="L756" s="923"/>
      <c r="M756" s="902"/>
      <c r="N756" s="900" t="s">
        <v>2309</v>
      </c>
    </row>
    <row r="757" spans="1:14" s="910" customFormat="1" ht="16.5" hidden="1" customHeight="1">
      <c r="A757" s="896"/>
      <c r="B757" s="902" t="s">
        <v>3460</v>
      </c>
      <c r="C757" s="897">
        <v>1</v>
      </c>
      <c r="D757" s="1263" t="s">
        <v>273</v>
      </c>
      <c r="E757" s="919">
        <v>1</v>
      </c>
      <c r="F757" s="920">
        <v>2.95</v>
      </c>
      <c r="G757" s="920">
        <v>0.115</v>
      </c>
      <c r="H757" s="920">
        <v>0.15</v>
      </c>
      <c r="I757" s="1266">
        <f t="shared" ref="I757:I758" si="74">ROUND(IF(AND(F757:H757),C757*E757*F757*G757*H757,IF(AND(F757,G757),C757*E757*F757*G757,IF(AND(F757,H757),C757*E757*F757*H757,IF(AND(G757,H757),C757*E757*G757*H757,IF(F757,C757*E757*F757,IF(G757,C757*E757*G757,IF(H757,C757*E757*H757,C757*E757))))))),2)</f>
        <v>0.05</v>
      </c>
      <c r="J757" s="955" t="s">
        <v>5</v>
      </c>
      <c r="K757" s="902"/>
      <c r="L757" s="923"/>
      <c r="M757" s="902"/>
      <c r="N757" s="900" t="s">
        <v>2309</v>
      </c>
    </row>
    <row r="758" spans="1:14" s="910" customFormat="1" ht="16.5" hidden="1" customHeight="1">
      <c r="A758" s="896"/>
      <c r="B758" s="902" t="s">
        <v>3451</v>
      </c>
      <c r="C758" s="897">
        <v>1</v>
      </c>
      <c r="D758" s="1263" t="s">
        <v>273</v>
      </c>
      <c r="E758" s="919">
        <v>1</v>
      </c>
      <c r="F758" s="920">
        <v>1.8</v>
      </c>
      <c r="G758" s="920">
        <v>0.115</v>
      </c>
      <c r="H758" s="920">
        <v>0.15</v>
      </c>
      <c r="I758" s="1266">
        <f t="shared" si="74"/>
        <v>0.03</v>
      </c>
      <c r="J758" s="955" t="s">
        <v>5</v>
      </c>
      <c r="K758" s="902"/>
      <c r="L758" s="923"/>
      <c r="M758" s="902"/>
      <c r="N758" s="900" t="s">
        <v>2309</v>
      </c>
    </row>
    <row r="759" spans="1:14" s="910" customFormat="1" ht="16.5" hidden="1" customHeight="1">
      <c r="A759" s="896"/>
      <c r="B759" s="902" t="s">
        <v>579</v>
      </c>
      <c r="C759" s="897">
        <v>1</v>
      </c>
      <c r="D759" s="1263" t="s">
        <v>273</v>
      </c>
      <c r="E759" s="919">
        <v>1</v>
      </c>
      <c r="F759" s="920">
        <v>0.8</v>
      </c>
      <c r="G759" s="920">
        <v>0.115</v>
      </c>
      <c r="H759" s="920">
        <v>0.15</v>
      </c>
      <c r="I759" s="1266">
        <f>-ROUND(IF(AND(F759:H759),C759*E759*F759*G759*H759,IF(AND(F759,G759),C759*E759*F759*G759,IF(AND(F759,H759),C759*E759*F759*H759,IF(AND(G759,H759),C759*E759*G759*H759,IF(F759,C759*E759*F759,IF(G759,C759*E759*G759,IF(H759,C759*E759*H759,C759*E759))))))),2)</f>
        <v>-0.01</v>
      </c>
      <c r="J759" s="955" t="s">
        <v>5</v>
      </c>
      <c r="K759" s="902"/>
      <c r="L759" s="923"/>
      <c r="M759" s="902"/>
      <c r="N759" s="900" t="s">
        <v>2309</v>
      </c>
    </row>
    <row r="760" spans="1:14" s="910" customFormat="1" ht="16.5" hidden="1" customHeight="1">
      <c r="A760" s="896"/>
      <c r="B760" s="902" t="s">
        <v>3461</v>
      </c>
      <c r="C760" s="897">
        <v>1</v>
      </c>
      <c r="D760" s="1263" t="s">
        <v>273</v>
      </c>
      <c r="E760" s="919">
        <v>1</v>
      </c>
      <c r="F760" s="920">
        <v>3</v>
      </c>
      <c r="G760" s="920">
        <v>0.115</v>
      </c>
      <c r="H760" s="920">
        <v>0.15</v>
      </c>
      <c r="I760" s="1266">
        <f t="shared" ref="I760" si="75">ROUND(IF(AND(F760:H760),C760*E760*F760*G760*H760,IF(AND(F760,G760),C760*E760*F760*G760,IF(AND(F760,H760),C760*E760*F760*H760,IF(AND(G760,H760),C760*E760*G760*H760,IF(F760,C760*E760*F760,IF(G760,C760*E760*G760,IF(H760,C760*E760*H760,C760*E760))))))),2)</f>
        <v>0.05</v>
      </c>
      <c r="J760" s="955" t="s">
        <v>5</v>
      </c>
      <c r="K760" s="902"/>
      <c r="L760" s="923"/>
      <c r="M760" s="902"/>
      <c r="N760" s="900" t="s">
        <v>2309</v>
      </c>
    </row>
    <row r="761" spans="1:14" s="910" customFormat="1" ht="16.5" hidden="1" customHeight="1">
      <c r="A761" s="896"/>
      <c r="B761" s="956"/>
      <c r="C761" s="957"/>
      <c r="D761" s="958"/>
      <c r="E761" s="1268"/>
      <c r="F761" s="920"/>
      <c r="G761" s="920"/>
      <c r="H761" s="920"/>
      <c r="I761" s="916"/>
      <c r="J761" s="955"/>
      <c r="K761" s="902"/>
      <c r="L761" s="923"/>
      <c r="M761" s="902"/>
      <c r="N761" s="900" t="s">
        <v>2309</v>
      </c>
    </row>
    <row r="762" spans="1:14" ht="15.75" hidden="1">
      <c r="A762" s="896"/>
      <c r="B762" s="902"/>
      <c r="C762" s="917"/>
      <c r="D762" s="918"/>
      <c r="E762" s="919"/>
      <c r="F762" s="920"/>
      <c r="G762" s="921"/>
      <c r="H762" s="896"/>
      <c r="I762" s="916"/>
      <c r="J762" s="955" t="s">
        <v>5</v>
      </c>
      <c r="K762" s="922">
        <f>data!E2911</f>
        <v>10584.6</v>
      </c>
      <c r="L762" s="923" t="s">
        <v>2309</v>
      </c>
      <c r="M762" s="924">
        <f>ROUND(I762*K762,0)</f>
        <v>0</v>
      </c>
      <c r="N762" s="900" t="s">
        <v>2309</v>
      </c>
    </row>
    <row r="763" spans="1:14" s="1403" customFormat="1" ht="17.25" customHeight="1">
      <c r="A763" s="1397">
        <v>14</v>
      </c>
      <c r="B763" s="1610" t="s">
        <v>648</v>
      </c>
      <c r="C763" s="1610"/>
      <c r="D763" s="1610"/>
      <c r="E763" s="1610"/>
      <c r="F763" s="1610"/>
      <c r="G763" s="1610"/>
      <c r="H763" s="1610"/>
      <c r="I763" s="1398"/>
      <c r="J763" s="1399"/>
      <c r="K763" s="1397"/>
      <c r="L763" s="1400"/>
      <c r="M763" s="1401"/>
      <c r="N763" s="1402" t="s">
        <v>2209</v>
      </c>
    </row>
    <row r="764" spans="1:14" s="1411" customFormat="1" ht="16.5" customHeight="1">
      <c r="A764" s="1397"/>
      <c r="B764" s="1404" t="s">
        <v>3885</v>
      </c>
      <c r="C764" s="1405"/>
      <c r="D764" s="1395" t="s">
        <v>4017</v>
      </c>
      <c r="E764" s="1406"/>
      <c r="F764" s="1407"/>
      <c r="G764" s="1407"/>
      <c r="H764" s="1407"/>
      <c r="I764" s="1408"/>
      <c r="J764" s="1423"/>
      <c r="K764" s="1410"/>
      <c r="L764" s="1400"/>
      <c r="M764" s="1410"/>
      <c r="N764" s="1402" t="s">
        <v>2209</v>
      </c>
    </row>
    <row r="765" spans="1:14" s="1411" customFormat="1" ht="16.5" customHeight="1">
      <c r="A765" s="1397"/>
      <c r="B765" s="1410"/>
      <c r="C765" s="1398">
        <v>1</v>
      </c>
      <c r="D765" s="1412" t="s">
        <v>273</v>
      </c>
      <c r="E765" s="1413">
        <v>5</v>
      </c>
      <c r="F765" s="1414">
        <v>1.5</v>
      </c>
      <c r="G765" s="1414">
        <v>0</v>
      </c>
      <c r="H765" s="1414">
        <v>0</v>
      </c>
      <c r="I765" s="1415">
        <f t="shared" ref="I765" si="76">ROUND(IF(AND(F765:H765),C765*E765*F765*G765*H765,IF(AND(F765,G765),C765*E765*F765*G765,IF(AND(F765,H765),C765*E765*F765*H765,IF(AND(G765,H765),C765*E765*G765*H765,IF(F765,C765*E765*F765,IF(G765,C765*E765*G765,IF(H765,C765*E765*H765,C765*E765))))))),2)</f>
        <v>7.5</v>
      </c>
      <c r="J765" s="1423" t="s">
        <v>277</v>
      </c>
      <c r="K765" s="1410"/>
      <c r="L765" s="1400"/>
      <c r="M765" s="1410"/>
      <c r="N765" s="1402" t="s">
        <v>2209</v>
      </c>
    </row>
    <row r="766" spans="1:14" s="1411" customFormat="1" ht="16.5" customHeight="1">
      <c r="A766" s="1397"/>
      <c r="B766" s="1425"/>
      <c r="C766" s="1426"/>
      <c r="D766" s="1427"/>
      <c r="E766" s="1428"/>
      <c r="F766" s="1429"/>
      <c r="G766" s="1429"/>
      <c r="H766" s="1429"/>
      <c r="I766" s="1430"/>
      <c r="J766" s="1423"/>
      <c r="K766" s="1410"/>
      <c r="L766" s="1400"/>
      <c r="M766" s="1410"/>
      <c r="N766" s="1402" t="s">
        <v>2209</v>
      </c>
    </row>
    <row r="767" spans="1:14" s="1403" customFormat="1" ht="15.75">
      <c r="A767" s="1397"/>
      <c r="B767" s="1410"/>
      <c r="C767" s="1431"/>
      <c r="D767" s="1432"/>
      <c r="E767" s="1413"/>
      <c r="F767" s="1414"/>
      <c r="G767" s="1433"/>
      <c r="H767" s="1397"/>
      <c r="I767" s="1430">
        <f>SUM(I765:I766)</f>
        <v>7.5</v>
      </c>
      <c r="J767" s="1423" t="s">
        <v>277</v>
      </c>
      <c r="K767" s="1434">
        <f>data!E224</f>
        <v>474.83999999999992</v>
      </c>
      <c r="L767" s="1400" t="s">
        <v>2209</v>
      </c>
      <c r="M767" s="1435">
        <f>ROUND(I767*K767,0)</f>
        <v>3561</v>
      </c>
      <c r="N767" s="1402" t="s">
        <v>2209</v>
      </c>
    </row>
    <row r="768" spans="1:14" ht="17.25" hidden="1" customHeight="1">
      <c r="A768" s="896">
        <v>19</v>
      </c>
      <c r="B768" s="1609" t="s">
        <v>648</v>
      </c>
      <c r="C768" s="1609"/>
      <c r="D768" s="1609"/>
      <c r="E768" s="1609"/>
      <c r="F768" s="1609"/>
      <c r="G768" s="1609"/>
      <c r="H768" s="1609"/>
      <c r="I768" s="897"/>
      <c r="J768" s="898"/>
      <c r="K768" s="896"/>
      <c r="L768" s="923"/>
      <c r="M768" s="899"/>
      <c r="N768" s="900" t="s">
        <v>2297</v>
      </c>
    </row>
    <row r="769" spans="1:14" s="910" customFormat="1" ht="16.5" hidden="1" customHeight="1">
      <c r="A769" s="896"/>
      <c r="B769" s="928" t="s">
        <v>3733</v>
      </c>
      <c r="C769" s="1269"/>
      <c r="D769" s="954" t="s">
        <v>3247</v>
      </c>
      <c r="E769" s="1270"/>
      <c r="F769" s="1271"/>
      <c r="G769" s="1271"/>
      <c r="H769" s="1271"/>
      <c r="I769" s="1272"/>
      <c r="J769" s="955"/>
      <c r="K769" s="902"/>
      <c r="L769" s="923"/>
      <c r="M769" s="902"/>
      <c r="N769" s="900" t="s">
        <v>2297</v>
      </c>
    </row>
    <row r="770" spans="1:14" s="910" customFormat="1" ht="16.5" hidden="1" customHeight="1">
      <c r="A770" s="896"/>
      <c r="B770" s="902"/>
      <c r="C770" s="897">
        <v>1</v>
      </c>
      <c r="D770" s="1263" t="s">
        <v>273</v>
      </c>
      <c r="E770" s="919">
        <v>7</v>
      </c>
      <c r="F770" s="920">
        <v>1.5</v>
      </c>
      <c r="G770" s="920">
        <v>0</v>
      </c>
      <c r="H770" s="920">
        <v>0</v>
      </c>
      <c r="I770" s="1266">
        <f t="shared" ref="I770" si="77">ROUND(IF(AND(F770:H770),C770*E770*F770*G770*H770,IF(AND(F770,G770),C770*E770*F770*G770,IF(AND(F770,H770),C770*E770*F770*H770,IF(AND(G770,H770),C770*E770*G770*H770,IF(F770,C770*E770*F770,IF(G770,C770*E770*G770,IF(H770,C770*E770*H770,C770*E770))))))),2)</f>
        <v>10.5</v>
      </c>
      <c r="J770" s="955" t="s">
        <v>277</v>
      </c>
      <c r="K770" s="902"/>
      <c r="L770" s="923"/>
      <c r="M770" s="902"/>
      <c r="N770" s="900" t="s">
        <v>2297</v>
      </c>
    </row>
    <row r="771" spans="1:14" s="910" customFormat="1" ht="16.5" hidden="1" customHeight="1">
      <c r="A771" s="896"/>
      <c r="B771" s="956"/>
      <c r="C771" s="957"/>
      <c r="D771" s="958"/>
      <c r="E771" s="1268"/>
      <c r="F771" s="960"/>
      <c r="G771" s="960"/>
      <c r="H771" s="960"/>
      <c r="I771" s="916"/>
      <c r="J771" s="955"/>
      <c r="K771" s="902"/>
      <c r="L771" s="923"/>
      <c r="M771" s="902"/>
      <c r="N771" s="900" t="s">
        <v>2297</v>
      </c>
    </row>
    <row r="772" spans="1:14" ht="15.75" hidden="1">
      <c r="A772" s="896"/>
      <c r="B772" s="902"/>
      <c r="C772" s="917"/>
      <c r="D772" s="918"/>
      <c r="E772" s="919"/>
      <c r="F772" s="920"/>
      <c r="G772" s="921"/>
      <c r="H772" s="896"/>
      <c r="I772" s="916"/>
      <c r="J772" s="955" t="s">
        <v>277</v>
      </c>
      <c r="K772" s="922">
        <f>data!E1140</f>
        <v>482.90999999999997</v>
      </c>
      <c r="L772" s="923" t="s">
        <v>2297</v>
      </c>
      <c r="M772" s="924">
        <f>ROUND(I772*K772,0)</f>
        <v>0</v>
      </c>
      <c r="N772" s="900" t="s">
        <v>2297</v>
      </c>
    </row>
    <row r="773" spans="1:14" ht="17.25" hidden="1" customHeight="1">
      <c r="A773" s="896">
        <v>16</v>
      </c>
      <c r="B773" s="1609" t="s">
        <v>648</v>
      </c>
      <c r="C773" s="1609"/>
      <c r="D773" s="1609"/>
      <c r="E773" s="1609"/>
      <c r="F773" s="1609"/>
      <c r="G773" s="1609"/>
      <c r="H773" s="1609"/>
      <c r="I773" s="897"/>
      <c r="J773" s="898"/>
      <c r="K773" s="896"/>
      <c r="L773" s="923"/>
      <c r="M773" s="899"/>
      <c r="N773" s="900" t="s">
        <v>2308</v>
      </c>
    </row>
    <row r="774" spans="1:14" s="910" customFormat="1" ht="16.5" hidden="1" customHeight="1">
      <c r="A774" s="896"/>
      <c r="B774" s="902" t="s">
        <v>3558</v>
      </c>
      <c r="C774" s="897"/>
      <c r="D774" s="1263"/>
      <c r="E774" s="919"/>
      <c r="F774" s="920"/>
      <c r="G774" s="920"/>
      <c r="H774" s="920"/>
      <c r="I774" s="1264"/>
      <c r="J774" s="955"/>
      <c r="K774" s="902"/>
      <c r="L774" s="923"/>
      <c r="M774" s="902"/>
      <c r="N774" s="900" t="s">
        <v>2308</v>
      </c>
    </row>
    <row r="775" spans="1:14" s="910" customFormat="1" ht="16.5" hidden="1" customHeight="1">
      <c r="A775" s="896"/>
      <c r="B775" s="902"/>
      <c r="C775" s="897">
        <v>1</v>
      </c>
      <c r="D775" s="1263" t="s">
        <v>273</v>
      </c>
      <c r="E775" s="919">
        <v>5</v>
      </c>
      <c r="F775" s="920">
        <v>1.8</v>
      </c>
      <c r="G775" s="920">
        <v>0</v>
      </c>
      <c r="H775" s="920">
        <v>0</v>
      </c>
      <c r="I775" s="1266">
        <f>ROUND(IF(AND(F775:H775),C775*E775*F775*G775*H775,IF(AND(F775,G775),C775*E775*F775*G775,IF(AND(F775,H775),C775*E775*F775*H775,IF(AND(G775,H775),C775*E775*G775*H775,IF(F775,C775*E775*F775,IF(G775,C775*E775*G775,IF(H775,C775*E775*H775,C775*E775))))))),2)</f>
        <v>9</v>
      </c>
      <c r="J775" s="955" t="s">
        <v>277</v>
      </c>
      <c r="K775" s="902"/>
      <c r="L775" s="923"/>
      <c r="M775" s="902"/>
      <c r="N775" s="900" t="s">
        <v>2308</v>
      </c>
    </row>
    <row r="776" spans="1:14" s="910" customFormat="1" ht="16.5" hidden="1" customHeight="1">
      <c r="A776" s="896"/>
      <c r="B776" s="902"/>
      <c r="C776" s="897">
        <v>1</v>
      </c>
      <c r="D776" s="1263" t="s">
        <v>273</v>
      </c>
      <c r="E776" s="919">
        <v>1</v>
      </c>
      <c r="F776" s="920">
        <v>2.7</v>
      </c>
      <c r="G776" s="920">
        <v>0</v>
      </c>
      <c r="H776" s="920">
        <v>0</v>
      </c>
      <c r="I776" s="1266">
        <f>ROUND(IF(AND(F776:H776),C776*E776*F776*G776*H776,IF(AND(F776,G776),C776*E776*F776*G776,IF(AND(F776,H776),C776*E776*F776*H776,IF(AND(G776,H776),C776*E776*G776*H776,IF(F776,C776*E776*F776,IF(G776,C776*E776*G776,IF(H776,C776*E776*H776,C776*E776))))))),2)</f>
        <v>2.7</v>
      </c>
      <c r="J776" s="955" t="s">
        <v>277</v>
      </c>
      <c r="K776" s="902"/>
      <c r="L776" s="923"/>
      <c r="M776" s="902"/>
      <c r="N776" s="900" t="s">
        <v>2308</v>
      </c>
    </row>
    <row r="777" spans="1:14" s="910" customFormat="1" ht="16.5" hidden="1" customHeight="1">
      <c r="A777" s="896"/>
      <c r="B777" s="956"/>
      <c r="C777" s="957"/>
      <c r="D777" s="958"/>
      <c r="E777" s="1268"/>
      <c r="F777" s="960"/>
      <c r="G777" s="960"/>
      <c r="H777" s="960"/>
      <c r="I777" s="916"/>
      <c r="J777" s="955"/>
      <c r="K777" s="902"/>
      <c r="L777" s="923"/>
      <c r="M777" s="902"/>
      <c r="N777" s="900" t="s">
        <v>2308</v>
      </c>
    </row>
    <row r="778" spans="1:14" ht="15.75" hidden="1">
      <c r="A778" s="896"/>
      <c r="B778" s="902"/>
      <c r="C778" s="917"/>
      <c r="D778" s="918"/>
      <c r="E778" s="919"/>
      <c r="F778" s="920"/>
      <c r="G778" s="921"/>
      <c r="H778" s="896"/>
      <c r="I778" s="916"/>
      <c r="J778" s="955" t="s">
        <v>277</v>
      </c>
      <c r="K778" s="922">
        <f>data!E2057</f>
        <v>507.79999999999995</v>
      </c>
      <c r="L778" s="923" t="s">
        <v>2308</v>
      </c>
      <c r="M778" s="924">
        <f>ROUND(I778*K778,0)</f>
        <v>0</v>
      </c>
      <c r="N778" s="900" t="s">
        <v>2308</v>
      </c>
    </row>
    <row r="779" spans="1:14" ht="17.25" hidden="1" customHeight="1">
      <c r="A779" s="896">
        <v>14</v>
      </c>
      <c r="B779" s="1609" t="s">
        <v>648</v>
      </c>
      <c r="C779" s="1609"/>
      <c r="D779" s="1609"/>
      <c r="E779" s="1609"/>
      <c r="F779" s="1609"/>
      <c r="G779" s="1609"/>
      <c r="H779" s="1609"/>
      <c r="I779" s="897"/>
      <c r="J779" s="898"/>
      <c r="K779" s="896"/>
      <c r="L779" s="923"/>
      <c r="M779" s="899"/>
      <c r="N779" s="900" t="s">
        <v>2309</v>
      </c>
    </row>
    <row r="780" spans="1:14" s="910" customFormat="1" ht="16.5" hidden="1" customHeight="1">
      <c r="A780" s="896"/>
      <c r="B780" s="902" t="s">
        <v>3522</v>
      </c>
      <c r="C780" s="897"/>
      <c r="D780" s="1263" t="s">
        <v>3469</v>
      </c>
      <c r="E780" s="919"/>
      <c r="F780" s="920"/>
      <c r="G780" s="920"/>
      <c r="H780" s="920"/>
      <c r="I780" s="1264"/>
      <c r="J780" s="955"/>
      <c r="K780" s="902"/>
      <c r="L780" s="923"/>
      <c r="M780" s="902"/>
      <c r="N780" s="900" t="s">
        <v>2309</v>
      </c>
    </row>
    <row r="781" spans="1:14" s="910" customFormat="1" ht="16.5" hidden="1" customHeight="1">
      <c r="A781" s="896"/>
      <c r="B781" s="902"/>
      <c r="C781" s="897">
        <v>1</v>
      </c>
      <c r="D781" s="1263" t="s">
        <v>273</v>
      </c>
      <c r="E781" s="919">
        <v>4</v>
      </c>
      <c r="F781" s="920">
        <v>1.5</v>
      </c>
      <c r="G781" s="920">
        <v>0</v>
      </c>
      <c r="H781" s="920">
        <v>0</v>
      </c>
      <c r="I781" s="1266">
        <f>ROUND(IF(AND(F781:H781),C781*E781*F781*G781*H781,IF(AND(F781,G781),C781*E781*F781*G781,IF(AND(F781,H781),C781*E781*F781*H781,IF(AND(G781,H781),C781*E781*G781*H781,IF(F781,C781*E781*F781,IF(G781,C781*E781*G781,IF(H781,C781*E781*H781,C781*E781))))))),2)</f>
        <v>6</v>
      </c>
      <c r="J781" s="955" t="s">
        <v>277</v>
      </c>
      <c r="K781" s="902"/>
      <c r="L781" s="923"/>
      <c r="M781" s="902"/>
      <c r="N781" s="900" t="s">
        <v>2309</v>
      </c>
    </row>
    <row r="782" spans="1:14" s="910" customFormat="1" ht="16.5" hidden="1" customHeight="1">
      <c r="A782" s="896"/>
      <c r="B782" s="956"/>
      <c r="C782" s="957"/>
      <c r="D782" s="958"/>
      <c r="E782" s="1268"/>
      <c r="F782" s="960"/>
      <c r="G782" s="960"/>
      <c r="H782" s="960"/>
      <c r="I782" s="916"/>
      <c r="J782" s="955"/>
      <c r="K782" s="902"/>
      <c r="L782" s="923"/>
      <c r="M782" s="902"/>
      <c r="N782" s="900" t="s">
        <v>2309</v>
      </c>
    </row>
    <row r="783" spans="1:14" ht="15.75" hidden="1">
      <c r="A783" s="896"/>
      <c r="B783" s="902"/>
      <c r="C783" s="917"/>
      <c r="D783" s="918"/>
      <c r="E783" s="919"/>
      <c r="F783" s="920"/>
      <c r="G783" s="921"/>
      <c r="H783" s="896"/>
      <c r="I783" s="916"/>
      <c r="J783" s="955" t="s">
        <v>277</v>
      </c>
      <c r="K783" s="922">
        <f>data!E2974</f>
        <v>518.52</v>
      </c>
      <c r="L783" s="923" t="s">
        <v>2309</v>
      </c>
      <c r="M783" s="924">
        <f>ROUND(I783*K783,0)</f>
        <v>0</v>
      </c>
      <c r="N783" s="900" t="s">
        <v>2309</v>
      </c>
    </row>
    <row r="784" spans="1:14" ht="64.5" hidden="1" customHeight="1">
      <c r="A784" s="896">
        <v>15</v>
      </c>
      <c r="B784" s="1609" t="s">
        <v>151</v>
      </c>
      <c r="C784" s="1609"/>
      <c r="D784" s="1609"/>
      <c r="E784" s="1609"/>
      <c r="F784" s="1609"/>
      <c r="G784" s="1609"/>
      <c r="H784" s="1609"/>
      <c r="I784" s="897"/>
      <c r="J784" s="898"/>
      <c r="K784" s="896"/>
      <c r="L784" s="923"/>
      <c r="M784" s="899"/>
      <c r="N784" s="900" t="s">
        <v>2209</v>
      </c>
    </row>
    <row r="785" spans="1:14" s="910" customFormat="1" ht="16.5" hidden="1" customHeight="1">
      <c r="A785" s="896"/>
      <c r="B785" s="928" t="s">
        <v>3841</v>
      </c>
      <c r="C785" s="897"/>
      <c r="D785" s="954" t="s">
        <v>3470</v>
      </c>
      <c r="E785" s="919"/>
      <c r="F785" s="920"/>
      <c r="G785" s="920"/>
      <c r="H785" s="920"/>
      <c r="I785" s="1264"/>
      <c r="J785" s="955"/>
      <c r="K785" s="902"/>
      <c r="L785" s="923"/>
      <c r="M785" s="902"/>
      <c r="N785" s="900" t="s">
        <v>2209</v>
      </c>
    </row>
    <row r="786" spans="1:14" s="910" customFormat="1" ht="16.5" hidden="1" customHeight="1">
      <c r="A786" s="896"/>
      <c r="B786" s="902"/>
      <c r="C786" s="897">
        <v>1</v>
      </c>
      <c r="D786" s="1263" t="s">
        <v>273</v>
      </c>
      <c r="E786" s="919">
        <v>1</v>
      </c>
      <c r="F786" s="920">
        <v>14.1</v>
      </c>
      <c r="G786" s="920">
        <v>8.25</v>
      </c>
      <c r="H786" s="920">
        <v>0</v>
      </c>
      <c r="I786" s="1286">
        <f t="shared" ref="I786:I787" si="78">ROUND(IF(AND(F786:H786),C786*E786*F786*G786*H786,IF(AND(F786,G786),C786*E786*F786*G786,IF(AND(F786,H786),C786*E786*F786*H786,IF(AND(G786,H786),C786*E786*G786*H786,IF(F786,C786*E786*F786,IF(G786,C786*E786*G786,IF(H786,C786*E786*H786,C786*E786))))))),2)</f>
        <v>116.33</v>
      </c>
      <c r="J786" s="955" t="s">
        <v>102</v>
      </c>
      <c r="K786" s="902"/>
      <c r="L786" s="923"/>
      <c r="M786" s="902"/>
      <c r="N786" s="900" t="s">
        <v>2209</v>
      </c>
    </row>
    <row r="787" spans="1:14" s="910" customFormat="1" ht="16.5" hidden="1" customHeight="1">
      <c r="A787" s="896"/>
      <c r="B787" s="902"/>
      <c r="C787" s="897">
        <v>1</v>
      </c>
      <c r="D787" s="1263" t="s">
        <v>273</v>
      </c>
      <c r="E787" s="919">
        <v>2</v>
      </c>
      <c r="F787" s="920">
        <v>3.05</v>
      </c>
      <c r="G787" s="920">
        <v>0.9</v>
      </c>
      <c r="H787" s="920">
        <v>0</v>
      </c>
      <c r="I787" s="1286">
        <f t="shared" si="78"/>
        <v>5.49</v>
      </c>
      <c r="J787" s="955" t="s">
        <v>102</v>
      </c>
      <c r="K787" s="902"/>
      <c r="L787" s="923"/>
      <c r="M787" s="902"/>
      <c r="N787" s="900" t="s">
        <v>2209</v>
      </c>
    </row>
    <row r="788" spans="1:14" s="910" customFormat="1" ht="16.5" hidden="1" customHeight="1">
      <c r="A788" s="896"/>
      <c r="B788" s="902" t="s">
        <v>3755</v>
      </c>
      <c r="C788" s="897">
        <v>1</v>
      </c>
      <c r="D788" s="1263" t="s">
        <v>273</v>
      </c>
      <c r="E788" s="919">
        <v>15</v>
      </c>
      <c r="F788" s="920">
        <v>0.3</v>
      </c>
      <c r="G788" s="920">
        <v>0.45</v>
      </c>
      <c r="H788" s="920">
        <v>0</v>
      </c>
      <c r="I788" s="1286">
        <f>-ROUND(IF(AND(F788:H788),C788*E788*F788*G788*H788,IF(AND(F788,G788),C788*E788*F788*G788,IF(AND(F788,H788),C788*E788*F788*H788,IF(AND(G788,H788),C788*E788*G788*H788,IF(F788,C788*E788*F788,IF(G788,C788*E788*G788,IF(H788,C788*E788*H788,C788*E788))))))),2)</f>
        <v>-2.0299999999999998</v>
      </c>
      <c r="J788" s="955" t="s">
        <v>102</v>
      </c>
      <c r="K788" s="902"/>
      <c r="L788" s="923"/>
      <c r="M788" s="902"/>
      <c r="N788" s="900" t="s">
        <v>2209</v>
      </c>
    </row>
    <row r="789" spans="1:14" s="910" customFormat="1" ht="16.5" hidden="1" customHeight="1">
      <c r="A789" s="896"/>
      <c r="B789" s="902"/>
      <c r="C789" s="897"/>
      <c r="D789" s="1263"/>
      <c r="E789" s="919"/>
      <c r="F789" s="920"/>
      <c r="G789" s="920"/>
      <c r="H789" s="920"/>
      <c r="I789" s="1266"/>
      <c r="J789" s="955"/>
      <c r="K789" s="902"/>
      <c r="L789" s="923"/>
      <c r="M789" s="902"/>
      <c r="N789" s="900" t="s">
        <v>2209</v>
      </c>
    </row>
    <row r="790" spans="1:14" ht="15.75" hidden="1">
      <c r="A790" s="896"/>
      <c r="B790" s="902"/>
      <c r="C790" s="917"/>
      <c r="D790" s="918"/>
      <c r="E790" s="919"/>
      <c r="F790" s="920"/>
      <c r="G790" s="921"/>
      <c r="H790" s="896"/>
      <c r="I790" s="916"/>
      <c r="J790" s="955" t="s">
        <v>102</v>
      </c>
      <c r="K790" s="922">
        <f>data!E568</f>
        <v>259.97000000000003</v>
      </c>
      <c r="L790" s="923" t="s">
        <v>2209</v>
      </c>
      <c r="M790" s="924">
        <f>ROUND(I790*K790,0)</f>
        <v>0</v>
      </c>
      <c r="N790" s="900" t="s">
        <v>2209</v>
      </c>
    </row>
    <row r="791" spans="1:14" ht="64.5" hidden="1" customHeight="1">
      <c r="A791" s="896">
        <v>20</v>
      </c>
      <c r="B791" s="1609" t="s">
        <v>151</v>
      </c>
      <c r="C791" s="1609"/>
      <c r="D791" s="1609"/>
      <c r="E791" s="1609"/>
      <c r="F791" s="1609"/>
      <c r="G791" s="1609"/>
      <c r="H791" s="1609"/>
      <c r="I791" s="897"/>
      <c r="J791" s="898"/>
      <c r="K791" s="896"/>
      <c r="L791" s="923"/>
      <c r="M791" s="899"/>
      <c r="N791" s="900" t="s">
        <v>2297</v>
      </c>
    </row>
    <row r="792" spans="1:14" s="910" customFormat="1" ht="16.5" hidden="1" customHeight="1">
      <c r="A792" s="896"/>
      <c r="B792" s="902" t="s">
        <v>3752</v>
      </c>
      <c r="C792" s="897"/>
      <c r="D792" s="954" t="s">
        <v>3815</v>
      </c>
      <c r="E792" s="919"/>
      <c r="F792" s="920"/>
      <c r="G792" s="920"/>
      <c r="H792" s="920"/>
      <c r="I792" s="1264"/>
      <c r="J792" s="955"/>
      <c r="K792" s="902"/>
      <c r="L792" s="923"/>
      <c r="M792" s="902"/>
      <c r="N792" s="900" t="s">
        <v>2297</v>
      </c>
    </row>
    <row r="793" spans="1:14" s="910" customFormat="1" ht="16.5" hidden="1" customHeight="1">
      <c r="A793" s="896"/>
      <c r="B793" s="902" t="s">
        <v>3753</v>
      </c>
      <c r="C793" s="897">
        <v>1</v>
      </c>
      <c r="D793" s="1263" t="s">
        <v>273</v>
      </c>
      <c r="E793" s="919">
        <v>1</v>
      </c>
      <c r="F793" s="920">
        <v>14.2</v>
      </c>
      <c r="G793" s="920">
        <v>4.87</v>
      </c>
      <c r="H793" s="920">
        <v>0</v>
      </c>
      <c r="I793" s="1286">
        <f t="shared" ref="I793:I794" si="79">ROUND(IF(AND(F793:H793),C793*E793*F793*G793*H793,IF(AND(F793,G793),C793*E793*F793*G793,IF(AND(F793,H793),C793*E793*F793*H793,IF(AND(G793,H793),C793*E793*G793*H793,IF(F793,C793*E793*F793,IF(G793,C793*E793*G793,IF(H793,C793*E793*H793,C793*E793))))))),2)</f>
        <v>69.150000000000006</v>
      </c>
      <c r="J793" s="955" t="s">
        <v>102</v>
      </c>
      <c r="K793" s="902"/>
      <c r="L793" s="923"/>
      <c r="M793" s="902"/>
      <c r="N793" s="900" t="s">
        <v>2297</v>
      </c>
    </row>
    <row r="794" spans="1:14" s="910" customFormat="1" ht="16.5" hidden="1" customHeight="1">
      <c r="A794" s="896"/>
      <c r="B794" s="902" t="s">
        <v>3754</v>
      </c>
      <c r="C794" s="897">
        <v>1</v>
      </c>
      <c r="D794" s="1263" t="s">
        <v>273</v>
      </c>
      <c r="E794" s="919">
        <v>1</v>
      </c>
      <c r="F794" s="920">
        <f>(3.1+3.05)/2</f>
        <v>3.0750000000000002</v>
      </c>
      <c r="G794" s="920">
        <v>16.100000000000001</v>
      </c>
      <c r="H794" s="920">
        <v>0</v>
      </c>
      <c r="I794" s="1286">
        <f t="shared" si="79"/>
        <v>49.51</v>
      </c>
      <c r="J794" s="955" t="s">
        <v>102</v>
      </c>
      <c r="K794" s="902"/>
      <c r="L794" s="923"/>
      <c r="M794" s="902"/>
      <c r="N794" s="900" t="s">
        <v>2297</v>
      </c>
    </row>
    <row r="795" spans="1:14" s="910" customFormat="1" ht="16.5" hidden="1" customHeight="1">
      <c r="A795" s="896"/>
      <c r="B795" s="902" t="s">
        <v>3755</v>
      </c>
      <c r="C795" s="897">
        <v>1</v>
      </c>
      <c r="D795" s="1263" t="s">
        <v>273</v>
      </c>
      <c r="E795" s="919">
        <v>15</v>
      </c>
      <c r="F795" s="920">
        <v>0.45</v>
      </c>
      <c r="G795" s="920">
        <v>0.3</v>
      </c>
      <c r="H795" s="920">
        <v>0</v>
      </c>
      <c r="I795" s="1286">
        <f>-ROUND(IF(AND(F795:H795),C795*E795*F795*G795*H795,IF(AND(F795,G795),C795*E795*F795*G795,IF(AND(F795,H795),C795*E795*F795*H795,IF(AND(G795,H795),C795*E795*G795*H795,IF(F795,C795*E795*F795,IF(G795,C795*E795*G795,IF(H795,C795*E795*H795,C795*E795))))))),2)</f>
        <v>-2.0299999999999998</v>
      </c>
      <c r="J795" s="955" t="s">
        <v>102</v>
      </c>
      <c r="K795" s="902"/>
      <c r="L795" s="923"/>
      <c r="M795" s="902"/>
      <c r="N795" s="900" t="s">
        <v>2297</v>
      </c>
    </row>
    <row r="796" spans="1:14" s="910" customFormat="1" ht="16.5" hidden="1" customHeight="1">
      <c r="A796" s="896"/>
      <c r="B796" s="956"/>
      <c r="C796" s="957"/>
      <c r="D796" s="958"/>
      <c r="E796" s="1268"/>
      <c r="F796" s="960"/>
      <c r="G796" s="960"/>
      <c r="H796" s="960"/>
      <c r="I796" s="916"/>
      <c r="J796" s="955"/>
      <c r="K796" s="902"/>
      <c r="L796" s="923"/>
      <c r="M796" s="902"/>
      <c r="N796" s="900" t="s">
        <v>2297</v>
      </c>
    </row>
    <row r="797" spans="1:14" ht="15.75" hidden="1">
      <c r="A797" s="896"/>
      <c r="B797" s="902"/>
      <c r="C797" s="917"/>
      <c r="D797" s="918"/>
      <c r="E797" s="919"/>
      <c r="F797" s="920"/>
      <c r="G797" s="921"/>
      <c r="H797" s="896"/>
      <c r="I797" s="916"/>
      <c r="J797" s="955" t="s">
        <v>102</v>
      </c>
      <c r="K797" s="922">
        <f>data!E1485</f>
        <v>280.02999999999997</v>
      </c>
      <c r="L797" s="923" t="s">
        <v>2297</v>
      </c>
      <c r="M797" s="924">
        <f>ROUND(I797*K797,0)</f>
        <v>0</v>
      </c>
      <c r="N797" s="900" t="s">
        <v>2297</v>
      </c>
    </row>
    <row r="798" spans="1:14" ht="64.5" hidden="1" customHeight="1">
      <c r="A798" s="896">
        <v>21</v>
      </c>
      <c r="B798" s="1609" t="s">
        <v>151</v>
      </c>
      <c r="C798" s="1609"/>
      <c r="D798" s="1609"/>
      <c r="E798" s="1609"/>
      <c r="F798" s="1609"/>
      <c r="G798" s="1609"/>
      <c r="H798" s="1609"/>
      <c r="I798" s="897"/>
      <c r="J798" s="898"/>
      <c r="K798" s="896"/>
      <c r="L798" s="923"/>
      <c r="M798" s="899"/>
      <c r="N798" s="900" t="s">
        <v>2308</v>
      </c>
    </row>
    <row r="799" spans="1:14" s="910" customFormat="1" ht="16.5" hidden="1" customHeight="1">
      <c r="A799" s="896"/>
      <c r="B799" s="902" t="s">
        <v>3559</v>
      </c>
      <c r="C799" s="897"/>
      <c r="D799" s="1263"/>
      <c r="E799" s="919"/>
      <c r="F799" s="920"/>
      <c r="G799" s="920"/>
      <c r="H799" s="920"/>
      <c r="I799" s="1264"/>
      <c r="J799" s="955"/>
      <c r="K799" s="902"/>
      <c r="L799" s="923"/>
      <c r="M799" s="902"/>
      <c r="N799" s="900" t="s">
        <v>2308</v>
      </c>
    </row>
    <row r="800" spans="1:14" s="910" customFormat="1" ht="16.5" hidden="1" customHeight="1">
      <c r="A800" s="896"/>
      <c r="B800" s="902" t="s">
        <v>1536</v>
      </c>
      <c r="C800" s="897">
        <v>1</v>
      </c>
      <c r="D800" s="1263" t="s">
        <v>273</v>
      </c>
      <c r="E800" s="919">
        <v>2</v>
      </c>
      <c r="F800" s="920">
        <v>1.3</v>
      </c>
      <c r="G800" s="920">
        <v>0</v>
      </c>
      <c r="H800" s="920">
        <v>2.4</v>
      </c>
      <c r="I800" s="1266">
        <f>ROUND(IF(AND(F800:H800),C800*E800*F800*G800*H800,IF(AND(F800,G800),C800*E800*F800*G800,IF(AND(F800,H800),C800*E800*F800*H800,IF(AND(G800,H800),C800*E800*G800*H800,IF(F800,C800*E800*F800,IF(G800,C800*E800*G800,IF(H800,C800*E800*H800,C800*E800))))))),2)</f>
        <v>6.24</v>
      </c>
      <c r="J800" s="955" t="s">
        <v>102</v>
      </c>
      <c r="K800" s="902"/>
      <c r="L800" s="923"/>
      <c r="M800" s="902"/>
      <c r="N800" s="900" t="s">
        <v>2308</v>
      </c>
    </row>
    <row r="801" spans="1:14" s="910" customFormat="1" ht="16.5" hidden="1" customHeight="1">
      <c r="A801" s="896"/>
      <c r="B801" s="902"/>
      <c r="C801" s="897">
        <v>1</v>
      </c>
      <c r="D801" s="1263" t="s">
        <v>273</v>
      </c>
      <c r="E801" s="919">
        <v>2</v>
      </c>
      <c r="F801" s="920">
        <v>2.2999999999999998</v>
      </c>
      <c r="G801" s="920">
        <v>0</v>
      </c>
      <c r="H801" s="920">
        <v>2.4</v>
      </c>
      <c r="I801" s="1266">
        <f>ROUND(IF(AND(F801:H801),C801*E801*F801*G801*H801,IF(AND(F801,G801),C801*E801*F801*G801,IF(AND(F801,H801),C801*E801*F801*H801,IF(AND(G801,H801),C801*E801*G801*H801,IF(F801,C801*E801*F801,IF(G801,C801*E801*G801,IF(H801,C801*E801*H801,C801*E801))))))),2)</f>
        <v>11.04</v>
      </c>
      <c r="J801" s="955" t="s">
        <v>102</v>
      </c>
      <c r="K801" s="902"/>
      <c r="L801" s="923"/>
      <c r="M801" s="902"/>
      <c r="N801" s="900" t="s">
        <v>2308</v>
      </c>
    </row>
    <row r="802" spans="1:14" s="910" customFormat="1" ht="16.5" hidden="1" customHeight="1">
      <c r="A802" s="896"/>
      <c r="B802" s="956"/>
      <c r="C802" s="957"/>
      <c r="D802" s="958"/>
      <c r="E802" s="1268"/>
      <c r="F802" s="960"/>
      <c r="G802" s="960"/>
      <c r="H802" s="960"/>
      <c r="I802" s="916"/>
      <c r="J802" s="955"/>
      <c r="K802" s="902"/>
      <c r="L802" s="923"/>
      <c r="M802" s="902"/>
      <c r="N802" s="900" t="s">
        <v>2308</v>
      </c>
    </row>
    <row r="803" spans="1:14" ht="15.75" hidden="1">
      <c r="A803" s="896"/>
      <c r="B803" s="902"/>
      <c r="C803" s="917"/>
      <c r="D803" s="918"/>
      <c r="E803" s="919"/>
      <c r="F803" s="920"/>
      <c r="G803" s="921"/>
      <c r="H803" s="896"/>
      <c r="I803" s="916"/>
      <c r="J803" s="955" t="s">
        <v>102</v>
      </c>
      <c r="K803" s="922">
        <f>data!E2402</f>
        <v>297.22000000000003</v>
      </c>
      <c r="L803" s="923" t="s">
        <v>2308</v>
      </c>
      <c r="M803" s="924">
        <f>ROUND(I803*K803,0)</f>
        <v>0</v>
      </c>
      <c r="N803" s="900" t="s">
        <v>2308</v>
      </c>
    </row>
    <row r="804" spans="1:14" ht="64.5" hidden="1" customHeight="1">
      <c r="A804" s="896">
        <v>21</v>
      </c>
      <c r="B804" s="1609" t="s">
        <v>151</v>
      </c>
      <c r="C804" s="1609"/>
      <c r="D804" s="1609"/>
      <c r="E804" s="1609"/>
      <c r="F804" s="1609"/>
      <c r="G804" s="1609"/>
      <c r="H804" s="1609"/>
      <c r="I804" s="897"/>
      <c r="J804" s="898"/>
      <c r="K804" s="896"/>
      <c r="L804" s="923"/>
      <c r="M804" s="899"/>
      <c r="N804" s="900" t="s">
        <v>2309</v>
      </c>
    </row>
    <row r="805" spans="1:14" s="910" customFormat="1" ht="16.5" hidden="1" customHeight="1">
      <c r="A805" s="896"/>
      <c r="B805" s="902" t="s">
        <v>3559</v>
      </c>
      <c r="C805" s="897"/>
      <c r="D805" s="1263"/>
      <c r="E805" s="919"/>
      <c r="F805" s="920"/>
      <c r="G805" s="920"/>
      <c r="H805" s="920"/>
      <c r="I805" s="1264"/>
      <c r="J805" s="955"/>
      <c r="K805" s="902"/>
      <c r="L805" s="923"/>
      <c r="M805" s="902"/>
      <c r="N805" s="900" t="s">
        <v>2309</v>
      </c>
    </row>
    <row r="806" spans="1:14" s="910" customFormat="1" ht="16.5" hidden="1" customHeight="1">
      <c r="A806" s="896"/>
      <c r="B806" s="902" t="s">
        <v>1536</v>
      </c>
      <c r="C806" s="897">
        <v>1</v>
      </c>
      <c r="D806" s="1263" t="s">
        <v>273</v>
      </c>
      <c r="E806" s="919">
        <v>2</v>
      </c>
      <c r="F806" s="920">
        <v>1.3</v>
      </c>
      <c r="G806" s="920">
        <v>0</v>
      </c>
      <c r="H806" s="920">
        <v>2.4</v>
      </c>
      <c r="I806" s="1266">
        <f>ROUND(IF(AND(F806:H806),C806*E806*F806*G806*H806,IF(AND(F806,G806),C806*E806*F806*G806,IF(AND(F806,H806),C806*E806*F806*H806,IF(AND(G806,H806),C806*E806*G806*H806,IF(F806,C806*E806*F806,IF(G806,C806*E806*G806,IF(H806,C806*E806*H806,C806*E806))))))),2)</f>
        <v>6.24</v>
      </c>
      <c r="J806" s="955" t="s">
        <v>102</v>
      </c>
      <c r="K806" s="902"/>
      <c r="L806" s="923"/>
      <c r="M806" s="902"/>
      <c r="N806" s="900" t="s">
        <v>2309</v>
      </c>
    </row>
    <row r="807" spans="1:14" s="910" customFormat="1" ht="16.5" hidden="1" customHeight="1">
      <c r="A807" s="896"/>
      <c r="B807" s="902"/>
      <c r="C807" s="897">
        <v>1</v>
      </c>
      <c r="D807" s="1263" t="s">
        <v>273</v>
      </c>
      <c r="E807" s="919">
        <v>2</v>
      </c>
      <c r="F807" s="920">
        <v>2.2999999999999998</v>
      </c>
      <c r="G807" s="920">
        <v>0</v>
      </c>
      <c r="H807" s="920">
        <v>2.4</v>
      </c>
      <c r="I807" s="1266">
        <f>ROUND(IF(AND(F807:H807),C807*E807*F807*G807*H807,IF(AND(F807,G807),C807*E807*F807*G807,IF(AND(F807,H807),C807*E807*F807*H807,IF(AND(G807,H807),C807*E807*G807*H807,IF(F807,C807*E807*F807,IF(G807,C807*E807*G807,IF(H807,C807*E807*H807,C807*E807))))))),2)</f>
        <v>11.04</v>
      </c>
      <c r="J807" s="955" t="s">
        <v>102</v>
      </c>
      <c r="K807" s="902"/>
      <c r="L807" s="923"/>
      <c r="M807" s="902"/>
      <c r="N807" s="900" t="s">
        <v>2309</v>
      </c>
    </row>
    <row r="808" spans="1:14" s="910" customFormat="1" ht="16.5" hidden="1" customHeight="1">
      <c r="A808" s="896"/>
      <c r="B808" s="956"/>
      <c r="C808" s="957"/>
      <c r="D808" s="958"/>
      <c r="E808" s="1268"/>
      <c r="F808" s="960"/>
      <c r="G808" s="960"/>
      <c r="H808" s="960"/>
      <c r="I808" s="916"/>
      <c r="J808" s="955"/>
      <c r="K808" s="902"/>
      <c r="L808" s="923"/>
      <c r="M808" s="902"/>
      <c r="N808" s="900" t="s">
        <v>2309</v>
      </c>
    </row>
    <row r="809" spans="1:14" ht="15.75" hidden="1">
      <c r="A809" s="896"/>
      <c r="B809" s="902"/>
      <c r="C809" s="917"/>
      <c r="D809" s="918"/>
      <c r="E809" s="919"/>
      <c r="F809" s="920"/>
      <c r="G809" s="921"/>
      <c r="H809" s="896"/>
      <c r="I809" s="916"/>
      <c r="J809" s="955" t="s">
        <v>102</v>
      </c>
      <c r="K809" s="922">
        <f>data!E3319</f>
        <v>315.69</v>
      </c>
      <c r="L809" s="923" t="s">
        <v>2309</v>
      </c>
      <c r="M809" s="924">
        <f>ROUND(I809*K809,0)</f>
        <v>0</v>
      </c>
      <c r="N809" s="900" t="s">
        <v>2309</v>
      </c>
    </row>
    <row r="810" spans="1:14" ht="64.5" hidden="1" customHeight="1">
      <c r="A810" s="896">
        <v>14</v>
      </c>
      <c r="B810" s="1609" t="s">
        <v>1313</v>
      </c>
      <c r="C810" s="1609"/>
      <c r="D810" s="1609"/>
      <c r="E810" s="1609"/>
      <c r="F810" s="1609"/>
      <c r="G810" s="1609"/>
      <c r="H810" s="1609"/>
      <c r="I810" s="897"/>
      <c r="J810" s="898"/>
      <c r="K810" s="896"/>
      <c r="L810" s="923"/>
      <c r="M810" s="899"/>
      <c r="N810" s="900" t="s">
        <v>2209</v>
      </c>
    </row>
    <row r="811" spans="1:14" s="910" customFormat="1" ht="16.5" hidden="1" customHeight="1">
      <c r="A811" s="896"/>
      <c r="B811" s="902" t="s">
        <v>3560</v>
      </c>
      <c r="C811" s="897"/>
      <c r="D811" s="1263"/>
      <c r="E811" s="919"/>
      <c r="F811" s="920"/>
      <c r="G811" s="920"/>
      <c r="H811" s="920"/>
      <c r="I811" s="1264"/>
      <c r="J811" s="955"/>
      <c r="K811" s="902"/>
      <c r="L811" s="923"/>
      <c r="M811" s="902"/>
      <c r="N811" s="900" t="s">
        <v>2209</v>
      </c>
    </row>
    <row r="812" spans="1:14" s="910" customFormat="1" ht="16.5" hidden="1" customHeight="1">
      <c r="A812" s="896"/>
      <c r="B812" s="902"/>
      <c r="C812" s="897">
        <v>1</v>
      </c>
      <c r="D812" s="1263" t="s">
        <v>273</v>
      </c>
      <c r="E812" s="919">
        <v>1</v>
      </c>
      <c r="F812" s="920">
        <v>10.45</v>
      </c>
      <c r="G812" s="920">
        <v>12</v>
      </c>
      <c r="H812" s="920">
        <v>0</v>
      </c>
      <c r="I812" s="1266">
        <f>ROUND(IF(AND(F812:H812),C812*E812*F812*G812*H812,IF(AND(F812,G812),C812*E812*F812*G812,IF(AND(F812,H812),C812*E812*F812*H812,IF(AND(G812,H812),C812*E812*G812*H812,IF(F812,C812*E812*F812,IF(G812,C812*E812*G812,IF(H812,C812*E812*H812,C812*E812))))))),2)</f>
        <v>125.4</v>
      </c>
      <c r="J812" s="955" t="s">
        <v>102</v>
      </c>
      <c r="K812" s="902"/>
      <c r="L812" s="923"/>
      <c r="M812" s="902"/>
      <c r="N812" s="900" t="s">
        <v>2209</v>
      </c>
    </row>
    <row r="813" spans="1:14" s="910" customFormat="1" ht="16.5" hidden="1" customHeight="1">
      <c r="A813" s="896"/>
      <c r="B813" s="902"/>
      <c r="C813" s="897">
        <v>1</v>
      </c>
      <c r="D813" s="1263" t="s">
        <v>273</v>
      </c>
      <c r="E813" s="919">
        <v>1</v>
      </c>
      <c r="F813" s="920">
        <v>3.52</v>
      </c>
      <c r="G813" s="920">
        <v>0.9</v>
      </c>
      <c r="H813" s="920">
        <v>0</v>
      </c>
      <c r="I813" s="1266">
        <f>ROUND(IF(AND(F813:H813),C813*E813*F813*G813*H813,IF(AND(F813,G813),C813*E813*F813*G813,IF(AND(F813,H813),C813*E813*F813*H813,IF(AND(G813,H813),C813*E813*G813*H813,IF(F813,C813*E813*F813,IF(G813,C813*E813*G813,IF(H813,C813*E813*H813,C813*E813))))))),2)</f>
        <v>3.17</v>
      </c>
      <c r="J813" s="955" t="s">
        <v>102</v>
      </c>
      <c r="K813" s="902"/>
      <c r="L813" s="923"/>
      <c r="M813" s="902"/>
      <c r="N813" s="900" t="s">
        <v>2209</v>
      </c>
    </row>
    <row r="814" spans="1:14" s="910" customFormat="1" ht="16.5" hidden="1" customHeight="1">
      <c r="A814" s="896"/>
      <c r="B814" s="956"/>
      <c r="C814" s="957"/>
      <c r="D814" s="958"/>
      <c r="E814" s="1268"/>
      <c r="F814" s="960"/>
      <c r="G814" s="960"/>
      <c r="H814" s="960"/>
      <c r="I814" s="916"/>
      <c r="J814" s="955"/>
      <c r="K814" s="902"/>
      <c r="L814" s="923"/>
      <c r="M814" s="902"/>
      <c r="N814" s="900" t="s">
        <v>2209</v>
      </c>
    </row>
    <row r="815" spans="1:14" ht="15.75" hidden="1">
      <c r="A815" s="896"/>
      <c r="B815" s="902"/>
      <c r="C815" s="917"/>
      <c r="D815" s="918"/>
      <c r="E815" s="919"/>
      <c r="F815" s="920"/>
      <c r="G815" s="921"/>
      <c r="H815" s="896"/>
      <c r="I815" s="916"/>
      <c r="J815" s="955" t="s">
        <v>102</v>
      </c>
      <c r="K815" s="922">
        <f>data!E583</f>
        <v>330.39</v>
      </c>
      <c r="L815" s="923" t="s">
        <v>2209</v>
      </c>
      <c r="M815" s="924">
        <f>ROUND(I815*K815,0)</f>
        <v>0</v>
      </c>
      <c r="N815" s="900" t="s">
        <v>2209</v>
      </c>
    </row>
    <row r="816" spans="1:14" ht="64.5" hidden="1" customHeight="1">
      <c r="A816" s="896">
        <v>14</v>
      </c>
      <c r="B816" s="1609" t="s">
        <v>1313</v>
      </c>
      <c r="C816" s="1609"/>
      <c r="D816" s="1609"/>
      <c r="E816" s="1609"/>
      <c r="F816" s="1609"/>
      <c r="G816" s="1609"/>
      <c r="H816" s="1609"/>
      <c r="I816" s="897"/>
      <c r="J816" s="898"/>
      <c r="K816" s="896"/>
      <c r="L816" s="923"/>
      <c r="M816" s="899"/>
      <c r="N816" s="900" t="s">
        <v>2297</v>
      </c>
    </row>
    <row r="817" spans="1:14" s="910" customFormat="1" ht="16.5" hidden="1" customHeight="1">
      <c r="A817" s="896"/>
      <c r="B817" s="902" t="s">
        <v>3543</v>
      </c>
      <c r="C817" s="897"/>
      <c r="D817" s="954" t="s">
        <v>3642</v>
      </c>
      <c r="E817" s="919"/>
      <c r="F817" s="920"/>
      <c r="G817" s="920"/>
      <c r="H817" s="920"/>
      <c r="I817" s="1264"/>
      <c r="J817" s="955"/>
      <c r="K817" s="902"/>
      <c r="L817" s="923"/>
      <c r="M817" s="902"/>
      <c r="N817" s="900" t="s">
        <v>2297</v>
      </c>
    </row>
    <row r="818" spans="1:14" s="910" customFormat="1" ht="16.5" hidden="1" customHeight="1">
      <c r="A818" s="896"/>
      <c r="B818" s="902"/>
      <c r="C818" s="897">
        <v>1</v>
      </c>
      <c r="D818" s="1263" t="s">
        <v>273</v>
      </c>
      <c r="E818" s="919">
        <v>1</v>
      </c>
      <c r="F818" s="920">
        <v>14.14</v>
      </c>
      <c r="G818" s="920">
        <v>4.5999999999999996</v>
      </c>
      <c r="H818" s="920">
        <v>0</v>
      </c>
      <c r="I818" s="1266">
        <f>ROUND(IF(AND(F818:H818),C818*E818*F818*G818*H818,IF(AND(F818,G818),C818*E818*F818*G818,IF(AND(F818,H818),C818*E818*F818*H818,IF(AND(G818,H818),C818*E818*G818*H818,IF(F818,C818*E818*F818,IF(G818,C818*E818*G818,IF(H818,C818*E818*H818,C818*E818))))))),2)</f>
        <v>65.040000000000006</v>
      </c>
      <c r="J818" s="955" t="s">
        <v>102</v>
      </c>
      <c r="K818" s="902"/>
      <c r="L818" s="923"/>
      <c r="M818" s="902"/>
      <c r="N818" s="900" t="s">
        <v>2297</v>
      </c>
    </row>
    <row r="819" spans="1:14" s="910" customFormat="1" ht="16.5" hidden="1" customHeight="1">
      <c r="A819" s="896"/>
      <c r="B819" s="902"/>
      <c r="C819" s="897">
        <v>1</v>
      </c>
      <c r="D819" s="1263" t="s">
        <v>273</v>
      </c>
      <c r="E819" s="919">
        <v>1</v>
      </c>
      <c r="F819" s="920">
        <v>16.149999999999999</v>
      </c>
      <c r="G819" s="920">
        <v>3.3</v>
      </c>
      <c r="H819" s="920">
        <v>0</v>
      </c>
      <c r="I819" s="1266">
        <f>ROUND(IF(AND(F819:H819),C819*E819*F819*G819*H819,IF(AND(F819,G819),C819*E819*F819*G819,IF(AND(F819,H819),C819*E819*F819*H819,IF(AND(G819,H819),C819*E819*G819*H819,IF(F819,C819*E819*F819,IF(G819,C819*E819*G819,IF(H819,C819*E819*H819,C819*E819))))))),2)</f>
        <v>53.3</v>
      </c>
      <c r="J819" s="955" t="s">
        <v>102</v>
      </c>
      <c r="K819" s="902"/>
      <c r="L819" s="923"/>
      <c r="M819" s="902"/>
      <c r="N819" s="900" t="s">
        <v>2297</v>
      </c>
    </row>
    <row r="820" spans="1:14" s="910" customFormat="1" ht="16.5" hidden="1" customHeight="1">
      <c r="A820" s="896"/>
      <c r="B820" s="902"/>
      <c r="C820" s="897">
        <v>1</v>
      </c>
      <c r="D820" s="1263" t="s">
        <v>273</v>
      </c>
      <c r="E820" s="919">
        <v>1</v>
      </c>
      <c r="F820" s="920">
        <f>(22.75+25.4)/2</f>
        <v>24.074999999999999</v>
      </c>
      <c r="G820" s="920">
        <v>1.1200000000000001</v>
      </c>
      <c r="H820" s="920">
        <v>0</v>
      </c>
      <c r="I820" s="1266">
        <f>ROUND(IF(AND(F820:H820),C820*E820*F820*G820*H820,IF(AND(F820,G820),C820*E820*F820*G820,IF(AND(F820,H820),C820*E820*F820*H820,IF(AND(G820,H820),C820*E820*G820*H820,IF(F820,C820*E820*F820,IF(G820,C820*E820*G820,IF(H820,C820*E820*H820,C820*E820))))))),2)</f>
        <v>26.96</v>
      </c>
      <c r="J820" s="955" t="s">
        <v>102</v>
      </c>
      <c r="K820" s="902"/>
      <c r="L820" s="923"/>
      <c r="M820" s="902"/>
      <c r="N820" s="900" t="s">
        <v>2297</v>
      </c>
    </row>
    <row r="821" spans="1:14" s="910" customFormat="1" ht="16.5" hidden="1" customHeight="1">
      <c r="A821" s="896"/>
      <c r="B821" s="956"/>
      <c r="C821" s="957"/>
      <c r="D821" s="958"/>
      <c r="E821" s="1268"/>
      <c r="F821" s="960"/>
      <c r="G821" s="960"/>
      <c r="H821" s="960"/>
      <c r="I821" s="916"/>
      <c r="J821" s="955"/>
      <c r="K821" s="902"/>
      <c r="L821" s="923"/>
      <c r="M821" s="902"/>
      <c r="N821" s="900" t="s">
        <v>2297</v>
      </c>
    </row>
    <row r="822" spans="1:14" ht="15.75" hidden="1">
      <c r="A822" s="896"/>
      <c r="B822" s="902"/>
      <c r="C822" s="917"/>
      <c r="D822" s="918"/>
      <c r="E822" s="919"/>
      <c r="F822" s="920"/>
      <c r="G822" s="921"/>
      <c r="H822" s="896"/>
      <c r="I822" s="916"/>
      <c r="J822" s="955" t="s">
        <v>102</v>
      </c>
      <c r="K822" s="922">
        <f>data!E1500</f>
        <v>357.62</v>
      </c>
      <c r="L822" s="923" t="s">
        <v>2297</v>
      </c>
      <c r="M822" s="924">
        <f>ROUND(I822*K822,0)</f>
        <v>0</v>
      </c>
      <c r="N822" s="900" t="s">
        <v>2297</v>
      </c>
    </row>
    <row r="823" spans="1:14" ht="64.5" hidden="1" customHeight="1">
      <c r="A823" s="896">
        <v>14</v>
      </c>
      <c r="B823" s="1609" t="s">
        <v>1313</v>
      </c>
      <c r="C823" s="1609"/>
      <c r="D823" s="1609"/>
      <c r="E823" s="1609"/>
      <c r="F823" s="1609"/>
      <c r="G823" s="1609"/>
      <c r="H823" s="1609"/>
      <c r="I823" s="897"/>
      <c r="J823" s="898"/>
      <c r="K823" s="896"/>
      <c r="L823" s="923"/>
      <c r="M823" s="899"/>
      <c r="N823" s="900" t="s">
        <v>2308</v>
      </c>
    </row>
    <row r="824" spans="1:14" s="910" customFormat="1" ht="16.5" hidden="1" customHeight="1">
      <c r="A824" s="896"/>
      <c r="B824" s="902" t="s">
        <v>3560</v>
      </c>
      <c r="C824" s="897"/>
      <c r="D824" s="1263"/>
      <c r="E824" s="919"/>
      <c r="F824" s="920"/>
      <c r="G824" s="920"/>
      <c r="H824" s="920"/>
      <c r="I824" s="1264"/>
      <c r="J824" s="955"/>
      <c r="K824" s="902"/>
      <c r="L824" s="923"/>
      <c r="M824" s="902"/>
      <c r="N824" s="900" t="s">
        <v>2308</v>
      </c>
    </row>
    <row r="825" spans="1:14" s="910" customFormat="1" ht="16.5" hidden="1" customHeight="1">
      <c r="A825" s="896"/>
      <c r="B825" s="902"/>
      <c r="C825" s="897">
        <v>1</v>
      </c>
      <c r="D825" s="1263" t="s">
        <v>273</v>
      </c>
      <c r="E825" s="919">
        <v>1</v>
      </c>
      <c r="F825" s="920">
        <v>10.45</v>
      </c>
      <c r="G825" s="920">
        <v>12</v>
      </c>
      <c r="H825" s="920">
        <v>0</v>
      </c>
      <c r="I825" s="1266">
        <f>ROUND(IF(AND(F825:H825),C825*E825*F825*G825*H825,IF(AND(F825,G825),C825*E825*F825*G825,IF(AND(F825,H825),C825*E825*F825*H825,IF(AND(G825,H825),C825*E825*G825*H825,IF(F825,C825*E825*F825,IF(G825,C825*E825*G825,IF(H825,C825*E825*H825,C825*E825))))))),2)</f>
        <v>125.4</v>
      </c>
      <c r="J825" s="955" t="s">
        <v>102</v>
      </c>
      <c r="K825" s="902"/>
      <c r="L825" s="923"/>
      <c r="M825" s="902"/>
      <c r="N825" s="900" t="s">
        <v>2308</v>
      </c>
    </row>
    <row r="826" spans="1:14" s="910" customFormat="1" ht="16.5" hidden="1" customHeight="1">
      <c r="A826" s="896"/>
      <c r="B826" s="902"/>
      <c r="C826" s="897">
        <v>1</v>
      </c>
      <c r="D826" s="1263" t="s">
        <v>273</v>
      </c>
      <c r="E826" s="919">
        <v>1</v>
      </c>
      <c r="F826" s="920">
        <v>3.52</v>
      </c>
      <c r="G826" s="920">
        <v>0.9</v>
      </c>
      <c r="H826" s="920">
        <v>0</v>
      </c>
      <c r="I826" s="1266">
        <f>ROUND(IF(AND(F826:H826),C826*E826*F826*G826*H826,IF(AND(F826,G826),C826*E826*F826*G826,IF(AND(F826,H826),C826*E826*F826*H826,IF(AND(G826,H826),C826*E826*G826*H826,IF(F826,C826*E826*F826,IF(G826,C826*E826*G826,IF(H826,C826*E826*H826,C826*E826))))))),2)</f>
        <v>3.17</v>
      </c>
      <c r="J826" s="955" t="s">
        <v>102</v>
      </c>
      <c r="K826" s="902"/>
      <c r="L826" s="923"/>
      <c r="M826" s="902"/>
      <c r="N826" s="900" t="s">
        <v>2308</v>
      </c>
    </row>
    <row r="827" spans="1:14" s="910" customFormat="1" ht="16.5" hidden="1" customHeight="1">
      <c r="A827" s="896"/>
      <c r="B827" s="956"/>
      <c r="C827" s="957"/>
      <c r="D827" s="958"/>
      <c r="E827" s="1268"/>
      <c r="F827" s="960"/>
      <c r="G827" s="960"/>
      <c r="H827" s="960"/>
      <c r="I827" s="916"/>
      <c r="J827" s="955"/>
      <c r="K827" s="902"/>
      <c r="L827" s="923"/>
      <c r="M827" s="902"/>
      <c r="N827" s="900" t="s">
        <v>2308</v>
      </c>
    </row>
    <row r="828" spans="1:14" ht="15.75" hidden="1">
      <c r="A828" s="896"/>
      <c r="B828" s="902"/>
      <c r="C828" s="917"/>
      <c r="D828" s="918"/>
      <c r="E828" s="919"/>
      <c r="F828" s="920"/>
      <c r="G828" s="921"/>
      <c r="H828" s="896"/>
      <c r="I828" s="916"/>
      <c r="J828" s="955" t="s">
        <v>102</v>
      </c>
      <c r="K828" s="922">
        <f>data!E2417</f>
        <v>380.75</v>
      </c>
      <c r="L828" s="923" t="s">
        <v>2308</v>
      </c>
      <c r="M828" s="924">
        <f>ROUND(I828*K828,0)</f>
        <v>0</v>
      </c>
      <c r="N828" s="900" t="s">
        <v>2308</v>
      </c>
    </row>
    <row r="829" spans="1:14" ht="64.5" hidden="1" customHeight="1">
      <c r="A829" s="896">
        <v>14</v>
      </c>
      <c r="B829" s="1609" t="s">
        <v>1313</v>
      </c>
      <c r="C829" s="1609"/>
      <c r="D829" s="1609"/>
      <c r="E829" s="1609"/>
      <c r="F829" s="1609"/>
      <c r="G829" s="1609"/>
      <c r="H829" s="1609"/>
      <c r="I829" s="897"/>
      <c r="J829" s="898"/>
      <c r="K829" s="896"/>
      <c r="L829" s="923"/>
      <c r="M829" s="899"/>
      <c r="N829" s="900" t="s">
        <v>2309</v>
      </c>
    </row>
    <row r="830" spans="1:14" s="910" customFormat="1" ht="16.5" hidden="1" customHeight="1">
      <c r="A830" s="896"/>
      <c r="B830" s="902" t="s">
        <v>3560</v>
      </c>
      <c r="C830" s="897"/>
      <c r="D830" s="1263"/>
      <c r="E830" s="919"/>
      <c r="F830" s="920"/>
      <c r="G830" s="920"/>
      <c r="H830" s="920"/>
      <c r="I830" s="1264"/>
      <c r="J830" s="955"/>
      <c r="K830" s="902"/>
      <c r="L830" s="923"/>
      <c r="M830" s="902"/>
      <c r="N830" s="900" t="s">
        <v>2309</v>
      </c>
    </row>
    <row r="831" spans="1:14" s="910" customFormat="1" ht="16.5" hidden="1" customHeight="1">
      <c r="A831" s="896"/>
      <c r="B831" s="902"/>
      <c r="C831" s="897">
        <v>1</v>
      </c>
      <c r="D831" s="1263" t="s">
        <v>273</v>
      </c>
      <c r="E831" s="919">
        <v>1</v>
      </c>
      <c r="F831" s="920">
        <v>10.45</v>
      </c>
      <c r="G831" s="920">
        <v>12</v>
      </c>
      <c r="H831" s="920">
        <v>0</v>
      </c>
      <c r="I831" s="1266">
        <f>ROUND(IF(AND(F831:H831),C831*E831*F831*G831*H831,IF(AND(F831,G831),C831*E831*F831*G831,IF(AND(F831,H831),C831*E831*F831*H831,IF(AND(G831,H831),C831*E831*G831*H831,IF(F831,C831*E831*F831,IF(G831,C831*E831*G831,IF(H831,C831*E831*H831,C831*E831))))))),2)</f>
        <v>125.4</v>
      </c>
      <c r="J831" s="955" t="s">
        <v>102</v>
      </c>
      <c r="K831" s="902"/>
      <c r="L831" s="923"/>
      <c r="M831" s="902"/>
      <c r="N831" s="900" t="s">
        <v>2309</v>
      </c>
    </row>
    <row r="832" spans="1:14" s="910" customFormat="1" ht="16.5" hidden="1" customHeight="1">
      <c r="A832" s="896"/>
      <c r="B832" s="902"/>
      <c r="C832" s="897">
        <v>1</v>
      </c>
      <c r="D832" s="1263" t="s">
        <v>273</v>
      </c>
      <c r="E832" s="919">
        <v>1</v>
      </c>
      <c r="F832" s="920">
        <v>3.52</v>
      </c>
      <c r="G832" s="920">
        <v>0.9</v>
      </c>
      <c r="H832" s="920">
        <v>0</v>
      </c>
      <c r="I832" s="1266">
        <f>ROUND(IF(AND(F832:H832),C832*E832*F832*G832*H832,IF(AND(F832,G832),C832*E832*F832*G832,IF(AND(F832,H832),C832*E832*F832*H832,IF(AND(G832,H832),C832*E832*G832*H832,IF(F832,C832*E832*F832,IF(G832,C832*E832*G832,IF(H832,C832*E832*H832,C832*E832))))))),2)</f>
        <v>3.17</v>
      </c>
      <c r="J832" s="955" t="s">
        <v>102</v>
      </c>
      <c r="K832" s="902"/>
      <c r="L832" s="923"/>
      <c r="M832" s="902"/>
      <c r="N832" s="900" t="s">
        <v>2309</v>
      </c>
    </row>
    <row r="833" spans="1:14" s="910" customFormat="1" ht="16.5" hidden="1" customHeight="1">
      <c r="A833" s="896"/>
      <c r="B833" s="956"/>
      <c r="C833" s="957"/>
      <c r="D833" s="958"/>
      <c r="E833" s="1268"/>
      <c r="F833" s="960"/>
      <c r="G833" s="960"/>
      <c r="H833" s="960"/>
      <c r="I833" s="916"/>
      <c r="J833" s="955"/>
      <c r="K833" s="902"/>
      <c r="L833" s="923"/>
      <c r="M833" s="902"/>
      <c r="N833" s="900" t="s">
        <v>2309</v>
      </c>
    </row>
    <row r="834" spans="1:14" ht="15.75" hidden="1">
      <c r="A834" s="896"/>
      <c r="B834" s="902"/>
      <c r="C834" s="917"/>
      <c r="D834" s="918"/>
      <c r="E834" s="919"/>
      <c r="F834" s="920"/>
      <c r="G834" s="921"/>
      <c r="H834" s="896"/>
      <c r="I834" s="916"/>
      <c r="J834" s="955" t="s">
        <v>102</v>
      </c>
      <c r="K834" s="922">
        <f>data!E3334</f>
        <v>405.78</v>
      </c>
      <c r="L834" s="923" t="s">
        <v>2309</v>
      </c>
      <c r="M834" s="924">
        <f>ROUND(I834*K834,0)</f>
        <v>0</v>
      </c>
      <c r="N834" s="900" t="s">
        <v>2309</v>
      </c>
    </row>
    <row r="835" spans="1:14" ht="44.25" hidden="1" customHeight="1">
      <c r="A835" s="896">
        <v>14</v>
      </c>
      <c r="B835" s="1609" t="s">
        <v>1186</v>
      </c>
      <c r="C835" s="1609"/>
      <c r="D835" s="1609"/>
      <c r="E835" s="1609"/>
      <c r="F835" s="1609"/>
      <c r="G835" s="1609"/>
      <c r="H835" s="1609"/>
      <c r="I835" s="897"/>
      <c r="J835" s="898"/>
      <c r="K835" s="896"/>
      <c r="L835" s="923"/>
      <c r="M835" s="899"/>
      <c r="N835" s="900" t="s">
        <v>2209</v>
      </c>
    </row>
    <row r="836" spans="1:14" s="910" customFormat="1" ht="16.5" hidden="1" customHeight="1">
      <c r="A836" s="896"/>
      <c r="B836" s="928" t="s">
        <v>3561</v>
      </c>
      <c r="C836" s="1269"/>
      <c r="D836" s="1279"/>
      <c r="E836" s="1270"/>
      <c r="F836" s="1271"/>
      <c r="G836" s="1271"/>
      <c r="H836" s="1271"/>
      <c r="I836" s="1272"/>
      <c r="J836" s="1267"/>
      <c r="K836" s="902"/>
      <c r="L836" s="896"/>
      <c r="M836" s="902"/>
      <c r="N836" s="900" t="s">
        <v>2209</v>
      </c>
    </row>
    <row r="837" spans="1:14" s="910" customFormat="1" ht="16.5" hidden="1" customHeight="1">
      <c r="A837" s="896"/>
      <c r="B837" s="902" t="s">
        <v>268</v>
      </c>
      <c r="C837" s="897">
        <v>1</v>
      </c>
      <c r="D837" s="1263" t="s">
        <v>273</v>
      </c>
      <c r="E837" s="919">
        <v>1</v>
      </c>
      <c r="F837" s="920">
        <v>48.51</v>
      </c>
      <c r="G837" s="920">
        <v>0.45</v>
      </c>
      <c r="H837" s="920">
        <v>0.7</v>
      </c>
      <c r="I837" s="1266">
        <f>ROUND(IF(AND(F837:H837),C837*E837*F837*G837*H837,IF(AND(F837,G837),C837*E837*F837*G837,IF(AND(F837,H837),C837*E837*F837*H837,IF(AND(G837,H837),C837*E837*G837*H837,IF(F837,C837*E837*F837,IF(G837,C837*E837*G837,IF(H837,C837*E837*H837,C837*E837))))))),2)</f>
        <v>15.28</v>
      </c>
      <c r="J837" s="1267" t="s">
        <v>5</v>
      </c>
      <c r="K837" s="902"/>
      <c r="L837" s="896"/>
      <c r="M837" s="902"/>
      <c r="N837" s="900" t="s">
        <v>2209</v>
      </c>
    </row>
    <row r="838" spans="1:14" s="910" customFormat="1" ht="16.5" hidden="1" customHeight="1">
      <c r="A838" s="896"/>
      <c r="B838" s="902" t="s">
        <v>1601</v>
      </c>
      <c r="C838" s="897">
        <v>1</v>
      </c>
      <c r="D838" s="1263" t="s">
        <v>273</v>
      </c>
      <c r="E838" s="919">
        <v>1</v>
      </c>
      <c r="F838" s="920">
        <v>14.37</v>
      </c>
      <c r="G838" s="920">
        <v>0.45</v>
      </c>
      <c r="H838" s="920">
        <v>0.7</v>
      </c>
      <c r="I838" s="1266">
        <f>ROUND(IF(AND(F838:H838),C838*E838*F838*G838*H838,IF(AND(F838,G838),C838*E838*F838*G838,IF(AND(F838,H838),C838*E838*F838*H838,IF(AND(G838,H838),C838*E838*G838*H838,IF(F838,C838*E838*F838,IF(G838,C838*E838*G838,IF(H838,C838*E838*H838,C838*E838))))))),2)</f>
        <v>4.53</v>
      </c>
      <c r="J838" s="1267" t="s">
        <v>5</v>
      </c>
      <c r="K838" s="902"/>
      <c r="L838" s="896"/>
      <c r="M838" s="902"/>
      <c r="N838" s="900" t="s">
        <v>2209</v>
      </c>
    </row>
    <row r="839" spans="1:14" s="910" customFormat="1" ht="16.5" hidden="1" customHeight="1">
      <c r="A839" s="896"/>
      <c r="B839" s="902" t="s">
        <v>1602</v>
      </c>
      <c r="C839" s="897">
        <v>1</v>
      </c>
      <c r="D839" s="1263" t="s">
        <v>273</v>
      </c>
      <c r="E839" s="919">
        <v>2</v>
      </c>
      <c r="F839" s="920">
        <v>8.3800000000000008</v>
      </c>
      <c r="G839" s="920">
        <v>0.45</v>
      </c>
      <c r="H839" s="920">
        <v>0.7</v>
      </c>
      <c r="I839" s="1266">
        <f>ROUND(IF(AND(F839:H839),C839*E839*F839*G839*H839,IF(AND(F839,G839),C839*E839*F839*G839,IF(AND(F839,H839),C839*E839*F839*H839,IF(AND(G839,H839),C839*E839*G839*H839,IF(F839,C839*E839*F839,IF(G839,C839*E839*G839,IF(H839,C839*E839*H839,C839*E839))))))),2)</f>
        <v>5.28</v>
      </c>
      <c r="J839" s="1267" t="s">
        <v>5</v>
      </c>
      <c r="K839" s="902"/>
      <c r="L839" s="896"/>
      <c r="M839" s="902"/>
      <c r="N839" s="900" t="s">
        <v>2209</v>
      </c>
    </row>
    <row r="840" spans="1:14" s="910" customFormat="1" ht="16.5" hidden="1" customHeight="1">
      <c r="A840" s="896"/>
      <c r="B840" s="956"/>
      <c r="C840" s="957"/>
      <c r="D840" s="958"/>
      <c r="E840" s="1268"/>
      <c r="F840" s="960"/>
      <c r="G840" s="960"/>
      <c r="H840" s="960"/>
      <c r="I840" s="916"/>
      <c r="J840" s="955"/>
      <c r="K840" s="902"/>
      <c r="L840" s="923"/>
      <c r="M840" s="902"/>
      <c r="N840" s="900" t="s">
        <v>2209</v>
      </c>
    </row>
    <row r="841" spans="1:14" ht="15.75" hidden="1">
      <c r="A841" s="896"/>
      <c r="B841" s="902"/>
      <c r="C841" s="917"/>
      <c r="D841" s="918"/>
      <c r="E841" s="919"/>
      <c r="F841" s="920"/>
      <c r="G841" s="921"/>
      <c r="H841" s="896"/>
      <c r="I841" s="916"/>
      <c r="J841" s="955" t="s">
        <v>5</v>
      </c>
      <c r="K841" s="922">
        <f>data!G359</f>
        <v>3154.94</v>
      </c>
      <c r="L841" s="923" t="s">
        <v>2209</v>
      </c>
      <c r="M841" s="924">
        <f>ROUND(I841*K841,0)</f>
        <v>0</v>
      </c>
      <c r="N841" s="900" t="s">
        <v>2209</v>
      </c>
    </row>
    <row r="842" spans="1:14" ht="44.25" hidden="1" customHeight="1">
      <c r="A842" s="896">
        <v>14</v>
      </c>
      <c r="B842" s="1609" t="s">
        <v>1186</v>
      </c>
      <c r="C842" s="1609"/>
      <c r="D842" s="1609"/>
      <c r="E842" s="1609"/>
      <c r="F842" s="1609"/>
      <c r="G842" s="1609"/>
      <c r="H842" s="1609"/>
      <c r="I842" s="897"/>
      <c r="J842" s="898"/>
      <c r="K842" s="896"/>
      <c r="L842" s="923"/>
      <c r="M842" s="899"/>
      <c r="N842" s="900" t="s">
        <v>2297</v>
      </c>
    </row>
    <row r="843" spans="1:14" s="910" customFormat="1" ht="16.5" hidden="1" customHeight="1">
      <c r="A843" s="896"/>
      <c r="B843" s="928" t="s">
        <v>3561</v>
      </c>
      <c r="C843" s="1269"/>
      <c r="D843" s="1279"/>
      <c r="E843" s="1270"/>
      <c r="F843" s="1271"/>
      <c r="G843" s="1271"/>
      <c r="H843" s="1271"/>
      <c r="I843" s="1272"/>
      <c r="J843" s="1267"/>
      <c r="K843" s="902"/>
      <c r="L843" s="896"/>
      <c r="M843" s="902"/>
      <c r="N843" s="900" t="s">
        <v>2297</v>
      </c>
    </row>
    <row r="844" spans="1:14" s="910" customFormat="1" ht="16.5" hidden="1" customHeight="1">
      <c r="A844" s="896"/>
      <c r="B844" s="902" t="s">
        <v>268</v>
      </c>
      <c r="C844" s="897">
        <v>1</v>
      </c>
      <c r="D844" s="1263" t="s">
        <v>273</v>
      </c>
      <c r="E844" s="919">
        <v>1</v>
      </c>
      <c r="F844" s="920">
        <v>48.51</v>
      </c>
      <c r="G844" s="920">
        <v>0.45</v>
      </c>
      <c r="H844" s="920">
        <v>0.7</v>
      </c>
      <c r="I844" s="1266">
        <f>ROUND(IF(AND(F844:H844),C844*E844*F844*G844*H844,IF(AND(F844,G844),C844*E844*F844*G844,IF(AND(F844,H844),C844*E844*F844*H844,IF(AND(G844,H844),C844*E844*G844*H844,IF(F844,C844*E844*F844,IF(G844,C844*E844*G844,IF(H844,C844*E844*H844,C844*E844))))))),2)</f>
        <v>15.28</v>
      </c>
      <c r="J844" s="1267" t="s">
        <v>5</v>
      </c>
      <c r="K844" s="902"/>
      <c r="L844" s="896"/>
      <c r="M844" s="902"/>
      <c r="N844" s="900" t="s">
        <v>2297</v>
      </c>
    </row>
    <row r="845" spans="1:14" s="910" customFormat="1" ht="16.5" hidden="1" customHeight="1">
      <c r="A845" s="896"/>
      <c r="B845" s="902" t="s">
        <v>1601</v>
      </c>
      <c r="C845" s="897">
        <v>1</v>
      </c>
      <c r="D845" s="1263" t="s">
        <v>273</v>
      </c>
      <c r="E845" s="919">
        <v>1</v>
      </c>
      <c r="F845" s="920">
        <v>14.37</v>
      </c>
      <c r="G845" s="920">
        <v>0.45</v>
      </c>
      <c r="H845" s="920">
        <v>0.7</v>
      </c>
      <c r="I845" s="1266">
        <f>ROUND(IF(AND(F845:H845),C845*E845*F845*G845*H845,IF(AND(F845,G845),C845*E845*F845*G845,IF(AND(F845,H845),C845*E845*F845*H845,IF(AND(G845,H845),C845*E845*G845*H845,IF(F845,C845*E845*F845,IF(G845,C845*E845*G845,IF(H845,C845*E845*H845,C845*E845))))))),2)</f>
        <v>4.53</v>
      </c>
      <c r="J845" s="1267" t="s">
        <v>5</v>
      </c>
      <c r="K845" s="902"/>
      <c r="L845" s="896"/>
      <c r="M845" s="902"/>
      <c r="N845" s="900" t="s">
        <v>2297</v>
      </c>
    </row>
    <row r="846" spans="1:14" s="910" customFormat="1" ht="16.5" hidden="1" customHeight="1">
      <c r="A846" s="896"/>
      <c r="B846" s="902" t="s">
        <v>1602</v>
      </c>
      <c r="C846" s="897">
        <v>1</v>
      </c>
      <c r="D846" s="1263" t="s">
        <v>273</v>
      </c>
      <c r="E846" s="919">
        <v>2</v>
      </c>
      <c r="F846" s="920">
        <v>8.3800000000000008</v>
      </c>
      <c r="G846" s="920">
        <v>0.45</v>
      </c>
      <c r="H846" s="920">
        <v>0.7</v>
      </c>
      <c r="I846" s="1266">
        <f>ROUND(IF(AND(F846:H846),C846*E846*F846*G846*H846,IF(AND(F846,G846),C846*E846*F846*G846,IF(AND(F846,H846),C846*E846*F846*H846,IF(AND(G846,H846),C846*E846*G846*H846,IF(F846,C846*E846*F846,IF(G846,C846*E846*G846,IF(H846,C846*E846*H846,C846*E846))))))),2)</f>
        <v>5.28</v>
      </c>
      <c r="J846" s="1267" t="s">
        <v>5</v>
      </c>
      <c r="K846" s="902"/>
      <c r="L846" s="896"/>
      <c r="M846" s="902"/>
      <c r="N846" s="900" t="s">
        <v>2297</v>
      </c>
    </row>
    <row r="847" spans="1:14" s="910" customFormat="1" ht="16.5" hidden="1" customHeight="1">
      <c r="A847" s="896"/>
      <c r="B847" s="956"/>
      <c r="C847" s="957"/>
      <c r="D847" s="958"/>
      <c r="E847" s="1268"/>
      <c r="F847" s="960"/>
      <c r="G847" s="960"/>
      <c r="H847" s="960"/>
      <c r="I847" s="916"/>
      <c r="J847" s="955"/>
      <c r="K847" s="902"/>
      <c r="L847" s="923"/>
      <c r="M847" s="902"/>
      <c r="N847" s="900" t="s">
        <v>2297</v>
      </c>
    </row>
    <row r="848" spans="1:14" ht="15.75" hidden="1">
      <c r="A848" s="896"/>
      <c r="B848" s="902"/>
      <c r="C848" s="917"/>
      <c r="D848" s="918"/>
      <c r="E848" s="919"/>
      <c r="F848" s="920"/>
      <c r="G848" s="921"/>
      <c r="H848" s="896"/>
      <c r="I848" s="916"/>
      <c r="J848" s="955" t="s">
        <v>5</v>
      </c>
      <c r="K848" s="922">
        <f>data!G1276</f>
        <v>3350.54</v>
      </c>
      <c r="L848" s="923" t="s">
        <v>2297</v>
      </c>
      <c r="M848" s="924">
        <f>ROUND(I848*K848,0)</f>
        <v>0</v>
      </c>
      <c r="N848" s="900" t="s">
        <v>2297</v>
      </c>
    </row>
    <row r="849" spans="1:14" ht="44.25" hidden="1" customHeight="1">
      <c r="A849" s="896">
        <v>14</v>
      </c>
      <c r="B849" s="1609" t="s">
        <v>1186</v>
      </c>
      <c r="C849" s="1609"/>
      <c r="D849" s="1609"/>
      <c r="E849" s="1609"/>
      <c r="F849" s="1609"/>
      <c r="G849" s="1609"/>
      <c r="H849" s="1609"/>
      <c r="I849" s="897"/>
      <c r="J849" s="898"/>
      <c r="K849" s="896"/>
      <c r="L849" s="923"/>
      <c r="M849" s="899"/>
      <c r="N849" s="900" t="s">
        <v>2308</v>
      </c>
    </row>
    <row r="850" spans="1:14" s="910" customFormat="1" ht="16.5" hidden="1" customHeight="1">
      <c r="A850" s="896"/>
      <c r="B850" s="928" t="s">
        <v>3561</v>
      </c>
      <c r="C850" s="1269"/>
      <c r="D850" s="1279"/>
      <c r="E850" s="1270"/>
      <c r="F850" s="1271"/>
      <c r="G850" s="1271"/>
      <c r="H850" s="1271"/>
      <c r="I850" s="1272"/>
      <c r="J850" s="1267"/>
      <c r="K850" s="902"/>
      <c r="L850" s="896"/>
      <c r="M850" s="902"/>
      <c r="N850" s="900" t="s">
        <v>2308</v>
      </c>
    </row>
    <row r="851" spans="1:14" s="910" customFormat="1" ht="16.5" hidden="1" customHeight="1">
      <c r="A851" s="896"/>
      <c r="B851" s="902" t="s">
        <v>268</v>
      </c>
      <c r="C851" s="897">
        <v>1</v>
      </c>
      <c r="D851" s="1263" t="s">
        <v>273</v>
      </c>
      <c r="E851" s="919">
        <v>1</v>
      </c>
      <c r="F851" s="920">
        <v>48.51</v>
      </c>
      <c r="G851" s="920">
        <v>0.45</v>
      </c>
      <c r="H851" s="920">
        <v>0.7</v>
      </c>
      <c r="I851" s="1266">
        <f>ROUND(IF(AND(F851:H851),C851*E851*F851*G851*H851,IF(AND(F851,G851),C851*E851*F851*G851,IF(AND(F851,H851),C851*E851*F851*H851,IF(AND(G851,H851),C851*E851*G851*H851,IF(F851,C851*E851*F851,IF(G851,C851*E851*G851,IF(H851,C851*E851*H851,C851*E851))))))),2)</f>
        <v>15.28</v>
      </c>
      <c r="J851" s="1267" t="s">
        <v>5</v>
      </c>
      <c r="K851" s="902"/>
      <c r="L851" s="896"/>
      <c r="M851" s="902"/>
      <c r="N851" s="900" t="s">
        <v>2308</v>
      </c>
    </row>
    <row r="852" spans="1:14" s="910" customFormat="1" ht="16.5" hidden="1" customHeight="1">
      <c r="A852" s="896"/>
      <c r="B852" s="902" t="s">
        <v>1601</v>
      </c>
      <c r="C852" s="897">
        <v>1</v>
      </c>
      <c r="D852" s="1263" t="s">
        <v>273</v>
      </c>
      <c r="E852" s="919">
        <v>1</v>
      </c>
      <c r="F852" s="920">
        <v>14.37</v>
      </c>
      <c r="G852" s="920">
        <v>0.45</v>
      </c>
      <c r="H852" s="920">
        <v>0.7</v>
      </c>
      <c r="I852" s="1266">
        <f>ROUND(IF(AND(F852:H852),C852*E852*F852*G852*H852,IF(AND(F852,G852),C852*E852*F852*G852,IF(AND(F852,H852),C852*E852*F852*H852,IF(AND(G852,H852),C852*E852*G852*H852,IF(F852,C852*E852*F852,IF(G852,C852*E852*G852,IF(H852,C852*E852*H852,C852*E852))))))),2)</f>
        <v>4.53</v>
      </c>
      <c r="J852" s="1267" t="s">
        <v>5</v>
      </c>
      <c r="K852" s="902"/>
      <c r="L852" s="896"/>
      <c r="M852" s="902"/>
      <c r="N852" s="900" t="s">
        <v>2308</v>
      </c>
    </row>
    <row r="853" spans="1:14" s="910" customFormat="1" ht="16.5" hidden="1" customHeight="1">
      <c r="A853" s="896"/>
      <c r="B853" s="902" t="s">
        <v>1602</v>
      </c>
      <c r="C853" s="897">
        <v>1</v>
      </c>
      <c r="D853" s="1263" t="s">
        <v>273</v>
      </c>
      <c r="E853" s="919">
        <v>2</v>
      </c>
      <c r="F853" s="920">
        <v>8.3800000000000008</v>
      </c>
      <c r="G853" s="920">
        <v>0.45</v>
      </c>
      <c r="H853" s="920">
        <v>0.7</v>
      </c>
      <c r="I853" s="1266">
        <f>ROUND(IF(AND(F853:H853),C853*E853*F853*G853*H853,IF(AND(F853,G853),C853*E853*F853*G853,IF(AND(F853,H853),C853*E853*F853*H853,IF(AND(G853,H853),C853*E853*G853*H853,IF(F853,C853*E853*F853,IF(G853,C853*E853*G853,IF(H853,C853*E853*H853,C853*E853))))))),2)</f>
        <v>5.28</v>
      </c>
      <c r="J853" s="1267" t="s">
        <v>5</v>
      </c>
      <c r="K853" s="902"/>
      <c r="L853" s="896"/>
      <c r="M853" s="902"/>
      <c r="N853" s="900" t="s">
        <v>2308</v>
      </c>
    </row>
    <row r="854" spans="1:14" s="910" customFormat="1" ht="16.5" hidden="1" customHeight="1">
      <c r="A854" s="896"/>
      <c r="B854" s="956"/>
      <c r="C854" s="957"/>
      <c r="D854" s="958"/>
      <c r="E854" s="1268"/>
      <c r="F854" s="960"/>
      <c r="G854" s="960"/>
      <c r="H854" s="960"/>
      <c r="I854" s="916"/>
      <c r="J854" s="955"/>
      <c r="K854" s="902"/>
      <c r="L854" s="923"/>
      <c r="M854" s="902"/>
      <c r="N854" s="900" t="s">
        <v>2308</v>
      </c>
    </row>
    <row r="855" spans="1:14" ht="15.75" hidden="1">
      <c r="A855" s="896"/>
      <c r="B855" s="902"/>
      <c r="C855" s="917"/>
      <c r="D855" s="918"/>
      <c r="E855" s="919"/>
      <c r="F855" s="920"/>
      <c r="G855" s="921"/>
      <c r="H855" s="896"/>
      <c r="I855" s="916"/>
      <c r="J855" s="955" t="s">
        <v>5</v>
      </c>
      <c r="K855" s="922">
        <f>data!G2193</f>
        <v>3615.1600000000003</v>
      </c>
      <c r="L855" s="923" t="s">
        <v>2308</v>
      </c>
      <c r="M855" s="924">
        <f>ROUND(I855*K855,0)</f>
        <v>0</v>
      </c>
      <c r="N855" s="900" t="s">
        <v>2308</v>
      </c>
    </row>
    <row r="856" spans="1:14" ht="44.25" hidden="1" customHeight="1">
      <c r="A856" s="896">
        <v>14</v>
      </c>
      <c r="B856" s="1609" t="s">
        <v>1186</v>
      </c>
      <c r="C856" s="1609"/>
      <c r="D856" s="1609"/>
      <c r="E856" s="1609"/>
      <c r="F856" s="1609"/>
      <c r="G856" s="1609"/>
      <c r="H856" s="1609"/>
      <c r="I856" s="897"/>
      <c r="J856" s="898"/>
      <c r="K856" s="896"/>
      <c r="L856" s="923"/>
      <c r="M856" s="899"/>
      <c r="N856" s="900" t="s">
        <v>2309</v>
      </c>
    </row>
    <row r="857" spans="1:14" s="910" customFormat="1" ht="16.5" hidden="1" customHeight="1">
      <c r="A857" s="896"/>
      <c r="B857" s="928" t="s">
        <v>3561</v>
      </c>
      <c r="C857" s="1269"/>
      <c r="D857" s="1279"/>
      <c r="E857" s="1270"/>
      <c r="F857" s="1271"/>
      <c r="G857" s="1271"/>
      <c r="H857" s="1271"/>
      <c r="I857" s="1272"/>
      <c r="J857" s="1267"/>
      <c r="K857" s="902"/>
      <c r="L857" s="896"/>
      <c r="M857" s="902"/>
      <c r="N857" s="900" t="s">
        <v>2309</v>
      </c>
    </row>
    <row r="858" spans="1:14" s="910" customFormat="1" ht="16.5" hidden="1" customHeight="1">
      <c r="A858" s="896"/>
      <c r="B858" s="902" t="s">
        <v>268</v>
      </c>
      <c r="C858" s="897">
        <v>1</v>
      </c>
      <c r="D858" s="1263" t="s">
        <v>273</v>
      </c>
      <c r="E858" s="919">
        <v>1</v>
      </c>
      <c r="F858" s="920">
        <v>48.51</v>
      </c>
      <c r="G858" s="920">
        <v>0.45</v>
      </c>
      <c r="H858" s="920">
        <v>0.7</v>
      </c>
      <c r="I858" s="1266">
        <f>ROUND(IF(AND(F858:H858),C858*E858*F858*G858*H858,IF(AND(F858,G858),C858*E858*F858*G858,IF(AND(F858,H858),C858*E858*F858*H858,IF(AND(G858,H858),C858*E858*G858*H858,IF(F858,C858*E858*F858,IF(G858,C858*E858*G858,IF(H858,C858*E858*H858,C858*E858))))))),2)</f>
        <v>15.28</v>
      </c>
      <c r="J858" s="1267" t="s">
        <v>5</v>
      </c>
      <c r="K858" s="902"/>
      <c r="L858" s="896"/>
      <c r="M858" s="902"/>
      <c r="N858" s="900" t="s">
        <v>2309</v>
      </c>
    </row>
    <row r="859" spans="1:14" s="910" customFormat="1" ht="16.5" hidden="1" customHeight="1">
      <c r="A859" s="896"/>
      <c r="B859" s="902" t="s">
        <v>1601</v>
      </c>
      <c r="C859" s="897">
        <v>1</v>
      </c>
      <c r="D859" s="1263" t="s">
        <v>273</v>
      </c>
      <c r="E859" s="919">
        <v>1</v>
      </c>
      <c r="F859" s="920">
        <v>14.37</v>
      </c>
      <c r="G859" s="920">
        <v>0.45</v>
      </c>
      <c r="H859" s="920">
        <v>0.7</v>
      </c>
      <c r="I859" s="1266">
        <f>ROUND(IF(AND(F859:H859),C859*E859*F859*G859*H859,IF(AND(F859,G859),C859*E859*F859*G859,IF(AND(F859,H859),C859*E859*F859*H859,IF(AND(G859,H859),C859*E859*G859*H859,IF(F859,C859*E859*F859,IF(G859,C859*E859*G859,IF(H859,C859*E859*H859,C859*E859))))))),2)</f>
        <v>4.53</v>
      </c>
      <c r="J859" s="1267" t="s">
        <v>5</v>
      </c>
      <c r="K859" s="902"/>
      <c r="L859" s="896"/>
      <c r="M859" s="902"/>
      <c r="N859" s="900" t="s">
        <v>2309</v>
      </c>
    </row>
    <row r="860" spans="1:14" s="910" customFormat="1" ht="16.5" hidden="1" customHeight="1">
      <c r="A860" s="896"/>
      <c r="B860" s="902" t="s">
        <v>1602</v>
      </c>
      <c r="C860" s="897">
        <v>1</v>
      </c>
      <c r="D860" s="1263" t="s">
        <v>273</v>
      </c>
      <c r="E860" s="919">
        <v>2</v>
      </c>
      <c r="F860" s="920">
        <v>8.3800000000000008</v>
      </c>
      <c r="G860" s="920">
        <v>0.45</v>
      </c>
      <c r="H860" s="920">
        <v>0.7</v>
      </c>
      <c r="I860" s="1266">
        <f>ROUND(IF(AND(F860:H860),C860*E860*F860*G860*H860,IF(AND(F860,G860),C860*E860*F860*G860,IF(AND(F860,H860),C860*E860*F860*H860,IF(AND(G860,H860),C860*E860*G860*H860,IF(F860,C860*E860*F860,IF(G860,C860*E860*G860,IF(H860,C860*E860*H860,C860*E860))))))),2)</f>
        <v>5.28</v>
      </c>
      <c r="J860" s="1267" t="s">
        <v>5</v>
      </c>
      <c r="K860" s="902"/>
      <c r="L860" s="896"/>
      <c r="M860" s="902"/>
      <c r="N860" s="900" t="s">
        <v>2309</v>
      </c>
    </row>
    <row r="861" spans="1:14" s="910" customFormat="1" ht="16.5" hidden="1" customHeight="1">
      <c r="A861" s="896"/>
      <c r="B861" s="956"/>
      <c r="C861" s="957"/>
      <c r="D861" s="958"/>
      <c r="E861" s="1268"/>
      <c r="F861" s="960"/>
      <c r="G861" s="960"/>
      <c r="H861" s="960"/>
      <c r="I861" s="916"/>
      <c r="J861" s="955"/>
      <c r="K861" s="902"/>
      <c r="L861" s="923"/>
      <c r="M861" s="902"/>
      <c r="N861" s="900" t="s">
        <v>2309</v>
      </c>
    </row>
    <row r="862" spans="1:14" ht="15.75" hidden="1">
      <c r="A862" s="896"/>
      <c r="B862" s="902"/>
      <c r="C862" s="917"/>
      <c r="D862" s="918"/>
      <c r="E862" s="919"/>
      <c r="F862" s="920"/>
      <c r="G862" s="921"/>
      <c r="H862" s="896"/>
      <c r="I862" s="916"/>
      <c r="J862" s="955" t="s">
        <v>5</v>
      </c>
      <c r="K862" s="922">
        <f>data!G3110</f>
        <v>3828.3500000000004</v>
      </c>
      <c r="L862" s="923" t="s">
        <v>2309</v>
      </c>
      <c r="M862" s="924">
        <f>ROUND(I862*K862,0)</f>
        <v>0</v>
      </c>
      <c r="N862" s="900" t="s">
        <v>2309</v>
      </c>
    </row>
    <row r="863" spans="1:14" s="1403" customFormat="1" ht="69.75" customHeight="1">
      <c r="A863" s="1397">
        <v>16</v>
      </c>
      <c r="B863" s="1610" t="s">
        <v>306</v>
      </c>
      <c r="C863" s="1610"/>
      <c r="D863" s="1610"/>
      <c r="E863" s="1610"/>
      <c r="F863" s="1610"/>
      <c r="G863" s="1610"/>
      <c r="H863" s="1610"/>
      <c r="I863" s="1398"/>
      <c r="J863" s="1399"/>
      <c r="K863" s="1397"/>
      <c r="L863" s="1400"/>
      <c r="M863" s="1401"/>
      <c r="N863" s="1402" t="s">
        <v>2209</v>
      </c>
    </row>
    <row r="864" spans="1:14" s="1411" customFormat="1" ht="16.5" customHeight="1">
      <c r="A864" s="1397"/>
      <c r="B864" s="1404" t="s">
        <v>3910</v>
      </c>
      <c r="C864" s="1405"/>
      <c r="D864" s="1395" t="s">
        <v>4008</v>
      </c>
      <c r="E864" s="1406"/>
      <c r="F864" s="1407"/>
      <c r="G864" s="1407"/>
      <c r="H864" s="1407"/>
      <c r="I864" s="1408"/>
      <c r="J864" s="1409"/>
      <c r="K864" s="1410"/>
      <c r="L864" s="1400"/>
      <c r="M864" s="1410"/>
      <c r="N864" s="1402" t="s">
        <v>2209</v>
      </c>
    </row>
    <row r="865" spans="1:14" s="1411" customFormat="1" ht="16.5" customHeight="1">
      <c r="A865" s="1397"/>
      <c r="B865" s="1410" t="s">
        <v>2129</v>
      </c>
      <c r="C865" s="1398">
        <v>1</v>
      </c>
      <c r="D865" s="1412" t="s">
        <v>273</v>
      </c>
      <c r="E865" s="1413">
        <v>1</v>
      </c>
      <c r="F865" s="1414">
        <v>13.66</v>
      </c>
      <c r="G865" s="1414">
        <v>0.35</v>
      </c>
      <c r="H865" s="1414">
        <v>1.35</v>
      </c>
      <c r="I865" s="1415">
        <f t="shared" ref="I865:I867" si="80">ROUND(IF(AND(F865:H865),C865*E865*F865*G865*H865,IF(AND(F865,G865),C865*E865*F865*G865,IF(AND(F865,H865),C865*E865*F865*H865,IF(AND(G865,H865),C865*E865*G865*H865,IF(F865,C865*E865*F865,IF(G865,C865*E865*G865,IF(H865,C865*E865*H865,C865*E865))))))),2)</f>
        <v>6.45</v>
      </c>
      <c r="J865" s="1416" t="s">
        <v>5</v>
      </c>
      <c r="K865" s="1410"/>
      <c r="L865" s="1400"/>
      <c r="M865" s="1410"/>
      <c r="N865" s="1402" t="s">
        <v>2209</v>
      </c>
    </row>
    <row r="866" spans="1:14" s="1411" customFormat="1" ht="16.5" customHeight="1">
      <c r="A866" s="1397"/>
      <c r="B866" s="1410"/>
      <c r="C866" s="1398">
        <v>1</v>
      </c>
      <c r="D866" s="1412" t="s">
        <v>273</v>
      </c>
      <c r="E866" s="1413">
        <v>1</v>
      </c>
      <c r="F866" s="1414">
        <v>13.66</v>
      </c>
      <c r="G866" s="1414">
        <v>0.35</v>
      </c>
      <c r="H866" s="1414">
        <v>1.35</v>
      </c>
      <c r="I866" s="1415">
        <f t="shared" si="80"/>
        <v>6.45</v>
      </c>
      <c r="J866" s="1416" t="s">
        <v>5</v>
      </c>
      <c r="K866" s="1410"/>
      <c r="L866" s="1400"/>
      <c r="M866" s="1410"/>
      <c r="N866" s="1402" t="s">
        <v>2209</v>
      </c>
    </row>
    <row r="867" spans="1:14" s="1411" customFormat="1" ht="16.5" customHeight="1">
      <c r="A867" s="1397"/>
      <c r="B867" s="1410" t="s">
        <v>3911</v>
      </c>
      <c r="C867" s="1398">
        <v>1</v>
      </c>
      <c r="D867" s="1412" t="s">
        <v>273</v>
      </c>
      <c r="E867" s="1413">
        <v>2</v>
      </c>
      <c r="F867" s="1414">
        <v>5.81</v>
      </c>
      <c r="G867" s="1414">
        <v>0.35</v>
      </c>
      <c r="H867" s="1414">
        <v>1.35</v>
      </c>
      <c r="I867" s="1415">
        <f t="shared" si="80"/>
        <v>5.49</v>
      </c>
      <c r="J867" s="1416" t="s">
        <v>5</v>
      </c>
      <c r="K867" s="1410"/>
      <c r="L867" s="1400"/>
      <c r="M867" s="1410"/>
      <c r="N867" s="1402" t="s">
        <v>2209</v>
      </c>
    </row>
    <row r="868" spans="1:14" s="1411" customFormat="1" ht="16.5" customHeight="1">
      <c r="A868" s="1397"/>
      <c r="B868" s="1410" t="s">
        <v>2890</v>
      </c>
      <c r="C868" s="1398">
        <v>1</v>
      </c>
      <c r="D868" s="1412" t="s">
        <v>273</v>
      </c>
      <c r="E868" s="1413">
        <v>12</v>
      </c>
      <c r="F868" s="1414">
        <v>0.23</v>
      </c>
      <c r="G868" s="1414">
        <v>0.38</v>
      </c>
      <c r="H868" s="1414">
        <v>1.35</v>
      </c>
      <c r="I868" s="1415">
        <f>-ROUND(IF(AND(F868:H868),C868*E868*F868*G868*H868,IF(AND(F868,G868),C868*E868*F868*G868,IF(AND(F868,H868),C868*E868*F868*H868,IF(AND(G868,H868),C868*E868*G868*H868,IF(F868,C868*E868*F868,IF(G868,C868*E868*G868,IF(H868,C868*E868*H868,C868*E868))))))),2)</f>
        <v>-1.42</v>
      </c>
      <c r="J868" s="1416" t="s">
        <v>5</v>
      </c>
      <c r="K868" s="1410"/>
      <c r="L868" s="1400"/>
      <c r="M868" s="1410"/>
      <c r="N868" s="1402" t="s">
        <v>2209</v>
      </c>
    </row>
    <row r="869" spans="1:14" s="1411" customFormat="1" ht="16.5" customHeight="1">
      <c r="A869" s="1397"/>
      <c r="B869" s="1404" t="s">
        <v>4004</v>
      </c>
      <c r="C869" s="1405"/>
      <c r="D869" s="1395" t="s">
        <v>4011</v>
      </c>
      <c r="E869" s="1406"/>
      <c r="F869" s="1407"/>
      <c r="G869" s="1407"/>
      <c r="H869" s="1407"/>
      <c r="I869" s="1408"/>
      <c r="J869" s="1409"/>
      <c r="K869" s="1410"/>
      <c r="L869" s="1400"/>
      <c r="M869" s="1410"/>
      <c r="N869" s="1402" t="s">
        <v>2209</v>
      </c>
    </row>
    <row r="870" spans="1:14" s="1411" customFormat="1" ht="16.5" customHeight="1">
      <c r="A870" s="1397"/>
      <c r="B870" s="1410" t="s">
        <v>578</v>
      </c>
      <c r="C870" s="1398">
        <v>1</v>
      </c>
      <c r="D870" s="1412" t="s">
        <v>273</v>
      </c>
      <c r="E870" s="1413">
        <v>1</v>
      </c>
      <c r="F870" s="1414">
        <v>1.2</v>
      </c>
      <c r="G870" s="1414">
        <v>0.23</v>
      </c>
      <c r="H870" s="1414">
        <v>1</v>
      </c>
      <c r="I870" s="1415">
        <f t="shared" ref="I870:I874" si="81">ROUND(IF(AND(F870:H870),C870*E870*F870*G870*H870,IF(AND(F870,G870),C870*E870*F870*G870,IF(AND(F870,H870),C870*E870*F870*H870,IF(AND(G870,H870),C870*E870*G870*H870,IF(F870,C870*E870*F870,IF(G870,C870*E870*G870,IF(H870,C870*E870*H870,C870*E870))))))),2)</f>
        <v>0.28000000000000003</v>
      </c>
      <c r="J870" s="1416" t="s">
        <v>5</v>
      </c>
      <c r="K870" s="1410"/>
      <c r="L870" s="1400"/>
      <c r="M870" s="1410"/>
      <c r="N870" s="1402" t="s">
        <v>2209</v>
      </c>
    </row>
    <row r="871" spans="1:14" s="1411" customFormat="1" ht="16.5" customHeight="1">
      <c r="A871" s="1397"/>
      <c r="B871" s="1410"/>
      <c r="C871" s="1398">
        <v>1</v>
      </c>
      <c r="D871" s="1412" t="s">
        <v>273</v>
      </c>
      <c r="E871" s="1413">
        <v>1</v>
      </c>
      <c r="F871" s="1414">
        <v>4.67</v>
      </c>
      <c r="G871" s="1414">
        <v>0.23</v>
      </c>
      <c r="H871" s="1414">
        <v>1</v>
      </c>
      <c r="I871" s="1415">
        <f t="shared" si="81"/>
        <v>1.07</v>
      </c>
      <c r="J871" s="1416" t="s">
        <v>5</v>
      </c>
      <c r="K871" s="1410"/>
      <c r="L871" s="1400"/>
      <c r="M871" s="1410"/>
      <c r="N871" s="1402" t="s">
        <v>2209</v>
      </c>
    </row>
    <row r="872" spans="1:14" s="1411" customFormat="1" ht="16.5" customHeight="1">
      <c r="A872" s="1397"/>
      <c r="B872" s="1410"/>
      <c r="C872" s="1398">
        <v>1</v>
      </c>
      <c r="D872" s="1412" t="s">
        <v>273</v>
      </c>
      <c r="E872" s="1413">
        <v>1</v>
      </c>
      <c r="F872" s="1414">
        <v>12.5</v>
      </c>
      <c r="G872" s="1414">
        <v>0.23</v>
      </c>
      <c r="H872" s="1414">
        <v>1</v>
      </c>
      <c r="I872" s="1415">
        <f t="shared" si="81"/>
        <v>2.88</v>
      </c>
      <c r="J872" s="1416" t="s">
        <v>5</v>
      </c>
      <c r="K872" s="1410"/>
      <c r="L872" s="1400"/>
      <c r="M872" s="1410"/>
      <c r="N872" s="1402" t="s">
        <v>2209</v>
      </c>
    </row>
    <row r="873" spans="1:14" s="1411" customFormat="1" ht="16.5" customHeight="1">
      <c r="A873" s="1397"/>
      <c r="B873" s="1410"/>
      <c r="C873" s="1398">
        <v>1</v>
      </c>
      <c r="D873" s="1412" t="s">
        <v>273</v>
      </c>
      <c r="E873" s="1413">
        <v>1</v>
      </c>
      <c r="F873" s="1414">
        <v>5</v>
      </c>
      <c r="G873" s="1414">
        <v>0.23</v>
      </c>
      <c r="H873" s="1414">
        <v>1</v>
      </c>
      <c r="I873" s="1415">
        <f t="shared" si="81"/>
        <v>1.1499999999999999</v>
      </c>
      <c r="J873" s="1416" t="s">
        <v>5</v>
      </c>
      <c r="K873" s="1410"/>
      <c r="L873" s="1400"/>
      <c r="M873" s="1410"/>
      <c r="N873" s="1402" t="s">
        <v>2209</v>
      </c>
    </row>
    <row r="874" spans="1:14" s="1411" customFormat="1" ht="16.5" customHeight="1">
      <c r="A874" s="1397"/>
      <c r="B874" s="1410"/>
      <c r="C874" s="1398">
        <v>1</v>
      </c>
      <c r="D874" s="1412" t="s">
        <v>273</v>
      </c>
      <c r="E874" s="1413">
        <v>1</v>
      </c>
      <c r="F874" s="1414">
        <v>0.97</v>
      </c>
      <c r="G874" s="1414">
        <v>0.23</v>
      </c>
      <c r="H874" s="1414">
        <v>1</v>
      </c>
      <c r="I874" s="1415">
        <f t="shared" si="81"/>
        <v>0.22</v>
      </c>
      <c r="J874" s="1416" t="s">
        <v>5</v>
      </c>
      <c r="K874" s="1410"/>
      <c r="L874" s="1400"/>
      <c r="M874" s="1410"/>
      <c r="N874" s="1402" t="s">
        <v>2209</v>
      </c>
    </row>
    <row r="875" spans="1:14" s="1411" customFormat="1" ht="16.5" customHeight="1">
      <c r="A875" s="1397"/>
      <c r="B875" s="1425"/>
      <c r="C875" s="1426"/>
      <c r="D875" s="1427"/>
      <c r="E875" s="1428"/>
      <c r="F875" s="1429"/>
      <c r="G875" s="1429"/>
      <c r="H875" s="1429"/>
      <c r="I875" s="1430"/>
      <c r="J875" s="1423"/>
      <c r="K875" s="1410"/>
      <c r="L875" s="1400"/>
      <c r="M875" s="1410"/>
      <c r="N875" s="1402" t="s">
        <v>2209</v>
      </c>
    </row>
    <row r="876" spans="1:14" s="1403" customFormat="1" ht="15.75">
      <c r="A876" s="1397"/>
      <c r="B876" s="1410"/>
      <c r="C876" s="1431"/>
      <c r="D876" s="1432"/>
      <c r="E876" s="1413"/>
      <c r="F876" s="1414"/>
      <c r="G876" s="1433"/>
      <c r="H876" s="1397"/>
      <c r="I876" s="1430">
        <f>SUM(I865:I875)</f>
        <v>22.569999999999997</v>
      </c>
      <c r="J876" s="1423" t="s">
        <v>5</v>
      </c>
      <c r="K876" s="1434">
        <f>data!E393</f>
        <v>5588.9500000000007</v>
      </c>
      <c r="L876" s="1400" t="s">
        <v>2209</v>
      </c>
      <c r="M876" s="1435">
        <f>ROUND(I876*K876,0)</f>
        <v>126143</v>
      </c>
      <c r="N876" s="1402" t="s">
        <v>2209</v>
      </c>
    </row>
    <row r="877" spans="1:14" ht="69.75" hidden="1" customHeight="1">
      <c r="A877" s="896">
        <v>22</v>
      </c>
      <c r="B877" s="1612" t="s">
        <v>306</v>
      </c>
      <c r="C877" s="1613"/>
      <c r="D877" s="1613"/>
      <c r="E877" s="1613"/>
      <c r="F877" s="1613"/>
      <c r="G877" s="1613"/>
      <c r="H877" s="1614"/>
      <c r="I877" s="897"/>
      <c r="J877" s="898"/>
      <c r="K877" s="896"/>
      <c r="L877" s="923"/>
      <c r="M877" s="899"/>
      <c r="N877" s="900" t="s">
        <v>2297</v>
      </c>
    </row>
    <row r="878" spans="1:14" s="910" customFormat="1" ht="16.5" hidden="1" customHeight="1">
      <c r="A878" s="896"/>
      <c r="B878" s="902" t="s">
        <v>3746</v>
      </c>
      <c r="C878" s="897"/>
      <c r="D878" s="954" t="s">
        <v>3812</v>
      </c>
      <c r="E878" s="919"/>
      <c r="F878" s="920"/>
      <c r="G878" s="920"/>
      <c r="H878" s="920"/>
      <c r="I878" s="1264"/>
      <c r="J878" s="1265"/>
      <c r="K878" s="902"/>
      <c r="L878" s="923"/>
      <c r="M878" s="902"/>
      <c r="N878" s="900" t="s">
        <v>2297</v>
      </c>
    </row>
    <row r="879" spans="1:14" s="910" customFormat="1" ht="16.5" hidden="1" customHeight="1">
      <c r="A879" s="896"/>
      <c r="B879" s="902" t="s">
        <v>3747</v>
      </c>
      <c r="C879" s="897">
        <v>1</v>
      </c>
      <c r="D879" s="1263" t="s">
        <v>273</v>
      </c>
      <c r="E879" s="919">
        <v>1</v>
      </c>
      <c r="F879" s="920">
        <v>17.850000000000001</v>
      </c>
      <c r="G879" s="920">
        <v>0.23</v>
      </c>
      <c r="H879" s="920">
        <v>0.85</v>
      </c>
      <c r="I879" s="1266">
        <f t="shared" ref="I879:I883" si="82">ROUND(IF(AND(F879:H879),C879*E879*F879*G879*H879,IF(AND(F879,G879),C879*E879*F879*G879,IF(AND(F879,H879),C879*E879*F879*H879,IF(AND(G879,H879),C879*E879*G879*H879,IF(F879,C879*E879*F879,IF(G879,C879*E879*G879,IF(H879,C879*E879*H879,C879*E879))))))),2)</f>
        <v>3.49</v>
      </c>
      <c r="J879" s="1267" t="s">
        <v>5</v>
      </c>
      <c r="K879" s="902"/>
      <c r="L879" s="923"/>
      <c r="M879" s="902"/>
      <c r="N879" s="900" t="s">
        <v>2297</v>
      </c>
    </row>
    <row r="880" spans="1:14" s="910" customFormat="1" ht="16.5" hidden="1" customHeight="1">
      <c r="A880" s="896"/>
      <c r="B880" s="902" t="s">
        <v>2958</v>
      </c>
      <c r="C880" s="897">
        <v>1</v>
      </c>
      <c r="D880" s="1263" t="s">
        <v>273</v>
      </c>
      <c r="E880" s="919">
        <v>1</v>
      </c>
      <c r="F880" s="920">
        <v>5.75</v>
      </c>
      <c r="G880" s="920">
        <v>0.23</v>
      </c>
      <c r="H880" s="920">
        <v>0.43</v>
      </c>
      <c r="I880" s="1266">
        <f t="shared" si="82"/>
        <v>0.56999999999999995</v>
      </c>
      <c r="J880" s="1267" t="s">
        <v>5</v>
      </c>
      <c r="K880" s="902"/>
      <c r="L880" s="923"/>
      <c r="M880" s="902"/>
      <c r="N880" s="900" t="s">
        <v>2297</v>
      </c>
    </row>
    <row r="881" spans="1:14" s="910" customFormat="1" ht="16.5" hidden="1" customHeight="1">
      <c r="A881" s="896"/>
      <c r="B881" s="902" t="s">
        <v>3748</v>
      </c>
      <c r="C881" s="897">
        <v>1</v>
      </c>
      <c r="D881" s="1263" t="s">
        <v>273</v>
      </c>
      <c r="E881" s="919">
        <v>4</v>
      </c>
      <c r="F881" s="920">
        <v>0.5</v>
      </c>
      <c r="G881" s="920">
        <v>0.115</v>
      </c>
      <c r="H881" s="920">
        <v>0.8</v>
      </c>
      <c r="I881" s="1266">
        <f t="shared" si="82"/>
        <v>0.18</v>
      </c>
      <c r="J881" s="1267" t="s">
        <v>5</v>
      </c>
      <c r="K881" s="902"/>
      <c r="L881" s="923"/>
      <c r="M881" s="902"/>
      <c r="N881" s="900" t="s">
        <v>2297</v>
      </c>
    </row>
    <row r="882" spans="1:14" s="910" customFormat="1" ht="16.5" hidden="1" customHeight="1">
      <c r="A882" s="896"/>
      <c r="B882" s="902" t="s">
        <v>3749</v>
      </c>
      <c r="C882" s="897">
        <v>1</v>
      </c>
      <c r="D882" s="1263" t="s">
        <v>273</v>
      </c>
      <c r="E882" s="919">
        <v>3</v>
      </c>
      <c r="F882" s="920">
        <v>1.2</v>
      </c>
      <c r="G882" s="920">
        <v>0.6</v>
      </c>
      <c r="H882" s="920">
        <v>0.15</v>
      </c>
      <c r="I882" s="1266">
        <f t="shared" si="82"/>
        <v>0.32</v>
      </c>
      <c r="J882" s="1267" t="s">
        <v>5</v>
      </c>
      <c r="K882" s="902"/>
      <c r="L882" s="923"/>
      <c r="M882" s="902"/>
      <c r="N882" s="900" t="s">
        <v>2297</v>
      </c>
    </row>
    <row r="883" spans="1:14" s="910" customFormat="1" ht="16.5" hidden="1" customHeight="1">
      <c r="A883" s="896"/>
      <c r="B883" s="902" t="s">
        <v>3750</v>
      </c>
      <c r="C883" s="897">
        <v>1</v>
      </c>
      <c r="D883" s="1263" t="s">
        <v>273</v>
      </c>
      <c r="E883" s="919">
        <v>3</v>
      </c>
      <c r="F883" s="920">
        <v>1.2</v>
      </c>
      <c r="G883" s="920">
        <v>0.3</v>
      </c>
      <c r="H883" s="920">
        <v>0.15</v>
      </c>
      <c r="I883" s="1266">
        <f t="shared" si="82"/>
        <v>0.16</v>
      </c>
      <c r="J883" s="1267" t="s">
        <v>5</v>
      </c>
      <c r="K883" s="902"/>
      <c r="L883" s="923"/>
      <c r="M883" s="902"/>
      <c r="N883" s="900" t="s">
        <v>2297</v>
      </c>
    </row>
    <row r="884" spans="1:14" s="910" customFormat="1" ht="16.5" hidden="1" customHeight="1">
      <c r="A884" s="896"/>
      <c r="B884" s="902"/>
      <c r="C884" s="897"/>
      <c r="D884" s="1263"/>
      <c r="E884" s="919"/>
      <c r="F884" s="920"/>
      <c r="G884" s="920"/>
      <c r="H884" s="920"/>
      <c r="I884" s="1266"/>
      <c r="J884" s="1267"/>
      <c r="K884" s="902"/>
      <c r="L884" s="923"/>
      <c r="M884" s="902"/>
      <c r="N884" s="900" t="s">
        <v>2297</v>
      </c>
    </row>
    <row r="885" spans="1:14" ht="15.75" hidden="1">
      <c r="A885" s="896"/>
      <c r="B885" s="902"/>
      <c r="C885" s="917"/>
      <c r="D885" s="918"/>
      <c r="E885" s="919"/>
      <c r="F885" s="920"/>
      <c r="G885" s="921"/>
      <c r="H885" s="896"/>
      <c r="I885" s="916"/>
      <c r="J885" s="955" t="s">
        <v>5</v>
      </c>
      <c r="K885" s="922">
        <f>data!E1310</f>
        <v>5751.7699999999995</v>
      </c>
      <c r="L885" s="923" t="s">
        <v>2297</v>
      </c>
      <c r="M885" s="924">
        <f>ROUND(I885*K885,0)</f>
        <v>0</v>
      </c>
      <c r="N885" s="900" t="s">
        <v>2297</v>
      </c>
    </row>
    <row r="886" spans="1:14" ht="69.75" hidden="1" customHeight="1">
      <c r="A886" s="896">
        <v>23</v>
      </c>
      <c r="B886" s="1609" t="s">
        <v>306</v>
      </c>
      <c r="C886" s="1609"/>
      <c r="D886" s="1609"/>
      <c r="E886" s="1609"/>
      <c r="F886" s="1609"/>
      <c r="G886" s="1609"/>
      <c r="H886" s="1609"/>
      <c r="I886" s="897"/>
      <c r="J886" s="898"/>
      <c r="K886" s="896"/>
      <c r="L886" s="923"/>
      <c r="M886" s="899"/>
      <c r="N886" s="900" t="s">
        <v>2308</v>
      </c>
    </row>
    <row r="887" spans="1:14" s="910" customFormat="1" ht="16.5" hidden="1" customHeight="1">
      <c r="A887" s="896"/>
      <c r="B887" s="902" t="s">
        <v>3782</v>
      </c>
      <c r="C887" s="897"/>
      <c r="D887" s="954" t="s">
        <v>3819</v>
      </c>
      <c r="E887" s="919"/>
      <c r="F887" s="920"/>
      <c r="G887" s="920"/>
      <c r="H887" s="920"/>
      <c r="I887" s="1264"/>
      <c r="J887" s="1265"/>
      <c r="K887" s="902"/>
      <c r="L887" s="923"/>
      <c r="M887" s="902"/>
      <c r="N887" s="900" t="s">
        <v>2308</v>
      </c>
    </row>
    <row r="888" spans="1:14" s="910" customFormat="1" ht="16.5" hidden="1" customHeight="1">
      <c r="A888" s="896"/>
      <c r="B888" s="902" t="s">
        <v>3783</v>
      </c>
      <c r="C888" s="897">
        <v>1</v>
      </c>
      <c r="D888" s="1263" t="s">
        <v>273</v>
      </c>
      <c r="E888" s="919">
        <v>3</v>
      </c>
      <c r="F888" s="920">
        <v>1.2</v>
      </c>
      <c r="G888" s="920">
        <v>0.9</v>
      </c>
      <c r="H888" s="920">
        <v>0.15</v>
      </c>
      <c r="I888" s="1266">
        <f t="shared" ref="I888:I894" si="83">ROUND(IF(AND(F888:H888),C888*E888*F888*G888*H888,IF(AND(F888,G888),C888*E888*F888*G888,IF(AND(F888,H888),C888*E888*F888*H888,IF(AND(G888,H888),C888*E888*G888*H888,IF(F888,C888*E888*F888,IF(G888,C888*E888*G888,IF(H888,C888*E888*H888,C888*E888))))))),2)</f>
        <v>0.49</v>
      </c>
      <c r="J888" s="1267" t="s">
        <v>5</v>
      </c>
      <c r="K888" s="902"/>
      <c r="L888" s="923"/>
      <c r="M888" s="902"/>
      <c r="N888" s="900" t="s">
        <v>2308</v>
      </c>
    </row>
    <row r="889" spans="1:14" s="910" customFormat="1" ht="16.5" hidden="1" customHeight="1">
      <c r="A889" s="896"/>
      <c r="B889" s="902" t="s">
        <v>3784</v>
      </c>
      <c r="C889" s="897">
        <v>1</v>
      </c>
      <c r="D889" s="1263" t="s">
        <v>273</v>
      </c>
      <c r="E889" s="919">
        <v>3</v>
      </c>
      <c r="F889" s="920">
        <v>1.2</v>
      </c>
      <c r="G889" s="920">
        <v>0.6</v>
      </c>
      <c r="H889" s="920">
        <v>0.15</v>
      </c>
      <c r="I889" s="1266">
        <f t="shared" si="83"/>
        <v>0.32</v>
      </c>
      <c r="J889" s="1267" t="s">
        <v>5</v>
      </c>
      <c r="K889" s="902"/>
      <c r="L889" s="923"/>
      <c r="M889" s="902"/>
      <c r="N889" s="900" t="s">
        <v>2308</v>
      </c>
    </row>
    <row r="890" spans="1:14" s="910" customFormat="1" ht="16.5" hidden="1" customHeight="1">
      <c r="A890" s="896"/>
      <c r="B890" s="902" t="s">
        <v>3785</v>
      </c>
      <c r="C890" s="897">
        <v>1</v>
      </c>
      <c r="D890" s="1263" t="s">
        <v>273</v>
      </c>
      <c r="E890" s="919">
        <v>3</v>
      </c>
      <c r="F890" s="920">
        <v>1.2</v>
      </c>
      <c r="G890" s="920">
        <v>0.3</v>
      </c>
      <c r="H890" s="920">
        <v>0.15</v>
      </c>
      <c r="I890" s="1266">
        <f t="shared" si="83"/>
        <v>0.16</v>
      </c>
      <c r="J890" s="1267" t="s">
        <v>5</v>
      </c>
      <c r="K890" s="902"/>
      <c r="L890" s="923"/>
      <c r="M890" s="902"/>
      <c r="N890" s="900" t="s">
        <v>2308</v>
      </c>
    </row>
    <row r="891" spans="1:14" s="910" customFormat="1" ht="16.5" hidden="1" customHeight="1">
      <c r="A891" s="896"/>
      <c r="B891" s="902" t="s">
        <v>3783</v>
      </c>
      <c r="C891" s="897">
        <v>1</v>
      </c>
      <c r="D891" s="1263" t="s">
        <v>273</v>
      </c>
      <c r="E891" s="919">
        <v>2</v>
      </c>
      <c r="F891" s="920">
        <v>1.1000000000000001</v>
      </c>
      <c r="G891" s="920">
        <v>0.6</v>
      </c>
      <c r="H891" s="920">
        <v>0.15</v>
      </c>
      <c r="I891" s="1266">
        <f t="shared" si="83"/>
        <v>0.2</v>
      </c>
      <c r="J891" s="1267" t="s">
        <v>5</v>
      </c>
      <c r="K891" s="902"/>
      <c r="L891" s="923"/>
      <c r="M891" s="902"/>
      <c r="N891" s="900" t="s">
        <v>2308</v>
      </c>
    </row>
    <row r="892" spans="1:14" s="910" customFormat="1" ht="16.5" hidden="1" customHeight="1">
      <c r="A892" s="896"/>
      <c r="B892" s="902" t="s">
        <v>3784</v>
      </c>
      <c r="C892" s="897">
        <v>1</v>
      </c>
      <c r="D892" s="1263" t="s">
        <v>273</v>
      </c>
      <c r="E892" s="919">
        <v>2</v>
      </c>
      <c r="F892" s="920">
        <v>1.1000000000000001</v>
      </c>
      <c r="G892" s="920">
        <v>0.3</v>
      </c>
      <c r="H892" s="920">
        <v>0.15</v>
      </c>
      <c r="I892" s="1266">
        <f t="shared" si="83"/>
        <v>0.1</v>
      </c>
      <c r="J892" s="1267" t="s">
        <v>5</v>
      </c>
      <c r="K892" s="902"/>
      <c r="L892" s="923"/>
      <c r="M892" s="902"/>
      <c r="N892" s="900" t="s">
        <v>2308</v>
      </c>
    </row>
    <row r="893" spans="1:14" s="910" customFormat="1" ht="16.5" hidden="1" customHeight="1">
      <c r="A893" s="896"/>
      <c r="B893" s="902" t="s">
        <v>3786</v>
      </c>
      <c r="C893" s="897">
        <v>1</v>
      </c>
      <c r="D893" s="1263" t="s">
        <v>273</v>
      </c>
      <c r="E893" s="919">
        <v>2</v>
      </c>
      <c r="F893" s="920">
        <v>0.5</v>
      </c>
      <c r="G893" s="920">
        <v>0.115</v>
      </c>
      <c r="H893" s="920">
        <v>0.8</v>
      </c>
      <c r="I893" s="1266">
        <f t="shared" si="83"/>
        <v>0.09</v>
      </c>
      <c r="J893" s="1267" t="s">
        <v>5</v>
      </c>
      <c r="K893" s="902"/>
      <c r="L893" s="923"/>
      <c r="M893" s="902"/>
      <c r="N893" s="900" t="s">
        <v>2308</v>
      </c>
    </row>
    <row r="894" spans="1:14" s="910" customFormat="1" ht="16.5" hidden="1" customHeight="1">
      <c r="A894" s="896"/>
      <c r="B894" s="902" t="s">
        <v>3787</v>
      </c>
      <c r="C894" s="897">
        <v>1</v>
      </c>
      <c r="D894" s="1263" t="s">
        <v>273</v>
      </c>
      <c r="E894" s="919">
        <v>2</v>
      </c>
      <c r="F894" s="920">
        <v>0.45</v>
      </c>
      <c r="G894" s="920">
        <v>0.115</v>
      </c>
      <c r="H894" s="920">
        <v>0.8</v>
      </c>
      <c r="I894" s="1266">
        <f t="shared" si="83"/>
        <v>0.08</v>
      </c>
      <c r="J894" s="1267" t="s">
        <v>5</v>
      </c>
      <c r="K894" s="902"/>
      <c r="L894" s="923"/>
      <c r="M894" s="902"/>
      <c r="N894" s="900" t="s">
        <v>2308</v>
      </c>
    </row>
    <row r="895" spans="1:14" s="910" customFormat="1" ht="16.5" hidden="1" customHeight="1">
      <c r="A895" s="896"/>
      <c r="B895" s="956"/>
      <c r="C895" s="957"/>
      <c r="D895" s="958"/>
      <c r="E895" s="1268"/>
      <c r="F895" s="960"/>
      <c r="G895" s="960"/>
      <c r="H895" s="960"/>
      <c r="I895" s="916"/>
      <c r="J895" s="955"/>
      <c r="K895" s="902"/>
      <c r="L895" s="923"/>
      <c r="M895" s="902"/>
      <c r="N895" s="900" t="s">
        <v>2308</v>
      </c>
    </row>
    <row r="896" spans="1:14" ht="15.75" hidden="1">
      <c r="A896" s="896"/>
      <c r="B896" s="902"/>
      <c r="C896" s="917"/>
      <c r="D896" s="918"/>
      <c r="E896" s="919"/>
      <c r="F896" s="920"/>
      <c r="G896" s="921"/>
      <c r="H896" s="896"/>
      <c r="I896" s="916"/>
      <c r="J896" s="955" t="s">
        <v>5</v>
      </c>
      <c r="K896" s="922">
        <f>data!E2227</f>
        <v>6154.1100000000006</v>
      </c>
      <c r="L896" s="923" t="s">
        <v>2308</v>
      </c>
      <c r="M896" s="924">
        <f>ROUND(I896*K896,0)</f>
        <v>0</v>
      </c>
      <c r="N896" s="900" t="s">
        <v>2308</v>
      </c>
    </row>
    <row r="897" spans="1:14" ht="69.75" hidden="1" customHeight="1">
      <c r="A897" s="896">
        <v>20</v>
      </c>
      <c r="B897" s="1609" t="s">
        <v>306</v>
      </c>
      <c r="C897" s="1609"/>
      <c r="D897" s="1609"/>
      <c r="E897" s="1609"/>
      <c r="F897" s="1609"/>
      <c r="G897" s="1609"/>
      <c r="H897" s="1609"/>
      <c r="I897" s="897"/>
      <c r="J897" s="898"/>
      <c r="K897" s="896"/>
      <c r="L897" s="923"/>
      <c r="M897" s="899"/>
      <c r="N897" s="900" t="s">
        <v>2309</v>
      </c>
    </row>
    <row r="898" spans="1:14" s="910" customFormat="1" ht="16.5" hidden="1" customHeight="1">
      <c r="A898" s="896"/>
      <c r="B898" s="902" t="s">
        <v>3546</v>
      </c>
      <c r="C898" s="897"/>
      <c r="D898" s="1263"/>
      <c r="E898" s="919"/>
      <c r="F898" s="920"/>
      <c r="G898" s="920"/>
      <c r="H898" s="920"/>
      <c r="I898" s="1264"/>
      <c r="J898" s="955"/>
      <c r="K898" s="902"/>
      <c r="L898" s="923"/>
      <c r="M898" s="902"/>
      <c r="N898" s="900" t="s">
        <v>2309</v>
      </c>
    </row>
    <row r="899" spans="1:14" s="910" customFormat="1" ht="16.5" hidden="1" customHeight="1">
      <c r="A899" s="896"/>
      <c r="B899" s="902"/>
      <c r="C899" s="897">
        <v>1</v>
      </c>
      <c r="D899" s="1263" t="s">
        <v>273</v>
      </c>
      <c r="E899" s="919">
        <v>1</v>
      </c>
      <c r="F899" s="920">
        <v>5.5</v>
      </c>
      <c r="G899" s="920">
        <v>0.35</v>
      </c>
      <c r="H899" s="920">
        <v>0.6</v>
      </c>
      <c r="I899" s="1266">
        <f t="shared" ref="I899:I912" si="84">ROUND(IF(AND(F899:H899),C899*E899*F899*G899*H899,IF(AND(F899,G899),C899*E899*F899*G899,IF(AND(F899,H899),C899*E899*F899*H899,IF(AND(G899,H899),C899*E899*G899*H899,IF(F899,C899*E899*F899,IF(G899,C899*E899*G899,IF(H899,C899*E899*H899,C899*E899))))))),2)</f>
        <v>1.1599999999999999</v>
      </c>
      <c r="J899" s="955" t="s">
        <v>5</v>
      </c>
      <c r="K899" s="902"/>
      <c r="L899" s="923"/>
      <c r="M899" s="902"/>
      <c r="N899" s="900" t="s">
        <v>2309</v>
      </c>
    </row>
    <row r="900" spans="1:14" s="910" customFormat="1" ht="16.5" hidden="1" customHeight="1">
      <c r="A900" s="896"/>
      <c r="B900" s="902"/>
      <c r="C900" s="897">
        <v>1</v>
      </c>
      <c r="D900" s="1263" t="s">
        <v>273</v>
      </c>
      <c r="E900" s="919">
        <v>2</v>
      </c>
      <c r="F900" s="920">
        <v>2.2999999999999998</v>
      </c>
      <c r="G900" s="920">
        <v>0.35</v>
      </c>
      <c r="H900" s="920">
        <v>0.6</v>
      </c>
      <c r="I900" s="1266">
        <f t="shared" si="84"/>
        <v>0.97</v>
      </c>
      <c r="J900" s="955" t="s">
        <v>5</v>
      </c>
      <c r="K900" s="902"/>
      <c r="L900" s="923"/>
      <c r="M900" s="902"/>
      <c r="N900" s="900" t="s">
        <v>2309</v>
      </c>
    </row>
    <row r="901" spans="1:14" s="910" customFormat="1" ht="16.5" hidden="1" customHeight="1">
      <c r="A901" s="896"/>
      <c r="B901" s="902"/>
      <c r="C901" s="897">
        <v>1</v>
      </c>
      <c r="D901" s="1263" t="s">
        <v>273</v>
      </c>
      <c r="E901" s="919">
        <v>1</v>
      </c>
      <c r="F901" s="920">
        <v>3.3</v>
      </c>
      <c r="G901" s="920">
        <v>0.35</v>
      </c>
      <c r="H901" s="920">
        <v>0.6</v>
      </c>
      <c r="I901" s="1266">
        <f t="shared" si="84"/>
        <v>0.69</v>
      </c>
      <c r="J901" s="955" t="s">
        <v>5</v>
      </c>
      <c r="K901" s="902"/>
      <c r="L901" s="923"/>
      <c r="M901" s="902"/>
      <c r="N901" s="900" t="s">
        <v>2309</v>
      </c>
    </row>
    <row r="902" spans="1:14" s="910" customFormat="1" ht="16.5" hidden="1" customHeight="1">
      <c r="A902" s="896"/>
      <c r="B902" s="902"/>
      <c r="C902" s="897">
        <v>1</v>
      </c>
      <c r="D902" s="1263" t="s">
        <v>273</v>
      </c>
      <c r="E902" s="919">
        <v>1</v>
      </c>
      <c r="F902" s="920">
        <v>2.2999999999999998</v>
      </c>
      <c r="G902" s="920">
        <v>0.35</v>
      </c>
      <c r="H902" s="920">
        <v>0.3</v>
      </c>
      <c r="I902" s="1266">
        <f t="shared" si="84"/>
        <v>0.24</v>
      </c>
      <c r="J902" s="955" t="s">
        <v>5</v>
      </c>
      <c r="K902" s="902"/>
      <c r="L902" s="923"/>
      <c r="M902" s="902"/>
      <c r="N902" s="900" t="s">
        <v>2309</v>
      </c>
    </row>
    <row r="903" spans="1:14" s="910" customFormat="1" ht="16.5" hidden="1" customHeight="1">
      <c r="A903" s="896"/>
      <c r="B903" s="902"/>
      <c r="C903" s="897">
        <v>1</v>
      </c>
      <c r="D903" s="1263" t="s">
        <v>273</v>
      </c>
      <c r="E903" s="919">
        <v>1</v>
      </c>
      <c r="F903" s="920">
        <v>5.6</v>
      </c>
      <c r="G903" s="920">
        <v>1.2</v>
      </c>
      <c r="H903" s="920">
        <v>0.15</v>
      </c>
      <c r="I903" s="1266">
        <f t="shared" si="84"/>
        <v>1.01</v>
      </c>
      <c r="J903" s="955" t="s">
        <v>5</v>
      </c>
      <c r="K903" s="902"/>
      <c r="L903" s="923"/>
      <c r="M903" s="902"/>
      <c r="N903" s="900" t="s">
        <v>2309</v>
      </c>
    </row>
    <row r="904" spans="1:14" s="910" customFormat="1" ht="16.5" hidden="1" customHeight="1">
      <c r="A904" s="896"/>
      <c r="B904" s="902"/>
      <c r="C904" s="897">
        <v>1</v>
      </c>
      <c r="D904" s="1263" t="s">
        <v>273</v>
      </c>
      <c r="E904" s="919">
        <v>1</v>
      </c>
      <c r="F904" s="920">
        <v>5.6</v>
      </c>
      <c r="G904" s="920">
        <v>0.9</v>
      </c>
      <c r="H904" s="920">
        <v>0.15</v>
      </c>
      <c r="I904" s="1266">
        <f t="shared" si="84"/>
        <v>0.76</v>
      </c>
      <c r="J904" s="955" t="s">
        <v>5</v>
      </c>
      <c r="K904" s="902"/>
      <c r="L904" s="923"/>
      <c r="M904" s="902"/>
      <c r="N904" s="900" t="s">
        <v>2309</v>
      </c>
    </row>
    <row r="905" spans="1:14" s="910" customFormat="1" ht="16.5" hidden="1" customHeight="1">
      <c r="A905" s="896"/>
      <c r="B905" s="902"/>
      <c r="C905" s="897">
        <v>1</v>
      </c>
      <c r="D905" s="1263" t="s">
        <v>273</v>
      </c>
      <c r="E905" s="919">
        <v>1</v>
      </c>
      <c r="F905" s="920">
        <v>5.6</v>
      </c>
      <c r="G905" s="920">
        <v>0.6</v>
      </c>
      <c r="H905" s="920">
        <v>0.15</v>
      </c>
      <c r="I905" s="1266">
        <f t="shared" si="84"/>
        <v>0.5</v>
      </c>
      <c r="J905" s="955" t="s">
        <v>5</v>
      </c>
      <c r="K905" s="902"/>
      <c r="L905" s="923"/>
      <c r="M905" s="902"/>
      <c r="N905" s="900" t="s">
        <v>2309</v>
      </c>
    </row>
    <row r="906" spans="1:14" s="910" customFormat="1" ht="16.5" hidden="1" customHeight="1">
      <c r="A906" s="896"/>
      <c r="B906" s="902"/>
      <c r="C906" s="897">
        <v>1</v>
      </c>
      <c r="D906" s="1263" t="s">
        <v>273</v>
      </c>
      <c r="E906" s="919">
        <v>1</v>
      </c>
      <c r="F906" s="920">
        <v>5.6</v>
      </c>
      <c r="G906" s="920">
        <v>0.3</v>
      </c>
      <c r="H906" s="920">
        <v>0.15</v>
      </c>
      <c r="I906" s="1266">
        <f t="shared" si="84"/>
        <v>0.25</v>
      </c>
      <c r="J906" s="955" t="s">
        <v>5</v>
      </c>
      <c r="K906" s="902"/>
      <c r="L906" s="923"/>
      <c r="M906" s="902"/>
      <c r="N906" s="900" t="s">
        <v>2309</v>
      </c>
    </row>
    <row r="907" spans="1:14" s="910" customFormat="1" ht="16.5" hidden="1" customHeight="1">
      <c r="A907" s="896"/>
      <c r="B907" s="902"/>
      <c r="C907" s="897">
        <v>1</v>
      </c>
      <c r="D907" s="1263" t="s">
        <v>273</v>
      </c>
      <c r="E907" s="919">
        <v>1</v>
      </c>
      <c r="F907" s="920">
        <v>3.6</v>
      </c>
      <c r="G907" s="920">
        <v>1.8</v>
      </c>
      <c r="H907" s="920">
        <v>0.15</v>
      </c>
      <c r="I907" s="1266">
        <f t="shared" si="84"/>
        <v>0.97</v>
      </c>
      <c r="J907" s="955" t="s">
        <v>5</v>
      </c>
      <c r="K907" s="902"/>
      <c r="L907" s="923"/>
      <c r="M907" s="902"/>
      <c r="N907" s="900" t="s">
        <v>2309</v>
      </c>
    </row>
    <row r="908" spans="1:14" s="910" customFormat="1" ht="16.5" hidden="1" customHeight="1">
      <c r="A908" s="896"/>
      <c r="B908" s="902"/>
      <c r="C908" s="897">
        <v>1</v>
      </c>
      <c r="D908" s="1263" t="s">
        <v>273</v>
      </c>
      <c r="E908" s="919">
        <v>1</v>
      </c>
      <c r="F908" s="920">
        <v>3.6</v>
      </c>
      <c r="G908" s="920">
        <v>1.5</v>
      </c>
      <c r="H908" s="920">
        <v>0.15</v>
      </c>
      <c r="I908" s="1266">
        <f t="shared" si="84"/>
        <v>0.81</v>
      </c>
      <c r="J908" s="955" t="s">
        <v>5</v>
      </c>
      <c r="K908" s="902"/>
      <c r="L908" s="923"/>
      <c r="M908" s="902"/>
      <c r="N908" s="900" t="s">
        <v>2309</v>
      </c>
    </row>
    <row r="909" spans="1:14" s="910" customFormat="1" ht="16.5" hidden="1" customHeight="1">
      <c r="A909" s="896"/>
      <c r="B909" s="902"/>
      <c r="C909" s="897">
        <v>1</v>
      </c>
      <c r="D909" s="1263" t="s">
        <v>273</v>
      </c>
      <c r="E909" s="919">
        <v>1</v>
      </c>
      <c r="F909" s="920">
        <v>3.6</v>
      </c>
      <c r="G909" s="920">
        <v>1.2</v>
      </c>
      <c r="H909" s="920">
        <v>0.15</v>
      </c>
      <c r="I909" s="1266">
        <f t="shared" si="84"/>
        <v>0.65</v>
      </c>
      <c r="J909" s="955" t="s">
        <v>5</v>
      </c>
      <c r="K909" s="902"/>
      <c r="L909" s="923"/>
      <c r="M909" s="902"/>
      <c r="N909" s="900" t="s">
        <v>2309</v>
      </c>
    </row>
    <row r="910" spans="1:14" s="910" customFormat="1" ht="16.5" hidden="1" customHeight="1">
      <c r="A910" s="896"/>
      <c r="B910" s="902"/>
      <c r="C910" s="897">
        <v>1</v>
      </c>
      <c r="D910" s="1263" t="s">
        <v>273</v>
      </c>
      <c r="E910" s="919">
        <v>1</v>
      </c>
      <c r="F910" s="920">
        <v>3.6</v>
      </c>
      <c r="G910" s="920">
        <v>0.9</v>
      </c>
      <c r="H910" s="920">
        <v>0.15</v>
      </c>
      <c r="I910" s="1266">
        <f t="shared" si="84"/>
        <v>0.49</v>
      </c>
      <c r="J910" s="955" t="s">
        <v>5</v>
      </c>
      <c r="K910" s="902"/>
      <c r="L910" s="923"/>
      <c r="M910" s="902"/>
      <c r="N910" s="900" t="s">
        <v>2309</v>
      </c>
    </row>
    <row r="911" spans="1:14" s="910" customFormat="1" ht="16.5" hidden="1" customHeight="1">
      <c r="A911" s="896"/>
      <c r="B911" s="902"/>
      <c r="C911" s="897">
        <v>1</v>
      </c>
      <c r="D911" s="1263" t="s">
        <v>273</v>
      </c>
      <c r="E911" s="919">
        <v>1</v>
      </c>
      <c r="F911" s="920">
        <v>3.6</v>
      </c>
      <c r="G911" s="920">
        <v>0.6</v>
      </c>
      <c r="H911" s="920">
        <v>0.15</v>
      </c>
      <c r="I911" s="1266">
        <f t="shared" si="84"/>
        <v>0.32</v>
      </c>
      <c r="J911" s="955" t="s">
        <v>5</v>
      </c>
      <c r="K911" s="902"/>
      <c r="L911" s="923"/>
      <c r="M911" s="902"/>
      <c r="N911" s="900" t="s">
        <v>2309</v>
      </c>
    </row>
    <row r="912" spans="1:14" s="910" customFormat="1" ht="16.5" hidden="1" customHeight="1">
      <c r="A912" s="896"/>
      <c r="B912" s="902"/>
      <c r="C912" s="897">
        <v>1</v>
      </c>
      <c r="D912" s="1263" t="s">
        <v>273</v>
      </c>
      <c r="E912" s="919">
        <v>1</v>
      </c>
      <c r="F912" s="920">
        <v>3.6</v>
      </c>
      <c r="G912" s="920">
        <v>0.3</v>
      </c>
      <c r="H912" s="920">
        <v>0.15</v>
      </c>
      <c r="I912" s="1266">
        <f t="shared" si="84"/>
        <v>0.16</v>
      </c>
      <c r="J912" s="955" t="s">
        <v>5</v>
      </c>
      <c r="K912" s="902"/>
      <c r="L912" s="923"/>
      <c r="M912" s="902"/>
      <c r="N912" s="900" t="s">
        <v>2309</v>
      </c>
    </row>
    <row r="913" spans="1:14" s="910" customFormat="1" ht="16.5" hidden="1" customHeight="1">
      <c r="A913" s="896"/>
      <c r="B913" s="956"/>
      <c r="C913" s="957"/>
      <c r="D913" s="958"/>
      <c r="E913" s="1268"/>
      <c r="F913" s="960"/>
      <c r="G913" s="960"/>
      <c r="H913" s="960"/>
      <c r="I913" s="916"/>
      <c r="J913" s="955"/>
      <c r="K913" s="902"/>
      <c r="L913" s="923"/>
      <c r="M913" s="902"/>
      <c r="N913" s="900" t="s">
        <v>2309</v>
      </c>
    </row>
    <row r="914" spans="1:14" ht="15.75" hidden="1">
      <c r="A914" s="896"/>
      <c r="B914" s="902"/>
      <c r="C914" s="917"/>
      <c r="D914" s="918"/>
      <c r="E914" s="919"/>
      <c r="F914" s="920"/>
      <c r="G914" s="921"/>
      <c r="H914" s="896"/>
      <c r="I914" s="916"/>
      <c r="J914" s="955" t="s">
        <v>5</v>
      </c>
      <c r="K914" s="922">
        <f>data!E3144</f>
        <v>6869.83</v>
      </c>
      <c r="L914" s="923" t="s">
        <v>2309</v>
      </c>
      <c r="M914" s="924">
        <f>ROUND(I914*K914,0)</f>
        <v>0</v>
      </c>
      <c r="N914" s="900" t="s">
        <v>2309</v>
      </c>
    </row>
    <row r="915" spans="1:14" s="1403" customFormat="1" ht="69.75" customHeight="1">
      <c r="A915" s="1397">
        <v>17</v>
      </c>
      <c r="B915" s="1610" t="s">
        <v>649</v>
      </c>
      <c r="C915" s="1610"/>
      <c r="D915" s="1610"/>
      <c r="E915" s="1610"/>
      <c r="F915" s="1610"/>
      <c r="G915" s="1610"/>
      <c r="H915" s="1610"/>
      <c r="I915" s="1398"/>
      <c r="J915" s="1399"/>
      <c r="K915" s="1397"/>
      <c r="L915" s="1400"/>
      <c r="M915" s="1401"/>
      <c r="N915" s="1402" t="s">
        <v>2209</v>
      </c>
    </row>
    <row r="916" spans="1:14" s="1411" customFormat="1" ht="16.5" customHeight="1">
      <c r="A916" s="1397"/>
      <c r="B916" s="1404" t="s">
        <v>3919</v>
      </c>
      <c r="C916" s="1405"/>
      <c r="D916" s="1395" t="s">
        <v>4018</v>
      </c>
      <c r="E916" s="1406"/>
      <c r="F916" s="1407"/>
      <c r="G916" s="1407"/>
      <c r="H916" s="1407"/>
      <c r="I916" s="1408"/>
      <c r="J916" s="1423"/>
      <c r="K916" s="1410"/>
      <c r="L916" s="1400"/>
      <c r="M916" s="1410"/>
      <c r="N916" s="1402" t="s">
        <v>2209</v>
      </c>
    </row>
    <row r="917" spans="1:14" s="1411" customFormat="1" ht="16.5" customHeight="1">
      <c r="A917" s="1397"/>
      <c r="B917" s="1410" t="s">
        <v>2129</v>
      </c>
      <c r="C917" s="1398">
        <v>1</v>
      </c>
      <c r="D917" s="1412" t="s">
        <v>273</v>
      </c>
      <c r="E917" s="1413">
        <v>2</v>
      </c>
      <c r="F917" s="1414">
        <v>13.54</v>
      </c>
      <c r="G917" s="1414">
        <v>0.23</v>
      </c>
      <c r="H917" s="1414">
        <v>2.1</v>
      </c>
      <c r="I917" s="1415">
        <f t="shared" ref="I917:I918" si="85">ROUND(IF(AND(F917:H917),C917*E917*F917*G917*H917,IF(AND(F917,G917),C917*E917*F917*G917,IF(AND(F917,H917),C917*E917*F917*H917,IF(AND(G917,H917),C917*E917*G917*H917,IF(F917,C917*E917*F917,IF(G917,C917*E917*G917,IF(H917,C917*E917*H917,C917*E917))))))),2)</f>
        <v>13.08</v>
      </c>
      <c r="J917" s="1423" t="s">
        <v>5</v>
      </c>
      <c r="K917" s="1410"/>
      <c r="L917" s="1400"/>
      <c r="M917" s="1410"/>
      <c r="N917" s="1402" t="s">
        <v>2209</v>
      </c>
    </row>
    <row r="918" spans="1:14" s="1411" customFormat="1" ht="16.5" customHeight="1">
      <c r="A918" s="1397"/>
      <c r="B918" s="1410" t="s">
        <v>3911</v>
      </c>
      <c r="C918" s="1398">
        <v>1</v>
      </c>
      <c r="D918" s="1412" t="s">
        <v>273</v>
      </c>
      <c r="E918" s="1413">
        <v>2</v>
      </c>
      <c r="F918" s="1414">
        <v>6.39</v>
      </c>
      <c r="G918" s="1414">
        <v>0.23</v>
      </c>
      <c r="H918" s="1414">
        <v>2.1</v>
      </c>
      <c r="I918" s="1415">
        <f t="shared" si="85"/>
        <v>6.17</v>
      </c>
      <c r="J918" s="1423" t="s">
        <v>5</v>
      </c>
      <c r="K918" s="1410"/>
      <c r="L918" s="1400"/>
      <c r="M918" s="1410"/>
      <c r="N918" s="1402" t="s">
        <v>2209</v>
      </c>
    </row>
    <row r="919" spans="1:14" s="1411" customFormat="1" ht="16.5" customHeight="1">
      <c r="A919" s="1397"/>
      <c r="B919" s="1410" t="s">
        <v>579</v>
      </c>
      <c r="C919" s="1398">
        <v>1</v>
      </c>
      <c r="D919" s="1412" t="s">
        <v>273</v>
      </c>
      <c r="E919" s="1413">
        <v>1</v>
      </c>
      <c r="F919" s="1414">
        <v>1.2</v>
      </c>
      <c r="G919" s="1414">
        <v>0.23</v>
      </c>
      <c r="H919" s="1414">
        <v>2.1</v>
      </c>
      <c r="I919" s="1415">
        <f t="shared" ref="I919:I923" si="86">-ROUND(IF(AND(F919:H919),C919*E919*F919*G919*H919,IF(AND(F919,G919),C919*E919*F919*G919,IF(AND(F919,H919),C919*E919*F919*H919,IF(AND(G919,H919),C919*E919*G919*H919,IF(F919,C919*E919*F919,IF(G919,C919*E919*G919,IF(H919,C919*E919*H919,C919*E919))))))),2)</f>
        <v>-0.57999999999999996</v>
      </c>
      <c r="J919" s="1423" t="s">
        <v>5</v>
      </c>
      <c r="K919" s="1410"/>
      <c r="L919" s="1400"/>
      <c r="M919" s="1410"/>
      <c r="N919" s="1402" t="s">
        <v>2209</v>
      </c>
    </row>
    <row r="920" spans="1:14" s="1411" customFormat="1" ht="16.5" customHeight="1">
      <c r="A920" s="1397"/>
      <c r="B920" s="1410" t="s">
        <v>579</v>
      </c>
      <c r="C920" s="1398">
        <v>1</v>
      </c>
      <c r="D920" s="1412" t="s">
        <v>273</v>
      </c>
      <c r="E920" s="1413">
        <v>1</v>
      </c>
      <c r="F920" s="1414">
        <v>1.05</v>
      </c>
      <c r="G920" s="1414">
        <v>0.23</v>
      </c>
      <c r="H920" s="1414">
        <v>2.1</v>
      </c>
      <c r="I920" s="1415">
        <f t="shared" si="86"/>
        <v>-0.51</v>
      </c>
      <c r="J920" s="1423" t="s">
        <v>5</v>
      </c>
      <c r="K920" s="1410"/>
      <c r="L920" s="1400"/>
      <c r="M920" s="1410"/>
      <c r="N920" s="1402" t="s">
        <v>2209</v>
      </c>
    </row>
    <row r="921" spans="1:14" s="1411" customFormat="1" ht="16.5" customHeight="1">
      <c r="A921" s="1397"/>
      <c r="B921" s="1410" t="s">
        <v>579</v>
      </c>
      <c r="C921" s="1398">
        <v>1</v>
      </c>
      <c r="D921" s="1412" t="s">
        <v>273</v>
      </c>
      <c r="E921" s="1413">
        <v>1</v>
      </c>
      <c r="F921" s="1414">
        <v>0.9</v>
      </c>
      <c r="G921" s="1414">
        <v>0.23</v>
      </c>
      <c r="H921" s="1414">
        <v>2.1</v>
      </c>
      <c r="I921" s="1415">
        <f t="shared" si="86"/>
        <v>-0.43</v>
      </c>
      <c r="J921" s="1423" t="s">
        <v>5</v>
      </c>
      <c r="K921" s="1410"/>
      <c r="L921" s="1400"/>
      <c r="M921" s="1410"/>
      <c r="N921" s="1402" t="s">
        <v>2209</v>
      </c>
    </row>
    <row r="922" spans="1:14" s="1411" customFormat="1" ht="16.5" customHeight="1">
      <c r="A922" s="1397"/>
      <c r="B922" s="1410" t="s">
        <v>2354</v>
      </c>
      <c r="C922" s="1398">
        <v>1</v>
      </c>
      <c r="D922" s="1412" t="s">
        <v>273</v>
      </c>
      <c r="E922" s="1413">
        <v>8</v>
      </c>
      <c r="F922" s="1414">
        <v>1.2</v>
      </c>
      <c r="G922" s="1414">
        <v>0.23</v>
      </c>
      <c r="H922" s="1414">
        <v>1.2</v>
      </c>
      <c r="I922" s="1415">
        <f t="shared" si="86"/>
        <v>-2.65</v>
      </c>
      <c r="J922" s="1423" t="s">
        <v>5</v>
      </c>
      <c r="K922" s="1410"/>
      <c r="L922" s="1400"/>
      <c r="M922" s="1410"/>
      <c r="N922" s="1402" t="s">
        <v>2209</v>
      </c>
    </row>
    <row r="923" spans="1:14" s="1411" customFormat="1" ht="16.5" customHeight="1">
      <c r="A923" s="1397"/>
      <c r="B923" s="1410" t="s">
        <v>2890</v>
      </c>
      <c r="C923" s="1398">
        <v>1</v>
      </c>
      <c r="D923" s="1412" t="s">
        <v>273</v>
      </c>
      <c r="E923" s="1413">
        <v>12</v>
      </c>
      <c r="F923" s="1414">
        <v>0.23</v>
      </c>
      <c r="G923" s="1414">
        <v>0.38</v>
      </c>
      <c r="H923" s="1414">
        <v>2.1</v>
      </c>
      <c r="I923" s="1415">
        <f t="shared" si="86"/>
        <v>-2.2000000000000002</v>
      </c>
      <c r="J923" s="1423" t="s">
        <v>5</v>
      </c>
      <c r="K923" s="1410"/>
      <c r="L923" s="1400"/>
      <c r="M923" s="1410"/>
      <c r="N923" s="1402" t="s">
        <v>2209</v>
      </c>
    </row>
    <row r="924" spans="1:14" s="1411" customFormat="1" ht="16.5" customHeight="1">
      <c r="A924" s="1397"/>
      <c r="B924" s="1404" t="s">
        <v>3924</v>
      </c>
      <c r="C924" s="1405"/>
      <c r="D924" s="1395" t="s">
        <v>4017</v>
      </c>
      <c r="E924" s="1406"/>
      <c r="F924" s="1407"/>
      <c r="G924" s="1407"/>
      <c r="H924" s="1407"/>
      <c r="I924" s="1408"/>
      <c r="J924" s="1423"/>
      <c r="K924" s="1410"/>
      <c r="L924" s="1400"/>
      <c r="M924" s="1410"/>
      <c r="N924" s="1402" t="s">
        <v>2209</v>
      </c>
    </row>
    <row r="925" spans="1:14" s="1411" customFormat="1" ht="16.5" customHeight="1">
      <c r="A925" s="1397"/>
      <c r="B925" s="1410" t="s">
        <v>2129</v>
      </c>
      <c r="C925" s="1398">
        <v>1</v>
      </c>
      <c r="D925" s="1412" t="s">
        <v>273</v>
      </c>
      <c r="E925" s="1413">
        <v>2</v>
      </c>
      <c r="F925" s="1414">
        <v>13.54</v>
      </c>
      <c r="G925" s="1414">
        <v>0.23</v>
      </c>
      <c r="H925" s="1414">
        <v>0.6</v>
      </c>
      <c r="I925" s="1415">
        <f t="shared" ref="I925:I926" si="87">ROUND(IF(AND(F925:H925),C925*E925*F925*G925*H925,IF(AND(F925,G925),C925*E925*F925*G925,IF(AND(F925,H925),C925*E925*F925*H925,IF(AND(G925,H925),C925*E925*G925*H925,IF(F925,C925*E925*F925,IF(G925,C925*E925*G925,IF(H925,C925*E925*H925,C925*E925))))))),2)</f>
        <v>3.74</v>
      </c>
      <c r="J925" s="1423" t="s">
        <v>5</v>
      </c>
      <c r="K925" s="1410"/>
      <c r="L925" s="1400"/>
      <c r="M925" s="1410"/>
      <c r="N925" s="1402" t="s">
        <v>2209</v>
      </c>
    </row>
    <row r="926" spans="1:14" s="1411" customFormat="1" ht="16.5" customHeight="1">
      <c r="A926" s="1397"/>
      <c r="B926" s="1410" t="s">
        <v>3911</v>
      </c>
      <c r="C926" s="1398">
        <v>1</v>
      </c>
      <c r="D926" s="1412" t="s">
        <v>273</v>
      </c>
      <c r="E926" s="1413">
        <v>2</v>
      </c>
      <c r="F926" s="1414">
        <v>6.39</v>
      </c>
      <c r="G926" s="1414">
        <v>0.23</v>
      </c>
      <c r="H926" s="1414">
        <v>0.6</v>
      </c>
      <c r="I926" s="1415">
        <f t="shared" si="87"/>
        <v>1.76</v>
      </c>
      <c r="J926" s="1423" t="s">
        <v>5</v>
      </c>
      <c r="K926" s="1410"/>
      <c r="L926" s="1400"/>
      <c r="M926" s="1410"/>
      <c r="N926" s="1402" t="s">
        <v>2209</v>
      </c>
    </row>
    <row r="927" spans="1:14" s="1411" customFormat="1" ht="16.5" customHeight="1">
      <c r="A927" s="1397"/>
      <c r="B927" s="1410" t="s">
        <v>581</v>
      </c>
      <c r="C927" s="1398">
        <v>1</v>
      </c>
      <c r="D927" s="1412" t="s">
        <v>273</v>
      </c>
      <c r="E927" s="1413">
        <v>12</v>
      </c>
      <c r="F927" s="1414">
        <v>0.6</v>
      </c>
      <c r="G927" s="1414">
        <v>0.23</v>
      </c>
      <c r="H927" s="1414">
        <v>0.3</v>
      </c>
      <c r="I927" s="1415">
        <f>-ROUND(IF(AND(F927:H927),C927*E927*F927*G927*H927,IF(AND(F927,G927),C927*E927*F927*G927,IF(AND(F927,H927),C927*E927*F927*H927,IF(AND(G927,H927),C927*E927*G927*H927,IF(F927,C927*E927*F927,IF(G927,C927*E927*G927,IF(H927,C927*E927*H927,C927*E927))))))),2)</f>
        <v>-0.5</v>
      </c>
      <c r="J927" s="1423" t="s">
        <v>5</v>
      </c>
      <c r="K927" s="1410"/>
      <c r="L927" s="1400"/>
      <c r="M927" s="1410"/>
      <c r="N927" s="1402" t="s">
        <v>2209</v>
      </c>
    </row>
    <row r="928" spans="1:14" s="1411" customFormat="1" ht="16.5" customHeight="1">
      <c r="A928" s="1397"/>
      <c r="B928" s="1410" t="s">
        <v>281</v>
      </c>
      <c r="C928" s="1398">
        <v>1</v>
      </c>
      <c r="D928" s="1412" t="s">
        <v>273</v>
      </c>
      <c r="E928" s="1413">
        <v>12</v>
      </c>
      <c r="F928" s="1414">
        <v>0.23</v>
      </c>
      <c r="G928" s="1414">
        <v>0.38</v>
      </c>
      <c r="H928" s="1414">
        <v>0.6</v>
      </c>
      <c r="I928" s="1415">
        <f>-ROUND(IF(AND(F928:H928),C928*E928*F928*G928*H928,IF(AND(F928,G928),C928*E928*F928*G928,IF(AND(F928,H928),C928*E928*F928*H928,IF(AND(G928,H928),C928*E928*G928*H928,IF(F928,C928*E928*F928,IF(G928,C928*E928*G928,IF(H928,C928*E928*H928,C928*E928))))))),2)</f>
        <v>-0.63</v>
      </c>
      <c r="J928" s="1423" t="s">
        <v>5</v>
      </c>
      <c r="K928" s="1410"/>
      <c r="L928" s="1400"/>
      <c r="M928" s="1410"/>
      <c r="N928" s="1402" t="s">
        <v>2209</v>
      </c>
    </row>
    <row r="929" spans="1:14" s="1411" customFormat="1" ht="16.5" customHeight="1">
      <c r="A929" s="1397"/>
      <c r="B929" s="1404" t="s">
        <v>4005</v>
      </c>
      <c r="C929" s="1405"/>
      <c r="D929" s="1395" t="s">
        <v>4011</v>
      </c>
      <c r="E929" s="1406"/>
      <c r="F929" s="1407"/>
      <c r="G929" s="1407"/>
      <c r="H929" s="1407"/>
      <c r="I929" s="1408"/>
      <c r="J929" s="1409"/>
      <c r="K929" s="1410"/>
      <c r="L929" s="1400"/>
      <c r="M929" s="1410"/>
      <c r="N929" s="1402" t="s">
        <v>2209</v>
      </c>
    </row>
    <row r="930" spans="1:14" s="1411" customFormat="1" ht="16.5" customHeight="1">
      <c r="A930" s="1397"/>
      <c r="B930" s="1410" t="s">
        <v>2360</v>
      </c>
      <c r="C930" s="1398">
        <v>1</v>
      </c>
      <c r="D930" s="1412" t="s">
        <v>273</v>
      </c>
      <c r="E930" s="1413">
        <v>2</v>
      </c>
      <c r="F930" s="1414">
        <v>0.5</v>
      </c>
      <c r="G930" s="1414">
        <v>0.115</v>
      </c>
      <c r="H930" s="1414">
        <v>0.7</v>
      </c>
      <c r="I930" s="1415">
        <f t="shared" ref="I930:I932" si="88">ROUND(IF(AND(F930:H930),C930*E930*F930*G930*H930,IF(AND(F930,G930),C930*E930*F930*G930,IF(AND(F930,H930),C930*E930*F930*H930,IF(AND(G930,H930),C930*E930*G930*H930,IF(F930,C930*E930*F930,IF(G930,C930*E930*G930,IF(H930,C930*E930*H930,C930*E930))))))),2)</f>
        <v>0.08</v>
      </c>
      <c r="J930" s="1416" t="s">
        <v>5</v>
      </c>
      <c r="K930" s="1410"/>
      <c r="L930" s="1400"/>
      <c r="M930" s="1410"/>
      <c r="N930" s="1402" t="s">
        <v>2209</v>
      </c>
    </row>
    <row r="931" spans="1:14" s="1411" customFormat="1" ht="16.5" customHeight="1">
      <c r="A931" s="1397"/>
      <c r="B931" s="1410" t="s">
        <v>2521</v>
      </c>
      <c r="C931" s="1398">
        <v>1</v>
      </c>
      <c r="D931" s="1412" t="s">
        <v>273</v>
      </c>
      <c r="E931" s="1413">
        <v>2</v>
      </c>
      <c r="F931" s="1414">
        <v>0.6</v>
      </c>
      <c r="G931" s="1414">
        <v>0.115</v>
      </c>
      <c r="H931" s="1414">
        <v>0.7</v>
      </c>
      <c r="I931" s="1415">
        <f t="shared" si="88"/>
        <v>0.1</v>
      </c>
      <c r="J931" s="1416" t="s">
        <v>5</v>
      </c>
      <c r="K931" s="1410"/>
      <c r="L931" s="1400"/>
      <c r="M931" s="1410"/>
      <c r="N931" s="1402" t="s">
        <v>2209</v>
      </c>
    </row>
    <row r="932" spans="1:14" s="1411" customFormat="1" ht="16.5" customHeight="1">
      <c r="A932" s="1397"/>
      <c r="B932" s="1410" t="s">
        <v>3932</v>
      </c>
      <c r="C932" s="1398">
        <v>1</v>
      </c>
      <c r="D932" s="1412" t="s">
        <v>273</v>
      </c>
      <c r="E932" s="1413">
        <v>3</v>
      </c>
      <c r="F932" s="1414">
        <v>0.35</v>
      </c>
      <c r="G932" s="1414">
        <v>0.115</v>
      </c>
      <c r="H932" s="1414">
        <v>0.75</v>
      </c>
      <c r="I932" s="1415">
        <f t="shared" si="88"/>
        <v>0.09</v>
      </c>
      <c r="J932" s="1416" t="s">
        <v>5</v>
      </c>
      <c r="K932" s="1410"/>
      <c r="L932" s="1400"/>
      <c r="M932" s="1410"/>
      <c r="N932" s="1402" t="s">
        <v>2209</v>
      </c>
    </row>
    <row r="933" spans="1:14" s="1411" customFormat="1" ht="16.5" customHeight="1">
      <c r="A933" s="1397"/>
      <c r="B933" s="1425"/>
      <c r="C933" s="1426"/>
      <c r="D933" s="1427"/>
      <c r="E933" s="1428"/>
      <c r="F933" s="1429"/>
      <c r="G933" s="1429"/>
      <c r="H933" s="1429"/>
      <c r="I933" s="1430"/>
      <c r="J933" s="1423"/>
      <c r="K933" s="1410"/>
      <c r="L933" s="1400"/>
      <c r="M933" s="1410"/>
      <c r="N933" s="1402" t="s">
        <v>2209</v>
      </c>
    </row>
    <row r="934" spans="1:14" s="1403" customFormat="1" ht="15.75">
      <c r="A934" s="1397"/>
      <c r="B934" s="1410"/>
      <c r="C934" s="1431"/>
      <c r="D934" s="1432"/>
      <c r="E934" s="1413"/>
      <c r="F934" s="1414"/>
      <c r="G934" s="1433"/>
      <c r="H934" s="1397"/>
      <c r="I934" s="1430">
        <f>SUM(I917:I933)</f>
        <v>17.52</v>
      </c>
      <c r="J934" s="1423" t="s">
        <v>5</v>
      </c>
      <c r="K934" s="1434">
        <f>data!E376</f>
        <v>5645.35</v>
      </c>
      <c r="L934" s="1400" t="s">
        <v>2209</v>
      </c>
      <c r="M934" s="1435">
        <f>ROUND(I934*K934,0)</f>
        <v>98907</v>
      </c>
      <c r="N934" s="1402" t="s">
        <v>2209</v>
      </c>
    </row>
    <row r="935" spans="1:14" ht="69.75" hidden="1" customHeight="1">
      <c r="A935" s="896">
        <v>24</v>
      </c>
      <c r="B935" s="1609" t="s">
        <v>649</v>
      </c>
      <c r="C935" s="1609"/>
      <c r="D935" s="1609"/>
      <c r="E935" s="1609"/>
      <c r="F935" s="1609"/>
      <c r="G935" s="1609"/>
      <c r="H935" s="1609"/>
      <c r="I935" s="897"/>
      <c r="J935" s="898"/>
      <c r="K935" s="896"/>
      <c r="L935" s="923"/>
      <c r="M935" s="899"/>
      <c r="N935" s="900" t="s">
        <v>2297</v>
      </c>
    </row>
    <row r="936" spans="1:14" s="910" customFormat="1" ht="16.5" hidden="1" customHeight="1">
      <c r="A936" s="896"/>
      <c r="B936" s="928" t="s">
        <v>3717</v>
      </c>
      <c r="C936" s="1269"/>
      <c r="D936" s="954" t="s">
        <v>3820</v>
      </c>
      <c r="E936" s="1270"/>
      <c r="F936" s="1271"/>
      <c r="G936" s="1271"/>
      <c r="H936" s="1271"/>
      <c r="I936" s="1272"/>
      <c r="J936" s="955"/>
      <c r="K936" s="902"/>
      <c r="L936" s="923"/>
      <c r="M936" s="902"/>
      <c r="N936" s="900" t="s">
        <v>2297</v>
      </c>
    </row>
    <row r="937" spans="1:14" s="910" customFormat="1" ht="16.5" hidden="1" customHeight="1">
      <c r="A937" s="896"/>
      <c r="B937" s="902" t="s">
        <v>3718</v>
      </c>
      <c r="C937" s="897">
        <v>1</v>
      </c>
      <c r="D937" s="1263" t="s">
        <v>273</v>
      </c>
      <c r="E937" s="919">
        <v>2</v>
      </c>
      <c r="F937" s="920">
        <v>13.54</v>
      </c>
      <c r="G937" s="920">
        <v>0.23</v>
      </c>
      <c r="H937" s="920">
        <v>2.1</v>
      </c>
      <c r="I937" s="1266">
        <f t="shared" ref="I937:I938" si="89">ROUND(IF(AND(F937:H937),C937*E937*F937*G937*H937,IF(AND(F937,G937),C937*E937*F937*G937,IF(AND(F937,H937),C937*E937*F937*H937,IF(AND(G937,H937),C937*E937*G937*H937,IF(F937,C937*E937*F937,IF(G937,C937*E937*G937,IF(H937,C937*E937*H937,C937*E937))))))),2)</f>
        <v>13.08</v>
      </c>
      <c r="J937" s="955" t="s">
        <v>5</v>
      </c>
      <c r="K937" s="902"/>
      <c r="L937" s="923"/>
      <c r="M937" s="902"/>
      <c r="N937" s="900" t="s">
        <v>2297</v>
      </c>
    </row>
    <row r="938" spans="1:14" s="910" customFormat="1" ht="16.5" hidden="1" customHeight="1">
      <c r="A938" s="896"/>
      <c r="B938" s="902" t="s">
        <v>3719</v>
      </c>
      <c r="C938" s="897">
        <v>1</v>
      </c>
      <c r="D938" s="1263" t="s">
        <v>273</v>
      </c>
      <c r="E938" s="919">
        <v>2</v>
      </c>
      <c r="F938" s="920">
        <v>6.39</v>
      </c>
      <c r="G938" s="920">
        <v>0.23</v>
      </c>
      <c r="H938" s="920">
        <v>2.1</v>
      </c>
      <c r="I938" s="1266">
        <f t="shared" si="89"/>
        <v>6.17</v>
      </c>
      <c r="J938" s="955" t="s">
        <v>5</v>
      </c>
      <c r="K938" s="902"/>
      <c r="L938" s="923"/>
      <c r="M938" s="902"/>
      <c r="N938" s="900" t="s">
        <v>2297</v>
      </c>
    </row>
    <row r="939" spans="1:14" s="910" customFormat="1" ht="16.5" hidden="1" customHeight="1">
      <c r="A939" s="896"/>
      <c r="B939" s="902" t="s">
        <v>579</v>
      </c>
      <c r="C939" s="897">
        <v>1</v>
      </c>
      <c r="D939" s="1263" t="s">
        <v>273</v>
      </c>
      <c r="E939" s="919">
        <v>1</v>
      </c>
      <c r="F939" s="920">
        <v>1.2</v>
      </c>
      <c r="G939" s="920">
        <v>0.23</v>
      </c>
      <c r="H939" s="920">
        <v>2.1</v>
      </c>
      <c r="I939" s="1266">
        <f t="shared" ref="I939:I943" si="90">-ROUND(IF(AND(F939:H939),C939*E939*F939*G939*H939,IF(AND(F939,G939),C939*E939*F939*G939,IF(AND(F939,H939),C939*E939*F939*H939,IF(AND(G939,H939),C939*E939*G939*H939,IF(F939,C939*E939*F939,IF(G939,C939*E939*G939,IF(H939,C939*E939*H939,C939*E939))))))),2)</f>
        <v>-0.57999999999999996</v>
      </c>
      <c r="J939" s="955" t="s">
        <v>5</v>
      </c>
      <c r="K939" s="902"/>
      <c r="L939" s="923"/>
      <c r="M939" s="902"/>
      <c r="N939" s="900" t="s">
        <v>2297</v>
      </c>
    </row>
    <row r="940" spans="1:14" s="910" customFormat="1" ht="16.5" hidden="1" customHeight="1">
      <c r="A940" s="896"/>
      <c r="B940" s="902" t="s">
        <v>579</v>
      </c>
      <c r="C940" s="897">
        <v>1</v>
      </c>
      <c r="D940" s="1263" t="s">
        <v>273</v>
      </c>
      <c r="E940" s="919">
        <v>1</v>
      </c>
      <c r="F940" s="920">
        <v>0.9</v>
      </c>
      <c r="G940" s="920">
        <v>0.23</v>
      </c>
      <c r="H940" s="920">
        <v>2.1</v>
      </c>
      <c r="I940" s="1266">
        <f t="shared" si="90"/>
        <v>-0.43</v>
      </c>
      <c r="J940" s="955" t="s">
        <v>5</v>
      </c>
      <c r="K940" s="902"/>
      <c r="L940" s="923"/>
      <c r="M940" s="902"/>
      <c r="N940" s="900" t="s">
        <v>2297</v>
      </c>
    </row>
    <row r="941" spans="1:14" s="910" customFormat="1" ht="16.5" hidden="1" customHeight="1">
      <c r="A941" s="896"/>
      <c r="B941" s="902" t="s">
        <v>579</v>
      </c>
      <c r="C941" s="897">
        <v>1</v>
      </c>
      <c r="D941" s="1263" t="s">
        <v>273</v>
      </c>
      <c r="E941" s="919">
        <v>1</v>
      </c>
      <c r="F941" s="920">
        <v>0.75</v>
      </c>
      <c r="G941" s="920">
        <v>0.23</v>
      </c>
      <c r="H941" s="920">
        <v>2.1</v>
      </c>
      <c r="I941" s="1266">
        <f t="shared" si="90"/>
        <v>-0.36</v>
      </c>
      <c r="J941" s="955" t="s">
        <v>5</v>
      </c>
      <c r="K941" s="902"/>
      <c r="L941" s="923"/>
      <c r="M941" s="902"/>
      <c r="N941" s="900" t="s">
        <v>2297</v>
      </c>
    </row>
    <row r="942" spans="1:14" s="910" customFormat="1" ht="16.5" hidden="1" customHeight="1">
      <c r="A942" s="896"/>
      <c r="B942" s="902" t="s">
        <v>2354</v>
      </c>
      <c r="C942" s="897">
        <v>1</v>
      </c>
      <c r="D942" s="1263" t="s">
        <v>273</v>
      </c>
      <c r="E942" s="919">
        <v>8</v>
      </c>
      <c r="F942" s="920">
        <v>1.2</v>
      </c>
      <c r="G942" s="920">
        <v>0.23</v>
      </c>
      <c r="H942" s="920">
        <v>1.2</v>
      </c>
      <c r="I942" s="1266">
        <f t="shared" si="90"/>
        <v>-2.65</v>
      </c>
      <c r="J942" s="955" t="s">
        <v>5</v>
      </c>
      <c r="K942" s="902"/>
      <c r="L942" s="923"/>
      <c r="M942" s="902"/>
      <c r="N942" s="900" t="s">
        <v>2297</v>
      </c>
    </row>
    <row r="943" spans="1:14" s="910" customFormat="1" ht="16.5" hidden="1" customHeight="1">
      <c r="A943" s="896"/>
      <c r="B943" s="902" t="s">
        <v>281</v>
      </c>
      <c r="C943" s="897">
        <v>1</v>
      </c>
      <c r="D943" s="1263" t="s">
        <v>273</v>
      </c>
      <c r="E943" s="919">
        <v>12</v>
      </c>
      <c r="F943" s="920">
        <v>0.23</v>
      </c>
      <c r="G943" s="920">
        <v>0.38</v>
      </c>
      <c r="H943" s="920">
        <v>2.1</v>
      </c>
      <c r="I943" s="1266">
        <f t="shared" si="90"/>
        <v>-2.2000000000000002</v>
      </c>
      <c r="J943" s="955" t="s">
        <v>5</v>
      </c>
      <c r="K943" s="902"/>
      <c r="L943" s="923"/>
      <c r="M943" s="902"/>
      <c r="N943" s="900" t="s">
        <v>2297</v>
      </c>
    </row>
    <row r="944" spans="1:14" s="910" customFormat="1" ht="16.5" hidden="1" customHeight="1">
      <c r="A944" s="896"/>
      <c r="B944" s="928" t="s">
        <v>3734</v>
      </c>
      <c r="C944" s="1269"/>
      <c r="D944" s="954" t="s">
        <v>3247</v>
      </c>
      <c r="E944" s="1270"/>
      <c r="F944" s="1271"/>
      <c r="G944" s="1271"/>
      <c r="H944" s="1271"/>
      <c r="I944" s="1272"/>
      <c r="J944" s="955"/>
      <c r="K944" s="902"/>
      <c r="L944" s="923"/>
      <c r="M944" s="902"/>
      <c r="N944" s="900" t="s">
        <v>2297</v>
      </c>
    </row>
    <row r="945" spans="1:14" s="910" customFormat="1" ht="16.5" hidden="1" customHeight="1">
      <c r="A945" s="896"/>
      <c r="B945" s="902" t="s">
        <v>3718</v>
      </c>
      <c r="C945" s="897">
        <v>1</v>
      </c>
      <c r="D945" s="1263" t="s">
        <v>273</v>
      </c>
      <c r="E945" s="919">
        <v>2</v>
      </c>
      <c r="F945" s="920">
        <v>13.54</v>
      </c>
      <c r="G945" s="920">
        <v>0.23</v>
      </c>
      <c r="H945" s="920">
        <v>0.64</v>
      </c>
      <c r="I945" s="1266">
        <f t="shared" ref="I945:I946" si="91">ROUND(IF(AND(F945:H945),C945*E945*F945*G945*H945,IF(AND(F945,G945),C945*E945*F945*G945,IF(AND(F945,H945),C945*E945*F945*H945,IF(AND(G945,H945),C945*E945*G945*H945,IF(F945,C945*E945*F945,IF(G945,C945*E945*G945,IF(H945,C945*E945*H945,C945*E945))))))),2)</f>
        <v>3.99</v>
      </c>
      <c r="J945" s="955" t="s">
        <v>5</v>
      </c>
      <c r="K945" s="902"/>
      <c r="L945" s="923"/>
      <c r="M945" s="902"/>
      <c r="N945" s="900" t="s">
        <v>2297</v>
      </c>
    </row>
    <row r="946" spans="1:14" s="910" customFormat="1" ht="16.5" hidden="1" customHeight="1">
      <c r="A946" s="896"/>
      <c r="B946" s="902" t="s">
        <v>3719</v>
      </c>
      <c r="C946" s="897">
        <v>1</v>
      </c>
      <c r="D946" s="1263" t="s">
        <v>273</v>
      </c>
      <c r="E946" s="919">
        <v>2</v>
      </c>
      <c r="F946" s="920">
        <v>6.39</v>
      </c>
      <c r="G946" s="920">
        <v>0.23</v>
      </c>
      <c r="H946" s="920">
        <v>0.64</v>
      </c>
      <c r="I946" s="1266">
        <f t="shared" si="91"/>
        <v>1.88</v>
      </c>
      <c r="J946" s="955" t="s">
        <v>5</v>
      </c>
      <c r="K946" s="902"/>
      <c r="L946" s="923"/>
      <c r="M946" s="902"/>
      <c r="N946" s="900" t="s">
        <v>2297</v>
      </c>
    </row>
    <row r="947" spans="1:14" s="910" customFormat="1" ht="16.5" hidden="1" customHeight="1">
      <c r="A947" s="896"/>
      <c r="B947" s="902" t="s">
        <v>281</v>
      </c>
      <c r="C947" s="897">
        <v>1</v>
      </c>
      <c r="D947" s="1263" t="s">
        <v>273</v>
      </c>
      <c r="E947" s="919">
        <v>12</v>
      </c>
      <c r="F947" s="920">
        <v>0.23</v>
      </c>
      <c r="G947" s="920">
        <v>0.38</v>
      </c>
      <c r="H947" s="920">
        <v>0.64</v>
      </c>
      <c r="I947" s="1266">
        <f t="shared" ref="I947:I948" si="92">-ROUND(IF(AND(F947:H947),C947*E947*F947*G947*H947,IF(AND(F947,G947),C947*E947*F947*G947,IF(AND(F947,H947),C947*E947*F947*H947,IF(AND(G947,H947),C947*E947*G947*H947,IF(F947,C947*E947*F947,IF(G947,C947*E947*G947,IF(H947,C947*E947*H947,C947*E947))))))),2)</f>
        <v>-0.67</v>
      </c>
      <c r="J947" s="955" t="s">
        <v>5</v>
      </c>
      <c r="K947" s="902"/>
      <c r="L947" s="923"/>
      <c r="M947" s="902"/>
      <c r="N947" s="900" t="s">
        <v>2297</v>
      </c>
    </row>
    <row r="948" spans="1:14" s="910" customFormat="1" ht="16.5" hidden="1" customHeight="1">
      <c r="A948" s="896"/>
      <c r="B948" s="902" t="s">
        <v>581</v>
      </c>
      <c r="C948" s="897">
        <v>1</v>
      </c>
      <c r="D948" s="1263" t="s">
        <v>273</v>
      </c>
      <c r="E948" s="919">
        <v>14</v>
      </c>
      <c r="F948" s="920">
        <v>0.6</v>
      </c>
      <c r="G948" s="920">
        <v>0.23</v>
      </c>
      <c r="H948" s="920">
        <v>0.3</v>
      </c>
      <c r="I948" s="1266">
        <f t="shared" si="92"/>
        <v>-0.57999999999999996</v>
      </c>
      <c r="J948" s="955" t="s">
        <v>5</v>
      </c>
      <c r="K948" s="902"/>
      <c r="L948" s="923"/>
      <c r="M948" s="902"/>
      <c r="N948" s="900" t="s">
        <v>2297</v>
      </c>
    </row>
    <row r="949" spans="1:14" s="910" customFormat="1" ht="16.5" hidden="1" customHeight="1">
      <c r="A949" s="896"/>
      <c r="B949" s="956"/>
      <c r="C949" s="957"/>
      <c r="D949" s="958"/>
      <c r="E949" s="1268"/>
      <c r="F949" s="960"/>
      <c r="G949" s="960"/>
      <c r="H949" s="960"/>
      <c r="I949" s="916"/>
      <c r="J949" s="955"/>
      <c r="K949" s="902"/>
      <c r="L949" s="923"/>
      <c r="M949" s="902"/>
      <c r="N949" s="900" t="s">
        <v>2297</v>
      </c>
    </row>
    <row r="950" spans="1:14" ht="15.75" hidden="1">
      <c r="A950" s="896"/>
      <c r="B950" s="902"/>
      <c r="C950" s="917"/>
      <c r="D950" s="918"/>
      <c r="E950" s="919"/>
      <c r="F950" s="920"/>
      <c r="G950" s="921"/>
      <c r="H950" s="896"/>
      <c r="I950" s="916"/>
      <c r="J950" s="955" t="s">
        <v>5</v>
      </c>
      <c r="K950" s="922">
        <f>data!E1293</f>
        <v>5808.1699999999992</v>
      </c>
      <c r="L950" s="923" t="s">
        <v>2297</v>
      </c>
      <c r="M950" s="924">
        <f>ROUND(I950*K950,0)</f>
        <v>0</v>
      </c>
      <c r="N950" s="900" t="s">
        <v>2297</v>
      </c>
    </row>
    <row r="951" spans="1:14" ht="69.75" hidden="1" customHeight="1">
      <c r="A951" s="896">
        <v>22</v>
      </c>
      <c r="B951" s="1609" t="s">
        <v>649</v>
      </c>
      <c r="C951" s="1609"/>
      <c r="D951" s="1609"/>
      <c r="E951" s="1609"/>
      <c r="F951" s="1609"/>
      <c r="G951" s="1609"/>
      <c r="H951" s="1609"/>
      <c r="I951" s="897"/>
      <c r="J951" s="898"/>
      <c r="K951" s="896"/>
      <c r="L951" s="923"/>
      <c r="M951" s="899"/>
      <c r="N951" s="900" t="s">
        <v>2308</v>
      </c>
    </row>
    <row r="952" spans="1:14" s="910" customFormat="1" ht="16.5" hidden="1" customHeight="1">
      <c r="A952" s="896"/>
      <c r="B952" s="902" t="s">
        <v>3563</v>
      </c>
      <c r="C952" s="897"/>
      <c r="D952" s="1263"/>
      <c r="E952" s="919"/>
      <c r="F952" s="920"/>
      <c r="G952" s="920"/>
      <c r="H952" s="920"/>
      <c r="I952" s="1264"/>
      <c r="J952" s="955"/>
      <c r="K952" s="902"/>
      <c r="L952" s="923"/>
      <c r="M952" s="902"/>
      <c r="N952" s="900" t="s">
        <v>2308</v>
      </c>
    </row>
    <row r="953" spans="1:14" s="910" customFormat="1" ht="16.5" hidden="1" customHeight="1">
      <c r="A953" s="896"/>
      <c r="B953" s="902" t="s">
        <v>1490</v>
      </c>
      <c r="C953" s="897">
        <v>1</v>
      </c>
      <c r="D953" s="1263" t="s">
        <v>273</v>
      </c>
      <c r="E953" s="919">
        <v>1</v>
      </c>
      <c r="F953" s="920">
        <v>23.4</v>
      </c>
      <c r="G953" s="920">
        <v>0.115</v>
      </c>
      <c r="H953" s="920">
        <v>0.75</v>
      </c>
      <c r="I953" s="1286">
        <f>ROUND(IF(AND(F953:H953),C953*E953*F953*G953*H953,IF(AND(F953,G953),C953*E953*F953*G953,IF(AND(F953,H953),C953*E953*F953*H953,IF(AND(G953,H953),C953*E953*G953*H953,IF(F953,C953*E953*F953,IF(G953,C953*E953*G953,IF(H953,C953*E953*H953,C953*E953))))))),2)</f>
        <v>2.02</v>
      </c>
      <c r="J953" s="955" t="s">
        <v>5</v>
      </c>
      <c r="K953" s="902"/>
      <c r="L953" s="923"/>
      <c r="M953" s="902"/>
      <c r="N953" s="900" t="s">
        <v>2308</v>
      </c>
    </row>
    <row r="954" spans="1:14" s="910" customFormat="1" ht="16.5" hidden="1" customHeight="1">
      <c r="A954" s="896"/>
      <c r="B954" s="902" t="s">
        <v>2486</v>
      </c>
      <c r="C954" s="897">
        <v>1</v>
      </c>
      <c r="D954" s="1263" t="s">
        <v>273</v>
      </c>
      <c r="E954" s="919">
        <v>14</v>
      </c>
      <c r="F954" s="920">
        <v>1.2</v>
      </c>
      <c r="G954" s="920">
        <v>0.115</v>
      </c>
      <c r="H954" s="920">
        <v>0.45</v>
      </c>
      <c r="I954" s="1286">
        <f>ROUND(IF(AND(F954:H954),C954*E954*F954*G954*H954,IF(AND(F954,G954),C954*E954*F954*G954,IF(AND(F954,H954),C954*E954*F954*H954,IF(AND(G954,H954),C954*E954*G954*H954,IF(F954,C954*E954*F954,IF(G954,C954*E954*G954,IF(H954,C954*E954*H954,C954*E954))))))),2)</f>
        <v>0.87</v>
      </c>
      <c r="J954" s="955" t="s">
        <v>5</v>
      </c>
      <c r="K954" s="902"/>
      <c r="L954" s="923"/>
      <c r="M954" s="902"/>
      <c r="N954" s="900" t="s">
        <v>2308</v>
      </c>
    </row>
    <row r="955" spans="1:14" s="910" customFormat="1" ht="16.5" hidden="1" customHeight="1">
      <c r="A955" s="896"/>
      <c r="B955" s="956"/>
      <c r="C955" s="957"/>
      <c r="D955" s="958"/>
      <c r="E955" s="1268"/>
      <c r="F955" s="960"/>
      <c r="G955" s="960"/>
      <c r="H955" s="960"/>
      <c r="I955" s="916"/>
      <c r="J955" s="955"/>
      <c r="K955" s="902"/>
      <c r="L955" s="923"/>
      <c r="M955" s="902"/>
      <c r="N955" s="900" t="s">
        <v>2308</v>
      </c>
    </row>
    <row r="956" spans="1:14" ht="15.75" hidden="1">
      <c r="A956" s="896"/>
      <c r="B956" s="902"/>
      <c r="C956" s="917"/>
      <c r="D956" s="918"/>
      <c r="E956" s="919"/>
      <c r="F956" s="920"/>
      <c r="G956" s="921"/>
      <c r="H956" s="896"/>
      <c r="I956" s="916"/>
      <c r="J956" s="955" t="s">
        <v>5</v>
      </c>
      <c r="K956" s="922">
        <f>data!E2210</f>
        <v>6210.51</v>
      </c>
      <c r="L956" s="923" t="s">
        <v>2308</v>
      </c>
      <c r="M956" s="924">
        <f>ROUND(I956*K956,0)</f>
        <v>0</v>
      </c>
      <c r="N956" s="900" t="s">
        <v>2308</v>
      </c>
    </row>
    <row r="957" spans="1:14" ht="69.75" hidden="1" customHeight="1">
      <c r="A957" s="896">
        <v>17</v>
      </c>
      <c r="B957" s="1609" t="s">
        <v>649</v>
      </c>
      <c r="C957" s="1609"/>
      <c r="D957" s="1609"/>
      <c r="E957" s="1609"/>
      <c r="F957" s="1609"/>
      <c r="G957" s="1609"/>
      <c r="H957" s="1609"/>
      <c r="I957" s="897"/>
      <c r="J957" s="898"/>
      <c r="K957" s="896"/>
      <c r="L957" s="923"/>
      <c r="M957" s="899"/>
      <c r="N957" s="900" t="s">
        <v>2309</v>
      </c>
    </row>
    <row r="958" spans="1:14" s="910" customFormat="1" ht="16.5" hidden="1" customHeight="1">
      <c r="A958" s="896"/>
      <c r="B958" s="902" t="s">
        <v>3524</v>
      </c>
      <c r="C958" s="897"/>
      <c r="D958" s="1263" t="s">
        <v>3450</v>
      </c>
      <c r="E958" s="919"/>
      <c r="F958" s="920"/>
      <c r="G958" s="920"/>
      <c r="H958" s="920"/>
      <c r="I958" s="1264"/>
      <c r="J958" s="955"/>
      <c r="K958" s="902"/>
      <c r="L958" s="923"/>
      <c r="M958" s="902"/>
      <c r="N958" s="900" t="s">
        <v>2309</v>
      </c>
    </row>
    <row r="959" spans="1:14" s="910" customFormat="1" ht="16.5" hidden="1" customHeight="1">
      <c r="A959" s="896"/>
      <c r="B959" s="902" t="s">
        <v>3451</v>
      </c>
      <c r="C959" s="897">
        <v>1</v>
      </c>
      <c r="D959" s="1263" t="s">
        <v>273</v>
      </c>
      <c r="E959" s="919">
        <v>1</v>
      </c>
      <c r="F959" s="920">
        <v>13.55</v>
      </c>
      <c r="G959" s="920">
        <v>0.23</v>
      </c>
      <c r="H959" s="920">
        <v>0.75</v>
      </c>
      <c r="I959" s="1266">
        <f t="shared" ref="I959" si="93">ROUND(IF(AND(F959:H959),C959*E959*F959*G959*H959,IF(AND(F959,G959),C959*E959*F959*G959,IF(AND(F959,H959),C959*E959*F959*H959,IF(AND(G959,H959),C959*E959*G959*H959,IF(F959,C959*E959*F959,IF(G959,C959*E959*G959,IF(H959,C959*E959*H959,C959*E959))))))),2)</f>
        <v>2.34</v>
      </c>
      <c r="J959" s="955" t="s">
        <v>5</v>
      </c>
      <c r="K959" s="902"/>
      <c r="L959" s="923"/>
      <c r="M959" s="902"/>
      <c r="N959" s="900" t="s">
        <v>2309</v>
      </c>
    </row>
    <row r="960" spans="1:14" s="910" customFormat="1" ht="16.5" hidden="1" customHeight="1">
      <c r="A960" s="896"/>
      <c r="B960" s="902" t="s">
        <v>579</v>
      </c>
      <c r="C960" s="897">
        <v>1</v>
      </c>
      <c r="D960" s="1263" t="s">
        <v>273</v>
      </c>
      <c r="E960" s="919">
        <v>1</v>
      </c>
      <c r="F960" s="920">
        <v>1.05</v>
      </c>
      <c r="G960" s="920">
        <v>0.23</v>
      </c>
      <c r="H960" s="920">
        <v>0.75</v>
      </c>
      <c r="I960" s="1266">
        <f>-ROUND(IF(AND(F960:H960),C960*E960*F960*G960*H960,IF(AND(F960,G960),C960*E960*F960*G960,IF(AND(F960,H960),C960*E960*F960*H960,IF(AND(G960,H960),C960*E960*G960*H960,IF(F960,C960*E960*F960,IF(G960,C960*E960*G960,IF(H960,C960*E960*H960,C960*E960))))))),2)</f>
        <v>-0.18</v>
      </c>
      <c r="J960" s="955" t="s">
        <v>5</v>
      </c>
      <c r="K960" s="902"/>
      <c r="L960" s="923"/>
      <c r="M960" s="902"/>
      <c r="N960" s="900" t="s">
        <v>2309</v>
      </c>
    </row>
    <row r="961" spans="1:14" s="910" customFormat="1" ht="16.5" hidden="1" customHeight="1">
      <c r="A961" s="896"/>
      <c r="B961" s="902" t="s">
        <v>2890</v>
      </c>
      <c r="C961" s="897">
        <v>1</v>
      </c>
      <c r="D961" s="1263" t="s">
        <v>273</v>
      </c>
      <c r="E961" s="919">
        <v>4</v>
      </c>
      <c r="F961" s="920">
        <v>0.38</v>
      </c>
      <c r="G961" s="920">
        <v>0.23</v>
      </c>
      <c r="H961" s="920">
        <v>0.75</v>
      </c>
      <c r="I961" s="1266">
        <f>-ROUND(IF(AND(F961:H961),C961*E961*F961*G961*H961,IF(AND(F961,G961),C961*E961*F961*G961,IF(AND(F961,H961),C961*E961*F961*H961,IF(AND(G961,H961),C961*E961*G961*H961,IF(F961,C961*E961*F961,IF(G961,C961*E961*G961,IF(H961,C961*E961*H961,C961*E961))))))),2)</f>
        <v>-0.26</v>
      </c>
      <c r="J961" s="955" t="s">
        <v>5</v>
      </c>
      <c r="K961" s="902"/>
      <c r="L961" s="923"/>
      <c r="M961" s="902"/>
      <c r="N961" s="900" t="s">
        <v>2309</v>
      </c>
    </row>
    <row r="962" spans="1:14" s="910" customFormat="1" ht="16.5" hidden="1" customHeight="1">
      <c r="A962" s="896"/>
      <c r="B962" s="902" t="s">
        <v>2890</v>
      </c>
      <c r="C962" s="897">
        <v>1</v>
      </c>
      <c r="D962" s="1263" t="s">
        <v>273</v>
      </c>
      <c r="E962" s="919">
        <v>1</v>
      </c>
      <c r="F962" s="920">
        <v>0.23</v>
      </c>
      <c r="G962" s="920">
        <v>0.23</v>
      </c>
      <c r="H962" s="920">
        <v>0.75</v>
      </c>
      <c r="I962" s="1266">
        <f>-ROUND(IF(AND(F962:H962),C962*E962*F962*G962*H962,IF(AND(F962,G962),C962*E962*F962*G962,IF(AND(F962,H962),C962*E962*F962*H962,IF(AND(G962,H962),C962*E962*G962*H962,IF(F962,C962*E962*F962,IF(G962,C962*E962*G962,IF(H962,C962*E962*H962,C962*E962))))))),2)</f>
        <v>-0.04</v>
      </c>
      <c r="J962" s="955" t="s">
        <v>5</v>
      </c>
      <c r="K962" s="902"/>
      <c r="L962" s="923"/>
      <c r="M962" s="902"/>
      <c r="N962" s="900" t="s">
        <v>2309</v>
      </c>
    </row>
    <row r="963" spans="1:14" s="910" customFormat="1" ht="16.5" hidden="1" customHeight="1">
      <c r="A963" s="896"/>
      <c r="B963" s="902" t="s">
        <v>3452</v>
      </c>
      <c r="C963" s="897">
        <v>1</v>
      </c>
      <c r="D963" s="1263" t="s">
        <v>273</v>
      </c>
      <c r="E963" s="919">
        <v>1</v>
      </c>
      <c r="F963" s="920">
        <v>13.55</v>
      </c>
      <c r="G963" s="920">
        <v>0.23</v>
      </c>
      <c r="H963" s="920">
        <v>0.75</v>
      </c>
      <c r="I963" s="1266">
        <f t="shared" ref="I963:I969" si="94">ROUND(IF(AND(F963:H963),C963*E963*F963*G963*H963,IF(AND(F963,G963),C963*E963*F963*G963,IF(AND(F963,H963),C963*E963*F963*H963,IF(AND(G963,H963),C963*E963*G963*H963,IF(F963,C963*E963*F963,IF(G963,C963*E963*G963,IF(H963,C963*E963*H963,C963*E963))))))),2)</f>
        <v>2.34</v>
      </c>
      <c r="J963" s="955" t="s">
        <v>5</v>
      </c>
      <c r="K963" s="902"/>
      <c r="L963" s="923"/>
      <c r="M963" s="902"/>
      <c r="N963" s="900" t="s">
        <v>2309</v>
      </c>
    </row>
    <row r="964" spans="1:14" s="910" customFormat="1" ht="16.5" hidden="1" customHeight="1">
      <c r="A964" s="896"/>
      <c r="B964" s="902" t="s">
        <v>579</v>
      </c>
      <c r="C964" s="897">
        <v>1</v>
      </c>
      <c r="D964" s="1263" t="s">
        <v>273</v>
      </c>
      <c r="E964" s="919">
        <v>1</v>
      </c>
      <c r="F964" s="920">
        <v>0.8</v>
      </c>
      <c r="G964" s="920">
        <v>0.23</v>
      </c>
      <c r="H964" s="920">
        <v>0.75</v>
      </c>
      <c r="I964" s="1266">
        <f>-ROUND(IF(AND(F964:H964),C964*E964*F964*G964*H964,IF(AND(F964,G964),C964*E964*F964*G964,IF(AND(F964,H964),C964*E964*F964*H964,IF(AND(G964,H964),C964*E964*G964*H964,IF(F964,C964*E964*F964,IF(G964,C964*E964*G964,IF(H964,C964*E964*H964,C964*E964))))))),2)</f>
        <v>-0.14000000000000001</v>
      </c>
      <c r="J964" s="955" t="s">
        <v>5</v>
      </c>
      <c r="K964" s="902"/>
      <c r="L964" s="923"/>
      <c r="M964" s="902"/>
      <c r="N964" s="900" t="s">
        <v>2309</v>
      </c>
    </row>
    <row r="965" spans="1:14" s="910" customFormat="1" ht="16.5" hidden="1" customHeight="1">
      <c r="A965" s="896"/>
      <c r="B965" s="902" t="s">
        <v>2890</v>
      </c>
      <c r="C965" s="897">
        <v>1</v>
      </c>
      <c r="D965" s="1263" t="s">
        <v>273</v>
      </c>
      <c r="E965" s="919">
        <v>3</v>
      </c>
      <c r="F965" s="920">
        <v>0.38</v>
      </c>
      <c r="G965" s="920">
        <v>0.23</v>
      </c>
      <c r="H965" s="920">
        <v>0.75</v>
      </c>
      <c r="I965" s="1266">
        <f>-ROUND(IF(AND(F965:H965),C965*E965*F965*G965*H965,IF(AND(F965,G965),C965*E965*F965*G965,IF(AND(F965,H965),C965*E965*F965*H965,IF(AND(G965,H965),C965*E965*G965*H965,IF(F965,C965*E965*F965,IF(G965,C965*E965*G965,IF(H965,C965*E965*H965,C965*E965))))))),2)</f>
        <v>-0.2</v>
      </c>
      <c r="J965" s="955" t="s">
        <v>5</v>
      </c>
      <c r="K965" s="902"/>
      <c r="L965" s="923"/>
      <c r="M965" s="902"/>
      <c r="N965" s="900" t="s">
        <v>2309</v>
      </c>
    </row>
    <row r="966" spans="1:14" s="910" customFormat="1" ht="16.5" hidden="1" customHeight="1">
      <c r="A966" s="896"/>
      <c r="B966" s="902" t="s">
        <v>2890</v>
      </c>
      <c r="C966" s="897">
        <v>1</v>
      </c>
      <c r="D966" s="1263" t="s">
        <v>273</v>
      </c>
      <c r="E966" s="919">
        <v>2</v>
      </c>
      <c r="F966" s="920">
        <v>0.23</v>
      </c>
      <c r="G966" s="920">
        <v>0.23</v>
      </c>
      <c r="H966" s="920">
        <v>0.75</v>
      </c>
      <c r="I966" s="1266">
        <f>-ROUND(IF(AND(F966:H966),C966*E966*F966*G966*H966,IF(AND(F966,G966),C966*E966*F966*G966,IF(AND(F966,H966),C966*E966*F966*H966,IF(AND(G966,H966),C966*E966*G966*H966,IF(F966,C966*E966*F966,IF(G966,C966*E966*G966,IF(H966,C966*E966*H966,C966*E966))))))),2)</f>
        <v>-0.08</v>
      </c>
      <c r="J966" s="955" t="s">
        <v>5</v>
      </c>
      <c r="K966" s="902"/>
      <c r="L966" s="923"/>
      <c r="M966" s="902"/>
      <c r="N966" s="900" t="s">
        <v>2309</v>
      </c>
    </row>
    <row r="967" spans="1:14" s="910" customFormat="1" ht="16.5" hidden="1" customHeight="1">
      <c r="A967" s="896"/>
      <c r="B967" s="902" t="s">
        <v>3453</v>
      </c>
      <c r="C967" s="897">
        <v>1</v>
      </c>
      <c r="D967" s="1263" t="s">
        <v>273</v>
      </c>
      <c r="E967" s="919">
        <v>1</v>
      </c>
      <c r="F967" s="920">
        <v>6.41</v>
      </c>
      <c r="G967" s="920">
        <v>0.23</v>
      </c>
      <c r="H967" s="920">
        <v>0.75</v>
      </c>
      <c r="I967" s="1266">
        <f t="shared" si="94"/>
        <v>1.1100000000000001</v>
      </c>
      <c r="J967" s="955" t="s">
        <v>5</v>
      </c>
      <c r="K967" s="902"/>
      <c r="L967" s="923"/>
      <c r="M967" s="902"/>
      <c r="N967" s="900" t="s">
        <v>2309</v>
      </c>
    </row>
    <row r="968" spans="1:14" s="910" customFormat="1" ht="16.5" hidden="1" customHeight="1">
      <c r="A968" s="896"/>
      <c r="B968" s="902" t="s">
        <v>2890</v>
      </c>
      <c r="C968" s="897">
        <v>1</v>
      </c>
      <c r="D968" s="1263" t="s">
        <v>273</v>
      </c>
      <c r="E968" s="919">
        <v>3</v>
      </c>
      <c r="F968" s="920">
        <v>0.38</v>
      </c>
      <c r="G968" s="920">
        <v>0.23</v>
      </c>
      <c r="H968" s="920">
        <v>0.75</v>
      </c>
      <c r="I968" s="1266">
        <f>-ROUND(IF(AND(F968:H968),C968*E968*F968*G968*H968,IF(AND(F968,G968),C968*E968*F968*G968,IF(AND(F968,H968),C968*E968*F968*H968,IF(AND(G968,H968),C968*E968*G968*H968,IF(F968,C968*E968*F968,IF(G968,C968*E968*G968,IF(H968,C968*E968*H968,C968*E968))))))),2)</f>
        <v>-0.2</v>
      </c>
      <c r="J968" s="955" t="s">
        <v>5</v>
      </c>
      <c r="K968" s="902"/>
      <c r="L968" s="923"/>
      <c r="M968" s="902"/>
      <c r="N968" s="900" t="s">
        <v>2309</v>
      </c>
    </row>
    <row r="969" spans="1:14" s="910" customFormat="1" ht="16.5" hidden="1" customHeight="1">
      <c r="A969" s="896"/>
      <c r="B969" s="902" t="s">
        <v>3454</v>
      </c>
      <c r="C969" s="897">
        <v>1</v>
      </c>
      <c r="D969" s="1263" t="s">
        <v>273</v>
      </c>
      <c r="E969" s="919">
        <v>1</v>
      </c>
      <c r="F969" s="920">
        <v>6.41</v>
      </c>
      <c r="G969" s="920">
        <v>0.23</v>
      </c>
      <c r="H969" s="920">
        <v>0.75</v>
      </c>
      <c r="I969" s="1266">
        <f t="shared" si="94"/>
        <v>1.1100000000000001</v>
      </c>
      <c r="J969" s="955" t="s">
        <v>5</v>
      </c>
      <c r="K969" s="902"/>
      <c r="L969" s="923"/>
      <c r="M969" s="902"/>
      <c r="N969" s="900" t="s">
        <v>2309</v>
      </c>
    </row>
    <row r="970" spans="1:14" s="910" customFormat="1" ht="16.5" hidden="1" customHeight="1">
      <c r="A970" s="896"/>
      <c r="B970" s="902" t="s">
        <v>579</v>
      </c>
      <c r="C970" s="897">
        <v>1</v>
      </c>
      <c r="D970" s="1263" t="s">
        <v>273</v>
      </c>
      <c r="E970" s="919">
        <v>1</v>
      </c>
      <c r="F970" s="920">
        <v>1.05</v>
      </c>
      <c r="G970" s="920">
        <v>0.23</v>
      </c>
      <c r="H970" s="920">
        <v>0.75</v>
      </c>
      <c r="I970" s="1266">
        <f>-ROUND(IF(AND(F970:H970),C970*E970*F970*G970*H970,IF(AND(F970,G970),C970*E970*F970*G970,IF(AND(F970,H970),C970*E970*F970*H970,IF(AND(G970,H970),C970*E970*G970*H970,IF(F970,C970*E970*F970,IF(G970,C970*E970*G970,IF(H970,C970*E970*H970,C970*E970))))))),2)</f>
        <v>-0.18</v>
      </c>
      <c r="J970" s="955" t="s">
        <v>5</v>
      </c>
      <c r="K970" s="902"/>
      <c r="L970" s="923"/>
      <c r="M970" s="902"/>
      <c r="N970" s="900" t="s">
        <v>2309</v>
      </c>
    </row>
    <row r="971" spans="1:14" s="910" customFormat="1" ht="16.5" hidden="1" customHeight="1">
      <c r="A971" s="896"/>
      <c r="B971" s="902" t="s">
        <v>2890</v>
      </c>
      <c r="C971" s="897">
        <v>1</v>
      </c>
      <c r="D971" s="1263" t="s">
        <v>273</v>
      </c>
      <c r="E971" s="919">
        <v>2</v>
      </c>
      <c r="F971" s="920">
        <v>0.38</v>
      </c>
      <c r="G971" s="920">
        <v>0.23</v>
      </c>
      <c r="H971" s="920">
        <v>0.75</v>
      </c>
      <c r="I971" s="1266">
        <f>-ROUND(IF(AND(F971:H971),C971*E971*F971*G971*H971,IF(AND(F971,G971),C971*E971*F971*G971,IF(AND(F971,H971),C971*E971*F971*H971,IF(AND(G971,H971),C971*E971*G971*H971,IF(F971,C971*E971*F971,IF(G971,C971*E971*G971,IF(H971,C971*E971*H971,C971*E971))))))),2)</f>
        <v>-0.13</v>
      </c>
      <c r="J971" s="955" t="s">
        <v>5</v>
      </c>
      <c r="K971" s="902"/>
      <c r="L971" s="923"/>
      <c r="M971" s="902"/>
      <c r="N971" s="900" t="s">
        <v>2309</v>
      </c>
    </row>
    <row r="972" spans="1:14" s="910" customFormat="1" ht="16.5" hidden="1" customHeight="1">
      <c r="A972" s="896"/>
      <c r="B972" s="902" t="s">
        <v>2890</v>
      </c>
      <c r="C972" s="897">
        <v>1</v>
      </c>
      <c r="D972" s="1263" t="s">
        <v>273</v>
      </c>
      <c r="E972" s="919">
        <v>1</v>
      </c>
      <c r="F972" s="920">
        <v>0.23</v>
      </c>
      <c r="G972" s="920">
        <v>0.23</v>
      </c>
      <c r="H972" s="920">
        <v>0.75</v>
      </c>
      <c r="I972" s="1266">
        <f>-ROUND(IF(AND(F972:H972),C972*E972*F972*G972*H972,IF(AND(F972,G972),C972*E972*F972*G972,IF(AND(F972,H972),C972*E972*F972*H972,IF(AND(G972,H972),C972*E972*G972*H972,IF(F972,C972*E972*F972,IF(G972,C972*E972*G972,IF(H972,C972*E972*H972,C972*E972))))))),2)</f>
        <v>-0.04</v>
      </c>
      <c r="J972" s="955" t="s">
        <v>5</v>
      </c>
      <c r="K972" s="902"/>
      <c r="L972" s="923"/>
      <c r="M972" s="902"/>
      <c r="N972" s="900" t="s">
        <v>2309</v>
      </c>
    </row>
    <row r="973" spans="1:14" s="910" customFormat="1" ht="16.5" hidden="1" customHeight="1">
      <c r="A973" s="896"/>
      <c r="B973" s="902" t="s">
        <v>3525</v>
      </c>
      <c r="C973" s="897"/>
      <c r="D973" s="1263" t="s">
        <v>3464</v>
      </c>
      <c r="E973" s="919"/>
      <c r="F973" s="920"/>
      <c r="G973" s="920"/>
      <c r="H973" s="920"/>
      <c r="I973" s="1264"/>
      <c r="J973" s="955"/>
      <c r="K973" s="902"/>
      <c r="L973" s="923"/>
      <c r="M973" s="902"/>
      <c r="N973" s="900" t="s">
        <v>2309</v>
      </c>
    </row>
    <row r="974" spans="1:14" s="910" customFormat="1" ht="16.5" hidden="1" customHeight="1">
      <c r="A974" s="896"/>
      <c r="B974" s="902" t="s">
        <v>3451</v>
      </c>
      <c r="C974" s="897">
        <v>1</v>
      </c>
      <c r="D974" s="1263" t="s">
        <v>273</v>
      </c>
      <c r="E974" s="919">
        <v>1</v>
      </c>
      <c r="F974" s="920">
        <v>13.55</v>
      </c>
      <c r="G974" s="920">
        <v>0.23</v>
      </c>
      <c r="H974" s="920">
        <v>1.2</v>
      </c>
      <c r="I974" s="1266">
        <f t="shared" ref="I974" si="95">ROUND(IF(AND(F974:H974),C974*E974*F974*G974*H974,IF(AND(F974,G974),C974*E974*F974*G974,IF(AND(F974,H974),C974*E974*F974*H974,IF(AND(G974,H974),C974*E974*G974*H974,IF(F974,C974*E974*F974,IF(G974,C974*E974*G974,IF(H974,C974*E974*H974,C974*E974))))))),2)</f>
        <v>3.74</v>
      </c>
      <c r="J974" s="955" t="s">
        <v>5</v>
      </c>
      <c r="K974" s="902"/>
      <c r="L974" s="923"/>
      <c r="M974" s="902"/>
      <c r="N974" s="900" t="s">
        <v>2309</v>
      </c>
    </row>
    <row r="975" spans="1:14" s="910" customFormat="1" ht="16.5" hidden="1" customHeight="1">
      <c r="A975" s="896"/>
      <c r="B975" s="902" t="s">
        <v>579</v>
      </c>
      <c r="C975" s="897">
        <v>1</v>
      </c>
      <c r="D975" s="1263" t="s">
        <v>273</v>
      </c>
      <c r="E975" s="919">
        <v>1</v>
      </c>
      <c r="F975" s="920">
        <v>1.05</v>
      </c>
      <c r="G975" s="920">
        <v>0.23</v>
      </c>
      <c r="H975" s="920">
        <v>1.2</v>
      </c>
      <c r="I975" s="1266">
        <f>-ROUND(IF(AND(F975:H975),C975*E975*F975*G975*H975,IF(AND(F975,G975),C975*E975*F975*G975,IF(AND(F975,H975),C975*E975*F975*H975,IF(AND(G975,H975),C975*E975*G975*H975,IF(F975,C975*E975*F975,IF(G975,C975*E975*G975,IF(H975,C975*E975*H975,C975*E975))))))),2)</f>
        <v>-0.28999999999999998</v>
      </c>
      <c r="J975" s="955" t="s">
        <v>5</v>
      </c>
      <c r="K975" s="902"/>
      <c r="L975" s="923"/>
      <c r="M975" s="902"/>
      <c r="N975" s="900" t="s">
        <v>2309</v>
      </c>
    </row>
    <row r="976" spans="1:14" s="910" customFormat="1" ht="16.5" hidden="1" customHeight="1">
      <c r="A976" s="896"/>
      <c r="B976" s="902" t="s">
        <v>2890</v>
      </c>
      <c r="C976" s="897">
        <v>1</v>
      </c>
      <c r="D976" s="1263" t="s">
        <v>273</v>
      </c>
      <c r="E976" s="919">
        <v>4</v>
      </c>
      <c r="F976" s="920">
        <v>0.38</v>
      </c>
      <c r="G976" s="920">
        <v>0.23</v>
      </c>
      <c r="H976" s="920">
        <v>1.2</v>
      </c>
      <c r="I976" s="1266">
        <f>-ROUND(IF(AND(F976:H976),C976*E976*F976*G976*H976,IF(AND(F976,G976),C976*E976*F976*G976,IF(AND(F976,H976),C976*E976*F976*H976,IF(AND(G976,H976),C976*E976*G976*H976,IF(F976,C976*E976*F976,IF(G976,C976*E976*G976,IF(H976,C976*E976*H976,C976*E976))))))),2)</f>
        <v>-0.42</v>
      </c>
      <c r="J976" s="955" t="s">
        <v>5</v>
      </c>
      <c r="K976" s="902"/>
      <c r="L976" s="923"/>
      <c r="M976" s="902"/>
      <c r="N976" s="900" t="s">
        <v>2309</v>
      </c>
    </row>
    <row r="977" spans="1:14" s="910" customFormat="1" ht="16.5" hidden="1" customHeight="1">
      <c r="A977" s="896"/>
      <c r="B977" s="902" t="s">
        <v>2890</v>
      </c>
      <c r="C977" s="897">
        <v>1</v>
      </c>
      <c r="D977" s="1263" t="s">
        <v>273</v>
      </c>
      <c r="E977" s="919">
        <v>1</v>
      </c>
      <c r="F977" s="920">
        <v>0.23</v>
      </c>
      <c r="G977" s="920">
        <v>0.23</v>
      </c>
      <c r="H977" s="920">
        <v>1.2</v>
      </c>
      <c r="I977" s="1266">
        <f>-ROUND(IF(AND(F977:H977),C977*E977*F977*G977*H977,IF(AND(F977,G977),C977*E977*F977*G977,IF(AND(F977,H977),C977*E977*F977*H977,IF(AND(G977,H977),C977*E977*G977*H977,IF(F977,C977*E977*F977,IF(G977,C977*E977*G977,IF(H977,C977*E977*H977,C977*E977))))))),2)</f>
        <v>-0.06</v>
      </c>
      <c r="J977" s="955" t="s">
        <v>5</v>
      </c>
      <c r="K977" s="902"/>
      <c r="L977" s="923"/>
      <c r="M977" s="902"/>
      <c r="N977" s="900" t="s">
        <v>2309</v>
      </c>
    </row>
    <row r="978" spans="1:14" s="910" customFormat="1" ht="16.5" hidden="1" customHeight="1">
      <c r="A978" s="896"/>
      <c r="B978" s="902" t="s">
        <v>2354</v>
      </c>
      <c r="C978" s="897">
        <v>1</v>
      </c>
      <c r="D978" s="1263" t="s">
        <v>273</v>
      </c>
      <c r="E978" s="919">
        <v>1</v>
      </c>
      <c r="F978" s="920">
        <v>1.2</v>
      </c>
      <c r="G978" s="920">
        <v>0.23</v>
      </c>
      <c r="H978" s="920">
        <v>1.2</v>
      </c>
      <c r="I978" s="1266">
        <f>-ROUND(IF(AND(F978:H978),C978*E978*F978*G978*H978,IF(AND(F978,G978),C978*E978*F978*G978,IF(AND(F978,H978),C978*E978*F978*H978,IF(AND(G978,H978),C978*E978*G978*H978,IF(F978,C978*E978*F978,IF(G978,C978*E978*G978,IF(H978,C978*E978*H978,C978*E978))))))),2)</f>
        <v>-0.33</v>
      </c>
      <c r="J978" s="955" t="s">
        <v>5</v>
      </c>
      <c r="K978" s="902"/>
      <c r="L978" s="923"/>
      <c r="M978" s="902"/>
      <c r="N978" s="900" t="s">
        <v>2309</v>
      </c>
    </row>
    <row r="979" spans="1:14" s="910" customFormat="1" ht="16.5" hidden="1" customHeight="1">
      <c r="A979" s="896"/>
      <c r="B979" s="902" t="s">
        <v>3452</v>
      </c>
      <c r="C979" s="897">
        <v>1</v>
      </c>
      <c r="D979" s="1263" t="s">
        <v>273</v>
      </c>
      <c r="E979" s="919">
        <v>1</v>
      </c>
      <c r="F979" s="920">
        <v>13.55</v>
      </c>
      <c r="G979" s="920">
        <v>0.23</v>
      </c>
      <c r="H979" s="920">
        <v>1.2</v>
      </c>
      <c r="I979" s="1266">
        <f t="shared" ref="I979" si="96">ROUND(IF(AND(F979:H979),C979*E979*F979*G979*H979,IF(AND(F979,G979),C979*E979*F979*G979,IF(AND(F979,H979),C979*E979*F979*H979,IF(AND(G979,H979),C979*E979*G979*H979,IF(F979,C979*E979*F979,IF(G979,C979*E979*G979,IF(H979,C979*E979*H979,C979*E979))))))),2)</f>
        <v>3.74</v>
      </c>
      <c r="J979" s="955" t="s">
        <v>5</v>
      </c>
      <c r="K979" s="902"/>
      <c r="L979" s="923"/>
      <c r="M979" s="902"/>
      <c r="N979" s="900" t="s">
        <v>2309</v>
      </c>
    </row>
    <row r="980" spans="1:14" s="910" customFormat="1" ht="16.5" hidden="1" customHeight="1">
      <c r="A980" s="896"/>
      <c r="B980" s="902" t="s">
        <v>579</v>
      </c>
      <c r="C980" s="897">
        <v>1</v>
      </c>
      <c r="D980" s="1263" t="s">
        <v>273</v>
      </c>
      <c r="E980" s="919">
        <v>1</v>
      </c>
      <c r="F980" s="920">
        <v>0.8</v>
      </c>
      <c r="G980" s="920">
        <v>0.23</v>
      </c>
      <c r="H980" s="920">
        <v>1.2</v>
      </c>
      <c r="I980" s="1266">
        <f>-ROUND(IF(AND(F980:H980),C980*E980*F980*G980*H980,IF(AND(F980,G980),C980*E980*F980*G980,IF(AND(F980,H980),C980*E980*F980*H980,IF(AND(G980,H980),C980*E980*G980*H980,IF(F980,C980*E980*F980,IF(G980,C980*E980*G980,IF(H980,C980*E980*H980,C980*E980))))))),2)</f>
        <v>-0.22</v>
      </c>
      <c r="J980" s="955" t="s">
        <v>5</v>
      </c>
      <c r="K980" s="902"/>
      <c r="L980" s="923"/>
      <c r="M980" s="902"/>
      <c r="N980" s="900" t="s">
        <v>2309</v>
      </c>
    </row>
    <row r="981" spans="1:14" s="910" customFormat="1" ht="16.5" hidden="1" customHeight="1">
      <c r="A981" s="896"/>
      <c r="B981" s="902" t="s">
        <v>2890</v>
      </c>
      <c r="C981" s="897">
        <v>1</v>
      </c>
      <c r="D981" s="1263" t="s">
        <v>273</v>
      </c>
      <c r="E981" s="919">
        <v>3</v>
      </c>
      <c r="F981" s="920">
        <v>0.38</v>
      </c>
      <c r="G981" s="920">
        <v>0.23</v>
      </c>
      <c r="H981" s="920">
        <v>1.2</v>
      </c>
      <c r="I981" s="1266">
        <f>-ROUND(IF(AND(F981:H981),C981*E981*F981*G981*H981,IF(AND(F981,G981),C981*E981*F981*G981,IF(AND(F981,H981),C981*E981*F981*H981,IF(AND(G981,H981),C981*E981*G981*H981,IF(F981,C981*E981*F981,IF(G981,C981*E981*G981,IF(H981,C981*E981*H981,C981*E981))))))),2)</f>
        <v>-0.31</v>
      </c>
      <c r="J981" s="955" t="s">
        <v>5</v>
      </c>
      <c r="K981" s="902"/>
      <c r="L981" s="923"/>
      <c r="M981" s="902"/>
      <c r="N981" s="900" t="s">
        <v>2309</v>
      </c>
    </row>
    <row r="982" spans="1:14" s="910" customFormat="1" ht="16.5" hidden="1" customHeight="1">
      <c r="A982" s="896"/>
      <c r="B982" s="902" t="s">
        <v>2890</v>
      </c>
      <c r="C982" s="897">
        <v>1</v>
      </c>
      <c r="D982" s="1263" t="s">
        <v>273</v>
      </c>
      <c r="E982" s="919">
        <v>2</v>
      </c>
      <c r="F982" s="920">
        <v>0.23</v>
      </c>
      <c r="G982" s="920">
        <v>0.23</v>
      </c>
      <c r="H982" s="920">
        <v>1.2</v>
      </c>
      <c r="I982" s="1266">
        <f>-ROUND(IF(AND(F982:H982),C982*E982*F982*G982*H982,IF(AND(F982,G982),C982*E982*F982*G982,IF(AND(F982,H982),C982*E982*F982*H982,IF(AND(G982,H982),C982*E982*G982*H982,IF(F982,C982*E982*F982,IF(G982,C982*E982*G982,IF(H982,C982*E982*H982,C982*E982))))))),2)</f>
        <v>-0.13</v>
      </c>
      <c r="J982" s="955" t="s">
        <v>5</v>
      </c>
      <c r="K982" s="902"/>
      <c r="L982" s="923"/>
      <c r="M982" s="902"/>
      <c r="N982" s="900" t="s">
        <v>2309</v>
      </c>
    </row>
    <row r="983" spans="1:14" s="910" customFormat="1" ht="16.5" hidden="1" customHeight="1">
      <c r="A983" s="896"/>
      <c r="B983" s="902" t="s">
        <v>2354</v>
      </c>
      <c r="C983" s="897">
        <v>1</v>
      </c>
      <c r="D983" s="1263" t="s">
        <v>273</v>
      </c>
      <c r="E983" s="919">
        <v>3</v>
      </c>
      <c r="F983" s="920">
        <v>1.2</v>
      </c>
      <c r="G983" s="920">
        <v>0.23</v>
      </c>
      <c r="H983" s="920">
        <v>1.2</v>
      </c>
      <c r="I983" s="1266">
        <f>-ROUND(IF(AND(F983:H983),C983*E983*F983*G983*H983,IF(AND(F983,G983),C983*E983*F983*G983,IF(AND(F983,H983),C983*E983*F983*H983,IF(AND(G983,H983),C983*E983*G983*H983,IF(F983,C983*E983*F983,IF(G983,C983*E983*G983,IF(H983,C983*E983*H983,C983*E983))))))),2)</f>
        <v>-0.99</v>
      </c>
      <c r="J983" s="955" t="s">
        <v>5</v>
      </c>
      <c r="K983" s="902"/>
      <c r="L983" s="923"/>
      <c r="M983" s="902"/>
      <c r="N983" s="900" t="s">
        <v>2309</v>
      </c>
    </row>
    <row r="984" spans="1:14" s="910" customFormat="1" ht="16.5" hidden="1" customHeight="1">
      <c r="A984" s="896"/>
      <c r="B984" s="902" t="s">
        <v>3453</v>
      </c>
      <c r="C984" s="897">
        <v>1</v>
      </c>
      <c r="D984" s="1263" t="s">
        <v>273</v>
      </c>
      <c r="E984" s="919">
        <v>1</v>
      </c>
      <c r="F984" s="920">
        <v>6.41</v>
      </c>
      <c r="G984" s="920">
        <v>0.23</v>
      </c>
      <c r="H984" s="920">
        <v>1.2</v>
      </c>
      <c r="I984" s="1266">
        <f t="shared" ref="I984" si="97">ROUND(IF(AND(F984:H984),C984*E984*F984*G984*H984,IF(AND(F984,G984),C984*E984*F984*G984,IF(AND(F984,H984),C984*E984*F984*H984,IF(AND(G984,H984),C984*E984*G984*H984,IF(F984,C984*E984*F984,IF(G984,C984*E984*G984,IF(H984,C984*E984*H984,C984*E984))))))),2)</f>
        <v>1.77</v>
      </c>
      <c r="J984" s="955" t="s">
        <v>5</v>
      </c>
      <c r="K984" s="902"/>
      <c r="L984" s="923"/>
      <c r="M984" s="902"/>
      <c r="N984" s="900" t="s">
        <v>2309</v>
      </c>
    </row>
    <row r="985" spans="1:14" s="910" customFormat="1" ht="16.5" hidden="1" customHeight="1">
      <c r="A985" s="896"/>
      <c r="B985" s="902" t="s">
        <v>2890</v>
      </c>
      <c r="C985" s="897">
        <v>1</v>
      </c>
      <c r="D985" s="1263" t="s">
        <v>273</v>
      </c>
      <c r="E985" s="919">
        <v>3</v>
      </c>
      <c r="F985" s="920">
        <v>0.38</v>
      </c>
      <c r="G985" s="920">
        <v>0.23</v>
      </c>
      <c r="H985" s="920">
        <v>1.2</v>
      </c>
      <c r="I985" s="1266">
        <f>-ROUND(IF(AND(F985:H985),C985*E985*F985*G985*H985,IF(AND(F985,G985),C985*E985*F985*G985,IF(AND(F985,H985),C985*E985*F985*H985,IF(AND(G985,H985),C985*E985*G985*H985,IF(F985,C985*E985*F985,IF(G985,C985*E985*G985,IF(H985,C985*E985*H985,C985*E985))))))),2)</f>
        <v>-0.31</v>
      </c>
      <c r="J985" s="955" t="s">
        <v>5</v>
      </c>
      <c r="K985" s="902"/>
      <c r="L985" s="923"/>
      <c r="M985" s="902"/>
      <c r="N985" s="900" t="s">
        <v>2309</v>
      </c>
    </row>
    <row r="986" spans="1:14" s="910" customFormat="1" ht="16.5" hidden="1" customHeight="1">
      <c r="A986" s="896"/>
      <c r="B986" s="902" t="s">
        <v>2354</v>
      </c>
      <c r="C986" s="897">
        <v>1</v>
      </c>
      <c r="D986" s="1263" t="s">
        <v>273</v>
      </c>
      <c r="E986" s="919">
        <v>1</v>
      </c>
      <c r="F986" s="920">
        <v>1.2</v>
      </c>
      <c r="G986" s="920">
        <v>0.23</v>
      </c>
      <c r="H986" s="920">
        <v>1.2</v>
      </c>
      <c r="I986" s="1266">
        <f>-ROUND(IF(AND(F986:H986),C986*E986*F986*G986*H986,IF(AND(F986,G986),C986*E986*F986*G986,IF(AND(F986,H986),C986*E986*F986*H986,IF(AND(G986,H986),C986*E986*G986*H986,IF(F986,C986*E986*F986,IF(G986,C986*E986*G986,IF(H986,C986*E986*H986,C986*E986))))))),2)</f>
        <v>-0.33</v>
      </c>
      <c r="J986" s="955" t="s">
        <v>5</v>
      </c>
      <c r="K986" s="902"/>
      <c r="L986" s="923"/>
      <c r="M986" s="902"/>
      <c r="N986" s="900" t="s">
        <v>2309</v>
      </c>
    </row>
    <row r="987" spans="1:14" s="910" customFormat="1" ht="16.5" hidden="1" customHeight="1">
      <c r="A987" s="896"/>
      <c r="B987" s="902" t="s">
        <v>3454</v>
      </c>
      <c r="C987" s="897">
        <v>1</v>
      </c>
      <c r="D987" s="1263" t="s">
        <v>273</v>
      </c>
      <c r="E987" s="919">
        <v>1</v>
      </c>
      <c r="F987" s="920">
        <v>6.41</v>
      </c>
      <c r="G987" s="920">
        <v>0.23</v>
      </c>
      <c r="H987" s="920">
        <v>1.2</v>
      </c>
      <c r="I987" s="1266">
        <f t="shared" ref="I987" si="98">ROUND(IF(AND(F987:H987),C987*E987*F987*G987*H987,IF(AND(F987,G987),C987*E987*F987*G987,IF(AND(F987,H987),C987*E987*F987*H987,IF(AND(G987,H987),C987*E987*G987*H987,IF(F987,C987*E987*F987,IF(G987,C987*E987*G987,IF(H987,C987*E987*H987,C987*E987))))))),2)</f>
        <v>1.77</v>
      </c>
      <c r="J987" s="955" t="s">
        <v>5</v>
      </c>
      <c r="K987" s="902"/>
      <c r="L987" s="923"/>
      <c r="M987" s="902"/>
      <c r="N987" s="900" t="s">
        <v>2309</v>
      </c>
    </row>
    <row r="988" spans="1:14" s="910" customFormat="1" ht="16.5" hidden="1" customHeight="1">
      <c r="A988" s="896"/>
      <c r="B988" s="902" t="s">
        <v>579</v>
      </c>
      <c r="C988" s="897">
        <v>1</v>
      </c>
      <c r="D988" s="1263" t="s">
        <v>273</v>
      </c>
      <c r="E988" s="919">
        <v>1</v>
      </c>
      <c r="F988" s="920">
        <v>1.05</v>
      </c>
      <c r="G988" s="920">
        <v>0.23</v>
      </c>
      <c r="H988" s="920">
        <v>1.2</v>
      </c>
      <c r="I988" s="1266">
        <f>-ROUND(IF(AND(F988:H988),C988*E988*F988*G988*H988,IF(AND(F988,G988),C988*E988*F988*G988,IF(AND(F988,H988),C988*E988*F988*H988,IF(AND(G988,H988),C988*E988*G988*H988,IF(F988,C988*E988*F988,IF(G988,C988*E988*G988,IF(H988,C988*E988*H988,C988*E988))))))),2)</f>
        <v>-0.28999999999999998</v>
      </c>
      <c r="J988" s="955" t="s">
        <v>5</v>
      </c>
      <c r="K988" s="902"/>
      <c r="L988" s="923"/>
      <c r="M988" s="902"/>
      <c r="N988" s="900" t="s">
        <v>2309</v>
      </c>
    </row>
    <row r="989" spans="1:14" s="910" customFormat="1" ht="16.5" hidden="1" customHeight="1">
      <c r="A989" s="896"/>
      <c r="B989" s="902" t="s">
        <v>2890</v>
      </c>
      <c r="C989" s="897">
        <v>1</v>
      </c>
      <c r="D989" s="1263" t="s">
        <v>273</v>
      </c>
      <c r="E989" s="919">
        <v>2</v>
      </c>
      <c r="F989" s="920">
        <v>0.38</v>
      </c>
      <c r="G989" s="920">
        <v>0.23</v>
      </c>
      <c r="H989" s="920">
        <v>1.2</v>
      </c>
      <c r="I989" s="1266">
        <f>-ROUND(IF(AND(F989:H989),C989*E989*F989*G989*H989,IF(AND(F989,G989),C989*E989*F989*G989,IF(AND(F989,H989),C989*E989*F989*H989,IF(AND(G989,H989),C989*E989*G989*H989,IF(F989,C989*E989*F989,IF(G989,C989*E989*G989,IF(H989,C989*E989*H989,C989*E989))))))),2)</f>
        <v>-0.21</v>
      </c>
      <c r="J989" s="955" t="s">
        <v>5</v>
      </c>
      <c r="K989" s="902"/>
      <c r="L989" s="923"/>
      <c r="M989" s="902"/>
      <c r="N989" s="900" t="s">
        <v>2309</v>
      </c>
    </row>
    <row r="990" spans="1:14" s="910" customFormat="1" ht="16.5" hidden="1" customHeight="1">
      <c r="A990" s="896"/>
      <c r="B990" s="902" t="s">
        <v>2890</v>
      </c>
      <c r="C990" s="897">
        <v>1</v>
      </c>
      <c r="D990" s="1263" t="s">
        <v>273</v>
      </c>
      <c r="E990" s="919">
        <v>1</v>
      </c>
      <c r="F990" s="920">
        <v>0.23</v>
      </c>
      <c r="G990" s="920">
        <v>0.23</v>
      </c>
      <c r="H990" s="920">
        <v>1.2</v>
      </c>
      <c r="I990" s="1266">
        <f>-ROUND(IF(AND(F990:H990),C990*E990*F990*G990*H990,IF(AND(F990,G990),C990*E990*F990*G990,IF(AND(F990,H990),C990*E990*F990*H990,IF(AND(G990,H990),C990*E990*G990*H990,IF(F990,C990*E990*F990,IF(G990,C990*E990*G990,IF(H990,C990*E990*H990,C990*E990))))))),2)</f>
        <v>-0.06</v>
      </c>
      <c r="J990" s="955" t="s">
        <v>5</v>
      </c>
      <c r="K990" s="902"/>
      <c r="L990" s="923"/>
      <c r="M990" s="902"/>
      <c r="N990" s="900" t="s">
        <v>2309</v>
      </c>
    </row>
    <row r="991" spans="1:14" s="910" customFormat="1" ht="16.5" hidden="1" customHeight="1">
      <c r="A991" s="896"/>
      <c r="B991" s="902" t="s">
        <v>2354</v>
      </c>
      <c r="C991" s="897">
        <v>1</v>
      </c>
      <c r="D991" s="1263" t="s">
        <v>273</v>
      </c>
      <c r="E991" s="919">
        <v>2</v>
      </c>
      <c r="F991" s="920">
        <v>1.2</v>
      </c>
      <c r="G991" s="920">
        <v>0.23</v>
      </c>
      <c r="H991" s="920">
        <v>1.2</v>
      </c>
      <c r="I991" s="1266">
        <f>-ROUND(IF(AND(F991:H991),C991*E991*F991*G991*H991,IF(AND(F991,G991),C991*E991*F991*G991,IF(AND(F991,H991),C991*E991*F991*H991,IF(AND(G991,H991),C991*E991*G991*H991,IF(F991,C991*E991*F991,IF(G991,C991*E991*G991,IF(H991,C991*E991*H991,C991*E991))))))),2)</f>
        <v>-0.66</v>
      </c>
      <c r="J991" s="955" t="s">
        <v>5</v>
      </c>
      <c r="K991" s="902"/>
      <c r="L991" s="923"/>
      <c r="M991" s="902"/>
      <c r="N991" s="900" t="s">
        <v>2309</v>
      </c>
    </row>
    <row r="992" spans="1:14" s="910" customFormat="1" ht="16.5" hidden="1" customHeight="1">
      <c r="A992" s="896"/>
      <c r="B992" s="902" t="s">
        <v>3526</v>
      </c>
      <c r="C992" s="897"/>
      <c r="D992" s="1263" t="s">
        <v>3469</v>
      </c>
      <c r="E992" s="919"/>
      <c r="F992" s="920"/>
      <c r="G992" s="920"/>
      <c r="H992" s="920"/>
      <c r="I992" s="1264"/>
      <c r="J992" s="955"/>
      <c r="K992" s="902"/>
      <c r="L992" s="923"/>
      <c r="M992" s="902"/>
      <c r="N992" s="900" t="s">
        <v>2309</v>
      </c>
    </row>
    <row r="993" spans="1:14" s="910" customFormat="1" ht="16.5" hidden="1" customHeight="1">
      <c r="A993" s="896"/>
      <c r="B993" s="902" t="s">
        <v>3451</v>
      </c>
      <c r="C993" s="897">
        <v>1</v>
      </c>
      <c r="D993" s="1263" t="s">
        <v>273</v>
      </c>
      <c r="E993" s="919">
        <v>1</v>
      </c>
      <c r="F993" s="920">
        <v>13.55</v>
      </c>
      <c r="G993" s="920">
        <v>0.23</v>
      </c>
      <c r="H993" s="920">
        <v>0.625</v>
      </c>
      <c r="I993" s="1266">
        <f t="shared" ref="I993" si="99">ROUND(IF(AND(F993:H993),C993*E993*F993*G993*H993,IF(AND(F993,G993),C993*E993*F993*G993,IF(AND(F993,H993),C993*E993*F993*H993,IF(AND(G993,H993),C993*E993*G993*H993,IF(F993,C993*E993*F993,IF(G993,C993*E993*G993,IF(H993,C993*E993*H993,C993*E993))))))),2)</f>
        <v>1.95</v>
      </c>
      <c r="J993" s="955" t="s">
        <v>5</v>
      </c>
      <c r="K993" s="902"/>
      <c r="L993" s="923"/>
      <c r="M993" s="902"/>
      <c r="N993" s="900" t="s">
        <v>2309</v>
      </c>
    </row>
    <row r="994" spans="1:14" s="910" customFormat="1" ht="16.5" hidden="1" customHeight="1">
      <c r="A994" s="896"/>
      <c r="B994" s="902" t="s">
        <v>2890</v>
      </c>
      <c r="C994" s="897">
        <v>1</v>
      </c>
      <c r="D994" s="1263" t="s">
        <v>273</v>
      </c>
      <c r="E994" s="919">
        <v>4</v>
      </c>
      <c r="F994" s="920">
        <v>0.38</v>
      </c>
      <c r="G994" s="920">
        <v>0.23</v>
      </c>
      <c r="H994" s="920">
        <v>0.625</v>
      </c>
      <c r="I994" s="1266">
        <f>-ROUND(IF(AND(F994:H994),C994*E994*F994*G994*H994,IF(AND(F994,G994),C994*E994*F994*G994,IF(AND(F994,H994),C994*E994*F994*H994,IF(AND(G994,H994),C994*E994*G994*H994,IF(F994,C994*E994*F994,IF(G994,C994*E994*G994,IF(H994,C994*E994*H994,C994*E994))))))),2)</f>
        <v>-0.22</v>
      </c>
      <c r="J994" s="955" t="s">
        <v>5</v>
      </c>
      <c r="K994" s="902"/>
      <c r="L994" s="923"/>
      <c r="M994" s="902"/>
      <c r="N994" s="900" t="s">
        <v>2309</v>
      </c>
    </row>
    <row r="995" spans="1:14" s="910" customFormat="1" ht="16.5" hidden="1" customHeight="1">
      <c r="A995" s="896"/>
      <c r="B995" s="902" t="s">
        <v>2890</v>
      </c>
      <c r="C995" s="897">
        <v>1</v>
      </c>
      <c r="D995" s="1263" t="s">
        <v>273</v>
      </c>
      <c r="E995" s="919">
        <v>1</v>
      </c>
      <c r="F995" s="920">
        <v>0.23</v>
      </c>
      <c r="G995" s="920">
        <v>0.23</v>
      </c>
      <c r="H995" s="920">
        <v>0.625</v>
      </c>
      <c r="I995" s="1266">
        <f>-ROUND(IF(AND(F995:H995),C995*E995*F995*G995*H995,IF(AND(F995,G995),C995*E995*F995*G995,IF(AND(F995,H995),C995*E995*F995*H995,IF(AND(G995,H995),C995*E995*G995*H995,IF(F995,C995*E995*F995,IF(G995,C995*E995*G995,IF(H995,C995*E995*H995,C995*E995))))))),2)</f>
        <v>-0.03</v>
      </c>
      <c r="J995" s="955" t="s">
        <v>5</v>
      </c>
      <c r="K995" s="902"/>
      <c r="L995" s="923"/>
      <c r="M995" s="902"/>
      <c r="N995" s="900" t="s">
        <v>2309</v>
      </c>
    </row>
    <row r="996" spans="1:14" s="910" customFormat="1" ht="16.5" hidden="1" customHeight="1">
      <c r="A996" s="896"/>
      <c r="B996" s="902" t="s">
        <v>581</v>
      </c>
      <c r="C996" s="897">
        <v>1</v>
      </c>
      <c r="D996" s="1263" t="s">
        <v>273</v>
      </c>
      <c r="E996" s="919">
        <v>2</v>
      </c>
      <c r="F996" s="920">
        <v>0.6</v>
      </c>
      <c r="G996" s="920">
        <v>0.23</v>
      </c>
      <c r="H996" s="920">
        <v>0.3</v>
      </c>
      <c r="I996" s="1266">
        <f>-ROUND(IF(AND(F996:H996),C996*E996*F996*G996*H996,IF(AND(F996,G996),C996*E996*F996*G996,IF(AND(F996,H996),C996*E996*F996*H996,IF(AND(G996,H996),C996*E996*G996*H996,IF(F996,C996*E996*F996,IF(G996,C996*E996*G996,IF(H996,C996*E996*H996,C996*E996))))))),2)</f>
        <v>-0.08</v>
      </c>
      <c r="J996" s="955" t="s">
        <v>5</v>
      </c>
      <c r="K996" s="902"/>
      <c r="L996" s="923"/>
      <c r="M996" s="902"/>
      <c r="N996" s="900" t="s">
        <v>2309</v>
      </c>
    </row>
    <row r="997" spans="1:14" s="910" customFormat="1" ht="16.5" hidden="1" customHeight="1">
      <c r="A997" s="896"/>
      <c r="B997" s="902" t="s">
        <v>3452</v>
      </c>
      <c r="C997" s="897">
        <v>1</v>
      </c>
      <c r="D997" s="1263" t="s">
        <v>273</v>
      </c>
      <c r="E997" s="919">
        <v>1</v>
      </c>
      <c r="F997" s="920">
        <v>13.55</v>
      </c>
      <c r="G997" s="920">
        <v>0.23</v>
      </c>
      <c r="H997" s="920">
        <v>0.625</v>
      </c>
      <c r="I997" s="1266">
        <f t="shared" ref="I997" si="100">ROUND(IF(AND(F997:H997),C997*E997*F997*G997*H997,IF(AND(F997,G997),C997*E997*F997*G997,IF(AND(F997,H997),C997*E997*F997*H997,IF(AND(G997,H997),C997*E997*G997*H997,IF(F997,C997*E997*F997,IF(G997,C997*E997*G997,IF(H997,C997*E997*H997,C997*E997))))))),2)</f>
        <v>1.95</v>
      </c>
      <c r="J997" s="955" t="s">
        <v>5</v>
      </c>
      <c r="K997" s="902"/>
      <c r="L997" s="923"/>
      <c r="M997" s="902"/>
      <c r="N997" s="900" t="s">
        <v>2309</v>
      </c>
    </row>
    <row r="998" spans="1:14" s="910" customFormat="1" ht="16.5" hidden="1" customHeight="1">
      <c r="A998" s="896"/>
      <c r="B998" s="902" t="s">
        <v>2890</v>
      </c>
      <c r="C998" s="897">
        <v>1</v>
      </c>
      <c r="D998" s="1263" t="s">
        <v>273</v>
      </c>
      <c r="E998" s="919">
        <v>3</v>
      </c>
      <c r="F998" s="920">
        <v>0.38</v>
      </c>
      <c r="G998" s="920">
        <v>0.23</v>
      </c>
      <c r="H998" s="920">
        <v>0.625</v>
      </c>
      <c r="I998" s="1266">
        <f>-ROUND(IF(AND(F998:H998),C998*E998*F998*G998*H998,IF(AND(F998,G998),C998*E998*F998*G998,IF(AND(F998,H998),C998*E998*F998*H998,IF(AND(G998,H998),C998*E998*G998*H998,IF(F998,C998*E998*F998,IF(G998,C998*E998*G998,IF(H998,C998*E998*H998,C998*E998))))))),2)</f>
        <v>-0.16</v>
      </c>
      <c r="J998" s="955" t="s">
        <v>5</v>
      </c>
      <c r="K998" s="902"/>
      <c r="L998" s="923"/>
      <c r="M998" s="902"/>
      <c r="N998" s="900" t="s">
        <v>2309</v>
      </c>
    </row>
    <row r="999" spans="1:14" s="910" customFormat="1" ht="16.5" hidden="1" customHeight="1">
      <c r="A999" s="896"/>
      <c r="B999" s="902" t="s">
        <v>2890</v>
      </c>
      <c r="C999" s="897">
        <v>1</v>
      </c>
      <c r="D999" s="1263" t="s">
        <v>273</v>
      </c>
      <c r="E999" s="919">
        <v>2</v>
      </c>
      <c r="F999" s="920">
        <v>0.23</v>
      </c>
      <c r="G999" s="920">
        <v>0.23</v>
      </c>
      <c r="H999" s="920">
        <v>0.625</v>
      </c>
      <c r="I999" s="1266">
        <f>-ROUND(IF(AND(F999:H999),C999*E999*F999*G999*H999,IF(AND(F999,G999),C999*E999*F999*G999,IF(AND(F999,H999),C999*E999*F999*H999,IF(AND(G999,H999),C999*E999*G999*H999,IF(F999,C999*E999*F999,IF(G999,C999*E999*G999,IF(H999,C999*E999*H999,C999*E999))))))),2)</f>
        <v>-7.0000000000000007E-2</v>
      </c>
      <c r="J999" s="955" t="s">
        <v>5</v>
      </c>
      <c r="K999" s="902"/>
      <c r="L999" s="923"/>
      <c r="M999" s="902"/>
      <c r="N999" s="900" t="s">
        <v>2309</v>
      </c>
    </row>
    <row r="1000" spans="1:14" s="910" customFormat="1" ht="16.5" hidden="1" customHeight="1">
      <c r="A1000" s="896"/>
      <c r="B1000" s="902" t="s">
        <v>581</v>
      </c>
      <c r="C1000" s="897">
        <v>1</v>
      </c>
      <c r="D1000" s="1263" t="s">
        <v>273</v>
      </c>
      <c r="E1000" s="919">
        <v>5</v>
      </c>
      <c r="F1000" s="920">
        <v>0.6</v>
      </c>
      <c r="G1000" s="920">
        <v>0.23</v>
      </c>
      <c r="H1000" s="920">
        <v>0.3</v>
      </c>
      <c r="I1000" s="1266">
        <f>-ROUND(IF(AND(F1000:H1000),C1000*E1000*F1000*G1000*H1000,IF(AND(F1000,G1000),C1000*E1000*F1000*G1000,IF(AND(F1000,H1000),C1000*E1000*F1000*H1000,IF(AND(G1000,H1000),C1000*E1000*G1000*H1000,IF(F1000,C1000*E1000*F1000,IF(G1000,C1000*E1000*G1000,IF(H1000,C1000*E1000*H1000,C1000*E1000))))))),2)</f>
        <v>-0.21</v>
      </c>
      <c r="J1000" s="955" t="s">
        <v>5</v>
      </c>
      <c r="K1000" s="902"/>
      <c r="L1000" s="923"/>
      <c r="M1000" s="902"/>
      <c r="N1000" s="900" t="s">
        <v>2309</v>
      </c>
    </row>
    <row r="1001" spans="1:14" s="910" customFormat="1" ht="16.5" hidden="1" customHeight="1">
      <c r="A1001" s="896"/>
      <c r="B1001" s="902" t="s">
        <v>3453</v>
      </c>
      <c r="C1001" s="897">
        <v>1</v>
      </c>
      <c r="D1001" s="1263" t="s">
        <v>273</v>
      </c>
      <c r="E1001" s="919">
        <v>1</v>
      </c>
      <c r="F1001" s="920">
        <v>6.41</v>
      </c>
      <c r="G1001" s="920">
        <v>0.23</v>
      </c>
      <c r="H1001" s="920">
        <v>0.625</v>
      </c>
      <c r="I1001" s="1266">
        <f t="shared" ref="I1001" si="101">ROUND(IF(AND(F1001:H1001),C1001*E1001*F1001*G1001*H1001,IF(AND(F1001,G1001),C1001*E1001*F1001*G1001,IF(AND(F1001,H1001),C1001*E1001*F1001*H1001,IF(AND(G1001,H1001),C1001*E1001*G1001*H1001,IF(F1001,C1001*E1001*F1001,IF(G1001,C1001*E1001*G1001,IF(H1001,C1001*E1001*H1001,C1001*E1001))))))),2)</f>
        <v>0.92</v>
      </c>
      <c r="J1001" s="955" t="s">
        <v>5</v>
      </c>
      <c r="K1001" s="902"/>
      <c r="L1001" s="923"/>
      <c r="M1001" s="902"/>
      <c r="N1001" s="900" t="s">
        <v>2309</v>
      </c>
    </row>
    <row r="1002" spans="1:14" s="910" customFormat="1" ht="16.5" hidden="1" customHeight="1">
      <c r="A1002" s="896"/>
      <c r="B1002" s="902" t="s">
        <v>2890</v>
      </c>
      <c r="C1002" s="897">
        <v>1</v>
      </c>
      <c r="D1002" s="1263" t="s">
        <v>273</v>
      </c>
      <c r="E1002" s="919">
        <v>3</v>
      </c>
      <c r="F1002" s="920">
        <v>0.38</v>
      </c>
      <c r="G1002" s="920">
        <v>0.23</v>
      </c>
      <c r="H1002" s="920">
        <v>0.625</v>
      </c>
      <c r="I1002" s="1266">
        <f>-ROUND(IF(AND(F1002:H1002),C1002*E1002*F1002*G1002*H1002,IF(AND(F1002,G1002),C1002*E1002*F1002*G1002,IF(AND(F1002,H1002),C1002*E1002*F1002*H1002,IF(AND(G1002,H1002),C1002*E1002*G1002*H1002,IF(F1002,C1002*E1002*F1002,IF(G1002,C1002*E1002*G1002,IF(H1002,C1002*E1002*H1002,C1002*E1002))))))),2)</f>
        <v>-0.16</v>
      </c>
      <c r="J1002" s="955" t="s">
        <v>5</v>
      </c>
      <c r="K1002" s="902"/>
      <c r="L1002" s="923"/>
      <c r="M1002" s="902"/>
      <c r="N1002" s="900" t="s">
        <v>2309</v>
      </c>
    </row>
    <row r="1003" spans="1:14" s="910" customFormat="1" ht="16.5" hidden="1" customHeight="1">
      <c r="A1003" s="896"/>
      <c r="B1003" s="902" t="s">
        <v>581</v>
      </c>
      <c r="C1003" s="897">
        <v>1</v>
      </c>
      <c r="D1003" s="1263" t="s">
        <v>273</v>
      </c>
      <c r="E1003" s="919">
        <v>1</v>
      </c>
      <c r="F1003" s="920">
        <v>0.6</v>
      </c>
      <c r="G1003" s="920">
        <v>0.23</v>
      </c>
      <c r="H1003" s="920">
        <v>0.625</v>
      </c>
      <c r="I1003" s="1266">
        <f>-ROUND(IF(AND(F1003:H1003),C1003*E1003*F1003*G1003*H1003,IF(AND(F1003,G1003),C1003*E1003*F1003*G1003,IF(AND(F1003,H1003),C1003*E1003*F1003*H1003,IF(AND(G1003,H1003),C1003*E1003*G1003*H1003,IF(F1003,C1003*E1003*F1003,IF(G1003,C1003*E1003*G1003,IF(H1003,C1003*E1003*H1003,C1003*E1003))))))),2)</f>
        <v>-0.09</v>
      </c>
      <c r="J1003" s="955" t="s">
        <v>5</v>
      </c>
      <c r="K1003" s="902"/>
      <c r="L1003" s="923"/>
      <c r="M1003" s="902"/>
      <c r="N1003" s="900" t="s">
        <v>2309</v>
      </c>
    </row>
    <row r="1004" spans="1:14" s="910" customFormat="1" ht="16.5" hidden="1" customHeight="1">
      <c r="A1004" s="896"/>
      <c r="B1004" s="902" t="s">
        <v>3454</v>
      </c>
      <c r="C1004" s="897">
        <v>1</v>
      </c>
      <c r="D1004" s="1263" t="s">
        <v>273</v>
      </c>
      <c r="E1004" s="919">
        <v>1</v>
      </c>
      <c r="F1004" s="920">
        <v>6.41</v>
      </c>
      <c r="G1004" s="920">
        <v>0.23</v>
      </c>
      <c r="H1004" s="920">
        <v>0.3</v>
      </c>
      <c r="I1004" s="1266">
        <f t="shared" ref="I1004" si="102">ROUND(IF(AND(F1004:H1004),C1004*E1004*F1004*G1004*H1004,IF(AND(F1004,G1004),C1004*E1004*F1004*G1004,IF(AND(F1004,H1004),C1004*E1004*F1004*H1004,IF(AND(G1004,H1004),C1004*E1004*G1004*H1004,IF(F1004,C1004*E1004*F1004,IF(G1004,C1004*E1004*G1004,IF(H1004,C1004*E1004*H1004,C1004*E1004))))))),2)</f>
        <v>0.44</v>
      </c>
      <c r="J1004" s="955" t="s">
        <v>5</v>
      </c>
      <c r="K1004" s="902"/>
      <c r="L1004" s="923"/>
      <c r="M1004" s="902"/>
      <c r="N1004" s="900" t="s">
        <v>2309</v>
      </c>
    </row>
    <row r="1005" spans="1:14" s="910" customFormat="1" ht="16.5" hidden="1" customHeight="1">
      <c r="A1005" s="896"/>
      <c r="B1005" s="902" t="s">
        <v>2890</v>
      </c>
      <c r="C1005" s="897">
        <v>1</v>
      </c>
      <c r="D1005" s="1263" t="s">
        <v>273</v>
      </c>
      <c r="E1005" s="919">
        <v>2</v>
      </c>
      <c r="F1005" s="920">
        <v>0.38</v>
      </c>
      <c r="G1005" s="920">
        <v>0.23</v>
      </c>
      <c r="H1005" s="920">
        <v>0.625</v>
      </c>
      <c r="I1005" s="1266">
        <f>-ROUND(IF(AND(F1005:H1005),C1005*E1005*F1005*G1005*H1005,IF(AND(F1005,G1005),C1005*E1005*F1005*G1005,IF(AND(F1005,H1005),C1005*E1005*F1005*H1005,IF(AND(G1005,H1005),C1005*E1005*G1005*H1005,IF(F1005,C1005*E1005*F1005,IF(G1005,C1005*E1005*G1005,IF(H1005,C1005*E1005*H1005,C1005*E1005))))))),2)</f>
        <v>-0.11</v>
      </c>
      <c r="J1005" s="955" t="s">
        <v>5</v>
      </c>
      <c r="K1005" s="902"/>
      <c r="L1005" s="923"/>
      <c r="M1005" s="902"/>
      <c r="N1005" s="900" t="s">
        <v>2309</v>
      </c>
    </row>
    <row r="1006" spans="1:14" s="910" customFormat="1" ht="16.5" hidden="1" customHeight="1">
      <c r="A1006" s="896"/>
      <c r="B1006" s="902" t="s">
        <v>2890</v>
      </c>
      <c r="C1006" s="897">
        <v>1</v>
      </c>
      <c r="D1006" s="1263" t="s">
        <v>273</v>
      </c>
      <c r="E1006" s="919">
        <v>1</v>
      </c>
      <c r="F1006" s="920">
        <v>0.23</v>
      </c>
      <c r="G1006" s="920">
        <v>0.23</v>
      </c>
      <c r="H1006" s="920">
        <v>0.625</v>
      </c>
      <c r="I1006" s="1266">
        <f>-ROUND(IF(AND(F1006:H1006),C1006*E1006*F1006*G1006*H1006,IF(AND(F1006,G1006),C1006*E1006*F1006*G1006,IF(AND(F1006,H1006),C1006*E1006*F1006*H1006,IF(AND(G1006,H1006),C1006*E1006*G1006*H1006,IF(F1006,C1006*E1006*F1006,IF(G1006,C1006*E1006*G1006,IF(H1006,C1006*E1006*H1006,C1006*E1006))))))),2)</f>
        <v>-0.03</v>
      </c>
      <c r="J1006" s="955" t="s">
        <v>5</v>
      </c>
      <c r="K1006" s="902"/>
      <c r="L1006" s="923"/>
      <c r="M1006" s="902"/>
      <c r="N1006" s="900" t="s">
        <v>2309</v>
      </c>
    </row>
    <row r="1007" spans="1:14" s="910" customFormat="1" ht="16.5" hidden="1" customHeight="1">
      <c r="A1007" s="896"/>
      <c r="B1007" s="902" t="s">
        <v>581</v>
      </c>
      <c r="C1007" s="897">
        <v>1</v>
      </c>
      <c r="D1007" s="1263" t="s">
        <v>273</v>
      </c>
      <c r="E1007" s="919">
        <v>1</v>
      </c>
      <c r="F1007" s="920">
        <v>0.6</v>
      </c>
      <c r="G1007" s="920">
        <v>0.23</v>
      </c>
      <c r="H1007" s="920">
        <v>0.3</v>
      </c>
      <c r="I1007" s="1266">
        <f>-ROUND(IF(AND(F1007:H1007),C1007*E1007*F1007*G1007*H1007,IF(AND(F1007,G1007),C1007*E1007*F1007*G1007,IF(AND(F1007,H1007),C1007*E1007*F1007*H1007,IF(AND(G1007,H1007),C1007*E1007*G1007*H1007,IF(F1007,C1007*E1007*F1007,IF(G1007,C1007*E1007*G1007,IF(H1007,C1007*E1007*H1007,C1007*E1007))))))),2)</f>
        <v>-0.04</v>
      </c>
      <c r="J1007" s="955" t="s">
        <v>5</v>
      </c>
      <c r="K1007" s="902"/>
      <c r="L1007" s="923"/>
      <c r="M1007" s="902"/>
      <c r="N1007" s="900" t="s">
        <v>2309</v>
      </c>
    </row>
    <row r="1008" spans="1:14" s="910" customFormat="1" ht="16.5" hidden="1" customHeight="1">
      <c r="A1008" s="896"/>
      <c r="B1008" s="902" t="s">
        <v>1490</v>
      </c>
      <c r="C1008" s="897">
        <v>1</v>
      </c>
      <c r="D1008" s="1263" t="s">
        <v>273</v>
      </c>
      <c r="E1008" s="919">
        <v>1</v>
      </c>
      <c r="F1008" s="920">
        <v>38.950000000000003</v>
      </c>
      <c r="G1008" s="920">
        <v>0.115</v>
      </c>
      <c r="H1008" s="920">
        <v>0.75</v>
      </c>
      <c r="I1008" s="1266">
        <f t="shared" ref="I1008" si="103">ROUND(IF(AND(F1008:H1008),C1008*E1008*F1008*G1008*H1008,IF(AND(F1008,G1008),C1008*E1008*F1008*G1008,IF(AND(F1008,H1008),C1008*E1008*F1008*H1008,IF(AND(G1008,H1008),C1008*E1008*G1008*H1008,IF(F1008,C1008*E1008*F1008,IF(G1008,C1008*E1008*G1008,IF(H1008,C1008*E1008*H1008,C1008*E1008))))))),2)</f>
        <v>3.36</v>
      </c>
      <c r="J1008" s="955" t="s">
        <v>5</v>
      </c>
      <c r="K1008" s="902"/>
      <c r="L1008" s="923"/>
      <c r="M1008" s="902"/>
      <c r="N1008" s="900" t="s">
        <v>2309</v>
      </c>
    </row>
    <row r="1009" spans="1:14" s="910" customFormat="1" ht="16.5" hidden="1" customHeight="1">
      <c r="A1009" s="896"/>
      <c r="B1009" s="956"/>
      <c r="C1009" s="957"/>
      <c r="D1009" s="958"/>
      <c r="E1009" s="1268"/>
      <c r="F1009" s="960"/>
      <c r="G1009" s="960"/>
      <c r="H1009" s="960"/>
      <c r="I1009" s="916"/>
      <c r="J1009" s="955"/>
      <c r="K1009" s="902"/>
      <c r="L1009" s="923"/>
      <c r="M1009" s="902"/>
      <c r="N1009" s="900" t="s">
        <v>2309</v>
      </c>
    </row>
    <row r="1010" spans="1:14" ht="15.75" hidden="1">
      <c r="A1010" s="896"/>
      <c r="B1010" s="902"/>
      <c r="C1010" s="917"/>
      <c r="D1010" s="918"/>
      <c r="E1010" s="919"/>
      <c r="F1010" s="920"/>
      <c r="G1010" s="921"/>
      <c r="H1010" s="896"/>
      <c r="I1010" s="916"/>
      <c r="J1010" s="955" t="s">
        <v>5</v>
      </c>
      <c r="K1010" s="922">
        <f>data!E3127</f>
        <v>6926.2300000000005</v>
      </c>
      <c r="L1010" s="923" t="s">
        <v>2309</v>
      </c>
      <c r="M1010" s="924">
        <f>ROUND(I1010*K1010,0)</f>
        <v>0</v>
      </c>
      <c r="N1010" s="900" t="s">
        <v>2309</v>
      </c>
    </row>
    <row r="1011" spans="1:14" s="1403" customFormat="1" ht="132.75" customHeight="1">
      <c r="A1011" s="1397">
        <v>18</v>
      </c>
      <c r="B1011" s="1610" t="s">
        <v>3685</v>
      </c>
      <c r="C1011" s="1610"/>
      <c r="D1011" s="1610"/>
      <c r="E1011" s="1610"/>
      <c r="F1011" s="1610"/>
      <c r="G1011" s="1610"/>
      <c r="H1011" s="1610"/>
      <c r="I1011" s="1398"/>
      <c r="J1011" s="1399"/>
      <c r="K1011" s="1397"/>
      <c r="L1011" s="1400"/>
      <c r="M1011" s="1401"/>
      <c r="N1011" s="1402" t="s">
        <v>2209</v>
      </c>
    </row>
    <row r="1012" spans="1:14" s="1411" customFormat="1" ht="16.5" customHeight="1">
      <c r="A1012" s="1397"/>
      <c r="B1012" s="1404" t="s">
        <v>3920</v>
      </c>
      <c r="C1012" s="1405"/>
      <c r="D1012" s="1395" t="s">
        <v>4018</v>
      </c>
      <c r="E1012" s="1406"/>
      <c r="F1012" s="1407"/>
      <c r="G1012" s="1407"/>
      <c r="H1012" s="1407"/>
      <c r="I1012" s="1408"/>
      <c r="J1012" s="1423"/>
      <c r="K1012" s="1410"/>
      <c r="L1012" s="1400"/>
      <c r="M1012" s="1410"/>
      <c r="N1012" s="1402" t="s">
        <v>2209</v>
      </c>
    </row>
    <row r="1013" spans="1:14" s="1411" customFormat="1" ht="15.75">
      <c r="A1013" s="1397"/>
      <c r="B1013" s="1410" t="s">
        <v>2895</v>
      </c>
      <c r="C1013" s="1398">
        <v>1</v>
      </c>
      <c r="D1013" s="1412" t="s">
        <v>273</v>
      </c>
      <c r="E1013" s="1413">
        <v>1</v>
      </c>
      <c r="F1013" s="1414">
        <v>2.73</v>
      </c>
      <c r="G1013" s="1414">
        <v>0</v>
      </c>
      <c r="H1013" s="1414">
        <v>2.1</v>
      </c>
      <c r="I1013" s="1415">
        <f t="shared" ref="I1013:I1019" si="104">ROUND(IF(AND(F1013:H1013),C1013*E1013*F1013*G1013*H1013,IF(AND(F1013,G1013),C1013*E1013*F1013*G1013,IF(AND(F1013,H1013),C1013*E1013*F1013*H1013,IF(AND(G1013,H1013),C1013*E1013*G1013*H1013,IF(F1013,C1013*E1013*F1013,IF(G1013,C1013*E1013*G1013,IF(H1013,C1013*E1013*H1013,C1013*E1013))))))),2)</f>
        <v>5.73</v>
      </c>
      <c r="J1013" s="1423" t="s">
        <v>102</v>
      </c>
      <c r="K1013" s="1410"/>
      <c r="L1013" s="1400"/>
      <c r="M1013" s="1410"/>
      <c r="N1013" s="1402" t="s">
        <v>2209</v>
      </c>
    </row>
    <row r="1014" spans="1:14" s="1411" customFormat="1" ht="15.75">
      <c r="A1014" s="1397"/>
      <c r="B1014" s="1410" t="s">
        <v>3544</v>
      </c>
      <c r="C1014" s="1398">
        <v>1</v>
      </c>
      <c r="D1014" s="1412" t="s">
        <v>273</v>
      </c>
      <c r="E1014" s="1413">
        <v>1</v>
      </c>
      <c r="F1014" s="1414">
        <v>5.83</v>
      </c>
      <c r="G1014" s="1414">
        <v>0</v>
      </c>
      <c r="H1014" s="1414">
        <v>2.1</v>
      </c>
      <c r="I1014" s="1415">
        <f t="shared" si="104"/>
        <v>12.24</v>
      </c>
      <c r="J1014" s="1423" t="s">
        <v>102</v>
      </c>
      <c r="K1014" s="1410"/>
      <c r="L1014" s="1400"/>
      <c r="M1014" s="1410"/>
      <c r="N1014" s="1402" t="s">
        <v>2209</v>
      </c>
    </row>
    <row r="1015" spans="1:14" s="1411" customFormat="1" ht="15.75">
      <c r="A1015" s="1397"/>
      <c r="B1015" s="1410" t="s">
        <v>281</v>
      </c>
      <c r="C1015" s="1398">
        <v>1</v>
      </c>
      <c r="D1015" s="1412" t="s">
        <v>273</v>
      </c>
      <c r="E1015" s="1413">
        <v>1</v>
      </c>
      <c r="F1015" s="1414">
        <v>0.23</v>
      </c>
      <c r="G1015" s="1414">
        <v>0</v>
      </c>
      <c r="H1015" s="1414">
        <v>2.1</v>
      </c>
      <c r="I1015" s="1415">
        <f>-ROUND(IF(AND(F1015:H1015),C1015*E1015*F1015*G1015*H1015,IF(AND(F1015,G1015),C1015*E1015*F1015*G1015,IF(AND(F1015,H1015),C1015*E1015*F1015*H1015,IF(AND(G1015,H1015),C1015*E1015*G1015*H1015,IF(F1015,C1015*E1015*F1015,IF(G1015,C1015*E1015*G1015,IF(H1015,C1015*E1015*H1015,C1015*E1015))))))),2)</f>
        <v>-0.48</v>
      </c>
      <c r="J1015" s="1423" t="s">
        <v>102</v>
      </c>
      <c r="K1015" s="1410"/>
      <c r="L1015" s="1400"/>
      <c r="M1015" s="1410"/>
      <c r="N1015" s="1402" t="s">
        <v>2209</v>
      </c>
    </row>
    <row r="1016" spans="1:14" s="1411" customFormat="1" ht="16.5" customHeight="1">
      <c r="A1016" s="1397"/>
      <c r="B1016" s="1410" t="s">
        <v>3545</v>
      </c>
      <c r="C1016" s="1398">
        <v>1</v>
      </c>
      <c r="D1016" s="1412" t="s">
        <v>273</v>
      </c>
      <c r="E1016" s="1413">
        <v>1</v>
      </c>
      <c r="F1016" s="1414">
        <v>2.72</v>
      </c>
      <c r="G1016" s="1414">
        <v>0</v>
      </c>
      <c r="H1016" s="1414">
        <v>2.1</v>
      </c>
      <c r="I1016" s="1415">
        <f t="shared" si="104"/>
        <v>5.71</v>
      </c>
      <c r="J1016" s="1423" t="s">
        <v>102</v>
      </c>
      <c r="K1016" s="1410"/>
      <c r="L1016" s="1400"/>
      <c r="M1016" s="1410"/>
      <c r="N1016" s="1402" t="s">
        <v>2209</v>
      </c>
    </row>
    <row r="1017" spans="1:14" s="1411" customFormat="1" ht="16.5" customHeight="1">
      <c r="A1017" s="1397"/>
      <c r="B1017" s="1410" t="s">
        <v>3722</v>
      </c>
      <c r="C1017" s="1398">
        <v>1</v>
      </c>
      <c r="D1017" s="1412" t="s">
        <v>273</v>
      </c>
      <c r="E1017" s="1413">
        <v>2</v>
      </c>
      <c r="F1017" s="1414">
        <v>2.72</v>
      </c>
      <c r="G1017" s="1414">
        <v>0</v>
      </c>
      <c r="H1017" s="1414">
        <v>2.1</v>
      </c>
      <c r="I1017" s="1415">
        <f t="shared" si="104"/>
        <v>11.42</v>
      </c>
      <c r="J1017" s="1423" t="s">
        <v>102</v>
      </c>
      <c r="K1017" s="1410"/>
      <c r="L1017" s="1400"/>
      <c r="M1017" s="1410"/>
      <c r="N1017" s="1402" t="s">
        <v>2209</v>
      </c>
    </row>
    <row r="1018" spans="1:14" s="1411" customFormat="1" ht="16.5" customHeight="1">
      <c r="A1018" s="1397"/>
      <c r="B1018" s="1410" t="s">
        <v>3911</v>
      </c>
      <c r="C1018" s="1398">
        <v>1</v>
      </c>
      <c r="D1018" s="1412" t="s">
        <v>273</v>
      </c>
      <c r="E1018" s="1413">
        <v>2</v>
      </c>
      <c r="F1018" s="1414">
        <v>1.45</v>
      </c>
      <c r="G1018" s="1414">
        <v>0</v>
      </c>
      <c r="H1018" s="1414">
        <v>2.1</v>
      </c>
      <c r="I1018" s="1415">
        <f t="shared" si="104"/>
        <v>6.09</v>
      </c>
      <c r="J1018" s="1423" t="s">
        <v>102</v>
      </c>
      <c r="K1018" s="1410"/>
      <c r="L1018" s="1400"/>
      <c r="M1018" s="1410"/>
      <c r="N1018" s="1402" t="s">
        <v>2209</v>
      </c>
    </row>
    <row r="1019" spans="1:14" s="1411" customFormat="1" ht="16.5" customHeight="1">
      <c r="A1019" s="1397"/>
      <c r="B1019" s="1410" t="s">
        <v>3836</v>
      </c>
      <c r="C1019" s="1398">
        <v>1</v>
      </c>
      <c r="D1019" s="1412" t="s">
        <v>273</v>
      </c>
      <c r="E1019" s="1413">
        <v>1</v>
      </c>
      <c r="F1019" s="1414">
        <v>13.03</v>
      </c>
      <c r="G1019" s="1414">
        <v>0</v>
      </c>
      <c r="H1019" s="1414">
        <v>2.1</v>
      </c>
      <c r="I1019" s="1415">
        <f t="shared" si="104"/>
        <v>27.36</v>
      </c>
      <c r="J1019" s="1423" t="s">
        <v>102</v>
      </c>
      <c r="K1019" s="1410"/>
      <c r="L1019" s="1400"/>
      <c r="M1019" s="1410"/>
      <c r="N1019" s="1402" t="s">
        <v>2209</v>
      </c>
    </row>
    <row r="1020" spans="1:14" s="1411" customFormat="1" ht="16.5" customHeight="1">
      <c r="A1020" s="1397"/>
      <c r="B1020" s="1410" t="s">
        <v>281</v>
      </c>
      <c r="C1020" s="1398">
        <v>1</v>
      </c>
      <c r="D1020" s="1412" t="s">
        <v>273</v>
      </c>
      <c r="E1020" s="1413">
        <v>2</v>
      </c>
      <c r="F1020" s="1414">
        <v>0.38</v>
      </c>
      <c r="G1020" s="1414">
        <v>0</v>
      </c>
      <c r="H1020" s="1414">
        <v>2.1</v>
      </c>
      <c r="I1020" s="1415">
        <f>-ROUND(IF(AND(F1020:H1020),C1020*E1020*F1020*G1020*H1020,IF(AND(F1020,G1020),C1020*E1020*F1020*G1020,IF(AND(F1020,H1020),C1020*E1020*F1020*H1020,IF(AND(G1020,H1020),C1020*E1020*G1020*H1020,IF(F1020,C1020*E1020*F1020,IF(G1020,C1020*E1020*G1020,IF(H1020,C1020*E1020*H1020,C1020*E1020))))))),2)</f>
        <v>-1.6</v>
      </c>
      <c r="J1020" s="1423" t="s">
        <v>102</v>
      </c>
      <c r="K1020" s="1410"/>
      <c r="L1020" s="1400"/>
      <c r="M1020" s="1410"/>
      <c r="N1020" s="1402" t="s">
        <v>2209</v>
      </c>
    </row>
    <row r="1021" spans="1:14" s="1411" customFormat="1" ht="16.5" customHeight="1">
      <c r="A1021" s="1397"/>
      <c r="B1021" s="1410" t="s">
        <v>281</v>
      </c>
      <c r="C1021" s="1398">
        <v>1</v>
      </c>
      <c r="D1021" s="1412" t="s">
        <v>273</v>
      </c>
      <c r="E1021" s="1413">
        <v>1</v>
      </c>
      <c r="F1021" s="1414">
        <v>0.23</v>
      </c>
      <c r="G1021" s="1414">
        <v>0</v>
      </c>
      <c r="H1021" s="1414">
        <v>2.1</v>
      </c>
      <c r="I1021" s="1415">
        <f>-ROUND(IF(AND(F1021:H1021),C1021*E1021*F1021*G1021*H1021,IF(AND(F1021,G1021),C1021*E1021*F1021*G1021,IF(AND(F1021,H1021),C1021*E1021*F1021*H1021,IF(AND(G1021,H1021),C1021*E1021*G1021*H1021,IF(F1021,C1021*E1021*F1021,IF(G1021,C1021*E1021*G1021,IF(H1021,C1021*E1021*H1021,C1021*E1021))))))),2)</f>
        <v>-0.48</v>
      </c>
      <c r="J1021" s="1423" t="s">
        <v>102</v>
      </c>
      <c r="K1021" s="1410"/>
      <c r="L1021" s="1400"/>
      <c r="M1021" s="1410"/>
      <c r="N1021" s="1402" t="s">
        <v>2209</v>
      </c>
    </row>
    <row r="1022" spans="1:14" s="1411" customFormat="1" ht="16.5" customHeight="1">
      <c r="A1022" s="1397"/>
      <c r="B1022" s="1410" t="s">
        <v>579</v>
      </c>
      <c r="C1022" s="1398">
        <v>1</v>
      </c>
      <c r="D1022" s="1412" t="s">
        <v>273</v>
      </c>
      <c r="E1022" s="1413">
        <v>1</v>
      </c>
      <c r="F1022" s="1414">
        <v>1.05</v>
      </c>
      <c r="G1022" s="1414">
        <v>0</v>
      </c>
      <c r="H1022" s="1414">
        <v>2.1</v>
      </c>
      <c r="I1022" s="1415">
        <f>-ROUND(IF(AND(F1022:H1022),C1022*E1022*F1022*G1022*H1022,IF(AND(F1022,G1022),C1022*E1022*F1022*G1022,IF(AND(F1022,H1022),C1022*E1022*F1022*H1022,IF(AND(G1022,H1022),C1022*E1022*G1022*H1022,IF(F1022,C1022*E1022*F1022,IF(G1022,C1022*E1022*G1022,IF(H1022,C1022*E1022*H1022,C1022*E1022))))))),2)</f>
        <v>-2.21</v>
      </c>
      <c r="J1022" s="1423" t="s">
        <v>102</v>
      </c>
      <c r="K1022" s="1410"/>
      <c r="L1022" s="1400"/>
      <c r="M1022" s="1410"/>
      <c r="N1022" s="1402" t="s">
        <v>2209</v>
      </c>
    </row>
    <row r="1023" spans="1:14" s="1411" customFormat="1" ht="16.5" customHeight="1">
      <c r="A1023" s="1397"/>
      <c r="B1023" s="1410" t="s">
        <v>579</v>
      </c>
      <c r="C1023" s="1398">
        <v>1</v>
      </c>
      <c r="D1023" s="1412" t="s">
        <v>273</v>
      </c>
      <c r="E1023" s="1413">
        <v>2</v>
      </c>
      <c r="F1023" s="1414">
        <v>0.9</v>
      </c>
      <c r="G1023" s="1414">
        <v>0</v>
      </c>
      <c r="H1023" s="1414">
        <v>2.1</v>
      </c>
      <c r="I1023" s="1415">
        <f>-ROUND(IF(AND(F1023:H1023),C1023*E1023*F1023*G1023*H1023,IF(AND(F1023,G1023),C1023*E1023*F1023*G1023,IF(AND(F1023,H1023),C1023*E1023*F1023*H1023,IF(AND(G1023,H1023),C1023*E1023*G1023*H1023,IF(F1023,C1023*E1023*F1023,IF(G1023,C1023*E1023*G1023,IF(H1023,C1023*E1023*H1023,C1023*E1023))))))),2)</f>
        <v>-3.78</v>
      </c>
      <c r="J1023" s="1423" t="s">
        <v>102</v>
      </c>
      <c r="K1023" s="1410"/>
      <c r="L1023" s="1400"/>
      <c r="M1023" s="1410"/>
      <c r="N1023" s="1402" t="s">
        <v>2209</v>
      </c>
    </row>
    <row r="1024" spans="1:14" s="1411" customFormat="1" ht="16.5" customHeight="1">
      <c r="A1024" s="1397"/>
      <c r="B1024" s="1410" t="s">
        <v>579</v>
      </c>
      <c r="C1024" s="1398">
        <v>1</v>
      </c>
      <c r="D1024" s="1412" t="s">
        <v>273</v>
      </c>
      <c r="E1024" s="1413">
        <v>1</v>
      </c>
      <c r="F1024" s="1414">
        <v>1</v>
      </c>
      <c r="G1024" s="1414">
        <v>0</v>
      </c>
      <c r="H1024" s="1414">
        <v>2.1</v>
      </c>
      <c r="I1024" s="1415">
        <f>-ROUND(IF(AND(F1024:H1024),C1024*E1024*F1024*G1024*H1024,IF(AND(F1024,G1024),C1024*E1024*F1024*G1024,IF(AND(F1024,H1024),C1024*E1024*F1024*H1024,IF(AND(G1024,H1024),C1024*E1024*G1024*H1024,IF(F1024,C1024*E1024*F1024,IF(G1024,C1024*E1024*G1024,IF(H1024,C1024*E1024*H1024,C1024*E1024))))))),2)</f>
        <v>-2.1</v>
      </c>
      <c r="J1024" s="1423" t="s">
        <v>102</v>
      </c>
      <c r="K1024" s="1410"/>
      <c r="L1024" s="1400"/>
      <c r="M1024" s="1410"/>
      <c r="N1024" s="1402" t="s">
        <v>2209</v>
      </c>
    </row>
    <row r="1025" spans="1:14" s="1411" customFormat="1" ht="16.5" customHeight="1">
      <c r="A1025" s="1397"/>
      <c r="B1025" s="1410" t="s">
        <v>579</v>
      </c>
      <c r="C1025" s="1398">
        <v>1</v>
      </c>
      <c r="D1025" s="1412" t="s">
        <v>273</v>
      </c>
      <c r="E1025" s="1413">
        <v>2</v>
      </c>
      <c r="F1025" s="1414">
        <v>0.75</v>
      </c>
      <c r="G1025" s="1414">
        <v>0</v>
      </c>
      <c r="H1025" s="1414">
        <v>2.1</v>
      </c>
      <c r="I1025" s="1415">
        <f t="shared" ref="I1025" si="105">-ROUND(IF(AND(F1025:H1025),C1025*E1025*F1025*G1025*H1025,IF(AND(F1025,G1025),C1025*E1025*F1025*G1025,IF(AND(F1025,H1025),C1025*E1025*F1025*H1025,IF(AND(G1025,H1025),C1025*E1025*G1025*H1025,IF(F1025,C1025*E1025*F1025,IF(G1025,C1025*E1025*G1025,IF(H1025,C1025*E1025*H1025,C1025*E1025))))))),2)</f>
        <v>-3.15</v>
      </c>
      <c r="J1025" s="1423" t="s">
        <v>102</v>
      </c>
      <c r="K1025" s="1410"/>
      <c r="L1025" s="1400"/>
      <c r="M1025" s="1410"/>
      <c r="N1025" s="1402" t="s">
        <v>2209</v>
      </c>
    </row>
    <row r="1026" spans="1:14" s="1411" customFormat="1" ht="16.5" customHeight="1">
      <c r="A1026" s="1397"/>
      <c r="B1026" s="1404" t="s">
        <v>3925</v>
      </c>
      <c r="C1026" s="1405"/>
      <c r="D1026" s="1395" t="s">
        <v>4017</v>
      </c>
      <c r="E1026" s="1406"/>
      <c r="F1026" s="1407"/>
      <c r="G1026" s="1407"/>
      <c r="H1026" s="1407"/>
      <c r="I1026" s="1408"/>
      <c r="J1026" s="1423"/>
      <c r="K1026" s="1410"/>
      <c r="L1026" s="1400"/>
      <c r="M1026" s="1410"/>
      <c r="N1026" s="1402" t="s">
        <v>2209</v>
      </c>
    </row>
    <row r="1027" spans="1:14" s="1411" customFormat="1" ht="16.5" customHeight="1">
      <c r="A1027" s="1397"/>
      <c r="B1027" s="1410" t="s">
        <v>2895</v>
      </c>
      <c r="C1027" s="1398">
        <v>1</v>
      </c>
      <c r="D1027" s="1412" t="s">
        <v>273</v>
      </c>
      <c r="E1027" s="1413">
        <v>1</v>
      </c>
      <c r="F1027" s="1414">
        <v>2.73</v>
      </c>
      <c r="G1027" s="1414">
        <v>0</v>
      </c>
      <c r="H1027" s="1414">
        <v>0.75</v>
      </c>
      <c r="I1027" s="1415">
        <f t="shared" ref="I1027:I1033" si="106">ROUND(IF(AND(F1027:H1027),C1027*E1027*F1027*G1027*H1027,IF(AND(F1027,G1027),C1027*E1027*F1027*G1027,IF(AND(F1027,H1027),C1027*E1027*F1027*H1027,IF(AND(G1027,H1027),C1027*E1027*G1027*H1027,IF(F1027,C1027*E1027*F1027,IF(G1027,C1027*E1027*G1027,IF(H1027,C1027*E1027*H1027,C1027*E1027))))))),2)</f>
        <v>2.0499999999999998</v>
      </c>
      <c r="J1027" s="1423" t="s">
        <v>102</v>
      </c>
      <c r="K1027" s="1410"/>
      <c r="L1027" s="1400"/>
      <c r="M1027" s="1410"/>
      <c r="N1027" s="1402" t="s">
        <v>2209</v>
      </c>
    </row>
    <row r="1028" spans="1:14" s="1411" customFormat="1" ht="16.5" customHeight="1">
      <c r="A1028" s="1397"/>
      <c r="B1028" s="1410" t="s">
        <v>3544</v>
      </c>
      <c r="C1028" s="1398">
        <v>1</v>
      </c>
      <c r="D1028" s="1412" t="s">
        <v>273</v>
      </c>
      <c r="E1028" s="1413">
        <v>1</v>
      </c>
      <c r="F1028" s="1414">
        <v>5.83</v>
      </c>
      <c r="G1028" s="1414">
        <v>0</v>
      </c>
      <c r="H1028" s="1414">
        <v>0.75</v>
      </c>
      <c r="I1028" s="1415">
        <f t="shared" si="106"/>
        <v>4.37</v>
      </c>
      <c r="J1028" s="1423" t="s">
        <v>102</v>
      </c>
      <c r="K1028" s="1410"/>
      <c r="L1028" s="1400"/>
      <c r="M1028" s="1410"/>
      <c r="N1028" s="1402" t="s">
        <v>2209</v>
      </c>
    </row>
    <row r="1029" spans="1:14" s="1411" customFormat="1" ht="16.5" customHeight="1">
      <c r="A1029" s="1397"/>
      <c r="B1029" s="1410" t="s">
        <v>281</v>
      </c>
      <c r="C1029" s="1398">
        <v>1</v>
      </c>
      <c r="D1029" s="1412" t="s">
        <v>273</v>
      </c>
      <c r="E1029" s="1413">
        <v>1</v>
      </c>
      <c r="F1029" s="1414">
        <v>0.23</v>
      </c>
      <c r="G1029" s="1414">
        <v>0</v>
      </c>
      <c r="H1029" s="1414">
        <v>0.75</v>
      </c>
      <c r="I1029" s="1415">
        <f>-ROUND(IF(AND(F1029:H1029),C1029*E1029*F1029*G1029*H1029,IF(AND(F1029,G1029),C1029*E1029*F1029*G1029,IF(AND(F1029,H1029),C1029*E1029*F1029*H1029,IF(AND(G1029,H1029),C1029*E1029*G1029*H1029,IF(F1029,C1029*E1029*F1029,IF(G1029,C1029*E1029*G1029,IF(H1029,C1029*E1029*H1029,C1029*E1029))))))),2)</f>
        <v>-0.17</v>
      </c>
      <c r="J1029" s="1423" t="s">
        <v>102</v>
      </c>
      <c r="K1029" s="1410"/>
      <c r="L1029" s="1400"/>
      <c r="M1029" s="1410"/>
      <c r="N1029" s="1402" t="s">
        <v>2209</v>
      </c>
    </row>
    <row r="1030" spans="1:14" s="1411" customFormat="1" ht="16.5" customHeight="1">
      <c r="A1030" s="1397"/>
      <c r="B1030" s="1410" t="s">
        <v>3545</v>
      </c>
      <c r="C1030" s="1398">
        <v>1</v>
      </c>
      <c r="D1030" s="1412" t="s">
        <v>273</v>
      </c>
      <c r="E1030" s="1413">
        <v>1</v>
      </c>
      <c r="F1030" s="1414">
        <v>2.72</v>
      </c>
      <c r="G1030" s="1414">
        <v>0</v>
      </c>
      <c r="H1030" s="1414">
        <v>0.75</v>
      </c>
      <c r="I1030" s="1415">
        <f t="shared" si="106"/>
        <v>2.04</v>
      </c>
      <c r="J1030" s="1423" t="s">
        <v>102</v>
      </c>
      <c r="K1030" s="1410"/>
      <c r="L1030" s="1400"/>
      <c r="M1030" s="1410"/>
      <c r="N1030" s="1402" t="s">
        <v>2209</v>
      </c>
    </row>
    <row r="1031" spans="1:14" s="1411" customFormat="1" ht="16.5" customHeight="1">
      <c r="A1031" s="1397"/>
      <c r="B1031" s="1410" t="s">
        <v>3722</v>
      </c>
      <c r="C1031" s="1398">
        <v>1</v>
      </c>
      <c r="D1031" s="1412" t="s">
        <v>273</v>
      </c>
      <c r="E1031" s="1413">
        <v>2</v>
      </c>
      <c r="F1031" s="1414">
        <v>2.72</v>
      </c>
      <c r="G1031" s="1414">
        <v>0</v>
      </c>
      <c r="H1031" s="1414">
        <v>0.75</v>
      </c>
      <c r="I1031" s="1415">
        <f t="shared" si="106"/>
        <v>4.08</v>
      </c>
      <c r="J1031" s="1423" t="s">
        <v>102</v>
      </c>
      <c r="K1031" s="1410"/>
      <c r="L1031" s="1400"/>
      <c r="M1031" s="1410"/>
      <c r="N1031" s="1402" t="s">
        <v>2209</v>
      </c>
    </row>
    <row r="1032" spans="1:14" s="1411" customFormat="1" ht="16.5" customHeight="1">
      <c r="A1032" s="1397"/>
      <c r="B1032" s="1410" t="s">
        <v>3911</v>
      </c>
      <c r="C1032" s="1398">
        <v>1</v>
      </c>
      <c r="D1032" s="1412" t="s">
        <v>273</v>
      </c>
      <c r="E1032" s="1413">
        <v>2</v>
      </c>
      <c r="F1032" s="1414">
        <v>1.45</v>
      </c>
      <c r="G1032" s="1414">
        <v>0</v>
      </c>
      <c r="H1032" s="1414">
        <v>0.75</v>
      </c>
      <c r="I1032" s="1415">
        <f t="shared" si="106"/>
        <v>2.1800000000000002</v>
      </c>
      <c r="J1032" s="1423" t="s">
        <v>102</v>
      </c>
      <c r="K1032" s="1410"/>
      <c r="L1032" s="1400"/>
      <c r="M1032" s="1410"/>
      <c r="N1032" s="1402" t="s">
        <v>2209</v>
      </c>
    </row>
    <row r="1033" spans="1:14" s="1411" customFormat="1" ht="16.5" customHeight="1">
      <c r="A1033" s="1397"/>
      <c r="B1033" s="1410" t="s">
        <v>3836</v>
      </c>
      <c r="C1033" s="1398">
        <v>1</v>
      </c>
      <c r="D1033" s="1412" t="s">
        <v>273</v>
      </c>
      <c r="E1033" s="1413">
        <v>1</v>
      </c>
      <c r="F1033" s="1414">
        <v>13.03</v>
      </c>
      <c r="G1033" s="1414">
        <v>0</v>
      </c>
      <c r="H1033" s="1414">
        <v>0.75</v>
      </c>
      <c r="I1033" s="1415">
        <f t="shared" si="106"/>
        <v>9.77</v>
      </c>
      <c r="J1033" s="1423" t="s">
        <v>102</v>
      </c>
      <c r="K1033" s="1410"/>
      <c r="L1033" s="1400"/>
      <c r="M1033" s="1410"/>
      <c r="N1033" s="1402" t="s">
        <v>2209</v>
      </c>
    </row>
    <row r="1034" spans="1:14" s="1411" customFormat="1" ht="16.5" customHeight="1">
      <c r="A1034" s="1397"/>
      <c r="B1034" s="1410" t="s">
        <v>281</v>
      </c>
      <c r="C1034" s="1398">
        <v>1</v>
      </c>
      <c r="D1034" s="1412" t="s">
        <v>273</v>
      </c>
      <c r="E1034" s="1413">
        <v>2</v>
      </c>
      <c r="F1034" s="1414">
        <v>0.38</v>
      </c>
      <c r="G1034" s="1414">
        <v>0</v>
      </c>
      <c r="H1034" s="1414">
        <v>0.75</v>
      </c>
      <c r="I1034" s="1415">
        <f t="shared" ref="I1034:I1035" si="107">-ROUND(IF(AND(F1034:H1034),C1034*E1034*F1034*G1034*H1034,IF(AND(F1034,G1034),C1034*E1034*F1034*G1034,IF(AND(F1034,H1034),C1034*E1034*F1034*H1034,IF(AND(G1034,H1034),C1034*E1034*G1034*H1034,IF(F1034,C1034*E1034*F1034,IF(G1034,C1034*E1034*G1034,IF(H1034,C1034*E1034*H1034,C1034*E1034))))))),2)</f>
        <v>-0.56999999999999995</v>
      </c>
      <c r="J1034" s="1423" t="s">
        <v>102</v>
      </c>
      <c r="K1034" s="1410"/>
      <c r="L1034" s="1400"/>
      <c r="M1034" s="1410"/>
      <c r="N1034" s="1402" t="s">
        <v>2209</v>
      </c>
    </row>
    <row r="1035" spans="1:14" s="1411" customFormat="1" ht="16.5" customHeight="1">
      <c r="A1035" s="1397"/>
      <c r="B1035" s="1410" t="s">
        <v>281</v>
      </c>
      <c r="C1035" s="1398">
        <v>1</v>
      </c>
      <c r="D1035" s="1412" t="s">
        <v>273</v>
      </c>
      <c r="E1035" s="1413">
        <v>1</v>
      </c>
      <c r="F1035" s="1414">
        <v>0.23</v>
      </c>
      <c r="G1035" s="1414">
        <v>0</v>
      </c>
      <c r="H1035" s="1414">
        <v>0.75</v>
      </c>
      <c r="I1035" s="1415">
        <f t="shared" si="107"/>
        <v>-0.17</v>
      </c>
      <c r="J1035" s="1423" t="s">
        <v>102</v>
      </c>
      <c r="K1035" s="1410"/>
      <c r="L1035" s="1400"/>
      <c r="M1035" s="1410"/>
      <c r="N1035" s="1402" t="s">
        <v>2209</v>
      </c>
    </row>
    <row r="1036" spans="1:14" s="1411" customFormat="1" ht="16.5" customHeight="1">
      <c r="A1036" s="1397"/>
      <c r="B1036" s="1410"/>
      <c r="C1036" s="1398"/>
      <c r="D1036" s="1412"/>
      <c r="E1036" s="1413"/>
      <c r="F1036" s="1414"/>
      <c r="G1036" s="1414"/>
      <c r="H1036" s="1414"/>
      <c r="I1036" s="1415"/>
      <c r="J1036" s="1423"/>
      <c r="K1036" s="1410"/>
      <c r="L1036" s="1400"/>
      <c r="M1036" s="1410"/>
      <c r="N1036" s="1402" t="s">
        <v>2209</v>
      </c>
    </row>
    <row r="1037" spans="1:14" s="1403" customFormat="1" ht="15.75">
      <c r="A1037" s="1397"/>
      <c r="B1037" s="1410"/>
      <c r="C1037" s="1431"/>
      <c r="D1037" s="1432"/>
      <c r="E1037" s="1413"/>
      <c r="F1037" s="1414"/>
      <c r="G1037" s="1433"/>
      <c r="H1037" s="1397"/>
      <c r="I1037" s="1430">
        <f>SUM(I1013:I1036)</f>
        <v>78.33</v>
      </c>
      <c r="J1037" s="1423" t="s">
        <v>102</v>
      </c>
      <c r="K1037" s="1434">
        <f>data!E411</f>
        <v>710.66</v>
      </c>
      <c r="L1037" s="1400" t="s">
        <v>2209</v>
      </c>
      <c r="M1037" s="1435">
        <f>ROUND(I1037*K1037/1,0)</f>
        <v>55666</v>
      </c>
      <c r="N1037" s="1402" t="s">
        <v>2209</v>
      </c>
    </row>
    <row r="1038" spans="1:14" ht="132.75" hidden="1" customHeight="1">
      <c r="A1038" s="896">
        <v>25</v>
      </c>
      <c r="B1038" s="1609" t="s">
        <v>3685</v>
      </c>
      <c r="C1038" s="1609"/>
      <c r="D1038" s="1609"/>
      <c r="E1038" s="1609"/>
      <c r="F1038" s="1609"/>
      <c r="G1038" s="1609"/>
      <c r="H1038" s="1609"/>
      <c r="I1038" s="897"/>
      <c r="J1038" s="898"/>
      <c r="K1038" s="896"/>
      <c r="L1038" s="923"/>
      <c r="M1038" s="899"/>
      <c r="N1038" s="900" t="s">
        <v>2297</v>
      </c>
    </row>
    <row r="1039" spans="1:14" s="910" customFormat="1" ht="16.5" hidden="1" customHeight="1">
      <c r="A1039" s="896"/>
      <c r="B1039" s="928" t="s">
        <v>3721</v>
      </c>
      <c r="C1039" s="1269"/>
      <c r="D1039" s="954" t="s">
        <v>3820</v>
      </c>
      <c r="E1039" s="1270"/>
      <c r="F1039" s="1271"/>
      <c r="G1039" s="1271"/>
      <c r="H1039" s="1271"/>
      <c r="I1039" s="1272"/>
      <c r="J1039" s="955"/>
      <c r="K1039" s="902"/>
      <c r="L1039" s="923"/>
      <c r="M1039" s="902"/>
      <c r="N1039" s="900" t="s">
        <v>2297</v>
      </c>
    </row>
    <row r="1040" spans="1:14" s="910" customFormat="1" ht="16.5" hidden="1" customHeight="1">
      <c r="A1040" s="896"/>
      <c r="B1040" s="902" t="s">
        <v>2895</v>
      </c>
      <c r="C1040" s="897">
        <v>1</v>
      </c>
      <c r="D1040" s="1263" t="s">
        <v>273</v>
      </c>
      <c r="E1040" s="919">
        <v>1</v>
      </c>
      <c r="F1040" s="920">
        <v>2.7</v>
      </c>
      <c r="G1040" s="920">
        <v>0</v>
      </c>
      <c r="H1040" s="920">
        <v>2.1</v>
      </c>
      <c r="I1040" s="1266">
        <f t="shared" ref="I1040:I1041" si="108">ROUND(IF(AND(F1040:H1040),C1040*E1040*F1040*G1040*H1040,IF(AND(F1040,G1040),C1040*E1040*F1040*G1040,IF(AND(F1040,H1040),C1040*E1040*F1040*H1040,IF(AND(G1040,H1040),C1040*E1040*G1040*H1040,IF(F1040,C1040*E1040*F1040,IF(G1040,C1040*E1040*G1040,IF(H1040,C1040*E1040*H1040,C1040*E1040))))))),2)</f>
        <v>5.67</v>
      </c>
      <c r="J1040" s="955" t="s">
        <v>102</v>
      </c>
      <c r="K1040" s="902"/>
      <c r="L1040" s="923"/>
      <c r="M1040" s="902"/>
      <c r="N1040" s="900" t="s">
        <v>2297</v>
      </c>
    </row>
    <row r="1041" spans="1:14" s="910" customFormat="1" ht="16.5" hidden="1" customHeight="1">
      <c r="A1041" s="896"/>
      <c r="B1041" s="902" t="s">
        <v>3544</v>
      </c>
      <c r="C1041" s="897">
        <v>1</v>
      </c>
      <c r="D1041" s="1263" t="s">
        <v>273</v>
      </c>
      <c r="E1041" s="919">
        <v>1</v>
      </c>
      <c r="F1041" s="920">
        <v>5.93</v>
      </c>
      <c r="G1041" s="920">
        <v>0</v>
      </c>
      <c r="H1041" s="920">
        <v>2.1</v>
      </c>
      <c r="I1041" s="1266">
        <f t="shared" si="108"/>
        <v>12.45</v>
      </c>
      <c r="J1041" s="955" t="s">
        <v>102</v>
      </c>
      <c r="K1041" s="902"/>
      <c r="L1041" s="923"/>
      <c r="M1041" s="902"/>
      <c r="N1041" s="900" t="s">
        <v>2297</v>
      </c>
    </row>
    <row r="1042" spans="1:14" s="910" customFormat="1" ht="16.5" hidden="1" customHeight="1">
      <c r="A1042" s="896"/>
      <c r="B1042" s="902" t="s">
        <v>281</v>
      </c>
      <c r="C1042" s="897">
        <v>1</v>
      </c>
      <c r="D1042" s="1263" t="s">
        <v>273</v>
      </c>
      <c r="E1042" s="919">
        <v>1</v>
      </c>
      <c r="F1042" s="920">
        <v>0.23</v>
      </c>
      <c r="G1042" s="920">
        <v>0</v>
      </c>
      <c r="H1042" s="920">
        <v>2.1</v>
      </c>
      <c r="I1042" s="1266">
        <f>-ROUND(IF(AND(F1042:H1042),C1042*E1042*F1042*G1042*H1042,IF(AND(F1042,G1042),C1042*E1042*F1042*G1042,IF(AND(F1042,H1042),C1042*E1042*F1042*H1042,IF(AND(G1042,H1042),C1042*E1042*G1042*H1042,IF(F1042,C1042*E1042*F1042,IF(G1042,C1042*E1042*G1042,IF(H1042,C1042*E1042*H1042,C1042*E1042))))))),2)</f>
        <v>-0.48</v>
      </c>
      <c r="J1042" s="955" t="s">
        <v>102</v>
      </c>
      <c r="K1042" s="902"/>
      <c r="L1042" s="923"/>
      <c r="M1042" s="902"/>
      <c r="N1042" s="900" t="s">
        <v>2297</v>
      </c>
    </row>
    <row r="1043" spans="1:14" s="910" customFormat="1" ht="16.5" hidden="1" customHeight="1">
      <c r="A1043" s="896"/>
      <c r="B1043" s="902" t="s">
        <v>3545</v>
      </c>
      <c r="C1043" s="897">
        <v>1</v>
      </c>
      <c r="D1043" s="1263" t="s">
        <v>273</v>
      </c>
      <c r="E1043" s="919">
        <v>1</v>
      </c>
      <c r="F1043" s="920">
        <v>2.7</v>
      </c>
      <c r="G1043" s="920">
        <v>0</v>
      </c>
      <c r="H1043" s="920">
        <v>2.1</v>
      </c>
      <c r="I1043" s="1266">
        <f t="shared" ref="I1043:I1045" si="109">ROUND(IF(AND(F1043:H1043),C1043*E1043*F1043*G1043*H1043,IF(AND(F1043,G1043),C1043*E1043*F1043*G1043,IF(AND(F1043,H1043),C1043*E1043*F1043*H1043,IF(AND(G1043,H1043),C1043*E1043*G1043*H1043,IF(F1043,C1043*E1043*F1043,IF(G1043,C1043*E1043*G1043,IF(H1043,C1043*E1043*H1043,C1043*E1043))))))),2)</f>
        <v>5.67</v>
      </c>
      <c r="J1043" s="955" t="s">
        <v>102</v>
      </c>
      <c r="K1043" s="902"/>
      <c r="L1043" s="923"/>
      <c r="M1043" s="902"/>
      <c r="N1043" s="900" t="s">
        <v>2297</v>
      </c>
    </row>
    <row r="1044" spans="1:14" s="910" customFormat="1" ht="16.5" hidden="1" customHeight="1">
      <c r="A1044" s="896"/>
      <c r="B1044" s="902" t="s">
        <v>3722</v>
      </c>
      <c r="C1044" s="897">
        <v>1</v>
      </c>
      <c r="D1044" s="1263" t="s">
        <v>273</v>
      </c>
      <c r="E1044" s="919">
        <v>2</v>
      </c>
      <c r="F1044" s="920">
        <v>2.7</v>
      </c>
      <c r="G1044" s="920">
        <v>0</v>
      </c>
      <c r="H1044" s="920">
        <v>2.1</v>
      </c>
      <c r="I1044" s="1266">
        <f t="shared" si="109"/>
        <v>11.34</v>
      </c>
      <c r="J1044" s="955" t="s">
        <v>102</v>
      </c>
      <c r="K1044" s="902"/>
      <c r="L1044" s="923"/>
      <c r="M1044" s="902"/>
      <c r="N1044" s="900" t="s">
        <v>2297</v>
      </c>
    </row>
    <row r="1045" spans="1:14" s="910" customFormat="1" ht="16.5" hidden="1" customHeight="1">
      <c r="A1045" s="896"/>
      <c r="B1045" s="902" t="s">
        <v>3073</v>
      </c>
      <c r="C1045" s="897">
        <v>1</v>
      </c>
      <c r="D1045" s="1263" t="s">
        <v>273</v>
      </c>
      <c r="E1045" s="919">
        <v>2</v>
      </c>
      <c r="F1045" s="920">
        <v>1.36</v>
      </c>
      <c r="G1045" s="920">
        <v>0</v>
      </c>
      <c r="H1045" s="920">
        <v>2.1</v>
      </c>
      <c r="I1045" s="1266">
        <f t="shared" si="109"/>
        <v>5.71</v>
      </c>
      <c r="J1045" s="955" t="s">
        <v>102</v>
      </c>
      <c r="K1045" s="902"/>
      <c r="L1045" s="923"/>
      <c r="M1045" s="902"/>
      <c r="N1045" s="900" t="s">
        <v>2297</v>
      </c>
    </row>
    <row r="1046" spans="1:14" s="910" customFormat="1" ht="16.5" hidden="1" customHeight="1">
      <c r="A1046" s="896"/>
      <c r="B1046" s="902" t="s">
        <v>579</v>
      </c>
      <c r="C1046" s="897">
        <v>1</v>
      </c>
      <c r="D1046" s="1263" t="s">
        <v>273</v>
      </c>
      <c r="E1046" s="919">
        <v>5</v>
      </c>
      <c r="F1046" s="920">
        <v>0.9</v>
      </c>
      <c r="G1046" s="920">
        <v>0</v>
      </c>
      <c r="H1046" s="920">
        <v>2.1</v>
      </c>
      <c r="I1046" s="1266">
        <f>-ROUND(IF(AND(F1046:H1046),C1046*E1046*F1046*G1046*H1046,IF(AND(F1046,G1046),C1046*E1046*F1046*G1046,IF(AND(F1046,H1046),C1046*E1046*F1046*H1046,IF(AND(G1046,H1046),C1046*E1046*G1046*H1046,IF(F1046,C1046*E1046*F1046,IF(G1046,C1046*E1046*G1046,IF(H1046,C1046*E1046*H1046,C1046*E1046))))))),2)</f>
        <v>-9.4499999999999993</v>
      </c>
      <c r="J1046" s="955" t="s">
        <v>102</v>
      </c>
      <c r="K1046" s="902"/>
      <c r="L1046" s="923"/>
      <c r="M1046" s="902"/>
      <c r="N1046" s="900" t="s">
        <v>2297</v>
      </c>
    </row>
    <row r="1047" spans="1:14" s="910" customFormat="1" ht="16.5" hidden="1" customHeight="1">
      <c r="A1047" s="896"/>
      <c r="B1047" s="902" t="s">
        <v>579</v>
      </c>
      <c r="C1047" s="897">
        <v>1</v>
      </c>
      <c r="D1047" s="1263" t="s">
        <v>273</v>
      </c>
      <c r="E1047" s="919">
        <v>2</v>
      </c>
      <c r="F1047" s="920">
        <v>0.75</v>
      </c>
      <c r="G1047" s="920">
        <v>0</v>
      </c>
      <c r="H1047" s="920">
        <v>2.1</v>
      </c>
      <c r="I1047" s="1266">
        <f>-ROUND(IF(AND(F1047:H1047),C1047*E1047*F1047*G1047*H1047,IF(AND(F1047,G1047),C1047*E1047*F1047*G1047,IF(AND(F1047,H1047),C1047*E1047*F1047*H1047,IF(AND(G1047,H1047),C1047*E1047*G1047*H1047,IF(F1047,C1047*E1047*F1047,IF(G1047,C1047*E1047*G1047,IF(H1047,C1047*E1047*H1047,C1047*E1047))))))),2)</f>
        <v>-3.15</v>
      </c>
      <c r="J1047" s="955" t="s">
        <v>102</v>
      </c>
      <c r="K1047" s="902"/>
      <c r="L1047" s="923"/>
      <c r="M1047" s="902"/>
      <c r="N1047" s="900" t="s">
        <v>2297</v>
      </c>
    </row>
    <row r="1048" spans="1:14" s="910" customFormat="1" ht="16.5" hidden="1" customHeight="1">
      <c r="A1048" s="896"/>
      <c r="B1048" s="902" t="s">
        <v>3723</v>
      </c>
      <c r="C1048" s="897">
        <v>1</v>
      </c>
      <c r="D1048" s="1263" t="s">
        <v>273</v>
      </c>
      <c r="E1048" s="919">
        <v>1</v>
      </c>
      <c r="F1048" s="920">
        <v>1.36</v>
      </c>
      <c r="G1048" s="920">
        <v>0</v>
      </c>
      <c r="H1048" s="920">
        <v>2.1</v>
      </c>
      <c r="I1048" s="1266">
        <f>-ROUND(IF(AND(F1048:H1048),C1048*E1048*F1048*G1048*H1048,IF(AND(F1048,G1048),C1048*E1048*F1048*G1048,IF(AND(F1048,H1048),C1048*E1048*F1048*H1048,IF(AND(G1048,H1048),C1048*E1048*G1048*H1048,IF(F1048,C1048*E1048*F1048,IF(G1048,C1048*E1048*G1048,IF(H1048,C1048*E1048*H1048,C1048*E1048))))))),2)</f>
        <v>-2.86</v>
      </c>
      <c r="J1048" s="955" t="s">
        <v>102</v>
      </c>
      <c r="K1048" s="902"/>
      <c r="L1048" s="923"/>
      <c r="M1048" s="902"/>
      <c r="N1048" s="900" t="s">
        <v>2297</v>
      </c>
    </row>
    <row r="1049" spans="1:14" s="910" customFormat="1" ht="16.5" hidden="1" customHeight="1">
      <c r="A1049" s="896"/>
      <c r="B1049" s="928" t="s">
        <v>3735</v>
      </c>
      <c r="C1049" s="1269"/>
      <c r="D1049" s="954" t="s">
        <v>3247</v>
      </c>
      <c r="E1049" s="1270"/>
      <c r="F1049" s="1271"/>
      <c r="G1049" s="1271"/>
      <c r="H1049" s="1271"/>
      <c r="I1049" s="1272"/>
      <c r="J1049" s="955"/>
      <c r="K1049" s="902"/>
      <c r="L1049" s="923"/>
      <c r="M1049" s="902"/>
      <c r="N1049" s="900" t="s">
        <v>2297</v>
      </c>
    </row>
    <row r="1050" spans="1:14" s="910" customFormat="1" ht="16.5" hidden="1" customHeight="1">
      <c r="A1050" s="896"/>
      <c r="B1050" s="902" t="s">
        <v>2895</v>
      </c>
      <c r="C1050" s="897">
        <v>1</v>
      </c>
      <c r="D1050" s="1263" t="s">
        <v>273</v>
      </c>
      <c r="E1050" s="919">
        <v>1</v>
      </c>
      <c r="F1050" s="920">
        <v>2.7</v>
      </c>
      <c r="G1050" s="920">
        <v>0</v>
      </c>
      <c r="H1050" s="920">
        <v>0.64</v>
      </c>
      <c r="I1050" s="1266">
        <f t="shared" ref="I1050:I1051" si="110">ROUND(IF(AND(F1050:H1050),C1050*E1050*F1050*G1050*H1050,IF(AND(F1050,G1050),C1050*E1050*F1050*G1050,IF(AND(F1050,H1050),C1050*E1050*F1050*H1050,IF(AND(G1050,H1050),C1050*E1050*G1050*H1050,IF(F1050,C1050*E1050*F1050,IF(G1050,C1050*E1050*G1050,IF(H1050,C1050*E1050*H1050,C1050*E1050))))))),2)</f>
        <v>1.73</v>
      </c>
      <c r="J1050" s="955" t="s">
        <v>102</v>
      </c>
      <c r="K1050" s="902"/>
      <c r="L1050" s="923"/>
      <c r="M1050" s="902"/>
      <c r="N1050" s="900" t="s">
        <v>2297</v>
      </c>
    </row>
    <row r="1051" spans="1:14" s="910" customFormat="1" ht="16.5" hidden="1" customHeight="1">
      <c r="A1051" s="896"/>
      <c r="B1051" s="902" t="s">
        <v>3544</v>
      </c>
      <c r="C1051" s="897">
        <v>1</v>
      </c>
      <c r="D1051" s="1263" t="s">
        <v>273</v>
      </c>
      <c r="E1051" s="919">
        <v>1</v>
      </c>
      <c r="F1051" s="920">
        <v>5.93</v>
      </c>
      <c r="G1051" s="920">
        <v>0</v>
      </c>
      <c r="H1051" s="920">
        <v>0.64</v>
      </c>
      <c r="I1051" s="1266">
        <f t="shared" si="110"/>
        <v>3.8</v>
      </c>
      <c r="J1051" s="955" t="s">
        <v>102</v>
      </c>
      <c r="K1051" s="902"/>
      <c r="L1051" s="923"/>
      <c r="M1051" s="902"/>
      <c r="N1051" s="900" t="s">
        <v>2297</v>
      </c>
    </row>
    <row r="1052" spans="1:14" s="910" customFormat="1" ht="16.5" hidden="1" customHeight="1">
      <c r="A1052" s="896"/>
      <c r="B1052" s="902" t="s">
        <v>281</v>
      </c>
      <c r="C1052" s="897">
        <v>1</v>
      </c>
      <c r="D1052" s="1263" t="s">
        <v>273</v>
      </c>
      <c r="E1052" s="919">
        <v>1</v>
      </c>
      <c r="F1052" s="920">
        <v>0.23</v>
      </c>
      <c r="G1052" s="920">
        <v>0</v>
      </c>
      <c r="H1052" s="920">
        <v>0.64</v>
      </c>
      <c r="I1052" s="1266">
        <f>-ROUND(IF(AND(F1052:H1052),C1052*E1052*F1052*G1052*H1052,IF(AND(F1052,G1052),C1052*E1052*F1052*G1052,IF(AND(F1052,H1052),C1052*E1052*F1052*H1052,IF(AND(G1052,H1052),C1052*E1052*G1052*H1052,IF(F1052,C1052*E1052*F1052,IF(G1052,C1052*E1052*G1052,IF(H1052,C1052*E1052*H1052,C1052*E1052))))))),2)</f>
        <v>-0.15</v>
      </c>
      <c r="J1052" s="955" t="s">
        <v>102</v>
      </c>
      <c r="K1052" s="902"/>
      <c r="L1052" s="923"/>
      <c r="M1052" s="902"/>
      <c r="N1052" s="900" t="s">
        <v>2297</v>
      </c>
    </row>
    <row r="1053" spans="1:14" s="910" customFormat="1" ht="16.5" hidden="1" customHeight="1">
      <c r="A1053" s="896"/>
      <c r="B1053" s="902" t="s">
        <v>3545</v>
      </c>
      <c r="C1053" s="897">
        <v>1</v>
      </c>
      <c r="D1053" s="1263" t="s">
        <v>273</v>
      </c>
      <c r="E1053" s="919">
        <v>1</v>
      </c>
      <c r="F1053" s="920">
        <v>2.7</v>
      </c>
      <c r="G1053" s="920">
        <v>0</v>
      </c>
      <c r="H1053" s="920">
        <v>0.64</v>
      </c>
      <c r="I1053" s="1266">
        <f t="shared" ref="I1053:I1055" si="111">ROUND(IF(AND(F1053:H1053),C1053*E1053*F1053*G1053*H1053,IF(AND(F1053,G1053),C1053*E1053*F1053*G1053,IF(AND(F1053,H1053),C1053*E1053*F1053*H1053,IF(AND(G1053,H1053),C1053*E1053*G1053*H1053,IF(F1053,C1053*E1053*F1053,IF(G1053,C1053*E1053*G1053,IF(H1053,C1053*E1053*H1053,C1053*E1053))))))),2)</f>
        <v>1.73</v>
      </c>
      <c r="J1053" s="955" t="s">
        <v>102</v>
      </c>
      <c r="K1053" s="902"/>
      <c r="L1053" s="923"/>
      <c r="M1053" s="902"/>
      <c r="N1053" s="900" t="s">
        <v>2297</v>
      </c>
    </row>
    <row r="1054" spans="1:14" s="910" customFormat="1" ht="16.5" hidden="1" customHeight="1">
      <c r="A1054" s="896"/>
      <c r="B1054" s="902" t="s">
        <v>3722</v>
      </c>
      <c r="C1054" s="897">
        <v>1</v>
      </c>
      <c r="D1054" s="1263" t="s">
        <v>273</v>
      </c>
      <c r="E1054" s="919">
        <v>2</v>
      </c>
      <c r="F1054" s="920">
        <v>2.7</v>
      </c>
      <c r="G1054" s="920">
        <v>0</v>
      </c>
      <c r="H1054" s="920">
        <v>0.64</v>
      </c>
      <c r="I1054" s="1266">
        <f t="shared" si="111"/>
        <v>3.46</v>
      </c>
      <c r="J1054" s="955" t="s">
        <v>102</v>
      </c>
      <c r="K1054" s="902"/>
      <c r="L1054" s="923"/>
      <c r="M1054" s="902"/>
      <c r="N1054" s="900" t="s">
        <v>2297</v>
      </c>
    </row>
    <row r="1055" spans="1:14" s="910" customFormat="1" ht="16.5" hidden="1" customHeight="1">
      <c r="A1055" s="896"/>
      <c r="B1055" s="902" t="s">
        <v>3073</v>
      </c>
      <c r="C1055" s="897">
        <v>1</v>
      </c>
      <c r="D1055" s="1263" t="s">
        <v>273</v>
      </c>
      <c r="E1055" s="919">
        <v>2</v>
      </c>
      <c r="F1055" s="920">
        <v>1.36</v>
      </c>
      <c r="G1055" s="920">
        <v>0</v>
      </c>
      <c r="H1055" s="920">
        <v>0.64</v>
      </c>
      <c r="I1055" s="1266">
        <f t="shared" si="111"/>
        <v>1.74</v>
      </c>
      <c r="J1055" s="955" t="s">
        <v>102</v>
      </c>
      <c r="K1055" s="902"/>
      <c r="L1055" s="923"/>
      <c r="M1055" s="902"/>
      <c r="N1055" s="900" t="s">
        <v>2297</v>
      </c>
    </row>
    <row r="1056" spans="1:14" s="910" customFormat="1" ht="16.5" hidden="1" customHeight="1">
      <c r="A1056" s="896"/>
      <c r="B1056" s="902" t="s">
        <v>3723</v>
      </c>
      <c r="C1056" s="897">
        <v>1</v>
      </c>
      <c r="D1056" s="1263" t="s">
        <v>273</v>
      </c>
      <c r="E1056" s="919">
        <v>1</v>
      </c>
      <c r="F1056" s="920">
        <v>1.36</v>
      </c>
      <c r="G1056" s="920">
        <v>0</v>
      </c>
      <c r="H1056" s="920">
        <v>0.64</v>
      </c>
      <c r="I1056" s="1266">
        <f>-ROUND(IF(AND(F1056:H1056),C1056*E1056*F1056*G1056*H1056,IF(AND(F1056,G1056),C1056*E1056*F1056*G1056,IF(AND(F1056,H1056),C1056*E1056*F1056*H1056,IF(AND(G1056,H1056),C1056*E1056*G1056*H1056,IF(F1056,C1056*E1056*F1056,IF(G1056,C1056*E1056*G1056,IF(H1056,C1056*E1056*H1056,C1056*E1056))))))),2)</f>
        <v>-0.87</v>
      </c>
      <c r="J1056" s="955" t="s">
        <v>102</v>
      </c>
      <c r="K1056" s="902"/>
      <c r="L1056" s="923"/>
      <c r="M1056" s="902"/>
      <c r="N1056" s="900" t="s">
        <v>2297</v>
      </c>
    </row>
    <row r="1057" spans="1:14" s="910" customFormat="1" ht="16.5" hidden="1" customHeight="1">
      <c r="A1057" s="896"/>
      <c r="B1057" s="902" t="s">
        <v>3751</v>
      </c>
      <c r="C1057" s="897"/>
      <c r="D1057" s="954" t="s">
        <v>3815</v>
      </c>
      <c r="E1057" s="919"/>
      <c r="F1057" s="920"/>
      <c r="G1057" s="920"/>
      <c r="H1057" s="920"/>
      <c r="I1057" s="1264"/>
      <c r="J1057" s="955"/>
      <c r="K1057" s="902"/>
      <c r="L1057" s="923"/>
      <c r="M1057" s="902"/>
      <c r="N1057" s="900" t="s">
        <v>2297</v>
      </c>
    </row>
    <row r="1058" spans="1:14" s="910" customFormat="1" ht="16.5" hidden="1" customHeight="1">
      <c r="A1058" s="896"/>
      <c r="B1058" s="902" t="s">
        <v>3311</v>
      </c>
      <c r="C1058" s="897">
        <v>1</v>
      </c>
      <c r="D1058" s="1263" t="s">
        <v>273</v>
      </c>
      <c r="E1058" s="919">
        <v>1</v>
      </c>
      <c r="F1058" s="920">
        <v>47</v>
      </c>
      <c r="G1058" s="920">
        <v>0</v>
      </c>
      <c r="H1058" s="920">
        <v>0.75</v>
      </c>
      <c r="I1058" s="1266">
        <f t="shared" ref="I1058" si="112">ROUND(IF(AND(F1058:H1058),C1058*E1058*F1058*G1058*H1058,IF(AND(F1058,G1058),C1058*E1058*F1058*G1058,IF(AND(F1058,H1058),C1058*E1058*F1058*H1058,IF(AND(G1058,H1058),C1058*E1058*G1058*H1058,IF(F1058,C1058*E1058*F1058,IF(G1058,C1058*E1058*G1058,IF(H1058,C1058*E1058*H1058,C1058*E1058))))))),2)</f>
        <v>35.25</v>
      </c>
      <c r="J1058" s="955" t="s">
        <v>102</v>
      </c>
      <c r="K1058" s="902"/>
      <c r="L1058" s="923"/>
      <c r="M1058" s="902"/>
      <c r="N1058" s="900" t="s">
        <v>2297</v>
      </c>
    </row>
    <row r="1059" spans="1:14" s="910" customFormat="1" ht="15.75" hidden="1">
      <c r="A1059" s="896"/>
      <c r="B1059" s="902"/>
      <c r="C1059" s="897"/>
      <c r="D1059" s="1263"/>
      <c r="E1059" s="919"/>
      <c r="F1059" s="920"/>
      <c r="G1059" s="920"/>
      <c r="H1059" s="920"/>
      <c r="I1059" s="1266"/>
      <c r="J1059" s="955"/>
      <c r="K1059" s="902"/>
      <c r="L1059" s="923"/>
      <c r="M1059" s="902"/>
      <c r="N1059" s="900" t="s">
        <v>2297</v>
      </c>
    </row>
    <row r="1060" spans="1:14" ht="15.75" hidden="1">
      <c r="A1060" s="896"/>
      <c r="B1060" s="902"/>
      <c r="C1060" s="917"/>
      <c r="D1060" s="918"/>
      <c r="E1060" s="919"/>
      <c r="F1060" s="920"/>
      <c r="G1060" s="921"/>
      <c r="H1060" s="896"/>
      <c r="I1060" s="916"/>
      <c r="J1060" s="955" t="s">
        <v>102</v>
      </c>
      <c r="K1060" s="922">
        <f>data!E1328</f>
        <v>732.88</v>
      </c>
      <c r="L1060" s="923" t="s">
        <v>2297</v>
      </c>
      <c r="M1060" s="924">
        <f>ROUND(I1060*K1060/1,0)</f>
        <v>0</v>
      </c>
      <c r="N1060" s="900" t="s">
        <v>2297</v>
      </c>
    </row>
    <row r="1061" spans="1:14" ht="132.75" hidden="1" customHeight="1">
      <c r="A1061" s="896">
        <v>19</v>
      </c>
      <c r="B1061" s="1609" t="s">
        <v>3685</v>
      </c>
      <c r="C1061" s="1609"/>
      <c r="D1061" s="1609"/>
      <c r="E1061" s="1609"/>
      <c r="F1061" s="1609"/>
      <c r="G1061" s="1609"/>
      <c r="H1061" s="1609"/>
      <c r="I1061" s="897"/>
      <c r="J1061" s="898"/>
      <c r="K1061" s="896"/>
      <c r="L1061" s="923"/>
      <c r="M1061" s="899"/>
      <c r="N1061" s="900" t="s">
        <v>2308</v>
      </c>
    </row>
    <row r="1062" spans="1:14" s="910" customFormat="1" ht="16.5" hidden="1" customHeight="1">
      <c r="A1062" s="896"/>
      <c r="B1062" s="902" t="s">
        <v>3564</v>
      </c>
      <c r="C1062" s="897"/>
      <c r="D1062" s="1263"/>
      <c r="E1062" s="919"/>
      <c r="F1062" s="920"/>
      <c r="G1062" s="920"/>
      <c r="H1062" s="920"/>
      <c r="I1062" s="1264"/>
      <c r="J1062" s="955"/>
      <c r="K1062" s="902"/>
      <c r="L1062" s="923"/>
      <c r="M1062" s="902"/>
      <c r="N1062" s="900" t="s">
        <v>2308</v>
      </c>
    </row>
    <row r="1063" spans="1:14" s="910" customFormat="1" ht="16.5" hidden="1" customHeight="1">
      <c r="A1063" s="896"/>
      <c r="B1063" s="902" t="s">
        <v>2129</v>
      </c>
      <c r="C1063" s="897">
        <v>1</v>
      </c>
      <c r="D1063" s="1263" t="s">
        <v>273</v>
      </c>
      <c r="E1063" s="919">
        <v>1</v>
      </c>
      <c r="F1063" s="920">
        <v>4.72</v>
      </c>
      <c r="G1063" s="920">
        <v>0</v>
      </c>
      <c r="H1063" s="920">
        <v>0.6</v>
      </c>
      <c r="I1063" s="1266">
        <f>ROUND(IF(AND(F1063:H1063),C1063*E1063*F1063*G1063*H1063,IF(AND(F1063,G1063),C1063*E1063*F1063*G1063,IF(AND(F1063,H1063),C1063*E1063*F1063*H1063,IF(AND(G1063,H1063),C1063*E1063*G1063*H1063,IF(F1063,C1063*E1063*F1063,IF(G1063,C1063*E1063*G1063,IF(H1063,C1063*E1063*H1063,C1063*E1063))))))),2)</f>
        <v>2.83</v>
      </c>
      <c r="J1063" s="955" t="s">
        <v>102</v>
      </c>
      <c r="K1063" s="902"/>
      <c r="L1063" s="923"/>
      <c r="M1063" s="902"/>
      <c r="N1063" s="900" t="s">
        <v>2308</v>
      </c>
    </row>
    <row r="1064" spans="1:14" s="910" customFormat="1" ht="16.5" hidden="1" customHeight="1">
      <c r="A1064" s="896"/>
      <c r="B1064" s="902" t="s">
        <v>1531</v>
      </c>
      <c r="C1064" s="897">
        <v>1</v>
      </c>
      <c r="D1064" s="1263" t="s">
        <v>273</v>
      </c>
      <c r="E1064" s="919">
        <v>1</v>
      </c>
      <c r="F1064" s="920">
        <v>2.85</v>
      </c>
      <c r="G1064" s="920">
        <v>0</v>
      </c>
      <c r="H1064" s="920">
        <v>0.62</v>
      </c>
      <c r="I1064" s="1266">
        <f>ROUND(IF(AND(F1064:H1064),C1064*E1064*F1064*G1064*H1064,IF(AND(F1064,G1064),C1064*E1064*F1064*G1064,IF(AND(F1064,H1064),C1064*E1064*F1064*H1064,IF(AND(G1064,H1064),C1064*E1064*G1064*H1064,IF(F1064,C1064*E1064*F1064,IF(G1064,C1064*E1064*G1064,IF(H1064,C1064*E1064*H1064,C1064*E1064))))))),2)</f>
        <v>1.77</v>
      </c>
      <c r="J1064" s="955" t="s">
        <v>102</v>
      </c>
      <c r="K1064" s="902"/>
      <c r="L1064" s="923"/>
      <c r="M1064" s="902"/>
      <c r="N1064" s="900" t="s">
        <v>2308</v>
      </c>
    </row>
    <row r="1065" spans="1:14" s="910" customFormat="1" ht="16.5" hidden="1" customHeight="1">
      <c r="A1065" s="896"/>
      <c r="B1065" s="902" t="s">
        <v>581</v>
      </c>
      <c r="C1065" s="897">
        <v>1</v>
      </c>
      <c r="D1065" s="1263" t="s">
        <v>273</v>
      </c>
      <c r="E1065" s="919">
        <v>2</v>
      </c>
      <c r="F1065" s="920">
        <v>0.6</v>
      </c>
      <c r="G1065" s="920">
        <v>0</v>
      </c>
      <c r="H1065" s="920">
        <v>0.3</v>
      </c>
      <c r="I1065" s="1266">
        <f>-ROUND(IF(AND(F1065:H1065),C1065*E1065*F1065*G1065*H1065,IF(AND(F1065,G1065),C1065*E1065*F1065*G1065,IF(AND(F1065,H1065),C1065*E1065*F1065*H1065,IF(AND(G1065,H1065),C1065*E1065*G1065*H1065,IF(F1065,C1065*E1065*F1065,IF(G1065,C1065*E1065*G1065,IF(H1065,C1065*E1065*H1065,C1065*E1065))))))),2)</f>
        <v>-0.36</v>
      </c>
      <c r="J1065" s="955" t="s">
        <v>102</v>
      </c>
      <c r="K1065" s="902"/>
      <c r="L1065" s="923"/>
      <c r="M1065" s="902"/>
      <c r="N1065" s="900" t="s">
        <v>2308</v>
      </c>
    </row>
    <row r="1066" spans="1:14" s="910" customFormat="1" ht="16.5" hidden="1" customHeight="1">
      <c r="A1066" s="896"/>
      <c r="B1066" s="902"/>
      <c r="C1066" s="897"/>
      <c r="D1066" s="1263"/>
      <c r="E1066" s="919"/>
      <c r="F1066" s="920"/>
      <c r="G1066" s="920"/>
      <c r="H1066" s="920"/>
      <c r="I1066" s="1266"/>
      <c r="J1066" s="955"/>
      <c r="K1066" s="902"/>
      <c r="L1066" s="923"/>
      <c r="M1066" s="902"/>
      <c r="N1066" s="900" t="s">
        <v>2308</v>
      </c>
    </row>
    <row r="1067" spans="1:14" ht="15.75" hidden="1">
      <c r="A1067" s="896"/>
      <c r="B1067" s="902"/>
      <c r="C1067" s="917"/>
      <c r="D1067" s="918"/>
      <c r="E1067" s="919"/>
      <c r="F1067" s="920"/>
      <c r="G1067" s="921"/>
      <c r="H1067" s="896"/>
      <c r="I1067" s="916"/>
      <c r="J1067" s="955" t="s">
        <v>102</v>
      </c>
      <c r="K1067" s="922">
        <f>data!E2245</f>
        <v>782.58</v>
      </c>
      <c r="L1067" s="923" t="s">
        <v>2308</v>
      </c>
      <c r="M1067" s="924">
        <f>ROUND(I1067*K1067/1,0)</f>
        <v>0</v>
      </c>
      <c r="N1067" s="900" t="s">
        <v>2308</v>
      </c>
    </row>
    <row r="1068" spans="1:14" ht="132.75" hidden="1" customHeight="1">
      <c r="A1068" s="896">
        <v>18</v>
      </c>
      <c r="B1068" s="1609" t="s">
        <v>3685</v>
      </c>
      <c r="C1068" s="1609"/>
      <c r="D1068" s="1609"/>
      <c r="E1068" s="1609"/>
      <c r="F1068" s="1609"/>
      <c r="G1068" s="1609"/>
      <c r="H1068" s="1609"/>
      <c r="I1068" s="897"/>
      <c r="J1068" s="898"/>
      <c r="K1068" s="896"/>
      <c r="L1068" s="923"/>
      <c r="M1068" s="899"/>
      <c r="N1068" s="900" t="s">
        <v>2309</v>
      </c>
    </row>
    <row r="1069" spans="1:14" s="910" customFormat="1" ht="16.5" hidden="1" customHeight="1">
      <c r="A1069" s="896"/>
      <c r="B1069" s="902" t="s">
        <v>3527</v>
      </c>
      <c r="C1069" s="897"/>
      <c r="D1069" s="1263" t="s">
        <v>3450</v>
      </c>
      <c r="E1069" s="919"/>
      <c r="F1069" s="920"/>
      <c r="G1069" s="920"/>
      <c r="H1069" s="920"/>
      <c r="I1069" s="1264"/>
      <c r="J1069" s="955"/>
      <c r="K1069" s="902"/>
      <c r="L1069" s="923"/>
      <c r="M1069" s="902"/>
      <c r="N1069" s="900" t="s">
        <v>2309</v>
      </c>
    </row>
    <row r="1070" spans="1:14" s="910" customFormat="1" ht="16.5" hidden="1" customHeight="1">
      <c r="A1070" s="896"/>
      <c r="B1070" s="902" t="s">
        <v>3455</v>
      </c>
      <c r="C1070" s="897">
        <v>1</v>
      </c>
      <c r="D1070" s="1263" t="s">
        <v>273</v>
      </c>
      <c r="E1070" s="919">
        <v>1</v>
      </c>
      <c r="F1070" s="920">
        <v>2.72</v>
      </c>
      <c r="G1070" s="920">
        <v>0</v>
      </c>
      <c r="H1070" s="920">
        <v>0.75</v>
      </c>
      <c r="I1070" s="1266">
        <f t="shared" ref="I1070" si="113">ROUND(IF(AND(F1070:H1070),C1070*E1070*F1070*G1070*H1070,IF(AND(F1070,G1070),C1070*E1070*F1070*G1070,IF(AND(F1070,H1070),C1070*E1070*F1070*H1070,IF(AND(G1070,H1070),C1070*E1070*G1070*H1070,IF(F1070,C1070*E1070*F1070,IF(G1070,C1070*E1070*G1070,IF(H1070,C1070*E1070*H1070,C1070*E1070))))))),2)</f>
        <v>2.04</v>
      </c>
      <c r="J1070" s="955" t="s">
        <v>102</v>
      </c>
      <c r="K1070" s="902"/>
      <c r="L1070" s="923"/>
      <c r="M1070" s="902"/>
      <c r="N1070" s="900" t="s">
        <v>2309</v>
      </c>
    </row>
    <row r="1071" spans="1:14" s="910" customFormat="1" ht="16.5" hidden="1" customHeight="1">
      <c r="A1071" s="896"/>
      <c r="B1071" s="902" t="s">
        <v>3451</v>
      </c>
      <c r="C1071" s="897">
        <v>1</v>
      </c>
      <c r="D1071" s="1263" t="s">
        <v>273</v>
      </c>
      <c r="E1071" s="919">
        <v>1</v>
      </c>
      <c r="F1071" s="920">
        <v>2.5099999999999998</v>
      </c>
      <c r="G1071" s="920">
        <v>0</v>
      </c>
      <c r="H1071" s="920">
        <v>0.75</v>
      </c>
      <c r="I1071" s="1266">
        <f t="shared" ref="I1071:I1087" si="114">ROUND(IF(AND(F1071:H1071),C1071*E1071*F1071*G1071*H1071,IF(AND(F1071,G1071),C1071*E1071*F1071*G1071,IF(AND(F1071,H1071),C1071*E1071*F1071*H1071,IF(AND(G1071,H1071),C1071*E1071*G1071*H1071,IF(F1071,C1071*E1071*F1071,IF(G1071,C1071*E1071*G1071,IF(H1071,C1071*E1071*H1071,C1071*E1071))))))),2)</f>
        <v>1.88</v>
      </c>
      <c r="J1071" s="955" t="s">
        <v>102</v>
      </c>
      <c r="K1071" s="902"/>
      <c r="L1071" s="923"/>
      <c r="M1071" s="902"/>
      <c r="N1071" s="900" t="s">
        <v>2309</v>
      </c>
    </row>
    <row r="1072" spans="1:14" s="910" customFormat="1" ht="16.5" hidden="1" customHeight="1">
      <c r="A1072" s="896"/>
      <c r="B1072" s="902" t="s">
        <v>579</v>
      </c>
      <c r="C1072" s="897">
        <v>1</v>
      </c>
      <c r="D1072" s="1263" t="s">
        <v>273</v>
      </c>
      <c r="E1072" s="919">
        <v>1</v>
      </c>
      <c r="F1072" s="920">
        <v>0.9</v>
      </c>
      <c r="G1072" s="920">
        <v>0</v>
      </c>
      <c r="H1072" s="920">
        <v>0.75</v>
      </c>
      <c r="I1072" s="1266">
        <f>-ROUND(IF(AND(F1072:H1072),C1072*E1072*F1072*G1072*H1072,IF(AND(F1072,G1072),C1072*E1072*F1072*G1072,IF(AND(F1072,H1072),C1072*E1072*F1072*H1072,IF(AND(G1072,H1072),C1072*E1072*G1072*H1072,IF(F1072,C1072*E1072*F1072,IF(G1072,C1072*E1072*G1072,IF(H1072,C1072*E1072*H1072,C1072*E1072))))))),2)</f>
        <v>-0.68</v>
      </c>
      <c r="J1072" s="955" t="s">
        <v>102</v>
      </c>
      <c r="K1072" s="902"/>
      <c r="L1072" s="923"/>
      <c r="M1072" s="902"/>
      <c r="N1072" s="900" t="s">
        <v>2309</v>
      </c>
    </row>
    <row r="1073" spans="1:14" s="910" customFormat="1" ht="16.5" hidden="1" customHeight="1">
      <c r="A1073" s="896"/>
      <c r="B1073" s="902" t="s">
        <v>3456</v>
      </c>
      <c r="C1073" s="897">
        <v>1</v>
      </c>
      <c r="D1073" s="1263" t="s">
        <v>273</v>
      </c>
      <c r="E1073" s="919">
        <v>1</v>
      </c>
      <c r="F1073" s="920">
        <v>1.3</v>
      </c>
      <c r="G1073" s="920">
        <v>0</v>
      </c>
      <c r="H1073" s="920">
        <v>0.75</v>
      </c>
      <c r="I1073" s="1266">
        <f t="shared" si="114"/>
        <v>0.98</v>
      </c>
      <c r="J1073" s="955" t="s">
        <v>102</v>
      </c>
      <c r="K1073" s="902"/>
      <c r="L1073" s="923"/>
      <c r="M1073" s="902"/>
      <c r="N1073" s="900" t="s">
        <v>2309</v>
      </c>
    </row>
    <row r="1074" spans="1:14" s="910" customFormat="1" ht="16.5" hidden="1" customHeight="1">
      <c r="A1074" s="896"/>
      <c r="B1074" s="902" t="s">
        <v>579</v>
      </c>
      <c r="C1074" s="897">
        <v>1</v>
      </c>
      <c r="D1074" s="1263" t="s">
        <v>273</v>
      </c>
      <c r="E1074" s="919">
        <v>1</v>
      </c>
      <c r="F1074" s="920">
        <v>0.75</v>
      </c>
      <c r="G1074" s="920">
        <v>0</v>
      </c>
      <c r="H1074" s="920">
        <v>0.75</v>
      </c>
      <c r="I1074" s="1266">
        <f>-ROUND(IF(AND(F1074:H1074),C1074*E1074*F1074*G1074*H1074,IF(AND(F1074,G1074),C1074*E1074*F1074*G1074,IF(AND(F1074,H1074),C1074*E1074*F1074*H1074,IF(AND(G1074,H1074),C1074*E1074*G1074*H1074,IF(F1074,C1074*E1074*F1074,IF(G1074,C1074*E1074*G1074,IF(H1074,C1074*E1074*H1074,C1074*E1074))))))),2)</f>
        <v>-0.56000000000000005</v>
      </c>
      <c r="J1074" s="955" t="s">
        <v>102</v>
      </c>
      <c r="K1074" s="902"/>
      <c r="L1074" s="923"/>
      <c r="M1074" s="902"/>
      <c r="N1074" s="900" t="s">
        <v>2309</v>
      </c>
    </row>
    <row r="1075" spans="1:14" s="910" customFormat="1" ht="16.5" hidden="1" customHeight="1">
      <c r="A1075" s="896"/>
      <c r="B1075" s="902" t="s">
        <v>3457</v>
      </c>
      <c r="C1075" s="897">
        <v>1</v>
      </c>
      <c r="D1075" s="1263" t="s">
        <v>273</v>
      </c>
      <c r="E1075" s="919">
        <v>1</v>
      </c>
      <c r="F1075" s="920">
        <v>2.95</v>
      </c>
      <c r="G1075" s="920">
        <v>0</v>
      </c>
      <c r="H1075" s="920">
        <v>0.75</v>
      </c>
      <c r="I1075" s="1266">
        <f t="shared" si="114"/>
        <v>2.21</v>
      </c>
      <c r="J1075" s="955" t="s">
        <v>102</v>
      </c>
      <c r="K1075" s="902"/>
      <c r="L1075" s="923"/>
      <c r="M1075" s="902"/>
      <c r="N1075" s="900" t="s">
        <v>2309</v>
      </c>
    </row>
    <row r="1076" spans="1:14" s="910" customFormat="1" ht="16.5" hidden="1" customHeight="1">
      <c r="A1076" s="896"/>
      <c r="B1076" s="902" t="s">
        <v>579</v>
      </c>
      <c r="C1076" s="897">
        <v>1</v>
      </c>
      <c r="D1076" s="1263" t="s">
        <v>273</v>
      </c>
      <c r="E1076" s="919">
        <v>1</v>
      </c>
      <c r="F1076" s="920">
        <v>0.9</v>
      </c>
      <c r="G1076" s="920">
        <v>0</v>
      </c>
      <c r="H1076" s="920">
        <v>0.75</v>
      </c>
      <c r="I1076" s="1266">
        <f>-ROUND(IF(AND(F1076:H1076),C1076*E1076*F1076*G1076*H1076,IF(AND(F1076,G1076),C1076*E1076*F1076*G1076,IF(AND(F1076,H1076),C1076*E1076*F1076*H1076,IF(AND(G1076,H1076),C1076*E1076*G1076*H1076,IF(F1076,C1076*E1076*F1076,IF(G1076,C1076*E1076*G1076,IF(H1076,C1076*E1076*H1076,C1076*E1076))))))),2)</f>
        <v>-0.68</v>
      </c>
      <c r="J1076" s="955" t="s">
        <v>102</v>
      </c>
      <c r="K1076" s="902"/>
      <c r="L1076" s="923"/>
      <c r="M1076" s="902"/>
      <c r="N1076" s="900" t="s">
        <v>2309</v>
      </c>
    </row>
    <row r="1077" spans="1:14" s="910" customFormat="1" ht="16.5" hidden="1" customHeight="1">
      <c r="A1077" s="896"/>
      <c r="B1077" s="902" t="s">
        <v>3454</v>
      </c>
      <c r="C1077" s="897">
        <v>1</v>
      </c>
      <c r="D1077" s="1263" t="s">
        <v>273</v>
      </c>
      <c r="E1077" s="919">
        <v>1</v>
      </c>
      <c r="F1077" s="920">
        <v>2.72</v>
      </c>
      <c r="G1077" s="920">
        <v>0</v>
      </c>
      <c r="H1077" s="920">
        <v>0.75</v>
      </c>
      <c r="I1077" s="1266">
        <f t="shared" si="114"/>
        <v>2.04</v>
      </c>
      <c r="J1077" s="955" t="s">
        <v>102</v>
      </c>
      <c r="K1077" s="902"/>
      <c r="L1077" s="923"/>
      <c r="M1077" s="902"/>
      <c r="N1077" s="900" t="s">
        <v>2309</v>
      </c>
    </row>
    <row r="1078" spans="1:14" s="910" customFormat="1" ht="16.5" hidden="1" customHeight="1">
      <c r="A1078" s="896"/>
      <c r="B1078" s="902" t="s">
        <v>3451</v>
      </c>
      <c r="C1078" s="897">
        <v>1</v>
      </c>
      <c r="D1078" s="1263" t="s">
        <v>273</v>
      </c>
      <c r="E1078" s="919">
        <v>1</v>
      </c>
      <c r="F1078" s="920">
        <v>2</v>
      </c>
      <c r="G1078" s="920">
        <v>0</v>
      </c>
      <c r="H1078" s="920">
        <v>0.75</v>
      </c>
      <c r="I1078" s="1266">
        <f t="shared" si="114"/>
        <v>1.5</v>
      </c>
      <c r="J1078" s="955" t="s">
        <v>102</v>
      </c>
      <c r="K1078" s="902"/>
      <c r="L1078" s="923"/>
      <c r="M1078" s="902"/>
      <c r="N1078" s="900" t="s">
        <v>2309</v>
      </c>
    </row>
    <row r="1079" spans="1:14" s="910" customFormat="1" ht="16.5" hidden="1" customHeight="1">
      <c r="A1079" s="896"/>
      <c r="B1079" s="902" t="s">
        <v>3458</v>
      </c>
      <c r="C1079" s="897">
        <v>1</v>
      </c>
      <c r="D1079" s="1263" t="s">
        <v>273</v>
      </c>
      <c r="E1079" s="919">
        <v>1</v>
      </c>
      <c r="F1079" s="920">
        <v>2.57</v>
      </c>
      <c r="G1079" s="920">
        <v>0</v>
      </c>
      <c r="H1079" s="920">
        <v>0.75</v>
      </c>
      <c r="I1079" s="1266">
        <f t="shared" si="114"/>
        <v>1.93</v>
      </c>
      <c r="J1079" s="955" t="s">
        <v>102</v>
      </c>
      <c r="K1079" s="902"/>
      <c r="L1079" s="923"/>
      <c r="M1079" s="902"/>
      <c r="N1079" s="900" t="s">
        <v>2309</v>
      </c>
    </row>
    <row r="1080" spans="1:14" s="910" customFormat="1" ht="16.5" hidden="1" customHeight="1">
      <c r="A1080" s="896"/>
      <c r="B1080" s="902" t="s">
        <v>3451</v>
      </c>
      <c r="C1080" s="897">
        <v>1</v>
      </c>
      <c r="D1080" s="1263" t="s">
        <v>273</v>
      </c>
      <c r="E1080" s="919">
        <v>1</v>
      </c>
      <c r="F1080" s="920">
        <v>2.75</v>
      </c>
      <c r="G1080" s="920">
        <v>0</v>
      </c>
      <c r="H1080" s="920">
        <v>0.75</v>
      </c>
      <c r="I1080" s="1266">
        <f t="shared" si="114"/>
        <v>2.06</v>
      </c>
      <c r="J1080" s="955" t="s">
        <v>102</v>
      </c>
      <c r="K1080" s="902"/>
      <c r="L1080" s="923"/>
      <c r="M1080" s="902"/>
      <c r="N1080" s="900" t="s">
        <v>2309</v>
      </c>
    </row>
    <row r="1081" spans="1:14" s="910" customFormat="1" ht="16.5" hidden="1" customHeight="1">
      <c r="A1081" s="896"/>
      <c r="B1081" s="902" t="s">
        <v>579</v>
      </c>
      <c r="C1081" s="897">
        <v>1</v>
      </c>
      <c r="D1081" s="1263" t="s">
        <v>273</v>
      </c>
      <c r="E1081" s="919">
        <v>1</v>
      </c>
      <c r="F1081" s="920">
        <v>0.9</v>
      </c>
      <c r="G1081" s="920">
        <v>0</v>
      </c>
      <c r="H1081" s="920">
        <v>0.75</v>
      </c>
      <c r="I1081" s="1266">
        <f>-ROUND(IF(AND(F1081:H1081),C1081*E1081*F1081*G1081*H1081,IF(AND(F1081,G1081),C1081*E1081*F1081*G1081,IF(AND(F1081,H1081),C1081*E1081*F1081*H1081,IF(AND(G1081,H1081),C1081*E1081*G1081*H1081,IF(F1081,C1081*E1081*F1081,IF(G1081,C1081*E1081*G1081,IF(H1081,C1081*E1081*H1081,C1081*E1081))))))),2)</f>
        <v>-0.68</v>
      </c>
      <c r="J1081" s="955" t="s">
        <v>102</v>
      </c>
      <c r="K1081" s="902"/>
      <c r="L1081" s="923"/>
      <c r="M1081" s="902"/>
      <c r="N1081" s="900" t="s">
        <v>2309</v>
      </c>
    </row>
    <row r="1082" spans="1:14" s="910" customFormat="1" ht="16.5" hidden="1" customHeight="1">
      <c r="A1082" s="896"/>
      <c r="B1082" s="902" t="s">
        <v>3459</v>
      </c>
      <c r="C1082" s="897">
        <v>1</v>
      </c>
      <c r="D1082" s="1263" t="s">
        <v>273</v>
      </c>
      <c r="E1082" s="919">
        <v>1</v>
      </c>
      <c r="F1082" s="920">
        <v>1.3</v>
      </c>
      <c r="G1082" s="920">
        <v>0</v>
      </c>
      <c r="H1082" s="920">
        <v>0.75</v>
      </c>
      <c r="I1082" s="1266">
        <f t="shared" si="114"/>
        <v>0.98</v>
      </c>
      <c r="J1082" s="955" t="s">
        <v>102</v>
      </c>
      <c r="K1082" s="902"/>
      <c r="L1082" s="923"/>
      <c r="M1082" s="902"/>
      <c r="N1082" s="900" t="s">
        <v>2309</v>
      </c>
    </row>
    <row r="1083" spans="1:14" s="910" customFormat="1" ht="16.5" hidden="1" customHeight="1">
      <c r="A1083" s="896"/>
      <c r="B1083" s="902" t="s">
        <v>579</v>
      </c>
      <c r="C1083" s="897">
        <v>1</v>
      </c>
      <c r="D1083" s="1263" t="s">
        <v>273</v>
      </c>
      <c r="E1083" s="919">
        <v>1</v>
      </c>
      <c r="F1083" s="920">
        <v>0.75</v>
      </c>
      <c r="G1083" s="920">
        <v>0</v>
      </c>
      <c r="H1083" s="920">
        <v>0.75</v>
      </c>
      <c r="I1083" s="1266">
        <f>-ROUND(IF(AND(F1083:H1083),C1083*E1083*F1083*G1083*H1083,IF(AND(F1083,G1083),C1083*E1083*F1083*G1083,IF(AND(F1083,H1083),C1083*E1083*F1083*H1083,IF(AND(G1083,H1083),C1083*E1083*G1083*H1083,IF(F1083,C1083*E1083*F1083,IF(G1083,C1083*E1083*G1083,IF(H1083,C1083*E1083*H1083,C1083*E1083))))))),2)</f>
        <v>-0.56000000000000005</v>
      </c>
      <c r="J1083" s="955" t="s">
        <v>102</v>
      </c>
      <c r="K1083" s="902"/>
      <c r="L1083" s="923"/>
      <c r="M1083" s="902"/>
      <c r="N1083" s="900" t="s">
        <v>2309</v>
      </c>
    </row>
    <row r="1084" spans="1:14" s="910" customFormat="1" ht="16.5" hidden="1" customHeight="1">
      <c r="A1084" s="896"/>
      <c r="B1084" s="902" t="s">
        <v>3460</v>
      </c>
      <c r="C1084" s="897">
        <v>1</v>
      </c>
      <c r="D1084" s="1263" t="s">
        <v>273</v>
      </c>
      <c r="E1084" s="919">
        <v>1</v>
      </c>
      <c r="F1084" s="920">
        <v>2.95</v>
      </c>
      <c r="G1084" s="920">
        <v>0</v>
      </c>
      <c r="H1084" s="920">
        <v>0.75</v>
      </c>
      <c r="I1084" s="1266">
        <f t="shared" si="114"/>
        <v>2.21</v>
      </c>
      <c r="J1084" s="955" t="s">
        <v>102</v>
      </c>
      <c r="K1084" s="902"/>
      <c r="L1084" s="923"/>
      <c r="M1084" s="902"/>
      <c r="N1084" s="900" t="s">
        <v>2309</v>
      </c>
    </row>
    <row r="1085" spans="1:14" s="910" customFormat="1" ht="16.5" hidden="1" customHeight="1">
      <c r="A1085" s="896"/>
      <c r="B1085" s="902" t="s">
        <v>3451</v>
      </c>
      <c r="C1085" s="897">
        <v>1</v>
      </c>
      <c r="D1085" s="1263" t="s">
        <v>273</v>
      </c>
      <c r="E1085" s="919">
        <v>1</v>
      </c>
      <c r="F1085" s="920">
        <v>1.8</v>
      </c>
      <c r="G1085" s="920">
        <v>0</v>
      </c>
      <c r="H1085" s="920">
        <v>0.75</v>
      </c>
      <c r="I1085" s="1266">
        <f t="shared" si="114"/>
        <v>1.35</v>
      </c>
      <c r="J1085" s="955" t="s">
        <v>102</v>
      </c>
      <c r="K1085" s="902"/>
      <c r="L1085" s="923"/>
      <c r="M1085" s="902"/>
      <c r="N1085" s="900" t="s">
        <v>2309</v>
      </c>
    </row>
    <row r="1086" spans="1:14" s="910" customFormat="1" ht="16.5" hidden="1" customHeight="1">
      <c r="A1086" s="896"/>
      <c r="B1086" s="902" t="s">
        <v>579</v>
      </c>
      <c r="C1086" s="897">
        <v>1</v>
      </c>
      <c r="D1086" s="1263" t="s">
        <v>273</v>
      </c>
      <c r="E1086" s="919">
        <v>1</v>
      </c>
      <c r="F1086" s="920">
        <v>0.8</v>
      </c>
      <c r="G1086" s="920">
        <v>0</v>
      </c>
      <c r="H1086" s="920">
        <v>0.75</v>
      </c>
      <c r="I1086" s="1266">
        <f>-ROUND(IF(AND(F1086:H1086),C1086*E1086*F1086*G1086*H1086,IF(AND(F1086,G1086),C1086*E1086*F1086*G1086,IF(AND(F1086,H1086),C1086*E1086*F1086*H1086,IF(AND(G1086,H1086),C1086*E1086*G1086*H1086,IF(F1086,C1086*E1086*F1086,IF(G1086,C1086*E1086*G1086,IF(H1086,C1086*E1086*H1086,C1086*E1086))))))),2)</f>
        <v>-0.6</v>
      </c>
      <c r="J1086" s="955" t="s">
        <v>102</v>
      </c>
      <c r="K1086" s="902"/>
      <c r="L1086" s="923"/>
      <c r="M1086" s="902"/>
      <c r="N1086" s="900" t="s">
        <v>2309</v>
      </c>
    </row>
    <row r="1087" spans="1:14" s="910" customFormat="1" ht="16.5" hidden="1" customHeight="1">
      <c r="A1087" s="896"/>
      <c r="B1087" s="902" t="s">
        <v>3461</v>
      </c>
      <c r="C1087" s="897">
        <v>1</v>
      </c>
      <c r="D1087" s="1263" t="s">
        <v>273</v>
      </c>
      <c r="E1087" s="919">
        <v>1</v>
      </c>
      <c r="F1087" s="920">
        <v>3</v>
      </c>
      <c r="G1087" s="920">
        <v>0</v>
      </c>
      <c r="H1087" s="920">
        <v>0.75</v>
      </c>
      <c r="I1087" s="1266">
        <f t="shared" si="114"/>
        <v>2.25</v>
      </c>
      <c r="J1087" s="955" t="s">
        <v>102</v>
      </c>
      <c r="K1087" s="902"/>
      <c r="L1087" s="923"/>
      <c r="M1087" s="902"/>
      <c r="N1087" s="900" t="s">
        <v>2309</v>
      </c>
    </row>
    <row r="1088" spans="1:14" s="910" customFormat="1" ht="16.5" hidden="1" customHeight="1">
      <c r="A1088" s="896"/>
      <c r="B1088" s="902" t="s">
        <v>3528</v>
      </c>
      <c r="C1088" s="897"/>
      <c r="D1088" s="1263" t="s">
        <v>3464</v>
      </c>
      <c r="E1088" s="919"/>
      <c r="F1088" s="920"/>
      <c r="G1088" s="920"/>
      <c r="H1088" s="920"/>
      <c r="I1088" s="1264"/>
      <c r="J1088" s="955"/>
      <c r="K1088" s="902"/>
      <c r="L1088" s="923"/>
      <c r="M1088" s="902"/>
      <c r="N1088" s="900" t="s">
        <v>2309</v>
      </c>
    </row>
    <row r="1089" spans="1:14" s="910" customFormat="1" ht="16.5" hidden="1" customHeight="1">
      <c r="A1089" s="896"/>
      <c r="B1089" s="902" t="s">
        <v>3455</v>
      </c>
      <c r="C1089" s="897">
        <v>1</v>
      </c>
      <c r="D1089" s="1263" t="s">
        <v>273</v>
      </c>
      <c r="E1089" s="919">
        <v>1</v>
      </c>
      <c r="F1089" s="920">
        <v>2.72</v>
      </c>
      <c r="G1089" s="920">
        <v>0</v>
      </c>
      <c r="H1089" s="920">
        <v>1.2</v>
      </c>
      <c r="I1089" s="1266">
        <f t="shared" ref="I1089:I1090" si="115">ROUND(IF(AND(F1089:H1089),C1089*E1089*F1089*G1089*H1089,IF(AND(F1089,G1089),C1089*E1089*F1089*G1089,IF(AND(F1089,H1089),C1089*E1089*F1089*H1089,IF(AND(G1089,H1089),C1089*E1089*G1089*H1089,IF(F1089,C1089*E1089*F1089,IF(G1089,C1089*E1089*G1089,IF(H1089,C1089*E1089*H1089,C1089*E1089))))))),2)</f>
        <v>3.26</v>
      </c>
      <c r="J1089" s="955" t="s">
        <v>102</v>
      </c>
      <c r="K1089" s="902"/>
      <c r="L1089" s="923"/>
      <c r="M1089" s="902"/>
      <c r="N1089" s="900" t="s">
        <v>2309</v>
      </c>
    </row>
    <row r="1090" spans="1:14" s="910" customFormat="1" ht="16.5" hidden="1" customHeight="1">
      <c r="A1090" s="896"/>
      <c r="B1090" s="902" t="s">
        <v>3451</v>
      </c>
      <c r="C1090" s="897">
        <v>1</v>
      </c>
      <c r="D1090" s="1263" t="s">
        <v>273</v>
      </c>
      <c r="E1090" s="919">
        <v>1</v>
      </c>
      <c r="F1090" s="920">
        <v>2.5099999999999998</v>
      </c>
      <c r="G1090" s="920">
        <v>0</v>
      </c>
      <c r="H1090" s="920">
        <v>1.2</v>
      </c>
      <c r="I1090" s="1266">
        <f t="shared" si="115"/>
        <v>3.01</v>
      </c>
      <c r="J1090" s="955" t="s">
        <v>102</v>
      </c>
      <c r="K1090" s="902"/>
      <c r="L1090" s="923"/>
      <c r="M1090" s="902"/>
      <c r="N1090" s="900" t="s">
        <v>2309</v>
      </c>
    </row>
    <row r="1091" spans="1:14" s="910" customFormat="1" ht="16.5" hidden="1" customHeight="1">
      <c r="A1091" s="896"/>
      <c r="B1091" s="902" t="s">
        <v>579</v>
      </c>
      <c r="C1091" s="897">
        <v>1</v>
      </c>
      <c r="D1091" s="1263" t="s">
        <v>273</v>
      </c>
      <c r="E1091" s="919">
        <v>1</v>
      </c>
      <c r="F1091" s="920">
        <v>0.9</v>
      </c>
      <c r="G1091" s="920">
        <v>0</v>
      </c>
      <c r="H1091" s="920">
        <v>1.2</v>
      </c>
      <c r="I1091" s="1266">
        <f>-ROUND(IF(AND(F1091:H1091),C1091*E1091*F1091*G1091*H1091,IF(AND(F1091,G1091),C1091*E1091*F1091*G1091,IF(AND(F1091,H1091),C1091*E1091*F1091*H1091,IF(AND(G1091,H1091),C1091*E1091*G1091*H1091,IF(F1091,C1091*E1091*F1091,IF(G1091,C1091*E1091*G1091,IF(H1091,C1091*E1091*H1091,C1091*E1091))))))),2)</f>
        <v>-1.08</v>
      </c>
      <c r="J1091" s="955" t="s">
        <v>102</v>
      </c>
      <c r="K1091" s="902"/>
      <c r="L1091" s="923"/>
      <c r="M1091" s="902"/>
      <c r="N1091" s="900" t="s">
        <v>2309</v>
      </c>
    </row>
    <row r="1092" spans="1:14" s="910" customFormat="1" ht="16.5" hidden="1" customHeight="1">
      <c r="A1092" s="896"/>
      <c r="B1092" s="902" t="s">
        <v>3456</v>
      </c>
      <c r="C1092" s="897">
        <v>1</v>
      </c>
      <c r="D1092" s="1263" t="s">
        <v>273</v>
      </c>
      <c r="E1092" s="919">
        <v>1</v>
      </c>
      <c r="F1092" s="920">
        <v>1.3</v>
      </c>
      <c r="G1092" s="920">
        <v>0</v>
      </c>
      <c r="H1092" s="920">
        <v>1.2</v>
      </c>
      <c r="I1092" s="1266">
        <f t="shared" ref="I1092" si="116">ROUND(IF(AND(F1092:H1092),C1092*E1092*F1092*G1092*H1092,IF(AND(F1092,G1092),C1092*E1092*F1092*G1092,IF(AND(F1092,H1092),C1092*E1092*F1092*H1092,IF(AND(G1092,H1092),C1092*E1092*G1092*H1092,IF(F1092,C1092*E1092*F1092,IF(G1092,C1092*E1092*G1092,IF(H1092,C1092*E1092*H1092,C1092*E1092))))))),2)</f>
        <v>1.56</v>
      </c>
      <c r="J1092" s="955" t="s">
        <v>102</v>
      </c>
      <c r="K1092" s="902"/>
      <c r="L1092" s="923"/>
      <c r="M1092" s="902"/>
      <c r="N1092" s="900" t="s">
        <v>2309</v>
      </c>
    </row>
    <row r="1093" spans="1:14" s="910" customFormat="1" ht="16.5" hidden="1" customHeight="1">
      <c r="A1093" s="896"/>
      <c r="B1093" s="902" t="s">
        <v>579</v>
      </c>
      <c r="C1093" s="897">
        <v>1</v>
      </c>
      <c r="D1093" s="1263" t="s">
        <v>273</v>
      </c>
      <c r="E1093" s="919">
        <v>1</v>
      </c>
      <c r="F1093" s="920">
        <v>0.75</v>
      </c>
      <c r="G1093" s="920">
        <v>0</v>
      </c>
      <c r="H1093" s="920">
        <v>1.2</v>
      </c>
      <c r="I1093" s="1266">
        <f>-ROUND(IF(AND(F1093:H1093),C1093*E1093*F1093*G1093*H1093,IF(AND(F1093,G1093),C1093*E1093*F1093*G1093,IF(AND(F1093,H1093),C1093*E1093*F1093*H1093,IF(AND(G1093,H1093),C1093*E1093*G1093*H1093,IF(F1093,C1093*E1093*F1093,IF(G1093,C1093*E1093*G1093,IF(H1093,C1093*E1093*H1093,C1093*E1093))))))),2)</f>
        <v>-0.9</v>
      </c>
      <c r="J1093" s="955" t="s">
        <v>102</v>
      </c>
      <c r="K1093" s="902"/>
      <c r="L1093" s="923"/>
      <c r="M1093" s="902"/>
      <c r="N1093" s="900" t="s">
        <v>2309</v>
      </c>
    </row>
    <row r="1094" spans="1:14" s="910" customFormat="1" ht="16.5" hidden="1" customHeight="1">
      <c r="A1094" s="896"/>
      <c r="B1094" s="902" t="s">
        <v>3457</v>
      </c>
      <c r="C1094" s="897">
        <v>1</v>
      </c>
      <c r="D1094" s="1263" t="s">
        <v>273</v>
      </c>
      <c r="E1094" s="919">
        <v>1</v>
      </c>
      <c r="F1094" s="920">
        <v>2.95</v>
      </c>
      <c r="G1094" s="920">
        <v>0</v>
      </c>
      <c r="H1094" s="920">
        <v>1.2</v>
      </c>
      <c r="I1094" s="1266">
        <f t="shared" ref="I1094" si="117">ROUND(IF(AND(F1094:H1094),C1094*E1094*F1094*G1094*H1094,IF(AND(F1094,G1094),C1094*E1094*F1094*G1094,IF(AND(F1094,H1094),C1094*E1094*F1094*H1094,IF(AND(G1094,H1094),C1094*E1094*G1094*H1094,IF(F1094,C1094*E1094*F1094,IF(G1094,C1094*E1094*G1094,IF(H1094,C1094*E1094*H1094,C1094*E1094))))))),2)</f>
        <v>3.54</v>
      </c>
      <c r="J1094" s="955" t="s">
        <v>102</v>
      </c>
      <c r="K1094" s="902"/>
      <c r="L1094" s="923"/>
      <c r="M1094" s="902"/>
      <c r="N1094" s="900" t="s">
        <v>2309</v>
      </c>
    </row>
    <row r="1095" spans="1:14" s="910" customFormat="1" ht="16.5" hidden="1" customHeight="1">
      <c r="A1095" s="896"/>
      <c r="B1095" s="902" t="s">
        <v>579</v>
      </c>
      <c r="C1095" s="897">
        <v>1</v>
      </c>
      <c r="D1095" s="1263" t="s">
        <v>273</v>
      </c>
      <c r="E1095" s="919">
        <v>1</v>
      </c>
      <c r="F1095" s="920">
        <v>0.9</v>
      </c>
      <c r="G1095" s="920">
        <v>0</v>
      </c>
      <c r="H1095" s="920">
        <v>1.2</v>
      </c>
      <c r="I1095" s="1266">
        <f>-ROUND(IF(AND(F1095:H1095),C1095*E1095*F1095*G1095*H1095,IF(AND(F1095,G1095),C1095*E1095*F1095*G1095,IF(AND(F1095,H1095),C1095*E1095*F1095*H1095,IF(AND(G1095,H1095),C1095*E1095*G1095*H1095,IF(F1095,C1095*E1095*F1095,IF(G1095,C1095*E1095*G1095,IF(H1095,C1095*E1095*H1095,C1095*E1095))))))),2)</f>
        <v>-1.08</v>
      </c>
      <c r="J1095" s="955" t="s">
        <v>102</v>
      </c>
      <c r="K1095" s="902"/>
      <c r="L1095" s="923"/>
      <c r="M1095" s="902"/>
      <c r="N1095" s="900" t="s">
        <v>2309</v>
      </c>
    </row>
    <row r="1096" spans="1:14" s="910" customFormat="1" ht="16.5" hidden="1" customHeight="1">
      <c r="A1096" s="896"/>
      <c r="B1096" s="902" t="s">
        <v>3454</v>
      </c>
      <c r="C1096" s="897">
        <v>1</v>
      </c>
      <c r="D1096" s="1263" t="s">
        <v>273</v>
      </c>
      <c r="E1096" s="919">
        <v>1</v>
      </c>
      <c r="F1096" s="920">
        <v>2.72</v>
      </c>
      <c r="G1096" s="920">
        <v>0</v>
      </c>
      <c r="H1096" s="920">
        <v>1.2</v>
      </c>
      <c r="I1096" s="1266">
        <f t="shared" ref="I1096:I1099" si="118">ROUND(IF(AND(F1096:H1096),C1096*E1096*F1096*G1096*H1096,IF(AND(F1096,G1096),C1096*E1096*F1096*G1096,IF(AND(F1096,H1096),C1096*E1096*F1096*H1096,IF(AND(G1096,H1096),C1096*E1096*G1096*H1096,IF(F1096,C1096*E1096*F1096,IF(G1096,C1096*E1096*G1096,IF(H1096,C1096*E1096*H1096,C1096*E1096))))))),2)</f>
        <v>3.26</v>
      </c>
      <c r="J1096" s="955" t="s">
        <v>102</v>
      </c>
      <c r="K1096" s="902"/>
      <c r="L1096" s="923"/>
      <c r="M1096" s="902"/>
      <c r="N1096" s="900" t="s">
        <v>2309</v>
      </c>
    </row>
    <row r="1097" spans="1:14" s="910" customFormat="1" ht="16.5" hidden="1" customHeight="1">
      <c r="A1097" s="896"/>
      <c r="B1097" s="902" t="s">
        <v>3451</v>
      </c>
      <c r="C1097" s="897">
        <v>1</v>
      </c>
      <c r="D1097" s="1263" t="s">
        <v>273</v>
      </c>
      <c r="E1097" s="919">
        <v>1</v>
      </c>
      <c r="F1097" s="920">
        <v>2</v>
      </c>
      <c r="G1097" s="920">
        <v>0</v>
      </c>
      <c r="H1097" s="920">
        <v>1.2</v>
      </c>
      <c r="I1097" s="1266">
        <f t="shared" si="118"/>
        <v>2.4</v>
      </c>
      <c r="J1097" s="955" t="s">
        <v>102</v>
      </c>
      <c r="K1097" s="902"/>
      <c r="L1097" s="923"/>
      <c r="M1097" s="902"/>
      <c r="N1097" s="900" t="s">
        <v>2309</v>
      </c>
    </row>
    <row r="1098" spans="1:14" s="910" customFormat="1" ht="16.5" hidden="1" customHeight="1">
      <c r="A1098" s="896"/>
      <c r="B1098" s="902" t="s">
        <v>3458</v>
      </c>
      <c r="C1098" s="897">
        <v>1</v>
      </c>
      <c r="D1098" s="1263" t="s">
        <v>273</v>
      </c>
      <c r="E1098" s="919">
        <v>1</v>
      </c>
      <c r="F1098" s="920">
        <v>2.57</v>
      </c>
      <c r="G1098" s="920">
        <v>0</v>
      </c>
      <c r="H1098" s="920">
        <v>1.2</v>
      </c>
      <c r="I1098" s="1266">
        <f t="shared" si="118"/>
        <v>3.08</v>
      </c>
      <c r="J1098" s="955" t="s">
        <v>102</v>
      </c>
      <c r="K1098" s="902"/>
      <c r="L1098" s="923"/>
      <c r="M1098" s="902"/>
      <c r="N1098" s="900" t="s">
        <v>2309</v>
      </c>
    </row>
    <row r="1099" spans="1:14" s="910" customFormat="1" ht="16.5" hidden="1" customHeight="1">
      <c r="A1099" s="896"/>
      <c r="B1099" s="902" t="s">
        <v>3451</v>
      </c>
      <c r="C1099" s="897">
        <v>1</v>
      </c>
      <c r="D1099" s="1263" t="s">
        <v>273</v>
      </c>
      <c r="E1099" s="919">
        <v>1</v>
      </c>
      <c r="F1099" s="920">
        <v>2.75</v>
      </c>
      <c r="G1099" s="920">
        <v>0</v>
      </c>
      <c r="H1099" s="920">
        <v>1.2</v>
      </c>
      <c r="I1099" s="1266">
        <f t="shared" si="118"/>
        <v>3.3</v>
      </c>
      <c r="J1099" s="955" t="s">
        <v>102</v>
      </c>
      <c r="K1099" s="902"/>
      <c r="L1099" s="923"/>
      <c r="M1099" s="902"/>
      <c r="N1099" s="900" t="s">
        <v>2309</v>
      </c>
    </row>
    <row r="1100" spans="1:14" s="910" customFormat="1" ht="16.5" hidden="1" customHeight="1">
      <c r="A1100" s="896"/>
      <c r="B1100" s="902" t="s">
        <v>579</v>
      </c>
      <c r="C1100" s="897">
        <v>1</v>
      </c>
      <c r="D1100" s="1263" t="s">
        <v>273</v>
      </c>
      <c r="E1100" s="919">
        <v>1</v>
      </c>
      <c r="F1100" s="920">
        <v>0.9</v>
      </c>
      <c r="G1100" s="920">
        <v>0</v>
      </c>
      <c r="H1100" s="920">
        <v>1.2</v>
      </c>
      <c r="I1100" s="1266">
        <f>-ROUND(IF(AND(F1100:H1100),C1100*E1100*F1100*G1100*H1100,IF(AND(F1100,G1100),C1100*E1100*F1100*G1100,IF(AND(F1100,H1100),C1100*E1100*F1100*H1100,IF(AND(G1100,H1100),C1100*E1100*G1100*H1100,IF(F1100,C1100*E1100*F1100,IF(G1100,C1100*E1100*G1100,IF(H1100,C1100*E1100*H1100,C1100*E1100))))))),2)</f>
        <v>-1.08</v>
      </c>
      <c r="J1100" s="955" t="s">
        <v>102</v>
      </c>
      <c r="K1100" s="902"/>
      <c r="L1100" s="923"/>
      <c r="M1100" s="902"/>
      <c r="N1100" s="900" t="s">
        <v>2309</v>
      </c>
    </row>
    <row r="1101" spans="1:14" s="910" customFormat="1" ht="16.5" hidden="1" customHeight="1">
      <c r="A1101" s="896"/>
      <c r="B1101" s="902" t="s">
        <v>3459</v>
      </c>
      <c r="C1101" s="897">
        <v>1</v>
      </c>
      <c r="D1101" s="1263" t="s">
        <v>273</v>
      </c>
      <c r="E1101" s="919">
        <v>1</v>
      </c>
      <c r="F1101" s="920">
        <v>1.3</v>
      </c>
      <c r="G1101" s="920">
        <v>0</v>
      </c>
      <c r="H1101" s="920">
        <v>1.2</v>
      </c>
      <c r="I1101" s="1266">
        <f t="shared" ref="I1101" si="119">ROUND(IF(AND(F1101:H1101),C1101*E1101*F1101*G1101*H1101,IF(AND(F1101,G1101),C1101*E1101*F1101*G1101,IF(AND(F1101,H1101),C1101*E1101*F1101*H1101,IF(AND(G1101,H1101),C1101*E1101*G1101*H1101,IF(F1101,C1101*E1101*F1101,IF(G1101,C1101*E1101*G1101,IF(H1101,C1101*E1101*H1101,C1101*E1101))))))),2)</f>
        <v>1.56</v>
      </c>
      <c r="J1101" s="955" t="s">
        <v>102</v>
      </c>
      <c r="K1101" s="902"/>
      <c r="L1101" s="923"/>
      <c r="M1101" s="902"/>
      <c r="N1101" s="900" t="s">
        <v>2309</v>
      </c>
    </row>
    <row r="1102" spans="1:14" s="910" customFormat="1" ht="16.5" hidden="1" customHeight="1">
      <c r="A1102" s="896"/>
      <c r="B1102" s="902" t="s">
        <v>579</v>
      </c>
      <c r="C1102" s="897">
        <v>1</v>
      </c>
      <c r="D1102" s="1263" t="s">
        <v>273</v>
      </c>
      <c r="E1102" s="919">
        <v>1</v>
      </c>
      <c r="F1102" s="920">
        <v>0.75</v>
      </c>
      <c r="G1102" s="920">
        <v>0</v>
      </c>
      <c r="H1102" s="920">
        <v>1.2</v>
      </c>
      <c r="I1102" s="1266">
        <f>-ROUND(IF(AND(F1102:H1102),C1102*E1102*F1102*G1102*H1102,IF(AND(F1102,G1102),C1102*E1102*F1102*G1102,IF(AND(F1102,H1102),C1102*E1102*F1102*H1102,IF(AND(G1102,H1102),C1102*E1102*G1102*H1102,IF(F1102,C1102*E1102*F1102,IF(G1102,C1102*E1102*G1102,IF(H1102,C1102*E1102*H1102,C1102*E1102))))))),2)</f>
        <v>-0.9</v>
      </c>
      <c r="J1102" s="955" t="s">
        <v>102</v>
      </c>
      <c r="K1102" s="902"/>
      <c r="L1102" s="923"/>
      <c r="M1102" s="902"/>
      <c r="N1102" s="900" t="s">
        <v>2309</v>
      </c>
    </row>
    <row r="1103" spans="1:14" s="910" customFormat="1" ht="16.5" hidden="1" customHeight="1">
      <c r="A1103" s="896"/>
      <c r="B1103" s="902" t="s">
        <v>3460</v>
      </c>
      <c r="C1103" s="897">
        <v>1</v>
      </c>
      <c r="D1103" s="1263" t="s">
        <v>273</v>
      </c>
      <c r="E1103" s="919">
        <v>1</v>
      </c>
      <c r="F1103" s="920">
        <v>2.95</v>
      </c>
      <c r="G1103" s="920">
        <v>0</v>
      </c>
      <c r="H1103" s="920">
        <v>1.2</v>
      </c>
      <c r="I1103" s="1266">
        <f t="shared" ref="I1103:I1104" si="120">ROUND(IF(AND(F1103:H1103),C1103*E1103*F1103*G1103*H1103,IF(AND(F1103,G1103),C1103*E1103*F1103*G1103,IF(AND(F1103,H1103),C1103*E1103*F1103*H1103,IF(AND(G1103,H1103),C1103*E1103*G1103*H1103,IF(F1103,C1103*E1103*F1103,IF(G1103,C1103*E1103*G1103,IF(H1103,C1103*E1103*H1103,C1103*E1103))))))),2)</f>
        <v>3.54</v>
      </c>
      <c r="J1103" s="955" t="s">
        <v>102</v>
      </c>
      <c r="K1103" s="902"/>
      <c r="L1103" s="923"/>
      <c r="M1103" s="902"/>
      <c r="N1103" s="900" t="s">
        <v>2309</v>
      </c>
    </row>
    <row r="1104" spans="1:14" s="910" customFormat="1" ht="16.5" hidden="1" customHeight="1">
      <c r="A1104" s="896"/>
      <c r="B1104" s="902" t="s">
        <v>3451</v>
      </c>
      <c r="C1104" s="897">
        <v>1</v>
      </c>
      <c r="D1104" s="1263" t="s">
        <v>273</v>
      </c>
      <c r="E1104" s="919">
        <v>1</v>
      </c>
      <c r="F1104" s="920">
        <v>1.8</v>
      </c>
      <c r="G1104" s="920">
        <v>0</v>
      </c>
      <c r="H1104" s="920">
        <v>1.2</v>
      </c>
      <c r="I1104" s="1266">
        <f t="shared" si="120"/>
        <v>2.16</v>
      </c>
      <c r="J1104" s="955" t="s">
        <v>102</v>
      </c>
      <c r="K1104" s="902"/>
      <c r="L1104" s="923"/>
      <c r="M1104" s="902"/>
      <c r="N1104" s="900" t="s">
        <v>2309</v>
      </c>
    </row>
    <row r="1105" spans="1:14" s="910" customFormat="1" ht="16.5" hidden="1" customHeight="1">
      <c r="A1105" s="896"/>
      <c r="B1105" s="902" t="s">
        <v>579</v>
      </c>
      <c r="C1105" s="897">
        <v>1</v>
      </c>
      <c r="D1105" s="1263" t="s">
        <v>273</v>
      </c>
      <c r="E1105" s="919">
        <v>1</v>
      </c>
      <c r="F1105" s="920">
        <v>0.8</v>
      </c>
      <c r="G1105" s="920">
        <v>0</v>
      </c>
      <c r="H1105" s="920">
        <v>1.2</v>
      </c>
      <c r="I1105" s="1266">
        <f>-ROUND(IF(AND(F1105:H1105),C1105*E1105*F1105*G1105*H1105,IF(AND(F1105,G1105),C1105*E1105*F1105*G1105,IF(AND(F1105,H1105),C1105*E1105*F1105*H1105,IF(AND(G1105,H1105),C1105*E1105*G1105*H1105,IF(F1105,C1105*E1105*F1105,IF(G1105,C1105*E1105*G1105,IF(H1105,C1105*E1105*H1105,C1105*E1105))))))),2)</f>
        <v>-0.96</v>
      </c>
      <c r="J1105" s="955" t="s">
        <v>102</v>
      </c>
      <c r="K1105" s="902"/>
      <c r="L1105" s="923"/>
      <c r="M1105" s="902"/>
      <c r="N1105" s="900" t="s">
        <v>2309</v>
      </c>
    </row>
    <row r="1106" spans="1:14" s="910" customFormat="1" ht="16.5" hidden="1" customHeight="1">
      <c r="A1106" s="896"/>
      <c r="B1106" s="902" t="s">
        <v>3461</v>
      </c>
      <c r="C1106" s="897">
        <v>1</v>
      </c>
      <c r="D1106" s="1263" t="s">
        <v>273</v>
      </c>
      <c r="E1106" s="919">
        <v>1</v>
      </c>
      <c r="F1106" s="920">
        <v>3</v>
      </c>
      <c r="G1106" s="920">
        <v>0</v>
      </c>
      <c r="H1106" s="920">
        <v>1.2</v>
      </c>
      <c r="I1106" s="1266">
        <f t="shared" ref="I1106" si="121">ROUND(IF(AND(F1106:H1106),C1106*E1106*F1106*G1106*H1106,IF(AND(F1106,G1106),C1106*E1106*F1106*G1106,IF(AND(F1106,H1106),C1106*E1106*F1106*H1106,IF(AND(G1106,H1106),C1106*E1106*G1106*H1106,IF(F1106,C1106*E1106*F1106,IF(G1106,C1106*E1106*G1106,IF(H1106,C1106*E1106*H1106,C1106*E1106))))))),2)</f>
        <v>3.6</v>
      </c>
      <c r="J1106" s="955" t="s">
        <v>102</v>
      </c>
      <c r="K1106" s="902"/>
      <c r="L1106" s="923"/>
      <c r="M1106" s="902"/>
      <c r="N1106" s="900" t="s">
        <v>2309</v>
      </c>
    </row>
    <row r="1107" spans="1:14" s="910" customFormat="1" ht="16.5" hidden="1" customHeight="1">
      <c r="A1107" s="896"/>
      <c r="B1107" s="902" t="s">
        <v>3529</v>
      </c>
      <c r="C1107" s="897"/>
      <c r="D1107" s="1263" t="s">
        <v>3469</v>
      </c>
      <c r="E1107" s="919"/>
      <c r="F1107" s="920"/>
      <c r="G1107" s="920"/>
      <c r="H1107" s="920"/>
      <c r="I1107" s="1264"/>
      <c r="J1107" s="955"/>
      <c r="K1107" s="902"/>
      <c r="L1107" s="923"/>
      <c r="M1107" s="902"/>
      <c r="N1107" s="900" t="s">
        <v>2309</v>
      </c>
    </row>
    <row r="1108" spans="1:14" s="910" customFormat="1" ht="16.5" hidden="1" customHeight="1">
      <c r="A1108" s="896"/>
      <c r="B1108" s="902" t="s">
        <v>3455</v>
      </c>
      <c r="C1108" s="897">
        <v>1</v>
      </c>
      <c r="D1108" s="1263" t="s">
        <v>273</v>
      </c>
      <c r="E1108" s="919">
        <v>1</v>
      </c>
      <c r="F1108" s="920">
        <v>2.72</v>
      </c>
      <c r="G1108" s="920">
        <v>0</v>
      </c>
      <c r="H1108" s="920">
        <v>0.625</v>
      </c>
      <c r="I1108" s="1266">
        <f t="shared" ref="I1108:I1109" si="122">ROUND(IF(AND(F1108:H1108),C1108*E1108*F1108*G1108*H1108,IF(AND(F1108,G1108),C1108*E1108*F1108*G1108,IF(AND(F1108,H1108),C1108*E1108*F1108*H1108,IF(AND(G1108,H1108),C1108*E1108*G1108*H1108,IF(F1108,C1108*E1108*F1108,IF(G1108,C1108*E1108*G1108,IF(H1108,C1108*E1108*H1108,C1108*E1108))))))),2)</f>
        <v>1.7</v>
      </c>
      <c r="J1108" s="955" t="s">
        <v>102</v>
      </c>
      <c r="K1108" s="902"/>
      <c r="L1108" s="923"/>
      <c r="M1108" s="902"/>
      <c r="N1108" s="900" t="s">
        <v>2309</v>
      </c>
    </row>
    <row r="1109" spans="1:14" s="910" customFormat="1" ht="16.5" hidden="1" customHeight="1">
      <c r="A1109" s="896"/>
      <c r="B1109" s="902" t="s">
        <v>3451</v>
      </c>
      <c r="C1109" s="897">
        <v>1</v>
      </c>
      <c r="D1109" s="1263" t="s">
        <v>273</v>
      </c>
      <c r="E1109" s="919">
        <v>1</v>
      </c>
      <c r="F1109" s="920">
        <v>2.5099999999999998</v>
      </c>
      <c r="G1109" s="920">
        <v>0</v>
      </c>
      <c r="H1109" s="920">
        <v>0.625</v>
      </c>
      <c r="I1109" s="1266">
        <f t="shared" si="122"/>
        <v>1.57</v>
      </c>
      <c r="J1109" s="955" t="s">
        <v>102</v>
      </c>
      <c r="K1109" s="902"/>
      <c r="L1109" s="923"/>
      <c r="M1109" s="902"/>
      <c r="N1109" s="900" t="s">
        <v>2309</v>
      </c>
    </row>
    <row r="1110" spans="1:14" s="910" customFormat="1" ht="16.5" hidden="1" customHeight="1">
      <c r="A1110" s="896"/>
      <c r="B1110" s="902" t="s">
        <v>3456</v>
      </c>
      <c r="C1110" s="897">
        <v>1</v>
      </c>
      <c r="D1110" s="1263" t="s">
        <v>273</v>
      </c>
      <c r="E1110" s="919">
        <v>1</v>
      </c>
      <c r="F1110" s="920">
        <v>1.3</v>
      </c>
      <c r="G1110" s="920">
        <v>0</v>
      </c>
      <c r="H1110" s="920">
        <v>0.625</v>
      </c>
      <c r="I1110" s="1266">
        <f t="shared" ref="I1110" si="123">ROUND(IF(AND(F1110:H1110),C1110*E1110*F1110*G1110*H1110,IF(AND(F1110,G1110),C1110*E1110*F1110*G1110,IF(AND(F1110,H1110),C1110*E1110*F1110*H1110,IF(AND(G1110,H1110),C1110*E1110*G1110*H1110,IF(F1110,C1110*E1110*F1110,IF(G1110,C1110*E1110*G1110,IF(H1110,C1110*E1110*H1110,C1110*E1110))))))),2)</f>
        <v>0.81</v>
      </c>
      <c r="J1110" s="955" t="s">
        <v>102</v>
      </c>
      <c r="K1110" s="902"/>
      <c r="L1110" s="923"/>
      <c r="M1110" s="902"/>
      <c r="N1110" s="900" t="s">
        <v>2309</v>
      </c>
    </row>
    <row r="1111" spans="1:14" s="910" customFormat="1" ht="16.5" hidden="1" customHeight="1">
      <c r="A1111" s="896"/>
      <c r="B1111" s="902" t="s">
        <v>3457</v>
      </c>
      <c r="C1111" s="897">
        <v>1</v>
      </c>
      <c r="D1111" s="1263" t="s">
        <v>273</v>
      </c>
      <c r="E1111" s="919">
        <v>1</v>
      </c>
      <c r="F1111" s="920">
        <v>2.95</v>
      </c>
      <c r="G1111" s="920">
        <v>0</v>
      </c>
      <c r="H1111" s="920">
        <v>0.625</v>
      </c>
      <c r="I1111" s="1266">
        <f t="shared" ref="I1111" si="124">ROUND(IF(AND(F1111:H1111),C1111*E1111*F1111*G1111*H1111,IF(AND(F1111,G1111),C1111*E1111*F1111*G1111,IF(AND(F1111,H1111),C1111*E1111*F1111*H1111,IF(AND(G1111,H1111),C1111*E1111*G1111*H1111,IF(F1111,C1111*E1111*F1111,IF(G1111,C1111*E1111*G1111,IF(H1111,C1111*E1111*H1111,C1111*E1111))))))),2)</f>
        <v>1.84</v>
      </c>
      <c r="J1111" s="955" t="s">
        <v>102</v>
      </c>
      <c r="K1111" s="902"/>
      <c r="L1111" s="923"/>
      <c r="M1111" s="902"/>
      <c r="N1111" s="900" t="s">
        <v>2309</v>
      </c>
    </row>
    <row r="1112" spans="1:14" s="910" customFormat="1" ht="16.5" hidden="1" customHeight="1">
      <c r="A1112" s="896"/>
      <c r="B1112" s="902" t="s">
        <v>3454</v>
      </c>
      <c r="C1112" s="897">
        <v>1</v>
      </c>
      <c r="D1112" s="1263" t="s">
        <v>273</v>
      </c>
      <c r="E1112" s="919">
        <v>1</v>
      </c>
      <c r="F1112" s="920">
        <v>2.72</v>
      </c>
      <c r="G1112" s="920">
        <v>0</v>
      </c>
      <c r="H1112" s="920">
        <v>0.625</v>
      </c>
      <c r="I1112" s="1266">
        <f t="shared" ref="I1112:I1115" si="125">ROUND(IF(AND(F1112:H1112),C1112*E1112*F1112*G1112*H1112,IF(AND(F1112,G1112),C1112*E1112*F1112*G1112,IF(AND(F1112,H1112),C1112*E1112*F1112*H1112,IF(AND(G1112,H1112),C1112*E1112*G1112*H1112,IF(F1112,C1112*E1112*F1112,IF(G1112,C1112*E1112*G1112,IF(H1112,C1112*E1112*H1112,C1112*E1112))))))),2)</f>
        <v>1.7</v>
      </c>
      <c r="J1112" s="955" t="s">
        <v>102</v>
      </c>
      <c r="K1112" s="902"/>
      <c r="L1112" s="923"/>
      <c r="M1112" s="902"/>
      <c r="N1112" s="900" t="s">
        <v>2309</v>
      </c>
    </row>
    <row r="1113" spans="1:14" s="910" customFormat="1" ht="16.5" hidden="1" customHeight="1">
      <c r="A1113" s="896"/>
      <c r="B1113" s="902" t="s">
        <v>3451</v>
      </c>
      <c r="C1113" s="897">
        <v>1</v>
      </c>
      <c r="D1113" s="1263" t="s">
        <v>273</v>
      </c>
      <c r="E1113" s="919">
        <v>1</v>
      </c>
      <c r="F1113" s="920">
        <v>2</v>
      </c>
      <c r="G1113" s="920">
        <v>0</v>
      </c>
      <c r="H1113" s="920">
        <v>0.625</v>
      </c>
      <c r="I1113" s="1266">
        <f t="shared" si="125"/>
        <v>1.25</v>
      </c>
      <c r="J1113" s="955" t="s">
        <v>102</v>
      </c>
      <c r="K1113" s="902"/>
      <c r="L1113" s="923"/>
      <c r="M1113" s="902"/>
      <c r="N1113" s="900" t="s">
        <v>2309</v>
      </c>
    </row>
    <row r="1114" spans="1:14" s="910" customFormat="1" ht="16.5" hidden="1" customHeight="1">
      <c r="A1114" s="896"/>
      <c r="B1114" s="902" t="s">
        <v>3458</v>
      </c>
      <c r="C1114" s="897">
        <v>1</v>
      </c>
      <c r="D1114" s="1263" t="s">
        <v>273</v>
      </c>
      <c r="E1114" s="919">
        <v>1</v>
      </c>
      <c r="F1114" s="920">
        <v>2.57</v>
      </c>
      <c r="G1114" s="920">
        <v>0</v>
      </c>
      <c r="H1114" s="920">
        <v>0.625</v>
      </c>
      <c r="I1114" s="1266">
        <f t="shared" si="125"/>
        <v>1.61</v>
      </c>
      <c r="J1114" s="955" t="s">
        <v>102</v>
      </c>
      <c r="K1114" s="902"/>
      <c r="L1114" s="923"/>
      <c r="M1114" s="902"/>
      <c r="N1114" s="900" t="s">
        <v>2309</v>
      </c>
    </row>
    <row r="1115" spans="1:14" s="910" customFormat="1" ht="16.5" hidden="1" customHeight="1">
      <c r="A1115" s="896"/>
      <c r="B1115" s="902" t="s">
        <v>3451</v>
      </c>
      <c r="C1115" s="897">
        <v>1</v>
      </c>
      <c r="D1115" s="1263" t="s">
        <v>273</v>
      </c>
      <c r="E1115" s="919">
        <v>1</v>
      </c>
      <c r="F1115" s="920">
        <v>2.75</v>
      </c>
      <c r="G1115" s="920">
        <v>0</v>
      </c>
      <c r="H1115" s="920">
        <v>0.625</v>
      </c>
      <c r="I1115" s="1266">
        <f t="shared" si="125"/>
        <v>1.72</v>
      </c>
      <c r="J1115" s="955" t="s">
        <v>102</v>
      </c>
      <c r="K1115" s="902"/>
      <c r="L1115" s="923"/>
      <c r="M1115" s="902"/>
      <c r="N1115" s="900" t="s">
        <v>2309</v>
      </c>
    </row>
    <row r="1116" spans="1:14" s="910" customFormat="1" ht="16.5" hidden="1" customHeight="1">
      <c r="A1116" s="896"/>
      <c r="B1116" s="902" t="s">
        <v>3459</v>
      </c>
      <c r="C1116" s="897">
        <v>1</v>
      </c>
      <c r="D1116" s="1263" t="s">
        <v>273</v>
      </c>
      <c r="E1116" s="919">
        <v>1</v>
      </c>
      <c r="F1116" s="920">
        <v>1.3</v>
      </c>
      <c r="G1116" s="920">
        <v>0</v>
      </c>
      <c r="H1116" s="920">
        <v>0.625</v>
      </c>
      <c r="I1116" s="1266">
        <f t="shared" ref="I1116" si="126">ROUND(IF(AND(F1116:H1116),C1116*E1116*F1116*G1116*H1116,IF(AND(F1116,G1116),C1116*E1116*F1116*G1116,IF(AND(F1116,H1116),C1116*E1116*F1116*H1116,IF(AND(G1116,H1116),C1116*E1116*G1116*H1116,IF(F1116,C1116*E1116*F1116,IF(G1116,C1116*E1116*G1116,IF(H1116,C1116*E1116*H1116,C1116*E1116))))))),2)</f>
        <v>0.81</v>
      </c>
      <c r="J1116" s="955" t="s">
        <v>102</v>
      </c>
      <c r="K1116" s="902"/>
      <c r="L1116" s="923"/>
      <c r="M1116" s="902"/>
      <c r="N1116" s="900" t="s">
        <v>2309</v>
      </c>
    </row>
    <row r="1117" spans="1:14" s="910" customFormat="1" ht="16.5" hidden="1" customHeight="1">
      <c r="A1117" s="896"/>
      <c r="B1117" s="902" t="s">
        <v>3460</v>
      </c>
      <c r="C1117" s="897">
        <v>1</v>
      </c>
      <c r="D1117" s="1263" t="s">
        <v>273</v>
      </c>
      <c r="E1117" s="919">
        <v>1</v>
      </c>
      <c r="F1117" s="920">
        <v>2.95</v>
      </c>
      <c r="G1117" s="920">
        <v>0</v>
      </c>
      <c r="H1117" s="920">
        <v>0.625</v>
      </c>
      <c r="I1117" s="1266">
        <f t="shared" ref="I1117:I1118" si="127">ROUND(IF(AND(F1117:H1117),C1117*E1117*F1117*G1117*H1117,IF(AND(F1117,G1117),C1117*E1117*F1117*G1117,IF(AND(F1117,H1117),C1117*E1117*F1117*H1117,IF(AND(G1117,H1117),C1117*E1117*G1117*H1117,IF(F1117,C1117*E1117*F1117,IF(G1117,C1117*E1117*G1117,IF(H1117,C1117*E1117*H1117,C1117*E1117))))))),2)</f>
        <v>1.84</v>
      </c>
      <c r="J1117" s="955" t="s">
        <v>102</v>
      </c>
      <c r="K1117" s="902"/>
      <c r="L1117" s="923"/>
      <c r="M1117" s="902"/>
      <c r="N1117" s="900" t="s">
        <v>2309</v>
      </c>
    </row>
    <row r="1118" spans="1:14" s="910" customFormat="1" ht="16.5" hidden="1" customHeight="1">
      <c r="A1118" s="896"/>
      <c r="B1118" s="902" t="s">
        <v>3451</v>
      </c>
      <c r="C1118" s="897">
        <v>1</v>
      </c>
      <c r="D1118" s="1263" t="s">
        <v>273</v>
      </c>
      <c r="E1118" s="919">
        <v>1</v>
      </c>
      <c r="F1118" s="920">
        <v>1.8</v>
      </c>
      <c r="G1118" s="920">
        <v>0</v>
      </c>
      <c r="H1118" s="920">
        <v>0.625</v>
      </c>
      <c r="I1118" s="1266">
        <f t="shared" si="127"/>
        <v>1.1299999999999999</v>
      </c>
      <c r="J1118" s="955" t="s">
        <v>102</v>
      </c>
      <c r="K1118" s="902"/>
      <c r="L1118" s="923"/>
      <c r="M1118" s="902"/>
      <c r="N1118" s="900" t="s">
        <v>2309</v>
      </c>
    </row>
    <row r="1119" spans="1:14" s="910" customFormat="1" ht="16.5" hidden="1" customHeight="1">
      <c r="A1119" s="896"/>
      <c r="B1119" s="902" t="s">
        <v>3461</v>
      </c>
      <c r="C1119" s="897">
        <v>1</v>
      </c>
      <c r="D1119" s="1263" t="s">
        <v>273</v>
      </c>
      <c r="E1119" s="919">
        <v>1</v>
      </c>
      <c r="F1119" s="920">
        <v>3</v>
      </c>
      <c r="G1119" s="920">
        <v>0</v>
      </c>
      <c r="H1119" s="920">
        <v>0.625</v>
      </c>
      <c r="I1119" s="1266">
        <f t="shared" ref="I1119" si="128">ROUND(IF(AND(F1119:H1119),C1119*E1119*F1119*G1119*H1119,IF(AND(F1119,G1119),C1119*E1119*F1119*G1119,IF(AND(F1119,H1119),C1119*E1119*F1119*H1119,IF(AND(G1119,H1119),C1119*E1119*G1119*H1119,IF(F1119,C1119*E1119*F1119,IF(G1119,C1119*E1119*G1119,IF(H1119,C1119*E1119*H1119,C1119*E1119))))))),2)</f>
        <v>1.88</v>
      </c>
      <c r="J1119" s="955" t="s">
        <v>102</v>
      </c>
      <c r="K1119" s="902"/>
      <c r="L1119" s="923"/>
      <c r="M1119" s="902"/>
      <c r="N1119" s="900" t="s">
        <v>2309</v>
      </c>
    </row>
    <row r="1120" spans="1:14" s="910" customFormat="1" ht="16.5" hidden="1" customHeight="1">
      <c r="A1120" s="896"/>
      <c r="B1120" s="902"/>
      <c r="C1120" s="897"/>
      <c r="D1120" s="1263"/>
      <c r="E1120" s="919"/>
      <c r="F1120" s="920"/>
      <c r="G1120" s="920"/>
      <c r="H1120" s="920"/>
      <c r="I1120" s="1266"/>
      <c r="J1120" s="955"/>
      <c r="K1120" s="902"/>
      <c r="L1120" s="923"/>
      <c r="M1120" s="902"/>
      <c r="N1120" s="900" t="s">
        <v>2309</v>
      </c>
    </row>
    <row r="1121" spans="1:14" ht="15.75" hidden="1">
      <c r="A1121" s="896"/>
      <c r="B1121" s="902"/>
      <c r="C1121" s="917"/>
      <c r="D1121" s="918"/>
      <c r="E1121" s="919"/>
      <c r="F1121" s="920"/>
      <c r="G1121" s="921"/>
      <c r="H1121" s="896"/>
      <c r="I1121" s="916"/>
      <c r="J1121" s="955" t="s">
        <v>102</v>
      </c>
      <c r="K1121" s="922">
        <f>data!E3162</f>
        <v>865.32</v>
      </c>
      <c r="L1121" s="923" t="s">
        <v>2309</v>
      </c>
      <c r="M1121" s="924">
        <f>ROUND(I1121*K1121/1,0)</f>
        <v>0</v>
      </c>
      <c r="N1121" s="900" t="s">
        <v>2309</v>
      </c>
    </row>
    <row r="1122" spans="1:14" ht="79.5" hidden="1" customHeight="1">
      <c r="A1122" s="896">
        <v>18</v>
      </c>
      <c r="B1122" s="1609" t="s">
        <v>1200</v>
      </c>
      <c r="C1122" s="1609"/>
      <c r="D1122" s="1609"/>
      <c r="E1122" s="1609"/>
      <c r="F1122" s="1609"/>
      <c r="G1122" s="1609"/>
      <c r="H1122" s="1609"/>
      <c r="I1122" s="897"/>
      <c r="J1122" s="898"/>
      <c r="K1122" s="896"/>
      <c r="L1122" s="923"/>
      <c r="M1122" s="899"/>
      <c r="N1122" s="900" t="s">
        <v>2209</v>
      </c>
    </row>
    <row r="1123" spans="1:14" s="910" customFormat="1" ht="16.5" hidden="1" customHeight="1">
      <c r="A1123" s="896"/>
      <c r="B1123" s="902" t="s">
        <v>3542</v>
      </c>
      <c r="C1123" s="897"/>
      <c r="D1123" s="1263"/>
      <c r="E1123" s="919"/>
      <c r="F1123" s="920"/>
      <c r="G1123" s="920"/>
      <c r="H1123" s="920"/>
      <c r="I1123" s="1264"/>
      <c r="J1123" s="955"/>
      <c r="K1123" s="902"/>
      <c r="L1123" s="923"/>
      <c r="M1123" s="902"/>
      <c r="N1123" s="900" t="s">
        <v>2209</v>
      </c>
    </row>
    <row r="1124" spans="1:14" s="910" customFormat="1" ht="16.5" hidden="1" customHeight="1">
      <c r="A1124" s="896"/>
      <c r="B1124" s="902"/>
      <c r="C1124" s="897">
        <v>1</v>
      </c>
      <c r="D1124" s="1263" t="s">
        <v>273</v>
      </c>
      <c r="E1124" s="919">
        <v>1</v>
      </c>
      <c r="F1124" s="920">
        <v>1.02</v>
      </c>
      <c r="G1124" s="920">
        <v>0.115</v>
      </c>
      <c r="H1124" s="920">
        <v>0.83</v>
      </c>
      <c r="I1124" s="1266">
        <f>ROUND(IF(AND(F1124:H1124),C1124*E1124*F1124*G1124*H1124,IF(AND(F1124,G1124),C1124*E1124*F1124*G1124,IF(AND(F1124,H1124),C1124*E1124*F1124*H1124,IF(AND(G1124,H1124),C1124*E1124*G1124*H1124,IF(F1124,C1124*E1124*F1124,IF(G1124,C1124*E1124*G1124,IF(H1124,C1124*E1124*H1124,C1124*E1124))))))),2)</f>
        <v>0.1</v>
      </c>
      <c r="J1124" s="955" t="s">
        <v>5</v>
      </c>
      <c r="K1124" s="902"/>
      <c r="L1124" s="923"/>
      <c r="M1124" s="902"/>
      <c r="N1124" s="900" t="s">
        <v>2209</v>
      </c>
    </row>
    <row r="1125" spans="1:14" s="910" customFormat="1" ht="16.5" hidden="1" customHeight="1">
      <c r="A1125" s="896"/>
      <c r="B1125" s="902"/>
      <c r="C1125" s="897">
        <v>1</v>
      </c>
      <c r="D1125" s="1263" t="s">
        <v>273</v>
      </c>
      <c r="E1125" s="919">
        <v>1</v>
      </c>
      <c r="F1125" s="920">
        <v>3.09</v>
      </c>
      <c r="G1125" s="920">
        <v>0.115</v>
      </c>
      <c r="H1125" s="920">
        <v>0.56000000000000005</v>
      </c>
      <c r="I1125" s="1266">
        <f>ROUND(IF(AND(F1125:H1125),C1125*E1125*F1125*G1125*H1125,IF(AND(F1125,G1125),C1125*E1125*F1125*G1125,IF(AND(F1125,H1125),C1125*E1125*F1125*H1125,IF(AND(G1125,H1125),C1125*E1125*G1125*H1125,IF(F1125,C1125*E1125*F1125,IF(G1125,C1125*E1125*G1125,IF(H1125,C1125*E1125*H1125,C1125*E1125))))))),2)</f>
        <v>0.2</v>
      </c>
      <c r="J1125" s="955" t="s">
        <v>5</v>
      </c>
      <c r="K1125" s="902"/>
      <c r="L1125" s="923"/>
      <c r="M1125" s="902"/>
      <c r="N1125" s="900" t="s">
        <v>2209</v>
      </c>
    </row>
    <row r="1126" spans="1:14" s="910" customFormat="1" ht="16.5" hidden="1" customHeight="1">
      <c r="A1126" s="896"/>
      <c r="B1126" s="902"/>
      <c r="C1126" s="897">
        <v>1</v>
      </c>
      <c r="D1126" s="1263" t="s">
        <v>273</v>
      </c>
      <c r="E1126" s="919">
        <v>1</v>
      </c>
      <c r="F1126" s="920">
        <v>0.79</v>
      </c>
      <c r="G1126" s="920">
        <v>0.115</v>
      </c>
      <c r="H1126" s="920">
        <v>0.64</v>
      </c>
      <c r="I1126" s="1266">
        <f>ROUND(IF(AND(F1126:H1126),C1126*E1126*F1126*G1126*H1126,IF(AND(F1126,G1126),C1126*E1126*F1126*G1126,IF(AND(F1126,H1126),C1126*E1126*F1126*H1126,IF(AND(G1126,H1126),C1126*E1126*G1126*H1126,IF(F1126,C1126*E1126*F1126,IF(G1126,C1126*E1126*G1126,IF(H1126,C1126*E1126*H1126,C1126*E1126))))))),2)</f>
        <v>0.06</v>
      </c>
      <c r="J1126" s="955" t="s">
        <v>5</v>
      </c>
      <c r="K1126" s="902"/>
      <c r="L1126" s="923"/>
      <c r="M1126" s="902"/>
      <c r="N1126" s="900" t="s">
        <v>2209</v>
      </c>
    </row>
    <row r="1127" spans="1:14" s="910" customFormat="1" ht="16.5" hidden="1" customHeight="1">
      <c r="A1127" s="896"/>
      <c r="B1127" s="902"/>
      <c r="C1127" s="897">
        <v>1</v>
      </c>
      <c r="D1127" s="1263" t="s">
        <v>273</v>
      </c>
      <c r="E1127" s="919">
        <v>1</v>
      </c>
      <c r="F1127" s="920">
        <v>3.09</v>
      </c>
      <c r="G1127" s="920">
        <v>0.115</v>
      </c>
      <c r="H1127" s="920">
        <v>0.54</v>
      </c>
      <c r="I1127" s="1266">
        <f>ROUND(IF(AND(F1127:H1127),C1127*E1127*F1127*G1127*H1127,IF(AND(F1127,G1127),C1127*E1127*F1127*G1127,IF(AND(F1127,H1127),C1127*E1127*F1127*H1127,IF(AND(G1127,H1127),C1127*E1127*G1127*H1127,IF(F1127,C1127*E1127*F1127,IF(G1127,C1127*E1127*G1127,IF(H1127,C1127*E1127*H1127,C1127*E1127))))))),2)</f>
        <v>0.19</v>
      </c>
      <c r="J1127" s="955" t="s">
        <v>5</v>
      </c>
      <c r="K1127" s="902"/>
      <c r="L1127" s="923"/>
      <c r="M1127" s="902"/>
      <c r="N1127" s="900" t="s">
        <v>2209</v>
      </c>
    </row>
    <row r="1128" spans="1:14" s="910" customFormat="1" ht="16.5" hidden="1" customHeight="1">
      <c r="A1128" s="896"/>
      <c r="B1128" s="956"/>
      <c r="C1128" s="957"/>
      <c r="D1128" s="958"/>
      <c r="E1128" s="1268"/>
      <c r="F1128" s="960"/>
      <c r="G1128" s="960"/>
      <c r="H1128" s="960"/>
      <c r="I1128" s="916"/>
      <c r="J1128" s="955"/>
      <c r="K1128" s="902"/>
      <c r="L1128" s="923"/>
      <c r="M1128" s="902"/>
      <c r="N1128" s="900" t="s">
        <v>2209</v>
      </c>
    </row>
    <row r="1129" spans="1:14" ht="15.75" hidden="1">
      <c r="A1129" s="896"/>
      <c r="B1129" s="902"/>
      <c r="C1129" s="917"/>
      <c r="D1129" s="918"/>
      <c r="E1129" s="919"/>
      <c r="F1129" s="920"/>
      <c r="G1129" s="921"/>
      <c r="H1129" s="896"/>
      <c r="I1129" s="916"/>
      <c r="J1129" s="955" t="s">
        <v>5</v>
      </c>
      <c r="K1129" s="922">
        <f>data!E428</f>
        <v>5224.74</v>
      </c>
      <c r="L1129" s="923" t="s">
        <v>2209</v>
      </c>
      <c r="M1129" s="924">
        <f>ROUND(I1129*K1129,0)</f>
        <v>0</v>
      </c>
      <c r="N1129" s="900" t="s">
        <v>2209</v>
      </c>
    </row>
    <row r="1130" spans="1:14" ht="79.5" hidden="1" customHeight="1">
      <c r="A1130" s="896">
        <v>18</v>
      </c>
      <c r="B1130" s="1609" t="s">
        <v>1200</v>
      </c>
      <c r="C1130" s="1609"/>
      <c r="D1130" s="1609"/>
      <c r="E1130" s="1609"/>
      <c r="F1130" s="1609"/>
      <c r="G1130" s="1609"/>
      <c r="H1130" s="1609"/>
      <c r="I1130" s="897"/>
      <c r="J1130" s="898"/>
      <c r="K1130" s="896"/>
      <c r="L1130" s="923"/>
      <c r="M1130" s="899"/>
      <c r="N1130" s="900" t="s">
        <v>2297</v>
      </c>
    </row>
    <row r="1131" spans="1:14" s="910" customFormat="1" ht="16.5" hidden="1" customHeight="1">
      <c r="A1131" s="896"/>
      <c r="B1131" s="902" t="s">
        <v>3542</v>
      </c>
      <c r="C1131" s="897"/>
      <c r="D1131" s="1263"/>
      <c r="E1131" s="919"/>
      <c r="F1131" s="920"/>
      <c r="G1131" s="920"/>
      <c r="H1131" s="920"/>
      <c r="I1131" s="1264"/>
      <c r="J1131" s="955"/>
      <c r="K1131" s="902"/>
      <c r="L1131" s="923"/>
      <c r="M1131" s="902"/>
      <c r="N1131" s="900" t="s">
        <v>2297</v>
      </c>
    </row>
    <row r="1132" spans="1:14" s="910" customFormat="1" ht="16.5" hidden="1" customHeight="1">
      <c r="A1132" s="896"/>
      <c r="B1132" s="902"/>
      <c r="C1132" s="897">
        <v>1</v>
      </c>
      <c r="D1132" s="1263" t="s">
        <v>273</v>
      </c>
      <c r="E1132" s="919">
        <v>1</v>
      </c>
      <c r="F1132" s="920">
        <v>1.02</v>
      </c>
      <c r="G1132" s="920">
        <v>0.115</v>
      </c>
      <c r="H1132" s="920">
        <v>0.83</v>
      </c>
      <c r="I1132" s="1266">
        <f>ROUND(IF(AND(F1132:H1132),C1132*E1132*F1132*G1132*H1132,IF(AND(F1132,G1132),C1132*E1132*F1132*G1132,IF(AND(F1132,H1132),C1132*E1132*F1132*H1132,IF(AND(G1132,H1132),C1132*E1132*G1132*H1132,IF(F1132,C1132*E1132*F1132,IF(G1132,C1132*E1132*G1132,IF(H1132,C1132*E1132*H1132,C1132*E1132))))))),2)</f>
        <v>0.1</v>
      </c>
      <c r="J1132" s="955" t="s">
        <v>5</v>
      </c>
      <c r="K1132" s="902"/>
      <c r="L1132" s="923"/>
      <c r="M1132" s="902"/>
      <c r="N1132" s="900" t="s">
        <v>2297</v>
      </c>
    </row>
    <row r="1133" spans="1:14" s="910" customFormat="1" ht="16.5" hidden="1" customHeight="1">
      <c r="A1133" s="896"/>
      <c r="B1133" s="902"/>
      <c r="C1133" s="897">
        <v>1</v>
      </c>
      <c r="D1133" s="1263" t="s">
        <v>273</v>
      </c>
      <c r="E1133" s="919">
        <v>1</v>
      </c>
      <c r="F1133" s="920">
        <v>3.09</v>
      </c>
      <c r="G1133" s="920">
        <v>0.115</v>
      </c>
      <c r="H1133" s="920">
        <v>0.56000000000000005</v>
      </c>
      <c r="I1133" s="1266">
        <f>ROUND(IF(AND(F1133:H1133),C1133*E1133*F1133*G1133*H1133,IF(AND(F1133,G1133),C1133*E1133*F1133*G1133,IF(AND(F1133,H1133),C1133*E1133*F1133*H1133,IF(AND(G1133,H1133),C1133*E1133*G1133*H1133,IF(F1133,C1133*E1133*F1133,IF(G1133,C1133*E1133*G1133,IF(H1133,C1133*E1133*H1133,C1133*E1133))))))),2)</f>
        <v>0.2</v>
      </c>
      <c r="J1133" s="955" t="s">
        <v>5</v>
      </c>
      <c r="K1133" s="902"/>
      <c r="L1133" s="923"/>
      <c r="M1133" s="902"/>
      <c r="N1133" s="900" t="s">
        <v>2297</v>
      </c>
    </row>
    <row r="1134" spans="1:14" s="910" customFormat="1" ht="16.5" hidden="1" customHeight="1">
      <c r="A1134" s="896"/>
      <c r="B1134" s="902"/>
      <c r="C1134" s="897">
        <v>1</v>
      </c>
      <c r="D1134" s="1263" t="s">
        <v>273</v>
      </c>
      <c r="E1134" s="919">
        <v>1</v>
      </c>
      <c r="F1134" s="920">
        <v>0.79</v>
      </c>
      <c r="G1134" s="920">
        <v>0.115</v>
      </c>
      <c r="H1134" s="920">
        <v>0.64</v>
      </c>
      <c r="I1134" s="1266">
        <f>ROUND(IF(AND(F1134:H1134),C1134*E1134*F1134*G1134*H1134,IF(AND(F1134,G1134),C1134*E1134*F1134*G1134,IF(AND(F1134,H1134),C1134*E1134*F1134*H1134,IF(AND(G1134,H1134),C1134*E1134*G1134*H1134,IF(F1134,C1134*E1134*F1134,IF(G1134,C1134*E1134*G1134,IF(H1134,C1134*E1134*H1134,C1134*E1134))))))),2)</f>
        <v>0.06</v>
      </c>
      <c r="J1134" s="955" t="s">
        <v>5</v>
      </c>
      <c r="K1134" s="902"/>
      <c r="L1134" s="923"/>
      <c r="M1134" s="902"/>
      <c r="N1134" s="900" t="s">
        <v>2297</v>
      </c>
    </row>
    <row r="1135" spans="1:14" s="910" customFormat="1" ht="16.5" hidden="1" customHeight="1">
      <c r="A1135" s="896"/>
      <c r="B1135" s="902"/>
      <c r="C1135" s="897">
        <v>1</v>
      </c>
      <c r="D1135" s="1263" t="s">
        <v>273</v>
      </c>
      <c r="E1135" s="919">
        <v>1</v>
      </c>
      <c r="F1135" s="920">
        <v>3.09</v>
      </c>
      <c r="G1135" s="920">
        <v>0.115</v>
      </c>
      <c r="H1135" s="920">
        <v>0.54</v>
      </c>
      <c r="I1135" s="1266">
        <f>ROUND(IF(AND(F1135:H1135),C1135*E1135*F1135*G1135*H1135,IF(AND(F1135,G1135),C1135*E1135*F1135*G1135,IF(AND(F1135,H1135),C1135*E1135*F1135*H1135,IF(AND(G1135,H1135),C1135*E1135*G1135*H1135,IF(F1135,C1135*E1135*F1135,IF(G1135,C1135*E1135*G1135,IF(H1135,C1135*E1135*H1135,C1135*E1135))))))),2)</f>
        <v>0.19</v>
      </c>
      <c r="J1135" s="955" t="s">
        <v>5</v>
      </c>
      <c r="K1135" s="902"/>
      <c r="L1135" s="923"/>
      <c r="M1135" s="902"/>
      <c r="N1135" s="900" t="s">
        <v>2297</v>
      </c>
    </row>
    <row r="1136" spans="1:14" s="910" customFormat="1" ht="16.5" hidden="1" customHeight="1">
      <c r="A1136" s="896"/>
      <c r="B1136" s="956"/>
      <c r="C1136" s="957"/>
      <c r="D1136" s="958"/>
      <c r="E1136" s="1268"/>
      <c r="F1136" s="960"/>
      <c r="G1136" s="960"/>
      <c r="H1136" s="960"/>
      <c r="I1136" s="916"/>
      <c r="J1136" s="955"/>
      <c r="K1136" s="902"/>
      <c r="L1136" s="923"/>
      <c r="M1136" s="902"/>
      <c r="N1136" s="900" t="s">
        <v>2297</v>
      </c>
    </row>
    <row r="1137" spans="1:14" ht="15.75" hidden="1">
      <c r="A1137" s="896"/>
      <c r="B1137" s="902"/>
      <c r="C1137" s="917"/>
      <c r="D1137" s="918"/>
      <c r="E1137" s="919"/>
      <c r="F1137" s="920"/>
      <c r="G1137" s="921"/>
      <c r="H1137" s="896"/>
      <c r="I1137" s="916"/>
      <c r="J1137" s="955" t="s">
        <v>5</v>
      </c>
      <c r="K1137" s="922">
        <f>data!E1345</f>
        <v>5403.9299999999994</v>
      </c>
      <c r="L1137" s="923" t="s">
        <v>2297</v>
      </c>
      <c r="M1137" s="924">
        <f>ROUND(I1137*K1137,0)</f>
        <v>0</v>
      </c>
      <c r="N1137" s="900" t="s">
        <v>2297</v>
      </c>
    </row>
    <row r="1138" spans="1:14" ht="79.5" hidden="1" customHeight="1">
      <c r="A1138" s="896">
        <v>18</v>
      </c>
      <c r="B1138" s="1609" t="s">
        <v>1200</v>
      </c>
      <c r="C1138" s="1609"/>
      <c r="D1138" s="1609"/>
      <c r="E1138" s="1609"/>
      <c r="F1138" s="1609"/>
      <c r="G1138" s="1609"/>
      <c r="H1138" s="1609"/>
      <c r="I1138" s="897"/>
      <c r="J1138" s="898"/>
      <c r="K1138" s="896"/>
      <c r="L1138" s="923"/>
      <c r="M1138" s="899"/>
      <c r="N1138" s="900" t="s">
        <v>2308</v>
      </c>
    </row>
    <row r="1139" spans="1:14" s="910" customFormat="1" ht="16.5" hidden="1" customHeight="1">
      <c r="A1139" s="896"/>
      <c r="B1139" s="902" t="s">
        <v>3542</v>
      </c>
      <c r="C1139" s="897"/>
      <c r="D1139" s="1263"/>
      <c r="E1139" s="919"/>
      <c r="F1139" s="920"/>
      <c r="G1139" s="920"/>
      <c r="H1139" s="920"/>
      <c r="I1139" s="1264"/>
      <c r="J1139" s="955"/>
      <c r="K1139" s="902"/>
      <c r="L1139" s="923"/>
      <c r="M1139" s="902"/>
      <c r="N1139" s="900" t="s">
        <v>2308</v>
      </c>
    </row>
    <row r="1140" spans="1:14" s="910" customFormat="1" ht="16.5" hidden="1" customHeight="1">
      <c r="A1140" s="896"/>
      <c r="B1140" s="902"/>
      <c r="C1140" s="897">
        <v>1</v>
      </c>
      <c r="D1140" s="1263" t="s">
        <v>273</v>
      </c>
      <c r="E1140" s="919">
        <v>1</v>
      </c>
      <c r="F1140" s="920">
        <v>1.02</v>
      </c>
      <c r="G1140" s="920">
        <v>0.115</v>
      </c>
      <c r="H1140" s="920">
        <v>0.83</v>
      </c>
      <c r="I1140" s="1266">
        <f>ROUND(IF(AND(F1140:H1140),C1140*E1140*F1140*G1140*H1140,IF(AND(F1140,G1140),C1140*E1140*F1140*G1140,IF(AND(F1140,H1140),C1140*E1140*F1140*H1140,IF(AND(G1140,H1140),C1140*E1140*G1140*H1140,IF(F1140,C1140*E1140*F1140,IF(G1140,C1140*E1140*G1140,IF(H1140,C1140*E1140*H1140,C1140*E1140))))))),2)</f>
        <v>0.1</v>
      </c>
      <c r="J1140" s="955" t="s">
        <v>5</v>
      </c>
      <c r="K1140" s="902"/>
      <c r="L1140" s="923"/>
      <c r="M1140" s="902"/>
      <c r="N1140" s="900" t="s">
        <v>2308</v>
      </c>
    </row>
    <row r="1141" spans="1:14" s="910" customFormat="1" ht="16.5" hidden="1" customHeight="1">
      <c r="A1141" s="896"/>
      <c r="B1141" s="902"/>
      <c r="C1141" s="897">
        <v>1</v>
      </c>
      <c r="D1141" s="1263" t="s">
        <v>273</v>
      </c>
      <c r="E1141" s="919">
        <v>1</v>
      </c>
      <c r="F1141" s="920">
        <v>3.09</v>
      </c>
      <c r="G1141" s="920">
        <v>0.115</v>
      </c>
      <c r="H1141" s="920">
        <v>0.56000000000000005</v>
      </c>
      <c r="I1141" s="1266">
        <f>ROUND(IF(AND(F1141:H1141),C1141*E1141*F1141*G1141*H1141,IF(AND(F1141,G1141),C1141*E1141*F1141*G1141,IF(AND(F1141,H1141),C1141*E1141*F1141*H1141,IF(AND(G1141,H1141),C1141*E1141*G1141*H1141,IF(F1141,C1141*E1141*F1141,IF(G1141,C1141*E1141*G1141,IF(H1141,C1141*E1141*H1141,C1141*E1141))))))),2)</f>
        <v>0.2</v>
      </c>
      <c r="J1141" s="955" t="s">
        <v>5</v>
      </c>
      <c r="K1141" s="902"/>
      <c r="L1141" s="923"/>
      <c r="M1141" s="902"/>
      <c r="N1141" s="900" t="s">
        <v>2308</v>
      </c>
    </row>
    <row r="1142" spans="1:14" s="910" customFormat="1" ht="16.5" hidden="1" customHeight="1">
      <c r="A1142" s="896"/>
      <c r="B1142" s="902"/>
      <c r="C1142" s="897">
        <v>1</v>
      </c>
      <c r="D1142" s="1263" t="s">
        <v>273</v>
      </c>
      <c r="E1142" s="919">
        <v>1</v>
      </c>
      <c r="F1142" s="920">
        <v>0.79</v>
      </c>
      <c r="G1142" s="920">
        <v>0.115</v>
      </c>
      <c r="H1142" s="920">
        <v>0.64</v>
      </c>
      <c r="I1142" s="1266">
        <f>ROUND(IF(AND(F1142:H1142),C1142*E1142*F1142*G1142*H1142,IF(AND(F1142,G1142),C1142*E1142*F1142*G1142,IF(AND(F1142,H1142),C1142*E1142*F1142*H1142,IF(AND(G1142,H1142),C1142*E1142*G1142*H1142,IF(F1142,C1142*E1142*F1142,IF(G1142,C1142*E1142*G1142,IF(H1142,C1142*E1142*H1142,C1142*E1142))))))),2)</f>
        <v>0.06</v>
      </c>
      <c r="J1142" s="955" t="s">
        <v>5</v>
      </c>
      <c r="K1142" s="902"/>
      <c r="L1142" s="923"/>
      <c r="M1142" s="902"/>
      <c r="N1142" s="900" t="s">
        <v>2308</v>
      </c>
    </row>
    <row r="1143" spans="1:14" s="910" customFormat="1" ht="16.5" hidden="1" customHeight="1">
      <c r="A1143" s="896"/>
      <c r="B1143" s="902"/>
      <c r="C1143" s="897">
        <v>1</v>
      </c>
      <c r="D1143" s="1263" t="s">
        <v>273</v>
      </c>
      <c r="E1143" s="919">
        <v>1</v>
      </c>
      <c r="F1143" s="920">
        <v>3.09</v>
      </c>
      <c r="G1143" s="920">
        <v>0.115</v>
      </c>
      <c r="H1143" s="920">
        <v>0.54</v>
      </c>
      <c r="I1143" s="1266">
        <f>ROUND(IF(AND(F1143:H1143),C1143*E1143*F1143*G1143*H1143,IF(AND(F1143,G1143),C1143*E1143*F1143*G1143,IF(AND(F1143,H1143),C1143*E1143*F1143*H1143,IF(AND(G1143,H1143),C1143*E1143*G1143*H1143,IF(F1143,C1143*E1143*F1143,IF(G1143,C1143*E1143*G1143,IF(H1143,C1143*E1143*H1143,C1143*E1143))))))),2)</f>
        <v>0.19</v>
      </c>
      <c r="J1143" s="955" t="s">
        <v>5</v>
      </c>
      <c r="K1143" s="902"/>
      <c r="L1143" s="923"/>
      <c r="M1143" s="902"/>
      <c r="N1143" s="900" t="s">
        <v>2308</v>
      </c>
    </row>
    <row r="1144" spans="1:14" s="910" customFormat="1" ht="16.5" hidden="1" customHeight="1">
      <c r="A1144" s="896"/>
      <c r="B1144" s="956"/>
      <c r="C1144" s="957"/>
      <c r="D1144" s="958"/>
      <c r="E1144" s="1268"/>
      <c r="F1144" s="960"/>
      <c r="G1144" s="960"/>
      <c r="H1144" s="960"/>
      <c r="I1144" s="916"/>
      <c r="J1144" s="955"/>
      <c r="K1144" s="902"/>
      <c r="L1144" s="923"/>
      <c r="M1144" s="902"/>
      <c r="N1144" s="900" t="s">
        <v>2308</v>
      </c>
    </row>
    <row r="1145" spans="1:14" ht="15.75" hidden="1">
      <c r="A1145" s="896"/>
      <c r="B1145" s="902"/>
      <c r="C1145" s="917"/>
      <c r="D1145" s="918"/>
      <c r="E1145" s="919"/>
      <c r="F1145" s="920"/>
      <c r="G1145" s="921"/>
      <c r="H1145" s="896"/>
      <c r="I1145" s="916"/>
      <c r="J1145" s="955" t="s">
        <v>5</v>
      </c>
      <c r="K1145" s="922">
        <f>data!E2262</f>
        <v>5899.35</v>
      </c>
      <c r="L1145" s="923" t="s">
        <v>2308</v>
      </c>
      <c r="M1145" s="924">
        <f>ROUND(I1145*K1145,0)</f>
        <v>0</v>
      </c>
      <c r="N1145" s="900" t="s">
        <v>2308</v>
      </c>
    </row>
    <row r="1146" spans="1:14" ht="79.5" hidden="1" customHeight="1">
      <c r="A1146" s="896">
        <v>18</v>
      </c>
      <c r="B1146" s="1609" t="s">
        <v>1200</v>
      </c>
      <c r="C1146" s="1609"/>
      <c r="D1146" s="1609"/>
      <c r="E1146" s="1609"/>
      <c r="F1146" s="1609"/>
      <c r="G1146" s="1609"/>
      <c r="H1146" s="1609"/>
      <c r="I1146" s="897"/>
      <c r="J1146" s="898"/>
      <c r="K1146" s="896"/>
      <c r="L1146" s="923"/>
      <c r="M1146" s="899"/>
      <c r="N1146" s="900" t="s">
        <v>2309</v>
      </c>
    </row>
    <row r="1147" spans="1:14" s="910" customFormat="1" ht="16.5" hidden="1" customHeight="1">
      <c r="A1147" s="896"/>
      <c r="B1147" s="902" t="s">
        <v>3542</v>
      </c>
      <c r="C1147" s="897"/>
      <c r="D1147" s="1263"/>
      <c r="E1147" s="919"/>
      <c r="F1147" s="920"/>
      <c r="G1147" s="920"/>
      <c r="H1147" s="920"/>
      <c r="I1147" s="1264"/>
      <c r="J1147" s="955"/>
      <c r="K1147" s="902"/>
      <c r="L1147" s="923"/>
      <c r="M1147" s="902"/>
      <c r="N1147" s="900" t="s">
        <v>2309</v>
      </c>
    </row>
    <row r="1148" spans="1:14" s="910" customFormat="1" ht="16.5" hidden="1" customHeight="1">
      <c r="A1148" s="896"/>
      <c r="B1148" s="902"/>
      <c r="C1148" s="897">
        <v>1</v>
      </c>
      <c r="D1148" s="1263" t="s">
        <v>273</v>
      </c>
      <c r="E1148" s="919">
        <v>1</v>
      </c>
      <c r="F1148" s="920">
        <v>1.02</v>
      </c>
      <c r="G1148" s="920">
        <v>0.115</v>
      </c>
      <c r="H1148" s="920">
        <v>0.83</v>
      </c>
      <c r="I1148" s="1266">
        <f>ROUND(IF(AND(F1148:H1148),C1148*E1148*F1148*G1148*H1148,IF(AND(F1148,G1148),C1148*E1148*F1148*G1148,IF(AND(F1148,H1148),C1148*E1148*F1148*H1148,IF(AND(G1148,H1148),C1148*E1148*G1148*H1148,IF(F1148,C1148*E1148*F1148,IF(G1148,C1148*E1148*G1148,IF(H1148,C1148*E1148*H1148,C1148*E1148))))))),2)</f>
        <v>0.1</v>
      </c>
      <c r="J1148" s="955" t="s">
        <v>5</v>
      </c>
      <c r="K1148" s="902"/>
      <c r="L1148" s="923"/>
      <c r="M1148" s="902"/>
      <c r="N1148" s="900" t="s">
        <v>2309</v>
      </c>
    </row>
    <row r="1149" spans="1:14" s="910" customFormat="1" ht="16.5" hidden="1" customHeight="1">
      <c r="A1149" s="896"/>
      <c r="B1149" s="902"/>
      <c r="C1149" s="897">
        <v>1</v>
      </c>
      <c r="D1149" s="1263" t="s">
        <v>273</v>
      </c>
      <c r="E1149" s="919">
        <v>1</v>
      </c>
      <c r="F1149" s="920">
        <v>3.09</v>
      </c>
      <c r="G1149" s="920">
        <v>0.115</v>
      </c>
      <c r="H1149" s="920">
        <v>0.56000000000000005</v>
      </c>
      <c r="I1149" s="1266">
        <f>ROUND(IF(AND(F1149:H1149),C1149*E1149*F1149*G1149*H1149,IF(AND(F1149,G1149),C1149*E1149*F1149*G1149,IF(AND(F1149,H1149),C1149*E1149*F1149*H1149,IF(AND(G1149,H1149),C1149*E1149*G1149*H1149,IF(F1149,C1149*E1149*F1149,IF(G1149,C1149*E1149*G1149,IF(H1149,C1149*E1149*H1149,C1149*E1149))))))),2)</f>
        <v>0.2</v>
      </c>
      <c r="J1149" s="955" t="s">
        <v>5</v>
      </c>
      <c r="K1149" s="902"/>
      <c r="L1149" s="923"/>
      <c r="M1149" s="902"/>
      <c r="N1149" s="900" t="s">
        <v>2309</v>
      </c>
    </row>
    <row r="1150" spans="1:14" s="910" customFormat="1" ht="16.5" hidden="1" customHeight="1">
      <c r="A1150" s="896"/>
      <c r="B1150" s="902"/>
      <c r="C1150" s="897">
        <v>1</v>
      </c>
      <c r="D1150" s="1263" t="s">
        <v>273</v>
      </c>
      <c r="E1150" s="919">
        <v>1</v>
      </c>
      <c r="F1150" s="920">
        <v>0.79</v>
      </c>
      <c r="G1150" s="920">
        <v>0.115</v>
      </c>
      <c r="H1150" s="920">
        <v>0.64</v>
      </c>
      <c r="I1150" s="1266">
        <f>ROUND(IF(AND(F1150:H1150),C1150*E1150*F1150*G1150*H1150,IF(AND(F1150,G1150),C1150*E1150*F1150*G1150,IF(AND(F1150,H1150),C1150*E1150*F1150*H1150,IF(AND(G1150,H1150),C1150*E1150*G1150*H1150,IF(F1150,C1150*E1150*F1150,IF(G1150,C1150*E1150*G1150,IF(H1150,C1150*E1150*H1150,C1150*E1150))))))),2)</f>
        <v>0.06</v>
      </c>
      <c r="J1150" s="955" t="s">
        <v>5</v>
      </c>
      <c r="K1150" s="902"/>
      <c r="L1150" s="923"/>
      <c r="M1150" s="902"/>
      <c r="N1150" s="900" t="s">
        <v>2309</v>
      </c>
    </row>
    <row r="1151" spans="1:14" s="910" customFormat="1" ht="16.5" hidden="1" customHeight="1">
      <c r="A1151" s="896"/>
      <c r="B1151" s="902"/>
      <c r="C1151" s="897">
        <v>1</v>
      </c>
      <c r="D1151" s="1263" t="s">
        <v>273</v>
      </c>
      <c r="E1151" s="919">
        <v>1</v>
      </c>
      <c r="F1151" s="920">
        <v>3.09</v>
      </c>
      <c r="G1151" s="920">
        <v>0.115</v>
      </c>
      <c r="H1151" s="920">
        <v>0.54</v>
      </c>
      <c r="I1151" s="1266">
        <f>ROUND(IF(AND(F1151:H1151),C1151*E1151*F1151*G1151*H1151,IF(AND(F1151,G1151),C1151*E1151*F1151*G1151,IF(AND(F1151,H1151),C1151*E1151*F1151*H1151,IF(AND(G1151,H1151),C1151*E1151*G1151*H1151,IF(F1151,C1151*E1151*F1151,IF(G1151,C1151*E1151*G1151,IF(H1151,C1151*E1151*H1151,C1151*E1151))))))),2)</f>
        <v>0.19</v>
      </c>
      <c r="J1151" s="955" t="s">
        <v>5</v>
      </c>
      <c r="K1151" s="902"/>
      <c r="L1151" s="923"/>
      <c r="M1151" s="902"/>
      <c r="N1151" s="900" t="s">
        <v>2309</v>
      </c>
    </row>
    <row r="1152" spans="1:14" s="910" customFormat="1" ht="16.5" hidden="1" customHeight="1">
      <c r="A1152" s="896"/>
      <c r="B1152" s="956"/>
      <c r="C1152" s="957"/>
      <c r="D1152" s="958"/>
      <c r="E1152" s="1268"/>
      <c r="F1152" s="960"/>
      <c r="G1152" s="960"/>
      <c r="H1152" s="960"/>
      <c r="I1152" s="916"/>
      <c r="J1152" s="955"/>
      <c r="K1152" s="902"/>
      <c r="L1152" s="923"/>
      <c r="M1152" s="902"/>
      <c r="N1152" s="900" t="s">
        <v>2309</v>
      </c>
    </row>
    <row r="1153" spans="1:14" ht="15.75" hidden="1">
      <c r="A1153" s="896"/>
      <c r="B1153" s="902"/>
      <c r="C1153" s="917"/>
      <c r="D1153" s="918"/>
      <c r="E1153" s="919"/>
      <c r="F1153" s="920"/>
      <c r="G1153" s="921"/>
      <c r="H1153" s="896"/>
      <c r="I1153" s="916"/>
      <c r="J1153" s="955" t="s">
        <v>5</v>
      </c>
      <c r="K1153" s="922">
        <f>data!E3179</f>
        <v>6281.3700000000008</v>
      </c>
      <c r="L1153" s="923" t="s">
        <v>2309</v>
      </c>
      <c r="M1153" s="924">
        <f>ROUND(I1153*K1153,0)</f>
        <v>0</v>
      </c>
      <c r="N1153" s="900" t="s">
        <v>2309</v>
      </c>
    </row>
    <row r="1154" spans="1:14" ht="103.5" hidden="1" customHeight="1">
      <c r="A1154" s="896">
        <v>17</v>
      </c>
      <c r="B1154" s="1609" t="s">
        <v>1171</v>
      </c>
      <c r="C1154" s="1609"/>
      <c r="D1154" s="1609"/>
      <c r="E1154" s="1609"/>
      <c r="F1154" s="1609"/>
      <c r="G1154" s="1609"/>
      <c r="H1154" s="1609"/>
      <c r="I1154" s="897"/>
      <c r="J1154" s="898"/>
      <c r="K1154" s="896"/>
      <c r="L1154" s="923"/>
      <c r="M1154" s="899"/>
      <c r="N1154" s="900" t="s">
        <v>2209</v>
      </c>
    </row>
    <row r="1155" spans="1:14" s="910" customFormat="1" ht="16.5" hidden="1" customHeight="1">
      <c r="A1155" s="896"/>
      <c r="B1155" s="928" t="s">
        <v>3269</v>
      </c>
      <c r="C1155" s="1269"/>
      <c r="D1155" s="1287" t="s">
        <v>3301</v>
      </c>
      <c r="E1155" s="1270"/>
      <c r="F1155" s="1271"/>
      <c r="G1155" s="1271"/>
      <c r="H1155" s="1271"/>
      <c r="I1155" s="1272"/>
      <c r="J1155" s="1273"/>
      <c r="K1155" s="902"/>
      <c r="L1155" s="896"/>
      <c r="M1155" s="902"/>
      <c r="N1155" s="900" t="s">
        <v>2209</v>
      </c>
    </row>
    <row r="1156" spans="1:14" s="910" customFormat="1" ht="16.5" hidden="1" customHeight="1">
      <c r="A1156" s="896"/>
      <c r="B1156" s="902" t="s">
        <v>3072</v>
      </c>
      <c r="C1156" s="897">
        <v>1</v>
      </c>
      <c r="D1156" s="1263" t="s">
        <v>273</v>
      </c>
      <c r="E1156" s="919">
        <v>2</v>
      </c>
      <c r="F1156" s="920">
        <v>3.6</v>
      </c>
      <c r="G1156" s="920">
        <v>1.35</v>
      </c>
      <c r="H1156" s="920">
        <v>0</v>
      </c>
      <c r="I1156" s="1266">
        <f t="shared" ref="I1156:I1157" si="129">ROUND(IF(AND(F1156:H1156),C1156*E1156*F1156*G1156*H1156,IF(AND(F1156,G1156),C1156*E1156*F1156*G1156,IF(AND(F1156,H1156),C1156*E1156*F1156*H1156,IF(AND(G1156,H1156),C1156*E1156*G1156*H1156,IF(F1156,C1156*E1156*F1156,IF(G1156,C1156*E1156*G1156,IF(H1156,C1156*E1156*H1156,C1156*E1156))))))),2)</f>
        <v>9.7200000000000006</v>
      </c>
      <c r="J1156" s="955" t="s">
        <v>102</v>
      </c>
      <c r="K1156" s="902"/>
      <c r="L1156" s="896"/>
      <c r="M1156" s="902"/>
      <c r="N1156" s="900" t="s">
        <v>2209</v>
      </c>
    </row>
    <row r="1157" spans="1:14" s="910" customFormat="1" ht="16.5" hidden="1" customHeight="1">
      <c r="A1157" s="896"/>
      <c r="B1157" s="902" t="s">
        <v>3270</v>
      </c>
      <c r="C1157" s="897">
        <v>1</v>
      </c>
      <c r="D1157" s="1263" t="s">
        <v>273</v>
      </c>
      <c r="E1157" s="919">
        <v>2</v>
      </c>
      <c r="F1157" s="920">
        <v>1.95</v>
      </c>
      <c r="G1157" s="920">
        <v>1.2</v>
      </c>
      <c r="H1157" s="920">
        <v>0</v>
      </c>
      <c r="I1157" s="1266">
        <f t="shared" si="129"/>
        <v>4.68</v>
      </c>
      <c r="J1157" s="955" t="s">
        <v>102</v>
      </c>
      <c r="K1157" s="902"/>
      <c r="L1157" s="896"/>
      <c r="M1157" s="902"/>
      <c r="N1157" s="900" t="s">
        <v>2209</v>
      </c>
    </row>
    <row r="1158" spans="1:14" s="910" customFormat="1" ht="16.5" hidden="1" customHeight="1">
      <c r="A1158" s="896"/>
      <c r="B1158" s="902"/>
      <c r="C1158" s="897"/>
      <c r="D1158" s="1263"/>
      <c r="E1158" s="919"/>
      <c r="F1158" s="920"/>
      <c r="G1158" s="920"/>
      <c r="H1158" s="920"/>
      <c r="I1158" s="1266"/>
      <c r="J1158" s="955"/>
      <c r="K1158" s="902"/>
      <c r="L1158" s="923"/>
      <c r="M1158" s="902"/>
      <c r="N1158" s="900" t="s">
        <v>2209</v>
      </c>
    </row>
    <row r="1159" spans="1:14" ht="15.75" hidden="1">
      <c r="A1159" s="896"/>
      <c r="B1159" s="902"/>
      <c r="C1159" s="917"/>
      <c r="D1159" s="918"/>
      <c r="E1159" s="919"/>
      <c r="F1159" s="920"/>
      <c r="G1159" s="921"/>
      <c r="H1159" s="896"/>
      <c r="I1159" s="916"/>
      <c r="J1159" s="955" t="s">
        <v>102</v>
      </c>
      <c r="K1159" s="922">
        <f>data!E553</f>
        <v>1815.79</v>
      </c>
      <c r="L1159" s="923" t="s">
        <v>2209</v>
      </c>
      <c r="M1159" s="924">
        <f>ROUND(I1159*K1159/1,0)</f>
        <v>0</v>
      </c>
      <c r="N1159" s="900" t="s">
        <v>2209</v>
      </c>
    </row>
    <row r="1160" spans="1:14" ht="103.5" hidden="1" customHeight="1">
      <c r="A1160" s="896">
        <v>17</v>
      </c>
      <c r="B1160" s="1609" t="s">
        <v>1171</v>
      </c>
      <c r="C1160" s="1609"/>
      <c r="D1160" s="1609"/>
      <c r="E1160" s="1609"/>
      <c r="F1160" s="1609"/>
      <c r="G1160" s="1609"/>
      <c r="H1160" s="1609"/>
      <c r="I1160" s="897"/>
      <c r="J1160" s="898"/>
      <c r="K1160" s="896"/>
      <c r="L1160" s="923"/>
      <c r="M1160" s="899"/>
      <c r="N1160" s="900" t="s">
        <v>2297</v>
      </c>
    </row>
    <row r="1161" spans="1:14" s="910" customFormat="1" ht="16.5" hidden="1" customHeight="1">
      <c r="A1161" s="896"/>
      <c r="B1161" s="902" t="s">
        <v>3564</v>
      </c>
      <c r="C1161" s="1275"/>
      <c r="D1161" s="1276"/>
      <c r="E1161" s="1177"/>
      <c r="F1161" s="1277"/>
      <c r="G1161" s="1277"/>
      <c r="H1161" s="1277"/>
      <c r="I1161" s="1278"/>
      <c r="J1161" s="909"/>
      <c r="K1161" s="902"/>
      <c r="L1161" s="896"/>
      <c r="M1161" s="902"/>
      <c r="N1161" s="900" t="s">
        <v>2297</v>
      </c>
    </row>
    <row r="1162" spans="1:14" s="910" customFormat="1" ht="16.5" hidden="1" customHeight="1">
      <c r="A1162" s="896"/>
      <c r="B1162" s="1274" t="s">
        <v>1614</v>
      </c>
      <c r="C1162" s="1275">
        <v>2</v>
      </c>
      <c r="D1162" s="1276" t="s">
        <v>273</v>
      </c>
      <c r="E1162" s="1177">
        <v>0.5</v>
      </c>
      <c r="F1162" s="1277">
        <v>1</v>
      </c>
      <c r="G1162" s="1277">
        <v>0</v>
      </c>
      <c r="H1162" s="1277">
        <v>1.1000000000000001</v>
      </c>
      <c r="I1162" s="1278">
        <f>ROUND(IF(AND(F1162:H1162),C1162*E1162*F1162*G1162*H1162,IF(AND(F1162,G1162),C1162*E1162*F1162*G1162,IF(AND(F1162,H1162),C1162*E1162*F1162*H1162,IF(AND(G1162,H1162),C1162*E1162*G1162*H1162,IF(F1162,C1162*E1162*F1162,IF(G1162,C1162*E1162*G1162,IF(H1162,C1162*E1162*H1162,C1162*E1162))))))),2)</f>
        <v>1.1000000000000001</v>
      </c>
      <c r="J1162" s="909" t="s">
        <v>102</v>
      </c>
      <c r="K1162" s="902"/>
      <c r="L1162" s="896"/>
      <c r="M1162" s="902"/>
      <c r="N1162" s="900" t="s">
        <v>2297</v>
      </c>
    </row>
    <row r="1163" spans="1:14" s="910" customFormat="1" ht="16.5" hidden="1" customHeight="1">
      <c r="A1163" s="896"/>
      <c r="B1163" s="1274" t="s">
        <v>1615</v>
      </c>
      <c r="C1163" s="1275">
        <v>1</v>
      </c>
      <c r="D1163" s="1276" t="s">
        <v>273</v>
      </c>
      <c r="E1163" s="1177">
        <v>2</v>
      </c>
      <c r="F1163" s="1277">
        <v>3.15</v>
      </c>
      <c r="G1163" s="1277">
        <v>0</v>
      </c>
      <c r="H1163" s="1277">
        <v>1.1000000000000001</v>
      </c>
      <c r="I1163" s="1278">
        <f>ROUND(IF(AND(F1163:H1163),C1163*E1163*F1163*G1163*H1163,IF(AND(F1163,G1163),C1163*E1163*F1163*G1163,IF(AND(F1163,H1163),C1163*E1163*F1163*H1163,IF(AND(G1163,H1163),C1163*E1163*G1163*H1163,IF(F1163,C1163*E1163*F1163,IF(G1163,C1163*E1163*G1163,IF(H1163,C1163*E1163*H1163,C1163*E1163))))))),2)</f>
        <v>6.93</v>
      </c>
      <c r="J1163" s="909" t="s">
        <v>102</v>
      </c>
      <c r="K1163" s="902"/>
      <c r="L1163" s="896"/>
      <c r="M1163" s="902"/>
      <c r="N1163" s="900" t="s">
        <v>2297</v>
      </c>
    </row>
    <row r="1164" spans="1:14" s="910" customFormat="1" ht="16.5" hidden="1" customHeight="1">
      <c r="A1164" s="896"/>
      <c r="B1164" s="1274" t="s">
        <v>1615</v>
      </c>
      <c r="C1164" s="1275">
        <v>1</v>
      </c>
      <c r="D1164" s="1276" t="s">
        <v>273</v>
      </c>
      <c r="E1164" s="1177">
        <v>2</v>
      </c>
      <c r="F1164" s="1277">
        <v>2</v>
      </c>
      <c r="G1164" s="1277">
        <v>0</v>
      </c>
      <c r="H1164" s="1277">
        <v>1.9</v>
      </c>
      <c r="I1164" s="1278">
        <f>ROUND(IF(AND(F1164:H1164),C1164*E1164*F1164*G1164*H1164,IF(AND(F1164,G1164),C1164*E1164*F1164*G1164,IF(AND(F1164,H1164),C1164*E1164*F1164*H1164,IF(AND(G1164,H1164),C1164*E1164*G1164*H1164,IF(F1164,C1164*E1164*F1164,IF(G1164,C1164*E1164*G1164,IF(H1164,C1164*E1164*H1164,C1164*E1164))))))),2)</f>
        <v>7.6</v>
      </c>
      <c r="J1164" s="909" t="s">
        <v>102</v>
      </c>
      <c r="K1164" s="902"/>
      <c r="L1164" s="896"/>
      <c r="M1164" s="902"/>
      <c r="N1164" s="900" t="s">
        <v>2297</v>
      </c>
    </row>
    <row r="1165" spans="1:14" s="910" customFormat="1" ht="16.5" hidden="1" customHeight="1">
      <c r="A1165" s="896"/>
      <c r="B1165" s="902"/>
      <c r="C1165" s="897"/>
      <c r="D1165" s="1263"/>
      <c r="E1165" s="919"/>
      <c r="F1165" s="920"/>
      <c r="G1165" s="920"/>
      <c r="H1165" s="920"/>
      <c r="I1165" s="1266"/>
      <c r="J1165" s="955"/>
      <c r="K1165" s="902"/>
      <c r="L1165" s="923"/>
      <c r="M1165" s="902"/>
      <c r="N1165" s="900" t="s">
        <v>2297</v>
      </c>
    </row>
    <row r="1166" spans="1:14" ht="15.75" hidden="1">
      <c r="A1166" s="896"/>
      <c r="B1166" s="902"/>
      <c r="C1166" s="917"/>
      <c r="D1166" s="918"/>
      <c r="E1166" s="919"/>
      <c r="F1166" s="920"/>
      <c r="G1166" s="921"/>
      <c r="H1166" s="896"/>
      <c r="I1166" s="916"/>
      <c r="J1166" s="955" t="s">
        <v>102</v>
      </c>
      <c r="K1166" s="922">
        <f>data!E1470</f>
        <v>1966.77</v>
      </c>
      <c r="L1166" s="923" t="s">
        <v>2297</v>
      </c>
      <c r="M1166" s="924">
        <f>ROUND(I1166*K1166/1,0)</f>
        <v>0</v>
      </c>
      <c r="N1166" s="900" t="s">
        <v>2297</v>
      </c>
    </row>
    <row r="1167" spans="1:14" ht="103.5" hidden="1" customHeight="1">
      <c r="A1167" s="896">
        <v>24</v>
      </c>
      <c r="B1167" s="1609" t="s">
        <v>1171</v>
      </c>
      <c r="C1167" s="1609"/>
      <c r="D1167" s="1609"/>
      <c r="E1167" s="1609"/>
      <c r="F1167" s="1609"/>
      <c r="G1167" s="1609"/>
      <c r="H1167" s="1609"/>
      <c r="I1167" s="897"/>
      <c r="J1167" s="898"/>
      <c r="K1167" s="896"/>
      <c r="L1167" s="923"/>
      <c r="M1167" s="899"/>
      <c r="N1167" s="900" t="s">
        <v>2308</v>
      </c>
    </row>
    <row r="1168" spans="1:14" s="910" customFormat="1" ht="16.5" hidden="1" customHeight="1">
      <c r="A1168" s="896"/>
      <c r="B1168" s="902" t="s">
        <v>3564</v>
      </c>
      <c r="C1168" s="897"/>
      <c r="D1168" s="1263"/>
      <c r="E1168" s="919"/>
      <c r="F1168" s="920"/>
      <c r="G1168" s="920"/>
      <c r="H1168" s="920"/>
      <c r="I1168" s="1264"/>
      <c r="J1168" s="955"/>
      <c r="K1168" s="902"/>
      <c r="L1168" s="896"/>
      <c r="M1168" s="902"/>
      <c r="N1168" s="900" t="s">
        <v>2308</v>
      </c>
    </row>
    <row r="1169" spans="1:14" s="910" customFormat="1" ht="16.5" hidden="1" customHeight="1">
      <c r="A1169" s="896"/>
      <c r="B1169" s="902"/>
      <c r="C1169" s="897">
        <v>1</v>
      </c>
      <c r="D1169" s="1263" t="s">
        <v>273</v>
      </c>
      <c r="E1169" s="919">
        <v>1</v>
      </c>
      <c r="F1169" s="920">
        <v>25.8</v>
      </c>
      <c r="G1169" s="920">
        <v>0</v>
      </c>
      <c r="H1169" s="920">
        <v>0.2</v>
      </c>
      <c r="I1169" s="1286">
        <f>ROUND(IF(AND(F1169:H1169),C1169*E1169*F1169*G1169*H1169,IF(AND(F1169,G1169),C1169*E1169*F1169*G1169,IF(AND(F1169,H1169),C1169*E1169*F1169*H1169,IF(AND(G1169,H1169),C1169*E1169*G1169*H1169,IF(F1169,C1169*E1169*F1169,IF(G1169,C1169*E1169*G1169,IF(H1169,C1169*E1169*H1169,C1169*E1169))))))),2)</f>
        <v>5.16</v>
      </c>
      <c r="J1169" s="955" t="s">
        <v>102</v>
      </c>
      <c r="K1169" s="902"/>
      <c r="L1169" s="896"/>
      <c r="M1169" s="902"/>
      <c r="N1169" s="900" t="s">
        <v>2308</v>
      </c>
    </row>
    <row r="1170" spans="1:14" s="910" customFormat="1" ht="16.5" hidden="1" customHeight="1">
      <c r="A1170" s="896"/>
      <c r="B1170" s="902"/>
      <c r="C1170" s="897"/>
      <c r="D1170" s="1263"/>
      <c r="E1170" s="919"/>
      <c r="F1170" s="920"/>
      <c r="G1170" s="920"/>
      <c r="H1170" s="920"/>
      <c r="I1170" s="1266"/>
      <c r="J1170" s="955"/>
      <c r="K1170" s="902"/>
      <c r="L1170" s="923"/>
      <c r="M1170" s="902"/>
      <c r="N1170" s="900" t="s">
        <v>2308</v>
      </c>
    </row>
    <row r="1171" spans="1:14" ht="15.75" hidden="1">
      <c r="A1171" s="896"/>
      <c r="B1171" s="902"/>
      <c r="C1171" s="917"/>
      <c r="D1171" s="918"/>
      <c r="E1171" s="919"/>
      <c r="F1171" s="920"/>
      <c r="G1171" s="921"/>
      <c r="H1171" s="896"/>
      <c r="I1171" s="916"/>
      <c r="J1171" s="955" t="s">
        <v>102</v>
      </c>
      <c r="K1171" s="922">
        <f>data!E2387</f>
        <v>2093.16</v>
      </c>
      <c r="L1171" s="923" t="s">
        <v>2308</v>
      </c>
      <c r="M1171" s="924">
        <f>ROUND(I1171*K1171/1,0)</f>
        <v>0</v>
      </c>
      <c r="N1171" s="900" t="s">
        <v>2308</v>
      </c>
    </row>
    <row r="1172" spans="1:14" ht="103.5" hidden="1" customHeight="1">
      <c r="A1172" s="896">
        <v>17</v>
      </c>
      <c r="B1172" s="1609" t="s">
        <v>1171</v>
      </c>
      <c r="C1172" s="1609"/>
      <c r="D1172" s="1609"/>
      <c r="E1172" s="1609"/>
      <c r="F1172" s="1609"/>
      <c r="G1172" s="1609"/>
      <c r="H1172" s="1609"/>
      <c r="I1172" s="897"/>
      <c r="J1172" s="898"/>
      <c r="K1172" s="896"/>
      <c r="L1172" s="923"/>
      <c r="M1172" s="899"/>
      <c r="N1172" s="900" t="s">
        <v>2309</v>
      </c>
    </row>
    <row r="1173" spans="1:14" s="910" customFormat="1" ht="16.5" hidden="1" customHeight="1">
      <c r="A1173" s="896"/>
      <c r="B1173" s="902" t="s">
        <v>3564</v>
      </c>
      <c r="C1173" s="1275"/>
      <c r="D1173" s="1276"/>
      <c r="E1173" s="1177"/>
      <c r="F1173" s="1277"/>
      <c r="G1173" s="1277"/>
      <c r="H1173" s="1277"/>
      <c r="I1173" s="1278"/>
      <c r="J1173" s="909"/>
      <c r="K1173" s="902"/>
      <c r="L1173" s="896"/>
      <c r="M1173" s="902"/>
      <c r="N1173" s="900" t="s">
        <v>2309</v>
      </c>
    </row>
    <row r="1174" spans="1:14" s="910" customFormat="1" ht="16.5" hidden="1" customHeight="1">
      <c r="A1174" s="896"/>
      <c r="B1174" s="1274" t="s">
        <v>1614</v>
      </c>
      <c r="C1174" s="1275">
        <v>2</v>
      </c>
      <c r="D1174" s="1276" t="s">
        <v>273</v>
      </c>
      <c r="E1174" s="1177">
        <v>0.5</v>
      </c>
      <c r="F1174" s="1277">
        <v>1</v>
      </c>
      <c r="G1174" s="1277">
        <v>0</v>
      </c>
      <c r="H1174" s="1277">
        <v>1.1000000000000001</v>
      </c>
      <c r="I1174" s="1278">
        <f>ROUND(IF(AND(F1174:H1174),C1174*E1174*F1174*G1174*H1174,IF(AND(F1174,G1174),C1174*E1174*F1174*G1174,IF(AND(F1174,H1174),C1174*E1174*F1174*H1174,IF(AND(G1174,H1174),C1174*E1174*G1174*H1174,IF(F1174,C1174*E1174*F1174,IF(G1174,C1174*E1174*G1174,IF(H1174,C1174*E1174*H1174,C1174*E1174))))))),2)</f>
        <v>1.1000000000000001</v>
      </c>
      <c r="J1174" s="909" t="s">
        <v>102</v>
      </c>
      <c r="K1174" s="902"/>
      <c r="L1174" s="896"/>
      <c r="M1174" s="902"/>
      <c r="N1174" s="900" t="s">
        <v>2309</v>
      </c>
    </row>
    <row r="1175" spans="1:14" s="910" customFormat="1" ht="16.5" hidden="1" customHeight="1">
      <c r="A1175" s="896"/>
      <c r="B1175" s="1274" t="s">
        <v>1615</v>
      </c>
      <c r="C1175" s="1275">
        <v>1</v>
      </c>
      <c r="D1175" s="1276" t="s">
        <v>273</v>
      </c>
      <c r="E1175" s="1177">
        <v>2</v>
      </c>
      <c r="F1175" s="1277">
        <v>3.15</v>
      </c>
      <c r="G1175" s="1277">
        <v>0</v>
      </c>
      <c r="H1175" s="1277">
        <v>1.1000000000000001</v>
      </c>
      <c r="I1175" s="1278">
        <f>ROUND(IF(AND(F1175:H1175),C1175*E1175*F1175*G1175*H1175,IF(AND(F1175,G1175),C1175*E1175*F1175*G1175,IF(AND(F1175,H1175),C1175*E1175*F1175*H1175,IF(AND(G1175,H1175),C1175*E1175*G1175*H1175,IF(F1175,C1175*E1175*F1175,IF(G1175,C1175*E1175*G1175,IF(H1175,C1175*E1175*H1175,C1175*E1175))))))),2)</f>
        <v>6.93</v>
      </c>
      <c r="J1175" s="909" t="s">
        <v>102</v>
      </c>
      <c r="K1175" s="902"/>
      <c r="L1175" s="896"/>
      <c r="M1175" s="902"/>
      <c r="N1175" s="900" t="s">
        <v>2309</v>
      </c>
    </row>
    <row r="1176" spans="1:14" s="910" customFormat="1" ht="16.5" hidden="1" customHeight="1">
      <c r="A1176" s="896"/>
      <c r="B1176" s="1274" t="s">
        <v>1615</v>
      </c>
      <c r="C1176" s="1275">
        <v>1</v>
      </c>
      <c r="D1176" s="1276" t="s">
        <v>273</v>
      </c>
      <c r="E1176" s="1177">
        <v>2</v>
      </c>
      <c r="F1176" s="1277">
        <v>2</v>
      </c>
      <c r="G1176" s="1277">
        <v>0</v>
      </c>
      <c r="H1176" s="1277">
        <v>1.9</v>
      </c>
      <c r="I1176" s="1278">
        <f>ROUND(IF(AND(F1176:H1176),C1176*E1176*F1176*G1176*H1176,IF(AND(F1176,G1176),C1176*E1176*F1176*G1176,IF(AND(F1176,H1176),C1176*E1176*F1176*H1176,IF(AND(G1176,H1176),C1176*E1176*G1176*H1176,IF(F1176,C1176*E1176*F1176,IF(G1176,C1176*E1176*G1176,IF(H1176,C1176*E1176*H1176,C1176*E1176))))))),2)</f>
        <v>7.6</v>
      </c>
      <c r="J1176" s="909" t="s">
        <v>102</v>
      </c>
      <c r="K1176" s="902"/>
      <c r="L1176" s="896"/>
      <c r="M1176" s="902"/>
      <c r="N1176" s="900" t="s">
        <v>2309</v>
      </c>
    </row>
    <row r="1177" spans="1:14" s="910" customFormat="1" ht="16.5" hidden="1" customHeight="1">
      <c r="A1177" s="896"/>
      <c r="B1177" s="902"/>
      <c r="C1177" s="897"/>
      <c r="D1177" s="1263"/>
      <c r="E1177" s="919"/>
      <c r="F1177" s="920"/>
      <c r="G1177" s="920"/>
      <c r="H1177" s="920"/>
      <c r="I1177" s="1266"/>
      <c r="J1177" s="955"/>
      <c r="K1177" s="902"/>
      <c r="L1177" s="923"/>
      <c r="M1177" s="902"/>
      <c r="N1177" s="900" t="s">
        <v>2309</v>
      </c>
    </row>
    <row r="1178" spans="1:14" ht="15.75" hidden="1">
      <c r="A1178" s="896"/>
      <c r="B1178" s="902"/>
      <c r="C1178" s="917"/>
      <c r="D1178" s="918"/>
      <c r="E1178" s="919"/>
      <c r="F1178" s="920"/>
      <c r="G1178" s="921"/>
      <c r="H1178" s="896"/>
      <c r="I1178" s="916"/>
      <c r="J1178" s="955" t="s">
        <v>102</v>
      </c>
      <c r="K1178" s="922">
        <f>data!E3304</f>
        <v>2232.9699999999998</v>
      </c>
      <c r="L1178" s="923" t="s">
        <v>2309</v>
      </c>
      <c r="M1178" s="924">
        <f>ROUND(I1178*K1178/1,0)</f>
        <v>0</v>
      </c>
      <c r="N1178" s="900" t="s">
        <v>2309</v>
      </c>
    </row>
    <row r="1179" spans="1:14" s="1403" customFormat="1" ht="54.75" customHeight="1">
      <c r="A1179" s="1397">
        <v>19</v>
      </c>
      <c r="B1179" s="1610" t="s">
        <v>125</v>
      </c>
      <c r="C1179" s="1610"/>
      <c r="D1179" s="1610"/>
      <c r="E1179" s="1610"/>
      <c r="F1179" s="1610"/>
      <c r="G1179" s="1610"/>
      <c r="H1179" s="1610"/>
      <c r="I1179" s="1398"/>
      <c r="J1179" s="1399"/>
      <c r="K1179" s="1397"/>
      <c r="L1179" s="1400"/>
      <c r="M1179" s="1401"/>
      <c r="N1179" s="1402" t="s">
        <v>2209</v>
      </c>
    </row>
    <row r="1180" spans="1:14" s="1411" customFormat="1" ht="16.5" customHeight="1">
      <c r="A1180" s="1397"/>
      <c r="B1180" s="1404" t="s">
        <v>3926</v>
      </c>
      <c r="C1180" s="1405"/>
      <c r="D1180" s="1395" t="s">
        <v>4019</v>
      </c>
      <c r="E1180" s="1406"/>
      <c r="F1180" s="1407"/>
      <c r="G1180" s="1407"/>
      <c r="H1180" s="1407"/>
      <c r="I1180" s="1408"/>
      <c r="J1180" s="1423"/>
      <c r="K1180" s="1410"/>
      <c r="L1180" s="1400"/>
      <c r="M1180" s="1410"/>
      <c r="N1180" s="1402" t="s">
        <v>2209</v>
      </c>
    </row>
    <row r="1181" spans="1:14" s="1411" customFormat="1" ht="16.5" customHeight="1">
      <c r="A1181" s="1397"/>
      <c r="B1181" s="1410" t="s">
        <v>2360</v>
      </c>
      <c r="C1181" s="1398">
        <v>1</v>
      </c>
      <c r="D1181" s="1412" t="s">
        <v>273</v>
      </c>
      <c r="E1181" s="1413">
        <v>1</v>
      </c>
      <c r="F1181" s="1414">
        <v>2.7</v>
      </c>
      <c r="G1181" s="1414">
        <v>2.75</v>
      </c>
      <c r="H1181" s="1414">
        <v>0</v>
      </c>
      <c r="I1181" s="1415">
        <f t="shared" ref="I1181:I1198" si="130">ROUND(IF(AND(F1181:H1181),C1181*E1181*F1181*G1181*H1181,IF(AND(F1181,G1181),C1181*E1181*F1181*G1181,IF(AND(F1181,H1181),C1181*E1181*F1181*H1181,IF(AND(G1181,H1181),C1181*E1181*G1181*H1181,IF(F1181,C1181*E1181*F1181,IF(G1181,C1181*E1181*G1181,IF(H1181,C1181*E1181*H1181,C1181*E1181))))))),2)</f>
        <v>7.43</v>
      </c>
      <c r="J1181" s="1423" t="s">
        <v>102</v>
      </c>
      <c r="K1181" s="1410"/>
      <c r="L1181" s="1400"/>
      <c r="M1181" s="1410"/>
      <c r="N1181" s="1402" t="s">
        <v>2209</v>
      </c>
    </row>
    <row r="1182" spans="1:14" s="1411" customFormat="1" ht="16.5" customHeight="1">
      <c r="A1182" s="1397"/>
      <c r="B1182" s="1410" t="s">
        <v>2359</v>
      </c>
      <c r="C1182" s="1398">
        <v>1</v>
      </c>
      <c r="D1182" s="1412" t="s">
        <v>273</v>
      </c>
      <c r="E1182" s="1413">
        <v>1</v>
      </c>
      <c r="F1182" s="1414">
        <v>1.45</v>
      </c>
      <c r="G1182" s="1414">
        <v>1.45</v>
      </c>
      <c r="H1182" s="1414">
        <v>0</v>
      </c>
      <c r="I1182" s="1415">
        <f t="shared" si="130"/>
        <v>2.1</v>
      </c>
      <c r="J1182" s="1423" t="s">
        <v>102</v>
      </c>
      <c r="K1182" s="1410"/>
      <c r="L1182" s="1400"/>
      <c r="M1182" s="1410"/>
      <c r="N1182" s="1402" t="s">
        <v>2209</v>
      </c>
    </row>
    <row r="1183" spans="1:14" s="1411" customFormat="1" ht="16.5" customHeight="1">
      <c r="A1183" s="1397"/>
      <c r="B1183" s="1410"/>
      <c r="C1183" s="1398">
        <v>1</v>
      </c>
      <c r="D1183" s="1412" t="s">
        <v>273</v>
      </c>
      <c r="E1183" s="1413">
        <v>1</v>
      </c>
      <c r="F1183" s="1414">
        <v>1.45</v>
      </c>
      <c r="G1183" s="1414">
        <v>1.25</v>
      </c>
      <c r="H1183" s="1414">
        <v>0</v>
      </c>
      <c r="I1183" s="1415">
        <f t="shared" si="130"/>
        <v>1.81</v>
      </c>
      <c r="J1183" s="1423" t="s">
        <v>102</v>
      </c>
      <c r="K1183" s="1410"/>
      <c r="L1183" s="1400"/>
      <c r="M1183" s="1410"/>
      <c r="N1183" s="1402" t="s">
        <v>2209</v>
      </c>
    </row>
    <row r="1184" spans="1:14" s="1411" customFormat="1" ht="16.5" customHeight="1">
      <c r="A1184" s="1397"/>
      <c r="B1184" s="1410" t="s">
        <v>2521</v>
      </c>
      <c r="C1184" s="1398">
        <v>1</v>
      </c>
      <c r="D1184" s="1412" t="s">
        <v>273</v>
      </c>
      <c r="E1184" s="1413">
        <v>1</v>
      </c>
      <c r="F1184" s="1414">
        <v>2.75</v>
      </c>
      <c r="G1184" s="1414">
        <v>2.19</v>
      </c>
      <c r="H1184" s="1414">
        <v>0</v>
      </c>
      <c r="I1184" s="1415">
        <f t="shared" si="130"/>
        <v>6.02</v>
      </c>
      <c r="J1184" s="1423" t="s">
        <v>102</v>
      </c>
      <c r="K1184" s="1410"/>
      <c r="L1184" s="1400"/>
      <c r="M1184" s="1410"/>
      <c r="N1184" s="1402" t="s">
        <v>2209</v>
      </c>
    </row>
    <row r="1185" spans="1:14" s="1411" customFormat="1" ht="16.5" customHeight="1">
      <c r="A1185" s="1397"/>
      <c r="B1185" s="1410" t="s">
        <v>2358</v>
      </c>
      <c r="C1185" s="1398">
        <v>1</v>
      </c>
      <c r="D1185" s="1412" t="s">
        <v>273</v>
      </c>
      <c r="E1185" s="1413">
        <v>1</v>
      </c>
      <c r="F1185" s="1414">
        <v>2.74</v>
      </c>
      <c r="G1185" s="1414">
        <v>2.7</v>
      </c>
      <c r="H1185" s="1414">
        <v>0</v>
      </c>
      <c r="I1185" s="1415">
        <f t="shared" si="130"/>
        <v>7.4</v>
      </c>
      <c r="J1185" s="1423" t="s">
        <v>102</v>
      </c>
      <c r="K1185" s="1410"/>
      <c r="L1185" s="1400"/>
      <c r="M1185" s="1410"/>
      <c r="N1185" s="1402" t="s">
        <v>2209</v>
      </c>
    </row>
    <row r="1186" spans="1:14" s="1411" customFormat="1" ht="16.5" customHeight="1">
      <c r="A1186" s="1397"/>
      <c r="B1186" s="1410" t="s">
        <v>2359</v>
      </c>
      <c r="C1186" s="1398">
        <v>1</v>
      </c>
      <c r="D1186" s="1412" t="s">
        <v>273</v>
      </c>
      <c r="E1186" s="1413">
        <v>1</v>
      </c>
      <c r="F1186" s="1414">
        <v>1.45</v>
      </c>
      <c r="G1186" s="1414">
        <v>1.45</v>
      </c>
      <c r="H1186" s="1414">
        <v>0</v>
      </c>
      <c r="I1186" s="1415">
        <f t="shared" si="130"/>
        <v>2.1</v>
      </c>
      <c r="J1186" s="1423" t="s">
        <v>102</v>
      </c>
      <c r="K1186" s="1410"/>
      <c r="L1186" s="1400"/>
      <c r="M1186" s="1410"/>
      <c r="N1186" s="1402" t="s">
        <v>2209</v>
      </c>
    </row>
    <row r="1187" spans="1:14" s="1411" customFormat="1" ht="16.5" customHeight="1">
      <c r="A1187" s="1397"/>
      <c r="B1187" s="1410"/>
      <c r="C1187" s="1398">
        <v>1</v>
      </c>
      <c r="D1187" s="1412" t="s">
        <v>273</v>
      </c>
      <c r="E1187" s="1413">
        <v>1</v>
      </c>
      <c r="F1187" s="1414">
        <v>1.45</v>
      </c>
      <c r="G1187" s="1414">
        <v>1.1200000000000001</v>
      </c>
      <c r="H1187" s="1414">
        <v>0</v>
      </c>
      <c r="I1187" s="1415">
        <f t="shared" si="130"/>
        <v>1.62</v>
      </c>
      <c r="J1187" s="1423" t="s">
        <v>102</v>
      </c>
      <c r="K1187" s="1410"/>
      <c r="L1187" s="1400"/>
      <c r="M1187" s="1410"/>
      <c r="N1187" s="1402" t="s">
        <v>2209</v>
      </c>
    </row>
    <row r="1188" spans="1:14" s="1411" customFormat="1" ht="16.5" customHeight="1">
      <c r="A1188" s="1397"/>
      <c r="B1188" s="1410" t="s">
        <v>2357</v>
      </c>
      <c r="C1188" s="1398">
        <v>1</v>
      </c>
      <c r="D1188" s="1412" t="s">
        <v>273</v>
      </c>
      <c r="E1188" s="1413">
        <v>1</v>
      </c>
      <c r="F1188" s="1414">
        <v>1.65</v>
      </c>
      <c r="G1188" s="1414">
        <v>2.72</v>
      </c>
      <c r="H1188" s="1414">
        <v>0</v>
      </c>
      <c r="I1188" s="1415">
        <f t="shared" si="130"/>
        <v>4.49</v>
      </c>
      <c r="J1188" s="1423" t="s">
        <v>102</v>
      </c>
      <c r="K1188" s="1410"/>
      <c r="L1188" s="1400"/>
      <c r="M1188" s="1410"/>
      <c r="N1188" s="1402" t="s">
        <v>2209</v>
      </c>
    </row>
    <row r="1189" spans="1:14" s="1411" customFormat="1" ht="16.5" customHeight="1">
      <c r="A1189" s="1397"/>
      <c r="B1189" s="1410" t="s">
        <v>3670</v>
      </c>
      <c r="C1189" s="1398">
        <v>1</v>
      </c>
      <c r="D1189" s="1412" t="s">
        <v>273</v>
      </c>
      <c r="E1189" s="1413">
        <v>1</v>
      </c>
      <c r="F1189" s="1414">
        <v>6.65</v>
      </c>
      <c r="G1189" s="1414">
        <v>2.95</v>
      </c>
      <c r="H1189" s="1414">
        <v>0</v>
      </c>
      <c r="I1189" s="1415">
        <f t="shared" si="130"/>
        <v>19.62</v>
      </c>
      <c r="J1189" s="1423" t="s">
        <v>102</v>
      </c>
      <c r="K1189" s="1410"/>
      <c r="L1189" s="1400"/>
      <c r="M1189" s="1410"/>
      <c r="N1189" s="1402" t="s">
        <v>2209</v>
      </c>
    </row>
    <row r="1190" spans="1:14" s="1411" customFormat="1" ht="16.5" customHeight="1">
      <c r="A1190" s="1397"/>
      <c r="B1190" s="1410" t="s">
        <v>3927</v>
      </c>
      <c r="C1190" s="1398">
        <v>1</v>
      </c>
      <c r="D1190" s="1412" t="s">
        <v>273</v>
      </c>
      <c r="E1190" s="1413">
        <v>1</v>
      </c>
      <c r="F1190" s="1414">
        <v>6.12</v>
      </c>
      <c r="G1190" s="1414">
        <v>2.96</v>
      </c>
      <c r="H1190" s="1414">
        <v>0</v>
      </c>
      <c r="I1190" s="1415">
        <f t="shared" si="130"/>
        <v>18.12</v>
      </c>
      <c r="J1190" s="1423" t="s">
        <v>102</v>
      </c>
      <c r="K1190" s="1410"/>
      <c r="L1190" s="1400"/>
      <c r="M1190" s="1410"/>
      <c r="N1190" s="1402" t="s">
        <v>2209</v>
      </c>
    </row>
    <row r="1191" spans="1:14" s="1411" customFormat="1" ht="16.5" customHeight="1">
      <c r="A1191" s="1397"/>
      <c r="B1191" s="1410" t="s">
        <v>3862</v>
      </c>
      <c r="C1191" s="1398">
        <v>1</v>
      </c>
      <c r="D1191" s="1412" t="s">
        <v>273</v>
      </c>
      <c r="E1191" s="1413">
        <v>1</v>
      </c>
      <c r="F1191" s="1414">
        <v>16</v>
      </c>
      <c r="G1191" s="1414">
        <v>0</v>
      </c>
      <c r="H1191" s="1414">
        <v>0.95</v>
      </c>
      <c r="I1191" s="1415">
        <f t="shared" si="130"/>
        <v>15.2</v>
      </c>
      <c r="J1191" s="1423" t="s">
        <v>102</v>
      </c>
      <c r="K1191" s="1410"/>
      <c r="L1191" s="1400"/>
      <c r="M1191" s="1410"/>
      <c r="N1191" s="1402" t="s">
        <v>2209</v>
      </c>
    </row>
    <row r="1192" spans="1:14" s="1411" customFormat="1" ht="16.5" customHeight="1">
      <c r="A1192" s="1397"/>
      <c r="B1192" s="1410" t="s">
        <v>3838</v>
      </c>
      <c r="C1192" s="1398">
        <v>1</v>
      </c>
      <c r="D1192" s="1412" t="s">
        <v>273</v>
      </c>
      <c r="E1192" s="1413">
        <v>2</v>
      </c>
      <c r="F1192" s="1414">
        <v>3.15</v>
      </c>
      <c r="G1192" s="1414">
        <v>2.2000000000000002</v>
      </c>
      <c r="H1192" s="1414">
        <v>0</v>
      </c>
      <c r="I1192" s="1415">
        <f t="shared" si="130"/>
        <v>13.86</v>
      </c>
      <c r="J1192" s="1423" t="s">
        <v>102</v>
      </c>
      <c r="K1192" s="1410"/>
      <c r="L1192" s="1400"/>
      <c r="M1192" s="1410"/>
      <c r="N1192" s="1402" t="s">
        <v>2209</v>
      </c>
    </row>
    <row r="1193" spans="1:14" s="1411" customFormat="1" ht="16.5" customHeight="1">
      <c r="A1193" s="1397"/>
      <c r="B1193" s="1410" t="s">
        <v>3837</v>
      </c>
      <c r="C1193" s="1398">
        <v>1</v>
      </c>
      <c r="D1193" s="1412" t="s">
        <v>273</v>
      </c>
      <c r="E1193" s="1413">
        <v>1</v>
      </c>
      <c r="F1193" s="1414">
        <f>(16+17.7)/2</f>
        <v>16.850000000000001</v>
      </c>
      <c r="G1193" s="1414">
        <v>0.95</v>
      </c>
      <c r="H1193" s="1414">
        <v>0</v>
      </c>
      <c r="I1193" s="1415">
        <f t="shared" si="130"/>
        <v>16.010000000000002</v>
      </c>
      <c r="J1193" s="1423" t="s">
        <v>102</v>
      </c>
      <c r="K1193" s="1410"/>
      <c r="L1193" s="1400"/>
      <c r="M1193" s="1410"/>
      <c r="N1193" s="1402" t="s">
        <v>2209</v>
      </c>
    </row>
    <row r="1194" spans="1:14" s="1411" customFormat="1" ht="16.5" customHeight="1">
      <c r="A1194" s="1397"/>
      <c r="B1194" s="1410" t="s">
        <v>3838</v>
      </c>
      <c r="C1194" s="1398">
        <v>1</v>
      </c>
      <c r="D1194" s="1412" t="s">
        <v>273</v>
      </c>
      <c r="E1194" s="1413">
        <v>2</v>
      </c>
      <c r="F1194" s="1414">
        <f>(3.05+3.65)/2</f>
        <v>3.3499999999999996</v>
      </c>
      <c r="G1194" s="1414">
        <v>0.95</v>
      </c>
      <c r="H1194" s="1414">
        <v>0</v>
      </c>
      <c r="I1194" s="1415">
        <f t="shared" si="130"/>
        <v>6.37</v>
      </c>
      <c r="J1194" s="1423" t="s">
        <v>102</v>
      </c>
      <c r="K1194" s="1410"/>
      <c r="L1194" s="1400"/>
      <c r="M1194" s="1410"/>
      <c r="N1194" s="1402" t="s">
        <v>2209</v>
      </c>
    </row>
    <row r="1195" spans="1:14" s="1411" customFormat="1" ht="16.5" customHeight="1">
      <c r="A1195" s="1397"/>
      <c r="B1195" s="1410" t="s">
        <v>3928</v>
      </c>
      <c r="C1195" s="1398">
        <v>1</v>
      </c>
      <c r="D1195" s="1412" t="s">
        <v>273</v>
      </c>
      <c r="E1195" s="1413">
        <v>1</v>
      </c>
      <c r="F1195" s="1414">
        <v>14.1</v>
      </c>
      <c r="G1195" s="1414">
        <v>0.3</v>
      </c>
      <c r="H1195" s="1414">
        <v>0</v>
      </c>
      <c r="I1195" s="1415">
        <f t="shared" si="130"/>
        <v>4.2300000000000004</v>
      </c>
      <c r="J1195" s="1423" t="s">
        <v>102</v>
      </c>
      <c r="K1195" s="1410"/>
      <c r="L1195" s="1400"/>
      <c r="M1195" s="1410"/>
      <c r="N1195" s="1402" t="s">
        <v>2209</v>
      </c>
    </row>
    <row r="1196" spans="1:14" s="1411" customFormat="1" ht="16.5" customHeight="1">
      <c r="A1196" s="1397"/>
      <c r="B1196" s="1410" t="s">
        <v>3839</v>
      </c>
      <c r="C1196" s="1398">
        <v>1</v>
      </c>
      <c r="D1196" s="1412" t="s">
        <v>273</v>
      </c>
      <c r="E1196" s="1413">
        <v>2</v>
      </c>
      <c r="F1196" s="1414">
        <v>3.2</v>
      </c>
      <c r="G1196" s="1414">
        <v>0.3</v>
      </c>
      <c r="H1196" s="1414">
        <v>0</v>
      </c>
      <c r="I1196" s="1415">
        <f t="shared" si="130"/>
        <v>1.92</v>
      </c>
      <c r="J1196" s="1423" t="s">
        <v>102</v>
      </c>
      <c r="K1196" s="1410"/>
      <c r="L1196" s="1400"/>
      <c r="M1196" s="1410"/>
      <c r="N1196" s="1402" t="s">
        <v>2209</v>
      </c>
    </row>
    <row r="1197" spans="1:14" s="1411" customFormat="1" ht="16.5" customHeight="1">
      <c r="A1197" s="1397"/>
      <c r="B1197" s="1410" t="s">
        <v>3840</v>
      </c>
      <c r="C1197" s="1398">
        <v>1</v>
      </c>
      <c r="D1197" s="1412" t="s">
        <v>273</v>
      </c>
      <c r="E1197" s="1413">
        <v>1</v>
      </c>
      <c r="F1197" s="1414">
        <v>17.7</v>
      </c>
      <c r="G1197" s="1414">
        <v>0.25</v>
      </c>
      <c r="H1197" s="1414">
        <v>0</v>
      </c>
      <c r="I1197" s="1415">
        <f t="shared" si="130"/>
        <v>4.43</v>
      </c>
      <c r="J1197" s="1423" t="s">
        <v>102</v>
      </c>
      <c r="K1197" s="1410"/>
      <c r="L1197" s="1400"/>
      <c r="M1197" s="1410"/>
      <c r="N1197" s="1402" t="s">
        <v>2209</v>
      </c>
    </row>
    <row r="1198" spans="1:14" s="1411" customFormat="1" ht="16.5" customHeight="1">
      <c r="A1198" s="1397"/>
      <c r="B1198" s="1410"/>
      <c r="C1198" s="1398">
        <v>1</v>
      </c>
      <c r="D1198" s="1412" t="s">
        <v>273</v>
      </c>
      <c r="E1198" s="1413">
        <v>2</v>
      </c>
      <c r="F1198" s="1414">
        <v>3.65</v>
      </c>
      <c r="G1198" s="1414">
        <v>0.25</v>
      </c>
      <c r="H1198" s="1414">
        <v>0</v>
      </c>
      <c r="I1198" s="1415">
        <f t="shared" si="130"/>
        <v>1.83</v>
      </c>
      <c r="J1198" s="1423" t="s">
        <v>102</v>
      </c>
      <c r="K1198" s="1410"/>
      <c r="L1198" s="1400"/>
      <c r="M1198" s="1410"/>
      <c r="N1198" s="1402" t="s">
        <v>2209</v>
      </c>
    </row>
    <row r="1199" spans="1:14" s="1411" customFormat="1" ht="16.5" customHeight="1">
      <c r="A1199" s="1397"/>
      <c r="B1199" s="1425"/>
      <c r="C1199" s="1426"/>
      <c r="D1199" s="1427"/>
      <c r="E1199" s="1428"/>
      <c r="F1199" s="1429"/>
      <c r="G1199" s="1429"/>
      <c r="H1199" s="1429"/>
      <c r="I1199" s="1430"/>
      <c r="J1199" s="1423"/>
      <c r="K1199" s="1410"/>
      <c r="L1199" s="1400"/>
      <c r="M1199" s="1410"/>
      <c r="N1199" s="1402" t="s">
        <v>2209</v>
      </c>
    </row>
    <row r="1200" spans="1:14" s="1403" customFormat="1" ht="15.75">
      <c r="A1200" s="1397"/>
      <c r="B1200" s="1410"/>
      <c r="C1200" s="1431"/>
      <c r="D1200" s="1432"/>
      <c r="E1200" s="1413"/>
      <c r="F1200" s="1414"/>
      <c r="G1200" s="1433"/>
      <c r="H1200" s="1397"/>
      <c r="I1200" s="1430">
        <f>SUM(I1181:I1199)</f>
        <v>134.56000000000003</v>
      </c>
      <c r="J1200" s="1423" t="s">
        <v>102</v>
      </c>
      <c r="K1200" s="1434">
        <f>data!E444</f>
        <v>264.94</v>
      </c>
      <c r="L1200" s="1400" t="s">
        <v>2209</v>
      </c>
      <c r="M1200" s="1435">
        <f>ROUND(I1200*K1200,0)</f>
        <v>35650</v>
      </c>
      <c r="N1200" s="1402" t="s">
        <v>2209</v>
      </c>
    </row>
    <row r="1201" spans="1:14" ht="54.75" hidden="1" customHeight="1">
      <c r="A1201" s="896">
        <v>26</v>
      </c>
      <c r="B1201" s="1609" t="s">
        <v>125</v>
      </c>
      <c r="C1201" s="1609"/>
      <c r="D1201" s="1609"/>
      <c r="E1201" s="1609"/>
      <c r="F1201" s="1609"/>
      <c r="G1201" s="1609"/>
      <c r="H1201" s="1609"/>
      <c r="I1201" s="897"/>
      <c r="J1201" s="898"/>
      <c r="K1201" s="896"/>
      <c r="L1201" s="923"/>
      <c r="M1201" s="899"/>
      <c r="N1201" s="900" t="s">
        <v>2297</v>
      </c>
    </row>
    <row r="1202" spans="1:14" s="910" customFormat="1" ht="16.5" hidden="1" customHeight="1">
      <c r="A1202" s="896"/>
      <c r="B1202" s="928" t="s">
        <v>3736</v>
      </c>
      <c r="C1202" s="1269"/>
      <c r="D1202" s="954" t="s">
        <v>3821</v>
      </c>
      <c r="E1202" s="1270"/>
      <c r="F1202" s="1271"/>
      <c r="G1202" s="1271"/>
      <c r="H1202" s="1271"/>
      <c r="I1202" s="1272"/>
      <c r="J1202" s="955"/>
      <c r="K1202" s="902"/>
      <c r="L1202" s="923"/>
      <c r="M1202" s="902"/>
      <c r="N1202" s="900" t="s">
        <v>2297</v>
      </c>
    </row>
    <row r="1203" spans="1:14" s="910" customFormat="1" ht="16.5" hidden="1" customHeight="1">
      <c r="A1203" s="896"/>
      <c r="B1203" s="902" t="s">
        <v>2360</v>
      </c>
      <c r="C1203" s="897">
        <v>1</v>
      </c>
      <c r="D1203" s="1263" t="s">
        <v>273</v>
      </c>
      <c r="E1203" s="919">
        <v>1</v>
      </c>
      <c r="F1203" s="920">
        <v>2.89</v>
      </c>
      <c r="G1203" s="920">
        <v>2.82</v>
      </c>
      <c r="H1203" s="920">
        <v>0</v>
      </c>
      <c r="I1203" s="1266">
        <f t="shared" ref="I1203:I1218" si="131">ROUND(IF(AND(F1203:H1203),C1203*E1203*F1203*G1203*H1203,IF(AND(F1203,G1203),C1203*E1203*F1203*G1203,IF(AND(F1203,H1203),C1203*E1203*F1203*H1203,IF(AND(G1203,H1203),C1203*E1203*G1203*H1203,IF(F1203,C1203*E1203*F1203,IF(G1203,C1203*E1203*G1203,IF(H1203,C1203*E1203*H1203,C1203*E1203))))))),2)</f>
        <v>8.15</v>
      </c>
      <c r="J1203" s="955" t="s">
        <v>102</v>
      </c>
      <c r="K1203" s="902"/>
      <c r="L1203" s="923"/>
      <c r="M1203" s="902"/>
      <c r="N1203" s="900" t="s">
        <v>2297</v>
      </c>
    </row>
    <row r="1204" spans="1:14" s="910" customFormat="1" ht="16.5" hidden="1" customHeight="1">
      <c r="A1204" s="896"/>
      <c r="B1204" s="902" t="s">
        <v>2359</v>
      </c>
      <c r="C1204" s="897">
        <v>1</v>
      </c>
      <c r="D1204" s="1263" t="s">
        <v>273</v>
      </c>
      <c r="E1204" s="919">
        <v>1</v>
      </c>
      <c r="F1204" s="920">
        <v>1.36</v>
      </c>
      <c r="G1204" s="920">
        <v>1.63</v>
      </c>
      <c r="H1204" s="920">
        <v>0</v>
      </c>
      <c r="I1204" s="1266">
        <f t="shared" si="131"/>
        <v>2.2200000000000002</v>
      </c>
      <c r="J1204" s="955" t="s">
        <v>102</v>
      </c>
      <c r="K1204" s="902"/>
      <c r="L1204" s="923"/>
      <c r="M1204" s="902"/>
      <c r="N1204" s="900" t="s">
        <v>2297</v>
      </c>
    </row>
    <row r="1205" spans="1:14" s="910" customFormat="1" ht="16.5" hidden="1" customHeight="1">
      <c r="A1205" s="896"/>
      <c r="B1205" s="902"/>
      <c r="C1205" s="897">
        <v>1</v>
      </c>
      <c r="D1205" s="1263" t="s">
        <v>273</v>
      </c>
      <c r="E1205" s="919">
        <v>1</v>
      </c>
      <c r="F1205" s="920">
        <v>1.36</v>
      </c>
      <c r="G1205" s="920">
        <v>0.95</v>
      </c>
      <c r="H1205" s="920">
        <v>0</v>
      </c>
      <c r="I1205" s="1266">
        <f t="shared" si="131"/>
        <v>1.29</v>
      </c>
      <c r="J1205" s="955" t="s">
        <v>102</v>
      </c>
      <c r="K1205" s="902"/>
      <c r="L1205" s="923"/>
      <c r="M1205" s="902"/>
      <c r="N1205" s="900" t="s">
        <v>2297</v>
      </c>
    </row>
    <row r="1206" spans="1:14" s="910" customFormat="1" ht="16.5" hidden="1" customHeight="1">
      <c r="A1206" s="896"/>
      <c r="B1206" s="902" t="s">
        <v>3737</v>
      </c>
      <c r="C1206" s="897">
        <v>1</v>
      </c>
      <c r="D1206" s="1263" t="s">
        <v>273</v>
      </c>
      <c r="E1206" s="919">
        <v>1</v>
      </c>
      <c r="F1206" s="920">
        <v>2.2799999999999998</v>
      </c>
      <c r="G1206" s="920">
        <v>2.82</v>
      </c>
      <c r="H1206" s="920">
        <v>0</v>
      </c>
      <c r="I1206" s="1266">
        <f t="shared" si="131"/>
        <v>6.43</v>
      </c>
      <c r="J1206" s="955" t="s">
        <v>102</v>
      </c>
      <c r="K1206" s="902"/>
      <c r="L1206" s="923"/>
      <c r="M1206" s="902"/>
      <c r="N1206" s="900" t="s">
        <v>2297</v>
      </c>
    </row>
    <row r="1207" spans="1:14" s="910" customFormat="1" ht="16.5" hidden="1" customHeight="1">
      <c r="A1207" s="896"/>
      <c r="B1207" s="902" t="s">
        <v>2358</v>
      </c>
      <c r="C1207" s="897">
        <v>1</v>
      </c>
      <c r="D1207" s="1263" t="s">
        <v>273</v>
      </c>
      <c r="E1207" s="919">
        <v>1</v>
      </c>
      <c r="F1207" s="920">
        <v>2.75</v>
      </c>
      <c r="G1207" s="920">
        <v>2.82</v>
      </c>
      <c r="H1207" s="920">
        <v>0</v>
      </c>
      <c r="I1207" s="1266">
        <f t="shared" si="131"/>
        <v>7.76</v>
      </c>
      <c r="J1207" s="955" t="s">
        <v>102</v>
      </c>
      <c r="K1207" s="902"/>
      <c r="L1207" s="923"/>
      <c r="M1207" s="902"/>
      <c r="N1207" s="900" t="s">
        <v>2297</v>
      </c>
    </row>
    <row r="1208" spans="1:14" s="910" customFormat="1" ht="16.5" hidden="1" customHeight="1">
      <c r="A1208" s="896"/>
      <c r="B1208" s="902" t="s">
        <v>2359</v>
      </c>
      <c r="C1208" s="897">
        <v>1</v>
      </c>
      <c r="D1208" s="1263" t="s">
        <v>273</v>
      </c>
      <c r="E1208" s="919">
        <v>1</v>
      </c>
      <c r="F1208" s="920">
        <v>1.36</v>
      </c>
      <c r="G1208" s="920">
        <v>1.95</v>
      </c>
      <c r="H1208" s="920">
        <v>0</v>
      </c>
      <c r="I1208" s="1266">
        <f t="shared" si="131"/>
        <v>2.65</v>
      </c>
      <c r="J1208" s="955" t="s">
        <v>102</v>
      </c>
      <c r="K1208" s="902"/>
      <c r="L1208" s="923"/>
      <c r="M1208" s="902"/>
      <c r="N1208" s="900" t="s">
        <v>2297</v>
      </c>
    </row>
    <row r="1209" spans="1:14" s="910" customFormat="1" ht="16.5" hidden="1" customHeight="1">
      <c r="A1209" s="896"/>
      <c r="B1209" s="902"/>
      <c r="C1209" s="897">
        <v>1</v>
      </c>
      <c r="D1209" s="1263" t="s">
        <v>273</v>
      </c>
      <c r="E1209" s="919">
        <v>1</v>
      </c>
      <c r="F1209" s="920">
        <v>1.36</v>
      </c>
      <c r="G1209" s="920">
        <v>0.6</v>
      </c>
      <c r="H1209" s="920">
        <v>0</v>
      </c>
      <c r="I1209" s="1266">
        <f t="shared" si="131"/>
        <v>0.82</v>
      </c>
      <c r="J1209" s="955" t="s">
        <v>102</v>
      </c>
      <c r="K1209" s="902"/>
      <c r="L1209" s="923"/>
      <c r="M1209" s="902"/>
      <c r="N1209" s="900" t="s">
        <v>2297</v>
      </c>
    </row>
    <row r="1210" spans="1:14" s="910" customFormat="1" ht="16.5" hidden="1" customHeight="1">
      <c r="A1210" s="896"/>
      <c r="B1210" s="902" t="s">
        <v>2357</v>
      </c>
      <c r="C1210" s="897">
        <v>1</v>
      </c>
      <c r="D1210" s="1263" t="s">
        <v>273</v>
      </c>
      <c r="E1210" s="919">
        <v>1</v>
      </c>
      <c r="F1210" s="920">
        <v>1.83</v>
      </c>
      <c r="G1210" s="920">
        <v>2.82</v>
      </c>
      <c r="H1210" s="920">
        <v>0</v>
      </c>
      <c r="I1210" s="1266">
        <f t="shared" si="131"/>
        <v>5.16</v>
      </c>
      <c r="J1210" s="955" t="s">
        <v>102</v>
      </c>
      <c r="K1210" s="902"/>
      <c r="L1210" s="923"/>
      <c r="M1210" s="902"/>
      <c r="N1210" s="900" t="s">
        <v>2297</v>
      </c>
    </row>
    <row r="1211" spans="1:14" s="910" customFormat="1" ht="16.5" hidden="1" customHeight="1">
      <c r="A1211" s="896"/>
      <c r="B1211" s="902" t="s">
        <v>3670</v>
      </c>
      <c r="C1211" s="897">
        <v>1</v>
      </c>
      <c r="D1211" s="1263" t="s">
        <v>273</v>
      </c>
      <c r="E1211" s="919">
        <v>1</v>
      </c>
      <c r="F1211" s="920">
        <v>6.68</v>
      </c>
      <c r="G1211" s="920">
        <v>3</v>
      </c>
      <c r="H1211" s="920">
        <v>0</v>
      </c>
      <c r="I1211" s="1266">
        <f t="shared" si="131"/>
        <v>20.04</v>
      </c>
      <c r="J1211" s="955" t="s">
        <v>102</v>
      </c>
      <c r="K1211" s="902"/>
      <c r="L1211" s="923"/>
      <c r="M1211" s="902"/>
      <c r="N1211" s="900" t="s">
        <v>2297</v>
      </c>
    </row>
    <row r="1212" spans="1:14" s="910" customFormat="1" ht="16.5" hidden="1" customHeight="1">
      <c r="A1212" s="896"/>
      <c r="B1212" s="902" t="s">
        <v>2355</v>
      </c>
      <c r="C1212" s="897">
        <v>1</v>
      </c>
      <c r="D1212" s="1263" t="s">
        <v>273</v>
      </c>
      <c r="E1212" s="919">
        <v>1</v>
      </c>
      <c r="F1212" s="920">
        <v>6.17</v>
      </c>
      <c r="G1212" s="920">
        <v>3</v>
      </c>
      <c r="H1212" s="920">
        <v>0</v>
      </c>
      <c r="I1212" s="1266">
        <f t="shared" si="131"/>
        <v>18.510000000000002</v>
      </c>
      <c r="J1212" s="955" t="s">
        <v>102</v>
      </c>
      <c r="K1212" s="902"/>
      <c r="L1212" s="923"/>
      <c r="M1212" s="902"/>
      <c r="N1212" s="900" t="s">
        <v>2297</v>
      </c>
    </row>
    <row r="1213" spans="1:14" s="910" customFormat="1" ht="16.5" hidden="1" customHeight="1">
      <c r="A1213" s="896"/>
      <c r="B1213" s="902" t="s">
        <v>3738</v>
      </c>
      <c r="C1213" s="897">
        <v>1</v>
      </c>
      <c r="D1213" s="1263" t="s">
        <v>273</v>
      </c>
      <c r="E1213" s="919">
        <v>5</v>
      </c>
      <c r="F1213" s="920">
        <v>1.5</v>
      </c>
      <c r="G1213" s="920">
        <v>0.6</v>
      </c>
      <c r="H1213" s="920">
        <v>0</v>
      </c>
      <c r="I1213" s="1266">
        <f t="shared" si="131"/>
        <v>4.5</v>
      </c>
      <c r="J1213" s="955" t="s">
        <v>102</v>
      </c>
      <c r="K1213" s="902"/>
      <c r="L1213" s="923"/>
      <c r="M1213" s="902"/>
      <c r="N1213" s="900" t="s">
        <v>2297</v>
      </c>
    </row>
    <row r="1214" spans="1:14" s="910" customFormat="1" ht="16.5" hidden="1" customHeight="1">
      <c r="A1214" s="896"/>
      <c r="B1214" s="902" t="s">
        <v>3309</v>
      </c>
      <c r="C1214" s="897">
        <v>1</v>
      </c>
      <c r="D1214" s="1263" t="s">
        <v>273</v>
      </c>
      <c r="E1214" s="919">
        <v>1</v>
      </c>
      <c r="F1214" s="920">
        <v>14.2</v>
      </c>
      <c r="G1214" s="920">
        <v>0.3</v>
      </c>
      <c r="H1214" s="920">
        <v>0</v>
      </c>
      <c r="I1214" s="1266">
        <f t="shared" si="131"/>
        <v>4.26</v>
      </c>
      <c r="J1214" s="955" t="s">
        <v>102</v>
      </c>
      <c r="K1214" s="902"/>
      <c r="L1214" s="923"/>
      <c r="M1214" s="902"/>
      <c r="N1214" s="900" t="s">
        <v>2297</v>
      </c>
    </row>
    <row r="1215" spans="1:14" s="910" customFormat="1" ht="16.5" hidden="1" customHeight="1">
      <c r="A1215" s="896"/>
      <c r="B1215" s="902"/>
      <c r="C1215" s="897">
        <v>1</v>
      </c>
      <c r="D1215" s="1263" t="s">
        <v>273</v>
      </c>
      <c r="E1215" s="919">
        <v>2</v>
      </c>
      <c r="F1215" s="920">
        <v>4.87</v>
      </c>
      <c r="G1215" s="920">
        <v>0.3</v>
      </c>
      <c r="H1215" s="920">
        <v>0</v>
      </c>
      <c r="I1215" s="1266">
        <f t="shared" si="131"/>
        <v>2.92</v>
      </c>
      <c r="J1215" s="955" t="s">
        <v>102</v>
      </c>
      <c r="K1215" s="902"/>
      <c r="L1215" s="923"/>
      <c r="M1215" s="902"/>
      <c r="N1215" s="900" t="s">
        <v>2297</v>
      </c>
    </row>
    <row r="1216" spans="1:14" s="910" customFormat="1" ht="16.5" hidden="1" customHeight="1">
      <c r="A1216" s="896"/>
      <c r="B1216" s="902" t="s">
        <v>3739</v>
      </c>
      <c r="C1216" s="897">
        <v>1</v>
      </c>
      <c r="D1216" s="1263" t="s">
        <v>273</v>
      </c>
      <c r="E1216" s="919">
        <v>1</v>
      </c>
      <c r="F1216" s="920">
        <v>16.100000000000001</v>
      </c>
      <c r="G1216" s="920">
        <v>1.2</v>
      </c>
      <c r="H1216" s="920">
        <v>0</v>
      </c>
      <c r="I1216" s="1266">
        <f t="shared" si="131"/>
        <v>19.32</v>
      </c>
      <c r="J1216" s="955" t="s">
        <v>102</v>
      </c>
      <c r="K1216" s="902"/>
      <c r="L1216" s="923"/>
      <c r="M1216" s="902"/>
      <c r="N1216" s="900" t="s">
        <v>2297</v>
      </c>
    </row>
    <row r="1217" spans="1:14" s="910" customFormat="1" ht="16.5" hidden="1" customHeight="1">
      <c r="A1217" s="896"/>
      <c r="B1217" s="902" t="s">
        <v>3740</v>
      </c>
      <c r="C1217" s="897">
        <v>1</v>
      </c>
      <c r="D1217" s="1263" t="s">
        <v>273</v>
      </c>
      <c r="E1217" s="919">
        <v>1</v>
      </c>
      <c r="F1217" s="920">
        <f>(16.1+17.2)/2</f>
        <v>16.649999999999999</v>
      </c>
      <c r="G1217" s="920">
        <v>0.8</v>
      </c>
      <c r="H1217" s="920">
        <v>0</v>
      </c>
      <c r="I1217" s="1266">
        <f t="shared" si="131"/>
        <v>13.32</v>
      </c>
      <c r="J1217" s="955" t="s">
        <v>102</v>
      </c>
      <c r="K1217" s="902"/>
      <c r="L1217" s="923"/>
      <c r="M1217" s="902"/>
      <c r="N1217" s="900" t="s">
        <v>2297</v>
      </c>
    </row>
    <row r="1218" spans="1:14" s="910" customFormat="1" ht="16.5" hidden="1" customHeight="1">
      <c r="A1218" s="896"/>
      <c r="B1218" s="902" t="s">
        <v>2925</v>
      </c>
      <c r="C1218" s="897">
        <v>1</v>
      </c>
      <c r="D1218" s="1263" t="s">
        <v>273</v>
      </c>
      <c r="E1218" s="919">
        <v>1</v>
      </c>
      <c r="F1218" s="920">
        <f>(3.05+3.65)/2</f>
        <v>3.3499999999999996</v>
      </c>
      <c r="G1218" s="920">
        <v>0.8</v>
      </c>
      <c r="H1218" s="920">
        <v>0</v>
      </c>
      <c r="I1218" s="1266">
        <f t="shared" si="131"/>
        <v>2.68</v>
      </c>
      <c r="J1218" s="955" t="s">
        <v>102</v>
      </c>
      <c r="K1218" s="902"/>
      <c r="L1218" s="923"/>
      <c r="M1218" s="902"/>
      <c r="N1218" s="900" t="s">
        <v>2297</v>
      </c>
    </row>
    <row r="1219" spans="1:14" s="910" customFormat="1" ht="16.5" hidden="1" customHeight="1">
      <c r="A1219" s="896"/>
      <c r="B1219" s="956"/>
      <c r="C1219" s="957"/>
      <c r="D1219" s="958"/>
      <c r="E1219" s="1268"/>
      <c r="F1219" s="960"/>
      <c r="G1219" s="960"/>
      <c r="H1219" s="960"/>
      <c r="I1219" s="916"/>
      <c r="J1219" s="955"/>
      <c r="K1219" s="902"/>
      <c r="L1219" s="923"/>
      <c r="M1219" s="902"/>
      <c r="N1219" s="900" t="s">
        <v>2297</v>
      </c>
    </row>
    <row r="1220" spans="1:14" ht="15.75" hidden="1">
      <c r="A1220" s="896"/>
      <c r="B1220" s="902"/>
      <c r="C1220" s="917"/>
      <c r="D1220" s="918"/>
      <c r="E1220" s="919"/>
      <c r="F1220" s="920"/>
      <c r="G1220" s="921"/>
      <c r="H1220" s="896"/>
      <c r="I1220" s="916"/>
      <c r="J1220" s="955" t="s">
        <v>102</v>
      </c>
      <c r="K1220" s="922">
        <f>data!E1361</f>
        <v>284</v>
      </c>
      <c r="L1220" s="923" t="s">
        <v>2297</v>
      </c>
      <c r="M1220" s="924">
        <f>ROUND(I1220*K1220,0)</f>
        <v>0</v>
      </c>
      <c r="N1220" s="900" t="s">
        <v>2297</v>
      </c>
    </row>
    <row r="1221" spans="1:14" ht="54.75" hidden="1" customHeight="1">
      <c r="A1221" s="896">
        <v>25</v>
      </c>
      <c r="B1221" s="1609" t="s">
        <v>125</v>
      </c>
      <c r="C1221" s="1609"/>
      <c r="D1221" s="1609"/>
      <c r="E1221" s="1609"/>
      <c r="F1221" s="1609"/>
      <c r="G1221" s="1609"/>
      <c r="H1221" s="1609"/>
      <c r="I1221" s="897"/>
      <c r="J1221" s="898"/>
      <c r="K1221" s="896"/>
      <c r="L1221" s="923"/>
      <c r="M1221" s="899"/>
      <c r="N1221" s="900" t="s">
        <v>2308</v>
      </c>
    </row>
    <row r="1222" spans="1:14" s="910" customFormat="1" ht="16.5" hidden="1" customHeight="1">
      <c r="A1222" s="896"/>
      <c r="B1222" s="902" t="s">
        <v>3565</v>
      </c>
      <c r="C1222" s="897"/>
      <c r="D1222" s="1263"/>
      <c r="E1222" s="919"/>
      <c r="F1222" s="920"/>
      <c r="G1222" s="920"/>
      <c r="H1222" s="920"/>
      <c r="I1222" s="1264"/>
      <c r="J1222" s="955"/>
      <c r="K1222" s="902"/>
      <c r="L1222" s="923"/>
      <c r="M1222" s="902"/>
      <c r="N1222" s="900" t="s">
        <v>2308</v>
      </c>
    </row>
    <row r="1223" spans="1:14" s="910" customFormat="1" ht="16.5" hidden="1" customHeight="1">
      <c r="A1223" s="896"/>
      <c r="B1223" s="902" t="s">
        <v>2360</v>
      </c>
      <c r="C1223" s="897">
        <v>1</v>
      </c>
      <c r="D1223" s="1263" t="s">
        <v>273</v>
      </c>
      <c r="E1223" s="919">
        <v>1</v>
      </c>
      <c r="F1223" s="920">
        <v>2.85</v>
      </c>
      <c r="G1223" s="920">
        <v>2.78</v>
      </c>
      <c r="H1223" s="920">
        <v>0</v>
      </c>
      <c r="I1223" s="1286">
        <f t="shared" ref="I1223:I1241" si="132">ROUND(IF(AND(F1223:H1223),C1223*E1223*F1223*G1223*H1223,IF(AND(F1223,G1223),C1223*E1223*F1223*G1223,IF(AND(F1223,H1223),C1223*E1223*F1223*H1223,IF(AND(G1223,H1223),C1223*E1223*G1223*H1223,IF(F1223,C1223*E1223*F1223,IF(G1223,C1223*E1223*G1223,IF(H1223,C1223*E1223*H1223,C1223*E1223))))))),2)</f>
        <v>7.92</v>
      </c>
      <c r="J1223" s="955" t="s">
        <v>102</v>
      </c>
      <c r="K1223" s="902"/>
      <c r="L1223" s="923"/>
      <c r="M1223" s="902"/>
      <c r="N1223" s="900" t="s">
        <v>2308</v>
      </c>
    </row>
    <row r="1224" spans="1:14" s="910" customFormat="1" ht="16.5" hidden="1" customHeight="1">
      <c r="A1224" s="896"/>
      <c r="B1224" s="902" t="s">
        <v>2449</v>
      </c>
      <c r="C1224" s="897">
        <v>1</v>
      </c>
      <c r="D1224" s="1263" t="s">
        <v>273</v>
      </c>
      <c r="E1224" s="919">
        <v>1</v>
      </c>
      <c r="F1224" s="920">
        <v>1.34</v>
      </c>
      <c r="G1224" s="920">
        <v>1.6</v>
      </c>
      <c r="H1224" s="920">
        <v>0</v>
      </c>
      <c r="I1224" s="1286">
        <f t="shared" si="132"/>
        <v>2.14</v>
      </c>
      <c r="J1224" s="955" t="s">
        <v>102</v>
      </c>
      <c r="K1224" s="902"/>
      <c r="L1224" s="923"/>
      <c r="M1224" s="902"/>
      <c r="N1224" s="900" t="s">
        <v>2308</v>
      </c>
    </row>
    <row r="1225" spans="1:14" s="910" customFormat="1" ht="16.5" hidden="1" customHeight="1">
      <c r="A1225" s="896"/>
      <c r="B1225" s="902"/>
      <c r="C1225" s="897">
        <v>1</v>
      </c>
      <c r="D1225" s="1263" t="s">
        <v>273</v>
      </c>
      <c r="E1225" s="919">
        <v>1</v>
      </c>
      <c r="F1225" s="920">
        <v>1.34</v>
      </c>
      <c r="G1225" s="920">
        <v>1.0900000000000001</v>
      </c>
      <c r="H1225" s="920">
        <v>0</v>
      </c>
      <c r="I1225" s="1286">
        <f t="shared" si="132"/>
        <v>1.46</v>
      </c>
      <c r="J1225" s="955" t="s">
        <v>102</v>
      </c>
      <c r="K1225" s="902"/>
      <c r="L1225" s="923"/>
      <c r="M1225" s="902"/>
      <c r="N1225" s="900" t="s">
        <v>2308</v>
      </c>
    </row>
    <row r="1226" spans="1:14" s="910" customFormat="1" ht="16.5" hidden="1" customHeight="1">
      <c r="A1226" s="896"/>
      <c r="B1226" s="902" t="s">
        <v>2361</v>
      </c>
      <c r="C1226" s="897">
        <v>1</v>
      </c>
      <c r="D1226" s="1263" t="s">
        <v>273</v>
      </c>
      <c r="E1226" s="919">
        <v>1</v>
      </c>
      <c r="F1226" s="920">
        <v>2.27</v>
      </c>
      <c r="G1226" s="920">
        <v>2.78</v>
      </c>
      <c r="H1226" s="920">
        <v>0</v>
      </c>
      <c r="I1226" s="1286">
        <f t="shared" si="132"/>
        <v>6.31</v>
      </c>
      <c r="J1226" s="955" t="s">
        <v>102</v>
      </c>
      <c r="K1226" s="902"/>
      <c r="L1226" s="923"/>
      <c r="M1226" s="902"/>
      <c r="N1226" s="900" t="s">
        <v>2308</v>
      </c>
    </row>
    <row r="1227" spans="1:14" s="910" customFormat="1" ht="16.5" hidden="1" customHeight="1">
      <c r="A1227" s="896"/>
      <c r="B1227" s="902" t="s">
        <v>2487</v>
      </c>
      <c r="C1227" s="897">
        <v>1</v>
      </c>
      <c r="D1227" s="1263" t="s">
        <v>273</v>
      </c>
      <c r="E1227" s="919">
        <v>1</v>
      </c>
      <c r="F1227" s="920">
        <v>6.78</v>
      </c>
      <c r="G1227" s="920">
        <v>2.95</v>
      </c>
      <c r="H1227" s="920">
        <v>0</v>
      </c>
      <c r="I1227" s="1286">
        <f t="shared" si="132"/>
        <v>20</v>
      </c>
      <c r="J1227" s="955" t="s">
        <v>102</v>
      </c>
      <c r="K1227" s="902"/>
      <c r="L1227" s="923"/>
      <c r="M1227" s="902"/>
      <c r="N1227" s="900" t="s">
        <v>2308</v>
      </c>
    </row>
    <row r="1228" spans="1:14" s="910" customFormat="1" ht="16.5" hidden="1" customHeight="1">
      <c r="A1228" s="896"/>
      <c r="B1228" s="902" t="s">
        <v>2358</v>
      </c>
      <c r="C1228" s="897">
        <v>1</v>
      </c>
      <c r="D1228" s="1263" t="s">
        <v>273</v>
      </c>
      <c r="E1228" s="919">
        <v>1</v>
      </c>
      <c r="F1228" s="920">
        <v>2.7</v>
      </c>
      <c r="G1228" s="920">
        <v>2.78</v>
      </c>
      <c r="H1228" s="920">
        <v>0</v>
      </c>
      <c r="I1228" s="1286">
        <f t="shared" si="132"/>
        <v>7.51</v>
      </c>
      <c r="J1228" s="955" t="s">
        <v>102</v>
      </c>
      <c r="K1228" s="902"/>
      <c r="L1228" s="923"/>
      <c r="M1228" s="902"/>
      <c r="N1228" s="900" t="s">
        <v>2308</v>
      </c>
    </row>
    <row r="1229" spans="1:14" s="910" customFormat="1" ht="16.5" hidden="1" customHeight="1">
      <c r="A1229" s="896"/>
      <c r="B1229" s="902" t="s">
        <v>2488</v>
      </c>
      <c r="C1229" s="897">
        <v>1</v>
      </c>
      <c r="D1229" s="1263" t="s">
        <v>273</v>
      </c>
      <c r="E1229" s="919">
        <v>1</v>
      </c>
      <c r="F1229" s="920">
        <v>1.31</v>
      </c>
      <c r="G1229" s="920">
        <v>1.94</v>
      </c>
      <c r="H1229" s="920">
        <v>0</v>
      </c>
      <c r="I1229" s="1286">
        <f t="shared" si="132"/>
        <v>2.54</v>
      </c>
      <c r="J1229" s="955" t="s">
        <v>102</v>
      </c>
      <c r="K1229" s="902"/>
      <c r="L1229" s="923"/>
      <c r="M1229" s="902"/>
      <c r="N1229" s="900" t="s">
        <v>2308</v>
      </c>
    </row>
    <row r="1230" spans="1:14" s="910" customFormat="1" ht="16.5" hidden="1" customHeight="1">
      <c r="A1230" s="896"/>
      <c r="B1230" s="902"/>
      <c r="C1230" s="897">
        <v>1</v>
      </c>
      <c r="D1230" s="1263" t="s">
        <v>273</v>
      </c>
      <c r="E1230" s="919">
        <v>1</v>
      </c>
      <c r="F1230" s="920">
        <v>1.31</v>
      </c>
      <c r="G1230" s="920">
        <v>0.7</v>
      </c>
      <c r="H1230" s="920">
        <v>0</v>
      </c>
      <c r="I1230" s="1286">
        <f t="shared" si="132"/>
        <v>0.92</v>
      </c>
      <c r="J1230" s="955" t="s">
        <v>102</v>
      </c>
      <c r="K1230" s="902"/>
      <c r="L1230" s="923"/>
      <c r="M1230" s="902"/>
      <c r="N1230" s="900" t="s">
        <v>2308</v>
      </c>
    </row>
    <row r="1231" spans="1:14" s="910" customFormat="1" ht="16.5" hidden="1" customHeight="1">
      <c r="A1231" s="896"/>
      <c r="B1231" s="902" t="s">
        <v>2357</v>
      </c>
      <c r="C1231" s="897">
        <v>1</v>
      </c>
      <c r="D1231" s="1263" t="s">
        <v>273</v>
      </c>
      <c r="E1231" s="919">
        <v>1</v>
      </c>
      <c r="F1231" s="920">
        <v>1.81</v>
      </c>
      <c r="G1231" s="920">
        <v>2.78</v>
      </c>
      <c r="H1231" s="920">
        <v>0</v>
      </c>
      <c r="I1231" s="1286">
        <f t="shared" si="132"/>
        <v>5.03</v>
      </c>
      <c r="J1231" s="955" t="s">
        <v>102</v>
      </c>
      <c r="K1231" s="902"/>
      <c r="L1231" s="923"/>
      <c r="M1231" s="902"/>
      <c r="N1231" s="900" t="s">
        <v>2308</v>
      </c>
    </row>
    <row r="1232" spans="1:14" s="910" customFormat="1" ht="16.5" hidden="1" customHeight="1">
      <c r="A1232" s="896"/>
      <c r="B1232" s="902" t="s">
        <v>2355</v>
      </c>
      <c r="C1232" s="897">
        <v>1</v>
      </c>
      <c r="D1232" s="1263" t="s">
        <v>273</v>
      </c>
      <c r="E1232" s="919">
        <v>1</v>
      </c>
      <c r="F1232" s="920">
        <v>6.12</v>
      </c>
      <c r="G1232" s="920">
        <v>2.95</v>
      </c>
      <c r="H1232" s="920">
        <v>0</v>
      </c>
      <c r="I1232" s="1286">
        <f t="shared" si="132"/>
        <v>18.05</v>
      </c>
      <c r="J1232" s="955" t="s">
        <v>102</v>
      </c>
      <c r="K1232" s="902"/>
      <c r="L1232" s="923"/>
      <c r="M1232" s="902"/>
      <c r="N1232" s="900" t="s">
        <v>2308</v>
      </c>
    </row>
    <row r="1233" spans="1:14" s="910" customFormat="1" ht="16.5" hidden="1" customHeight="1">
      <c r="A1233" s="896"/>
      <c r="B1233" s="902" t="s">
        <v>2489</v>
      </c>
      <c r="C1233" s="897">
        <v>1</v>
      </c>
      <c r="D1233" s="1263" t="s">
        <v>273</v>
      </c>
      <c r="E1233" s="919">
        <v>1</v>
      </c>
      <c r="F1233" s="920">
        <v>13.54</v>
      </c>
      <c r="G1233" s="920">
        <v>1.2</v>
      </c>
      <c r="H1233" s="920">
        <v>0</v>
      </c>
      <c r="I1233" s="1286">
        <f t="shared" si="132"/>
        <v>16.25</v>
      </c>
      <c r="J1233" s="955" t="s">
        <v>102</v>
      </c>
      <c r="K1233" s="902"/>
      <c r="L1233" s="923"/>
      <c r="M1233" s="902"/>
      <c r="N1233" s="900" t="s">
        <v>2308</v>
      </c>
    </row>
    <row r="1234" spans="1:14" s="910" customFormat="1" ht="16.5" hidden="1" customHeight="1">
      <c r="A1234" s="896"/>
      <c r="B1234" s="902"/>
      <c r="C1234" s="897">
        <v>1</v>
      </c>
      <c r="D1234" s="1263" t="s">
        <v>273</v>
      </c>
      <c r="E1234" s="919">
        <v>2</v>
      </c>
      <c r="F1234" s="920">
        <v>1.2</v>
      </c>
      <c r="G1234" s="920">
        <v>2.77</v>
      </c>
      <c r="H1234" s="920">
        <v>0</v>
      </c>
      <c r="I1234" s="1286">
        <f t="shared" si="132"/>
        <v>6.65</v>
      </c>
      <c r="J1234" s="955" t="s">
        <v>102</v>
      </c>
      <c r="K1234" s="902"/>
      <c r="L1234" s="923"/>
      <c r="M1234" s="902"/>
      <c r="N1234" s="900" t="s">
        <v>2308</v>
      </c>
    </row>
    <row r="1235" spans="1:14" s="910" customFormat="1" ht="16.5" hidden="1" customHeight="1">
      <c r="A1235" s="896"/>
      <c r="B1235" s="902" t="s">
        <v>2490</v>
      </c>
      <c r="C1235" s="897">
        <v>1</v>
      </c>
      <c r="D1235" s="1263" t="s">
        <v>273</v>
      </c>
      <c r="E1235" s="919">
        <v>1</v>
      </c>
      <c r="F1235" s="920">
        <v>23.4</v>
      </c>
      <c r="G1235" s="920">
        <v>0.9</v>
      </c>
      <c r="H1235" s="920">
        <v>0</v>
      </c>
      <c r="I1235" s="1286">
        <f t="shared" si="132"/>
        <v>21.06</v>
      </c>
      <c r="J1235" s="955" t="s">
        <v>102</v>
      </c>
      <c r="K1235" s="902"/>
      <c r="L1235" s="923"/>
      <c r="M1235" s="902"/>
      <c r="N1235" s="900" t="s">
        <v>2308</v>
      </c>
    </row>
    <row r="1236" spans="1:14" s="910" customFormat="1" ht="16.5" hidden="1" customHeight="1">
      <c r="A1236" s="896"/>
      <c r="B1236" s="902" t="s">
        <v>2491</v>
      </c>
      <c r="C1236" s="897">
        <v>1</v>
      </c>
      <c r="D1236" s="1263" t="s">
        <v>273</v>
      </c>
      <c r="E1236" s="919">
        <v>2</v>
      </c>
      <c r="F1236" s="920">
        <v>25.8</v>
      </c>
      <c r="G1236" s="920">
        <v>0</v>
      </c>
      <c r="H1236" s="920">
        <v>0.2</v>
      </c>
      <c r="I1236" s="1286">
        <f t="shared" si="132"/>
        <v>10.32</v>
      </c>
      <c r="J1236" s="955" t="s">
        <v>102</v>
      </c>
      <c r="K1236" s="902"/>
      <c r="L1236" s="923"/>
      <c r="M1236" s="902"/>
      <c r="N1236" s="900" t="s">
        <v>2308</v>
      </c>
    </row>
    <row r="1237" spans="1:14" s="910" customFormat="1" ht="16.5" hidden="1" customHeight="1">
      <c r="A1237" s="896"/>
      <c r="B1237" s="902" t="s">
        <v>1243</v>
      </c>
      <c r="C1237" s="897">
        <v>1</v>
      </c>
      <c r="D1237" s="1263" t="s">
        <v>273</v>
      </c>
      <c r="E1237" s="919">
        <v>2</v>
      </c>
      <c r="F1237" s="920">
        <v>16.2</v>
      </c>
      <c r="G1237" s="920">
        <v>0</v>
      </c>
      <c r="H1237" s="920">
        <v>0.3</v>
      </c>
      <c r="I1237" s="1286">
        <f t="shared" si="132"/>
        <v>9.7200000000000006</v>
      </c>
      <c r="J1237" s="955" t="s">
        <v>102</v>
      </c>
      <c r="K1237" s="902"/>
      <c r="L1237" s="923"/>
      <c r="M1237" s="902"/>
      <c r="N1237" s="900" t="s">
        <v>2308</v>
      </c>
    </row>
    <row r="1238" spans="1:14" s="910" customFormat="1" ht="16.5" hidden="1" customHeight="1">
      <c r="A1238" s="896"/>
      <c r="B1238" s="902"/>
      <c r="C1238" s="897">
        <v>2</v>
      </c>
      <c r="D1238" s="1263" t="s">
        <v>273</v>
      </c>
      <c r="E1238" s="919">
        <v>2</v>
      </c>
      <c r="F1238" s="920">
        <v>2.77</v>
      </c>
      <c r="G1238" s="920">
        <v>0</v>
      </c>
      <c r="H1238" s="920">
        <v>0.3</v>
      </c>
      <c r="I1238" s="1286">
        <f t="shared" si="132"/>
        <v>3.32</v>
      </c>
      <c r="J1238" s="955" t="s">
        <v>102</v>
      </c>
      <c r="K1238" s="902"/>
      <c r="L1238" s="923"/>
      <c r="M1238" s="902"/>
      <c r="N1238" s="900" t="s">
        <v>2308</v>
      </c>
    </row>
    <row r="1239" spans="1:14" s="910" customFormat="1" ht="16.5" hidden="1" customHeight="1">
      <c r="A1239" s="896"/>
      <c r="B1239" s="902"/>
      <c r="C1239" s="897">
        <v>2</v>
      </c>
      <c r="D1239" s="1263" t="s">
        <v>273</v>
      </c>
      <c r="E1239" s="919">
        <v>2</v>
      </c>
      <c r="F1239" s="920">
        <v>0.97</v>
      </c>
      <c r="G1239" s="920">
        <v>0</v>
      </c>
      <c r="H1239" s="920">
        <v>0.3</v>
      </c>
      <c r="I1239" s="1286">
        <f t="shared" si="132"/>
        <v>1.1599999999999999</v>
      </c>
      <c r="J1239" s="955" t="s">
        <v>102</v>
      </c>
      <c r="K1239" s="902"/>
      <c r="L1239" s="923"/>
      <c r="M1239" s="902"/>
      <c r="N1239" s="900" t="s">
        <v>2308</v>
      </c>
    </row>
    <row r="1240" spans="1:14" s="910" customFormat="1" ht="16.5" hidden="1" customHeight="1">
      <c r="A1240" s="896"/>
      <c r="B1240" s="902"/>
      <c r="C1240" s="897">
        <v>2</v>
      </c>
      <c r="D1240" s="1263" t="s">
        <v>273</v>
      </c>
      <c r="E1240" s="919">
        <v>2</v>
      </c>
      <c r="F1240" s="920">
        <v>0.97</v>
      </c>
      <c r="G1240" s="920">
        <v>0</v>
      </c>
      <c r="H1240" s="920">
        <v>0.3</v>
      </c>
      <c r="I1240" s="1286">
        <f t="shared" si="132"/>
        <v>1.1599999999999999</v>
      </c>
      <c r="J1240" s="955" t="s">
        <v>102</v>
      </c>
      <c r="K1240" s="902"/>
      <c r="L1240" s="923"/>
      <c r="M1240" s="902"/>
      <c r="N1240" s="900" t="s">
        <v>2308</v>
      </c>
    </row>
    <row r="1241" spans="1:14" s="910" customFormat="1" ht="16.5" hidden="1" customHeight="1">
      <c r="A1241" s="896"/>
      <c r="B1241" s="902"/>
      <c r="C1241" s="897">
        <v>5</v>
      </c>
      <c r="D1241" s="1263" t="s">
        <v>273</v>
      </c>
      <c r="E1241" s="919">
        <v>2</v>
      </c>
      <c r="F1241" s="920">
        <v>0.97</v>
      </c>
      <c r="G1241" s="920">
        <v>0</v>
      </c>
      <c r="H1241" s="920">
        <v>0.3</v>
      </c>
      <c r="I1241" s="1286">
        <f t="shared" si="132"/>
        <v>2.91</v>
      </c>
      <c r="J1241" s="955" t="s">
        <v>102</v>
      </c>
      <c r="K1241" s="902"/>
      <c r="L1241" s="923"/>
      <c r="M1241" s="902"/>
      <c r="N1241" s="900" t="s">
        <v>2308</v>
      </c>
    </row>
    <row r="1242" spans="1:14" s="910" customFormat="1" ht="16.5" hidden="1" customHeight="1">
      <c r="A1242" s="896"/>
      <c r="B1242" s="902" t="s">
        <v>2353</v>
      </c>
      <c r="C1242" s="897">
        <v>1</v>
      </c>
      <c r="D1242" s="1263" t="s">
        <v>273</v>
      </c>
      <c r="E1242" s="919">
        <v>9</v>
      </c>
      <c r="F1242" s="920">
        <v>0.3</v>
      </c>
      <c r="G1242" s="920">
        <v>0</v>
      </c>
      <c r="H1242" s="920">
        <v>0.3</v>
      </c>
      <c r="I1242" s="1286">
        <f>-ROUND(IF(AND(F1242:H1242),C1242*E1242*F1242*G1242*H1242,IF(AND(F1242,G1242),C1242*E1242*F1242*G1242,IF(AND(F1242,H1242),C1242*E1242*F1242*H1242,IF(AND(G1242,H1242),C1242*E1242*G1242*H1242,IF(F1242,C1242*E1242*F1242,IF(G1242,C1242*E1242*G1242,IF(H1242,C1242*E1242*H1242,C1242*E1242))))))),2)</f>
        <v>-0.81</v>
      </c>
      <c r="J1242" s="955" t="s">
        <v>102</v>
      </c>
      <c r="K1242" s="902"/>
      <c r="L1242" s="923"/>
      <c r="M1242" s="902"/>
      <c r="N1242" s="900" t="s">
        <v>2308</v>
      </c>
    </row>
    <row r="1243" spans="1:14" s="910" customFormat="1" ht="16.5" hidden="1" customHeight="1">
      <c r="A1243" s="896"/>
      <c r="B1243" s="902" t="s">
        <v>2492</v>
      </c>
      <c r="C1243" s="897">
        <v>1</v>
      </c>
      <c r="D1243" s="1263" t="s">
        <v>273</v>
      </c>
      <c r="E1243" s="919">
        <v>2</v>
      </c>
      <c r="F1243" s="920">
        <v>5</v>
      </c>
      <c r="G1243" s="920">
        <v>0.42499999999999999</v>
      </c>
      <c r="H1243" s="920">
        <v>0</v>
      </c>
      <c r="I1243" s="1286">
        <f>ROUND(IF(AND(F1243:H1243),C1243*E1243*F1243*G1243*H1243,IF(AND(F1243,G1243),C1243*E1243*F1243*G1243,IF(AND(F1243,H1243),C1243*E1243*F1243*H1243,IF(AND(G1243,H1243),C1243*E1243*G1243*H1243,IF(F1243,C1243*E1243*F1243,IF(G1243,C1243*E1243*G1243,IF(H1243,C1243*E1243*H1243,C1243*E1243))))))),2)</f>
        <v>4.25</v>
      </c>
      <c r="J1243" s="955" t="s">
        <v>102</v>
      </c>
      <c r="K1243" s="902"/>
      <c r="L1243" s="923"/>
      <c r="M1243" s="902"/>
      <c r="N1243" s="900" t="s">
        <v>2308</v>
      </c>
    </row>
    <row r="1244" spans="1:14" s="910" customFormat="1" ht="16.5" hidden="1" customHeight="1">
      <c r="A1244" s="896"/>
      <c r="B1244" s="902" t="s">
        <v>2493</v>
      </c>
      <c r="C1244" s="897">
        <v>1</v>
      </c>
      <c r="D1244" s="1263" t="s">
        <v>273</v>
      </c>
      <c r="E1244" s="919">
        <v>1</v>
      </c>
      <c r="F1244" s="920">
        <v>14.1</v>
      </c>
      <c r="G1244" s="920">
        <v>0.42499999999999999</v>
      </c>
      <c r="H1244" s="920">
        <v>0</v>
      </c>
      <c r="I1244" s="1286">
        <f>ROUND(IF(AND(F1244:H1244),C1244*E1244*F1244*G1244*H1244,IF(AND(F1244,G1244),C1244*E1244*F1244*G1244,IF(AND(F1244,H1244),C1244*E1244*F1244*H1244,IF(AND(G1244,H1244),C1244*E1244*G1244*H1244,IF(F1244,C1244*E1244*F1244,IF(G1244,C1244*E1244*G1244,IF(H1244,C1244*E1244*H1244,C1244*E1244))))))),2)</f>
        <v>5.99</v>
      </c>
      <c r="J1244" s="955" t="s">
        <v>102</v>
      </c>
      <c r="K1244" s="902"/>
      <c r="L1244" s="923"/>
      <c r="M1244" s="902"/>
      <c r="N1244" s="900" t="s">
        <v>2308</v>
      </c>
    </row>
    <row r="1245" spans="1:14" s="910" customFormat="1" ht="16.5" hidden="1" customHeight="1">
      <c r="A1245" s="896"/>
      <c r="B1245" s="902" t="s">
        <v>2367</v>
      </c>
      <c r="C1245" s="897">
        <v>6</v>
      </c>
      <c r="D1245" s="1263" t="s">
        <v>273</v>
      </c>
      <c r="E1245" s="919">
        <v>2</v>
      </c>
      <c r="F1245" s="920">
        <v>1.5</v>
      </c>
      <c r="G1245" s="920">
        <v>0.6</v>
      </c>
      <c r="H1245" s="920">
        <v>0</v>
      </c>
      <c r="I1245" s="1286">
        <f>ROUND(IF(AND(F1245:H1245),C1245*E1245*F1245*G1245*H1245,IF(AND(F1245,G1245),C1245*E1245*F1245*G1245,IF(AND(F1245,H1245),C1245*E1245*F1245*H1245,IF(AND(G1245,H1245),C1245*E1245*G1245*H1245,IF(F1245,C1245*E1245*F1245,IF(G1245,C1245*E1245*G1245,IF(H1245,C1245*E1245*H1245,C1245*E1245))))))),2)</f>
        <v>10.8</v>
      </c>
      <c r="J1245" s="955" t="s">
        <v>102</v>
      </c>
      <c r="K1245" s="902"/>
      <c r="L1245" s="923"/>
      <c r="M1245" s="902"/>
      <c r="N1245" s="900" t="s">
        <v>2308</v>
      </c>
    </row>
    <row r="1246" spans="1:14" s="910" customFormat="1" ht="16.5" hidden="1" customHeight="1">
      <c r="A1246" s="896"/>
      <c r="B1246" s="956"/>
      <c r="C1246" s="957"/>
      <c r="D1246" s="958"/>
      <c r="E1246" s="1268"/>
      <c r="F1246" s="960"/>
      <c r="G1246" s="960"/>
      <c r="H1246" s="960"/>
      <c r="I1246" s="916"/>
      <c r="J1246" s="955"/>
      <c r="K1246" s="902"/>
      <c r="L1246" s="923"/>
      <c r="M1246" s="902"/>
      <c r="N1246" s="900" t="s">
        <v>2308</v>
      </c>
    </row>
    <row r="1247" spans="1:14" ht="15.75" hidden="1">
      <c r="A1247" s="896"/>
      <c r="B1247" s="902"/>
      <c r="C1247" s="917"/>
      <c r="D1247" s="918"/>
      <c r="E1247" s="919"/>
      <c r="F1247" s="920"/>
      <c r="G1247" s="921"/>
      <c r="H1247" s="896"/>
      <c r="I1247" s="916"/>
      <c r="J1247" s="955" t="s">
        <v>102</v>
      </c>
      <c r="K1247" s="922">
        <f>data!E2278</f>
        <v>300.93</v>
      </c>
      <c r="L1247" s="923" t="s">
        <v>2308</v>
      </c>
      <c r="M1247" s="924">
        <f>ROUND(I1247*K1247,0)</f>
        <v>0</v>
      </c>
      <c r="N1247" s="900" t="s">
        <v>2308</v>
      </c>
    </row>
    <row r="1248" spans="1:14" ht="54.75" hidden="1" customHeight="1">
      <c r="A1248" s="896">
        <v>22</v>
      </c>
      <c r="B1248" s="1609" t="s">
        <v>125</v>
      </c>
      <c r="C1248" s="1609"/>
      <c r="D1248" s="1609"/>
      <c r="E1248" s="1609"/>
      <c r="F1248" s="1609"/>
      <c r="G1248" s="1609"/>
      <c r="H1248" s="1609"/>
      <c r="I1248" s="897"/>
      <c r="J1248" s="898"/>
      <c r="K1248" s="896"/>
      <c r="L1248" s="923"/>
      <c r="M1248" s="899"/>
      <c r="N1248" s="900" t="s">
        <v>2309</v>
      </c>
    </row>
    <row r="1249" spans="1:14" s="910" customFormat="1" ht="16.5" hidden="1" customHeight="1">
      <c r="A1249" s="896"/>
      <c r="B1249" s="902" t="s">
        <v>3530</v>
      </c>
      <c r="C1249" s="897"/>
      <c r="D1249" s="1263"/>
      <c r="E1249" s="919"/>
      <c r="F1249" s="920"/>
      <c r="G1249" s="920"/>
      <c r="H1249" s="920"/>
      <c r="I1249" s="1264"/>
      <c r="J1249" s="955"/>
      <c r="K1249" s="902"/>
      <c r="L1249" s="923"/>
      <c r="M1249" s="902"/>
      <c r="N1249" s="900" t="s">
        <v>2309</v>
      </c>
    </row>
    <row r="1250" spans="1:14" s="910" customFormat="1" ht="16.5" hidden="1" customHeight="1">
      <c r="A1250" s="896"/>
      <c r="B1250" s="902"/>
      <c r="C1250" s="897">
        <v>1</v>
      </c>
      <c r="D1250" s="1263" t="s">
        <v>273</v>
      </c>
      <c r="E1250" s="919">
        <v>1</v>
      </c>
      <c r="F1250" s="920">
        <v>3.25</v>
      </c>
      <c r="G1250" s="920">
        <v>2.64</v>
      </c>
      <c r="H1250" s="920">
        <v>0</v>
      </c>
      <c r="I1250" s="1266">
        <f t="shared" ref="I1250:I1263" si="133">ROUND(IF(AND(F1250:H1250),C1250*E1250*F1250*G1250*H1250,IF(AND(F1250,G1250),C1250*E1250*F1250*G1250,IF(AND(F1250,H1250),C1250*E1250*F1250*H1250,IF(AND(G1250,H1250),C1250*E1250*G1250*H1250,IF(F1250,C1250*E1250*F1250,IF(G1250,C1250*E1250*G1250,IF(H1250,C1250*E1250*H1250,C1250*E1250))))))),2)</f>
        <v>8.58</v>
      </c>
      <c r="J1250" s="955" t="s">
        <v>102</v>
      </c>
      <c r="K1250" s="902"/>
      <c r="L1250" s="923"/>
      <c r="M1250" s="902"/>
      <c r="N1250" s="900" t="s">
        <v>2309</v>
      </c>
    </row>
    <row r="1251" spans="1:14" s="910" customFormat="1" ht="16.5" hidden="1" customHeight="1">
      <c r="A1251" s="896"/>
      <c r="B1251" s="902"/>
      <c r="C1251" s="897">
        <v>1</v>
      </c>
      <c r="D1251" s="1263" t="s">
        <v>273</v>
      </c>
      <c r="E1251" s="919">
        <v>1</v>
      </c>
      <c r="F1251" s="920">
        <v>3.25</v>
      </c>
      <c r="G1251" s="920">
        <v>2.72</v>
      </c>
      <c r="H1251" s="920">
        <v>0</v>
      </c>
      <c r="I1251" s="1266">
        <f t="shared" si="133"/>
        <v>8.84</v>
      </c>
      <c r="J1251" s="955" t="s">
        <v>102</v>
      </c>
      <c r="K1251" s="902"/>
      <c r="L1251" s="923"/>
      <c r="M1251" s="902"/>
      <c r="N1251" s="900" t="s">
        <v>2309</v>
      </c>
    </row>
    <row r="1252" spans="1:14" s="910" customFormat="1" ht="16.5" hidden="1" customHeight="1">
      <c r="A1252" s="896"/>
      <c r="B1252" s="902"/>
      <c r="C1252" s="897">
        <v>1</v>
      </c>
      <c r="D1252" s="1263" t="s">
        <v>273</v>
      </c>
      <c r="E1252" s="919">
        <v>1</v>
      </c>
      <c r="F1252" s="920">
        <v>8.65</v>
      </c>
      <c r="G1252" s="920">
        <v>3.2</v>
      </c>
      <c r="H1252" s="920">
        <v>0</v>
      </c>
      <c r="I1252" s="1266">
        <f t="shared" si="133"/>
        <v>27.68</v>
      </c>
      <c r="J1252" s="955" t="s">
        <v>102</v>
      </c>
      <c r="K1252" s="902"/>
      <c r="L1252" s="923"/>
      <c r="M1252" s="902"/>
      <c r="N1252" s="900" t="s">
        <v>2309</v>
      </c>
    </row>
    <row r="1253" spans="1:14" s="910" customFormat="1" ht="16.5" hidden="1" customHeight="1">
      <c r="A1253" s="896"/>
      <c r="B1253" s="902"/>
      <c r="C1253" s="897">
        <v>1</v>
      </c>
      <c r="D1253" s="1263" t="s">
        <v>273</v>
      </c>
      <c r="E1253" s="919">
        <v>2</v>
      </c>
      <c r="F1253" s="920">
        <v>3.2</v>
      </c>
      <c r="G1253" s="920">
        <v>0</v>
      </c>
      <c r="H1253" s="920">
        <v>0.3</v>
      </c>
      <c r="I1253" s="1266">
        <f t="shared" si="133"/>
        <v>1.92</v>
      </c>
      <c r="J1253" s="955" t="s">
        <v>102</v>
      </c>
      <c r="K1253" s="902"/>
      <c r="L1253" s="923"/>
      <c r="M1253" s="902"/>
      <c r="N1253" s="900" t="s">
        <v>2309</v>
      </c>
    </row>
    <row r="1254" spans="1:14" s="910" customFormat="1" ht="16.5" hidden="1" customHeight="1">
      <c r="A1254" s="896"/>
      <c r="B1254" s="902"/>
      <c r="C1254" s="897">
        <v>1</v>
      </c>
      <c r="D1254" s="1263" t="s">
        <v>273</v>
      </c>
      <c r="E1254" s="919">
        <v>1</v>
      </c>
      <c r="F1254" s="920">
        <v>4.9800000000000004</v>
      </c>
      <c r="G1254" s="920">
        <v>8.6</v>
      </c>
      <c r="H1254" s="920">
        <v>0</v>
      </c>
      <c r="I1254" s="1266">
        <f t="shared" si="133"/>
        <v>42.83</v>
      </c>
      <c r="J1254" s="955" t="s">
        <v>102</v>
      </c>
      <c r="K1254" s="902"/>
      <c r="L1254" s="923"/>
      <c r="M1254" s="902"/>
      <c r="N1254" s="900" t="s">
        <v>2309</v>
      </c>
    </row>
    <row r="1255" spans="1:14" s="910" customFormat="1" ht="16.5" hidden="1" customHeight="1">
      <c r="A1255" s="896"/>
      <c r="B1255" s="902"/>
      <c r="C1255" s="897">
        <v>1</v>
      </c>
      <c r="D1255" s="1263" t="s">
        <v>273</v>
      </c>
      <c r="E1255" s="919">
        <v>1</v>
      </c>
      <c r="F1255" s="920">
        <v>5.45</v>
      </c>
      <c r="G1255" s="920">
        <v>1.8</v>
      </c>
      <c r="H1255" s="920">
        <v>0</v>
      </c>
      <c r="I1255" s="1266">
        <f t="shared" si="133"/>
        <v>9.81</v>
      </c>
      <c r="J1255" s="955" t="s">
        <v>102</v>
      </c>
      <c r="K1255" s="902"/>
      <c r="L1255" s="923"/>
      <c r="M1255" s="902"/>
      <c r="N1255" s="900" t="s">
        <v>2309</v>
      </c>
    </row>
    <row r="1256" spans="1:14" s="910" customFormat="1" ht="16.5" hidden="1" customHeight="1">
      <c r="A1256" s="896"/>
      <c r="B1256" s="902"/>
      <c r="C1256" s="897">
        <v>1</v>
      </c>
      <c r="D1256" s="1263" t="s">
        <v>273</v>
      </c>
      <c r="E1256" s="919">
        <v>4</v>
      </c>
      <c r="F1256" s="920">
        <v>1.65</v>
      </c>
      <c r="G1256" s="920">
        <v>0</v>
      </c>
      <c r="H1256" s="920">
        <v>0.3</v>
      </c>
      <c r="I1256" s="1266">
        <f t="shared" si="133"/>
        <v>1.98</v>
      </c>
      <c r="J1256" s="955" t="s">
        <v>102</v>
      </c>
      <c r="K1256" s="902"/>
      <c r="L1256" s="923"/>
      <c r="M1256" s="902"/>
      <c r="N1256" s="900" t="s">
        <v>2309</v>
      </c>
    </row>
    <row r="1257" spans="1:14" s="910" customFormat="1" ht="16.5" hidden="1" customHeight="1">
      <c r="A1257" s="896"/>
      <c r="B1257" s="902"/>
      <c r="C1257" s="897">
        <v>1</v>
      </c>
      <c r="D1257" s="1263" t="s">
        <v>273</v>
      </c>
      <c r="E1257" s="919">
        <v>1</v>
      </c>
      <c r="F1257" s="920">
        <v>1.8</v>
      </c>
      <c r="G1257" s="920">
        <v>0</v>
      </c>
      <c r="H1257" s="920">
        <v>0.38</v>
      </c>
      <c r="I1257" s="1266">
        <f t="shared" si="133"/>
        <v>0.68</v>
      </c>
      <c r="J1257" s="955" t="s">
        <v>102</v>
      </c>
      <c r="K1257" s="902"/>
      <c r="L1257" s="923"/>
      <c r="M1257" s="902"/>
      <c r="N1257" s="900" t="s">
        <v>2309</v>
      </c>
    </row>
    <row r="1258" spans="1:14" s="910" customFormat="1" ht="16.5" hidden="1" customHeight="1">
      <c r="A1258" s="896"/>
      <c r="B1258" s="902"/>
      <c r="C1258" s="897">
        <v>1</v>
      </c>
      <c r="D1258" s="1263" t="s">
        <v>273</v>
      </c>
      <c r="E1258" s="919">
        <v>1</v>
      </c>
      <c r="F1258" s="920">
        <v>2.96</v>
      </c>
      <c r="G1258" s="920">
        <v>0</v>
      </c>
      <c r="H1258" s="920">
        <v>0.3</v>
      </c>
      <c r="I1258" s="1266">
        <f t="shared" si="133"/>
        <v>0.89</v>
      </c>
      <c r="J1258" s="955" t="s">
        <v>102</v>
      </c>
      <c r="K1258" s="902"/>
      <c r="L1258" s="923"/>
      <c r="M1258" s="902"/>
      <c r="N1258" s="900" t="s">
        <v>2309</v>
      </c>
    </row>
    <row r="1259" spans="1:14" s="910" customFormat="1" ht="16.5" hidden="1" customHeight="1">
      <c r="A1259" s="896"/>
      <c r="B1259" s="902"/>
      <c r="C1259" s="897">
        <v>1</v>
      </c>
      <c r="D1259" s="1263" t="s">
        <v>273</v>
      </c>
      <c r="E1259" s="919">
        <v>2</v>
      </c>
      <c r="F1259" s="920">
        <v>8.5</v>
      </c>
      <c r="G1259" s="920">
        <v>0</v>
      </c>
      <c r="H1259" s="920">
        <v>0.3</v>
      </c>
      <c r="I1259" s="1266">
        <f t="shared" si="133"/>
        <v>5.0999999999999996</v>
      </c>
      <c r="J1259" s="955" t="s">
        <v>102</v>
      </c>
      <c r="K1259" s="902"/>
      <c r="L1259" s="923"/>
      <c r="M1259" s="902"/>
      <c r="N1259" s="900" t="s">
        <v>2309</v>
      </c>
    </row>
    <row r="1260" spans="1:14" s="910" customFormat="1" ht="16.5" hidden="1" customHeight="1">
      <c r="A1260" s="896"/>
      <c r="B1260" s="902"/>
      <c r="C1260" s="897">
        <v>1</v>
      </c>
      <c r="D1260" s="1263" t="s">
        <v>273</v>
      </c>
      <c r="E1260" s="919">
        <v>1</v>
      </c>
      <c r="F1260" s="920">
        <v>12.47</v>
      </c>
      <c r="G1260" s="920">
        <v>0</v>
      </c>
      <c r="H1260" s="920">
        <v>0.3</v>
      </c>
      <c r="I1260" s="1266">
        <f t="shared" si="133"/>
        <v>3.74</v>
      </c>
      <c r="J1260" s="955" t="s">
        <v>102</v>
      </c>
      <c r="K1260" s="902"/>
      <c r="L1260" s="923"/>
      <c r="M1260" s="902"/>
      <c r="N1260" s="900" t="s">
        <v>2309</v>
      </c>
    </row>
    <row r="1261" spans="1:14" s="910" customFormat="1" ht="16.5" hidden="1" customHeight="1">
      <c r="A1261" s="896"/>
      <c r="B1261" s="902"/>
      <c r="C1261" s="897">
        <v>1</v>
      </c>
      <c r="D1261" s="1263" t="s">
        <v>273</v>
      </c>
      <c r="E1261" s="919">
        <v>1</v>
      </c>
      <c r="F1261" s="920">
        <v>9.52</v>
      </c>
      <c r="G1261" s="920">
        <v>0</v>
      </c>
      <c r="H1261" s="920">
        <v>0.3</v>
      </c>
      <c r="I1261" s="1266">
        <f t="shared" si="133"/>
        <v>2.86</v>
      </c>
      <c r="J1261" s="955" t="s">
        <v>102</v>
      </c>
      <c r="K1261" s="902"/>
      <c r="L1261" s="923"/>
      <c r="M1261" s="902"/>
      <c r="N1261" s="900" t="s">
        <v>2309</v>
      </c>
    </row>
    <row r="1262" spans="1:14" s="910" customFormat="1" ht="16.5" hidden="1" customHeight="1">
      <c r="A1262" s="896"/>
      <c r="B1262" s="902"/>
      <c r="C1262" s="897">
        <v>1</v>
      </c>
      <c r="D1262" s="1263" t="s">
        <v>273</v>
      </c>
      <c r="E1262" s="919">
        <v>1</v>
      </c>
      <c r="F1262" s="920">
        <v>9.44</v>
      </c>
      <c r="G1262" s="920">
        <v>0</v>
      </c>
      <c r="H1262" s="920">
        <v>0.3</v>
      </c>
      <c r="I1262" s="1266">
        <f t="shared" si="133"/>
        <v>2.83</v>
      </c>
      <c r="J1262" s="955" t="s">
        <v>102</v>
      </c>
      <c r="K1262" s="902"/>
      <c r="L1262" s="923"/>
      <c r="M1262" s="902"/>
      <c r="N1262" s="900" t="s">
        <v>2309</v>
      </c>
    </row>
    <row r="1263" spans="1:14" s="910" customFormat="1" ht="16.5" hidden="1" customHeight="1">
      <c r="A1263" s="896"/>
      <c r="B1263" s="902"/>
      <c r="C1263" s="897">
        <v>1</v>
      </c>
      <c r="D1263" s="1263" t="s">
        <v>273</v>
      </c>
      <c r="E1263" s="919">
        <v>5</v>
      </c>
      <c r="F1263" s="920">
        <v>1.8</v>
      </c>
      <c r="G1263" s="920">
        <v>0.6</v>
      </c>
      <c r="H1263" s="920">
        <v>0</v>
      </c>
      <c r="I1263" s="1266">
        <f t="shared" si="133"/>
        <v>5.4</v>
      </c>
      <c r="J1263" s="955" t="s">
        <v>102</v>
      </c>
      <c r="K1263" s="902"/>
      <c r="L1263" s="923"/>
      <c r="M1263" s="902"/>
      <c r="N1263" s="900" t="s">
        <v>2309</v>
      </c>
    </row>
    <row r="1264" spans="1:14" s="910" customFormat="1" ht="16.5" hidden="1" customHeight="1">
      <c r="A1264" s="896"/>
      <c r="B1264" s="956"/>
      <c r="C1264" s="957"/>
      <c r="D1264" s="958"/>
      <c r="E1264" s="1268"/>
      <c r="F1264" s="960"/>
      <c r="G1264" s="960"/>
      <c r="H1264" s="960"/>
      <c r="I1264" s="916"/>
      <c r="J1264" s="955"/>
      <c r="K1264" s="902"/>
      <c r="L1264" s="923"/>
      <c r="M1264" s="902"/>
      <c r="N1264" s="900" t="s">
        <v>2309</v>
      </c>
    </row>
    <row r="1265" spans="1:14" ht="15.75" hidden="1">
      <c r="A1265" s="896"/>
      <c r="B1265" s="902"/>
      <c r="C1265" s="917"/>
      <c r="D1265" s="918"/>
      <c r="E1265" s="919"/>
      <c r="F1265" s="920"/>
      <c r="G1265" s="921"/>
      <c r="H1265" s="896"/>
      <c r="I1265" s="916"/>
      <c r="J1265" s="955" t="s">
        <v>102</v>
      </c>
      <c r="K1265" s="922">
        <f>data!E3195</f>
        <v>318.2</v>
      </c>
      <c r="L1265" s="923" t="s">
        <v>2309</v>
      </c>
      <c r="M1265" s="924">
        <f>ROUND(I1265*K1265,0)</f>
        <v>0</v>
      </c>
      <c r="N1265" s="900" t="s">
        <v>2309</v>
      </c>
    </row>
    <row r="1266" spans="1:14" ht="42" hidden="1" customHeight="1">
      <c r="A1266" s="896">
        <v>21</v>
      </c>
      <c r="B1266" s="1609" t="s">
        <v>126</v>
      </c>
      <c r="C1266" s="1609"/>
      <c r="D1266" s="1609"/>
      <c r="E1266" s="1609"/>
      <c r="F1266" s="1609"/>
      <c r="G1266" s="1609"/>
      <c r="H1266" s="1609"/>
      <c r="I1266" s="897"/>
      <c r="J1266" s="898"/>
      <c r="K1266" s="896"/>
      <c r="L1266" s="923"/>
      <c r="M1266" s="899"/>
      <c r="N1266" s="900" t="s">
        <v>2209</v>
      </c>
    </row>
    <row r="1267" spans="1:14" s="910" customFormat="1" ht="16.5" hidden="1" customHeight="1">
      <c r="A1267" s="896"/>
      <c r="B1267" s="902" t="s">
        <v>3533</v>
      </c>
      <c r="C1267" s="903"/>
      <c r="D1267" s="904"/>
      <c r="E1267" s="905"/>
      <c r="F1267" s="906"/>
      <c r="G1267" s="906"/>
      <c r="H1267" s="907"/>
      <c r="I1267" s="908"/>
      <c r="J1267" s="955"/>
      <c r="K1267" s="902"/>
      <c r="L1267" s="896"/>
      <c r="M1267" s="902"/>
      <c r="N1267" s="900" t="s">
        <v>2209</v>
      </c>
    </row>
    <row r="1268" spans="1:14" s="910" customFormat="1" ht="16.5" hidden="1" customHeight="1">
      <c r="A1268" s="896"/>
      <c r="B1268" s="902" t="s">
        <v>818</v>
      </c>
      <c r="C1268" s="957">
        <v>1</v>
      </c>
      <c r="D1268" s="958" t="s">
        <v>273</v>
      </c>
      <c r="E1268" s="1268">
        <v>1</v>
      </c>
      <c r="F1268" s="960">
        <v>27</v>
      </c>
      <c r="G1268" s="960">
        <v>0</v>
      </c>
      <c r="H1268" s="960">
        <v>3.3</v>
      </c>
      <c r="I1268" s="916">
        <f>ROUND(IF(AND(F1268:H1268),C1268*E1268*F1268*G1268*H1268,IF(AND(F1268,G1268),C1268*E1268*F1268*G1268,IF(AND(F1268,H1268),C1268*E1268*F1268*H1268,IF(AND(G1268,H1268),C1268*E1268*G1268*H1268,IF(F1268,C1268*E1268*F1268,IF(G1268,C1268*E1268*G1268,IF(H1268,C1268*E1268*H1268,C1268*E1268))))))),2)</f>
        <v>89.1</v>
      </c>
      <c r="J1268" s="955" t="s">
        <v>102</v>
      </c>
      <c r="K1268" s="902"/>
      <c r="L1268" s="896"/>
      <c r="M1268" s="902"/>
      <c r="N1268" s="900" t="s">
        <v>2209</v>
      </c>
    </row>
    <row r="1269" spans="1:14" s="910" customFormat="1" ht="16.5" hidden="1" customHeight="1">
      <c r="A1269" s="896"/>
      <c r="B1269" s="902" t="s">
        <v>1538</v>
      </c>
      <c r="C1269" s="957">
        <v>1</v>
      </c>
      <c r="D1269" s="958" t="s">
        <v>273</v>
      </c>
      <c r="E1269" s="1268">
        <v>1</v>
      </c>
      <c r="F1269" s="960">
        <v>11.96</v>
      </c>
      <c r="G1269" s="960">
        <v>0</v>
      </c>
      <c r="H1269" s="960">
        <v>3.3</v>
      </c>
      <c r="I1269" s="916">
        <f>ROUND(IF(AND(F1269:H1269),C1269*E1269*F1269*G1269*H1269,IF(AND(F1269,G1269),C1269*E1269*F1269*G1269,IF(AND(F1269,H1269),C1269*E1269*F1269*H1269,IF(AND(G1269,H1269),C1269*E1269*G1269*H1269,IF(F1269,C1269*E1269*F1269,IF(G1269,C1269*E1269*G1269,IF(H1269,C1269*E1269*H1269,C1269*E1269))))))),2)</f>
        <v>39.47</v>
      </c>
      <c r="J1269" s="955" t="s">
        <v>102</v>
      </c>
      <c r="K1269" s="902"/>
      <c r="L1269" s="896"/>
      <c r="M1269" s="902"/>
      <c r="N1269" s="900" t="s">
        <v>2209</v>
      </c>
    </row>
    <row r="1270" spans="1:14" s="910" customFormat="1" ht="16.5" hidden="1" customHeight="1">
      <c r="A1270" s="896"/>
      <c r="B1270" s="902" t="s">
        <v>2179</v>
      </c>
      <c r="C1270" s="957">
        <v>1</v>
      </c>
      <c r="D1270" s="958" t="s">
        <v>273</v>
      </c>
      <c r="E1270" s="1268">
        <v>1</v>
      </c>
      <c r="F1270" s="960">
        <v>2.7</v>
      </c>
      <c r="G1270" s="960">
        <v>0</v>
      </c>
      <c r="H1270" s="960">
        <v>0.15</v>
      </c>
      <c r="I1270" s="916">
        <f>-ROUND(IF(AND(F1270:H1270),C1270*E1270*F1270*G1270*H1270,IF(AND(F1270,G1270),C1270*E1270*F1270*G1270,IF(AND(F1270,H1270),C1270*E1270*F1270*H1270,IF(AND(G1270,H1270),C1270*E1270*G1270*H1270,IF(F1270,C1270*E1270*F1270,IF(G1270,C1270*E1270*G1270,IF(H1270,C1270*E1270*H1270,C1270*E1270))))))),2)</f>
        <v>-0.41</v>
      </c>
      <c r="J1270" s="955" t="s">
        <v>102</v>
      </c>
      <c r="K1270" s="902"/>
      <c r="L1270" s="896"/>
      <c r="M1270" s="902"/>
      <c r="N1270" s="900" t="s">
        <v>2209</v>
      </c>
    </row>
    <row r="1271" spans="1:14" s="910" customFormat="1" ht="16.5" hidden="1" customHeight="1">
      <c r="A1271" s="896"/>
      <c r="B1271" s="902"/>
      <c r="C1271" s="957"/>
      <c r="D1271" s="958"/>
      <c r="E1271" s="1268"/>
      <c r="F1271" s="960"/>
      <c r="G1271" s="960"/>
      <c r="H1271" s="960"/>
      <c r="I1271" s="916"/>
      <c r="J1271" s="955"/>
      <c r="K1271" s="902"/>
      <c r="L1271" s="923"/>
      <c r="M1271" s="902"/>
      <c r="N1271" s="900" t="s">
        <v>2209</v>
      </c>
    </row>
    <row r="1272" spans="1:14" ht="15.75" hidden="1">
      <c r="A1272" s="896"/>
      <c r="B1272" s="902"/>
      <c r="C1272" s="917"/>
      <c r="D1272" s="918"/>
      <c r="E1272" s="919"/>
      <c r="F1272" s="920"/>
      <c r="G1272" s="921"/>
      <c r="H1272" s="896"/>
      <c r="I1272" s="916"/>
      <c r="J1272" s="955" t="s">
        <v>102</v>
      </c>
      <c r="K1272" s="922">
        <f>data!E460</f>
        <v>242.02</v>
      </c>
      <c r="L1272" s="923" t="s">
        <v>2209</v>
      </c>
      <c r="M1272" s="924">
        <f>ROUND(I1272*K1272,0)</f>
        <v>0</v>
      </c>
      <c r="N1272" s="900" t="s">
        <v>2209</v>
      </c>
    </row>
    <row r="1273" spans="1:14" ht="42" hidden="1" customHeight="1">
      <c r="A1273" s="896">
        <v>21</v>
      </c>
      <c r="B1273" s="1609" t="s">
        <v>126</v>
      </c>
      <c r="C1273" s="1609"/>
      <c r="D1273" s="1609"/>
      <c r="E1273" s="1609"/>
      <c r="F1273" s="1609"/>
      <c r="G1273" s="1609"/>
      <c r="H1273" s="1609"/>
      <c r="I1273" s="897"/>
      <c r="J1273" s="898"/>
      <c r="K1273" s="896"/>
      <c r="L1273" s="923"/>
      <c r="M1273" s="899"/>
      <c r="N1273" s="900" t="s">
        <v>2297</v>
      </c>
    </row>
    <row r="1274" spans="1:14" s="910" customFormat="1" ht="16.5" hidden="1" customHeight="1">
      <c r="A1274" s="896"/>
      <c r="B1274" s="902" t="s">
        <v>3533</v>
      </c>
      <c r="C1274" s="903"/>
      <c r="D1274" s="904"/>
      <c r="E1274" s="905"/>
      <c r="F1274" s="906"/>
      <c r="G1274" s="906"/>
      <c r="H1274" s="907"/>
      <c r="I1274" s="908"/>
      <c r="J1274" s="955"/>
      <c r="K1274" s="902"/>
      <c r="L1274" s="896"/>
      <c r="M1274" s="902"/>
      <c r="N1274" s="900" t="s">
        <v>2297</v>
      </c>
    </row>
    <row r="1275" spans="1:14" s="910" customFormat="1" ht="16.5" hidden="1" customHeight="1">
      <c r="A1275" s="896"/>
      <c r="B1275" s="902" t="s">
        <v>818</v>
      </c>
      <c r="C1275" s="957">
        <v>1</v>
      </c>
      <c r="D1275" s="958" t="s">
        <v>273</v>
      </c>
      <c r="E1275" s="1268">
        <v>1</v>
      </c>
      <c r="F1275" s="960">
        <v>27</v>
      </c>
      <c r="G1275" s="960">
        <v>0</v>
      </c>
      <c r="H1275" s="960">
        <v>3.3</v>
      </c>
      <c r="I1275" s="916">
        <f>ROUND(IF(AND(F1275:H1275),C1275*E1275*F1275*G1275*H1275,IF(AND(F1275,G1275),C1275*E1275*F1275*G1275,IF(AND(F1275,H1275),C1275*E1275*F1275*H1275,IF(AND(G1275,H1275),C1275*E1275*G1275*H1275,IF(F1275,C1275*E1275*F1275,IF(G1275,C1275*E1275*G1275,IF(H1275,C1275*E1275*H1275,C1275*E1275))))))),2)</f>
        <v>89.1</v>
      </c>
      <c r="J1275" s="955" t="s">
        <v>102</v>
      </c>
      <c r="K1275" s="902"/>
      <c r="L1275" s="896"/>
      <c r="M1275" s="902"/>
      <c r="N1275" s="900" t="s">
        <v>2297</v>
      </c>
    </row>
    <row r="1276" spans="1:14" s="910" customFormat="1" ht="16.5" hidden="1" customHeight="1">
      <c r="A1276" s="896"/>
      <c r="B1276" s="902" t="s">
        <v>1538</v>
      </c>
      <c r="C1276" s="957">
        <v>1</v>
      </c>
      <c r="D1276" s="958" t="s">
        <v>273</v>
      </c>
      <c r="E1276" s="1268">
        <v>1</v>
      </c>
      <c r="F1276" s="960">
        <v>11.96</v>
      </c>
      <c r="G1276" s="960">
        <v>0</v>
      </c>
      <c r="H1276" s="960">
        <v>3.3</v>
      </c>
      <c r="I1276" s="916">
        <f>ROUND(IF(AND(F1276:H1276),C1276*E1276*F1276*G1276*H1276,IF(AND(F1276,G1276),C1276*E1276*F1276*G1276,IF(AND(F1276,H1276),C1276*E1276*F1276*H1276,IF(AND(G1276,H1276),C1276*E1276*G1276*H1276,IF(F1276,C1276*E1276*F1276,IF(G1276,C1276*E1276*G1276,IF(H1276,C1276*E1276*H1276,C1276*E1276))))))),2)</f>
        <v>39.47</v>
      </c>
      <c r="J1276" s="955" t="s">
        <v>102</v>
      </c>
      <c r="K1276" s="902"/>
      <c r="L1276" s="896"/>
      <c r="M1276" s="902"/>
      <c r="N1276" s="900" t="s">
        <v>2297</v>
      </c>
    </row>
    <row r="1277" spans="1:14" s="910" customFormat="1" ht="16.5" hidden="1" customHeight="1">
      <c r="A1277" s="896"/>
      <c r="B1277" s="902" t="s">
        <v>2179</v>
      </c>
      <c r="C1277" s="957">
        <v>1</v>
      </c>
      <c r="D1277" s="958" t="s">
        <v>273</v>
      </c>
      <c r="E1277" s="1268">
        <v>1</v>
      </c>
      <c r="F1277" s="960">
        <v>2.7</v>
      </c>
      <c r="G1277" s="960">
        <v>0</v>
      </c>
      <c r="H1277" s="960">
        <v>0.15</v>
      </c>
      <c r="I1277" s="916">
        <f>-ROUND(IF(AND(F1277:H1277),C1277*E1277*F1277*G1277*H1277,IF(AND(F1277,G1277),C1277*E1277*F1277*G1277,IF(AND(F1277,H1277),C1277*E1277*F1277*H1277,IF(AND(G1277,H1277),C1277*E1277*G1277*H1277,IF(F1277,C1277*E1277*F1277,IF(G1277,C1277*E1277*G1277,IF(H1277,C1277*E1277*H1277,C1277*E1277))))))),2)</f>
        <v>-0.41</v>
      </c>
      <c r="J1277" s="955" t="s">
        <v>102</v>
      </c>
      <c r="K1277" s="902"/>
      <c r="L1277" s="896"/>
      <c r="M1277" s="902"/>
      <c r="N1277" s="900" t="s">
        <v>2297</v>
      </c>
    </row>
    <row r="1278" spans="1:14" s="910" customFormat="1" ht="16.5" hidden="1" customHeight="1">
      <c r="A1278" s="896"/>
      <c r="B1278" s="902"/>
      <c r="C1278" s="957"/>
      <c r="D1278" s="958"/>
      <c r="E1278" s="1268"/>
      <c r="F1278" s="960"/>
      <c r="G1278" s="960"/>
      <c r="H1278" s="960"/>
      <c r="I1278" s="916"/>
      <c r="J1278" s="955"/>
      <c r="K1278" s="902"/>
      <c r="L1278" s="923"/>
      <c r="M1278" s="902"/>
      <c r="N1278" s="900" t="s">
        <v>2297</v>
      </c>
    </row>
    <row r="1279" spans="1:14" ht="15.75" hidden="1">
      <c r="A1279" s="896"/>
      <c r="B1279" s="902"/>
      <c r="C1279" s="917"/>
      <c r="D1279" s="918"/>
      <c r="E1279" s="919"/>
      <c r="F1279" s="920"/>
      <c r="G1279" s="921"/>
      <c r="H1279" s="896"/>
      <c r="I1279" s="916"/>
      <c r="J1279" s="955" t="s">
        <v>102</v>
      </c>
      <c r="K1279" s="922">
        <f>data!E1377</f>
        <v>261.07</v>
      </c>
      <c r="L1279" s="923" t="s">
        <v>2297</v>
      </c>
      <c r="M1279" s="924">
        <f>ROUND(I1279*K1279,0)</f>
        <v>0</v>
      </c>
      <c r="N1279" s="900" t="s">
        <v>2297</v>
      </c>
    </row>
    <row r="1280" spans="1:14" ht="42" hidden="1" customHeight="1">
      <c r="A1280" s="896">
        <v>27</v>
      </c>
      <c r="B1280" s="1609" t="s">
        <v>126</v>
      </c>
      <c r="C1280" s="1609"/>
      <c r="D1280" s="1609"/>
      <c r="E1280" s="1609"/>
      <c r="F1280" s="1609"/>
      <c r="G1280" s="1609"/>
      <c r="H1280" s="1609"/>
      <c r="I1280" s="897"/>
      <c r="J1280" s="898"/>
      <c r="K1280" s="896"/>
      <c r="L1280" s="923"/>
      <c r="M1280" s="899"/>
      <c r="N1280" s="900" t="s">
        <v>2308</v>
      </c>
    </row>
    <row r="1281" spans="1:14" s="910" customFormat="1" ht="16.5" hidden="1" customHeight="1">
      <c r="A1281" s="896"/>
      <c r="B1281" s="928" t="s">
        <v>3659</v>
      </c>
      <c r="C1281" s="1269"/>
      <c r="D1281" s="954" t="s">
        <v>3817</v>
      </c>
      <c r="E1281" s="1270"/>
      <c r="F1281" s="1271"/>
      <c r="G1281" s="1271"/>
      <c r="H1281" s="1271"/>
      <c r="I1281" s="1272"/>
      <c r="J1281" s="955"/>
      <c r="K1281" s="902"/>
      <c r="L1281" s="896"/>
      <c r="M1281" s="902"/>
      <c r="N1281" s="900" t="s">
        <v>2308</v>
      </c>
    </row>
    <row r="1282" spans="1:14" s="910" customFormat="1" ht="16.5" hidden="1" customHeight="1">
      <c r="A1282" s="896"/>
      <c r="B1282" s="902" t="s">
        <v>2517</v>
      </c>
      <c r="C1282" s="897">
        <v>1</v>
      </c>
      <c r="D1282" s="1263" t="s">
        <v>273</v>
      </c>
      <c r="E1282" s="919">
        <v>3</v>
      </c>
      <c r="F1282" s="920">
        <v>1.2</v>
      </c>
      <c r="G1282" s="920">
        <v>1.35</v>
      </c>
      <c r="H1282" s="920">
        <v>0</v>
      </c>
      <c r="I1282" s="1266">
        <f t="shared" ref="I1282:I1285" si="134">ROUND(IF(AND(F1282:H1282),C1282*E1282*F1282*G1282*H1282,IF(AND(F1282,G1282),C1282*E1282*F1282*G1282,IF(AND(F1282,H1282),C1282*E1282*F1282*H1282,IF(AND(G1282,H1282),C1282*E1282*G1282*H1282,IF(F1282,C1282*E1282*F1282,IF(G1282,C1282*E1282*G1282,IF(H1282,C1282*E1282*H1282,C1282*E1282))))))),2)</f>
        <v>4.8600000000000003</v>
      </c>
      <c r="J1282" s="955" t="s">
        <v>102</v>
      </c>
      <c r="K1282" s="902"/>
      <c r="L1282" s="896"/>
      <c r="M1282" s="902"/>
      <c r="N1282" s="900" t="s">
        <v>2308</v>
      </c>
    </row>
    <row r="1283" spans="1:14" s="910" customFormat="1" ht="16.5" hidden="1" customHeight="1">
      <c r="A1283" s="896"/>
      <c r="B1283" s="902"/>
      <c r="C1283" s="897">
        <v>1</v>
      </c>
      <c r="D1283" s="1263" t="s">
        <v>273</v>
      </c>
      <c r="E1283" s="919">
        <v>2</v>
      </c>
      <c r="F1283" s="920">
        <v>1.1000000000000001</v>
      </c>
      <c r="G1283" s="920">
        <v>0.9</v>
      </c>
      <c r="H1283" s="920">
        <v>0</v>
      </c>
      <c r="I1283" s="1266">
        <f t="shared" si="134"/>
        <v>1.98</v>
      </c>
      <c r="J1283" s="955" t="s">
        <v>102</v>
      </c>
      <c r="K1283" s="902"/>
      <c r="L1283" s="896"/>
      <c r="M1283" s="902"/>
      <c r="N1283" s="900" t="s">
        <v>2308</v>
      </c>
    </row>
    <row r="1284" spans="1:14" s="910" customFormat="1" ht="16.5" hidden="1" customHeight="1">
      <c r="A1284" s="896"/>
      <c r="B1284" s="902" t="s">
        <v>3794</v>
      </c>
      <c r="C1284" s="897">
        <v>1</v>
      </c>
      <c r="D1284" s="1263" t="s">
        <v>273</v>
      </c>
      <c r="E1284" s="919">
        <v>2</v>
      </c>
      <c r="F1284" s="920">
        <v>0.62</v>
      </c>
      <c r="G1284" s="920">
        <v>0</v>
      </c>
      <c r="H1284" s="920">
        <v>0.8</v>
      </c>
      <c r="I1284" s="1266">
        <f t="shared" si="134"/>
        <v>0.99</v>
      </c>
      <c r="J1284" s="955" t="s">
        <v>102</v>
      </c>
      <c r="K1284" s="902"/>
      <c r="L1284" s="896"/>
      <c r="M1284" s="902"/>
      <c r="N1284" s="900" t="s">
        <v>2308</v>
      </c>
    </row>
    <row r="1285" spans="1:14" s="910" customFormat="1" ht="16.5" hidden="1" customHeight="1">
      <c r="A1285" s="896"/>
      <c r="B1285" s="902"/>
      <c r="C1285" s="897">
        <v>1</v>
      </c>
      <c r="D1285" s="1263" t="s">
        <v>273</v>
      </c>
      <c r="E1285" s="919">
        <v>2</v>
      </c>
      <c r="F1285" s="920">
        <v>0.52</v>
      </c>
      <c r="G1285" s="920">
        <v>0</v>
      </c>
      <c r="H1285" s="920">
        <v>0.8</v>
      </c>
      <c r="I1285" s="1266">
        <f t="shared" si="134"/>
        <v>0.83</v>
      </c>
      <c r="J1285" s="955" t="s">
        <v>102</v>
      </c>
      <c r="K1285" s="902"/>
      <c r="L1285" s="923"/>
      <c r="M1285" s="902"/>
      <c r="N1285" s="900" t="s">
        <v>2308</v>
      </c>
    </row>
    <row r="1286" spans="1:14" s="910" customFormat="1" ht="16.5" hidden="1" customHeight="1">
      <c r="A1286" s="896"/>
      <c r="B1286" s="902"/>
      <c r="C1286" s="897"/>
      <c r="D1286" s="1263"/>
      <c r="E1286" s="919"/>
      <c r="F1286" s="920"/>
      <c r="G1286" s="920"/>
      <c r="H1286" s="920"/>
      <c r="I1286" s="1266"/>
      <c r="J1286" s="955"/>
      <c r="K1286" s="902"/>
      <c r="L1286" s="923"/>
      <c r="M1286" s="902"/>
      <c r="N1286" s="900" t="s">
        <v>2308</v>
      </c>
    </row>
    <row r="1287" spans="1:14" ht="15.75" hidden="1">
      <c r="A1287" s="896"/>
      <c r="B1287" s="902"/>
      <c r="C1287" s="917"/>
      <c r="D1287" s="918"/>
      <c r="E1287" s="919"/>
      <c r="F1287" s="920"/>
      <c r="G1287" s="921"/>
      <c r="H1287" s="896"/>
      <c r="I1287" s="916"/>
      <c r="J1287" s="955" t="s">
        <v>102</v>
      </c>
      <c r="K1287" s="922">
        <f>data!E2294</f>
        <v>277.43</v>
      </c>
      <c r="L1287" s="923" t="s">
        <v>2308</v>
      </c>
      <c r="M1287" s="924">
        <f>ROUND(I1287*K1287,0)</f>
        <v>0</v>
      </c>
      <c r="N1287" s="900" t="s">
        <v>2308</v>
      </c>
    </row>
    <row r="1288" spans="1:14" ht="42" hidden="1" customHeight="1">
      <c r="A1288" s="896">
        <v>21</v>
      </c>
      <c r="B1288" s="1609" t="s">
        <v>126</v>
      </c>
      <c r="C1288" s="1609"/>
      <c r="D1288" s="1609"/>
      <c r="E1288" s="1609"/>
      <c r="F1288" s="1609"/>
      <c r="G1288" s="1609"/>
      <c r="H1288" s="1609"/>
      <c r="I1288" s="897"/>
      <c r="J1288" s="898"/>
      <c r="K1288" s="896"/>
      <c r="L1288" s="923"/>
      <c r="M1288" s="899"/>
      <c r="N1288" s="900" t="s">
        <v>2309</v>
      </c>
    </row>
    <row r="1289" spans="1:14" s="910" customFormat="1" ht="16.5" hidden="1" customHeight="1">
      <c r="A1289" s="896"/>
      <c r="B1289" s="902" t="s">
        <v>3533</v>
      </c>
      <c r="C1289" s="903"/>
      <c r="D1289" s="904"/>
      <c r="E1289" s="905"/>
      <c r="F1289" s="906"/>
      <c r="G1289" s="906"/>
      <c r="H1289" s="907"/>
      <c r="I1289" s="908"/>
      <c r="J1289" s="955"/>
      <c r="K1289" s="902"/>
      <c r="L1289" s="896"/>
      <c r="M1289" s="902"/>
      <c r="N1289" s="900" t="s">
        <v>2309</v>
      </c>
    </row>
    <row r="1290" spans="1:14" s="910" customFormat="1" ht="16.5" hidden="1" customHeight="1">
      <c r="A1290" s="896"/>
      <c r="B1290" s="902" t="s">
        <v>818</v>
      </c>
      <c r="C1290" s="957">
        <v>1</v>
      </c>
      <c r="D1290" s="958" t="s">
        <v>273</v>
      </c>
      <c r="E1290" s="1268">
        <v>1</v>
      </c>
      <c r="F1290" s="960">
        <v>27</v>
      </c>
      <c r="G1290" s="960">
        <v>0</v>
      </c>
      <c r="H1290" s="960">
        <v>3.3</v>
      </c>
      <c r="I1290" s="916">
        <f>ROUND(IF(AND(F1290:H1290),C1290*E1290*F1290*G1290*H1290,IF(AND(F1290,G1290),C1290*E1290*F1290*G1290,IF(AND(F1290,H1290),C1290*E1290*F1290*H1290,IF(AND(G1290,H1290),C1290*E1290*G1290*H1290,IF(F1290,C1290*E1290*F1290,IF(G1290,C1290*E1290*G1290,IF(H1290,C1290*E1290*H1290,C1290*E1290))))))),2)</f>
        <v>89.1</v>
      </c>
      <c r="J1290" s="955" t="s">
        <v>102</v>
      </c>
      <c r="K1290" s="902"/>
      <c r="L1290" s="896"/>
      <c r="M1290" s="902"/>
      <c r="N1290" s="900" t="s">
        <v>2309</v>
      </c>
    </row>
    <row r="1291" spans="1:14" s="910" customFormat="1" ht="16.5" hidden="1" customHeight="1">
      <c r="A1291" s="896"/>
      <c r="B1291" s="902" t="s">
        <v>1538</v>
      </c>
      <c r="C1291" s="957">
        <v>1</v>
      </c>
      <c r="D1291" s="958" t="s">
        <v>273</v>
      </c>
      <c r="E1291" s="1268">
        <v>1</v>
      </c>
      <c r="F1291" s="960">
        <v>11.96</v>
      </c>
      <c r="G1291" s="960">
        <v>0</v>
      </c>
      <c r="H1291" s="960">
        <v>3.3</v>
      </c>
      <c r="I1291" s="916">
        <f>ROUND(IF(AND(F1291:H1291),C1291*E1291*F1291*G1291*H1291,IF(AND(F1291,G1291),C1291*E1291*F1291*G1291,IF(AND(F1291,H1291),C1291*E1291*F1291*H1291,IF(AND(G1291,H1291),C1291*E1291*G1291*H1291,IF(F1291,C1291*E1291*F1291,IF(G1291,C1291*E1291*G1291,IF(H1291,C1291*E1291*H1291,C1291*E1291))))))),2)</f>
        <v>39.47</v>
      </c>
      <c r="J1291" s="955" t="s">
        <v>102</v>
      </c>
      <c r="K1291" s="902"/>
      <c r="L1291" s="896"/>
      <c r="M1291" s="902"/>
      <c r="N1291" s="900" t="s">
        <v>2309</v>
      </c>
    </row>
    <row r="1292" spans="1:14" s="910" customFormat="1" ht="16.5" hidden="1" customHeight="1">
      <c r="A1292" s="896"/>
      <c r="B1292" s="902" t="s">
        <v>2179</v>
      </c>
      <c r="C1292" s="957">
        <v>1</v>
      </c>
      <c r="D1292" s="958" t="s">
        <v>273</v>
      </c>
      <c r="E1292" s="1268">
        <v>1</v>
      </c>
      <c r="F1292" s="960">
        <v>2.7</v>
      </c>
      <c r="G1292" s="960">
        <v>0</v>
      </c>
      <c r="H1292" s="960">
        <v>0.15</v>
      </c>
      <c r="I1292" s="916">
        <f>-ROUND(IF(AND(F1292:H1292),C1292*E1292*F1292*G1292*H1292,IF(AND(F1292,G1292),C1292*E1292*F1292*G1292,IF(AND(F1292,H1292),C1292*E1292*F1292*H1292,IF(AND(G1292,H1292),C1292*E1292*G1292*H1292,IF(F1292,C1292*E1292*F1292,IF(G1292,C1292*E1292*G1292,IF(H1292,C1292*E1292*H1292,C1292*E1292))))))),2)</f>
        <v>-0.41</v>
      </c>
      <c r="J1292" s="955" t="s">
        <v>102</v>
      </c>
      <c r="K1292" s="902"/>
      <c r="L1292" s="896"/>
      <c r="M1292" s="902"/>
      <c r="N1292" s="900" t="s">
        <v>2309</v>
      </c>
    </row>
    <row r="1293" spans="1:14" s="910" customFormat="1" ht="16.5" hidden="1" customHeight="1">
      <c r="A1293" s="896"/>
      <c r="B1293" s="902"/>
      <c r="C1293" s="957"/>
      <c r="D1293" s="958"/>
      <c r="E1293" s="1268"/>
      <c r="F1293" s="960"/>
      <c r="G1293" s="960"/>
      <c r="H1293" s="960"/>
      <c r="I1293" s="916"/>
      <c r="J1293" s="955"/>
      <c r="K1293" s="902"/>
      <c r="L1293" s="923"/>
      <c r="M1293" s="902"/>
      <c r="N1293" s="900" t="s">
        <v>2309</v>
      </c>
    </row>
    <row r="1294" spans="1:14" ht="15.75" hidden="1">
      <c r="A1294" s="896"/>
      <c r="B1294" s="902"/>
      <c r="C1294" s="917"/>
      <c r="D1294" s="918"/>
      <c r="E1294" s="919"/>
      <c r="F1294" s="920"/>
      <c r="G1294" s="921"/>
      <c r="H1294" s="896"/>
      <c r="I1294" s="916"/>
      <c r="J1294" s="955" t="s">
        <v>102</v>
      </c>
      <c r="K1294" s="922">
        <f>data!E3211</f>
        <v>294.70999999999998</v>
      </c>
      <c r="L1294" s="923" t="s">
        <v>2309</v>
      </c>
      <c r="M1294" s="924">
        <f>ROUND(I1294*K1294,0)</f>
        <v>0</v>
      </c>
      <c r="N1294" s="900" t="s">
        <v>2309</v>
      </c>
    </row>
    <row r="1295" spans="1:14" ht="52.5" hidden="1" customHeight="1">
      <c r="A1295" s="896">
        <v>19</v>
      </c>
      <c r="B1295" s="1609" t="s">
        <v>593</v>
      </c>
      <c r="C1295" s="1609"/>
      <c r="D1295" s="1609"/>
      <c r="E1295" s="1609"/>
      <c r="F1295" s="1609"/>
      <c r="G1295" s="1609"/>
      <c r="H1295" s="1609"/>
      <c r="I1295" s="897"/>
      <c r="J1295" s="898"/>
      <c r="K1295" s="896"/>
      <c r="L1295" s="923"/>
      <c r="M1295" s="899"/>
      <c r="N1295" s="900" t="s">
        <v>2209</v>
      </c>
    </row>
    <row r="1296" spans="1:14" s="910" customFormat="1" ht="16.5" hidden="1" customHeight="1">
      <c r="A1296" s="896"/>
      <c r="B1296" s="902" t="s">
        <v>3562</v>
      </c>
      <c r="C1296" s="897"/>
      <c r="D1296" s="1280" t="s">
        <v>3250</v>
      </c>
      <c r="E1296" s="919"/>
      <c r="F1296" s="920"/>
      <c r="G1296" s="920"/>
      <c r="H1296" s="920"/>
      <c r="I1296" s="1264"/>
      <c r="J1296" s="955"/>
      <c r="K1296" s="902"/>
      <c r="L1296" s="923"/>
      <c r="M1296" s="902"/>
      <c r="N1296" s="900" t="s">
        <v>2209</v>
      </c>
    </row>
    <row r="1297" spans="1:14" s="910" customFormat="1" ht="15.75" hidden="1">
      <c r="A1297" s="896"/>
      <c r="B1297" s="902" t="s">
        <v>3074</v>
      </c>
      <c r="C1297" s="897">
        <v>1</v>
      </c>
      <c r="D1297" s="1263" t="s">
        <v>273</v>
      </c>
      <c r="E1297" s="919">
        <v>1</v>
      </c>
      <c r="F1297" s="920">
        <v>8.65</v>
      </c>
      <c r="G1297" s="920">
        <v>3.2</v>
      </c>
      <c r="H1297" s="920">
        <v>0</v>
      </c>
      <c r="I1297" s="1266">
        <f t="shared" ref="I1297" si="135">ROUND(IF(AND(F1297:H1297),C1297*E1297*F1297*G1297*H1297,IF(AND(F1297,G1297),C1297*E1297*F1297*G1297,IF(AND(F1297,H1297),C1297*E1297*F1297*H1297,IF(AND(G1297,H1297),C1297*E1297*G1297*H1297,IF(F1297,C1297*E1297*F1297,IF(G1297,C1297*E1297*G1297,IF(H1297,C1297*E1297*H1297,C1297*E1297))))))),2)</f>
        <v>27.68</v>
      </c>
      <c r="J1297" s="955" t="s">
        <v>102</v>
      </c>
      <c r="K1297" s="902"/>
      <c r="L1297" s="923"/>
      <c r="M1297" s="902"/>
      <c r="N1297" s="900" t="s">
        <v>2209</v>
      </c>
    </row>
    <row r="1298" spans="1:14" s="910" customFormat="1" ht="16.5" hidden="1" customHeight="1">
      <c r="A1298" s="896"/>
      <c r="B1298" s="956"/>
      <c r="C1298" s="957"/>
      <c r="D1298" s="958"/>
      <c r="E1298" s="1268"/>
      <c r="F1298" s="960"/>
      <c r="G1298" s="960"/>
      <c r="H1298" s="960"/>
      <c r="I1298" s="916"/>
      <c r="J1298" s="955"/>
      <c r="K1298" s="902"/>
      <c r="L1298" s="923"/>
      <c r="M1298" s="902"/>
      <c r="N1298" s="900" t="s">
        <v>2209</v>
      </c>
    </row>
    <row r="1299" spans="1:14" ht="15.75" hidden="1">
      <c r="A1299" s="896"/>
      <c r="B1299" s="902"/>
      <c r="C1299" s="917"/>
      <c r="D1299" s="918"/>
      <c r="E1299" s="919"/>
      <c r="F1299" s="920"/>
      <c r="G1299" s="921"/>
      <c r="H1299" s="896"/>
      <c r="I1299" s="916"/>
      <c r="J1299" s="955" t="s">
        <v>102</v>
      </c>
      <c r="K1299" s="922">
        <f>data!E476</f>
        <v>259.87</v>
      </c>
      <c r="L1299" s="923" t="s">
        <v>2209</v>
      </c>
      <c r="M1299" s="924">
        <f>ROUND(I1299*K1299,0)</f>
        <v>0</v>
      </c>
      <c r="N1299" s="900" t="s">
        <v>2209</v>
      </c>
    </row>
    <row r="1300" spans="1:14" ht="52.5" hidden="1" customHeight="1">
      <c r="A1300" s="896">
        <v>22</v>
      </c>
      <c r="B1300" s="1609" t="s">
        <v>593</v>
      </c>
      <c r="C1300" s="1609"/>
      <c r="D1300" s="1609"/>
      <c r="E1300" s="1609"/>
      <c r="F1300" s="1609"/>
      <c r="G1300" s="1609"/>
      <c r="H1300" s="1609"/>
      <c r="I1300" s="897"/>
      <c r="J1300" s="898"/>
      <c r="K1300" s="896"/>
      <c r="L1300" s="923"/>
      <c r="M1300" s="899"/>
      <c r="N1300" s="900" t="s">
        <v>2297</v>
      </c>
    </row>
    <row r="1301" spans="1:14" s="910" customFormat="1" ht="16.5" hidden="1" customHeight="1">
      <c r="A1301" s="896"/>
      <c r="B1301" s="902" t="s">
        <v>3566</v>
      </c>
      <c r="C1301" s="903"/>
      <c r="D1301" s="904"/>
      <c r="E1301" s="905"/>
      <c r="F1301" s="906"/>
      <c r="G1301" s="906"/>
      <c r="H1301" s="907"/>
      <c r="I1301" s="908"/>
      <c r="J1301" s="955"/>
      <c r="K1301" s="902"/>
      <c r="L1301" s="923"/>
      <c r="M1301" s="902"/>
      <c r="N1301" s="900" t="s">
        <v>2297</v>
      </c>
    </row>
    <row r="1302" spans="1:14" s="910" customFormat="1" ht="15.75" hidden="1">
      <c r="A1302" s="896"/>
      <c r="B1302" s="902" t="s">
        <v>1537</v>
      </c>
      <c r="C1302" s="897">
        <v>1</v>
      </c>
      <c r="D1302" s="1263" t="s">
        <v>273</v>
      </c>
      <c r="E1302" s="919">
        <v>1</v>
      </c>
      <c r="F1302" s="920">
        <v>12.49</v>
      </c>
      <c r="G1302" s="920">
        <v>0</v>
      </c>
      <c r="H1302" s="920">
        <v>3.93</v>
      </c>
      <c r="I1302" s="1266">
        <f>ROUND(IF(AND(F1302:H1302),C1302*E1302*F1302*G1302*H1302,IF(AND(F1302,G1302),C1302*E1302*F1302*G1302,IF(AND(F1302,H1302),C1302*E1302*F1302*H1302,IF(AND(G1302,H1302),C1302*E1302*G1302*H1302,IF(F1302,C1302*E1302*F1302,IF(G1302,C1302*E1302*G1302,IF(H1302,C1302*E1302*H1302,C1302*E1302))))))),2)</f>
        <v>49.09</v>
      </c>
      <c r="J1302" s="955" t="s">
        <v>102</v>
      </c>
      <c r="K1302" s="902"/>
      <c r="L1302" s="923"/>
      <c r="M1302" s="902"/>
      <c r="N1302" s="900" t="s">
        <v>2297</v>
      </c>
    </row>
    <row r="1303" spans="1:14" s="910" customFormat="1" ht="15.75" hidden="1">
      <c r="A1303" s="896"/>
      <c r="B1303" s="902" t="s">
        <v>581</v>
      </c>
      <c r="C1303" s="897">
        <v>1</v>
      </c>
      <c r="D1303" s="1263" t="s">
        <v>273</v>
      </c>
      <c r="E1303" s="919">
        <v>8</v>
      </c>
      <c r="F1303" s="920">
        <v>0.6</v>
      </c>
      <c r="G1303" s="920">
        <v>0</v>
      </c>
      <c r="H1303" s="920">
        <v>0.45</v>
      </c>
      <c r="I1303" s="1266">
        <f>-ROUND(IF(AND(F1303:H1303),C1303*E1303*F1303*G1303*H1303,IF(AND(F1303,G1303),C1303*E1303*F1303*G1303,IF(AND(F1303,H1303),C1303*E1303*F1303*H1303,IF(AND(G1303,H1303),C1303*E1303*G1303*H1303,IF(F1303,C1303*E1303*F1303,IF(G1303,C1303*E1303*G1303,IF(H1303,C1303*E1303*H1303,C1303*E1303))))))),2)</f>
        <v>-2.16</v>
      </c>
      <c r="J1303" s="955" t="s">
        <v>102</v>
      </c>
      <c r="K1303" s="902"/>
      <c r="L1303" s="923"/>
      <c r="M1303" s="902"/>
      <c r="N1303" s="900" t="s">
        <v>2297</v>
      </c>
    </row>
    <row r="1304" spans="1:14" s="910" customFormat="1" ht="15.75" hidden="1">
      <c r="A1304" s="896"/>
      <c r="B1304" s="902" t="s">
        <v>2181</v>
      </c>
      <c r="C1304" s="897">
        <v>1</v>
      </c>
      <c r="D1304" s="1263" t="s">
        <v>273</v>
      </c>
      <c r="E1304" s="919">
        <v>1</v>
      </c>
      <c r="F1304" s="920">
        <v>1.2</v>
      </c>
      <c r="G1304" s="920">
        <v>0</v>
      </c>
      <c r="H1304" s="920">
        <v>1.2</v>
      </c>
      <c r="I1304" s="1266">
        <f>-ROUND(IF(AND(F1304:H1304),C1304*E1304*F1304*G1304*H1304,IF(AND(F1304,G1304),C1304*E1304*F1304*G1304,IF(AND(F1304,H1304),C1304*E1304*F1304*H1304,IF(AND(G1304,H1304),C1304*E1304*G1304*H1304,IF(F1304,C1304*E1304*F1304,IF(G1304,C1304*E1304*G1304,IF(H1304,C1304*E1304*H1304,C1304*E1304))))))),2)</f>
        <v>-1.44</v>
      </c>
      <c r="J1304" s="955" t="s">
        <v>102</v>
      </c>
      <c r="K1304" s="902"/>
      <c r="L1304" s="923"/>
      <c r="M1304" s="902"/>
      <c r="N1304" s="900" t="s">
        <v>2297</v>
      </c>
    </row>
    <row r="1305" spans="1:14" s="910" customFormat="1" ht="16.5" hidden="1" customHeight="1">
      <c r="A1305" s="896"/>
      <c r="B1305" s="956"/>
      <c r="C1305" s="957"/>
      <c r="D1305" s="958"/>
      <c r="E1305" s="1268"/>
      <c r="F1305" s="960"/>
      <c r="G1305" s="960"/>
      <c r="H1305" s="960"/>
      <c r="I1305" s="916"/>
      <c r="J1305" s="955"/>
      <c r="K1305" s="902"/>
      <c r="L1305" s="923"/>
      <c r="M1305" s="902"/>
      <c r="N1305" s="900" t="s">
        <v>2297</v>
      </c>
    </row>
    <row r="1306" spans="1:14" ht="15.75" hidden="1">
      <c r="A1306" s="896"/>
      <c r="B1306" s="902"/>
      <c r="C1306" s="917"/>
      <c r="D1306" s="918"/>
      <c r="E1306" s="919"/>
      <c r="F1306" s="920"/>
      <c r="G1306" s="921"/>
      <c r="H1306" s="896"/>
      <c r="I1306" s="916"/>
      <c r="J1306" s="955" t="s">
        <v>102</v>
      </c>
      <c r="K1306" s="922">
        <f>data!E1393</f>
        <v>279.49</v>
      </c>
      <c r="L1306" s="923" t="s">
        <v>2297</v>
      </c>
      <c r="M1306" s="924">
        <f>ROUND(I1306*K1306,0)</f>
        <v>0</v>
      </c>
      <c r="N1306" s="900" t="s">
        <v>2297</v>
      </c>
    </row>
    <row r="1307" spans="1:14" ht="52.5" hidden="1" customHeight="1">
      <c r="A1307" s="896">
        <v>22</v>
      </c>
      <c r="B1307" s="1609" t="s">
        <v>593</v>
      </c>
      <c r="C1307" s="1609"/>
      <c r="D1307" s="1609"/>
      <c r="E1307" s="1609"/>
      <c r="F1307" s="1609"/>
      <c r="G1307" s="1609"/>
      <c r="H1307" s="1609"/>
      <c r="I1307" s="897"/>
      <c r="J1307" s="898"/>
      <c r="K1307" s="896"/>
      <c r="L1307" s="923"/>
      <c r="M1307" s="899"/>
      <c r="N1307" s="900" t="s">
        <v>2308</v>
      </c>
    </row>
    <row r="1308" spans="1:14" s="910" customFormat="1" ht="16.5" hidden="1" customHeight="1">
      <c r="A1308" s="896"/>
      <c r="B1308" s="902" t="s">
        <v>3566</v>
      </c>
      <c r="C1308" s="903"/>
      <c r="D1308" s="904"/>
      <c r="E1308" s="905"/>
      <c r="F1308" s="906"/>
      <c r="G1308" s="906"/>
      <c r="H1308" s="907"/>
      <c r="I1308" s="908"/>
      <c r="J1308" s="955"/>
      <c r="K1308" s="902"/>
      <c r="L1308" s="923"/>
      <c r="M1308" s="902"/>
      <c r="N1308" s="900" t="s">
        <v>2308</v>
      </c>
    </row>
    <row r="1309" spans="1:14" s="910" customFormat="1" ht="15.75" hidden="1">
      <c r="A1309" s="896"/>
      <c r="B1309" s="902" t="s">
        <v>1537</v>
      </c>
      <c r="C1309" s="897">
        <v>1</v>
      </c>
      <c r="D1309" s="1263" t="s">
        <v>273</v>
      </c>
      <c r="E1309" s="919">
        <v>1</v>
      </c>
      <c r="F1309" s="920">
        <v>12.49</v>
      </c>
      <c r="G1309" s="920">
        <v>0</v>
      </c>
      <c r="H1309" s="920">
        <v>3.93</v>
      </c>
      <c r="I1309" s="1266">
        <f>ROUND(IF(AND(F1309:H1309),C1309*E1309*F1309*G1309*H1309,IF(AND(F1309,G1309),C1309*E1309*F1309*G1309,IF(AND(F1309,H1309),C1309*E1309*F1309*H1309,IF(AND(G1309,H1309),C1309*E1309*G1309*H1309,IF(F1309,C1309*E1309*F1309,IF(G1309,C1309*E1309*G1309,IF(H1309,C1309*E1309*H1309,C1309*E1309))))))),2)</f>
        <v>49.09</v>
      </c>
      <c r="J1309" s="955" t="s">
        <v>102</v>
      </c>
      <c r="K1309" s="902"/>
      <c r="L1309" s="923"/>
      <c r="M1309" s="902"/>
      <c r="N1309" s="900" t="s">
        <v>2308</v>
      </c>
    </row>
    <row r="1310" spans="1:14" s="910" customFormat="1" ht="15.75" hidden="1">
      <c r="A1310" s="896"/>
      <c r="B1310" s="902" t="s">
        <v>581</v>
      </c>
      <c r="C1310" s="897">
        <v>1</v>
      </c>
      <c r="D1310" s="1263" t="s">
        <v>273</v>
      </c>
      <c r="E1310" s="919">
        <v>8</v>
      </c>
      <c r="F1310" s="920">
        <v>0.6</v>
      </c>
      <c r="G1310" s="920">
        <v>0</v>
      </c>
      <c r="H1310" s="920">
        <v>0.45</v>
      </c>
      <c r="I1310" s="1266">
        <f>-ROUND(IF(AND(F1310:H1310),C1310*E1310*F1310*G1310*H1310,IF(AND(F1310,G1310),C1310*E1310*F1310*G1310,IF(AND(F1310,H1310),C1310*E1310*F1310*H1310,IF(AND(G1310,H1310),C1310*E1310*G1310*H1310,IF(F1310,C1310*E1310*F1310,IF(G1310,C1310*E1310*G1310,IF(H1310,C1310*E1310*H1310,C1310*E1310))))))),2)</f>
        <v>-2.16</v>
      </c>
      <c r="J1310" s="955" t="s">
        <v>102</v>
      </c>
      <c r="K1310" s="902"/>
      <c r="L1310" s="923"/>
      <c r="M1310" s="902"/>
      <c r="N1310" s="900" t="s">
        <v>2308</v>
      </c>
    </row>
    <row r="1311" spans="1:14" s="910" customFormat="1" ht="15.75" hidden="1">
      <c r="A1311" s="896"/>
      <c r="B1311" s="902" t="s">
        <v>2181</v>
      </c>
      <c r="C1311" s="897">
        <v>1</v>
      </c>
      <c r="D1311" s="1263" t="s">
        <v>273</v>
      </c>
      <c r="E1311" s="919">
        <v>1</v>
      </c>
      <c r="F1311" s="920">
        <v>1.2</v>
      </c>
      <c r="G1311" s="920">
        <v>0</v>
      </c>
      <c r="H1311" s="920">
        <v>1.2</v>
      </c>
      <c r="I1311" s="1266">
        <f>-ROUND(IF(AND(F1311:H1311),C1311*E1311*F1311*G1311*H1311,IF(AND(F1311,G1311),C1311*E1311*F1311*G1311,IF(AND(F1311,H1311),C1311*E1311*F1311*H1311,IF(AND(G1311,H1311),C1311*E1311*G1311*H1311,IF(F1311,C1311*E1311*F1311,IF(G1311,C1311*E1311*G1311,IF(H1311,C1311*E1311*H1311,C1311*E1311))))))),2)</f>
        <v>-1.44</v>
      </c>
      <c r="J1311" s="955" t="s">
        <v>102</v>
      </c>
      <c r="K1311" s="902"/>
      <c r="L1311" s="923"/>
      <c r="M1311" s="902"/>
      <c r="N1311" s="900" t="s">
        <v>2308</v>
      </c>
    </row>
    <row r="1312" spans="1:14" s="910" customFormat="1" ht="16.5" hidden="1" customHeight="1">
      <c r="A1312" s="896"/>
      <c r="B1312" s="956"/>
      <c r="C1312" s="957"/>
      <c r="D1312" s="958"/>
      <c r="E1312" s="1268"/>
      <c r="F1312" s="960"/>
      <c r="G1312" s="960"/>
      <c r="H1312" s="960"/>
      <c r="I1312" s="916"/>
      <c r="J1312" s="955"/>
      <c r="K1312" s="902"/>
      <c r="L1312" s="923"/>
      <c r="M1312" s="902"/>
      <c r="N1312" s="900" t="s">
        <v>2308</v>
      </c>
    </row>
    <row r="1313" spans="1:14" ht="15.75" hidden="1">
      <c r="A1313" s="896"/>
      <c r="B1313" s="902"/>
      <c r="C1313" s="917"/>
      <c r="D1313" s="918"/>
      <c r="E1313" s="919"/>
      <c r="F1313" s="920"/>
      <c r="G1313" s="921"/>
      <c r="H1313" s="896"/>
      <c r="I1313" s="916"/>
      <c r="J1313" s="955" t="s">
        <v>102</v>
      </c>
      <c r="K1313" s="922">
        <f>data!E2310</f>
        <v>297.13</v>
      </c>
      <c r="L1313" s="923" t="s">
        <v>2308</v>
      </c>
      <c r="M1313" s="924">
        <f>ROUND(I1313*K1313,0)</f>
        <v>0</v>
      </c>
      <c r="N1313" s="900" t="s">
        <v>2308</v>
      </c>
    </row>
    <row r="1314" spans="1:14" ht="52.5" hidden="1" customHeight="1">
      <c r="A1314" s="896">
        <v>22</v>
      </c>
      <c r="B1314" s="1609" t="s">
        <v>593</v>
      </c>
      <c r="C1314" s="1609"/>
      <c r="D1314" s="1609"/>
      <c r="E1314" s="1609"/>
      <c r="F1314" s="1609"/>
      <c r="G1314" s="1609"/>
      <c r="H1314" s="1609"/>
      <c r="I1314" s="897"/>
      <c r="J1314" s="898"/>
      <c r="K1314" s="896"/>
      <c r="L1314" s="923"/>
      <c r="M1314" s="899"/>
      <c r="N1314" s="900" t="s">
        <v>2309</v>
      </c>
    </row>
    <row r="1315" spans="1:14" s="910" customFormat="1" ht="16.5" hidden="1" customHeight="1">
      <c r="A1315" s="896"/>
      <c r="B1315" s="902" t="s">
        <v>3562</v>
      </c>
      <c r="C1315" s="897"/>
      <c r="D1315" s="1263"/>
      <c r="E1315" s="919"/>
      <c r="F1315" s="920"/>
      <c r="G1315" s="920"/>
      <c r="H1315" s="920"/>
      <c r="I1315" s="1264"/>
      <c r="J1315" s="955"/>
      <c r="K1315" s="902"/>
      <c r="L1315" s="923"/>
      <c r="M1315" s="902"/>
      <c r="N1315" s="900" t="s">
        <v>2309</v>
      </c>
    </row>
    <row r="1316" spans="1:14" s="910" customFormat="1" ht="15.75" hidden="1">
      <c r="A1316" s="896"/>
      <c r="B1316" s="902"/>
      <c r="C1316" s="897">
        <v>1</v>
      </c>
      <c r="D1316" s="1263" t="s">
        <v>273</v>
      </c>
      <c r="E1316" s="919">
        <v>1</v>
      </c>
      <c r="F1316" s="920">
        <v>8.65</v>
      </c>
      <c r="G1316" s="920">
        <v>3.2</v>
      </c>
      <c r="H1316" s="920">
        <v>0</v>
      </c>
      <c r="I1316" s="1266">
        <f t="shared" ref="I1316" si="136">ROUND(IF(AND(F1316:H1316),C1316*E1316*F1316*G1316*H1316,IF(AND(F1316,G1316),C1316*E1316*F1316*G1316,IF(AND(F1316,H1316),C1316*E1316*F1316*H1316,IF(AND(G1316,H1316),C1316*E1316*G1316*H1316,IF(F1316,C1316*E1316*F1316,IF(G1316,C1316*E1316*G1316,IF(H1316,C1316*E1316*H1316,C1316*E1316))))))),2)</f>
        <v>27.68</v>
      </c>
      <c r="J1316" s="955" t="s">
        <v>102</v>
      </c>
      <c r="K1316" s="902"/>
      <c r="L1316" s="923"/>
      <c r="M1316" s="902"/>
      <c r="N1316" s="900" t="s">
        <v>2309</v>
      </c>
    </row>
    <row r="1317" spans="1:14" s="910" customFormat="1" ht="16.5" hidden="1" customHeight="1">
      <c r="A1317" s="896"/>
      <c r="B1317" s="956"/>
      <c r="C1317" s="957"/>
      <c r="D1317" s="958"/>
      <c r="E1317" s="1268"/>
      <c r="F1317" s="960"/>
      <c r="G1317" s="960"/>
      <c r="H1317" s="960"/>
      <c r="I1317" s="916"/>
      <c r="J1317" s="955"/>
      <c r="K1317" s="902"/>
      <c r="L1317" s="923"/>
      <c r="M1317" s="902"/>
      <c r="N1317" s="900" t="s">
        <v>2309</v>
      </c>
    </row>
    <row r="1318" spans="1:14" ht="15.75" hidden="1">
      <c r="A1318" s="896"/>
      <c r="B1318" s="902"/>
      <c r="C1318" s="917"/>
      <c r="D1318" s="918"/>
      <c r="E1318" s="919"/>
      <c r="F1318" s="920"/>
      <c r="G1318" s="921"/>
      <c r="H1318" s="896"/>
      <c r="I1318" s="916"/>
      <c r="J1318" s="955" t="s">
        <v>102</v>
      </c>
      <c r="K1318" s="922">
        <f>data!E3227</f>
        <v>314.89999999999998</v>
      </c>
      <c r="L1318" s="923" t="s">
        <v>2309</v>
      </c>
      <c r="M1318" s="924">
        <f>ROUND(I1318*K1318,0)</f>
        <v>0</v>
      </c>
      <c r="N1318" s="900" t="s">
        <v>2309</v>
      </c>
    </row>
    <row r="1319" spans="1:14" s="1403" customFormat="1" ht="71.25" customHeight="1">
      <c r="A1319" s="1397">
        <v>20</v>
      </c>
      <c r="B1319" s="1610" t="s">
        <v>808</v>
      </c>
      <c r="C1319" s="1610"/>
      <c r="D1319" s="1610"/>
      <c r="E1319" s="1610"/>
      <c r="F1319" s="1610"/>
      <c r="G1319" s="1610"/>
      <c r="H1319" s="1610"/>
      <c r="I1319" s="1398"/>
      <c r="J1319" s="1399"/>
      <c r="K1319" s="1397"/>
      <c r="L1319" s="1400"/>
      <c r="M1319" s="1401"/>
      <c r="N1319" s="1402" t="s">
        <v>2209</v>
      </c>
    </row>
    <row r="1320" spans="1:14" s="1411" customFormat="1" ht="16.5" customHeight="1">
      <c r="A1320" s="1397"/>
      <c r="B1320" s="1404" t="s">
        <v>3929</v>
      </c>
      <c r="C1320" s="1405"/>
      <c r="D1320" s="1395" t="s">
        <v>4019</v>
      </c>
      <c r="E1320" s="1406"/>
      <c r="F1320" s="1407"/>
      <c r="G1320" s="1407"/>
      <c r="H1320" s="1407"/>
      <c r="I1320" s="1408"/>
      <c r="J1320" s="1423"/>
      <c r="K1320" s="1410"/>
      <c r="L1320" s="1400"/>
      <c r="M1320" s="1410"/>
      <c r="N1320" s="1402" t="s">
        <v>2209</v>
      </c>
    </row>
    <row r="1321" spans="1:14" s="1411" customFormat="1" ht="16.5" customHeight="1">
      <c r="A1321" s="1397"/>
      <c r="B1321" s="1410" t="s">
        <v>2360</v>
      </c>
      <c r="C1321" s="1398">
        <v>1</v>
      </c>
      <c r="D1321" s="1412" t="s">
        <v>273</v>
      </c>
      <c r="E1321" s="1413">
        <v>1</v>
      </c>
      <c r="F1321" s="1414">
        <v>11.02</v>
      </c>
      <c r="G1321" s="1414">
        <v>0</v>
      </c>
      <c r="H1321" s="1414">
        <v>3.15</v>
      </c>
      <c r="I1321" s="1415">
        <f t="shared" ref="I1321:I1330" si="137">ROUND(IF(AND(F1321:H1321),C1321*E1321*F1321*G1321*H1321,IF(AND(F1321,G1321),C1321*E1321*F1321*G1321,IF(AND(F1321,H1321),C1321*E1321*F1321*H1321,IF(AND(G1321,H1321),C1321*E1321*G1321*H1321,IF(F1321,C1321*E1321*F1321,IF(G1321,C1321*E1321*G1321,IF(H1321,C1321*E1321*H1321,C1321*E1321))))))),2)</f>
        <v>34.71</v>
      </c>
      <c r="J1321" s="1423" t="s">
        <v>102</v>
      </c>
      <c r="K1321" s="1410"/>
      <c r="L1321" s="1400"/>
      <c r="M1321" s="1410"/>
      <c r="N1321" s="1402" t="s">
        <v>2209</v>
      </c>
    </row>
    <row r="1322" spans="1:14" s="1411" customFormat="1" ht="16.5" customHeight="1">
      <c r="A1322" s="1397"/>
      <c r="B1322" s="1410" t="s">
        <v>3310</v>
      </c>
      <c r="C1322" s="1398">
        <v>1</v>
      </c>
      <c r="D1322" s="1412" t="s">
        <v>273</v>
      </c>
      <c r="E1322" s="1413">
        <v>1</v>
      </c>
      <c r="F1322" s="1414">
        <v>5.8</v>
      </c>
      <c r="G1322" s="1414">
        <v>0</v>
      </c>
      <c r="H1322" s="1414">
        <v>1.1499999999999999</v>
      </c>
      <c r="I1322" s="1415">
        <f t="shared" si="137"/>
        <v>6.67</v>
      </c>
      <c r="J1322" s="1423" t="s">
        <v>102</v>
      </c>
      <c r="K1322" s="1410"/>
      <c r="L1322" s="1400"/>
      <c r="M1322" s="1410"/>
      <c r="N1322" s="1402" t="s">
        <v>2209</v>
      </c>
    </row>
    <row r="1323" spans="1:14" s="1411" customFormat="1" ht="16.5" customHeight="1">
      <c r="A1323" s="1397"/>
      <c r="B1323" s="1410"/>
      <c r="C1323" s="1398">
        <v>1</v>
      </c>
      <c r="D1323" s="1412" t="s">
        <v>273</v>
      </c>
      <c r="E1323" s="1413">
        <v>2</v>
      </c>
      <c r="F1323" s="1414">
        <v>1.25</v>
      </c>
      <c r="G1323" s="1414">
        <v>0</v>
      </c>
      <c r="H1323" s="1414">
        <v>3.15</v>
      </c>
      <c r="I1323" s="1415">
        <f t="shared" si="137"/>
        <v>7.88</v>
      </c>
      <c r="J1323" s="1423" t="s">
        <v>102</v>
      </c>
      <c r="K1323" s="1410"/>
      <c r="L1323" s="1400"/>
      <c r="M1323" s="1410"/>
      <c r="N1323" s="1402" t="s">
        <v>2209</v>
      </c>
    </row>
    <row r="1324" spans="1:14" s="1411" customFormat="1" ht="16.5" customHeight="1">
      <c r="A1324" s="1397"/>
      <c r="B1324" s="1410" t="s">
        <v>2521</v>
      </c>
      <c r="C1324" s="1398">
        <v>1</v>
      </c>
      <c r="D1324" s="1412" t="s">
        <v>273</v>
      </c>
      <c r="E1324" s="1413">
        <v>1</v>
      </c>
      <c r="F1324" s="1414">
        <v>9.8800000000000008</v>
      </c>
      <c r="G1324" s="1414">
        <v>0</v>
      </c>
      <c r="H1324" s="1414">
        <v>3.15</v>
      </c>
      <c r="I1324" s="1415">
        <f t="shared" si="137"/>
        <v>31.12</v>
      </c>
      <c r="J1324" s="1423" t="s">
        <v>102</v>
      </c>
      <c r="K1324" s="1410"/>
      <c r="L1324" s="1400"/>
      <c r="M1324" s="1410"/>
      <c r="N1324" s="1402" t="s">
        <v>2209</v>
      </c>
    </row>
    <row r="1325" spans="1:14" s="1411" customFormat="1" ht="16.5" customHeight="1">
      <c r="A1325" s="1397"/>
      <c r="B1325" s="1410" t="s">
        <v>2358</v>
      </c>
      <c r="C1325" s="1398">
        <v>1</v>
      </c>
      <c r="D1325" s="1412" t="s">
        <v>273</v>
      </c>
      <c r="E1325" s="1413">
        <v>1</v>
      </c>
      <c r="F1325" s="1414">
        <v>10.88</v>
      </c>
      <c r="G1325" s="1414">
        <v>0</v>
      </c>
      <c r="H1325" s="1414">
        <v>3.15</v>
      </c>
      <c r="I1325" s="1415">
        <f t="shared" si="137"/>
        <v>34.270000000000003</v>
      </c>
      <c r="J1325" s="1423" t="s">
        <v>102</v>
      </c>
      <c r="K1325" s="1410"/>
      <c r="L1325" s="1400"/>
      <c r="M1325" s="1410"/>
      <c r="N1325" s="1402" t="s">
        <v>2209</v>
      </c>
    </row>
    <row r="1326" spans="1:14" s="1411" customFormat="1" ht="16.5" customHeight="1">
      <c r="A1326" s="1397"/>
      <c r="B1326" s="1410" t="s">
        <v>2359</v>
      </c>
      <c r="C1326" s="1398">
        <v>1</v>
      </c>
      <c r="D1326" s="1412" t="s">
        <v>273</v>
      </c>
      <c r="E1326" s="1413">
        <v>1</v>
      </c>
      <c r="F1326" s="1414">
        <v>5.8</v>
      </c>
      <c r="G1326" s="1414">
        <v>0</v>
      </c>
      <c r="H1326" s="1414">
        <v>1.1499999999999999</v>
      </c>
      <c r="I1326" s="1415">
        <f t="shared" si="137"/>
        <v>6.67</v>
      </c>
      <c r="J1326" s="1423" t="s">
        <v>102</v>
      </c>
      <c r="K1326" s="1410"/>
      <c r="L1326" s="1400"/>
      <c r="M1326" s="1410"/>
      <c r="N1326" s="1402" t="s">
        <v>2209</v>
      </c>
    </row>
    <row r="1327" spans="1:14" s="1411" customFormat="1" ht="16.5" customHeight="1">
      <c r="A1327" s="1397"/>
      <c r="B1327" s="1410"/>
      <c r="C1327" s="1398">
        <v>1</v>
      </c>
      <c r="D1327" s="1412" t="s">
        <v>273</v>
      </c>
      <c r="E1327" s="1413">
        <v>1</v>
      </c>
      <c r="F1327" s="1414">
        <v>1.1200000000000001</v>
      </c>
      <c r="G1327" s="1414">
        <v>0</v>
      </c>
      <c r="H1327" s="1414">
        <v>3.15</v>
      </c>
      <c r="I1327" s="1415">
        <f t="shared" si="137"/>
        <v>3.53</v>
      </c>
      <c r="J1327" s="1423" t="s">
        <v>102</v>
      </c>
      <c r="K1327" s="1410"/>
      <c r="L1327" s="1400"/>
      <c r="M1327" s="1410"/>
      <c r="N1327" s="1402" t="s">
        <v>2209</v>
      </c>
    </row>
    <row r="1328" spans="1:14" s="1411" customFormat="1" ht="16.5" customHeight="1">
      <c r="A1328" s="1397"/>
      <c r="B1328" s="1410" t="s">
        <v>3930</v>
      </c>
      <c r="C1328" s="1398">
        <v>1</v>
      </c>
      <c r="D1328" s="1412" t="s">
        <v>273</v>
      </c>
      <c r="E1328" s="1413">
        <v>1</v>
      </c>
      <c r="F1328" s="1414">
        <v>8.8000000000000007</v>
      </c>
      <c r="G1328" s="1414">
        <v>0</v>
      </c>
      <c r="H1328" s="1414">
        <v>3.15</v>
      </c>
      <c r="I1328" s="1415">
        <f t="shared" si="137"/>
        <v>27.72</v>
      </c>
      <c r="J1328" s="1423" t="s">
        <v>102</v>
      </c>
      <c r="K1328" s="1410"/>
      <c r="L1328" s="1400"/>
      <c r="M1328" s="1410"/>
      <c r="N1328" s="1402" t="s">
        <v>2209</v>
      </c>
    </row>
    <row r="1329" spans="1:14" s="1411" customFormat="1" ht="16.5" customHeight="1">
      <c r="A1329" s="1397"/>
      <c r="B1329" s="1410" t="s">
        <v>3670</v>
      </c>
      <c r="C1329" s="1398">
        <v>1</v>
      </c>
      <c r="D1329" s="1412" t="s">
        <v>273</v>
      </c>
      <c r="E1329" s="1413">
        <v>1</v>
      </c>
      <c r="F1329" s="1414">
        <v>19.2</v>
      </c>
      <c r="G1329" s="1414">
        <v>0</v>
      </c>
      <c r="H1329" s="1414">
        <v>3.15</v>
      </c>
      <c r="I1329" s="1415">
        <f t="shared" si="137"/>
        <v>60.48</v>
      </c>
      <c r="J1329" s="1423" t="s">
        <v>102</v>
      </c>
      <c r="K1329" s="1410"/>
      <c r="L1329" s="1400"/>
      <c r="M1329" s="1410"/>
      <c r="N1329" s="1402" t="s">
        <v>2209</v>
      </c>
    </row>
    <row r="1330" spans="1:14" s="1411" customFormat="1" ht="16.5" customHeight="1">
      <c r="A1330" s="1397"/>
      <c r="B1330" s="1410" t="s">
        <v>2355</v>
      </c>
      <c r="C1330" s="1398">
        <v>1</v>
      </c>
      <c r="D1330" s="1412" t="s">
        <v>273</v>
      </c>
      <c r="E1330" s="1413">
        <v>1</v>
      </c>
      <c r="F1330" s="1414">
        <v>18.16</v>
      </c>
      <c r="G1330" s="1414">
        <v>0</v>
      </c>
      <c r="H1330" s="1414">
        <v>3.15</v>
      </c>
      <c r="I1330" s="1415">
        <f t="shared" si="137"/>
        <v>57.2</v>
      </c>
      <c r="J1330" s="1423" t="s">
        <v>102</v>
      </c>
      <c r="K1330" s="1410"/>
      <c r="L1330" s="1400"/>
      <c r="M1330" s="1410"/>
      <c r="N1330" s="1402" t="s">
        <v>2209</v>
      </c>
    </row>
    <row r="1331" spans="1:14" s="1411" customFormat="1" ht="16.5" customHeight="1">
      <c r="A1331" s="1397"/>
      <c r="B1331" s="1410" t="s">
        <v>579</v>
      </c>
      <c r="C1331" s="1398">
        <v>1</v>
      </c>
      <c r="D1331" s="1412" t="s">
        <v>273</v>
      </c>
      <c r="E1331" s="1413">
        <v>1</v>
      </c>
      <c r="F1331" s="1414">
        <v>1.2</v>
      </c>
      <c r="G1331" s="1414">
        <v>0</v>
      </c>
      <c r="H1331" s="1414">
        <v>2.1</v>
      </c>
      <c r="I1331" s="1415">
        <f t="shared" ref="I1331:I1337" si="138">-ROUND(IF(AND(F1331:H1331),C1331*E1331*F1331*G1331*H1331,IF(AND(F1331,G1331),C1331*E1331*F1331*G1331,IF(AND(F1331,H1331),C1331*E1331*F1331*H1331,IF(AND(G1331,H1331),C1331*E1331*G1331*H1331,IF(F1331,C1331*E1331*F1331,IF(G1331,C1331*E1331*G1331,IF(H1331,C1331*E1331*H1331,C1331*E1331))))))),2)</f>
        <v>-2.52</v>
      </c>
      <c r="J1331" s="1423" t="s">
        <v>102</v>
      </c>
      <c r="K1331" s="1410"/>
      <c r="L1331" s="1400"/>
      <c r="M1331" s="1410"/>
      <c r="N1331" s="1402" t="s">
        <v>2209</v>
      </c>
    </row>
    <row r="1332" spans="1:14" s="1411" customFormat="1" ht="16.5" customHeight="1">
      <c r="A1332" s="1397"/>
      <c r="B1332" s="1410" t="s">
        <v>579</v>
      </c>
      <c r="C1332" s="1398">
        <v>1</v>
      </c>
      <c r="D1332" s="1412" t="s">
        <v>273</v>
      </c>
      <c r="E1332" s="1413">
        <v>2</v>
      </c>
      <c r="F1332" s="1414">
        <v>1.05</v>
      </c>
      <c r="G1332" s="1414">
        <v>0</v>
      </c>
      <c r="H1332" s="1414">
        <v>2.1</v>
      </c>
      <c r="I1332" s="1415">
        <f t="shared" si="138"/>
        <v>-4.41</v>
      </c>
      <c r="J1332" s="1423" t="s">
        <v>102</v>
      </c>
      <c r="K1332" s="1410"/>
      <c r="L1332" s="1400"/>
      <c r="M1332" s="1410"/>
      <c r="N1332" s="1402" t="s">
        <v>2209</v>
      </c>
    </row>
    <row r="1333" spans="1:14" s="1411" customFormat="1" ht="16.5" customHeight="1">
      <c r="A1333" s="1397"/>
      <c r="B1333" s="1410" t="s">
        <v>579</v>
      </c>
      <c r="C1333" s="1398">
        <v>1</v>
      </c>
      <c r="D1333" s="1412" t="s">
        <v>273</v>
      </c>
      <c r="E1333" s="1413">
        <v>2</v>
      </c>
      <c r="F1333" s="1414">
        <v>1</v>
      </c>
      <c r="G1333" s="1414">
        <v>0</v>
      </c>
      <c r="H1333" s="1414">
        <v>2.1</v>
      </c>
      <c r="I1333" s="1415">
        <f t="shared" si="138"/>
        <v>-4.2</v>
      </c>
      <c r="J1333" s="1423" t="s">
        <v>102</v>
      </c>
      <c r="K1333" s="1410"/>
      <c r="L1333" s="1400"/>
      <c r="M1333" s="1410"/>
      <c r="N1333" s="1402" t="s">
        <v>2209</v>
      </c>
    </row>
    <row r="1334" spans="1:14" s="1411" customFormat="1" ht="16.5" customHeight="1">
      <c r="A1334" s="1397"/>
      <c r="B1334" s="1410" t="s">
        <v>579</v>
      </c>
      <c r="C1334" s="1398">
        <v>1</v>
      </c>
      <c r="D1334" s="1412" t="s">
        <v>273</v>
      </c>
      <c r="E1334" s="1413">
        <v>3</v>
      </c>
      <c r="F1334" s="1414">
        <v>0.9</v>
      </c>
      <c r="G1334" s="1414">
        <v>0</v>
      </c>
      <c r="H1334" s="1414">
        <v>2.1</v>
      </c>
      <c r="I1334" s="1415">
        <f t="shared" si="138"/>
        <v>-5.67</v>
      </c>
      <c r="J1334" s="1423" t="s">
        <v>102</v>
      </c>
      <c r="K1334" s="1410"/>
      <c r="L1334" s="1400"/>
      <c r="M1334" s="1410"/>
      <c r="N1334" s="1402" t="s">
        <v>2209</v>
      </c>
    </row>
    <row r="1335" spans="1:14" s="1411" customFormat="1" ht="16.5" customHeight="1">
      <c r="A1335" s="1397"/>
      <c r="B1335" s="1410" t="s">
        <v>579</v>
      </c>
      <c r="C1335" s="1398">
        <v>1</v>
      </c>
      <c r="D1335" s="1412" t="s">
        <v>273</v>
      </c>
      <c r="E1335" s="1413">
        <v>2</v>
      </c>
      <c r="F1335" s="1414">
        <v>0.75</v>
      </c>
      <c r="G1335" s="1414">
        <v>0</v>
      </c>
      <c r="H1335" s="1414">
        <v>2.1</v>
      </c>
      <c r="I1335" s="1415">
        <f t="shared" si="138"/>
        <v>-3.15</v>
      </c>
      <c r="J1335" s="1423" t="s">
        <v>102</v>
      </c>
      <c r="K1335" s="1410"/>
      <c r="L1335" s="1400"/>
      <c r="M1335" s="1410"/>
      <c r="N1335" s="1402" t="s">
        <v>2209</v>
      </c>
    </row>
    <row r="1336" spans="1:14" s="1411" customFormat="1" ht="16.5" customHeight="1">
      <c r="A1336" s="1397"/>
      <c r="B1336" s="1410" t="s">
        <v>2354</v>
      </c>
      <c r="C1336" s="1398">
        <v>1</v>
      </c>
      <c r="D1336" s="1412" t="s">
        <v>273</v>
      </c>
      <c r="E1336" s="1413">
        <v>8</v>
      </c>
      <c r="F1336" s="1414">
        <v>1.2</v>
      </c>
      <c r="G1336" s="1414">
        <v>0</v>
      </c>
      <c r="H1336" s="1414">
        <v>1.2</v>
      </c>
      <c r="I1336" s="1415">
        <f t="shared" si="138"/>
        <v>-11.52</v>
      </c>
      <c r="J1336" s="1423" t="s">
        <v>102</v>
      </c>
      <c r="K1336" s="1410"/>
      <c r="L1336" s="1400"/>
      <c r="M1336" s="1410"/>
      <c r="N1336" s="1402" t="s">
        <v>2209</v>
      </c>
    </row>
    <row r="1337" spans="1:14" s="1411" customFormat="1" ht="16.5" customHeight="1">
      <c r="A1337" s="1397"/>
      <c r="B1337" s="1410" t="s">
        <v>581</v>
      </c>
      <c r="C1337" s="1398">
        <v>1</v>
      </c>
      <c r="D1337" s="1412" t="s">
        <v>273</v>
      </c>
      <c r="E1337" s="1413">
        <v>12</v>
      </c>
      <c r="F1337" s="1414">
        <v>0.6</v>
      </c>
      <c r="G1337" s="1414">
        <v>0</v>
      </c>
      <c r="H1337" s="1414">
        <v>0.3</v>
      </c>
      <c r="I1337" s="1415">
        <f t="shared" si="138"/>
        <v>-2.16</v>
      </c>
      <c r="J1337" s="1423" t="s">
        <v>102</v>
      </c>
      <c r="K1337" s="1410"/>
      <c r="L1337" s="1400"/>
      <c r="M1337" s="1410"/>
      <c r="N1337" s="1402" t="s">
        <v>2209</v>
      </c>
    </row>
    <row r="1338" spans="1:14" s="1411" customFormat="1" ht="16.5" customHeight="1">
      <c r="A1338" s="1397"/>
      <c r="B1338" s="1404" t="s">
        <v>4006</v>
      </c>
      <c r="C1338" s="1405"/>
      <c r="D1338" s="1395" t="s">
        <v>4012</v>
      </c>
      <c r="E1338" s="1406"/>
      <c r="F1338" s="1407"/>
      <c r="G1338" s="1407"/>
      <c r="H1338" s="1407"/>
      <c r="I1338" s="1408"/>
      <c r="J1338" s="1409"/>
      <c r="K1338" s="1410"/>
      <c r="L1338" s="1400"/>
      <c r="M1338" s="1410"/>
      <c r="N1338" s="1402" t="s">
        <v>2209</v>
      </c>
    </row>
    <row r="1339" spans="1:14" s="1411" customFormat="1" ht="16.5" customHeight="1">
      <c r="A1339" s="1397"/>
      <c r="B1339" s="1410" t="s">
        <v>2360</v>
      </c>
      <c r="C1339" s="1398">
        <v>1</v>
      </c>
      <c r="D1339" s="1412" t="s">
        <v>273</v>
      </c>
      <c r="E1339" s="1413">
        <v>1</v>
      </c>
      <c r="F1339" s="1414">
        <v>1.115</v>
      </c>
      <c r="G1339" s="1414">
        <v>0</v>
      </c>
      <c r="H1339" s="1414">
        <v>0.7</v>
      </c>
      <c r="I1339" s="1415">
        <f t="shared" ref="I1339:I1348" si="139">ROUND(IF(AND(F1339:H1339),C1339*E1339*F1339*G1339*H1339,IF(AND(F1339,G1339),C1339*E1339*F1339*G1339,IF(AND(F1339,H1339),C1339*E1339*F1339*H1339,IF(AND(G1339,H1339),C1339*E1339*G1339*H1339,IF(F1339,C1339*E1339*F1339,IF(G1339,C1339*E1339*G1339,IF(H1339,C1339*E1339*H1339,C1339*E1339))))))),2)</f>
        <v>0.78</v>
      </c>
      <c r="J1339" s="1423" t="s">
        <v>102</v>
      </c>
      <c r="K1339" s="1410"/>
      <c r="L1339" s="1400"/>
      <c r="M1339" s="1410"/>
      <c r="N1339" s="1402" t="s">
        <v>2209</v>
      </c>
    </row>
    <row r="1340" spans="1:14" s="1411" customFormat="1" ht="16.5" customHeight="1">
      <c r="A1340" s="1397"/>
      <c r="B1340" s="1410"/>
      <c r="C1340" s="1398">
        <v>1</v>
      </c>
      <c r="D1340" s="1412" t="s">
        <v>273</v>
      </c>
      <c r="E1340" s="1413">
        <v>1</v>
      </c>
      <c r="F1340" s="1414">
        <v>0.61499999999999999</v>
      </c>
      <c r="G1340" s="1414">
        <v>0</v>
      </c>
      <c r="H1340" s="1414">
        <v>0.7</v>
      </c>
      <c r="I1340" s="1415">
        <f t="shared" si="139"/>
        <v>0.43</v>
      </c>
      <c r="J1340" s="1423" t="s">
        <v>102</v>
      </c>
      <c r="K1340" s="1410"/>
      <c r="L1340" s="1400"/>
      <c r="M1340" s="1410"/>
      <c r="N1340" s="1402" t="s">
        <v>2209</v>
      </c>
    </row>
    <row r="1341" spans="1:14" s="1411" customFormat="1" ht="16.5" customHeight="1">
      <c r="A1341" s="1397"/>
      <c r="B1341" s="1410" t="s">
        <v>2521</v>
      </c>
      <c r="C1341" s="1398">
        <v>1</v>
      </c>
      <c r="D1341" s="1412" t="s">
        <v>273</v>
      </c>
      <c r="E1341" s="1413">
        <v>1</v>
      </c>
      <c r="F1341" s="1414">
        <v>1.3</v>
      </c>
      <c r="G1341" s="1414">
        <v>0</v>
      </c>
      <c r="H1341" s="1414">
        <v>0.7</v>
      </c>
      <c r="I1341" s="1415">
        <f t="shared" si="139"/>
        <v>0.91</v>
      </c>
      <c r="J1341" s="1423" t="s">
        <v>102</v>
      </c>
      <c r="K1341" s="1410"/>
      <c r="L1341" s="1400"/>
      <c r="M1341" s="1410"/>
      <c r="N1341" s="1402" t="s">
        <v>2209</v>
      </c>
    </row>
    <row r="1342" spans="1:14" s="1411" customFormat="1" ht="16.5" customHeight="1">
      <c r="A1342" s="1397"/>
      <c r="B1342" s="1410"/>
      <c r="C1342" s="1398">
        <v>1</v>
      </c>
      <c r="D1342" s="1412" t="s">
        <v>273</v>
      </c>
      <c r="E1342" s="1413">
        <v>1</v>
      </c>
      <c r="F1342" s="1414">
        <v>0.71499999999999997</v>
      </c>
      <c r="G1342" s="1414">
        <v>0</v>
      </c>
      <c r="H1342" s="1414">
        <v>0.7</v>
      </c>
      <c r="I1342" s="1415">
        <f t="shared" si="139"/>
        <v>0.5</v>
      </c>
      <c r="J1342" s="1423" t="s">
        <v>102</v>
      </c>
      <c r="K1342" s="1410"/>
      <c r="L1342" s="1400"/>
      <c r="M1342" s="1410"/>
      <c r="N1342" s="1402" t="s">
        <v>2209</v>
      </c>
    </row>
    <row r="1343" spans="1:14" s="1411" customFormat="1" ht="16.5" customHeight="1">
      <c r="A1343" s="1397"/>
      <c r="B1343" s="1410" t="s">
        <v>2357</v>
      </c>
      <c r="C1343" s="1398">
        <v>1</v>
      </c>
      <c r="D1343" s="1412" t="s">
        <v>273</v>
      </c>
      <c r="E1343" s="1413">
        <v>1</v>
      </c>
      <c r="F1343" s="1414">
        <v>0.8</v>
      </c>
      <c r="G1343" s="1414">
        <v>0</v>
      </c>
      <c r="H1343" s="1414">
        <v>0.75</v>
      </c>
      <c r="I1343" s="1415">
        <f t="shared" si="139"/>
        <v>0.6</v>
      </c>
      <c r="J1343" s="1423" t="s">
        <v>102</v>
      </c>
      <c r="K1343" s="1410"/>
      <c r="L1343" s="1400"/>
      <c r="M1343" s="1410"/>
      <c r="N1343" s="1402" t="s">
        <v>2209</v>
      </c>
    </row>
    <row r="1344" spans="1:14" s="1411" customFormat="1" ht="16.5" customHeight="1">
      <c r="A1344" s="1397"/>
      <c r="B1344" s="1410"/>
      <c r="C1344" s="1398">
        <v>1</v>
      </c>
      <c r="D1344" s="1412" t="s">
        <v>273</v>
      </c>
      <c r="E1344" s="1413">
        <v>2</v>
      </c>
      <c r="F1344" s="1414">
        <v>0.46</v>
      </c>
      <c r="G1344" s="1414">
        <v>0</v>
      </c>
      <c r="H1344" s="1414">
        <v>0.75</v>
      </c>
      <c r="I1344" s="1415">
        <f t="shared" si="139"/>
        <v>0.69</v>
      </c>
      <c r="J1344" s="1423" t="s">
        <v>102</v>
      </c>
      <c r="K1344" s="1410"/>
      <c r="L1344" s="1400"/>
      <c r="M1344" s="1410"/>
      <c r="N1344" s="1402" t="s">
        <v>2209</v>
      </c>
    </row>
    <row r="1345" spans="1:14" s="1411" customFormat="1" ht="16.5" customHeight="1">
      <c r="A1345" s="1397"/>
      <c r="B1345" s="1410" t="s">
        <v>578</v>
      </c>
      <c r="C1345" s="1398">
        <v>1</v>
      </c>
      <c r="D1345" s="1412" t="s">
        <v>273</v>
      </c>
      <c r="E1345" s="1413">
        <v>1</v>
      </c>
      <c r="F1345" s="1414">
        <v>1.2</v>
      </c>
      <c r="G1345" s="1414">
        <v>0</v>
      </c>
      <c r="H1345" s="1414">
        <v>1</v>
      </c>
      <c r="I1345" s="1415">
        <f t="shared" si="139"/>
        <v>1.2</v>
      </c>
      <c r="J1345" s="1423" t="s">
        <v>102</v>
      </c>
      <c r="K1345" s="1410"/>
      <c r="L1345" s="1400"/>
      <c r="M1345" s="1410"/>
      <c r="N1345" s="1402" t="s">
        <v>2209</v>
      </c>
    </row>
    <row r="1346" spans="1:14" s="1411" customFormat="1" ht="16.5" customHeight="1">
      <c r="A1346" s="1397"/>
      <c r="B1346" s="1410"/>
      <c r="C1346" s="1398">
        <v>1</v>
      </c>
      <c r="D1346" s="1412" t="s">
        <v>273</v>
      </c>
      <c r="E1346" s="1413">
        <v>1</v>
      </c>
      <c r="F1346" s="1414">
        <v>3.7</v>
      </c>
      <c r="G1346" s="1414">
        <v>0</v>
      </c>
      <c r="H1346" s="1414">
        <v>1</v>
      </c>
      <c r="I1346" s="1415">
        <f t="shared" si="139"/>
        <v>3.7</v>
      </c>
      <c r="J1346" s="1423" t="s">
        <v>102</v>
      </c>
      <c r="K1346" s="1410"/>
      <c r="L1346" s="1400"/>
      <c r="M1346" s="1410"/>
      <c r="N1346" s="1402" t="s">
        <v>2209</v>
      </c>
    </row>
    <row r="1347" spans="1:14" s="1411" customFormat="1" ht="16.5" customHeight="1">
      <c r="A1347" s="1397"/>
      <c r="B1347" s="1410"/>
      <c r="C1347" s="1398">
        <v>1</v>
      </c>
      <c r="D1347" s="1412" t="s">
        <v>273</v>
      </c>
      <c r="E1347" s="1413">
        <v>1</v>
      </c>
      <c r="F1347" s="1414">
        <v>12.75</v>
      </c>
      <c r="G1347" s="1414">
        <v>0</v>
      </c>
      <c r="H1347" s="1414">
        <v>1</v>
      </c>
      <c r="I1347" s="1415">
        <f t="shared" si="139"/>
        <v>12.75</v>
      </c>
      <c r="J1347" s="1423" t="s">
        <v>102</v>
      </c>
      <c r="K1347" s="1410"/>
      <c r="L1347" s="1400"/>
      <c r="M1347" s="1410"/>
      <c r="N1347" s="1402" t="s">
        <v>2209</v>
      </c>
    </row>
    <row r="1348" spans="1:14" s="1411" customFormat="1" ht="16.5" customHeight="1">
      <c r="A1348" s="1397"/>
      <c r="B1348" s="1410"/>
      <c r="C1348" s="1398">
        <v>1</v>
      </c>
      <c r="D1348" s="1412" t="s">
        <v>273</v>
      </c>
      <c r="E1348" s="1413">
        <v>1</v>
      </c>
      <c r="F1348" s="1414">
        <v>5</v>
      </c>
      <c r="G1348" s="1414">
        <v>0</v>
      </c>
      <c r="H1348" s="1414">
        <v>1</v>
      </c>
      <c r="I1348" s="1415">
        <f t="shared" si="139"/>
        <v>5</v>
      </c>
      <c r="J1348" s="1423" t="s">
        <v>102</v>
      </c>
      <c r="K1348" s="1410"/>
      <c r="L1348" s="1400"/>
      <c r="M1348" s="1410"/>
      <c r="N1348" s="1402" t="s">
        <v>2209</v>
      </c>
    </row>
    <row r="1349" spans="1:14" s="1411" customFormat="1" ht="16.5" customHeight="1">
      <c r="A1349" s="1397"/>
      <c r="B1349" s="1410"/>
      <c r="C1349" s="1398"/>
      <c r="D1349" s="1412"/>
      <c r="E1349" s="1413"/>
      <c r="F1349" s="1414"/>
      <c r="G1349" s="1414"/>
      <c r="H1349" s="1414"/>
      <c r="I1349" s="1415"/>
      <c r="J1349" s="1423"/>
      <c r="K1349" s="1410"/>
      <c r="L1349" s="1400"/>
      <c r="M1349" s="1410"/>
      <c r="N1349" s="1402" t="s">
        <v>2209</v>
      </c>
    </row>
    <row r="1350" spans="1:14" s="1403" customFormat="1" ht="15.75">
      <c r="A1350" s="1397"/>
      <c r="B1350" s="1410"/>
      <c r="C1350" s="1431"/>
      <c r="D1350" s="1432"/>
      <c r="E1350" s="1413"/>
      <c r="F1350" s="1414"/>
      <c r="G1350" s="1433"/>
      <c r="H1350" s="1397"/>
      <c r="I1350" s="1430">
        <f>SUM(I1321:I1349)</f>
        <v>263.17999999999995</v>
      </c>
      <c r="J1350" s="1423" t="s">
        <v>102</v>
      </c>
      <c r="K1350" s="1434">
        <f>data!E512</f>
        <v>317.8</v>
      </c>
      <c r="L1350" s="1400" t="s">
        <v>2209</v>
      </c>
      <c r="M1350" s="1435">
        <f>ROUND(I1350*K1350,0)</f>
        <v>83639</v>
      </c>
      <c r="N1350" s="1402" t="s">
        <v>2209</v>
      </c>
    </row>
    <row r="1351" spans="1:14" ht="71.25" hidden="1" customHeight="1">
      <c r="A1351" s="896">
        <v>28</v>
      </c>
      <c r="B1351" s="1609" t="s">
        <v>808</v>
      </c>
      <c r="C1351" s="1609"/>
      <c r="D1351" s="1609"/>
      <c r="E1351" s="1609"/>
      <c r="F1351" s="1609"/>
      <c r="G1351" s="1609"/>
      <c r="H1351" s="1609"/>
      <c r="I1351" s="897"/>
      <c r="J1351" s="898"/>
      <c r="K1351" s="896"/>
      <c r="L1351" s="923"/>
      <c r="M1351" s="899"/>
      <c r="N1351" s="900" t="s">
        <v>2297</v>
      </c>
    </row>
    <row r="1352" spans="1:14" s="910" customFormat="1" ht="16.5" hidden="1" customHeight="1">
      <c r="A1352" s="896"/>
      <c r="B1352" s="928" t="s">
        <v>3741</v>
      </c>
      <c r="C1352" s="1269"/>
      <c r="D1352" s="954" t="s">
        <v>3821</v>
      </c>
      <c r="E1352" s="1270"/>
      <c r="F1352" s="1271"/>
      <c r="G1352" s="1271"/>
      <c r="H1352" s="1271"/>
      <c r="I1352" s="1272"/>
      <c r="J1352" s="955"/>
      <c r="K1352" s="902"/>
      <c r="L1352" s="923"/>
      <c r="M1352" s="902"/>
      <c r="N1352" s="900" t="s">
        <v>2297</v>
      </c>
    </row>
    <row r="1353" spans="1:14" s="910" customFormat="1" ht="16.5" hidden="1" customHeight="1">
      <c r="A1353" s="896"/>
      <c r="B1353" s="902" t="s">
        <v>2360</v>
      </c>
      <c r="C1353" s="897">
        <v>1</v>
      </c>
      <c r="D1353" s="1263" t="s">
        <v>273</v>
      </c>
      <c r="E1353" s="919">
        <v>1</v>
      </c>
      <c r="F1353" s="920">
        <v>11.42</v>
      </c>
      <c r="G1353" s="920">
        <v>0</v>
      </c>
      <c r="H1353" s="920">
        <v>3.2</v>
      </c>
      <c r="I1353" s="1266">
        <f t="shared" ref="I1353:I1362" si="140">ROUND(IF(AND(F1353:H1353),C1353*E1353*F1353*G1353*H1353,IF(AND(F1353,G1353),C1353*E1353*F1353*G1353,IF(AND(F1353,H1353),C1353*E1353*F1353*H1353,IF(AND(G1353,H1353),C1353*E1353*G1353*H1353,IF(F1353,C1353*E1353*F1353,IF(G1353,C1353*E1353*G1353,IF(H1353,C1353*E1353*H1353,C1353*E1353))))))),2)</f>
        <v>36.54</v>
      </c>
      <c r="J1353" s="955" t="s">
        <v>102</v>
      </c>
      <c r="K1353" s="902"/>
      <c r="L1353" s="923"/>
      <c r="M1353" s="902"/>
      <c r="N1353" s="900" t="s">
        <v>2297</v>
      </c>
    </row>
    <row r="1354" spans="1:14" s="910" customFormat="1" ht="16.5" hidden="1" customHeight="1">
      <c r="A1354" s="896"/>
      <c r="B1354" s="902" t="s">
        <v>3304</v>
      </c>
      <c r="C1354" s="897">
        <v>1</v>
      </c>
      <c r="D1354" s="1263" t="s">
        <v>273</v>
      </c>
      <c r="E1354" s="919">
        <v>1</v>
      </c>
      <c r="F1354" s="920">
        <v>5.98</v>
      </c>
      <c r="G1354" s="920">
        <v>0</v>
      </c>
      <c r="H1354" s="920">
        <v>3.2</v>
      </c>
      <c r="I1354" s="1266">
        <f t="shared" si="140"/>
        <v>19.14</v>
      </c>
      <c r="J1354" s="955" t="s">
        <v>102</v>
      </c>
      <c r="K1354" s="902"/>
      <c r="L1354" s="923"/>
      <c r="M1354" s="902"/>
      <c r="N1354" s="900" t="s">
        <v>2297</v>
      </c>
    </row>
    <row r="1355" spans="1:14" s="910" customFormat="1" ht="16.5" hidden="1" customHeight="1">
      <c r="A1355" s="896"/>
      <c r="B1355" s="902"/>
      <c r="C1355" s="897">
        <v>1</v>
      </c>
      <c r="D1355" s="1263" t="s">
        <v>273</v>
      </c>
      <c r="E1355" s="919">
        <v>1</v>
      </c>
      <c r="F1355" s="920">
        <v>4.63</v>
      </c>
      <c r="G1355" s="920">
        <v>0</v>
      </c>
      <c r="H1355" s="920">
        <v>3.2</v>
      </c>
      <c r="I1355" s="1266">
        <f t="shared" si="140"/>
        <v>14.82</v>
      </c>
      <c r="J1355" s="955" t="s">
        <v>102</v>
      </c>
      <c r="K1355" s="902"/>
      <c r="L1355" s="923"/>
      <c r="M1355" s="902"/>
      <c r="N1355" s="900" t="s">
        <v>2297</v>
      </c>
    </row>
    <row r="1356" spans="1:14" s="910" customFormat="1" ht="16.5" hidden="1" customHeight="1">
      <c r="A1356" s="896"/>
      <c r="B1356" s="902" t="s">
        <v>3742</v>
      </c>
      <c r="C1356" s="897">
        <v>1</v>
      </c>
      <c r="D1356" s="1263" t="s">
        <v>273</v>
      </c>
      <c r="E1356" s="919">
        <v>1</v>
      </c>
      <c r="F1356" s="920">
        <v>10.32</v>
      </c>
      <c r="G1356" s="920">
        <v>0</v>
      </c>
      <c r="H1356" s="920">
        <v>3.2</v>
      </c>
      <c r="I1356" s="1266">
        <f t="shared" si="140"/>
        <v>33.020000000000003</v>
      </c>
      <c r="J1356" s="955" t="s">
        <v>102</v>
      </c>
      <c r="K1356" s="902"/>
      <c r="L1356" s="923"/>
      <c r="M1356" s="902"/>
      <c r="N1356" s="900" t="s">
        <v>2297</v>
      </c>
    </row>
    <row r="1357" spans="1:14" s="910" customFormat="1" ht="16.5" hidden="1" customHeight="1">
      <c r="A1357" s="896"/>
      <c r="B1357" s="902" t="s">
        <v>2448</v>
      </c>
      <c r="C1357" s="897">
        <v>1</v>
      </c>
      <c r="D1357" s="1263" t="s">
        <v>273</v>
      </c>
      <c r="E1357" s="919">
        <v>1</v>
      </c>
      <c r="F1357" s="920">
        <v>11.14</v>
      </c>
      <c r="G1357" s="920">
        <v>0</v>
      </c>
      <c r="H1357" s="920">
        <v>3.2</v>
      </c>
      <c r="I1357" s="1266">
        <f t="shared" si="140"/>
        <v>35.65</v>
      </c>
      <c r="J1357" s="955" t="s">
        <v>102</v>
      </c>
      <c r="K1357" s="902"/>
      <c r="L1357" s="923"/>
      <c r="M1357" s="902"/>
      <c r="N1357" s="900" t="s">
        <v>2297</v>
      </c>
    </row>
    <row r="1358" spans="1:14" s="910" customFormat="1" ht="16.5" hidden="1" customHeight="1">
      <c r="A1358" s="896"/>
      <c r="B1358" s="902" t="s">
        <v>3304</v>
      </c>
      <c r="C1358" s="897">
        <v>1</v>
      </c>
      <c r="D1358" s="1263" t="s">
        <v>273</v>
      </c>
      <c r="E1358" s="919">
        <v>1</v>
      </c>
      <c r="F1358" s="920">
        <v>6.68</v>
      </c>
      <c r="G1358" s="920">
        <v>0</v>
      </c>
      <c r="H1358" s="920">
        <v>3.2</v>
      </c>
      <c r="I1358" s="1266">
        <f t="shared" si="140"/>
        <v>21.38</v>
      </c>
      <c r="J1358" s="955" t="s">
        <v>102</v>
      </c>
      <c r="K1358" s="902"/>
      <c r="L1358" s="923"/>
      <c r="M1358" s="902"/>
      <c r="N1358" s="900" t="s">
        <v>2297</v>
      </c>
    </row>
    <row r="1359" spans="1:14" s="910" customFormat="1" ht="16.5" hidden="1" customHeight="1">
      <c r="A1359" s="896"/>
      <c r="B1359" s="902"/>
      <c r="C1359" s="897">
        <v>1</v>
      </c>
      <c r="D1359" s="1263" t="s">
        <v>273</v>
      </c>
      <c r="E1359" s="919">
        <v>1</v>
      </c>
      <c r="F1359" s="920">
        <v>3.93</v>
      </c>
      <c r="G1359" s="920">
        <v>0</v>
      </c>
      <c r="H1359" s="920">
        <v>3.2</v>
      </c>
      <c r="I1359" s="1266">
        <f t="shared" si="140"/>
        <v>12.58</v>
      </c>
      <c r="J1359" s="955" t="s">
        <v>102</v>
      </c>
      <c r="K1359" s="902"/>
      <c r="L1359" s="923"/>
      <c r="M1359" s="902"/>
      <c r="N1359" s="900" t="s">
        <v>2297</v>
      </c>
    </row>
    <row r="1360" spans="1:14" s="910" customFormat="1" ht="16.5" hidden="1" customHeight="1">
      <c r="A1360" s="896"/>
      <c r="B1360" s="902" t="s">
        <v>2357</v>
      </c>
      <c r="C1360" s="897">
        <v>1</v>
      </c>
      <c r="D1360" s="1263" t="s">
        <v>273</v>
      </c>
      <c r="E1360" s="919">
        <v>1</v>
      </c>
      <c r="F1360" s="920">
        <v>9.3000000000000007</v>
      </c>
      <c r="G1360" s="920">
        <v>0</v>
      </c>
      <c r="H1360" s="920">
        <v>3.2</v>
      </c>
      <c r="I1360" s="1266">
        <f t="shared" si="140"/>
        <v>29.76</v>
      </c>
      <c r="J1360" s="955" t="s">
        <v>102</v>
      </c>
      <c r="K1360" s="902"/>
      <c r="L1360" s="923"/>
      <c r="M1360" s="902"/>
      <c r="N1360" s="900" t="s">
        <v>2297</v>
      </c>
    </row>
    <row r="1361" spans="1:14" s="910" customFormat="1" ht="16.5" hidden="1" customHeight="1">
      <c r="A1361" s="896"/>
      <c r="B1361" s="902" t="s">
        <v>3670</v>
      </c>
      <c r="C1361" s="897">
        <v>1</v>
      </c>
      <c r="D1361" s="1263" t="s">
        <v>273</v>
      </c>
      <c r="E1361" s="919">
        <v>1</v>
      </c>
      <c r="F1361" s="920">
        <v>19.36</v>
      </c>
      <c r="G1361" s="920">
        <v>0</v>
      </c>
      <c r="H1361" s="920">
        <v>3.2</v>
      </c>
      <c r="I1361" s="1266">
        <f t="shared" si="140"/>
        <v>61.95</v>
      </c>
      <c r="J1361" s="955" t="s">
        <v>102</v>
      </c>
      <c r="K1361" s="902"/>
      <c r="L1361" s="923"/>
      <c r="M1361" s="902"/>
      <c r="N1361" s="900" t="s">
        <v>2297</v>
      </c>
    </row>
    <row r="1362" spans="1:14" s="910" customFormat="1" ht="16.5" hidden="1" customHeight="1">
      <c r="A1362" s="896"/>
      <c r="B1362" s="902" t="s">
        <v>2355</v>
      </c>
      <c r="C1362" s="897">
        <v>1</v>
      </c>
      <c r="D1362" s="1263" t="s">
        <v>273</v>
      </c>
      <c r="E1362" s="919">
        <v>1</v>
      </c>
      <c r="F1362" s="920">
        <v>18.34</v>
      </c>
      <c r="G1362" s="920">
        <v>0</v>
      </c>
      <c r="H1362" s="920">
        <v>3.2</v>
      </c>
      <c r="I1362" s="1266">
        <f t="shared" si="140"/>
        <v>58.69</v>
      </c>
      <c r="J1362" s="955" t="s">
        <v>102</v>
      </c>
      <c r="K1362" s="902"/>
      <c r="L1362" s="923"/>
      <c r="M1362" s="902"/>
      <c r="N1362" s="900" t="s">
        <v>2297</v>
      </c>
    </row>
    <row r="1363" spans="1:14" s="910" customFormat="1" ht="16.5" hidden="1" customHeight="1">
      <c r="A1363" s="896"/>
      <c r="B1363" s="902" t="s">
        <v>579</v>
      </c>
      <c r="C1363" s="897">
        <v>1</v>
      </c>
      <c r="D1363" s="1263" t="s">
        <v>273</v>
      </c>
      <c r="E1363" s="919">
        <v>1</v>
      </c>
      <c r="F1363" s="920">
        <v>1.2</v>
      </c>
      <c r="G1363" s="920">
        <v>0</v>
      </c>
      <c r="H1363" s="920">
        <v>2.1</v>
      </c>
      <c r="I1363" s="1266">
        <f t="shared" ref="I1363:I1369" si="141">-ROUND(IF(AND(F1363:H1363),C1363*E1363*F1363*G1363*H1363,IF(AND(F1363,G1363),C1363*E1363*F1363*G1363,IF(AND(F1363,H1363),C1363*E1363*F1363*H1363,IF(AND(G1363,H1363),C1363*E1363*G1363*H1363,IF(F1363,C1363*E1363*F1363,IF(G1363,C1363*E1363*G1363,IF(H1363,C1363*E1363*H1363,C1363*E1363))))))),2)</f>
        <v>-2.52</v>
      </c>
      <c r="J1363" s="955" t="s">
        <v>102</v>
      </c>
      <c r="K1363" s="902"/>
      <c r="L1363" s="923"/>
      <c r="M1363" s="902"/>
      <c r="N1363" s="900" t="s">
        <v>2297</v>
      </c>
    </row>
    <row r="1364" spans="1:14" s="910" customFormat="1" ht="16.5" hidden="1" customHeight="1">
      <c r="A1364" s="896"/>
      <c r="B1364" s="902" t="s">
        <v>579</v>
      </c>
      <c r="C1364" s="897">
        <v>1</v>
      </c>
      <c r="D1364" s="1263" t="s">
        <v>273</v>
      </c>
      <c r="E1364" s="919">
        <v>1</v>
      </c>
      <c r="F1364" s="920">
        <v>0.9</v>
      </c>
      <c r="G1364" s="920">
        <v>0</v>
      </c>
      <c r="H1364" s="920">
        <v>2.1</v>
      </c>
      <c r="I1364" s="1266">
        <f t="shared" si="141"/>
        <v>-1.89</v>
      </c>
      <c r="J1364" s="955" t="s">
        <v>102</v>
      </c>
      <c r="K1364" s="902"/>
      <c r="L1364" s="923"/>
      <c r="M1364" s="902"/>
      <c r="N1364" s="900" t="s">
        <v>2297</v>
      </c>
    </row>
    <row r="1365" spans="1:14" s="910" customFormat="1" ht="16.5" hidden="1" customHeight="1">
      <c r="A1365" s="896"/>
      <c r="B1365" s="902" t="s">
        <v>579</v>
      </c>
      <c r="C1365" s="897">
        <v>1</v>
      </c>
      <c r="D1365" s="1263" t="s">
        <v>273</v>
      </c>
      <c r="E1365" s="919">
        <v>4</v>
      </c>
      <c r="F1365" s="920">
        <v>0.9</v>
      </c>
      <c r="G1365" s="920">
        <v>0</v>
      </c>
      <c r="H1365" s="920">
        <v>2.1</v>
      </c>
      <c r="I1365" s="1266">
        <f t="shared" si="141"/>
        <v>-7.56</v>
      </c>
      <c r="J1365" s="955" t="s">
        <v>102</v>
      </c>
      <c r="K1365" s="902"/>
      <c r="L1365" s="923"/>
      <c r="M1365" s="902"/>
      <c r="N1365" s="900" t="s">
        <v>2297</v>
      </c>
    </row>
    <row r="1366" spans="1:14" s="910" customFormat="1" ht="16.5" hidden="1" customHeight="1">
      <c r="A1366" s="896"/>
      <c r="B1366" s="902" t="s">
        <v>579</v>
      </c>
      <c r="C1366" s="897">
        <v>1</v>
      </c>
      <c r="D1366" s="1263" t="s">
        <v>273</v>
      </c>
      <c r="E1366" s="919">
        <v>1</v>
      </c>
      <c r="F1366" s="920">
        <v>0.75</v>
      </c>
      <c r="G1366" s="920">
        <v>0</v>
      </c>
      <c r="H1366" s="920">
        <v>2.1</v>
      </c>
      <c r="I1366" s="1266">
        <f t="shared" si="141"/>
        <v>-1.58</v>
      </c>
      <c r="J1366" s="955" t="s">
        <v>102</v>
      </c>
      <c r="K1366" s="902"/>
      <c r="L1366" s="923"/>
      <c r="M1366" s="902"/>
      <c r="N1366" s="900" t="s">
        <v>2297</v>
      </c>
    </row>
    <row r="1367" spans="1:14" s="910" customFormat="1" ht="16.5" hidden="1" customHeight="1">
      <c r="A1367" s="896"/>
      <c r="B1367" s="902" t="s">
        <v>579</v>
      </c>
      <c r="C1367" s="897">
        <v>1</v>
      </c>
      <c r="D1367" s="1263" t="s">
        <v>273</v>
      </c>
      <c r="E1367" s="919">
        <v>2</v>
      </c>
      <c r="F1367" s="920">
        <v>0.75</v>
      </c>
      <c r="G1367" s="920">
        <v>0</v>
      </c>
      <c r="H1367" s="920">
        <v>2.1</v>
      </c>
      <c r="I1367" s="1266">
        <f t="shared" si="141"/>
        <v>-3.15</v>
      </c>
      <c r="J1367" s="955" t="s">
        <v>102</v>
      </c>
      <c r="K1367" s="902"/>
      <c r="L1367" s="923"/>
      <c r="M1367" s="902"/>
      <c r="N1367" s="900" t="s">
        <v>2297</v>
      </c>
    </row>
    <row r="1368" spans="1:14" s="910" customFormat="1" ht="16.5" hidden="1" customHeight="1">
      <c r="A1368" s="896"/>
      <c r="B1368" s="902" t="s">
        <v>2354</v>
      </c>
      <c r="C1368" s="897">
        <v>1</v>
      </c>
      <c r="D1368" s="1263" t="s">
        <v>273</v>
      </c>
      <c r="E1368" s="919">
        <v>7</v>
      </c>
      <c r="F1368" s="920">
        <v>1.2</v>
      </c>
      <c r="G1368" s="920">
        <v>0</v>
      </c>
      <c r="H1368" s="920">
        <v>1.2</v>
      </c>
      <c r="I1368" s="1266">
        <f t="shared" si="141"/>
        <v>-10.08</v>
      </c>
      <c r="J1368" s="955" t="s">
        <v>102</v>
      </c>
      <c r="K1368" s="902"/>
      <c r="L1368" s="923"/>
      <c r="M1368" s="902"/>
      <c r="N1368" s="900" t="s">
        <v>2297</v>
      </c>
    </row>
    <row r="1369" spans="1:14" s="910" customFormat="1" ht="16.5" hidden="1" customHeight="1">
      <c r="A1369" s="896"/>
      <c r="B1369" s="902" t="s">
        <v>581</v>
      </c>
      <c r="C1369" s="897">
        <v>1</v>
      </c>
      <c r="D1369" s="1263" t="s">
        <v>273</v>
      </c>
      <c r="E1369" s="919">
        <v>14</v>
      </c>
      <c r="F1369" s="920">
        <v>0.6</v>
      </c>
      <c r="G1369" s="920">
        <v>0</v>
      </c>
      <c r="H1369" s="920">
        <v>0.3</v>
      </c>
      <c r="I1369" s="1266">
        <f t="shared" si="141"/>
        <v>-2.52</v>
      </c>
      <c r="J1369" s="955" t="s">
        <v>102</v>
      </c>
      <c r="K1369" s="902"/>
      <c r="L1369" s="923"/>
      <c r="M1369" s="902"/>
      <c r="N1369" s="900" t="s">
        <v>2297</v>
      </c>
    </row>
    <row r="1370" spans="1:14" s="910" customFormat="1" ht="16.5" hidden="1" customHeight="1">
      <c r="A1370" s="896"/>
      <c r="B1370" s="928" t="s">
        <v>3756</v>
      </c>
      <c r="C1370" s="1269"/>
      <c r="D1370" s="954" t="s">
        <v>3822</v>
      </c>
      <c r="E1370" s="1270"/>
      <c r="F1370" s="1271"/>
      <c r="G1370" s="1271"/>
      <c r="H1370" s="1271"/>
      <c r="I1370" s="1272"/>
      <c r="J1370" s="955"/>
      <c r="K1370" s="902"/>
      <c r="L1370" s="923"/>
      <c r="M1370" s="902"/>
      <c r="N1370" s="900" t="s">
        <v>2297</v>
      </c>
    </row>
    <row r="1371" spans="1:14" s="910" customFormat="1" ht="16.5" hidden="1" customHeight="1">
      <c r="A1371" s="896"/>
      <c r="B1371" s="902" t="s">
        <v>3311</v>
      </c>
      <c r="C1371" s="897">
        <v>1</v>
      </c>
      <c r="D1371" s="1263" t="s">
        <v>273</v>
      </c>
      <c r="E1371" s="919">
        <v>1</v>
      </c>
      <c r="F1371" s="920">
        <v>47</v>
      </c>
      <c r="G1371" s="920">
        <v>1.7</v>
      </c>
      <c r="H1371" s="920">
        <v>0</v>
      </c>
      <c r="I1371" s="1266">
        <f t="shared" ref="I1371:I1376" si="142">ROUND(IF(AND(F1371:H1371),C1371*E1371*F1371*G1371*H1371,IF(AND(F1371,G1371),C1371*E1371*F1371*G1371,IF(AND(F1371,H1371),C1371*E1371*F1371*H1371,IF(AND(G1371,H1371),C1371*E1371*G1371*H1371,IF(F1371,C1371*E1371*F1371,IF(G1371,C1371*E1371*G1371,IF(H1371,C1371*E1371*H1371,C1371*E1371))))))),2)</f>
        <v>79.900000000000006</v>
      </c>
      <c r="J1371" s="955" t="s">
        <v>102</v>
      </c>
      <c r="K1371" s="902"/>
      <c r="L1371" s="923"/>
      <c r="M1371" s="902"/>
      <c r="N1371" s="900" t="s">
        <v>2297</v>
      </c>
    </row>
    <row r="1372" spans="1:14" s="910" customFormat="1" ht="16.5" hidden="1" customHeight="1">
      <c r="A1372" s="896"/>
      <c r="B1372" s="902" t="s">
        <v>3757</v>
      </c>
      <c r="C1372" s="897">
        <v>1</v>
      </c>
      <c r="D1372" s="1263" t="s">
        <v>273</v>
      </c>
      <c r="E1372" s="919">
        <v>1</v>
      </c>
      <c r="F1372" s="920">
        <f>(17.18+16.1)/2</f>
        <v>16.64</v>
      </c>
      <c r="G1372" s="920">
        <v>1</v>
      </c>
      <c r="H1372" s="920">
        <v>0</v>
      </c>
      <c r="I1372" s="1266">
        <f t="shared" si="142"/>
        <v>16.64</v>
      </c>
      <c r="J1372" s="955" t="s">
        <v>102</v>
      </c>
      <c r="K1372" s="902"/>
      <c r="L1372" s="923"/>
      <c r="M1372" s="902"/>
      <c r="N1372" s="900" t="s">
        <v>2297</v>
      </c>
    </row>
    <row r="1373" spans="1:14" s="910" customFormat="1" ht="16.5" hidden="1" customHeight="1">
      <c r="A1373" s="896"/>
      <c r="B1373" s="902" t="s">
        <v>3758</v>
      </c>
      <c r="C1373" s="897">
        <v>1</v>
      </c>
      <c r="D1373" s="1263" t="s">
        <v>273</v>
      </c>
      <c r="E1373" s="919">
        <v>1</v>
      </c>
      <c r="F1373" s="920">
        <f>(3.8+3.1)/2</f>
        <v>3.45</v>
      </c>
      <c r="G1373" s="920">
        <v>1</v>
      </c>
      <c r="H1373" s="920">
        <v>0</v>
      </c>
      <c r="I1373" s="1266">
        <f t="shared" si="142"/>
        <v>3.45</v>
      </c>
      <c r="J1373" s="955" t="s">
        <v>102</v>
      </c>
      <c r="K1373" s="902"/>
      <c r="L1373" s="923"/>
      <c r="M1373" s="902"/>
      <c r="N1373" s="900" t="s">
        <v>2297</v>
      </c>
    </row>
    <row r="1374" spans="1:14" s="910" customFormat="1" ht="16.5" hidden="1" customHeight="1">
      <c r="A1374" s="896"/>
      <c r="B1374" s="902" t="s">
        <v>3759</v>
      </c>
      <c r="C1374" s="897">
        <v>1</v>
      </c>
      <c r="D1374" s="1263" t="s">
        <v>273</v>
      </c>
      <c r="E1374" s="919">
        <v>1</v>
      </c>
      <c r="F1374" s="920">
        <f>(3.8+3.05)/2</f>
        <v>3.4249999999999998</v>
      </c>
      <c r="G1374" s="920">
        <v>1</v>
      </c>
      <c r="H1374" s="920">
        <v>0</v>
      </c>
      <c r="I1374" s="1266">
        <f t="shared" si="142"/>
        <v>3.43</v>
      </c>
      <c r="J1374" s="955" t="s">
        <v>102</v>
      </c>
      <c r="K1374" s="902"/>
      <c r="L1374" s="923"/>
      <c r="M1374" s="902"/>
      <c r="N1374" s="900" t="s">
        <v>2297</v>
      </c>
    </row>
    <row r="1375" spans="1:14" s="910" customFormat="1" ht="16.5" hidden="1" customHeight="1">
      <c r="A1375" s="896"/>
      <c r="B1375" s="902" t="s">
        <v>3760</v>
      </c>
      <c r="C1375" s="897">
        <v>1</v>
      </c>
      <c r="D1375" s="1263" t="s">
        <v>273</v>
      </c>
      <c r="E1375" s="919">
        <v>1</v>
      </c>
      <c r="F1375" s="920">
        <v>19</v>
      </c>
      <c r="G1375" s="920">
        <v>0</v>
      </c>
      <c r="H1375" s="920">
        <v>0.6</v>
      </c>
      <c r="I1375" s="1266">
        <f t="shared" si="142"/>
        <v>11.4</v>
      </c>
      <c r="J1375" s="955" t="s">
        <v>102</v>
      </c>
      <c r="K1375" s="902"/>
      <c r="L1375" s="923"/>
      <c r="M1375" s="902"/>
      <c r="N1375" s="900" t="s">
        <v>2297</v>
      </c>
    </row>
    <row r="1376" spans="1:14" s="910" customFormat="1" ht="16.5" hidden="1" customHeight="1">
      <c r="A1376" s="896"/>
      <c r="B1376" s="902" t="s">
        <v>2958</v>
      </c>
      <c r="C1376" s="897">
        <v>1</v>
      </c>
      <c r="D1376" s="1263" t="s">
        <v>273</v>
      </c>
      <c r="E1376" s="919">
        <v>1</v>
      </c>
      <c r="F1376" s="920">
        <v>5.75</v>
      </c>
      <c r="G1376" s="920">
        <v>0</v>
      </c>
      <c r="H1376" s="920">
        <v>0.3</v>
      </c>
      <c r="I1376" s="1266">
        <f t="shared" si="142"/>
        <v>1.73</v>
      </c>
      <c r="J1376" s="955" t="s">
        <v>102</v>
      </c>
      <c r="K1376" s="902"/>
      <c r="L1376" s="923"/>
      <c r="M1376" s="902"/>
      <c r="N1376" s="900" t="s">
        <v>2297</v>
      </c>
    </row>
    <row r="1377" spans="1:14" s="910" customFormat="1" ht="16.5" hidden="1" customHeight="1">
      <c r="A1377" s="896"/>
      <c r="B1377" s="902" t="s">
        <v>3761</v>
      </c>
      <c r="C1377" s="897">
        <v>1</v>
      </c>
      <c r="D1377" s="1263" t="s">
        <v>273</v>
      </c>
      <c r="E1377" s="919">
        <v>3</v>
      </c>
      <c r="F1377" s="920">
        <v>1.2</v>
      </c>
      <c r="G1377" s="920">
        <v>0</v>
      </c>
      <c r="H1377" s="920">
        <v>0.6</v>
      </c>
      <c r="I1377" s="1266">
        <f>-ROUND(IF(AND(F1377:H1377),C1377*E1377*F1377*G1377*H1377,IF(AND(F1377,G1377),C1377*E1377*F1377*G1377,IF(AND(F1377,H1377),C1377*E1377*F1377*H1377,IF(AND(G1377,H1377),C1377*E1377*G1377*H1377,IF(F1377,C1377*E1377*F1377,IF(G1377,C1377*E1377*G1377,IF(H1377,C1377*E1377*H1377,C1377*E1377))))))),2)</f>
        <v>-2.16</v>
      </c>
      <c r="J1377" s="955" t="s">
        <v>102</v>
      </c>
      <c r="K1377" s="902"/>
      <c r="L1377" s="923"/>
      <c r="M1377" s="902"/>
      <c r="N1377" s="900" t="s">
        <v>2297</v>
      </c>
    </row>
    <row r="1378" spans="1:14" s="910" customFormat="1" ht="16.5" hidden="1" customHeight="1">
      <c r="A1378" s="896"/>
      <c r="B1378" s="956"/>
      <c r="C1378" s="897"/>
      <c r="D1378" s="1263"/>
      <c r="E1378" s="919"/>
      <c r="F1378" s="920"/>
      <c r="G1378" s="920"/>
      <c r="H1378" s="920"/>
      <c r="I1378" s="1266"/>
      <c r="J1378" s="955"/>
      <c r="K1378" s="902"/>
      <c r="L1378" s="923"/>
      <c r="M1378" s="902"/>
      <c r="N1378" s="900" t="s">
        <v>2297</v>
      </c>
    </row>
    <row r="1379" spans="1:14" ht="15.75" hidden="1">
      <c r="A1379" s="896"/>
      <c r="B1379" s="902"/>
      <c r="C1379" s="917"/>
      <c r="D1379" s="918"/>
      <c r="E1379" s="919"/>
      <c r="F1379" s="920"/>
      <c r="G1379" s="921"/>
      <c r="H1379" s="896"/>
      <c r="I1379" s="916"/>
      <c r="J1379" s="955" t="s">
        <v>102</v>
      </c>
      <c r="K1379" s="922">
        <f>data!E1429</f>
        <v>343.65</v>
      </c>
      <c r="L1379" s="923" t="s">
        <v>2297</v>
      </c>
      <c r="M1379" s="924">
        <f>ROUND(I1379*K1379,0)</f>
        <v>0</v>
      </c>
      <c r="N1379" s="900" t="s">
        <v>2297</v>
      </c>
    </row>
    <row r="1380" spans="1:14" ht="71.25" hidden="1" customHeight="1">
      <c r="A1380" s="896">
        <v>26</v>
      </c>
      <c r="B1380" s="1609" t="s">
        <v>808</v>
      </c>
      <c r="C1380" s="1609"/>
      <c r="D1380" s="1609"/>
      <c r="E1380" s="1609"/>
      <c r="F1380" s="1609"/>
      <c r="G1380" s="1609"/>
      <c r="H1380" s="1609"/>
      <c r="I1380" s="897"/>
      <c r="J1380" s="898"/>
      <c r="K1380" s="896"/>
      <c r="L1380" s="923"/>
      <c r="M1380" s="899"/>
      <c r="N1380" s="900" t="s">
        <v>2308</v>
      </c>
    </row>
    <row r="1381" spans="1:14" s="910" customFormat="1" ht="16.5" hidden="1" customHeight="1">
      <c r="A1381" s="896"/>
      <c r="B1381" s="902" t="s">
        <v>3549</v>
      </c>
      <c r="C1381" s="903"/>
      <c r="D1381" s="904"/>
      <c r="E1381" s="905"/>
      <c r="F1381" s="906"/>
      <c r="G1381" s="906"/>
      <c r="H1381" s="907"/>
      <c r="I1381" s="908"/>
      <c r="J1381" s="955"/>
      <c r="K1381" s="902"/>
      <c r="L1381" s="923"/>
      <c r="M1381" s="902"/>
      <c r="N1381" s="900" t="s">
        <v>2308</v>
      </c>
    </row>
    <row r="1382" spans="1:14" s="910" customFormat="1" ht="16.5" hidden="1" customHeight="1">
      <c r="A1382" s="896"/>
      <c r="B1382" s="911" t="s">
        <v>2360</v>
      </c>
      <c r="C1382" s="912">
        <v>1</v>
      </c>
      <c r="D1382" s="913" t="s">
        <v>273</v>
      </c>
      <c r="E1382" s="914">
        <v>1</v>
      </c>
      <c r="F1382" s="915">
        <v>11.26</v>
      </c>
      <c r="G1382" s="915">
        <v>0</v>
      </c>
      <c r="H1382" s="915">
        <v>3.2</v>
      </c>
      <c r="I1382" s="916">
        <f>ROUND(IF(AND(F1382:H1382),C1382*E1382*F1382*G1382*H1382,IF(AND(F1382,G1382),C1382*E1382*F1382*G1382,IF(AND(F1382,H1382),C1382*E1382*F1382*H1382,IF(AND(G1382,H1382),C1382*E1382*G1382*H1382,IF(F1382,C1382*E1382*F1382,IF(G1382,C1382*E1382*G1382,IF(H1382,C1382*E1382*H1382,C1382*E1382))))))),2)</f>
        <v>36.03</v>
      </c>
      <c r="J1382" s="955" t="s">
        <v>102</v>
      </c>
      <c r="K1382" s="902"/>
      <c r="L1382" s="923"/>
      <c r="M1382" s="902"/>
      <c r="N1382" s="900" t="s">
        <v>2308</v>
      </c>
    </row>
    <row r="1383" spans="1:14" s="910" customFormat="1" ht="16.5" hidden="1" customHeight="1">
      <c r="A1383" s="896"/>
      <c r="B1383" s="911" t="s">
        <v>2354</v>
      </c>
      <c r="C1383" s="912">
        <v>1</v>
      </c>
      <c r="D1383" s="913" t="s">
        <v>273</v>
      </c>
      <c r="E1383" s="914">
        <v>1</v>
      </c>
      <c r="F1383" s="915">
        <v>1.22</v>
      </c>
      <c r="G1383" s="915">
        <v>0</v>
      </c>
      <c r="H1383" s="915">
        <v>1.26</v>
      </c>
      <c r="I1383" s="916">
        <f>-ROUND(IF(AND(F1383:H1383),C1383*E1383*F1383*G1383*H1383,IF(AND(F1383,G1383),C1383*E1383*F1383*G1383,IF(AND(F1383,H1383),C1383*E1383*F1383*H1383,IF(AND(G1383,H1383),C1383*E1383*G1383*H1383,IF(F1383,C1383*E1383*F1383,IF(G1383,C1383*E1383*G1383,IF(H1383,C1383*E1383*H1383,C1383*E1383))))))),2)</f>
        <v>-1.54</v>
      </c>
      <c r="J1383" s="955" t="s">
        <v>102</v>
      </c>
      <c r="K1383" s="902"/>
      <c r="L1383" s="923"/>
      <c r="M1383" s="902"/>
      <c r="N1383" s="900" t="s">
        <v>2308</v>
      </c>
    </row>
    <row r="1384" spans="1:14" s="910" customFormat="1" ht="16.5" hidden="1" customHeight="1">
      <c r="A1384" s="896"/>
      <c r="B1384" s="911" t="s">
        <v>581</v>
      </c>
      <c r="C1384" s="912">
        <v>1</v>
      </c>
      <c r="D1384" s="913" t="s">
        <v>273</v>
      </c>
      <c r="E1384" s="914">
        <v>1</v>
      </c>
      <c r="F1384" s="915">
        <v>0.6</v>
      </c>
      <c r="G1384" s="915">
        <v>0</v>
      </c>
      <c r="H1384" s="915">
        <v>0.3</v>
      </c>
      <c r="I1384" s="916">
        <f>-ROUND(IF(AND(F1384:H1384),C1384*E1384*F1384*G1384*H1384,IF(AND(F1384,G1384),C1384*E1384*F1384*G1384,IF(AND(F1384,H1384),C1384*E1384*F1384*H1384,IF(AND(G1384,H1384),C1384*E1384*G1384*H1384,IF(F1384,C1384*E1384*F1384,IF(G1384,C1384*E1384*G1384,IF(H1384,C1384*E1384*H1384,C1384*E1384))))))),2)</f>
        <v>-0.18</v>
      </c>
      <c r="J1384" s="955" t="s">
        <v>102</v>
      </c>
      <c r="K1384" s="902"/>
      <c r="L1384" s="923"/>
      <c r="M1384" s="902"/>
      <c r="N1384" s="900" t="s">
        <v>2308</v>
      </c>
    </row>
    <row r="1385" spans="1:14" s="910" customFormat="1" ht="16.5" hidden="1" customHeight="1">
      <c r="A1385" s="896"/>
      <c r="B1385" s="911" t="s">
        <v>579</v>
      </c>
      <c r="C1385" s="912">
        <v>1</v>
      </c>
      <c r="D1385" s="913" t="s">
        <v>273</v>
      </c>
      <c r="E1385" s="914">
        <v>1</v>
      </c>
      <c r="F1385" s="915">
        <v>0.93</v>
      </c>
      <c r="G1385" s="915">
        <v>0</v>
      </c>
      <c r="H1385" s="915">
        <v>2.1</v>
      </c>
      <c r="I1385" s="916">
        <f>-ROUND(IF(AND(F1385:H1385),C1385*E1385*F1385*G1385*H1385,IF(AND(F1385,G1385),C1385*E1385*F1385*G1385,IF(AND(F1385,H1385),C1385*E1385*F1385*H1385,IF(AND(G1385,H1385),C1385*E1385*G1385*H1385,IF(F1385,C1385*E1385*F1385,IF(G1385,C1385*E1385*G1385,IF(H1385,C1385*E1385*H1385,C1385*E1385))))))),2)</f>
        <v>-1.95</v>
      </c>
      <c r="J1385" s="955" t="s">
        <v>102</v>
      </c>
      <c r="K1385" s="902"/>
      <c r="L1385" s="923"/>
      <c r="M1385" s="902"/>
      <c r="N1385" s="900" t="s">
        <v>2308</v>
      </c>
    </row>
    <row r="1386" spans="1:14" s="910" customFormat="1" ht="16.5" hidden="1" customHeight="1">
      <c r="A1386" s="896"/>
      <c r="B1386" s="911" t="s">
        <v>2449</v>
      </c>
      <c r="C1386" s="912">
        <v>1</v>
      </c>
      <c r="D1386" s="913" t="s">
        <v>273</v>
      </c>
      <c r="E1386" s="914">
        <v>1</v>
      </c>
      <c r="F1386" s="915">
        <v>5.88</v>
      </c>
      <c r="G1386" s="915">
        <v>0</v>
      </c>
      <c r="H1386" s="915">
        <v>3.2</v>
      </c>
      <c r="I1386" s="916">
        <f>ROUND(IF(AND(F1386:H1386),C1386*E1386*F1386*G1386*H1386,IF(AND(F1386,G1386),C1386*E1386*F1386*G1386,IF(AND(F1386,H1386),C1386*E1386*F1386*H1386,IF(AND(G1386,H1386),C1386*E1386*G1386*H1386,IF(F1386,C1386*E1386*F1386,IF(G1386,C1386*E1386*G1386,IF(H1386,C1386*E1386*H1386,C1386*E1386))))))),2)</f>
        <v>18.82</v>
      </c>
      <c r="J1386" s="955" t="s">
        <v>102</v>
      </c>
      <c r="K1386" s="902"/>
      <c r="L1386" s="923"/>
      <c r="M1386" s="902"/>
      <c r="N1386" s="900" t="s">
        <v>2308</v>
      </c>
    </row>
    <row r="1387" spans="1:14" s="910" customFormat="1" ht="16.5" hidden="1" customHeight="1">
      <c r="A1387" s="896"/>
      <c r="B1387" s="911" t="s">
        <v>581</v>
      </c>
      <c r="C1387" s="912">
        <v>1</v>
      </c>
      <c r="D1387" s="913" t="s">
        <v>273</v>
      </c>
      <c r="E1387" s="914">
        <v>1</v>
      </c>
      <c r="F1387" s="915">
        <v>0.6</v>
      </c>
      <c r="G1387" s="915">
        <v>0</v>
      </c>
      <c r="H1387" s="915">
        <v>0.3</v>
      </c>
      <c r="I1387" s="916">
        <f>-ROUND(IF(AND(F1387:H1387),C1387*E1387*F1387*G1387*H1387,IF(AND(F1387,G1387),C1387*E1387*F1387*G1387,IF(AND(F1387,H1387),C1387*E1387*F1387*H1387,IF(AND(G1387,H1387),C1387*E1387*G1387*H1387,IF(F1387,C1387*E1387*F1387,IF(G1387,C1387*E1387*G1387,IF(H1387,C1387*E1387*H1387,C1387*E1387))))))),2)</f>
        <v>-0.18</v>
      </c>
      <c r="J1387" s="955" t="s">
        <v>102</v>
      </c>
      <c r="K1387" s="902"/>
      <c r="L1387" s="923"/>
      <c r="M1387" s="902"/>
      <c r="N1387" s="900" t="s">
        <v>2308</v>
      </c>
    </row>
    <row r="1388" spans="1:14" s="910" customFormat="1" ht="16.5" hidden="1" customHeight="1">
      <c r="A1388" s="896"/>
      <c r="B1388" s="911" t="s">
        <v>579</v>
      </c>
      <c r="C1388" s="912">
        <v>1</v>
      </c>
      <c r="D1388" s="913" t="s">
        <v>273</v>
      </c>
      <c r="E1388" s="914">
        <v>1</v>
      </c>
      <c r="F1388" s="915">
        <v>0.82</v>
      </c>
      <c r="G1388" s="915">
        <v>0</v>
      </c>
      <c r="H1388" s="915">
        <v>2.1</v>
      </c>
      <c r="I1388" s="916">
        <f>-ROUND(IF(AND(F1388:H1388),C1388*E1388*F1388*G1388*H1388,IF(AND(F1388,G1388),C1388*E1388*F1388*G1388,IF(AND(F1388,H1388),C1388*E1388*F1388*H1388,IF(AND(G1388,H1388),C1388*E1388*G1388*H1388,IF(F1388,C1388*E1388*F1388,IF(G1388,C1388*E1388*G1388,IF(H1388,C1388*E1388*H1388,C1388*E1388))))))),2)</f>
        <v>-1.72</v>
      </c>
      <c r="J1388" s="955" t="s">
        <v>102</v>
      </c>
      <c r="K1388" s="902"/>
      <c r="L1388" s="923"/>
      <c r="M1388" s="902"/>
      <c r="N1388" s="900" t="s">
        <v>2308</v>
      </c>
    </row>
    <row r="1389" spans="1:14" s="910" customFormat="1" ht="16.5" hidden="1" customHeight="1">
      <c r="A1389" s="896"/>
      <c r="B1389" s="911" t="s">
        <v>2494</v>
      </c>
      <c r="C1389" s="912">
        <v>1</v>
      </c>
      <c r="D1389" s="913" t="s">
        <v>273</v>
      </c>
      <c r="E1389" s="914">
        <v>1</v>
      </c>
      <c r="F1389" s="915">
        <v>3.52</v>
      </c>
      <c r="G1389" s="915">
        <v>0</v>
      </c>
      <c r="H1389" s="915">
        <v>3.2</v>
      </c>
      <c r="I1389" s="916">
        <f>ROUND(IF(AND(F1389:H1389),C1389*E1389*F1389*G1389*H1389,IF(AND(F1389,G1389),C1389*E1389*F1389*G1389,IF(AND(F1389,H1389),C1389*E1389*F1389*H1389,IF(AND(G1389,H1389),C1389*E1389*G1389*H1389,IF(F1389,C1389*E1389*F1389,IF(G1389,C1389*E1389*G1389,IF(H1389,C1389*E1389*H1389,C1389*E1389))))))),2)</f>
        <v>11.26</v>
      </c>
      <c r="J1389" s="955" t="s">
        <v>102</v>
      </c>
      <c r="K1389" s="902"/>
      <c r="L1389" s="923"/>
      <c r="M1389" s="902"/>
      <c r="N1389" s="900" t="s">
        <v>2308</v>
      </c>
    </row>
    <row r="1390" spans="1:14" s="910" customFormat="1" ht="16.5" hidden="1" customHeight="1">
      <c r="A1390" s="896"/>
      <c r="B1390" s="911" t="s">
        <v>2495</v>
      </c>
      <c r="C1390" s="912">
        <v>1</v>
      </c>
      <c r="D1390" s="913" t="s">
        <v>273</v>
      </c>
      <c r="E1390" s="914">
        <v>1</v>
      </c>
      <c r="F1390" s="915">
        <v>0.82</v>
      </c>
      <c r="G1390" s="915">
        <v>0</v>
      </c>
      <c r="H1390" s="915">
        <v>2.1</v>
      </c>
      <c r="I1390" s="916">
        <f>-ROUND(IF(AND(F1390:H1390),C1390*E1390*F1390*G1390*H1390,IF(AND(F1390,G1390),C1390*E1390*F1390*G1390,IF(AND(F1390,H1390),C1390*E1390*F1390*H1390,IF(AND(G1390,H1390),C1390*E1390*G1390*H1390,IF(F1390,C1390*E1390*F1390,IF(G1390,C1390*E1390*G1390,IF(H1390,C1390*E1390*H1390,C1390*E1390))))))),2)</f>
        <v>-1.72</v>
      </c>
      <c r="J1390" s="955" t="s">
        <v>102</v>
      </c>
      <c r="K1390" s="902"/>
      <c r="L1390" s="923"/>
      <c r="M1390" s="902"/>
      <c r="N1390" s="900" t="s">
        <v>2308</v>
      </c>
    </row>
    <row r="1391" spans="1:14" s="910" customFormat="1" ht="16.5" hidden="1" customHeight="1">
      <c r="A1391" s="896"/>
      <c r="B1391" s="911" t="s">
        <v>2495</v>
      </c>
      <c r="C1391" s="912">
        <v>1</v>
      </c>
      <c r="D1391" s="913" t="s">
        <v>273</v>
      </c>
      <c r="E1391" s="914">
        <v>1</v>
      </c>
      <c r="F1391" s="915">
        <v>1.05</v>
      </c>
      <c r="G1391" s="915">
        <v>0</v>
      </c>
      <c r="H1391" s="915">
        <v>2.1</v>
      </c>
      <c r="I1391" s="916">
        <f>-ROUND(IF(AND(F1391:H1391),C1391*E1391*F1391*G1391*H1391,IF(AND(F1391,G1391),C1391*E1391*F1391*G1391,IF(AND(F1391,H1391),C1391*E1391*F1391*H1391,IF(AND(G1391,H1391),C1391*E1391*G1391*H1391,IF(F1391,C1391*E1391*F1391,IF(G1391,C1391*E1391*G1391,IF(H1391,C1391*E1391*H1391,C1391*E1391))))))),2)</f>
        <v>-2.21</v>
      </c>
      <c r="J1391" s="955" t="s">
        <v>102</v>
      </c>
      <c r="K1391" s="902"/>
      <c r="L1391" s="923"/>
      <c r="M1391" s="902"/>
      <c r="N1391" s="900" t="s">
        <v>2308</v>
      </c>
    </row>
    <row r="1392" spans="1:14" s="910" customFormat="1" ht="16.5" hidden="1" customHeight="1">
      <c r="A1392" s="896"/>
      <c r="B1392" s="911" t="s">
        <v>581</v>
      </c>
      <c r="C1392" s="912">
        <v>1</v>
      </c>
      <c r="D1392" s="913" t="s">
        <v>273</v>
      </c>
      <c r="E1392" s="914">
        <v>1</v>
      </c>
      <c r="F1392" s="915">
        <v>0.6</v>
      </c>
      <c r="G1392" s="915">
        <v>0</v>
      </c>
      <c r="H1392" s="915">
        <v>0.3</v>
      </c>
      <c r="I1392" s="916">
        <f>-ROUND(IF(AND(F1392:H1392),C1392*E1392*F1392*G1392*H1392,IF(AND(F1392,G1392),C1392*E1392*F1392*G1392,IF(AND(F1392,H1392),C1392*E1392*F1392*H1392,IF(AND(G1392,H1392),C1392*E1392*G1392*H1392,IF(F1392,C1392*E1392*F1392,IF(G1392,C1392*E1392*G1392,IF(H1392,C1392*E1392*H1392,C1392*E1392))))))),2)</f>
        <v>-0.18</v>
      </c>
      <c r="J1392" s="955" t="s">
        <v>102</v>
      </c>
      <c r="K1392" s="902"/>
      <c r="L1392" s="923"/>
      <c r="M1392" s="902"/>
      <c r="N1392" s="900" t="s">
        <v>2308</v>
      </c>
    </row>
    <row r="1393" spans="1:14" s="910" customFormat="1" ht="16.5" hidden="1" customHeight="1">
      <c r="A1393" s="896"/>
      <c r="B1393" s="911" t="s">
        <v>2361</v>
      </c>
      <c r="C1393" s="912">
        <v>1</v>
      </c>
      <c r="D1393" s="913" t="s">
        <v>273</v>
      </c>
      <c r="E1393" s="914">
        <v>1</v>
      </c>
      <c r="F1393" s="915">
        <v>10.1</v>
      </c>
      <c r="G1393" s="915">
        <v>0</v>
      </c>
      <c r="H1393" s="915">
        <v>3.2</v>
      </c>
      <c r="I1393" s="916">
        <f>ROUND(IF(AND(F1393:H1393),C1393*E1393*F1393*G1393*H1393,IF(AND(F1393,G1393),C1393*E1393*F1393*G1393,IF(AND(F1393,H1393),C1393*E1393*F1393*H1393,IF(AND(G1393,H1393),C1393*E1393*G1393*H1393,IF(F1393,C1393*E1393*F1393,IF(G1393,C1393*E1393*G1393,IF(H1393,C1393*E1393*H1393,C1393*E1393))))))),2)</f>
        <v>32.32</v>
      </c>
      <c r="J1393" s="955" t="s">
        <v>102</v>
      </c>
      <c r="K1393" s="902"/>
      <c r="L1393" s="923"/>
      <c r="M1393" s="902"/>
      <c r="N1393" s="900" t="s">
        <v>2308</v>
      </c>
    </row>
    <row r="1394" spans="1:14" s="910" customFormat="1" ht="16.5" hidden="1" customHeight="1">
      <c r="A1394" s="896"/>
      <c r="B1394" s="911" t="s">
        <v>579</v>
      </c>
      <c r="C1394" s="912">
        <v>1</v>
      </c>
      <c r="D1394" s="913" t="s">
        <v>273</v>
      </c>
      <c r="E1394" s="914">
        <v>1</v>
      </c>
      <c r="F1394" s="915">
        <v>1.05</v>
      </c>
      <c r="G1394" s="915">
        <v>0</v>
      </c>
      <c r="H1394" s="915">
        <v>2.1</v>
      </c>
      <c r="I1394" s="916">
        <f>-ROUND(IF(AND(F1394:H1394),C1394*E1394*F1394*G1394*H1394,IF(AND(F1394,G1394),C1394*E1394*F1394*G1394,IF(AND(F1394,H1394),C1394*E1394*F1394*H1394,IF(AND(G1394,H1394),C1394*E1394*G1394*H1394,IF(F1394,C1394*E1394*F1394,IF(G1394,C1394*E1394*G1394,IF(H1394,C1394*E1394*H1394,C1394*E1394))))))),2)</f>
        <v>-2.21</v>
      </c>
      <c r="J1394" s="955" t="s">
        <v>102</v>
      </c>
      <c r="K1394" s="902"/>
      <c r="L1394" s="923"/>
      <c r="M1394" s="902"/>
      <c r="N1394" s="900" t="s">
        <v>2308</v>
      </c>
    </row>
    <row r="1395" spans="1:14" s="910" customFormat="1" ht="16.5" hidden="1" customHeight="1">
      <c r="A1395" s="896"/>
      <c r="B1395" s="911" t="s">
        <v>581</v>
      </c>
      <c r="C1395" s="912">
        <v>2</v>
      </c>
      <c r="D1395" s="913" t="s">
        <v>273</v>
      </c>
      <c r="E1395" s="914">
        <v>1</v>
      </c>
      <c r="F1395" s="915">
        <v>0.6</v>
      </c>
      <c r="G1395" s="915">
        <v>0</v>
      </c>
      <c r="H1395" s="915">
        <v>0.3</v>
      </c>
      <c r="I1395" s="916">
        <f>-ROUND(IF(AND(F1395:H1395),C1395*E1395*F1395*G1395*H1395,IF(AND(F1395,G1395),C1395*E1395*F1395*G1395,IF(AND(F1395,H1395),C1395*E1395*F1395*H1395,IF(AND(G1395,H1395),C1395*E1395*G1395*H1395,IF(F1395,C1395*E1395*F1395,IF(G1395,C1395*E1395*G1395,IF(H1395,C1395*E1395*H1395,C1395*E1395))))))),2)</f>
        <v>-0.36</v>
      </c>
      <c r="J1395" s="955" t="s">
        <v>102</v>
      </c>
      <c r="K1395" s="902"/>
      <c r="L1395" s="923"/>
      <c r="M1395" s="902"/>
      <c r="N1395" s="900" t="s">
        <v>2308</v>
      </c>
    </row>
    <row r="1396" spans="1:14" s="910" customFormat="1" ht="16.5" hidden="1" customHeight="1">
      <c r="A1396" s="896"/>
      <c r="B1396" s="911" t="s">
        <v>2354</v>
      </c>
      <c r="C1396" s="912">
        <v>1</v>
      </c>
      <c r="D1396" s="913" t="s">
        <v>273</v>
      </c>
      <c r="E1396" s="914">
        <v>1</v>
      </c>
      <c r="F1396" s="915">
        <v>1.27</v>
      </c>
      <c r="G1396" s="915">
        <v>0</v>
      </c>
      <c r="H1396" s="915">
        <v>1.23</v>
      </c>
      <c r="I1396" s="916">
        <f>-ROUND(IF(AND(F1396:H1396),C1396*E1396*F1396*G1396*H1396,IF(AND(F1396,G1396),C1396*E1396*F1396*G1396,IF(AND(F1396,H1396),C1396*E1396*F1396*H1396,IF(AND(G1396,H1396),C1396*E1396*G1396*H1396,IF(F1396,C1396*E1396*F1396,IF(G1396,C1396*E1396*G1396,IF(H1396,C1396*E1396*H1396,C1396*E1396))))))),2)</f>
        <v>-1.56</v>
      </c>
      <c r="J1396" s="955" t="s">
        <v>102</v>
      </c>
      <c r="K1396" s="902"/>
      <c r="L1396" s="923"/>
      <c r="M1396" s="902"/>
      <c r="N1396" s="900" t="s">
        <v>2308</v>
      </c>
    </row>
    <row r="1397" spans="1:14" s="910" customFormat="1" ht="16.5" hidden="1" customHeight="1">
      <c r="A1397" s="896"/>
      <c r="B1397" s="911" t="s">
        <v>2487</v>
      </c>
      <c r="C1397" s="912">
        <v>1</v>
      </c>
      <c r="D1397" s="913" t="s">
        <v>273</v>
      </c>
      <c r="E1397" s="914">
        <v>1</v>
      </c>
      <c r="F1397" s="915">
        <v>19.46</v>
      </c>
      <c r="G1397" s="915">
        <v>0</v>
      </c>
      <c r="H1397" s="915">
        <v>3.2</v>
      </c>
      <c r="I1397" s="916">
        <f>ROUND(IF(AND(F1397:H1397),C1397*E1397*F1397*G1397*H1397,IF(AND(F1397,G1397),C1397*E1397*F1397*G1397,IF(AND(F1397,H1397),C1397*E1397*F1397*H1397,IF(AND(G1397,H1397),C1397*E1397*G1397*H1397,IF(F1397,C1397*E1397*F1397,IF(G1397,C1397*E1397*G1397,IF(H1397,C1397*E1397*H1397,C1397*E1397))))))),2)</f>
        <v>62.27</v>
      </c>
      <c r="J1397" s="955" t="s">
        <v>102</v>
      </c>
      <c r="K1397" s="902"/>
      <c r="L1397" s="923"/>
      <c r="M1397" s="902"/>
      <c r="N1397" s="900" t="s">
        <v>2308</v>
      </c>
    </row>
    <row r="1398" spans="1:14" s="910" customFormat="1" ht="16.5" hidden="1" customHeight="1">
      <c r="A1398" s="896"/>
      <c r="B1398" s="911" t="s">
        <v>579</v>
      </c>
      <c r="C1398" s="912">
        <v>1</v>
      </c>
      <c r="D1398" s="913" t="s">
        <v>273</v>
      </c>
      <c r="E1398" s="914">
        <v>1</v>
      </c>
      <c r="F1398" s="915">
        <v>1.2</v>
      </c>
      <c r="G1398" s="915">
        <v>0</v>
      </c>
      <c r="H1398" s="915">
        <v>2.13</v>
      </c>
      <c r="I1398" s="916">
        <f t="shared" ref="I1398:I1403" si="143">-ROUND(IF(AND(F1398:H1398),C1398*E1398*F1398*G1398*H1398,IF(AND(F1398,G1398),C1398*E1398*F1398*G1398,IF(AND(F1398,H1398),C1398*E1398*F1398*H1398,IF(AND(G1398,H1398),C1398*E1398*G1398*H1398,IF(F1398,C1398*E1398*F1398,IF(G1398,C1398*E1398*G1398,IF(H1398,C1398*E1398*H1398,C1398*E1398))))))),2)</f>
        <v>-2.56</v>
      </c>
      <c r="J1398" s="955" t="s">
        <v>102</v>
      </c>
      <c r="K1398" s="902"/>
      <c r="L1398" s="923"/>
      <c r="M1398" s="902"/>
      <c r="N1398" s="900" t="s">
        <v>2308</v>
      </c>
    </row>
    <row r="1399" spans="1:14" s="910" customFormat="1" ht="16.5" hidden="1" customHeight="1">
      <c r="A1399" s="896"/>
      <c r="B1399" s="911" t="s">
        <v>579</v>
      </c>
      <c r="C1399" s="912">
        <v>1</v>
      </c>
      <c r="D1399" s="913" t="s">
        <v>273</v>
      </c>
      <c r="E1399" s="914">
        <v>1</v>
      </c>
      <c r="F1399" s="915">
        <v>0.93</v>
      </c>
      <c r="G1399" s="915">
        <v>0</v>
      </c>
      <c r="H1399" s="915">
        <v>2.1</v>
      </c>
      <c r="I1399" s="916">
        <f t="shared" si="143"/>
        <v>-1.95</v>
      </c>
      <c r="J1399" s="955" t="s">
        <v>102</v>
      </c>
      <c r="K1399" s="902"/>
      <c r="L1399" s="923"/>
      <c r="M1399" s="902"/>
      <c r="N1399" s="900" t="s">
        <v>2308</v>
      </c>
    </row>
    <row r="1400" spans="1:14" s="910" customFormat="1" ht="16.5" hidden="1" customHeight="1">
      <c r="A1400" s="896"/>
      <c r="B1400" s="911" t="s">
        <v>2496</v>
      </c>
      <c r="C1400" s="912">
        <v>1</v>
      </c>
      <c r="D1400" s="913" t="s">
        <v>273</v>
      </c>
      <c r="E1400" s="914">
        <v>1</v>
      </c>
      <c r="F1400" s="915">
        <v>1.32</v>
      </c>
      <c r="G1400" s="915">
        <v>0</v>
      </c>
      <c r="H1400" s="915">
        <v>2.9</v>
      </c>
      <c r="I1400" s="916">
        <f t="shared" si="143"/>
        <v>-3.83</v>
      </c>
      <c r="J1400" s="955" t="s">
        <v>102</v>
      </c>
      <c r="K1400" s="902"/>
      <c r="L1400" s="923"/>
      <c r="M1400" s="902"/>
      <c r="N1400" s="900" t="s">
        <v>2308</v>
      </c>
    </row>
    <row r="1401" spans="1:14" s="910" customFormat="1" ht="16.5" hidden="1" customHeight="1">
      <c r="A1401" s="896"/>
      <c r="B1401" s="911" t="s">
        <v>581</v>
      </c>
      <c r="C1401" s="912">
        <v>1</v>
      </c>
      <c r="D1401" s="913" t="s">
        <v>273</v>
      </c>
      <c r="E1401" s="914">
        <v>4</v>
      </c>
      <c r="F1401" s="915">
        <v>0.6</v>
      </c>
      <c r="G1401" s="915">
        <v>0</v>
      </c>
      <c r="H1401" s="915">
        <v>0.3</v>
      </c>
      <c r="I1401" s="916">
        <f t="shared" si="143"/>
        <v>-0.72</v>
      </c>
      <c r="J1401" s="955" t="s">
        <v>102</v>
      </c>
      <c r="K1401" s="902"/>
      <c r="L1401" s="923"/>
      <c r="M1401" s="902"/>
      <c r="N1401" s="900" t="s">
        <v>2308</v>
      </c>
    </row>
    <row r="1402" spans="1:14" s="910" customFormat="1" ht="16.5" hidden="1" customHeight="1">
      <c r="A1402" s="896"/>
      <c r="B1402" s="911" t="s">
        <v>2354</v>
      </c>
      <c r="C1402" s="912">
        <v>1</v>
      </c>
      <c r="D1402" s="913" t="s">
        <v>273</v>
      </c>
      <c r="E1402" s="914">
        <v>1</v>
      </c>
      <c r="F1402" s="915">
        <v>1.23</v>
      </c>
      <c r="G1402" s="915">
        <v>0</v>
      </c>
      <c r="H1402" s="915">
        <v>1.23</v>
      </c>
      <c r="I1402" s="916">
        <f t="shared" si="143"/>
        <v>-1.51</v>
      </c>
      <c r="J1402" s="955" t="s">
        <v>102</v>
      </c>
      <c r="K1402" s="902"/>
      <c r="L1402" s="923"/>
      <c r="M1402" s="902"/>
      <c r="N1402" s="900" t="s">
        <v>2308</v>
      </c>
    </row>
    <row r="1403" spans="1:14" s="910" customFormat="1" ht="16.5" hidden="1" customHeight="1">
      <c r="A1403" s="896"/>
      <c r="B1403" s="911" t="s">
        <v>2354</v>
      </c>
      <c r="C1403" s="912">
        <v>1</v>
      </c>
      <c r="D1403" s="913" t="s">
        <v>273</v>
      </c>
      <c r="E1403" s="914">
        <v>1</v>
      </c>
      <c r="F1403" s="915">
        <v>1.24</v>
      </c>
      <c r="G1403" s="915">
        <v>0</v>
      </c>
      <c r="H1403" s="915">
        <v>1.27</v>
      </c>
      <c r="I1403" s="916">
        <f t="shared" si="143"/>
        <v>-1.57</v>
      </c>
      <c r="J1403" s="955" t="s">
        <v>102</v>
      </c>
      <c r="K1403" s="902"/>
      <c r="L1403" s="923"/>
      <c r="M1403" s="902"/>
      <c r="N1403" s="900" t="s">
        <v>2308</v>
      </c>
    </row>
    <row r="1404" spans="1:14" s="910" customFormat="1" ht="16.5" hidden="1" customHeight="1">
      <c r="A1404" s="896"/>
      <c r="B1404" s="911" t="s">
        <v>2448</v>
      </c>
      <c r="C1404" s="912">
        <v>1</v>
      </c>
      <c r="D1404" s="913" t="s">
        <v>273</v>
      </c>
      <c r="E1404" s="914">
        <v>1</v>
      </c>
      <c r="F1404" s="915">
        <v>10.96</v>
      </c>
      <c r="G1404" s="915">
        <v>0</v>
      </c>
      <c r="H1404" s="915">
        <v>3.2</v>
      </c>
      <c r="I1404" s="916">
        <f>ROUND(IF(AND(F1404:H1404),C1404*E1404*F1404*G1404*H1404,IF(AND(F1404,G1404),C1404*E1404*F1404*G1404,IF(AND(F1404,H1404),C1404*E1404*F1404*H1404,IF(AND(G1404,H1404),C1404*E1404*G1404*H1404,IF(F1404,C1404*E1404*F1404,IF(G1404,C1404*E1404*G1404,IF(H1404,C1404*E1404*H1404,C1404*E1404))))))),2)</f>
        <v>35.07</v>
      </c>
      <c r="J1404" s="955" t="s">
        <v>102</v>
      </c>
      <c r="K1404" s="902"/>
      <c r="L1404" s="923"/>
      <c r="M1404" s="902"/>
      <c r="N1404" s="900" t="s">
        <v>2308</v>
      </c>
    </row>
    <row r="1405" spans="1:14" s="910" customFormat="1" ht="16.5" hidden="1" customHeight="1">
      <c r="A1405" s="896"/>
      <c r="B1405" s="911" t="s">
        <v>2354</v>
      </c>
      <c r="C1405" s="912">
        <v>1</v>
      </c>
      <c r="D1405" s="913" t="s">
        <v>273</v>
      </c>
      <c r="E1405" s="914">
        <v>1</v>
      </c>
      <c r="F1405" s="915">
        <v>1.23</v>
      </c>
      <c r="G1405" s="915">
        <v>0</v>
      </c>
      <c r="H1405" s="915">
        <v>1.26</v>
      </c>
      <c r="I1405" s="916">
        <f>-ROUND(IF(AND(F1405:H1405),C1405*E1405*F1405*G1405*H1405,IF(AND(F1405,G1405),C1405*E1405*F1405*G1405,IF(AND(F1405,H1405),C1405*E1405*F1405*H1405,IF(AND(G1405,H1405),C1405*E1405*G1405*H1405,IF(F1405,C1405*E1405*F1405,IF(G1405,C1405*E1405*G1405,IF(H1405,C1405*E1405*H1405,C1405*E1405))))))),2)</f>
        <v>-1.55</v>
      </c>
      <c r="J1405" s="955" t="s">
        <v>102</v>
      </c>
      <c r="K1405" s="902"/>
      <c r="L1405" s="923"/>
      <c r="M1405" s="902"/>
      <c r="N1405" s="900" t="s">
        <v>2308</v>
      </c>
    </row>
    <row r="1406" spans="1:14" s="910" customFormat="1" ht="16.5" hidden="1" customHeight="1">
      <c r="A1406" s="896"/>
      <c r="B1406" s="911" t="s">
        <v>581</v>
      </c>
      <c r="C1406" s="912">
        <v>1</v>
      </c>
      <c r="D1406" s="913" t="s">
        <v>273</v>
      </c>
      <c r="E1406" s="914">
        <v>2</v>
      </c>
      <c r="F1406" s="915">
        <v>0.6</v>
      </c>
      <c r="G1406" s="915">
        <v>0</v>
      </c>
      <c r="H1406" s="915">
        <v>0.3</v>
      </c>
      <c r="I1406" s="916">
        <f>-ROUND(IF(AND(F1406:H1406),C1406*E1406*F1406*G1406*H1406,IF(AND(F1406,G1406),C1406*E1406*F1406*G1406,IF(AND(F1406,H1406),C1406*E1406*F1406*H1406,IF(AND(G1406,H1406),C1406*E1406*G1406*H1406,IF(F1406,C1406*E1406*F1406,IF(G1406,C1406*E1406*G1406,IF(H1406,C1406*E1406*H1406,C1406*E1406))))))),2)</f>
        <v>-0.36</v>
      </c>
      <c r="J1406" s="955" t="s">
        <v>102</v>
      </c>
      <c r="K1406" s="902"/>
      <c r="L1406" s="923"/>
      <c r="M1406" s="902"/>
      <c r="N1406" s="900" t="s">
        <v>2308</v>
      </c>
    </row>
    <row r="1407" spans="1:14" s="910" customFormat="1" ht="16.5" hidden="1" customHeight="1">
      <c r="A1407" s="896"/>
      <c r="B1407" s="911" t="s">
        <v>579</v>
      </c>
      <c r="C1407" s="912">
        <v>1</v>
      </c>
      <c r="D1407" s="913" t="s">
        <v>273</v>
      </c>
      <c r="E1407" s="914">
        <v>1</v>
      </c>
      <c r="F1407" s="915">
        <v>0.93</v>
      </c>
      <c r="G1407" s="915">
        <v>0</v>
      </c>
      <c r="H1407" s="915">
        <v>2.1</v>
      </c>
      <c r="I1407" s="916">
        <f>-ROUND(IF(AND(F1407:H1407),C1407*E1407*F1407*G1407*H1407,IF(AND(F1407,G1407),C1407*E1407*F1407*G1407,IF(AND(F1407,H1407),C1407*E1407*F1407*H1407,IF(AND(G1407,H1407),C1407*E1407*G1407*H1407,IF(F1407,C1407*E1407*F1407,IF(G1407,C1407*E1407*G1407,IF(H1407,C1407*E1407*H1407,C1407*E1407))))))),2)</f>
        <v>-1.95</v>
      </c>
      <c r="J1407" s="955" t="s">
        <v>102</v>
      </c>
      <c r="K1407" s="902"/>
      <c r="L1407" s="923"/>
      <c r="M1407" s="902"/>
      <c r="N1407" s="900" t="s">
        <v>2308</v>
      </c>
    </row>
    <row r="1408" spans="1:14" s="910" customFormat="1" ht="16.5" hidden="1" customHeight="1">
      <c r="A1408" s="896"/>
      <c r="B1408" s="911" t="s">
        <v>2497</v>
      </c>
      <c r="C1408" s="912">
        <v>1</v>
      </c>
      <c r="D1408" s="913" t="s">
        <v>273</v>
      </c>
      <c r="E1408" s="914">
        <v>1</v>
      </c>
      <c r="F1408" s="915">
        <v>6.5</v>
      </c>
      <c r="G1408" s="915">
        <v>0</v>
      </c>
      <c r="H1408" s="915">
        <v>3.2</v>
      </c>
      <c r="I1408" s="916">
        <f>ROUND(IF(AND(F1408:H1408),C1408*E1408*F1408*G1408*H1408,IF(AND(F1408,G1408),C1408*E1408*F1408*G1408,IF(AND(F1408,H1408),C1408*E1408*F1408*H1408,IF(AND(G1408,H1408),C1408*E1408*G1408*H1408,IF(F1408,C1408*E1408*F1408,IF(G1408,C1408*E1408*G1408,IF(H1408,C1408*E1408*H1408,C1408*E1408))))))),2)</f>
        <v>20.8</v>
      </c>
      <c r="J1408" s="955" t="s">
        <v>102</v>
      </c>
      <c r="K1408" s="902"/>
      <c r="L1408" s="923"/>
      <c r="M1408" s="902"/>
      <c r="N1408" s="900" t="s">
        <v>2308</v>
      </c>
    </row>
    <row r="1409" spans="1:14" s="910" customFormat="1" ht="16.5" hidden="1" customHeight="1">
      <c r="A1409" s="896"/>
      <c r="B1409" s="911" t="s">
        <v>581</v>
      </c>
      <c r="C1409" s="912">
        <v>1</v>
      </c>
      <c r="D1409" s="913" t="s">
        <v>273</v>
      </c>
      <c r="E1409" s="914">
        <v>1</v>
      </c>
      <c r="F1409" s="915">
        <v>0.6</v>
      </c>
      <c r="G1409" s="915">
        <v>0</v>
      </c>
      <c r="H1409" s="915">
        <v>0.3</v>
      </c>
      <c r="I1409" s="916">
        <f>-ROUND(IF(AND(F1409:H1409),C1409*E1409*F1409*G1409*H1409,IF(AND(F1409,G1409),C1409*E1409*F1409*G1409,IF(AND(F1409,H1409),C1409*E1409*F1409*H1409,IF(AND(G1409,H1409),C1409*E1409*G1409*H1409,IF(F1409,C1409*E1409*F1409,IF(G1409,C1409*E1409*G1409,IF(H1409,C1409*E1409*H1409,C1409*E1409))))))),2)</f>
        <v>-0.18</v>
      </c>
      <c r="J1409" s="955" t="s">
        <v>102</v>
      </c>
      <c r="K1409" s="902"/>
      <c r="L1409" s="923"/>
      <c r="M1409" s="902"/>
      <c r="N1409" s="900" t="s">
        <v>2308</v>
      </c>
    </row>
    <row r="1410" spans="1:14" s="910" customFormat="1" ht="16.5" hidden="1" customHeight="1">
      <c r="A1410" s="896"/>
      <c r="B1410" s="911" t="s">
        <v>579</v>
      </c>
      <c r="C1410" s="912">
        <v>1</v>
      </c>
      <c r="D1410" s="913" t="s">
        <v>273</v>
      </c>
      <c r="E1410" s="914">
        <v>1</v>
      </c>
      <c r="F1410" s="915">
        <v>0.84</v>
      </c>
      <c r="G1410" s="915">
        <v>0</v>
      </c>
      <c r="H1410" s="915">
        <v>2.1</v>
      </c>
      <c r="I1410" s="916">
        <f>-ROUND(IF(AND(F1410:H1410),C1410*E1410*F1410*G1410*H1410,IF(AND(F1410,G1410),C1410*E1410*F1410*G1410,IF(AND(F1410,H1410),C1410*E1410*F1410*H1410,IF(AND(G1410,H1410),C1410*E1410*G1410*H1410,IF(F1410,C1410*E1410*F1410,IF(G1410,C1410*E1410*G1410,IF(H1410,C1410*E1410*H1410,C1410*E1410))))))),2)</f>
        <v>-1.76</v>
      </c>
      <c r="J1410" s="955" t="s">
        <v>102</v>
      </c>
      <c r="K1410" s="902"/>
      <c r="L1410" s="923"/>
      <c r="M1410" s="902"/>
      <c r="N1410" s="900" t="s">
        <v>2308</v>
      </c>
    </row>
    <row r="1411" spans="1:14" s="910" customFormat="1" ht="16.5" hidden="1" customHeight="1">
      <c r="A1411" s="896"/>
      <c r="B1411" s="911" t="s">
        <v>2498</v>
      </c>
      <c r="C1411" s="912">
        <v>1</v>
      </c>
      <c r="D1411" s="913" t="s">
        <v>273</v>
      </c>
      <c r="E1411" s="914">
        <v>1</v>
      </c>
      <c r="F1411" s="915">
        <v>4.0199999999999996</v>
      </c>
      <c r="G1411" s="915">
        <v>0</v>
      </c>
      <c r="H1411" s="915">
        <v>3.2</v>
      </c>
      <c r="I1411" s="916">
        <f>ROUND(IF(AND(F1411:H1411),C1411*E1411*F1411*G1411*H1411,IF(AND(F1411,G1411),C1411*E1411*F1411*G1411,IF(AND(F1411,H1411),C1411*E1411*F1411*H1411,IF(AND(G1411,H1411),C1411*E1411*G1411*H1411,IF(F1411,C1411*E1411*F1411,IF(G1411,C1411*E1411*G1411,IF(H1411,C1411*E1411*H1411,C1411*E1411))))))),2)</f>
        <v>12.86</v>
      </c>
      <c r="J1411" s="955" t="s">
        <v>102</v>
      </c>
      <c r="K1411" s="902"/>
      <c r="L1411" s="923"/>
      <c r="M1411" s="902"/>
      <c r="N1411" s="900" t="s">
        <v>2308</v>
      </c>
    </row>
    <row r="1412" spans="1:14" s="910" customFormat="1" ht="16.5" hidden="1" customHeight="1">
      <c r="A1412" s="896"/>
      <c r="B1412" s="911" t="s">
        <v>579</v>
      </c>
      <c r="C1412" s="912">
        <v>1</v>
      </c>
      <c r="D1412" s="913" t="s">
        <v>273</v>
      </c>
      <c r="E1412" s="914">
        <v>1</v>
      </c>
      <c r="F1412" s="915">
        <v>0.84</v>
      </c>
      <c r="G1412" s="915">
        <v>0</v>
      </c>
      <c r="H1412" s="915">
        <v>2.1</v>
      </c>
      <c r="I1412" s="916">
        <f>-ROUND(IF(AND(F1412:H1412),C1412*E1412*F1412*G1412*H1412,IF(AND(F1412,G1412),C1412*E1412*F1412*G1412,IF(AND(F1412,H1412),C1412*E1412*F1412*H1412,IF(AND(G1412,H1412),C1412*E1412*G1412*H1412,IF(F1412,C1412*E1412*F1412,IF(G1412,C1412*E1412*G1412,IF(H1412,C1412*E1412*H1412,C1412*E1412))))))),2)</f>
        <v>-1.76</v>
      </c>
      <c r="J1412" s="955" t="s">
        <v>102</v>
      </c>
      <c r="K1412" s="902"/>
      <c r="L1412" s="923"/>
      <c r="M1412" s="902"/>
      <c r="N1412" s="900" t="s">
        <v>2308</v>
      </c>
    </row>
    <row r="1413" spans="1:14" s="910" customFormat="1" ht="16.5" hidden="1" customHeight="1">
      <c r="A1413" s="896"/>
      <c r="B1413" s="911" t="s">
        <v>2499</v>
      </c>
      <c r="C1413" s="912">
        <v>1</v>
      </c>
      <c r="D1413" s="913" t="s">
        <v>273</v>
      </c>
      <c r="E1413" s="914">
        <v>1</v>
      </c>
      <c r="F1413" s="915">
        <v>0.93</v>
      </c>
      <c r="G1413" s="915">
        <v>0</v>
      </c>
      <c r="H1413" s="915">
        <v>2.9</v>
      </c>
      <c r="I1413" s="916">
        <f>ROUND(IF(AND(F1413:H1413),C1413*E1413*F1413*G1413*H1413,IF(AND(F1413,G1413),C1413*E1413*F1413*G1413,IF(AND(F1413,H1413),C1413*E1413*F1413*H1413,IF(AND(G1413,H1413),C1413*E1413*G1413*H1413,IF(F1413,C1413*E1413*F1413,IF(G1413,C1413*E1413*G1413,IF(H1413,C1413*E1413*H1413,C1413*E1413))))))),2)</f>
        <v>2.7</v>
      </c>
      <c r="J1413" s="955" t="s">
        <v>102</v>
      </c>
      <c r="K1413" s="902"/>
      <c r="L1413" s="923"/>
      <c r="M1413" s="902"/>
      <c r="N1413" s="900" t="s">
        <v>2308</v>
      </c>
    </row>
    <row r="1414" spans="1:14" s="910" customFormat="1" ht="16.5" hidden="1" customHeight="1">
      <c r="A1414" s="896"/>
      <c r="B1414" s="911" t="s">
        <v>2357</v>
      </c>
      <c r="C1414" s="912">
        <v>1</v>
      </c>
      <c r="D1414" s="913" t="s">
        <v>273</v>
      </c>
      <c r="E1414" s="914">
        <v>1</v>
      </c>
      <c r="F1414" s="915">
        <v>9.18</v>
      </c>
      <c r="G1414" s="915">
        <v>0</v>
      </c>
      <c r="H1414" s="915">
        <v>3.2</v>
      </c>
      <c r="I1414" s="916">
        <f>ROUND(IF(AND(F1414:H1414),C1414*E1414*F1414*G1414*H1414,IF(AND(F1414,G1414),C1414*E1414*F1414*G1414,IF(AND(F1414,H1414),C1414*E1414*F1414*H1414,IF(AND(G1414,H1414),C1414*E1414*G1414*H1414,IF(F1414,C1414*E1414*F1414,IF(G1414,C1414*E1414*G1414,IF(H1414,C1414*E1414*H1414,C1414*E1414))))))),2)</f>
        <v>29.38</v>
      </c>
      <c r="J1414" s="955" t="s">
        <v>102</v>
      </c>
      <c r="K1414" s="902"/>
      <c r="L1414" s="923"/>
      <c r="M1414" s="902"/>
      <c r="N1414" s="900" t="s">
        <v>2308</v>
      </c>
    </row>
    <row r="1415" spans="1:14" s="910" customFormat="1" ht="16.5" hidden="1" customHeight="1">
      <c r="A1415" s="896"/>
      <c r="B1415" s="911" t="s">
        <v>579</v>
      </c>
      <c r="C1415" s="912">
        <v>1</v>
      </c>
      <c r="D1415" s="913" t="s">
        <v>273</v>
      </c>
      <c r="E1415" s="914">
        <v>2</v>
      </c>
      <c r="F1415" s="915">
        <v>0.82</v>
      </c>
      <c r="G1415" s="915">
        <v>0</v>
      </c>
      <c r="H1415" s="915">
        <v>2.12</v>
      </c>
      <c r="I1415" s="916">
        <f>-ROUND(IF(AND(F1415:H1415),C1415*E1415*F1415*G1415*H1415,IF(AND(F1415,G1415),C1415*E1415*F1415*G1415,IF(AND(F1415,H1415),C1415*E1415*F1415*H1415,IF(AND(G1415,H1415),C1415*E1415*G1415*H1415,IF(F1415,C1415*E1415*F1415,IF(G1415,C1415*E1415*G1415,IF(H1415,C1415*E1415*H1415,C1415*E1415))))))),2)</f>
        <v>-3.48</v>
      </c>
      <c r="J1415" s="955" t="s">
        <v>102</v>
      </c>
      <c r="K1415" s="902"/>
      <c r="L1415" s="923"/>
      <c r="M1415" s="902"/>
      <c r="N1415" s="900" t="s">
        <v>2308</v>
      </c>
    </row>
    <row r="1416" spans="1:14" s="910" customFormat="1" ht="16.5" hidden="1" customHeight="1">
      <c r="A1416" s="896"/>
      <c r="B1416" s="911" t="s">
        <v>581</v>
      </c>
      <c r="C1416" s="912">
        <v>1</v>
      </c>
      <c r="D1416" s="913" t="s">
        <v>273</v>
      </c>
      <c r="E1416" s="914">
        <v>3</v>
      </c>
      <c r="F1416" s="915">
        <v>0.6</v>
      </c>
      <c r="G1416" s="915">
        <v>0</v>
      </c>
      <c r="H1416" s="915">
        <v>0.3</v>
      </c>
      <c r="I1416" s="916">
        <f>-ROUND(IF(AND(F1416:H1416),C1416*E1416*F1416*G1416*H1416,IF(AND(F1416,G1416),C1416*E1416*F1416*G1416,IF(AND(F1416,H1416),C1416*E1416*F1416*H1416,IF(AND(G1416,H1416),C1416*E1416*G1416*H1416,IF(F1416,C1416*E1416*F1416,IF(G1416,C1416*E1416*G1416,IF(H1416,C1416*E1416*H1416,C1416*E1416))))))),2)</f>
        <v>-0.54</v>
      </c>
      <c r="J1416" s="955" t="s">
        <v>102</v>
      </c>
      <c r="K1416" s="902"/>
      <c r="L1416" s="923"/>
      <c r="M1416" s="902"/>
      <c r="N1416" s="900" t="s">
        <v>2308</v>
      </c>
    </row>
    <row r="1417" spans="1:14" s="910" customFormat="1" ht="16.5" hidden="1" customHeight="1">
      <c r="A1417" s="896"/>
      <c r="B1417" s="911" t="s">
        <v>2354</v>
      </c>
      <c r="C1417" s="912">
        <v>1</v>
      </c>
      <c r="D1417" s="913" t="s">
        <v>273</v>
      </c>
      <c r="E1417" s="914">
        <v>1</v>
      </c>
      <c r="F1417" s="915">
        <v>1.24</v>
      </c>
      <c r="G1417" s="915">
        <v>0</v>
      </c>
      <c r="H1417" s="915">
        <v>1.24</v>
      </c>
      <c r="I1417" s="916">
        <f>-ROUND(IF(AND(F1417:H1417),C1417*E1417*F1417*G1417*H1417,IF(AND(F1417,G1417),C1417*E1417*F1417*G1417,IF(AND(F1417,H1417),C1417*E1417*F1417*H1417,IF(AND(G1417,H1417),C1417*E1417*G1417*H1417,IF(F1417,C1417*E1417*F1417,IF(G1417,C1417*E1417*G1417,IF(H1417,C1417*E1417*H1417,C1417*E1417))))))),2)</f>
        <v>-1.54</v>
      </c>
      <c r="J1417" s="955" t="s">
        <v>102</v>
      </c>
      <c r="K1417" s="902"/>
      <c r="L1417" s="923"/>
      <c r="M1417" s="902"/>
      <c r="N1417" s="900" t="s">
        <v>2308</v>
      </c>
    </row>
    <row r="1418" spans="1:14" s="910" customFormat="1" ht="16.5" hidden="1" customHeight="1">
      <c r="A1418" s="896"/>
      <c r="B1418" s="911" t="s">
        <v>2355</v>
      </c>
      <c r="C1418" s="912">
        <v>1</v>
      </c>
      <c r="D1418" s="913" t="s">
        <v>273</v>
      </c>
      <c r="E1418" s="914">
        <v>1</v>
      </c>
      <c r="F1418" s="915">
        <v>18.14</v>
      </c>
      <c r="G1418" s="915">
        <v>0</v>
      </c>
      <c r="H1418" s="915">
        <v>3.2</v>
      </c>
      <c r="I1418" s="916">
        <f>ROUND(IF(AND(F1418:H1418),C1418*E1418*F1418*G1418*H1418,IF(AND(F1418,G1418),C1418*E1418*F1418*G1418,IF(AND(F1418,H1418),C1418*E1418*F1418*H1418,IF(AND(G1418,H1418),C1418*E1418*G1418*H1418,IF(F1418,C1418*E1418*F1418,IF(G1418,C1418*E1418*G1418,IF(H1418,C1418*E1418*H1418,C1418*E1418))))))),2)</f>
        <v>58.05</v>
      </c>
      <c r="J1418" s="955" t="s">
        <v>102</v>
      </c>
      <c r="K1418" s="902"/>
      <c r="L1418" s="923"/>
      <c r="M1418" s="902"/>
      <c r="N1418" s="900" t="s">
        <v>2308</v>
      </c>
    </row>
    <row r="1419" spans="1:14" s="910" customFormat="1" ht="16.5" hidden="1" customHeight="1">
      <c r="A1419" s="896"/>
      <c r="B1419" s="911" t="s">
        <v>579</v>
      </c>
      <c r="C1419" s="912">
        <v>1</v>
      </c>
      <c r="D1419" s="913" t="s">
        <v>273</v>
      </c>
      <c r="E1419" s="914">
        <v>2</v>
      </c>
      <c r="F1419" s="915">
        <v>0.93</v>
      </c>
      <c r="G1419" s="915">
        <v>0</v>
      </c>
      <c r="H1419" s="915">
        <v>2.13</v>
      </c>
      <c r="I1419" s="916">
        <f t="shared" ref="I1419:I1424" si="144">-ROUND(IF(AND(F1419:H1419),C1419*E1419*F1419*G1419*H1419,IF(AND(F1419,G1419),C1419*E1419*F1419*G1419,IF(AND(F1419,H1419),C1419*E1419*F1419*H1419,IF(AND(G1419,H1419),C1419*E1419*G1419*H1419,IF(F1419,C1419*E1419*F1419,IF(G1419,C1419*E1419*G1419,IF(H1419,C1419*E1419*H1419,C1419*E1419))))))),2)</f>
        <v>-3.96</v>
      </c>
      <c r="J1419" s="955" t="s">
        <v>102</v>
      </c>
      <c r="K1419" s="902"/>
      <c r="L1419" s="923"/>
      <c r="M1419" s="902"/>
      <c r="N1419" s="900" t="s">
        <v>2308</v>
      </c>
    </row>
    <row r="1420" spans="1:14" s="910" customFormat="1" ht="16.5" hidden="1" customHeight="1">
      <c r="A1420" s="896"/>
      <c r="B1420" s="911" t="s">
        <v>579</v>
      </c>
      <c r="C1420" s="912">
        <v>1</v>
      </c>
      <c r="D1420" s="913" t="s">
        <v>273</v>
      </c>
      <c r="E1420" s="914">
        <v>1</v>
      </c>
      <c r="F1420" s="915">
        <v>0.82</v>
      </c>
      <c r="G1420" s="915">
        <v>0</v>
      </c>
      <c r="H1420" s="915">
        <v>2.12</v>
      </c>
      <c r="I1420" s="916">
        <f t="shared" si="144"/>
        <v>-1.74</v>
      </c>
      <c r="J1420" s="955" t="s">
        <v>102</v>
      </c>
      <c r="K1420" s="902"/>
      <c r="L1420" s="923"/>
      <c r="M1420" s="902"/>
      <c r="N1420" s="900" t="s">
        <v>2308</v>
      </c>
    </row>
    <row r="1421" spans="1:14" s="910" customFormat="1" ht="16.5" hidden="1" customHeight="1">
      <c r="A1421" s="896"/>
      <c r="B1421" s="911" t="s">
        <v>2500</v>
      </c>
      <c r="C1421" s="912">
        <v>1</v>
      </c>
      <c r="D1421" s="913" t="s">
        <v>273</v>
      </c>
      <c r="E1421" s="914">
        <v>1</v>
      </c>
      <c r="F1421" s="915">
        <v>0.93</v>
      </c>
      <c r="G1421" s="915">
        <v>0</v>
      </c>
      <c r="H1421" s="915">
        <v>2.9</v>
      </c>
      <c r="I1421" s="916">
        <f t="shared" si="144"/>
        <v>-2.7</v>
      </c>
      <c r="J1421" s="955" t="s">
        <v>102</v>
      </c>
      <c r="K1421" s="902"/>
      <c r="L1421" s="923"/>
      <c r="M1421" s="902"/>
      <c r="N1421" s="900" t="s">
        <v>2308</v>
      </c>
    </row>
    <row r="1422" spans="1:14" s="910" customFormat="1" ht="16.5" hidden="1" customHeight="1">
      <c r="A1422" s="896"/>
      <c r="B1422" s="911" t="s">
        <v>581</v>
      </c>
      <c r="C1422" s="912">
        <v>1</v>
      </c>
      <c r="D1422" s="913" t="s">
        <v>273</v>
      </c>
      <c r="E1422" s="914">
        <v>5</v>
      </c>
      <c r="F1422" s="915">
        <v>0.6</v>
      </c>
      <c r="G1422" s="915">
        <v>0</v>
      </c>
      <c r="H1422" s="915">
        <v>0.3</v>
      </c>
      <c r="I1422" s="916">
        <f t="shared" si="144"/>
        <v>-0.9</v>
      </c>
      <c r="J1422" s="955" t="s">
        <v>102</v>
      </c>
      <c r="K1422" s="902"/>
      <c r="L1422" s="923"/>
      <c r="M1422" s="902"/>
      <c r="N1422" s="900" t="s">
        <v>2308</v>
      </c>
    </row>
    <row r="1423" spans="1:14" s="910" customFormat="1" ht="16.5" hidden="1" customHeight="1">
      <c r="A1423" s="896"/>
      <c r="B1423" s="911" t="s">
        <v>2354</v>
      </c>
      <c r="C1423" s="912">
        <v>1</v>
      </c>
      <c r="D1423" s="913" t="s">
        <v>273</v>
      </c>
      <c r="E1423" s="914">
        <v>1</v>
      </c>
      <c r="F1423" s="915">
        <v>1.23</v>
      </c>
      <c r="G1423" s="915">
        <v>0</v>
      </c>
      <c r="H1423" s="915">
        <v>1.3</v>
      </c>
      <c r="I1423" s="916">
        <f t="shared" si="144"/>
        <v>-1.6</v>
      </c>
      <c r="J1423" s="955" t="s">
        <v>102</v>
      </c>
      <c r="K1423" s="902"/>
      <c r="L1423" s="923"/>
      <c r="M1423" s="902"/>
      <c r="N1423" s="900" t="s">
        <v>2308</v>
      </c>
    </row>
    <row r="1424" spans="1:14" s="910" customFormat="1" ht="16.5" hidden="1" customHeight="1">
      <c r="A1424" s="896"/>
      <c r="B1424" s="911" t="s">
        <v>2354</v>
      </c>
      <c r="C1424" s="912">
        <v>1</v>
      </c>
      <c r="D1424" s="913" t="s">
        <v>273</v>
      </c>
      <c r="E1424" s="914">
        <v>1</v>
      </c>
      <c r="F1424" s="915">
        <v>1.24</v>
      </c>
      <c r="G1424" s="915">
        <v>0</v>
      </c>
      <c r="H1424" s="915">
        <v>1.23</v>
      </c>
      <c r="I1424" s="916">
        <f t="shared" si="144"/>
        <v>-1.53</v>
      </c>
      <c r="J1424" s="955" t="s">
        <v>102</v>
      </c>
      <c r="K1424" s="902"/>
      <c r="L1424" s="923"/>
      <c r="M1424" s="902"/>
      <c r="N1424" s="900" t="s">
        <v>2308</v>
      </c>
    </row>
    <row r="1425" spans="1:14" s="910" customFormat="1" ht="16.5" hidden="1" customHeight="1">
      <c r="A1425" s="896"/>
      <c r="B1425" s="911" t="s">
        <v>2196</v>
      </c>
      <c r="C1425" s="912">
        <v>1</v>
      </c>
      <c r="D1425" s="913" t="s">
        <v>273</v>
      </c>
      <c r="E1425" s="914">
        <v>8</v>
      </c>
      <c r="F1425" s="915">
        <v>4.8</v>
      </c>
      <c r="G1425" s="915">
        <v>0.23</v>
      </c>
      <c r="H1425" s="915">
        <v>0</v>
      </c>
      <c r="I1425" s="916">
        <f>ROUND(IF(AND(F1425:H1425),C1425*E1425*F1425*G1425*H1425,IF(AND(F1425,G1425),C1425*E1425*F1425*G1425,IF(AND(F1425,H1425),C1425*E1425*F1425*H1425,IF(AND(G1425,H1425),C1425*E1425*G1425*H1425,IF(F1425,C1425*E1425*F1425,IF(G1425,C1425*E1425*G1425,IF(H1425,C1425*E1425*H1425,C1425*E1425))))))),2)</f>
        <v>8.83</v>
      </c>
      <c r="J1425" s="955" t="s">
        <v>102</v>
      </c>
      <c r="K1425" s="902"/>
      <c r="L1425" s="923"/>
      <c r="M1425" s="902"/>
      <c r="N1425" s="900" t="s">
        <v>2308</v>
      </c>
    </row>
    <row r="1426" spans="1:14" s="910" customFormat="1" ht="16.5" hidden="1" customHeight="1">
      <c r="A1426" s="896"/>
      <c r="B1426" s="911" t="s">
        <v>2368</v>
      </c>
      <c r="C1426" s="912">
        <v>1</v>
      </c>
      <c r="D1426" s="913" t="s">
        <v>273</v>
      </c>
      <c r="E1426" s="914">
        <v>13</v>
      </c>
      <c r="F1426" s="915">
        <v>1.8</v>
      </c>
      <c r="G1426" s="915">
        <v>0.23</v>
      </c>
      <c r="H1426" s="915">
        <v>0</v>
      </c>
      <c r="I1426" s="916">
        <f>ROUND(IF(AND(F1426:H1426),C1426*E1426*F1426*G1426*H1426,IF(AND(F1426,G1426),C1426*E1426*F1426*G1426,IF(AND(F1426,H1426),C1426*E1426*F1426*H1426,IF(AND(G1426,H1426),C1426*E1426*G1426*H1426,IF(F1426,C1426*E1426*F1426,IF(G1426,C1426*E1426*G1426,IF(H1426,C1426*E1426*H1426,C1426*E1426))))))),2)</f>
        <v>5.38</v>
      </c>
      <c r="J1426" s="955" t="s">
        <v>102</v>
      </c>
      <c r="K1426" s="902"/>
      <c r="L1426" s="923"/>
      <c r="M1426" s="902"/>
      <c r="N1426" s="900" t="s">
        <v>2308</v>
      </c>
    </row>
    <row r="1427" spans="1:14" s="910" customFormat="1" ht="16.5" hidden="1" customHeight="1">
      <c r="A1427" s="896"/>
      <c r="B1427" s="911" t="s">
        <v>2501</v>
      </c>
      <c r="C1427" s="912">
        <v>1</v>
      </c>
      <c r="D1427" s="913" t="s">
        <v>273</v>
      </c>
      <c r="E1427" s="914">
        <v>1</v>
      </c>
      <c r="F1427" s="915">
        <v>5.45</v>
      </c>
      <c r="G1427" s="915">
        <v>0.115</v>
      </c>
      <c r="H1427" s="915">
        <v>0</v>
      </c>
      <c r="I1427" s="916">
        <f>ROUND(IF(AND(F1427:H1427),C1427*E1427*F1427*G1427*H1427,IF(AND(F1427,G1427),C1427*E1427*F1427*G1427,IF(AND(F1427,H1427),C1427*E1427*F1427*H1427,IF(AND(G1427,H1427),C1427*E1427*G1427*H1427,IF(F1427,C1427*E1427*F1427,IF(G1427,C1427*E1427*G1427,IF(H1427,C1427*E1427*H1427,C1427*E1427))))))),2)</f>
        <v>0.63</v>
      </c>
      <c r="J1427" s="955" t="s">
        <v>102</v>
      </c>
      <c r="K1427" s="902"/>
      <c r="L1427" s="923"/>
      <c r="M1427" s="902"/>
      <c r="N1427" s="900" t="s">
        <v>2308</v>
      </c>
    </row>
    <row r="1428" spans="1:14" s="910" customFormat="1" ht="16.5" hidden="1" customHeight="1">
      <c r="A1428" s="896"/>
      <c r="B1428" s="911" t="s">
        <v>2369</v>
      </c>
      <c r="C1428" s="912">
        <v>1</v>
      </c>
      <c r="D1428" s="913" t="s">
        <v>273</v>
      </c>
      <c r="E1428" s="914">
        <v>1</v>
      </c>
      <c r="F1428" s="915">
        <v>5.15</v>
      </c>
      <c r="G1428" s="915">
        <v>0.115</v>
      </c>
      <c r="H1428" s="915">
        <v>0</v>
      </c>
      <c r="I1428" s="916">
        <f>ROUND(IF(AND(F1428:H1428),C1428*E1428*F1428*G1428*H1428,IF(AND(F1428,G1428),C1428*E1428*F1428*G1428,IF(AND(F1428,H1428),C1428*E1428*F1428*H1428,IF(AND(G1428,H1428),C1428*E1428*G1428*H1428,IF(F1428,C1428*E1428*F1428,IF(G1428,C1428*E1428*G1428,IF(H1428,C1428*E1428*H1428,C1428*E1428))))))),2)</f>
        <v>0.59</v>
      </c>
      <c r="J1428" s="955" t="s">
        <v>102</v>
      </c>
      <c r="K1428" s="902"/>
      <c r="L1428" s="923"/>
      <c r="M1428" s="902"/>
      <c r="N1428" s="900" t="s">
        <v>2308</v>
      </c>
    </row>
    <row r="1429" spans="1:14" s="910" customFormat="1" ht="16.5" hidden="1" customHeight="1">
      <c r="A1429" s="896"/>
      <c r="B1429" s="911" t="s">
        <v>2502</v>
      </c>
      <c r="C1429" s="912">
        <v>1</v>
      </c>
      <c r="D1429" s="913" t="s">
        <v>273</v>
      </c>
      <c r="E1429" s="914">
        <v>1</v>
      </c>
      <c r="F1429" s="915">
        <v>5</v>
      </c>
      <c r="G1429" s="915">
        <v>0.115</v>
      </c>
      <c r="H1429" s="915">
        <v>0</v>
      </c>
      <c r="I1429" s="916">
        <f>ROUND(IF(AND(F1429:H1429),C1429*E1429*F1429*G1429*H1429,IF(AND(F1429,G1429),C1429*E1429*F1429*G1429,IF(AND(F1429,H1429),C1429*E1429*F1429*H1429,IF(AND(G1429,H1429),C1429*E1429*G1429*H1429,IF(F1429,C1429*E1429*F1429,IF(G1429,C1429*E1429*G1429,IF(H1429,C1429*E1429*H1429,C1429*E1429))))))),2)</f>
        <v>0.57999999999999996</v>
      </c>
      <c r="J1429" s="955" t="s">
        <v>102</v>
      </c>
      <c r="K1429" s="902"/>
      <c r="L1429" s="923"/>
      <c r="M1429" s="902"/>
      <c r="N1429" s="900" t="s">
        <v>2308</v>
      </c>
    </row>
    <row r="1430" spans="1:14" s="910" customFormat="1" ht="16.5" hidden="1" customHeight="1">
      <c r="A1430" s="896"/>
      <c r="B1430" s="956"/>
      <c r="C1430" s="957"/>
      <c r="D1430" s="958"/>
      <c r="E1430" s="1268"/>
      <c r="F1430" s="960"/>
      <c r="G1430" s="960"/>
      <c r="H1430" s="960"/>
      <c r="I1430" s="916"/>
      <c r="J1430" s="955"/>
      <c r="K1430" s="902"/>
      <c r="L1430" s="923"/>
      <c r="M1430" s="902"/>
      <c r="N1430" s="900" t="s">
        <v>2308</v>
      </c>
    </row>
    <row r="1431" spans="1:14" ht="15.75" hidden="1">
      <c r="A1431" s="896"/>
      <c r="B1431" s="902"/>
      <c r="C1431" s="917"/>
      <c r="D1431" s="918"/>
      <c r="E1431" s="919"/>
      <c r="F1431" s="920"/>
      <c r="G1431" s="921"/>
      <c r="H1431" s="896"/>
      <c r="I1431" s="916"/>
      <c r="J1431" s="955" t="s">
        <v>102</v>
      </c>
      <c r="K1431" s="922">
        <f>data!E2346</f>
        <v>364.75</v>
      </c>
      <c r="L1431" s="923" t="s">
        <v>2308</v>
      </c>
      <c r="M1431" s="924">
        <f>ROUND(I1431*K1431,0)</f>
        <v>0</v>
      </c>
      <c r="N1431" s="900" t="s">
        <v>2308</v>
      </c>
    </row>
    <row r="1432" spans="1:14" ht="71.25" hidden="1" customHeight="1">
      <c r="A1432" s="896">
        <v>23</v>
      </c>
      <c r="B1432" s="1612" t="s">
        <v>808</v>
      </c>
      <c r="C1432" s="1613"/>
      <c r="D1432" s="1613"/>
      <c r="E1432" s="1613"/>
      <c r="F1432" s="1613"/>
      <c r="G1432" s="1613"/>
      <c r="H1432" s="1614"/>
      <c r="I1432" s="897"/>
      <c r="J1432" s="898"/>
      <c r="K1432" s="896"/>
      <c r="L1432" s="923"/>
      <c r="M1432" s="899"/>
      <c r="N1432" s="900" t="s">
        <v>2309</v>
      </c>
    </row>
    <row r="1433" spans="1:14" s="910" customFormat="1" ht="16.5" hidden="1" customHeight="1">
      <c r="A1433" s="896"/>
      <c r="B1433" s="902" t="s">
        <v>3514</v>
      </c>
      <c r="C1433" s="897"/>
      <c r="D1433" s="1263"/>
      <c r="E1433" s="919"/>
      <c r="F1433" s="920"/>
      <c r="G1433" s="920"/>
      <c r="H1433" s="920"/>
      <c r="I1433" s="1264"/>
      <c r="J1433" s="955"/>
      <c r="K1433" s="902"/>
      <c r="L1433" s="923"/>
      <c r="M1433" s="902"/>
      <c r="N1433" s="900" t="s">
        <v>2309</v>
      </c>
    </row>
    <row r="1434" spans="1:14" s="910" customFormat="1" ht="16.5" hidden="1" customHeight="1">
      <c r="A1434" s="896"/>
      <c r="B1434" s="902"/>
      <c r="C1434" s="897">
        <v>1</v>
      </c>
      <c r="D1434" s="1263" t="s">
        <v>273</v>
      </c>
      <c r="E1434" s="919">
        <v>1</v>
      </c>
      <c r="F1434" s="920">
        <v>11.78</v>
      </c>
      <c r="G1434" s="920">
        <v>0</v>
      </c>
      <c r="H1434" s="920">
        <v>3.1</v>
      </c>
      <c r="I1434" s="1266">
        <f t="shared" ref="I1434:I1444" si="145">ROUND(IF(AND(F1434:H1434),C1434*E1434*F1434*G1434*H1434,IF(AND(F1434,G1434),C1434*E1434*F1434*G1434,IF(AND(F1434,H1434),C1434*E1434*F1434*H1434,IF(AND(G1434,H1434),C1434*E1434*G1434*H1434,IF(F1434,C1434*E1434*F1434,IF(G1434,C1434*E1434*G1434,IF(H1434,C1434*E1434*H1434,C1434*E1434))))))),2)</f>
        <v>36.520000000000003</v>
      </c>
      <c r="J1434" s="955" t="s">
        <v>102</v>
      </c>
      <c r="K1434" s="902"/>
      <c r="L1434" s="923"/>
      <c r="M1434" s="902"/>
      <c r="N1434" s="900" t="s">
        <v>2309</v>
      </c>
    </row>
    <row r="1435" spans="1:14" s="910" customFormat="1" ht="16.5" hidden="1" customHeight="1">
      <c r="A1435" s="896"/>
      <c r="B1435" s="902"/>
      <c r="C1435" s="897">
        <v>1</v>
      </c>
      <c r="D1435" s="1263" t="s">
        <v>273</v>
      </c>
      <c r="E1435" s="919">
        <v>1</v>
      </c>
      <c r="F1435" s="920">
        <v>11.94</v>
      </c>
      <c r="G1435" s="920">
        <v>0</v>
      </c>
      <c r="H1435" s="920">
        <v>3.1</v>
      </c>
      <c r="I1435" s="1266">
        <f t="shared" si="145"/>
        <v>37.01</v>
      </c>
      <c r="J1435" s="955" t="s">
        <v>102</v>
      </c>
      <c r="K1435" s="902"/>
      <c r="L1435" s="923"/>
      <c r="M1435" s="902"/>
      <c r="N1435" s="900" t="s">
        <v>2309</v>
      </c>
    </row>
    <row r="1436" spans="1:14" s="910" customFormat="1" ht="16.5" hidden="1" customHeight="1">
      <c r="A1436" s="896"/>
      <c r="B1436" s="902"/>
      <c r="C1436" s="897">
        <v>1</v>
      </c>
      <c r="D1436" s="1263" t="s">
        <v>273</v>
      </c>
      <c r="E1436" s="919">
        <v>1</v>
      </c>
      <c r="F1436" s="920">
        <v>23.7</v>
      </c>
      <c r="G1436" s="920">
        <v>0</v>
      </c>
      <c r="H1436" s="920">
        <v>3.1</v>
      </c>
      <c r="I1436" s="1266">
        <f t="shared" si="145"/>
        <v>73.47</v>
      </c>
      <c r="J1436" s="955" t="s">
        <v>102</v>
      </c>
      <c r="K1436" s="902"/>
      <c r="L1436" s="923"/>
      <c r="M1436" s="902"/>
      <c r="N1436" s="900" t="s">
        <v>2309</v>
      </c>
    </row>
    <row r="1437" spans="1:14" s="910" customFormat="1" ht="16.5" hidden="1" customHeight="1">
      <c r="A1437" s="896"/>
      <c r="B1437" s="902"/>
      <c r="C1437" s="897">
        <v>1</v>
      </c>
      <c r="D1437" s="1263" t="s">
        <v>273</v>
      </c>
      <c r="E1437" s="919">
        <v>1</v>
      </c>
      <c r="F1437" s="920">
        <v>8.6</v>
      </c>
      <c r="G1437" s="920">
        <v>0</v>
      </c>
      <c r="H1437" s="920">
        <v>3.1</v>
      </c>
      <c r="I1437" s="1266">
        <f t="shared" si="145"/>
        <v>26.66</v>
      </c>
      <c r="J1437" s="955" t="s">
        <v>102</v>
      </c>
      <c r="K1437" s="902"/>
      <c r="L1437" s="923"/>
      <c r="M1437" s="902"/>
      <c r="N1437" s="900" t="s">
        <v>2309</v>
      </c>
    </row>
    <row r="1438" spans="1:14" s="910" customFormat="1" ht="16.5" hidden="1" customHeight="1">
      <c r="A1438" s="896"/>
      <c r="B1438" s="902"/>
      <c r="C1438" s="897">
        <v>1</v>
      </c>
      <c r="D1438" s="1263" t="s">
        <v>273</v>
      </c>
      <c r="E1438" s="919">
        <v>1</v>
      </c>
      <c r="F1438" s="920">
        <v>4.9800000000000004</v>
      </c>
      <c r="G1438" s="920">
        <v>0</v>
      </c>
      <c r="H1438" s="920">
        <v>3.1</v>
      </c>
      <c r="I1438" s="1266">
        <f t="shared" si="145"/>
        <v>15.44</v>
      </c>
      <c r="J1438" s="955" t="s">
        <v>102</v>
      </c>
      <c r="K1438" s="902"/>
      <c r="L1438" s="923"/>
      <c r="M1438" s="902"/>
      <c r="N1438" s="900" t="s">
        <v>2309</v>
      </c>
    </row>
    <row r="1439" spans="1:14" s="910" customFormat="1" ht="16.5" hidden="1" customHeight="1">
      <c r="A1439" s="896"/>
      <c r="B1439" s="902"/>
      <c r="C1439" s="897">
        <v>1</v>
      </c>
      <c r="D1439" s="1263" t="s">
        <v>273</v>
      </c>
      <c r="E1439" s="919">
        <v>1</v>
      </c>
      <c r="F1439" s="920">
        <v>5.55</v>
      </c>
      <c r="G1439" s="920">
        <v>0</v>
      </c>
      <c r="H1439" s="920">
        <v>3.1</v>
      </c>
      <c r="I1439" s="1266">
        <f t="shared" si="145"/>
        <v>17.21</v>
      </c>
      <c r="J1439" s="955" t="s">
        <v>102</v>
      </c>
      <c r="K1439" s="902"/>
      <c r="L1439" s="923"/>
      <c r="M1439" s="902"/>
      <c r="N1439" s="900" t="s">
        <v>2309</v>
      </c>
    </row>
    <row r="1440" spans="1:14" s="910" customFormat="1" ht="16.5" hidden="1" customHeight="1">
      <c r="A1440" s="896"/>
      <c r="B1440" s="902"/>
      <c r="C1440" s="897">
        <v>1</v>
      </c>
      <c r="D1440" s="1263" t="s">
        <v>273</v>
      </c>
      <c r="E1440" s="919">
        <v>1</v>
      </c>
      <c r="F1440" s="920">
        <v>8.35</v>
      </c>
      <c r="G1440" s="920">
        <v>0</v>
      </c>
      <c r="H1440" s="920">
        <v>3.1</v>
      </c>
      <c r="I1440" s="1266">
        <f t="shared" si="145"/>
        <v>25.89</v>
      </c>
      <c r="J1440" s="955" t="s">
        <v>102</v>
      </c>
      <c r="K1440" s="902"/>
      <c r="L1440" s="923"/>
      <c r="M1440" s="902"/>
      <c r="N1440" s="900" t="s">
        <v>2309</v>
      </c>
    </row>
    <row r="1441" spans="1:14" s="910" customFormat="1" ht="16.5" hidden="1" customHeight="1">
      <c r="A1441" s="896"/>
      <c r="B1441" s="902"/>
      <c r="C1441" s="897">
        <v>1</v>
      </c>
      <c r="D1441" s="1263" t="s">
        <v>273</v>
      </c>
      <c r="E1441" s="919">
        <v>1</v>
      </c>
      <c r="F1441" s="920">
        <v>2.68</v>
      </c>
      <c r="G1441" s="920">
        <v>0</v>
      </c>
      <c r="H1441" s="920">
        <v>1.2</v>
      </c>
      <c r="I1441" s="1266">
        <f t="shared" si="145"/>
        <v>3.22</v>
      </c>
      <c r="J1441" s="955" t="s">
        <v>102</v>
      </c>
      <c r="K1441" s="902"/>
      <c r="L1441" s="923"/>
      <c r="M1441" s="902"/>
      <c r="N1441" s="900" t="s">
        <v>2309</v>
      </c>
    </row>
    <row r="1442" spans="1:14" s="910" customFormat="1" ht="16.5" hidden="1" customHeight="1">
      <c r="A1442" s="896"/>
      <c r="B1442" s="902"/>
      <c r="C1442" s="897">
        <v>1</v>
      </c>
      <c r="D1442" s="1263" t="s">
        <v>273</v>
      </c>
      <c r="E1442" s="919">
        <v>1</v>
      </c>
      <c r="F1442" s="920">
        <v>2.9</v>
      </c>
      <c r="G1442" s="920">
        <v>0</v>
      </c>
      <c r="H1442" s="920">
        <v>1.2</v>
      </c>
      <c r="I1442" s="1266">
        <f t="shared" si="145"/>
        <v>3.48</v>
      </c>
      <c r="J1442" s="955" t="s">
        <v>102</v>
      </c>
      <c r="K1442" s="902"/>
      <c r="L1442" s="923"/>
      <c r="M1442" s="902"/>
      <c r="N1442" s="900" t="s">
        <v>2309</v>
      </c>
    </row>
    <row r="1443" spans="1:14" s="910" customFormat="1" ht="16.5" hidden="1" customHeight="1">
      <c r="A1443" s="896"/>
      <c r="B1443" s="902"/>
      <c r="C1443" s="897">
        <v>1</v>
      </c>
      <c r="D1443" s="1263" t="s">
        <v>273</v>
      </c>
      <c r="E1443" s="919">
        <v>1</v>
      </c>
      <c r="F1443" s="920">
        <v>3.37</v>
      </c>
      <c r="G1443" s="920">
        <v>0</v>
      </c>
      <c r="H1443" s="920">
        <v>3.1</v>
      </c>
      <c r="I1443" s="1266">
        <f t="shared" si="145"/>
        <v>10.45</v>
      </c>
      <c r="J1443" s="955" t="s">
        <v>102</v>
      </c>
      <c r="K1443" s="902"/>
      <c r="L1443" s="923"/>
      <c r="M1443" s="902"/>
      <c r="N1443" s="900" t="s">
        <v>2309</v>
      </c>
    </row>
    <row r="1444" spans="1:14" s="910" customFormat="1" ht="16.5" hidden="1" customHeight="1">
      <c r="A1444" s="896"/>
      <c r="B1444" s="902"/>
      <c r="C1444" s="897">
        <v>1</v>
      </c>
      <c r="D1444" s="1263" t="s">
        <v>273</v>
      </c>
      <c r="E1444" s="919">
        <v>1</v>
      </c>
      <c r="F1444" s="920">
        <v>3.6</v>
      </c>
      <c r="G1444" s="920">
        <v>1.8</v>
      </c>
      <c r="H1444" s="920">
        <v>0</v>
      </c>
      <c r="I1444" s="1266">
        <f t="shared" si="145"/>
        <v>6.48</v>
      </c>
      <c r="J1444" s="955" t="s">
        <v>102</v>
      </c>
      <c r="K1444" s="902"/>
      <c r="L1444" s="923"/>
      <c r="M1444" s="902"/>
      <c r="N1444" s="900" t="s">
        <v>2309</v>
      </c>
    </row>
    <row r="1445" spans="1:14" s="910" customFormat="1" ht="16.5" hidden="1" customHeight="1">
      <c r="A1445" s="896"/>
      <c r="B1445" s="902"/>
      <c r="C1445" s="897">
        <v>1</v>
      </c>
      <c r="D1445" s="1263" t="s">
        <v>273</v>
      </c>
      <c r="E1445" s="919">
        <v>1</v>
      </c>
      <c r="F1445" s="920">
        <v>1.2</v>
      </c>
      <c r="G1445" s="920">
        <v>0</v>
      </c>
      <c r="H1445" s="920">
        <v>2.1</v>
      </c>
      <c r="I1445" s="1266">
        <f>-ROUND(IF(AND(F1445:H1445),C1445*E1445*F1445*G1445*H1445,IF(AND(F1445,G1445),C1445*E1445*F1445*G1445,IF(AND(F1445,H1445),C1445*E1445*F1445*H1445,IF(AND(G1445,H1445),C1445*E1445*G1445*H1445,IF(F1445,C1445*E1445*F1445,IF(G1445,C1445*E1445*G1445,IF(H1445,C1445*E1445*H1445,C1445*E1445))))))),2)</f>
        <v>-2.52</v>
      </c>
      <c r="J1445" s="955" t="s">
        <v>102</v>
      </c>
      <c r="K1445" s="902"/>
      <c r="L1445" s="923"/>
      <c r="M1445" s="902"/>
      <c r="N1445" s="900" t="s">
        <v>2309</v>
      </c>
    </row>
    <row r="1446" spans="1:14" s="910" customFormat="1" ht="16.5" hidden="1" customHeight="1">
      <c r="A1446" s="896"/>
      <c r="B1446" s="902"/>
      <c r="C1446" s="897">
        <v>2</v>
      </c>
      <c r="D1446" s="1263" t="s">
        <v>273</v>
      </c>
      <c r="E1446" s="919">
        <v>2</v>
      </c>
      <c r="F1446" s="920">
        <v>1.05</v>
      </c>
      <c r="G1446" s="920">
        <v>0</v>
      </c>
      <c r="H1446" s="920">
        <v>2.1</v>
      </c>
      <c r="I1446" s="1266">
        <f>-ROUND(IF(AND(F1446:H1446),C1446*E1446*F1446*G1446*H1446,IF(AND(F1446,G1446),C1446*E1446*F1446*G1446,IF(AND(F1446,H1446),C1446*E1446*F1446*H1446,IF(AND(G1446,H1446),C1446*E1446*G1446*H1446,IF(F1446,C1446*E1446*F1446,IF(G1446,C1446*E1446*G1446,IF(H1446,C1446*E1446*H1446,C1446*E1446))))))),2)</f>
        <v>-8.82</v>
      </c>
      <c r="J1446" s="955" t="s">
        <v>102</v>
      </c>
      <c r="K1446" s="902"/>
      <c r="L1446" s="923"/>
      <c r="M1446" s="902"/>
      <c r="N1446" s="900" t="s">
        <v>2309</v>
      </c>
    </row>
    <row r="1447" spans="1:14" s="910" customFormat="1" ht="16.5" hidden="1" customHeight="1">
      <c r="A1447" s="896"/>
      <c r="B1447" s="902"/>
      <c r="C1447" s="897">
        <v>1</v>
      </c>
      <c r="D1447" s="1263" t="s">
        <v>273</v>
      </c>
      <c r="E1447" s="919">
        <v>6</v>
      </c>
      <c r="F1447" s="920">
        <v>1.5</v>
      </c>
      <c r="G1447" s="920">
        <v>0</v>
      </c>
      <c r="H1447" s="920">
        <v>1.35</v>
      </c>
      <c r="I1447" s="1266">
        <f>-ROUND(IF(AND(F1447:H1447),C1447*E1447*F1447*G1447*H1447,IF(AND(F1447,G1447),C1447*E1447*F1447*G1447,IF(AND(F1447,H1447),C1447*E1447*F1447*H1447,IF(AND(G1447,H1447),C1447*E1447*G1447*H1447,IF(F1447,C1447*E1447*F1447,IF(G1447,C1447*E1447*G1447,IF(H1447,C1447*E1447*H1447,C1447*E1447))))))),2)</f>
        <v>-12.15</v>
      </c>
      <c r="J1447" s="955" t="s">
        <v>102</v>
      </c>
      <c r="K1447" s="902"/>
      <c r="L1447" s="923"/>
      <c r="M1447" s="902"/>
      <c r="N1447" s="900" t="s">
        <v>2309</v>
      </c>
    </row>
    <row r="1448" spans="1:14" s="910" customFormat="1" ht="16.5" hidden="1" customHeight="1">
      <c r="A1448" s="896"/>
      <c r="B1448" s="902"/>
      <c r="C1448" s="897">
        <v>1</v>
      </c>
      <c r="D1448" s="1263" t="s">
        <v>273</v>
      </c>
      <c r="E1448" s="919">
        <v>1</v>
      </c>
      <c r="F1448" s="920">
        <v>3.2</v>
      </c>
      <c r="G1448" s="920">
        <v>0</v>
      </c>
      <c r="H1448" s="920">
        <v>3.1</v>
      </c>
      <c r="I1448" s="1266">
        <f>-ROUND(IF(AND(F1448:H1448),C1448*E1448*F1448*G1448*H1448,IF(AND(F1448,G1448),C1448*E1448*F1448*G1448,IF(AND(F1448,H1448),C1448*E1448*F1448*H1448,IF(AND(G1448,H1448),C1448*E1448*G1448*H1448,IF(F1448,C1448*E1448*F1448,IF(G1448,C1448*E1448*G1448,IF(H1448,C1448*E1448*H1448,C1448*E1448))))))),2)</f>
        <v>-9.92</v>
      </c>
      <c r="J1448" s="955" t="s">
        <v>102</v>
      </c>
      <c r="K1448" s="902"/>
      <c r="L1448" s="923"/>
      <c r="M1448" s="902"/>
      <c r="N1448" s="900" t="s">
        <v>2309</v>
      </c>
    </row>
    <row r="1449" spans="1:14" s="910" customFormat="1" ht="16.5" hidden="1" customHeight="1">
      <c r="A1449" s="896"/>
      <c r="B1449" s="902"/>
      <c r="C1449" s="897">
        <v>1</v>
      </c>
      <c r="D1449" s="1263" t="s">
        <v>273</v>
      </c>
      <c r="E1449" s="919">
        <v>11</v>
      </c>
      <c r="F1449" s="920">
        <v>0.6</v>
      </c>
      <c r="G1449" s="920">
        <v>0</v>
      </c>
      <c r="H1449" s="920">
        <v>0.3</v>
      </c>
      <c r="I1449" s="1266">
        <f>-ROUND(IF(AND(F1449:H1449),C1449*E1449*F1449*G1449*H1449,IF(AND(F1449,G1449),C1449*E1449*F1449*G1449,IF(AND(F1449,H1449),C1449*E1449*F1449*H1449,IF(AND(G1449,H1449),C1449*E1449*G1449*H1449,IF(F1449,C1449*E1449*F1449,IF(G1449,C1449*E1449*G1449,IF(H1449,C1449*E1449*H1449,C1449*E1449))))))),2)</f>
        <v>-1.98</v>
      </c>
      <c r="J1449" s="955" t="s">
        <v>102</v>
      </c>
      <c r="K1449" s="902"/>
      <c r="L1449" s="923"/>
      <c r="M1449" s="902"/>
      <c r="N1449" s="900" t="s">
        <v>2309</v>
      </c>
    </row>
    <row r="1450" spans="1:14" s="910" customFormat="1" ht="16.5" hidden="1" customHeight="1">
      <c r="A1450" s="896"/>
      <c r="B1450" s="956"/>
      <c r="C1450" s="957"/>
      <c r="D1450" s="958"/>
      <c r="E1450" s="1268"/>
      <c r="F1450" s="960"/>
      <c r="G1450" s="960"/>
      <c r="H1450" s="960"/>
      <c r="I1450" s="916"/>
      <c r="J1450" s="955"/>
      <c r="K1450" s="902"/>
      <c r="L1450" s="923"/>
      <c r="M1450" s="902"/>
      <c r="N1450" s="900" t="s">
        <v>2309</v>
      </c>
    </row>
    <row r="1451" spans="1:14" ht="15.75" hidden="1">
      <c r="A1451" s="896"/>
      <c r="B1451" s="902"/>
      <c r="C1451" s="917"/>
      <c r="D1451" s="918"/>
      <c r="E1451" s="919"/>
      <c r="F1451" s="920"/>
      <c r="G1451" s="921"/>
      <c r="H1451" s="896"/>
      <c r="I1451" s="916"/>
      <c r="J1451" s="955" t="s">
        <v>102</v>
      </c>
      <c r="K1451" s="922">
        <f>data!E3263</f>
        <v>388.21</v>
      </c>
      <c r="L1451" s="923" t="s">
        <v>2309</v>
      </c>
      <c r="M1451" s="924">
        <f>ROUND(I1451*K1451,0)</f>
        <v>0</v>
      </c>
      <c r="N1451" s="900" t="s">
        <v>2309</v>
      </c>
    </row>
    <row r="1452" spans="1:14" s="1403" customFormat="1" ht="71.25" customHeight="1">
      <c r="A1452" s="1397">
        <v>21</v>
      </c>
      <c r="B1452" s="1615" t="s">
        <v>316</v>
      </c>
      <c r="C1452" s="1616"/>
      <c r="D1452" s="1616"/>
      <c r="E1452" s="1616"/>
      <c r="F1452" s="1616"/>
      <c r="G1452" s="1616"/>
      <c r="H1452" s="1617"/>
      <c r="I1452" s="1398"/>
      <c r="J1452" s="1399"/>
      <c r="K1452" s="1397"/>
      <c r="L1452" s="1400"/>
      <c r="M1452" s="1401"/>
      <c r="N1452" s="1402" t="s">
        <v>2209</v>
      </c>
    </row>
    <row r="1453" spans="1:14" s="1411" customFormat="1" ht="15.75">
      <c r="A1453" s="1397"/>
      <c r="B1453" s="1404" t="s">
        <v>3931</v>
      </c>
      <c r="C1453" s="1405"/>
      <c r="D1453" s="1395" t="s">
        <v>4019</v>
      </c>
      <c r="E1453" s="1406"/>
      <c r="F1453" s="1407"/>
      <c r="G1453" s="1407"/>
      <c r="H1453" s="1407"/>
      <c r="I1453" s="1408"/>
      <c r="J1453" s="1423"/>
      <c r="K1453" s="1410"/>
      <c r="L1453" s="1400"/>
      <c r="M1453" s="1410"/>
      <c r="N1453" s="1402" t="s">
        <v>2209</v>
      </c>
    </row>
    <row r="1454" spans="1:14" s="1411" customFormat="1" ht="15.75">
      <c r="A1454" s="1397"/>
      <c r="B1454" s="1410" t="s">
        <v>3743</v>
      </c>
      <c r="C1454" s="1398">
        <v>1</v>
      </c>
      <c r="D1454" s="1412" t="s">
        <v>273</v>
      </c>
      <c r="E1454" s="1413">
        <v>2</v>
      </c>
      <c r="F1454" s="1414">
        <v>13.54</v>
      </c>
      <c r="G1454" s="1414">
        <v>0</v>
      </c>
      <c r="H1454" s="1414">
        <v>3.15</v>
      </c>
      <c r="I1454" s="1415">
        <f t="shared" ref="I1454:I1455" si="146">ROUND(IF(AND(F1454:H1454),C1454*E1454*F1454*G1454*H1454,IF(AND(F1454,G1454),C1454*E1454*F1454*G1454,IF(AND(F1454,H1454),C1454*E1454*F1454*H1454,IF(AND(G1454,H1454),C1454*E1454*G1454*H1454,IF(F1454,C1454*E1454*F1454,IF(G1454,C1454*E1454*G1454,IF(H1454,C1454*E1454*H1454,C1454*E1454))))))),2)</f>
        <v>85.3</v>
      </c>
      <c r="J1454" s="1423" t="s">
        <v>102</v>
      </c>
      <c r="K1454" s="1410"/>
      <c r="L1454" s="1400"/>
      <c r="M1454" s="1410"/>
      <c r="N1454" s="1402" t="s">
        <v>2209</v>
      </c>
    </row>
    <row r="1455" spans="1:14" s="1411" customFormat="1" ht="15.75">
      <c r="A1455" s="1397"/>
      <c r="B1455" s="1410" t="s">
        <v>3073</v>
      </c>
      <c r="C1455" s="1398">
        <v>1</v>
      </c>
      <c r="D1455" s="1412" t="s">
        <v>273</v>
      </c>
      <c r="E1455" s="1413">
        <v>2</v>
      </c>
      <c r="F1455" s="1414">
        <v>6.43</v>
      </c>
      <c r="G1455" s="1414">
        <v>0</v>
      </c>
      <c r="H1455" s="1414">
        <v>3.15</v>
      </c>
      <c r="I1455" s="1415">
        <f t="shared" si="146"/>
        <v>40.51</v>
      </c>
      <c r="J1455" s="1423" t="s">
        <v>102</v>
      </c>
      <c r="K1455" s="1410"/>
      <c r="L1455" s="1400"/>
      <c r="M1455" s="1410"/>
      <c r="N1455" s="1402" t="s">
        <v>2209</v>
      </c>
    </row>
    <row r="1456" spans="1:14" s="1411" customFormat="1" ht="15.75">
      <c r="A1456" s="1397"/>
      <c r="B1456" s="1425"/>
      <c r="C1456" s="1426"/>
      <c r="D1456" s="1427"/>
      <c r="E1456" s="1428"/>
      <c r="F1456" s="1429"/>
      <c r="G1456" s="1429"/>
      <c r="H1456" s="1429"/>
      <c r="I1456" s="1430"/>
      <c r="J1456" s="1423"/>
      <c r="K1456" s="1410"/>
      <c r="L1456" s="1400"/>
      <c r="M1456" s="1410"/>
      <c r="N1456" s="1402" t="s">
        <v>2209</v>
      </c>
    </row>
    <row r="1457" spans="1:14" s="1403" customFormat="1" ht="15.75">
      <c r="A1457" s="1397"/>
      <c r="B1457" s="1410"/>
      <c r="C1457" s="1431"/>
      <c r="D1457" s="1432"/>
      <c r="E1457" s="1413"/>
      <c r="F1457" s="1414"/>
      <c r="G1457" s="1433"/>
      <c r="H1457" s="1397"/>
      <c r="I1457" s="1430">
        <f>SUM(I1454:I1456)</f>
        <v>125.81</v>
      </c>
      <c r="J1457" s="1423" t="s">
        <v>102</v>
      </c>
      <c r="K1457" s="1434">
        <f>data!E532</f>
        <v>331.15</v>
      </c>
      <c r="L1457" s="1400" t="s">
        <v>2209</v>
      </c>
      <c r="M1457" s="1435">
        <f>ROUND(I1457*K1457,0)</f>
        <v>41662</v>
      </c>
      <c r="N1457" s="1402" t="s">
        <v>2209</v>
      </c>
    </row>
    <row r="1458" spans="1:14" ht="71.25" hidden="1" customHeight="1">
      <c r="A1458" s="896">
        <v>29</v>
      </c>
      <c r="B1458" s="1609" t="s">
        <v>316</v>
      </c>
      <c r="C1458" s="1609"/>
      <c r="D1458" s="1609"/>
      <c r="E1458" s="1609"/>
      <c r="F1458" s="1609"/>
      <c r="G1458" s="1609"/>
      <c r="H1458" s="1609"/>
      <c r="I1458" s="897"/>
      <c r="J1458" s="898"/>
      <c r="K1458" s="896"/>
      <c r="L1458" s="923"/>
      <c r="M1458" s="899"/>
      <c r="N1458" s="900" t="s">
        <v>2297</v>
      </c>
    </row>
    <row r="1459" spans="1:14" s="910" customFormat="1" ht="15.75" hidden="1">
      <c r="A1459" s="896"/>
      <c r="B1459" s="928" t="s">
        <v>3658</v>
      </c>
      <c r="C1459" s="1269"/>
      <c r="D1459" s="954" t="s">
        <v>3821</v>
      </c>
      <c r="E1459" s="1270"/>
      <c r="F1459" s="1271"/>
      <c r="G1459" s="1271"/>
      <c r="H1459" s="1271"/>
      <c r="I1459" s="1272"/>
      <c r="J1459" s="955"/>
      <c r="K1459" s="902"/>
      <c r="L1459" s="923"/>
      <c r="M1459" s="902"/>
      <c r="N1459" s="900" t="s">
        <v>2297</v>
      </c>
    </row>
    <row r="1460" spans="1:14" s="910" customFormat="1" ht="15.75" hidden="1">
      <c r="A1460" s="896"/>
      <c r="B1460" s="902" t="s">
        <v>3743</v>
      </c>
      <c r="C1460" s="897">
        <v>1</v>
      </c>
      <c r="D1460" s="1263" t="s">
        <v>273</v>
      </c>
      <c r="E1460" s="919">
        <v>2</v>
      </c>
      <c r="F1460" s="920">
        <v>13.54</v>
      </c>
      <c r="G1460" s="920">
        <v>0</v>
      </c>
      <c r="H1460" s="920">
        <v>3.5</v>
      </c>
      <c r="I1460" s="1266">
        <f t="shared" ref="I1460:I1461" si="147">ROUND(IF(AND(F1460:H1460),C1460*E1460*F1460*G1460*H1460,IF(AND(F1460,G1460),C1460*E1460*F1460*G1460,IF(AND(F1460,H1460),C1460*E1460*F1460*H1460,IF(AND(G1460,H1460),C1460*E1460*G1460*H1460,IF(F1460,C1460*E1460*F1460,IF(G1460,C1460*E1460*G1460,IF(H1460,C1460*E1460*H1460,C1460*E1460))))))),2)</f>
        <v>94.78</v>
      </c>
      <c r="J1460" s="955" t="s">
        <v>102</v>
      </c>
      <c r="K1460" s="902"/>
      <c r="L1460" s="923"/>
      <c r="M1460" s="902"/>
      <c r="N1460" s="900" t="s">
        <v>2297</v>
      </c>
    </row>
    <row r="1461" spans="1:14" s="910" customFormat="1" ht="15.75" hidden="1">
      <c r="A1461" s="896"/>
      <c r="B1461" s="902" t="s">
        <v>3073</v>
      </c>
      <c r="C1461" s="897">
        <v>1</v>
      </c>
      <c r="D1461" s="1263" t="s">
        <v>273</v>
      </c>
      <c r="E1461" s="919">
        <v>2</v>
      </c>
      <c r="F1461" s="920">
        <v>6.81</v>
      </c>
      <c r="G1461" s="920">
        <v>0</v>
      </c>
      <c r="H1461" s="920">
        <v>3.5</v>
      </c>
      <c r="I1461" s="1266">
        <f t="shared" si="147"/>
        <v>47.67</v>
      </c>
      <c r="J1461" s="955" t="s">
        <v>102</v>
      </c>
      <c r="K1461" s="902"/>
      <c r="L1461" s="923"/>
      <c r="M1461" s="902"/>
      <c r="N1461" s="900" t="s">
        <v>2297</v>
      </c>
    </row>
    <row r="1462" spans="1:14" s="910" customFormat="1" ht="15.75" hidden="1">
      <c r="A1462" s="896"/>
      <c r="B1462" s="956"/>
      <c r="C1462" s="897"/>
      <c r="D1462" s="1263"/>
      <c r="E1462" s="919"/>
      <c r="F1462" s="920"/>
      <c r="G1462" s="920"/>
      <c r="H1462" s="920"/>
      <c r="I1462" s="1266"/>
      <c r="J1462" s="955"/>
      <c r="K1462" s="902"/>
      <c r="L1462" s="923"/>
      <c r="M1462" s="902"/>
      <c r="N1462" s="900" t="s">
        <v>2297</v>
      </c>
    </row>
    <row r="1463" spans="1:14" ht="15.75" hidden="1">
      <c r="A1463" s="896"/>
      <c r="B1463" s="902"/>
      <c r="C1463" s="917"/>
      <c r="D1463" s="918"/>
      <c r="E1463" s="919"/>
      <c r="F1463" s="920"/>
      <c r="G1463" s="921"/>
      <c r="H1463" s="896"/>
      <c r="I1463" s="916"/>
      <c r="J1463" s="955" t="s">
        <v>102</v>
      </c>
      <c r="K1463" s="922">
        <f>data!E1449</f>
        <v>357.58</v>
      </c>
      <c r="L1463" s="923" t="s">
        <v>2297</v>
      </c>
      <c r="M1463" s="924">
        <f>ROUND(I1463*K1463,0)</f>
        <v>0</v>
      </c>
      <c r="N1463" s="900" t="s">
        <v>2297</v>
      </c>
    </row>
    <row r="1464" spans="1:14" ht="71.25" hidden="1" customHeight="1">
      <c r="A1464" s="896">
        <v>27</v>
      </c>
      <c r="B1464" s="1609" t="s">
        <v>316</v>
      </c>
      <c r="C1464" s="1609"/>
      <c r="D1464" s="1609"/>
      <c r="E1464" s="1609"/>
      <c r="F1464" s="1609"/>
      <c r="G1464" s="1609"/>
      <c r="H1464" s="1609"/>
      <c r="I1464" s="897"/>
      <c r="J1464" s="898"/>
      <c r="K1464" s="896"/>
      <c r="L1464" s="923"/>
      <c r="M1464" s="899"/>
      <c r="N1464" s="900" t="s">
        <v>2308</v>
      </c>
    </row>
    <row r="1465" spans="1:14" s="910" customFormat="1" ht="15.75" hidden="1">
      <c r="A1465" s="896"/>
      <c r="B1465" s="902" t="s">
        <v>3526</v>
      </c>
      <c r="C1465" s="897"/>
      <c r="D1465" s="1263"/>
      <c r="E1465" s="919"/>
      <c r="F1465" s="920"/>
      <c r="G1465" s="920"/>
      <c r="H1465" s="920"/>
      <c r="I1465" s="1264"/>
      <c r="J1465" s="955"/>
      <c r="K1465" s="902"/>
      <c r="L1465" s="923"/>
      <c r="M1465" s="902"/>
      <c r="N1465" s="900" t="s">
        <v>2308</v>
      </c>
    </row>
    <row r="1466" spans="1:14" s="910" customFormat="1" ht="15.75" hidden="1">
      <c r="A1466" s="896"/>
      <c r="B1466" s="902" t="s">
        <v>2503</v>
      </c>
      <c r="C1466" s="897">
        <v>1</v>
      </c>
      <c r="D1466" s="1263" t="s">
        <v>273</v>
      </c>
      <c r="E1466" s="919">
        <v>1</v>
      </c>
      <c r="F1466" s="920">
        <v>13.54</v>
      </c>
      <c r="G1466" s="920">
        <v>0</v>
      </c>
      <c r="H1466" s="920">
        <v>3.2</v>
      </c>
      <c r="I1466" s="1266">
        <f>ROUND(IF(AND(F1466:H1466),C1466*E1466*F1466*G1466*H1466,IF(AND(F1466,G1466),C1466*E1466*F1466*G1466,IF(AND(F1466,H1466),C1466*E1466*F1466*H1466,IF(AND(G1466,H1466),C1466*E1466*G1466*H1466,IF(F1466,C1466*E1466*F1466,IF(G1466,C1466*E1466*G1466,IF(H1466,C1466*E1466*H1466,C1466*E1466))))))),2)</f>
        <v>43.33</v>
      </c>
      <c r="J1466" s="955" t="s">
        <v>102</v>
      </c>
      <c r="K1466" s="902"/>
      <c r="L1466" s="923"/>
      <c r="M1466" s="902"/>
      <c r="N1466" s="900" t="s">
        <v>2308</v>
      </c>
    </row>
    <row r="1467" spans="1:14" s="910" customFormat="1" ht="15.75" hidden="1">
      <c r="A1467" s="896"/>
      <c r="B1467" s="902" t="s">
        <v>1537</v>
      </c>
      <c r="C1467" s="897">
        <v>1</v>
      </c>
      <c r="D1467" s="1263" t="s">
        <v>273</v>
      </c>
      <c r="E1467" s="919">
        <v>1</v>
      </c>
      <c r="F1467" s="920">
        <v>6.45</v>
      </c>
      <c r="G1467" s="920">
        <v>0</v>
      </c>
      <c r="H1467" s="920">
        <v>3.2</v>
      </c>
      <c r="I1467" s="1266">
        <f>ROUND(IF(AND(F1467:H1467),C1467*E1467*F1467*G1467*H1467,IF(AND(F1467,G1467),C1467*E1467*F1467*G1467,IF(AND(F1467,H1467),C1467*E1467*F1467*H1467,IF(AND(G1467,H1467),C1467*E1467*G1467*H1467,IF(F1467,C1467*E1467*F1467,IF(G1467,C1467*E1467*G1467,IF(H1467,C1467*E1467*H1467,C1467*E1467))))))),2)</f>
        <v>20.64</v>
      </c>
      <c r="J1467" s="955" t="s">
        <v>102</v>
      </c>
      <c r="K1467" s="902"/>
      <c r="L1467" s="923"/>
      <c r="M1467" s="902"/>
      <c r="N1467" s="900" t="s">
        <v>2308</v>
      </c>
    </row>
    <row r="1468" spans="1:14" s="910" customFormat="1" ht="15.75" hidden="1">
      <c r="A1468" s="896"/>
      <c r="B1468" s="902" t="s">
        <v>2504</v>
      </c>
      <c r="C1468" s="897">
        <v>1</v>
      </c>
      <c r="D1468" s="1263" t="s">
        <v>273</v>
      </c>
      <c r="E1468" s="919">
        <v>1</v>
      </c>
      <c r="F1468" s="920">
        <v>6.45</v>
      </c>
      <c r="G1468" s="920">
        <v>0</v>
      </c>
      <c r="H1468" s="920">
        <v>3.2</v>
      </c>
      <c r="I1468" s="1266">
        <f>ROUND(IF(AND(F1468:H1468),C1468*E1468*F1468*G1468*H1468,IF(AND(F1468,G1468),C1468*E1468*F1468*G1468,IF(AND(F1468,H1468),C1468*E1468*F1468*H1468,IF(AND(G1468,H1468),C1468*E1468*G1468*H1468,IF(F1468,C1468*E1468*F1468,IF(G1468,C1468*E1468*G1468,IF(H1468,C1468*E1468*H1468,C1468*E1468))))))),2)</f>
        <v>20.64</v>
      </c>
      <c r="J1468" s="955" t="s">
        <v>102</v>
      </c>
      <c r="K1468" s="902"/>
      <c r="L1468" s="923"/>
      <c r="M1468" s="902"/>
      <c r="N1468" s="900" t="s">
        <v>2308</v>
      </c>
    </row>
    <row r="1469" spans="1:14" s="910" customFormat="1" ht="15.75" hidden="1">
      <c r="A1469" s="896"/>
      <c r="B1469" s="902" t="s">
        <v>1544</v>
      </c>
      <c r="C1469" s="897">
        <v>1</v>
      </c>
      <c r="D1469" s="1263" t="s">
        <v>273</v>
      </c>
      <c r="E1469" s="919">
        <v>1</v>
      </c>
      <c r="F1469" s="920">
        <v>13.54</v>
      </c>
      <c r="G1469" s="920">
        <v>0</v>
      </c>
      <c r="H1469" s="920">
        <v>3.5</v>
      </c>
      <c r="I1469" s="1266">
        <f>ROUND(IF(AND(F1469:H1469),C1469*E1469*F1469*G1469*H1469,IF(AND(F1469,G1469),C1469*E1469*F1469*G1469,IF(AND(F1469,H1469),C1469*E1469*F1469*H1469,IF(AND(G1469,H1469),C1469*E1469*G1469*H1469,IF(F1469,C1469*E1469*F1469,IF(G1469,C1469*E1469*G1469,IF(H1469,C1469*E1469*H1469,C1469*E1469))))))),2)</f>
        <v>47.39</v>
      </c>
      <c r="J1469" s="955" t="s">
        <v>102</v>
      </c>
      <c r="K1469" s="902"/>
      <c r="L1469" s="923"/>
      <c r="M1469" s="902"/>
      <c r="N1469" s="900" t="s">
        <v>2308</v>
      </c>
    </row>
    <row r="1470" spans="1:14" s="910" customFormat="1" ht="15.75" hidden="1">
      <c r="A1470" s="896"/>
      <c r="B1470" s="902" t="s">
        <v>2354</v>
      </c>
      <c r="C1470" s="897">
        <v>1</v>
      </c>
      <c r="D1470" s="1263" t="s">
        <v>273</v>
      </c>
      <c r="E1470" s="919">
        <v>8</v>
      </c>
      <c r="F1470" s="920">
        <v>1.23</v>
      </c>
      <c r="G1470" s="920">
        <v>0</v>
      </c>
      <c r="H1470" s="920">
        <v>1.3</v>
      </c>
      <c r="I1470" s="1266">
        <f>-ROUND(IF(AND(F1470:H1470),C1470*E1470*F1470*G1470*H1470,IF(AND(F1470,G1470),C1470*E1470*F1470*G1470,IF(AND(F1470,H1470),C1470*E1470*F1470*H1470,IF(AND(G1470,H1470),C1470*E1470*G1470*H1470,IF(F1470,C1470*E1470*F1470,IF(G1470,C1470*E1470*G1470,IF(H1470,C1470*E1470*H1470,C1470*E1470))))))),2)</f>
        <v>-12.79</v>
      </c>
      <c r="J1470" s="955" t="s">
        <v>102</v>
      </c>
      <c r="K1470" s="902"/>
      <c r="L1470" s="923"/>
      <c r="M1470" s="902"/>
      <c r="N1470" s="900" t="s">
        <v>2308</v>
      </c>
    </row>
    <row r="1471" spans="1:14" s="910" customFormat="1" ht="15.75" hidden="1">
      <c r="A1471" s="896"/>
      <c r="B1471" s="902" t="s">
        <v>579</v>
      </c>
      <c r="C1471" s="897">
        <v>1</v>
      </c>
      <c r="D1471" s="1263" t="s">
        <v>273</v>
      </c>
      <c r="E1471" s="919">
        <v>1</v>
      </c>
      <c r="F1471" s="920">
        <v>1.2</v>
      </c>
      <c r="G1471" s="920">
        <v>0</v>
      </c>
      <c r="H1471" s="920">
        <v>2.13</v>
      </c>
      <c r="I1471" s="1266">
        <f>-ROUND(IF(AND(F1471:H1471),C1471*E1471*F1471*G1471*H1471,IF(AND(F1471,G1471),C1471*E1471*F1471*G1471,IF(AND(F1471,H1471),C1471*E1471*F1471*H1471,IF(AND(G1471,H1471),C1471*E1471*G1471*H1471,IF(F1471,C1471*E1471*F1471,IF(G1471,C1471*E1471*G1471,IF(H1471,C1471*E1471*H1471,C1471*E1471))))))),2)</f>
        <v>-2.56</v>
      </c>
      <c r="J1471" s="955" t="s">
        <v>102</v>
      </c>
      <c r="K1471" s="902"/>
      <c r="L1471" s="923"/>
      <c r="M1471" s="902"/>
      <c r="N1471" s="900" t="s">
        <v>2308</v>
      </c>
    </row>
    <row r="1472" spans="1:14" s="910" customFormat="1" ht="15.75" hidden="1">
      <c r="A1472" s="896"/>
      <c r="B1472" s="902"/>
      <c r="C1472" s="897">
        <v>1</v>
      </c>
      <c r="D1472" s="1263" t="s">
        <v>273</v>
      </c>
      <c r="E1472" s="919">
        <v>1</v>
      </c>
      <c r="F1472" s="920">
        <v>0.9</v>
      </c>
      <c r="G1472" s="920">
        <v>0</v>
      </c>
      <c r="H1472" s="920">
        <v>2.13</v>
      </c>
      <c r="I1472" s="1266">
        <f>-ROUND(IF(AND(F1472:H1472),C1472*E1472*F1472*G1472*H1472,IF(AND(F1472,G1472),C1472*E1472*F1472*G1472,IF(AND(F1472,H1472),C1472*E1472*F1472*H1472,IF(AND(G1472,H1472),C1472*E1472*G1472*H1472,IF(F1472,C1472*E1472*F1472,IF(G1472,C1472*E1472*G1472,IF(H1472,C1472*E1472*H1472,C1472*E1472))))))),2)</f>
        <v>-1.92</v>
      </c>
      <c r="J1472" s="955" t="s">
        <v>102</v>
      </c>
      <c r="K1472" s="902"/>
      <c r="L1472" s="923"/>
      <c r="M1472" s="902"/>
      <c r="N1472" s="900" t="s">
        <v>2308</v>
      </c>
    </row>
    <row r="1473" spans="1:14" s="910" customFormat="1" ht="15.75" hidden="1">
      <c r="A1473" s="896"/>
      <c r="B1473" s="902" t="s">
        <v>2357</v>
      </c>
      <c r="C1473" s="897">
        <v>1</v>
      </c>
      <c r="D1473" s="1263" t="s">
        <v>273</v>
      </c>
      <c r="E1473" s="919">
        <v>1</v>
      </c>
      <c r="F1473" s="920">
        <v>0.8</v>
      </c>
      <c r="G1473" s="920">
        <v>0</v>
      </c>
      <c r="H1473" s="920">
        <v>2.12</v>
      </c>
      <c r="I1473" s="1266">
        <f>-ROUND(IF(AND(F1473:H1473),C1473*E1473*F1473*G1473*H1473,IF(AND(F1473,G1473),C1473*E1473*F1473*G1473,IF(AND(F1473,H1473),C1473*E1473*F1473*H1473,IF(AND(G1473,H1473),C1473*E1473*G1473*H1473,IF(F1473,C1473*E1473*F1473,IF(G1473,C1473*E1473*G1473,IF(H1473,C1473*E1473*H1473,C1473*E1473))))))),2)</f>
        <v>-1.7</v>
      </c>
      <c r="J1473" s="955" t="s">
        <v>102</v>
      </c>
      <c r="K1473" s="902"/>
      <c r="L1473" s="923"/>
      <c r="M1473" s="902"/>
      <c r="N1473" s="900" t="s">
        <v>2308</v>
      </c>
    </row>
    <row r="1474" spans="1:14" s="910" customFormat="1" ht="15.75" hidden="1">
      <c r="A1474" s="896"/>
      <c r="B1474" s="902" t="s">
        <v>1490</v>
      </c>
      <c r="C1474" s="897">
        <v>1</v>
      </c>
      <c r="D1474" s="1263" t="s">
        <v>273</v>
      </c>
      <c r="E1474" s="919">
        <v>2</v>
      </c>
      <c r="F1474" s="920">
        <v>23.4</v>
      </c>
      <c r="G1474" s="920">
        <v>0</v>
      </c>
      <c r="H1474" s="920">
        <v>0.75</v>
      </c>
      <c r="I1474" s="1266">
        <f t="shared" ref="I1474:I1480" si="148">ROUND(IF(AND(F1474:H1474),C1474*E1474*F1474*G1474*H1474,IF(AND(F1474,G1474),C1474*E1474*F1474*G1474,IF(AND(F1474,H1474),C1474*E1474*F1474*H1474,IF(AND(G1474,H1474),C1474*E1474*G1474*H1474,IF(F1474,C1474*E1474*F1474,IF(G1474,C1474*E1474*G1474,IF(H1474,C1474*E1474*H1474,C1474*E1474))))))),2)</f>
        <v>35.1</v>
      </c>
      <c r="J1474" s="955" t="s">
        <v>102</v>
      </c>
      <c r="K1474" s="902"/>
      <c r="L1474" s="923"/>
      <c r="M1474" s="902"/>
      <c r="N1474" s="900" t="s">
        <v>2308</v>
      </c>
    </row>
    <row r="1475" spans="1:14" s="910" customFormat="1" ht="15.75" hidden="1">
      <c r="A1475" s="896"/>
      <c r="B1475" s="902" t="s">
        <v>2505</v>
      </c>
      <c r="C1475" s="897">
        <v>1</v>
      </c>
      <c r="D1475" s="1263" t="s">
        <v>273</v>
      </c>
      <c r="E1475" s="919">
        <v>14</v>
      </c>
      <c r="F1475" s="920">
        <v>1.7</v>
      </c>
      <c r="G1475" s="920">
        <v>0</v>
      </c>
      <c r="H1475" s="920">
        <v>0.45</v>
      </c>
      <c r="I1475" s="1266">
        <f t="shared" si="148"/>
        <v>10.71</v>
      </c>
      <c r="J1475" s="955" t="s">
        <v>102</v>
      </c>
      <c r="K1475" s="902"/>
      <c r="L1475" s="923"/>
      <c r="M1475" s="902"/>
      <c r="N1475" s="900" t="s">
        <v>2308</v>
      </c>
    </row>
    <row r="1476" spans="1:14" s="910" customFormat="1" ht="15.75" hidden="1">
      <c r="A1476" s="896"/>
      <c r="B1476" s="902" t="s">
        <v>586</v>
      </c>
      <c r="C1476" s="897">
        <v>1</v>
      </c>
      <c r="D1476" s="1263" t="s">
        <v>273</v>
      </c>
      <c r="E1476" s="919">
        <v>1</v>
      </c>
      <c r="F1476" s="920">
        <v>15.2</v>
      </c>
      <c r="G1476" s="920">
        <v>0</v>
      </c>
      <c r="H1476" s="920">
        <v>0.5</v>
      </c>
      <c r="I1476" s="1266">
        <f t="shared" si="148"/>
        <v>7.6</v>
      </c>
      <c r="J1476" s="955" t="s">
        <v>102</v>
      </c>
      <c r="K1476" s="902"/>
      <c r="L1476" s="923"/>
      <c r="M1476" s="902"/>
      <c r="N1476" s="900" t="s">
        <v>2308</v>
      </c>
    </row>
    <row r="1477" spans="1:14" s="910" customFormat="1" ht="15.75" hidden="1">
      <c r="A1477" s="896"/>
      <c r="B1477" s="902"/>
      <c r="C1477" s="897">
        <v>1</v>
      </c>
      <c r="D1477" s="1263" t="s">
        <v>273</v>
      </c>
      <c r="E1477" s="919">
        <v>1</v>
      </c>
      <c r="F1477" s="920">
        <v>5.0999999999999996</v>
      </c>
      <c r="G1477" s="920">
        <v>0</v>
      </c>
      <c r="H1477" s="920">
        <f>(0.5+0.15)/2</f>
        <v>0.32500000000000001</v>
      </c>
      <c r="I1477" s="1266">
        <f t="shared" si="148"/>
        <v>1.66</v>
      </c>
      <c r="J1477" s="955" t="s">
        <v>102</v>
      </c>
      <c r="K1477" s="902"/>
      <c r="L1477" s="923"/>
      <c r="M1477" s="902"/>
      <c r="N1477" s="900" t="s">
        <v>2308</v>
      </c>
    </row>
    <row r="1478" spans="1:14" s="910" customFormat="1" ht="15.75" hidden="1">
      <c r="A1478" s="896"/>
      <c r="B1478" s="902"/>
      <c r="C1478" s="897">
        <v>1</v>
      </c>
      <c r="D1478" s="1263" t="s">
        <v>273</v>
      </c>
      <c r="E1478" s="919">
        <v>1</v>
      </c>
      <c r="F1478" s="920">
        <v>4.55</v>
      </c>
      <c r="G1478" s="920">
        <v>0</v>
      </c>
      <c r="H1478" s="920">
        <v>0.5</v>
      </c>
      <c r="I1478" s="1266">
        <f t="shared" si="148"/>
        <v>2.2799999999999998</v>
      </c>
      <c r="J1478" s="955" t="s">
        <v>102</v>
      </c>
      <c r="K1478" s="902"/>
      <c r="L1478" s="923"/>
      <c r="M1478" s="902"/>
      <c r="N1478" s="900" t="s">
        <v>2308</v>
      </c>
    </row>
    <row r="1479" spans="1:14" s="910" customFormat="1" ht="15.75" hidden="1">
      <c r="A1479" s="896"/>
      <c r="B1479" s="902" t="s">
        <v>2506</v>
      </c>
      <c r="C1479" s="897">
        <v>2</v>
      </c>
      <c r="D1479" s="1263" t="s">
        <v>273</v>
      </c>
      <c r="E1479" s="919">
        <v>2</v>
      </c>
      <c r="F1479" s="920">
        <v>0.6</v>
      </c>
      <c r="G1479" s="920">
        <v>0</v>
      </c>
      <c r="H1479" s="920">
        <v>0.15</v>
      </c>
      <c r="I1479" s="1266">
        <f t="shared" si="148"/>
        <v>0.36</v>
      </c>
      <c r="J1479" s="955" t="s">
        <v>102</v>
      </c>
      <c r="K1479" s="902"/>
      <c r="L1479" s="923"/>
      <c r="M1479" s="902"/>
      <c r="N1479" s="900" t="s">
        <v>2308</v>
      </c>
    </row>
    <row r="1480" spans="1:14" s="910" customFormat="1" ht="15.75" hidden="1">
      <c r="A1480" s="896"/>
      <c r="B1480" s="902"/>
      <c r="C1480" s="897">
        <v>2</v>
      </c>
      <c r="D1480" s="1263" t="s">
        <v>273</v>
      </c>
      <c r="E1480" s="919">
        <v>2</v>
      </c>
      <c r="F1480" s="920">
        <v>0.3</v>
      </c>
      <c r="G1480" s="920">
        <v>0</v>
      </c>
      <c r="H1480" s="920">
        <v>0.15</v>
      </c>
      <c r="I1480" s="1266">
        <f t="shared" si="148"/>
        <v>0.18</v>
      </c>
      <c r="J1480" s="955" t="s">
        <v>102</v>
      </c>
      <c r="K1480" s="902"/>
      <c r="L1480" s="923"/>
      <c r="M1480" s="902"/>
      <c r="N1480" s="900" t="s">
        <v>2308</v>
      </c>
    </row>
    <row r="1481" spans="1:14" s="910" customFormat="1" ht="15.75" hidden="1">
      <c r="A1481" s="896"/>
      <c r="B1481" s="956"/>
      <c r="C1481" s="957"/>
      <c r="D1481" s="958"/>
      <c r="E1481" s="1268"/>
      <c r="F1481" s="960"/>
      <c r="G1481" s="960"/>
      <c r="H1481" s="960"/>
      <c r="I1481" s="916"/>
      <c r="J1481" s="955"/>
      <c r="K1481" s="902"/>
      <c r="L1481" s="923"/>
      <c r="M1481" s="902"/>
      <c r="N1481" s="900" t="s">
        <v>2308</v>
      </c>
    </row>
    <row r="1482" spans="1:14" ht="15.75" hidden="1">
      <c r="A1482" s="896"/>
      <c r="B1482" s="902"/>
      <c r="C1482" s="917"/>
      <c r="D1482" s="918"/>
      <c r="E1482" s="919"/>
      <c r="F1482" s="920"/>
      <c r="G1482" s="921"/>
      <c r="H1482" s="896"/>
      <c r="I1482" s="916"/>
      <c r="J1482" s="955" t="s">
        <v>102</v>
      </c>
      <c r="K1482" s="922">
        <f>data!E2366</f>
        <v>380.06</v>
      </c>
      <c r="L1482" s="923" t="s">
        <v>2308</v>
      </c>
      <c r="M1482" s="924">
        <f>ROUND(I1482*K1482,0)</f>
        <v>0</v>
      </c>
      <c r="N1482" s="900" t="s">
        <v>2308</v>
      </c>
    </row>
    <row r="1483" spans="1:14" ht="71.25" hidden="1" customHeight="1">
      <c r="A1483" s="896">
        <v>20</v>
      </c>
      <c r="B1483" s="1609" t="s">
        <v>316</v>
      </c>
      <c r="C1483" s="1609"/>
      <c r="D1483" s="1609"/>
      <c r="E1483" s="1609"/>
      <c r="F1483" s="1609"/>
      <c r="G1483" s="1609"/>
      <c r="H1483" s="1609"/>
      <c r="I1483" s="897"/>
      <c r="J1483" s="898"/>
      <c r="K1483" s="896"/>
      <c r="L1483" s="923"/>
      <c r="M1483" s="899"/>
      <c r="N1483" s="900" t="s">
        <v>2309</v>
      </c>
    </row>
    <row r="1484" spans="1:14" s="910" customFormat="1" ht="15.75" hidden="1">
      <c r="A1484" s="896"/>
      <c r="B1484" s="902" t="s">
        <v>3531</v>
      </c>
      <c r="C1484" s="897"/>
      <c r="D1484" s="1280" t="s">
        <v>3471</v>
      </c>
      <c r="E1484" s="919"/>
      <c r="F1484" s="920"/>
      <c r="G1484" s="920"/>
      <c r="H1484" s="920"/>
      <c r="I1484" s="1264"/>
      <c r="J1484" s="955"/>
      <c r="K1484" s="902"/>
      <c r="L1484" s="923"/>
      <c r="M1484" s="902"/>
      <c r="N1484" s="900" t="s">
        <v>2309</v>
      </c>
    </row>
    <row r="1485" spans="1:14" s="910" customFormat="1" ht="15.75" hidden="1">
      <c r="A1485" s="896"/>
      <c r="B1485" s="902" t="s">
        <v>3451</v>
      </c>
      <c r="C1485" s="897">
        <v>1</v>
      </c>
      <c r="D1485" s="1263" t="s">
        <v>273</v>
      </c>
      <c r="E1485" s="919">
        <v>1</v>
      </c>
      <c r="F1485" s="920">
        <v>13.6</v>
      </c>
      <c r="G1485" s="920">
        <v>0</v>
      </c>
      <c r="H1485" s="920">
        <v>3.3</v>
      </c>
      <c r="I1485" s="1266">
        <f t="shared" ref="I1485" si="149">ROUND(IF(AND(F1485:H1485),C1485*E1485*F1485*G1485*H1485,IF(AND(F1485,G1485),C1485*E1485*F1485*G1485,IF(AND(F1485,H1485),C1485*E1485*F1485*H1485,IF(AND(G1485,H1485),C1485*E1485*G1485*H1485,IF(F1485,C1485*E1485*F1485,IF(G1485,C1485*E1485*G1485,IF(H1485,C1485*E1485*H1485,C1485*E1485))))))),2)</f>
        <v>44.88</v>
      </c>
      <c r="J1485" s="955" t="s">
        <v>102</v>
      </c>
      <c r="K1485" s="902"/>
      <c r="L1485" s="923"/>
      <c r="M1485" s="902"/>
      <c r="N1485" s="900" t="s">
        <v>2309</v>
      </c>
    </row>
    <row r="1486" spans="1:14" s="910" customFormat="1" ht="15.75" hidden="1">
      <c r="A1486" s="896"/>
      <c r="B1486" s="902" t="s">
        <v>579</v>
      </c>
      <c r="C1486" s="897">
        <v>1</v>
      </c>
      <c r="D1486" s="1263" t="s">
        <v>273</v>
      </c>
      <c r="E1486" s="919">
        <v>1</v>
      </c>
      <c r="F1486" s="920">
        <v>1.07</v>
      </c>
      <c r="G1486" s="920">
        <v>0</v>
      </c>
      <c r="H1486" s="920">
        <v>2.1</v>
      </c>
      <c r="I1486" s="1266">
        <f>-ROUND(IF(AND(F1486:H1486),C1486*E1486*F1486*G1486*H1486,IF(AND(F1486,G1486),C1486*E1486*F1486*G1486,IF(AND(F1486,H1486),C1486*E1486*F1486*H1486,IF(AND(G1486,H1486),C1486*E1486*G1486*H1486,IF(F1486,C1486*E1486*F1486,IF(G1486,C1486*E1486*G1486,IF(H1486,C1486*E1486*H1486,C1486*E1486))))))),2)</f>
        <v>-2.25</v>
      </c>
      <c r="J1486" s="955" t="s">
        <v>102</v>
      </c>
      <c r="K1486" s="902"/>
      <c r="L1486" s="923"/>
      <c r="M1486" s="902"/>
      <c r="N1486" s="900" t="s">
        <v>2309</v>
      </c>
    </row>
    <row r="1487" spans="1:14" s="910" customFormat="1" ht="15.75" hidden="1">
      <c r="A1487" s="896"/>
      <c r="B1487" s="902" t="s">
        <v>2354</v>
      </c>
      <c r="C1487" s="897">
        <v>1</v>
      </c>
      <c r="D1487" s="1263" t="s">
        <v>273</v>
      </c>
      <c r="E1487" s="919">
        <v>2</v>
      </c>
      <c r="F1487" s="920">
        <v>1.2</v>
      </c>
      <c r="G1487" s="920">
        <v>0</v>
      </c>
      <c r="H1487" s="920">
        <v>1.2</v>
      </c>
      <c r="I1487" s="1266">
        <f>-ROUND(IF(AND(F1487:H1487),C1487*E1487*F1487*G1487*H1487,IF(AND(F1487,G1487),C1487*E1487*F1487*G1487,IF(AND(F1487,H1487),C1487*E1487*F1487*H1487,IF(AND(G1487,H1487),C1487*E1487*G1487*H1487,IF(F1487,C1487*E1487*F1487,IF(G1487,C1487*E1487*G1487,IF(H1487,C1487*E1487*H1487,C1487*E1487))))))),2)</f>
        <v>-2.88</v>
      </c>
      <c r="J1487" s="955" t="s">
        <v>102</v>
      </c>
      <c r="K1487" s="902"/>
      <c r="L1487" s="923"/>
      <c r="M1487" s="902"/>
      <c r="N1487" s="900" t="s">
        <v>2309</v>
      </c>
    </row>
    <row r="1488" spans="1:14" s="910" customFormat="1" ht="15.75" hidden="1">
      <c r="A1488" s="896"/>
      <c r="B1488" s="902" t="s">
        <v>581</v>
      </c>
      <c r="C1488" s="897">
        <v>1</v>
      </c>
      <c r="D1488" s="1263" t="s">
        <v>273</v>
      </c>
      <c r="E1488" s="919">
        <v>4</v>
      </c>
      <c r="F1488" s="920">
        <v>0.6</v>
      </c>
      <c r="G1488" s="920">
        <v>0</v>
      </c>
      <c r="H1488" s="920">
        <v>0.3</v>
      </c>
      <c r="I1488" s="1266">
        <f>-ROUND(IF(AND(F1488:H1488),C1488*E1488*F1488*G1488*H1488,IF(AND(F1488,G1488),C1488*E1488*F1488*G1488,IF(AND(F1488,H1488),C1488*E1488*F1488*H1488,IF(AND(G1488,H1488),C1488*E1488*G1488*H1488,IF(F1488,C1488*E1488*F1488,IF(G1488,C1488*E1488*G1488,IF(H1488,C1488*E1488*H1488,C1488*E1488))))))),2)</f>
        <v>-0.72</v>
      </c>
      <c r="J1488" s="955" t="s">
        <v>102</v>
      </c>
      <c r="K1488" s="902"/>
      <c r="L1488" s="923"/>
      <c r="M1488" s="902"/>
      <c r="N1488" s="900" t="s">
        <v>2309</v>
      </c>
    </row>
    <row r="1489" spans="1:14" s="910" customFormat="1" ht="15.75" hidden="1">
      <c r="A1489" s="896"/>
      <c r="B1489" s="902" t="s">
        <v>3452</v>
      </c>
      <c r="C1489" s="897">
        <v>1</v>
      </c>
      <c r="D1489" s="1263" t="s">
        <v>273</v>
      </c>
      <c r="E1489" s="919">
        <v>1</v>
      </c>
      <c r="F1489" s="920">
        <v>13.6</v>
      </c>
      <c r="G1489" s="920">
        <v>0</v>
      </c>
      <c r="H1489" s="920">
        <v>4.2</v>
      </c>
      <c r="I1489" s="1266">
        <f t="shared" ref="I1489:I1502" si="150">ROUND(IF(AND(F1489:H1489),C1489*E1489*F1489*G1489*H1489,IF(AND(F1489,G1489),C1489*E1489*F1489*G1489,IF(AND(F1489,H1489),C1489*E1489*F1489*H1489,IF(AND(G1489,H1489),C1489*E1489*G1489*H1489,IF(F1489,C1489*E1489*F1489,IF(G1489,C1489*E1489*G1489,IF(H1489,C1489*E1489*H1489,C1489*E1489))))))),2)</f>
        <v>57.12</v>
      </c>
      <c r="J1489" s="955" t="s">
        <v>102</v>
      </c>
      <c r="K1489" s="902"/>
      <c r="L1489" s="923"/>
      <c r="M1489" s="902"/>
      <c r="N1489" s="900" t="s">
        <v>2309</v>
      </c>
    </row>
    <row r="1490" spans="1:14" s="910" customFormat="1" ht="15.75" hidden="1">
      <c r="A1490" s="896"/>
      <c r="B1490" s="902" t="s">
        <v>2354</v>
      </c>
      <c r="C1490" s="897">
        <v>1</v>
      </c>
      <c r="D1490" s="1263" t="s">
        <v>273</v>
      </c>
      <c r="E1490" s="919">
        <v>3</v>
      </c>
      <c r="F1490" s="920">
        <v>1.2</v>
      </c>
      <c r="G1490" s="920">
        <v>0</v>
      </c>
      <c r="H1490" s="920">
        <v>1.2</v>
      </c>
      <c r="I1490" s="1266">
        <f>-ROUND(IF(AND(F1490:H1490),C1490*E1490*F1490*G1490*H1490,IF(AND(F1490,G1490),C1490*E1490*F1490*G1490,IF(AND(F1490,H1490),C1490*E1490*F1490*H1490,IF(AND(G1490,H1490),C1490*E1490*G1490*H1490,IF(F1490,C1490*E1490*F1490,IF(G1490,C1490*E1490*G1490,IF(H1490,C1490*E1490*H1490,C1490*E1490))))))),2)</f>
        <v>-4.32</v>
      </c>
      <c r="J1490" s="955" t="s">
        <v>102</v>
      </c>
      <c r="K1490" s="902"/>
      <c r="L1490" s="923"/>
      <c r="M1490" s="902"/>
      <c r="N1490" s="900" t="s">
        <v>2309</v>
      </c>
    </row>
    <row r="1491" spans="1:14" s="910" customFormat="1" ht="15.75" hidden="1">
      <c r="A1491" s="896"/>
      <c r="B1491" s="902" t="s">
        <v>581</v>
      </c>
      <c r="C1491" s="897">
        <v>1</v>
      </c>
      <c r="D1491" s="1263" t="s">
        <v>273</v>
      </c>
      <c r="E1491" s="919">
        <v>6</v>
      </c>
      <c r="F1491" s="920">
        <v>0.6</v>
      </c>
      <c r="G1491" s="920">
        <v>0</v>
      </c>
      <c r="H1491" s="920">
        <v>0.3</v>
      </c>
      <c r="I1491" s="1266">
        <f>-ROUND(IF(AND(F1491:H1491),C1491*E1491*F1491*G1491*H1491,IF(AND(F1491,G1491),C1491*E1491*F1491*G1491,IF(AND(F1491,H1491),C1491*E1491*F1491*H1491,IF(AND(G1491,H1491),C1491*E1491*G1491*H1491,IF(F1491,C1491*E1491*F1491,IF(G1491,C1491*E1491*G1491,IF(H1491,C1491*E1491*H1491,C1491*E1491))))))),2)</f>
        <v>-1.08</v>
      </c>
      <c r="J1491" s="955" t="s">
        <v>102</v>
      </c>
      <c r="K1491" s="902"/>
      <c r="L1491" s="923"/>
      <c r="M1491" s="902"/>
      <c r="N1491" s="900" t="s">
        <v>2309</v>
      </c>
    </row>
    <row r="1492" spans="1:14" s="910" customFormat="1" ht="15.75" hidden="1">
      <c r="A1492" s="896"/>
      <c r="B1492" s="902" t="s">
        <v>3472</v>
      </c>
      <c r="C1492" s="897">
        <v>1</v>
      </c>
      <c r="D1492" s="1263" t="s">
        <v>273</v>
      </c>
      <c r="E1492" s="919">
        <v>1</v>
      </c>
      <c r="F1492" s="920">
        <v>0.8</v>
      </c>
      <c r="G1492" s="920">
        <v>0</v>
      </c>
      <c r="H1492" s="920">
        <v>2.1</v>
      </c>
      <c r="I1492" s="1266">
        <f>-ROUND(IF(AND(F1492:H1492),C1492*E1492*F1492*G1492*H1492,IF(AND(F1492,G1492),C1492*E1492*F1492*G1492,IF(AND(F1492,H1492),C1492*E1492*F1492*H1492,IF(AND(G1492,H1492),C1492*E1492*G1492*H1492,IF(F1492,C1492*E1492*F1492,IF(G1492,C1492*E1492*G1492,IF(H1492,C1492*E1492*H1492,C1492*E1492))))))),2)</f>
        <v>-1.68</v>
      </c>
      <c r="J1492" s="955" t="s">
        <v>102</v>
      </c>
      <c r="K1492" s="902"/>
      <c r="L1492" s="923"/>
      <c r="M1492" s="902"/>
      <c r="N1492" s="900" t="s">
        <v>2309</v>
      </c>
    </row>
    <row r="1493" spans="1:14" s="910" customFormat="1" ht="15.75" hidden="1">
      <c r="A1493" s="896"/>
      <c r="B1493" s="902" t="s">
        <v>3453</v>
      </c>
      <c r="C1493" s="897">
        <v>1</v>
      </c>
      <c r="D1493" s="1263" t="s">
        <v>273</v>
      </c>
      <c r="E1493" s="919">
        <v>1</v>
      </c>
      <c r="F1493" s="920">
        <v>6.4</v>
      </c>
      <c r="G1493" s="920">
        <v>0</v>
      </c>
      <c r="H1493" s="920">
        <v>3.3</v>
      </c>
      <c r="I1493" s="1266">
        <f t="shared" si="150"/>
        <v>21.12</v>
      </c>
      <c r="J1493" s="955" t="s">
        <v>102</v>
      </c>
      <c r="K1493" s="902"/>
      <c r="L1493" s="923"/>
      <c r="M1493" s="902"/>
      <c r="N1493" s="900" t="s">
        <v>2309</v>
      </c>
    </row>
    <row r="1494" spans="1:14" s="910" customFormat="1" ht="15.75" hidden="1">
      <c r="A1494" s="896"/>
      <c r="B1494" s="902" t="s">
        <v>2354</v>
      </c>
      <c r="C1494" s="897">
        <v>1</v>
      </c>
      <c r="D1494" s="1263" t="s">
        <v>273</v>
      </c>
      <c r="E1494" s="919">
        <v>1</v>
      </c>
      <c r="F1494" s="920">
        <v>1.2</v>
      </c>
      <c r="G1494" s="920">
        <v>0</v>
      </c>
      <c r="H1494" s="920">
        <v>1.2</v>
      </c>
      <c r="I1494" s="1266">
        <f>-ROUND(IF(AND(F1494:H1494),C1494*E1494*F1494*G1494*H1494,IF(AND(F1494,G1494),C1494*E1494*F1494*G1494,IF(AND(F1494,H1494),C1494*E1494*F1494*H1494,IF(AND(G1494,H1494),C1494*E1494*G1494*H1494,IF(F1494,C1494*E1494*F1494,IF(G1494,C1494*E1494*G1494,IF(H1494,C1494*E1494*H1494,C1494*E1494))))))),2)</f>
        <v>-1.44</v>
      </c>
      <c r="J1494" s="955" t="s">
        <v>102</v>
      </c>
      <c r="K1494" s="902"/>
      <c r="L1494" s="923"/>
      <c r="M1494" s="902"/>
      <c r="N1494" s="900" t="s">
        <v>2309</v>
      </c>
    </row>
    <row r="1495" spans="1:14" s="910" customFormat="1" ht="15.75" hidden="1">
      <c r="A1495" s="896"/>
      <c r="B1495" s="902" t="s">
        <v>581</v>
      </c>
      <c r="C1495" s="897">
        <v>1</v>
      </c>
      <c r="D1495" s="1263" t="s">
        <v>273</v>
      </c>
      <c r="E1495" s="919">
        <v>1</v>
      </c>
      <c r="F1495" s="920">
        <v>0.6</v>
      </c>
      <c r="G1495" s="920">
        <v>0</v>
      </c>
      <c r="H1495" s="920">
        <v>0.3</v>
      </c>
      <c r="I1495" s="1266">
        <f>-ROUND(IF(AND(F1495:H1495),C1495*E1495*F1495*G1495*H1495,IF(AND(F1495,G1495),C1495*E1495*F1495*G1495,IF(AND(F1495,H1495),C1495*E1495*F1495*H1495,IF(AND(G1495,H1495),C1495*E1495*G1495*H1495,IF(F1495,C1495*E1495*F1495,IF(G1495,C1495*E1495*G1495,IF(H1495,C1495*E1495*H1495,C1495*E1495))))))),2)</f>
        <v>-0.18</v>
      </c>
      <c r="J1495" s="955" t="s">
        <v>102</v>
      </c>
      <c r="K1495" s="902"/>
      <c r="L1495" s="923"/>
      <c r="M1495" s="902"/>
      <c r="N1495" s="900" t="s">
        <v>2309</v>
      </c>
    </row>
    <row r="1496" spans="1:14" s="910" customFormat="1" ht="15.75" hidden="1">
      <c r="A1496" s="896"/>
      <c r="B1496" s="902" t="s">
        <v>3309</v>
      </c>
      <c r="C1496" s="897">
        <v>1</v>
      </c>
      <c r="D1496" s="1263" t="s">
        <v>273</v>
      </c>
      <c r="E1496" s="919">
        <v>1</v>
      </c>
      <c r="F1496" s="920">
        <v>2.94</v>
      </c>
      <c r="G1496" s="920">
        <v>0.3</v>
      </c>
      <c r="H1496" s="920">
        <v>0</v>
      </c>
      <c r="I1496" s="1266">
        <f t="shared" si="150"/>
        <v>0.88</v>
      </c>
      <c r="J1496" s="955" t="s">
        <v>102</v>
      </c>
      <c r="K1496" s="902"/>
      <c r="L1496" s="923"/>
      <c r="M1496" s="902"/>
      <c r="N1496" s="900" t="s">
        <v>2309</v>
      </c>
    </row>
    <row r="1497" spans="1:14" s="910" customFormat="1" ht="15.75" hidden="1">
      <c r="A1497" s="896"/>
      <c r="B1497" s="902" t="s">
        <v>816</v>
      </c>
      <c r="C1497" s="897">
        <v>1</v>
      </c>
      <c r="D1497" s="1263" t="s">
        <v>273</v>
      </c>
      <c r="E1497" s="919">
        <v>1</v>
      </c>
      <c r="F1497" s="920">
        <v>6.4</v>
      </c>
      <c r="G1497" s="920">
        <v>0</v>
      </c>
      <c r="H1497" s="920">
        <v>3.3</v>
      </c>
      <c r="I1497" s="1266">
        <f t="shared" si="150"/>
        <v>21.12</v>
      </c>
      <c r="J1497" s="955" t="s">
        <v>102</v>
      </c>
      <c r="K1497" s="902"/>
      <c r="L1497" s="923"/>
      <c r="M1497" s="902"/>
      <c r="N1497" s="900" t="s">
        <v>2309</v>
      </c>
    </row>
    <row r="1498" spans="1:14" s="910" customFormat="1" ht="15.75" hidden="1">
      <c r="A1498" s="896"/>
      <c r="B1498" s="902" t="s">
        <v>2354</v>
      </c>
      <c r="C1498" s="897">
        <v>1</v>
      </c>
      <c r="D1498" s="1263" t="s">
        <v>273</v>
      </c>
      <c r="E1498" s="919">
        <v>2</v>
      </c>
      <c r="F1498" s="920">
        <v>1.2</v>
      </c>
      <c r="G1498" s="920">
        <v>0</v>
      </c>
      <c r="H1498" s="920">
        <v>1.2</v>
      </c>
      <c r="I1498" s="1266">
        <f>-ROUND(IF(AND(F1498:H1498),C1498*E1498*F1498*G1498*H1498,IF(AND(F1498,G1498),C1498*E1498*F1498*G1498,IF(AND(F1498,H1498),C1498*E1498*F1498*H1498,IF(AND(G1498,H1498),C1498*E1498*G1498*H1498,IF(F1498,C1498*E1498*F1498,IF(G1498,C1498*E1498*G1498,IF(H1498,C1498*E1498*H1498,C1498*E1498))))))),2)</f>
        <v>-2.88</v>
      </c>
      <c r="J1498" s="955" t="s">
        <v>102</v>
      </c>
      <c r="K1498" s="902"/>
      <c r="L1498" s="923"/>
      <c r="M1498" s="902"/>
      <c r="N1498" s="900" t="s">
        <v>2309</v>
      </c>
    </row>
    <row r="1499" spans="1:14" s="910" customFormat="1" ht="15.75" hidden="1">
      <c r="A1499" s="896"/>
      <c r="B1499" s="902" t="s">
        <v>581</v>
      </c>
      <c r="C1499" s="897">
        <v>1</v>
      </c>
      <c r="D1499" s="1263" t="s">
        <v>273</v>
      </c>
      <c r="E1499" s="919">
        <v>3</v>
      </c>
      <c r="F1499" s="920">
        <v>0.6</v>
      </c>
      <c r="G1499" s="920">
        <v>0</v>
      </c>
      <c r="H1499" s="920">
        <v>0.3</v>
      </c>
      <c r="I1499" s="1266">
        <f>-ROUND(IF(AND(F1499:H1499),C1499*E1499*F1499*G1499*H1499,IF(AND(F1499,G1499),C1499*E1499*F1499*G1499,IF(AND(F1499,H1499),C1499*E1499*F1499*H1499,IF(AND(G1499,H1499),C1499*E1499*G1499*H1499,IF(F1499,C1499*E1499*F1499,IF(G1499,C1499*E1499*G1499,IF(H1499,C1499*E1499*H1499,C1499*E1499))))))),2)</f>
        <v>-0.54</v>
      </c>
      <c r="J1499" s="955" t="s">
        <v>102</v>
      </c>
      <c r="K1499" s="902"/>
      <c r="L1499" s="923"/>
      <c r="M1499" s="902"/>
      <c r="N1499" s="900" t="s">
        <v>2309</v>
      </c>
    </row>
    <row r="1500" spans="1:14" s="910" customFormat="1" ht="15.75" hidden="1">
      <c r="A1500" s="896"/>
      <c r="B1500" s="902" t="s">
        <v>579</v>
      </c>
      <c r="C1500" s="897">
        <v>1</v>
      </c>
      <c r="D1500" s="1263" t="s">
        <v>273</v>
      </c>
      <c r="E1500" s="919">
        <v>1</v>
      </c>
      <c r="F1500" s="920">
        <v>1.07</v>
      </c>
      <c r="G1500" s="920">
        <v>0</v>
      </c>
      <c r="H1500" s="920">
        <v>2.1</v>
      </c>
      <c r="I1500" s="1266">
        <f>-ROUND(IF(AND(F1500:H1500),C1500*E1500*F1500*G1500*H1500,IF(AND(F1500,G1500),C1500*E1500*F1500*G1500,IF(AND(F1500,H1500),C1500*E1500*F1500*H1500,IF(AND(G1500,H1500),C1500*E1500*G1500*H1500,IF(F1500,C1500*E1500*F1500,IF(G1500,C1500*E1500*G1500,IF(H1500,C1500*E1500*H1500,C1500*E1500))))))),2)</f>
        <v>-2.25</v>
      </c>
      <c r="J1500" s="955" t="s">
        <v>102</v>
      </c>
      <c r="K1500" s="902"/>
      <c r="L1500" s="923"/>
      <c r="M1500" s="902"/>
      <c r="N1500" s="900" t="s">
        <v>2309</v>
      </c>
    </row>
    <row r="1501" spans="1:14" s="910" customFormat="1" ht="15.75" hidden="1">
      <c r="A1501" s="896"/>
      <c r="B1501" s="902" t="s">
        <v>1490</v>
      </c>
      <c r="C1501" s="897">
        <v>1</v>
      </c>
      <c r="D1501" s="1263" t="s">
        <v>273</v>
      </c>
      <c r="E1501" s="919">
        <v>2</v>
      </c>
      <c r="F1501" s="920">
        <v>38.950000000000003</v>
      </c>
      <c r="G1501" s="920">
        <v>0</v>
      </c>
      <c r="H1501" s="920">
        <v>0.75</v>
      </c>
      <c r="I1501" s="1266">
        <f t="shared" si="150"/>
        <v>58.43</v>
      </c>
      <c r="J1501" s="955" t="s">
        <v>102</v>
      </c>
      <c r="K1501" s="902"/>
      <c r="L1501" s="923"/>
      <c r="M1501" s="902"/>
      <c r="N1501" s="900" t="s">
        <v>2309</v>
      </c>
    </row>
    <row r="1502" spans="1:14" s="910" customFormat="1" ht="15.75" hidden="1">
      <c r="A1502" s="896"/>
      <c r="B1502" s="902" t="s">
        <v>3473</v>
      </c>
      <c r="C1502" s="897">
        <v>1</v>
      </c>
      <c r="D1502" s="1263" t="s">
        <v>273</v>
      </c>
      <c r="E1502" s="919">
        <v>1</v>
      </c>
      <c r="F1502" s="920">
        <v>38.950000000000003</v>
      </c>
      <c r="G1502" s="920">
        <v>0.115</v>
      </c>
      <c r="H1502" s="920">
        <v>0</v>
      </c>
      <c r="I1502" s="1266">
        <f t="shared" si="150"/>
        <v>4.4800000000000004</v>
      </c>
      <c r="J1502" s="955" t="s">
        <v>102</v>
      </c>
      <c r="K1502" s="902"/>
      <c r="L1502" s="923"/>
      <c r="M1502" s="902"/>
      <c r="N1502" s="900" t="s">
        <v>2309</v>
      </c>
    </row>
    <row r="1503" spans="1:14" s="910" customFormat="1" ht="15.75" hidden="1">
      <c r="A1503" s="896"/>
      <c r="B1503" s="956"/>
      <c r="C1503" s="957"/>
      <c r="D1503" s="958"/>
      <c r="E1503" s="1268"/>
      <c r="F1503" s="960"/>
      <c r="G1503" s="960"/>
      <c r="H1503" s="960"/>
      <c r="I1503" s="916"/>
      <c r="J1503" s="955"/>
      <c r="K1503" s="902"/>
      <c r="L1503" s="923"/>
      <c r="M1503" s="902"/>
      <c r="N1503" s="900" t="s">
        <v>2309</v>
      </c>
    </row>
    <row r="1504" spans="1:14" ht="15.75" hidden="1">
      <c r="A1504" s="896"/>
      <c r="B1504" s="902"/>
      <c r="C1504" s="917"/>
      <c r="D1504" s="918"/>
      <c r="E1504" s="919"/>
      <c r="F1504" s="920"/>
      <c r="G1504" s="921"/>
      <c r="H1504" s="896"/>
      <c r="I1504" s="916"/>
      <c r="J1504" s="955" t="s">
        <v>102</v>
      </c>
      <c r="K1504" s="922">
        <f>data!E3283</f>
        <v>404.02</v>
      </c>
      <c r="L1504" s="923" t="s">
        <v>2309</v>
      </c>
      <c r="M1504" s="924">
        <f>ROUND(I1504*K1504,0)</f>
        <v>0</v>
      </c>
      <c r="N1504" s="900" t="s">
        <v>2309</v>
      </c>
    </row>
    <row r="1505" spans="1:14" ht="92.25" hidden="1" customHeight="1">
      <c r="A1505" s="896">
        <v>22</v>
      </c>
      <c r="B1505" s="1609" t="s">
        <v>2058</v>
      </c>
      <c r="C1505" s="1609"/>
      <c r="D1505" s="1609"/>
      <c r="E1505" s="1609"/>
      <c r="F1505" s="1609"/>
      <c r="G1505" s="1609"/>
      <c r="H1505" s="1609"/>
      <c r="I1505" s="897"/>
      <c r="J1505" s="898"/>
      <c r="K1505" s="896"/>
      <c r="L1505" s="923"/>
      <c r="M1505" s="899"/>
      <c r="N1505" s="900" t="s">
        <v>2209</v>
      </c>
    </row>
    <row r="1506" spans="1:14" s="910" customFormat="1" ht="16.5" hidden="1" customHeight="1">
      <c r="A1506" s="896"/>
      <c r="B1506" s="902" t="s">
        <v>3546</v>
      </c>
      <c r="C1506" s="897"/>
      <c r="D1506" s="1280" t="s">
        <v>3249</v>
      </c>
      <c r="E1506" s="919"/>
      <c r="F1506" s="920"/>
      <c r="G1506" s="920"/>
      <c r="H1506" s="920"/>
      <c r="I1506" s="1264"/>
      <c r="J1506" s="955"/>
      <c r="K1506" s="902"/>
      <c r="L1506" s="923"/>
      <c r="M1506" s="902"/>
      <c r="N1506" s="900" t="s">
        <v>2209</v>
      </c>
    </row>
    <row r="1507" spans="1:14" s="910" customFormat="1" ht="16.5" hidden="1" customHeight="1">
      <c r="A1507" s="896"/>
      <c r="B1507" s="902" t="s">
        <v>3074</v>
      </c>
      <c r="C1507" s="897">
        <v>1</v>
      </c>
      <c r="D1507" s="1263" t="s">
        <v>273</v>
      </c>
      <c r="E1507" s="919">
        <v>1</v>
      </c>
      <c r="F1507" s="920">
        <v>8.65</v>
      </c>
      <c r="G1507" s="920">
        <v>3.2</v>
      </c>
      <c r="H1507" s="920">
        <v>7.4999999999999997E-2</v>
      </c>
      <c r="I1507" s="1266">
        <f t="shared" ref="I1507" si="151">ROUND(IF(AND(F1507:H1507),C1507*E1507*F1507*G1507*H1507,IF(AND(F1507,G1507),C1507*E1507*F1507*G1507,IF(AND(F1507,H1507),C1507*E1507*F1507*H1507,IF(AND(G1507,H1507),C1507*E1507*G1507*H1507,IF(F1507,C1507*E1507*F1507,IF(G1507,C1507*E1507*G1507,IF(H1507,C1507*E1507*H1507,C1507*E1507))))))),2)</f>
        <v>2.08</v>
      </c>
      <c r="J1507" s="955" t="s">
        <v>5</v>
      </c>
      <c r="K1507" s="902"/>
      <c r="L1507" s="923"/>
      <c r="M1507" s="902"/>
      <c r="N1507" s="900" t="s">
        <v>2209</v>
      </c>
    </row>
    <row r="1508" spans="1:14" s="910" customFormat="1" ht="16.5" hidden="1" customHeight="1">
      <c r="A1508" s="896"/>
      <c r="B1508" s="956"/>
      <c r="C1508" s="957"/>
      <c r="D1508" s="958"/>
      <c r="E1508" s="1288"/>
      <c r="F1508" s="960"/>
      <c r="G1508" s="960"/>
      <c r="H1508" s="960"/>
      <c r="I1508" s="916"/>
      <c r="J1508" s="955"/>
      <c r="K1508" s="902"/>
      <c r="L1508" s="923"/>
      <c r="M1508" s="902"/>
      <c r="N1508" s="900" t="s">
        <v>2209</v>
      </c>
    </row>
    <row r="1509" spans="1:14" ht="15.75" hidden="1">
      <c r="A1509" s="896"/>
      <c r="B1509" s="902"/>
      <c r="C1509" s="917"/>
      <c r="D1509" s="918"/>
      <c r="E1509" s="919"/>
      <c r="F1509" s="920"/>
      <c r="G1509" s="921"/>
      <c r="H1509" s="896"/>
      <c r="I1509" s="916"/>
      <c r="J1509" s="955" t="s">
        <v>5</v>
      </c>
      <c r="K1509" s="922">
        <f>data!E272</f>
        <v>4946.1699999999992</v>
      </c>
      <c r="L1509" s="923" t="s">
        <v>2209</v>
      </c>
      <c r="M1509" s="924">
        <f>ROUND(I1509*K1509,0)</f>
        <v>0</v>
      </c>
      <c r="N1509" s="900" t="s">
        <v>2209</v>
      </c>
    </row>
    <row r="1510" spans="1:14" ht="92.25" hidden="1" customHeight="1">
      <c r="A1510" s="896">
        <v>20</v>
      </c>
      <c r="B1510" s="1609" t="s">
        <v>1435</v>
      </c>
      <c r="C1510" s="1609"/>
      <c r="D1510" s="1609"/>
      <c r="E1510" s="1609"/>
      <c r="F1510" s="1609"/>
      <c r="G1510" s="1609"/>
      <c r="H1510" s="1609"/>
      <c r="I1510" s="897"/>
      <c r="J1510" s="898"/>
      <c r="K1510" s="896"/>
      <c r="L1510" s="923"/>
      <c r="M1510" s="899"/>
      <c r="N1510" s="900" t="s">
        <v>2297</v>
      </c>
    </row>
    <row r="1511" spans="1:14" s="910" customFormat="1" ht="16.5" hidden="1" customHeight="1">
      <c r="A1511" s="896"/>
      <c r="B1511" s="902" t="s">
        <v>3568</v>
      </c>
      <c r="C1511" s="903"/>
      <c r="D1511" s="904"/>
      <c r="E1511" s="905"/>
      <c r="F1511" s="906"/>
      <c r="G1511" s="906"/>
      <c r="H1511" s="907"/>
      <c r="I1511" s="908"/>
      <c r="J1511" s="955"/>
      <c r="K1511" s="902"/>
      <c r="L1511" s="923"/>
      <c r="M1511" s="902"/>
      <c r="N1511" s="900" t="s">
        <v>2297</v>
      </c>
    </row>
    <row r="1512" spans="1:14" s="910" customFormat="1" ht="16.5" hidden="1" customHeight="1">
      <c r="A1512" s="896"/>
      <c r="B1512" s="956" t="s">
        <v>1616</v>
      </c>
      <c r="C1512" s="957">
        <v>10</v>
      </c>
      <c r="D1512" s="958" t="s">
        <v>273</v>
      </c>
      <c r="E1512" s="1288">
        <v>0.5</v>
      </c>
      <c r="F1512" s="960">
        <v>1.2</v>
      </c>
      <c r="G1512" s="960">
        <v>0.17</v>
      </c>
      <c r="H1512" s="960">
        <v>0.12</v>
      </c>
      <c r="I1512" s="916">
        <f>ROUND(IF(AND(F1512:H1512),C1512*E1512*F1512*G1512*H1512,IF(AND(F1512,G1512),C1512*E1512*F1512*G1512,IF(AND(F1512,H1512),C1512*E1512*F1512*H1512,IF(AND(G1512,H1512),C1512*E1512*G1512*H1512,IF(F1512,C1512*E1512*F1512,IF(G1512,C1512*E1512*G1512,IF(H1512,C1512*E1512*H1512,C1512*E1512))))))),2)</f>
        <v>0.12</v>
      </c>
      <c r="J1512" s="955" t="s">
        <v>5</v>
      </c>
      <c r="K1512" s="902"/>
      <c r="L1512" s="923"/>
      <c r="M1512" s="902"/>
      <c r="N1512" s="900" t="s">
        <v>2297</v>
      </c>
    </row>
    <row r="1513" spans="1:14" s="910" customFormat="1" ht="16.5" hidden="1" customHeight="1">
      <c r="A1513" s="896"/>
      <c r="B1513" s="956"/>
      <c r="C1513" s="957">
        <v>1</v>
      </c>
      <c r="D1513" s="958" t="s">
        <v>273</v>
      </c>
      <c r="E1513" s="1268">
        <v>1</v>
      </c>
      <c r="F1513" s="960">
        <v>1.2</v>
      </c>
      <c r="G1513" s="960">
        <v>0.37</v>
      </c>
      <c r="H1513" s="960">
        <v>0.12</v>
      </c>
      <c r="I1513" s="916">
        <f>ROUND(IF(AND(F1513:H1513),C1513*E1513*F1513*G1513*H1513,IF(AND(F1513,G1513),C1513*E1513*F1513*G1513,IF(AND(F1513,H1513),C1513*E1513*F1513*H1513,IF(AND(G1513,H1513),C1513*E1513*G1513*H1513,IF(F1513,C1513*E1513*F1513,IF(G1513,C1513*E1513*G1513,IF(H1513,C1513*E1513*H1513,C1513*E1513))))))),2)</f>
        <v>0.05</v>
      </c>
      <c r="J1513" s="955" t="s">
        <v>5</v>
      </c>
      <c r="K1513" s="902"/>
      <c r="L1513" s="923"/>
      <c r="M1513" s="902"/>
      <c r="N1513" s="900" t="s">
        <v>2297</v>
      </c>
    </row>
    <row r="1514" spans="1:14" s="910" customFormat="1" ht="16.5" hidden="1" customHeight="1">
      <c r="A1514" s="896"/>
      <c r="B1514" s="956" t="s">
        <v>1617</v>
      </c>
      <c r="C1514" s="957">
        <v>11</v>
      </c>
      <c r="D1514" s="958" t="s">
        <v>273</v>
      </c>
      <c r="E1514" s="1288">
        <v>0.5</v>
      </c>
      <c r="F1514" s="960">
        <v>1.2</v>
      </c>
      <c r="G1514" s="960">
        <v>0.17</v>
      </c>
      <c r="H1514" s="960">
        <v>0.12</v>
      </c>
      <c r="I1514" s="916">
        <f>ROUND(IF(AND(F1514:H1514),C1514*E1514*F1514*G1514*H1514,IF(AND(F1514,G1514),C1514*E1514*F1514*G1514,IF(AND(F1514,H1514),C1514*E1514*F1514*H1514,IF(AND(G1514,H1514),C1514*E1514*G1514*H1514,IF(F1514,C1514*E1514*F1514,IF(G1514,C1514*E1514*G1514,IF(H1514,C1514*E1514*H1514,C1514*E1514))))))),2)</f>
        <v>0.13</v>
      </c>
      <c r="J1514" s="955" t="s">
        <v>5</v>
      </c>
      <c r="K1514" s="902"/>
      <c r="L1514" s="923"/>
      <c r="M1514" s="902"/>
      <c r="N1514" s="900" t="s">
        <v>2297</v>
      </c>
    </row>
    <row r="1515" spans="1:14" s="910" customFormat="1" ht="16.5" hidden="1" customHeight="1">
      <c r="A1515" s="896"/>
      <c r="B1515" s="956"/>
      <c r="C1515" s="957"/>
      <c r="D1515" s="958"/>
      <c r="E1515" s="1288"/>
      <c r="F1515" s="960"/>
      <c r="G1515" s="960"/>
      <c r="H1515" s="960"/>
      <c r="I1515" s="916"/>
      <c r="J1515" s="955"/>
      <c r="K1515" s="902"/>
      <c r="L1515" s="923"/>
      <c r="M1515" s="902"/>
      <c r="N1515" s="900" t="s">
        <v>2297</v>
      </c>
    </row>
    <row r="1516" spans="1:14" ht="15.75" hidden="1">
      <c r="A1516" s="896"/>
      <c r="B1516" s="902"/>
      <c r="C1516" s="917"/>
      <c r="D1516" s="918"/>
      <c r="E1516" s="919"/>
      <c r="F1516" s="920"/>
      <c r="G1516" s="921"/>
      <c r="H1516" s="896"/>
      <c r="I1516" s="916"/>
      <c r="J1516" s="955" t="s">
        <v>5</v>
      </c>
      <c r="K1516" s="922">
        <f>data!E1188</f>
        <v>5115.5200000000004</v>
      </c>
      <c r="L1516" s="923" t="s">
        <v>2297</v>
      </c>
      <c r="M1516" s="924">
        <f>ROUND(I1516*K1516,0)</f>
        <v>0</v>
      </c>
      <c r="N1516" s="900" t="s">
        <v>2297</v>
      </c>
    </row>
    <row r="1517" spans="1:14" ht="92.25" hidden="1" customHeight="1">
      <c r="A1517" s="896">
        <v>20</v>
      </c>
      <c r="B1517" s="1609" t="s">
        <v>1435</v>
      </c>
      <c r="C1517" s="1609"/>
      <c r="D1517" s="1609"/>
      <c r="E1517" s="1609"/>
      <c r="F1517" s="1609"/>
      <c r="G1517" s="1609"/>
      <c r="H1517" s="1609"/>
      <c r="I1517" s="897"/>
      <c r="J1517" s="898"/>
      <c r="K1517" s="896"/>
      <c r="L1517" s="923"/>
      <c r="M1517" s="899"/>
      <c r="N1517" s="900" t="s">
        <v>2308</v>
      </c>
    </row>
    <row r="1518" spans="1:14" s="910" customFormat="1" ht="16.5" hidden="1" customHeight="1">
      <c r="A1518" s="896"/>
      <c r="B1518" s="902" t="s">
        <v>3568</v>
      </c>
      <c r="C1518" s="903"/>
      <c r="D1518" s="904"/>
      <c r="E1518" s="905"/>
      <c r="F1518" s="906"/>
      <c r="G1518" s="906"/>
      <c r="H1518" s="907"/>
      <c r="I1518" s="908"/>
      <c r="J1518" s="955"/>
      <c r="K1518" s="902"/>
      <c r="L1518" s="923"/>
      <c r="M1518" s="902"/>
      <c r="N1518" s="900" t="s">
        <v>2308</v>
      </c>
    </row>
    <row r="1519" spans="1:14" s="910" customFormat="1" ht="16.5" hidden="1" customHeight="1">
      <c r="A1519" s="896"/>
      <c r="B1519" s="956" t="s">
        <v>1616</v>
      </c>
      <c r="C1519" s="957">
        <v>10</v>
      </c>
      <c r="D1519" s="958" t="s">
        <v>273</v>
      </c>
      <c r="E1519" s="1288">
        <v>0.5</v>
      </c>
      <c r="F1519" s="960">
        <v>1.2</v>
      </c>
      <c r="G1519" s="960">
        <v>0.17</v>
      </c>
      <c r="H1519" s="960">
        <v>0.12</v>
      </c>
      <c r="I1519" s="916">
        <f>ROUND(IF(AND(F1519:H1519),C1519*E1519*F1519*G1519*H1519,IF(AND(F1519,G1519),C1519*E1519*F1519*G1519,IF(AND(F1519,H1519),C1519*E1519*F1519*H1519,IF(AND(G1519,H1519),C1519*E1519*G1519*H1519,IF(F1519,C1519*E1519*F1519,IF(G1519,C1519*E1519*G1519,IF(H1519,C1519*E1519*H1519,C1519*E1519))))))),2)</f>
        <v>0.12</v>
      </c>
      <c r="J1519" s="955" t="s">
        <v>5</v>
      </c>
      <c r="K1519" s="902"/>
      <c r="L1519" s="923"/>
      <c r="M1519" s="902"/>
      <c r="N1519" s="900" t="s">
        <v>2308</v>
      </c>
    </row>
    <row r="1520" spans="1:14" s="910" customFormat="1" ht="16.5" hidden="1" customHeight="1">
      <c r="A1520" s="896"/>
      <c r="B1520" s="956"/>
      <c r="C1520" s="957">
        <v>1</v>
      </c>
      <c r="D1520" s="958" t="s">
        <v>273</v>
      </c>
      <c r="E1520" s="1268">
        <v>1</v>
      </c>
      <c r="F1520" s="960">
        <v>1.2</v>
      </c>
      <c r="G1520" s="960">
        <v>0.37</v>
      </c>
      <c r="H1520" s="960">
        <v>0.12</v>
      </c>
      <c r="I1520" s="916">
        <f>ROUND(IF(AND(F1520:H1520),C1520*E1520*F1520*G1520*H1520,IF(AND(F1520,G1520),C1520*E1520*F1520*G1520,IF(AND(F1520,H1520),C1520*E1520*F1520*H1520,IF(AND(G1520,H1520),C1520*E1520*G1520*H1520,IF(F1520,C1520*E1520*F1520,IF(G1520,C1520*E1520*G1520,IF(H1520,C1520*E1520*H1520,C1520*E1520))))))),2)</f>
        <v>0.05</v>
      </c>
      <c r="J1520" s="955" t="s">
        <v>5</v>
      </c>
      <c r="K1520" s="902"/>
      <c r="L1520" s="923"/>
      <c r="M1520" s="902"/>
      <c r="N1520" s="900" t="s">
        <v>2308</v>
      </c>
    </row>
    <row r="1521" spans="1:14" s="910" customFormat="1" ht="16.5" hidden="1" customHeight="1">
      <c r="A1521" s="896"/>
      <c r="B1521" s="956" t="s">
        <v>1617</v>
      </c>
      <c r="C1521" s="957">
        <v>11</v>
      </c>
      <c r="D1521" s="958" t="s">
        <v>273</v>
      </c>
      <c r="E1521" s="1288">
        <v>0.5</v>
      </c>
      <c r="F1521" s="960">
        <v>1.2</v>
      </c>
      <c r="G1521" s="960">
        <v>0.17</v>
      </c>
      <c r="H1521" s="960">
        <v>0.12</v>
      </c>
      <c r="I1521" s="916">
        <f>ROUND(IF(AND(F1521:H1521),C1521*E1521*F1521*G1521*H1521,IF(AND(F1521,G1521),C1521*E1521*F1521*G1521,IF(AND(F1521,H1521),C1521*E1521*F1521*H1521,IF(AND(G1521,H1521),C1521*E1521*G1521*H1521,IF(F1521,C1521*E1521*F1521,IF(G1521,C1521*E1521*G1521,IF(H1521,C1521*E1521*H1521,C1521*E1521))))))),2)</f>
        <v>0.13</v>
      </c>
      <c r="J1521" s="955" t="s">
        <v>5</v>
      </c>
      <c r="K1521" s="902"/>
      <c r="L1521" s="923"/>
      <c r="M1521" s="902"/>
      <c r="N1521" s="900" t="s">
        <v>2308</v>
      </c>
    </row>
    <row r="1522" spans="1:14" s="910" customFormat="1" ht="16.5" hidden="1" customHeight="1">
      <c r="A1522" s="896"/>
      <c r="B1522" s="956"/>
      <c r="C1522" s="957"/>
      <c r="D1522" s="958"/>
      <c r="E1522" s="1288"/>
      <c r="F1522" s="960"/>
      <c r="G1522" s="960"/>
      <c r="H1522" s="960"/>
      <c r="I1522" s="916"/>
      <c r="J1522" s="955"/>
      <c r="K1522" s="902"/>
      <c r="L1522" s="923"/>
      <c r="M1522" s="902"/>
      <c r="N1522" s="900" t="s">
        <v>2308</v>
      </c>
    </row>
    <row r="1523" spans="1:14" ht="15.75" hidden="1">
      <c r="A1523" s="896"/>
      <c r="B1523" s="902"/>
      <c r="C1523" s="917"/>
      <c r="D1523" s="918"/>
      <c r="E1523" s="919"/>
      <c r="F1523" s="920"/>
      <c r="G1523" s="921"/>
      <c r="H1523" s="896"/>
      <c r="I1523" s="916"/>
      <c r="J1523" s="955" t="s">
        <v>5</v>
      </c>
      <c r="K1523" s="922">
        <f>data!E2105</f>
        <v>5349.0700000000006</v>
      </c>
      <c r="L1523" s="923" t="s">
        <v>2308</v>
      </c>
      <c r="M1523" s="924">
        <f>ROUND(I1523*K1523,0)</f>
        <v>0</v>
      </c>
      <c r="N1523" s="900" t="s">
        <v>2308</v>
      </c>
    </row>
    <row r="1524" spans="1:14" ht="92.25" hidden="1" customHeight="1">
      <c r="A1524" s="896">
        <v>20</v>
      </c>
      <c r="B1524" s="1609" t="s">
        <v>2058</v>
      </c>
      <c r="C1524" s="1609"/>
      <c r="D1524" s="1609"/>
      <c r="E1524" s="1609"/>
      <c r="F1524" s="1609"/>
      <c r="G1524" s="1609"/>
      <c r="H1524" s="1609"/>
      <c r="I1524" s="897"/>
      <c r="J1524" s="898"/>
      <c r="K1524" s="896"/>
      <c r="L1524" s="923"/>
      <c r="M1524" s="899"/>
      <c r="N1524" s="900" t="s">
        <v>2309</v>
      </c>
    </row>
    <row r="1525" spans="1:14" s="910" customFormat="1" ht="16.5" hidden="1" customHeight="1">
      <c r="A1525" s="896"/>
      <c r="B1525" s="902" t="s">
        <v>3546</v>
      </c>
      <c r="C1525" s="897"/>
      <c r="D1525" s="1263"/>
      <c r="E1525" s="919"/>
      <c r="F1525" s="920"/>
      <c r="G1525" s="920"/>
      <c r="H1525" s="920"/>
      <c r="I1525" s="1264"/>
      <c r="J1525" s="955"/>
      <c r="K1525" s="902"/>
      <c r="L1525" s="923"/>
      <c r="M1525" s="902"/>
      <c r="N1525" s="900" t="s">
        <v>2309</v>
      </c>
    </row>
    <row r="1526" spans="1:14" s="910" customFormat="1" ht="16.5" hidden="1" customHeight="1">
      <c r="A1526" s="896"/>
      <c r="B1526" s="902"/>
      <c r="C1526" s="897">
        <v>1</v>
      </c>
      <c r="D1526" s="1263" t="s">
        <v>273</v>
      </c>
      <c r="E1526" s="919">
        <v>1</v>
      </c>
      <c r="F1526" s="920">
        <v>8.65</v>
      </c>
      <c r="G1526" s="920">
        <v>3.2</v>
      </c>
      <c r="H1526" s="920">
        <v>7.4999999999999997E-2</v>
      </c>
      <c r="I1526" s="1266">
        <f t="shared" ref="I1526" si="152">ROUND(IF(AND(F1526:H1526),C1526*E1526*F1526*G1526*H1526,IF(AND(F1526,G1526),C1526*E1526*F1526*G1526,IF(AND(F1526,H1526),C1526*E1526*F1526*H1526,IF(AND(G1526,H1526),C1526*E1526*G1526*H1526,IF(F1526,C1526*E1526*F1526,IF(G1526,C1526*E1526*G1526,IF(H1526,C1526*E1526*H1526,C1526*E1526))))))),2)</f>
        <v>2.08</v>
      </c>
      <c r="J1526" s="955" t="s">
        <v>5</v>
      </c>
      <c r="K1526" s="902"/>
      <c r="L1526" s="923"/>
      <c r="M1526" s="902"/>
      <c r="N1526" s="900" t="s">
        <v>2309</v>
      </c>
    </row>
    <row r="1527" spans="1:14" s="910" customFormat="1" ht="16.5" hidden="1" customHeight="1">
      <c r="A1527" s="896"/>
      <c r="B1527" s="956"/>
      <c r="C1527" s="957"/>
      <c r="D1527" s="958"/>
      <c r="E1527" s="1288"/>
      <c r="F1527" s="960"/>
      <c r="G1527" s="960"/>
      <c r="H1527" s="960"/>
      <c r="I1527" s="916"/>
      <c r="J1527" s="955"/>
      <c r="K1527" s="902"/>
      <c r="L1527" s="923"/>
      <c r="M1527" s="902"/>
      <c r="N1527" s="900" t="s">
        <v>2309</v>
      </c>
    </row>
    <row r="1528" spans="1:14" ht="15.75" hidden="1">
      <c r="A1528" s="896"/>
      <c r="B1528" s="902"/>
      <c r="C1528" s="917"/>
      <c r="D1528" s="918"/>
      <c r="E1528" s="919"/>
      <c r="F1528" s="920"/>
      <c r="G1528" s="921"/>
      <c r="H1528" s="896"/>
      <c r="I1528" s="916"/>
      <c r="J1528" s="955" t="s">
        <v>5</v>
      </c>
      <c r="K1528" s="922">
        <f>data!E3022</f>
        <v>5601.67</v>
      </c>
      <c r="L1528" s="923" t="s">
        <v>2309</v>
      </c>
      <c r="M1528" s="924">
        <f>ROUND(I1528*K1528,0)</f>
        <v>0</v>
      </c>
      <c r="N1528" s="900" t="s">
        <v>2309</v>
      </c>
    </row>
    <row r="1529" spans="1:14" ht="106.5" hidden="1" customHeight="1">
      <c r="A1529" s="896">
        <v>25</v>
      </c>
      <c r="B1529" s="1609" t="s">
        <v>212</v>
      </c>
      <c r="C1529" s="1609"/>
      <c r="D1529" s="1609"/>
      <c r="E1529" s="1609"/>
      <c r="F1529" s="1609"/>
      <c r="G1529" s="1609"/>
      <c r="H1529" s="1609"/>
      <c r="I1529" s="897"/>
      <c r="J1529" s="898"/>
      <c r="K1529" s="896"/>
      <c r="L1529" s="923"/>
      <c r="M1529" s="899"/>
      <c r="N1529" s="900" t="s">
        <v>2209</v>
      </c>
    </row>
    <row r="1530" spans="1:14" s="910" customFormat="1" ht="16.5" hidden="1" customHeight="1">
      <c r="A1530" s="896"/>
      <c r="B1530" s="928" t="s">
        <v>3828</v>
      </c>
      <c r="C1530" s="903"/>
      <c r="D1530" s="904"/>
      <c r="E1530" s="905"/>
      <c r="F1530" s="906"/>
      <c r="G1530" s="906"/>
      <c r="H1530" s="907"/>
      <c r="I1530" s="908"/>
      <c r="J1530" s="955"/>
      <c r="K1530" s="902"/>
      <c r="L1530" s="923"/>
      <c r="M1530" s="902"/>
      <c r="N1530" s="900" t="s">
        <v>2209</v>
      </c>
    </row>
    <row r="1531" spans="1:14" s="910" customFormat="1" ht="16.5" hidden="1" customHeight="1">
      <c r="A1531" s="896"/>
      <c r="B1531" s="911"/>
      <c r="C1531" s="912">
        <v>1</v>
      </c>
      <c r="D1531" s="913" t="s">
        <v>273</v>
      </c>
      <c r="E1531" s="914">
        <v>1</v>
      </c>
      <c r="F1531" s="915">
        <v>2.85</v>
      </c>
      <c r="G1531" s="915">
        <v>2.75</v>
      </c>
      <c r="H1531" s="915">
        <v>0</v>
      </c>
      <c r="I1531" s="916">
        <f t="shared" ref="I1531" si="153">ROUND(IF(AND(F1531:H1531),C1531*E1531*F1531*G1531*H1531,IF(AND(F1531,G1531),C1531*E1531*F1531*G1531,IF(AND(F1531,H1531),C1531*E1531*F1531*H1531,IF(AND(G1531,H1531),C1531*E1531*G1531*H1531,IF(F1531,C1531*E1531*F1531,IF(G1531,C1531*E1531*G1531,IF(H1531,C1531*E1531*H1531,C1531*E1531))))))),2)</f>
        <v>7.84</v>
      </c>
      <c r="J1531" s="955" t="s">
        <v>102</v>
      </c>
      <c r="K1531" s="902"/>
      <c r="L1531" s="923"/>
      <c r="M1531" s="902"/>
      <c r="N1531" s="900" t="s">
        <v>2209</v>
      </c>
    </row>
    <row r="1532" spans="1:14" s="910" customFormat="1" ht="16.5" hidden="1" customHeight="1">
      <c r="A1532" s="896"/>
      <c r="B1532" s="911"/>
      <c r="C1532" s="912">
        <v>1</v>
      </c>
      <c r="D1532" s="913" t="s">
        <v>273</v>
      </c>
      <c r="E1532" s="914">
        <v>2</v>
      </c>
      <c r="F1532" s="915">
        <v>0.6</v>
      </c>
      <c r="G1532" s="915">
        <v>0.115</v>
      </c>
      <c r="H1532" s="915">
        <v>0</v>
      </c>
      <c r="I1532" s="916">
        <f>-ROUND(IF(AND(F1532:H1532),C1532*E1532*F1532*G1532*H1532,IF(AND(F1532,G1532),C1532*E1532*F1532*G1532,IF(AND(F1532,H1532),C1532*E1532*F1532*H1532,IF(AND(G1532,H1532),C1532*E1532*G1532*H1532,IF(F1532,C1532*E1532*F1532,IF(G1532,C1532*E1532*G1532,IF(H1532,C1532*E1532*H1532,C1532*E1532))))))),2)</f>
        <v>-0.14000000000000001</v>
      </c>
      <c r="J1532" s="955" t="s">
        <v>102</v>
      </c>
      <c r="K1532" s="902"/>
      <c r="L1532" s="923"/>
      <c r="M1532" s="902"/>
      <c r="N1532" s="900" t="s">
        <v>2209</v>
      </c>
    </row>
    <row r="1533" spans="1:14" s="910" customFormat="1" ht="16.5" hidden="1" customHeight="1">
      <c r="A1533" s="896"/>
      <c r="B1533" s="911"/>
      <c r="C1533" s="912">
        <v>1</v>
      </c>
      <c r="D1533" s="913" t="s">
        <v>273</v>
      </c>
      <c r="E1533" s="914">
        <v>1</v>
      </c>
      <c r="F1533" s="915">
        <v>2.25</v>
      </c>
      <c r="G1533" s="915">
        <v>2.76</v>
      </c>
      <c r="H1533" s="915">
        <v>0</v>
      </c>
      <c r="I1533" s="916">
        <f t="shared" ref="I1533:I1542" si="154">ROUND(IF(AND(F1533:H1533),C1533*E1533*F1533*G1533*H1533,IF(AND(F1533,G1533),C1533*E1533*F1533*G1533,IF(AND(F1533,H1533),C1533*E1533*F1533*H1533,IF(AND(G1533,H1533),C1533*E1533*G1533*H1533,IF(F1533,C1533*E1533*F1533,IF(G1533,C1533*E1533*G1533,IF(H1533,C1533*E1533*H1533,C1533*E1533))))))),2)</f>
        <v>6.21</v>
      </c>
      <c r="J1533" s="955" t="s">
        <v>102</v>
      </c>
      <c r="K1533" s="902"/>
      <c r="L1533" s="923"/>
      <c r="M1533" s="902"/>
      <c r="N1533" s="900" t="s">
        <v>2209</v>
      </c>
    </row>
    <row r="1534" spans="1:14" s="910" customFormat="1" ht="16.5" hidden="1" customHeight="1">
      <c r="A1534" s="896"/>
      <c r="B1534" s="911"/>
      <c r="C1534" s="912">
        <v>1</v>
      </c>
      <c r="D1534" s="913" t="s">
        <v>273</v>
      </c>
      <c r="E1534" s="914">
        <v>1</v>
      </c>
      <c r="F1534" s="915">
        <v>2.75</v>
      </c>
      <c r="G1534" s="915">
        <v>2.76</v>
      </c>
      <c r="H1534" s="915">
        <v>0</v>
      </c>
      <c r="I1534" s="916">
        <f t="shared" si="154"/>
        <v>7.59</v>
      </c>
      <c r="J1534" s="955" t="s">
        <v>102</v>
      </c>
      <c r="K1534" s="902"/>
      <c r="L1534" s="923"/>
      <c r="M1534" s="902"/>
      <c r="N1534" s="900" t="s">
        <v>2209</v>
      </c>
    </row>
    <row r="1535" spans="1:14" s="910" customFormat="1" ht="16.5" hidden="1" customHeight="1">
      <c r="A1535" s="896"/>
      <c r="B1535" s="911"/>
      <c r="C1535" s="912">
        <v>1</v>
      </c>
      <c r="D1535" s="913" t="s">
        <v>273</v>
      </c>
      <c r="E1535" s="914">
        <v>1</v>
      </c>
      <c r="F1535" s="915">
        <v>1.68</v>
      </c>
      <c r="G1535" s="915">
        <v>2.75</v>
      </c>
      <c r="H1535" s="915">
        <v>0</v>
      </c>
      <c r="I1535" s="916">
        <f t="shared" si="154"/>
        <v>4.62</v>
      </c>
      <c r="J1535" s="955" t="s">
        <v>102</v>
      </c>
      <c r="K1535" s="902"/>
      <c r="L1535" s="923"/>
      <c r="M1535" s="902"/>
      <c r="N1535" s="900" t="s">
        <v>2209</v>
      </c>
    </row>
    <row r="1536" spans="1:14" s="910" customFormat="1" ht="16.5" hidden="1" customHeight="1">
      <c r="A1536" s="896"/>
      <c r="B1536" s="911"/>
      <c r="C1536" s="912">
        <v>1</v>
      </c>
      <c r="D1536" s="913" t="s">
        <v>273</v>
      </c>
      <c r="E1536" s="914">
        <v>3</v>
      </c>
      <c r="F1536" s="915">
        <v>0.5</v>
      </c>
      <c r="G1536" s="915">
        <v>0.115</v>
      </c>
      <c r="H1536" s="915">
        <v>0</v>
      </c>
      <c r="I1536" s="916">
        <f>-ROUND(IF(AND(F1536:H1536),C1536*E1536*F1536*G1536*H1536,IF(AND(F1536,G1536),C1536*E1536*F1536*G1536,IF(AND(F1536,H1536),C1536*E1536*F1536*H1536,IF(AND(G1536,H1536),C1536*E1536*G1536*H1536,IF(F1536,C1536*E1536*F1536,IF(G1536,C1536*E1536*G1536,IF(H1536,C1536*E1536*H1536,C1536*E1536))))))),2)</f>
        <v>-0.17</v>
      </c>
      <c r="J1536" s="955" t="s">
        <v>102</v>
      </c>
      <c r="K1536" s="902"/>
      <c r="L1536" s="923"/>
      <c r="M1536" s="902"/>
      <c r="N1536" s="900" t="s">
        <v>2209</v>
      </c>
    </row>
    <row r="1537" spans="1:14" s="910" customFormat="1" ht="16.5" hidden="1" customHeight="1">
      <c r="A1537" s="896"/>
      <c r="B1537" s="911"/>
      <c r="C1537" s="912">
        <v>1</v>
      </c>
      <c r="D1537" s="913" t="s">
        <v>273</v>
      </c>
      <c r="E1537" s="914">
        <v>1</v>
      </c>
      <c r="F1537" s="915">
        <v>6.75</v>
      </c>
      <c r="G1537" s="915">
        <v>2.99</v>
      </c>
      <c r="H1537" s="915">
        <v>0</v>
      </c>
      <c r="I1537" s="916">
        <f t="shared" si="154"/>
        <v>20.18</v>
      </c>
      <c r="J1537" s="955" t="s">
        <v>102</v>
      </c>
      <c r="K1537" s="902"/>
      <c r="L1537" s="923"/>
      <c r="M1537" s="902"/>
      <c r="N1537" s="900" t="s">
        <v>2209</v>
      </c>
    </row>
    <row r="1538" spans="1:14" s="910" customFormat="1" ht="16.5" hidden="1" customHeight="1">
      <c r="A1538" s="896"/>
      <c r="B1538" s="911"/>
      <c r="C1538" s="912">
        <v>1</v>
      </c>
      <c r="D1538" s="913" t="s">
        <v>273</v>
      </c>
      <c r="E1538" s="914">
        <v>1</v>
      </c>
      <c r="F1538" s="915">
        <v>6.15</v>
      </c>
      <c r="G1538" s="915">
        <v>2.99</v>
      </c>
      <c r="H1538" s="915">
        <v>0</v>
      </c>
      <c r="I1538" s="916">
        <f t="shared" si="154"/>
        <v>18.39</v>
      </c>
      <c r="J1538" s="955" t="s">
        <v>102</v>
      </c>
      <c r="K1538" s="902"/>
      <c r="L1538" s="923"/>
      <c r="M1538" s="902"/>
      <c r="N1538" s="900" t="s">
        <v>2209</v>
      </c>
    </row>
    <row r="1539" spans="1:14" s="910" customFormat="1" ht="16.5" hidden="1" customHeight="1">
      <c r="A1539" s="896"/>
      <c r="B1539" s="911"/>
      <c r="C1539" s="912">
        <v>1</v>
      </c>
      <c r="D1539" s="913" t="s">
        <v>273</v>
      </c>
      <c r="E1539" s="914">
        <v>1</v>
      </c>
      <c r="F1539" s="915">
        <v>1.31</v>
      </c>
      <c r="G1539" s="915">
        <v>1.1499999999999999</v>
      </c>
      <c r="H1539" s="915">
        <v>0</v>
      </c>
      <c r="I1539" s="916">
        <f t="shared" si="154"/>
        <v>1.51</v>
      </c>
      <c r="J1539" s="955" t="s">
        <v>102</v>
      </c>
      <c r="K1539" s="902"/>
      <c r="L1539" s="923"/>
      <c r="M1539" s="902"/>
      <c r="N1539" s="900" t="s">
        <v>2209</v>
      </c>
    </row>
    <row r="1540" spans="1:14" s="910" customFormat="1" ht="16.5" hidden="1" customHeight="1">
      <c r="A1540" s="896"/>
      <c r="B1540" s="911"/>
      <c r="C1540" s="912">
        <v>1</v>
      </c>
      <c r="D1540" s="913" t="s">
        <v>273</v>
      </c>
      <c r="E1540" s="914">
        <v>1</v>
      </c>
      <c r="F1540" s="915">
        <v>1.45</v>
      </c>
      <c r="G1540" s="915">
        <v>0.8</v>
      </c>
      <c r="H1540" s="915">
        <v>0</v>
      </c>
      <c r="I1540" s="916">
        <f t="shared" si="154"/>
        <v>1.1599999999999999</v>
      </c>
      <c r="J1540" s="955" t="s">
        <v>102</v>
      </c>
      <c r="K1540" s="902"/>
      <c r="L1540" s="923"/>
      <c r="M1540" s="902"/>
      <c r="N1540" s="900" t="s">
        <v>2209</v>
      </c>
    </row>
    <row r="1541" spans="1:14" s="910" customFormat="1" ht="16.5" hidden="1" customHeight="1">
      <c r="A1541" s="896"/>
      <c r="B1541" s="911"/>
      <c r="C1541" s="912">
        <v>1</v>
      </c>
      <c r="D1541" s="913" t="s">
        <v>273</v>
      </c>
      <c r="E1541" s="914">
        <v>1</v>
      </c>
      <c r="F1541" s="915">
        <v>1.6</v>
      </c>
      <c r="G1541" s="915">
        <v>0.6</v>
      </c>
      <c r="H1541" s="915">
        <v>0</v>
      </c>
      <c r="I1541" s="916">
        <f t="shared" si="154"/>
        <v>0.96</v>
      </c>
      <c r="J1541" s="955" t="s">
        <v>102</v>
      </c>
      <c r="K1541" s="902"/>
      <c r="L1541" s="923"/>
      <c r="M1541" s="902"/>
      <c r="N1541" s="900" t="s">
        <v>2209</v>
      </c>
    </row>
    <row r="1542" spans="1:14" s="910" customFormat="1" ht="16.5" hidden="1" customHeight="1">
      <c r="A1542" s="896"/>
      <c r="B1542" s="911"/>
      <c r="C1542" s="912">
        <v>1</v>
      </c>
      <c r="D1542" s="913" t="s">
        <v>273</v>
      </c>
      <c r="E1542" s="914">
        <v>1</v>
      </c>
      <c r="F1542" s="915">
        <v>2.75</v>
      </c>
      <c r="G1542" s="915">
        <v>0.5</v>
      </c>
      <c r="H1542" s="915">
        <v>0</v>
      </c>
      <c r="I1542" s="916">
        <f t="shared" si="154"/>
        <v>1.38</v>
      </c>
      <c r="J1542" s="955" t="s">
        <v>102</v>
      </c>
      <c r="K1542" s="902"/>
      <c r="L1542" s="923"/>
      <c r="M1542" s="902"/>
      <c r="N1542" s="900" t="s">
        <v>2209</v>
      </c>
    </row>
    <row r="1543" spans="1:14" s="910" customFormat="1" ht="16.5" hidden="1" customHeight="1">
      <c r="A1543" s="896"/>
      <c r="B1543" s="956"/>
      <c r="C1543" s="957"/>
      <c r="D1543" s="958"/>
      <c r="E1543" s="1268"/>
      <c r="F1543" s="960"/>
      <c r="G1543" s="960"/>
      <c r="H1543" s="960"/>
      <c r="I1543" s="916"/>
      <c r="J1543" s="955"/>
      <c r="K1543" s="902"/>
      <c r="L1543" s="923"/>
      <c r="M1543" s="902"/>
      <c r="N1543" s="900" t="s">
        <v>2209</v>
      </c>
    </row>
    <row r="1544" spans="1:14" ht="15.75" hidden="1">
      <c r="A1544" s="896"/>
      <c r="B1544" s="902"/>
      <c r="C1544" s="917"/>
      <c r="D1544" s="918"/>
      <c r="E1544" s="919"/>
      <c r="F1544" s="920"/>
      <c r="G1544" s="921"/>
      <c r="H1544" s="896"/>
      <c r="I1544" s="916"/>
      <c r="J1544" s="955" t="s">
        <v>102</v>
      </c>
      <c r="K1544" s="922">
        <f>data!E680</f>
        <v>991.04</v>
      </c>
      <c r="L1544" s="923" t="s">
        <v>2209</v>
      </c>
      <c r="M1544" s="924">
        <f>ROUND(I1544*K1544,0)</f>
        <v>0</v>
      </c>
      <c r="N1544" s="900" t="s">
        <v>2209</v>
      </c>
    </row>
    <row r="1545" spans="1:14" ht="106.5" hidden="1" customHeight="1">
      <c r="A1545" s="896">
        <v>21</v>
      </c>
      <c r="B1545" s="1609" t="s">
        <v>212</v>
      </c>
      <c r="C1545" s="1609"/>
      <c r="D1545" s="1609"/>
      <c r="E1545" s="1609"/>
      <c r="F1545" s="1609"/>
      <c r="G1545" s="1609"/>
      <c r="H1545" s="1609"/>
      <c r="I1545" s="897"/>
      <c r="J1545" s="898"/>
      <c r="K1545" s="896"/>
      <c r="L1545" s="923"/>
      <c r="M1545" s="899"/>
      <c r="N1545" s="900" t="s">
        <v>2297</v>
      </c>
    </row>
    <row r="1546" spans="1:14" s="910" customFormat="1" ht="16.5" hidden="1" customHeight="1">
      <c r="A1546" s="896"/>
      <c r="B1546" s="902" t="s">
        <v>3593</v>
      </c>
      <c r="C1546" s="903"/>
      <c r="D1546" s="954" t="s">
        <v>3643</v>
      </c>
      <c r="E1546" s="905"/>
      <c r="F1546" s="906"/>
      <c r="G1546" s="906"/>
      <c r="H1546" s="907"/>
      <c r="I1546" s="908"/>
      <c r="J1546" s="955"/>
      <c r="K1546" s="902"/>
      <c r="L1546" s="923"/>
      <c r="M1546" s="902"/>
      <c r="N1546" s="900" t="s">
        <v>2297</v>
      </c>
    </row>
    <row r="1547" spans="1:14" s="910" customFormat="1" ht="16.5" hidden="1" customHeight="1">
      <c r="A1547" s="896"/>
      <c r="B1547" s="911" t="s">
        <v>3594</v>
      </c>
      <c r="C1547" s="912">
        <v>1</v>
      </c>
      <c r="D1547" s="913" t="s">
        <v>273</v>
      </c>
      <c r="E1547" s="914">
        <v>1</v>
      </c>
      <c r="F1547" s="915">
        <v>6.75</v>
      </c>
      <c r="G1547" s="915">
        <v>2.9</v>
      </c>
      <c r="H1547" s="915">
        <v>0</v>
      </c>
      <c r="I1547" s="916">
        <f t="shared" ref="I1547" si="155">ROUND(IF(AND(F1547:H1547),C1547*E1547*F1547*G1547*H1547,IF(AND(F1547,G1547),C1547*E1547*F1547*G1547,IF(AND(F1547,H1547),C1547*E1547*F1547*H1547,IF(AND(G1547,H1547),C1547*E1547*G1547*H1547,IF(F1547,C1547*E1547*F1547,IF(G1547,C1547*E1547*G1547,IF(H1547,C1547*E1547*H1547,C1547*E1547))))))),2)</f>
        <v>19.579999999999998</v>
      </c>
      <c r="J1547" s="955" t="s">
        <v>102</v>
      </c>
      <c r="K1547" s="902"/>
      <c r="L1547" s="923"/>
      <c r="M1547" s="902"/>
      <c r="N1547" s="900" t="s">
        <v>2297</v>
      </c>
    </row>
    <row r="1548" spans="1:14" s="910" customFormat="1" ht="16.5" hidden="1" customHeight="1">
      <c r="A1548" s="896"/>
      <c r="B1548" s="911" t="s">
        <v>2360</v>
      </c>
      <c r="C1548" s="912">
        <v>1</v>
      </c>
      <c r="D1548" s="913" t="s">
        <v>273</v>
      </c>
      <c r="E1548" s="914">
        <v>1</v>
      </c>
      <c r="F1548" s="915">
        <v>2.8</v>
      </c>
      <c r="G1548" s="915">
        <v>2.7</v>
      </c>
      <c r="H1548" s="915">
        <v>0</v>
      </c>
      <c r="I1548" s="916">
        <f t="shared" ref="I1548:I1554" si="156">ROUND(IF(AND(F1548:H1548),C1548*E1548*F1548*G1548*H1548,IF(AND(F1548,G1548),C1548*E1548*F1548*G1548,IF(AND(F1548,H1548),C1548*E1548*F1548*H1548,IF(AND(G1548,H1548),C1548*E1548*G1548*H1548,IF(F1548,C1548*E1548*F1548,IF(G1548,C1548*E1548*G1548,IF(H1548,C1548*E1548*H1548,C1548*E1548))))))),2)</f>
        <v>7.56</v>
      </c>
      <c r="J1548" s="955" t="s">
        <v>102</v>
      </c>
      <c r="K1548" s="902"/>
      <c r="L1548" s="923"/>
      <c r="M1548" s="902"/>
      <c r="N1548" s="900" t="s">
        <v>2297</v>
      </c>
    </row>
    <row r="1549" spans="1:14" s="910" customFormat="1" ht="16.5" hidden="1" customHeight="1">
      <c r="A1549" s="896"/>
      <c r="B1549" s="911" t="s">
        <v>2521</v>
      </c>
      <c r="C1549" s="912">
        <v>1</v>
      </c>
      <c r="D1549" s="913" t="s">
        <v>273</v>
      </c>
      <c r="E1549" s="914">
        <v>1</v>
      </c>
      <c r="F1549" s="915">
        <v>2.2000000000000002</v>
      </c>
      <c r="G1549" s="915">
        <v>2.7</v>
      </c>
      <c r="H1549" s="915">
        <v>0</v>
      </c>
      <c r="I1549" s="916">
        <f t="shared" si="156"/>
        <v>5.94</v>
      </c>
      <c r="J1549" s="955" t="s">
        <v>102</v>
      </c>
      <c r="K1549" s="902"/>
      <c r="L1549" s="923"/>
      <c r="M1549" s="902"/>
      <c r="N1549" s="900" t="s">
        <v>2297</v>
      </c>
    </row>
    <row r="1550" spans="1:14" s="910" customFormat="1" ht="16.5" hidden="1" customHeight="1">
      <c r="A1550" s="896"/>
      <c r="B1550" s="911" t="s">
        <v>3588</v>
      </c>
      <c r="C1550" s="912">
        <v>1</v>
      </c>
      <c r="D1550" s="913" t="s">
        <v>273</v>
      </c>
      <c r="E1550" s="914">
        <v>1</v>
      </c>
      <c r="F1550" s="915">
        <v>1.3</v>
      </c>
      <c r="G1550" s="915">
        <v>1.05</v>
      </c>
      <c r="H1550" s="915">
        <v>0</v>
      </c>
      <c r="I1550" s="916">
        <f t="shared" si="156"/>
        <v>1.37</v>
      </c>
      <c r="J1550" s="955" t="s">
        <v>102</v>
      </c>
      <c r="K1550" s="902"/>
      <c r="L1550" s="923"/>
      <c r="M1550" s="902"/>
      <c r="N1550" s="900" t="s">
        <v>2297</v>
      </c>
    </row>
    <row r="1551" spans="1:14" s="910" customFormat="1" ht="16.5" hidden="1" customHeight="1">
      <c r="A1551" s="896"/>
      <c r="B1551" s="911" t="s">
        <v>2355</v>
      </c>
      <c r="C1551" s="912">
        <v>1</v>
      </c>
      <c r="D1551" s="913" t="s">
        <v>273</v>
      </c>
      <c r="E1551" s="914">
        <v>1</v>
      </c>
      <c r="F1551" s="915">
        <v>6.05</v>
      </c>
      <c r="G1551" s="915">
        <v>2.85</v>
      </c>
      <c r="H1551" s="915">
        <v>0</v>
      </c>
      <c r="I1551" s="916">
        <f t="shared" si="156"/>
        <v>17.239999999999998</v>
      </c>
      <c r="J1551" s="955" t="s">
        <v>102</v>
      </c>
      <c r="K1551" s="902"/>
      <c r="L1551" s="923"/>
      <c r="M1551" s="902"/>
      <c r="N1551" s="900" t="s">
        <v>2297</v>
      </c>
    </row>
    <row r="1552" spans="1:14" s="910" customFormat="1" ht="16.5" hidden="1" customHeight="1">
      <c r="A1552" s="896"/>
      <c r="B1552" s="911" t="s">
        <v>2358</v>
      </c>
      <c r="C1552" s="912">
        <v>1</v>
      </c>
      <c r="D1552" s="913" t="s">
        <v>273</v>
      </c>
      <c r="E1552" s="914">
        <v>1</v>
      </c>
      <c r="F1552" s="915">
        <v>2.7</v>
      </c>
      <c r="G1552" s="915">
        <v>2.6</v>
      </c>
      <c r="H1552" s="915">
        <v>0</v>
      </c>
      <c r="I1552" s="916">
        <f t="shared" si="156"/>
        <v>7.02</v>
      </c>
      <c r="J1552" s="955" t="s">
        <v>102</v>
      </c>
      <c r="K1552" s="902"/>
      <c r="L1552" s="923"/>
      <c r="M1552" s="902"/>
      <c r="N1552" s="900" t="s">
        <v>2297</v>
      </c>
    </row>
    <row r="1553" spans="1:14" s="910" customFormat="1" ht="16.5" hidden="1" customHeight="1">
      <c r="A1553" s="896"/>
      <c r="B1553" s="911" t="s">
        <v>2357</v>
      </c>
      <c r="C1553" s="912">
        <v>1</v>
      </c>
      <c r="D1553" s="913" t="s">
        <v>273</v>
      </c>
      <c r="E1553" s="914">
        <v>1</v>
      </c>
      <c r="F1553" s="915">
        <v>1.7</v>
      </c>
      <c r="G1553" s="915">
        <v>2.7</v>
      </c>
      <c r="H1553" s="915">
        <v>0</v>
      </c>
      <c r="I1553" s="916">
        <f t="shared" si="156"/>
        <v>4.59</v>
      </c>
      <c r="J1553" s="955" t="s">
        <v>102</v>
      </c>
      <c r="K1553" s="902"/>
      <c r="L1553" s="923"/>
      <c r="M1553" s="902"/>
      <c r="N1553" s="900" t="s">
        <v>2297</v>
      </c>
    </row>
    <row r="1554" spans="1:14" s="910" customFormat="1" ht="16.5" hidden="1" customHeight="1">
      <c r="A1554" s="896"/>
      <c r="B1554" s="911" t="s">
        <v>3595</v>
      </c>
      <c r="C1554" s="912">
        <v>1</v>
      </c>
      <c r="D1554" s="913" t="s">
        <v>273</v>
      </c>
      <c r="E1554" s="914">
        <v>1</v>
      </c>
      <c r="F1554" s="915">
        <v>0.9</v>
      </c>
      <c r="G1554" s="915">
        <v>1.05</v>
      </c>
      <c r="H1554" s="915">
        <v>0</v>
      </c>
      <c r="I1554" s="916">
        <f t="shared" si="156"/>
        <v>0.95</v>
      </c>
      <c r="J1554" s="955" t="s">
        <v>102</v>
      </c>
      <c r="K1554" s="902"/>
      <c r="L1554" s="923"/>
      <c r="M1554" s="902"/>
      <c r="N1554" s="900" t="s">
        <v>2297</v>
      </c>
    </row>
    <row r="1555" spans="1:14" s="910" customFormat="1" ht="16.5" hidden="1" customHeight="1">
      <c r="A1555" s="896"/>
      <c r="B1555" s="956"/>
      <c r="C1555" s="957"/>
      <c r="D1555" s="958"/>
      <c r="E1555" s="1268"/>
      <c r="F1555" s="960"/>
      <c r="G1555" s="960"/>
      <c r="H1555" s="960"/>
      <c r="I1555" s="916"/>
      <c r="J1555" s="955"/>
      <c r="K1555" s="902"/>
      <c r="L1555" s="923"/>
      <c r="M1555" s="902"/>
      <c r="N1555" s="900" t="s">
        <v>2297</v>
      </c>
    </row>
    <row r="1556" spans="1:14" ht="15.75" hidden="1">
      <c r="A1556" s="896"/>
      <c r="B1556" s="902"/>
      <c r="C1556" s="917"/>
      <c r="D1556" s="918"/>
      <c r="E1556" s="919"/>
      <c r="F1556" s="920"/>
      <c r="G1556" s="921"/>
      <c r="H1556" s="896"/>
      <c r="I1556" s="916"/>
      <c r="J1556" s="955" t="s">
        <v>102</v>
      </c>
      <c r="K1556" s="922">
        <f>data!E1597</f>
        <v>1019.43</v>
      </c>
      <c r="L1556" s="923" t="s">
        <v>2297</v>
      </c>
      <c r="M1556" s="924">
        <f>ROUND(I1556*K1556,0)</f>
        <v>0</v>
      </c>
      <c r="N1556" s="900" t="s">
        <v>2297</v>
      </c>
    </row>
    <row r="1557" spans="1:14" ht="106.5" hidden="1" customHeight="1">
      <c r="A1557" s="896">
        <v>25</v>
      </c>
      <c r="B1557" s="1609" t="s">
        <v>212</v>
      </c>
      <c r="C1557" s="1609"/>
      <c r="D1557" s="1609"/>
      <c r="E1557" s="1609"/>
      <c r="F1557" s="1609"/>
      <c r="G1557" s="1609"/>
      <c r="H1557" s="1609"/>
      <c r="I1557" s="897"/>
      <c r="J1557" s="898"/>
      <c r="K1557" s="896"/>
      <c r="L1557" s="923"/>
      <c r="M1557" s="899"/>
      <c r="N1557" s="900" t="s">
        <v>2308</v>
      </c>
    </row>
    <row r="1558" spans="1:14" s="910" customFormat="1" ht="16.5" hidden="1" customHeight="1">
      <c r="A1558" s="896"/>
      <c r="B1558" s="902" t="s">
        <v>3533</v>
      </c>
      <c r="C1558" s="903"/>
      <c r="D1558" s="904"/>
      <c r="E1558" s="905"/>
      <c r="F1558" s="906"/>
      <c r="G1558" s="906"/>
      <c r="H1558" s="907"/>
      <c r="I1558" s="908"/>
      <c r="J1558" s="955"/>
      <c r="K1558" s="902"/>
      <c r="L1558" s="923"/>
      <c r="M1558" s="902"/>
      <c r="N1558" s="900" t="s">
        <v>2308</v>
      </c>
    </row>
    <row r="1559" spans="1:14" s="910" customFormat="1" ht="16.5" hidden="1" customHeight="1">
      <c r="A1559" s="896"/>
      <c r="B1559" s="911" t="s">
        <v>799</v>
      </c>
      <c r="C1559" s="912">
        <v>1</v>
      </c>
      <c r="D1559" s="913" t="s">
        <v>273</v>
      </c>
      <c r="E1559" s="914">
        <v>1</v>
      </c>
      <c r="F1559" s="915">
        <v>8.4499999999999993</v>
      </c>
      <c r="G1559" s="915">
        <v>4.92</v>
      </c>
      <c r="H1559" s="915">
        <v>0</v>
      </c>
      <c r="I1559" s="916">
        <f>ROUND(IF(AND(F1559:H1559),C1559*E1559*F1559*G1559*H1559,IF(AND(F1559,G1559),C1559*E1559*F1559*G1559,IF(AND(F1559,H1559),C1559*E1559*F1559*H1559,IF(AND(G1559,H1559),C1559*E1559*G1559*H1559,IF(F1559,C1559*E1559*F1559,IF(G1559,C1559*E1559*G1559,IF(H1559,C1559*E1559*H1559,C1559*E1559))))))),2)</f>
        <v>41.57</v>
      </c>
      <c r="J1559" s="955" t="s">
        <v>102</v>
      </c>
      <c r="K1559" s="902"/>
      <c r="L1559" s="923"/>
      <c r="M1559" s="902"/>
      <c r="N1559" s="900" t="s">
        <v>2308</v>
      </c>
    </row>
    <row r="1560" spans="1:14" s="910" customFormat="1" ht="16.5" hidden="1" customHeight="1">
      <c r="A1560" s="896"/>
      <c r="B1560" s="911" t="s">
        <v>1545</v>
      </c>
      <c r="C1560" s="912">
        <v>1</v>
      </c>
      <c r="D1560" s="913" t="s">
        <v>273</v>
      </c>
      <c r="E1560" s="914">
        <v>1</v>
      </c>
      <c r="F1560" s="915">
        <v>3.31</v>
      </c>
      <c r="G1560" s="915">
        <v>2.8</v>
      </c>
      <c r="H1560" s="915">
        <v>0</v>
      </c>
      <c r="I1560" s="916">
        <f>ROUND(IF(AND(F1560:H1560),C1560*E1560*F1560*G1560*H1560,IF(AND(F1560,G1560),C1560*E1560*F1560*G1560,IF(AND(F1560,H1560),C1560*E1560*F1560*H1560,IF(AND(G1560,H1560),C1560*E1560*G1560*H1560,IF(F1560,C1560*E1560*F1560,IF(G1560,C1560*E1560*G1560,IF(H1560,C1560*E1560*H1560,C1560*E1560))))))),2)</f>
        <v>9.27</v>
      </c>
      <c r="J1560" s="955" t="s">
        <v>102</v>
      </c>
      <c r="K1560" s="902"/>
      <c r="L1560" s="923"/>
      <c r="M1560" s="902"/>
      <c r="N1560" s="900" t="s">
        <v>2308</v>
      </c>
    </row>
    <row r="1561" spans="1:14" s="910" customFormat="1" ht="16.5" hidden="1" customHeight="1">
      <c r="A1561" s="896"/>
      <c r="B1561" s="911"/>
      <c r="C1561" s="912">
        <v>1</v>
      </c>
      <c r="D1561" s="913" t="s">
        <v>273</v>
      </c>
      <c r="E1561" s="914">
        <v>1</v>
      </c>
      <c r="F1561" s="915">
        <v>0.25</v>
      </c>
      <c r="G1561" s="915">
        <v>0.15</v>
      </c>
      <c r="H1561" s="915">
        <v>0</v>
      </c>
      <c r="I1561" s="916">
        <f>-ROUND(IF(AND(F1561:H1561),C1561*E1561*F1561*G1561*H1561,IF(AND(F1561,G1561),C1561*E1561*F1561*G1561,IF(AND(F1561,H1561),C1561*E1561*F1561*H1561,IF(AND(G1561,H1561),C1561*E1561*G1561*H1561,IF(F1561,C1561*E1561*F1561,IF(G1561,C1561*E1561*G1561,IF(H1561,C1561*E1561*H1561,C1561*E1561))))))),2)</f>
        <v>-0.04</v>
      </c>
      <c r="J1561" s="955" t="s">
        <v>102</v>
      </c>
      <c r="K1561" s="902"/>
      <c r="L1561" s="923"/>
      <c r="M1561" s="902"/>
      <c r="N1561" s="900" t="s">
        <v>2308</v>
      </c>
    </row>
    <row r="1562" spans="1:14" s="910" customFormat="1" ht="16.5" hidden="1" customHeight="1">
      <c r="A1562" s="896"/>
      <c r="B1562" s="956"/>
      <c r="C1562" s="957"/>
      <c r="D1562" s="958"/>
      <c r="E1562" s="1268"/>
      <c r="F1562" s="960"/>
      <c r="G1562" s="960"/>
      <c r="H1562" s="960"/>
      <c r="I1562" s="916"/>
      <c r="J1562" s="955"/>
      <c r="K1562" s="902"/>
      <c r="L1562" s="923"/>
      <c r="M1562" s="902"/>
      <c r="N1562" s="900" t="s">
        <v>2308</v>
      </c>
    </row>
    <row r="1563" spans="1:14" ht="15.75" hidden="1">
      <c r="A1563" s="896"/>
      <c r="B1563" s="902"/>
      <c r="C1563" s="917"/>
      <c r="D1563" s="918"/>
      <c r="E1563" s="919"/>
      <c r="F1563" s="920"/>
      <c r="G1563" s="921"/>
      <c r="H1563" s="896"/>
      <c r="I1563" s="916"/>
      <c r="J1563" s="955" t="s">
        <v>102</v>
      </c>
      <c r="K1563" s="922">
        <f>data!E2514</f>
        <v>1041.26</v>
      </c>
      <c r="L1563" s="923" t="s">
        <v>2308</v>
      </c>
      <c r="M1563" s="924">
        <f>ROUND(I1563*K1563,0)</f>
        <v>0</v>
      </c>
      <c r="N1563" s="900" t="s">
        <v>2308</v>
      </c>
    </row>
    <row r="1564" spans="1:14" ht="106.5" hidden="1" customHeight="1">
      <c r="A1564" s="896">
        <v>22</v>
      </c>
      <c r="B1564" s="1609" t="s">
        <v>212</v>
      </c>
      <c r="C1564" s="1609"/>
      <c r="D1564" s="1609"/>
      <c r="E1564" s="1609"/>
      <c r="F1564" s="1609"/>
      <c r="G1564" s="1609"/>
      <c r="H1564" s="1609"/>
      <c r="I1564" s="897"/>
      <c r="J1564" s="898"/>
      <c r="K1564" s="896"/>
      <c r="L1564" s="923"/>
      <c r="M1564" s="899"/>
      <c r="N1564" s="900" t="s">
        <v>2309</v>
      </c>
    </row>
    <row r="1565" spans="1:14" s="910" customFormat="1" ht="16.5" hidden="1" customHeight="1">
      <c r="A1565" s="896"/>
      <c r="B1565" s="928" t="s">
        <v>3844</v>
      </c>
      <c r="C1565" s="903"/>
      <c r="D1565" s="954" t="s">
        <v>3871</v>
      </c>
      <c r="E1565" s="905"/>
      <c r="F1565" s="906"/>
      <c r="G1565" s="906"/>
      <c r="H1565" s="907"/>
      <c r="I1565" s="908"/>
      <c r="J1565" s="955"/>
      <c r="K1565" s="902"/>
      <c r="L1565" s="923"/>
      <c r="M1565" s="902"/>
      <c r="N1565" s="900" t="s">
        <v>2309</v>
      </c>
    </row>
    <row r="1566" spans="1:14" s="910" customFormat="1" ht="16.5" hidden="1" customHeight="1">
      <c r="A1566" s="896"/>
      <c r="B1566" s="911" t="s">
        <v>2360</v>
      </c>
      <c r="C1566" s="912">
        <v>1</v>
      </c>
      <c r="D1566" s="913" t="s">
        <v>273</v>
      </c>
      <c r="E1566" s="914">
        <v>1</v>
      </c>
      <c r="F1566" s="915">
        <v>2.85</v>
      </c>
      <c r="G1566" s="915">
        <v>2.75</v>
      </c>
      <c r="H1566" s="915">
        <v>0</v>
      </c>
      <c r="I1566" s="916">
        <f t="shared" ref="I1566" si="157">ROUND(IF(AND(F1566:H1566),C1566*E1566*F1566*G1566*H1566,IF(AND(F1566,G1566),C1566*E1566*F1566*G1566,IF(AND(F1566,H1566),C1566*E1566*F1566*H1566,IF(AND(G1566,H1566),C1566*E1566*G1566*H1566,IF(F1566,C1566*E1566*F1566,IF(G1566,C1566*E1566*G1566,IF(H1566,C1566*E1566*H1566,C1566*E1566))))))),2)</f>
        <v>7.84</v>
      </c>
      <c r="J1566" s="955" t="s">
        <v>102</v>
      </c>
      <c r="K1566" s="902"/>
      <c r="L1566" s="923"/>
      <c r="M1566" s="902"/>
      <c r="N1566" s="900" t="s">
        <v>2309</v>
      </c>
    </row>
    <row r="1567" spans="1:14" s="910" customFormat="1" ht="16.5" hidden="1" customHeight="1">
      <c r="A1567" s="896"/>
      <c r="B1567" s="911" t="s">
        <v>3845</v>
      </c>
      <c r="C1567" s="912">
        <v>1</v>
      </c>
      <c r="D1567" s="913" t="s">
        <v>273</v>
      </c>
      <c r="E1567" s="914">
        <v>2</v>
      </c>
      <c r="F1567" s="915">
        <v>0.6</v>
      </c>
      <c r="G1567" s="915">
        <v>0.115</v>
      </c>
      <c r="H1567" s="915">
        <v>0</v>
      </c>
      <c r="I1567" s="916">
        <f>-ROUND(IF(AND(F1567:H1567),C1567*E1567*F1567*G1567*H1567,IF(AND(F1567,G1567),C1567*E1567*F1567*G1567,IF(AND(F1567,H1567),C1567*E1567*F1567*H1567,IF(AND(G1567,H1567),C1567*E1567*G1567*H1567,IF(F1567,C1567*E1567*F1567,IF(G1567,C1567*E1567*G1567,IF(H1567,C1567*E1567*H1567,C1567*E1567))))))),2)</f>
        <v>-0.14000000000000001</v>
      </c>
      <c r="J1567" s="955" t="s">
        <v>102</v>
      </c>
      <c r="K1567" s="902"/>
      <c r="L1567" s="923"/>
      <c r="M1567" s="902"/>
      <c r="N1567" s="900" t="s">
        <v>2309</v>
      </c>
    </row>
    <row r="1568" spans="1:14" s="910" customFormat="1" ht="16.5" hidden="1" customHeight="1">
      <c r="A1568" s="896"/>
      <c r="B1568" s="911" t="s">
        <v>2521</v>
      </c>
      <c r="C1568" s="912">
        <v>1</v>
      </c>
      <c r="D1568" s="913" t="s">
        <v>273</v>
      </c>
      <c r="E1568" s="914">
        <v>1</v>
      </c>
      <c r="F1568" s="915">
        <v>2.25</v>
      </c>
      <c r="G1568" s="915">
        <v>2.76</v>
      </c>
      <c r="H1568" s="915">
        <v>0</v>
      </c>
      <c r="I1568" s="916">
        <f t="shared" ref="I1568:I1570" si="158">ROUND(IF(AND(F1568:H1568),C1568*E1568*F1568*G1568*H1568,IF(AND(F1568,G1568),C1568*E1568*F1568*G1568,IF(AND(F1568,H1568),C1568*E1568*F1568*H1568,IF(AND(G1568,H1568),C1568*E1568*G1568*H1568,IF(F1568,C1568*E1568*F1568,IF(G1568,C1568*E1568*G1568,IF(H1568,C1568*E1568*H1568,C1568*E1568))))))),2)</f>
        <v>6.21</v>
      </c>
      <c r="J1568" s="955" t="s">
        <v>102</v>
      </c>
      <c r="K1568" s="902"/>
      <c r="L1568" s="923"/>
      <c r="M1568" s="902"/>
      <c r="N1568" s="900" t="s">
        <v>2309</v>
      </c>
    </row>
    <row r="1569" spans="1:14" s="910" customFormat="1" ht="16.5" hidden="1" customHeight="1">
      <c r="A1569" s="896"/>
      <c r="B1569" s="911" t="s">
        <v>2358</v>
      </c>
      <c r="C1569" s="912">
        <v>1</v>
      </c>
      <c r="D1569" s="913" t="s">
        <v>273</v>
      </c>
      <c r="E1569" s="914">
        <v>1</v>
      </c>
      <c r="F1569" s="915">
        <v>2.75</v>
      </c>
      <c r="G1569" s="915">
        <v>2.76</v>
      </c>
      <c r="H1569" s="915">
        <v>0</v>
      </c>
      <c r="I1569" s="916">
        <f t="shared" si="158"/>
        <v>7.59</v>
      </c>
      <c r="J1569" s="955" t="s">
        <v>102</v>
      </c>
      <c r="K1569" s="902"/>
      <c r="L1569" s="923"/>
      <c r="M1569" s="902"/>
      <c r="N1569" s="900" t="s">
        <v>2309</v>
      </c>
    </row>
    <row r="1570" spans="1:14" s="910" customFormat="1" ht="16.5" hidden="1" customHeight="1">
      <c r="A1570" s="896"/>
      <c r="B1570" s="911" t="s">
        <v>2357</v>
      </c>
      <c r="C1570" s="912">
        <v>1</v>
      </c>
      <c r="D1570" s="913" t="s">
        <v>273</v>
      </c>
      <c r="E1570" s="914">
        <v>1</v>
      </c>
      <c r="F1570" s="915">
        <v>1.68</v>
      </c>
      <c r="G1570" s="915">
        <v>2.75</v>
      </c>
      <c r="H1570" s="915">
        <v>0</v>
      </c>
      <c r="I1570" s="916">
        <f t="shared" si="158"/>
        <v>4.62</v>
      </c>
      <c r="J1570" s="955" t="s">
        <v>102</v>
      </c>
      <c r="K1570" s="902"/>
      <c r="L1570" s="923"/>
      <c r="M1570" s="902"/>
      <c r="N1570" s="900" t="s">
        <v>2309</v>
      </c>
    </row>
    <row r="1571" spans="1:14" s="910" customFormat="1" ht="16.5" hidden="1" customHeight="1">
      <c r="A1571" s="896"/>
      <c r="B1571" s="911" t="s">
        <v>3845</v>
      </c>
      <c r="C1571" s="912">
        <v>1</v>
      </c>
      <c r="D1571" s="913" t="s">
        <v>273</v>
      </c>
      <c r="E1571" s="914">
        <v>3</v>
      </c>
      <c r="F1571" s="915">
        <v>0.5</v>
      </c>
      <c r="G1571" s="915">
        <v>0.115</v>
      </c>
      <c r="H1571" s="915">
        <v>0</v>
      </c>
      <c r="I1571" s="916">
        <f>-ROUND(IF(AND(F1571:H1571),C1571*E1571*F1571*G1571*H1571,IF(AND(F1571,G1571),C1571*E1571*F1571*G1571,IF(AND(F1571,H1571),C1571*E1571*F1571*H1571,IF(AND(G1571,H1571),C1571*E1571*G1571*H1571,IF(F1571,C1571*E1571*F1571,IF(G1571,C1571*E1571*G1571,IF(H1571,C1571*E1571*H1571,C1571*E1571))))))),2)</f>
        <v>-0.17</v>
      </c>
      <c r="J1571" s="955" t="s">
        <v>102</v>
      </c>
      <c r="K1571" s="902"/>
      <c r="L1571" s="923"/>
      <c r="M1571" s="902"/>
      <c r="N1571" s="900" t="s">
        <v>2309</v>
      </c>
    </row>
    <row r="1572" spans="1:14" s="910" customFormat="1" ht="16.5" hidden="1" customHeight="1">
      <c r="A1572" s="896"/>
      <c r="B1572" s="911" t="s">
        <v>3670</v>
      </c>
      <c r="C1572" s="912">
        <v>1</v>
      </c>
      <c r="D1572" s="913" t="s">
        <v>273</v>
      </c>
      <c r="E1572" s="914">
        <v>1</v>
      </c>
      <c r="F1572" s="915">
        <v>6.75</v>
      </c>
      <c r="G1572" s="915">
        <v>2.99</v>
      </c>
      <c r="H1572" s="915">
        <v>0</v>
      </c>
      <c r="I1572" s="916">
        <f t="shared" ref="I1572:I1577" si="159">ROUND(IF(AND(F1572:H1572),C1572*E1572*F1572*G1572*H1572,IF(AND(F1572,G1572),C1572*E1572*F1572*G1572,IF(AND(F1572,H1572),C1572*E1572*F1572*H1572,IF(AND(G1572,H1572),C1572*E1572*G1572*H1572,IF(F1572,C1572*E1572*F1572,IF(G1572,C1572*E1572*G1572,IF(H1572,C1572*E1572*H1572,C1572*E1572))))))),2)</f>
        <v>20.18</v>
      </c>
      <c r="J1572" s="955" t="s">
        <v>102</v>
      </c>
      <c r="K1572" s="902"/>
      <c r="L1572" s="923"/>
      <c r="M1572" s="902"/>
      <c r="N1572" s="900" t="s">
        <v>2309</v>
      </c>
    </row>
    <row r="1573" spans="1:14" s="910" customFormat="1" ht="16.5" hidden="1" customHeight="1">
      <c r="A1573" s="896"/>
      <c r="B1573" s="911" t="s">
        <v>2355</v>
      </c>
      <c r="C1573" s="912">
        <v>1</v>
      </c>
      <c r="D1573" s="913" t="s">
        <v>273</v>
      </c>
      <c r="E1573" s="914">
        <v>1</v>
      </c>
      <c r="F1573" s="915">
        <v>6.15</v>
      </c>
      <c r="G1573" s="915">
        <v>2.99</v>
      </c>
      <c r="H1573" s="915">
        <v>0</v>
      </c>
      <c r="I1573" s="916">
        <f t="shared" si="159"/>
        <v>18.39</v>
      </c>
      <c r="J1573" s="955" t="s">
        <v>102</v>
      </c>
      <c r="K1573" s="902"/>
      <c r="L1573" s="923"/>
      <c r="M1573" s="902"/>
      <c r="N1573" s="900" t="s">
        <v>2309</v>
      </c>
    </row>
    <row r="1574" spans="1:14" s="910" customFormat="1" ht="16.5" hidden="1" customHeight="1">
      <c r="A1574" s="896"/>
      <c r="B1574" s="911" t="s">
        <v>3846</v>
      </c>
      <c r="C1574" s="912">
        <v>1</v>
      </c>
      <c r="D1574" s="913" t="s">
        <v>273</v>
      </c>
      <c r="E1574" s="914">
        <v>1</v>
      </c>
      <c r="F1574" s="915">
        <v>1.31</v>
      </c>
      <c r="G1574" s="915">
        <v>1.1499999999999999</v>
      </c>
      <c r="H1574" s="915">
        <v>0</v>
      </c>
      <c r="I1574" s="916">
        <f t="shared" si="159"/>
        <v>1.51</v>
      </c>
      <c r="J1574" s="955" t="s">
        <v>102</v>
      </c>
      <c r="K1574" s="902"/>
      <c r="L1574" s="923"/>
      <c r="M1574" s="902"/>
      <c r="N1574" s="900" t="s">
        <v>2309</v>
      </c>
    </row>
    <row r="1575" spans="1:14" s="910" customFormat="1" ht="16.5" hidden="1" customHeight="1">
      <c r="A1575" s="896"/>
      <c r="B1575" s="911"/>
      <c r="C1575" s="912">
        <v>1</v>
      </c>
      <c r="D1575" s="913" t="s">
        <v>273</v>
      </c>
      <c r="E1575" s="914">
        <v>1</v>
      </c>
      <c r="F1575" s="915">
        <v>1.45</v>
      </c>
      <c r="G1575" s="915">
        <v>0.8</v>
      </c>
      <c r="H1575" s="915">
        <v>0</v>
      </c>
      <c r="I1575" s="916">
        <f t="shared" si="159"/>
        <v>1.1599999999999999</v>
      </c>
      <c r="J1575" s="955" t="s">
        <v>102</v>
      </c>
      <c r="K1575" s="902"/>
      <c r="L1575" s="923"/>
      <c r="M1575" s="902"/>
      <c r="N1575" s="900" t="s">
        <v>2309</v>
      </c>
    </row>
    <row r="1576" spans="1:14" s="910" customFormat="1" ht="16.5" hidden="1" customHeight="1">
      <c r="A1576" s="896"/>
      <c r="B1576" s="911" t="s">
        <v>3847</v>
      </c>
      <c r="C1576" s="912">
        <v>1</v>
      </c>
      <c r="D1576" s="913" t="s">
        <v>273</v>
      </c>
      <c r="E1576" s="914">
        <v>1</v>
      </c>
      <c r="F1576" s="915">
        <v>1.6</v>
      </c>
      <c r="G1576" s="915">
        <v>0.6</v>
      </c>
      <c r="H1576" s="915">
        <v>0</v>
      </c>
      <c r="I1576" s="916">
        <f t="shared" si="159"/>
        <v>0.96</v>
      </c>
      <c r="J1576" s="955" t="s">
        <v>102</v>
      </c>
      <c r="K1576" s="902"/>
      <c r="L1576" s="923"/>
      <c r="M1576" s="902"/>
      <c r="N1576" s="900" t="s">
        <v>2309</v>
      </c>
    </row>
    <row r="1577" spans="1:14" s="910" customFormat="1" ht="16.5" hidden="1" customHeight="1">
      <c r="A1577" s="896"/>
      <c r="B1577" s="911" t="s">
        <v>2357</v>
      </c>
      <c r="C1577" s="912">
        <v>1</v>
      </c>
      <c r="D1577" s="913" t="s">
        <v>273</v>
      </c>
      <c r="E1577" s="914">
        <v>1</v>
      </c>
      <c r="F1577" s="915">
        <v>2.75</v>
      </c>
      <c r="G1577" s="915">
        <v>0.5</v>
      </c>
      <c r="H1577" s="915">
        <v>0</v>
      </c>
      <c r="I1577" s="916">
        <f t="shared" si="159"/>
        <v>1.38</v>
      </c>
      <c r="J1577" s="955" t="s">
        <v>102</v>
      </c>
      <c r="K1577" s="902"/>
      <c r="L1577" s="923"/>
      <c r="M1577" s="902"/>
      <c r="N1577" s="900" t="s">
        <v>2309</v>
      </c>
    </row>
    <row r="1578" spans="1:14" s="910" customFormat="1" ht="16.5" hidden="1" customHeight="1">
      <c r="A1578" s="896"/>
      <c r="B1578" s="956"/>
      <c r="C1578" s="957"/>
      <c r="D1578" s="958"/>
      <c r="E1578" s="1268"/>
      <c r="F1578" s="960"/>
      <c r="G1578" s="960"/>
      <c r="H1578" s="960"/>
      <c r="I1578" s="916"/>
      <c r="J1578" s="955"/>
      <c r="K1578" s="902"/>
      <c r="L1578" s="923"/>
      <c r="M1578" s="902"/>
      <c r="N1578" s="900" t="s">
        <v>2309</v>
      </c>
    </row>
    <row r="1579" spans="1:14" ht="15.75" hidden="1">
      <c r="A1579" s="896"/>
      <c r="B1579" s="902"/>
      <c r="C1579" s="917"/>
      <c r="D1579" s="918"/>
      <c r="E1579" s="919"/>
      <c r="F1579" s="920"/>
      <c r="G1579" s="921"/>
      <c r="H1579" s="896"/>
      <c r="I1579" s="916"/>
      <c r="J1579" s="955" t="s">
        <v>102</v>
      </c>
      <c r="K1579" s="922">
        <f>data!E3431</f>
        <v>1067.3599999999999</v>
      </c>
      <c r="L1579" s="923" t="s">
        <v>2309</v>
      </c>
      <c r="M1579" s="924">
        <f>ROUND(I1579*K1579,0)</f>
        <v>0</v>
      </c>
      <c r="N1579" s="900" t="s">
        <v>2309</v>
      </c>
    </row>
    <row r="1580" spans="1:14" ht="79.5" hidden="1" customHeight="1">
      <c r="A1580" s="896">
        <v>26</v>
      </c>
      <c r="B1580" s="1609" t="s">
        <v>213</v>
      </c>
      <c r="C1580" s="1609"/>
      <c r="D1580" s="1609"/>
      <c r="E1580" s="1609"/>
      <c r="F1580" s="1609"/>
      <c r="G1580" s="1609"/>
      <c r="H1580" s="1609"/>
      <c r="I1580" s="897"/>
      <c r="J1580" s="898"/>
      <c r="K1580" s="896"/>
      <c r="L1580" s="923"/>
      <c r="M1580" s="899"/>
      <c r="N1580" s="900" t="s">
        <v>2209</v>
      </c>
    </row>
    <row r="1581" spans="1:14" s="910" customFormat="1" ht="16.5" hidden="1" customHeight="1">
      <c r="A1581" s="896"/>
      <c r="B1581" s="928" t="s">
        <v>3829</v>
      </c>
      <c r="C1581" s="903"/>
      <c r="D1581" s="904"/>
      <c r="E1581" s="905"/>
      <c r="F1581" s="906"/>
      <c r="G1581" s="906"/>
      <c r="H1581" s="907"/>
      <c r="I1581" s="908"/>
      <c r="J1581" s="955"/>
      <c r="K1581" s="902"/>
      <c r="L1581" s="923"/>
      <c r="M1581" s="902"/>
      <c r="N1581" s="900" t="s">
        <v>2209</v>
      </c>
    </row>
    <row r="1582" spans="1:14" s="910" customFormat="1" ht="16.5" hidden="1" customHeight="1">
      <c r="A1582" s="896"/>
      <c r="B1582" s="911"/>
      <c r="C1582" s="912">
        <v>1</v>
      </c>
      <c r="D1582" s="913" t="s">
        <v>273</v>
      </c>
      <c r="E1582" s="914">
        <v>1</v>
      </c>
      <c r="F1582" s="915">
        <v>11.06</v>
      </c>
      <c r="G1582" s="915">
        <v>0</v>
      </c>
      <c r="H1582" s="915">
        <v>0.1</v>
      </c>
      <c r="I1582" s="916">
        <f t="shared" ref="I1582:I1593" si="160">ROUND(IF(AND(F1582:H1582),C1582*E1582*F1582*G1582*H1582,IF(AND(F1582,G1582),C1582*E1582*F1582*G1582,IF(AND(F1582,H1582),C1582*E1582*F1582*H1582,IF(AND(G1582,H1582),C1582*E1582*G1582*H1582,IF(F1582,C1582*E1582*F1582,IF(G1582,C1582*E1582*G1582,IF(H1582,C1582*E1582*H1582,C1582*E1582))))))),2)</f>
        <v>1.1100000000000001</v>
      </c>
      <c r="J1582" s="955" t="s">
        <v>102</v>
      </c>
      <c r="K1582" s="902"/>
      <c r="L1582" s="923"/>
      <c r="M1582" s="902"/>
      <c r="N1582" s="900" t="s">
        <v>2209</v>
      </c>
    </row>
    <row r="1583" spans="1:14" s="910" customFormat="1" ht="16.5" hidden="1" customHeight="1">
      <c r="A1583" s="896"/>
      <c r="B1583" s="911"/>
      <c r="C1583" s="912">
        <v>1</v>
      </c>
      <c r="D1583" s="913" t="s">
        <v>273</v>
      </c>
      <c r="E1583" s="914">
        <v>1</v>
      </c>
      <c r="F1583" s="915">
        <v>10</v>
      </c>
      <c r="G1583" s="915">
        <v>0</v>
      </c>
      <c r="H1583" s="915">
        <v>0.1</v>
      </c>
      <c r="I1583" s="916">
        <f t="shared" si="160"/>
        <v>1</v>
      </c>
      <c r="J1583" s="955" t="s">
        <v>102</v>
      </c>
      <c r="K1583" s="902"/>
      <c r="L1583" s="923"/>
      <c r="M1583" s="902"/>
      <c r="N1583" s="900" t="s">
        <v>2209</v>
      </c>
    </row>
    <row r="1584" spans="1:14" s="910" customFormat="1" ht="16.5" hidden="1" customHeight="1">
      <c r="A1584" s="896"/>
      <c r="B1584" s="911"/>
      <c r="C1584" s="912">
        <v>1</v>
      </c>
      <c r="D1584" s="913" t="s">
        <v>273</v>
      </c>
      <c r="E1584" s="914">
        <v>1</v>
      </c>
      <c r="F1584" s="915">
        <v>11.02</v>
      </c>
      <c r="G1584" s="915">
        <v>0</v>
      </c>
      <c r="H1584" s="915">
        <v>0.1</v>
      </c>
      <c r="I1584" s="916">
        <f t="shared" si="160"/>
        <v>1.1000000000000001</v>
      </c>
      <c r="J1584" s="955" t="s">
        <v>102</v>
      </c>
      <c r="K1584" s="902"/>
      <c r="L1584" s="923"/>
      <c r="M1584" s="902"/>
      <c r="N1584" s="900" t="s">
        <v>2209</v>
      </c>
    </row>
    <row r="1585" spans="1:14" s="910" customFormat="1" ht="16.5" hidden="1" customHeight="1">
      <c r="A1585" s="896"/>
      <c r="B1585" s="911"/>
      <c r="C1585" s="912">
        <v>1</v>
      </c>
      <c r="D1585" s="913" t="s">
        <v>273</v>
      </c>
      <c r="E1585" s="914">
        <v>1</v>
      </c>
      <c r="F1585" s="915">
        <v>8.86</v>
      </c>
      <c r="G1585" s="915">
        <v>0</v>
      </c>
      <c r="H1585" s="915">
        <v>0.1</v>
      </c>
      <c r="I1585" s="916">
        <f t="shared" si="160"/>
        <v>0.89</v>
      </c>
      <c r="J1585" s="955" t="s">
        <v>102</v>
      </c>
      <c r="K1585" s="902"/>
      <c r="L1585" s="923"/>
      <c r="M1585" s="902"/>
      <c r="N1585" s="900" t="s">
        <v>2209</v>
      </c>
    </row>
    <row r="1586" spans="1:14" s="910" customFormat="1" ht="16.5" hidden="1" customHeight="1">
      <c r="A1586" s="896"/>
      <c r="B1586" s="911"/>
      <c r="C1586" s="912">
        <v>1</v>
      </c>
      <c r="D1586" s="913" t="s">
        <v>273</v>
      </c>
      <c r="E1586" s="914">
        <v>1</v>
      </c>
      <c r="F1586" s="915">
        <v>19.48</v>
      </c>
      <c r="G1586" s="915">
        <v>0</v>
      </c>
      <c r="H1586" s="915">
        <v>0.1</v>
      </c>
      <c r="I1586" s="916">
        <f t="shared" si="160"/>
        <v>1.95</v>
      </c>
      <c r="J1586" s="955" t="s">
        <v>102</v>
      </c>
      <c r="K1586" s="902"/>
      <c r="L1586" s="923"/>
      <c r="M1586" s="902"/>
      <c r="N1586" s="900" t="s">
        <v>2209</v>
      </c>
    </row>
    <row r="1587" spans="1:14" s="910" customFormat="1" ht="16.5" hidden="1" customHeight="1">
      <c r="A1587" s="896"/>
      <c r="B1587" s="911"/>
      <c r="C1587" s="912">
        <v>1</v>
      </c>
      <c r="D1587" s="913" t="s">
        <v>273</v>
      </c>
      <c r="E1587" s="914">
        <v>1</v>
      </c>
      <c r="F1587" s="915">
        <v>18.28</v>
      </c>
      <c r="G1587" s="915">
        <v>0</v>
      </c>
      <c r="H1587" s="915">
        <v>0.1</v>
      </c>
      <c r="I1587" s="916">
        <f t="shared" si="160"/>
        <v>1.83</v>
      </c>
      <c r="J1587" s="955" t="s">
        <v>102</v>
      </c>
      <c r="K1587" s="902"/>
      <c r="L1587" s="923"/>
      <c r="M1587" s="902"/>
      <c r="N1587" s="900" t="s">
        <v>2209</v>
      </c>
    </row>
    <row r="1588" spans="1:14" s="910" customFormat="1" ht="16.5" hidden="1" customHeight="1">
      <c r="A1588" s="896"/>
      <c r="B1588" s="911"/>
      <c r="C1588" s="912">
        <v>2</v>
      </c>
      <c r="D1588" s="913" t="s">
        <v>273</v>
      </c>
      <c r="E1588" s="914">
        <v>2</v>
      </c>
      <c r="F1588" s="915">
        <v>0.6</v>
      </c>
      <c r="G1588" s="915">
        <v>0</v>
      </c>
      <c r="H1588" s="915">
        <v>0.1</v>
      </c>
      <c r="I1588" s="916">
        <f t="shared" si="160"/>
        <v>0.24</v>
      </c>
      <c r="J1588" s="955" t="s">
        <v>102</v>
      </c>
      <c r="K1588" s="902"/>
      <c r="L1588" s="923"/>
      <c r="M1588" s="902"/>
      <c r="N1588" s="900" t="s">
        <v>2209</v>
      </c>
    </row>
    <row r="1589" spans="1:14" s="910" customFormat="1" ht="16.5" hidden="1" customHeight="1">
      <c r="A1589" s="896"/>
      <c r="B1589" s="911"/>
      <c r="C1589" s="912">
        <v>1</v>
      </c>
      <c r="D1589" s="913" t="s">
        <v>273</v>
      </c>
      <c r="E1589" s="914">
        <v>2</v>
      </c>
      <c r="F1589" s="915">
        <v>0.5</v>
      </c>
      <c r="G1589" s="915">
        <v>0</v>
      </c>
      <c r="H1589" s="915">
        <v>0.1</v>
      </c>
      <c r="I1589" s="916">
        <f t="shared" si="160"/>
        <v>0.1</v>
      </c>
      <c r="J1589" s="955" t="s">
        <v>102</v>
      </c>
      <c r="K1589" s="902"/>
      <c r="L1589" s="923"/>
      <c r="M1589" s="902"/>
      <c r="N1589" s="900" t="s">
        <v>2209</v>
      </c>
    </row>
    <row r="1590" spans="1:14" s="910" customFormat="1" ht="16.5" hidden="1" customHeight="1">
      <c r="A1590" s="896"/>
      <c r="B1590" s="911"/>
      <c r="C1590" s="912">
        <v>1</v>
      </c>
      <c r="D1590" s="913" t="s">
        <v>273</v>
      </c>
      <c r="E1590" s="914">
        <v>2</v>
      </c>
      <c r="F1590" s="915">
        <v>0.5</v>
      </c>
      <c r="G1590" s="915">
        <v>0</v>
      </c>
      <c r="H1590" s="915">
        <v>0.1</v>
      </c>
      <c r="I1590" s="916">
        <f t="shared" si="160"/>
        <v>0.1</v>
      </c>
      <c r="J1590" s="955" t="s">
        <v>102</v>
      </c>
      <c r="K1590" s="902"/>
      <c r="L1590" s="923"/>
      <c r="M1590" s="902"/>
      <c r="N1590" s="900" t="s">
        <v>2209</v>
      </c>
    </row>
    <row r="1591" spans="1:14" s="910" customFormat="1" ht="16.5" hidden="1" customHeight="1">
      <c r="A1591" s="896"/>
      <c r="B1591" s="911"/>
      <c r="C1591" s="912">
        <v>1</v>
      </c>
      <c r="D1591" s="913" t="s">
        <v>273</v>
      </c>
      <c r="E1591" s="914">
        <v>2</v>
      </c>
      <c r="F1591" s="915">
        <v>0.57999999999999996</v>
      </c>
      <c r="G1591" s="915">
        <v>0</v>
      </c>
      <c r="H1591" s="915">
        <v>0.1</v>
      </c>
      <c r="I1591" s="916">
        <f t="shared" si="160"/>
        <v>0.12</v>
      </c>
      <c r="J1591" s="955" t="s">
        <v>102</v>
      </c>
      <c r="K1591" s="902"/>
      <c r="L1591" s="923"/>
      <c r="M1591" s="902"/>
      <c r="N1591" s="900" t="s">
        <v>2209</v>
      </c>
    </row>
    <row r="1592" spans="1:14" s="910" customFormat="1" ht="16.5" hidden="1" customHeight="1">
      <c r="A1592" s="896"/>
      <c r="B1592" s="911"/>
      <c r="C1592" s="912">
        <v>1</v>
      </c>
      <c r="D1592" s="913" t="s">
        <v>273</v>
      </c>
      <c r="E1592" s="914">
        <v>1</v>
      </c>
      <c r="F1592" s="915">
        <v>1.1499999999999999</v>
      </c>
      <c r="G1592" s="915">
        <v>0</v>
      </c>
      <c r="H1592" s="915">
        <v>0.1</v>
      </c>
      <c r="I1592" s="916">
        <f t="shared" si="160"/>
        <v>0.12</v>
      </c>
      <c r="J1592" s="955" t="s">
        <v>102</v>
      </c>
      <c r="K1592" s="902"/>
      <c r="L1592" s="923"/>
      <c r="M1592" s="902"/>
      <c r="N1592" s="900" t="s">
        <v>2209</v>
      </c>
    </row>
    <row r="1593" spans="1:14" s="910" customFormat="1" ht="16.5" hidden="1" customHeight="1">
      <c r="A1593" s="896"/>
      <c r="B1593" s="911"/>
      <c r="C1593" s="912">
        <v>1</v>
      </c>
      <c r="D1593" s="913" t="s">
        <v>273</v>
      </c>
      <c r="E1593" s="914">
        <v>2</v>
      </c>
      <c r="F1593" s="915">
        <v>0.8</v>
      </c>
      <c r="G1593" s="915">
        <v>0</v>
      </c>
      <c r="H1593" s="915">
        <v>0.1</v>
      </c>
      <c r="I1593" s="916">
        <f t="shared" si="160"/>
        <v>0.16</v>
      </c>
      <c r="J1593" s="955" t="s">
        <v>102</v>
      </c>
      <c r="K1593" s="902"/>
      <c r="L1593" s="923"/>
      <c r="M1593" s="902"/>
      <c r="N1593" s="900" t="s">
        <v>2209</v>
      </c>
    </row>
    <row r="1594" spans="1:14" s="910" customFormat="1" ht="16.5" hidden="1" customHeight="1">
      <c r="A1594" s="896"/>
      <c r="B1594" s="911"/>
      <c r="C1594" s="912">
        <v>1</v>
      </c>
      <c r="D1594" s="913" t="s">
        <v>273</v>
      </c>
      <c r="E1594" s="914">
        <v>1</v>
      </c>
      <c r="F1594" s="915">
        <v>1.2</v>
      </c>
      <c r="G1594" s="915">
        <v>0</v>
      </c>
      <c r="H1594" s="915">
        <v>0.1</v>
      </c>
      <c r="I1594" s="916">
        <f>-ROUND(IF(AND(F1594:H1594),C1594*E1594*F1594*G1594*H1594,IF(AND(F1594,G1594),C1594*E1594*F1594*G1594,IF(AND(F1594,H1594),C1594*E1594*F1594*H1594,IF(AND(G1594,H1594),C1594*E1594*G1594*H1594,IF(F1594,C1594*E1594*F1594,IF(G1594,C1594*E1594*G1594,IF(H1594,C1594*E1594*H1594,C1594*E1594))))))),2)</f>
        <v>-0.12</v>
      </c>
      <c r="J1594" s="955" t="s">
        <v>102</v>
      </c>
      <c r="K1594" s="902"/>
      <c r="L1594" s="923"/>
      <c r="M1594" s="902"/>
      <c r="N1594" s="900" t="s">
        <v>2209</v>
      </c>
    </row>
    <row r="1595" spans="1:14" s="910" customFormat="1" ht="16.5" hidden="1" customHeight="1">
      <c r="A1595" s="896"/>
      <c r="B1595" s="911"/>
      <c r="C1595" s="912">
        <v>1</v>
      </c>
      <c r="D1595" s="913" t="s">
        <v>273</v>
      </c>
      <c r="E1595" s="914">
        <v>2</v>
      </c>
      <c r="F1595" s="915">
        <v>0.9</v>
      </c>
      <c r="G1595" s="915">
        <v>0</v>
      </c>
      <c r="H1595" s="915">
        <v>0.1</v>
      </c>
      <c r="I1595" s="916">
        <f>-ROUND(IF(AND(F1595:H1595),C1595*E1595*F1595*G1595*H1595,IF(AND(F1595,G1595),C1595*E1595*F1595*G1595,IF(AND(F1595,H1595),C1595*E1595*F1595*H1595,IF(AND(G1595,H1595),C1595*E1595*G1595*H1595,IF(F1595,C1595*E1595*F1595,IF(G1595,C1595*E1595*G1595,IF(H1595,C1595*E1595*H1595,C1595*E1595))))))),2)</f>
        <v>-0.18</v>
      </c>
      <c r="J1595" s="955" t="s">
        <v>102</v>
      </c>
      <c r="K1595" s="902"/>
      <c r="L1595" s="923"/>
      <c r="M1595" s="902"/>
      <c r="N1595" s="900" t="s">
        <v>2209</v>
      </c>
    </row>
    <row r="1596" spans="1:14" s="910" customFormat="1" ht="16.5" hidden="1" customHeight="1">
      <c r="A1596" s="896"/>
      <c r="B1596" s="911"/>
      <c r="C1596" s="912">
        <v>2</v>
      </c>
      <c r="D1596" s="913" t="s">
        <v>273</v>
      </c>
      <c r="E1596" s="914">
        <v>2</v>
      </c>
      <c r="F1596" s="915">
        <v>0.9</v>
      </c>
      <c r="G1596" s="915">
        <v>0</v>
      </c>
      <c r="H1596" s="915">
        <v>0.1</v>
      </c>
      <c r="I1596" s="916">
        <f>-ROUND(IF(AND(F1596:H1596),C1596*E1596*F1596*G1596*H1596,IF(AND(F1596,G1596),C1596*E1596*F1596*G1596,IF(AND(F1596,H1596),C1596*E1596*F1596*H1596,IF(AND(G1596,H1596),C1596*E1596*G1596*H1596,IF(F1596,C1596*E1596*F1596,IF(G1596,C1596*E1596*G1596,IF(H1596,C1596*E1596*H1596,C1596*E1596))))))),2)</f>
        <v>-0.36</v>
      </c>
      <c r="J1596" s="955" t="s">
        <v>102</v>
      </c>
      <c r="K1596" s="902"/>
      <c r="L1596" s="923"/>
      <c r="M1596" s="902"/>
      <c r="N1596" s="900" t="s">
        <v>2209</v>
      </c>
    </row>
    <row r="1597" spans="1:14" s="910" customFormat="1" ht="16.5" hidden="1" customHeight="1">
      <c r="A1597" s="896"/>
      <c r="B1597" s="911"/>
      <c r="C1597" s="912">
        <v>1</v>
      </c>
      <c r="D1597" s="913" t="s">
        <v>273</v>
      </c>
      <c r="E1597" s="914">
        <v>1</v>
      </c>
      <c r="F1597" s="915">
        <v>0.78</v>
      </c>
      <c r="G1597" s="915">
        <v>0</v>
      </c>
      <c r="H1597" s="915">
        <v>0.1</v>
      </c>
      <c r="I1597" s="916">
        <f>-ROUND(IF(AND(F1597:H1597),C1597*E1597*F1597*G1597*H1597,IF(AND(F1597,G1597),C1597*E1597*F1597*G1597,IF(AND(F1597,H1597),C1597*E1597*F1597*H1597,IF(AND(G1597,H1597),C1597*E1597*G1597*H1597,IF(F1597,C1597*E1597*F1597,IF(G1597,C1597*E1597*G1597,IF(H1597,C1597*E1597*H1597,C1597*E1597))))))),2)</f>
        <v>-0.08</v>
      </c>
      <c r="J1597" s="955" t="s">
        <v>102</v>
      </c>
      <c r="K1597" s="902"/>
      <c r="L1597" s="923"/>
      <c r="M1597" s="902"/>
      <c r="N1597" s="900" t="s">
        <v>2209</v>
      </c>
    </row>
    <row r="1598" spans="1:14" s="910" customFormat="1" ht="16.5" hidden="1" customHeight="1">
      <c r="A1598" s="896"/>
      <c r="B1598" s="911"/>
      <c r="C1598" s="912">
        <v>1</v>
      </c>
      <c r="D1598" s="913" t="s">
        <v>273</v>
      </c>
      <c r="E1598" s="914">
        <v>1</v>
      </c>
      <c r="F1598" s="915">
        <v>0.9</v>
      </c>
      <c r="G1598" s="915">
        <v>0</v>
      </c>
      <c r="H1598" s="915">
        <v>0.1</v>
      </c>
      <c r="I1598" s="916">
        <f>-ROUND(IF(AND(F1598:H1598),C1598*E1598*F1598*G1598*H1598,IF(AND(F1598,G1598),C1598*E1598*F1598*G1598,IF(AND(F1598,H1598),C1598*E1598*F1598*H1598,IF(AND(G1598,H1598),C1598*E1598*G1598*H1598,IF(F1598,C1598*E1598*F1598,IF(G1598,C1598*E1598*G1598,IF(H1598,C1598*E1598*H1598,C1598*E1598))))))),2)</f>
        <v>-0.09</v>
      </c>
      <c r="J1598" s="955" t="s">
        <v>102</v>
      </c>
      <c r="K1598" s="902"/>
      <c r="L1598" s="923"/>
      <c r="M1598" s="902"/>
      <c r="N1598" s="900" t="s">
        <v>2209</v>
      </c>
    </row>
    <row r="1599" spans="1:14" s="910" customFormat="1" ht="16.5" hidden="1" customHeight="1">
      <c r="A1599" s="896"/>
      <c r="B1599" s="956"/>
      <c r="C1599" s="957"/>
      <c r="D1599" s="958"/>
      <c r="E1599" s="1268"/>
      <c r="F1599" s="960"/>
      <c r="G1599" s="960"/>
      <c r="H1599" s="960"/>
      <c r="I1599" s="916"/>
      <c r="J1599" s="955"/>
      <c r="K1599" s="902"/>
      <c r="L1599" s="923"/>
      <c r="M1599" s="902"/>
      <c r="N1599" s="900" t="s">
        <v>2209</v>
      </c>
    </row>
    <row r="1600" spans="1:14" ht="15.75" hidden="1">
      <c r="A1600" s="896"/>
      <c r="B1600" s="902"/>
      <c r="C1600" s="917"/>
      <c r="D1600" s="918"/>
      <c r="E1600" s="919"/>
      <c r="F1600" s="920"/>
      <c r="G1600" s="921"/>
      <c r="H1600" s="896"/>
      <c r="I1600" s="916"/>
      <c r="J1600" s="955" t="s">
        <v>102</v>
      </c>
      <c r="K1600" s="922">
        <f>data!E698</f>
        <v>986.97</v>
      </c>
      <c r="L1600" s="923" t="s">
        <v>2209</v>
      </c>
      <c r="M1600" s="924">
        <f>ROUND(I1600*K1600,0)</f>
        <v>0</v>
      </c>
      <c r="N1600" s="900" t="s">
        <v>2209</v>
      </c>
    </row>
    <row r="1601" spans="1:14" ht="79.5" hidden="1" customHeight="1">
      <c r="A1601" s="896">
        <v>22</v>
      </c>
      <c r="B1601" s="1609" t="s">
        <v>213</v>
      </c>
      <c r="C1601" s="1609"/>
      <c r="D1601" s="1609"/>
      <c r="E1601" s="1609"/>
      <c r="F1601" s="1609"/>
      <c r="G1601" s="1609"/>
      <c r="H1601" s="1609"/>
      <c r="I1601" s="897"/>
      <c r="J1601" s="898"/>
      <c r="K1601" s="896"/>
      <c r="L1601" s="923"/>
      <c r="M1601" s="899"/>
      <c r="N1601" s="900" t="s">
        <v>2297</v>
      </c>
    </row>
    <row r="1602" spans="1:14" s="910" customFormat="1" ht="16.5" hidden="1" customHeight="1">
      <c r="A1602" s="896"/>
      <c r="B1602" s="902" t="s">
        <v>3596</v>
      </c>
      <c r="C1602" s="903"/>
      <c r="D1602" s="954" t="s">
        <v>3643</v>
      </c>
      <c r="E1602" s="905"/>
      <c r="F1602" s="906"/>
      <c r="G1602" s="906"/>
      <c r="H1602" s="907"/>
      <c r="I1602" s="908"/>
      <c r="J1602" s="955"/>
      <c r="K1602" s="902"/>
      <c r="L1602" s="923"/>
      <c r="M1602" s="902"/>
      <c r="N1602" s="900" t="s">
        <v>2297</v>
      </c>
    </row>
    <row r="1603" spans="1:14" s="910" customFormat="1" ht="16.5" hidden="1" customHeight="1">
      <c r="A1603" s="896"/>
      <c r="B1603" s="911" t="s">
        <v>3594</v>
      </c>
      <c r="C1603" s="912">
        <v>1</v>
      </c>
      <c r="D1603" s="913" t="s">
        <v>273</v>
      </c>
      <c r="E1603" s="914">
        <v>1</v>
      </c>
      <c r="F1603" s="915">
        <v>19.3</v>
      </c>
      <c r="G1603" s="915">
        <v>0</v>
      </c>
      <c r="H1603" s="915">
        <v>0.1</v>
      </c>
      <c r="I1603" s="916">
        <f t="shared" ref="I1603" si="161">ROUND(IF(AND(F1603:H1603),C1603*E1603*F1603*G1603*H1603,IF(AND(F1603,G1603),C1603*E1603*F1603*G1603,IF(AND(F1603,H1603),C1603*E1603*F1603*H1603,IF(AND(G1603,H1603),C1603*E1603*G1603*H1603,IF(F1603,C1603*E1603*F1603,IF(G1603,C1603*E1603*G1603,IF(H1603,C1603*E1603*H1603,C1603*E1603))))))),2)</f>
        <v>1.93</v>
      </c>
      <c r="J1603" s="955" t="s">
        <v>102</v>
      </c>
      <c r="K1603" s="902"/>
      <c r="L1603" s="923"/>
      <c r="M1603" s="902"/>
      <c r="N1603" s="900" t="s">
        <v>2297</v>
      </c>
    </row>
    <row r="1604" spans="1:14" s="910" customFormat="1" ht="16.5" hidden="1" customHeight="1">
      <c r="A1604" s="896"/>
      <c r="B1604" s="911" t="s">
        <v>579</v>
      </c>
      <c r="C1604" s="912">
        <v>1</v>
      </c>
      <c r="D1604" s="913" t="s">
        <v>273</v>
      </c>
      <c r="E1604" s="914">
        <v>1</v>
      </c>
      <c r="F1604" s="915">
        <v>1.2</v>
      </c>
      <c r="G1604" s="915">
        <v>0</v>
      </c>
      <c r="H1604" s="915">
        <v>0.1</v>
      </c>
      <c r="I1604" s="916">
        <f>-ROUND(IF(AND(F1604:H1604),C1604*E1604*F1604*G1604*H1604,IF(AND(F1604,G1604),C1604*E1604*F1604*G1604,IF(AND(F1604,H1604),C1604*E1604*F1604*H1604,IF(AND(G1604,H1604),C1604*E1604*G1604*H1604,IF(F1604,C1604*E1604*F1604,IF(G1604,C1604*E1604*G1604,IF(H1604,C1604*E1604*H1604,C1604*E1604))))))),2)</f>
        <v>-0.12</v>
      </c>
      <c r="J1604" s="955" t="s">
        <v>102</v>
      </c>
      <c r="K1604" s="902"/>
      <c r="L1604" s="923"/>
      <c r="M1604" s="902"/>
      <c r="N1604" s="900" t="s">
        <v>2297</v>
      </c>
    </row>
    <row r="1605" spans="1:14" s="910" customFormat="1" ht="16.5" hidden="1" customHeight="1">
      <c r="A1605" s="896"/>
      <c r="B1605" s="911" t="s">
        <v>579</v>
      </c>
      <c r="C1605" s="912">
        <v>1</v>
      </c>
      <c r="D1605" s="913" t="s">
        <v>273</v>
      </c>
      <c r="E1605" s="914">
        <v>1</v>
      </c>
      <c r="F1605" s="915">
        <v>0.9</v>
      </c>
      <c r="G1605" s="915">
        <v>0</v>
      </c>
      <c r="H1605" s="915">
        <v>0.1</v>
      </c>
      <c r="I1605" s="916">
        <f>-ROUND(IF(AND(F1605:H1605),C1605*E1605*F1605*G1605*H1605,IF(AND(F1605,G1605),C1605*E1605*F1605*G1605,IF(AND(F1605,H1605),C1605*E1605*F1605*H1605,IF(AND(G1605,H1605),C1605*E1605*G1605*H1605,IF(F1605,C1605*E1605*F1605,IF(G1605,C1605*E1605*G1605,IF(H1605,C1605*E1605*H1605,C1605*E1605))))))),2)</f>
        <v>-0.09</v>
      </c>
      <c r="J1605" s="955" t="s">
        <v>102</v>
      </c>
      <c r="K1605" s="902"/>
      <c r="L1605" s="923"/>
      <c r="M1605" s="902"/>
      <c r="N1605" s="900" t="s">
        <v>2297</v>
      </c>
    </row>
    <row r="1606" spans="1:14" s="910" customFormat="1" ht="16.5" hidden="1" customHeight="1">
      <c r="A1606" s="896"/>
      <c r="B1606" s="911" t="s">
        <v>2500</v>
      </c>
      <c r="C1606" s="912">
        <v>1</v>
      </c>
      <c r="D1606" s="913" t="s">
        <v>273</v>
      </c>
      <c r="E1606" s="914">
        <v>1</v>
      </c>
      <c r="F1606" s="915">
        <v>1.3</v>
      </c>
      <c r="G1606" s="915">
        <v>0</v>
      </c>
      <c r="H1606" s="915">
        <v>0.1</v>
      </c>
      <c r="I1606" s="916">
        <f>-ROUND(IF(AND(F1606:H1606),C1606*E1606*F1606*G1606*H1606,IF(AND(F1606,G1606),C1606*E1606*F1606*G1606,IF(AND(F1606,H1606),C1606*E1606*F1606*H1606,IF(AND(G1606,H1606),C1606*E1606*G1606*H1606,IF(F1606,C1606*E1606*F1606,IF(G1606,C1606*E1606*G1606,IF(H1606,C1606*E1606*H1606,C1606*E1606))))))),2)</f>
        <v>-0.13</v>
      </c>
      <c r="J1606" s="955" t="s">
        <v>102</v>
      </c>
      <c r="K1606" s="902"/>
      <c r="L1606" s="923"/>
      <c r="M1606" s="902"/>
      <c r="N1606" s="900" t="s">
        <v>2297</v>
      </c>
    </row>
    <row r="1607" spans="1:14" s="910" customFormat="1" ht="16.5" hidden="1" customHeight="1">
      <c r="A1607" s="896"/>
      <c r="B1607" s="911" t="s">
        <v>2360</v>
      </c>
      <c r="C1607" s="912">
        <v>1</v>
      </c>
      <c r="D1607" s="913" t="s">
        <v>273</v>
      </c>
      <c r="E1607" s="914">
        <v>1</v>
      </c>
      <c r="F1607" s="915">
        <v>11</v>
      </c>
      <c r="G1607" s="915">
        <v>0</v>
      </c>
      <c r="H1607" s="915">
        <v>0.1</v>
      </c>
      <c r="I1607" s="916">
        <f t="shared" ref="I1607:I1618" si="162">ROUND(IF(AND(F1607:H1607),C1607*E1607*F1607*G1607*H1607,IF(AND(F1607,G1607),C1607*E1607*F1607*G1607,IF(AND(F1607,H1607),C1607*E1607*F1607*H1607,IF(AND(G1607,H1607),C1607*E1607*G1607*H1607,IF(F1607,C1607*E1607*F1607,IF(G1607,C1607*E1607*G1607,IF(H1607,C1607*E1607*H1607,C1607*E1607))))))),2)</f>
        <v>1.1000000000000001</v>
      </c>
      <c r="J1607" s="955" t="s">
        <v>102</v>
      </c>
      <c r="K1607" s="902"/>
      <c r="L1607" s="923"/>
      <c r="M1607" s="902"/>
      <c r="N1607" s="900" t="s">
        <v>2297</v>
      </c>
    </row>
    <row r="1608" spans="1:14" s="910" customFormat="1" ht="16.5" hidden="1" customHeight="1">
      <c r="A1608" s="896"/>
      <c r="B1608" s="911" t="s">
        <v>579</v>
      </c>
      <c r="C1608" s="912">
        <v>1</v>
      </c>
      <c r="D1608" s="913" t="s">
        <v>273</v>
      </c>
      <c r="E1608" s="914">
        <v>1</v>
      </c>
      <c r="F1608" s="915">
        <v>0.9</v>
      </c>
      <c r="G1608" s="915">
        <v>0</v>
      </c>
      <c r="H1608" s="915">
        <v>0.1</v>
      </c>
      <c r="I1608" s="916">
        <f>-ROUND(IF(AND(F1608:H1608),C1608*E1608*F1608*G1608*H1608,IF(AND(F1608,G1608),C1608*E1608*F1608*G1608,IF(AND(F1608,H1608),C1608*E1608*F1608*H1608,IF(AND(G1608,H1608),C1608*E1608*G1608*H1608,IF(F1608,C1608*E1608*F1608,IF(G1608,C1608*E1608*G1608,IF(H1608,C1608*E1608*H1608,C1608*E1608))))))),2)</f>
        <v>-0.09</v>
      </c>
      <c r="J1608" s="955" t="s">
        <v>102</v>
      </c>
      <c r="K1608" s="902"/>
      <c r="L1608" s="923"/>
      <c r="M1608" s="902"/>
      <c r="N1608" s="900" t="s">
        <v>2297</v>
      </c>
    </row>
    <row r="1609" spans="1:14" s="910" customFormat="1" ht="16.5" hidden="1" customHeight="1">
      <c r="A1609" s="896"/>
      <c r="B1609" s="911" t="s">
        <v>3588</v>
      </c>
      <c r="C1609" s="912">
        <v>1</v>
      </c>
      <c r="D1609" s="913" t="s">
        <v>273</v>
      </c>
      <c r="E1609" s="914">
        <v>1</v>
      </c>
      <c r="F1609" s="915">
        <v>3.4</v>
      </c>
      <c r="G1609" s="915">
        <v>0</v>
      </c>
      <c r="H1609" s="915">
        <v>0.1</v>
      </c>
      <c r="I1609" s="916">
        <f t="shared" si="162"/>
        <v>0.34</v>
      </c>
      <c r="J1609" s="955" t="s">
        <v>102</v>
      </c>
      <c r="K1609" s="902"/>
      <c r="L1609" s="923"/>
      <c r="M1609" s="902"/>
      <c r="N1609" s="900" t="s">
        <v>2297</v>
      </c>
    </row>
    <row r="1610" spans="1:14" s="910" customFormat="1" ht="16.5" hidden="1" customHeight="1">
      <c r="A1610" s="896"/>
      <c r="B1610" s="911" t="s">
        <v>579</v>
      </c>
      <c r="C1610" s="912">
        <v>1</v>
      </c>
      <c r="D1610" s="913" t="s">
        <v>273</v>
      </c>
      <c r="E1610" s="914">
        <v>1</v>
      </c>
      <c r="F1610" s="915">
        <v>0.9</v>
      </c>
      <c r="G1610" s="915">
        <v>0</v>
      </c>
      <c r="H1610" s="915">
        <v>0.1</v>
      </c>
      <c r="I1610" s="916">
        <f>-ROUND(IF(AND(F1610:H1610),C1610*E1610*F1610*G1610*H1610,IF(AND(F1610,G1610),C1610*E1610*F1610*G1610,IF(AND(F1610,H1610),C1610*E1610*F1610*H1610,IF(AND(G1610,H1610),C1610*E1610*G1610*H1610,IF(F1610,C1610*E1610*F1610,IF(G1610,C1610*E1610*G1610,IF(H1610,C1610*E1610*H1610,C1610*E1610))))))),2)</f>
        <v>-0.09</v>
      </c>
      <c r="J1610" s="955" t="s">
        <v>102</v>
      </c>
      <c r="K1610" s="902"/>
      <c r="L1610" s="923"/>
      <c r="M1610" s="902"/>
      <c r="N1610" s="900" t="s">
        <v>2297</v>
      </c>
    </row>
    <row r="1611" spans="1:14" s="910" customFormat="1" ht="16.5" hidden="1" customHeight="1">
      <c r="A1611" s="896"/>
      <c r="B1611" s="911" t="s">
        <v>2521</v>
      </c>
      <c r="C1611" s="912">
        <v>1</v>
      </c>
      <c r="D1611" s="913" t="s">
        <v>273</v>
      </c>
      <c r="E1611" s="914">
        <v>1</v>
      </c>
      <c r="F1611" s="915">
        <v>9.8000000000000007</v>
      </c>
      <c r="G1611" s="915">
        <v>0</v>
      </c>
      <c r="H1611" s="915">
        <v>0.1</v>
      </c>
      <c r="I1611" s="916">
        <f t="shared" si="162"/>
        <v>0.98</v>
      </c>
      <c r="J1611" s="955" t="s">
        <v>102</v>
      </c>
      <c r="K1611" s="902"/>
      <c r="L1611" s="923"/>
      <c r="M1611" s="902"/>
      <c r="N1611" s="900" t="s">
        <v>2297</v>
      </c>
    </row>
    <row r="1612" spans="1:14" s="910" customFormat="1" ht="16.5" hidden="1" customHeight="1">
      <c r="A1612" s="896"/>
      <c r="B1612" s="911" t="s">
        <v>579</v>
      </c>
      <c r="C1612" s="912">
        <v>1</v>
      </c>
      <c r="D1612" s="913" t="s">
        <v>273</v>
      </c>
      <c r="E1612" s="914">
        <v>1</v>
      </c>
      <c r="F1612" s="915">
        <v>0.9</v>
      </c>
      <c r="G1612" s="915">
        <v>0</v>
      </c>
      <c r="H1612" s="915">
        <v>0.1</v>
      </c>
      <c r="I1612" s="916">
        <f>-ROUND(IF(AND(F1612:H1612),C1612*E1612*F1612*G1612*H1612,IF(AND(F1612,G1612),C1612*E1612*F1612*G1612,IF(AND(F1612,H1612),C1612*E1612*F1612*H1612,IF(AND(G1612,H1612),C1612*E1612*G1612*H1612,IF(F1612,C1612*E1612*F1612,IF(G1612,C1612*E1612*G1612,IF(H1612,C1612*E1612*H1612,C1612*E1612))))))),2)</f>
        <v>-0.09</v>
      </c>
      <c r="J1612" s="955" t="s">
        <v>102</v>
      </c>
      <c r="K1612" s="902"/>
      <c r="L1612" s="923"/>
      <c r="M1612" s="902"/>
      <c r="N1612" s="900" t="s">
        <v>2297</v>
      </c>
    </row>
    <row r="1613" spans="1:14" s="910" customFormat="1" ht="16.5" hidden="1" customHeight="1">
      <c r="A1613" s="896"/>
      <c r="B1613" s="911" t="s">
        <v>2355</v>
      </c>
      <c r="C1613" s="912">
        <v>1</v>
      </c>
      <c r="D1613" s="913" t="s">
        <v>273</v>
      </c>
      <c r="E1613" s="914">
        <v>1</v>
      </c>
      <c r="F1613" s="915">
        <v>17.8</v>
      </c>
      <c r="G1613" s="915">
        <v>0</v>
      </c>
      <c r="H1613" s="915">
        <v>0.1</v>
      </c>
      <c r="I1613" s="916">
        <f t="shared" si="162"/>
        <v>1.78</v>
      </c>
      <c r="J1613" s="955" t="s">
        <v>102</v>
      </c>
      <c r="K1613" s="902"/>
      <c r="L1613" s="923"/>
      <c r="M1613" s="902"/>
      <c r="N1613" s="900" t="s">
        <v>2297</v>
      </c>
    </row>
    <row r="1614" spans="1:14" s="910" customFormat="1" ht="16.5" hidden="1" customHeight="1">
      <c r="A1614" s="896"/>
      <c r="B1614" s="911" t="s">
        <v>579</v>
      </c>
      <c r="C1614" s="912">
        <v>1</v>
      </c>
      <c r="D1614" s="913" t="s">
        <v>273</v>
      </c>
      <c r="E1614" s="914">
        <v>1</v>
      </c>
      <c r="F1614" s="915">
        <v>1</v>
      </c>
      <c r="G1614" s="915">
        <v>0</v>
      </c>
      <c r="H1614" s="915">
        <v>0.1</v>
      </c>
      <c r="I1614" s="916">
        <f>-ROUND(IF(AND(F1614:H1614),C1614*E1614*F1614*G1614*H1614,IF(AND(F1614,G1614),C1614*E1614*F1614*G1614,IF(AND(F1614,H1614),C1614*E1614*F1614*H1614,IF(AND(G1614,H1614),C1614*E1614*G1614*H1614,IF(F1614,C1614*E1614*F1614,IF(G1614,C1614*E1614*G1614,IF(H1614,C1614*E1614*H1614,C1614*E1614))))))),2)</f>
        <v>-0.1</v>
      </c>
      <c r="J1614" s="955" t="s">
        <v>102</v>
      </c>
      <c r="K1614" s="902"/>
      <c r="L1614" s="923"/>
      <c r="M1614" s="902"/>
      <c r="N1614" s="900" t="s">
        <v>2297</v>
      </c>
    </row>
    <row r="1615" spans="1:14" s="910" customFormat="1" ht="16.5" hidden="1" customHeight="1">
      <c r="A1615" s="896"/>
      <c r="B1615" s="911" t="s">
        <v>579</v>
      </c>
      <c r="C1615" s="912">
        <v>1</v>
      </c>
      <c r="D1615" s="913" t="s">
        <v>273</v>
      </c>
      <c r="E1615" s="914">
        <v>1</v>
      </c>
      <c r="F1615" s="915">
        <v>0.9</v>
      </c>
      <c r="G1615" s="915">
        <v>0</v>
      </c>
      <c r="H1615" s="915">
        <v>0.1</v>
      </c>
      <c r="I1615" s="916">
        <f>-ROUND(IF(AND(F1615:H1615),C1615*E1615*F1615*G1615*H1615,IF(AND(F1615,G1615),C1615*E1615*F1615*G1615,IF(AND(F1615,H1615),C1615*E1615*F1615*H1615,IF(AND(G1615,H1615),C1615*E1615*G1615*H1615,IF(F1615,C1615*E1615*F1615,IF(G1615,C1615*E1615*G1615,IF(H1615,C1615*E1615*H1615,C1615*E1615))))))),2)</f>
        <v>-0.09</v>
      </c>
      <c r="J1615" s="955" t="s">
        <v>102</v>
      </c>
      <c r="K1615" s="902"/>
      <c r="L1615" s="923"/>
      <c r="M1615" s="902"/>
      <c r="N1615" s="900" t="s">
        <v>2297</v>
      </c>
    </row>
    <row r="1616" spans="1:14" s="910" customFormat="1" ht="16.5" hidden="1" customHeight="1">
      <c r="A1616" s="896"/>
      <c r="B1616" s="911" t="s">
        <v>579</v>
      </c>
      <c r="C1616" s="912">
        <v>1</v>
      </c>
      <c r="D1616" s="913" t="s">
        <v>273</v>
      </c>
      <c r="E1616" s="914">
        <v>1</v>
      </c>
      <c r="F1616" s="915">
        <v>0.75</v>
      </c>
      <c r="G1616" s="915">
        <v>0</v>
      </c>
      <c r="H1616" s="915">
        <v>0.1</v>
      </c>
      <c r="I1616" s="916">
        <f>-ROUND(IF(AND(F1616:H1616),C1616*E1616*F1616*G1616*H1616,IF(AND(F1616,G1616),C1616*E1616*F1616*G1616,IF(AND(F1616,H1616),C1616*E1616*F1616*H1616,IF(AND(G1616,H1616),C1616*E1616*G1616*H1616,IF(F1616,C1616*E1616*F1616,IF(G1616,C1616*E1616*G1616,IF(H1616,C1616*E1616*H1616,C1616*E1616))))))),2)</f>
        <v>-0.08</v>
      </c>
      <c r="J1616" s="955" t="s">
        <v>102</v>
      </c>
      <c r="K1616" s="902"/>
      <c r="L1616" s="923"/>
      <c r="M1616" s="902"/>
      <c r="N1616" s="900" t="s">
        <v>2297</v>
      </c>
    </row>
    <row r="1617" spans="1:14" s="910" customFormat="1" ht="16.5" hidden="1" customHeight="1">
      <c r="A1617" s="896"/>
      <c r="B1617" s="911" t="s">
        <v>1533</v>
      </c>
      <c r="C1617" s="912">
        <v>1</v>
      </c>
      <c r="D1617" s="913" t="s">
        <v>273</v>
      </c>
      <c r="E1617" s="914">
        <v>1</v>
      </c>
      <c r="F1617" s="915">
        <v>1.05</v>
      </c>
      <c r="G1617" s="915">
        <v>0</v>
      </c>
      <c r="H1617" s="915">
        <v>0.1</v>
      </c>
      <c r="I1617" s="916">
        <f>-ROUND(IF(AND(F1617:H1617),C1617*E1617*F1617*G1617*H1617,IF(AND(F1617,G1617),C1617*E1617*F1617*G1617,IF(AND(F1617,H1617),C1617*E1617*F1617*H1617,IF(AND(G1617,H1617),C1617*E1617*G1617*H1617,IF(F1617,C1617*E1617*F1617,IF(G1617,C1617*E1617*G1617,IF(H1617,C1617*E1617*H1617,C1617*E1617))))))),2)</f>
        <v>-0.11</v>
      </c>
      <c r="J1617" s="955" t="s">
        <v>102</v>
      </c>
      <c r="K1617" s="902"/>
      <c r="L1617" s="923"/>
      <c r="M1617" s="902"/>
      <c r="N1617" s="900" t="s">
        <v>2297</v>
      </c>
    </row>
    <row r="1618" spans="1:14" s="910" customFormat="1" ht="16.5" hidden="1" customHeight="1">
      <c r="A1618" s="896"/>
      <c r="B1618" s="911" t="s">
        <v>2358</v>
      </c>
      <c r="C1618" s="912">
        <v>1</v>
      </c>
      <c r="D1618" s="913" t="s">
        <v>273</v>
      </c>
      <c r="E1618" s="914">
        <v>1</v>
      </c>
      <c r="F1618" s="915">
        <v>10.6</v>
      </c>
      <c r="G1618" s="915">
        <v>0</v>
      </c>
      <c r="H1618" s="915">
        <v>0.1</v>
      </c>
      <c r="I1618" s="916">
        <f t="shared" si="162"/>
        <v>1.06</v>
      </c>
      <c r="J1618" s="955" t="s">
        <v>102</v>
      </c>
      <c r="K1618" s="902"/>
      <c r="L1618" s="923"/>
      <c r="M1618" s="902"/>
      <c r="N1618" s="900" t="s">
        <v>2297</v>
      </c>
    </row>
    <row r="1619" spans="1:14" s="910" customFormat="1" ht="16.5" hidden="1" customHeight="1">
      <c r="A1619" s="896"/>
      <c r="B1619" s="911" t="s">
        <v>579</v>
      </c>
      <c r="C1619" s="912">
        <v>1</v>
      </c>
      <c r="D1619" s="913" t="s">
        <v>273</v>
      </c>
      <c r="E1619" s="914">
        <v>1</v>
      </c>
      <c r="F1619" s="915">
        <v>0.9</v>
      </c>
      <c r="G1619" s="915">
        <v>0</v>
      </c>
      <c r="H1619" s="915">
        <v>0.1</v>
      </c>
      <c r="I1619" s="916">
        <f>-ROUND(IF(AND(F1619:H1619),C1619*E1619*F1619*G1619*H1619,IF(AND(F1619,G1619),C1619*E1619*F1619*G1619,IF(AND(F1619,H1619),C1619*E1619*F1619*H1619,IF(AND(G1619,H1619),C1619*E1619*G1619*H1619,IF(F1619,C1619*E1619*F1619,IF(G1619,C1619*E1619*G1619,IF(H1619,C1619*E1619*H1619,C1619*E1619))))))),2)</f>
        <v>-0.09</v>
      </c>
      <c r="J1619" s="955" t="s">
        <v>102</v>
      </c>
      <c r="K1619" s="902"/>
      <c r="L1619" s="923"/>
      <c r="M1619" s="902"/>
      <c r="N1619" s="900" t="s">
        <v>2297</v>
      </c>
    </row>
    <row r="1620" spans="1:14" s="910" customFormat="1" ht="16.5" hidden="1" customHeight="1">
      <c r="A1620" s="896"/>
      <c r="B1620" s="911" t="s">
        <v>3595</v>
      </c>
      <c r="C1620" s="912">
        <v>1</v>
      </c>
      <c r="D1620" s="913" t="s">
        <v>273</v>
      </c>
      <c r="E1620" s="914">
        <v>1</v>
      </c>
      <c r="F1620" s="915">
        <v>2.85</v>
      </c>
      <c r="G1620" s="915">
        <v>0</v>
      </c>
      <c r="H1620" s="915">
        <v>0.1</v>
      </c>
      <c r="I1620" s="916">
        <f t="shared" ref="I1620" si="163">ROUND(IF(AND(F1620:H1620),C1620*E1620*F1620*G1620*H1620,IF(AND(F1620,G1620),C1620*E1620*F1620*G1620,IF(AND(F1620,H1620),C1620*E1620*F1620*H1620,IF(AND(G1620,H1620),C1620*E1620*G1620*H1620,IF(F1620,C1620*E1620*F1620,IF(G1620,C1620*E1620*G1620,IF(H1620,C1620*E1620*H1620,C1620*E1620))))))),2)</f>
        <v>0.28999999999999998</v>
      </c>
      <c r="J1620" s="955" t="s">
        <v>102</v>
      </c>
      <c r="K1620" s="902"/>
      <c r="L1620" s="923"/>
      <c r="M1620" s="902"/>
      <c r="N1620" s="900" t="s">
        <v>2297</v>
      </c>
    </row>
    <row r="1621" spans="1:14" s="910" customFormat="1" ht="16.5" hidden="1" customHeight="1">
      <c r="A1621" s="896"/>
      <c r="B1621" s="911" t="s">
        <v>3308</v>
      </c>
      <c r="C1621" s="912">
        <v>1</v>
      </c>
      <c r="D1621" s="913" t="s">
        <v>273</v>
      </c>
      <c r="E1621" s="914">
        <v>1</v>
      </c>
      <c r="F1621" s="915">
        <v>8.8000000000000007</v>
      </c>
      <c r="G1621" s="915">
        <v>0</v>
      </c>
      <c r="H1621" s="915">
        <v>0.1</v>
      </c>
      <c r="I1621" s="916">
        <f t="shared" ref="I1621" si="164">ROUND(IF(AND(F1621:H1621),C1621*E1621*F1621*G1621*H1621,IF(AND(F1621,G1621),C1621*E1621*F1621*G1621,IF(AND(F1621,H1621),C1621*E1621*F1621*H1621,IF(AND(G1621,H1621),C1621*E1621*G1621*H1621,IF(F1621,C1621*E1621*F1621,IF(G1621,C1621*E1621*G1621,IF(H1621,C1621*E1621*H1621,C1621*E1621))))))),2)</f>
        <v>0.88</v>
      </c>
      <c r="J1621" s="955" t="s">
        <v>102</v>
      </c>
      <c r="K1621" s="902"/>
      <c r="L1621" s="923"/>
      <c r="M1621" s="902"/>
      <c r="N1621" s="900" t="s">
        <v>2297</v>
      </c>
    </row>
    <row r="1622" spans="1:14" s="910" customFormat="1" ht="16.5" hidden="1" customHeight="1">
      <c r="A1622" s="896"/>
      <c r="B1622" s="911" t="s">
        <v>579</v>
      </c>
      <c r="C1622" s="912">
        <v>1</v>
      </c>
      <c r="D1622" s="913" t="s">
        <v>273</v>
      </c>
      <c r="E1622" s="914">
        <v>1</v>
      </c>
      <c r="F1622" s="915">
        <v>0.9</v>
      </c>
      <c r="G1622" s="915">
        <v>0</v>
      </c>
      <c r="H1622" s="915">
        <v>0.1</v>
      </c>
      <c r="I1622" s="916">
        <f>-ROUND(IF(AND(F1622:H1622),C1622*E1622*F1622*G1622*H1622,IF(AND(F1622,G1622),C1622*E1622*F1622*G1622,IF(AND(F1622,H1622),C1622*E1622*F1622*H1622,IF(AND(G1622,H1622),C1622*E1622*G1622*H1622,IF(F1622,C1622*E1622*F1622,IF(G1622,C1622*E1622*G1622,IF(H1622,C1622*E1622*H1622,C1622*E1622))))))),2)</f>
        <v>-0.09</v>
      </c>
      <c r="J1622" s="955" t="s">
        <v>102</v>
      </c>
      <c r="K1622" s="902"/>
      <c r="L1622" s="923"/>
      <c r="M1622" s="902"/>
      <c r="N1622" s="900" t="s">
        <v>2297</v>
      </c>
    </row>
    <row r="1623" spans="1:14" s="910" customFormat="1" ht="16.5" hidden="1" customHeight="1">
      <c r="A1623" s="896"/>
      <c r="B1623" s="911" t="s">
        <v>579</v>
      </c>
      <c r="C1623" s="912">
        <v>1</v>
      </c>
      <c r="D1623" s="913" t="s">
        <v>273</v>
      </c>
      <c r="E1623" s="914">
        <v>1</v>
      </c>
      <c r="F1623" s="915">
        <v>0.75</v>
      </c>
      <c r="G1623" s="915">
        <v>0</v>
      </c>
      <c r="H1623" s="915">
        <v>0.1</v>
      </c>
      <c r="I1623" s="916">
        <f>-ROUND(IF(AND(F1623:H1623),C1623*E1623*F1623*G1623*H1623,IF(AND(F1623,G1623),C1623*E1623*F1623*G1623,IF(AND(F1623,H1623),C1623*E1623*F1623*H1623,IF(AND(G1623,H1623),C1623*E1623*G1623*H1623,IF(F1623,C1623*E1623*F1623,IF(G1623,C1623*E1623*G1623,IF(H1623,C1623*E1623*H1623,C1623*E1623))))))),2)</f>
        <v>-0.08</v>
      </c>
      <c r="J1623" s="955" t="s">
        <v>102</v>
      </c>
      <c r="K1623" s="902"/>
      <c r="L1623" s="923"/>
      <c r="M1623" s="902"/>
      <c r="N1623" s="900" t="s">
        <v>2297</v>
      </c>
    </row>
    <row r="1624" spans="1:14" s="910" customFormat="1" ht="16.5" hidden="1" customHeight="1">
      <c r="A1624" s="896"/>
      <c r="B1624" s="956"/>
      <c r="C1624" s="957"/>
      <c r="D1624" s="958"/>
      <c r="E1624" s="1268"/>
      <c r="F1624" s="960"/>
      <c r="G1624" s="960"/>
      <c r="H1624" s="960"/>
      <c r="I1624" s="916"/>
      <c r="J1624" s="955"/>
      <c r="K1624" s="902"/>
      <c r="L1624" s="923"/>
      <c r="M1624" s="902"/>
      <c r="N1624" s="900" t="s">
        <v>2297</v>
      </c>
    </row>
    <row r="1625" spans="1:14" ht="15.75" hidden="1">
      <c r="A1625" s="896"/>
      <c r="B1625" s="902"/>
      <c r="C1625" s="917"/>
      <c r="D1625" s="918"/>
      <c r="E1625" s="919"/>
      <c r="F1625" s="920"/>
      <c r="G1625" s="921"/>
      <c r="H1625" s="896"/>
      <c r="I1625" s="916"/>
      <c r="J1625" s="955" t="s">
        <v>102</v>
      </c>
      <c r="K1625" s="922">
        <f>data!E1615</f>
        <v>1015.1</v>
      </c>
      <c r="L1625" s="923" t="s">
        <v>2297</v>
      </c>
      <c r="M1625" s="924">
        <f>ROUND(I1625*K1625,0)</f>
        <v>0</v>
      </c>
      <c r="N1625" s="900" t="s">
        <v>2297</v>
      </c>
    </row>
    <row r="1626" spans="1:14" ht="79.5" hidden="1" customHeight="1">
      <c r="A1626" s="896">
        <v>26</v>
      </c>
      <c r="B1626" s="1609" t="s">
        <v>213</v>
      </c>
      <c r="C1626" s="1609"/>
      <c r="D1626" s="1609"/>
      <c r="E1626" s="1609"/>
      <c r="F1626" s="1609"/>
      <c r="G1626" s="1609"/>
      <c r="H1626" s="1609"/>
      <c r="I1626" s="897"/>
      <c r="J1626" s="898"/>
      <c r="K1626" s="896"/>
      <c r="L1626" s="923"/>
      <c r="M1626" s="899"/>
      <c r="N1626" s="900" t="s">
        <v>2308</v>
      </c>
    </row>
    <row r="1627" spans="1:14" s="910" customFormat="1" ht="16.5" hidden="1" customHeight="1">
      <c r="A1627" s="896"/>
      <c r="B1627" s="902" t="s">
        <v>3519</v>
      </c>
      <c r="C1627" s="903"/>
      <c r="D1627" s="904"/>
      <c r="E1627" s="905"/>
      <c r="F1627" s="906"/>
      <c r="G1627" s="906"/>
      <c r="H1627" s="907"/>
      <c r="I1627" s="908"/>
      <c r="J1627" s="955"/>
      <c r="K1627" s="902"/>
      <c r="L1627" s="923"/>
      <c r="M1627" s="902"/>
      <c r="N1627" s="900" t="s">
        <v>2308</v>
      </c>
    </row>
    <row r="1628" spans="1:14" s="910" customFormat="1" ht="16.5" hidden="1" customHeight="1">
      <c r="A1628" s="896"/>
      <c r="B1628" s="911" t="s">
        <v>799</v>
      </c>
      <c r="C1628" s="912">
        <v>1</v>
      </c>
      <c r="D1628" s="913" t="s">
        <v>273</v>
      </c>
      <c r="E1628" s="914">
        <v>1</v>
      </c>
      <c r="F1628" s="915">
        <v>20.7</v>
      </c>
      <c r="G1628" s="915">
        <v>0</v>
      </c>
      <c r="H1628" s="915">
        <v>0.1</v>
      </c>
      <c r="I1628" s="916">
        <f>ROUND(IF(AND(F1628:H1628),C1628*E1628*F1628*G1628*H1628,IF(AND(F1628,G1628),C1628*E1628*F1628*G1628,IF(AND(F1628,H1628),C1628*E1628*F1628*H1628,IF(AND(G1628,H1628),C1628*E1628*G1628*H1628,IF(F1628,C1628*E1628*F1628,IF(G1628,C1628*E1628*G1628,IF(H1628,C1628*E1628*H1628,C1628*E1628))))))),2)</f>
        <v>2.0699999999999998</v>
      </c>
      <c r="J1628" s="955" t="s">
        <v>102</v>
      </c>
      <c r="K1628" s="902"/>
      <c r="L1628" s="923"/>
      <c r="M1628" s="902"/>
      <c r="N1628" s="900" t="s">
        <v>2308</v>
      </c>
    </row>
    <row r="1629" spans="1:14" s="910" customFormat="1" ht="16.5" hidden="1" customHeight="1">
      <c r="A1629" s="896"/>
      <c r="B1629" s="911" t="s">
        <v>1546</v>
      </c>
      <c r="C1629" s="912">
        <v>1</v>
      </c>
      <c r="D1629" s="913" t="s">
        <v>273</v>
      </c>
      <c r="E1629" s="914">
        <v>1</v>
      </c>
      <c r="F1629" s="915">
        <v>10.52</v>
      </c>
      <c r="G1629" s="915">
        <v>0</v>
      </c>
      <c r="H1629" s="915">
        <v>0.1</v>
      </c>
      <c r="I1629" s="916">
        <f>ROUND(IF(AND(F1629:H1629),C1629*E1629*F1629*G1629*H1629,IF(AND(F1629,G1629),C1629*E1629*F1629*G1629,IF(AND(F1629,H1629),C1629*E1629*F1629*H1629,IF(AND(G1629,H1629),C1629*E1629*G1629*H1629,IF(F1629,C1629*E1629*F1629,IF(G1629,C1629*E1629*G1629,IF(H1629,C1629*E1629*H1629,C1629*E1629))))))),2)</f>
        <v>1.05</v>
      </c>
      <c r="J1629" s="955" t="s">
        <v>102</v>
      </c>
      <c r="K1629" s="902"/>
      <c r="L1629" s="923"/>
      <c r="M1629" s="902"/>
      <c r="N1629" s="900" t="s">
        <v>2308</v>
      </c>
    </row>
    <row r="1630" spans="1:14" s="910" customFormat="1" ht="16.5" hidden="1" customHeight="1">
      <c r="A1630" s="896"/>
      <c r="B1630" s="911" t="s">
        <v>578</v>
      </c>
      <c r="C1630" s="912">
        <v>1</v>
      </c>
      <c r="D1630" s="913" t="s">
        <v>273</v>
      </c>
      <c r="E1630" s="914">
        <v>1</v>
      </c>
      <c r="F1630" s="915">
        <v>7.6</v>
      </c>
      <c r="G1630" s="915">
        <v>0</v>
      </c>
      <c r="H1630" s="915">
        <v>0.1</v>
      </c>
      <c r="I1630" s="916">
        <f>ROUND(IF(AND(F1630:H1630),C1630*E1630*F1630*G1630*H1630,IF(AND(F1630,G1630),C1630*E1630*F1630*G1630,IF(AND(F1630,H1630),C1630*E1630*F1630*H1630,IF(AND(G1630,H1630),C1630*E1630*G1630*H1630,IF(F1630,C1630*E1630*F1630,IF(G1630,C1630*E1630*G1630,IF(H1630,C1630*E1630*H1630,C1630*E1630))))))),2)</f>
        <v>0.76</v>
      </c>
      <c r="J1630" s="955" t="s">
        <v>102</v>
      </c>
      <c r="K1630" s="902"/>
      <c r="L1630" s="923"/>
      <c r="M1630" s="902"/>
      <c r="N1630" s="900" t="s">
        <v>2308</v>
      </c>
    </row>
    <row r="1631" spans="1:14" s="910" customFormat="1" ht="16.5" hidden="1" customHeight="1">
      <c r="A1631" s="896"/>
      <c r="B1631" s="956"/>
      <c r="C1631" s="957"/>
      <c r="D1631" s="958"/>
      <c r="E1631" s="1268"/>
      <c r="F1631" s="960"/>
      <c r="G1631" s="960"/>
      <c r="H1631" s="960"/>
      <c r="I1631" s="916"/>
      <c r="J1631" s="955"/>
      <c r="K1631" s="902"/>
      <c r="L1631" s="923"/>
      <c r="M1631" s="902"/>
      <c r="N1631" s="900" t="s">
        <v>2308</v>
      </c>
    </row>
    <row r="1632" spans="1:14" ht="15.75" hidden="1">
      <c r="A1632" s="896"/>
      <c r="B1632" s="902"/>
      <c r="C1632" s="917"/>
      <c r="D1632" s="918"/>
      <c r="E1632" s="919"/>
      <c r="F1632" s="920"/>
      <c r="G1632" s="921"/>
      <c r="H1632" s="896"/>
      <c r="I1632" s="916"/>
      <c r="J1632" s="955" t="s">
        <v>102</v>
      </c>
      <c r="K1632" s="922">
        <f>data!E2532</f>
        <v>1036.32</v>
      </c>
      <c r="L1632" s="923" t="s">
        <v>2308</v>
      </c>
      <c r="M1632" s="924">
        <f>ROUND(I1632*K1632,0)</f>
        <v>0</v>
      </c>
      <c r="N1632" s="900" t="s">
        <v>2308</v>
      </c>
    </row>
    <row r="1633" spans="1:14" ht="79.5" hidden="1" customHeight="1">
      <c r="A1633" s="896">
        <v>23</v>
      </c>
      <c r="B1633" s="1609" t="s">
        <v>213</v>
      </c>
      <c r="C1633" s="1609"/>
      <c r="D1633" s="1609"/>
      <c r="E1633" s="1609"/>
      <c r="F1633" s="1609"/>
      <c r="G1633" s="1609"/>
      <c r="H1633" s="1609"/>
      <c r="I1633" s="897"/>
      <c r="J1633" s="898"/>
      <c r="K1633" s="896"/>
      <c r="L1633" s="923"/>
      <c r="M1633" s="899"/>
      <c r="N1633" s="900" t="s">
        <v>2309</v>
      </c>
    </row>
    <row r="1634" spans="1:14" s="910" customFormat="1" ht="16.5" hidden="1" customHeight="1">
      <c r="A1634" s="896"/>
      <c r="B1634" s="928" t="s">
        <v>3848</v>
      </c>
      <c r="C1634" s="903"/>
      <c r="D1634" s="954" t="s">
        <v>3871</v>
      </c>
      <c r="E1634" s="905"/>
      <c r="F1634" s="906"/>
      <c r="G1634" s="906"/>
      <c r="H1634" s="907"/>
      <c r="I1634" s="908"/>
      <c r="J1634" s="955"/>
      <c r="K1634" s="902"/>
      <c r="L1634" s="923"/>
      <c r="M1634" s="902"/>
      <c r="N1634" s="900" t="s">
        <v>2309</v>
      </c>
    </row>
    <row r="1635" spans="1:14" s="910" customFormat="1" ht="16.5" hidden="1" customHeight="1">
      <c r="A1635" s="896"/>
      <c r="B1635" s="911" t="s">
        <v>2360</v>
      </c>
      <c r="C1635" s="912">
        <v>1</v>
      </c>
      <c r="D1635" s="913" t="s">
        <v>273</v>
      </c>
      <c r="E1635" s="914">
        <v>1</v>
      </c>
      <c r="F1635" s="915">
        <v>11.06</v>
      </c>
      <c r="G1635" s="915">
        <v>0</v>
      </c>
      <c r="H1635" s="915">
        <v>0.1</v>
      </c>
      <c r="I1635" s="916">
        <f t="shared" ref="I1635:I1646" si="165">ROUND(IF(AND(F1635:H1635),C1635*E1635*F1635*G1635*H1635,IF(AND(F1635,G1635),C1635*E1635*F1635*G1635,IF(AND(F1635,H1635),C1635*E1635*F1635*H1635,IF(AND(G1635,H1635),C1635*E1635*G1635*H1635,IF(F1635,C1635*E1635*F1635,IF(G1635,C1635*E1635*G1635,IF(H1635,C1635*E1635*H1635,C1635*E1635))))))),2)</f>
        <v>1.1100000000000001</v>
      </c>
      <c r="J1635" s="955" t="s">
        <v>102</v>
      </c>
      <c r="K1635" s="902"/>
      <c r="L1635" s="923"/>
      <c r="M1635" s="902"/>
      <c r="N1635" s="900" t="s">
        <v>2309</v>
      </c>
    </row>
    <row r="1636" spans="1:14" s="910" customFormat="1" ht="16.5" hidden="1" customHeight="1">
      <c r="A1636" s="896"/>
      <c r="B1636" s="911" t="s">
        <v>2521</v>
      </c>
      <c r="C1636" s="912">
        <v>1</v>
      </c>
      <c r="D1636" s="913" t="s">
        <v>273</v>
      </c>
      <c r="E1636" s="914">
        <v>1</v>
      </c>
      <c r="F1636" s="915">
        <v>10</v>
      </c>
      <c r="G1636" s="915">
        <v>0</v>
      </c>
      <c r="H1636" s="915">
        <v>0.1</v>
      </c>
      <c r="I1636" s="916">
        <f t="shared" si="165"/>
        <v>1</v>
      </c>
      <c r="J1636" s="955" t="s">
        <v>102</v>
      </c>
      <c r="K1636" s="902"/>
      <c r="L1636" s="923"/>
      <c r="M1636" s="902"/>
      <c r="N1636" s="900" t="s">
        <v>2309</v>
      </c>
    </row>
    <row r="1637" spans="1:14" s="910" customFormat="1" ht="16.5" hidden="1" customHeight="1">
      <c r="A1637" s="896"/>
      <c r="B1637" s="911" t="s">
        <v>2358</v>
      </c>
      <c r="C1637" s="912">
        <v>1</v>
      </c>
      <c r="D1637" s="913" t="s">
        <v>273</v>
      </c>
      <c r="E1637" s="914">
        <v>1</v>
      </c>
      <c r="F1637" s="915">
        <v>11.02</v>
      </c>
      <c r="G1637" s="915">
        <v>0</v>
      </c>
      <c r="H1637" s="915">
        <v>0.1</v>
      </c>
      <c r="I1637" s="916">
        <f t="shared" si="165"/>
        <v>1.1000000000000001</v>
      </c>
      <c r="J1637" s="955" t="s">
        <v>102</v>
      </c>
      <c r="K1637" s="902"/>
      <c r="L1637" s="923"/>
      <c r="M1637" s="902"/>
      <c r="N1637" s="900" t="s">
        <v>2309</v>
      </c>
    </row>
    <row r="1638" spans="1:14" s="910" customFormat="1" ht="16.5" hidden="1" customHeight="1">
      <c r="A1638" s="896"/>
      <c r="B1638" s="911" t="s">
        <v>2357</v>
      </c>
      <c r="C1638" s="912">
        <v>1</v>
      </c>
      <c r="D1638" s="913" t="s">
        <v>273</v>
      </c>
      <c r="E1638" s="914">
        <v>1</v>
      </c>
      <c r="F1638" s="915">
        <v>8.86</v>
      </c>
      <c r="G1638" s="915">
        <v>0</v>
      </c>
      <c r="H1638" s="915">
        <v>0.1</v>
      </c>
      <c r="I1638" s="916">
        <f t="shared" si="165"/>
        <v>0.89</v>
      </c>
      <c r="J1638" s="955" t="s">
        <v>102</v>
      </c>
      <c r="K1638" s="902"/>
      <c r="L1638" s="923"/>
      <c r="M1638" s="902"/>
      <c r="N1638" s="900" t="s">
        <v>2309</v>
      </c>
    </row>
    <row r="1639" spans="1:14" s="910" customFormat="1" ht="16.5" hidden="1" customHeight="1">
      <c r="A1639" s="896"/>
      <c r="B1639" s="911" t="s">
        <v>3670</v>
      </c>
      <c r="C1639" s="912">
        <v>1</v>
      </c>
      <c r="D1639" s="913" t="s">
        <v>273</v>
      </c>
      <c r="E1639" s="914">
        <v>1</v>
      </c>
      <c r="F1639" s="915">
        <v>19.48</v>
      </c>
      <c r="G1639" s="915">
        <v>0</v>
      </c>
      <c r="H1639" s="915">
        <v>0.1</v>
      </c>
      <c r="I1639" s="916">
        <f t="shared" si="165"/>
        <v>1.95</v>
      </c>
      <c r="J1639" s="955" t="s">
        <v>102</v>
      </c>
      <c r="K1639" s="902"/>
      <c r="L1639" s="923"/>
      <c r="M1639" s="902"/>
      <c r="N1639" s="900" t="s">
        <v>2309</v>
      </c>
    </row>
    <row r="1640" spans="1:14" s="910" customFormat="1" ht="16.5" hidden="1" customHeight="1">
      <c r="A1640" s="896"/>
      <c r="B1640" s="911" t="s">
        <v>2355</v>
      </c>
      <c r="C1640" s="912">
        <v>1</v>
      </c>
      <c r="D1640" s="913" t="s">
        <v>273</v>
      </c>
      <c r="E1640" s="914">
        <v>1</v>
      </c>
      <c r="F1640" s="915">
        <v>18.28</v>
      </c>
      <c r="G1640" s="915">
        <v>0</v>
      </c>
      <c r="H1640" s="915">
        <v>0.1</v>
      </c>
      <c r="I1640" s="916">
        <f t="shared" si="165"/>
        <v>1.83</v>
      </c>
      <c r="J1640" s="955" t="s">
        <v>102</v>
      </c>
      <c r="K1640" s="902"/>
      <c r="L1640" s="923"/>
      <c r="M1640" s="902"/>
      <c r="N1640" s="900" t="s">
        <v>2309</v>
      </c>
    </row>
    <row r="1641" spans="1:14" s="910" customFormat="1" ht="16.5" hidden="1" customHeight="1">
      <c r="A1641" s="896"/>
      <c r="B1641" s="911" t="s">
        <v>3794</v>
      </c>
      <c r="C1641" s="912">
        <v>2</v>
      </c>
      <c r="D1641" s="913" t="s">
        <v>273</v>
      </c>
      <c r="E1641" s="914">
        <v>2</v>
      </c>
      <c r="F1641" s="915">
        <v>0.6</v>
      </c>
      <c r="G1641" s="915">
        <v>0</v>
      </c>
      <c r="H1641" s="915">
        <v>0.1</v>
      </c>
      <c r="I1641" s="916">
        <f t="shared" si="165"/>
        <v>0.24</v>
      </c>
      <c r="J1641" s="955" t="s">
        <v>102</v>
      </c>
      <c r="K1641" s="902"/>
      <c r="L1641" s="923"/>
      <c r="M1641" s="902"/>
      <c r="N1641" s="900" t="s">
        <v>2309</v>
      </c>
    </row>
    <row r="1642" spans="1:14" s="910" customFormat="1" ht="16.5" hidden="1" customHeight="1">
      <c r="A1642" s="896"/>
      <c r="B1642" s="911"/>
      <c r="C1642" s="912">
        <v>1</v>
      </c>
      <c r="D1642" s="913" t="s">
        <v>273</v>
      </c>
      <c r="E1642" s="914">
        <v>2</v>
      </c>
      <c r="F1642" s="915">
        <v>0.5</v>
      </c>
      <c r="G1642" s="915">
        <v>0</v>
      </c>
      <c r="H1642" s="915">
        <v>0.1</v>
      </c>
      <c r="I1642" s="916">
        <f t="shared" si="165"/>
        <v>0.1</v>
      </c>
      <c r="J1642" s="955" t="s">
        <v>102</v>
      </c>
      <c r="K1642" s="902"/>
      <c r="L1642" s="923"/>
      <c r="M1642" s="902"/>
      <c r="N1642" s="900" t="s">
        <v>2309</v>
      </c>
    </row>
    <row r="1643" spans="1:14" s="910" customFormat="1" ht="16.5" hidden="1" customHeight="1">
      <c r="A1643" s="896"/>
      <c r="B1643" s="911"/>
      <c r="C1643" s="912">
        <v>1</v>
      </c>
      <c r="D1643" s="913" t="s">
        <v>273</v>
      </c>
      <c r="E1643" s="914">
        <v>2</v>
      </c>
      <c r="F1643" s="915">
        <v>0.5</v>
      </c>
      <c r="G1643" s="915">
        <v>0</v>
      </c>
      <c r="H1643" s="915">
        <v>0.1</v>
      </c>
      <c r="I1643" s="916">
        <f t="shared" si="165"/>
        <v>0.1</v>
      </c>
      <c r="J1643" s="955" t="s">
        <v>102</v>
      </c>
      <c r="K1643" s="902"/>
      <c r="L1643" s="923"/>
      <c r="M1643" s="902"/>
      <c r="N1643" s="900" t="s">
        <v>2309</v>
      </c>
    </row>
    <row r="1644" spans="1:14" s="910" customFormat="1" ht="16.5" hidden="1" customHeight="1">
      <c r="A1644" s="896"/>
      <c r="B1644" s="911" t="s">
        <v>3849</v>
      </c>
      <c r="C1644" s="912">
        <v>1</v>
      </c>
      <c r="D1644" s="913" t="s">
        <v>273</v>
      </c>
      <c r="E1644" s="914">
        <v>2</v>
      </c>
      <c r="F1644" s="915">
        <v>0.57999999999999996</v>
      </c>
      <c r="G1644" s="915">
        <v>0</v>
      </c>
      <c r="H1644" s="915">
        <v>0.1</v>
      </c>
      <c r="I1644" s="916">
        <f t="shared" si="165"/>
        <v>0.12</v>
      </c>
      <c r="J1644" s="955" t="s">
        <v>102</v>
      </c>
      <c r="K1644" s="902"/>
      <c r="L1644" s="923"/>
      <c r="M1644" s="902"/>
      <c r="N1644" s="900" t="s">
        <v>2309</v>
      </c>
    </row>
    <row r="1645" spans="1:14" s="910" customFormat="1" ht="16.5" hidden="1" customHeight="1">
      <c r="A1645" s="896"/>
      <c r="B1645" s="911" t="s">
        <v>3850</v>
      </c>
      <c r="C1645" s="912">
        <v>1</v>
      </c>
      <c r="D1645" s="913" t="s">
        <v>273</v>
      </c>
      <c r="E1645" s="914">
        <v>1</v>
      </c>
      <c r="F1645" s="915">
        <v>1.1499999999999999</v>
      </c>
      <c r="G1645" s="915">
        <v>0</v>
      </c>
      <c r="H1645" s="915">
        <v>0.1</v>
      </c>
      <c r="I1645" s="916">
        <f t="shared" si="165"/>
        <v>0.12</v>
      </c>
      <c r="J1645" s="955" t="s">
        <v>102</v>
      </c>
      <c r="K1645" s="902"/>
      <c r="L1645" s="923"/>
      <c r="M1645" s="902"/>
      <c r="N1645" s="900" t="s">
        <v>2309</v>
      </c>
    </row>
    <row r="1646" spans="1:14" s="910" customFormat="1" ht="16.5" hidden="1" customHeight="1">
      <c r="A1646" s="896"/>
      <c r="B1646" s="911"/>
      <c r="C1646" s="912">
        <v>1</v>
      </c>
      <c r="D1646" s="913" t="s">
        <v>273</v>
      </c>
      <c r="E1646" s="914">
        <v>2</v>
      </c>
      <c r="F1646" s="915">
        <v>0.8</v>
      </c>
      <c r="G1646" s="915">
        <v>0</v>
      </c>
      <c r="H1646" s="915">
        <v>0.1</v>
      </c>
      <c r="I1646" s="916">
        <f t="shared" si="165"/>
        <v>0.16</v>
      </c>
      <c r="J1646" s="955" t="s">
        <v>102</v>
      </c>
      <c r="K1646" s="902"/>
      <c r="L1646" s="923"/>
      <c r="M1646" s="902"/>
      <c r="N1646" s="900" t="s">
        <v>2309</v>
      </c>
    </row>
    <row r="1647" spans="1:14" s="910" customFormat="1" ht="16.5" hidden="1" customHeight="1">
      <c r="A1647" s="896"/>
      <c r="B1647" s="911" t="s">
        <v>579</v>
      </c>
      <c r="C1647" s="912">
        <v>1</v>
      </c>
      <c r="D1647" s="913" t="s">
        <v>273</v>
      </c>
      <c r="E1647" s="914">
        <v>1</v>
      </c>
      <c r="F1647" s="915">
        <v>1.2</v>
      </c>
      <c r="G1647" s="915">
        <v>0</v>
      </c>
      <c r="H1647" s="915">
        <v>0.1</v>
      </c>
      <c r="I1647" s="916">
        <f>-ROUND(IF(AND(F1647:H1647),C1647*E1647*F1647*G1647*H1647,IF(AND(F1647,G1647),C1647*E1647*F1647*G1647,IF(AND(F1647,H1647),C1647*E1647*F1647*H1647,IF(AND(G1647,H1647),C1647*E1647*G1647*H1647,IF(F1647,C1647*E1647*F1647,IF(G1647,C1647*E1647*G1647,IF(H1647,C1647*E1647*H1647,C1647*E1647))))))),2)</f>
        <v>-0.12</v>
      </c>
      <c r="J1647" s="955" t="s">
        <v>102</v>
      </c>
      <c r="K1647" s="902"/>
      <c r="L1647" s="923"/>
      <c r="M1647" s="902"/>
      <c r="N1647" s="900" t="s">
        <v>2309</v>
      </c>
    </row>
    <row r="1648" spans="1:14" s="910" customFormat="1" ht="16.5" hidden="1" customHeight="1">
      <c r="A1648" s="896"/>
      <c r="B1648" s="911" t="s">
        <v>579</v>
      </c>
      <c r="C1648" s="912">
        <v>1</v>
      </c>
      <c r="D1648" s="913" t="s">
        <v>273</v>
      </c>
      <c r="E1648" s="914">
        <v>2</v>
      </c>
      <c r="F1648" s="915">
        <v>0.9</v>
      </c>
      <c r="G1648" s="915">
        <v>0</v>
      </c>
      <c r="H1648" s="915">
        <v>0.1</v>
      </c>
      <c r="I1648" s="916">
        <f>-ROUND(IF(AND(F1648:H1648),C1648*E1648*F1648*G1648*H1648,IF(AND(F1648,G1648),C1648*E1648*F1648*G1648,IF(AND(F1648,H1648),C1648*E1648*F1648*H1648,IF(AND(G1648,H1648),C1648*E1648*G1648*H1648,IF(F1648,C1648*E1648*F1648,IF(G1648,C1648*E1648*G1648,IF(H1648,C1648*E1648*H1648,C1648*E1648))))))),2)</f>
        <v>-0.18</v>
      </c>
      <c r="J1648" s="955" t="s">
        <v>102</v>
      </c>
      <c r="K1648" s="902"/>
      <c r="L1648" s="923"/>
      <c r="M1648" s="902"/>
      <c r="N1648" s="900" t="s">
        <v>2309</v>
      </c>
    </row>
    <row r="1649" spans="1:14" s="910" customFormat="1" ht="16.5" hidden="1" customHeight="1">
      <c r="A1649" s="896"/>
      <c r="B1649" s="911" t="s">
        <v>579</v>
      </c>
      <c r="C1649" s="912">
        <v>2</v>
      </c>
      <c r="D1649" s="913" t="s">
        <v>273</v>
      </c>
      <c r="E1649" s="914">
        <v>2</v>
      </c>
      <c r="F1649" s="915">
        <v>0.9</v>
      </c>
      <c r="G1649" s="915">
        <v>0</v>
      </c>
      <c r="H1649" s="915">
        <v>0.1</v>
      </c>
      <c r="I1649" s="916">
        <f>-ROUND(IF(AND(F1649:H1649),C1649*E1649*F1649*G1649*H1649,IF(AND(F1649,G1649),C1649*E1649*F1649*G1649,IF(AND(F1649,H1649),C1649*E1649*F1649*H1649,IF(AND(G1649,H1649),C1649*E1649*G1649*H1649,IF(F1649,C1649*E1649*F1649,IF(G1649,C1649*E1649*G1649,IF(H1649,C1649*E1649*H1649,C1649*E1649))))))),2)</f>
        <v>-0.36</v>
      </c>
      <c r="J1649" s="955" t="s">
        <v>102</v>
      </c>
      <c r="K1649" s="902"/>
      <c r="L1649" s="923"/>
      <c r="M1649" s="902"/>
      <c r="N1649" s="900" t="s">
        <v>2309</v>
      </c>
    </row>
    <row r="1650" spans="1:14" s="910" customFormat="1" ht="16.5" hidden="1" customHeight="1">
      <c r="A1650" s="896"/>
      <c r="B1650" s="911" t="s">
        <v>579</v>
      </c>
      <c r="C1650" s="912">
        <v>1</v>
      </c>
      <c r="D1650" s="913" t="s">
        <v>273</v>
      </c>
      <c r="E1650" s="914">
        <v>1</v>
      </c>
      <c r="F1650" s="915">
        <v>0.78</v>
      </c>
      <c r="G1650" s="915">
        <v>0</v>
      </c>
      <c r="H1650" s="915">
        <v>0.1</v>
      </c>
      <c r="I1650" s="916">
        <f>-ROUND(IF(AND(F1650:H1650),C1650*E1650*F1650*G1650*H1650,IF(AND(F1650,G1650),C1650*E1650*F1650*G1650,IF(AND(F1650,H1650),C1650*E1650*F1650*H1650,IF(AND(G1650,H1650),C1650*E1650*G1650*H1650,IF(F1650,C1650*E1650*F1650,IF(G1650,C1650*E1650*G1650,IF(H1650,C1650*E1650*H1650,C1650*E1650))))))),2)</f>
        <v>-0.08</v>
      </c>
      <c r="J1650" s="955" t="s">
        <v>102</v>
      </c>
      <c r="K1650" s="902"/>
      <c r="L1650" s="923"/>
      <c r="M1650" s="902"/>
      <c r="N1650" s="900" t="s">
        <v>2309</v>
      </c>
    </row>
    <row r="1651" spans="1:14" s="910" customFormat="1" ht="16.5" hidden="1" customHeight="1">
      <c r="A1651" s="896"/>
      <c r="B1651" s="911" t="s">
        <v>579</v>
      </c>
      <c r="C1651" s="912">
        <v>1</v>
      </c>
      <c r="D1651" s="913" t="s">
        <v>273</v>
      </c>
      <c r="E1651" s="914">
        <v>1</v>
      </c>
      <c r="F1651" s="915">
        <v>0.9</v>
      </c>
      <c r="G1651" s="915">
        <v>0</v>
      </c>
      <c r="H1651" s="915">
        <v>0.1</v>
      </c>
      <c r="I1651" s="916">
        <f>-ROUND(IF(AND(F1651:H1651),C1651*E1651*F1651*G1651*H1651,IF(AND(F1651,G1651),C1651*E1651*F1651*G1651,IF(AND(F1651,H1651),C1651*E1651*F1651*H1651,IF(AND(G1651,H1651),C1651*E1651*G1651*H1651,IF(F1651,C1651*E1651*F1651,IF(G1651,C1651*E1651*G1651,IF(H1651,C1651*E1651*H1651,C1651*E1651))))))),2)</f>
        <v>-0.09</v>
      </c>
      <c r="J1651" s="955" t="s">
        <v>102</v>
      </c>
      <c r="K1651" s="902"/>
      <c r="L1651" s="923"/>
      <c r="M1651" s="902"/>
      <c r="N1651" s="900" t="s">
        <v>2309</v>
      </c>
    </row>
    <row r="1652" spans="1:14" s="910" customFormat="1" ht="16.5" hidden="1" customHeight="1">
      <c r="A1652" s="896"/>
      <c r="B1652" s="956"/>
      <c r="C1652" s="957"/>
      <c r="D1652" s="958"/>
      <c r="E1652" s="1268"/>
      <c r="F1652" s="960"/>
      <c r="G1652" s="960"/>
      <c r="H1652" s="960"/>
      <c r="I1652" s="916"/>
      <c r="J1652" s="955"/>
      <c r="K1652" s="902"/>
      <c r="L1652" s="923"/>
      <c r="M1652" s="902"/>
      <c r="N1652" s="900" t="s">
        <v>2309</v>
      </c>
    </row>
    <row r="1653" spans="1:14" ht="15.75" hidden="1">
      <c r="A1653" s="896"/>
      <c r="B1653" s="902"/>
      <c r="C1653" s="917"/>
      <c r="D1653" s="918"/>
      <c r="E1653" s="919"/>
      <c r="F1653" s="920"/>
      <c r="G1653" s="921"/>
      <c r="H1653" s="896"/>
      <c r="I1653" s="916"/>
      <c r="J1653" s="955" t="s">
        <v>102</v>
      </c>
      <c r="K1653" s="922">
        <f>data!E3449</f>
        <v>1062.03</v>
      </c>
      <c r="L1653" s="923" t="s">
        <v>2309</v>
      </c>
      <c r="M1653" s="924">
        <f>ROUND(I1653*K1653,0)</f>
        <v>0</v>
      </c>
      <c r="N1653" s="900" t="s">
        <v>2309</v>
      </c>
    </row>
    <row r="1654" spans="1:14" ht="108" hidden="1" customHeight="1">
      <c r="A1654" s="896">
        <v>21</v>
      </c>
      <c r="B1654" s="1609" t="s">
        <v>665</v>
      </c>
      <c r="C1654" s="1609"/>
      <c r="D1654" s="1609"/>
      <c r="E1654" s="1609"/>
      <c r="F1654" s="1609"/>
      <c r="G1654" s="1609"/>
      <c r="H1654" s="1609"/>
      <c r="I1654" s="897"/>
      <c r="J1654" s="898"/>
      <c r="K1654" s="896"/>
      <c r="L1654" s="923"/>
      <c r="M1654" s="899"/>
      <c r="N1654" s="900" t="s">
        <v>2209</v>
      </c>
    </row>
    <row r="1655" spans="1:14" s="910" customFormat="1" ht="16.5" hidden="1" customHeight="1">
      <c r="A1655" s="896"/>
      <c r="B1655" s="928" t="s">
        <v>3935</v>
      </c>
      <c r="C1655" s="903"/>
      <c r="D1655" s="904"/>
      <c r="E1655" s="905"/>
      <c r="F1655" s="906"/>
      <c r="G1655" s="906"/>
      <c r="H1655" s="907"/>
      <c r="I1655" s="908"/>
      <c r="J1655" s="955"/>
      <c r="K1655" s="902"/>
      <c r="L1655" s="923"/>
      <c r="M1655" s="902"/>
      <c r="N1655" s="900" t="s">
        <v>2209</v>
      </c>
    </row>
    <row r="1656" spans="1:14" s="910" customFormat="1" ht="16.5" hidden="1" customHeight="1">
      <c r="A1656" s="896"/>
      <c r="B1656" s="911" t="s">
        <v>2360</v>
      </c>
      <c r="C1656" s="912">
        <v>1</v>
      </c>
      <c r="D1656" s="913" t="s">
        <v>273</v>
      </c>
      <c r="E1656" s="914">
        <v>1</v>
      </c>
      <c r="F1656" s="915">
        <v>2.7</v>
      </c>
      <c r="G1656" s="915">
        <v>2.7</v>
      </c>
      <c r="H1656" s="915">
        <v>0</v>
      </c>
      <c r="I1656" s="916">
        <f t="shared" ref="I1656" si="166">ROUND(IF(AND(F1656:H1656),C1656*E1656*F1656*G1656*H1656,IF(AND(F1656,G1656),C1656*E1656*F1656*G1656,IF(AND(F1656,H1656),C1656*E1656*F1656*H1656,IF(AND(G1656,H1656),C1656*E1656*G1656*H1656,IF(F1656,C1656*E1656*F1656,IF(G1656,C1656*E1656*G1656,IF(H1656,C1656*E1656*H1656,C1656*E1656))))))),2)</f>
        <v>7.29</v>
      </c>
      <c r="J1656" s="955" t="s">
        <v>102</v>
      </c>
      <c r="K1656" s="902"/>
      <c r="L1656" s="923"/>
      <c r="M1656" s="902"/>
      <c r="N1656" s="900" t="s">
        <v>2209</v>
      </c>
    </row>
    <row r="1657" spans="1:14" s="910" customFormat="1" ht="16.5" hidden="1" customHeight="1">
      <c r="A1657" s="896"/>
      <c r="B1657" s="911" t="s">
        <v>3845</v>
      </c>
      <c r="C1657" s="912">
        <v>1</v>
      </c>
      <c r="D1657" s="913" t="s">
        <v>273</v>
      </c>
      <c r="E1657" s="914">
        <v>2</v>
      </c>
      <c r="F1657" s="915">
        <v>0.5</v>
      </c>
      <c r="G1657" s="915">
        <v>0.15</v>
      </c>
      <c r="H1657" s="915">
        <v>0</v>
      </c>
      <c r="I1657" s="916">
        <f>-ROUND(IF(AND(F1657:H1657),C1657*E1657*F1657*G1657*H1657,IF(AND(F1657,G1657),C1657*E1657*F1657*G1657,IF(AND(F1657,H1657),C1657*E1657*F1657*H1657,IF(AND(G1657,H1657),C1657*E1657*G1657*H1657,IF(F1657,C1657*E1657*F1657,IF(G1657,C1657*E1657*G1657,IF(H1657,C1657*E1657*H1657,C1657*E1657))))))),2)</f>
        <v>-0.15</v>
      </c>
      <c r="J1657" s="955" t="s">
        <v>102</v>
      </c>
      <c r="K1657" s="902"/>
      <c r="L1657" s="923"/>
      <c r="M1657" s="902"/>
      <c r="N1657" s="900" t="s">
        <v>2209</v>
      </c>
    </row>
    <row r="1658" spans="1:14" s="910" customFormat="1" ht="16.5" hidden="1" customHeight="1">
      <c r="A1658" s="896"/>
      <c r="B1658" s="911" t="s">
        <v>2521</v>
      </c>
      <c r="C1658" s="912">
        <v>1</v>
      </c>
      <c r="D1658" s="913" t="s">
        <v>273</v>
      </c>
      <c r="E1658" s="914">
        <v>1</v>
      </c>
      <c r="F1658" s="915">
        <v>2.2000000000000002</v>
      </c>
      <c r="G1658" s="915">
        <v>2.7</v>
      </c>
      <c r="H1658" s="915">
        <v>0</v>
      </c>
      <c r="I1658" s="916">
        <f t="shared" ref="I1658:I1669" si="167">ROUND(IF(AND(F1658:H1658),C1658*E1658*F1658*G1658*H1658,IF(AND(F1658,G1658),C1658*E1658*F1658*G1658,IF(AND(F1658,H1658),C1658*E1658*F1658*H1658,IF(AND(G1658,H1658),C1658*E1658*G1658*H1658,IF(F1658,C1658*E1658*F1658,IF(G1658,C1658*E1658*G1658,IF(H1658,C1658*E1658*H1658,C1658*E1658))))))),2)</f>
        <v>5.94</v>
      </c>
      <c r="J1658" s="955" t="s">
        <v>102</v>
      </c>
      <c r="K1658" s="902"/>
      <c r="L1658" s="923"/>
      <c r="M1658" s="902"/>
      <c r="N1658" s="900" t="s">
        <v>2209</v>
      </c>
    </row>
    <row r="1659" spans="1:14" s="910" customFormat="1" ht="16.5" hidden="1" customHeight="1">
      <c r="A1659" s="896"/>
      <c r="B1659" s="911" t="s">
        <v>3845</v>
      </c>
      <c r="C1659" s="912">
        <v>1</v>
      </c>
      <c r="D1659" s="913" t="s">
        <v>273</v>
      </c>
      <c r="E1659" s="914">
        <v>3</v>
      </c>
      <c r="F1659" s="915">
        <v>0.5</v>
      </c>
      <c r="G1659" s="915">
        <v>0.15</v>
      </c>
      <c r="H1659" s="915">
        <v>0</v>
      </c>
      <c r="I1659" s="916">
        <f>-ROUND(IF(AND(F1659:H1659),C1659*E1659*F1659*G1659*H1659,IF(AND(F1659,G1659),C1659*E1659*F1659*G1659,IF(AND(F1659,H1659),C1659*E1659*F1659*H1659,IF(AND(G1659,H1659),C1659*E1659*G1659*H1659,IF(F1659,C1659*E1659*F1659,IF(G1659,C1659*E1659*G1659,IF(H1659,C1659*E1659*H1659,C1659*E1659))))))),2)</f>
        <v>-0.23</v>
      </c>
      <c r="J1659" s="955" t="s">
        <v>102</v>
      </c>
      <c r="K1659" s="902"/>
      <c r="L1659" s="923"/>
      <c r="M1659" s="902"/>
      <c r="N1659" s="900" t="s">
        <v>2209</v>
      </c>
    </row>
    <row r="1660" spans="1:14" s="910" customFormat="1" ht="16.5" hidden="1" customHeight="1">
      <c r="A1660" s="896"/>
      <c r="B1660" s="911" t="s">
        <v>2358</v>
      </c>
      <c r="C1660" s="912">
        <v>1</v>
      </c>
      <c r="D1660" s="913" t="s">
        <v>273</v>
      </c>
      <c r="E1660" s="914">
        <v>1</v>
      </c>
      <c r="F1660" s="915">
        <v>2.7</v>
      </c>
      <c r="G1660" s="915">
        <v>2.7</v>
      </c>
      <c r="H1660" s="915">
        <v>0</v>
      </c>
      <c r="I1660" s="916">
        <f t="shared" si="167"/>
        <v>7.29</v>
      </c>
      <c r="J1660" s="955" t="s">
        <v>102</v>
      </c>
      <c r="K1660" s="902"/>
      <c r="L1660" s="923"/>
      <c r="M1660" s="902"/>
      <c r="N1660" s="900" t="s">
        <v>2209</v>
      </c>
    </row>
    <row r="1661" spans="1:14" s="910" customFormat="1" ht="16.5" hidden="1" customHeight="1">
      <c r="A1661" s="896"/>
      <c r="B1661" s="911" t="s">
        <v>2357</v>
      </c>
      <c r="C1661" s="912">
        <v>1</v>
      </c>
      <c r="D1661" s="913" t="s">
        <v>273</v>
      </c>
      <c r="E1661" s="914">
        <v>1</v>
      </c>
      <c r="F1661" s="915">
        <v>1.6</v>
      </c>
      <c r="G1661" s="915">
        <v>2.7</v>
      </c>
      <c r="H1661" s="915">
        <v>0</v>
      </c>
      <c r="I1661" s="916">
        <f t="shared" si="167"/>
        <v>4.32</v>
      </c>
      <c r="J1661" s="955" t="s">
        <v>102</v>
      </c>
      <c r="K1661" s="902"/>
      <c r="L1661" s="923"/>
      <c r="M1661" s="902"/>
      <c r="N1661" s="900" t="s">
        <v>2209</v>
      </c>
    </row>
    <row r="1662" spans="1:14" s="910" customFormat="1" ht="16.5" hidden="1" customHeight="1">
      <c r="A1662" s="896"/>
      <c r="B1662" s="911" t="s">
        <v>3845</v>
      </c>
      <c r="C1662" s="912">
        <v>1</v>
      </c>
      <c r="D1662" s="913" t="s">
        <v>273</v>
      </c>
      <c r="E1662" s="914">
        <v>3</v>
      </c>
      <c r="F1662" s="915">
        <v>0.4</v>
      </c>
      <c r="G1662" s="915">
        <v>0.15</v>
      </c>
      <c r="H1662" s="915">
        <v>0</v>
      </c>
      <c r="I1662" s="916">
        <f>-ROUND(IF(AND(F1662:H1662),C1662*E1662*F1662*G1662*H1662,IF(AND(F1662,G1662),C1662*E1662*F1662*G1662,IF(AND(F1662,H1662),C1662*E1662*F1662*H1662,IF(AND(G1662,H1662),C1662*E1662*G1662*H1662,IF(F1662,C1662*E1662*F1662,IF(G1662,C1662*E1662*G1662,IF(H1662,C1662*E1662*H1662,C1662*E1662))))))),2)</f>
        <v>-0.18</v>
      </c>
      <c r="J1662" s="955" t="s">
        <v>102</v>
      </c>
      <c r="K1662" s="902"/>
      <c r="L1662" s="923"/>
      <c r="M1662" s="902"/>
      <c r="N1662" s="900" t="s">
        <v>2209</v>
      </c>
    </row>
    <row r="1663" spans="1:14" s="910" customFormat="1" ht="16.5" hidden="1" customHeight="1">
      <c r="A1663" s="896"/>
      <c r="B1663" s="911" t="s">
        <v>3936</v>
      </c>
      <c r="C1663" s="912">
        <v>1</v>
      </c>
      <c r="D1663" s="913" t="s">
        <v>273</v>
      </c>
      <c r="E1663" s="914">
        <v>1</v>
      </c>
      <c r="F1663" s="915">
        <v>1.32</v>
      </c>
      <c r="G1663" s="915">
        <v>1.05</v>
      </c>
      <c r="H1663" s="915">
        <v>0</v>
      </c>
      <c r="I1663" s="916">
        <f t="shared" si="167"/>
        <v>1.39</v>
      </c>
      <c r="J1663" s="955" t="s">
        <v>102</v>
      </c>
      <c r="K1663" s="902"/>
      <c r="L1663" s="923"/>
      <c r="M1663" s="902"/>
      <c r="N1663" s="900" t="s">
        <v>2209</v>
      </c>
    </row>
    <row r="1664" spans="1:14" s="910" customFormat="1" ht="16.5" hidden="1" customHeight="1">
      <c r="A1664" s="896"/>
      <c r="B1664" s="911"/>
      <c r="C1664" s="912">
        <v>1</v>
      </c>
      <c r="D1664" s="913" t="s">
        <v>273</v>
      </c>
      <c r="E1664" s="914">
        <v>1</v>
      </c>
      <c r="F1664" s="915">
        <v>1.32</v>
      </c>
      <c r="G1664" s="915">
        <v>1.1000000000000001</v>
      </c>
      <c r="H1664" s="915">
        <v>0</v>
      </c>
      <c r="I1664" s="916">
        <f t="shared" si="167"/>
        <v>1.45</v>
      </c>
      <c r="J1664" s="955" t="s">
        <v>102</v>
      </c>
      <c r="K1664" s="902"/>
      <c r="L1664" s="923"/>
      <c r="M1664" s="902"/>
      <c r="N1664" s="900" t="s">
        <v>2209</v>
      </c>
    </row>
    <row r="1665" spans="1:14" s="910" customFormat="1" ht="16.5" hidden="1" customHeight="1">
      <c r="A1665" s="896"/>
      <c r="B1665" s="911" t="s">
        <v>3670</v>
      </c>
      <c r="C1665" s="912">
        <v>1</v>
      </c>
      <c r="D1665" s="913" t="s">
        <v>273</v>
      </c>
      <c r="E1665" s="914">
        <v>1</v>
      </c>
      <c r="F1665" s="915">
        <v>6.65</v>
      </c>
      <c r="G1665" s="915">
        <v>2.95</v>
      </c>
      <c r="H1665" s="915">
        <v>0</v>
      </c>
      <c r="I1665" s="916">
        <f t="shared" si="167"/>
        <v>19.62</v>
      </c>
      <c r="J1665" s="955" t="s">
        <v>102</v>
      </c>
      <c r="K1665" s="902"/>
      <c r="L1665" s="923"/>
      <c r="M1665" s="902"/>
      <c r="N1665" s="900" t="s">
        <v>2209</v>
      </c>
    </row>
    <row r="1666" spans="1:14" s="910" customFormat="1" ht="16.5" hidden="1" customHeight="1">
      <c r="A1666" s="896"/>
      <c r="B1666" s="911" t="s">
        <v>2355</v>
      </c>
      <c r="C1666" s="912">
        <v>1</v>
      </c>
      <c r="D1666" s="913" t="s">
        <v>273</v>
      </c>
      <c r="E1666" s="914">
        <v>1</v>
      </c>
      <c r="F1666" s="915">
        <v>6.1</v>
      </c>
      <c r="G1666" s="915">
        <v>2.95</v>
      </c>
      <c r="H1666" s="915">
        <v>0</v>
      </c>
      <c r="I1666" s="916">
        <f t="shared" si="167"/>
        <v>18</v>
      </c>
      <c r="J1666" s="955" t="s">
        <v>102</v>
      </c>
      <c r="K1666" s="902"/>
      <c r="L1666" s="923"/>
      <c r="M1666" s="902"/>
      <c r="N1666" s="900" t="s">
        <v>2209</v>
      </c>
    </row>
    <row r="1667" spans="1:14" s="910" customFormat="1" ht="16.5" hidden="1" customHeight="1">
      <c r="A1667" s="896"/>
      <c r="B1667" s="911" t="s">
        <v>578</v>
      </c>
      <c r="C1667" s="912">
        <v>1</v>
      </c>
      <c r="D1667" s="913" t="s">
        <v>273</v>
      </c>
      <c r="E1667" s="914">
        <v>1</v>
      </c>
      <c r="F1667" s="915">
        <v>3.7</v>
      </c>
      <c r="G1667" s="915">
        <v>1.2</v>
      </c>
      <c r="H1667" s="915">
        <v>0</v>
      </c>
      <c r="I1667" s="916">
        <f t="shared" si="167"/>
        <v>4.4400000000000004</v>
      </c>
      <c r="J1667" s="955" t="s">
        <v>102</v>
      </c>
      <c r="K1667" s="902"/>
      <c r="L1667" s="923"/>
      <c r="M1667" s="902"/>
      <c r="N1667" s="900" t="s">
        <v>2209</v>
      </c>
    </row>
    <row r="1668" spans="1:14" s="910" customFormat="1" ht="16.5" hidden="1" customHeight="1">
      <c r="A1668" s="896"/>
      <c r="B1668" s="911"/>
      <c r="C1668" s="912">
        <v>1</v>
      </c>
      <c r="D1668" s="913" t="s">
        <v>273</v>
      </c>
      <c r="E1668" s="914">
        <v>1</v>
      </c>
      <c r="F1668" s="915">
        <v>12.75</v>
      </c>
      <c r="G1668" s="915">
        <v>1.2</v>
      </c>
      <c r="H1668" s="915">
        <v>0</v>
      </c>
      <c r="I1668" s="916">
        <f t="shared" si="167"/>
        <v>15.3</v>
      </c>
      <c r="J1668" s="955" t="s">
        <v>102</v>
      </c>
      <c r="K1668" s="902"/>
      <c r="L1668" s="923"/>
      <c r="M1668" s="902"/>
      <c r="N1668" s="900" t="s">
        <v>2209</v>
      </c>
    </row>
    <row r="1669" spans="1:14" s="910" customFormat="1" ht="16.5" hidden="1" customHeight="1">
      <c r="A1669" s="896"/>
      <c r="B1669" s="911" t="s">
        <v>3937</v>
      </c>
      <c r="C1669" s="912">
        <v>1</v>
      </c>
      <c r="D1669" s="913" t="s">
        <v>273</v>
      </c>
      <c r="E1669" s="914">
        <v>1</v>
      </c>
      <c r="F1669" s="915">
        <v>2.65</v>
      </c>
      <c r="G1669" s="915">
        <v>1.2</v>
      </c>
      <c r="H1669" s="915">
        <v>0</v>
      </c>
      <c r="I1669" s="916">
        <f t="shared" si="167"/>
        <v>3.18</v>
      </c>
      <c r="J1669" s="955" t="s">
        <v>102</v>
      </c>
      <c r="K1669" s="902"/>
      <c r="L1669" s="923"/>
      <c r="M1669" s="902"/>
      <c r="N1669" s="900" t="s">
        <v>2209</v>
      </c>
    </row>
    <row r="1670" spans="1:14" s="910" customFormat="1" ht="16.5" hidden="1" customHeight="1">
      <c r="A1670" s="896"/>
      <c r="B1670" s="956"/>
      <c r="C1670" s="957"/>
      <c r="D1670" s="958"/>
      <c r="E1670" s="1268"/>
      <c r="F1670" s="960"/>
      <c r="G1670" s="960"/>
      <c r="H1670" s="960"/>
      <c r="I1670" s="916"/>
      <c r="J1670" s="955"/>
      <c r="K1670" s="902"/>
      <c r="L1670" s="923"/>
      <c r="M1670" s="902"/>
      <c r="N1670" s="900" t="s">
        <v>2209</v>
      </c>
    </row>
    <row r="1671" spans="1:14" ht="15.75" hidden="1">
      <c r="A1671" s="896"/>
      <c r="B1671" s="902"/>
      <c r="C1671" s="917"/>
      <c r="D1671" s="918"/>
      <c r="E1671" s="919"/>
      <c r="F1671" s="920"/>
      <c r="G1671" s="921"/>
      <c r="H1671" s="896"/>
      <c r="I1671" s="916"/>
      <c r="J1671" s="955" t="s">
        <v>102</v>
      </c>
      <c r="K1671" s="922">
        <f>data!E602</f>
        <v>2828.1</v>
      </c>
      <c r="L1671" s="923" t="s">
        <v>2209</v>
      </c>
      <c r="M1671" s="924">
        <f>ROUND(I1671*K1671,0)</f>
        <v>0</v>
      </c>
      <c r="N1671" s="900" t="s">
        <v>2209</v>
      </c>
    </row>
    <row r="1672" spans="1:14" ht="108" hidden="1" customHeight="1">
      <c r="A1672" s="896">
        <v>25</v>
      </c>
      <c r="B1672" s="1609" t="s">
        <v>665</v>
      </c>
      <c r="C1672" s="1609"/>
      <c r="D1672" s="1609"/>
      <c r="E1672" s="1609"/>
      <c r="F1672" s="1609"/>
      <c r="G1672" s="1609"/>
      <c r="H1672" s="1609"/>
      <c r="I1672" s="897"/>
      <c r="J1672" s="898"/>
      <c r="K1672" s="896"/>
      <c r="L1672" s="923"/>
      <c r="M1672" s="899"/>
      <c r="N1672" s="900" t="s">
        <v>2297</v>
      </c>
    </row>
    <row r="1673" spans="1:14" s="910" customFormat="1" ht="16.5" hidden="1" customHeight="1">
      <c r="A1673" s="896"/>
      <c r="B1673" s="902" t="s">
        <v>2727</v>
      </c>
      <c r="C1673" s="903"/>
      <c r="D1673" s="904"/>
      <c r="E1673" s="905"/>
      <c r="F1673" s="906"/>
      <c r="G1673" s="906"/>
      <c r="H1673" s="907"/>
      <c r="I1673" s="908"/>
      <c r="J1673" s="955"/>
      <c r="K1673" s="902"/>
      <c r="L1673" s="923"/>
      <c r="M1673" s="902"/>
      <c r="N1673" s="900" t="s">
        <v>2297</v>
      </c>
    </row>
    <row r="1674" spans="1:14" s="910" customFormat="1" ht="16.5" hidden="1" customHeight="1">
      <c r="A1674" s="896"/>
      <c r="B1674" s="911" t="s">
        <v>2724</v>
      </c>
      <c r="C1674" s="912">
        <v>1</v>
      </c>
      <c r="D1674" s="913" t="s">
        <v>273</v>
      </c>
      <c r="E1674" s="914">
        <v>2</v>
      </c>
      <c r="F1674" s="915">
        <v>1.4</v>
      </c>
      <c r="G1674" s="915">
        <v>0.3</v>
      </c>
      <c r="H1674" s="915">
        <v>0</v>
      </c>
      <c r="I1674" s="916">
        <f t="shared" ref="I1674:I1679" si="168">ROUND(IF(AND(F1674:H1674),C1674*E1674*F1674*G1674*H1674,IF(AND(F1674,G1674),C1674*E1674*F1674*G1674,IF(AND(F1674,H1674),C1674*E1674*F1674*H1674,IF(AND(G1674,H1674),C1674*E1674*G1674*H1674,IF(F1674,C1674*E1674*F1674,IF(G1674,C1674*E1674*G1674,IF(H1674,C1674*E1674*H1674,C1674*E1674))))))),2)</f>
        <v>0.84</v>
      </c>
      <c r="J1674" s="955" t="s">
        <v>102</v>
      </c>
      <c r="K1674" s="902"/>
      <c r="L1674" s="923"/>
      <c r="M1674" s="902"/>
      <c r="N1674" s="900" t="s">
        <v>2297</v>
      </c>
    </row>
    <row r="1675" spans="1:14" s="910" customFormat="1" ht="16.5" hidden="1" customHeight="1">
      <c r="A1675" s="896"/>
      <c r="B1675" s="911" t="s">
        <v>2162</v>
      </c>
      <c r="C1675" s="912">
        <v>1</v>
      </c>
      <c r="D1675" s="913" t="s">
        <v>273</v>
      </c>
      <c r="E1675" s="914">
        <v>11</v>
      </c>
      <c r="F1675" s="915">
        <v>1.3</v>
      </c>
      <c r="G1675" s="915">
        <v>0.3</v>
      </c>
      <c r="H1675" s="915">
        <v>0</v>
      </c>
      <c r="I1675" s="916">
        <f t="shared" si="168"/>
        <v>4.29</v>
      </c>
      <c r="J1675" s="955" t="s">
        <v>102</v>
      </c>
      <c r="K1675" s="902"/>
      <c r="L1675" s="923"/>
      <c r="M1675" s="902"/>
      <c r="N1675" s="900" t="s">
        <v>2297</v>
      </c>
    </row>
    <row r="1676" spans="1:14" s="910" customFormat="1" ht="16.5" hidden="1" customHeight="1">
      <c r="A1676" s="896"/>
      <c r="B1676" s="911"/>
      <c r="C1676" s="912">
        <v>1</v>
      </c>
      <c r="D1676" s="913" t="s">
        <v>273</v>
      </c>
      <c r="E1676" s="914">
        <v>1</v>
      </c>
      <c r="F1676" s="915">
        <v>1.35</v>
      </c>
      <c r="G1676" s="915">
        <v>0.4</v>
      </c>
      <c r="H1676" s="915">
        <v>0</v>
      </c>
      <c r="I1676" s="916">
        <f t="shared" si="168"/>
        <v>0.54</v>
      </c>
      <c r="J1676" s="955" t="s">
        <v>102</v>
      </c>
      <c r="K1676" s="902"/>
      <c r="L1676" s="923"/>
      <c r="M1676" s="902"/>
      <c r="N1676" s="900" t="s">
        <v>2297</v>
      </c>
    </row>
    <row r="1677" spans="1:14" s="910" customFormat="1" ht="16.5" hidden="1" customHeight="1">
      <c r="A1677" s="896"/>
      <c r="B1677" s="911" t="s">
        <v>2725</v>
      </c>
      <c r="C1677" s="912">
        <v>1</v>
      </c>
      <c r="D1677" s="913" t="s">
        <v>273</v>
      </c>
      <c r="E1677" s="914">
        <v>1</v>
      </c>
      <c r="F1677" s="915">
        <v>2.93</v>
      </c>
      <c r="G1677" s="915">
        <v>0.85</v>
      </c>
      <c r="H1677" s="915">
        <v>0</v>
      </c>
      <c r="I1677" s="916">
        <f t="shared" si="168"/>
        <v>2.4900000000000002</v>
      </c>
      <c r="J1677" s="955" t="s">
        <v>102</v>
      </c>
      <c r="K1677" s="902"/>
      <c r="L1677" s="923"/>
      <c r="M1677" s="902"/>
      <c r="N1677" s="900" t="s">
        <v>2297</v>
      </c>
    </row>
    <row r="1678" spans="1:14" s="910" customFormat="1" ht="16.5" hidden="1" customHeight="1">
      <c r="A1678" s="896"/>
      <c r="B1678" s="911" t="s">
        <v>2163</v>
      </c>
      <c r="C1678" s="912">
        <v>1</v>
      </c>
      <c r="D1678" s="913" t="s">
        <v>273</v>
      </c>
      <c r="E1678" s="914">
        <v>11</v>
      </c>
      <c r="F1678" s="915">
        <v>1.3</v>
      </c>
      <c r="G1678" s="915">
        <v>0.3</v>
      </c>
      <c r="H1678" s="915">
        <v>0</v>
      </c>
      <c r="I1678" s="916">
        <f t="shared" si="168"/>
        <v>4.29</v>
      </c>
      <c r="J1678" s="955" t="s">
        <v>102</v>
      </c>
      <c r="K1678" s="902"/>
      <c r="L1678" s="923"/>
      <c r="M1678" s="902"/>
      <c r="N1678" s="900" t="s">
        <v>2297</v>
      </c>
    </row>
    <row r="1679" spans="1:14" s="910" customFormat="1" ht="16.5" hidden="1" customHeight="1">
      <c r="A1679" s="896"/>
      <c r="B1679" s="911"/>
      <c r="C1679" s="912">
        <v>1</v>
      </c>
      <c r="D1679" s="913" t="s">
        <v>273</v>
      </c>
      <c r="E1679" s="914">
        <v>1</v>
      </c>
      <c r="F1679" s="915">
        <v>1.3</v>
      </c>
      <c r="G1679" s="915">
        <v>0.3</v>
      </c>
      <c r="H1679" s="915">
        <v>0</v>
      </c>
      <c r="I1679" s="916">
        <f t="shared" si="168"/>
        <v>0.39</v>
      </c>
      <c r="J1679" s="955" t="s">
        <v>102</v>
      </c>
      <c r="K1679" s="902"/>
      <c r="L1679" s="923"/>
      <c r="M1679" s="902"/>
      <c r="N1679" s="900" t="s">
        <v>2297</v>
      </c>
    </row>
    <row r="1680" spans="1:14" s="910" customFormat="1" ht="16.5" hidden="1" customHeight="1">
      <c r="A1680" s="896"/>
      <c r="B1680" s="956"/>
      <c r="C1680" s="957"/>
      <c r="D1680" s="958"/>
      <c r="E1680" s="1268"/>
      <c r="F1680" s="960"/>
      <c r="G1680" s="960"/>
      <c r="H1680" s="960"/>
      <c r="I1680" s="916"/>
      <c r="J1680" s="955"/>
      <c r="K1680" s="902"/>
      <c r="L1680" s="923"/>
      <c r="M1680" s="902"/>
      <c r="N1680" s="900" t="s">
        <v>2297</v>
      </c>
    </row>
    <row r="1681" spans="1:14" ht="15.75" hidden="1">
      <c r="A1681" s="896"/>
      <c r="B1681" s="902"/>
      <c r="C1681" s="917"/>
      <c r="D1681" s="918"/>
      <c r="E1681" s="919"/>
      <c r="F1681" s="920"/>
      <c r="G1681" s="921"/>
      <c r="H1681" s="896"/>
      <c r="I1681" s="916"/>
      <c r="J1681" s="955" t="s">
        <v>102</v>
      </c>
      <c r="K1681" s="922">
        <f>data!E1519</f>
        <v>2886.61</v>
      </c>
      <c r="L1681" s="923" t="s">
        <v>2297</v>
      </c>
      <c r="M1681" s="924">
        <f>ROUND(I1681*K1681,0)</f>
        <v>0</v>
      </c>
      <c r="N1681" s="900" t="s">
        <v>2297</v>
      </c>
    </row>
    <row r="1682" spans="1:14" ht="108" hidden="1" customHeight="1">
      <c r="A1682" s="896">
        <v>27</v>
      </c>
      <c r="B1682" s="1609" t="s">
        <v>665</v>
      </c>
      <c r="C1682" s="1609"/>
      <c r="D1682" s="1609"/>
      <c r="E1682" s="1609"/>
      <c r="F1682" s="1609"/>
      <c r="G1682" s="1609"/>
      <c r="H1682" s="1609"/>
      <c r="I1682" s="897"/>
      <c r="J1682" s="898"/>
      <c r="K1682" s="896"/>
      <c r="L1682" s="923"/>
      <c r="M1682" s="899"/>
      <c r="N1682" s="900" t="s">
        <v>2308</v>
      </c>
    </row>
    <row r="1683" spans="1:14" s="910" customFormat="1" ht="16.5" hidden="1" customHeight="1">
      <c r="A1683" s="896"/>
      <c r="B1683" s="902" t="s">
        <v>3557</v>
      </c>
      <c r="C1683" s="903"/>
      <c r="D1683" s="904"/>
      <c r="E1683" s="905"/>
      <c r="F1683" s="906"/>
      <c r="G1683" s="906"/>
      <c r="H1683" s="907"/>
      <c r="I1683" s="908"/>
      <c r="J1683" s="955"/>
      <c r="K1683" s="902"/>
      <c r="L1683" s="923"/>
      <c r="M1683" s="902"/>
      <c r="N1683" s="900" t="s">
        <v>2308</v>
      </c>
    </row>
    <row r="1684" spans="1:14" s="910" customFormat="1" ht="16.5" hidden="1" customHeight="1">
      <c r="A1684" s="896"/>
      <c r="B1684" s="911" t="s">
        <v>2162</v>
      </c>
      <c r="C1684" s="912">
        <v>1</v>
      </c>
      <c r="D1684" s="913" t="s">
        <v>273</v>
      </c>
      <c r="E1684" s="914">
        <v>11</v>
      </c>
      <c r="F1684" s="915">
        <v>1.32</v>
      </c>
      <c r="G1684" s="915">
        <v>0.3</v>
      </c>
      <c r="H1684" s="915">
        <v>0</v>
      </c>
      <c r="I1684" s="916">
        <f>ROUND(IF(AND(F1684:H1684),C1684*E1684*F1684*G1684*H1684,IF(AND(F1684,G1684),C1684*E1684*F1684*G1684,IF(AND(F1684,H1684),C1684*E1684*F1684*H1684,IF(AND(G1684,H1684),C1684*E1684*G1684*H1684,IF(F1684,C1684*E1684*F1684,IF(G1684,C1684*E1684*G1684,IF(H1684,C1684*E1684*H1684,C1684*E1684))))))),2)</f>
        <v>4.3600000000000003</v>
      </c>
      <c r="J1684" s="955" t="s">
        <v>102</v>
      </c>
      <c r="K1684" s="902"/>
      <c r="L1684" s="923"/>
      <c r="M1684" s="902"/>
      <c r="N1684" s="900" t="s">
        <v>2308</v>
      </c>
    </row>
    <row r="1685" spans="1:14" s="910" customFormat="1" ht="16.5" hidden="1" customHeight="1">
      <c r="A1685" s="896"/>
      <c r="B1685" s="911"/>
      <c r="C1685" s="912">
        <v>1</v>
      </c>
      <c r="D1685" s="913" t="s">
        <v>273</v>
      </c>
      <c r="E1685" s="914">
        <v>1</v>
      </c>
      <c r="F1685" s="915">
        <v>1.42</v>
      </c>
      <c r="G1685" s="915">
        <v>0.56000000000000005</v>
      </c>
      <c r="H1685" s="915">
        <v>0</v>
      </c>
      <c r="I1685" s="916">
        <f>ROUND(IF(AND(F1685:H1685),C1685*E1685*F1685*G1685*H1685,IF(AND(F1685,G1685),C1685*E1685*F1685*G1685,IF(AND(F1685,H1685),C1685*E1685*F1685*H1685,IF(AND(G1685,H1685),C1685*E1685*G1685*H1685,IF(F1685,C1685*E1685*F1685,IF(G1685,C1685*E1685*G1685,IF(H1685,C1685*E1685*H1685,C1685*E1685))))))),2)</f>
        <v>0.8</v>
      </c>
      <c r="J1685" s="955" t="s">
        <v>102</v>
      </c>
      <c r="K1685" s="902"/>
      <c r="L1685" s="923"/>
      <c r="M1685" s="902"/>
      <c r="N1685" s="900" t="s">
        <v>2308</v>
      </c>
    </row>
    <row r="1686" spans="1:14" s="910" customFormat="1" ht="16.5" hidden="1" customHeight="1">
      <c r="A1686" s="896"/>
      <c r="B1686" s="911" t="s">
        <v>2163</v>
      </c>
      <c r="C1686" s="912">
        <v>1</v>
      </c>
      <c r="D1686" s="913" t="s">
        <v>273</v>
      </c>
      <c r="E1686" s="914">
        <v>12</v>
      </c>
      <c r="F1686" s="915">
        <v>1.23</v>
      </c>
      <c r="G1686" s="915">
        <v>0.3</v>
      </c>
      <c r="H1686" s="915">
        <v>0</v>
      </c>
      <c r="I1686" s="916">
        <f>ROUND(IF(AND(F1686:H1686),C1686*E1686*F1686*G1686*H1686,IF(AND(F1686,G1686),C1686*E1686*F1686*G1686,IF(AND(F1686,H1686),C1686*E1686*F1686*H1686,IF(AND(G1686,H1686),C1686*E1686*G1686*H1686,IF(F1686,C1686*E1686*F1686,IF(G1686,C1686*E1686*G1686,IF(H1686,C1686*E1686*H1686,C1686*E1686))))))),2)</f>
        <v>4.43</v>
      </c>
      <c r="J1686" s="955" t="s">
        <v>102</v>
      </c>
      <c r="K1686" s="902"/>
      <c r="L1686" s="923"/>
      <c r="M1686" s="902"/>
      <c r="N1686" s="900" t="s">
        <v>2308</v>
      </c>
    </row>
    <row r="1687" spans="1:14" s="910" customFormat="1" ht="16.5" hidden="1" customHeight="1">
      <c r="A1687" s="896"/>
      <c r="B1687" s="956"/>
      <c r="C1687" s="957"/>
      <c r="D1687" s="958"/>
      <c r="E1687" s="1268"/>
      <c r="F1687" s="960"/>
      <c r="G1687" s="960"/>
      <c r="H1687" s="960"/>
      <c r="I1687" s="916"/>
      <c r="J1687" s="955"/>
      <c r="K1687" s="902"/>
      <c r="L1687" s="923"/>
      <c r="M1687" s="902"/>
      <c r="N1687" s="900" t="s">
        <v>2308</v>
      </c>
    </row>
    <row r="1688" spans="1:14" ht="15.75" hidden="1">
      <c r="A1688" s="896"/>
      <c r="B1688" s="902"/>
      <c r="C1688" s="917"/>
      <c r="D1688" s="918"/>
      <c r="E1688" s="919"/>
      <c r="F1688" s="920"/>
      <c r="G1688" s="921"/>
      <c r="H1688" s="896"/>
      <c r="I1688" s="916"/>
      <c r="J1688" s="955" t="s">
        <v>102</v>
      </c>
      <c r="K1688" s="922">
        <f>data!E2436</f>
        <v>2942.62</v>
      </c>
      <c r="L1688" s="923" t="s">
        <v>2308</v>
      </c>
      <c r="M1688" s="924">
        <f>ROUND(I1688*K1688,0)</f>
        <v>0</v>
      </c>
      <c r="N1688" s="900" t="s">
        <v>2308</v>
      </c>
    </row>
    <row r="1689" spans="1:14" s="1403" customFormat="1" ht="108" customHeight="1">
      <c r="A1689" s="1397">
        <v>23</v>
      </c>
      <c r="B1689" s="1610" t="s">
        <v>665</v>
      </c>
      <c r="C1689" s="1610"/>
      <c r="D1689" s="1610"/>
      <c r="E1689" s="1610"/>
      <c r="F1689" s="1610"/>
      <c r="G1689" s="1610"/>
      <c r="H1689" s="1610"/>
      <c r="I1689" s="1398"/>
      <c r="J1689" s="1399"/>
      <c r="K1689" s="1397"/>
      <c r="L1689" s="1400"/>
      <c r="M1689" s="1401"/>
      <c r="N1689" s="1402" t="s">
        <v>2309</v>
      </c>
    </row>
    <row r="1690" spans="1:14" s="1411" customFormat="1" ht="16.5" customHeight="1">
      <c r="A1690" s="1397"/>
      <c r="B1690" s="1404" t="s">
        <v>3935</v>
      </c>
      <c r="C1690" s="1417"/>
      <c r="D1690" s="1395" t="s">
        <v>4020</v>
      </c>
      <c r="E1690" s="1419"/>
      <c r="F1690" s="1420"/>
      <c r="G1690" s="1420"/>
      <c r="H1690" s="1421"/>
      <c r="I1690" s="1422"/>
      <c r="J1690" s="1423"/>
      <c r="K1690" s="1410"/>
      <c r="L1690" s="1400"/>
      <c r="M1690" s="1410"/>
      <c r="N1690" s="1402" t="s">
        <v>2309</v>
      </c>
    </row>
    <row r="1691" spans="1:14" s="1411" customFormat="1" ht="16.5" customHeight="1">
      <c r="A1691" s="1397"/>
      <c r="B1691" s="1458" t="s">
        <v>2360</v>
      </c>
      <c r="C1691" s="1459">
        <v>1</v>
      </c>
      <c r="D1691" s="1460" t="s">
        <v>273</v>
      </c>
      <c r="E1691" s="1461">
        <v>1</v>
      </c>
      <c r="F1691" s="1448">
        <v>2.7</v>
      </c>
      <c r="G1691" s="1448">
        <v>2.7</v>
      </c>
      <c r="H1691" s="1448">
        <v>0</v>
      </c>
      <c r="I1691" s="1430">
        <f t="shared" ref="I1691" si="169">ROUND(IF(AND(F1691:H1691),C1691*E1691*F1691*G1691*H1691,IF(AND(F1691,G1691),C1691*E1691*F1691*G1691,IF(AND(F1691,H1691),C1691*E1691*F1691*H1691,IF(AND(G1691,H1691),C1691*E1691*G1691*H1691,IF(F1691,C1691*E1691*F1691,IF(G1691,C1691*E1691*G1691,IF(H1691,C1691*E1691*H1691,C1691*E1691))))))),2)</f>
        <v>7.29</v>
      </c>
      <c r="J1691" s="1423" t="s">
        <v>102</v>
      </c>
      <c r="K1691" s="1410"/>
      <c r="L1691" s="1400"/>
      <c r="M1691" s="1410"/>
      <c r="N1691" s="1402" t="s">
        <v>2309</v>
      </c>
    </row>
    <row r="1692" spans="1:14" s="1411" customFormat="1" ht="16.5" customHeight="1">
      <c r="A1692" s="1397"/>
      <c r="B1692" s="1458" t="s">
        <v>3845</v>
      </c>
      <c r="C1692" s="1459">
        <v>1</v>
      </c>
      <c r="D1692" s="1460" t="s">
        <v>273</v>
      </c>
      <c r="E1692" s="1461">
        <v>2</v>
      </c>
      <c r="F1692" s="1448">
        <v>0.5</v>
      </c>
      <c r="G1692" s="1448">
        <v>0.15</v>
      </c>
      <c r="H1692" s="1448">
        <v>0</v>
      </c>
      <c r="I1692" s="1430">
        <f>-ROUND(IF(AND(F1692:H1692),C1692*E1692*F1692*G1692*H1692,IF(AND(F1692,G1692),C1692*E1692*F1692*G1692,IF(AND(F1692,H1692),C1692*E1692*F1692*H1692,IF(AND(G1692,H1692),C1692*E1692*G1692*H1692,IF(F1692,C1692*E1692*F1692,IF(G1692,C1692*E1692*G1692,IF(H1692,C1692*E1692*H1692,C1692*E1692))))))),2)</f>
        <v>-0.15</v>
      </c>
      <c r="J1692" s="1423" t="s">
        <v>102</v>
      </c>
      <c r="K1692" s="1410"/>
      <c r="L1692" s="1400"/>
      <c r="M1692" s="1410"/>
      <c r="N1692" s="1402" t="s">
        <v>2309</v>
      </c>
    </row>
    <row r="1693" spans="1:14" s="1411" customFormat="1" ht="16.5" customHeight="1">
      <c r="A1693" s="1397"/>
      <c r="B1693" s="1458" t="s">
        <v>2521</v>
      </c>
      <c r="C1693" s="1459">
        <v>1</v>
      </c>
      <c r="D1693" s="1460" t="s">
        <v>273</v>
      </c>
      <c r="E1693" s="1461">
        <v>1</v>
      </c>
      <c r="F1693" s="1448">
        <v>2.2000000000000002</v>
      </c>
      <c r="G1693" s="1448">
        <v>2.7</v>
      </c>
      <c r="H1693" s="1448">
        <v>0</v>
      </c>
      <c r="I1693" s="1430">
        <f t="shared" ref="I1693" si="170">ROUND(IF(AND(F1693:H1693),C1693*E1693*F1693*G1693*H1693,IF(AND(F1693,G1693),C1693*E1693*F1693*G1693,IF(AND(F1693,H1693),C1693*E1693*F1693*H1693,IF(AND(G1693,H1693),C1693*E1693*G1693*H1693,IF(F1693,C1693*E1693*F1693,IF(G1693,C1693*E1693*G1693,IF(H1693,C1693*E1693*H1693,C1693*E1693))))))),2)</f>
        <v>5.94</v>
      </c>
      <c r="J1693" s="1423" t="s">
        <v>102</v>
      </c>
      <c r="K1693" s="1410"/>
      <c r="L1693" s="1400"/>
      <c r="M1693" s="1410"/>
      <c r="N1693" s="1402" t="s">
        <v>2309</v>
      </c>
    </row>
    <row r="1694" spans="1:14" s="1411" customFormat="1" ht="16.5" customHeight="1">
      <c r="A1694" s="1397"/>
      <c r="B1694" s="1458" t="s">
        <v>3845</v>
      </c>
      <c r="C1694" s="1459">
        <v>1</v>
      </c>
      <c r="D1694" s="1460" t="s">
        <v>273</v>
      </c>
      <c r="E1694" s="1461">
        <v>3</v>
      </c>
      <c r="F1694" s="1448">
        <v>0.5</v>
      </c>
      <c r="G1694" s="1448">
        <v>0.15</v>
      </c>
      <c r="H1694" s="1448">
        <v>0</v>
      </c>
      <c r="I1694" s="1430">
        <f>-ROUND(IF(AND(F1694:H1694),C1694*E1694*F1694*G1694*H1694,IF(AND(F1694,G1694),C1694*E1694*F1694*G1694,IF(AND(F1694,H1694),C1694*E1694*F1694*H1694,IF(AND(G1694,H1694),C1694*E1694*G1694*H1694,IF(F1694,C1694*E1694*F1694,IF(G1694,C1694*E1694*G1694,IF(H1694,C1694*E1694*H1694,C1694*E1694))))))),2)</f>
        <v>-0.23</v>
      </c>
      <c r="J1694" s="1423" t="s">
        <v>102</v>
      </c>
      <c r="K1694" s="1410"/>
      <c r="L1694" s="1400"/>
      <c r="M1694" s="1410"/>
      <c r="N1694" s="1402" t="s">
        <v>2309</v>
      </c>
    </row>
    <row r="1695" spans="1:14" s="1411" customFormat="1" ht="16.5" customHeight="1">
      <c r="A1695" s="1397"/>
      <c r="B1695" s="1458" t="s">
        <v>2358</v>
      </c>
      <c r="C1695" s="1459">
        <v>1</v>
      </c>
      <c r="D1695" s="1460" t="s">
        <v>273</v>
      </c>
      <c r="E1695" s="1461">
        <v>1</v>
      </c>
      <c r="F1695" s="1448">
        <v>2.7</v>
      </c>
      <c r="G1695" s="1448">
        <v>2.7</v>
      </c>
      <c r="H1695" s="1448">
        <v>0</v>
      </c>
      <c r="I1695" s="1430">
        <f t="shared" ref="I1695:I1696" si="171">ROUND(IF(AND(F1695:H1695),C1695*E1695*F1695*G1695*H1695,IF(AND(F1695,G1695),C1695*E1695*F1695*G1695,IF(AND(F1695,H1695),C1695*E1695*F1695*H1695,IF(AND(G1695,H1695),C1695*E1695*G1695*H1695,IF(F1695,C1695*E1695*F1695,IF(G1695,C1695*E1695*G1695,IF(H1695,C1695*E1695*H1695,C1695*E1695))))))),2)</f>
        <v>7.29</v>
      </c>
      <c r="J1695" s="1423" t="s">
        <v>102</v>
      </c>
      <c r="K1695" s="1410"/>
      <c r="L1695" s="1400"/>
      <c r="M1695" s="1410"/>
      <c r="N1695" s="1402" t="s">
        <v>2309</v>
      </c>
    </row>
    <row r="1696" spans="1:14" s="1411" customFormat="1" ht="16.5" customHeight="1">
      <c r="A1696" s="1397"/>
      <c r="B1696" s="1458" t="s">
        <v>2357</v>
      </c>
      <c r="C1696" s="1459">
        <v>1</v>
      </c>
      <c r="D1696" s="1460" t="s">
        <v>273</v>
      </c>
      <c r="E1696" s="1461">
        <v>1</v>
      </c>
      <c r="F1696" s="1448">
        <v>1.6</v>
      </c>
      <c r="G1696" s="1448">
        <v>2.7</v>
      </c>
      <c r="H1696" s="1448">
        <v>0</v>
      </c>
      <c r="I1696" s="1430">
        <f t="shared" si="171"/>
        <v>4.32</v>
      </c>
      <c r="J1696" s="1423" t="s">
        <v>102</v>
      </c>
      <c r="K1696" s="1410"/>
      <c r="L1696" s="1400"/>
      <c r="M1696" s="1410"/>
      <c r="N1696" s="1402" t="s">
        <v>2309</v>
      </c>
    </row>
    <row r="1697" spans="1:14" s="1411" customFormat="1" ht="16.5" customHeight="1">
      <c r="A1697" s="1397"/>
      <c r="B1697" s="1458" t="s">
        <v>3845</v>
      </c>
      <c r="C1697" s="1459">
        <v>1</v>
      </c>
      <c r="D1697" s="1460" t="s">
        <v>273</v>
      </c>
      <c r="E1697" s="1461">
        <v>3</v>
      </c>
      <c r="F1697" s="1448">
        <v>0.4</v>
      </c>
      <c r="G1697" s="1448">
        <v>0.15</v>
      </c>
      <c r="H1697" s="1448">
        <v>0</v>
      </c>
      <c r="I1697" s="1430">
        <f>-ROUND(IF(AND(F1697:H1697),C1697*E1697*F1697*G1697*H1697,IF(AND(F1697,G1697),C1697*E1697*F1697*G1697,IF(AND(F1697,H1697),C1697*E1697*F1697*H1697,IF(AND(G1697,H1697),C1697*E1697*G1697*H1697,IF(F1697,C1697*E1697*F1697,IF(G1697,C1697*E1697*G1697,IF(H1697,C1697*E1697*H1697,C1697*E1697))))))),2)</f>
        <v>-0.18</v>
      </c>
      <c r="J1697" s="1423" t="s">
        <v>102</v>
      </c>
      <c r="K1697" s="1410"/>
      <c r="L1697" s="1400"/>
      <c r="M1697" s="1410"/>
      <c r="N1697" s="1402" t="s">
        <v>2309</v>
      </c>
    </row>
    <row r="1698" spans="1:14" s="1411" customFormat="1" ht="16.5" customHeight="1">
      <c r="A1698" s="1397"/>
      <c r="B1698" s="1458" t="s">
        <v>3936</v>
      </c>
      <c r="C1698" s="1459">
        <v>1</v>
      </c>
      <c r="D1698" s="1460" t="s">
        <v>273</v>
      </c>
      <c r="E1698" s="1461">
        <v>1</v>
      </c>
      <c r="F1698" s="1448">
        <v>1.32</v>
      </c>
      <c r="G1698" s="1448">
        <v>1.05</v>
      </c>
      <c r="H1698" s="1448">
        <v>0</v>
      </c>
      <c r="I1698" s="1430">
        <f t="shared" ref="I1698:I1704" si="172">ROUND(IF(AND(F1698:H1698),C1698*E1698*F1698*G1698*H1698,IF(AND(F1698,G1698),C1698*E1698*F1698*G1698,IF(AND(F1698,H1698),C1698*E1698*F1698*H1698,IF(AND(G1698,H1698),C1698*E1698*G1698*H1698,IF(F1698,C1698*E1698*F1698,IF(G1698,C1698*E1698*G1698,IF(H1698,C1698*E1698*H1698,C1698*E1698))))))),2)</f>
        <v>1.39</v>
      </c>
      <c r="J1698" s="1423" t="s">
        <v>102</v>
      </c>
      <c r="K1698" s="1410"/>
      <c r="L1698" s="1400"/>
      <c r="M1698" s="1410"/>
      <c r="N1698" s="1402" t="s">
        <v>2309</v>
      </c>
    </row>
    <row r="1699" spans="1:14" s="1411" customFormat="1" ht="16.5" customHeight="1">
      <c r="A1699" s="1397"/>
      <c r="B1699" s="1458"/>
      <c r="C1699" s="1459">
        <v>1</v>
      </c>
      <c r="D1699" s="1460" t="s">
        <v>273</v>
      </c>
      <c r="E1699" s="1461">
        <v>1</v>
      </c>
      <c r="F1699" s="1448">
        <v>1.32</v>
      </c>
      <c r="G1699" s="1448">
        <v>1.1000000000000001</v>
      </c>
      <c r="H1699" s="1448">
        <v>0</v>
      </c>
      <c r="I1699" s="1430">
        <f t="shared" si="172"/>
        <v>1.45</v>
      </c>
      <c r="J1699" s="1423" t="s">
        <v>102</v>
      </c>
      <c r="K1699" s="1410"/>
      <c r="L1699" s="1400"/>
      <c r="M1699" s="1410"/>
      <c r="N1699" s="1402" t="s">
        <v>2309</v>
      </c>
    </row>
    <row r="1700" spans="1:14" s="1411" customFormat="1" ht="16.5" customHeight="1">
      <c r="A1700" s="1397"/>
      <c r="B1700" s="1458" t="s">
        <v>3670</v>
      </c>
      <c r="C1700" s="1459">
        <v>1</v>
      </c>
      <c r="D1700" s="1460" t="s">
        <v>273</v>
      </c>
      <c r="E1700" s="1461">
        <v>1</v>
      </c>
      <c r="F1700" s="1448">
        <v>6.65</v>
      </c>
      <c r="G1700" s="1448">
        <v>2.95</v>
      </c>
      <c r="H1700" s="1448">
        <v>0</v>
      </c>
      <c r="I1700" s="1430">
        <f t="shared" si="172"/>
        <v>19.62</v>
      </c>
      <c r="J1700" s="1423" t="s">
        <v>102</v>
      </c>
      <c r="K1700" s="1410"/>
      <c r="L1700" s="1400"/>
      <c r="M1700" s="1410"/>
      <c r="N1700" s="1402" t="s">
        <v>2309</v>
      </c>
    </row>
    <row r="1701" spans="1:14" s="1411" customFormat="1" ht="16.5" customHeight="1">
      <c r="A1701" s="1397"/>
      <c r="B1701" s="1458" t="s">
        <v>2355</v>
      </c>
      <c r="C1701" s="1459">
        <v>1</v>
      </c>
      <c r="D1701" s="1460" t="s">
        <v>273</v>
      </c>
      <c r="E1701" s="1461">
        <v>1</v>
      </c>
      <c r="F1701" s="1448">
        <v>6.1</v>
      </c>
      <c r="G1701" s="1448">
        <v>2.95</v>
      </c>
      <c r="H1701" s="1448">
        <v>0</v>
      </c>
      <c r="I1701" s="1430">
        <f t="shared" si="172"/>
        <v>18</v>
      </c>
      <c r="J1701" s="1423" t="s">
        <v>102</v>
      </c>
      <c r="K1701" s="1410"/>
      <c r="L1701" s="1400"/>
      <c r="M1701" s="1410"/>
      <c r="N1701" s="1402" t="s">
        <v>2309</v>
      </c>
    </row>
    <row r="1702" spans="1:14" s="1411" customFormat="1" ht="16.5" customHeight="1">
      <c r="A1702" s="1397"/>
      <c r="B1702" s="1458" t="s">
        <v>578</v>
      </c>
      <c r="C1702" s="1459">
        <v>1</v>
      </c>
      <c r="D1702" s="1460" t="s">
        <v>273</v>
      </c>
      <c r="E1702" s="1461">
        <v>1</v>
      </c>
      <c r="F1702" s="1448">
        <v>3.7</v>
      </c>
      <c r="G1702" s="1448">
        <v>1.2</v>
      </c>
      <c r="H1702" s="1448">
        <v>0</v>
      </c>
      <c r="I1702" s="1430">
        <f t="shared" si="172"/>
        <v>4.4400000000000004</v>
      </c>
      <c r="J1702" s="1423" t="s">
        <v>102</v>
      </c>
      <c r="K1702" s="1410"/>
      <c r="L1702" s="1400"/>
      <c r="M1702" s="1410"/>
      <c r="N1702" s="1402" t="s">
        <v>2309</v>
      </c>
    </row>
    <row r="1703" spans="1:14" s="1411" customFormat="1" ht="16.5" customHeight="1">
      <c r="A1703" s="1397"/>
      <c r="B1703" s="1458"/>
      <c r="C1703" s="1459">
        <v>1</v>
      </c>
      <c r="D1703" s="1460" t="s">
        <v>273</v>
      </c>
      <c r="E1703" s="1461">
        <v>1</v>
      </c>
      <c r="F1703" s="1448">
        <v>12.75</v>
      </c>
      <c r="G1703" s="1448">
        <v>1.2</v>
      </c>
      <c r="H1703" s="1448">
        <v>0</v>
      </c>
      <c r="I1703" s="1430">
        <f t="shared" si="172"/>
        <v>15.3</v>
      </c>
      <c r="J1703" s="1423" t="s">
        <v>102</v>
      </c>
      <c r="K1703" s="1410"/>
      <c r="L1703" s="1400"/>
      <c r="M1703" s="1410"/>
      <c r="N1703" s="1402" t="s">
        <v>2309</v>
      </c>
    </row>
    <row r="1704" spans="1:14" s="1411" customFormat="1" ht="16.5" customHeight="1">
      <c r="A1704" s="1397"/>
      <c r="B1704" s="1458" t="s">
        <v>3937</v>
      </c>
      <c r="C1704" s="1459">
        <v>1</v>
      </c>
      <c r="D1704" s="1460" t="s">
        <v>273</v>
      </c>
      <c r="E1704" s="1461">
        <v>1</v>
      </c>
      <c r="F1704" s="1448">
        <v>2.65</v>
      </c>
      <c r="G1704" s="1448">
        <v>1.2</v>
      </c>
      <c r="H1704" s="1448">
        <v>0</v>
      </c>
      <c r="I1704" s="1430">
        <f t="shared" si="172"/>
        <v>3.18</v>
      </c>
      <c r="J1704" s="1423" t="s">
        <v>102</v>
      </c>
      <c r="K1704" s="1410"/>
      <c r="L1704" s="1400"/>
      <c r="M1704" s="1410"/>
      <c r="N1704" s="1402" t="s">
        <v>2309</v>
      </c>
    </row>
    <row r="1705" spans="1:14" s="1411" customFormat="1" ht="16.5" customHeight="1">
      <c r="A1705" s="1397"/>
      <c r="B1705" s="1425"/>
      <c r="C1705" s="1426"/>
      <c r="D1705" s="1427"/>
      <c r="E1705" s="1428"/>
      <c r="F1705" s="1429"/>
      <c r="G1705" s="1429"/>
      <c r="H1705" s="1429"/>
      <c r="I1705" s="1430"/>
      <c r="J1705" s="1423"/>
      <c r="K1705" s="1410"/>
      <c r="L1705" s="1400"/>
      <c r="M1705" s="1410"/>
      <c r="N1705" s="1402" t="s">
        <v>2309</v>
      </c>
    </row>
    <row r="1706" spans="1:14" s="1403" customFormat="1" ht="15.75">
      <c r="A1706" s="1397"/>
      <c r="B1706" s="1410"/>
      <c r="C1706" s="1431"/>
      <c r="D1706" s="1432"/>
      <c r="E1706" s="1413"/>
      <c r="F1706" s="1414"/>
      <c r="G1706" s="1433"/>
      <c r="H1706" s="1397"/>
      <c r="I1706" s="1430">
        <f>SUM(I1691:I1705)</f>
        <v>87.660000000000011</v>
      </c>
      <c r="J1706" s="1423" t="s">
        <v>102</v>
      </c>
      <c r="K1706" s="1434">
        <f>data!E3353</f>
        <v>3115.07</v>
      </c>
      <c r="L1706" s="1400" t="s">
        <v>2309</v>
      </c>
      <c r="M1706" s="1435">
        <f>ROUND(I1706*K1706,0)</f>
        <v>273067</v>
      </c>
      <c r="N1706" s="1402" t="s">
        <v>2309</v>
      </c>
    </row>
    <row r="1707" spans="1:14" ht="93.75" hidden="1" customHeight="1">
      <c r="A1707" s="896">
        <v>22</v>
      </c>
      <c r="B1707" s="1609" t="s">
        <v>3293</v>
      </c>
      <c r="C1707" s="1609"/>
      <c r="D1707" s="1609"/>
      <c r="E1707" s="1609"/>
      <c r="F1707" s="1609"/>
      <c r="G1707" s="1609"/>
      <c r="H1707" s="1609"/>
      <c r="I1707" s="897"/>
      <c r="J1707" s="898"/>
      <c r="K1707" s="896"/>
      <c r="L1707" s="923"/>
      <c r="M1707" s="899"/>
      <c r="N1707" s="900" t="s">
        <v>2209</v>
      </c>
    </row>
    <row r="1708" spans="1:14" s="910" customFormat="1" ht="16.5" hidden="1" customHeight="1">
      <c r="A1708" s="896"/>
      <c r="B1708" s="928" t="s">
        <v>3938</v>
      </c>
      <c r="C1708" s="903"/>
      <c r="D1708" s="904"/>
      <c r="E1708" s="905"/>
      <c r="F1708" s="906"/>
      <c r="G1708" s="906"/>
      <c r="H1708" s="907"/>
      <c r="I1708" s="908"/>
      <c r="J1708" s="955"/>
      <c r="K1708" s="902"/>
      <c r="L1708" s="896"/>
      <c r="M1708" s="902"/>
      <c r="N1708" s="900" t="s">
        <v>2209</v>
      </c>
    </row>
    <row r="1709" spans="1:14" s="910" customFormat="1" ht="16.5" hidden="1" customHeight="1">
      <c r="A1709" s="896"/>
      <c r="B1709" s="911" t="s">
        <v>2360</v>
      </c>
      <c r="C1709" s="912">
        <v>1</v>
      </c>
      <c r="D1709" s="913" t="s">
        <v>273</v>
      </c>
      <c r="E1709" s="914">
        <v>1</v>
      </c>
      <c r="F1709" s="915">
        <v>10.8</v>
      </c>
      <c r="G1709" s="915">
        <v>0</v>
      </c>
      <c r="H1709" s="915">
        <v>0.1</v>
      </c>
      <c r="I1709" s="916">
        <f t="shared" ref="I1709:I1717" si="173">ROUND(IF(AND(F1709:H1709),C1709*E1709*F1709*G1709*H1709,IF(AND(F1709,G1709),C1709*E1709*F1709*G1709,IF(AND(F1709,H1709),C1709*E1709*F1709*H1709,IF(AND(G1709,H1709),C1709*E1709*G1709*H1709,IF(F1709,C1709*E1709*F1709,IF(G1709,C1709*E1709*G1709,IF(H1709,C1709*E1709*H1709,C1709*E1709))))))),2)</f>
        <v>1.08</v>
      </c>
      <c r="J1709" s="955" t="s">
        <v>102</v>
      </c>
      <c r="K1709" s="902"/>
      <c r="L1709" s="896"/>
      <c r="M1709" s="902"/>
      <c r="N1709" s="900" t="s">
        <v>2209</v>
      </c>
    </row>
    <row r="1710" spans="1:14" s="910" customFormat="1" ht="16.5" hidden="1" customHeight="1">
      <c r="A1710" s="896"/>
      <c r="B1710" s="911" t="s">
        <v>2521</v>
      </c>
      <c r="C1710" s="912">
        <v>1</v>
      </c>
      <c r="D1710" s="913" t="s">
        <v>273</v>
      </c>
      <c r="E1710" s="914">
        <v>1</v>
      </c>
      <c r="F1710" s="915">
        <v>9.8000000000000007</v>
      </c>
      <c r="G1710" s="915">
        <v>0</v>
      </c>
      <c r="H1710" s="915">
        <v>0.1</v>
      </c>
      <c r="I1710" s="916">
        <f t="shared" si="173"/>
        <v>0.98</v>
      </c>
      <c r="J1710" s="955" t="s">
        <v>102</v>
      </c>
      <c r="K1710" s="902"/>
      <c r="L1710" s="896"/>
      <c r="M1710" s="902"/>
      <c r="N1710" s="900" t="s">
        <v>2209</v>
      </c>
    </row>
    <row r="1711" spans="1:14" s="910" customFormat="1" ht="16.5" hidden="1" customHeight="1">
      <c r="A1711" s="896"/>
      <c r="B1711" s="911" t="s">
        <v>2358</v>
      </c>
      <c r="C1711" s="912">
        <v>1</v>
      </c>
      <c r="D1711" s="913" t="s">
        <v>273</v>
      </c>
      <c r="E1711" s="914">
        <v>1</v>
      </c>
      <c r="F1711" s="915">
        <v>10.8</v>
      </c>
      <c r="G1711" s="915">
        <v>0</v>
      </c>
      <c r="H1711" s="915">
        <v>0.1</v>
      </c>
      <c r="I1711" s="916">
        <f t="shared" si="173"/>
        <v>1.08</v>
      </c>
      <c r="J1711" s="955" t="s">
        <v>102</v>
      </c>
      <c r="K1711" s="902"/>
      <c r="L1711" s="896"/>
      <c r="M1711" s="902"/>
      <c r="N1711" s="900" t="s">
        <v>2209</v>
      </c>
    </row>
    <row r="1712" spans="1:14" s="910" customFormat="1" ht="16.5" hidden="1" customHeight="1">
      <c r="A1712" s="896"/>
      <c r="B1712" s="911" t="s">
        <v>2357</v>
      </c>
      <c r="C1712" s="912">
        <v>1</v>
      </c>
      <c r="D1712" s="913" t="s">
        <v>273</v>
      </c>
      <c r="E1712" s="914">
        <v>1</v>
      </c>
      <c r="F1712" s="915">
        <v>8.6</v>
      </c>
      <c r="G1712" s="915">
        <v>0</v>
      </c>
      <c r="H1712" s="915">
        <v>0.1</v>
      </c>
      <c r="I1712" s="916">
        <f t="shared" si="173"/>
        <v>0.86</v>
      </c>
      <c r="J1712" s="955" t="s">
        <v>102</v>
      </c>
      <c r="K1712" s="902"/>
      <c r="L1712" s="896"/>
      <c r="M1712" s="902"/>
      <c r="N1712" s="900" t="s">
        <v>2209</v>
      </c>
    </row>
    <row r="1713" spans="1:14" s="910" customFormat="1" ht="16.5" hidden="1" customHeight="1">
      <c r="A1713" s="896"/>
      <c r="B1713" s="911" t="s">
        <v>3939</v>
      </c>
      <c r="C1713" s="912">
        <v>1</v>
      </c>
      <c r="D1713" s="913" t="s">
        <v>273</v>
      </c>
      <c r="E1713" s="914">
        <v>1</v>
      </c>
      <c r="F1713" s="915">
        <v>19.2</v>
      </c>
      <c r="G1713" s="915">
        <v>0</v>
      </c>
      <c r="H1713" s="915">
        <v>0.1</v>
      </c>
      <c r="I1713" s="916">
        <f t="shared" si="173"/>
        <v>1.92</v>
      </c>
      <c r="J1713" s="955" t="s">
        <v>102</v>
      </c>
      <c r="K1713" s="902"/>
      <c r="L1713" s="896"/>
      <c r="M1713" s="902"/>
      <c r="N1713" s="900" t="s">
        <v>2209</v>
      </c>
    </row>
    <row r="1714" spans="1:14" s="910" customFormat="1" ht="16.5" hidden="1" customHeight="1">
      <c r="A1714" s="896"/>
      <c r="B1714" s="911" t="s">
        <v>2355</v>
      </c>
      <c r="C1714" s="912">
        <v>1</v>
      </c>
      <c r="D1714" s="913" t="s">
        <v>273</v>
      </c>
      <c r="E1714" s="914">
        <v>1</v>
      </c>
      <c r="F1714" s="915">
        <v>18.100000000000001</v>
      </c>
      <c r="G1714" s="915">
        <v>0</v>
      </c>
      <c r="H1714" s="915">
        <v>0.1</v>
      </c>
      <c r="I1714" s="916">
        <f t="shared" si="173"/>
        <v>1.81</v>
      </c>
      <c r="J1714" s="955" t="s">
        <v>102</v>
      </c>
      <c r="K1714" s="902"/>
      <c r="L1714" s="896"/>
      <c r="M1714" s="902"/>
      <c r="N1714" s="900" t="s">
        <v>2209</v>
      </c>
    </row>
    <row r="1715" spans="1:14" s="910" customFormat="1" ht="16.5" hidden="1" customHeight="1">
      <c r="A1715" s="896"/>
      <c r="B1715" s="911" t="s">
        <v>3940</v>
      </c>
      <c r="C1715" s="912">
        <v>1</v>
      </c>
      <c r="D1715" s="913" t="s">
        <v>273</v>
      </c>
      <c r="E1715" s="914">
        <v>2</v>
      </c>
      <c r="F1715" s="915">
        <v>0.6</v>
      </c>
      <c r="G1715" s="915">
        <v>0</v>
      </c>
      <c r="H1715" s="915">
        <v>0.1</v>
      </c>
      <c r="I1715" s="916">
        <f t="shared" si="173"/>
        <v>0.12</v>
      </c>
      <c r="J1715" s="955" t="s">
        <v>102</v>
      </c>
      <c r="K1715" s="902"/>
      <c r="L1715" s="896"/>
      <c r="M1715" s="902"/>
      <c r="N1715" s="900" t="s">
        <v>2209</v>
      </c>
    </row>
    <row r="1716" spans="1:14" s="910" customFormat="1" ht="16.5" hidden="1" customHeight="1">
      <c r="A1716" s="896"/>
      <c r="B1716" s="911"/>
      <c r="C1716" s="912">
        <v>1</v>
      </c>
      <c r="D1716" s="913" t="s">
        <v>273</v>
      </c>
      <c r="E1716" s="914">
        <v>2</v>
      </c>
      <c r="F1716" s="915">
        <v>0.5</v>
      </c>
      <c r="G1716" s="915">
        <v>0</v>
      </c>
      <c r="H1716" s="915">
        <v>0.1</v>
      </c>
      <c r="I1716" s="916">
        <f t="shared" si="173"/>
        <v>0.1</v>
      </c>
      <c r="J1716" s="955" t="s">
        <v>102</v>
      </c>
      <c r="K1716" s="902"/>
      <c r="L1716" s="896"/>
      <c r="M1716" s="902"/>
      <c r="N1716" s="900" t="s">
        <v>2209</v>
      </c>
    </row>
    <row r="1717" spans="1:14" s="910" customFormat="1" ht="16.5" hidden="1" customHeight="1">
      <c r="A1717" s="896"/>
      <c r="B1717" s="911"/>
      <c r="C1717" s="912">
        <v>1</v>
      </c>
      <c r="D1717" s="913" t="s">
        <v>273</v>
      </c>
      <c r="E1717" s="914">
        <v>3</v>
      </c>
      <c r="F1717" s="915">
        <v>0.35</v>
      </c>
      <c r="G1717" s="915">
        <v>0</v>
      </c>
      <c r="H1717" s="915">
        <v>0.1</v>
      </c>
      <c r="I1717" s="916">
        <f t="shared" si="173"/>
        <v>0.11</v>
      </c>
      <c r="J1717" s="955" t="s">
        <v>102</v>
      </c>
      <c r="K1717" s="902"/>
      <c r="L1717" s="896"/>
      <c r="M1717" s="902"/>
      <c r="N1717" s="900" t="s">
        <v>2209</v>
      </c>
    </row>
    <row r="1718" spans="1:14" s="910" customFormat="1" ht="16.5" hidden="1" customHeight="1">
      <c r="A1718" s="896"/>
      <c r="B1718" s="911" t="s">
        <v>579</v>
      </c>
      <c r="C1718" s="912">
        <v>1</v>
      </c>
      <c r="D1718" s="913" t="s">
        <v>273</v>
      </c>
      <c r="E1718" s="914">
        <v>2</v>
      </c>
      <c r="F1718" s="915">
        <v>1.2</v>
      </c>
      <c r="G1718" s="915">
        <v>0</v>
      </c>
      <c r="H1718" s="915">
        <v>0.1</v>
      </c>
      <c r="I1718" s="916">
        <f>-ROUND(IF(AND(F1718:H1718),C1718*E1718*F1718*G1718*H1718,IF(AND(F1718,G1718),C1718*E1718*F1718*G1718,IF(AND(F1718,H1718),C1718*E1718*F1718*H1718,IF(AND(G1718,H1718),C1718*E1718*G1718*H1718,IF(F1718,C1718*E1718*F1718,IF(G1718,C1718*E1718*G1718,IF(H1718,C1718*E1718*H1718,C1718*E1718))))))),2)</f>
        <v>-0.24</v>
      </c>
      <c r="J1718" s="955" t="s">
        <v>102</v>
      </c>
      <c r="K1718" s="902"/>
      <c r="L1718" s="896"/>
      <c r="M1718" s="902"/>
      <c r="N1718" s="900" t="s">
        <v>2209</v>
      </c>
    </row>
    <row r="1719" spans="1:14" s="910" customFormat="1" ht="16.5" hidden="1" customHeight="1">
      <c r="A1719" s="896"/>
      <c r="B1719" s="911" t="s">
        <v>579</v>
      </c>
      <c r="C1719" s="912">
        <v>2</v>
      </c>
      <c r="D1719" s="913" t="s">
        <v>273</v>
      </c>
      <c r="E1719" s="914">
        <v>2</v>
      </c>
      <c r="F1719" s="915">
        <v>1.05</v>
      </c>
      <c r="G1719" s="915">
        <v>0</v>
      </c>
      <c r="H1719" s="915">
        <v>0.1</v>
      </c>
      <c r="I1719" s="916">
        <f t="shared" ref="I1719:I1722" si="174">-ROUND(IF(AND(F1719:H1719),C1719*E1719*F1719*G1719*H1719,IF(AND(F1719,G1719),C1719*E1719*F1719*G1719,IF(AND(F1719,H1719),C1719*E1719*F1719*H1719,IF(AND(G1719,H1719),C1719*E1719*G1719*H1719,IF(F1719,C1719*E1719*F1719,IF(G1719,C1719*E1719*G1719,IF(H1719,C1719*E1719*H1719,C1719*E1719))))))),2)</f>
        <v>-0.42</v>
      </c>
      <c r="J1719" s="955" t="s">
        <v>102</v>
      </c>
      <c r="K1719" s="902"/>
      <c r="L1719" s="896"/>
      <c r="M1719" s="902"/>
      <c r="N1719" s="900" t="s">
        <v>2209</v>
      </c>
    </row>
    <row r="1720" spans="1:14" s="910" customFormat="1" ht="16.5" hidden="1" customHeight="1">
      <c r="A1720" s="896"/>
      <c r="B1720" s="911" t="s">
        <v>579</v>
      </c>
      <c r="C1720" s="912">
        <v>1</v>
      </c>
      <c r="D1720" s="913" t="s">
        <v>273</v>
      </c>
      <c r="E1720" s="914">
        <v>1</v>
      </c>
      <c r="F1720" s="915">
        <v>1.05</v>
      </c>
      <c r="G1720" s="915">
        <v>0</v>
      </c>
      <c r="H1720" s="915">
        <v>0.1</v>
      </c>
      <c r="I1720" s="916">
        <f t="shared" si="174"/>
        <v>-0.11</v>
      </c>
      <c r="J1720" s="955" t="s">
        <v>102</v>
      </c>
      <c r="K1720" s="902"/>
      <c r="L1720" s="896"/>
      <c r="M1720" s="902"/>
      <c r="N1720" s="900" t="s">
        <v>2209</v>
      </c>
    </row>
    <row r="1721" spans="1:14" s="910" customFormat="1" ht="16.5" hidden="1" customHeight="1">
      <c r="A1721" s="896"/>
      <c r="B1721" s="911" t="s">
        <v>579</v>
      </c>
      <c r="C1721" s="912">
        <v>1</v>
      </c>
      <c r="D1721" s="913" t="s">
        <v>273</v>
      </c>
      <c r="E1721" s="914">
        <v>2</v>
      </c>
      <c r="F1721" s="915">
        <v>1</v>
      </c>
      <c r="G1721" s="915">
        <v>0</v>
      </c>
      <c r="H1721" s="915">
        <v>0.1</v>
      </c>
      <c r="I1721" s="916">
        <f t="shared" si="174"/>
        <v>-0.2</v>
      </c>
      <c r="J1721" s="955" t="s">
        <v>102</v>
      </c>
      <c r="K1721" s="902"/>
      <c r="L1721" s="896"/>
      <c r="M1721" s="902"/>
      <c r="N1721" s="900" t="s">
        <v>2209</v>
      </c>
    </row>
    <row r="1722" spans="1:14" s="910" customFormat="1" ht="16.5" hidden="1" customHeight="1">
      <c r="A1722" s="896"/>
      <c r="B1722" s="911" t="s">
        <v>579</v>
      </c>
      <c r="C1722" s="912">
        <v>2</v>
      </c>
      <c r="D1722" s="913" t="s">
        <v>273</v>
      </c>
      <c r="E1722" s="914">
        <v>2</v>
      </c>
      <c r="F1722" s="915">
        <v>0.9</v>
      </c>
      <c r="G1722" s="915">
        <v>0</v>
      </c>
      <c r="H1722" s="915">
        <v>0.1</v>
      </c>
      <c r="I1722" s="916">
        <f t="shared" si="174"/>
        <v>-0.36</v>
      </c>
      <c r="J1722" s="955" t="s">
        <v>102</v>
      </c>
      <c r="K1722" s="902"/>
      <c r="L1722" s="896"/>
      <c r="M1722" s="902"/>
      <c r="N1722" s="900" t="s">
        <v>2209</v>
      </c>
    </row>
    <row r="1723" spans="1:14" s="910" customFormat="1" ht="16.5" hidden="1" customHeight="1">
      <c r="A1723" s="896"/>
      <c r="B1723" s="956"/>
      <c r="C1723" s="957"/>
      <c r="D1723" s="958"/>
      <c r="E1723" s="1268"/>
      <c r="F1723" s="960"/>
      <c r="G1723" s="960"/>
      <c r="H1723" s="960"/>
      <c r="I1723" s="916"/>
      <c r="J1723" s="955"/>
      <c r="K1723" s="902"/>
      <c r="L1723" s="923"/>
      <c r="M1723" s="902"/>
      <c r="N1723" s="900" t="s">
        <v>2209</v>
      </c>
    </row>
    <row r="1724" spans="1:14" ht="15.75" hidden="1">
      <c r="A1724" s="896"/>
      <c r="B1724" s="902"/>
      <c r="C1724" s="917"/>
      <c r="D1724" s="918"/>
      <c r="E1724" s="919"/>
      <c r="F1724" s="920"/>
      <c r="G1724" s="921"/>
      <c r="H1724" s="896"/>
      <c r="I1724" s="916"/>
      <c r="J1724" s="955" t="s">
        <v>102</v>
      </c>
      <c r="K1724" s="922">
        <f>data!E621</f>
        <v>2667.63</v>
      </c>
      <c r="L1724" s="923" t="s">
        <v>2209</v>
      </c>
      <c r="M1724" s="924">
        <f>ROUND(I1724*K1724,0)</f>
        <v>0</v>
      </c>
      <c r="N1724" s="900" t="s">
        <v>2209</v>
      </c>
    </row>
    <row r="1725" spans="1:14" ht="93.75" hidden="1" customHeight="1">
      <c r="A1725" s="896">
        <v>27</v>
      </c>
      <c r="B1725" s="1609" t="s">
        <v>671</v>
      </c>
      <c r="C1725" s="1609"/>
      <c r="D1725" s="1609"/>
      <c r="E1725" s="1609"/>
      <c r="F1725" s="1609"/>
      <c r="G1725" s="1609"/>
      <c r="H1725" s="1609"/>
      <c r="I1725" s="897"/>
      <c r="J1725" s="898"/>
      <c r="K1725" s="896"/>
      <c r="L1725" s="923"/>
      <c r="M1725" s="899"/>
      <c r="N1725" s="900" t="s">
        <v>2297</v>
      </c>
    </row>
    <row r="1726" spans="1:14" s="910" customFormat="1" ht="16.5" hidden="1" customHeight="1">
      <c r="A1726" s="896"/>
      <c r="B1726" s="902" t="s">
        <v>2542</v>
      </c>
      <c r="C1726" s="903"/>
      <c r="D1726" s="904"/>
      <c r="E1726" s="905"/>
      <c r="F1726" s="906"/>
      <c r="G1726" s="906"/>
      <c r="H1726" s="907"/>
      <c r="I1726" s="908"/>
      <c r="J1726" s="955"/>
      <c r="K1726" s="902"/>
      <c r="L1726" s="896"/>
      <c r="M1726" s="902"/>
      <c r="N1726" s="900" t="s">
        <v>2297</v>
      </c>
    </row>
    <row r="1727" spans="1:14" s="910" customFormat="1" ht="16.5" hidden="1" customHeight="1">
      <c r="A1727" s="896"/>
      <c r="B1727" s="956" t="s">
        <v>820</v>
      </c>
      <c r="C1727" s="957">
        <v>1</v>
      </c>
      <c r="D1727" s="958" t="s">
        <v>273</v>
      </c>
      <c r="E1727" s="1268">
        <v>11</v>
      </c>
      <c r="F1727" s="960">
        <v>1.32</v>
      </c>
      <c r="G1727" s="960">
        <v>0.15</v>
      </c>
      <c r="H1727" s="960">
        <v>0</v>
      </c>
      <c r="I1727" s="916">
        <f>ROUND(IF(AND(F1727:H1727),C1727*E1727*F1727*G1727*H1727,IF(AND(F1727,G1727),C1727*E1727*F1727*G1727,IF(AND(F1727,H1727),C1727*E1727*F1727*H1727,IF(AND(G1727,H1727),C1727*E1727*G1727*H1727,IF(F1727,C1727*E1727*F1727,IF(G1727,C1727*E1727*G1727,IF(H1727,C1727*E1727*H1727,C1727*E1727))))))),2)</f>
        <v>2.1800000000000002</v>
      </c>
      <c r="J1727" s="955" t="s">
        <v>102</v>
      </c>
      <c r="K1727" s="902"/>
      <c r="L1727" s="896"/>
      <c r="M1727" s="902"/>
      <c r="N1727" s="900" t="s">
        <v>2297</v>
      </c>
    </row>
    <row r="1728" spans="1:14" s="910" customFormat="1" ht="16.5" hidden="1" customHeight="1">
      <c r="A1728" s="896"/>
      <c r="B1728" s="956" t="s">
        <v>821</v>
      </c>
      <c r="C1728" s="957">
        <v>1</v>
      </c>
      <c r="D1728" s="958" t="s">
        <v>273</v>
      </c>
      <c r="E1728" s="1268">
        <v>12</v>
      </c>
      <c r="F1728" s="960">
        <v>1.23</v>
      </c>
      <c r="G1728" s="960">
        <v>0.15</v>
      </c>
      <c r="H1728" s="960">
        <v>0</v>
      </c>
      <c r="I1728" s="916">
        <f>ROUND(IF(AND(F1728:H1728),C1728*E1728*F1728*G1728*H1728,IF(AND(F1728,G1728),C1728*E1728*F1728*G1728,IF(AND(F1728,H1728),C1728*E1728*F1728*H1728,IF(AND(G1728,H1728),C1728*E1728*G1728*H1728,IF(F1728,C1728*E1728*F1728,IF(G1728,C1728*E1728*G1728,IF(H1728,C1728*E1728*H1728,C1728*E1728))))))),2)</f>
        <v>2.21</v>
      </c>
      <c r="J1728" s="955" t="s">
        <v>102</v>
      </c>
      <c r="K1728" s="902"/>
      <c r="L1728" s="896"/>
      <c r="M1728" s="902"/>
      <c r="N1728" s="900" t="s">
        <v>2297</v>
      </c>
    </row>
    <row r="1729" spans="1:14" s="910" customFormat="1" ht="16.5" hidden="1" customHeight="1">
      <c r="A1729" s="896"/>
      <c r="B1729" s="902" t="s">
        <v>2543</v>
      </c>
      <c r="C1729" s="903"/>
      <c r="D1729" s="904"/>
      <c r="E1729" s="905"/>
      <c r="F1729" s="906"/>
      <c r="G1729" s="906"/>
      <c r="H1729" s="907"/>
      <c r="I1729" s="908"/>
      <c r="J1729" s="955"/>
      <c r="K1729" s="902"/>
      <c r="L1729" s="896"/>
      <c r="M1729" s="902"/>
      <c r="N1729" s="900" t="s">
        <v>2297</v>
      </c>
    </row>
    <row r="1730" spans="1:14" s="910" customFormat="1" ht="16.5" hidden="1" customHeight="1">
      <c r="A1730" s="896"/>
      <c r="B1730" s="956" t="s">
        <v>2544</v>
      </c>
      <c r="C1730" s="957">
        <v>1</v>
      </c>
      <c r="D1730" s="958" t="s">
        <v>273</v>
      </c>
      <c r="E1730" s="1268">
        <v>11</v>
      </c>
      <c r="F1730" s="960">
        <v>0.4</v>
      </c>
      <c r="G1730" s="960">
        <v>0</v>
      </c>
      <c r="H1730" s="960">
        <v>0.14000000000000001</v>
      </c>
      <c r="I1730" s="916">
        <f>ROUND(IF(AND(F1730:H1730),C1730*E1730*F1730*G1730*H1730,IF(AND(F1730,G1730),C1730*E1730*F1730*G1730,IF(AND(F1730,H1730),C1730*E1730*F1730*H1730,IF(AND(G1730,H1730),C1730*E1730*G1730*H1730,IF(F1730,C1730*E1730*F1730,IF(G1730,C1730*E1730*G1730,IF(H1730,C1730*E1730*H1730,C1730*E1730))))))),2)</f>
        <v>0.62</v>
      </c>
      <c r="J1730" s="955" t="s">
        <v>102</v>
      </c>
      <c r="K1730" s="902"/>
      <c r="L1730" s="896"/>
      <c r="M1730" s="902"/>
      <c r="N1730" s="900" t="s">
        <v>2297</v>
      </c>
    </row>
    <row r="1731" spans="1:14" s="910" customFormat="1" ht="16.5" hidden="1" customHeight="1">
      <c r="A1731" s="896"/>
      <c r="B1731" s="956"/>
      <c r="C1731" s="957">
        <v>1</v>
      </c>
      <c r="D1731" s="958" t="s">
        <v>273</v>
      </c>
      <c r="E1731" s="1268">
        <v>1</v>
      </c>
      <c r="F1731" s="960">
        <v>0.5</v>
      </c>
      <c r="G1731" s="960">
        <v>0</v>
      </c>
      <c r="H1731" s="960">
        <v>0.14000000000000001</v>
      </c>
      <c r="I1731" s="916">
        <f>ROUND(IF(AND(F1731:H1731),C1731*E1731*F1731*G1731*H1731,IF(AND(F1731,G1731),C1731*E1731*F1731*G1731,IF(AND(F1731,H1731),C1731*E1731*F1731*H1731,IF(AND(G1731,H1731),C1731*E1731*G1731*H1731,IF(F1731,C1731*E1731*F1731,IF(G1731,C1731*E1731*G1731,IF(H1731,C1731*E1731*H1731,C1731*E1731))))))),2)</f>
        <v>7.0000000000000007E-2</v>
      </c>
      <c r="J1731" s="955" t="s">
        <v>102</v>
      </c>
      <c r="K1731" s="902"/>
      <c r="L1731" s="896"/>
      <c r="M1731" s="902"/>
      <c r="N1731" s="900" t="s">
        <v>2297</v>
      </c>
    </row>
    <row r="1732" spans="1:14" s="910" customFormat="1" ht="16.5" hidden="1" customHeight="1">
      <c r="A1732" s="896"/>
      <c r="B1732" s="956" t="s">
        <v>800</v>
      </c>
      <c r="C1732" s="957">
        <v>1</v>
      </c>
      <c r="D1732" s="958" t="s">
        <v>273</v>
      </c>
      <c r="E1732" s="1268">
        <v>1</v>
      </c>
      <c r="F1732" s="960">
        <v>4.6500000000000004</v>
      </c>
      <c r="G1732" s="960">
        <v>0</v>
      </c>
      <c r="H1732" s="960">
        <v>0.14000000000000001</v>
      </c>
      <c r="I1732" s="916">
        <f>ROUND(IF(AND(F1732:H1732),C1732*E1732*F1732*G1732*H1732,IF(AND(F1732,G1732),C1732*E1732*F1732*G1732,IF(AND(F1732,H1732),C1732*E1732*F1732*H1732,IF(AND(G1732,H1732),C1732*E1732*G1732*H1732,IF(F1732,C1732*E1732*F1732,IF(G1732,C1732*E1732*G1732,IF(H1732,C1732*E1732*H1732,C1732*E1732))))))),2)</f>
        <v>0.65</v>
      </c>
      <c r="J1732" s="955" t="s">
        <v>102</v>
      </c>
      <c r="K1732" s="902"/>
      <c r="L1732" s="896"/>
      <c r="M1732" s="902"/>
      <c r="N1732" s="900" t="s">
        <v>2297</v>
      </c>
    </row>
    <row r="1733" spans="1:14" s="910" customFormat="1" ht="16.5" hidden="1" customHeight="1">
      <c r="A1733" s="896"/>
      <c r="B1733" s="956"/>
      <c r="C1733" s="957">
        <v>1</v>
      </c>
      <c r="D1733" s="958" t="s">
        <v>273</v>
      </c>
      <c r="E1733" s="1268">
        <v>12</v>
      </c>
      <c r="F1733" s="960">
        <v>0.4</v>
      </c>
      <c r="G1733" s="960">
        <v>0</v>
      </c>
      <c r="H1733" s="960">
        <v>0.14000000000000001</v>
      </c>
      <c r="I1733" s="916">
        <f>ROUND(IF(AND(F1733:H1733),C1733*E1733*F1733*G1733*H1733,IF(AND(F1733,G1733),C1733*E1733*F1733*G1733,IF(AND(F1733,H1733),C1733*E1733*F1733*H1733,IF(AND(G1733,H1733),C1733*E1733*G1733*H1733,IF(F1733,C1733*E1733*F1733,IF(G1733,C1733*E1733*G1733,IF(H1733,C1733*E1733*H1733,C1733*E1733))))))),2)</f>
        <v>0.67</v>
      </c>
      <c r="J1733" s="955" t="s">
        <v>102</v>
      </c>
      <c r="K1733" s="902"/>
      <c r="L1733" s="896"/>
      <c r="M1733" s="902"/>
      <c r="N1733" s="900" t="s">
        <v>2297</v>
      </c>
    </row>
    <row r="1734" spans="1:14" s="910" customFormat="1" ht="16.5" hidden="1" customHeight="1">
      <c r="A1734" s="896"/>
      <c r="B1734" s="956"/>
      <c r="C1734" s="957"/>
      <c r="D1734" s="958"/>
      <c r="E1734" s="1268"/>
      <c r="F1734" s="960"/>
      <c r="G1734" s="960"/>
      <c r="H1734" s="960"/>
      <c r="I1734" s="916"/>
      <c r="J1734" s="955"/>
      <c r="K1734" s="902"/>
      <c r="L1734" s="923"/>
      <c r="M1734" s="902"/>
      <c r="N1734" s="900" t="s">
        <v>2297</v>
      </c>
    </row>
    <row r="1735" spans="1:14" ht="15.75" hidden="1">
      <c r="A1735" s="896"/>
      <c r="B1735" s="902"/>
      <c r="C1735" s="917"/>
      <c r="D1735" s="918"/>
      <c r="E1735" s="919"/>
      <c r="F1735" s="920"/>
      <c r="G1735" s="921"/>
      <c r="H1735" s="896"/>
      <c r="I1735" s="916"/>
      <c r="J1735" s="955" t="s">
        <v>102</v>
      </c>
      <c r="K1735" s="922">
        <f>data!E1538</f>
        <v>2708.07</v>
      </c>
      <c r="L1735" s="923" t="s">
        <v>2297</v>
      </c>
      <c r="M1735" s="924">
        <f>ROUND(I1735*K1735,0)</f>
        <v>0</v>
      </c>
      <c r="N1735" s="900" t="s">
        <v>2297</v>
      </c>
    </row>
    <row r="1736" spans="1:14" ht="93.75" hidden="1" customHeight="1">
      <c r="A1736" s="896">
        <v>28</v>
      </c>
      <c r="B1736" s="1609" t="s">
        <v>671</v>
      </c>
      <c r="C1736" s="1609"/>
      <c r="D1736" s="1609"/>
      <c r="E1736" s="1609"/>
      <c r="F1736" s="1609"/>
      <c r="G1736" s="1609"/>
      <c r="H1736" s="1609"/>
      <c r="I1736" s="897"/>
      <c r="J1736" s="898"/>
      <c r="K1736" s="896"/>
      <c r="L1736" s="923"/>
      <c r="M1736" s="899"/>
      <c r="N1736" s="900" t="s">
        <v>2308</v>
      </c>
    </row>
    <row r="1737" spans="1:14" s="910" customFormat="1" ht="16.5" hidden="1" customHeight="1">
      <c r="A1737" s="896"/>
      <c r="B1737" s="902" t="s">
        <v>3523</v>
      </c>
      <c r="C1737" s="903"/>
      <c r="D1737" s="904"/>
      <c r="E1737" s="905"/>
      <c r="F1737" s="906"/>
      <c r="G1737" s="906"/>
      <c r="H1737" s="907"/>
      <c r="I1737" s="908"/>
      <c r="J1737" s="955"/>
      <c r="K1737" s="902"/>
      <c r="L1737" s="896"/>
      <c r="M1737" s="902"/>
      <c r="N1737" s="900" t="s">
        <v>2308</v>
      </c>
    </row>
    <row r="1738" spans="1:14" s="910" customFormat="1" ht="16.5" hidden="1" customHeight="1">
      <c r="A1738" s="896"/>
      <c r="B1738" s="956" t="s">
        <v>820</v>
      </c>
      <c r="C1738" s="957">
        <v>1</v>
      </c>
      <c r="D1738" s="958" t="s">
        <v>273</v>
      </c>
      <c r="E1738" s="1268">
        <v>11</v>
      </c>
      <c r="F1738" s="960">
        <v>1.32</v>
      </c>
      <c r="G1738" s="960">
        <v>0.15</v>
      </c>
      <c r="H1738" s="960">
        <v>0</v>
      </c>
      <c r="I1738" s="916">
        <f>ROUND(IF(AND(F1738:H1738),C1738*E1738*F1738*G1738*H1738,IF(AND(F1738,G1738),C1738*E1738*F1738*G1738,IF(AND(F1738,H1738),C1738*E1738*F1738*H1738,IF(AND(G1738,H1738),C1738*E1738*G1738*H1738,IF(F1738,C1738*E1738*F1738,IF(G1738,C1738*E1738*G1738,IF(H1738,C1738*E1738*H1738,C1738*E1738))))))),2)</f>
        <v>2.1800000000000002</v>
      </c>
      <c r="J1738" s="955" t="s">
        <v>102</v>
      </c>
      <c r="K1738" s="902"/>
      <c r="L1738" s="896"/>
      <c r="M1738" s="902"/>
      <c r="N1738" s="900" t="s">
        <v>2308</v>
      </c>
    </row>
    <row r="1739" spans="1:14" s="910" customFormat="1" ht="16.5" hidden="1" customHeight="1">
      <c r="A1739" s="896"/>
      <c r="B1739" s="956"/>
      <c r="C1739" s="957">
        <v>1</v>
      </c>
      <c r="D1739" s="958" t="s">
        <v>273</v>
      </c>
      <c r="E1739" s="1268">
        <v>1</v>
      </c>
      <c r="F1739" s="960">
        <v>0.5</v>
      </c>
      <c r="G1739" s="960">
        <v>0</v>
      </c>
      <c r="H1739" s="960">
        <v>0.14000000000000001</v>
      </c>
      <c r="I1739" s="916">
        <f>ROUND(IF(AND(F1739:H1739),C1739*E1739*F1739*G1739*H1739,IF(AND(F1739,G1739),C1739*E1739*F1739*G1739,IF(AND(F1739,H1739),C1739*E1739*F1739*H1739,IF(AND(G1739,H1739),C1739*E1739*G1739*H1739,IF(F1739,C1739*E1739*F1739,IF(G1739,C1739*E1739*G1739,IF(H1739,C1739*E1739*H1739,C1739*E1739))))))),2)</f>
        <v>7.0000000000000007E-2</v>
      </c>
      <c r="J1739" s="955" t="s">
        <v>102</v>
      </c>
      <c r="K1739" s="902"/>
      <c r="L1739" s="896"/>
      <c r="M1739" s="902"/>
      <c r="N1739" s="900" t="s">
        <v>2308</v>
      </c>
    </row>
    <row r="1740" spans="1:14" s="910" customFormat="1" ht="16.5" hidden="1" customHeight="1">
      <c r="A1740" s="896"/>
      <c r="B1740" s="956" t="s">
        <v>800</v>
      </c>
      <c r="C1740" s="957">
        <v>1</v>
      </c>
      <c r="D1740" s="958" t="s">
        <v>273</v>
      </c>
      <c r="E1740" s="1268">
        <v>1</v>
      </c>
      <c r="F1740" s="960">
        <v>4.6500000000000004</v>
      </c>
      <c r="G1740" s="960">
        <v>0</v>
      </c>
      <c r="H1740" s="960">
        <v>0.14000000000000001</v>
      </c>
      <c r="I1740" s="916">
        <f>ROUND(IF(AND(F1740:H1740),C1740*E1740*F1740*G1740*H1740,IF(AND(F1740,G1740),C1740*E1740*F1740*G1740,IF(AND(F1740,H1740),C1740*E1740*F1740*H1740,IF(AND(G1740,H1740),C1740*E1740*G1740*H1740,IF(F1740,C1740*E1740*F1740,IF(G1740,C1740*E1740*G1740,IF(H1740,C1740*E1740*H1740,C1740*E1740))))))),2)</f>
        <v>0.65</v>
      </c>
      <c r="J1740" s="955" t="s">
        <v>102</v>
      </c>
      <c r="K1740" s="902"/>
      <c r="L1740" s="896"/>
      <c r="M1740" s="902"/>
      <c r="N1740" s="900" t="s">
        <v>2308</v>
      </c>
    </row>
    <row r="1741" spans="1:14" s="910" customFormat="1" ht="16.5" hidden="1" customHeight="1">
      <c r="A1741" s="896"/>
      <c r="B1741" s="956"/>
      <c r="C1741" s="957">
        <v>1</v>
      </c>
      <c r="D1741" s="958" t="s">
        <v>273</v>
      </c>
      <c r="E1741" s="1268">
        <v>12</v>
      </c>
      <c r="F1741" s="960">
        <v>0.4</v>
      </c>
      <c r="G1741" s="960">
        <v>0</v>
      </c>
      <c r="H1741" s="960">
        <v>0.14000000000000001</v>
      </c>
      <c r="I1741" s="916">
        <f>ROUND(IF(AND(F1741:H1741),C1741*E1741*F1741*G1741*H1741,IF(AND(F1741,G1741),C1741*E1741*F1741*G1741,IF(AND(F1741,H1741),C1741*E1741*F1741*H1741,IF(AND(G1741,H1741),C1741*E1741*G1741*H1741,IF(F1741,C1741*E1741*F1741,IF(G1741,C1741*E1741*G1741,IF(H1741,C1741*E1741*H1741,C1741*E1741))))))),2)</f>
        <v>0.67</v>
      </c>
      <c r="J1741" s="955" t="s">
        <v>102</v>
      </c>
      <c r="K1741" s="902"/>
      <c r="L1741" s="896"/>
      <c r="M1741" s="902"/>
      <c r="N1741" s="900" t="s">
        <v>2308</v>
      </c>
    </row>
    <row r="1742" spans="1:14" s="910" customFormat="1" ht="16.5" hidden="1" customHeight="1">
      <c r="A1742" s="896"/>
      <c r="B1742" s="956"/>
      <c r="C1742" s="957"/>
      <c r="D1742" s="958"/>
      <c r="E1742" s="1268"/>
      <c r="F1742" s="960"/>
      <c r="G1742" s="960"/>
      <c r="H1742" s="960"/>
      <c r="I1742" s="916"/>
      <c r="J1742" s="955"/>
      <c r="K1742" s="902"/>
      <c r="L1742" s="923"/>
      <c r="M1742" s="902"/>
      <c r="N1742" s="900" t="s">
        <v>2308</v>
      </c>
    </row>
    <row r="1743" spans="1:14" ht="15.75" hidden="1">
      <c r="A1743" s="896"/>
      <c r="B1743" s="902"/>
      <c r="C1743" s="917"/>
      <c r="D1743" s="918"/>
      <c r="E1743" s="919"/>
      <c r="F1743" s="920"/>
      <c r="G1743" s="921"/>
      <c r="H1743" s="896"/>
      <c r="I1743" s="916"/>
      <c r="J1743" s="955" t="s">
        <v>102</v>
      </c>
      <c r="K1743" s="922">
        <f>data!E2455</f>
        <v>2747.34</v>
      </c>
      <c r="L1743" s="923" t="s">
        <v>2308</v>
      </c>
      <c r="M1743" s="924">
        <f>ROUND(I1743*K1743,0)</f>
        <v>0</v>
      </c>
      <c r="N1743" s="900" t="s">
        <v>2308</v>
      </c>
    </row>
    <row r="1744" spans="1:14" s="1403" customFormat="1" ht="93.75" customHeight="1">
      <c r="A1744" s="1397">
        <v>24</v>
      </c>
      <c r="B1744" s="1610" t="s">
        <v>671</v>
      </c>
      <c r="C1744" s="1610"/>
      <c r="D1744" s="1610"/>
      <c r="E1744" s="1610"/>
      <c r="F1744" s="1610"/>
      <c r="G1744" s="1610"/>
      <c r="H1744" s="1610"/>
      <c r="I1744" s="1398"/>
      <c r="J1744" s="1399"/>
      <c r="K1744" s="1397"/>
      <c r="L1744" s="1400"/>
      <c r="M1744" s="1401"/>
      <c r="N1744" s="1402" t="s">
        <v>2309</v>
      </c>
    </row>
    <row r="1745" spans="1:14" s="1411" customFormat="1" ht="16.5" customHeight="1">
      <c r="A1745" s="1397"/>
      <c r="B1745" s="1404" t="s">
        <v>3938</v>
      </c>
      <c r="C1745" s="1417"/>
      <c r="D1745" s="1395" t="s">
        <v>4020</v>
      </c>
      <c r="E1745" s="1419"/>
      <c r="F1745" s="1420"/>
      <c r="G1745" s="1420"/>
      <c r="H1745" s="1421"/>
      <c r="I1745" s="1422"/>
      <c r="J1745" s="1423"/>
      <c r="K1745" s="1410"/>
      <c r="L1745" s="1397"/>
      <c r="M1745" s="1410"/>
      <c r="N1745" s="1402" t="s">
        <v>2309</v>
      </c>
    </row>
    <row r="1746" spans="1:14" s="1411" customFormat="1" ht="16.5" customHeight="1">
      <c r="A1746" s="1397"/>
      <c r="B1746" s="1458" t="s">
        <v>2360</v>
      </c>
      <c r="C1746" s="1459">
        <v>1</v>
      </c>
      <c r="D1746" s="1460" t="s">
        <v>273</v>
      </c>
      <c r="E1746" s="1461">
        <v>1</v>
      </c>
      <c r="F1746" s="1448">
        <v>10.8</v>
      </c>
      <c r="G1746" s="1448">
        <v>0</v>
      </c>
      <c r="H1746" s="1448">
        <v>0.1</v>
      </c>
      <c r="I1746" s="1430">
        <f t="shared" ref="I1746:I1754" si="175">ROUND(IF(AND(F1746:H1746),C1746*E1746*F1746*G1746*H1746,IF(AND(F1746,G1746),C1746*E1746*F1746*G1746,IF(AND(F1746,H1746),C1746*E1746*F1746*H1746,IF(AND(G1746,H1746),C1746*E1746*G1746*H1746,IF(F1746,C1746*E1746*F1746,IF(G1746,C1746*E1746*G1746,IF(H1746,C1746*E1746*H1746,C1746*E1746))))))),2)</f>
        <v>1.08</v>
      </c>
      <c r="J1746" s="1423" t="s">
        <v>102</v>
      </c>
      <c r="K1746" s="1410"/>
      <c r="L1746" s="1397"/>
      <c r="M1746" s="1410"/>
      <c r="N1746" s="1402" t="s">
        <v>2309</v>
      </c>
    </row>
    <row r="1747" spans="1:14" s="1411" customFormat="1" ht="16.5" customHeight="1">
      <c r="A1747" s="1397"/>
      <c r="B1747" s="1458" t="s">
        <v>2521</v>
      </c>
      <c r="C1747" s="1459">
        <v>1</v>
      </c>
      <c r="D1747" s="1460" t="s">
        <v>273</v>
      </c>
      <c r="E1747" s="1461">
        <v>1</v>
      </c>
      <c r="F1747" s="1448">
        <v>9.8000000000000007</v>
      </c>
      <c r="G1747" s="1448">
        <v>0</v>
      </c>
      <c r="H1747" s="1448">
        <v>0.1</v>
      </c>
      <c r="I1747" s="1430">
        <f t="shared" si="175"/>
        <v>0.98</v>
      </c>
      <c r="J1747" s="1423" t="s">
        <v>102</v>
      </c>
      <c r="K1747" s="1410"/>
      <c r="L1747" s="1397"/>
      <c r="M1747" s="1410"/>
      <c r="N1747" s="1402" t="s">
        <v>2309</v>
      </c>
    </row>
    <row r="1748" spans="1:14" s="1411" customFormat="1" ht="16.5" customHeight="1">
      <c r="A1748" s="1397"/>
      <c r="B1748" s="1458" t="s">
        <v>2358</v>
      </c>
      <c r="C1748" s="1459">
        <v>1</v>
      </c>
      <c r="D1748" s="1460" t="s">
        <v>273</v>
      </c>
      <c r="E1748" s="1461">
        <v>1</v>
      </c>
      <c r="F1748" s="1448">
        <v>10.8</v>
      </c>
      <c r="G1748" s="1448">
        <v>0</v>
      </c>
      <c r="H1748" s="1448">
        <v>0.1</v>
      </c>
      <c r="I1748" s="1430">
        <f t="shared" si="175"/>
        <v>1.08</v>
      </c>
      <c r="J1748" s="1423" t="s">
        <v>102</v>
      </c>
      <c r="K1748" s="1410"/>
      <c r="L1748" s="1397"/>
      <c r="M1748" s="1410"/>
      <c r="N1748" s="1402" t="s">
        <v>2309</v>
      </c>
    </row>
    <row r="1749" spans="1:14" s="1411" customFormat="1" ht="16.5" customHeight="1">
      <c r="A1749" s="1397"/>
      <c r="B1749" s="1458" t="s">
        <v>2357</v>
      </c>
      <c r="C1749" s="1459">
        <v>1</v>
      </c>
      <c r="D1749" s="1460" t="s">
        <v>273</v>
      </c>
      <c r="E1749" s="1461">
        <v>1</v>
      </c>
      <c r="F1749" s="1448">
        <v>8.6</v>
      </c>
      <c r="G1749" s="1448">
        <v>0</v>
      </c>
      <c r="H1749" s="1448">
        <v>0.1</v>
      </c>
      <c r="I1749" s="1430">
        <f t="shared" si="175"/>
        <v>0.86</v>
      </c>
      <c r="J1749" s="1423" t="s">
        <v>102</v>
      </c>
      <c r="K1749" s="1410"/>
      <c r="L1749" s="1397"/>
      <c r="M1749" s="1410"/>
      <c r="N1749" s="1402" t="s">
        <v>2309</v>
      </c>
    </row>
    <row r="1750" spans="1:14" s="1411" customFormat="1" ht="16.5" customHeight="1">
      <c r="A1750" s="1397"/>
      <c r="B1750" s="1458" t="s">
        <v>3939</v>
      </c>
      <c r="C1750" s="1459">
        <v>1</v>
      </c>
      <c r="D1750" s="1460" t="s">
        <v>273</v>
      </c>
      <c r="E1750" s="1461">
        <v>1</v>
      </c>
      <c r="F1750" s="1448">
        <v>19.2</v>
      </c>
      <c r="G1750" s="1448">
        <v>0</v>
      </c>
      <c r="H1750" s="1448">
        <v>0.1</v>
      </c>
      <c r="I1750" s="1430">
        <f t="shared" si="175"/>
        <v>1.92</v>
      </c>
      <c r="J1750" s="1423" t="s">
        <v>102</v>
      </c>
      <c r="K1750" s="1410"/>
      <c r="L1750" s="1397"/>
      <c r="M1750" s="1410"/>
      <c r="N1750" s="1402" t="s">
        <v>2309</v>
      </c>
    </row>
    <row r="1751" spans="1:14" s="1411" customFormat="1" ht="16.5" customHeight="1">
      <c r="A1751" s="1397"/>
      <c r="B1751" s="1458" t="s">
        <v>2355</v>
      </c>
      <c r="C1751" s="1459">
        <v>1</v>
      </c>
      <c r="D1751" s="1460" t="s">
        <v>273</v>
      </c>
      <c r="E1751" s="1461">
        <v>1</v>
      </c>
      <c r="F1751" s="1448">
        <v>18.100000000000001</v>
      </c>
      <c r="G1751" s="1448">
        <v>0</v>
      </c>
      <c r="H1751" s="1448">
        <v>0.1</v>
      </c>
      <c r="I1751" s="1430">
        <f t="shared" si="175"/>
        <v>1.81</v>
      </c>
      <c r="J1751" s="1423" t="s">
        <v>102</v>
      </c>
      <c r="K1751" s="1410"/>
      <c r="L1751" s="1397"/>
      <c r="M1751" s="1410"/>
      <c r="N1751" s="1402" t="s">
        <v>2309</v>
      </c>
    </row>
    <row r="1752" spans="1:14" s="1411" customFormat="1" ht="16.5" customHeight="1">
      <c r="A1752" s="1397"/>
      <c r="B1752" s="1458" t="s">
        <v>3940</v>
      </c>
      <c r="C1752" s="1459">
        <v>1</v>
      </c>
      <c r="D1752" s="1460" t="s">
        <v>273</v>
      </c>
      <c r="E1752" s="1461">
        <v>2</v>
      </c>
      <c r="F1752" s="1448">
        <v>0.6</v>
      </c>
      <c r="G1752" s="1448">
        <v>0</v>
      </c>
      <c r="H1752" s="1448">
        <v>0.1</v>
      </c>
      <c r="I1752" s="1430">
        <f t="shared" si="175"/>
        <v>0.12</v>
      </c>
      <c r="J1752" s="1423" t="s">
        <v>102</v>
      </c>
      <c r="K1752" s="1410"/>
      <c r="L1752" s="1397"/>
      <c r="M1752" s="1410"/>
      <c r="N1752" s="1402" t="s">
        <v>2309</v>
      </c>
    </row>
    <row r="1753" spans="1:14" s="1411" customFormat="1" ht="16.5" customHeight="1">
      <c r="A1753" s="1397"/>
      <c r="B1753" s="1458"/>
      <c r="C1753" s="1459">
        <v>1</v>
      </c>
      <c r="D1753" s="1460" t="s">
        <v>273</v>
      </c>
      <c r="E1753" s="1461">
        <v>2</v>
      </c>
      <c r="F1753" s="1448">
        <v>0.5</v>
      </c>
      <c r="G1753" s="1448">
        <v>0</v>
      </c>
      <c r="H1753" s="1448">
        <v>0.1</v>
      </c>
      <c r="I1753" s="1430">
        <f t="shared" si="175"/>
        <v>0.1</v>
      </c>
      <c r="J1753" s="1423" t="s">
        <v>102</v>
      </c>
      <c r="K1753" s="1410"/>
      <c r="L1753" s="1397"/>
      <c r="M1753" s="1410"/>
      <c r="N1753" s="1402" t="s">
        <v>2309</v>
      </c>
    </row>
    <row r="1754" spans="1:14" s="1411" customFormat="1" ht="16.5" customHeight="1">
      <c r="A1754" s="1397"/>
      <c r="B1754" s="1458"/>
      <c r="C1754" s="1459">
        <v>1</v>
      </c>
      <c r="D1754" s="1460" t="s">
        <v>273</v>
      </c>
      <c r="E1754" s="1461">
        <v>3</v>
      </c>
      <c r="F1754" s="1448">
        <v>0.35</v>
      </c>
      <c r="G1754" s="1448">
        <v>0</v>
      </c>
      <c r="H1754" s="1448">
        <v>0.1</v>
      </c>
      <c r="I1754" s="1430">
        <f t="shared" si="175"/>
        <v>0.11</v>
      </c>
      <c r="J1754" s="1423" t="s">
        <v>102</v>
      </c>
      <c r="K1754" s="1410"/>
      <c r="L1754" s="1397"/>
      <c r="M1754" s="1410"/>
      <c r="N1754" s="1402" t="s">
        <v>2309</v>
      </c>
    </row>
    <row r="1755" spans="1:14" s="1411" customFormat="1" ht="16.5" customHeight="1">
      <c r="A1755" s="1397"/>
      <c r="B1755" s="1458" t="s">
        <v>579</v>
      </c>
      <c r="C1755" s="1459">
        <v>1</v>
      </c>
      <c r="D1755" s="1460" t="s">
        <v>273</v>
      </c>
      <c r="E1755" s="1461">
        <v>2</v>
      </c>
      <c r="F1755" s="1448">
        <v>1.2</v>
      </c>
      <c r="G1755" s="1448">
        <v>0</v>
      </c>
      <c r="H1755" s="1448">
        <v>0.1</v>
      </c>
      <c r="I1755" s="1430">
        <f>-ROUND(IF(AND(F1755:H1755),C1755*E1755*F1755*G1755*H1755,IF(AND(F1755,G1755),C1755*E1755*F1755*G1755,IF(AND(F1755,H1755),C1755*E1755*F1755*H1755,IF(AND(G1755,H1755),C1755*E1755*G1755*H1755,IF(F1755,C1755*E1755*F1755,IF(G1755,C1755*E1755*G1755,IF(H1755,C1755*E1755*H1755,C1755*E1755))))))),2)</f>
        <v>-0.24</v>
      </c>
      <c r="J1755" s="1423" t="s">
        <v>102</v>
      </c>
      <c r="K1755" s="1410"/>
      <c r="L1755" s="1397"/>
      <c r="M1755" s="1410"/>
      <c r="N1755" s="1402" t="s">
        <v>2309</v>
      </c>
    </row>
    <row r="1756" spans="1:14" s="1411" customFormat="1" ht="16.5" customHeight="1">
      <c r="A1756" s="1397"/>
      <c r="B1756" s="1458" t="s">
        <v>579</v>
      </c>
      <c r="C1756" s="1459">
        <v>2</v>
      </c>
      <c r="D1756" s="1460" t="s">
        <v>273</v>
      </c>
      <c r="E1756" s="1461">
        <v>2</v>
      </c>
      <c r="F1756" s="1448">
        <v>1.05</v>
      </c>
      <c r="G1756" s="1448">
        <v>0</v>
      </c>
      <c r="H1756" s="1448">
        <v>0.1</v>
      </c>
      <c r="I1756" s="1430">
        <f t="shared" ref="I1756:I1759" si="176">-ROUND(IF(AND(F1756:H1756),C1756*E1756*F1756*G1756*H1756,IF(AND(F1756,G1756),C1756*E1756*F1756*G1756,IF(AND(F1756,H1756),C1756*E1756*F1756*H1756,IF(AND(G1756,H1756),C1756*E1756*G1756*H1756,IF(F1756,C1756*E1756*F1756,IF(G1756,C1756*E1756*G1756,IF(H1756,C1756*E1756*H1756,C1756*E1756))))))),2)</f>
        <v>-0.42</v>
      </c>
      <c r="J1756" s="1423" t="s">
        <v>102</v>
      </c>
      <c r="K1756" s="1410"/>
      <c r="L1756" s="1397"/>
      <c r="M1756" s="1410"/>
      <c r="N1756" s="1402" t="s">
        <v>2309</v>
      </c>
    </row>
    <row r="1757" spans="1:14" s="1411" customFormat="1" ht="16.5" customHeight="1">
      <c r="A1757" s="1397"/>
      <c r="B1757" s="1458" t="s">
        <v>579</v>
      </c>
      <c r="C1757" s="1459">
        <v>1</v>
      </c>
      <c r="D1757" s="1460" t="s">
        <v>273</v>
      </c>
      <c r="E1757" s="1461">
        <v>1</v>
      </c>
      <c r="F1757" s="1448">
        <v>1.05</v>
      </c>
      <c r="G1757" s="1448">
        <v>0</v>
      </c>
      <c r="H1757" s="1448">
        <v>0.1</v>
      </c>
      <c r="I1757" s="1430">
        <f t="shared" si="176"/>
        <v>-0.11</v>
      </c>
      <c r="J1757" s="1423" t="s">
        <v>102</v>
      </c>
      <c r="K1757" s="1410"/>
      <c r="L1757" s="1397"/>
      <c r="M1757" s="1410"/>
      <c r="N1757" s="1402" t="s">
        <v>2309</v>
      </c>
    </row>
    <row r="1758" spans="1:14" s="1411" customFormat="1" ht="16.5" customHeight="1">
      <c r="A1758" s="1397"/>
      <c r="B1758" s="1458" t="s">
        <v>579</v>
      </c>
      <c r="C1758" s="1459">
        <v>1</v>
      </c>
      <c r="D1758" s="1460" t="s">
        <v>273</v>
      </c>
      <c r="E1758" s="1461">
        <v>2</v>
      </c>
      <c r="F1758" s="1448">
        <v>1</v>
      </c>
      <c r="G1758" s="1448">
        <v>0</v>
      </c>
      <c r="H1758" s="1448">
        <v>0.1</v>
      </c>
      <c r="I1758" s="1430">
        <f t="shared" si="176"/>
        <v>-0.2</v>
      </c>
      <c r="J1758" s="1423" t="s">
        <v>102</v>
      </c>
      <c r="K1758" s="1410"/>
      <c r="L1758" s="1397"/>
      <c r="M1758" s="1410"/>
      <c r="N1758" s="1402" t="s">
        <v>2309</v>
      </c>
    </row>
    <row r="1759" spans="1:14" s="1411" customFormat="1" ht="16.5" customHeight="1">
      <c r="A1759" s="1397"/>
      <c r="B1759" s="1458" t="s">
        <v>579</v>
      </c>
      <c r="C1759" s="1459">
        <v>2</v>
      </c>
      <c r="D1759" s="1460" t="s">
        <v>273</v>
      </c>
      <c r="E1759" s="1461">
        <v>2</v>
      </c>
      <c r="F1759" s="1448">
        <v>0.9</v>
      </c>
      <c r="G1759" s="1448">
        <v>0</v>
      </c>
      <c r="H1759" s="1448">
        <v>0.1</v>
      </c>
      <c r="I1759" s="1430">
        <f t="shared" si="176"/>
        <v>-0.36</v>
      </c>
      <c r="J1759" s="1423" t="s">
        <v>102</v>
      </c>
      <c r="K1759" s="1410"/>
      <c r="L1759" s="1397"/>
      <c r="M1759" s="1410"/>
      <c r="N1759" s="1402" t="s">
        <v>2309</v>
      </c>
    </row>
    <row r="1760" spans="1:14" s="1411" customFormat="1" ht="16.5" customHeight="1">
      <c r="A1760" s="1397"/>
      <c r="B1760" s="1425"/>
      <c r="C1760" s="1426"/>
      <c r="D1760" s="1427"/>
      <c r="E1760" s="1428"/>
      <c r="F1760" s="1429"/>
      <c r="G1760" s="1429"/>
      <c r="H1760" s="1429"/>
      <c r="I1760" s="1430"/>
      <c r="J1760" s="1423"/>
      <c r="K1760" s="1410"/>
      <c r="L1760" s="1400"/>
      <c r="M1760" s="1410"/>
      <c r="N1760" s="1402" t="s">
        <v>2309</v>
      </c>
    </row>
    <row r="1761" spans="1:14" s="1403" customFormat="1" ht="15.75">
      <c r="A1761" s="1397"/>
      <c r="B1761" s="1410"/>
      <c r="C1761" s="1431"/>
      <c r="D1761" s="1432"/>
      <c r="E1761" s="1413"/>
      <c r="F1761" s="1414"/>
      <c r="G1761" s="1433"/>
      <c r="H1761" s="1397"/>
      <c r="I1761" s="1430">
        <f>SUM(I1746:I1760)</f>
        <v>6.7299999999999995</v>
      </c>
      <c r="J1761" s="1423" t="s">
        <v>102</v>
      </c>
      <c r="K1761" s="1434">
        <f>data!E3372</f>
        <v>2905.43</v>
      </c>
      <c r="L1761" s="1400" t="s">
        <v>2309</v>
      </c>
      <c r="M1761" s="1435">
        <f>ROUND(I1761*K1761,0)</f>
        <v>19554</v>
      </c>
      <c r="N1761" s="1402" t="s">
        <v>2309</v>
      </c>
    </row>
    <row r="1762" spans="1:14" ht="90" hidden="1" customHeight="1">
      <c r="A1762" s="896">
        <v>26</v>
      </c>
      <c r="B1762" s="1609" t="s">
        <v>672</v>
      </c>
      <c r="C1762" s="1609"/>
      <c r="D1762" s="1609"/>
      <c r="E1762" s="1609"/>
      <c r="F1762" s="1609"/>
      <c r="G1762" s="1609"/>
      <c r="H1762" s="1609"/>
      <c r="I1762" s="897"/>
      <c r="J1762" s="898"/>
      <c r="K1762" s="896"/>
      <c r="L1762" s="923"/>
      <c r="M1762" s="899"/>
      <c r="N1762" s="900" t="s">
        <v>2209</v>
      </c>
    </row>
    <row r="1763" spans="1:14" s="910" customFormat="1" ht="16.5" hidden="1" customHeight="1">
      <c r="A1763" s="896"/>
      <c r="B1763" s="956"/>
      <c r="C1763" s="957">
        <v>1</v>
      </c>
      <c r="D1763" s="958" t="s">
        <v>273</v>
      </c>
      <c r="E1763" s="1268">
        <v>1</v>
      </c>
      <c r="F1763" s="960">
        <v>2.65</v>
      </c>
      <c r="G1763" s="960">
        <v>0.53</v>
      </c>
      <c r="H1763" s="960">
        <v>0</v>
      </c>
      <c r="I1763" s="916">
        <f>ROUND(IF(AND(F1763:H1763),C1763*E1763*F1763*G1763*H1763,IF(AND(F1763,G1763),C1763*E1763*F1763*G1763,IF(AND(F1763,H1763),C1763*E1763*F1763*H1763,IF(AND(G1763,H1763),C1763*E1763*G1763*H1763,IF(F1763,C1763*E1763*F1763,IF(G1763,C1763*E1763*G1763,IF(H1763,C1763*E1763*H1763,C1763*E1763))))))),2)</f>
        <v>1.4</v>
      </c>
      <c r="J1763" s="955" t="s">
        <v>102</v>
      </c>
      <c r="K1763" s="902"/>
      <c r="L1763" s="923"/>
      <c r="M1763" s="902"/>
      <c r="N1763" s="900" t="s">
        <v>2209</v>
      </c>
    </row>
    <row r="1764" spans="1:14" s="910" customFormat="1" ht="16.5" hidden="1" customHeight="1">
      <c r="A1764" s="896"/>
      <c r="B1764" s="956"/>
      <c r="C1764" s="957">
        <v>1</v>
      </c>
      <c r="D1764" s="958" t="s">
        <v>273</v>
      </c>
      <c r="E1764" s="1268">
        <v>1</v>
      </c>
      <c r="F1764" s="960">
        <v>2.65</v>
      </c>
      <c r="G1764" s="960">
        <v>0.9</v>
      </c>
      <c r="H1764" s="960">
        <v>0</v>
      </c>
      <c r="I1764" s="916">
        <f>ROUND(IF(AND(F1764:H1764),C1764*E1764*F1764*G1764*H1764,IF(AND(F1764,G1764),C1764*E1764*F1764*G1764,IF(AND(F1764,H1764),C1764*E1764*F1764*H1764,IF(AND(G1764,H1764),C1764*E1764*G1764*H1764,IF(F1764,C1764*E1764*F1764,IF(G1764,C1764*E1764*G1764,IF(H1764,C1764*E1764*H1764,C1764*E1764))))))),2)</f>
        <v>2.39</v>
      </c>
      <c r="J1764" s="955" t="s">
        <v>102</v>
      </c>
      <c r="K1764" s="902"/>
      <c r="L1764" s="923"/>
      <c r="M1764" s="902"/>
      <c r="N1764" s="900" t="s">
        <v>2209</v>
      </c>
    </row>
    <row r="1765" spans="1:14" s="910" customFormat="1" ht="16.5" hidden="1" customHeight="1">
      <c r="A1765" s="896"/>
      <c r="B1765" s="956" t="s">
        <v>1249</v>
      </c>
      <c r="C1765" s="957">
        <v>1</v>
      </c>
      <c r="D1765" s="958" t="s">
        <v>273</v>
      </c>
      <c r="E1765" s="1268">
        <v>4</v>
      </c>
      <c r="F1765" s="960">
        <v>2.5</v>
      </c>
      <c r="G1765" s="960">
        <v>0.38</v>
      </c>
      <c r="H1765" s="960">
        <v>0</v>
      </c>
      <c r="I1765" s="916">
        <f>ROUND(IF(AND(F1765:H1765),C1765*E1765*F1765*G1765*H1765,IF(AND(F1765,G1765),C1765*E1765*F1765*G1765,IF(AND(F1765,H1765),C1765*E1765*F1765*H1765,IF(AND(G1765,H1765),C1765*E1765*G1765*H1765,IF(F1765,C1765*E1765*F1765,IF(G1765,C1765*E1765*G1765,IF(H1765,C1765*E1765*H1765,C1765*E1765))))))),2)</f>
        <v>3.8</v>
      </c>
      <c r="J1765" s="955" t="s">
        <v>102</v>
      </c>
      <c r="K1765" s="902"/>
      <c r="L1765" s="923"/>
      <c r="M1765" s="902"/>
      <c r="N1765" s="900" t="s">
        <v>2209</v>
      </c>
    </row>
    <row r="1766" spans="1:14" s="910" customFormat="1" ht="16.5" hidden="1" customHeight="1">
      <c r="A1766" s="896"/>
      <c r="B1766" s="956" t="s">
        <v>1250</v>
      </c>
      <c r="C1766" s="957">
        <v>1</v>
      </c>
      <c r="D1766" s="958" t="s">
        <v>273</v>
      </c>
      <c r="E1766" s="1268">
        <v>21</v>
      </c>
      <c r="F1766" s="960">
        <v>1.28</v>
      </c>
      <c r="G1766" s="960">
        <v>0.3</v>
      </c>
      <c r="H1766" s="960">
        <v>0</v>
      </c>
      <c r="I1766" s="916">
        <f>ROUND(IF(AND(F1766:H1766),C1766*E1766*F1766*G1766*H1766,IF(AND(F1766,G1766),C1766*E1766*F1766*G1766,IF(AND(F1766,H1766),C1766*E1766*F1766*H1766,IF(AND(G1766,H1766),C1766*E1766*G1766*H1766,IF(F1766,C1766*E1766*F1766,IF(G1766,C1766*E1766*G1766,IF(H1766,C1766*E1766*H1766,C1766*E1766))))))),2)</f>
        <v>8.06</v>
      </c>
      <c r="J1766" s="955" t="s">
        <v>102</v>
      </c>
      <c r="K1766" s="902"/>
      <c r="L1766" s="923"/>
      <c r="M1766" s="902"/>
      <c r="N1766" s="900" t="s">
        <v>2209</v>
      </c>
    </row>
    <row r="1767" spans="1:14" s="910" customFormat="1" ht="16.5" hidden="1" customHeight="1">
      <c r="A1767" s="896"/>
      <c r="B1767" s="956"/>
      <c r="C1767" s="957"/>
      <c r="D1767" s="958"/>
      <c r="E1767" s="1268"/>
      <c r="F1767" s="960"/>
      <c r="G1767" s="960"/>
      <c r="H1767" s="960"/>
      <c r="I1767" s="916"/>
      <c r="J1767" s="955"/>
      <c r="K1767" s="902"/>
      <c r="L1767" s="923"/>
      <c r="M1767" s="902"/>
      <c r="N1767" s="900" t="s">
        <v>2209</v>
      </c>
    </row>
    <row r="1768" spans="1:14" ht="15.75" hidden="1">
      <c r="A1768" s="896"/>
      <c r="B1768" s="902"/>
      <c r="C1768" s="917"/>
      <c r="D1768" s="918"/>
      <c r="E1768" s="919"/>
      <c r="F1768" s="920"/>
      <c r="G1768" s="921"/>
      <c r="H1768" s="896"/>
      <c r="I1768" s="916"/>
      <c r="J1768" s="955" t="s">
        <v>102</v>
      </c>
      <c r="K1768" s="922">
        <f>data!E642</f>
        <v>605.58000000000004</v>
      </c>
      <c r="L1768" s="923" t="s">
        <v>2209</v>
      </c>
      <c r="M1768" s="924">
        <f>ROUND(I1768*K1768,0)</f>
        <v>0</v>
      </c>
      <c r="N1768" s="900" t="s">
        <v>2209</v>
      </c>
    </row>
    <row r="1769" spans="1:14" ht="90" hidden="1" customHeight="1">
      <c r="A1769" s="896">
        <v>23</v>
      </c>
      <c r="B1769" s="1609" t="s">
        <v>672</v>
      </c>
      <c r="C1769" s="1609"/>
      <c r="D1769" s="1609"/>
      <c r="E1769" s="1609"/>
      <c r="F1769" s="1609"/>
      <c r="G1769" s="1609"/>
      <c r="H1769" s="1609"/>
      <c r="I1769" s="897"/>
      <c r="J1769" s="898"/>
      <c r="K1769" s="896"/>
      <c r="L1769" s="923"/>
      <c r="M1769" s="899"/>
      <c r="N1769" s="900" t="s">
        <v>2297</v>
      </c>
    </row>
    <row r="1770" spans="1:14" s="910" customFormat="1" ht="16.5" hidden="1" customHeight="1">
      <c r="A1770" s="896"/>
      <c r="B1770" s="902" t="s">
        <v>3598</v>
      </c>
      <c r="C1770" s="957"/>
      <c r="D1770" s="954" t="s">
        <v>3644</v>
      </c>
      <c r="E1770" s="1268"/>
      <c r="F1770" s="960"/>
      <c r="G1770" s="960"/>
      <c r="H1770" s="960"/>
      <c r="I1770" s="916"/>
      <c r="J1770" s="955"/>
      <c r="K1770" s="902"/>
      <c r="L1770" s="923"/>
      <c r="M1770" s="902"/>
      <c r="N1770" s="900" t="s">
        <v>2297</v>
      </c>
    </row>
    <row r="1771" spans="1:14" s="910" customFormat="1" ht="16.5" hidden="1" customHeight="1">
      <c r="A1771" s="896"/>
      <c r="B1771" s="956" t="s">
        <v>3599</v>
      </c>
      <c r="C1771" s="957">
        <v>1</v>
      </c>
      <c r="D1771" s="958" t="s">
        <v>273</v>
      </c>
      <c r="E1771" s="1268">
        <v>1</v>
      </c>
      <c r="F1771" s="960">
        <v>3.3</v>
      </c>
      <c r="G1771" s="960">
        <v>1.2</v>
      </c>
      <c r="H1771" s="960">
        <v>0</v>
      </c>
      <c r="I1771" s="916">
        <f>ROUND(IF(AND(F1771:H1771),C1771*E1771*F1771*G1771*H1771,IF(AND(F1771,G1771),C1771*E1771*F1771*G1771,IF(AND(F1771,H1771),C1771*E1771*F1771*H1771,IF(AND(G1771,H1771),C1771*E1771*G1771*H1771,IF(F1771,C1771*E1771*F1771,IF(G1771,C1771*E1771*G1771,IF(H1771,C1771*E1771*H1771,C1771*E1771))))))),2)</f>
        <v>3.96</v>
      </c>
      <c r="J1771" s="955" t="s">
        <v>102</v>
      </c>
      <c r="K1771" s="902"/>
      <c r="L1771" s="923"/>
      <c r="M1771" s="902"/>
      <c r="N1771" s="900" t="s">
        <v>2297</v>
      </c>
    </row>
    <row r="1772" spans="1:14" s="910" customFormat="1" ht="16.5" hidden="1" customHeight="1">
      <c r="A1772" s="896"/>
      <c r="B1772" s="956"/>
      <c r="C1772" s="957">
        <v>1</v>
      </c>
      <c r="D1772" s="958" t="s">
        <v>273</v>
      </c>
      <c r="E1772" s="1268">
        <v>1</v>
      </c>
      <c r="F1772" s="960">
        <v>9.6</v>
      </c>
      <c r="G1772" s="960">
        <v>1.2</v>
      </c>
      <c r="H1772" s="960">
        <v>0</v>
      </c>
      <c r="I1772" s="916">
        <f t="shared" ref="I1772:I1775" si="177">ROUND(IF(AND(F1772:H1772),C1772*E1772*F1772*G1772*H1772,IF(AND(F1772,G1772),C1772*E1772*F1772*G1772,IF(AND(F1772,H1772),C1772*E1772*F1772*H1772,IF(AND(G1772,H1772),C1772*E1772*G1772*H1772,IF(F1772,C1772*E1772*F1772,IF(G1772,C1772*E1772*G1772,IF(H1772,C1772*E1772*H1772,C1772*E1772))))))),2)</f>
        <v>11.52</v>
      </c>
      <c r="J1772" s="955" t="s">
        <v>102</v>
      </c>
      <c r="K1772" s="902"/>
      <c r="L1772" s="923"/>
      <c r="M1772" s="902"/>
      <c r="N1772" s="900" t="s">
        <v>2297</v>
      </c>
    </row>
    <row r="1773" spans="1:14" s="910" customFormat="1" ht="16.5" hidden="1" customHeight="1">
      <c r="A1773" s="896"/>
      <c r="B1773" s="956" t="s">
        <v>3600</v>
      </c>
      <c r="C1773" s="957">
        <v>1</v>
      </c>
      <c r="D1773" s="958" t="s">
        <v>273</v>
      </c>
      <c r="E1773" s="1268">
        <v>1</v>
      </c>
      <c r="F1773" s="960">
        <v>4</v>
      </c>
      <c r="G1773" s="960">
        <v>1.2</v>
      </c>
      <c r="H1773" s="960">
        <v>0</v>
      </c>
      <c r="I1773" s="916">
        <f t="shared" si="177"/>
        <v>4.8</v>
      </c>
      <c r="J1773" s="955" t="s">
        <v>102</v>
      </c>
      <c r="K1773" s="902"/>
      <c r="L1773" s="923"/>
      <c r="M1773" s="902"/>
      <c r="N1773" s="900" t="s">
        <v>2297</v>
      </c>
    </row>
    <row r="1774" spans="1:14" s="910" customFormat="1" ht="16.5" hidden="1" customHeight="1">
      <c r="A1774" s="896"/>
      <c r="B1774" s="956" t="s">
        <v>3601</v>
      </c>
      <c r="C1774" s="957">
        <v>1</v>
      </c>
      <c r="D1774" s="958" t="s">
        <v>273</v>
      </c>
      <c r="E1774" s="1268">
        <v>3</v>
      </c>
      <c r="F1774" s="960">
        <v>1.1499999999999999</v>
      </c>
      <c r="G1774" s="960">
        <v>0.3</v>
      </c>
      <c r="H1774" s="960">
        <v>0</v>
      </c>
      <c r="I1774" s="916">
        <f t="shared" si="177"/>
        <v>1.04</v>
      </c>
      <c r="J1774" s="955" t="s">
        <v>102</v>
      </c>
      <c r="K1774" s="902"/>
      <c r="L1774" s="923"/>
      <c r="M1774" s="902"/>
      <c r="N1774" s="900" t="s">
        <v>2297</v>
      </c>
    </row>
    <row r="1775" spans="1:14" s="910" customFormat="1" ht="16.5" hidden="1" customHeight="1">
      <c r="A1775" s="896"/>
      <c r="B1775" s="956" t="s">
        <v>3602</v>
      </c>
      <c r="C1775" s="957">
        <v>1</v>
      </c>
      <c r="D1775" s="958" t="s">
        <v>273</v>
      </c>
      <c r="E1775" s="1268">
        <v>5</v>
      </c>
      <c r="F1775" s="960">
        <v>1.05</v>
      </c>
      <c r="G1775" s="960">
        <v>0.3</v>
      </c>
      <c r="H1775" s="960">
        <v>0</v>
      </c>
      <c r="I1775" s="916">
        <f t="shared" si="177"/>
        <v>1.58</v>
      </c>
      <c r="J1775" s="955" t="s">
        <v>102</v>
      </c>
      <c r="K1775" s="902"/>
      <c r="L1775" s="923"/>
      <c r="M1775" s="902"/>
      <c r="N1775" s="900" t="s">
        <v>2297</v>
      </c>
    </row>
    <row r="1776" spans="1:14" s="910" customFormat="1" ht="16.5" hidden="1" customHeight="1">
      <c r="A1776" s="896"/>
      <c r="B1776" s="956"/>
      <c r="C1776" s="957"/>
      <c r="D1776" s="958"/>
      <c r="E1776" s="1268"/>
      <c r="F1776" s="960"/>
      <c r="G1776" s="960"/>
      <c r="H1776" s="960"/>
      <c r="I1776" s="916"/>
      <c r="J1776" s="955"/>
      <c r="K1776" s="902"/>
      <c r="L1776" s="923"/>
      <c r="M1776" s="902"/>
      <c r="N1776" s="900" t="s">
        <v>2297</v>
      </c>
    </row>
    <row r="1777" spans="1:14" ht="15.75" hidden="1">
      <c r="A1777" s="896"/>
      <c r="B1777" s="902"/>
      <c r="C1777" s="917"/>
      <c r="D1777" s="918"/>
      <c r="E1777" s="919"/>
      <c r="F1777" s="920"/>
      <c r="G1777" s="921"/>
      <c r="H1777" s="896"/>
      <c r="I1777" s="916"/>
      <c r="J1777" s="955" t="s">
        <v>102</v>
      </c>
      <c r="K1777" s="922">
        <f>data!E1559</f>
        <v>646.33000000000004</v>
      </c>
      <c r="L1777" s="923" t="s">
        <v>2297</v>
      </c>
      <c r="M1777" s="924">
        <f>ROUND(I1777*K1777,0)</f>
        <v>0</v>
      </c>
      <c r="N1777" s="900" t="s">
        <v>2297</v>
      </c>
    </row>
    <row r="1778" spans="1:14" ht="90" hidden="1" customHeight="1">
      <c r="A1778" s="896">
        <v>26</v>
      </c>
      <c r="B1778" s="1609" t="s">
        <v>672</v>
      </c>
      <c r="C1778" s="1609"/>
      <c r="D1778" s="1609"/>
      <c r="E1778" s="1609"/>
      <c r="F1778" s="1609"/>
      <c r="G1778" s="1609"/>
      <c r="H1778" s="1609"/>
      <c r="I1778" s="897"/>
      <c r="J1778" s="898"/>
      <c r="K1778" s="896"/>
      <c r="L1778" s="923"/>
      <c r="M1778" s="899"/>
      <c r="N1778" s="900" t="s">
        <v>2308</v>
      </c>
    </row>
    <row r="1779" spans="1:14" s="910" customFormat="1" ht="16.5" hidden="1" customHeight="1">
      <c r="A1779" s="896"/>
      <c r="B1779" s="956"/>
      <c r="C1779" s="957">
        <v>1</v>
      </c>
      <c r="D1779" s="958" t="s">
        <v>273</v>
      </c>
      <c r="E1779" s="1268">
        <v>1</v>
      </c>
      <c r="F1779" s="960">
        <v>2.65</v>
      </c>
      <c r="G1779" s="960">
        <v>0.53</v>
      </c>
      <c r="H1779" s="960">
        <v>0</v>
      </c>
      <c r="I1779" s="916">
        <f>ROUND(IF(AND(F1779:H1779),C1779*E1779*F1779*G1779*H1779,IF(AND(F1779,G1779),C1779*E1779*F1779*G1779,IF(AND(F1779,H1779),C1779*E1779*F1779*H1779,IF(AND(G1779,H1779),C1779*E1779*G1779*H1779,IF(F1779,C1779*E1779*F1779,IF(G1779,C1779*E1779*G1779,IF(H1779,C1779*E1779*H1779,C1779*E1779))))))),2)</f>
        <v>1.4</v>
      </c>
      <c r="J1779" s="955" t="s">
        <v>102</v>
      </c>
      <c r="K1779" s="902"/>
      <c r="L1779" s="923"/>
      <c r="M1779" s="902"/>
      <c r="N1779" s="900" t="s">
        <v>2308</v>
      </c>
    </row>
    <row r="1780" spans="1:14" s="910" customFormat="1" ht="16.5" hidden="1" customHeight="1">
      <c r="A1780" s="896"/>
      <c r="B1780" s="956"/>
      <c r="C1780" s="957">
        <v>1</v>
      </c>
      <c r="D1780" s="958" t="s">
        <v>273</v>
      </c>
      <c r="E1780" s="1268">
        <v>1</v>
      </c>
      <c r="F1780" s="960">
        <v>2.65</v>
      </c>
      <c r="G1780" s="960">
        <v>0.9</v>
      </c>
      <c r="H1780" s="960">
        <v>0</v>
      </c>
      <c r="I1780" s="916">
        <f>ROUND(IF(AND(F1780:H1780),C1780*E1780*F1780*G1780*H1780,IF(AND(F1780,G1780),C1780*E1780*F1780*G1780,IF(AND(F1780,H1780),C1780*E1780*F1780*H1780,IF(AND(G1780,H1780),C1780*E1780*G1780*H1780,IF(F1780,C1780*E1780*F1780,IF(G1780,C1780*E1780*G1780,IF(H1780,C1780*E1780*H1780,C1780*E1780))))))),2)</f>
        <v>2.39</v>
      </c>
      <c r="J1780" s="955" t="s">
        <v>102</v>
      </c>
      <c r="K1780" s="902"/>
      <c r="L1780" s="923"/>
      <c r="M1780" s="902"/>
      <c r="N1780" s="900" t="s">
        <v>2308</v>
      </c>
    </row>
    <row r="1781" spans="1:14" s="910" customFormat="1" ht="16.5" hidden="1" customHeight="1">
      <c r="A1781" s="896"/>
      <c r="B1781" s="956" t="s">
        <v>1249</v>
      </c>
      <c r="C1781" s="957">
        <v>1</v>
      </c>
      <c r="D1781" s="958" t="s">
        <v>273</v>
      </c>
      <c r="E1781" s="1268">
        <v>4</v>
      </c>
      <c r="F1781" s="960">
        <v>2.5</v>
      </c>
      <c r="G1781" s="960">
        <v>0.38</v>
      </c>
      <c r="H1781" s="960">
        <v>0</v>
      </c>
      <c r="I1781" s="916">
        <f>ROUND(IF(AND(F1781:H1781),C1781*E1781*F1781*G1781*H1781,IF(AND(F1781,G1781),C1781*E1781*F1781*G1781,IF(AND(F1781,H1781),C1781*E1781*F1781*H1781,IF(AND(G1781,H1781),C1781*E1781*G1781*H1781,IF(F1781,C1781*E1781*F1781,IF(G1781,C1781*E1781*G1781,IF(H1781,C1781*E1781*H1781,C1781*E1781))))))),2)</f>
        <v>3.8</v>
      </c>
      <c r="J1781" s="955" t="s">
        <v>102</v>
      </c>
      <c r="K1781" s="902"/>
      <c r="L1781" s="923"/>
      <c r="M1781" s="902"/>
      <c r="N1781" s="900" t="s">
        <v>2308</v>
      </c>
    </row>
    <row r="1782" spans="1:14" s="910" customFormat="1" ht="16.5" hidden="1" customHeight="1">
      <c r="A1782" s="896"/>
      <c r="B1782" s="956" t="s">
        <v>1250</v>
      </c>
      <c r="C1782" s="957">
        <v>1</v>
      </c>
      <c r="D1782" s="958" t="s">
        <v>273</v>
      </c>
      <c r="E1782" s="1268">
        <v>21</v>
      </c>
      <c r="F1782" s="960">
        <v>1.28</v>
      </c>
      <c r="G1782" s="960">
        <v>0.3</v>
      </c>
      <c r="H1782" s="960">
        <v>0</v>
      </c>
      <c r="I1782" s="916">
        <f>ROUND(IF(AND(F1782:H1782),C1782*E1782*F1782*G1782*H1782,IF(AND(F1782,G1782),C1782*E1782*F1782*G1782,IF(AND(F1782,H1782),C1782*E1782*F1782*H1782,IF(AND(G1782,H1782),C1782*E1782*G1782*H1782,IF(F1782,C1782*E1782*F1782,IF(G1782,C1782*E1782*G1782,IF(H1782,C1782*E1782*H1782,C1782*E1782))))))),2)</f>
        <v>8.06</v>
      </c>
      <c r="J1782" s="955" t="s">
        <v>102</v>
      </c>
      <c r="K1782" s="902"/>
      <c r="L1782" s="923"/>
      <c r="M1782" s="902"/>
      <c r="N1782" s="900" t="s">
        <v>2308</v>
      </c>
    </row>
    <row r="1783" spans="1:14" s="910" customFormat="1" ht="16.5" hidden="1" customHeight="1">
      <c r="A1783" s="896"/>
      <c r="B1783" s="956"/>
      <c r="C1783" s="957"/>
      <c r="D1783" s="958"/>
      <c r="E1783" s="1268"/>
      <c r="F1783" s="960"/>
      <c r="G1783" s="960"/>
      <c r="H1783" s="960"/>
      <c r="I1783" s="916"/>
      <c r="J1783" s="955"/>
      <c r="K1783" s="902"/>
      <c r="L1783" s="923"/>
      <c r="M1783" s="902"/>
      <c r="N1783" s="900" t="s">
        <v>2308</v>
      </c>
    </row>
    <row r="1784" spans="1:14" ht="15.75" hidden="1">
      <c r="A1784" s="896"/>
      <c r="B1784" s="902"/>
      <c r="C1784" s="917"/>
      <c r="D1784" s="918"/>
      <c r="E1784" s="919"/>
      <c r="F1784" s="920"/>
      <c r="G1784" s="921"/>
      <c r="H1784" s="896"/>
      <c r="I1784" s="916"/>
      <c r="J1784" s="955" t="s">
        <v>102</v>
      </c>
      <c r="K1784" s="922">
        <f>data!E2476</f>
        <v>653.95000000000005</v>
      </c>
      <c r="L1784" s="923" t="s">
        <v>2308</v>
      </c>
      <c r="M1784" s="924">
        <f>ROUND(I1784*K1784,0)</f>
        <v>0</v>
      </c>
      <c r="N1784" s="900" t="s">
        <v>2308</v>
      </c>
    </row>
    <row r="1785" spans="1:14" ht="90" hidden="1" customHeight="1">
      <c r="A1785" s="896">
        <v>26</v>
      </c>
      <c r="B1785" s="1609" t="s">
        <v>672</v>
      </c>
      <c r="C1785" s="1609"/>
      <c r="D1785" s="1609"/>
      <c r="E1785" s="1609"/>
      <c r="F1785" s="1609"/>
      <c r="G1785" s="1609"/>
      <c r="H1785" s="1609"/>
      <c r="I1785" s="897"/>
      <c r="J1785" s="898"/>
      <c r="K1785" s="896"/>
      <c r="L1785" s="923"/>
      <c r="M1785" s="899"/>
      <c r="N1785" s="900" t="s">
        <v>2309</v>
      </c>
    </row>
    <row r="1786" spans="1:14" s="910" customFormat="1" ht="16.5" hidden="1" customHeight="1">
      <c r="A1786" s="896"/>
      <c r="B1786" s="956"/>
      <c r="C1786" s="957">
        <v>1</v>
      </c>
      <c r="D1786" s="958" t="s">
        <v>273</v>
      </c>
      <c r="E1786" s="1268">
        <v>1</v>
      </c>
      <c r="F1786" s="960">
        <v>2.65</v>
      </c>
      <c r="G1786" s="960">
        <v>0.53</v>
      </c>
      <c r="H1786" s="960">
        <v>0</v>
      </c>
      <c r="I1786" s="916">
        <f>ROUND(IF(AND(F1786:H1786),C1786*E1786*F1786*G1786*H1786,IF(AND(F1786,G1786),C1786*E1786*F1786*G1786,IF(AND(F1786,H1786),C1786*E1786*F1786*H1786,IF(AND(G1786,H1786),C1786*E1786*G1786*H1786,IF(F1786,C1786*E1786*F1786,IF(G1786,C1786*E1786*G1786,IF(H1786,C1786*E1786*H1786,C1786*E1786))))))),2)</f>
        <v>1.4</v>
      </c>
      <c r="J1786" s="955" t="s">
        <v>102</v>
      </c>
      <c r="K1786" s="902"/>
      <c r="L1786" s="923"/>
      <c r="M1786" s="902"/>
      <c r="N1786" s="900" t="s">
        <v>2309</v>
      </c>
    </row>
    <row r="1787" spans="1:14" s="910" customFormat="1" ht="16.5" hidden="1" customHeight="1">
      <c r="A1787" s="896"/>
      <c r="B1787" s="956"/>
      <c r="C1787" s="957">
        <v>1</v>
      </c>
      <c r="D1787" s="958" t="s">
        <v>273</v>
      </c>
      <c r="E1787" s="1268">
        <v>1</v>
      </c>
      <c r="F1787" s="960">
        <v>2.65</v>
      </c>
      <c r="G1787" s="960">
        <v>0.9</v>
      </c>
      <c r="H1787" s="960">
        <v>0</v>
      </c>
      <c r="I1787" s="916">
        <f>ROUND(IF(AND(F1787:H1787),C1787*E1787*F1787*G1787*H1787,IF(AND(F1787,G1787),C1787*E1787*F1787*G1787,IF(AND(F1787,H1787),C1787*E1787*F1787*H1787,IF(AND(G1787,H1787),C1787*E1787*G1787*H1787,IF(F1787,C1787*E1787*F1787,IF(G1787,C1787*E1787*G1787,IF(H1787,C1787*E1787*H1787,C1787*E1787))))))),2)</f>
        <v>2.39</v>
      </c>
      <c r="J1787" s="955" t="s">
        <v>102</v>
      </c>
      <c r="K1787" s="902"/>
      <c r="L1787" s="923"/>
      <c r="M1787" s="902"/>
      <c r="N1787" s="900" t="s">
        <v>2309</v>
      </c>
    </row>
    <row r="1788" spans="1:14" s="910" customFormat="1" ht="16.5" hidden="1" customHeight="1">
      <c r="A1788" s="896"/>
      <c r="B1788" s="956" t="s">
        <v>1249</v>
      </c>
      <c r="C1788" s="957">
        <v>1</v>
      </c>
      <c r="D1788" s="958" t="s">
        <v>273</v>
      </c>
      <c r="E1788" s="1268">
        <v>4</v>
      </c>
      <c r="F1788" s="960">
        <v>2.5</v>
      </c>
      <c r="G1788" s="960">
        <v>0.38</v>
      </c>
      <c r="H1788" s="960">
        <v>0</v>
      </c>
      <c r="I1788" s="916">
        <f>ROUND(IF(AND(F1788:H1788),C1788*E1788*F1788*G1788*H1788,IF(AND(F1788,G1788),C1788*E1788*F1788*G1788,IF(AND(F1788,H1788),C1788*E1788*F1788*H1788,IF(AND(G1788,H1788),C1788*E1788*G1788*H1788,IF(F1788,C1788*E1788*F1788,IF(G1788,C1788*E1788*G1788,IF(H1788,C1788*E1788*H1788,C1788*E1788))))))),2)</f>
        <v>3.8</v>
      </c>
      <c r="J1788" s="955" t="s">
        <v>102</v>
      </c>
      <c r="K1788" s="902"/>
      <c r="L1788" s="923"/>
      <c r="M1788" s="902"/>
      <c r="N1788" s="900" t="s">
        <v>2309</v>
      </c>
    </row>
    <row r="1789" spans="1:14" s="910" customFormat="1" ht="16.5" hidden="1" customHeight="1">
      <c r="A1789" s="896"/>
      <c r="B1789" s="956" t="s">
        <v>1250</v>
      </c>
      <c r="C1789" s="957">
        <v>1</v>
      </c>
      <c r="D1789" s="958" t="s">
        <v>273</v>
      </c>
      <c r="E1789" s="1268">
        <v>21</v>
      </c>
      <c r="F1789" s="960">
        <v>1.28</v>
      </c>
      <c r="G1789" s="960">
        <v>0.3</v>
      </c>
      <c r="H1789" s="960">
        <v>0</v>
      </c>
      <c r="I1789" s="916">
        <f>ROUND(IF(AND(F1789:H1789),C1789*E1789*F1789*G1789*H1789,IF(AND(F1789,G1789),C1789*E1789*F1789*G1789,IF(AND(F1789,H1789),C1789*E1789*F1789*H1789,IF(AND(G1789,H1789),C1789*E1789*G1789*H1789,IF(F1789,C1789*E1789*F1789,IF(G1789,C1789*E1789*G1789,IF(H1789,C1789*E1789*H1789,C1789*E1789))))))),2)</f>
        <v>8.06</v>
      </c>
      <c r="J1789" s="955" t="s">
        <v>102</v>
      </c>
      <c r="K1789" s="902"/>
      <c r="L1789" s="923"/>
      <c r="M1789" s="902"/>
      <c r="N1789" s="900" t="s">
        <v>2309</v>
      </c>
    </row>
    <row r="1790" spans="1:14" s="910" customFormat="1" ht="16.5" hidden="1" customHeight="1">
      <c r="A1790" s="896"/>
      <c r="B1790" s="956"/>
      <c r="C1790" s="957"/>
      <c r="D1790" s="958"/>
      <c r="E1790" s="1268"/>
      <c r="F1790" s="960"/>
      <c r="G1790" s="960"/>
      <c r="H1790" s="960"/>
      <c r="I1790" s="916"/>
      <c r="J1790" s="955"/>
      <c r="K1790" s="902"/>
      <c r="L1790" s="923"/>
      <c r="M1790" s="902"/>
      <c r="N1790" s="900" t="s">
        <v>2309</v>
      </c>
    </row>
    <row r="1791" spans="1:14" ht="15.75" hidden="1">
      <c r="A1791" s="896"/>
      <c r="B1791" s="902"/>
      <c r="C1791" s="917"/>
      <c r="D1791" s="918"/>
      <c r="E1791" s="919"/>
      <c r="F1791" s="920"/>
      <c r="G1791" s="921"/>
      <c r="H1791" s="896"/>
      <c r="I1791" s="916"/>
      <c r="J1791" s="955" t="s">
        <v>102</v>
      </c>
      <c r="K1791" s="922">
        <f>data!E3393</f>
        <v>744.7</v>
      </c>
      <c r="L1791" s="923" t="s">
        <v>2309</v>
      </c>
      <c r="M1791" s="924">
        <f>ROUND(I1791*K1791,0)</f>
        <v>0</v>
      </c>
      <c r="N1791" s="900" t="s">
        <v>2309</v>
      </c>
    </row>
    <row r="1792" spans="1:14" ht="96" hidden="1" customHeight="1">
      <c r="A1792" s="896">
        <v>27</v>
      </c>
      <c r="B1792" s="1609" t="s">
        <v>678</v>
      </c>
      <c r="C1792" s="1609"/>
      <c r="D1792" s="1609"/>
      <c r="E1792" s="1609"/>
      <c r="F1792" s="1609"/>
      <c r="G1792" s="1609"/>
      <c r="H1792" s="1609"/>
      <c r="I1792" s="897"/>
      <c r="J1792" s="898"/>
      <c r="K1792" s="896"/>
      <c r="L1792" s="923"/>
      <c r="M1792" s="899"/>
      <c r="N1792" s="900" t="s">
        <v>2209</v>
      </c>
    </row>
    <row r="1793" spans="1:14" s="910" customFormat="1" ht="16.5" hidden="1" customHeight="1">
      <c r="A1793" s="896"/>
      <c r="B1793" s="902" t="s">
        <v>3562</v>
      </c>
      <c r="C1793" s="903"/>
      <c r="D1793" s="904"/>
      <c r="E1793" s="905"/>
      <c r="F1793" s="906"/>
      <c r="G1793" s="906"/>
      <c r="H1793" s="907"/>
      <c r="I1793" s="908"/>
      <c r="J1793" s="955"/>
      <c r="K1793" s="902"/>
      <c r="L1793" s="923"/>
      <c r="M1793" s="902"/>
      <c r="N1793" s="900" t="s">
        <v>2209</v>
      </c>
    </row>
    <row r="1794" spans="1:14" s="910" customFormat="1" ht="16.5" hidden="1" customHeight="1">
      <c r="A1794" s="896"/>
      <c r="B1794" s="956" t="s">
        <v>1248</v>
      </c>
      <c r="C1794" s="957">
        <v>1</v>
      </c>
      <c r="D1794" s="958" t="s">
        <v>273</v>
      </c>
      <c r="E1794" s="1268">
        <v>2</v>
      </c>
      <c r="F1794" s="960">
        <v>5.25</v>
      </c>
      <c r="G1794" s="960">
        <v>0</v>
      </c>
      <c r="H1794" s="960">
        <v>0.1</v>
      </c>
      <c r="I1794" s="916">
        <f>ROUND(IF(AND(F1794:H1794),C1794*E1794*F1794*G1794*H1794,IF(AND(F1794,G1794),C1794*E1794*F1794*G1794,IF(AND(F1794,H1794),C1794*E1794*F1794*H1794,IF(AND(G1794,H1794),C1794*E1794*G1794*H1794,IF(F1794,C1794*E1794*F1794,IF(G1794,C1794*E1794*G1794,IF(H1794,C1794*E1794*H1794,C1794*E1794))))))),2)</f>
        <v>1.05</v>
      </c>
      <c r="J1794" s="955" t="s">
        <v>102</v>
      </c>
      <c r="K1794" s="902"/>
      <c r="L1794" s="923"/>
      <c r="M1794" s="902"/>
      <c r="N1794" s="900" t="s">
        <v>2209</v>
      </c>
    </row>
    <row r="1795" spans="1:14" s="910" customFormat="1" ht="16.5" hidden="1" customHeight="1">
      <c r="A1795" s="896"/>
      <c r="B1795" s="956" t="s">
        <v>1250</v>
      </c>
      <c r="C1795" s="957">
        <v>1</v>
      </c>
      <c r="D1795" s="958" t="s">
        <v>273</v>
      </c>
      <c r="E1795" s="1268">
        <v>22</v>
      </c>
      <c r="F1795" s="960">
        <v>1.28</v>
      </c>
      <c r="G1795" s="960">
        <v>0</v>
      </c>
      <c r="H1795" s="960">
        <v>0.15</v>
      </c>
      <c r="I1795" s="916">
        <f>ROUND(IF(AND(F1795:H1795),C1795*E1795*F1795*G1795*H1795,IF(AND(F1795,G1795),C1795*E1795*F1795*G1795,IF(AND(F1795,H1795),C1795*E1795*F1795*H1795,IF(AND(G1795,H1795),C1795*E1795*G1795*H1795,IF(F1795,C1795*E1795*F1795,IF(G1795,C1795*E1795*G1795,IF(H1795,C1795*E1795*H1795,C1795*E1795))))))),2)</f>
        <v>4.22</v>
      </c>
      <c r="J1795" s="955" t="s">
        <v>102</v>
      </c>
      <c r="K1795" s="902"/>
      <c r="L1795" s="923"/>
      <c r="M1795" s="902"/>
      <c r="N1795" s="900" t="s">
        <v>2209</v>
      </c>
    </row>
    <row r="1796" spans="1:14" s="910" customFormat="1" ht="16.5" hidden="1" customHeight="1">
      <c r="A1796" s="896"/>
      <c r="B1796" s="956" t="s">
        <v>1244</v>
      </c>
      <c r="C1796" s="957">
        <v>1</v>
      </c>
      <c r="D1796" s="958" t="s">
        <v>273</v>
      </c>
      <c r="E1796" s="1268">
        <v>1</v>
      </c>
      <c r="F1796" s="960">
        <v>10.53</v>
      </c>
      <c r="G1796" s="960">
        <v>0</v>
      </c>
      <c r="H1796" s="960">
        <v>0.1</v>
      </c>
      <c r="I1796" s="916">
        <f>ROUND(IF(AND(F1796:H1796),C1796*E1796*F1796*G1796*H1796,IF(AND(F1796,G1796),C1796*E1796*F1796*G1796,IF(AND(F1796,H1796),C1796*E1796*F1796*H1796,IF(AND(G1796,H1796),C1796*E1796*G1796*H1796,IF(F1796,C1796*E1796*F1796,IF(G1796,C1796*E1796*G1796,IF(H1796,C1796*E1796*H1796,C1796*E1796))))))),2)</f>
        <v>1.05</v>
      </c>
      <c r="J1796" s="955" t="s">
        <v>102</v>
      </c>
      <c r="K1796" s="902"/>
      <c r="L1796" s="923"/>
      <c r="M1796" s="902"/>
      <c r="N1796" s="900" t="s">
        <v>2209</v>
      </c>
    </row>
    <row r="1797" spans="1:14" s="910" customFormat="1" ht="16.5" hidden="1" customHeight="1">
      <c r="A1797" s="896"/>
      <c r="B1797" s="956"/>
      <c r="C1797" s="957"/>
      <c r="D1797" s="958"/>
      <c r="E1797" s="1268"/>
      <c r="F1797" s="960"/>
      <c r="G1797" s="960"/>
      <c r="H1797" s="960"/>
      <c r="I1797" s="916"/>
      <c r="J1797" s="955"/>
      <c r="K1797" s="902"/>
      <c r="L1797" s="923"/>
      <c r="M1797" s="902"/>
      <c r="N1797" s="900" t="s">
        <v>2209</v>
      </c>
    </row>
    <row r="1798" spans="1:14" ht="15.75" hidden="1">
      <c r="A1798" s="896"/>
      <c r="B1798" s="902"/>
      <c r="C1798" s="917"/>
      <c r="D1798" s="918"/>
      <c r="E1798" s="919"/>
      <c r="F1798" s="920"/>
      <c r="G1798" s="921"/>
      <c r="H1798" s="896"/>
      <c r="I1798" s="916"/>
      <c r="J1798" s="955" t="s">
        <v>102</v>
      </c>
      <c r="K1798" s="922">
        <f>data!E660</f>
        <v>623.66999999999996</v>
      </c>
      <c r="L1798" s="923" t="s">
        <v>2209</v>
      </c>
      <c r="M1798" s="924">
        <f>ROUND(I1798*K1798,0)</f>
        <v>0</v>
      </c>
      <c r="N1798" s="900" t="s">
        <v>2209</v>
      </c>
    </row>
    <row r="1799" spans="1:14" ht="96" hidden="1" customHeight="1">
      <c r="A1799" s="896">
        <v>24</v>
      </c>
      <c r="B1799" s="1609" t="s">
        <v>678</v>
      </c>
      <c r="C1799" s="1609"/>
      <c r="D1799" s="1609"/>
      <c r="E1799" s="1609"/>
      <c r="F1799" s="1609"/>
      <c r="G1799" s="1609"/>
      <c r="H1799" s="1609"/>
      <c r="I1799" s="897"/>
      <c r="J1799" s="898"/>
      <c r="K1799" s="896"/>
      <c r="L1799" s="923"/>
      <c r="M1799" s="899"/>
      <c r="N1799" s="900" t="s">
        <v>2297</v>
      </c>
    </row>
    <row r="1800" spans="1:14" s="910" customFormat="1" ht="16.5" hidden="1" customHeight="1">
      <c r="A1800" s="896"/>
      <c r="B1800" s="902" t="s">
        <v>3603</v>
      </c>
      <c r="C1800" s="903"/>
      <c r="D1800" s="954" t="s">
        <v>3644</v>
      </c>
      <c r="E1800" s="905"/>
      <c r="F1800" s="906"/>
      <c r="G1800" s="906"/>
      <c r="H1800" s="907"/>
      <c r="I1800" s="908"/>
      <c r="J1800" s="955"/>
      <c r="K1800" s="902"/>
      <c r="L1800" s="923"/>
      <c r="M1800" s="902"/>
      <c r="N1800" s="900" t="s">
        <v>2297</v>
      </c>
    </row>
    <row r="1801" spans="1:14" s="910" customFormat="1" ht="16.5" hidden="1" customHeight="1">
      <c r="A1801" s="896"/>
      <c r="B1801" s="956" t="s">
        <v>3604</v>
      </c>
      <c r="C1801" s="957">
        <v>1</v>
      </c>
      <c r="D1801" s="958" t="s">
        <v>273</v>
      </c>
      <c r="E1801" s="1268">
        <v>1</v>
      </c>
      <c r="F1801" s="960">
        <v>15.5</v>
      </c>
      <c r="G1801" s="960">
        <v>0</v>
      </c>
      <c r="H1801" s="960">
        <v>0.1</v>
      </c>
      <c r="I1801" s="916">
        <f>ROUND(IF(AND(F1801:H1801),C1801*E1801*F1801*G1801*H1801,IF(AND(F1801,G1801),C1801*E1801*F1801*G1801,IF(AND(F1801,H1801),C1801*E1801*F1801*H1801,IF(AND(G1801,H1801),C1801*E1801*G1801*H1801,IF(F1801,C1801*E1801*F1801,IF(G1801,C1801*E1801*G1801,IF(H1801,C1801*E1801*H1801,C1801*E1801))))))),2)</f>
        <v>1.55</v>
      </c>
      <c r="J1801" s="955" t="s">
        <v>102</v>
      </c>
      <c r="K1801" s="902"/>
      <c r="L1801" s="923"/>
      <c r="M1801" s="902"/>
      <c r="N1801" s="900" t="s">
        <v>2297</v>
      </c>
    </row>
    <row r="1802" spans="1:14" s="910" customFormat="1" ht="16.5" hidden="1" customHeight="1">
      <c r="A1802" s="896"/>
      <c r="B1802" s="956" t="s">
        <v>2366</v>
      </c>
      <c r="C1802" s="957">
        <v>1</v>
      </c>
      <c r="D1802" s="958" t="s">
        <v>273</v>
      </c>
      <c r="E1802" s="1268">
        <v>4</v>
      </c>
      <c r="F1802" s="960">
        <v>1.1499999999999999</v>
      </c>
      <c r="G1802" s="960">
        <v>0</v>
      </c>
      <c r="H1802" s="960">
        <v>0.15</v>
      </c>
      <c r="I1802" s="916">
        <f t="shared" ref="I1802:I1803" si="178">ROUND(IF(AND(F1802:H1802),C1802*E1802*F1802*G1802*H1802,IF(AND(F1802,G1802),C1802*E1802*F1802*G1802,IF(AND(F1802,H1802),C1802*E1802*F1802*H1802,IF(AND(G1802,H1802),C1802*E1802*G1802*H1802,IF(F1802,C1802*E1802*F1802,IF(G1802,C1802*E1802*G1802,IF(H1802,C1802*E1802*H1802,C1802*E1802))))))),2)</f>
        <v>0.69</v>
      </c>
      <c r="J1802" s="955" t="s">
        <v>102</v>
      </c>
      <c r="K1802" s="902"/>
      <c r="L1802" s="923"/>
      <c r="M1802" s="902"/>
      <c r="N1802" s="900" t="s">
        <v>2297</v>
      </c>
    </row>
    <row r="1803" spans="1:14" s="910" customFormat="1" ht="16.5" hidden="1" customHeight="1">
      <c r="A1803" s="896"/>
      <c r="B1803" s="956" t="s">
        <v>3597</v>
      </c>
      <c r="C1803" s="957">
        <v>1</v>
      </c>
      <c r="D1803" s="958" t="s">
        <v>273</v>
      </c>
      <c r="E1803" s="1268">
        <v>4</v>
      </c>
      <c r="F1803" s="960">
        <v>1.05</v>
      </c>
      <c r="G1803" s="960">
        <v>0</v>
      </c>
      <c r="H1803" s="960">
        <v>0.15</v>
      </c>
      <c r="I1803" s="916">
        <f t="shared" si="178"/>
        <v>0.63</v>
      </c>
      <c r="J1803" s="955" t="s">
        <v>102</v>
      </c>
      <c r="K1803" s="902"/>
      <c r="L1803" s="923"/>
      <c r="M1803" s="902"/>
      <c r="N1803" s="900" t="s">
        <v>2297</v>
      </c>
    </row>
    <row r="1804" spans="1:14" s="910" customFormat="1" ht="16.5" hidden="1" customHeight="1">
      <c r="A1804" s="896"/>
      <c r="B1804" s="956"/>
      <c r="C1804" s="957"/>
      <c r="D1804" s="958"/>
      <c r="E1804" s="1268"/>
      <c r="F1804" s="960"/>
      <c r="G1804" s="960"/>
      <c r="H1804" s="960"/>
      <c r="I1804" s="916"/>
      <c r="J1804" s="955"/>
      <c r="K1804" s="902"/>
      <c r="L1804" s="923"/>
      <c r="M1804" s="902"/>
      <c r="N1804" s="900" t="s">
        <v>2297</v>
      </c>
    </row>
    <row r="1805" spans="1:14" ht="15.75" hidden="1">
      <c r="A1805" s="896"/>
      <c r="B1805" s="902"/>
      <c r="C1805" s="917"/>
      <c r="D1805" s="918"/>
      <c r="E1805" s="919"/>
      <c r="F1805" s="920"/>
      <c r="G1805" s="921"/>
      <c r="H1805" s="896"/>
      <c r="I1805" s="916"/>
      <c r="J1805" s="955" t="s">
        <v>102</v>
      </c>
      <c r="K1805" s="922">
        <f>data!E1577</f>
        <v>651.79999999999995</v>
      </c>
      <c r="L1805" s="923" t="s">
        <v>2297</v>
      </c>
      <c r="M1805" s="924">
        <f>ROUND(I1805*K1805,0)</f>
        <v>0</v>
      </c>
      <c r="N1805" s="900" t="s">
        <v>2297</v>
      </c>
    </row>
    <row r="1806" spans="1:14" ht="96" hidden="1" customHeight="1">
      <c r="A1806" s="896">
        <v>27</v>
      </c>
      <c r="B1806" s="1609" t="s">
        <v>678</v>
      </c>
      <c r="C1806" s="1609"/>
      <c r="D1806" s="1609"/>
      <c r="E1806" s="1609"/>
      <c r="F1806" s="1609"/>
      <c r="G1806" s="1609"/>
      <c r="H1806" s="1609"/>
      <c r="I1806" s="897"/>
      <c r="J1806" s="898"/>
      <c r="K1806" s="896"/>
      <c r="L1806" s="923"/>
      <c r="M1806" s="899"/>
      <c r="N1806" s="900" t="s">
        <v>2308</v>
      </c>
    </row>
    <row r="1807" spans="1:14" s="910" customFormat="1" ht="16.5" hidden="1" customHeight="1">
      <c r="A1807" s="896"/>
      <c r="B1807" s="902" t="s">
        <v>3562</v>
      </c>
      <c r="C1807" s="903"/>
      <c r="D1807" s="904"/>
      <c r="E1807" s="905"/>
      <c r="F1807" s="906"/>
      <c r="G1807" s="906"/>
      <c r="H1807" s="907"/>
      <c r="I1807" s="908"/>
      <c r="J1807" s="955"/>
      <c r="K1807" s="902"/>
      <c r="L1807" s="923"/>
      <c r="M1807" s="902"/>
      <c r="N1807" s="900" t="s">
        <v>2308</v>
      </c>
    </row>
    <row r="1808" spans="1:14" s="910" customFormat="1" ht="16.5" hidden="1" customHeight="1">
      <c r="A1808" s="896"/>
      <c r="B1808" s="956" t="s">
        <v>1248</v>
      </c>
      <c r="C1808" s="957">
        <v>1</v>
      </c>
      <c r="D1808" s="958" t="s">
        <v>273</v>
      </c>
      <c r="E1808" s="1268">
        <v>2</v>
      </c>
      <c r="F1808" s="960">
        <v>5.25</v>
      </c>
      <c r="G1808" s="960">
        <v>0</v>
      </c>
      <c r="H1808" s="960">
        <v>0.1</v>
      </c>
      <c r="I1808" s="916">
        <f>ROUND(IF(AND(F1808:H1808),C1808*E1808*F1808*G1808*H1808,IF(AND(F1808,G1808),C1808*E1808*F1808*G1808,IF(AND(F1808,H1808),C1808*E1808*F1808*H1808,IF(AND(G1808,H1808),C1808*E1808*G1808*H1808,IF(F1808,C1808*E1808*F1808,IF(G1808,C1808*E1808*G1808,IF(H1808,C1808*E1808*H1808,C1808*E1808))))))),2)</f>
        <v>1.05</v>
      </c>
      <c r="J1808" s="955" t="s">
        <v>102</v>
      </c>
      <c r="K1808" s="902"/>
      <c r="L1808" s="923"/>
      <c r="M1808" s="902"/>
      <c r="N1808" s="900" t="s">
        <v>2308</v>
      </c>
    </row>
    <row r="1809" spans="1:14" s="910" customFormat="1" ht="16.5" hidden="1" customHeight="1">
      <c r="A1809" s="896"/>
      <c r="B1809" s="956" t="s">
        <v>1250</v>
      </c>
      <c r="C1809" s="957">
        <v>1</v>
      </c>
      <c r="D1809" s="958" t="s">
        <v>273</v>
      </c>
      <c r="E1809" s="1268">
        <v>22</v>
      </c>
      <c r="F1809" s="960">
        <v>1.28</v>
      </c>
      <c r="G1809" s="960">
        <v>0</v>
      </c>
      <c r="H1809" s="960">
        <v>0.15</v>
      </c>
      <c r="I1809" s="916">
        <f>ROUND(IF(AND(F1809:H1809),C1809*E1809*F1809*G1809*H1809,IF(AND(F1809,G1809),C1809*E1809*F1809*G1809,IF(AND(F1809,H1809),C1809*E1809*F1809*H1809,IF(AND(G1809,H1809),C1809*E1809*G1809*H1809,IF(F1809,C1809*E1809*F1809,IF(G1809,C1809*E1809*G1809,IF(H1809,C1809*E1809*H1809,C1809*E1809))))))),2)</f>
        <v>4.22</v>
      </c>
      <c r="J1809" s="955" t="s">
        <v>102</v>
      </c>
      <c r="K1809" s="902"/>
      <c r="L1809" s="923"/>
      <c r="M1809" s="902"/>
      <c r="N1809" s="900" t="s">
        <v>2308</v>
      </c>
    </row>
    <row r="1810" spans="1:14" s="910" customFormat="1" ht="16.5" hidden="1" customHeight="1">
      <c r="A1810" s="896"/>
      <c r="B1810" s="956" t="s">
        <v>1244</v>
      </c>
      <c r="C1810" s="957">
        <v>1</v>
      </c>
      <c r="D1810" s="958" t="s">
        <v>273</v>
      </c>
      <c r="E1810" s="1268">
        <v>1</v>
      </c>
      <c r="F1810" s="960">
        <v>10.53</v>
      </c>
      <c r="G1810" s="960">
        <v>0</v>
      </c>
      <c r="H1810" s="960">
        <v>0.1</v>
      </c>
      <c r="I1810" s="916">
        <f>ROUND(IF(AND(F1810:H1810),C1810*E1810*F1810*G1810*H1810,IF(AND(F1810,G1810),C1810*E1810*F1810*G1810,IF(AND(F1810,H1810),C1810*E1810*F1810*H1810,IF(AND(G1810,H1810),C1810*E1810*G1810*H1810,IF(F1810,C1810*E1810*F1810,IF(G1810,C1810*E1810*G1810,IF(H1810,C1810*E1810*H1810,C1810*E1810))))))),2)</f>
        <v>1.05</v>
      </c>
      <c r="J1810" s="955" t="s">
        <v>102</v>
      </c>
      <c r="K1810" s="902"/>
      <c r="L1810" s="923"/>
      <c r="M1810" s="902"/>
      <c r="N1810" s="900" t="s">
        <v>2308</v>
      </c>
    </row>
    <row r="1811" spans="1:14" s="910" customFormat="1" ht="16.5" hidden="1" customHeight="1">
      <c r="A1811" s="896"/>
      <c r="B1811" s="956"/>
      <c r="C1811" s="957"/>
      <c r="D1811" s="958"/>
      <c r="E1811" s="1268"/>
      <c r="F1811" s="960"/>
      <c r="G1811" s="960"/>
      <c r="H1811" s="960"/>
      <c r="I1811" s="916"/>
      <c r="J1811" s="955"/>
      <c r="K1811" s="902"/>
      <c r="L1811" s="923"/>
      <c r="M1811" s="902"/>
      <c r="N1811" s="900" t="s">
        <v>2308</v>
      </c>
    </row>
    <row r="1812" spans="1:14" ht="15.75" hidden="1">
      <c r="A1812" s="896"/>
      <c r="B1812" s="902"/>
      <c r="C1812" s="917"/>
      <c r="D1812" s="918"/>
      <c r="E1812" s="919"/>
      <c r="F1812" s="920"/>
      <c r="G1812" s="921"/>
      <c r="H1812" s="896"/>
      <c r="I1812" s="916"/>
      <c r="J1812" s="955" t="s">
        <v>102</v>
      </c>
      <c r="K1812" s="922">
        <f>data!E2494</f>
        <v>673.02</v>
      </c>
      <c r="L1812" s="923" t="s">
        <v>2308</v>
      </c>
      <c r="M1812" s="924">
        <f>ROUND(I1812*K1812,0)</f>
        <v>0</v>
      </c>
      <c r="N1812" s="900" t="s">
        <v>2308</v>
      </c>
    </row>
    <row r="1813" spans="1:14" ht="96" hidden="1" customHeight="1">
      <c r="A1813" s="896">
        <v>27</v>
      </c>
      <c r="B1813" s="1609" t="s">
        <v>678</v>
      </c>
      <c r="C1813" s="1609"/>
      <c r="D1813" s="1609"/>
      <c r="E1813" s="1609"/>
      <c r="F1813" s="1609"/>
      <c r="G1813" s="1609"/>
      <c r="H1813" s="1609"/>
      <c r="I1813" s="897"/>
      <c r="J1813" s="898"/>
      <c r="K1813" s="896"/>
      <c r="L1813" s="923"/>
      <c r="M1813" s="899"/>
      <c r="N1813" s="900" t="s">
        <v>2309</v>
      </c>
    </row>
    <row r="1814" spans="1:14" s="910" customFormat="1" ht="16.5" hidden="1" customHeight="1">
      <c r="A1814" s="896"/>
      <c r="B1814" s="902" t="s">
        <v>3562</v>
      </c>
      <c r="C1814" s="903"/>
      <c r="D1814" s="904"/>
      <c r="E1814" s="905"/>
      <c r="F1814" s="906"/>
      <c r="G1814" s="906"/>
      <c r="H1814" s="907"/>
      <c r="I1814" s="908"/>
      <c r="J1814" s="955"/>
      <c r="K1814" s="902"/>
      <c r="L1814" s="923"/>
      <c r="M1814" s="902"/>
      <c r="N1814" s="900" t="s">
        <v>2309</v>
      </c>
    </row>
    <row r="1815" spans="1:14" s="910" customFormat="1" ht="16.5" hidden="1" customHeight="1">
      <c r="A1815" s="896"/>
      <c r="B1815" s="956" t="s">
        <v>1248</v>
      </c>
      <c r="C1815" s="957">
        <v>1</v>
      </c>
      <c r="D1815" s="958" t="s">
        <v>273</v>
      </c>
      <c r="E1815" s="1268">
        <v>2</v>
      </c>
      <c r="F1815" s="960">
        <v>5.25</v>
      </c>
      <c r="G1815" s="960">
        <v>0</v>
      </c>
      <c r="H1815" s="960">
        <v>0.1</v>
      </c>
      <c r="I1815" s="916">
        <f>ROUND(IF(AND(F1815:H1815),C1815*E1815*F1815*G1815*H1815,IF(AND(F1815,G1815),C1815*E1815*F1815*G1815,IF(AND(F1815,H1815),C1815*E1815*F1815*H1815,IF(AND(G1815,H1815),C1815*E1815*G1815*H1815,IF(F1815,C1815*E1815*F1815,IF(G1815,C1815*E1815*G1815,IF(H1815,C1815*E1815*H1815,C1815*E1815))))))),2)</f>
        <v>1.05</v>
      </c>
      <c r="J1815" s="955" t="s">
        <v>102</v>
      </c>
      <c r="K1815" s="902"/>
      <c r="L1815" s="923"/>
      <c r="M1815" s="902"/>
      <c r="N1815" s="900" t="s">
        <v>2309</v>
      </c>
    </row>
    <row r="1816" spans="1:14" s="910" customFormat="1" ht="16.5" hidden="1" customHeight="1">
      <c r="A1816" s="896"/>
      <c r="B1816" s="956" t="s">
        <v>1250</v>
      </c>
      <c r="C1816" s="957">
        <v>1</v>
      </c>
      <c r="D1816" s="958" t="s">
        <v>273</v>
      </c>
      <c r="E1816" s="1268">
        <v>22</v>
      </c>
      <c r="F1816" s="960">
        <v>1.28</v>
      </c>
      <c r="G1816" s="960">
        <v>0</v>
      </c>
      <c r="H1816" s="960">
        <v>0.15</v>
      </c>
      <c r="I1816" s="916">
        <f>ROUND(IF(AND(F1816:H1816),C1816*E1816*F1816*G1816*H1816,IF(AND(F1816,G1816),C1816*E1816*F1816*G1816,IF(AND(F1816,H1816),C1816*E1816*F1816*H1816,IF(AND(G1816,H1816),C1816*E1816*G1816*H1816,IF(F1816,C1816*E1816*F1816,IF(G1816,C1816*E1816*G1816,IF(H1816,C1816*E1816*H1816,C1816*E1816))))))),2)</f>
        <v>4.22</v>
      </c>
      <c r="J1816" s="955" t="s">
        <v>102</v>
      </c>
      <c r="K1816" s="902"/>
      <c r="L1816" s="923"/>
      <c r="M1816" s="902"/>
      <c r="N1816" s="900" t="s">
        <v>2309</v>
      </c>
    </row>
    <row r="1817" spans="1:14" s="910" customFormat="1" ht="16.5" hidden="1" customHeight="1">
      <c r="A1817" s="896"/>
      <c r="B1817" s="956" t="s">
        <v>1244</v>
      </c>
      <c r="C1817" s="957">
        <v>1</v>
      </c>
      <c r="D1817" s="958" t="s">
        <v>273</v>
      </c>
      <c r="E1817" s="1268">
        <v>1</v>
      </c>
      <c r="F1817" s="960">
        <v>10.53</v>
      </c>
      <c r="G1817" s="960">
        <v>0</v>
      </c>
      <c r="H1817" s="960">
        <v>0.1</v>
      </c>
      <c r="I1817" s="916">
        <f>ROUND(IF(AND(F1817:H1817),C1817*E1817*F1817*G1817*H1817,IF(AND(F1817,G1817),C1817*E1817*F1817*G1817,IF(AND(F1817,H1817),C1817*E1817*F1817*H1817,IF(AND(G1817,H1817),C1817*E1817*G1817*H1817,IF(F1817,C1817*E1817*F1817,IF(G1817,C1817*E1817*G1817,IF(H1817,C1817*E1817*H1817,C1817*E1817))))))),2)</f>
        <v>1.05</v>
      </c>
      <c r="J1817" s="955" t="s">
        <v>102</v>
      </c>
      <c r="K1817" s="902"/>
      <c r="L1817" s="923"/>
      <c r="M1817" s="902"/>
      <c r="N1817" s="900" t="s">
        <v>2309</v>
      </c>
    </row>
    <row r="1818" spans="1:14" s="910" customFormat="1" ht="16.5" hidden="1" customHeight="1">
      <c r="A1818" s="896"/>
      <c r="B1818" s="956"/>
      <c r="C1818" s="957"/>
      <c r="D1818" s="958"/>
      <c r="E1818" s="1268"/>
      <c r="F1818" s="960"/>
      <c r="G1818" s="960"/>
      <c r="H1818" s="960"/>
      <c r="I1818" s="916"/>
      <c r="J1818" s="955"/>
      <c r="K1818" s="902"/>
      <c r="L1818" s="923"/>
      <c r="M1818" s="902"/>
      <c r="N1818" s="900" t="s">
        <v>2309</v>
      </c>
    </row>
    <row r="1819" spans="1:14" ht="15.75" hidden="1">
      <c r="A1819" s="896"/>
      <c r="B1819" s="902"/>
      <c r="C1819" s="917"/>
      <c r="D1819" s="918"/>
      <c r="E1819" s="919"/>
      <c r="F1819" s="920"/>
      <c r="G1819" s="921"/>
      <c r="H1819" s="896"/>
      <c r="I1819" s="916"/>
      <c r="J1819" s="955" t="s">
        <v>102</v>
      </c>
      <c r="K1819" s="922">
        <f>data!E3411</f>
        <v>750.18</v>
      </c>
      <c r="L1819" s="923" t="s">
        <v>2309</v>
      </c>
      <c r="M1819" s="924">
        <f>ROUND(I1819*K1819,0)</f>
        <v>0</v>
      </c>
      <c r="N1819" s="900" t="s">
        <v>2309</v>
      </c>
    </row>
    <row r="1820" spans="1:14" ht="94.5" hidden="1" customHeight="1">
      <c r="A1820" s="896">
        <v>26</v>
      </c>
      <c r="B1820" s="1609" t="s">
        <v>211</v>
      </c>
      <c r="C1820" s="1609"/>
      <c r="D1820" s="1609"/>
      <c r="E1820" s="1609"/>
      <c r="F1820" s="1609"/>
      <c r="G1820" s="1609"/>
      <c r="H1820" s="1609"/>
      <c r="I1820" s="897"/>
      <c r="J1820" s="898"/>
      <c r="K1820" s="896"/>
      <c r="L1820" s="923"/>
      <c r="M1820" s="899"/>
      <c r="N1820" s="900" t="s">
        <v>2209</v>
      </c>
    </row>
    <row r="1821" spans="1:14" s="910" customFormat="1" ht="16.5" hidden="1" customHeight="1">
      <c r="A1821" s="896"/>
      <c r="B1821" s="928" t="s">
        <v>3887</v>
      </c>
      <c r="C1821" s="903"/>
      <c r="D1821" s="904"/>
      <c r="E1821" s="905"/>
      <c r="F1821" s="906"/>
      <c r="G1821" s="906"/>
      <c r="H1821" s="907"/>
      <c r="I1821" s="908"/>
      <c r="J1821" s="955"/>
      <c r="K1821" s="902"/>
      <c r="L1821" s="923"/>
      <c r="M1821" s="902"/>
      <c r="N1821" s="900" t="s">
        <v>2209</v>
      </c>
    </row>
    <row r="1822" spans="1:14" s="910" customFormat="1" ht="16.5" hidden="1" customHeight="1">
      <c r="A1822" s="896"/>
      <c r="B1822" s="911" t="s">
        <v>3941</v>
      </c>
      <c r="C1822" s="912">
        <v>1</v>
      </c>
      <c r="D1822" s="913" t="s">
        <v>273</v>
      </c>
      <c r="E1822" s="914">
        <v>1</v>
      </c>
      <c r="F1822" s="915">
        <v>1.45</v>
      </c>
      <c r="G1822" s="915">
        <v>1.45</v>
      </c>
      <c r="H1822" s="915">
        <v>0</v>
      </c>
      <c r="I1822" s="916">
        <f t="shared" ref="I1822:I1823" si="179">ROUND(IF(AND(F1822:H1822),C1822*E1822*F1822*G1822*H1822,IF(AND(F1822,G1822),C1822*E1822*F1822*G1822,IF(AND(F1822,H1822),C1822*E1822*F1822*H1822,IF(AND(G1822,H1822),C1822*E1822*G1822*H1822,IF(F1822,C1822*E1822*F1822,IF(G1822,C1822*E1822*G1822,IF(H1822,C1822*E1822*H1822,C1822*E1822))))))),2)</f>
        <v>2.1</v>
      </c>
      <c r="J1822" s="955" t="s">
        <v>102</v>
      </c>
      <c r="K1822" s="902"/>
      <c r="L1822" s="923"/>
      <c r="M1822" s="902"/>
      <c r="N1822" s="900" t="s">
        <v>2209</v>
      </c>
    </row>
    <row r="1823" spans="1:14" s="910" customFormat="1" ht="16.5" hidden="1" customHeight="1">
      <c r="A1823" s="896"/>
      <c r="B1823" s="911"/>
      <c r="C1823" s="912">
        <v>1</v>
      </c>
      <c r="D1823" s="913" t="s">
        <v>273</v>
      </c>
      <c r="E1823" s="914">
        <v>1</v>
      </c>
      <c r="F1823" s="915">
        <v>1.45</v>
      </c>
      <c r="G1823" s="915">
        <v>1.45</v>
      </c>
      <c r="H1823" s="915">
        <v>0</v>
      </c>
      <c r="I1823" s="916">
        <f t="shared" si="179"/>
        <v>2.1</v>
      </c>
      <c r="J1823" s="955" t="s">
        <v>102</v>
      </c>
      <c r="K1823" s="902"/>
      <c r="L1823" s="923"/>
      <c r="M1823" s="902"/>
      <c r="N1823" s="900" t="s">
        <v>2209</v>
      </c>
    </row>
    <row r="1824" spans="1:14" s="910" customFormat="1" ht="16.5" hidden="1" customHeight="1">
      <c r="A1824" s="896"/>
      <c r="B1824" s="956"/>
      <c r="C1824" s="957"/>
      <c r="D1824" s="958"/>
      <c r="E1824" s="1268"/>
      <c r="F1824" s="960"/>
      <c r="G1824" s="960"/>
      <c r="H1824" s="960"/>
      <c r="I1824" s="916"/>
      <c r="J1824" s="955"/>
      <c r="K1824" s="902"/>
      <c r="L1824" s="923"/>
      <c r="M1824" s="902"/>
      <c r="N1824" s="900" t="s">
        <v>2209</v>
      </c>
    </row>
    <row r="1825" spans="1:14" ht="15.75" hidden="1">
      <c r="A1825" s="896"/>
      <c r="B1825" s="902"/>
      <c r="C1825" s="917"/>
      <c r="D1825" s="918"/>
      <c r="E1825" s="919"/>
      <c r="F1825" s="920"/>
      <c r="G1825" s="921"/>
      <c r="H1825" s="896"/>
      <c r="I1825" s="916"/>
      <c r="J1825" s="955" t="s">
        <v>102</v>
      </c>
      <c r="K1825" s="922">
        <f>data!E716</f>
        <v>726.78</v>
      </c>
      <c r="L1825" s="923" t="s">
        <v>2209</v>
      </c>
      <c r="M1825" s="924">
        <f>ROUND(I1825*K1825,0)</f>
        <v>0</v>
      </c>
      <c r="N1825" s="900" t="s">
        <v>2209</v>
      </c>
    </row>
    <row r="1826" spans="1:14" ht="94.5" hidden="1" customHeight="1">
      <c r="A1826" s="896">
        <v>26</v>
      </c>
      <c r="B1826" s="1609" t="s">
        <v>211</v>
      </c>
      <c r="C1826" s="1609"/>
      <c r="D1826" s="1609"/>
      <c r="E1826" s="1609"/>
      <c r="F1826" s="1609"/>
      <c r="G1826" s="1609"/>
      <c r="H1826" s="1609"/>
      <c r="I1826" s="897"/>
      <c r="J1826" s="898"/>
      <c r="K1826" s="896"/>
      <c r="L1826" s="923"/>
      <c r="M1826" s="899"/>
      <c r="N1826" s="900" t="s">
        <v>2297</v>
      </c>
    </row>
    <row r="1827" spans="1:14" s="910" customFormat="1" ht="16.5" hidden="1" customHeight="1">
      <c r="A1827" s="896"/>
      <c r="B1827" s="902" t="s">
        <v>2726</v>
      </c>
      <c r="C1827" s="903"/>
      <c r="D1827" s="904"/>
      <c r="E1827" s="905"/>
      <c r="F1827" s="906"/>
      <c r="G1827" s="906"/>
      <c r="H1827" s="907"/>
      <c r="I1827" s="908"/>
      <c r="J1827" s="955"/>
      <c r="K1827" s="902"/>
      <c r="L1827" s="923"/>
      <c r="M1827" s="902"/>
      <c r="N1827" s="900" t="s">
        <v>2297</v>
      </c>
    </row>
    <row r="1828" spans="1:14" s="910" customFormat="1" ht="16.5" hidden="1" customHeight="1">
      <c r="A1828" s="896"/>
      <c r="B1828" s="911" t="s">
        <v>2079</v>
      </c>
      <c r="C1828" s="912">
        <v>1</v>
      </c>
      <c r="D1828" s="913" t="s">
        <v>273</v>
      </c>
      <c r="E1828" s="914">
        <v>1</v>
      </c>
      <c r="F1828" s="915">
        <v>9</v>
      </c>
      <c r="G1828" s="915">
        <v>2.4500000000000002</v>
      </c>
      <c r="H1828" s="915">
        <v>0</v>
      </c>
      <c r="I1828" s="916">
        <f>ROUND(IF(AND(F1828:H1828),C1828*E1828*F1828*G1828*H1828,IF(AND(F1828,G1828),C1828*E1828*F1828*G1828,IF(AND(F1828,H1828),C1828*E1828*F1828*H1828,IF(AND(G1828,H1828),C1828*E1828*G1828*H1828,IF(F1828,C1828*E1828*F1828,IF(G1828,C1828*E1828*G1828,IF(H1828,C1828*E1828*H1828,C1828*E1828))))))),2)</f>
        <v>22.05</v>
      </c>
      <c r="J1828" s="955" t="s">
        <v>102</v>
      </c>
      <c r="K1828" s="902"/>
      <c r="L1828" s="923"/>
      <c r="M1828" s="902"/>
      <c r="N1828" s="900" t="s">
        <v>2297</v>
      </c>
    </row>
    <row r="1829" spans="1:14" s="910" customFormat="1" ht="16.5" hidden="1" customHeight="1">
      <c r="A1829" s="896"/>
      <c r="B1829" s="956"/>
      <c r="C1829" s="957"/>
      <c r="D1829" s="958"/>
      <c r="E1829" s="1268"/>
      <c r="F1829" s="960"/>
      <c r="G1829" s="960"/>
      <c r="H1829" s="960"/>
      <c r="I1829" s="916"/>
      <c r="J1829" s="955"/>
      <c r="K1829" s="902"/>
      <c r="L1829" s="923"/>
      <c r="M1829" s="902"/>
      <c r="N1829" s="900" t="s">
        <v>2297</v>
      </c>
    </row>
    <row r="1830" spans="1:14" ht="15.75" hidden="1">
      <c r="A1830" s="896"/>
      <c r="B1830" s="902"/>
      <c r="C1830" s="917"/>
      <c r="D1830" s="918"/>
      <c r="E1830" s="919"/>
      <c r="F1830" s="920"/>
      <c r="G1830" s="921"/>
      <c r="H1830" s="896"/>
      <c r="I1830" s="916"/>
      <c r="J1830" s="955" t="s">
        <v>102</v>
      </c>
      <c r="K1830" s="922">
        <f>data!E1633</f>
        <v>754.91</v>
      </c>
      <c r="L1830" s="923" t="s">
        <v>2297</v>
      </c>
      <c r="M1830" s="924">
        <f>ROUND(I1830*K1830,0)</f>
        <v>0</v>
      </c>
      <c r="N1830" s="900" t="s">
        <v>2297</v>
      </c>
    </row>
    <row r="1831" spans="1:14" ht="94.5" hidden="1" customHeight="1">
      <c r="A1831" s="896">
        <v>26</v>
      </c>
      <c r="B1831" s="1609" t="s">
        <v>211</v>
      </c>
      <c r="C1831" s="1609"/>
      <c r="D1831" s="1609"/>
      <c r="E1831" s="1609"/>
      <c r="F1831" s="1609"/>
      <c r="G1831" s="1609"/>
      <c r="H1831" s="1609"/>
      <c r="I1831" s="897"/>
      <c r="J1831" s="898"/>
      <c r="K1831" s="896"/>
      <c r="L1831" s="923"/>
      <c r="M1831" s="899"/>
      <c r="N1831" s="900" t="s">
        <v>2308</v>
      </c>
    </row>
    <row r="1832" spans="1:14" s="910" customFormat="1" ht="16.5" hidden="1" customHeight="1">
      <c r="A1832" s="896"/>
      <c r="B1832" s="902" t="s">
        <v>3569</v>
      </c>
      <c r="C1832" s="903"/>
      <c r="D1832" s="904"/>
      <c r="E1832" s="905"/>
      <c r="F1832" s="906"/>
      <c r="G1832" s="906"/>
      <c r="H1832" s="907"/>
      <c r="I1832" s="908"/>
      <c r="J1832" s="955"/>
      <c r="K1832" s="902"/>
      <c r="L1832" s="923"/>
      <c r="M1832" s="902"/>
      <c r="N1832" s="900" t="s">
        <v>2308</v>
      </c>
    </row>
    <row r="1833" spans="1:14" s="910" customFormat="1" ht="16.5" hidden="1" customHeight="1">
      <c r="A1833" s="896"/>
      <c r="B1833" s="911" t="s">
        <v>2079</v>
      </c>
      <c r="C1833" s="912">
        <v>1</v>
      </c>
      <c r="D1833" s="913" t="s">
        <v>273</v>
      </c>
      <c r="E1833" s="914">
        <v>1</v>
      </c>
      <c r="F1833" s="915">
        <v>5.56</v>
      </c>
      <c r="G1833" s="915">
        <v>3.05</v>
      </c>
      <c r="H1833" s="915">
        <v>0</v>
      </c>
      <c r="I1833" s="916">
        <f>ROUND(IF(AND(F1833:H1833),C1833*E1833*F1833*G1833*H1833,IF(AND(F1833,G1833),C1833*E1833*F1833*G1833,IF(AND(F1833,H1833),C1833*E1833*F1833*H1833,IF(AND(G1833,H1833),C1833*E1833*G1833*H1833,IF(F1833,C1833*E1833*F1833,IF(G1833,C1833*E1833*G1833,IF(H1833,C1833*E1833*H1833,C1833*E1833))))))),2)</f>
        <v>16.96</v>
      </c>
      <c r="J1833" s="955" t="s">
        <v>102</v>
      </c>
      <c r="K1833" s="902"/>
      <c r="L1833" s="923"/>
      <c r="M1833" s="902"/>
      <c r="N1833" s="900" t="s">
        <v>2308</v>
      </c>
    </row>
    <row r="1834" spans="1:14" s="910" customFormat="1" ht="16.5" hidden="1" customHeight="1">
      <c r="A1834" s="896"/>
      <c r="B1834" s="911" t="s">
        <v>2136</v>
      </c>
      <c r="C1834" s="912">
        <v>1</v>
      </c>
      <c r="D1834" s="913" t="s">
        <v>273</v>
      </c>
      <c r="E1834" s="914">
        <v>1</v>
      </c>
      <c r="F1834" s="915">
        <v>3.2</v>
      </c>
      <c r="G1834" s="915">
        <v>1.5</v>
      </c>
      <c r="H1834" s="915">
        <v>0</v>
      </c>
      <c r="I1834" s="916">
        <f>ROUND(IF(AND(F1834:H1834),C1834*E1834*F1834*G1834*H1834,IF(AND(F1834,G1834),C1834*E1834*F1834*G1834,IF(AND(F1834,H1834),C1834*E1834*F1834*H1834,IF(AND(G1834,H1834),C1834*E1834*G1834*H1834,IF(F1834,C1834*E1834*F1834,IF(G1834,C1834*E1834*G1834,IF(H1834,C1834*E1834*H1834,C1834*E1834))))))),2)</f>
        <v>4.8</v>
      </c>
      <c r="J1834" s="955" t="s">
        <v>102</v>
      </c>
      <c r="K1834" s="902"/>
      <c r="L1834" s="923"/>
      <c r="M1834" s="902"/>
      <c r="N1834" s="900" t="s">
        <v>2308</v>
      </c>
    </row>
    <row r="1835" spans="1:14" s="910" customFormat="1" ht="16.5" hidden="1" customHeight="1">
      <c r="A1835" s="896"/>
      <c r="B1835" s="956"/>
      <c r="C1835" s="957"/>
      <c r="D1835" s="958"/>
      <c r="E1835" s="1268"/>
      <c r="F1835" s="960"/>
      <c r="G1835" s="960"/>
      <c r="H1835" s="960"/>
      <c r="I1835" s="916"/>
      <c r="J1835" s="955"/>
      <c r="K1835" s="902"/>
      <c r="L1835" s="923"/>
      <c r="M1835" s="902"/>
      <c r="N1835" s="900" t="s">
        <v>2308</v>
      </c>
    </row>
    <row r="1836" spans="1:14" ht="15.75" hidden="1">
      <c r="A1836" s="896"/>
      <c r="B1836" s="902"/>
      <c r="C1836" s="917"/>
      <c r="D1836" s="918"/>
      <c r="E1836" s="919"/>
      <c r="F1836" s="920"/>
      <c r="G1836" s="921"/>
      <c r="H1836" s="896"/>
      <c r="I1836" s="916"/>
      <c r="J1836" s="955" t="s">
        <v>102</v>
      </c>
      <c r="K1836" s="922">
        <f>data!E2550</f>
        <v>776.13</v>
      </c>
      <c r="L1836" s="923" t="s">
        <v>2308</v>
      </c>
      <c r="M1836" s="924">
        <f>ROUND(I1836*K1836,0)</f>
        <v>0</v>
      </c>
      <c r="N1836" s="900" t="s">
        <v>2308</v>
      </c>
    </row>
    <row r="1837" spans="1:14" s="1403" customFormat="1" ht="94.5" customHeight="1">
      <c r="A1837" s="1397">
        <v>24</v>
      </c>
      <c r="B1837" s="1610" t="s">
        <v>211</v>
      </c>
      <c r="C1837" s="1610"/>
      <c r="D1837" s="1610"/>
      <c r="E1837" s="1610"/>
      <c r="F1837" s="1610"/>
      <c r="G1837" s="1610"/>
      <c r="H1837" s="1610"/>
      <c r="I1837" s="1398"/>
      <c r="J1837" s="1399"/>
      <c r="K1837" s="1397"/>
      <c r="L1837" s="1400"/>
      <c r="M1837" s="1401"/>
      <c r="N1837" s="1402" t="s">
        <v>2309</v>
      </c>
    </row>
    <row r="1838" spans="1:14" s="1411" customFormat="1" ht="16.5" customHeight="1">
      <c r="A1838" s="1397"/>
      <c r="B1838" s="1404" t="s">
        <v>3887</v>
      </c>
      <c r="C1838" s="1417"/>
      <c r="D1838" s="1395" t="s">
        <v>4020</v>
      </c>
      <c r="E1838" s="1419"/>
      <c r="F1838" s="1420"/>
      <c r="G1838" s="1420"/>
      <c r="H1838" s="1421"/>
      <c r="I1838" s="1422"/>
      <c r="J1838" s="1423"/>
      <c r="K1838" s="1410"/>
      <c r="L1838" s="1400"/>
      <c r="M1838" s="1410"/>
      <c r="N1838" s="1402" t="s">
        <v>2309</v>
      </c>
    </row>
    <row r="1839" spans="1:14" s="1411" customFormat="1" ht="16.5" customHeight="1">
      <c r="A1839" s="1397"/>
      <c r="B1839" s="1458" t="s">
        <v>3941</v>
      </c>
      <c r="C1839" s="1459">
        <v>1</v>
      </c>
      <c r="D1839" s="1460" t="s">
        <v>273</v>
      </c>
      <c r="E1839" s="1461">
        <v>1</v>
      </c>
      <c r="F1839" s="1448">
        <v>1.45</v>
      </c>
      <c r="G1839" s="1448">
        <v>1.45</v>
      </c>
      <c r="H1839" s="1448">
        <v>0</v>
      </c>
      <c r="I1839" s="1430">
        <f t="shared" ref="I1839:I1840" si="180">ROUND(IF(AND(F1839:H1839),C1839*E1839*F1839*G1839*H1839,IF(AND(F1839,G1839),C1839*E1839*F1839*G1839,IF(AND(F1839,H1839),C1839*E1839*F1839*H1839,IF(AND(G1839,H1839),C1839*E1839*G1839*H1839,IF(F1839,C1839*E1839*F1839,IF(G1839,C1839*E1839*G1839,IF(H1839,C1839*E1839*H1839,C1839*E1839))))))),2)</f>
        <v>2.1</v>
      </c>
      <c r="J1839" s="1423" t="s">
        <v>102</v>
      </c>
      <c r="K1839" s="1410"/>
      <c r="L1839" s="1400"/>
      <c r="M1839" s="1410"/>
      <c r="N1839" s="1402" t="s">
        <v>2309</v>
      </c>
    </row>
    <row r="1840" spans="1:14" s="1411" customFormat="1" ht="16.5" customHeight="1">
      <c r="A1840" s="1397"/>
      <c r="B1840" s="1458"/>
      <c r="C1840" s="1459">
        <v>1</v>
      </c>
      <c r="D1840" s="1460" t="s">
        <v>273</v>
      </c>
      <c r="E1840" s="1461">
        <v>1</v>
      </c>
      <c r="F1840" s="1448">
        <v>1.45</v>
      </c>
      <c r="G1840" s="1448">
        <v>1.45</v>
      </c>
      <c r="H1840" s="1448">
        <v>0</v>
      </c>
      <c r="I1840" s="1430">
        <f t="shared" si="180"/>
        <v>2.1</v>
      </c>
      <c r="J1840" s="1423" t="s">
        <v>102</v>
      </c>
      <c r="K1840" s="1410"/>
      <c r="L1840" s="1400"/>
      <c r="M1840" s="1410"/>
      <c r="N1840" s="1402" t="s">
        <v>2309</v>
      </c>
    </row>
    <row r="1841" spans="1:14" s="1411" customFormat="1" ht="16.5" customHeight="1">
      <c r="A1841" s="1397"/>
      <c r="B1841" s="1458"/>
      <c r="C1841" s="1459"/>
      <c r="D1841" s="1460"/>
      <c r="E1841" s="1461"/>
      <c r="F1841" s="1448"/>
      <c r="G1841" s="1448"/>
      <c r="H1841" s="1448"/>
      <c r="I1841" s="1430"/>
      <c r="J1841" s="1423"/>
      <c r="K1841" s="1410"/>
      <c r="L1841" s="1400"/>
      <c r="M1841" s="1410"/>
      <c r="N1841" s="1402" t="s">
        <v>2309</v>
      </c>
    </row>
    <row r="1842" spans="1:14" s="1403" customFormat="1" ht="15.75">
      <c r="A1842" s="1397"/>
      <c r="B1842" s="1410"/>
      <c r="C1842" s="1431"/>
      <c r="D1842" s="1432"/>
      <c r="E1842" s="1413"/>
      <c r="F1842" s="1414"/>
      <c r="G1842" s="1433"/>
      <c r="H1842" s="1397"/>
      <c r="I1842" s="1430">
        <f>SUM(I1839:I1841)</f>
        <v>4.2</v>
      </c>
      <c r="J1842" s="1423" t="s">
        <v>102</v>
      </c>
      <c r="K1842" s="1434">
        <f>data!E3467</f>
        <v>801.83</v>
      </c>
      <c r="L1842" s="1400" t="s">
        <v>2309</v>
      </c>
      <c r="M1842" s="1435">
        <f>ROUND(I1842*K1842,0)</f>
        <v>3368</v>
      </c>
      <c r="N1842" s="1402" t="s">
        <v>2309</v>
      </c>
    </row>
    <row r="1843" spans="1:14" ht="94.5" hidden="1" customHeight="1">
      <c r="A1843" s="896">
        <v>27</v>
      </c>
      <c r="B1843" s="1609" t="s">
        <v>214</v>
      </c>
      <c r="C1843" s="1609"/>
      <c r="D1843" s="1609"/>
      <c r="E1843" s="1609"/>
      <c r="F1843" s="1609"/>
      <c r="G1843" s="1609"/>
      <c r="H1843" s="1609"/>
      <c r="I1843" s="897"/>
      <c r="J1843" s="898"/>
      <c r="K1843" s="896"/>
      <c r="L1843" s="923"/>
      <c r="M1843" s="899"/>
      <c r="N1843" s="900" t="s">
        <v>2209</v>
      </c>
    </row>
    <row r="1844" spans="1:14" s="910" customFormat="1" ht="16.5" hidden="1" customHeight="1">
      <c r="A1844" s="896"/>
      <c r="B1844" s="928" t="s">
        <v>3888</v>
      </c>
      <c r="C1844" s="903"/>
      <c r="D1844" s="904"/>
      <c r="E1844" s="905"/>
      <c r="F1844" s="906"/>
      <c r="G1844" s="906"/>
      <c r="H1844" s="907"/>
      <c r="I1844" s="908"/>
      <c r="J1844" s="955"/>
      <c r="K1844" s="902"/>
      <c r="L1844" s="896"/>
      <c r="M1844" s="902"/>
      <c r="N1844" s="900" t="s">
        <v>2209</v>
      </c>
    </row>
    <row r="1845" spans="1:14" s="910" customFormat="1" ht="15.75" hidden="1">
      <c r="A1845" s="896"/>
      <c r="B1845" s="911" t="s">
        <v>3851</v>
      </c>
      <c r="C1845" s="912">
        <v>1</v>
      </c>
      <c r="D1845" s="913" t="s">
        <v>273</v>
      </c>
      <c r="E1845" s="914">
        <v>1</v>
      </c>
      <c r="F1845" s="915">
        <v>5.8</v>
      </c>
      <c r="G1845" s="915">
        <v>0</v>
      </c>
      <c r="H1845" s="915">
        <v>1.75</v>
      </c>
      <c r="I1845" s="916">
        <f t="shared" ref="I1845:I1846" si="181">ROUND(IF(AND(F1845:H1845),C1845*E1845*F1845*G1845*H1845,IF(AND(F1845,G1845),C1845*E1845*F1845*G1845,IF(AND(F1845,H1845),C1845*E1845*F1845*H1845,IF(AND(G1845,H1845),C1845*E1845*G1845*H1845,IF(F1845,C1845*E1845*F1845,IF(G1845,C1845*E1845*G1845,IF(H1845,C1845*E1845*H1845,C1845*E1845))))))),2)</f>
        <v>10.15</v>
      </c>
      <c r="J1845" s="955" t="s">
        <v>102</v>
      </c>
      <c r="K1845" s="902"/>
      <c r="L1845" s="923"/>
      <c r="M1845" s="902"/>
      <c r="N1845" s="900" t="s">
        <v>2209</v>
      </c>
    </row>
    <row r="1846" spans="1:14" s="910" customFormat="1" ht="15.75" hidden="1">
      <c r="A1846" s="896"/>
      <c r="B1846" s="911"/>
      <c r="C1846" s="912">
        <v>1</v>
      </c>
      <c r="D1846" s="913" t="s">
        <v>273</v>
      </c>
      <c r="E1846" s="914">
        <v>1</v>
      </c>
      <c r="F1846" s="915">
        <v>5.8</v>
      </c>
      <c r="G1846" s="915">
        <v>0</v>
      </c>
      <c r="H1846" s="915">
        <v>1.75</v>
      </c>
      <c r="I1846" s="916">
        <f t="shared" si="181"/>
        <v>10.15</v>
      </c>
      <c r="J1846" s="955" t="s">
        <v>102</v>
      </c>
      <c r="K1846" s="902"/>
      <c r="L1846" s="923"/>
      <c r="M1846" s="902"/>
      <c r="N1846" s="900" t="s">
        <v>2209</v>
      </c>
    </row>
    <row r="1847" spans="1:14" s="910" customFormat="1" ht="15.75" hidden="1">
      <c r="A1847" s="896"/>
      <c r="B1847" s="911" t="s">
        <v>579</v>
      </c>
      <c r="C1847" s="912">
        <v>1</v>
      </c>
      <c r="D1847" s="913" t="s">
        <v>273</v>
      </c>
      <c r="E1847" s="914">
        <v>2</v>
      </c>
      <c r="F1847" s="915">
        <v>0.75</v>
      </c>
      <c r="G1847" s="915">
        <v>0</v>
      </c>
      <c r="H1847" s="915">
        <v>1.75</v>
      </c>
      <c r="I1847" s="916">
        <f>-ROUND(IF(AND(F1847:H1847),C1847*E1847*F1847*G1847*H1847,IF(AND(F1847,G1847),C1847*E1847*F1847*G1847,IF(AND(F1847,H1847),C1847*E1847*F1847*H1847,IF(AND(G1847,H1847),C1847*E1847*G1847*H1847,IF(F1847,C1847*E1847*F1847,IF(G1847,C1847*E1847*G1847,IF(H1847,C1847*E1847*H1847,C1847*E1847))))))),2)</f>
        <v>-2.63</v>
      </c>
      <c r="J1847" s="955" t="s">
        <v>102</v>
      </c>
      <c r="K1847" s="902"/>
      <c r="L1847" s="923"/>
      <c r="M1847" s="902"/>
      <c r="N1847" s="900" t="s">
        <v>2209</v>
      </c>
    </row>
    <row r="1848" spans="1:14" s="910" customFormat="1" ht="16.5" hidden="1" customHeight="1">
      <c r="A1848" s="896"/>
      <c r="B1848" s="956"/>
      <c r="C1848" s="957"/>
      <c r="D1848" s="958"/>
      <c r="E1848" s="1268"/>
      <c r="F1848" s="960"/>
      <c r="G1848" s="960"/>
      <c r="H1848" s="960"/>
      <c r="I1848" s="916"/>
      <c r="J1848" s="955"/>
      <c r="K1848" s="902"/>
      <c r="L1848" s="923"/>
      <c r="M1848" s="902"/>
      <c r="N1848" s="900" t="s">
        <v>2209</v>
      </c>
    </row>
    <row r="1849" spans="1:14" ht="15.75" hidden="1">
      <c r="A1849" s="896"/>
      <c r="B1849" s="902"/>
      <c r="C1849" s="917"/>
      <c r="D1849" s="918"/>
      <c r="E1849" s="919"/>
      <c r="F1849" s="920"/>
      <c r="G1849" s="921"/>
      <c r="H1849" s="896"/>
      <c r="I1849" s="916"/>
      <c r="J1849" s="955" t="s">
        <v>102</v>
      </c>
      <c r="K1849" s="922">
        <f>data!E733</f>
        <v>487.61</v>
      </c>
      <c r="L1849" s="923" t="s">
        <v>2209</v>
      </c>
      <c r="M1849" s="924">
        <f>ROUND(I1849*K1849,0)</f>
        <v>0</v>
      </c>
      <c r="N1849" s="900" t="s">
        <v>2209</v>
      </c>
    </row>
    <row r="1850" spans="1:14" ht="94.5" hidden="1" customHeight="1">
      <c r="A1850" s="896">
        <v>27</v>
      </c>
      <c r="B1850" s="1609" t="s">
        <v>214</v>
      </c>
      <c r="C1850" s="1609"/>
      <c r="D1850" s="1609"/>
      <c r="E1850" s="1609"/>
      <c r="F1850" s="1609"/>
      <c r="G1850" s="1609"/>
      <c r="H1850" s="1609"/>
      <c r="I1850" s="897"/>
      <c r="J1850" s="898"/>
      <c r="K1850" s="896"/>
      <c r="L1850" s="923"/>
      <c r="M1850" s="899"/>
      <c r="N1850" s="900" t="s">
        <v>2297</v>
      </c>
    </row>
    <row r="1851" spans="1:14" s="910" customFormat="1" ht="16.5" hidden="1" customHeight="1">
      <c r="A1851" s="896"/>
      <c r="B1851" s="902" t="s">
        <v>3518</v>
      </c>
      <c r="C1851" s="903"/>
      <c r="D1851" s="904"/>
      <c r="E1851" s="905"/>
      <c r="F1851" s="906"/>
      <c r="G1851" s="906"/>
      <c r="H1851" s="907"/>
      <c r="I1851" s="908"/>
      <c r="J1851" s="955"/>
      <c r="K1851" s="902"/>
      <c r="L1851" s="896"/>
      <c r="M1851" s="902"/>
      <c r="N1851" s="900" t="s">
        <v>2297</v>
      </c>
    </row>
    <row r="1852" spans="1:14" s="910" customFormat="1" ht="15.75" hidden="1">
      <c r="A1852" s="896"/>
      <c r="B1852" s="911" t="s">
        <v>2182</v>
      </c>
      <c r="C1852" s="912">
        <v>1</v>
      </c>
      <c r="D1852" s="913" t="s">
        <v>273</v>
      </c>
      <c r="E1852" s="914">
        <v>1</v>
      </c>
      <c r="F1852" s="915">
        <v>5.25</v>
      </c>
      <c r="G1852" s="915">
        <v>0</v>
      </c>
      <c r="H1852" s="915">
        <v>3.35</v>
      </c>
      <c r="I1852" s="916">
        <f>ROUND(IF(AND(F1852:H1852),C1852*E1852*F1852*G1852*H1852,IF(AND(F1852,G1852),C1852*E1852*F1852*G1852,IF(AND(F1852,H1852),C1852*E1852*F1852*H1852,IF(AND(G1852,H1852),C1852*E1852*G1852*H1852,IF(F1852,C1852*E1852*F1852,IF(G1852,C1852*E1852*G1852,IF(H1852,C1852*E1852*H1852,C1852*E1852))))))),2)</f>
        <v>17.59</v>
      </c>
      <c r="J1852" s="955" t="s">
        <v>102</v>
      </c>
      <c r="K1852" s="902"/>
      <c r="L1852" s="923"/>
      <c r="M1852" s="902"/>
      <c r="N1852" s="900" t="s">
        <v>2297</v>
      </c>
    </row>
    <row r="1853" spans="1:14" s="910" customFormat="1" ht="15.75" hidden="1">
      <c r="A1853" s="896"/>
      <c r="B1853" s="911" t="s">
        <v>2183</v>
      </c>
      <c r="C1853" s="912">
        <v>1</v>
      </c>
      <c r="D1853" s="913" t="s">
        <v>273</v>
      </c>
      <c r="E1853" s="914">
        <v>1</v>
      </c>
      <c r="F1853" s="915">
        <v>1.6</v>
      </c>
      <c r="G1853" s="915">
        <v>0</v>
      </c>
      <c r="H1853" s="915">
        <v>1.3</v>
      </c>
      <c r="I1853" s="916">
        <f>-ROUND(IF(AND(F1853:H1853),C1853*E1853*F1853*G1853*H1853,IF(AND(F1853,G1853),C1853*E1853*F1853*G1853,IF(AND(F1853,H1853),C1853*E1853*F1853*H1853,IF(AND(G1853,H1853),C1853*E1853*G1853*H1853,IF(F1853,C1853*E1853*F1853,IF(G1853,C1853*E1853*G1853,IF(H1853,C1853*E1853*H1853,C1853*E1853))))))),2)</f>
        <v>-2.08</v>
      </c>
      <c r="J1853" s="955" t="s">
        <v>102</v>
      </c>
      <c r="K1853" s="902"/>
      <c r="L1853" s="923"/>
      <c r="M1853" s="902"/>
      <c r="N1853" s="900" t="s">
        <v>2297</v>
      </c>
    </row>
    <row r="1854" spans="1:14" s="910" customFormat="1" ht="15.75" hidden="1">
      <c r="A1854" s="896"/>
      <c r="B1854" s="911"/>
      <c r="C1854" s="912">
        <v>1</v>
      </c>
      <c r="D1854" s="913" t="s">
        <v>273</v>
      </c>
      <c r="E1854" s="914">
        <v>3</v>
      </c>
      <c r="F1854" s="915">
        <v>0.38</v>
      </c>
      <c r="G1854" s="915">
        <v>0</v>
      </c>
      <c r="H1854" s="915">
        <v>0.23</v>
      </c>
      <c r="I1854" s="916">
        <f>-ROUND(IF(AND(F1854:H1854),C1854*E1854*F1854*G1854*H1854,IF(AND(F1854,G1854),C1854*E1854*F1854*G1854,IF(AND(F1854,H1854),C1854*E1854*F1854*H1854,IF(AND(G1854,H1854),C1854*E1854*G1854*H1854,IF(F1854,C1854*E1854*F1854,IF(G1854,C1854*E1854*G1854,IF(H1854,C1854*E1854*H1854,C1854*E1854))))))),2)</f>
        <v>-0.26</v>
      </c>
      <c r="J1854" s="955" t="s">
        <v>102</v>
      </c>
      <c r="K1854" s="902"/>
      <c r="L1854" s="923"/>
      <c r="M1854" s="902"/>
      <c r="N1854" s="900" t="s">
        <v>2297</v>
      </c>
    </row>
    <row r="1855" spans="1:14" s="910" customFormat="1" ht="16.5" hidden="1" customHeight="1">
      <c r="A1855" s="896"/>
      <c r="B1855" s="956"/>
      <c r="C1855" s="957"/>
      <c r="D1855" s="958"/>
      <c r="E1855" s="1268"/>
      <c r="F1855" s="960"/>
      <c r="G1855" s="960"/>
      <c r="H1855" s="960"/>
      <c r="I1855" s="916"/>
      <c r="J1855" s="955"/>
      <c r="K1855" s="902"/>
      <c r="L1855" s="923"/>
      <c r="M1855" s="902"/>
      <c r="N1855" s="900" t="s">
        <v>2297</v>
      </c>
    </row>
    <row r="1856" spans="1:14" ht="15.75" hidden="1">
      <c r="A1856" s="896"/>
      <c r="B1856" s="902"/>
      <c r="C1856" s="917"/>
      <c r="D1856" s="918"/>
      <c r="E1856" s="919"/>
      <c r="F1856" s="920"/>
      <c r="G1856" s="921"/>
      <c r="H1856" s="896"/>
      <c r="I1856" s="916"/>
      <c r="J1856" s="955" t="s">
        <v>102</v>
      </c>
      <c r="K1856" s="922">
        <f>data!E1650</f>
        <v>496.21</v>
      </c>
      <c r="L1856" s="923" t="s">
        <v>2297</v>
      </c>
      <c r="M1856" s="924">
        <f>ROUND(I1856*K1856,0)</f>
        <v>0</v>
      </c>
      <c r="N1856" s="900" t="s">
        <v>2297</v>
      </c>
    </row>
    <row r="1857" spans="1:14" ht="94.5" hidden="1" customHeight="1">
      <c r="A1857" s="896">
        <v>27</v>
      </c>
      <c r="B1857" s="1609" t="s">
        <v>214</v>
      </c>
      <c r="C1857" s="1609"/>
      <c r="D1857" s="1609"/>
      <c r="E1857" s="1609"/>
      <c r="F1857" s="1609"/>
      <c r="G1857" s="1609"/>
      <c r="H1857" s="1609"/>
      <c r="I1857" s="897"/>
      <c r="J1857" s="898"/>
      <c r="K1857" s="896"/>
      <c r="L1857" s="923"/>
      <c r="M1857" s="899"/>
      <c r="N1857" s="900" t="s">
        <v>2308</v>
      </c>
    </row>
    <row r="1858" spans="1:14" s="910" customFormat="1" ht="16.5" hidden="1" customHeight="1">
      <c r="A1858" s="896"/>
      <c r="B1858" s="902" t="s">
        <v>3518</v>
      </c>
      <c r="C1858" s="903"/>
      <c r="D1858" s="904"/>
      <c r="E1858" s="905"/>
      <c r="F1858" s="906"/>
      <c r="G1858" s="906"/>
      <c r="H1858" s="907"/>
      <c r="I1858" s="908"/>
      <c r="J1858" s="955"/>
      <c r="K1858" s="902"/>
      <c r="L1858" s="896"/>
      <c r="M1858" s="902"/>
      <c r="N1858" s="900" t="s">
        <v>2308</v>
      </c>
    </row>
    <row r="1859" spans="1:14" s="910" customFormat="1" ht="15.75" hidden="1">
      <c r="A1859" s="896"/>
      <c r="B1859" s="911" t="s">
        <v>2182</v>
      </c>
      <c r="C1859" s="912">
        <v>1</v>
      </c>
      <c r="D1859" s="913" t="s">
        <v>273</v>
      </c>
      <c r="E1859" s="914">
        <v>1</v>
      </c>
      <c r="F1859" s="915">
        <v>5.25</v>
      </c>
      <c r="G1859" s="915">
        <v>0</v>
      </c>
      <c r="H1859" s="915">
        <v>3.35</v>
      </c>
      <c r="I1859" s="916">
        <f>ROUND(IF(AND(F1859:H1859),C1859*E1859*F1859*G1859*H1859,IF(AND(F1859,G1859),C1859*E1859*F1859*G1859,IF(AND(F1859,H1859),C1859*E1859*F1859*H1859,IF(AND(G1859,H1859),C1859*E1859*G1859*H1859,IF(F1859,C1859*E1859*F1859,IF(G1859,C1859*E1859*G1859,IF(H1859,C1859*E1859*H1859,C1859*E1859))))))),2)</f>
        <v>17.59</v>
      </c>
      <c r="J1859" s="955" t="s">
        <v>102</v>
      </c>
      <c r="K1859" s="902"/>
      <c r="L1859" s="923"/>
      <c r="M1859" s="902"/>
      <c r="N1859" s="900" t="s">
        <v>2308</v>
      </c>
    </row>
    <row r="1860" spans="1:14" s="910" customFormat="1" ht="15.75" hidden="1">
      <c r="A1860" s="896"/>
      <c r="B1860" s="911" t="s">
        <v>2183</v>
      </c>
      <c r="C1860" s="912">
        <v>1</v>
      </c>
      <c r="D1860" s="913" t="s">
        <v>273</v>
      </c>
      <c r="E1860" s="914">
        <v>1</v>
      </c>
      <c r="F1860" s="915">
        <v>1.6</v>
      </c>
      <c r="G1860" s="915">
        <v>0</v>
      </c>
      <c r="H1860" s="915">
        <v>1.3</v>
      </c>
      <c r="I1860" s="916">
        <f>-ROUND(IF(AND(F1860:H1860),C1860*E1860*F1860*G1860*H1860,IF(AND(F1860,G1860),C1860*E1860*F1860*G1860,IF(AND(F1860,H1860),C1860*E1860*F1860*H1860,IF(AND(G1860,H1860),C1860*E1860*G1860*H1860,IF(F1860,C1860*E1860*F1860,IF(G1860,C1860*E1860*G1860,IF(H1860,C1860*E1860*H1860,C1860*E1860))))))),2)</f>
        <v>-2.08</v>
      </c>
      <c r="J1860" s="955" t="s">
        <v>102</v>
      </c>
      <c r="K1860" s="902"/>
      <c r="L1860" s="923"/>
      <c r="M1860" s="902"/>
      <c r="N1860" s="900" t="s">
        <v>2308</v>
      </c>
    </row>
    <row r="1861" spans="1:14" s="910" customFormat="1" ht="15.75" hidden="1">
      <c r="A1861" s="896"/>
      <c r="B1861" s="911"/>
      <c r="C1861" s="912">
        <v>1</v>
      </c>
      <c r="D1861" s="913" t="s">
        <v>273</v>
      </c>
      <c r="E1861" s="914">
        <v>3</v>
      </c>
      <c r="F1861" s="915">
        <v>0.38</v>
      </c>
      <c r="G1861" s="915">
        <v>0</v>
      </c>
      <c r="H1861" s="915">
        <v>0.23</v>
      </c>
      <c r="I1861" s="916">
        <f>-ROUND(IF(AND(F1861:H1861),C1861*E1861*F1861*G1861*H1861,IF(AND(F1861,G1861),C1861*E1861*F1861*G1861,IF(AND(F1861,H1861),C1861*E1861*F1861*H1861,IF(AND(G1861,H1861),C1861*E1861*G1861*H1861,IF(F1861,C1861*E1861*F1861,IF(G1861,C1861*E1861*G1861,IF(H1861,C1861*E1861*H1861,C1861*E1861))))))),2)</f>
        <v>-0.26</v>
      </c>
      <c r="J1861" s="955" t="s">
        <v>102</v>
      </c>
      <c r="K1861" s="902"/>
      <c r="L1861" s="923"/>
      <c r="M1861" s="902"/>
      <c r="N1861" s="900" t="s">
        <v>2308</v>
      </c>
    </row>
    <row r="1862" spans="1:14" s="910" customFormat="1" ht="16.5" hidden="1" customHeight="1">
      <c r="A1862" s="896"/>
      <c r="B1862" s="956"/>
      <c r="C1862" s="957"/>
      <c r="D1862" s="958"/>
      <c r="E1862" s="1268"/>
      <c r="F1862" s="960"/>
      <c r="G1862" s="960"/>
      <c r="H1862" s="960"/>
      <c r="I1862" s="916"/>
      <c r="J1862" s="955"/>
      <c r="K1862" s="902"/>
      <c r="L1862" s="923"/>
      <c r="M1862" s="902"/>
      <c r="N1862" s="900" t="s">
        <v>2308</v>
      </c>
    </row>
    <row r="1863" spans="1:14" ht="15.75" hidden="1">
      <c r="A1863" s="896"/>
      <c r="B1863" s="902"/>
      <c r="C1863" s="917"/>
      <c r="D1863" s="918"/>
      <c r="E1863" s="919"/>
      <c r="F1863" s="920"/>
      <c r="G1863" s="921"/>
      <c r="H1863" s="896"/>
      <c r="I1863" s="916"/>
      <c r="J1863" s="955" t="s">
        <v>102</v>
      </c>
      <c r="K1863" s="922">
        <f>data!E2567</f>
        <v>503.67</v>
      </c>
      <c r="L1863" s="923" t="s">
        <v>2308</v>
      </c>
      <c r="M1863" s="924">
        <f>ROUND(I1863*K1863,0)</f>
        <v>0</v>
      </c>
      <c r="N1863" s="900" t="s">
        <v>2308</v>
      </c>
    </row>
    <row r="1864" spans="1:14" s="1403" customFormat="1" ht="94.5" customHeight="1">
      <c r="A1864" s="1397">
        <v>25</v>
      </c>
      <c r="B1864" s="1610" t="s">
        <v>214</v>
      </c>
      <c r="C1864" s="1610"/>
      <c r="D1864" s="1610"/>
      <c r="E1864" s="1610"/>
      <c r="F1864" s="1610"/>
      <c r="G1864" s="1610"/>
      <c r="H1864" s="1610"/>
      <c r="I1864" s="1398"/>
      <c r="J1864" s="1399"/>
      <c r="K1864" s="1397"/>
      <c r="L1864" s="1400"/>
      <c r="M1864" s="1401"/>
      <c r="N1864" s="1402" t="s">
        <v>2309</v>
      </c>
    </row>
    <row r="1865" spans="1:14" s="1411" customFormat="1" ht="16.5" customHeight="1">
      <c r="A1865" s="1397"/>
      <c r="B1865" s="1404" t="s">
        <v>3888</v>
      </c>
      <c r="C1865" s="1417"/>
      <c r="D1865" s="1395" t="s">
        <v>4020</v>
      </c>
      <c r="E1865" s="1419"/>
      <c r="F1865" s="1420"/>
      <c r="G1865" s="1420"/>
      <c r="H1865" s="1421"/>
      <c r="I1865" s="1422"/>
      <c r="J1865" s="1423"/>
      <c r="K1865" s="1410"/>
      <c r="L1865" s="1397"/>
      <c r="M1865" s="1410"/>
      <c r="N1865" s="1402" t="s">
        <v>2309</v>
      </c>
    </row>
    <row r="1866" spans="1:14" s="1411" customFormat="1" ht="15.75">
      <c r="A1866" s="1397"/>
      <c r="B1866" s="1458" t="s">
        <v>3851</v>
      </c>
      <c r="C1866" s="1459">
        <v>1</v>
      </c>
      <c r="D1866" s="1460" t="s">
        <v>273</v>
      </c>
      <c r="E1866" s="1461">
        <v>1</v>
      </c>
      <c r="F1866" s="1448">
        <v>5.8</v>
      </c>
      <c r="G1866" s="1448">
        <v>0</v>
      </c>
      <c r="H1866" s="1448">
        <v>1.75</v>
      </c>
      <c r="I1866" s="1430">
        <f t="shared" ref="I1866:I1867" si="182">ROUND(IF(AND(F1866:H1866),C1866*E1866*F1866*G1866*H1866,IF(AND(F1866,G1866),C1866*E1866*F1866*G1866,IF(AND(F1866,H1866),C1866*E1866*F1866*H1866,IF(AND(G1866,H1866),C1866*E1866*G1866*H1866,IF(F1866,C1866*E1866*F1866,IF(G1866,C1866*E1866*G1866,IF(H1866,C1866*E1866*H1866,C1866*E1866))))))),2)</f>
        <v>10.15</v>
      </c>
      <c r="J1866" s="1423" t="s">
        <v>102</v>
      </c>
      <c r="K1866" s="1410"/>
      <c r="L1866" s="1400"/>
      <c r="M1866" s="1410"/>
      <c r="N1866" s="1402" t="s">
        <v>2309</v>
      </c>
    </row>
    <row r="1867" spans="1:14" s="1411" customFormat="1" ht="15.75">
      <c r="A1867" s="1397"/>
      <c r="B1867" s="1458"/>
      <c r="C1867" s="1459">
        <v>1</v>
      </c>
      <c r="D1867" s="1460" t="s">
        <v>273</v>
      </c>
      <c r="E1867" s="1461">
        <v>1</v>
      </c>
      <c r="F1867" s="1448">
        <v>5.8</v>
      </c>
      <c r="G1867" s="1448">
        <v>0</v>
      </c>
      <c r="H1867" s="1448">
        <v>1.75</v>
      </c>
      <c r="I1867" s="1430">
        <f t="shared" si="182"/>
        <v>10.15</v>
      </c>
      <c r="J1867" s="1423" t="s">
        <v>102</v>
      </c>
      <c r="K1867" s="1410"/>
      <c r="L1867" s="1400"/>
      <c r="M1867" s="1410"/>
      <c r="N1867" s="1402" t="s">
        <v>2309</v>
      </c>
    </row>
    <row r="1868" spans="1:14" s="1411" customFormat="1" ht="15.75">
      <c r="A1868" s="1397"/>
      <c r="B1868" s="1458" t="s">
        <v>579</v>
      </c>
      <c r="C1868" s="1459">
        <v>1</v>
      </c>
      <c r="D1868" s="1460" t="s">
        <v>273</v>
      </c>
      <c r="E1868" s="1461">
        <v>2</v>
      </c>
      <c r="F1868" s="1448">
        <v>0.75</v>
      </c>
      <c r="G1868" s="1448">
        <v>0</v>
      </c>
      <c r="H1868" s="1448">
        <v>1.75</v>
      </c>
      <c r="I1868" s="1430">
        <f>-ROUND(IF(AND(F1868:H1868),C1868*E1868*F1868*G1868*H1868,IF(AND(F1868,G1868),C1868*E1868*F1868*G1868,IF(AND(F1868,H1868),C1868*E1868*F1868*H1868,IF(AND(G1868,H1868),C1868*E1868*G1868*H1868,IF(F1868,C1868*E1868*F1868,IF(G1868,C1868*E1868*G1868,IF(H1868,C1868*E1868*H1868,C1868*E1868))))))),2)</f>
        <v>-2.63</v>
      </c>
      <c r="J1868" s="1423" t="s">
        <v>102</v>
      </c>
      <c r="K1868" s="1410"/>
      <c r="L1868" s="1400"/>
      <c r="M1868" s="1410"/>
      <c r="N1868" s="1402" t="s">
        <v>2309</v>
      </c>
    </row>
    <row r="1869" spans="1:14" s="1411" customFormat="1" ht="16.5" customHeight="1">
      <c r="A1869" s="1397"/>
      <c r="B1869" s="1425"/>
      <c r="C1869" s="1426"/>
      <c r="D1869" s="1427"/>
      <c r="E1869" s="1428"/>
      <c r="F1869" s="1429"/>
      <c r="G1869" s="1429"/>
      <c r="H1869" s="1429"/>
      <c r="I1869" s="1430"/>
      <c r="J1869" s="1423"/>
      <c r="K1869" s="1410"/>
      <c r="L1869" s="1400"/>
      <c r="M1869" s="1410"/>
      <c r="N1869" s="1402" t="s">
        <v>2309</v>
      </c>
    </row>
    <row r="1870" spans="1:14" s="1403" customFormat="1" ht="15.75">
      <c r="A1870" s="1397"/>
      <c r="B1870" s="1410"/>
      <c r="C1870" s="1431"/>
      <c r="D1870" s="1432"/>
      <c r="E1870" s="1413"/>
      <c r="F1870" s="1414"/>
      <c r="G1870" s="1433"/>
      <c r="H1870" s="1397"/>
      <c r="I1870" s="1430">
        <f>SUM(I1866:I1869)</f>
        <v>17.670000000000002</v>
      </c>
      <c r="J1870" s="1423" t="s">
        <v>102</v>
      </c>
      <c r="K1870" s="1434">
        <f>data!E3484</f>
        <v>518.15</v>
      </c>
      <c r="L1870" s="1400" t="s">
        <v>2309</v>
      </c>
      <c r="M1870" s="1435">
        <f>ROUND(I1870*K1870,0)</f>
        <v>9156</v>
      </c>
      <c r="N1870" s="1402" t="s">
        <v>2309</v>
      </c>
    </row>
    <row r="1871" spans="1:14" ht="81.75" hidden="1" customHeight="1">
      <c r="A1871" s="896">
        <v>23</v>
      </c>
      <c r="B1871" s="1609" t="s">
        <v>1202</v>
      </c>
      <c r="C1871" s="1609"/>
      <c r="D1871" s="1609"/>
      <c r="E1871" s="1609"/>
      <c r="F1871" s="1609"/>
      <c r="G1871" s="1609"/>
      <c r="H1871" s="1609"/>
      <c r="I1871" s="897"/>
      <c r="J1871" s="898"/>
      <c r="K1871" s="896"/>
      <c r="L1871" s="923"/>
      <c r="M1871" s="899"/>
      <c r="N1871" s="900" t="s">
        <v>2209</v>
      </c>
    </row>
    <row r="1872" spans="1:14" s="910" customFormat="1" ht="16.5" hidden="1" customHeight="1">
      <c r="A1872" s="896"/>
      <c r="B1872" s="902" t="s">
        <v>3660</v>
      </c>
      <c r="C1872" s="903"/>
      <c r="D1872" s="904"/>
      <c r="E1872" s="905"/>
      <c r="F1872" s="906"/>
      <c r="G1872" s="906"/>
      <c r="H1872" s="907"/>
      <c r="I1872" s="908"/>
      <c r="J1872" s="955"/>
      <c r="K1872" s="902"/>
      <c r="L1872" s="896"/>
      <c r="M1872" s="902"/>
      <c r="N1872" s="900" t="s">
        <v>2209</v>
      </c>
    </row>
    <row r="1873" spans="1:14" s="910" customFormat="1" ht="16.5" hidden="1" customHeight="1">
      <c r="A1873" s="896"/>
      <c r="B1873" s="902"/>
      <c r="C1873" s="897">
        <v>1</v>
      </c>
      <c r="D1873" s="1263" t="s">
        <v>273</v>
      </c>
      <c r="E1873" s="919">
        <v>1</v>
      </c>
      <c r="F1873" s="920">
        <f>(16+17.2)/2</f>
        <v>16.600000000000001</v>
      </c>
      <c r="G1873" s="920">
        <v>0</v>
      </c>
      <c r="H1873" s="920">
        <v>0.9</v>
      </c>
      <c r="I1873" s="1266">
        <f t="shared" ref="I1873:I1874" si="183">ROUND(IF(AND(F1873:H1873),C1873*E1873*F1873*G1873*H1873,IF(AND(F1873,G1873),C1873*E1873*F1873*G1873,IF(AND(F1873,H1873),C1873*E1873*F1873*H1873,IF(AND(G1873,H1873),C1873*E1873*G1873*H1873,IF(F1873,C1873*E1873*F1873,IF(G1873,C1873*E1873*G1873,IF(H1873,C1873*E1873*H1873,C1873*E1873))))))),2)</f>
        <v>14.94</v>
      </c>
      <c r="J1873" s="955" t="s">
        <v>102</v>
      </c>
      <c r="K1873" s="902"/>
      <c r="L1873" s="896"/>
      <c r="M1873" s="902"/>
      <c r="N1873" s="900" t="s">
        <v>2209</v>
      </c>
    </row>
    <row r="1874" spans="1:14" s="910" customFormat="1" ht="16.5" hidden="1" customHeight="1">
      <c r="A1874" s="896"/>
      <c r="B1874" s="902"/>
      <c r="C1874" s="897">
        <v>1</v>
      </c>
      <c r="D1874" s="1263" t="s">
        <v>273</v>
      </c>
      <c r="E1874" s="919">
        <v>2</v>
      </c>
      <c r="F1874" s="920">
        <f>(3.05+3.65)/2</f>
        <v>3.3499999999999996</v>
      </c>
      <c r="G1874" s="920">
        <v>0</v>
      </c>
      <c r="H1874" s="920">
        <v>0.9</v>
      </c>
      <c r="I1874" s="1266">
        <f t="shared" si="183"/>
        <v>6.03</v>
      </c>
      <c r="J1874" s="955" t="s">
        <v>102</v>
      </c>
      <c r="K1874" s="902"/>
      <c r="L1874" s="896"/>
      <c r="M1874" s="902"/>
      <c r="N1874" s="900" t="s">
        <v>2209</v>
      </c>
    </row>
    <row r="1875" spans="1:14" s="910" customFormat="1" ht="16.5" hidden="1" customHeight="1">
      <c r="A1875" s="896"/>
      <c r="B1875" s="956"/>
      <c r="C1875" s="957"/>
      <c r="D1875" s="958"/>
      <c r="E1875" s="1268"/>
      <c r="F1875" s="960"/>
      <c r="G1875" s="960"/>
      <c r="H1875" s="960"/>
      <c r="I1875" s="916"/>
      <c r="J1875" s="909"/>
      <c r="K1875" s="902"/>
      <c r="L1875" s="896"/>
      <c r="M1875" s="902"/>
      <c r="N1875" s="900" t="s">
        <v>2209</v>
      </c>
    </row>
    <row r="1876" spans="1:14" ht="15.75" hidden="1">
      <c r="A1876" s="896"/>
      <c r="B1876" s="902"/>
      <c r="C1876" s="917"/>
      <c r="D1876" s="918"/>
      <c r="E1876" s="919"/>
      <c r="F1876" s="920"/>
      <c r="G1876" s="921"/>
      <c r="H1876" s="896"/>
      <c r="I1876" s="916"/>
      <c r="J1876" s="909" t="s">
        <v>102</v>
      </c>
      <c r="K1876" s="922">
        <f>data!E761</f>
        <v>911.63</v>
      </c>
      <c r="L1876" s="923" t="s">
        <v>2209</v>
      </c>
      <c r="M1876" s="924">
        <f>ROUND(I1876*K1876,0)</f>
        <v>0</v>
      </c>
      <c r="N1876" s="900" t="s">
        <v>2209</v>
      </c>
    </row>
    <row r="1877" spans="1:14" ht="81.75" hidden="1" customHeight="1">
      <c r="A1877" s="896">
        <v>25</v>
      </c>
      <c r="B1877" s="1609" t="s">
        <v>1202</v>
      </c>
      <c r="C1877" s="1609"/>
      <c r="D1877" s="1609"/>
      <c r="E1877" s="1609"/>
      <c r="F1877" s="1609"/>
      <c r="G1877" s="1609"/>
      <c r="H1877" s="1609"/>
      <c r="I1877" s="897"/>
      <c r="J1877" s="898"/>
      <c r="K1877" s="896"/>
      <c r="L1877" s="923"/>
      <c r="M1877" s="899"/>
      <c r="N1877" s="900" t="s">
        <v>2297</v>
      </c>
    </row>
    <row r="1878" spans="1:14" s="910" customFormat="1" ht="16.5" hidden="1" customHeight="1">
      <c r="A1878" s="896"/>
      <c r="B1878" s="902" t="s">
        <v>3522</v>
      </c>
      <c r="C1878" s="903"/>
      <c r="D1878" s="904"/>
      <c r="E1878" s="905"/>
      <c r="F1878" s="906"/>
      <c r="G1878" s="906"/>
      <c r="H1878" s="907"/>
      <c r="I1878" s="908"/>
      <c r="J1878" s="955"/>
      <c r="K1878" s="902"/>
      <c r="L1878" s="896"/>
      <c r="M1878" s="902"/>
      <c r="N1878" s="900" t="s">
        <v>2297</v>
      </c>
    </row>
    <row r="1879" spans="1:14" s="910" customFormat="1" ht="16.5" hidden="1" customHeight="1">
      <c r="A1879" s="896"/>
      <c r="B1879" s="956" t="s">
        <v>1614</v>
      </c>
      <c r="C1879" s="957">
        <v>1</v>
      </c>
      <c r="D1879" s="958" t="s">
        <v>273</v>
      </c>
      <c r="E1879" s="1268">
        <v>2</v>
      </c>
      <c r="F1879" s="960">
        <v>1</v>
      </c>
      <c r="G1879" s="960">
        <v>0</v>
      </c>
      <c r="H1879" s="960">
        <v>1</v>
      </c>
      <c r="I1879" s="916">
        <f>ROUND(IF(AND(F1879:H1879),C1879*E1879*F1879*G1879*H1879,IF(AND(F1879,G1879),C1879*E1879*F1879*G1879,IF(AND(F1879,H1879),C1879*E1879*F1879*H1879,IF(AND(G1879,H1879),C1879*E1879*G1879*H1879,IF(F1879,C1879*E1879*F1879,IF(G1879,C1879*E1879*G1879,IF(H1879,C1879*E1879*H1879,C1879*E1879))))))),2)</f>
        <v>2</v>
      </c>
      <c r="J1879" s="955" t="s">
        <v>102</v>
      </c>
      <c r="K1879" s="902"/>
      <c r="L1879" s="896"/>
      <c r="M1879" s="902"/>
      <c r="N1879" s="900" t="s">
        <v>2297</v>
      </c>
    </row>
    <row r="1880" spans="1:14" s="910" customFormat="1" ht="16.5" hidden="1" customHeight="1">
      <c r="A1880" s="896"/>
      <c r="B1880" s="956" t="s">
        <v>1615</v>
      </c>
      <c r="C1880" s="957">
        <v>1</v>
      </c>
      <c r="D1880" s="958" t="s">
        <v>273</v>
      </c>
      <c r="E1880" s="1268">
        <v>2</v>
      </c>
      <c r="F1880" s="960">
        <v>3.15</v>
      </c>
      <c r="G1880" s="960">
        <v>0</v>
      </c>
      <c r="H1880" s="960">
        <v>1</v>
      </c>
      <c r="I1880" s="916">
        <f>ROUND(IF(AND(F1880:H1880),C1880*E1880*F1880*G1880*H1880,IF(AND(F1880,G1880),C1880*E1880*F1880*G1880,IF(AND(F1880,H1880),C1880*E1880*F1880*H1880,IF(AND(G1880,H1880),C1880*E1880*G1880*H1880,IF(F1880,C1880*E1880*F1880,IF(G1880,C1880*E1880*G1880,IF(H1880,C1880*E1880*H1880,C1880*E1880))))))),2)</f>
        <v>6.3</v>
      </c>
      <c r="J1880" s="955" t="s">
        <v>102</v>
      </c>
      <c r="K1880" s="902"/>
      <c r="L1880" s="896"/>
      <c r="M1880" s="902"/>
      <c r="N1880" s="900" t="s">
        <v>2297</v>
      </c>
    </row>
    <row r="1881" spans="1:14" s="910" customFormat="1" ht="16.5" hidden="1" customHeight="1">
      <c r="A1881" s="896"/>
      <c r="B1881" s="956" t="s">
        <v>1615</v>
      </c>
      <c r="C1881" s="957">
        <v>1</v>
      </c>
      <c r="D1881" s="958" t="s">
        <v>273</v>
      </c>
      <c r="E1881" s="1268">
        <v>2</v>
      </c>
      <c r="F1881" s="960">
        <v>2</v>
      </c>
      <c r="G1881" s="960">
        <v>0</v>
      </c>
      <c r="H1881" s="960">
        <v>1.9</v>
      </c>
      <c r="I1881" s="916">
        <f>ROUND(IF(AND(F1881:H1881),C1881*E1881*F1881*G1881*H1881,IF(AND(F1881,G1881),C1881*E1881*F1881*G1881,IF(AND(F1881,H1881),C1881*E1881*F1881*H1881,IF(AND(G1881,H1881),C1881*E1881*G1881*H1881,IF(F1881,C1881*E1881*F1881,IF(G1881,C1881*E1881*G1881,IF(H1881,C1881*E1881*H1881,C1881*E1881))))))),2)</f>
        <v>7.6</v>
      </c>
      <c r="J1881" s="955" t="s">
        <v>102</v>
      </c>
      <c r="K1881" s="902"/>
      <c r="L1881" s="896"/>
      <c r="M1881" s="902"/>
      <c r="N1881" s="900" t="s">
        <v>2297</v>
      </c>
    </row>
    <row r="1882" spans="1:14" s="910" customFormat="1" ht="16.5" hidden="1" customHeight="1">
      <c r="A1882" s="896"/>
      <c r="B1882" s="956"/>
      <c r="C1882" s="957"/>
      <c r="D1882" s="958"/>
      <c r="E1882" s="1268"/>
      <c r="F1882" s="960"/>
      <c r="G1882" s="960"/>
      <c r="H1882" s="960"/>
      <c r="I1882" s="916"/>
      <c r="J1882" s="909"/>
      <c r="K1882" s="902"/>
      <c r="L1882" s="896"/>
      <c r="M1882" s="902"/>
      <c r="N1882" s="900" t="s">
        <v>2297</v>
      </c>
    </row>
    <row r="1883" spans="1:14" ht="15.75" hidden="1">
      <c r="A1883" s="896"/>
      <c r="B1883" s="902"/>
      <c r="C1883" s="917"/>
      <c r="D1883" s="918"/>
      <c r="E1883" s="919"/>
      <c r="F1883" s="920"/>
      <c r="G1883" s="921"/>
      <c r="H1883" s="896"/>
      <c r="I1883" s="916"/>
      <c r="J1883" s="909" t="s">
        <v>102</v>
      </c>
      <c r="K1883" s="922">
        <f>data!E1678</f>
        <v>950.67</v>
      </c>
      <c r="L1883" s="923" t="s">
        <v>2297</v>
      </c>
      <c r="M1883" s="924">
        <f>ROUND(I1883*K1883,0)</f>
        <v>0</v>
      </c>
      <c r="N1883" s="900" t="s">
        <v>2297</v>
      </c>
    </row>
    <row r="1884" spans="1:14" ht="81.75" hidden="1" customHeight="1">
      <c r="A1884" s="896">
        <v>30</v>
      </c>
      <c r="B1884" s="1609" t="s">
        <v>1202</v>
      </c>
      <c r="C1884" s="1609"/>
      <c r="D1884" s="1609"/>
      <c r="E1884" s="1609"/>
      <c r="F1884" s="1609"/>
      <c r="G1884" s="1609"/>
      <c r="H1884" s="1609"/>
      <c r="I1884" s="897"/>
      <c r="J1884" s="898"/>
      <c r="K1884" s="896"/>
      <c r="L1884" s="923"/>
      <c r="M1884" s="899"/>
      <c r="N1884" s="900" t="s">
        <v>2308</v>
      </c>
    </row>
    <row r="1885" spans="1:14" s="910" customFormat="1" ht="16.5" hidden="1" customHeight="1">
      <c r="A1885" s="896"/>
      <c r="B1885" s="902" t="s">
        <v>3793</v>
      </c>
      <c r="C1885" s="903"/>
      <c r="D1885" s="954" t="s">
        <v>3819</v>
      </c>
      <c r="E1885" s="905"/>
      <c r="F1885" s="906"/>
      <c r="G1885" s="906"/>
      <c r="H1885" s="907"/>
      <c r="I1885" s="908"/>
      <c r="J1885" s="955"/>
      <c r="K1885" s="902"/>
      <c r="L1885" s="896"/>
      <c r="M1885" s="902"/>
      <c r="N1885" s="900" t="s">
        <v>2308</v>
      </c>
    </row>
    <row r="1886" spans="1:14" s="910" customFormat="1" ht="16.5" hidden="1" customHeight="1">
      <c r="A1886" s="896"/>
      <c r="B1886" s="902"/>
      <c r="C1886" s="897">
        <v>1</v>
      </c>
      <c r="D1886" s="1263" t="s">
        <v>273</v>
      </c>
      <c r="E1886" s="919">
        <v>1</v>
      </c>
      <c r="F1886" s="920">
        <f>(16+17.2)/2</f>
        <v>16.600000000000001</v>
      </c>
      <c r="G1886" s="920">
        <v>0</v>
      </c>
      <c r="H1886" s="920">
        <v>0.9</v>
      </c>
      <c r="I1886" s="1266">
        <f t="shared" ref="I1886:I1887" si="184">ROUND(IF(AND(F1886:H1886),C1886*E1886*F1886*G1886*H1886,IF(AND(F1886,G1886),C1886*E1886*F1886*G1886,IF(AND(F1886,H1886),C1886*E1886*F1886*H1886,IF(AND(G1886,H1886),C1886*E1886*G1886*H1886,IF(F1886,C1886*E1886*F1886,IF(G1886,C1886*E1886*G1886,IF(H1886,C1886*E1886*H1886,C1886*E1886))))))),2)</f>
        <v>14.94</v>
      </c>
      <c r="J1886" s="955" t="s">
        <v>102</v>
      </c>
      <c r="K1886" s="902"/>
      <c r="L1886" s="896"/>
      <c r="M1886" s="902"/>
      <c r="N1886" s="900" t="s">
        <v>2308</v>
      </c>
    </row>
    <row r="1887" spans="1:14" s="910" customFormat="1" ht="16.5" hidden="1" customHeight="1">
      <c r="A1887" s="896"/>
      <c r="B1887" s="902"/>
      <c r="C1887" s="897">
        <v>1</v>
      </c>
      <c r="D1887" s="1263" t="s">
        <v>273</v>
      </c>
      <c r="E1887" s="919">
        <v>2</v>
      </c>
      <c r="F1887" s="920">
        <f>(3.05+3.65)/2</f>
        <v>3.3499999999999996</v>
      </c>
      <c r="G1887" s="920">
        <v>0</v>
      </c>
      <c r="H1887" s="920">
        <v>0.9</v>
      </c>
      <c r="I1887" s="1266">
        <f t="shared" si="184"/>
        <v>6.03</v>
      </c>
      <c r="J1887" s="955" t="s">
        <v>102</v>
      </c>
      <c r="K1887" s="902"/>
      <c r="L1887" s="896"/>
      <c r="M1887" s="902"/>
      <c r="N1887" s="900" t="s">
        <v>2308</v>
      </c>
    </row>
    <row r="1888" spans="1:14" s="910" customFormat="1" ht="16.5" hidden="1" customHeight="1">
      <c r="A1888" s="896"/>
      <c r="B1888" s="902"/>
      <c r="C1888" s="897"/>
      <c r="D1888" s="1263"/>
      <c r="E1888" s="919"/>
      <c r="F1888" s="920"/>
      <c r="G1888" s="920"/>
      <c r="H1888" s="920"/>
      <c r="I1888" s="1266"/>
      <c r="J1888" s="909"/>
      <c r="K1888" s="902"/>
      <c r="L1888" s="896"/>
      <c r="M1888" s="902"/>
      <c r="N1888" s="900" t="s">
        <v>2308</v>
      </c>
    </row>
    <row r="1889" spans="1:14" ht="15.75" hidden="1">
      <c r="A1889" s="896"/>
      <c r="B1889" s="902"/>
      <c r="C1889" s="917"/>
      <c r="D1889" s="918"/>
      <c r="E1889" s="919"/>
      <c r="F1889" s="920"/>
      <c r="G1889" s="921"/>
      <c r="H1889" s="896"/>
      <c r="I1889" s="916"/>
      <c r="J1889" s="909" t="s">
        <v>102</v>
      </c>
      <c r="K1889" s="922">
        <f>data!E2595</f>
        <v>981.79</v>
      </c>
      <c r="L1889" s="923" t="s">
        <v>2308</v>
      </c>
      <c r="M1889" s="924">
        <f>ROUND(I1889*K1889,0)</f>
        <v>0</v>
      </c>
      <c r="N1889" s="900" t="s">
        <v>2308</v>
      </c>
    </row>
    <row r="1890" spans="1:14" ht="81.75" hidden="1" customHeight="1">
      <c r="A1890" s="896">
        <v>25</v>
      </c>
      <c r="B1890" s="1609" t="s">
        <v>1202</v>
      </c>
      <c r="C1890" s="1609"/>
      <c r="D1890" s="1609"/>
      <c r="E1890" s="1609"/>
      <c r="F1890" s="1609"/>
      <c r="G1890" s="1609"/>
      <c r="H1890" s="1609"/>
      <c r="I1890" s="897"/>
      <c r="J1890" s="898"/>
      <c r="K1890" s="896"/>
      <c r="L1890" s="923"/>
      <c r="M1890" s="899"/>
      <c r="N1890" s="900" t="s">
        <v>2309</v>
      </c>
    </row>
    <row r="1891" spans="1:14" s="910" customFormat="1" ht="16.5" hidden="1" customHeight="1">
      <c r="A1891" s="896"/>
      <c r="B1891" s="902" t="s">
        <v>3522</v>
      </c>
      <c r="C1891" s="903"/>
      <c r="D1891" s="904"/>
      <c r="E1891" s="905"/>
      <c r="F1891" s="906"/>
      <c r="G1891" s="906"/>
      <c r="H1891" s="907"/>
      <c r="I1891" s="908"/>
      <c r="J1891" s="955"/>
      <c r="K1891" s="902"/>
      <c r="L1891" s="896"/>
      <c r="M1891" s="902"/>
      <c r="N1891" s="900" t="s">
        <v>2309</v>
      </c>
    </row>
    <row r="1892" spans="1:14" s="910" customFormat="1" ht="16.5" hidden="1" customHeight="1">
      <c r="A1892" s="896"/>
      <c r="B1892" s="956" t="s">
        <v>1614</v>
      </c>
      <c r="C1892" s="957">
        <v>1</v>
      </c>
      <c r="D1892" s="958" t="s">
        <v>273</v>
      </c>
      <c r="E1892" s="1268">
        <v>2</v>
      </c>
      <c r="F1892" s="960">
        <v>1</v>
      </c>
      <c r="G1892" s="960">
        <v>0</v>
      </c>
      <c r="H1892" s="960">
        <v>1</v>
      </c>
      <c r="I1892" s="916">
        <f>ROUND(IF(AND(F1892:H1892),C1892*E1892*F1892*G1892*H1892,IF(AND(F1892,G1892),C1892*E1892*F1892*G1892,IF(AND(F1892,H1892),C1892*E1892*F1892*H1892,IF(AND(G1892,H1892),C1892*E1892*G1892*H1892,IF(F1892,C1892*E1892*F1892,IF(G1892,C1892*E1892*G1892,IF(H1892,C1892*E1892*H1892,C1892*E1892))))))),2)</f>
        <v>2</v>
      </c>
      <c r="J1892" s="955" t="s">
        <v>102</v>
      </c>
      <c r="K1892" s="902"/>
      <c r="L1892" s="896"/>
      <c r="M1892" s="902"/>
      <c r="N1892" s="900" t="s">
        <v>2309</v>
      </c>
    </row>
    <row r="1893" spans="1:14" s="910" customFormat="1" ht="16.5" hidden="1" customHeight="1">
      <c r="A1893" s="896"/>
      <c r="B1893" s="956" t="s">
        <v>1615</v>
      </c>
      <c r="C1893" s="957">
        <v>1</v>
      </c>
      <c r="D1893" s="958" t="s">
        <v>273</v>
      </c>
      <c r="E1893" s="1268">
        <v>2</v>
      </c>
      <c r="F1893" s="960">
        <v>3.15</v>
      </c>
      <c r="G1893" s="960">
        <v>0</v>
      </c>
      <c r="H1893" s="960">
        <v>1</v>
      </c>
      <c r="I1893" s="916">
        <f>ROUND(IF(AND(F1893:H1893),C1893*E1893*F1893*G1893*H1893,IF(AND(F1893,G1893),C1893*E1893*F1893*G1893,IF(AND(F1893,H1893),C1893*E1893*F1893*H1893,IF(AND(G1893,H1893),C1893*E1893*G1893*H1893,IF(F1893,C1893*E1893*F1893,IF(G1893,C1893*E1893*G1893,IF(H1893,C1893*E1893*H1893,C1893*E1893))))))),2)</f>
        <v>6.3</v>
      </c>
      <c r="J1893" s="955" t="s">
        <v>102</v>
      </c>
      <c r="K1893" s="902"/>
      <c r="L1893" s="896"/>
      <c r="M1893" s="902"/>
      <c r="N1893" s="900" t="s">
        <v>2309</v>
      </c>
    </row>
    <row r="1894" spans="1:14" s="910" customFormat="1" ht="16.5" hidden="1" customHeight="1">
      <c r="A1894" s="896"/>
      <c r="B1894" s="956" t="s">
        <v>1615</v>
      </c>
      <c r="C1894" s="957">
        <v>1</v>
      </c>
      <c r="D1894" s="958" t="s">
        <v>273</v>
      </c>
      <c r="E1894" s="1268">
        <v>2</v>
      </c>
      <c r="F1894" s="960">
        <v>2</v>
      </c>
      <c r="G1894" s="960">
        <v>0</v>
      </c>
      <c r="H1894" s="960">
        <v>1.9</v>
      </c>
      <c r="I1894" s="916">
        <f>ROUND(IF(AND(F1894:H1894),C1894*E1894*F1894*G1894*H1894,IF(AND(F1894,G1894),C1894*E1894*F1894*G1894,IF(AND(F1894,H1894),C1894*E1894*F1894*H1894,IF(AND(G1894,H1894),C1894*E1894*G1894*H1894,IF(F1894,C1894*E1894*F1894,IF(G1894,C1894*E1894*G1894,IF(H1894,C1894*E1894*H1894,C1894*E1894))))))),2)</f>
        <v>7.6</v>
      </c>
      <c r="J1894" s="955" t="s">
        <v>102</v>
      </c>
      <c r="K1894" s="902"/>
      <c r="L1894" s="896"/>
      <c r="M1894" s="902"/>
      <c r="N1894" s="900" t="s">
        <v>2309</v>
      </c>
    </row>
    <row r="1895" spans="1:14" s="910" customFormat="1" ht="16.5" hidden="1" customHeight="1">
      <c r="A1895" s="896"/>
      <c r="B1895" s="956"/>
      <c r="C1895" s="957"/>
      <c r="D1895" s="958"/>
      <c r="E1895" s="1268"/>
      <c r="F1895" s="960"/>
      <c r="G1895" s="960"/>
      <c r="H1895" s="960"/>
      <c r="I1895" s="916"/>
      <c r="J1895" s="909"/>
      <c r="K1895" s="902"/>
      <c r="L1895" s="896"/>
      <c r="M1895" s="902"/>
      <c r="N1895" s="900" t="s">
        <v>2309</v>
      </c>
    </row>
    <row r="1896" spans="1:14" ht="15.75" hidden="1">
      <c r="A1896" s="896"/>
      <c r="B1896" s="902"/>
      <c r="C1896" s="917"/>
      <c r="D1896" s="918"/>
      <c r="E1896" s="919"/>
      <c r="F1896" s="920"/>
      <c r="G1896" s="921"/>
      <c r="H1896" s="896"/>
      <c r="I1896" s="916"/>
      <c r="J1896" s="909" t="s">
        <v>102</v>
      </c>
      <c r="K1896" s="922">
        <f>data!E3512</f>
        <v>1017.93</v>
      </c>
      <c r="L1896" s="923" t="s">
        <v>2309</v>
      </c>
      <c r="M1896" s="924">
        <f>ROUND(I1896*K1896,0)</f>
        <v>0</v>
      </c>
      <c r="N1896" s="900" t="s">
        <v>2309</v>
      </c>
    </row>
    <row r="1897" spans="1:14" ht="81.75" hidden="1" customHeight="1">
      <c r="A1897" s="896">
        <v>25</v>
      </c>
      <c r="B1897" s="1609" t="s">
        <v>2246</v>
      </c>
      <c r="C1897" s="1609"/>
      <c r="D1897" s="1609"/>
      <c r="E1897" s="1609"/>
      <c r="F1897" s="1609"/>
      <c r="G1897" s="1609"/>
      <c r="H1897" s="1609"/>
      <c r="I1897" s="897"/>
      <c r="J1897" s="898"/>
      <c r="K1897" s="896"/>
      <c r="L1897" s="923"/>
      <c r="M1897" s="899"/>
      <c r="N1897" s="900" t="s">
        <v>2209</v>
      </c>
    </row>
    <row r="1898" spans="1:14" s="910" customFormat="1" ht="16.5" hidden="1" customHeight="1">
      <c r="A1898" s="896"/>
      <c r="B1898" s="902" t="s">
        <v>3522</v>
      </c>
      <c r="C1898" s="903"/>
      <c r="D1898" s="904"/>
      <c r="E1898" s="905"/>
      <c r="F1898" s="906"/>
      <c r="G1898" s="906"/>
      <c r="H1898" s="907"/>
      <c r="I1898" s="908"/>
      <c r="J1898" s="955"/>
      <c r="K1898" s="902"/>
      <c r="L1898" s="896"/>
      <c r="M1898" s="902"/>
      <c r="N1898" s="900" t="s">
        <v>2209</v>
      </c>
    </row>
    <row r="1899" spans="1:14" s="910" customFormat="1" ht="16.5" hidden="1" customHeight="1">
      <c r="A1899" s="896"/>
      <c r="B1899" s="956" t="s">
        <v>1614</v>
      </c>
      <c r="C1899" s="957">
        <v>1</v>
      </c>
      <c r="D1899" s="958" t="s">
        <v>273</v>
      </c>
      <c r="E1899" s="1268">
        <v>2</v>
      </c>
      <c r="F1899" s="960">
        <v>1</v>
      </c>
      <c r="G1899" s="960">
        <v>0</v>
      </c>
      <c r="H1899" s="960">
        <v>1</v>
      </c>
      <c r="I1899" s="916">
        <f>ROUND(IF(AND(F1899:H1899),C1899*E1899*F1899*G1899*H1899,IF(AND(F1899,G1899),C1899*E1899*F1899*G1899,IF(AND(F1899,H1899),C1899*E1899*F1899*H1899,IF(AND(G1899,H1899),C1899*E1899*G1899*H1899,IF(F1899,C1899*E1899*F1899,IF(G1899,C1899*E1899*G1899,IF(H1899,C1899*E1899*H1899,C1899*E1899))))))),2)</f>
        <v>2</v>
      </c>
      <c r="J1899" s="955" t="s">
        <v>102</v>
      </c>
      <c r="K1899" s="902"/>
      <c r="L1899" s="896"/>
      <c r="M1899" s="902"/>
      <c r="N1899" s="900" t="s">
        <v>2209</v>
      </c>
    </row>
    <row r="1900" spans="1:14" s="910" customFormat="1" ht="16.5" hidden="1" customHeight="1">
      <c r="A1900" s="896"/>
      <c r="B1900" s="956" t="s">
        <v>1615</v>
      </c>
      <c r="C1900" s="957">
        <v>1</v>
      </c>
      <c r="D1900" s="958" t="s">
        <v>273</v>
      </c>
      <c r="E1900" s="1268">
        <v>2</v>
      </c>
      <c r="F1900" s="960">
        <v>3.15</v>
      </c>
      <c r="G1900" s="960">
        <v>0</v>
      </c>
      <c r="H1900" s="960">
        <v>1</v>
      </c>
      <c r="I1900" s="916">
        <f>ROUND(IF(AND(F1900:H1900),C1900*E1900*F1900*G1900*H1900,IF(AND(F1900,G1900),C1900*E1900*F1900*G1900,IF(AND(F1900,H1900),C1900*E1900*F1900*H1900,IF(AND(G1900,H1900),C1900*E1900*G1900*H1900,IF(F1900,C1900*E1900*F1900,IF(G1900,C1900*E1900*G1900,IF(H1900,C1900*E1900*H1900,C1900*E1900))))))),2)</f>
        <v>6.3</v>
      </c>
      <c r="J1900" s="955" t="s">
        <v>102</v>
      </c>
      <c r="K1900" s="902"/>
      <c r="L1900" s="896"/>
      <c r="M1900" s="902"/>
      <c r="N1900" s="900" t="s">
        <v>2209</v>
      </c>
    </row>
    <row r="1901" spans="1:14" s="910" customFormat="1" ht="16.5" hidden="1" customHeight="1">
      <c r="A1901" s="896"/>
      <c r="B1901" s="956" t="s">
        <v>1615</v>
      </c>
      <c r="C1901" s="957">
        <v>1</v>
      </c>
      <c r="D1901" s="958" t="s">
        <v>273</v>
      </c>
      <c r="E1901" s="1268">
        <v>2</v>
      </c>
      <c r="F1901" s="960">
        <v>2</v>
      </c>
      <c r="G1901" s="960">
        <v>0</v>
      </c>
      <c r="H1901" s="960">
        <v>1.9</v>
      </c>
      <c r="I1901" s="916">
        <f>ROUND(IF(AND(F1901:H1901),C1901*E1901*F1901*G1901*H1901,IF(AND(F1901,G1901),C1901*E1901*F1901*G1901,IF(AND(F1901,H1901),C1901*E1901*F1901*H1901,IF(AND(G1901,H1901),C1901*E1901*G1901*H1901,IF(F1901,C1901*E1901*F1901,IF(G1901,C1901*E1901*G1901,IF(H1901,C1901*E1901*H1901,C1901*E1901))))))),2)</f>
        <v>7.6</v>
      </c>
      <c r="J1901" s="955" t="s">
        <v>102</v>
      </c>
      <c r="K1901" s="902"/>
      <c r="L1901" s="896"/>
      <c r="M1901" s="902"/>
      <c r="N1901" s="900" t="s">
        <v>2209</v>
      </c>
    </row>
    <row r="1902" spans="1:14" s="910" customFormat="1" ht="16.5" hidden="1" customHeight="1">
      <c r="A1902" s="896"/>
      <c r="B1902" s="956"/>
      <c r="C1902" s="957"/>
      <c r="D1902" s="958"/>
      <c r="E1902" s="1268"/>
      <c r="F1902" s="960"/>
      <c r="G1902" s="960"/>
      <c r="H1902" s="960"/>
      <c r="I1902" s="916"/>
      <c r="J1902" s="909"/>
      <c r="K1902" s="902"/>
      <c r="L1902" s="896"/>
      <c r="M1902" s="902"/>
      <c r="N1902" s="900" t="s">
        <v>2209</v>
      </c>
    </row>
    <row r="1903" spans="1:14" ht="15.75" hidden="1">
      <c r="A1903" s="896"/>
      <c r="B1903" s="902"/>
      <c r="C1903" s="917"/>
      <c r="D1903" s="918"/>
      <c r="E1903" s="919"/>
      <c r="F1903" s="920"/>
      <c r="G1903" s="921"/>
      <c r="H1903" s="896"/>
      <c r="I1903" s="916"/>
      <c r="J1903" s="909" t="s">
        <v>102</v>
      </c>
      <c r="K1903" s="922">
        <f>data!G766</f>
        <v>489</v>
      </c>
      <c r="L1903" s="923" t="s">
        <v>2209</v>
      </c>
      <c r="M1903" s="924">
        <f>ROUND(I1903*K1903,0)</f>
        <v>0</v>
      </c>
      <c r="N1903" s="900" t="s">
        <v>2209</v>
      </c>
    </row>
    <row r="1904" spans="1:14" ht="81.75" hidden="1" customHeight="1">
      <c r="A1904" s="896">
        <v>25</v>
      </c>
      <c r="B1904" s="1609" t="s">
        <v>2246</v>
      </c>
      <c r="C1904" s="1609"/>
      <c r="D1904" s="1609"/>
      <c r="E1904" s="1609"/>
      <c r="F1904" s="1609"/>
      <c r="G1904" s="1609"/>
      <c r="H1904" s="1609"/>
      <c r="I1904" s="897"/>
      <c r="J1904" s="898"/>
      <c r="K1904" s="896"/>
      <c r="L1904" s="923"/>
      <c r="M1904" s="899"/>
      <c r="N1904" s="900" t="s">
        <v>2297</v>
      </c>
    </row>
    <row r="1905" spans="1:14" s="910" customFormat="1" ht="16.5" hidden="1" customHeight="1">
      <c r="A1905" s="896"/>
      <c r="B1905" s="902" t="s">
        <v>3522</v>
      </c>
      <c r="C1905" s="903"/>
      <c r="D1905" s="904"/>
      <c r="E1905" s="905"/>
      <c r="F1905" s="906"/>
      <c r="G1905" s="906"/>
      <c r="H1905" s="907"/>
      <c r="I1905" s="908"/>
      <c r="J1905" s="955"/>
      <c r="K1905" s="902"/>
      <c r="L1905" s="896"/>
      <c r="M1905" s="902"/>
      <c r="N1905" s="900" t="s">
        <v>2297</v>
      </c>
    </row>
    <row r="1906" spans="1:14" s="910" customFormat="1" ht="16.5" hidden="1" customHeight="1">
      <c r="A1906" s="896"/>
      <c r="B1906" s="956" t="s">
        <v>1614</v>
      </c>
      <c r="C1906" s="957">
        <v>1</v>
      </c>
      <c r="D1906" s="958" t="s">
        <v>273</v>
      </c>
      <c r="E1906" s="1268">
        <v>2</v>
      </c>
      <c r="F1906" s="960">
        <v>1</v>
      </c>
      <c r="G1906" s="960">
        <v>0</v>
      </c>
      <c r="H1906" s="960">
        <v>1</v>
      </c>
      <c r="I1906" s="916">
        <f>ROUND(IF(AND(F1906:H1906),C1906*E1906*F1906*G1906*H1906,IF(AND(F1906,G1906),C1906*E1906*F1906*G1906,IF(AND(F1906,H1906),C1906*E1906*F1906*H1906,IF(AND(G1906,H1906),C1906*E1906*G1906*H1906,IF(F1906,C1906*E1906*F1906,IF(G1906,C1906*E1906*G1906,IF(H1906,C1906*E1906*H1906,C1906*E1906))))))),2)</f>
        <v>2</v>
      </c>
      <c r="J1906" s="955" t="s">
        <v>102</v>
      </c>
      <c r="K1906" s="902"/>
      <c r="L1906" s="896"/>
      <c r="M1906" s="902"/>
      <c r="N1906" s="900" t="s">
        <v>2297</v>
      </c>
    </row>
    <row r="1907" spans="1:14" s="910" customFormat="1" ht="16.5" hidden="1" customHeight="1">
      <c r="A1907" s="896"/>
      <c r="B1907" s="956" t="s">
        <v>1615</v>
      </c>
      <c r="C1907" s="957">
        <v>1</v>
      </c>
      <c r="D1907" s="958" t="s">
        <v>273</v>
      </c>
      <c r="E1907" s="1268">
        <v>2</v>
      </c>
      <c r="F1907" s="960">
        <v>3.15</v>
      </c>
      <c r="G1907" s="960">
        <v>0</v>
      </c>
      <c r="H1907" s="960">
        <v>1</v>
      </c>
      <c r="I1907" s="916">
        <f>ROUND(IF(AND(F1907:H1907),C1907*E1907*F1907*G1907*H1907,IF(AND(F1907,G1907),C1907*E1907*F1907*G1907,IF(AND(F1907,H1907),C1907*E1907*F1907*H1907,IF(AND(G1907,H1907),C1907*E1907*G1907*H1907,IF(F1907,C1907*E1907*F1907,IF(G1907,C1907*E1907*G1907,IF(H1907,C1907*E1907*H1907,C1907*E1907))))))),2)</f>
        <v>6.3</v>
      </c>
      <c r="J1907" s="955" t="s">
        <v>102</v>
      </c>
      <c r="K1907" s="902"/>
      <c r="L1907" s="896"/>
      <c r="M1907" s="902"/>
      <c r="N1907" s="900" t="s">
        <v>2297</v>
      </c>
    </row>
    <row r="1908" spans="1:14" s="910" customFormat="1" ht="16.5" hidden="1" customHeight="1">
      <c r="A1908" s="896"/>
      <c r="B1908" s="956" t="s">
        <v>1615</v>
      </c>
      <c r="C1908" s="957">
        <v>1</v>
      </c>
      <c r="D1908" s="958" t="s">
        <v>273</v>
      </c>
      <c r="E1908" s="1268">
        <v>2</v>
      </c>
      <c r="F1908" s="960">
        <v>2</v>
      </c>
      <c r="G1908" s="960">
        <v>0</v>
      </c>
      <c r="H1908" s="960">
        <v>1.9</v>
      </c>
      <c r="I1908" s="916">
        <f>ROUND(IF(AND(F1908:H1908),C1908*E1908*F1908*G1908*H1908,IF(AND(F1908,G1908),C1908*E1908*F1908*G1908,IF(AND(F1908,H1908),C1908*E1908*F1908*H1908,IF(AND(G1908,H1908),C1908*E1908*G1908*H1908,IF(F1908,C1908*E1908*F1908,IF(G1908,C1908*E1908*G1908,IF(H1908,C1908*E1908*H1908,C1908*E1908))))))),2)</f>
        <v>7.6</v>
      </c>
      <c r="J1908" s="955" t="s">
        <v>102</v>
      </c>
      <c r="K1908" s="902"/>
      <c r="L1908" s="896"/>
      <c r="M1908" s="902"/>
      <c r="N1908" s="900" t="s">
        <v>2297</v>
      </c>
    </row>
    <row r="1909" spans="1:14" s="910" customFormat="1" ht="16.5" hidden="1" customHeight="1">
      <c r="A1909" s="896"/>
      <c r="B1909" s="956"/>
      <c r="C1909" s="957"/>
      <c r="D1909" s="958"/>
      <c r="E1909" s="1268"/>
      <c r="F1909" s="960"/>
      <c r="G1909" s="960"/>
      <c r="H1909" s="960"/>
      <c r="I1909" s="916"/>
      <c r="J1909" s="909"/>
      <c r="K1909" s="902"/>
      <c r="L1909" s="896"/>
      <c r="M1909" s="902"/>
      <c r="N1909" s="900" t="s">
        <v>2297</v>
      </c>
    </row>
    <row r="1910" spans="1:14" ht="15.75" hidden="1">
      <c r="A1910" s="896"/>
      <c r="B1910" s="902"/>
      <c r="C1910" s="917"/>
      <c r="D1910" s="918"/>
      <c r="E1910" s="919"/>
      <c r="F1910" s="920"/>
      <c r="G1910" s="921"/>
      <c r="H1910" s="896"/>
      <c r="I1910" s="916"/>
      <c r="J1910" s="909" t="s">
        <v>102</v>
      </c>
      <c r="K1910" s="922">
        <f>data!G1683</f>
        <v>489</v>
      </c>
      <c r="L1910" s="923" t="s">
        <v>2297</v>
      </c>
      <c r="M1910" s="924">
        <f>ROUND(I1910*K1910,0)</f>
        <v>0</v>
      </c>
      <c r="N1910" s="900" t="s">
        <v>2297</v>
      </c>
    </row>
    <row r="1911" spans="1:14" ht="81.75" hidden="1" customHeight="1">
      <c r="A1911" s="896">
        <v>25</v>
      </c>
      <c r="B1911" s="1609" t="s">
        <v>2246</v>
      </c>
      <c r="C1911" s="1609"/>
      <c r="D1911" s="1609"/>
      <c r="E1911" s="1609"/>
      <c r="F1911" s="1609"/>
      <c r="G1911" s="1609"/>
      <c r="H1911" s="1609"/>
      <c r="I1911" s="897"/>
      <c r="J1911" s="898"/>
      <c r="K1911" s="896"/>
      <c r="L1911" s="923"/>
      <c r="M1911" s="899"/>
      <c r="N1911" s="900" t="s">
        <v>2308</v>
      </c>
    </row>
    <row r="1912" spans="1:14" s="910" customFormat="1" ht="16.5" hidden="1" customHeight="1">
      <c r="A1912" s="896"/>
      <c r="B1912" s="902" t="s">
        <v>3522</v>
      </c>
      <c r="C1912" s="903"/>
      <c r="D1912" s="904"/>
      <c r="E1912" s="905"/>
      <c r="F1912" s="906"/>
      <c r="G1912" s="906"/>
      <c r="H1912" s="907"/>
      <c r="I1912" s="908"/>
      <c r="J1912" s="955"/>
      <c r="K1912" s="902"/>
      <c r="L1912" s="896"/>
      <c r="M1912" s="902"/>
      <c r="N1912" s="900" t="s">
        <v>2308</v>
      </c>
    </row>
    <row r="1913" spans="1:14" s="910" customFormat="1" ht="16.5" hidden="1" customHeight="1">
      <c r="A1913" s="896"/>
      <c r="B1913" s="956" t="s">
        <v>1614</v>
      </c>
      <c r="C1913" s="957">
        <v>1</v>
      </c>
      <c r="D1913" s="958" t="s">
        <v>273</v>
      </c>
      <c r="E1913" s="1268">
        <v>2</v>
      </c>
      <c r="F1913" s="960">
        <v>1</v>
      </c>
      <c r="G1913" s="960">
        <v>0</v>
      </c>
      <c r="H1913" s="960">
        <v>1</v>
      </c>
      <c r="I1913" s="916">
        <f>ROUND(IF(AND(F1913:H1913),C1913*E1913*F1913*G1913*H1913,IF(AND(F1913,G1913),C1913*E1913*F1913*G1913,IF(AND(F1913,H1913),C1913*E1913*F1913*H1913,IF(AND(G1913,H1913),C1913*E1913*G1913*H1913,IF(F1913,C1913*E1913*F1913,IF(G1913,C1913*E1913*G1913,IF(H1913,C1913*E1913*H1913,C1913*E1913))))))),2)</f>
        <v>2</v>
      </c>
      <c r="J1913" s="955" t="s">
        <v>102</v>
      </c>
      <c r="K1913" s="902"/>
      <c r="L1913" s="896"/>
      <c r="M1913" s="902"/>
      <c r="N1913" s="900" t="s">
        <v>2308</v>
      </c>
    </row>
    <row r="1914" spans="1:14" s="910" customFormat="1" ht="16.5" hidden="1" customHeight="1">
      <c r="A1914" s="896"/>
      <c r="B1914" s="956" t="s">
        <v>1615</v>
      </c>
      <c r="C1914" s="957">
        <v>1</v>
      </c>
      <c r="D1914" s="958" t="s">
        <v>273</v>
      </c>
      <c r="E1914" s="1268">
        <v>2</v>
      </c>
      <c r="F1914" s="960">
        <v>3.15</v>
      </c>
      <c r="G1914" s="960">
        <v>0</v>
      </c>
      <c r="H1914" s="960">
        <v>1</v>
      </c>
      <c r="I1914" s="916">
        <f>ROUND(IF(AND(F1914:H1914),C1914*E1914*F1914*G1914*H1914,IF(AND(F1914,G1914),C1914*E1914*F1914*G1914,IF(AND(F1914,H1914),C1914*E1914*F1914*H1914,IF(AND(G1914,H1914),C1914*E1914*G1914*H1914,IF(F1914,C1914*E1914*F1914,IF(G1914,C1914*E1914*G1914,IF(H1914,C1914*E1914*H1914,C1914*E1914))))))),2)</f>
        <v>6.3</v>
      </c>
      <c r="J1914" s="955" t="s">
        <v>102</v>
      </c>
      <c r="K1914" s="902"/>
      <c r="L1914" s="896"/>
      <c r="M1914" s="902"/>
      <c r="N1914" s="900" t="s">
        <v>2308</v>
      </c>
    </row>
    <row r="1915" spans="1:14" s="910" customFormat="1" ht="16.5" hidden="1" customHeight="1">
      <c r="A1915" s="896"/>
      <c r="B1915" s="956" t="s">
        <v>1615</v>
      </c>
      <c r="C1915" s="957">
        <v>1</v>
      </c>
      <c r="D1915" s="958" t="s">
        <v>273</v>
      </c>
      <c r="E1915" s="1268">
        <v>2</v>
      </c>
      <c r="F1915" s="960">
        <v>2</v>
      </c>
      <c r="G1915" s="960">
        <v>0</v>
      </c>
      <c r="H1915" s="960">
        <v>1.9</v>
      </c>
      <c r="I1915" s="916">
        <f>ROUND(IF(AND(F1915:H1915),C1915*E1915*F1915*G1915*H1915,IF(AND(F1915,G1915),C1915*E1915*F1915*G1915,IF(AND(F1915,H1915),C1915*E1915*F1915*H1915,IF(AND(G1915,H1915),C1915*E1915*G1915*H1915,IF(F1915,C1915*E1915*F1915,IF(G1915,C1915*E1915*G1915,IF(H1915,C1915*E1915*H1915,C1915*E1915))))))),2)</f>
        <v>7.6</v>
      </c>
      <c r="J1915" s="955" t="s">
        <v>102</v>
      </c>
      <c r="K1915" s="902"/>
      <c r="L1915" s="896"/>
      <c r="M1915" s="902"/>
      <c r="N1915" s="900" t="s">
        <v>2308</v>
      </c>
    </row>
    <row r="1916" spans="1:14" s="910" customFormat="1" ht="16.5" hidden="1" customHeight="1">
      <c r="A1916" s="896"/>
      <c r="B1916" s="956"/>
      <c r="C1916" s="957"/>
      <c r="D1916" s="958"/>
      <c r="E1916" s="1268"/>
      <c r="F1916" s="960"/>
      <c r="G1916" s="960"/>
      <c r="H1916" s="960"/>
      <c r="I1916" s="916"/>
      <c r="J1916" s="909"/>
      <c r="K1916" s="902"/>
      <c r="L1916" s="896"/>
      <c r="M1916" s="902"/>
      <c r="N1916" s="900" t="s">
        <v>2308</v>
      </c>
    </row>
    <row r="1917" spans="1:14" ht="15.75" hidden="1">
      <c r="A1917" s="896"/>
      <c r="B1917" s="902"/>
      <c r="C1917" s="917"/>
      <c r="D1917" s="918"/>
      <c r="E1917" s="919"/>
      <c r="F1917" s="920"/>
      <c r="G1917" s="921"/>
      <c r="H1917" s="896"/>
      <c r="I1917" s="916"/>
      <c r="J1917" s="909" t="s">
        <v>102</v>
      </c>
      <c r="K1917" s="922">
        <f>data!G2600</f>
        <v>510</v>
      </c>
      <c r="L1917" s="923" t="s">
        <v>2308</v>
      </c>
      <c r="M1917" s="924">
        <f>ROUND(I1917*K1917,0)</f>
        <v>0</v>
      </c>
      <c r="N1917" s="900" t="s">
        <v>2308</v>
      </c>
    </row>
    <row r="1918" spans="1:14" ht="81.75" hidden="1" customHeight="1">
      <c r="A1918" s="896">
        <v>25</v>
      </c>
      <c r="B1918" s="1609" t="s">
        <v>2246</v>
      </c>
      <c r="C1918" s="1609"/>
      <c r="D1918" s="1609"/>
      <c r="E1918" s="1609"/>
      <c r="F1918" s="1609"/>
      <c r="G1918" s="1609"/>
      <c r="H1918" s="1609"/>
      <c r="I1918" s="897"/>
      <c r="J1918" s="898"/>
      <c r="K1918" s="896"/>
      <c r="L1918" s="923"/>
      <c r="M1918" s="899"/>
      <c r="N1918" s="900" t="s">
        <v>2309</v>
      </c>
    </row>
    <row r="1919" spans="1:14" s="910" customFormat="1" ht="16.5" hidden="1" customHeight="1">
      <c r="A1919" s="896"/>
      <c r="B1919" s="902" t="s">
        <v>3522</v>
      </c>
      <c r="C1919" s="903"/>
      <c r="D1919" s="904"/>
      <c r="E1919" s="905"/>
      <c r="F1919" s="906"/>
      <c r="G1919" s="906"/>
      <c r="H1919" s="907"/>
      <c r="I1919" s="908"/>
      <c r="J1919" s="955"/>
      <c r="K1919" s="902"/>
      <c r="L1919" s="896"/>
      <c r="M1919" s="902"/>
      <c r="N1919" s="900" t="s">
        <v>2309</v>
      </c>
    </row>
    <row r="1920" spans="1:14" s="910" customFormat="1" ht="16.5" hidden="1" customHeight="1">
      <c r="A1920" s="896"/>
      <c r="B1920" s="956" t="s">
        <v>1614</v>
      </c>
      <c r="C1920" s="957">
        <v>1</v>
      </c>
      <c r="D1920" s="958" t="s">
        <v>273</v>
      </c>
      <c r="E1920" s="1268">
        <v>2</v>
      </c>
      <c r="F1920" s="960">
        <v>1</v>
      </c>
      <c r="G1920" s="960">
        <v>0</v>
      </c>
      <c r="H1920" s="960">
        <v>1</v>
      </c>
      <c r="I1920" s="916">
        <f>ROUND(IF(AND(F1920:H1920),C1920*E1920*F1920*G1920*H1920,IF(AND(F1920,G1920),C1920*E1920*F1920*G1920,IF(AND(F1920,H1920),C1920*E1920*F1920*H1920,IF(AND(G1920,H1920),C1920*E1920*G1920*H1920,IF(F1920,C1920*E1920*F1920,IF(G1920,C1920*E1920*G1920,IF(H1920,C1920*E1920*H1920,C1920*E1920))))))),2)</f>
        <v>2</v>
      </c>
      <c r="J1920" s="955" t="s">
        <v>102</v>
      </c>
      <c r="K1920" s="902"/>
      <c r="L1920" s="896"/>
      <c r="M1920" s="902"/>
      <c r="N1920" s="900" t="s">
        <v>2309</v>
      </c>
    </row>
    <row r="1921" spans="1:14" s="910" customFormat="1" ht="16.5" hidden="1" customHeight="1">
      <c r="A1921" s="896"/>
      <c r="B1921" s="956" t="s">
        <v>1615</v>
      </c>
      <c r="C1921" s="957">
        <v>1</v>
      </c>
      <c r="D1921" s="958" t="s">
        <v>273</v>
      </c>
      <c r="E1921" s="1268">
        <v>2</v>
      </c>
      <c r="F1921" s="960">
        <v>3.15</v>
      </c>
      <c r="G1921" s="960">
        <v>0</v>
      </c>
      <c r="H1921" s="960">
        <v>1</v>
      </c>
      <c r="I1921" s="916">
        <f>ROUND(IF(AND(F1921:H1921),C1921*E1921*F1921*G1921*H1921,IF(AND(F1921,G1921),C1921*E1921*F1921*G1921,IF(AND(F1921,H1921),C1921*E1921*F1921*H1921,IF(AND(G1921,H1921),C1921*E1921*G1921*H1921,IF(F1921,C1921*E1921*F1921,IF(G1921,C1921*E1921*G1921,IF(H1921,C1921*E1921*H1921,C1921*E1921))))))),2)</f>
        <v>6.3</v>
      </c>
      <c r="J1921" s="955" t="s">
        <v>102</v>
      </c>
      <c r="K1921" s="902"/>
      <c r="L1921" s="896"/>
      <c r="M1921" s="902"/>
      <c r="N1921" s="900" t="s">
        <v>2309</v>
      </c>
    </row>
    <row r="1922" spans="1:14" s="910" customFormat="1" ht="16.5" hidden="1" customHeight="1">
      <c r="A1922" s="896"/>
      <c r="B1922" s="956" t="s">
        <v>1615</v>
      </c>
      <c r="C1922" s="957">
        <v>1</v>
      </c>
      <c r="D1922" s="958" t="s">
        <v>273</v>
      </c>
      <c r="E1922" s="1268">
        <v>2</v>
      </c>
      <c r="F1922" s="960">
        <v>2</v>
      </c>
      <c r="G1922" s="960">
        <v>0</v>
      </c>
      <c r="H1922" s="960">
        <v>1.9</v>
      </c>
      <c r="I1922" s="916">
        <f>ROUND(IF(AND(F1922:H1922),C1922*E1922*F1922*G1922*H1922,IF(AND(F1922,G1922),C1922*E1922*F1922*G1922,IF(AND(F1922,H1922),C1922*E1922*F1922*H1922,IF(AND(G1922,H1922),C1922*E1922*G1922*H1922,IF(F1922,C1922*E1922*F1922,IF(G1922,C1922*E1922*G1922,IF(H1922,C1922*E1922*H1922,C1922*E1922))))))),2)</f>
        <v>7.6</v>
      </c>
      <c r="J1922" s="955" t="s">
        <v>102</v>
      </c>
      <c r="K1922" s="902"/>
      <c r="L1922" s="896"/>
      <c r="M1922" s="902"/>
      <c r="N1922" s="900" t="s">
        <v>2309</v>
      </c>
    </row>
    <row r="1923" spans="1:14" s="910" customFormat="1" ht="16.5" hidden="1" customHeight="1">
      <c r="A1923" s="896"/>
      <c r="B1923" s="956"/>
      <c r="C1923" s="957"/>
      <c r="D1923" s="958"/>
      <c r="E1923" s="1268"/>
      <c r="F1923" s="960"/>
      <c r="G1923" s="960"/>
      <c r="H1923" s="960"/>
      <c r="I1923" s="916"/>
      <c r="J1923" s="909"/>
      <c r="K1923" s="902"/>
      <c r="L1923" s="896"/>
      <c r="M1923" s="902"/>
      <c r="N1923" s="900" t="s">
        <v>2309</v>
      </c>
    </row>
    <row r="1924" spans="1:14" ht="15.75" hidden="1">
      <c r="A1924" s="896"/>
      <c r="B1924" s="902"/>
      <c r="C1924" s="917"/>
      <c r="D1924" s="918"/>
      <c r="E1924" s="919"/>
      <c r="F1924" s="920"/>
      <c r="G1924" s="921"/>
      <c r="H1924" s="896"/>
      <c r="I1924" s="916"/>
      <c r="J1924" s="909" t="s">
        <v>102</v>
      </c>
      <c r="K1924" s="922">
        <f>data!G3517</f>
        <v>610</v>
      </c>
      <c r="L1924" s="923" t="s">
        <v>2309</v>
      </c>
      <c r="M1924" s="924">
        <f>ROUND(I1924*K1924,0)</f>
        <v>0</v>
      </c>
      <c r="N1924" s="900" t="s">
        <v>2309</v>
      </c>
    </row>
    <row r="1925" spans="1:14" ht="96" hidden="1" customHeight="1">
      <c r="A1925" s="896">
        <v>25</v>
      </c>
      <c r="B1925" s="1609" t="s">
        <v>2250</v>
      </c>
      <c r="C1925" s="1609"/>
      <c r="D1925" s="1609"/>
      <c r="E1925" s="1609"/>
      <c r="F1925" s="1609"/>
      <c r="G1925" s="1609"/>
      <c r="H1925" s="1609"/>
      <c r="I1925" s="897"/>
      <c r="J1925" s="898"/>
      <c r="K1925" s="896"/>
      <c r="L1925" s="923"/>
      <c r="M1925" s="899"/>
      <c r="N1925" s="900" t="s">
        <v>2209</v>
      </c>
    </row>
    <row r="1926" spans="1:14" s="910" customFormat="1" ht="16.5" hidden="1" customHeight="1">
      <c r="A1926" s="896"/>
      <c r="B1926" s="902" t="s">
        <v>3522</v>
      </c>
      <c r="C1926" s="903"/>
      <c r="D1926" s="904"/>
      <c r="E1926" s="905"/>
      <c r="F1926" s="906"/>
      <c r="G1926" s="906"/>
      <c r="H1926" s="907"/>
      <c r="I1926" s="908"/>
      <c r="J1926" s="955"/>
      <c r="K1926" s="902"/>
      <c r="L1926" s="896"/>
      <c r="M1926" s="902"/>
      <c r="N1926" s="900" t="s">
        <v>2209</v>
      </c>
    </row>
    <row r="1927" spans="1:14" s="910" customFormat="1" ht="16.5" hidden="1" customHeight="1">
      <c r="A1927" s="896"/>
      <c r="B1927" s="956" t="s">
        <v>1614</v>
      </c>
      <c r="C1927" s="957">
        <v>1</v>
      </c>
      <c r="D1927" s="958" t="s">
        <v>273</v>
      </c>
      <c r="E1927" s="1268">
        <v>2</v>
      </c>
      <c r="F1927" s="960">
        <v>1</v>
      </c>
      <c r="G1927" s="960">
        <v>0</v>
      </c>
      <c r="H1927" s="960">
        <v>1</v>
      </c>
      <c r="I1927" s="916">
        <f>ROUND(IF(AND(F1927:H1927),C1927*E1927*F1927*G1927*H1927,IF(AND(F1927,G1927),C1927*E1927*F1927*G1927,IF(AND(F1927,H1927),C1927*E1927*F1927*H1927,IF(AND(G1927,H1927),C1927*E1927*G1927*H1927,IF(F1927,C1927*E1927*F1927,IF(G1927,C1927*E1927*G1927,IF(H1927,C1927*E1927*H1927,C1927*E1927))))))),2)</f>
        <v>2</v>
      </c>
      <c r="J1927" s="955" t="s">
        <v>102</v>
      </c>
      <c r="K1927" s="902"/>
      <c r="L1927" s="896"/>
      <c r="M1927" s="902"/>
      <c r="N1927" s="900" t="s">
        <v>2209</v>
      </c>
    </row>
    <row r="1928" spans="1:14" s="910" customFormat="1" ht="16.5" hidden="1" customHeight="1">
      <c r="A1928" s="896"/>
      <c r="B1928" s="956" t="s">
        <v>1615</v>
      </c>
      <c r="C1928" s="957">
        <v>1</v>
      </c>
      <c r="D1928" s="958" t="s">
        <v>273</v>
      </c>
      <c r="E1928" s="1268">
        <v>2</v>
      </c>
      <c r="F1928" s="960">
        <v>3.15</v>
      </c>
      <c r="G1928" s="960">
        <v>0</v>
      </c>
      <c r="H1928" s="960">
        <v>1</v>
      </c>
      <c r="I1928" s="916">
        <f>ROUND(IF(AND(F1928:H1928),C1928*E1928*F1928*G1928*H1928,IF(AND(F1928,G1928),C1928*E1928*F1928*G1928,IF(AND(F1928,H1928),C1928*E1928*F1928*H1928,IF(AND(G1928,H1928),C1928*E1928*G1928*H1928,IF(F1928,C1928*E1928*F1928,IF(G1928,C1928*E1928*G1928,IF(H1928,C1928*E1928*H1928,C1928*E1928))))))),2)</f>
        <v>6.3</v>
      </c>
      <c r="J1928" s="955" t="s">
        <v>102</v>
      </c>
      <c r="K1928" s="902"/>
      <c r="L1928" s="896"/>
      <c r="M1928" s="902"/>
      <c r="N1928" s="900" t="s">
        <v>2209</v>
      </c>
    </row>
    <row r="1929" spans="1:14" s="910" customFormat="1" ht="16.5" hidden="1" customHeight="1">
      <c r="A1929" s="896"/>
      <c r="B1929" s="956" t="s">
        <v>1615</v>
      </c>
      <c r="C1929" s="957">
        <v>1</v>
      </c>
      <c r="D1929" s="958" t="s">
        <v>273</v>
      </c>
      <c r="E1929" s="1268">
        <v>2</v>
      </c>
      <c r="F1929" s="960">
        <v>2</v>
      </c>
      <c r="G1929" s="960">
        <v>0</v>
      </c>
      <c r="H1929" s="960">
        <v>1.9</v>
      </c>
      <c r="I1929" s="916">
        <f>ROUND(IF(AND(F1929:H1929),C1929*E1929*F1929*G1929*H1929,IF(AND(F1929,G1929),C1929*E1929*F1929*G1929,IF(AND(F1929,H1929),C1929*E1929*F1929*H1929,IF(AND(G1929,H1929),C1929*E1929*G1929*H1929,IF(F1929,C1929*E1929*F1929,IF(G1929,C1929*E1929*G1929,IF(H1929,C1929*E1929*H1929,C1929*E1929))))))),2)</f>
        <v>7.6</v>
      </c>
      <c r="J1929" s="955" t="s">
        <v>102</v>
      </c>
      <c r="K1929" s="902"/>
      <c r="L1929" s="896"/>
      <c r="M1929" s="902"/>
      <c r="N1929" s="900" t="s">
        <v>2209</v>
      </c>
    </row>
    <row r="1930" spans="1:14" s="910" customFormat="1" ht="16.5" hidden="1" customHeight="1">
      <c r="A1930" s="896"/>
      <c r="B1930" s="956"/>
      <c r="C1930" s="957"/>
      <c r="D1930" s="958"/>
      <c r="E1930" s="1268"/>
      <c r="F1930" s="960"/>
      <c r="G1930" s="960"/>
      <c r="H1930" s="960"/>
      <c r="I1930" s="916"/>
      <c r="J1930" s="909"/>
      <c r="K1930" s="902"/>
      <c r="L1930" s="896"/>
      <c r="M1930" s="902"/>
      <c r="N1930" s="900" t="s">
        <v>2209</v>
      </c>
    </row>
    <row r="1931" spans="1:14" ht="15.75" hidden="1">
      <c r="A1931" s="896"/>
      <c r="B1931" s="902"/>
      <c r="C1931" s="917"/>
      <c r="D1931" s="918"/>
      <c r="E1931" s="919"/>
      <c r="F1931" s="920"/>
      <c r="G1931" s="921"/>
      <c r="H1931" s="896"/>
      <c r="I1931" s="916"/>
      <c r="J1931" s="909" t="s">
        <v>102</v>
      </c>
      <c r="K1931" s="922">
        <f>data!E782</f>
        <v>288.70999999999998</v>
      </c>
      <c r="L1931" s="923" t="s">
        <v>2209</v>
      </c>
      <c r="M1931" s="924">
        <f>ROUND(I1931*K1931,0)</f>
        <v>0</v>
      </c>
      <c r="N1931" s="900" t="s">
        <v>2209</v>
      </c>
    </row>
    <row r="1932" spans="1:14" ht="96" hidden="1" customHeight="1">
      <c r="A1932" s="896">
        <v>25</v>
      </c>
      <c r="B1932" s="1609" t="s">
        <v>2250</v>
      </c>
      <c r="C1932" s="1609"/>
      <c r="D1932" s="1609"/>
      <c r="E1932" s="1609"/>
      <c r="F1932" s="1609"/>
      <c r="G1932" s="1609"/>
      <c r="H1932" s="1609"/>
      <c r="I1932" s="897"/>
      <c r="J1932" s="898"/>
      <c r="K1932" s="896"/>
      <c r="L1932" s="923"/>
      <c r="M1932" s="899"/>
      <c r="N1932" s="900" t="s">
        <v>2297</v>
      </c>
    </row>
    <row r="1933" spans="1:14" s="910" customFormat="1" ht="16.5" hidden="1" customHeight="1">
      <c r="A1933" s="896"/>
      <c r="B1933" s="902" t="s">
        <v>3522</v>
      </c>
      <c r="C1933" s="903"/>
      <c r="D1933" s="904"/>
      <c r="E1933" s="905"/>
      <c r="F1933" s="906"/>
      <c r="G1933" s="906"/>
      <c r="H1933" s="907"/>
      <c r="I1933" s="908"/>
      <c r="J1933" s="955"/>
      <c r="K1933" s="902"/>
      <c r="L1933" s="896"/>
      <c r="M1933" s="902"/>
      <c r="N1933" s="900" t="s">
        <v>2297</v>
      </c>
    </row>
    <row r="1934" spans="1:14" s="910" customFormat="1" ht="16.5" hidden="1" customHeight="1">
      <c r="A1934" s="896"/>
      <c r="B1934" s="956" t="s">
        <v>1614</v>
      </c>
      <c r="C1934" s="957">
        <v>1</v>
      </c>
      <c r="D1934" s="958" t="s">
        <v>273</v>
      </c>
      <c r="E1934" s="1268">
        <v>2</v>
      </c>
      <c r="F1934" s="960">
        <v>1</v>
      </c>
      <c r="G1934" s="960">
        <v>0</v>
      </c>
      <c r="H1934" s="960">
        <v>1</v>
      </c>
      <c r="I1934" s="916">
        <f>ROUND(IF(AND(F1934:H1934),C1934*E1934*F1934*G1934*H1934,IF(AND(F1934,G1934),C1934*E1934*F1934*G1934,IF(AND(F1934,H1934),C1934*E1934*F1934*H1934,IF(AND(G1934,H1934),C1934*E1934*G1934*H1934,IF(F1934,C1934*E1934*F1934,IF(G1934,C1934*E1934*G1934,IF(H1934,C1934*E1934*H1934,C1934*E1934))))))),2)</f>
        <v>2</v>
      </c>
      <c r="J1934" s="955" t="s">
        <v>102</v>
      </c>
      <c r="K1934" s="902"/>
      <c r="L1934" s="896"/>
      <c r="M1934" s="902"/>
      <c r="N1934" s="900" t="s">
        <v>2297</v>
      </c>
    </row>
    <row r="1935" spans="1:14" s="910" customFormat="1" ht="16.5" hidden="1" customHeight="1">
      <c r="A1935" s="896"/>
      <c r="B1935" s="956" t="s">
        <v>1615</v>
      </c>
      <c r="C1935" s="957">
        <v>1</v>
      </c>
      <c r="D1935" s="958" t="s">
        <v>273</v>
      </c>
      <c r="E1935" s="1268">
        <v>2</v>
      </c>
      <c r="F1935" s="960">
        <v>3.15</v>
      </c>
      <c r="G1935" s="960">
        <v>0</v>
      </c>
      <c r="H1935" s="960">
        <v>1</v>
      </c>
      <c r="I1935" s="916">
        <f>ROUND(IF(AND(F1935:H1935),C1935*E1935*F1935*G1935*H1935,IF(AND(F1935,G1935),C1935*E1935*F1935*G1935,IF(AND(F1935,H1935),C1935*E1935*F1935*H1935,IF(AND(G1935,H1935),C1935*E1935*G1935*H1935,IF(F1935,C1935*E1935*F1935,IF(G1935,C1935*E1935*G1935,IF(H1935,C1935*E1935*H1935,C1935*E1935))))))),2)</f>
        <v>6.3</v>
      </c>
      <c r="J1935" s="955" t="s">
        <v>102</v>
      </c>
      <c r="K1935" s="902"/>
      <c r="L1935" s="896"/>
      <c r="M1935" s="902"/>
      <c r="N1935" s="900" t="s">
        <v>2297</v>
      </c>
    </row>
    <row r="1936" spans="1:14" s="910" customFormat="1" ht="16.5" hidden="1" customHeight="1">
      <c r="A1936" s="896"/>
      <c r="B1936" s="956" t="s">
        <v>1615</v>
      </c>
      <c r="C1936" s="957">
        <v>1</v>
      </c>
      <c r="D1936" s="958" t="s">
        <v>273</v>
      </c>
      <c r="E1936" s="1268">
        <v>2</v>
      </c>
      <c r="F1936" s="960">
        <v>2</v>
      </c>
      <c r="G1936" s="960">
        <v>0</v>
      </c>
      <c r="H1936" s="960">
        <v>1.9</v>
      </c>
      <c r="I1936" s="916">
        <f>ROUND(IF(AND(F1936:H1936),C1936*E1936*F1936*G1936*H1936,IF(AND(F1936,G1936),C1936*E1936*F1936*G1936,IF(AND(F1936,H1936),C1936*E1936*F1936*H1936,IF(AND(G1936,H1936),C1936*E1936*G1936*H1936,IF(F1936,C1936*E1936*F1936,IF(G1936,C1936*E1936*G1936,IF(H1936,C1936*E1936*H1936,C1936*E1936))))))),2)</f>
        <v>7.6</v>
      </c>
      <c r="J1936" s="955" t="s">
        <v>102</v>
      </c>
      <c r="K1936" s="902"/>
      <c r="L1936" s="896"/>
      <c r="M1936" s="902"/>
      <c r="N1936" s="900" t="s">
        <v>2297</v>
      </c>
    </row>
    <row r="1937" spans="1:14" s="910" customFormat="1" ht="16.5" hidden="1" customHeight="1">
      <c r="A1937" s="896"/>
      <c r="B1937" s="956"/>
      <c r="C1937" s="957"/>
      <c r="D1937" s="958"/>
      <c r="E1937" s="1268"/>
      <c r="F1937" s="960"/>
      <c r="G1937" s="960"/>
      <c r="H1937" s="960"/>
      <c r="I1937" s="916"/>
      <c r="J1937" s="909"/>
      <c r="K1937" s="902"/>
      <c r="L1937" s="896"/>
      <c r="M1937" s="902"/>
      <c r="N1937" s="900" t="s">
        <v>2297</v>
      </c>
    </row>
    <row r="1938" spans="1:14" ht="15.75" hidden="1">
      <c r="A1938" s="896"/>
      <c r="B1938" s="902"/>
      <c r="C1938" s="917"/>
      <c r="D1938" s="918"/>
      <c r="E1938" s="919"/>
      <c r="F1938" s="920"/>
      <c r="G1938" s="921"/>
      <c r="H1938" s="896"/>
      <c r="I1938" s="916"/>
      <c r="J1938" s="909" t="s">
        <v>102</v>
      </c>
      <c r="K1938" s="922">
        <f>data!E1699</f>
        <v>309.07</v>
      </c>
      <c r="L1938" s="923" t="s">
        <v>2297</v>
      </c>
      <c r="M1938" s="924">
        <f>ROUND(I1938*K1938,0)</f>
        <v>0</v>
      </c>
      <c r="N1938" s="900" t="s">
        <v>2297</v>
      </c>
    </row>
    <row r="1939" spans="1:14" ht="96" hidden="1" customHeight="1">
      <c r="A1939" s="896">
        <v>25</v>
      </c>
      <c r="B1939" s="1609" t="s">
        <v>2250</v>
      </c>
      <c r="C1939" s="1609"/>
      <c r="D1939" s="1609"/>
      <c r="E1939" s="1609"/>
      <c r="F1939" s="1609"/>
      <c r="G1939" s="1609"/>
      <c r="H1939" s="1609"/>
      <c r="I1939" s="897"/>
      <c r="J1939" s="898"/>
      <c r="K1939" s="896"/>
      <c r="L1939" s="923"/>
      <c r="M1939" s="899"/>
      <c r="N1939" s="900" t="s">
        <v>2308</v>
      </c>
    </row>
    <row r="1940" spans="1:14" s="910" customFormat="1" ht="16.5" hidden="1" customHeight="1">
      <c r="A1940" s="896"/>
      <c r="B1940" s="902" t="s">
        <v>3522</v>
      </c>
      <c r="C1940" s="903"/>
      <c r="D1940" s="904"/>
      <c r="E1940" s="905"/>
      <c r="F1940" s="906"/>
      <c r="G1940" s="906"/>
      <c r="H1940" s="907"/>
      <c r="I1940" s="908"/>
      <c r="J1940" s="955"/>
      <c r="K1940" s="902"/>
      <c r="L1940" s="896"/>
      <c r="M1940" s="902"/>
      <c r="N1940" s="900" t="s">
        <v>2308</v>
      </c>
    </row>
    <row r="1941" spans="1:14" s="910" customFormat="1" ht="16.5" hidden="1" customHeight="1">
      <c r="A1941" s="896"/>
      <c r="B1941" s="956" t="s">
        <v>1614</v>
      </c>
      <c r="C1941" s="957">
        <v>1</v>
      </c>
      <c r="D1941" s="958" t="s">
        <v>273</v>
      </c>
      <c r="E1941" s="1268">
        <v>2</v>
      </c>
      <c r="F1941" s="960">
        <v>1</v>
      </c>
      <c r="G1941" s="960">
        <v>0</v>
      </c>
      <c r="H1941" s="960">
        <v>1</v>
      </c>
      <c r="I1941" s="916">
        <f>ROUND(IF(AND(F1941:H1941),C1941*E1941*F1941*G1941*H1941,IF(AND(F1941,G1941),C1941*E1941*F1941*G1941,IF(AND(F1941,H1941),C1941*E1941*F1941*H1941,IF(AND(G1941,H1941),C1941*E1941*G1941*H1941,IF(F1941,C1941*E1941*F1941,IF(G1941,C1941*E1941*G1941,IF(H1941,C1941*E1941*H1941,C1941*E1941))))))),2)</f>
        <v>2</v>
      </c>
      <c r="J1941" s="955" t="s">
        <v>102</v>
      </c>
      <c r="K1941" s="902"/>
      <c r="L1941" s="896"/>
      <c r="M1941" s="902"/>
      <c r="N1941" s="900" t="s">
        <v>2308</v>
      </c>
    </row>
    <row r="1942" spans="1:14" s="910" customFormat="1" ht="16.5" hidden="1" customHeight="1">
      <c r="A1942" s="896"/>
      <c r="B1942" s="956" t="s">
        <v>1615</v>
      </c>
      <c r="C1942" s="957">
        <v>1</v>
      </c>
      <c r="D1942" s="958" t="s">
        <v>273</v>
      </c>
      <c r="E1942" s="1268">
        <v>2</v>
      </c>
      <c r="F1942" s="960">
        <v>3.15</v>
      </c>
      <c r="G1942" s="960">
        <v>0</v>
      </c>
      <c r="H1942" s="960">
        <v>1</v>
      </c>
      <c r="I1942" s="916">
        <f>ROUND(IF(AND(F1942:H1942),C1942*E1942*F1942*G1942*H1942,IF(AND(F1942,G1942),C1942*E1942*F1942*G1942,IF(AND(F1942,H1942),C1942*E1942*F1942*H1942,IF(AND(G1942,H1942),C1942*E1942*G1942*H1942,IF(F1942,C1942*E1942*F1942,IF(G1942,C1942*E1942*G1942,IF(H1942,C1942*E1942*H1942,C1942*E1942))))))),2)</f>
        <v>6.3</v>
      </c>
      <c r="J1942" s="955" t="s">
        <v>102</v>
      </c>
      <c r="K1942" s="902"/>
      <c r="L1942" s="896"/>
      <c r="M1942" s="902"/>
      <c r="N1942" s="900" t="s">
        <v>2308</v>
      </c>
    </row>
    <row r="1943" spans="1:14" s="910" customFormat="1" ht="16.5" hidden="1" customHeight="1">
      <c r="A1943" s="896"/>
      <c r="B1943" s="956" t="s">
        <v>1615</v>
      </c>
      <c r="C1943" s="957">
        <v>1</v>
      </c>
      <c r="D1943" s="958" t="s">
        <v>273</v>
      </c>
      <c r="E1943" s="1268">
        <v>2</v>
      </c>
      <c r="F1943" s="960">
        <v>2</v>
      </c>
      <c r="G1943" s="960">
        <v>0</v>
      </c>
      <c r="H1943" s="960">
        <v>1.9</v>
      </c>
      <c r="I1943" s="916">
        <f>ROUND(IF(AND(F1943:H1943),C1943*E1943*F1943*G1943*H1943,IF(AND(F1943,G1943),C1943*E1943*F1943*G1943,IF(AND(F1943,H1943),C1943*E1943*F1943*H1943,IF(AND(G1943,H1943),C1943*E1943*G1943*H1943,IF(F1943,C1943*E1943*F1943,IF(G1943,C1943*E1943*G1943,IF(H1943,C1943*E1943*H1943,C1943*E1943))))))),2)</f>
        <v>7.6</v>
      </c>
      <c r="J1943" s="955" t="s">
        <v>102</v>
      </c>
      <c r="K1943" s="902"/>
      <c r="L1943" s="896"/>
      <c r="M1943" s="902"/>
      <c r="N1943" s="900" t="s">
        <v>2308</v>
      </c>
    </row>
    <row r="1944" spans="1:14" s="910" customFormat="1" ht="16.5" hidden="1" customHeight="1">
      <c r="A1944" s="896"/>
      <c r="B1944" s="956"/>
      <c r="C1944" s="957"/>
      <c r="D1944" s="958"/>
      <c r="E1944" s="1268"/>
      <c r="F1944" s="960"/>
      <c r="G1944" s="960"/>
      <c r="H1944" s="960"/>
      <c r="I1944" s="916"/>
      <c r="J1944" s="909"/>
      <c r="K1944" s="902"/>
      <c r="L1944" s="896"/>
      <c r="M1944" s="902"/>
      <c r="N1944" s="900" t="s">
        <v>2308</v>
      </c>
    </row>
    <row r="1945" spans="1:14" ht="15.75" hidden="1">
      <c r="A1945" s="896"/>
      <c r="B1945" s="902"/>
      <c r="C1945" s="917"/>
      <c r="D1945" s="918"/>
      <c r="E1945" s="919"/>
      <c r="F1945" s="920"/>
      <c r="G1945" s="921"/>
      <c r="H1945" s="896"/>
      <c r="I1945" s="916"/>
      <c r="J1945" s="909" t="s">
        <v>102</v>
      </c>
      <c r="K1945" s="922">
        <f>data!E2616</f>
        <v>325.58</v>
      </c>
      <c r="L1945" s="923" t="s">
        <v>2308</v>
      </c>
      <c r="M1945" s="924">
        <f>ROUND(I1945*K1945,0)</f>
        <v>0</v>
      </c>
      <c r="N1945" s="900" t="s">
        <v>2308</v>
      </c>
    </row>
    <row r="1946" spans="1:14" ht="96" hidden="1" customHeight="1">
      <c r="A1946" s="896">
        <v>25</v>
      </c>
      <c r="B1946" s="1609" t="s">
        <v>2250</v>
      </c>
      <c r="C1946" s="1609"/>
      <c r="D1946" s="1609"/>
      <c r="E1946" s="1609"/>
      <c r="F1946" s="1609"/>
      <c r="G1946" s="1609"/>
      <c r="H1946" s="1609"/>
      <c r="I1946" s="897"/>
      <c r="J1946" s="898"/>
      <c r="K1946" s="896"/>
      <c r="L1946" s="923"/>
      <c r="M1946" s="899"/>
      <c r="N1946" s="900" t="s">
        <v>2309</v>
      </c>
    </row>
    <row r="1947" spans="1:14" s="910" customFormat="1" ht="16.5" hidden="1" customHeight="1">
      <c r="A1947" s="896"/>
      <c r="B1947" s="902" t="s">
        <v>3522</v>
      </c>
      <c r="C1947" s="903"/>
      <c r="D1947" s="904"/>
      <c r="E1947" s="905"/>
      <c r="F1947" s="906"/>
      <c r="G1947" s="906"/>
      <c r="H1947" s="907"/>
      <c r="I1947" s="908"/>
      <c r="J1947" s="955"/>
      <c r="K1947" s="902"/>
      <c r="L1947" s="896"/>
      <c r="M1947" s="902"/>
      <c r="N1947" s="900" t="s">
        <v>2309</v>
      </c>
    </row>
    <row r="1948" spans="1:14" s="910" customFormat="1" ht="16.5" hidden="1" customHeight="1">
      <c r="A1948" s="896"/>
      <c r="B1948" s="956" t="s">
        <v>1614</v>
      </c>
      <c r="C1948" s="957">
        <v>1</v>
      </c>
      <c r="D1948" s="958" t="s">
        <v>273</v>
      </c>
      <c r="E1948" s="1268">
        <v>2</v>
      </c>
      <c r="F1948" s="960">
        <v>1</v>
      </c>
      <c r="G1948" s="960">
        <v>0</v>
      </c>
      <c r="H1948" s="960">
        <v>1</v>
      </c>
      <c r="I1948" s="916">
        <f>ROUND(IF(AND(F1948:H1948),C1948*E1948*F1948*G1948*H1948,IF(AND(F1948,G1948),C1948*E1948*F1948*G1948,IF(AND(F1948,H1948),C1948*E1948*F1948*H1948,IF(AND(G1948,H1948),C1948*E1948*G1948*H1948,IF(F1948,C1948*E1948*F1948,IF(G1948,C1948*E1948*G1948,IF(H1948,C1948*E1948*H1948,C1948*E1948))))))),2)</f>
        <v>2</v>
      </c>
      <c r="J1948" s="955" t="s">
        <v>102</v>
      </c>
      <c r="K1948" s="902"/>
      <c r="L1948" s="896"/>
      <c r="M1948" s="902"/>
      <c r="N1948" s="900" t="s">
        <v>2309</v>
      </c>
    </row>
    <row r="1949" spans="1:14" s="910" customFormat="1" ht="16.5" hidden="1" customHeight="1">
      <c r="A1949" s="896"/>
      <c r="B1949" s="956" t="s">
        <v>1615</v>
      </c>
      <c r="C1949" s="957">
        <v>1</v>
      </c>
      <c r="D1949" s="958" t="s">
        <v>273</v>
      </c>
      <c r="E1949" s="1268">
        <v>2</v>
      </c>
      <c r="F1949" s="960">
        <v>3.15</v>
      </c>
      <c r="G1949" s="960">
        <v>0</v>
      </c>
      <c r="H1949" s="960">
        <v>1</v>
      </c>
      <c r="I1949" s="916">
        <f>ROUND(IF(AND(F1949:H1949),C1949*E1949*F1949*G1949*H1949,IF(AND(F1949,G1949),C1949*E1949*F1949*G1949,IF(AND(F1949,H1949),C1949*E1949*F1949*H1949,IF(AND(G1949,H1949),C1949*E1949*G1949*H1949,IF(F1949,C1949*E1949*F1949,IF(G1949,C1949*E1949*G1949,IF(H1949,C1949*E1949*H1949,C1949*E1949))))))),2)</f>
        <v>6.3</v>
      </c>
      <c r="J1949" s="955" t="s">
        <v>102</v>
      </c>
      <c r="K1949" s="902"/>
      <c r="L1949" s="896"/>
      <c r="M1949" s="902"/>
      <c r="N1949" s="900" t="s">
        <v>2309</v>
      </c>
    </row>
    <row r="1950" spans="1:14" s="910" customFormat="1" ht="16.5" hidden="1" customHeight="1">
      <c r="A1950" s="896"/>
      <c r="B1950" s="956" t="s">
        <v>1615</v>
      </c>
      <c r="C1950" s="957">
        <v>1</v>
      </c>
      <c r="D1950" s="958" t="s">
        <v>273</v>
      </c>
      <c r="E1950" s="1268">
        <v>2</v>
      </c>
      <c r="F1950" s="960">
        <v>2</v>
      </c>
      <c r="G1950" s="960">
        <v>0</v>
      </c>
      <c r="H1950" s="960">
        <v>1.9</v>
      </c>
      <c r="I1950" s="916">
        <f>ROUND(IF(AND(F1950:H1950),C1950*E1950*F1950*G1950*H1950,IF(AND(F1950,G1950),C1950*E1950*F1950*G1950,IF(AND(F1950,H1950),C1950*E1950*F1950*H1950,IF(AND(G1950,H1950),C1950*E1950*G1950*H1950,IF(F1950,C1950*E1950*F1950,IF(G1950,C1950*E1950*G1950,IF(H1950,C1950*E1950*H1950,C1950*E1950))))))),2)</f>
        <v>7.6</v>
      </c>
      <c r="J1950" s="955" t="s">
        <v>102</v>
      </c>
      <c r="K1950" s="902"/>
      <c r="L1950" s="896"/>
      <c r="M1950" s="902"/>
      <c r="N1950" s="900" t="s">
        <v>2309</v>
      </c>
    </row>
    <row r="1951" spans="1:14" s="910" customFormat="1" ht="16.5" hidden="1" customHeight="1">
      <c r="A1951" s="896"/>
      <c r="B1951" s="956"/>
      <c r="C1951" s="957"/>
      <c r="D1951" s="958"/>
      <c r="E1951" s="1268"/>
      <c r="F1951" s="960"/>
      <c r="G1951" s="960"/>
      <c r="H1951" s="960"/>
      <c r="I1951" s="916"/>
      <c r="J1951" s="909"/>
      <c r="K1951" s="902"/>
      <c r="L1951" s="896"/>
      <c r="M1951" s="902"/>
      <c r="N1951" s="900" t="s">
        <v>2309</v>
      </c>
    </row>
    <row r="1952" spans="1:14" ht="15.75" hidden="1">
      <c r="A1952" s="896"/>
      <c r="B1952" s="902"/>
      <c r="C1952" s="917"/>
      <c r="D1952" s="918"/>
      <c r="E1952" s="919"/>
      <c r="F1952" s="920"/>
      <c r="G1952" s="921"/>
      <c r="H1952" s="896"/>
      <c r="I1952" s="916"/>
      <c r="J1952" s="909" t="s">
        <v>102</v>
      </c>
      <c r="K1952" s="922">
        <f>data!E3533</f>
        <v>345.47</v>
      </c>
      <c r="L1952" s="923" t="s">
        <v>2309</v>
      </c>
      <c r="M1952" s="924">
        <f>ROUND(I1952*K1952,0)</f>
        <v>0</v>
      </c>
      <c r="N1952" s="900" t="s">
        <v>2309</v>
      </c>
    </row>
    <row r="1953" spans="1:14" ht="66" hidden="1" customHeight="1">
      <c r="A1953" s="896">
        <v>26</v>
      </c>
      <c r="B1953" s="1609" t="s">
        <v>1192</v>
      </c>
      <c r="C1953" s="1609"/>
      <c r="D1953" s="1609"/>
      <c r="E1953" s="1609"/>
      <c r="F1953" s="1609"/>
      <c r="G1953" s="1609"/>
      <c r="H1953" s="1609"/>
      <c r="I1953" s="897"/>
      <c r="J1953" s="898"/>
      <c r="K1953" s="896"/>
      <c r="L1953" s="923"/>
      <c r="M1953" s="899"/>
      <c r="N1953" s="900" t="s">
        <v>2209</v>
      </c>
    </row>
    <row r="1954" spans="1:14" s="910" customFormat="1" ht="16.5" hidden="1" customHeight="1">
      <c r="A1954" s="896"/>
      <c r="B1954" s="902" t="s">
        <v>3530</v>
      </c>
      <c r="C1954" s="903"/>
      <c r="D1954" s="904"/>
      <c r="E1954" s="905"/>
      <c r="F1954" s="906"/>
      <c r="G1954" s="906"/>
      <c r="H1954" s="907"/>
      <c r="I1954" s="908"/>
      <c r="J1954" s="955"/>
      <c r="K1954" s="902"/>
      <c r="L1954" s="923"/>
      <c r="M1954" s="902"/>
      <c r="N1954" s="900" t="s">
        <v>2209</v>
      </c>
    </row>
    <row r="1955" spans="1:14" s="910" customFormat="1" ht="16.5" hidden="1" customHeight="1">
      <c r="A1955" s="896"/>
      <c r="B1955" s="902" t="s">
        <v>799</v>
      </c>
      <c r="C1955" s="897">
        <v>1</v>
      </c>
      <c r="D1955" s="1263" t="s">
        <v>273</v>
      </c>
      <c r="E1955" s="919">
        <v>1</v>
      </c>
      <c r="F1955" s="920">
        <v>8.5</v>
      </c>
      <c r="G1955" s="920">
        <v>4.95</v>
      </c>
      <c r="H1955" s="920">
        <v>0</v>
      </c>
      <c r="I1955" s="1266">
        <f>ROUND(IF(AND(F1955:H1955),C1955*E1955*F1955*G1955*H1955,IF(AND(F1955,G1955),C1955*E1955*F1955*G1955,IF(AND(F1955,H1955),C1955*E1955*F1955*H1955,IF(AND(G1955,H1955),C1955*E1955*G1955*H1955,IF(F1955,C1955*E1955*F1955,IF(G1955,C1955*E1955*G1955,IF(H1955,C1955*E1955*H1955,C1955*E1955))))))),2)</f>
        <v>42.08</v>
      </c>
      <c r="J1955" s="955" t="s">
        <v>102</v>
      </c>
      <c r="K1955" s="902"/>
      <c r="L1955" s="923"/>
      <c r="M1955" s="902"/>
      <c r="N1955" s="900" t="s">
        <v>2209</v>
      </c>
    </row>
    <row r="1956" spans="1:14" s="910" customFormat="1" ht="16.5" hidden="1" customHeight="1">
      <c r="A1956" s="896"/>
      <c r="B1956" s="902" t="s">
        <v>817</v>
      </c>
      <c r="C1956" s="897">
        <v>1</v>
      </c>
      <c r="D1956" s="1263" t="s">
        <v>273</v>
      </c>
      <c r="E1956" s="919">
        <v>1</v>
      </c>
      <c r="F1956" s="920">
        <v>6.25</v>
      </c>
      <c r="G1956" s="920">
        <v>0</v>
      </c>
      <c r="H1956" s="920">
        <v>3.6</v>
      </c>
      <c r="I1956" s="1266">
        <f>ROUND(IF(AND(F1956:H1956),C1956*E1956*F1956*G1956*H1956,IF(AND(F1956,G1956),C1956*E1956*F1956*G1956,IF(AND(F1956,H1956),C1956*E1956*F1956*H1956,IF(AND(G1956,H1956),C1956*E1956*G1956*H1956,IF(F1956,C1956*E1956*F1956,IF(G1956,C1956*E1956*G1956,IF(H1956,C1956*E1956*H1956,C1956*E1956))))))),2)</f>
        <v>22.5</v>
      </c>
      <c r="J1956" s="955" t="s">
        <v>102</v>
      </c>
      <c r="K1956" s="902"/>
      <c r="L1956" s="923"/>
      <c r="M1956" s="902"/>
      <c r="N1956" s="900" t="s">
        <v>2209</v>
      </c>
    </row>
    <row r="1957" spans="1:14" s="910" customFormat="1" ht="16.5" hidden="1" customHeight="1">
      <c r="A1957" s="896"/>
      <c r="B1957" s="902" t="s">
        <v>816</v>
      </c>
      <c r="C1957" s="897">
        <v>1</v>
      </c>
      <c r="D1957" s="1263" t="s">
        <v>273</v>
      </c>
      <c r="E1957" s="919">
        <v>1</v>
      </c>
      <c r="F1957" s="920">
        <v>5.45</v>
      </c>
      <c r="G1957" s="920">
        <v>0</v>
      </c>
      <c r="H1957" s="920">
        <v>3.2</v>
      </c>
      <c r="I1957" s="1266">
        <f>ROUND(IF(AND(F1957:H1957),C1957*E1957*F1957*G1957*H1957,IF(AND(F1957,G1957),C1957*E1957*F1957*G1957,IF(AND(F1957,H1957),C1957*E1957*F1957*H1957,IF(AND(G1957,H1957),C1957*E1957*G1957*H1957,IF(F1957,C1957*E1957*F1957,IF(G1957,C1957*E1957*G1957,IF(H1957,C1957*E1957*H1957,C1957*E1957))))))),2)</f>
        <v>17.440000000000001</v>
      </c>
      <c r="J1957" s="955" t="s">
        <v>102</v>
      </c>
      <c r="K1957" s="902"/>
      <c r="L1957" s="923"/>
      <c r="M1957" s="902"/>
      <c r="N1957" s="900" t="s">
        <v>2209</v>
      </c>
    </row>
    <row r="1958" spans="1:14" s="910" customFormat="1" ht="16.5" hidden="1" customHeight="1">
      <c r="A1958" s="896"/>
      <c r="B1958" s="956"/>
      <c r="C1958" s="957"/>
      <c r="D1958" s="958"/>
      <c r="E1958" s="959"/>
      <c r="F1958" s="960"/>
      <c r="G1958" s="960"/>
      <c r="H1958" s="960"/>
      <c r="I1958" s="916"/>
      <c r="J1958" s="955"/>
      <c r="K1958" s="902"/>
      <c r="L1958" s="923"/>
      <c r="M1958" s="902"/>
      <c r="N1958" s="900" t="s">
        <v>2209</v>
      </c>
    </row>
    <row r="1959" spans="1:14" ht="15.75" hidden="1">
      <c r="A1959" s="896"/>
      <c r="B1959" s="902"/>
      <c r="C1959" s="917"/>
      <c r="D1959" s="918"/>
      <c r="E1959" s="919"/>
      <c r="F1959" s="920"/>
      <c r="G1959" s="921"/>
      <c r="H1959" s="896"/>
      <c r="I1959" s="916"/>
      <c r="J1959" s="955" t="s">
        <v>102</v>
      </c>
      <c r="K1959" s="922">
        <f>data!E796</f>
        <v>19.87</v>
      </c>
      <c r="L1959" s="923" t="s">
        <v>2209</v>
      </c>
      <c r="M1959" s="924">
        <f>ROUND(I1959*K1959,0)</f>
        <v>0</v>
      </c>
      <c r="N1959" s="900" t="s">
        <v>2209</v>
      </c>
    </row>
    <row r="1960" spans="1:14" ht="66" hidden="1" customHeight="1">
      <c r="A1960" s="896">
        <v>26</v>
      </c>
      <c r="B1960" s="1609" t="s">
        <v>1192</v>
      </c>
      <c r="C1960" s="1609"/>
      <c r="D1960" s="1609"/>
      <c r="E1960" s="1609"/>
      <c r="F1960" s="1609"/>
      <c r="G1960" s="1609"/>
      <c r="H1960" s="1609"/>
      <c r="I1960" s="897"/>
      <c r="J1960" s="898"/>
      <c r="K1960" s="896"/>
      <c r="L1960" s="923"/>
      <c r="M1960" s="899"/>
      <c r="N1960" s="900" t="s">
        <v>2297</v>
      </c>
    </row>
    <row r="1961" spans="1:14" s="910" customFormat="1" ht="16.5" hidden="1" customHeight="1">
      <c r="A1961" s="896"/>
      <c r="B1961" s="902" t="s">
        <v>3530</v>
      </c>
      <c r="C1961" s="903"/>
      <c r="D1961" s="904"/>
      <c r="E1961" s="905"/>
      <c r="F1961" s="906"/>
      <c r="G1961" s="906"/>
      <c r="H1961" s="907"/>
      <c r="I1961" s="908"/>
      <c r="J1961" s="955"/>
      <c r="K1961" s="902"/>
      <c r="L1961" s="923"/>
      <c r="M1961" s="902"/>
      <c r="N1961" s="900" t="s">
        <v>2297</v>
      </c>
    </row>
    <row r="1962" spans="1:14" s="910" customFormat="1" ht="16.5" hidden="1" customHeight="1">
      <c r="A1962" s="896"/>
      <c r="B1962" s="902" t="s">
        <v>799</v>
      </c>
      <c r="C1962" s="897">
        <v>1</v>
      </c>
      <c r="D1962" s="1263" t="s">
        <v>273</v>
      </c>
      <c r="E1962" s="919">
        <v>1</v>
      </c>
      <c r="F1962" s="920">
        <v>8.5</v>
      </c>
      <c r="G1962" s="920">
        <v>4.95</v>
      </c>
      <c r="H1962" s="920">
        <v>0</v>
      </c>
      <c r="I1962" s="1266">
        <f>ROUND(IF(AND(F1962:H1962),C1962*E1962*F1962*G1962*H1962,IF(AND(F1962,G1962),C1962*E1962*F1962*G1962,IF(AND(F1962,H1962),C1962*E1962*F1962*H1962,IF(AND(G1962,H1962),C1962*E1962*G1962*H1962,IF(F1962,C1962*E1962*F1962,IF(G1962,C1962*E1962*G1962,IF(H1962,C1962*E1962*H1962,C1962*E1962))))))),2)</f>
        <v>42.08</v>
      </c>
      <c r="J1962" s="955" t="s">
        <v>102</v>
      </c>
      <c r="K1962" s="902"/>
      <c r="L1962" s="923"/>
      <c r="M1962" s="902"/>
      <c r="N1962" s="900" t="s">
        <v>2297</v>
      </c>
    </row>
    <row r="1963" spans="1:14" s="910" customFormat="1" ht="16.5" hidden="1" customHeight="1">
      <c r="A1963" s="896"/>
      <c r="B1963" s="902" t="s">
        <v>817</v>
      </c>
      <c r="C1963" s="897">
        <v>1</v>
      </c>
      <c r="D1963" s="1263" t="s">
        <v>273</v>
      </c>
      <c r="E1963" s="919">
        <v>1</v>
      </c>
      <c r="F1963" s="920">
        <v>6.25</v>
      </c>
      <c r="G1963" s="920">
        <v>0</v>
      </c>
      <c r="H1963" s="920">
        <v>3.6</v>
      </c>
      <c r="I1963" s="1266">
        <f>ROUND(IF(AND(F1963:H1963),C1963*E1963*F1963*G1963*H1963,IF(AND(F1963,G1963),C1963*E1963*F1963*G1963,IF(AND(F1963,H1963),C1963*E1963*F1963*H1963,IF(AND(G1963,H1963),C1963*E1963*G1963*H1963,IF(F1963,C1963*E1963*F1963,IF(G1963,C1963*E1963*G1963,IF(H1963,C1963*E1963*H1963,C1963*E1963))))))),2)</f>
        <v>22.5</v>
      </c>
      <c r="J1963" s="955" t="s">
        <v>102</v>
      </c>
      <c r="K1963" s="902"/>
      <c r="L1963" s="923"/>
      <c r="M1963" s="902"/>
      <c r="N1963" s="900" t="s">
        <v>2297</v>
      </c>
    </row>
    <row r="1964" spans="1:14" s="910" customFormat="1" ht="16.5" hidden="1" customHeight="1">
      <c r="A1964" s="896"/>
      <c r="B1964" s="902" t="s">
        <v>816</v>
      </c>
      <c r="C1964" s="897">
        <v>1</v>
      </c>
      <c r="D1964" s="1263" t="s">
        <v>273</v>
      </c>
      <c r="E1964" s="919">
        <v>1</v>
      </c>
      <c r="F1964" s="920">
        <v>5.45</v>
      </c>
      <c r="G1964" s="920">
        <v>0</v>
      </c>
      <c r="H1964" s="920">
        <v>3.2</v>
      </c>
      <c r="I1964" s="1266">
        <f>ROUND(IF(AND(F1964:H1964),C1964*E1964*F1964*G1964*H1964,IF(AND(F1964,G1964),C1964*E1964*F1964*G1964,IF(AND(F1964,H1964),C1964*E1964*F1964*H1964,IF(AND(G1964,H1964),C1964*E1964*G1964*H1964,IF(F1964,C1964*E1964*F1964,IF(G1964,C1964*E1964*G1964,IF(H1964,C1964*E1964*H1964,C1964*E1964))))))),2)</f>
        <v>17.440000000000001</v>
      </c>
      <c r="J1964" s="955" t="s">
        <v>102</v>
      </c>
      <c r="K1964" s="902"/>
      <c r="L1964" s="923"/>
      <c r="M1964" s="902"/>
      <c r="N1964" s="900" t="s">
        <v>2297</v>
      </c>
    </row>
    <row r="1965" spans="1:14" s="910" customFormat="1" ht="16.5" hidden="1" customHeight="1">
      <c r="A1965" s="896"/>
      <c r="B1965" s="956"/>
      <c r="C1965" s="957"/>
      <c r="D1965" s="958"/>
      <c r="E1965" s="959"/>
      <c r="F1965" s="960"/>
      <c r="G1965" s="960"/>
      <c r="H1965" s="960"/>
      <c r="I1965" s="916"/>
      <c r="J1965" s="955"/>
      <c r="K1965" s="902"/>
      <c r="L1965" s="923"/>
      <c r="M1965" s="902"/>
      <c r="N1965" s="900" t="s">
        <v>2297</v>
      </c>
    </row>
    <row r="1966" spans="1:14" ht="15.75" hidden="1">
      <c r="A1966" s="896"/>
      <c r="B1966" s="902"/>
      <c r="C1966" s="917"/>
      <c r="D1966" s="918"/>
      <c r="E1966" s="919"/>
      <c r="F1966" s="920"/>
      <c r="G1966" s="921"/>
      <c r="H1966" s="896"/>
      <c r="I1966" s="916"/>
      <c r="J1966" s="955" t="s">
        <v>102</v>
      </c>
      <c r="K1966" s="922">
        <f>data!E1713</f>
        <v>21.19</v>
      </c>
      <c r="L1966" s="923" t="s">
        <v>2297</v>
      </c>
      <c r="M1966" s="924">
        <f>ROUND(I1966*K1966,0)</f>
        <v>0</v>
      </c>
      <c r="N1966" s="900" t="s">
        <v>2297</v>
      </c>
    </row>
    <row r="1967" spans="1:14" ht="66" hidden="1" customHeight="1">
      <c r="A1967" s="896">
        <v>26</v>
      </c>
      <c r="B1967" s="1609" t="s">
        <v>1192</v>
      </c>
      <c r="C1967" s="1609"/>
      <c r="D1967" s="1609"/>
      <c r="E1967" s="1609"/>
      <c r="F1967" s="1609"/>
      <c r="G1967" s="1609"/>
      <c r="H1967" s="1609"/>
      <c r="I1967" s="897"/>
      <c r="J1967" s="898"/>
      <c r="K1967" s="896"/>
      <c r="L1967" s="923"/>
      <c r="M1967" s="899"/>
      <c r="N1967" s="900" t="s">
        <v>2308</v>
      </c>
    </row>
    <row r="1968" spans="1:14" s="910" customFormat="1" ht="16.5" hidden="1" customHeight="1">
      <c r="A1968" s="896"/>
      <c r="B1968" s="902" t="s">
        <v>3530</v>
      </c>
      <c r="C1968" s="903"/>
      <c r="D1968" s="904"/>
      <c r="E1968" s="905"/>
      <c r="F1968" s="906"/>
      <c r="G1968" s="906"/>
      <c r="H1968" s="907"/>
      <c r="I1968" s="908"/>
      <c r="J1968" s="955"/>
      <c r="K1968" s="902"/>
      <c r="L1968" s="923"/>
      <c r="M1968" s="902"/>
      <c r="N1968" s="900" t="s">
        <v>2308</v>
      </c>
    </row>
    <row r="1969" spans="1:14" s="910" customFormat="1" ht="16.5" hidden="1" customHeight="1">
      <c r="A1969" s="896"/>
      <c r="B1969" s="902" t="s">
        <v>799</v>
      </c>
      <c r="C1969" s="897">
        <v>1</v>
      </c>
      <c r="D1969" s="1263" t="s">
        <v>273</v>
      </c>
      <c r="E1969" s="919">
        <v>1</v>
      </c>
      <c r="F1969" s="920">
        <v>8.5</v>
      </c>
      <c r="G1969" s="920">
        <v>4.95</v>
      </c>
      <c r="H1969" s="920">
        <v>0</v>
      </c>
      <c r="I1969" s="1266">
        <f>ROUND(IF(AND(F1969:H1969),C1969*E1969*F1969*G1969*H1969,IF(AND(F1969,G1969),C1969*E1969*F1969*G1969,IF(AND(F1969,H1969),C1969*E1969*F1969*H1969,IF(AND(G1969,H1969),C1969*E1969*G1969*H1969,IF(F1969,C1969*E1969*F1969,IF(G1969,C1969*E1969*G1969,IF(H1969,C1969*E1969*H1969,C1969*E1969))))))),2)</f>
        <v>42.08</v>
      </c>
      <c r="J1969" s="955" t="s">
        <v>102</v>
      </c>
      <c r="K1969" s="902"/>
      <c r="L1969" s="923"/>
      <c r="M1969" s="902"/>
      <c r="N1969" s="900" t="s">
        <v>2308</v>
      </c>
    </row>
    <row r="1970" spans="1:14" s="910" customFormat="1" ht="16.5" hidden="1" customHeight="1">
      <c r="A1970" s="896"/>
      <c r="B1970" s="902" t="s">
        <v>817</v>
      </c>
      <c r="C1970" s="897">
        <v>1</v>
      </c>
      <c r="D1970" s="1263" t="s">
        <v>273</v>
      </c>
      <c r="E1970" s="919">
        <v>1</v>
      </c>
      <c r="F1970" s="920">
        <v>6.25</v>
      </c>
      <c r="G1970" s="920">
        <v>0</v>
      </c>
      <c r="H1970" s="920">
        <v>3.6</v>
      </c>
      <c r="I1970" s="1266">
        <f>ROUND(IF(AND(F1970:H1970),C1970*E1970*F1970*G1970*H1970,IF(AND(F1970,G1970),C1970*E1970*F1970*G1970,IF(AND(F1970,H1970),C1970*E1970*F1970*H1970,IF(AND(G1970,H1970),C1970*E1970*G1970*H1970,IF(F1970,C1970*E1970*F1970,IF(G1970,C1970*E1970*G1970,IF(H1970,C1970*E1970*H1970,C1970*E1970))))))),2)</f>
        <v>22.5</v>
      </c>
      <c r="J1970" s="955" t="s">
        <v>102</v>
      </c>
      <c r="K1970" s="902"/>
      <c r="L1970" s="923"/>
      <c r="M1970" s="902"/>
      <c r="N1970" s="900" t="s">
        <v>2308</v>
      </c>
    </row>
    <row r="1971" spans="1:14" s="910" customFormat="1" ht="16.5" hidden="1" customHeight="1">
      <c r="A1971" s="896"/>
      <c r="B1971" s="902" t="s">
        <v>816</v>
      </c>
      <c r="C1971" s="897">
        <v>1</v>
      </c>
      <c r="D1971" s="1263" t="s">
        <v>273</v>
      </c>
      <c r="E1971" s="919">
        <v>1</v>
      </c>
      <c r="F1971" s="920">
        <v>5.45</v>
      </c>
      <c r="G1971" s="920">
        <v>0</v>
      </c>
      <c r="H1971" s="920">
        <v>3.2</v>
      </c>
      <c r="I1971" s="1266">
        <f>ROUND(IF(AND(F1971:H1971),C1971*E1971*F1971*G1971*H1971,IF(AND(F1971,G1971),C1971*E1971*F1971*G1971,IF(AND(F1971,H1971),C1971*E1971*F1971*H1971,IF(AND(G1971,H1971),C1971*E1971*G1971*H1971,IF(F1971,C1971*E1971*F1971,IF(G1971,C1971*E1971*G1971,IF(H1971,C1971*E1971*H1971,C1971*E1971))))))),2)</f>
        <v>17.440000000000001</v>
      </c>
      <c r="J1971" s="955" t="s">
        <v>102</v>
      </c>
      <c r="K1971" s="902"/>
      <c r="L1971" s="923"/>
      <c r="M1971" s="902"/>
      <c r="N1971" s="900" t="s">
        <v>2308</v>
      </c>
    </row>
    <row r="1972" spans="1:14" s="910" customFormat="1" ht="16.5" hidden="1" customHeight="1">
      <c r="A1972" s="896"/>
      <c r="B1972" s="956"/>
      <c r="C1972" s="957"/>
      <c r="D1972" s="958"/>
      <c r="E1972" s="959"/>
      <c r="F1972" s="960"/>
      <c r="G1972" s="960"/>
      <c r="H1972" s="960"/>
      <c r="I1972" s="916"/>
      <c r="J1972" s="955"/>
      <c r="K1972" s="902"/>
      <c r="L1972" s="923"/>
      <c r="M1972" s="902"/>
      <c r="N1972" s="900" t="s">
        <v>2308</v>
      </c>
    </row>
    <row r="1973" spans="1:14" ht="15.75" hidden="1">
      <c r="A1973" s="896"/>
      <c r="B1973" s="902"/>
      <c r="C1973" s="917"/>
      <c r="D1973" s="918"/>
      <c r="E1973" s="919"/>
      <c r="F1973" s="920"/>
      <c r="G1973" s="921"/>
      <c r="H1973" s="896"/>
      <c r="I1973" s="916"/>
      <c r="J1973" s="955" t="s">
        <v>102</v>
      </c>
      <c r="K1973" s="922">
        <f>data!E2630</f>
        <v>22.35</v>
      </c>
      <c r="L1973" s="923" t="s">
        <v>2308</v>
      </c>
      <c r="M1973" s="924">
        <f>ROUND(I1973*K1973,0)</f>
        <v>0</v>
      </c>
      <c r="N1973" s="900" t="s">
        <v>2308</v>
      </c>
    </row>
    <row r="1974" spans="1:14" ht="66" hidden="1" customHeight="1">
      <c r="A1974" s="896">
        <v>26</v>
      </c>
      <c r="B1974" s="1609" t="s">
        <v>1192</v>
      </c>
      <c r="C1974" s="1609"/>
      <c r="D1974" s="1609"/>
      <c r="E1974" s="1609"/>
      <c r="F1974" s="1609"/>
      <c r="G1974" s="1609"/>
      <c r="H1974" s="1609"/>
      <c r="I1974" s="897"/>
      <c r="J1974" s="898"/>
      <c r="K1974" s="896"/>
      <c r="L1974" s="923"/>
      <c r="M1974" s="899"/>
      <c r="N1974" s="900" t="s">
        <v>2309</v>
      </c>
    </row>
    <row r="1975" spans="1:14" s="910" customFormat="1" ht="16.5" hidden="1" customHeight="1">
      <c r="A1975" s="896"/>
      <c r="B1975" s="902" t="s">
        <v>3530</v>
      </c>
      <c r="C1975" s="903"/>
      <c r="D1975" s="904"/>
      <c r="E1975" s="905"/>
      <c r="F1975" s="906"/>
      <c r="G1975" s="906"/>
      <c r="H1975" s="907"/>
      <c r="I1975" s="908"/>
      <c r="J1975" s="955"/>
      <c r="K1975" s="902"/>
      <c r="L1975" s="923"/>
      <c r="M1975" s="902"/>
      <c r="N1975" s="900" t="s">
        <v>2309</v>
      </c>
    </row>
    <row r="1976" spans="1:14" s="910" customFormat="1" ht="16.5" hidden="1" customHeight="1">
      <c r="A1976" s="896"/>
      <c r="B1976" s="902" t="s">
        <v>799</v>
      </c>
      <c r="C1976" s="897">
        <v>1</v>
      </c>
      <c r="D1976" s="1263" t="s">
        <v>273</v>
      </c>
      <c r="E1976" s="919">
        <v>1</v>
      </c>
      <c r="F1976" s="920">
        <v>8.5</v>
      </c>
      <c r="G1976" s="920">
        <v>4.95</v>
      </c>
      <c r="H1976" s="920">
        <v>0</v>
      </c>
      <c r="I1976" s="1266">
        <f>ROUND(IF(AND(F1976:H1976),C1976*E1976*F1976*G1976*H1976,IF(AND(F1976,G1976),C1976*E1976*F1976*G1976,IF(AND(F1976,H1976),C1976*E1976*F1976*H1976,IF(AND(G1976,H1976),C1976*E1976*G1976*H1976,IF(F1976,C1976*E1976*F1976,IF(G1976,C1976*E1976*G1976,IF(H1976,C1976*E1976*H1976,C1976*E1976))))))),2)</f>
        <v>42.08</v>
      </c>
      <c r="J1976" s="955" t="s">
        <v>102</v>
      </c>
      <c r="K1976" s="902"/>
      <c r="L1976" s="923"/>
      <c r="M1976" s="902"/>
      <c r="N1976" s="900" t="s">
        <v>2309</v>
      </c>
    </row>
    <row r="1977" spans="1:14" s="910" customFormat="1" ht="16.5" hidden="1" customHeight="1">
      <c r="A1977" s="896"/>
      <c r="B1977" s="902" t="s">
        <v>817</v>
      </c>
      <c r="C1977" s="897">
        <v>1</v>
      </c>
      <c r="D1977" s="1263" t="s">
        <v>273</v>
      </c>
      <c r="E1977" s="919">
        <v>1</v>
      </c>
      <c r="F1977" s="920">
        <v>6.25</v>
      </c>
      <c r="G1977" s="920">
        <v>0</v>
      </c>
      <c r="H1977" s="920">
        <v>3.6</v>
      </c>
      <c r="I1977" s="1266">
        <f>ROUND(IF(AND(F1977:H1977),C1977*E1977*F1977*G1977*H1977,IF(AND(F1977,G1977),C1977*E1977*F1977*G1977,IF(AND(F1977,H1977),C1977*E1977*F1977*H1977,IF(AND(G1977,H1977),C1977*E1977*G1977*H1977,IF(F1977,C1977*E1977*F1977,IF(G1977,C1977*E1977*G1977,IF(H1977,C1977*E1977*H1977,C1977*E1977))))))),2)</f>
        <v>22.5</v>
      </c>
      <c r="J1977" s="955" t="s">
        <v>102</v>
      </c>
      <c r="K1977" s="902"/>
      <c r="L1977" s="923"/>
      <c r="M1977" s="902"/>
      <c r="N1977" s="900" t="s">
        <v>2309</v>
      </c>
    </row>
    <row r="1978" spans="1:14" s="910" customFormat="1" ht="16.5" hidden="1" customHeight="1">
      <c r="A1978" s="896"/>
      <c r="B1978" s="902" t="s">
        <v>816</v>
      </c>
      <c r="C1978" s="897">
        <v>1</v>
      </c>
      <c r="D1978" s="1263" t="s">
        <v>273</v>
      </c>
      <c r="E1978" s="919">
        <v>1</v>
      </c>
      <c r="F1978" s="920">
        <v>5.45</v>
      </c>
      <c r="G1978" s="920">
        <v>0</v>
      </c>
      <c r="H1978" s="920">
        <v>3.2</v>
      </c>
      <c r="I1978" s="1266">
        <f>ROUND(IF(AND(F1978:H1978),C1978*E1978*F1978*G1978*H1978,IF(AND(F1978,G1978),C1978*E1978*F1978*G1978,IF(AND(F1978,H1978),C1978*E1978*F1978*H1978,IF(AND(G1978,H1978),C1978*E1978*G1978*H1978,IF(F1978,C1978*E1978*F1978,IF(G1978,C1978*E1978*G1978,IF(H1978,C1978*E1978*H1978,C1978*E1978))))))),2)</f>
        <v>17.440000000000001</v>
      </c>
      <c r="J1978" s="955" t="s">
        <v>102</v>
      </c>
      <c r="K1978" s="902"/>
      <c r="L1978" s="923"/>
      <c r="M1978" s="902"/>
      <c r="N1978" s="900" t="s">
        <v>2309</v>
      </c>
    </row>
    <row r="1979" spans="1:14" s="910" customFormat="1" ht="16.5" hidden="1" customHeight="1">
      <c r="A1979" s="896"/>
      <c r="B1979" s="956"/>
      <c r="C1979" s="957"/>
      <c r="D1979" s="958"/>
      <c r="E1979" s="959"/>
      <c r="F1979" s="960"/>
      <c r="G1979" s="960"/>
      <c r="H1979" s="960"/>
      <c r="I1979" s="916"/>
      <c r="J1979" s="955"/>
      <c r="K1979" s="902"/>
      <c r="L1979" s="923"/>
      <c r="M1979" s="902"/>
      <c r="N1979" s="900" t="s">
        <v>2309</v>
      </c>
    </row>
    <row r="1980" spans="1:14" ht="15.75" hidden="1">
      <c r="A1980" s="896"/>
      <c r="B1980" s="902"/>
      <c r="C1980" s="917"/>
      <c r="D1980" s="918"/>
      <c r="E1980" s="919"/>
      <c r="F1980" s="920"/>
      <c r="G1980" s="921"/>
      <c r="H1980" s="896"/>
      <c r="I1980" s="916"/>
      <c r="J1980" s="955" t="s">
        <v>102</v>
      </c>
      <c r="K1980" s="922">
        <f>data!E3547</f>
        <v>24.05</v>
      </c>
      <c r="L1980" s="923" t="s">
        <v>2309</v>
      </c>
      <c r="M1980" s="924">
        <f>ROUND(I1980*K1980,0)</f>
        <v>0</v>
      </c>
      <c r="N1980" s="900" t="s">
        <v>2309</v>
      </c>
    </row>
    <row r="1981" spans="1:14" ht="117.75" hidden="1" customHeight="1">
      <c r="A1981" s="896">
        <v>24</v>
      </c>
      <c r="B1981" s="1609" t="s">
        <v>891</v>
      </c>
      <c r="C1981" s="1609"/>
      <c r="D1981" s="1609"/>
      <c r="E1981" s="1609"/>
      <c r="F1981" s="1609"/>
      <c r="G1981" s="1609"/>
      <c r="H1981" s="1609"/>
      <c r="I1981" s="897"/>
      <c r="J1981" s="898"/>
      <c r="K1981" s="896"/>
      <c r="L1981" s="923"/>
      <c r="M1981" s="899"/>
      <c r="N1981" s="900" t="s">
        <v>2209</v>
      </c>
    </row>
    <row r="1982" spans="1:14" s="910" customFormat="1" ht="16.5" hidden="1" customHeight="1">
      <c r="A1982" s="896"/>
      <c r="B1982" s="928" t="s">
        <v>3933</v>
      </c>
      <c r="C1982" s="897"/>
      <c r="D1982" s="1263"/>
      <c r="E1982" s="919"/>
      <c r="F1982" s="920"/>
      <c r="G1982" s="920"/>
      <c r="H1982" s="920"/>
      <c r="I1982" s="1264"/>
      <c r="J1982" s="955"/>
      <c r="K1982" s="902"/>
      <c r="L1982" s="923"/>
      <c r="M1982" s="902"/>
      <c r="N1982" s="900" t="s">
        <v>2209</v>
      </c>
    </row>
    <row r="1983" spans="1:14" s="910" customFormat="1" ht="16.5" hidden="1" customHeight="1">
      <c r="A1983" s="896"/>
      <c r="B1983" s="902" t="s">
        <v>2360</v>
      </c>
      <c r="C1983" s="897">
        <v>1</v>
      </c>
      <c r="D1983" s="1263" t="s">
        <v>273</v>
      </c>
      <c r="E1983" s="919">
        <v>1</v>
      </c>
      <c r="F1983" s="920">
        <v>10.84</v>
      </c>
      <c r="G1983" s="920">
        <v>0</v>
      </c>
      <c r="H1983" s="920">
        <v>3.05</v>
      </c>
      <c r="I1983" s="1266">
        <f t="shared" ref="I1983:I1994" si="185">ROUND(IF(AND(F1983:H1983),C1983*E1983*F1983*G1983*H1983,IF(AND(F1983,G1983),C1983*E1983*F1983*G1983,IF(AND(F1983,H1983),C1983*E1983*F1983*H1983,IF(AND(G1983,H1983),C1983*E1983*G1983*H1983,IF(F1983,C1983*E1983*F1983,IF(G1983,C1983*E1983*G1983,IF(H1983,C1983*E1983*H1983,C1983*E1983))))))),2)</f>
        <v>33.06</v>
      </c>
      <c r="J1983" s="955" t="s">
        <v>102</v>
      </c>
      <c r="K1983" s="902"/>
      <c r="L1983" s="923"/>
      <c r="M1983" s="902"/>
      <c r="N1983" s="900" t="s">
        <v>2209</v>
      </c>
    </row>
    <row r="1984" spans="1:14" s="910" customFormat="1" ht="16.5" hidden="1" customHeight="1">
      <c r="A1984" s="896"/>
      <c r="B1984" s="902" t="s">
        <v>1541</v>
      </c>
      <c r="C1984" s="897">
        <v>1</v>
      </c>
      <c r="D1984" s="1263" t="s">
        <v>273</v>
      </c>
      <c r="E1984" s="919">
        <v>1</v>
      </c>
      <c r="F1984" s="920">
        <v>2.7</v>
      </c>
      <c r="G1984" s="920">
        <v>2.72</v>
      </c>
      <c r="H1984" s="920">
        <v>0</v>
      </c>
      <c r="I1984" s="1266">
        <f t="shared" si="185"/>
        <v>7.34</v>
      </c>
      <c r="J1984" s="955" t="s">
        <v>102</v>
      </c>
      <c r="K1984" s="902"/>
      <c r="L1984" s="923"/>
      <c r="M1984" s="902"/>
      <c r="N1984" s="900" t="s">
        <v>2209</v>
      </c>
    </row>
    <row r="1985" spans="1:14" s="910" customFormat="1" ht="16.5" hidden="1" customHeight="1">
      <c r="A1985" s="896"/>
      <c r="B1985" s="902" t="s">
        <v>2521</v>
      </c>
      <c r="C1985" s="897">
        <v>1</v>
      </c>
      <c r="D1985" s="1263" t="s">
        <v>273</v>
      </c>
      <c r="E1985" s="919">
        <v>1</v>
      </c>
      <c r="F1985" s="920">
        <v>9.84</v>
      </c>
      <c r="G1985" s="920">
        <v>0</v>
      </c>
      <c r="H1985" s="920">
        <v>3.05</v>
      </c>
      <c r="I1985" s="1266">
        <f t="shared" si="185"/>
        <v>30.01</v>
      </c>
      <c r="J1985" s="955" t="s">
        <v>102</v>
      </c>
      <c r="K1985" s="902"/>
      <c r="L1985" s="923"/>
      <c r="M1985" s="902"/>
      <c r="N1985" s="900" t="s">
        <v>2209</v>
      </c>
    </row>
    <row r="1986" spans="1:14" s="910" customFormat="1" ht="16.5" hidden="1" customHeight="1">
      <c r="A1986" s="896"/>
      <c r="B1986" s="902" t="s">
        <v>1541</v>
      </c>
      <c r="C1986" s="897">
        <v>1</v>
      </c>
      <c r="D1986" s="1263" t="s">
        <v>273</v>
      </c>
      <c r="E1986" s="919">
        <v>1</v>
      </c>
      <c r="F1986" s="920">
        <v>2.2000000000000002</v>
      </c>
      <c r="G1986" s="920">
        <v>2.72</v>
      </c>
      <c r="H1986" s="920">
        <v>0</v>
      </c>
      <c r="I1986" s="1266">
        <f t="shared" si="185"/>
        <v>5.98</v>
      </c>
      <c r="J1986" s="955" t="s">
        <v>102</v>
      </c>
      <c r="K1986" s="902"/>
      <c r="L1986" s="923"/>
      <c r="M1986" s="902"/>
      <c r="N1986" s="900" t="s">
        <v>2209</v>
      </c>
    </row>
    <row r="1987" spans="1:14" s="910" customFormat="1" ht="16.5" hidden="1" customHeight="1">
      <c r="A1987" s="896"/>
      <c r="B1987" s="902" t="s">
        <v>3934</v>
      </c>
      <c r="C1987" s="897">
        <v>1</v>
      </c>
      <c r="D1987" s="1263" t="s">
        <v>273</v>
      </c>
      <c r="E1987" s="919">
        <v>1</v>
      </c>
      <c r="F1987" s="920">
        <v>9.84</v>
      </c>
      <c r="G1987" s="920">
        <v>0</v>
      </c>
      <c r="H1987" s="920">
        <v>3.05</v>
      </c>
      <c r="I1987" s="1266">
        <f t="shared" si="185"/>
        <v>30.01</v>
      </c>
      <c r="J1987" s="955" t="s">
        <v>102</v>
      </c>
      <c r="K1987" s="902"/>
      <c r="L1987" s="923"/>
      <c r="M1987" s="902"/>
      <c r="N1987" s="900" t="s">
        <v>2209</v>
      </c>
    </row>
    <row r="1988" spans="1:14" s="910" customFormat="1" ht="16.5" hidden="1" customHeight="1">
      <c r="A1988" s="896"/>
      <c r="B1988" s="902" t="s">
        <v>1541</v>
      </c>
      <c r="C1988" s="897">
        <v>1</v>
      </c>
      <c r="D1988" s="1263" t="s">
        <v>273</v>
      </c>
      <c r="E1988" s="919">
        <v>1</v>
      </c>
      <c r="F1988" s="920">
        <v>2.2000000000000002</v>
      </c>
      <c r="G1988" s="920">
        <v>2.72</v>
      </c>
      <c r="H1988" s="920">
        <v>0</v>
      </c>
      <c r="I1988" s="1266">
        <f t="shared" si="185"/>
        <v>5.98</v>
      </c>
      <c r="J1988" s="955" t="s">
        <v>102</v>
      </c>
      <c r="K1988" s="902"/>
      <c r="L1988" s="923"/>
      <c r="M1988" s="902"/>
      <c r="N1988" s="900" t="s">
        <v>2209</v>
      </c>
    </row>
    <row r="1989" spans="1:14" s="910" customFormat="1" ht="16.5" hidden="1" customHeight="1">
      <c r="A1989" s="896"/>
      <c r="B1989" s="902" t="s">
        <v>2357</v>
      </c>
      <c r="C1989" s="897">
        <v>1</v>
      </c>
      <c r="D1989" s="1263" t="s">
        <v>273</v>
      </c>
      <c r="E1989" s="919">
        <v>1</v>
      </c>
      <c r="F1989" s="920">
        <v>8.64</v>
      </c>
      <c r="G1989" s="920">
        <v>0</v>
      </c>
      <c r="H1989" s="920">
        <v>3.05</v>
      </c>
      <c r="I1989" s="1266">
        <f t="shared" si="185"/>
        <v>26.35</v>
      </c>
      <c r="J1989" s="955" t="s">
        <v>102</v>
      </c>
      <c r="K1989" s="902"/>
      <c r="L1989" s="923"/>
      <c r="M1989" s="902"/>
      <c r="N1989" s="900" t="s">
        <v>2209</v>
      </c>
    </row>
    <row r="1990" spans="1:14" s="910" customFormat="1" ht="16.5" hidden="1" customHeight="1">
      <c r="A1990" s="896"/>
      <c r="B1990" s="902" t="s">
        <v>1541</v>
      </c>
      <c r="C1990" s="897">
        <v>1</v>
      </c>
      <c r="D1990" s="1263" t="s">
        <v>273</v>
      </c>
      <c r="E1990" s="919">
        <v>1</v>
      </c>
      <c r="F1990" s="920">
        <v>1.6</v>
      </c>
      <c r="G1990" s="920">
        <v>2.72</v>
      </c>
      <c r="H1990" s="920">
        <v>0</v>
      </c>
      <c r="I1990" s="1266">
        <f t="shared" si="185"/>
        <v>4.3499999999999996</v>
      </c>
      <c r="J1990" s="955" t="s">
        <v>102</v>
      </c>
      <c r="K1990" s="902"/>
      <c r="L1990" s="923"/>
      <c r="M1990" s="902"/>
      <c r="N1990" s="900" t="s">
        <v>2209</v>
      </c>
    </row>
    <row r="1991" spans="1:14" s="910" customFormat="1" ht="16.5" hidden="1" customHeight="1">
      <c r="A1991" s="896"/>
      <c r="B1991" s="902" t="s">
        <v>3670</v>
      </c>
      <c r="C1991" s="897">
        <v>1</v>
      </c>
      <c r="D1991" s="1263" t="s">
        <v>273</v>
      </c>
      <c r="E1991" s="919">
        <v>1</v>
      </c>
      <c r="F1991" s="920">
        <v>19.22</v>
      </c>
      <c r="G1991" s="920">
        <v>0</v>
      </c>
      <c r="H1991" s="920">
        <v>3.05</v>
      </c>
      <c r="I1991" s="1266">
        <f t="shared" si="185"/>
        <v>58.62</v>
      </c>
      <c r="J1991" s="955" t="s">
        <v>102</v>
      </c>
      <c r="K1991" s="902"/>
      <c r="L1991" s="923"/>
      <c r="M1991" s="902"/>
      <c r="N1991" s="900" t="s">
        <v>2209</v>
      </c>
    </row>
    <row r="1992" spans="1:14" s="910" customFormat="1" ht="16.5" hidden="1" customHeight="1">
      <c r="A1992" s="896"/>
      <c r="B1992" s="902" t="s">
        <v>1541</v>
      </c>
      <c r="C1992" s="897">
        <v>1</v>
      </c>
      <c r="D1992" s="1263" t="s">
        <v>273</v>
      </c>
      <c r="E1992" s="919">
        <v>1</v>
      </c>
      <c r="F1992" s="920">
        <v>6.6</v>
      </c>
      <c r="G1992" s="920">
        <v>2.95</v>
      </c>
      <c r="H1992" s="920">
        <v>0</v>
      </c>
      <c r="I1992" s="1266">
        <f t="shared" si="185"/>
        <v>19.47</v>
      </c>
      <c r="J1992" s="955" t="s">
        <v>102</v>
      </c>
      <c r="K1992" s="902"/>
      <c r="L1992" s="923"/>
      <c r="M1992" s="902"/>
      <c r="N1992" s="900" t="s">
        <v>2209</v>
      </c>
    </row>
    <row r="1993" spans="1:14" s="910" customFormat="1" ht="16.5" hidden="1" customHeight="1">
      <c r="A1993" s="896"/>
      <c r="B1993" s="902" t="s">
        <v>2355</v>
      </c>
      <c r="C1993" s="897">
        <v>1</v>
      </c>
      <c r="D1993" s="1263" t="s">
        <v>273</v>
      </c>
      <c r="E1993" s="919">
        <v>1</v>
      </c>
      <c r="F1993" s="920">
        <v>18.100000000000001</v>
      </c>
      <c r="G1993" s="920">
        <v>0</v>
      </c>
      <c r="H1993" s="920">
        <v>3.05</v>
      </c>
      <c r="I1993" s="1266">
        <f t="shared" si="185"/>
        <v>55.21</v>
      </c>
      <c r="J1993" s="955" t="s">
        <v>102</v>
      </c>
      <c r="K1993" s="902"/>
      <c r="L1993" s="923"/>
      <c r="M1993" s="902"/>
      <c r="N1993" s="900" t="s">
        <v>2209</v>
      </c>
    </row>
    <row r="1994" spans="1:14" s="910" customFormat="1" ht="16.5" hidden="1" customHeight="1">
      <c r="A1994" s="896"/>
      <c r="B1994" s="902" t="s">
        <v>1541</v>
      </c>
      <c r="C1994" s="897">
        <v>1</v>
      </c>
      <c r="D1994" s="1263" t="s">
        <v>273</v>
      </c>
      <c r="E1994" s="919">
        <v>1</v>
      </c>
      <c r="F1994" s="920">
        <v>6.1</v>
      </c>
      <c r="G1994" s="920">
        <v>2.95</v>
      </c>
      <c r="H1994" s="920">
        <v>0</v>
      </c>
      <c r="I1994" s="1266">
        <f t="shared" si="185"/>
        <v>18</v>
      </c>
      <c r="J1994" s="955" t="s">
        <v>102</v>
      </c>
      <c r="K1994" s="902"/>
      <c r="L1994" s="923"/>
      <c r="M1994" s="902"/>
      <c r="N1994" s="900" t="s">
        <v>2209</v>
      </c>
    </row>
    <row r="1995" spans="1:14" s="910" customFormat="1" ht="16.5" hidden="1" customHeight="1">
      <c r="A1995" s="896"/>
      <c r="B1995" s="902" t="s">
        <v>579</v>
      </c>
      <c r="C1995" s="897">
        <v>1</v>
      </c>
      <c r="D1995" s="1263" t="s">
        <v>273</v>
      </c>
      <c r="E1995" s="919">
        <v>1</v>
      </c>
      <c r="F1995" s="920">
        <v>1.2</v>
      </c>
      <c r="G1995" s="920">
        <v>0</v>
      </c>
      <c r="H1995" s="920">
        <v>2.1</v>
      </c>
      <c r="I1995" s="1266">
        <f>-ROUND(IF(AND(F1995:H1995),C1995*E1995*F1995*G1995*H1995,IF(AND(F1995,G1995),C1995*E1995*F1995*G1995,IF(AND(F1995,H1995),C1995*E1995*F1995*H1995,IF(AND(G1995,H1995),C1995*E1995*G1995*H1995,IF(F1995,C1995*E1995*F1995,IF(G1995,C1995*E1995*G1995,IF(H1995,C1995*E1995*H1995,C1995*E1995))))))),2)</f>
        <v>-2.52</v>
      </c>
      <c r="J1995" s="955" t="s">
        <v>102</v>
      </c>
      <c r="K1995" s="902"/>
      <c r="L1995" s="923"/>
      <c r="M1995" s="902"/>
      <c r="N1995" s="900" t="s">
        <v>2209</v>
      </c>
    </row>
    <row r="1996" spans="1:14" s="910" customFormat="1" ht="16.5" hidden="1" customHeight="1">
      <c r="A1996" s="896"/>
      <c r="B1996" s="902" t="s">
        <v>579</v>
      </c>
      <c r="C1996" s="897">
        <v>2</v>
      </c>
      <c r="D1996" s="1263" t="s">
        <v>273</v>
      </c>
      <c r="E1996" s="919">
        <v>2</v>
      </c>
      <c r="F1996" s="920">
        <v>1.05</v>
      </c>
      <c r="G1996" s="920">
        <v>0</v>
      </c>
      <c r="H1996" s="920">
        <v>2.1</v>
      </c>
      <c r="I1996" s="1266">
        <f t="shared" ref="I1996:I2002" si="186">-ROUND(IF(AND(F1996:H1996),C1996*E1996*F1996*G1996*H1996,IF(AND(F1996,G1996),C1996*E1996*F1996*G1996,IF(AND(F1996,H1996),C1996*E1996*F1996*H1996,IF(AND(G1996,H1996),C1996*E1996*G1996*H1996,IF(F1996,C1996*E1996*F1996,IF(G1996,C1996*E1996*G1996,IF(H1996,C1996*E1996*H1996,C1996*E1996))))))),2)</f>
        <v>-8.82</v>
      </c>
      <c r="J1996" s="955" t="s">
        <v>102</v>
      </c>
      <c r="K1996" s="902"/>
      <c r="L1996" s="923"/>
      <c r="M1996" s="902"/>
      <c r="N1996" s="900" t="s">
        <v>2209</v>
      </c>
    </row>
    <row r="1997" spans="1:14" s="910" customFormat="1" ht="16.5" hidden="1" customHeight="1">
      <c r="A1997" s="896"/>
      <c r="B1997" s="902" t="s">
        <v>579</v>
      </c>
      <c r="C1997" s="897">
        <v>1</v>
      </c>
      <c r="D1997" s="1263" t="s">
        <v>273</v>
      </c>
      <c r="E1997" s="919">
        <v>1</v>
      </c>
      <c r="F1997" s="920">
        <v>1.05</v>
      </c>
      <c r="G1997" s="920">
        <v>0</v>
      </c>
      <c r="H1997" s="920">
        <v>2.1</v>
      </c>
      <c r="I1997" s="1266">
        <f t="shared" si="186"/>
        <v>-2.21</v>
      </c>
      <c r="J1997" s="955" t="s">
        <v>102</v>
      </c>
      <c r="K1997" s="902"/>
      <c r="L1997" s="923"/>
      <c r="M1997" s="902"/>
      <c r="N1997" s="900" t="s">
        <v>2209</v>
      </c>
    </row>
    <row r="1998" spans="1:14" s="910" customFormat="1" ht="16.5" hidden="1" customHeight="1">
      <c r="A1998" s="896"/>
      <c r="B1998" s="902" t="s">
        <v>579</v>
      </c>
      <c r="C1998" s="897">
        <v>1</v>
      </c>
      <c r="D1998" s="1263" t="s">
        <v>273</v>
      </c>
      <c r="E1998" s="919">
        <v>2</v>
      </c>
      <c r="F1998" s="920">
        <v>1</v>
      </c>
      <c r="G1998" s="920">
        <v>0</v>
      </c>
      <c r="H1998" s="920">
        <v>2.1</v>
      </c>
      <c r="I1998" s="1266">
        <f t="shared" si="186"/>
        <v>-4.2</v>
      </c>
      <c r="J1998" s="955" t="s">
        <v>102</v>
      </c>
      <c r="K1998" s="902"/>
      <c r="L1998" s="923"/>
      <c r="M1998" s="902"/>
      <c r="N1998" s="900" t="s">
        <v>2209</v>
      </c>
    </row>
    <row r="1999" spans="1:14" s="910" customFormat="1" ht="16.5" hidden="1" customHeight="1">
      <c r="A1999" s="896"/>
      <c r="B1999" s="902" t="s">
        <v>579</v>
      </c>
      <c r="C1999" s="897">
        <v>2</v>
      </c>
      <c r="D1999" s="1263" t="s">
        <v>273</v>
      </c>
      <c r="E1999" s="919">
        <v>2</v>
      </c>
      <c r="F1999" s="920">
        <v>0.9</v>
      </c>
      <c r="G1999" s="920">
        <v>0</v>
      </c>
      <c r="H1999" s="920">
        <v>2.1</v>
      </c>
      <c r="I1999" s="1266">
        <f t="shared" si="186"/>
        <v>-7.56</v>
      </c>
      <c r="J1999" s="955" t="s">
        <v>102</v>
      </c>
      <c r="K1999" s="902"/>
      <c r="L1999" s="923"/>
      <c r="M1999" s="902"/>
      <c r="N1999" s="900" t="s">
        <v>2209</v>
      </c>
    </row>
    <row r="2000" spans="1:14" s="910" customFormat="1" ht="16.5" hidden="1" customHeight="1">
      <c r="A2000" s="896"/>
      <c r="B2000" s="902" t="s">
        <v>579</v>
      </c>
      <c r="C2000" s="897">
        <v>1</v>
      </c>
      <c r="D2000" s="1263" t="s">
        <v>273</v>
      </c>
      <c r="E2000" s="919">
        <v>1</v>
      </c>
      <c r="F2000" s="920">
        <v>0.9</v>
      </c>
      <c r="G2000" s="920">
        <v>0</v>
      </c>
      <c r="H2000" s="920">
        <v>2.1</v>
      </c>
      <c r="I2000" s="1266">
        <f t="shared" si="186"/>
        <v>-1.89</v>
      </c>
      <c r="J2000" s="955" t="s">
        <v>102</v>
      </c>
      <c r="K2000" s="902"/>
      <c r="L2000" s="923"/>
      <c r="M2000" s="902"/>
      <c r="N2000" s="900" t="s">
        <v>2209</v>
      </c>
    </row>
    <row r="2001" spans="1:14" s="910" customFormat="1" ht="16.5" hidden="1" customHeight="1">
      <c r="A2001" s="896"/>
      <c r="B2001" s="902" t="s">
        <v>2354</v>
      </c>
      <c r="C2001" s="897">
        <v>1</v>
      </c>
      <c r="D2001" s="1263" t="s">
        <v>273</v>
      </c>
      <c r="E2001" s="919">
        <v>11</v>
      </c>
      <c r="F2001" s="920">
        <v>1.2</v>
      </c>
      <c r="G2001" s="920">
        <v>0</v>
      </c>
      <c r="H2001" s="920">
        <v>1.2</v>
      </c>
      <c r="I2001" s="1266">
        <f t="shared" si="186"/>
        <v>-15.84</v>
      </c>
      <c r="J2001" s="955" t="s">
        <v>102</v>
      </c>
      <c r="K2001" s="902"/>
      <c r="L2001" s="923"/>
      <c r="M2001" s="902"/>
      <c r="N2001" s="900" t="s">
        <v>2209</v>
      </c>
    </row>
    <row r="2002" spans="1:14" s="910" customFormat="1" ht="16.5" hidden="1" customHeight="1">
      <c r="A2002" s="896"/>
      <c r="B2002" s="902" t="s">
        <v>581</v>
      </c>
      <c r="C2002" s="897">
        <v>1</v>
      </c>
      <c r="D2002" s="1263" t="s">
        <v>273</v>
      </c>
      <c r="E2002" s="919">
        <v>12</v>
      </c>
      <c r="F2002" s="920">
        <v>0.6</v>
      </c>
      <c r="G2002" s="920">
        <v>0</v>
      </c>
      <c r="H2002" s="920">
        <v>0.3</v>
      </c>
      <c r="I2002" s="1266">
        <f t="shared" si="186"/>
        <v>-2.16</v>
      </c>
      <c r="J2002" s="955" t="s">
        <v>102</v>
      </c>
      <c r="K2002" s="902"/>
      <c r="L2002" s="923"/>
      <c r="M2002" s="902"/>
      <c r="N2002" s="900" t="s">
        <v>2209</v>
      </c>
    </row>
    <row r="2003" spans="1:14" s="910" customFormat="1" ht="16.5" hidden="1" customHeight="1">
      <c r="A2003" s="896"/>
      <c r="B2003" s="956"/>
      <c r="C2003" s="957"/>
      <c r="D2003" s="958"/>
      <c r="E2003" s="959"/>
      <c r="F2003" s="960"/>
      <c r="G2003" s="960"/>
      <c r="H2003" s="960"/>
      <c r="I2003" s="916"/>
      <c r="J2003" s="955"/>
      <c r="K2003" s="902"/>
      <c r="L2003" s="923"/>
      <c r="M2003" s="902"/>
      <c r="N2003" s="900" t="s">
        <v>2209</v>
      </c>
    </row>
    <row r="2004" spans="1:14" ht="15.75" hidden="1">
      <c r="A2004" s="896"/>
      <c r="B2004" s="902"/>
      <c r="C2004" s="917"/>
      <c r="D2004" s="918"/>
      <c r="E2004" s="919"/>
      <c r="F2004" s="920"/>
      <c r="G2004" s="921"/>
      <c r="H2004" s="896"/>
      <c r="I2004" s="916"/>
      <c r="J2004" s="955" t="s">
        <v>102</v>
      </c>
      <c r="K2004" s="922">
        <f>data!E811</f>
        <v>148.07</v>
      </c>
      <c r="L2004" s="923" t="s">
        <v>2209</v>
      </c>
      <c r="M2004" s="924">
        <f>ROUND(I2004*K2004,0)</f>
        <v>0</v>
      </c>
      <c r="N2004" s="900" t="s">
        <v>2209</v>
      </c>
    </row>
    <row r="2005" spans="1:14" ht="117.75" hidden="1" customHeight="1">
      <c r="A2005" s="896">
        <v>31</v>
      </c>
      <c r="B2005" s="1609" t="s">
        <v>891</v>
      </c>
      <c r="C2005" s="1609"/>
      <c r="D2005" s="1609"/>
      <c r="E2005" s="1609"/>
      <c r="F2005" s="1609"/>
      <c r="G2005" s="1609"/>
      <c r="H2005" s="1609"/>
      <c r="I2005" s="897"/>
      <c r="J2005" s="898"/>
      <c r="K2005" s="896"/>
      <c r="L2005" s="923"/>
      <c r="M2005" s="899"/>
      <c r="N2005" s="900" t="s">
        <v>2297</v>
      </c>
    </row>
    <row r="2006" spans="1:14" s="910" customFormat="1" ht="16.5" hidden="1" customHeight="1">
      <c r="A2006" s="896"/>
      <c r="B2006" s="902" t="s">
        <v>3762</v>
      </c>
      <c r="C2006" s="897"/>
      <c r="D2006" s="954" t="s">
        <v>3822</v>
      </c>
      <c r="E2006" s="919"/>
      <c r="F2006" s="920"/>
      <c r="G2006" s="920"/>
      <c r="H2006" s="920"/>
      <c r="I2006" s="1264"/>
      <c r="J2006" s="955"/>
      <c r="K2006" s="902"/>
      <c r="L2006" s="923"/>
      <c r="M2006" s="902"/>
      <c r="N2006" s="900" t="s">
        <v>2297</v>
      </c>
    </row>
    <row r="2007" spans="1:14" s="910" customFormat="1" ht="16.5" hidden="1" customHeight="1">
      <c r="A2007" s="896"/>
      <c r="B2007" s="902" t="s">
        <v>3764</v>
      </c>
      <c r="C2007" s="897">
        <v>1</v>
      </c>
      <c r="D2007" s="1263" t="s">
        <v>273</v>
      </c>
      <c r="E2007" s="919">
        <v>1</v>
      </c>
      <c r="F2007" s="920">
        <v>2.89</v>
      </c>
      <c r="G2007" s="920">
        <v>2.82</v>
      </c>
      <c r="H2007" s="920">
        <v>0</v>
      </c>
      <c r="I2007" s="1266">
        <f t="shared" ref="I2007:I2023" si="187">ROUND(IF(AND(F2007:H2007),C2007*E2007*F2007*G2007*H2007,IF(AND(F2007,G2007),C2007*E2007*F2007*G2007,IF(AND(F2007,H2007),C2007*E2007*F2007*H2007,IF(AND(G2007,H2007),C2007*E2007*G2007*H2007,IF(F2007,C2007*E2007*F2007,IF(G2007,C2007*E2007*G2007,IF(H2007,C2007*E2007*H2007,C2007*E2007))))))),2)</f>
        <v>8.15</v>
      </c>
      <c r="J2007" s="955" t="s">
        <v>102</v>
      </c>
      <c r="K2007" s="902"/>
      <c r="L2007" s="923"/>
      <c r="M2007" s="902"/>
      <c r="N2007" s="900" t="s">
        <v>2297</v>
      </c>
    </row>
    <row r="2008" spans="1:14" s="910" customFormat="1" ht="16.5" hidden="1" customHeight="1">
      <c r="A2008" s="896"/>
      <c r="B2008" s="902" t="s">
        <v>3763</v>
      </c>
      <c r="C2008" s="897">
        <v>1</v>
      </c>
      <c r="D2008" s="1263" t="s">
        <v>273</v>
      </c>
      <c r="E2008" s="919">
        <v>1</v>
      </c>
      <c r="F2008" s="920">
        <v>11.42</v>
      </c>
      <c r="G2008" s="920">
        <v>0</v>
      </c>
      <c r="H2008" s="920">
        <v>3.2</v>
      </c>
      <c r="I2008" s="1266">
        <f t="shared" si="187"/>
        <v>36.54</v>
      </c>
      <c r="J2008" s="955" t="s">
        <v>102</v>
      </c>
      <c r="K2008" s="902"/>
      <c r="L2008" s="923"/>
      <c r="M2008" s="902"/>
      <c r="N2008" s="900" t="s">
        <v>2297</v>
      </c>
    </row>
    <row r="2009" spans="1:14" s="910" customFormat="1" ht="16.5" hidden="1" customHeight="1">
      <c r="A2009" s="896"/>
      <c r="B2009" s="902" t="s">
        <v>3592</v>
      </c>
      <c r="C2009" s="897">
        <v>1</v>
      </c>
      <c r="D2009" s="1263" t="s">
        <v>273</v>
      </c>
      <c r="E2009" s="919">
        <v>1</v>
      </c>
      <c r="F2009" s="920">
        <v>1.36</v>
      </c>
      <c r="G2009" s="920">
        <v>1.63</v>
      </c>
      <c r="H2009" s="920">
        <v>0</v>
      </c>
      <c r="I2009" s="1266">
        <f t="shared" si="187"/>
        <v>2.2200000000000002</v>
      </c>
      <c r="J2009" s="955" t="s">
        <v>102</v>
      </c>
      <c r="K2009" s="902"/>
      <c r="L2009" s="923"/>
      <c r="M2009" s="902"/>
      <c r="N2009" s="900" t="s">
        <v>2297</v>
      </c>
    </row>
    <row r="2010" spans="1:14" s="910" customFormat="1" ht="16.5" hidden="1" customHeight="1">
      <c r="A2010" s="896"/>
      <c r="B2010" s="902"/>
      <c r="C2010" s="897">
        <v>1</v>
      </c>
      <c r="D2010" s="1263" t="s">
        <v>273</v>
      </c>
      <c r="E2010" s="919">
        <v>1</v>
      </c>
      <c r="F2010" s="920">
        <v>1.36</v>
      </c>
      <c r="G2010" s="920">
        <v>0.95</v>
      </c>
      <c r="H2010" s="920">
        <v>0</v>
      </c>
      <c r="I2010" s="1266">
        <f t="shared" si="187"/>
        <v>1.29</v>
      </c>
      <c r="J2010" s="955" t="s">
        <v>102</v>
      </c>
      <c r="K2010" s="902"/>
      <c r="L2010" s="923"/>
      <c r="M2010" s="902"/>
      <c r="N2010" s="900" t="s">
        <v>2297</v>
      </c>
    </row>
    <row r="2011" spans="1:14" s="910" customFormat="1" ht="16.5" hidden="1" customHeight="1">
      <c r="A2011" s="896"/>
      <c r="B2011" s="902" t="s">
        <v>3765</v>
      </c>
      <c r="C2011" s="897">
        <v>1</v>
      </c>
      <c r="D2011" s="1263" t="s">
        <v>273</v>
      </c>
      <c r="E2011" s="919">
        <v>1</v>
      </c>
      <c r="F2011" s="920">
        <v>2.34</v>
      </c>
      <c r="G2011" s="920">
        <v>2.82</v>
      </c>
      <c r="H2011" s="920">
        <v>0</v>
      </c>
      <c r="I2011" s="1266">
        <f t="shared" si="187"/>
        <v>6.6</v>
      </c>
      <c r="J2011" s="955" t="s">
        <v>102</v>
      </c>
      <c r="K2011" s="902"/>
      <c r="L2011" s="923"/>
      <c r="M2011" s="902"/>
      <c r="N2011" s="900" t="s">
        <v>2297</v>
      </c>
    </row>
    <row r="2012" spans="1:14" s="910" customFormat="1" ht="16.5" hidden="1" customHeight="1">
      <c r="A2012" s="896"/>
      <c r="B2012" s="902" t="s">
        <v>3763</v>
      </c>
      <c r="C2012" s="897">
        <v>1</v>
      </c>
      <c r="D2012" s="1263" t="s">
        <v>273</v>
      </c>
      <c r="E2012" s="919">
        <v>1</v>
      </c>
      <c r="F2012" s="920">
        <v>10.32</v>
      </c>
      <c r="G2012" s="920">
        <v>0</v>
      </c>
      <c r="H2012" s="920">
        <v>3.2</v>
      </c>
      <c r="I2012" s="1266">
        <f t="shared" si="187"/>
        <v>33.020000000000003</v>
      </c>
      <c r="J2012" s="955" t="s">
        <v>102</v>
      </c>
      <c r="K2012" s="902"/>
      <c r="L2012" s="923"/>
      <c r="M2012" s="902"/>
      <c r="N2012" s="900" t="s">
        <v>2297</v>
      </c>
    </row>
    <row r="2013" spans="1:14" s="910" customFormat="1" ht="16.5" hidden="1" customHeight="1">
      <c r="A2013" s="896"/>
      <c r="B2013" s="902" t="s">
        <v>3590</v>
      </c>
      <c r="C2013" s="897">
        <v>1</v>
      </c>
      <c r="D2013" s="1263" t="s">
        <v>273</v>
      </c>
      <c r="E2013" s="919">
        <v>1</v>
      </c>
      <c r="F2013" s="920">
        <v>2.75</v>
      </c>
      <c r="G2013" s="920">
        <v>2.82</v>
      </c>
      <c r="H2013" s="920">
        <v>0</v>
      </c>
      <c r="I2013" s="1266">
        <f t="shared" si="187"/>
        <v>7.76</v>
      </c>
      <c r="J2013" s="955" t="s">
        <v>102</v>
      </c>
      <c r="K2013" s="902"/>
      <c r="L2013" s="923"/>
      <c r="M2013" s="902"/>
      <c r="N2013" s="900" t="s">
        <v>2297</v>
      </c>
    </row>
    <row r="2014" spans="1:14" s="910" customFormat="1" ht="16.5" hidden="1" customHeight="1">
      <c r="A2014" s="896"/>
      <c r="B2014" s="902" t="s">
        <v>3763</v>
      </c>
      <c r="C2014" s="897">
        <v>1</v>
      </c>
      <c r="D2014" s="1263" t="s">
        <v>273</v>
      </c>
      <c r="E2014" s="919">
        <v>1</v>
      </c>
      <c r="F2014" s="920">
        <v>11.14</v>
      </c>
      <c r="G2014" s="920">
        <v>0</v>
      </c>
      <c r="H2014" s="920">
        <v>3.2</v>
      </c>
      <c r="I2014" s="1266">
        <f t="shared" si="187"/>
        <v>35.65</v>
      </c>
      <c r="J2014" s="955" t="s">
        <v>102</v>
      </c>
      <c r="K2014" s="902"/>
      <c r="L2014" s="923"/>
      <c r="M2014" s="902"/>
      <c r="N2014" s="900" t="s">
        <v>2297</v>
      </c>
    </row>
    <row r="2015" spans="1:14" s="910" customFormat="1" ht="16.5" hidden="1" customHeight="1">
      <c r="A2015" s="896"/>
      <c r="B2015" s="902" t="s">
        <v>3592</v>
      </c>
      <c r="C2015" s="897">
        <v>1</v>
      </c>
      <c r="D2015" s="1263" t="s">
        <v>273</v>
      </c>
      <c r="E2015" s="919">
        <v>1</v>
      </c>
      <c r="F2015" s="920">
        <v>1.36</v>
      </c>
      <c r="G2015" s="920">
        <v>1.95</v>
      </c>
      <c r="H2015" s="920">
        <v>0</v>
      </c>
      <c r="I2015" s="1266">
        <f t="shared" si="187"/>
        <v>2.65</v>
      </c>
      <c r="J2015" s="955" t="s">
        <v>102</v>
      </c>
      <c r="K2015" s="902"/>
      <c r="L2015" s="923"/>
      <c r="M2015" s="902"/>
      <c r="N2015" s="900" t="s">
        <v>2297</v>
      </c>
    </row>
    <row r="2016" spans="1:14" s="910" customFormat="1" ht="16.5" hidden="1" customHeight="1">
      <c r="A2016" s="896"/>
      <c r="B2016" s="902"/>
      <c r="C2016" s="897">
        <v>1</v>
      </c>
      <c r="D2016" s="1263" t="s">
        <v>273</v>
      </c>
      <c r="E2016" s="919">
        <v>1</v>
      </c>
      <c r="F2016" s="920">
        <v>1.36</v>
      </c>
      <c r="G2016" s="920">
        <v>0.6</v>
      </c>
      <c r="H2016" s="920">
        <v>0</v>
      </c>
      <c r="I2016" s="1266">
        <f t="shared" si="187"/>
        <v>0.82</v>
      </c>
      <c r="J2016" s="955" t="s">
        <v>102</v>
      </c>
      <c r="K2016" s="902"/>
      <c r="L2016" s="923"/>
      <c r="M2016" s="902"/>
      <c r="N2016" s="900" t="s">
        <v>2297</v>
      </c>
    </row>
    <row r="2017" spans="1:14" s="910" customFormat="1" ht="16.5" hidden="1" customHeight="1">
      <c r="A2017" s="896"/>
      <c r="B2017" s="902" t="s">
        <v>3591</v>
      </c>
      <c r="C2017" s="897">
        <v>1</v>
      </c>
      <c r="D2017" s="1263" t="s">
        <v>273</v>
      </c>
      <c r="E2017" s="919">
        <v>1</v>
      </c>
      <c r="F2017" s="920">
        <v>1.83</v>
      </c>
      <c r="G2017" s="920">
        <v>2.82</v>
      </c>
      <c r="H2017" s="920">
        <v>0</v>
      </c>
      <c r="I2017" s="1266">
        <f t="shared" si="187"/>
        <v>5.16</v>
      </c>
      <c r="J2017" s="955" t="s">
        <v>102</v>
      </c>
      <c r="K2017" s="902"/>
      <c r="L2017" s="923"/>
      <c r="M2017" s="902"/>
      <c r="N2017" s="900" t="s">
        <v>2297</v>
      </c>
    </row>
    <row r="2018" spans="1:14" s="910" customFormat="1" ht="16.5" hidden="1" customHeight="1">
      <c r="A2018" s="896"/>
      <c r="B2018" s="902" t="s">
        <v>3763</v>
      </c>
      <c r="C2018" s="897">
        <v>1</v>
      </c>
      <c r="D2018" s="1263" t="s">
        <v>273</v>
      </c>
      <c r="E2018" s="919">
        <v>1</v>
      </c>
      <c r="F2018" s="920">
        <v>9.3000000000000007</v>
      </c>
      <c r="G2018" s="920">
        <v>0</v>
      </c>
      <c r="H2018" s="920">
        <v>3.2</v>
      </c>
      <c r="I2018" s="1266">
        <f t="shared" si="187"/>
        <v>29.76</v>
      </c>
      <c r="J2018" s="955" t="s">
        <v>102</v>
      </c>
      <c r="K2018" s="902"/>
      <c r="L2018" s="923"/>
      <c r="M2018" s="902"/>
      <c r="N2018" s="900" t="s">
        <v>2297</v>
      </c>
    </row>
    <row r="2019" spans="1:14" s="910" customFormat="1" ht="16.5" hidden="1" customHeight="1">
      <c r="A2019" s="896"/>
      <c r="B2019" s="902" t="s">
        <v>3766</v>
      </c>
      <c r="C2019" s="897">
        <v>1</v>
      </c>
      <c r="D2019" s="1263" t="s">
        <v>273</v>
      </c>
      <c r="E2019" s="919">
        <v>1</v>
      </c>
      <c r="F2019" s="920">
        <v>3.93</v>
      </c>
      <c r="G2019" s="920">
        <v>0</v>
      </c>
      <c r="H2019" s="920">
        <v>3.2</v>
      </c>
      <c r="I2019" s="1266">
        <f t="shared" si="187"/>
        <v>12.58</v>
      </c>
      <c r="J2019" s="955" t="s">
        <v>102</v>
      </c>
      <c r="K2019" s="902"/>
      <c r="L2019" s="923"/>
      <c r="M2019" s="902"/>
      <c r="N2019" s="900" t="s">
        <v>2297</v>
      </c>
    </row>
    <row r="2020" spans="1:14" s="910" customFormat="1" ht="16.5" hidden="1" customHeight="1">
      <c r="A2020" s="896"/>
      <c r="B2020" s="902" t="s">
        <v>3767</v>
      </c>
      <c r="C2020" s="897">
        <v>1</v>
      </c>
      <c r="D2020" s="1263" t="s">
        <v>273</v>
      </c>
      <c r="E2020" s="919">
        <v>1</v>
      </c>
      <c r="F2020" s="920">
        <v>6.68</v>
      </c>
      <c r="G2020" s="920">
        <v>3</v>
      </c>
      <c r="H2020" s="920">
        <v>0</v>
      </c>
      <c r="I2020" s="1266">
        <f t="shared" si="187"/>
        <v>20.04</v>
      </c>
      <c r="J2020" s="955" t="s">
        <v>102</v>
      </c>
      <c r="K2020" s="902"/>
      <c r="L2020" s="923"/>
      <c r="M2020" s="902"/>
      <c r="N2020" s="900" t="s">
        <v>2297</v>
      </c>
    </row>
    <row r="2021" spans="1:14" s="910" customFormat="1" ht="16.5" hidden="1" customHeight="1">
      <c r="A2021" s="896"/>
      <c r="B2021" s="902" t="s">
        <v>3763</v>
      </c>
      <c r="C2021" s="897">
        <v>1</v>
      </c>
      <c r="D2021" s="1263" t="s">
        <v>273</v>
      </c>
      <c r="E2021" s="919">
        <v>1</v>
      </c>
      <c r="F2021" s="920">
        <v>19.36</v>
      </c>
      <c r="G2021" s="920">
        <v>0</v>
      </c>
      <c r="H2021" s="920">
        <v>3.2</v>
      </c>
      <c r="I2021" s="1266">
        <f t="shared" si="187"/>
        <v>61.95</v>
      </c>
      <c r="J2021" s="955" t="s">
        <v>102</v>
      </c>
      <c r="K2021" s="902"/>
      <c r="L2021" s="923"/>
      <c r="M2021" s="902"/>
      <c r="N2021" s="900" t="s">
        <v>2297</v>
      </c>
    </row>
    <row r="2022" spans="1:14" s="910" customFormat="1" ht="16.5" hidden="1" customHeight="1">
      <c r="A2022" s="896"/>
      <c r="B2022" s="902" t="s">
        <v>3589</v>
      </c>
      <c r="C2022" s="897">
        <v>1</v>
      </c>
      <c r="D2022" s="1263" t="s">
        <v>273</v>
      </c>
      <c r="E2022" s="919">
        <v>1</v>
      </c>
      <c r="F2022" s="920">
        <v>6.17</v>
      </c>
      <c r="G2022" s="920">
        <v>3</v>
      </c>
      <c r="H2022" s="920">
        <v>0</v>
      </c>
      <c r="I2022" s="1266">
        <f t="shared" si="187"/>
        <v>18.510000000000002</v>
      </c>
      <c r="J2022" s="955" t="s">
        <v>102</v>
      </c>
      <c r="K2022" s="902"/>
      <c r="L2022" s="923"/>
      <c r="M2022" s="902"/>
      <c r="N2022" s="900" t="s">
        <v>2297</v>
      </c>
    </row>
    <row r="2023" spans="1:14" s="910" customFormat="1" ht="16.5" hidden="1" customHeight="1">
      <c r="A2023" s="896"/>
      <c r="B2023" s="902" t="s">
        <v>3763</v>
      </c>
      <c r="C2023" s="897">
        <v>1</v>
      </c>
      <c r="D2023" s="1263" t="s">
        <v>273</v>
      </c>
      <c r="E2023" s="919">
        <v>1</v>
      </c>
      <c r="F2023" s="920">
        <v>18.34</v>
      </c>
      <c r="G2023" s="920">
        <v>0</v>
      </c>
      <c r="H2023" s="920">
        <v>3.2</v>
      </c>
      <c r="I2023" s="1266">
        <f t="shared" si="187"/>
        <v>58.69</v>
      </c>
      <c r="J2023" s="955" t="s">
        <v>102</v>
      </c>
      <c r="K2023" s="902"/>
      <c r="L2023" s="923"/>
      <c r="M2023" s="902"/>
      <c r="N2023" s="900" t="s">
        <v>2297</v>
      </c>
    </row>
    <row r="2024" spans="1:14" s="910" customFormat="1" ht="16.5" hidden="1" customHeight="1">
      <c r="A2024" s="896"/>
      <c r="B2024" s="902" t="s">
        <v>579</v>
      </c>
      <c r="C2024" s="897">
        <v>1</v>
      </c>
      <c r="D2024" s="1263" t="s">
        <v>273</v>
      </c>
      <c r="E2024" s="919">
        <v>1</v>
      </c>
      <c r="F2024" s="920">
        <v>1.2</v>
      </c>
      <c r="G2024" s="920">
        <v>0</v>
      </c>
      <c r="H2024" s="920">
        <v>2.1</v>
      </c>
      <c r="I2024" s="1266">
        <f>-ROUND(IF(AND(F2024:H2024),C2024*E2024*F2024*G2024*H2024,IF(AND(F2024,G2024),C2024*E2024*F2024*G2024,IF(AND(F2024,H2024),C2024*E2024*F2024*H2024,IF(AND(G2024,H2024),C2024*E2024*G2024*H2024,IF(F2024,C2024*E2024*F2024,IF(G2024,C2024*E2024*G2024,IF(H2024,C2024*E2024*H2024,C2024*E2024))))))),2)</f>
        <v>-2.52</v>
      </c>
      <c r="J2024" s="955" t="s">
        <v>102</v>
      </c>
      <c r="K2024" s="902"/>
      <c r="L2024" s="923"/>
      <c r="M2024" s="902"/>
      <c r="N2024" s="900" t="s">
        <v>2297</v>
      </c>
    </row>
    <row r="2025" spans="1:14" s="910" customFormat="1" ht="16.5" hidden="1" customHeight="1">
      <c r="A2025" s="896"/>
      <c r="B2025" s="902" t="s">
        <v>579</v>
      </c>
      <c r="C2025" s="897">
        <v>1</v>
      </c>
      <c r="D2025" s="1263" t="s">
        <v>273</v>
      </c>
      <c r="E2025" s="919">
        <v>1</v>
      </c>
      <c r="F2025" s="920">
        <v>0.9</v>
      </c>
      <c r="G2025" s="920">
        <v>0</v>
      </c>
      <c r="H2025" s="920">
        <v>2.1</v>
      </c>
      <c r="I2025" s="1266">
        <f t="shared" ref="I2025:I2030" si="188">-ROUND(IF(AND(F2025:H2025),C2025*E2025*F2025*G2025*H2025,IF(AND(F2025,G2025),C2025*E2025*F2025*G2025,IF(AND(F2025,H2025),C2025*E2025*F2025*H2025,IF(AND(G2025,H2025),C2025*E2025*G2025*H2025,IF(F2025,C2025*E2025*F2025,IF(G2025,C2025*E2025*G2025,IF(H2025,C2025*E2025*H2025,C2025*E2025))))))),2)</f>
        <v>-1.89</v>
      </c>
      <c r="J2025" s="955" t="s">
        <v>102</v>
      </c>
      <c r="K2025" s="902"/>
      <c r="L2025" s="923"/>
      <c r="M2025" s="902"/>
      <c r="N2025" s="900" t="s">
        <v>2297</v>
      </c>
    </row>
    <row r="2026" spans="1:14" s="910" customFormat="1" ht="16.5" hidden="1" customHeight="1">
      <c r="A2026" s="896"/>
      <c r="B2026" s="902" t="s">
        <v>579</v>
      </c>
      <c r="C2026" s="897">
        <v>2</v>
      </c>
      <c r="D2026" s="1263" t="s">
        <v>273</v>
      </c>
      <c r="E2026" s="919">
        <v>4</v>
      </c>
      <c r="F2026" s="920">
        <v>0.9</v>
      </c>
      <c r="G2026" s="920">
        <v>0</v>
      </c>
      <c r="H2026" s="920">
        <v>2.1</v>
      </c>
      <c r="I2026" s="1266">
        <f t="shared" si="188"/>
        <v>-15.12</v>
      </c>
      <c r="J2026" s="955" t="s">
        <v>102</v>
      </c>
      <c r="K2026" s="902"/>
      <c r="L2026" s="923"/>
      <c r="M2026" s="902"/>
      <c r="N2026" s="900" t="s">
        <v>2297</v>
      </c>
    </row>
    <row r="2027" spans="1:14" s="910" customFormat="1" ht="16.5" hidden="1" customHeight="1">
      <c r="A2027" s="896"/>
      <c r="B2027" s="902" t="s">
        <v>579</v>
      </c>
      <c r="C2027" s="897">
        <v>1</v>
      </c>
      <c r="D2027" s="1263" t="s">
        <v>273</v>
      </c>
      <c r="E2027" s="919">
        <v>1</v>
      </c>
      <c r="F2027" s="920">
        <v>0.75</v>
      </c>
      <c r="G2027" s="920">
        <v>0</v>
      </c>
      <c r="H2027" s="920">
        <v>2.1</v>
      </c>
      <c r="I2027" s="1266">
        <f t="shared" si="188"/>
        <v>-1.58</v>
      </c>
      <c r="J2027" s="955" t="s">
        <v>102</v>
      </c>
      <c r="K2027" s="902"/>
      <c r="L2027" s="923"/>
      <c r="M2027" s="902"/>
      <c r="N2027" s="900" t="s">
        <v>2297</v>
      </c>
    </row>
    <row r="2028" spans="1:14" s="910" customFormat="1" ht="16.5" hidden="1" customHeight="1">
      <c r="A2028" s="896"/>
      <c r="B2028" s="902" t="s">
        <v>579</v>
      </c>
      <c r="C2028" s="897">
        <v>1</v>
      </c>
      <c r="D2028" s="1263" t="s">
        <v>273</v>
      </c>
      <c r="E2028" s="919">
        <v>2</v>
      </c>
      <c r="F2028" s="920">
        <v>0.75</v>
      </c>
      <c r="G2028" s="920">
        <v>0</v>
      </c>
      <c r="H2028" s="920">
        <v>2.1</v>
      </c>
      <c r="I2028" s="1266">
        <f t="shared" si="188"/>
        <v>-3.15</v>
      </c>
      <c r="J2028" s="955" t="s">
        <v>102</v>
      </c>
      <c r="K2028" s="902"/>
      <c r="L2028" s="923"/>
      <c r="M2028" s="902"/>
      <c r="N2028" s="900" t="s">
        <v>2297</v>
      </c>
    </row>
    <row r="2029" spans="1:14" s="910" customFormat="1" ht="16.5" hidden="1" customHeight="1">
      <c r="A2029" s="896"/>
      <c r="B2029" s="902" t="s">
        <v>2354</v>
      </c>
      <c r="C2029" s="897">
        <v>1</v>
      </c>
      <c r="D2029" s="1263" t="s">
        <v>273</v>
      </c>
      <c r="E2029" s="919">
        <v>8</v>
      </c>
      <c r="F2029" s="920">
        <v>1.2</v>
      </c>
      <c r="G2029" s="920">
        <v>0</v>
      </c>
      <c r="H2029" s="920">
        <v>1.2</v>
      </c>
      <c r="I2029" s="1266">
        <f t="shared" si="188"/>
        <v>-11.52</v>
      </c>
      <c r="J2029" s="955" t="s">
        <v>102</v>
      </c>
      <c r="K2029" s="902"/>
      <c r="L2029" s="923"/>
      <c r="M2029" s="902"/>
      <c r="N2029" s="900" t="s">
        <v>2297</v>
      </c>
    </row>
    <row r="2030" spans="1:14" s="910" customFormat="1" ht="16.5" hidden="1" customHeight="1">
      <c r="A2030" s="896"/>
      <c r="B2030" s="902" t="s">
        <v>581</v>
      </c>
      <c r="C2030" s="897">
        <v>1</v>
      </c>
      <c r="D2030" s="1263" t="s">
        <v>273</v>
      </c>
      <c r="E2030" s="919">
        <v>14</v>
      </c>
      <c r="F2030" s="920">
        <v>0.6</v>
      </c>
      <c r="G2030" s="920">
        <v>0</v>
      </c>
      <c r="H2030" s="920">
        <v>0.3</v>
      </c>
      <c r="I2030" s="1266">
        <f t="shared" si="188"/>
        <v>-2.52</v>
      </c>
      <c r="J2030" s="955" t="s">
        <v>102</v>
      </c>
      <c r="K2030" s="902"/>
      <c r="L2030" s="923"/>
      <c r="M2030" s="902"/>
      <c r="N2030" s="900" t="s">
        <v>2297</v>
      </c>
    </row>
    <row r="2031" spans="1:14" s="910" customFormat="1" ht="16.5" hidden="1" customHeight="1">
      <c r="A2031" s="896"/>
      <c r="B2031" s="902" t="s">
        <v>3766</v>
      </c>
      <c r="C2031" s="897">
        <v>1</v>
      </c>
      <c r="D2031" s="1263" t="s">
        <v>273</v>
      </c>
      <c r="E2031" s="919">
        <v>1</v>
      </c>
      <c r="F2031" s="920">
        <v>4.63</v>
      </c>
      <c r="G2031" s="920">
        <v>0</v>
      </c>
      <c r="H2031" s="920">
        <v>3.2</v>
      </c>
      <c r="I2031" s="1266">
        <f t="shared" ref="I2031" si="189">ROUND(IF(AND(F2031:H2031),C2031*E2031*F2031*G2031*H2031,IF(AND(F2031,G2031),C2031*E2031*F2031*G2031,IF(AND(F2031,H2031),C2031*E2031*F2031*H2031,IF(AND(G2031,H2031),C2031*E2031*G2031*H2031,IF(F2031,C2031*E2031*F2031,IF(G2031,C2031*E2031*G2031,IF(H2031,C2031*E2031*H2031,C2031*E2031))))))),2)</f>
        <v>14.82</v>
      </c>
      <c r="J2031" s="955" t="s">
        <v>102</v>
      </c>
      <c r="K2031" s="902"/>
      <c r="L2031" s="923"/>
      <c r="M2031" s="902"/>
      <c r="N2031" s="900" t="s">
        <v>2297</v>
      </c>
    </row>
    <row r="2032" spans="1:14" s="910" customFormat="1" ht="16.5" hidden="1" customHeight="1">
      <c r="A2032" s="896"/>
      <c r="B2032" s="956"/>
      <c r="C2032" s="957"/>
      <c r="D2032" s="958"/>
      <c r="E2032" s="959"/>
      <c r="F2032" s="960"/>
      <c r="G2032" s="960"/>
      <c r="H2032" s="960"/>
      <c r="I2032" s="916"/>
      <c r="J2032" s="955"/>
      <c r="K2032" s="902"/>
      <c r="L2032" s="923"/>
      <c r="M2032" s="902"/>
      <c r="N2032" s="900" t="s">
        <v>2297</v>
      </c>
    </row>
    <row r="2033" spans="1:14" ht="15.75" hidden="1">
      <c r="A2033" s="896"/>
      <c r="B2033" s="902"/>
      <c r="C2033" s="917"/>
      <c r="D2033" s="918"/>
      <c r="E2033" s="919"/>
      <c r="F2033" s="920"/>
      <c r="G2033" s="921"/>
      <c r="H2033" s="896"/>
      <c r="I2033" s="916"/>
      <c r="J2033" s="955" t="s">
        <v>102</v>
      </c>
      <c r="K2033" s="922">
        <f>data!E1728</f>
        <v>155.29</v>
      </c>
      <c r="L2033" s="923" t="s">
        <v>2297</v>
      </c>
      <c r="M2033" s="924">
        <f>ROUND(I2033*K2033,0)</f>
        <v>0</v>
      </c>
      <c r="N2033" s="900" t="s">
        <v>2297</v>
      </c>
    </row>
    <row r="2034" spans="1:14" ht="117.75" hidden="1" customHeight="1">
      <c r="A2034" s="896">
        <v>29</v>
      </c>
      <c r="B2034" s="1609" t="s">
        <v>891</v>
      </c>
      <c r="C2034" s="1609"/>
      <c r="D2034" s="1609"/>
      <c r="E2034" s="1609"/>
      <c r="F2034" s="1609"/>
      <c r="G2034" s="1609"/>
      <c r="H2034" s="1609"/>
      <c r="I2034" s="897"/>
      <c r="J2034" s="898"/>
      <c r="K2034" s="896"/>
      <c r="L2034" s="923"/>
      <c r="M2034" s="899"/>
      <c r="N2034" s="900" t="s">
        <v>2308</v>
      </c>
    </row>
    <row r="2035" spans="1:14" s="910" customFormat="1" ht="16.5" hidden="1" customHeight="1">
      <c r="A2035" s="896"/>
      <c r="B2035" s="902" t="s">
        <v>3570</v>
      </c>
      <c r="C2035" s="897"/>
      <c r="D2035" s="1263"/>
      <c r="E2035" s="919"/>
      <c r="F2035" s="920"/>
      <c r="G2035" s="920"/>
      <c r="H2035" s="920"/>
      <c r="I2035" s="1264"/>
      <c r="J2035" s="955"/>
      <c r="K2035" s="902"/>
      <c r="L2035" s="923"/>
      <c r="M2035" s="902"/>
      <c r="N2035" s="900" t="s">
        <v>2308</v>
      </c>
    </row>
    <row r="2036" spans="1:14" s="910" customFormat="1" ht="16.5" hidden="1" customHeight="1">
      <c r="A2036" s="896"/>
      <c r="B2036" s="911" t="s">
        <v>2360</v>
      </c>
      <c r="C2036" s="912">
        <v>1</v>
      </c>
      <c r="D2036" s="913" t="s">
        <v>273</v>
      </c>
      <c r="E2036" s="914">
        <v>1</v>
      </c>
      <c r="F2036" s="915">
        <v>11.26</v>
      </c>
      <c r="G2036" s="915">
        <v>0</v>
      </c>
      <c r="H2036" s="915">
        <v>3.2</v>
      </c>
      <c r="I2036" s="916">
        <f t="shared" ref="I2036:I2052" si="190">ROUND(IF(AND(F2036:H2036),C2036*E2036*F2036*G2036*H2036,IF(AND(F2036,G2036),C2036*E2036*F2036*G2036,IF(AND(F2036,H2036),C2036*E2036*F2036*H2036,IF(AND(G2036,H2036),C2036*E2036*G2036*H2036,IF(F2036,C2036*E2036*F2036,IF(G2036,C2036*E2036*G2036,IF(H2036,C2036*E2036*H2036,C2036*E2036))))))),2)</f>
        <v>36.03</v>
      </c>
      <c r="J2036" s="955" t="s">
        <v>102</v>
      </c>
      <c r="K2036" s="902"/>
      <c r="L2036" s="923"/>
      <c r="M2036" s="902"/>
      <c r="N2036" s="900" t="s">
        <v>2308</v>
      </c>
    </row>
    <row r="2037" spans="1:14" s="910" customFormat="1" ht="16.5" hidden="1" customHeight="1">
      <c r="A2037" s="896"/>
      <c r="B2037" s="911" t="s">
        <v>2354</v>
      </c>
      <c r="C2037" s="912">
        <v>1</v>
      </c>
      <c r="D2037" s="913" t="s">
        <v>273</v>
      </c>
      <c r="E2037" s="914">
        <v>1</v>
      </c>
      <c r="F2037" s="915">
        <v>11.26</v>
      </c>
      <c r="G2037" s="915">
        <v>0</v>
      </c>
      <c r="H2037" s="915">
        <v>3.2</v>
      </c>
      <c r="I2037" s="916">
        <f t="shared" si="190"/>
        <v>36.03</v>
      </c>
      <c r="J2037" s="955" t="s">
        <v>102</v>
      </c>
      <c r="K2037" s="902"/>
      <c r="L2037" s="923"/>
      <c r="M2037" s="902"/>
      <c r="N2037" s="900" t="s">
        <v>2308</v>
      </c>
    </row>
    <row r="2038" spans="1:14" s="910" customFormat="1" ht="16.5" hidden="1" customHeight="1">
      <c r="A2038" s="896"/>
      <c r="B2038" s="911" t="s">
        <v>581</v>
      </c>
      <c r="C2038" s="912">
        <v>1</v>
      </c>
      <c r="D2038" s="913" t="s">
        <v>273</v>
      </c>
      <c r="E2038" s="914">
        <v>1</v>
      </c>
      <c r="F2038" s="915">
        <v>11.26</v>
      </c>
      <c r="G2038" s="915">
        <v>0</v>
      </c>
      <c r="H2038" s="915">
        <v>3.2</v>
      </c>
      <c r="I2038" s="916">
        <f t="shared" si="190"/>
        <v>36.03</v>
      </c>
      <c r="J2038" s="955" t="s">
        <v>102</v>
      </c>
      <c r="K2038" s="902"/>
      <c r="L2038" s="923"/>
      <c r="M2038" s="902"/>
      <c r="N2038" s="900" t="s">
        <v>2308</v>
      </c>
    </row>
    <row r="2039" spans="1:14" s="910" customFormat="1" ht="16.5" hidden="1" customHeight="1">
      <c r="A2039" s="896"/>
      <c r="B2039" s="911" t="s">
        <v>579</v>
      </c>
      <c r="C2039" s="912">
        <v>1</v>
      </c>
      <c r="D2039" s="913" t="s">
        <v>273</v>
      </c>
      <c r="E2039" s="914">
        <v>1</v>
      </c>
      <c r="F2039" s="915">
        <v>11.26</v>
      </c>
      <c r="G2039" s="915">
        <v>0</v>
      </c>
      <c r="H2039" s="915">
        <v>3.2</v>
      </c>
      <c r="I2039" s="916">
        <f t="shared" si="190"/>
        <v>36.03</v>
      </c>
      <c r="J2039" s="955" t="s">
        <v>102</v>
      </c>
      <c r="K2039" s="902"/>
      <c r="L2039" s="923"/>
      <c r="M2039" s="902"/>
      <c r="N2039" s="900" t="s">
        <v>2308</v>
      </c>
    </row>
    <row r="2040" spans="1:14" s="910" customFormat="1" ht="16.5" hidden="1" customHeight="1">
      <c r="A2040" s="896"/>
      <c r="B2040" s="911" t="s">
        <v>2494</v>
      </c>
      <c r="C2040" s="912">
        <v>1</v>
      </c>
      <c r="D2040" s="913" t="s">
        <v>273</v>
      </c>
      <c r="E2040" s="914">
        <v>1</v>
      </c>
      <c r="F2040" s="915">
        <v>11.26</v>
      </c>
      <c r="G2040" s="915">
        <v>0</v>
      </c>
      <c r="H2040" s="915">
        <v>3.2</v>
      </c>
      <c r="I2040" s="916">
        <f t="shared" si="190"/>
        <v>36.03</v>
      </c>
      <c r="J2040" s="955" t="s">
        <v>102</v>
      </c>
      <c r="K2040" s="902"/>
      <c r="L2040" s="923"/>
      <c r="M2040" s="902"/>
      <c r="N2040" s="900" t="s">
        <v>2308</v>
      </c>
    </row>
    <row r="2041" spans="1:14" s="910" customFormat="1" ht="16.5" hidden="1" customHeight="1">
      <c r="A2041" s="896"/>
      <c r="B2041" s="911" t="s">
        <v>2495</v>
      </c>
      <c r="C2041" s="912">
        <v>1</v>
      </c>
      <c r="D2041" s="913" t="s">
        <v>273</v>
      </c>
      <c r="E2041" s="914">
        <v>1</v>
      </c>
      <c r="F2041" s="915">
        <v>11.26</v>
      </c>
      <c r="G2041" s="915">
        <v>0</v>
      </c>
      <c r="H2041" s="915">
        <v>3.2</v>
      </c>
      <c r="I2041" s="916">
        <f t="shared" si="190"/>
        <v>36.03</v>
      </c>
      <c r="J2041" s="955" t="s">
        <v>102</v>
      </c>
      <c r="K2041" s="902"/>
      <c r="L2041" s="923"/>
      <c r="M2041" s="902"/>
      <c r="N2041" s="900" t="s">
        <v>2308</v>
      </c>
    </row>
    <row r="2042" spans="1:14" s="910" customFormat="1" ht="16.5" hidden="1" customHeight="1">
      <c r="A2042" s="896"/>
      <c r="B2042" s="911" t="s">
        <v>2495</v>
      </c>
      <c r="C2042" s="912">
        <v>1</v>
      </c>
      <c r="D2042" s="913" t="s">
        <v>273</v>
      </c>
      <c r="E2042" s="914">
        <v>1</v>
      </c>
      <c r="F2042" s="915">
        <v>11.26</v>
      </c>
      <c r="G2042" s="915">
        <v>0</v>
      </c>
      <c r="H2042" s="915">
        <v>3.2</v>
      </c>
      <c r="I2042" s="916">
        <f t="shared" si="190"/>
        <v>36.03</v>
      </c>
      <c r="J2042" s="955" t="s">
        <v>102</v>
      </c>
      <c r="K2042" s="902"/>
      <c r="L2042" s="923"/>
      <c r="M2042" s="902"/>
      <c r="N2042" s="900" t="s">
        <v>2308</v>
      </c>
    </row>
    <row r="2043" spans="1:14" s="910" customFormat="1" ht="16.5" hidden="1" customHeight="1">
      <c r="A2043" s="896"/>
      <c r="B2043" s="911" t="s">
        <v>581</v>
      </c>
      <c r="C2043" s="912">
        <v>1</v>
      </c>
      <c r="D2043" s="913" t="s">
        <v>273</v>
      </c>
      <c r="E2043" s="914">
        <v>1</v>
      </c>
      <c r="F2043" s="915">
        <v>11.26</v>
      </c>
      <c r="G2043" s="915">
        <v>0</v>
      </c>
      <c r="H2043" s="915">
        <v>3.2</v>
      </c>
      <c r="I2043" s="916">
        <f t="shared" si="190"/>
        <v>36.03</v>
      </c>
      <c r="J2043" s="955" t="s">
        <v>102</v>
      </c>
      <c r="K2043" s="902"/>
      <c r="L2043" s="923"/>
      <c r="M2043" s="902"/>
      <c r="N2043" s="900" t="s">
        <v>2308</v>
      </c>
    </row>
    <row r="2044" spans="1:14" s="910" customFormat="1" ht="16.5" hidden="1" customHeight="1">
      <c r="A2044" s="896"/>
      <c r="B2044" s="911" t="s">
        <v>581</v>
      </c>
      <c r="C2044" s="912">
        <v>1</v>
      </c>
      <c r="D2044" s="913" t="s">
        <v>273</v>
      </c>
      <c r="E2044" s="914">
        <v>1</v>
      </c>
      <c r="F2044" s="915">
        <v>11.26</v>
      </c>
      <c r="G2044" s="915">
        <v>0</v>
      </c>
      <c r="H2044" s="915">
        <v>3.2</v>
      </c>
      <c r="I2044" s="916">
        <f t="shared" si="190"/>
        <v>36.03</v>
      </c>
      <c r="J2044" s="955" t="s">
        <v>102</v>
      </c>
      <c r="K2044" s="902"/>
      <c r="L2044" s="923"/>
      <c r="M2044" s="902"/>
      <c r="N2044" s="900" t="s">
        <v>2308</v>
      </c>
    </row>
    <row r="2045" spans="1:14" s="910" customFormat="1" ht="16.5" hidden="1" customHeight="1">
      <c r="A2045" s="896"/>
      <c r="B2045" s="911" t="s">
        <v>2354</v>
      </c>
      <c r="C2045" s="912">
        <v>1</v>
      </c>
      <c r="D2045" s="913" t="s">
        <v>273</v>
      </c>
      <c r="E2045" s="914">
        <v>1</v>
      </c>
      <c r="F2045" s="915">
        <v>11.26</v>
      </c>
      <c r="G2045" s="915">
        <v>0</v>
      </c>
      <c r="H2045" s="915">
        <v>3.2</v>
      </c>
      <c r="I2045" s="916">
        <f t="shared" si="190"/>
        <v>36.03</v>
      </c>
      <c r="J2045" s="955" t="s">
        <v>102</v>
      </c>
      <c r="K2045" s="902"/>
      <c r="L2045" s="923"/>
      <c r="M2045" s="902"/>
      <c r="N2045" s="900" t="s">
        <v>2308</v>
      </c>
    </row>
    <row r="2046" spans="1:14" s="910" customFormat="1" ht="16.5" hidden="1" customHeight="1">
      <c r="A2046" s="896"/>
      <c r="B2046" s="911" t="s">
        <v>2355</v>
      </c>
      <c r="C2046" s="912">
        <v>1</v>
      </c>
      <c r="D2046" s="913" t="s">
        <v>273</v>
      </c>
      <c r="E2046" s="914">
        <v>1</v>
      </c>
      <c r="F2046" s="915">
        <v>11.26</v>
      </c>
      <c r="G2046" s="915">
        <v>0</v>
      </c>
      <c r="H2046" s="915">
        <v>3.2</v>
      </c>
      <c r="I2046" s="916">
        <f t="shared" si="190"/>
        <v>36.03</v>
      </c>
      <c r="J2046" s="955" t="s">
        <v>102</v>
      </c>
      <c r="K2046" s="902"/>
      <c r="L2046" s="923"/>
      <c r="M2046" s="902"/>
      <c r="N2046" s="900" t="s">
        <v>2308</v>
      </c>
    </row>
    <row r="2047" spans="1:14" s="910" customFormat="1" ht="16.5" hidden="1" customHeight="1">
      <c r="A2047" s="896"/>
      <c r="B2047" s="911" t="s">
        <v>579</v>
      </c>
      <c r="C2047" s="912">
        <v>1</v>
      </c>
      <c r="D2047" s="913" t="s">
        <v>273</v>
      </c>
      <c r="E2047" s="914">
        <v>1</v>
      </c>
      <c r="F2047" s="915">
        <v>11.26</v>
      </c>
      <c r="G2047" s="915">
        <v>0</v>
      </c>
      <c r="H2047" s="915">
        <v>3.2</v>
      </c>
      <c r="I2047" s="916">
        <f t="shared" si="190"/>
        <v>36.03</v>
      </c>
      <c r="J2047" s="955" t="s">
        <v>102</v>
      </c>
      <c r="K2047" s="902"/>
      <c r="L2047" s="923"/>
      <c r="M2047" s="902"/>
      <c r="N2047" s="900" t="s">
        <v>2308</v>
      </c>
    </row>
    <row r="2048" spans="1:14" s="910" customFormat="1" ht="16.5" hidden="1" customHeight="1">
      <c r="A2048" s="896"/>
      <c r="B2048" s="911" t="s">
        <v>579</v>
      </c>
      <c r="C2048" s="912">
        <v>1</v>
      </c>
      <c r="D2048" s="913" t="s">
        <v>273</v>
      </c>
      <c r="E2048" s="914">
        <v>1</v>
      </c>
      <c r="F2048" s="915">
        <v>11.26</v>
      </c>
      <c r="G2048" s="915">
        <v>0</v>
      </c>
      <c r="H2048" s="915">
        <v>3.2</v>
      </c>
      <c r="I2048" s="916">
        <f t="shared" si="190"/>
        <v>36.03</v>
      </c>
      <c r="J2048" s="955" t="s">
        <v>102</v>
      </c>
      <c r="K2048" s="902"/>
      <c r="L2048" s="923"/>
      <c r="M2048" s="902"/>
      <c r="N2048" s="900" t="s">
        <v>2308</v>
      </c>
    </row>
    <row r="2049" spans="1:14" s="910" customFormat="1" ht="16.5" hidden="1" customHeight="1">
      <c r="A2049" s="896"/>
      <c r="B2049" s="911" t="s">
        <v>2500</v>
      </c>
      <c r="C2049" s="912">
        <v>1</v>
      </c>
      <c r="D2049" s="913" t="s">
        <v>273</v>
      </c>
      <c r="E2049" s="914">
        <v>1</v>
      </c>
      <c r="F2049" s="915">
        <v>11.26</v>
      </c>
      <c r="G2049" s="915">
        <v>0</v>
      </c>
      <c r="H2049" s="915">
        <v>3.2</v>
      </c>
      <c r="I2049" s="916">
        <f t="shared" si="190"/>
        <v>36.03</v>
      </c>
      <c r="J2049" s="955" t="s">
        <v>102</v>
      </c>
      <c r="K2049" s="902"/>
      <c r="L2049" s="923"/>
      <c r="M2049" s="902"/>
      <c r="N2049" s="900" t="s">
        <v>2308</v>
      </c>
    </row>
    <row r="2050" spans="1:14" s="910" customFormat="1" ht="16.5" hidden="1" customHeight="1">
      <c r="A2050" s="896"/>
      <c r="B2050" s="911" t="s">
        <v>581</v>
      </c>
      <c r="C2050" s="912">
        <v>1</v>
      </c>
      <c r="D2050" s="913" t="s">
        <v>273</v>
      </c>
      <c r="E2050" s="914">
        <v>1</v>
      </c>
      <c r="F2050" s="915">
        <v>11.26</v>
      </c>
      <c r="G2050" s="915">
        <v>0</v>
      </c>
      <c r="H2050" s="915">
        <v>3.2</v>
      </c>
      <c r="I2050" s="916">
        <f t="shared" si="190"/>
        <v>36.03</v>
      </c>
      <c r="J2050" s="955" t="s">
        <v>102</v>
      </c>
      <c r="K2050" s="902"/>
      <c r="L2050" s="923"/>
      <c r="M2050" s="902"/>
      <c r="N2050" s="900" t="s">
        <v>2308</v>
      </c>
    </row>
    <row r="2051" spans="1:14" s="910" customFormat="1" ht="16.5" hidden="1" customHeight="1">
      <c r="A2051" s="896"/>
      <c r="B2051" s="911" t="s">
        <v>2354</v>
      </c>
      <c r="C2051" s="912">
        <v>1</v>
      </c>
      <c r="D2051" s="913" t="s">
        <v>273</v>
      </c>
      <c r="E2051" s="914">
        <v>1</v>
      </c>
      <c r="F2051" s="915">
        <v>11.26</v>
      </c>
      <c r="G2051" s="915">
        <v>0</v>
      </c>
      <c r="H2051" s="915">
        <v>3.2</v>
      </c>
      <c r="I2051" s="916">
        <f t="shared" si="190"/>
        <v>36.03</v>
      </c>
      <c r="J2051" s="955" t="s">
        <v>102</v>
      </c>
      <c r="K2051" s="902"/>
      <c r="L2051" s="923"/>
      <c r="M2051" s="902"/>
      <c r="N2051" s="900" t="s">
        <v>2308</v>
      </c>
    </row>
    <row r="2052" spans="1:14" s="910" customFormat="1" ht="16.5" hidden="1" customHeight="1">
      <c r="A2052" s="896"/>
      <c r="B2052" s="911" t="s">
        <v>2354</v>
      </c>
      <c r="C2052" s="912">
        <v>1</v>
      </c>
      <c r="D2052" s="913" t="s">
        <v>273</v>
      </c>
      <c r="E2052" s="914">
        <v>1</v>
      </c>
      <c r="F2052" s="915">
        <v>11.26</v>
      </c>
      <c r="G2052" s="915">
        <v>0</v>
      </c>
      <c r="H2052" s="915">
        <v>3.2</v>
      </c>
      <c r="I2052" s="916">
        <f t="shared" si="190"/>
        <v>36.03</v>
      </c>
      <c r="J2052" s="955" t="s">
        <v>102</v>
      </c>
      <c r="K2052" s="902"/>
      <c r="L2052" s="923"/>
      <c r="M2052" s="902"/>
      <c r="N2052" s="900" t="s">
        <v>2308</v>
      </c>
    </row>
    <row r="2053" spans="1:14" s="910" customFormat="1" ht="16.5" hidden="1" customHeight="1">
      <c r="A2053" s="896"/>
      <c r="B2053" s="956"/>
      <c r="C2053" s="957"/>
      <c r="D2053" s="958"/>
      <c r="E2053" s="959"/>
      <c r="F2053" s="960"/>
      <c r="G2053" s="960"/>
      <c r="H2053" s="960"/>
      <c r="I2053" s="916"/>
      <c r="J2053" s="955"/>
      <c r="K2053" s="902"/>
      <c r="L2053" s="923"/>
      <c r="M2053" s="902"/>
      <c r="N2053" s="900" t="s">
        <v>2308</v>
      </c>
    </row>
    <row r="2054" spans="1:14" ht="15.75" hidden="1">
      <c r="A2054" s="896"/>
      <c r="B2054" s="902"/>
      <c r="C2054" s="917"/>
      <c r="D2054" s="918"/>
      <c r="E2054" s="919"/>
      <c r="F2054" s="920"/>
      <c r="G2054" s="921"/>
      <c r="H2054" s="896"/>
      <c r="I2054" s="916"/>
      <c r="J2054" s="955" t="s">
        <v>102</v>
      </c>
      <c r="K2054" s="922">
        <f>data!E2645</f>
        <v>160.76</v>
      </c>
      <c r="L2054" s="923" t="s">
        <v>2308</v>
      </c>
      <c r="M2054" s="924">
        <f>ROUND(I2054*K2054,0)</f>
        <v>0</v>
      </c>
      <c r="N2054" s="900" t="s">
        <v>2308</v>
      </c>
    </row>
    <row r="2055" spans="1:14" s="1403" customFormat="1" ht="117.75" customHeight="1">
      <c r="A2055" s="1397">
        <v>26</v>
      </c>
      <c r="B2055" s="1610" t="s">
        <v>891</v>
      </c>
      <c r="C2055" s="1610"/>
      <c r="D2055" s="1610"/>
      <c r="E2055" s="1610"/>
      <c r="F2055" s="1610"/>
      <c r="G2055" s="1610"/>
      <c r="H2055" s="1610"/>
      <c r="I2055" s="1398"/>
      <c r="J2055" s="1399"/>
      <c r="K2055" s="1397"/>
      <c r="L2055" s="1400"/>
      <c r="M2055" s="1401"/>
      <c r="N2055" s="1402" t="s">
        <v>2309</v>
      </c>
    </row>
    <row r="2056" spans="1:14" s="1411" customFormat="1" ht="16.5" customHeight="1">
      <c r="A2056" s="1397"/>
      <c r="B2056" s="1404" t="s">
        <v>3933</v>
      </c>
      <c r="C2056" s="1398"/>
      <c r="D2056" s="1395" t="s">
        <v>4020</v>
      </c>
      <c r="E2056" s="1413"/>
      <c r="F2056" s="1414"/>
      <c r="G2056" s="1414"/>
      <c r="H2056" s="1414"/>
      <c r="I2056" s="1463"/>
      <c r="J2056" s="1423"/>
      <c r="K2056" s="1410"/>
      <c r="L2056" s="1400"/>
      <c r="M2056" s="1410"/>
      <c r="N2056" s="1402" t="s">
        <v>2309</v>
      </c>
    </row>
    <row r="2057" spans="1:14" s="1411" customFormat="1" ht="16.5" customHeight="1">
      <c r="A2057" s="1397"/>
      <c r="B2057" s="1410" t="s">
        <v>2360</v>
      </c>
      <c r="C2057" s="1398">
        <v>1</v>
      </c>
      <c r="D2057" s="1412" t="s">
        <v>273</v>
      </c>
      <c r="E2057" s="1413">
        <v>1</v>
      </c>
      <c r="F2057" s="1414">
        <v>10.84</v>
      </c>
      <c r="G2057" s="1414">
        <v>0</v>
      </c>
      <c r="H2057" s="1414">
        <v>3.05</v>
      </c>
      <c r="I2057" s="1415">
        <f t="shared" ref="I2057:I2068" si="191">ROUND(IF(AND(F2057:H2057),C2057*E2057*F2057*G2057*H2057,IF(AND(F2057,G2057),C2057*E2057*F2057*G2057,IF(AND(F2057,H2057),C2057*E2057*F2057*H2057,IF(AND(G2057,H2057),C2057*E2057*G2057*H2057,IF(F2057,C2057*E2057*F2057,IF(G2057,C2057*E2057*G2057,IF(H2057,C2057*E2057*H2057,C2057*E2057))))))),2)</f>
        <v>33.06</v>
      </c>
      <c r="J2057" s="1423" t="s">
        <v>102</v>
      </c>
      <c r="K2057" s="1410"/>
      <c r="L2057" s="1400"/>
      <c r="M2057" s="1410"/>
      <c r="N2057" s="1402" t="s">
        <v>2309</v>
      </c>
    </row>
    <row r="2058" spans="1:14" s="1411" customFormat="1" ht="16.5" customHeight="1">
      <c r="A2058" s="1397"/>
      <c r="B2058" s="1410" t="s">
        <v>1541</v>
      </c>
      <c r="C2058" s="1398">
        <v>1</v>
      </c>
      <c r="D2058" s="1412" t="s">
        <v>273</v>
      </c>
      <c r="E2058" s="1413">
        <v>1</v>
      </c>
      <c r="F2058" s="1414">
        <v>2.7</v>
      </c>
      <c r="G2058" s="1414">
        <v>2.72</v>
      </c>
      <c r="H2058" s="1414">
        <v>0</v>
      </c>
      <c r="I2058" s="1415">
        <f t="shared" si="191"/>
        <v>7.34</v>
      </c>
      <c r="J2058" s="1423" t="s">
        <v>102</v>
      </c>
      <c r="K2058" s="1410"/>
      <c r="L2058" s="1400"/>
      <c r="M2058" s="1410"/>
      <c r="N2058" s="1402" t="s">
        <v>2309</v>
      </c>
    </row>
    <row r="2059" spans="1:14" s="1411" customFormat="1" ht="16.5" customHeight="1">
      <c r="A2059" s="1397"/>
      <c r="B2059" s="1410" t="s">
        <v>2521</v>
      </c>
      <c r="C2059" s="1398">
        <v>1</v>
      </c>
      <c r="D2059" s="1412" t="s">
        <v>273</v>
      </c>
      <c r="E2059" s="1413">
        <v>1</v>
      </c>
      <c r="F2059" s="1414">
        <v>9.84</v>
      </c>
      <c r="G2059" s="1414">
        <v>0</v>
      </c>
      <c r="H2059" s="1414">
        <v>3.05</v>
      </c>
      <c r="I2059" s="1415">
        <f t="shared" si="191"/>
        <v>30.01</v>
      </c>
      <c r="J2059" s="1423" t="s">
        <v>102</v>
      </c>
      <c r="K2059" s="1410"/>
      <c r="L2059" s="1400"/>
      <c r="M2059" s="1410"/>
      <c r="N2059" s="1402" t="s">
        <v>2309</v>
      </c>
    </row>
    <row r="2060" spans="1:14" s="1411" customFormat="1" ht="16.5" customHeight="1">
      <c r="A2060" s="1397"/>
      <c r="B2060" s="1410" t="s">
        <v>1541</v>
      </c>
      <c r="C2060" s="1398">
        <v>1</v>
      </c>
      <c r="D2060" s="1412" t="s">
        <v>273</v>
      </c>
      <c r="E2060" s="1413">
        <v>1</v>
      </c>
      <c r="F2060" s="1414">
        <v>2.2000000000000002</v>
      </c>
      <c r="G2060" s="1414">
        <v>2.72</v>
      </c>
      <c r="H2060" s="1414">
        <v>0</v>
      </c>
      <c r="I2060" s="1415">
        <f t="shared" si="191"/>
        <v>5.98</v>
      </c>
      <c r="J2060" s="1423" t="s">
        <v>102</v>
      </c>
      <c r="K2060" s="1410"/>
      <c r="L2060" s="1400"/>
      <c r="M2060" s="1410"/>
      <c r="N2060" s="1402" t="s">
        <v>2309</v>
      </c>
    </row>
    <row r="2061" spans="1:14" s="1411" customFormat="1" ht="16.5" customHeight="1">
      <c r="A2061" s="1397"/>
      <c r="B2061" s="1410" t="s">
        <v>3934</v>
      </c>
      <c r="C2061" s="1398">
        <v>1</v>
      </c>
      <c r="D2061" s="1412" t="s">
        <v>273</v>
      </c>
      <c r="E2061" s="1413">
        <v>1</v>
      </c>
      <c r="F2061" s="1414">
        <v>9.84</v>
      </c>
      <c r="G2061" s="1414">
        <v>0</v>
      </c>
      <c r="H2061" s="1414">
        <v>3.05</v>
      </c>
      <c r="I2061" s="1415">
        <f t="shared" si="191"/>
        <v>30.01</v>
      </c>
      <c r="J2061" s="1423" t="s">
        <v>102</v>
      </c>
      <c r="K2061" s="1410"/>
      <c r="L2061" s="1400"/>
      <c r="M2061" s="1410"/>
      <c r="N2061" s="1402" t="s">
        <v>2309</v>
      </c>
    </row>
    <row r="2062" spans="1:14" s="1411" customFormat="1" ht="16.5" customHeight="1">
      <c r="A2062" s="1397"/>
      <c r="B2062" s="1410" t="s">
        <v>1541</v>
      </c>
      <c r="C2062" s="1398">
        <v>1</v>
      </c>
      <c r="D2062" s="1412" t="s">
        <v>273</v>
      </c>
      <c r="E2062" s="1413">
        <v>1</v>
      </c>
      <c r="F2062" s="1414">
        <v>2.2000000000000002</v>
      </c>
      <c r="G2062" s="1414">
        <v>2.72</v>
      </c>
      <c r="H2062" s="1414">
        <v>0</v>
      </c>
      <c r="I2062" s="1415">
        <f t="shared" si="191"/>
        <v>5.98</v>
      </c>
      <c r="J2062" s="1423" t="s">
        <v>102</v>
      </c>
      <c r="K2062" s="1410"/>
      <c r="L2062" s="1400"/>
      <c r="M2062" s="1410"/>
      <c r="N2062" s="1402" t="s">
        <v>2309</v>
      </c>
    </row>
    <row r="2063" spans="1:14" s="1411" customFormat="1" ht="16.5" customHeight="1">
      <c r="A2063" s="1397"/>
      <c r="B2063" s="1410" t="s">
        <v>2357</v>
      </c>
      <c r="C2063" s="1398">
        <v>1</v>
      </c>
      <c r="D2063" s="1412" t="s">
        <v>273</v>
      </c>
      <c r="E2063" s="1413">
        <v>1</v>
      </c>
      <c r="F2063" s="1414">
        <v>8.64</v>
      </c>
      <c r="G2063" s="1414">
        <v>0</v>
      </c>
      <c r="H2063" s="1414">
        <v>3.05</v>
      </c>
      <c r="I2063" s="1415">
        <f t="shared" si="191"/>
        <v>26.35</v>
      </c>
      <c r="J2063" s="1423" t="s">
        <v>102</v>
      </c>
      <c r="K2063" s="1410"/>
      <c r="L2063" s="1400"/>
      <c r="M2063" s="1410"/>
      <c r="N2063" s="1402" t="s">
        <v>2309</v>
      </c>
    </row>
    <row r="2064" spans="1:14" s="1411" customFormat="1" ht="16.5" customHeight="1">
      <c r="A2064" s="1397"/>
      <c r="B2064" s="1410" t="s">
        <v>1541</v>
      </c>
      <c r="C2064" s="1398">
        <v>1</v>
      </c>
      <c r="D2064" s="1412" t="s">
        <v>273</v>
      </c>
      <c r="E2064" s="1413">
        <v>1</v>
      </c>
      <c r="F2064" s="1414">
        <v>1.6</v>
      </c>
      <c r="G2064" s="1414">
        <v>2.72</v>
      </c>
      <c r="H2064" s="1414">
        <v>0</v>
      </c>
      <c r="I2064" s="1415">
        <f t="shared" si="191"/>
        <v>4.3499999999999996</v>
      </c>
      <c r="J2064" s="1423" t="s">
        <v>102</v>
      </c>
      <c r="K2064" s="1410"/>
      <c r="L2064" s="1400"/>
      <c r="M2064" s="1410"/>
      <c r="N2064" s="1402" t="s">
        <v>2309</v>
      </c>
    </row>
    <row r="2065" spans="1:14" s="1411" customFormat="1" ht="16.5" customHeight="1">
      <c r="A2065" s="1397"/>
      <c r="B2065" s="1410" t="s">
        <v>3670</v>
      </c>
      <c r="C2065" s="1398">
        <v>1</v>
      </c>
      <c r="D2065" s="1412" t="s">
        <v>273</v>
      </c>
      <c r="E2065" s="1413">
        <v>1</v>
      </c>
      <c r="F2065" s="1414">
        <v>19.22</v>
      </c>
      <c r="G2065" s="1414">
        <v>0</v>
      </c>
      <c r="H2065" s="1414">
        <v>3.05</v>
      </c>
      <c r="I2065" s="1415">
        <f t="shared" si="191"/>
        <v>58.62</v>
      </c>
      <c r="J2065" s="1423" t="s">
        <v>102</v>
      </c>
      <c r="K2065" s="1410"/>
      <c r="L2065" s="1400"/>
      <c r="M2065" s="1410"/>
      <c r="N2065" s="1402" t="s">
        <v>2309</v>
      </c>
    </row>
    <row r="2066" spans="1:14" s="1411" customFormat="1" ht="16.5" customHeight="1">
      <c r="A2066" s="1397"/>
      <c r="B2066" s="1410" t="s">
        <v>1541</v>
      </c>
      <c r="C2066" s="1398">
        <v>1</v>
      </c>
      <c r="D2066" s="1412" t="s">
        <v>273</v>
      </c>
      <c r="E2066" s="1413">
        <v>1</v>
      </c>
      <c r="F2066" s="1414">
        <v>6.6</v>
      </c>
      <c r="G2066" s="1414">
        <v>2.95</v>
      </c>
      <c r="H2066" s="1414">
        <v>0</v>
      </c>
      <c r="I2066" s="1415">
        <f t="shared" si="191"/>
        <v>19.47</v>
      </c>
      <c r="J2066" s="1423" t="s">
        <v>102</v>
      </c>
      <c r="K2066" s="1410"/>
      <c r="L2066" s="1400"/>
      <c r="M2066" s="1410"/>
      <c r="N2066" s="1402" t="s">
        <v>2309</v>
      </c>
    </row>
    <row r="2067" spans="1:14" s="1411" customFormat="1" ht="16.5" customHeight="1">
      <c r="A2067" s="1397"/>
      <c r="B2067" s="1410" t="s">
        <v>2355</v>
      </c>
      <c r="C2067" s="1398">
        <v>1</v>
      </c>
      <c r="D2067" s="1412" t="s">
        <v>273</v>
      </c>
      <c r="E2067" s="1413">
        <v>1</v>
      </c>
      <c r="F2067" s="1414">
        <v>18.100000000000001</v>
      </c>
      <c r="G2067" s="1414">
        <v>0</v>
      </c>
      <c r="H2067" s="1414">
        <v>3.05</v>
      </c>
      <c r="I2067" s="1415">
        <f t="shared" si="191"/>
        <v>55.21</v>
      </c>
      <c r="J2067" s="1423" t="s">
        <v>102</v>
      </c>
      <c r="K2067" s="1410"/>
      <c r="L2067" s="1400"/>
      <c r="M2067" s="1410"/>
      <c r="N2067" s="1402" t="s">
        <v>2309</v>
      </c>
    </row>
    <row r="2068" spans="1:14" s="1411" customFormat="1" ht="16.5" customHeight="1">
      <c r="A2068" s="1397"/>
      <c r="B2068" s="1410" t="s">
        <v>1541</v>
      </c>
      <c r="C2068" s="1398">
        <v>1</v>
      </c>
      <c r="D2068" s="1412" t="s">
        <v>273</v>
      </c>
      <c r="E2068" s="1413">
        <v>1</v>
      </c>
      <c r="F2068" s="1414">
        <v>6.1</v>
      </c>
      <c r="G2068" s="1414">
        <v>2.95</v>
      </c>
      <c r="H2068" s="1414">
        <v>0</v>
      </c>
      <c r="I2068" s="1415">
        <f t="shared" si="191"/>
        <v>18</v>
      </c>
      <c r="J2068" s="1423" t="s">
        <v>102</v>
      </c>
      <c r="K2068" s="1410"/>
      <c r="L2068" s="1400"/>
      <c r="M2068" s="1410"/>
      <c r="N2068" s="1402" t="s">
        <v>2309</v>
      </c>
    </row>
    <row r="2069" spans="1:14" s="1411" customFormat="1" ht="16.5" customHeight="1">
      <c r="A2069" s="1397"/>
      <c r="B2069" s="1410" t="s">
        <v>579</v>
      </c>
      <c r="C2069" s="1398">
        <v>1</v>
      </c>
      <c r="D2069" s="1412" t="s">
        <v>273</v>
      </c>
      <c r="E2069" s="1413">
        <v>1</v>
      </c>
      <c r="F2069" s="1414">
        <v>1.2</v>
      </c>
      <c r="G2069" s="1414">
        <v>0</v>
      </c>
      <c r="H2069" s="1414">
        <v>2.1</v>
      </c>
      <c r="I2069" s="1415">
        <f>-ROUND(IF(AND(F2069:H2069),C2069*E2069*F2069*G2069*H2069,IF(AND(F2069,G2069),C2069*E2069*F2069*G2069,IF(AND(F2069,H2069),C2069*E2069*F2069*H2069,IF(AND(G2069,H2069),C2069*E2069*G2069*H2069,IF(F2069,C2069*E2069*F2069,IF(G2069,C2069*E2069*G2069,IF(H2069,C2069*E2069*H2069,C2069*E2069))))))),2)</f>
        <v>-2.52</v>
      </c>
      <c r="J2069" s="1423" t="s">
        <v>102</v>
      </c>
      <c r="K2069" s="1410"/>
      <c r="L2069" s="1400"/>
      <c r="M2069" s="1410"/>
      <c r="N2069" s="1402" t="s">
        <v>2309</v>
      </c>
    </row>
    <row r="2070" spans="1:14" s="1411" customFormat="1" ht="16.5" customHeight="1">
      <c r="A2070" s="1397"/>
      <c r="B2070" s="1410" t="s">
        <v>579</v>
      </c>
      <c r="C2070" s="1398">
        <v>2</v>
      </c>
      <c r="D2070" s="1412" t="s">
        <v>273</v>
      </c>
      <c r="E2070" s="1413">
        <v>2</v>
      </c>
      <c r="F2070" s="1414">
        <v>1.05</v>
      </c>
      <c r="G2070" s="1414">
        <v>0</v>
      </c>
      <c r="H2070" s="1414">
        <v>2.1</v>
      </c>
      <c r="I2070" s="1415">
        <f t="shared" ref="I2070:I2076" si="192">-ROUND(IF(AND(F2070:H2070),C2070*E2070*F2070*G2070*H2070,IF(AND(F2070,G2070),C2070*E2070*F2070*G2070,IF(AND(F2070,H2070),C2070*E2070*F2070*H2070,IF(AND(G2070,H2070),C2070*E2070*G2070*H2070,IF(F2070,C2070*E2070*F2070,IF(G2070,C2070*E2070*G2070,IF(H2070,C2070*E2070*H2070,C2070*E2070))))))),2)</f>
        <v>-8.82</v>
      </c>
      <c r="J2070" s="1423" t="s">
        <v>102</v>
      </c>
      <c r="K2070" s="1410"/>
      <c r="L2070" s="1400"/>
      <c r="M2070" s="1410"/>
      <c r="N2070" s="1402" t="s">
        <v>2309</v>
      </c>
    </row>
    <row r="2071" spans="1:14" s="1411" customFormat="1" ht="16.5" customHeight="1">
      <c r="A2071" s="1397"/>
      <c r="B2071" s="1410" t="s">
        <v>579</v>
      </c>
      <c r="C2071" s="1398">
        <v>1</v>
      </c>
      <c r="D2071" s="1412" t="s">
        <v>273</v>
      </c>
      <c r="E2071" s="1413">
        <v>1</v>
      </c>
      <c r="F2071" s="1414">
        <v>1.05</v>
      </c>
      <c r="G2071" s="1414">
        <v>0</v>
      </c>
      <c r="H2071" s="1414">
        <v>2.1</v>
      </c>
      <c r="I2071" s="1415">
        <f t="shared" si="192"/>
        <v>-2.21</v>
      </c>
      <c r="J2071" s="1423" t="s">
        <v>102</v>
      </c>
      <c r="K2071" s="1410"/>
      <c r="L2071" s="1400"/>
      <c r="M2071" s="1410"/>
      <c r="N2071" s="1402" t="s">
        <v>2309</v>
      </c>
    </row>
    <row r="2072" spans="1:14" s="1411" customFormat="1" ht="16.5" customHeight="1">
      <c r="A2072" s="1397"/>
      <c r="B2072" s="1410" t="s">
        <v>579</v>
      </c>
      <c r="C2072" s="1398">
        <v>1</v>
      </c>
      <c r="D2072" s="1412" t="s">
        <v>273</v>
      </c>
      <c r="E2072" s="1413">
        <v>2</v>
      </c>
      <c r="F2072" s="1414">
        <v>1</v>
      </c>
      <c r="G2072" s="1414">
        <v>0</v>
      </c>
      <c r="H2072" s="1414">
        <v>2.1</v>
      </c>
      <c r="I2072" s="1415">
        <f t="shared" si="192"/>
        <v>-4.2</v>
      </c>
      <c r="J2072" s="1423" t="s">
        <v>102</v>
      </c>
      <c r="K2072" s="1410"/>
      <c r="L2072" s="1400"/>
      <c r="M2072" s="1410"/>
      <c r="N2072" s="1402" t="s">
        <v>2309</v>
      </c>
    </row>
    <row r="2073" spans="1:14" s="1411" customFormat="1" ht="16.5" customHeight="1">
      <c r="A2073" s="1397"/>
      <c r="B2073" s="1410" t="s">
        <v>579</v>
      </c>
      <c r="C2073" s="1398">
        <v>2</v>
      </c>
      <c r="D2073" s="1412" t="s">
        <v>273</v>
      </c>
      <c r="E2073" s="1413">
        <v>2</v>
      </c>
      <c r="F2073" s="1414">
        <v>0.9</v>
      </c>
      <c r="G2073" s="1414">
        <v>0</v>
      </c>
      <c r="H2073" s="1414">
        <v>2.1</v>
      </c>
      <c r="I2073" s="1415">
        <f t="shared" si="192"/>
        <v>-7.56</v>
      </c>
      <c r="J2073" s="1423" t="s">
        <v>102</v>
      </c>
      <c r="K2073" s="1410"/>
      <c r="L2073" s="1400"/>
      <c r="M2073" s="1410"/>
      <c r="N2073" s="1402" t="s">
        <v>2309</v>
      </c>
    </row>
    <row r="2074" spans="1:14" s="1411" customFormat="1" ht="16.5" customHeight="1">
      <c r="A2074" s="1397"/>
      <c r="B2074" s="1410" t="s">
        <v>579</v>
      </c>
      <c r="C2074" s="1398">
        <v>1</v>
      </c>
      <c r="D2074" s="1412" t="s">
        <v>273</v>
      </c>
      <c r="E2074" s="1413">
        <v>1</v>
      </c>
      <c r="F2074" s="1414">
        <v>0.9</v>
      </c>
      <c r="G2074" s="1414">
        <v>0</v>
      </c>
      <c r="H2074" s="1414">
        <v>2.1</v>
      </c>
      <c r="I2074" s="1415">
        <f t="shared" si="192"/>
        <v>-1.89</v>
      </c>
      <c r="J2074" s="1423" t="s">
        <v>102</v>
      </c>
      <c r="K2074" s="1410"/>
      <c r="L2074" s="1400"/>
      <c r="M2074" s="1410"/>
      <c r="N2074" s="1402" t="s">
        <v>2309</v>
      </c>
    </row>
    <row r="2075" spans="1:14" s="1411" customFormat="1" ht="16.5" customHeight="1">
      <c r="A2075" s="1397"/>
      <c r="B2075" s="1410" t="s">
        <v>2354</v>
      </c>
      <c r="C2075" s="1398">
        <v>1</v>
      </c>
      <c r="D2075" s="1412" t="s">
        <v>273</v>
      </c>
      <c r="E2075" s="1413">
        <v>11</v>
      </c>
      <c r="F2075" s="1414">
        <v>1.2</v>
      </c>
      <c r="G2075" s="1414">
        <v>0</v>
      </c>
      <c r="H2075" s="1414">
        <v>1.2</v>
      </c>
      <c r="I2075" s="1415">
        <f t="shared" si="192"/>
        <v>-15.84</v>
      </c>
      <c r="J2075" s="1423" t="s">
        <v>102</v>
      </c>
      <c r="K2075" s="1410"/>
      <c r="L2075" s="1400"/>
      <c r="M2075" s="1410"/>
      <c r="N2075" s="1402" t="s">
        <v>2309</v>
      </c>
    </row>
    <row r="2076" spans="1:14" s="1411" customFormat="1" ht="16.5" customHeight="1">
      <c r="A2076" s="1397"/>
      <c r="B2076" s="1410" t="s">
        <v>581</v>
      </c>
      <c r="C2076" s="1398">
        <v>1</v>
      </c>
      <c r="D2076" s="1412" t="s">
        <v>273</v>
      </c>
      <c r="E2076" s="1413">
        <v>12</v>
      </c>
      <c r="F2076" s="1414">
        <v>0.6</v>
      </c>
      <c r="G2076" s="1414">
        <v>0</v>
      </c>
      <c r="H2076" s="1414">
        <v>0.3</v>
      </c>
      <c r="I2076" s="1415">
        <f t="shared" si="192"/>
        <v>-2.16</v>
      </c>
      <c r="J2076" s="1423" t="s">
        <v>102</v>
      </c>
      <c r="K2076" s="1410"/>
      <c r="L2076" s="1400"/>
      <c r="M2076" s="1410"/>
      <c r="N2076" s="1402" t="s">
        <v>2309</v>
      </c>
    </row>
    <row r="2077" spans="1:14" s="1411" customFormat="1" ht="16.5" customHeight="1">
      <c r="A2077" s="1397"/>
      <c r="B2077" s="1425"/>
      <c r="C2077" s="1426"/>
      <c r="D2077" s="1427"/>
      <c r="E2077" s="1465"/>
      <c r="F2077" s="1429"/>
      <c r="G2077" s="1429"/>
      <c r="H2077" s="1429"/>
      <c r="I2077" s="1430"/>
      <c r="J2077" s="1423"/>
      <c r="K2077" s="1410"/>
      <c r="L2077" s="1400"/>
      <c r="M2077" s="1410"/>
      <c r="N2077" s="1402" t="s">
        <v>2309</v>
      </c>
    </row>
    <row r="2078" spans="1:14" s="1403" customFormat="1" ht="15.75">
      <c r="A2078" s="1397"/>
      <c r="B2078" s="1410"/>
      <c r="C2078" s="1431"/>
      <c r="D2078" s="1432"/>
      <c r="E2078" s="1413"/>
      <c r="F2078" s="1414"/>
      <c r="G2078" s="1433"/>
      <c r="H2078" s="1397"/>
      <c r="I2078" s="1430">
        <f>SUM(I2057:I2077)</f>
        <v>249.18000000000006</v>
      </c>
      <c r="J2078" s="1423" t="s">
        <v>102</v>
      </c>
      <c r="K2078" s="1434">
        <f>data!E3562</f>
        <v>173.73</v>
      </c>
      <c r="L2078" s="1400" t="s">
        <v>2309</v>
      </c>
      <c r="M2078" s="1435">
        <f>ROUND(I2078*K2078,0)</f>
        <v>43290</v>
      </c>
      <c r="N2078" s="1402" t="s">
        <v>2309</v>
      </c>
    </row>
    <row r="2079" spans="1:14" ht="94.5" hidden="1" customHeight="1">
      <c r="A2079" s="896">
        <v>25</v>
      </c>
      <c r="B2079" s="1609" t="s">
        <v>1167</v>
      </c>
      <c r="C2079" s="1609"/>
      <c r="D2079" s="1609"/>
      <c r="E2079" s="1609"/>
      <c r="F2079" s="1609"/>
      <c r="G2079" s="1609"/>
      <c r="H2079" s="1609"/>
      <c r="I2079" s="897"/>
      <c r="J2079" s="898"/>
      <c r="K2079" s="896"/>
      <c r="L2079" s="923"/>
      <c r="M2079" s="899"/>
      <c r="N2079" s="900" t="s">
        <v>2209</v>
      </c>
    </row>
    <row r="2080" spans="1:14" s="910" customFormat="1" ht="16.5" hidden="1" customHeight="1">
      <c r="A2080" s="896"/>
      <c r="B2080" s="928" t="s">
        <v>3830</v>
      </c>
      <c r="C2080" s="897"/>
      <c r="D2080" s="1263"/>
      <c r="E2080" s="919"/>
      <c r="F2080" s="920"/>
      <c r="G2080" s="920"/>
      <c r="H2080" s="920"/>
      <c r="I2080" s="1264"/>
      <c r="J2080" s="955"/>
      <c r="K2080" s="902"/>
      <c r="L2080" s="923"/>
      <c r="M2080" s="902"/>
      <c r="N2080" s="900" t="s">
        <v>2209</v>
      </c>
    </row>
    <row r="2081" spans="1:14" s="910" customFormat="1" ht="16.5" hidden="1" customHeight="1">
      <c r="A2081" s="896"/>
      <c r="B2081" s="902"/>
      <c r="C2081" s="897">
        <v>1</v>
      </c>
      <c r="D2081" s="1263" t="s">
        <v>273</v>
      </c>
      <c r="E2081" s="919">
        <v>1</v>
      </c>
      <c r="F2081" s="920">
        <v>11.06</v>
      </c>
      <c r="G2081" s="920">
        <v>0</v>
      </c>
      <c r="H2081" s="920">
        <v>3</v>
      </c>
      <c r="I2081" s="1266">
        <f t="shared" ref="I2081:I2102" si="193">ROUND(IF(AND(F2081:H2081),C2081*E2081*F2081*G2081*H2081,IF(AND(F2081,G2081),C2081*E2081*F2081*G2081,IF(AND(F2081,H2081),C2081*E2081*F2081*H2081,IF(AND(G2081,H2081),C2081*E2081*G2081*H2081,IF(F2081,C2081*E2081*F2081,IF(G2081,C2081*E2081*G2081,IF(H2081,C2081*E2081*H2081,C2081*E2081))))))),2)</f>
        <v>33.18</v>
      </c>
      <c r="J2081" s="955" t="s">
        <v>102</v>
      </c>
      <c r="K2081" s="902"/>
      <c r="L2081" s="923"/>
      <c r="M2081" s="902"/>
      <c r="N2081" s="900" t="s">
        <v>2209</v>
      </c>
    </row>
    <row r="2082" spans="1:14" s="910" customFormat="1" ht="16.5" hidden="1" customHeight="1">
      <c r="A2082" s="896"/>
      <c r="B2082" s="902"/>
      <c r="C2082" s="897">
        <v>1</v>
      </c>
      <c r="D2082" s="1263" t="s">
        <v>273</v>
      </c>
      <c r="E2082" s="919">
        <v>1</v>
      </c>
      <c r="F2082" s="920">
        <v>2.85</v>
      </c>
      <c r="G2082" s="920">
        <v>2.78</v>
      </c>
      <c r="H2082" s="920">
        <v>0</v>
      </c>
      <c r="I2082" s="1266">
        <f t="shared" si="193"/>
        <v>7.92</v>
      </c>
      <c r="J2082" s="955" t="s">
        <v>102</v>
      </c>
      <c r="K2082" s="902"/>
      <c r="L2082" s="923"/>
      <c r="M2082" s="902"/>
      <c r="N2082" s="900" t="s">
        <v>2209</v>
      </c>
    </row>
    <row r="2083" spans="1:14" s="910" customFormat="1" ht="16.5" hidden="1" customHeight="1">
      <c r="A2083" s="896"/>
      <c r="B2083" s="902"/>
      <c r="C2083" s="897">
        <v>1</v>
      </c>
      <c r="D2083" s="1263" t="s">
        <v>273</v>
      </c>
      <c r="E2083" s="919">
        <v>1</v>
      </c>
      <c r="F2083" s="920">
        <v>5.8</v>
      </c>
      <c r="G2083" s="920">
        <v>0</v>
      </c>
      <c r="H2083" s="920">
        <v>0.9</v>
      </c>
      <c r="I2083" s="1266">
        <f t="shared" si="193"/>
        <v>5.22</v>
      </c>
      <c r="J2083" s="955" t="s">
        <v>102</v>
      </c>
      <c r="K2083" s="902"/>
      <c r="L2083" s="923"/>
      <c r="M2083" s="902"/>
      <c r="N2083" s="900" t="s">
        <v>2209</v>
      </c>
    </row>
    <row r="2084" spans="1:14" s="910" customFormat="1" ht="16.5" hidden="1" customHeight="1">
      <c r="A2084" s="896"/>
      <c r="B2084" s="902"/>
      <c r="C2084" s="897">
        <v>1</v>
      </c>
      <c r="D2084" s="1263" t="s">
        <v>273</v>
      </c>
      <c r="E2084" s="919">
        <v>1</v>
      </c>
      <c r="F2084" s="920">
        <v>1.31</v>
      </c>
      <c r="G2084" s="920">
        <v>1.59</v>
      </c>
      <c r="H2084" s="920">
        <v>0</v>
      </c>
      <c r="I2084" s="1266">
        <f t="shared" si="193"/>
        <v>2.08</v>
      </c>
      <c r="J2084" s="955" t="s">
        <v>102</v>
      </c>
      <c r="K2084" s="902"/>
      <c r="L2084" s="923"/>
      <c r="M2084" s="902"/>
      <c r="N2084" s="900" t="s">
        <v>2209</v>
      </c>
    </row>
    <row r="2085" spans="1:14" s="910" customFormat="1" ht="16.5" hidden="1" customHeight="1">
      <c r="A2085" s="896"/>
      <c r="B2085" s="902"/>
      <c r="C2085" s="897">
        <v>1</v>
      </c>
      <c r="D2085" s="1263" t="s">
        <v>273</v>
      </c>
      <c r="E2085" s="919">
        <v>1</v>
      </c>
      <c r="F2085" s="920">
        <v>1.31</v>
      </c>
      <c r="G2085" s="920">
        <v>1.1499999999999999</v>
      </c>
      <c r="H2085" s="920">
        <v>0</v>
      </c>
      <c r="I2085" s="1266">
        <f t="shared" si="193"/>
        <v>1.51</v>
      </c>
      <c r="J2085" s="955" t="s">
        <v>102</v>
      </c>
      <c r="K2085" s="902"/>
      <c r="L2085" s="923"/>
      <c r="M2085" s="902"/>
      <c r="N2085" s="900" t="s">
        <v>2209</v>
      </c>
    </row>
    <row r="2086" spans="1:14" s="910" customFormat="1" ht="16.5" hidden="1" customHeight="1">
      <c r="A2086" s="896"/>
      <c r="B2086" s="902"/>
      <c r="C2086" s="897">
        <v>1</v>
      </c>
      <c r="D2086" s="1263" t="s">
        <v>273</v>
      </c>
      <c r="E2086" s="919">
        <v>1</v>
      </c>
      <c r="F2086" s="920">
        <v>1.1499999999999999</v>
      </c>
      <c r="G2086" s="920">
        <v>0</v>
      </c>
      <c r="H2086" s="920">
        <v>3</v>
      </c>
      <c r="I2086" s="1266">
        <f t="shared" si="193"/>
        <v>3.45</v>
      </c>
      <c r="J2086" s="955" t="s">
        <v>102</v>
      </c>
      <c r="K2086" s="902"/>
      <c r="L2086" s="923"/>
      <c r="M2086" s="902"/>
      <c r="N2086" s="900" t="s">
        <v>2209</v>
      </c>
    </row>
    <row r="2087" spans="1:14" s="910" customFormat="1" ht="16.5" hidden="1" customHeight="1">
      <c r="A2087" s="896"/>
      <c r="B2087" s="902"/>
      <c r="C2087" s="897">
        <v>1</v>
      </c>
      <c r="D2087" s="1263" t="s">
        <v>273</v>
      </c>
      <c r="E2087" s="919">
        <v>1</v>
      </c>
      <c r="F2087" s="920">
        <v>10</v>
      </c>
      <c r="G2087" s="920">
        <v>0</v>
      </c>
      <c r="H2087" s="920">
        <v>3</v>
      </c>
      <c r="I2087" s="1266">
        <f t="shared" si="193"/>
        <v>30</v>
      </c>
      <c r="J2087" s="955" t="s">
        <v>102</v>
      </c>
      <c r="K2087" s="902"/>
      <c r="L2087" s="923"/>
      <c r="M2087" s="902"/>
      <c r="N2087" s="900" t="s">
        <v>2209</v>
      </c>
    </row>
    <row r="2088" spans="1:14" s="910" customFormat="1" ht="16.5" hidden="1" customHeight="1">
      <c r="A2088" s="896"/>
      <c r="B2088" s="902"/>
      <c r="C2088" s="897">
        <v>1</v>
      </c>
      <c r="D2088" s="1263" t="s">
        <v>273</v>
      </c>
      <c r="E2088" s="919">
        <v>1</v>
      </c>
      <c r="F2088" s="920">
        <v>2.25</v>
      </c>
      <c r="G2088" s="920">
        <v>2.76</v>
      </c>
      <c r="H2088" s="920">
        <v>0</v>
      </c>
      <c r="I2088" s="1266">
        <f t="shared" si="193"/>
        <v>6.21</v>
      </c>
      <c r="J2088" s="955" t="s">
        <v>102</v>
      </c>
      <c r="K2088" s="902"/>
      <c r="L2088" s="923"/>
      <c r="M2088" s="902"/>
      <c r="N2088" s="900" t="s">
        <v>2209</v>
      </c>
    </row>
    <row r="2089" spans="1:14" s="910" customFormat="1" ht="16.5" hidden="1" customHeight="1">
      <c r="A2089" s="896"/>
      <c r="B2089" s="902"/>
      <c r="C2089" s="897">
        <v>1</v>
      </c>
      <c r="D2089" s="1263" t="s">
        <v>273</v>
      </c>
      <c r="E2089" s="919">
        <v>1</v>
      </c>
      <c r="F2089" s="920">
        <v>6.72</v>
      </c>
      <c r="G2089" s="920">
        <v>0</v>
      </c>
      <c r="H2089" s="920">
        <v>0.9</v>
      </c>
      <c r="I2089" s="1266">
        <f t="shared" si="193"/>
        <v>6.05</v>
      </c>
      <c r="J2089" s="955" t="s">
        <v>102</v>
      </c>
      <c r="K2089" s="902"/>
      <c r="L2089" s="923"/>
      <c r="M2089" s="902"/>
      <c r="N2089" s="900" t="s">
        <v>2209</v>
      </c>
    </row>
    <row r="2090" spans="1:14" s="910" customFormat="1" ht="16.5" hidden="1" customHeight="1">
      <c r="A2090" s="896"/>
      <c r="B2090" s="902"/>
      <c r="C2090" s="897">
        <v>1</v>
      </c>
      <c r="D2090" s="1263" t="s">
        <v>273</v>
      </c>
      <c r="E2090" s="919">
        <v>1</v>
      </c>
      <c r="F2090" s="920">
        <v>1.45</v>
      </c>
      <c r="G2090" s="920">
        <v>1.91</v>
      </c>
      <c r="H2090" s="920">
        <v>0</v>
      </c>
      <c r="I2090" s="1266">
        <f t="shared" si="193"/>
        <v>2.77</v>
      </c>
      <c r="J2090" s="955" t="s">
        <v>102</v>
      </c>
      <c r="K2090" s="902"/>
      <c r="L2090" s="923"/>
      <c r="M2090" s="902"/>
      <c r="N2090" s="900" t="s">
        <v>2209</v>
      </c>
    </row>
    <row r="2091" spans="1:14" s="910" customFormat="1" ht="16.5" hidden="1" customHeight="1">
      <c r="A2091" s="896"/>
      <c r="B2091" s="902"/>
      <c r="C2091" s="897">
        <v>1</v>
      </c>
      <c r="D2091" s="1263" t="s">
        <v>273</v>
      </c>
      <c r="E2091" s="919">
        <v>1</v>
      </c>
      <c r="F2091" s="920">
        <v>1.45</v>
      </c>
      <c r="G2091" s="920">
        <v>0.8</v>
      </c>
      <c r="H2091" s="920">
        <v>0</v>
      </c>
      <c r="I2091" s="1266">
        <f t="shared" si="193"/>
        <v>1.1599999999999999</v>
      </c>
      <c r="J2091" s="955" t="s">
        <v>102</v>
      </c>
      <c r="K2091" s="902"/>
      <c r="L2091" s="923"/>
      <c r="M2091" s="902"/>
      <c r="N2091" s="900" t="s">
        <v>2209</v>
      </c>
    </row>
    <row r="2092" spans="1:14" s="910" customFormat="1" ht="16.5" hidden="1" customHeight="1">
      <c r="A2092" s="896"/>
      <c r="B2092" s="902"/>
      <c r="C2092" s="897">
        <v>1</v>
      </c>
      <c r="D2092" s="1263" t="s">
        <v>273</v>
      </c>
      <c r="E2092" s="919">
        <v>2</v>
      </c>
      <c r="F2092" s="920">
        <v>0.8</v>
      </c>
      <c r="G2092" s="920">
        <v>0</v>
      </c>
      <c r="H2092" s="920">
        <v>3</v>
      </c>
      <c r="I2092" s="1266">
        <f t="shared" si="193"/>
        <v>4.8</v>
      </c>
      <c r="J2092" s="955" t="s">
        <v>102</v>
      </c>
      <c r="K2092" s="902"/>
      <c r="L2092" s="923"/>
      <c r="M2092" s="902"/>
      <c r="N2092" s="900" t="s">
        <v>2209</v>
      </c>
    </row>
    <row r="2093" spans="1:14" s="910" customFormat="1" ht="16.5" hidden="1" customHeight="1">
      <c r="A2093" s="896"/>
      <c r="B2093" s="902"/>
      <c r="C2093" s="897">
        <v>1</v>
      </c>
      <c r="D2093" s="1263" t="s">
        <v>273</v>
      </c>
      <c r="E2093" s="919">
        <v>1</v>
      </c>
      <c r="F2093" s="920">
        <v>8.86</v>
      </c>
      <c r="G2093" s="920">
        <v>0</v>
      </c>
      <c r="H2093" s="920">
        <v>3</v>
      </c>
      <c r="I2093" s="1266">
        <f t="shared" si="193"/>
        <v>26.58</v>
      </c>
      <c r="J2093" s="955" t="s">
        <v>102</v>
      </c>
      <c r="K2093" s="902"/>
      <c r="L2093" s="923"/>
      <c r="M2093" s="902"/>
      <c r="N2093" s="900" t="s">
        <v>2209</v>
      </c>
    </row>
    <row r="2094" spans="1:14" s="910" customFormat="1" ht="16.5" hidden="1" customHeight="1">
      <c r="A2094" s="896"/>
      <c r="B2094" s="902"/>
      <c r="C2094" s="897">
        <v>1</v>
      </c>
      <c r="D2094" s="1263" t="s">
        <v>273</v>
      </c>
      <c r="E2094" s="919">
        <v>1</v>
      </c>
      <c r="F2094" s="920">
        <v>1.68</v>
      </c>
      <c r="G2094" s="920">
        <v>2.75</v>
      </c>
      <c r="H2094" s="920">
        <v>0</v>
      </c>
      <c r="I2094" s="1266">
        <f t="shared" si="193"/>
        <v>4.62</v>
      </c>
      <c r="J2094" s="955" t="s">
        <v>102</v>
      </c>
      <c r="K2094" s="902"/>
      <c r="L2094" s="923"/>
      <c r="M2094" s="902"/>
      <c r="N2094" s="900" t="s">
        <v>2209</v>
      </c>
    </row>
    <row r="2095" spans="1:14" s="910" customFormat="1" ht="16.5" hidden="1" customHeight="1">
      <c r="A2095" s="896"/>
      <c r="B2095" s="902"/>
      <c r="C2095" s="897">
        <v>1</v>
      </c>
      <c r="D2095" s="1263" t="s">
        <v>273</v>
      </c>
      <c r="E2095" s="919">
        <v>1</v>
      </c>
      <c r="F2095" s="920">
        <v>19.48</v>
      </c>
      <c r="G2095" s="920">
        <v>0</v>
      </c>
      <c r="H2095" s="920">
        <v>3</v>
      </c>
      <c r="I2095" s="1266">
        <f t="shared" si="193"/>
        <v>58.44</v>
      </c>
      <c r="J2095" s="955" t="s">
        <v>102</v>
      </c>
      <c r="K2095" s="902"/>
      <c r="L2095" s="923"/>
      <c r="M2095" s="902"/>
      <c r="N2095" s="900" t="s">
        <v>2209</v>
      </c>
    </row>
    <row r="2096" spans="1:14" s="910" customFormat="1" ht="16.5" hidden="1" customHeight="1">
      <c r="A2096" s="896"/>
      <c r="B2096" s="902"/>
      <c r="C2096" s="897">
        <v>1</v>
      </c>
      <c r="D2096" s="1263" t="s">
        <v>273</v>
      </c>
      <c r="E2096" s="919">
        <v>1</v>
      </c>
      <c r="F2096" s="920">
        <v>6.75</v>
      </c>
      <c r="G2096" s="920">
        <v>2.99</v>
      </c>
      <c r="H2096" s="920">
        <v>0</v>
      </c>
      <c r="I2096" s="1266">
        <f t="shared" si="193"/>
        <v>20.18</v>
      </c>
      <c r="J2096" s="955" t="s">
        <v>102</v>
      </c>
      <c r="K2096" s="902"/>
      <c r="L2096" s="923"/>
      <c r="M2096" s="902"/>
      <c r="N2096" s="900" t="s">
        <v>2209</v>
      </c>
    </row>
    <row r="2097" spans="1:14" s="910" customFormat="1" ht="16.5" hidden="1" customHeight="1">
      <c r="A2097" s="896"/>
      <c r="B2097" s="902"/>
      <c r="C2097" s="897">
        <v>1</v>
      </c>
      <c r="D2097" s="1263" t="s">
        <v>273</v>
      </c>
      <c r="E2097" s="919">
        <v>1</v>
      </c>
      <c r="F2097" s="920">
        <v>18.28</v>
      </c>
      <c r="G2097" s="920">
        <v>0</v>
      </c>
      <c r="H2097" s="920">
        <v>3</v>
      </c>
      <c r="I2097" s="1266">
        <f t="shared" si="193"/>
        <v>54.84</v>
      </c>
      <c r="J2097" s="955" t="s">
        <v>102</v>
      </c>
      <c r="K2097" s="902"/>
      <c r="L2097" s="923"/>
      <c r="M2097" s="902"/>
      <c r="N2097" s="900" t="s">
        <v>2209</v>
      </c>
    </row>
    <row r="2098" spans="1:14" s="910" customFormat="1" ht="16.5" hidden="1" customHeight="1">
      <c r="A2098" s="896"/>
      <c r="B2098" s="902"/>
      <c r="C2098" s="897">
        <v>1</v>
      </c>
      <c r="D2098" s="1263" t="s">
        <v>273</v>
      </c>
      <c r="E2098" s="919">
        <v>1</v>
      </c>
      <c r="F2098" s="920">
        <v>6.15</v>
      </c>
      <c r="G2098" s="920">
        <v>2.99</v>
      </c>
      <c r="H2098" s="920">
        <v>0</v>
      </c>
      <c r="I2098" s="1266">
        <f t="shared" si="193"/>
        <v>18.39</v>
      </c>
      <c r="J2098" s="955" t="s">
        <v>102</v>
      </c>
      <c r="K2098" s="902"/>
      <c r="L2098" s="923"/>
      <c r="M2098" s="902"/>
      <c r="N2098" s="900" t="s">
        <v>2209</v>
      </c>
    </row>
    <row r="2099" spans="1:14" s="910" customFormat="1" ht="16.5" hidden="1" customHeight="1">
      <c r="A2099" s="896"/>
      <c r="B2099" s="902"/>
      <c r="C2099" s="897">
        <v>2</v>
      </c>
      <c r="D2099" s="1263" t="s">
        <v>273</v>
      </c>
      <c r="E2099" s="919">
        <v>2</v>
      </c>
      <c r="F2099" s="920">
        <v>0.6</v>
      </c>
      <c r="G2099" s="920">
        <v>0</v>
      </c>
      <c r="H2099" s="920">
        <v>0.9</v>
      </c>
      <c r="I2099" s="1266">
        <f t="shared" si="193"/>
        <v>2.16</v>
      </c>
      <c r="J2099" s="955" t="s">
        <v>102</v>
      </c>
      <c r="K2099" s="902"/>
      <c r="L2099" s="923"/>
      <c r="M2099" s="902"/>
      <c r="N2099" s="900" t="s">
        <v>2209</v>
      </c>
    </row>
    <row r="2100" spans="1:14" s="910" customFormat="1" ht="16.5" hidden="1" customHeight="1">
      <c r="A2100" s="896"/>
      <c r="B2100" s="902"/>
      <c r="C2100" s="897">
        <v>1</v>
      </c>
      <c r="D2100" s="1263" t="s">
        <v>273</v>
      </c>
      <c r="E2100" s="919">
        <v>2</v>
      </c>
      <c r="F2100" s="920">
        <v>0.5</v>
      </c>
      <c r="G2100" s="920">
        <v>0</v>
      </c>
      <c r="H2100" s="920">
        <v>0.85</v>
      </c>
      <c r="I2100" s="1266">
        <f t="shared" si="193"/>
        <v>0.85</v>
      </c>
      <c r="J2100" s="955" t="s">
        <v>102</v>
      </c>
      <c r="K2100" s="902"/>
      <c r="L2100" s="923"/>
      <c r="M2100" s="902"/>
      <c r="N2100" s="900" t="s">
        <v>2209</v>
      </c>
    </row>
    <row r="2101" spans="1:14" s="910" customFormat="1" ht="16.5" hidden="1" customHeight="1">
      <c r="A2101" s="896"/>
      <c r="B2101" s="902"/>
      <c r="C2101" s="897">
        <v>1</v>
      </c>
      <c r="D2101" s="1263" t="s">
        <v>273</v>
      </c>
      <c r="E2101" s="919">
        <v>2</v>
      </c>
      <c r="F2101" s="920">
        <v>0.5</v>
      </c>
      <c r="G2101" s="920">
        <v>0</v>
      </c>
      <c r="H2101" s="920">
        <v>0.85</v>
      </c>
      <c r="I2101" s="1266">
        <f t="shared" si="193"/>
        <v>0.85</v>
      </c>
      <c r="J2101" s="955" t="s">
        <v>102</v>
      </c>
      <c r="K2101" s="902"/>
      <c r="L2101" s="923"/>
      <c r="M2101" s="902"/>
      <c r="N2101" s="900" t="s">
        <v>2209</v>
      </c>
    </row>
    <row r="2102" spans="1:14" s="910" customFormat="1" ht="16.5" hidden="1" customHeight="1">
      <c r="A2102" s="896"/>
      <c r="B2102" s="902"/>
      <c r="C2102" s="897">
        <v>1</v>
      </c>
      <c r="D2102" s="1263" t="s">
        <v>273</v>
      </c>
      <c r="E2102" s="919">
        <v>2</v>
      </c>
      <c r="F2102" s="920">
        <v>0.57999999999999996</v>
      </c>
      <c r="G2102" s="920">
        <v>0</v>
      </c>
      <c r="H2102" s="920">
        <v>3</v>
      </c>
      <c r="I2102" s="1266">
        <f t="shared" si="193"/>
        <v>3.48</v>
      </c>
      <c r="J2102" s="955" t="s">
        <v>102</v>
      </c>
      <c r="K2102" s="902"/>
      <c r="L2102" s="923"/>
      <c r="M2102" s="902"/>
      <c r="N2102" s="900" t="s">
        <v>2209</v>
      </c>
    </row>
    <row r="2103" spans="1:14" s="910" customFormat="1" ht="16.5" hidden="1" customHeight="1">
      <c r="A2103" s="896"/>
      <c r="B2103" s="902"/>
      <c r="C2103" s="897">
        <v>1</v>
      </c>
      <c r="D2103" s="1263" t="s">
        <v>273</v>
      </c>
      <c r="E2103" s="919">
        <v>1</v>
      </c>
      <c r="F2103" s="920">
        <v>1.2</v>
      </c>
      <c r="G2103" s="920">
        <v>0</v>
      </c>
      <c r="H2103" s="920">
        <v>2.1</v>
      </c>
      <c r="I2103" s="1266">
        <f t="shared" ref="I2103:I2109" si="194">-ROUND(IF(AND(F2103:H2103),C2103*E2103*F2103*G2103*H2103,IF(AND(F2103,G2103),C2103*E2103*F2103*G2103,IF(AND(F2103,H2103),C2103*E2103*F2103*H2103,IF(AND(G2103,H2103),C2103*E2103*G2103*H2103,IF(F2103,C2103*E2103*F2103,IF(G2103,C2103*E2103*G2103,IF(H2103,C2103*E2103*H2103,C2103*E2103))))))),2)</f>
        <v>-2.52</v>
      </c>
      <c r="J2103" s="955" t="s">
        <v>102</v>
      </c>
      <c r="K2103" s="902"/>
      <c r="L2103" s="923"/>
      <c r="M2103" s="902"/>
      <c r="N2103" s="900" t="s">
        <v>2209</v>
      </c>
    </row>
    <row r="2104" spans="1:14" s="910" customFormat="1" ht="16.5" hidden="1" customHeight="1">
      <c r="A2104" s="896"/>
      <c r="B2104" s="902"/>
      <c r="C2104" s="897">
        <v>1</v>
      </c>
      <c r="D2104" s="1263" t="s">
        <v>273</v>
      </c>
      <c r="E2104" s="919">
        <v>2</v>
      </c>
      <c r="F2104" s="920">
        <v>0.9</v>
      </c>
      <c r="G2104" s="920">
        <v>0</v>
      </c>
      <c r="H2104" s="920">
        <v>2.1</v>
      </c>
      <c r="I2104" s="1266">
        <f t="shared" si="194"/>
        <v>-3.78</v>
      </c>
      <c r="J2104" s="955" t="s">
        <v>102</v>
      </c>
      <c r="K2104" s="902"/>
      <c r="L2104" s="923"/>
      <c r="M2104" s="902"/>
      <c r="N2104" s="900" t="s">
        <v>2209</v>
      </c>
    </row>
    <row r="2105" spans="1:14" s="910" customFormat="1" ht="16.5" hidden="1" customHeight="1">
      <c r="A2105" s="896"/>
      <c r="B2105" s="902"/>
      <c r="C2105" s="897">
        <v>2</v>
      </c>
      <c r="D2105" s="1263" t="s">
        <v>273</v>
      </c>
      <c r="E2105" s="919">
        <v>2</v>
      </c>
      <c r="F2105" s="920">
        <v>0.9</v>
      </c>
      <c r="G2105" s="920">
        <v>0</v>
      </c>
      <c r="H2105" s="920">
        <v>2.1</v>
      </c>
      <c r="I2105" s="1266">
        <f t="shared" si="194"/>
        <v>-7.56</v>
      </c>
      <c r="J2105" s="955" t="s">
        <v>102</v>
      </c>
      <c r="K2105" s="902"/>
      <c r="L2105" s="923"/>
      <c r="M2105" s="902"/>
      <c r="N2105" s="900" t="s">
        <v>2209</v>
      </c>
    </row>
    <row r="2106" spans="1:14" s="910" customFormat="1" ht="16.5" hidden="1" customHeight="1">
      <c r="A2106" s="896"/>
      <c r="B2106" s="902"/>
      <c r="C2106" s="897">
        <v>1</v>
      </c>
      <c r="D2106" s="1263" t="s">
        <v>273</v>
      </c>
      <c r="E2106" s="919">
        <v>1</v>
      </c>
      <c r="F2106" s="920">
        <v>0.78</v>
      </c>
      <c r="G2106" s="920">
        <v>0</v>
      </c>
      <c r="H2106" s="920">
        <v>2.8</v>
      </c>
      <c r="I2106" s="1266">
        <f t="shared" si="194"/>
        <v>-2.1800000000000002</v>
      </c>
      <c r="J2106" s="955" t="s">
        <v>102</v>
      </c>
      <c r="K2106" s="902"/>
      <c r="L2106" s="923"/>
      <c r="M2106" s="902"/>
      <c r="N2106" s="900" t="s">
        <v>2209</v>
      </c>
    </row>
    <row r="2107" spans="1:14" s="910" customFormat="1" ht="16.5" hidden="1" customHeight="1">
      <c r="A2107" s="896"/>
      <c r="B2107" s="902"/>
      <c r="C2107" s="897">
        <v>1</v>
      </c>
      <c r="D2107" s="1263" t="s">
        <v>273</v>
      </c>
      <c r="E2107" s="919">
        <v>2</v>
      </c>
      <c r="F2107" s="920">
        <v>0.9</v>
      </c>
      <c r="G2107" s="920">
        <v>0</v>
      </c>
      <c r="H2107" s="920">
        <v>2.8</v>
      </c>
      <c r="I2107" s="1266">
        <f t="shared" si="194"/>
        <v>-5.04</v>
      </c>
      <c r="J2107" s="955" t="s">
        <v>102</v>
      </c>
      <c r="K2107" s="902"/>
      <c r="L2107" s="923"/>
      <c r="M2107" s="902"/>
      <c r="N2107" s="900" t="s">
        <v>2209</v>
      </c>
    </row>
    <row r="2108" spans="1:14" s="910" customFormat="1" ht="16.5" hidden="1" customHeight="1">
      <c r="A2108" s="896"/>
      <c r="B2108" s="902"/>
      <c r="C2108" s="897">
        <v>1</v>
      </c>
      <c r="D2108" s="1263" t="s">
        <v>273</v>
      </c>
      <c r="E2108" s="919">
        <v>8</v>
      </c>
      <c r="F2108" s="920">
        <v>1.2</v>
      </c>
      <c r="G2108" s="920">
        <v>0</v>
      </c>
      <c r="H2108" s="920">
        <v>1.2</v>
      </c>
      <c r="I2108" s="1266">
        <f t="shared" si="194"/>
        <v>-11.52</v>
      </c>
      <c r="J2108" s="955" t="s">
        <v>102</v>
      </c>
      <c r="K2108" s="902"/>
      <c r="L2108" s="923"/>
      <c r="M2108" s="902"/>
      <c r="N2108" s="900" t="s">
        <v>2209</v>
      </c>
    </row>
    <row r="2109" spans="1:14" s="910" customFormat="1" ht="16.5" hidden="1" customHeight="1">
      <c r="A2109" s="896"/>
      <c r="B2109" s="902"/>
      <c r="C2109" s="897">
        <v>1</v>
      </c>
      <c r="D2109" s="1263" t="s">
        <v>273</v>
      </c>
      <c r="E2109" s="919">
        <v>8</v>
      </c>
      <c r="F2109" s="920">
        <v>0.6</v>
      </c>
      <c r="G2109" s="920">
        <v>0</v>
      </c>
      <c r="H2109" s="920">
        <v>0.3</v>
      </c>
      <c r="I2109" s="1266">
        <f t="shared" si="194"/>
        <v>-1.44</v>
      </c>
      <c r="J2109" s="955" t="s">
        <v>102</v>
      </c>
      <c r="K2109" s="902"/>
      <c r="L2109" s="923"/>
      <c r="M2109" s="902"/>
      <c r="N2109" s="900" t="s">
        <v>2209</v>
      </c>
    </row>
    <row r="2110" spans="1:14" s="910" customFormat="1" ht="16.5" hidden="1" customHeight="1">
      <c r="A2110" s="896"/>
      <c r="B2110" s="956"/>
      <c r="C2110" s="957"/>
      <c r="D2110" s="958"/>
      <c r="E2110" s="1268"/>
      <c r="F2110" s="960"/>
      <c r="G2110" s="960"/>
      <c r="H2110" s="960"/>
      <c r="I2110" s="916"/>
      <c r="J2110" s="955"/>
      <c r="K2110" s="902"/>
      <c r="L2110" s="923"/>
      <c r="M2110" s="902"/>
      <c r="N2110" s="900" t="s">
        <v>2209</v>
      </c>
    </row>
    <row r="2111" spans="1:14" ht="15.75" hidden="1">
      <c r="A2111" s="896"/>
      <c r="B2111" s="902"/>
      <c r="C2111" s="917"/>
      <c r="D2111" s="918"/>
      <c r="E2111" s="919"/>
      <c r="F2111" s="920"/>
      <c r="G2111" s="921"/>
      <c r="H2111" s="896"/>
      <c r="I2111" s="916"/>
      <c r="J2111" s="955" t="s">
        <v>102</v>
      </c>
      <c r="K2111" s="922">
        <f>data!E846</f>
        <v>122.02</v>
      </c>
      <c r="L2111" s="923" t="s">
        <v>2209</v>
      </c>
      <c r="M2111" s="924">
        <f>ROUND(I2111*K2111,0)</f>
        <v>0</v>
      </c>
      <c r="N2111" s="900" t="s">
        <v>2209</v>
      </c>
    </row>
    <row r="2112" spans="1:14" ht="94.5" hidden="1" customHeight="1">
      <c r="A2112" s="896">
        <v>32</v>
      </c>
      <c r="B2112" s="1609" t="s">
        <v>1167</v>
      </c>
      <c r="C2112" s="1609"/>
      <c r="D2112" s="1609"/>
      <c r="E2112" s="1609"/>
      <c r="F2112" s="1609"/>
      <c r="G2112" s="1609"/>
      <c r="H2112" s="1609"/>
      <c r="I2112" s="897"/>
      <c r="J2112" s="898"/>
      <c r="K2112" s="896"/>
      <c r="L2112" s="923"/>
      <c r="M2112" s="899"/>
      <c r="N2112" s="900" t="s">
        <v>2297</v>
      </c>
    </row>
    <row r="2113" spans="1:14" s="910" customFormat="1" ht="16.5" hidden="1" customHeight="1">
      <c r="A2113" s="896"/>
      <c r="B2113" s="902" t="s">
        <v>3768</v>
      </c>
      <c r="C2113" s="897"/>
      <c r="D2113" s="954" t="s">
        <v>3823</v>
      </c>
      <c r="E2113" s="919"/>
      <c r="F2113" s="920"/>
      <c r="G2113" s="920"/>
      <c r="H2113" s="920"/>
      <c r="I2113" s="1264"/>
      <c r="J2113" s="955"/>
      <c r="K2113" s="902"/>
      <c r="L2113" s="923"/>
      <c r="M2113" s="902"/>
      <c r="N2113" s="900" t="s">
        <v>2297</v>
      </c>
    </row>
    <row r="2114" spans="1:14" s="910" customFormat="1" ht="16.5" hidden="1" customHeight="1">
      <c r="A2114" s="896"/>
      <c r="B2114" s="902" t="s">
        <v>3764</v>
      </c>
      <c r="C2114" s="897">
        <v>1</v>
      </c>
      <c r="D2114" s="1263" t="s">
        <v>273</v>
      </c>
      <c r="E2114" s="919">
        <v>1</v>
      </c>
      <c r="F2114" s="920">
        <v>2.89</v>
      </c>
      <c r="G2114" s="920">
        <v>2.82</v>
      </c>
      <c r="H2114" s="920">
        <v>0</v>
      </c>
      <c r="I2114" s="1266">
        <f t="shared" ref="I2114:I2130" si="195">ROUND(IF(AND(F2114:H2114),C2114*E2114*F2114*G2114*H2114,IF(AND(F2114,G2114),C2114*E2114*F2114*G2114,IF(AND(F2114,H2114),C2114*E2114*F2114*H2114,IF(AND(G2114,H2114),C2114*E2114*G2114*H2114,IF(F2114,C2114*E2114*F2114,IF(G2114,C2114*E2114*G2114,IF(H2114,C2114*E2114*H2114,C2114*E2114))))))),2)</f>
        <v>8.15</v>
      </c>
      <c r="J2114" s="955" t="s">
        <v>102</v>
      </c>
      <c r="K2114" s="902"/>
      <c r="L2114" s="923"/>
      <c r="M2114" s="902"/>
      <c r="N2114" s="900" t="s">
        <v>2297</v>
      </c>
    </row>
    <row r="2115" spans="1:14" s="910" customFormat="1" ht="16.5" hidden="1" customHeight="1">
      <c r="A2115" s="896"/>
      <c r="B2115" s="902" t="s">
        <v>3763</v>
      </c>
      <c r="C2115" s="897">
        <v>1</v>
      </c>
      <c r="D2115" s="1263" t="s">
        <v>273</v>
      </c>
      <c r="E2115" s="919">
        <v>1</v>
      </c>
      <c r="F2115" s="920">
        <v>11.42</v>
      </c>
      <c r="G2115" s="920">
        <v>0</v>
      </c>
      <c r="H2115" s="920">
        <v>3.2</v>
      </c>
      <c r="I2115" s="1266">
        <f t="shared" si="195"/>
        <v>36.54</v>
      </c>
      <c r="J2115" s="955" t="s">
        <v>102</v>
      </c>
      <c r="K2115" s="902"/>
      <c r="L2115" s="923"/>
      <c r="M2115" s="902"/>
      <c r="N2115" s="900" t="s">
        <v>2297</v>
      </c>
    </row>
    <row r="2116" spans="1:14" s="910" customFormat="1" ht="16.5" hidden="1" customHeight="1">
      <c r="A2116" s="896"/>
      <c r="B2116" s="902" t="s">
        <v>3592</v>
      </c>
      <c r="C2116" s="897">
        <v>1</v>
      </c>
      <c r="D2116" s="1263" t="s">
        <v>273</v>
      </c>
      <c r="E2116" s="919">
        <v>1</v>
      </c>
      <c r="F2116" s="920">
        <v>1.36</v>
      </c>
      <c r="G2116" s="920">
        <v>1.63</v>
      </c>
      <c r="H2116" s="920">
        <v>0</v>
      </c>
      <c r="I2116" s="1266">
        <f t="shared" si="195"/>
        <v>2.2200000000000002</v>
      </c>
      <c r="J2116" s="955" t="s">
        <v>102</v>
      </c>
      <c r="K2116" s="902"/>
      <c r="L2116" s="923"/>
      <c r="M2116" s="902"/>
      <c r="N2116" s="900" t="s">
        <v>2297</v>
      </c>
    </row>
    <row r="2117" spans="1:14" s="910" customFormat="1" ht="16.5" hidden="1" customHeight="1">
      <c r="A2117" s="896"/>
      <c r="B2117" s="902"/>
      <c r="C2117" s="897">
        <v>1</v>
      </c>
      <c r="D2117" s="1263" t="s">
        <v>273</v>
      </c>
      <c r="E2117" s="919">
        <v>1</v>
      </c>
      <c r="F2117" s="920">
        <v>1.36</v>
      </c>
      <c r="G2117" s="920">
        <v>0.95</v>
      </c>
      <c r="H2117" s="920">
        <v>0</v>
      </c>
      <c r="I2117" s="1266">
        <f t="shared" si="195"/>
        <v>1.29</v>
      </c>
      <c r="J2117" s="955" t="s">
        <v>102</v>
      </c>
      <c r="K2117" s="902"/>
      <c r="L2117" s="923"/>
      <c r="M2117" s="902"/>
      <c r="N2117" s="900" t="s">
        <v>2297</v>
      </c>
    </row>
    <row r="2118" spans="1:14" s="910" customFormat="1" ht="16.5" hidden="1" customHeight="1">
      <c r="A2118" s="896"/>
      <c r="B2118" s="902" t="s">
        <v>3763</v>
      </c>
      <c r="C2118" s="897">
        <v>1</v>
      </c>
      <c r="D2118" s="1263" t="s">
        <v>273</v>
      </c>
      <c r="E2118" s="919">
        <v>1</v>
      </c>
      <c r="F2118" s="920">
        <v>5.98</v>
      </c>
      <c r="G2118" s="920">
        <v>0</v>
      </c>
      <c r="H2118" s="920">
        <v>1.1000000000000001</v>
      </c>
      <c r="I2118" s="1266">
        <f t="shared" si="195"/>
        <v>6.58</v>
      </c>
      <c r="J2118" s="955" t="s">
        <v>102</v>
      </c>
      <c r="K2118" s="902"/>
      <c r="L2118" s="923"/>
      <c r="M2118" s="902"/>
      <c r="N2118" s="900" t="s">
        <v>2297</v>
      </c>
    </row>
    <row r="2119" spans="1:14" s="910" customFormat="1" ht="16.5" hidden="1" customHeight="1">
      <c r="A2119" s="896"/>
      <c r="B2119" s="902"/>
      <c r="C2119" s="897">
        <v>1</v>
      </c>
      <c r="D2119" s="1263" t="s">
        <v>273</v>
      </c>
      <c r="E2119" s="919">
        <v>1</v>
      </c>
      <c r="F2119" s="920">
        <v>4.63</v>
      </c>
      <c r="G2119" s="920">
        <v>0</v>
      </c>
      <c r="H2119" s="920">
        <v>3.2</v>
      </c>
      <c r="I2119" s="1266">
        <f t="shared" si="195"/>
        <v>14.82</v>
      </c>
      <c r="J2119" s="955" t="s">
        <v>102</v>
      </c>
      <c r="K2119" s="902"/>
      <c r="L2119" s="923"/>
      <c r="M2119" s="902"/>
      <c r="N2119" s="900" t="s">
        <v>2297</v>
      </c>
    </row>
    <row r="2120" spans="1:14" s="910" customFormat="1" ht="16.5" hidden="1" customHeight="1">
      <c r="A2120" s="896"/>
      <c r="B2120" s="902" t="s">
        <v>3765</v>
      </c>
      <c r="C2120" s="897">
        <v>1</v>
      </c>
      <c r="D2120" s="1263" t="s">
        <v>273</v>
      </c>
      <c r="E2120" s="919">
        <v>1</v>
      </c>
      <c r="F2120" s="920">
        <v>2.34</v>
      </c>
      <c r="G2120" s="920">
        <v>2.82</v>
      </c>
      <c r="H2120" s="920">
        <v>0</v>
      </c>
      <c r="I2120" s="1266">
        <f t="shared" si="195"/>
        <v>6.6</v>
      </c>
      <c r="J2120" s="955" t="s">
        <v>102</v>
      </c>
      <c r="K2120" s="902"/>
      <c r="L2120" s="923"/>
      <c r="M2120" s="902"/>
      <c r="N2120" s="900" t="s">
        <v>2297</v>
      </c>
    </row>
    <row r="2121" spans="1:14" s="910" customFormat="1" ht="16.5" hidden="1" customHeight="1">
      <c r="A2121" s="896"/>
      <c r="B2121" s="902" t="s">
        <v>3763</v>
      </c>
      <c r="C2121" s="897">
        <v>1</v>
      </c>
      <c r="D2121" s="1263" t="s">
        <v>273</v>
      </c>
      <c r="E2121" s="919">
        <v>1</v>
      </c>
      <c r="F2121" s="920">
        <v>10.32</v>
      </c>
      <c r="G2121" s="920">
        <v>0</v>
      </c>
      <c r="H2121" s="920">
        <v>3.2</v>
      </c>
      <c r="I2121" s="1266">
        <f t="shared" si="195"/>
        <v>33.020000000000003</v>
      </c>
      <c r="J2121" s="955" t="s">
        <v>102</v>
      </c>
      <c r="K2121" s="902"/>
      <c r="L2121" s="923"/>
      <c r="M2121" s="902"/>
      <c r="N2121" s="900" t="s">
        <v>2297</v>
      </c>
    </row>
    <row r="2122" spans="1:14" s="910" customFormat="1" ht="16.5" hidden="1" customHeight="1">
      <c r="A2122" s="896"/>
      <c r="B2122" s="902" t="s">
        <v>3590</v>
      </c>
      <c r="C2122" s="897">
        <v>1</v>
      </c>
      <c r="D2122" s="1263" t="s">
        <v>273</v>
      </c>
      <c r="E2122" s="919">
        <v>1</v>
      </c>
      <c r="F2122" s="920">
        <v>2.75</v>
      </c>
      <c r="G2122" s="920">
        <v>2.82</v>
      </c>
      <c r="H2122" s="920">
        <v>0</v>
      </c>
      <c r="I2122" s="1266">
        <f t="shared" si="195"/>
        <v>7.76</v>
      </c>
      <c r="J2122" s="955" t="s">
        <v>102</v>
      </c>
      <c r="K2122" s="902"/>
      <c r="L2122" s="923"/>
      <c r="M2122" s="902"/>
      <c r="N2122" s="900" t="s">
        <v>2297</v>
      </c>
    </row>
    <row r="2123" spans="1:14" s="910" customFormat="1" ht="16.5" hidden="1" customHeight="1">
      <c r="A2123" s="896"/>
      <c r="B2123" s="902" t="s">
        <v>3763</v>
      </c>
      <c r="C2123" s="897">
        <v>1</v>
      </c>
      <c r="D2123" s="1263" t="s">
        <v>273</v>
      </c>
      <c r="E2123" s="919">
        <v>1</v>
      </c>
      <c r="F2123" s="920">
        <v>11.14</v>
      </c>
      <c r="G2123" s="920">
        <v>0</v>
      </c>
      <c r="H2123" s="920">
        <v>3.2</v>
      </c>
      <c r="I2123" s="1266">
        <f t="shared" si="195"/>
        <v>35.65</v>
      </c>
      <c r="J2123" s="955" t="s">
        <v>102</v>
      </c>
      <c r="K2123" s="902"/>
      <c r="L2123" s="923"/>
      <c r="M2123" s="902"/>
      <c r="N2123" s="900" t="s">
        <v>2297</v>
      </c>
    </row>
    <row r="2124" spans="1:14" s="910" customFormat="1" ht="16.5" hidden="1" customHeight="1">
      <c r="A2124" s="896"/>
      <c r="B2124" s="902" t="s">
        <v>3769</v>
      </c>
      <c r="C2124" s="897">
        <v>1</v>
      </c>
      <c r="D2124" s="1263" t="s">
        <v>273</v>
      </c>
      <c r="E2124" s="919">
        <v>1</v>
      </c>
      <c r="F2124" s="920">
        <v>1.36</v>
      </c>
      <c r="G2124" s="920">
        <v>1.95</v>
      </c>
      <c r="H2124" s="920">
        <v>0</v>
      </c>
      <c r="I2124" s="1266">
        <f t="shared" si="195"/>
        <v>2.65</v>
      </c>
      <c r="J2124" s="955" t="s">
        <v>102</v>
      </c>
      <c r="K2124" s="902"/>
      <c r="L2124" s="923"/>
      <c r="M2124" s="902"/>
      <c r="N2124" s="900" t="s">
        <v>2297</v>
      </c>
    </row>
    <row r="2125" spans="1:14" s="910" customFormat="1" ht="16.5" hidden="1" customHeight="1">
      <c r="A2125" s="896"/>
      <c r="B2125" s="902"/>
      <c r="C2125" s="897">
        <v>1</v>
      </c>
      <c r="D2125" s="1263" t="s">
        <v>273</v>
      </c>
      <c r="E2125" s="919">
        <v>1</v>
      </c>
      <c r="F2125" s="920">
        <v>1.36</v>
      </c>
      <c r="G2125" s="920">
        <v>0.6</v>
      </c>
      <c r="H2125" s="920">
        <v>0</v>
      </c>
      <c r="I2125" s="1266">
        <f t="shared" si="195"/>
        <v>0.82</v>
      </c>
      <c r="J2125" s="955" t="s">
        <v>102</v>
      </c>
      <c r="K2125" s="902"/>
      <c r="L2125" s="923"/>
      <c r="M2125" s="902"/>
      <c r="N2125" s="900" t="s">
        <v>2297</v>
      </c>
    </row>
    <row r="2126" spans="1:14" s="910" customFormat="1" ht="16.5" hidden="1" customHeight="1">
      <c r="A2126" s="896"/>
      <c r="B2126" s="902" t="s">
        <v>3763</v>
      </c>
      <c r="C2126" s="897">
        <v>1</v>
      </c>
      <c r="D2126" s="1263" t="s">
        <v>273</v>
      </c>
      <c r="E2126" s="919">
        <v>1</v>
      </c>
      <c r="F2126" s="920">
        <v>6.68</v>
      </c>
      <c r="G2126" s="920">
        <v>0</v>
      </c>
      <c r="H2126" s="920">
        <v>1.1000000000000001</v>
      </c>
      <c r="I2126" s="1266">
        <f t="shared" si="195"/>
        <v>7.35</v>
      </c>
      <c r="J2126" s="955" t="s">
        <v>102</v>
      </c>
      <c r="K2126" s="902"/>
      <c r="L2126" s="923"/>
      <c r="M2126" s="902"/>
      <c r="N2126" s="900" t="s">
        <v>2297</v>
      </c>
    </row>
    <row r="2127" spans="1:14" s="910" customFormat="1" ht="16.5" hidden="1" customHeight="1">
      <c r="A2127" s="896"/>
      <c r="B2127" s="902"/>
      <c r="C2127" s="897">
        <v>1</v>
      </c>
      <c r="D2127" s="1263" t="s">
        <v>273</v>
      </c>
      <c r="E2127" s="919">
        <v>1</v>
      </c>
      <c r="F2127" s="920">
        <v>3.93</v>
      </c>
      <c r="G2127" s="920">
        <v>0</v>
      </c>
      <c r="H2127" s="920">
        <v>3.2</v>
      </c>
      <c r="I2127" s="1266">
        <f t="shared" si="195"/>
        <v>12.58</v>
      </c>
      <c r="J2127" s="955" t="s">
        <v>102</v>
      </c>
      <c r="K2127" s="902"/>
      <c r="L2127" s="923"/>
      <c r="M2127" s="902"/>
      <c r="N2127" s="900" t="s">
        <v>2297</v>
      </c>
    </row>
    <row r="2128" spans="1:14" s="910" customFormat="1" ht="16.5" hidden="1" customHeight="1">
      <c r="A2128" s="896"/>
      <c r="B2128" s="902" t="s">
        <v>3591</v>
      </c>
      <c r="C2128" s="897">
        <v>1</v>
      </c>
      <c r="D2128" s="1263" t="s">
        <v>273</v>
      </c>
      <c r="E2128" s="919">
        <v>1</v>
      </c>
      <c r="F2128" s="920">
        <v>1.83</v>
      </c>
      <c r="G2128" s="920">
        <v>2.82</v>
      </c>
      <c r="H2128" s="920">
        <v>0</v>
      </c>
      <c r="I2128" s="1266">
        <f t="shared" si="195"/>
        <v>5.16</v>
      </c>
      <c r="J2128" s="955" t="s">
        <v>102</v>
      </c>
      <c r="K2128" s="902"/>
      <c r="L2128" s="923"/>
      <c r="M2128" s="902"/>
      <c r="N2128" s="900" t="s">
        <v>2297</v>
      </c>
    </row>
    <row r="2129" spans="1:14" s="910" customFormat="1" ht="16.5" hidden="1" customHeight="1">
      <c r="A2129" s="896"/>
      <c r="B2129" s="902" t="s">
        <v>3763</v>
      </c>
      <c r="C2129" s="897">
        <v>1</v>
      </c>
      <c r="D2129" s="1263" t="s">
        <v>273</v>
      </c>
      <c r="E2129" s="919">
        <v>1</v>
      </c>
      <c r="F2129" s="920">
        <v>9.3000000000000007</v>
      </c>
      <c r="G2129" s="920">
        <v>0</v>
      </c>
      <c r="H2129" s="920">
        <v>3.2</v>
      </c>
      <c r="I2129" s="1266">
        <f t="shared" si="195"/>
        <v>29.76</v>
      </c>
      <c r="J2129" s="955" t="s">
        <v>102</v>
      </c>
      <c r="K2129" s="902"/>
      <c r="L2129" s="923"/>
      <c r="M2129" s="902"/>
      <c r="N2129" s="900" t="s">
        <v>2297</v>
      </c>
    </row>
    <row r="2130" spans="1:14" s="910" customFormat="1" ht="16.5" hidden="1" customHeight="1">
      <c r="A2130" s="896"/>
      <c r="B2130" s="902" t="s">
        <v>3767</v>
      </c>
      <c r="C2130" s="897">
        <v>1</v>
      </c>
      <c r="D2130" s="1263" t="s">
        <v>273</v>
      </c>
      <c r="E2130" s="919">
        <v>1</v>
      </c>
      <c r="F2130" s="920">
        <v>6.68</v>
      </c>
      <c r="G2130" s="920">
        <v>3</v>
      </c>
      <c r="H2130" s="920">
        <v>0</v>
      </c>
      <c r="I2130" s="1266">
        <f t="shared" si="195"/>
        <v>20.04</v>
      </c>
      <c r="J2130" s="955" t="s">
        <v>102</v>
      </c>
      <c r="K2130" s="902"/>
      <c r="L2130" s="923"/>
      <c r="M2130" s="902"/>
      <c r="N2130" s="900" t="s">
        <v>2297</v>
      </c>
    </row>
    <row r="2131" spans="1:14" s="910" customFormat="1" ht="16.5" hidden="1" customHeight="1">
      <c r="A2131" s="896"/>
      <c r="B2131" s="902" t="s">
        <v>2354</v>
      </c>
      <c r="C2131" s="897">
        <v>1</v>
      </c>
      <c r="D2131" s="1263" t="s">
        <v>273</v>
      </c>
      <c r="E2131" s="919">
        <v>8</v>
      </c>
      <c r="F2131" s="920">
        <v>1.2</v>
      </c>
      <c r="G2131" s="920">
        <v>0</v>
      </c>
      <c r="H2131" s="920">
        <v>1.2</v>
      </c>
      <c r="I2131" s="1266">
        <f>-ROUND(IF(AND(F2131:H2131),C2131*E2131*F2131*G2131*H2131,IF(AND(F2131,G2131),C2131*E2131*F2131*G2131,IF(AND(F2131,H2131),C2131*E2131*F2131*H2131,IF(AND(G2131,H2131),C2131*E2131*G2131*H2131,IF(F2131,C2131*E2131*F2131,IF(G2131,C2131*E2131*G2131,IF(H2131,C2131*E2131*H2131,C2131*E2131))))))),2)</f>
        <v>-11.52</v>
      </c>
      <c r="J2131" s="955" t="s">
        <v>102</v>
      </c>
      <c r="K2131" s="902"/>
      <c r="L2131" s="923"/>
      <c r="M2131" s="902"/>
      <c r="N2131" s="900" t="s">
        <v>2297</v>
      </c>
    </row>
    <row r="2132" spans="1:14" s="910" customFormat="1" ht="16.5" hidden="1" customHeight="1">
      <c r="A2132" s="896"/>
      <c r="B2132" s="902" t="s">
        <v>579</v>
      </c>
      <c r="C2132" s="897">
        <v>1</v>
      </c>
      <c r="D2132" s="1263" t="s">
        <v>273</v>
      </c>
      <c r="E2132" s="919">
        <v>1</v>
      </c>
      <c r="F2132" s="920">
        <v>1.2</v>
      </c>
      <c r="G2132" s="920">
        <v>0</v>
      </c>
      <c r="H2132" s="920">
        <v>2.1</v>
      </c>
      <c r="I2132" s="1266">
        <f>-ROUND(IF(AND(F2132:H2132),C2132*E2132*F2132*G2132*H2132,IF(AND(F2132,G2132),C2132*E2132*F2132*G2132,IF(AND(F2132,H2132),C2132*E2132*F2132*H2132,IF(AND(G2132,H2132),C2132*E2132*G2132*H2132,IF(F2132,C2132*E2132*F2132,IF(G2132,C2132*E2132*G2132,IF(H2132,C2132*E2132*H2132,C2132*E2132))))))),2)</f>
        <v>-2.52</v>
      </c>
      <c r="J2132" s="955" t="s">
        <v>102</v>
      </c>
      <c r="K2132" s="902"/>
      <c r="L2132" s="923"/>
      <c r="M2132" s="902"/>
      <c r="N2132" s="900" t="s">
        <v>2297</v>
      </c>
    </row>
    <row r="2133" spans="1:14" s="910" customFormat="1" ht="16.5" hidden="1" customHeight="1">
      <c r="A2133" s="896"/>
      <c r="B2133" s="902" t="s">
        <v>579</v>
      </c>
      <c r="C2133" s="897">
        <v>1</v>
      </c>
      <c r="D2133" s="1263" t="s">
        <v>273</v>
      </c>
      <c r="E2133" s="919">
        <v>1</v>
      </c>
      <c r="F2133" s="920">
        <v>0.9</v>
      </c>
      <c r="G2133" s="920">
        <v>0</v>
      </c>
      <c r="H2133" s="920">
        <v>2.1</v>
      </c>
      <c r="I2133" s="1266">
        <f>-ROUND(IF(AND(F2133:H2133),C2133*E2133*F2133*G2133*H2133,IF(AND(F2133,G2133),C2133*E2133*F2133*G2133,IF(AND(F2133,H2133),C2133*E2133*F2133*H2133,IF(AND(G2133,H2133),C2133*E2133*G2133*H2133,IF(F2133,C2133*E2133*F2133,IF(G2133,C2133*E2133*G2133,IF(H2133,C2133*E2133*H2133,C2133*E2133))))))),2)</f>
        <v>-1.89</v>
      </c>
      <c r="J2133" s="955" t="s">
        <v>102</v>
      </c>
      <c r="K2133" s="902"/>
      <c r="L2133" s="923"/>
      <c r="M2133" s="902"/>
      <c r="N2133" s="900" t="s">
        <v>2297</v>
      </c>
    </row>
    <row r="2134" spans="1:14" s="910" customFormat="1" ht="16.5" hidden="1" customHeight="1">
      <c r="A2134" s="896"/>
      <c r="B2134" s="902" t="s">
        <v>579</v>
      </c>
      <c r="C2134" s="897">
        <v>2</v>
      </c>
      <c r="D2134" s="1263" t="s">
        <v>273</v>
      </c>
      <c r="E2134" s="919">
        <v>4</v>
      </c>
      <c r="F2134" s="920">
        <v>0.9</v>
      </c>
      <c r="G2134" s="920">
        <v>0</v>
      </c>
      <c r="H2134" s="920">
        <v>2.1</v>
      </c>
      <c r="I2134" s="1266">
        <f>-ROUND(IF(AND(F2134:H2134),C2134*E2134*F2134*G2134*H2134,IF(AND(F2134,G2134),C2134*E2134*F2134*G2134,IF(AND(F2134,H2134),C2134*E2134*F2134*H2134,IF(AND(G2134,H2134),C2134*E2134*G2134*H2134,IF(F2134,C2134*E2134*F2134,IF(G2134,C2134*E2134*G2134,IF(H2134,C2134*E2134*H2134,C2134*E2134))))))),2)</f>
        <v>-15.12</v>
      </c>
      <c r="J2134" s="955" t="s">
        <v>102</v>
      </c>
      <c r="K2134" s="902"/>
      <c r="L2134" s="923"/>
      <c r="M2134" s="902"/>
      <c r="N2134" s="900" t="s">
        <v>2297</v>
      </c>
    </row>
    <row r="2135" spans="1:14" s="910" customFormat="1" ht="16.5" hidden="1" customHeight="1">
      <c r="A2135" s="896"/>
      <c r="B2135" s="902" t="s">
        <v>579</v>
      </c>
      <c r="C2135" s="897">
        <v>1</v>
      </c>
      <c r="D2135" s="1263" t="s">
        <v>273</v>
      </c>
      <c r="E2135" s="919">
        <v>3</v>
      </c>
      <c r="F2135" s="920">
        <v>0.75</v>
      </c>
      <c r="G2135" s="920">
        <v>0</v>
      </c>
      <c r="H2135" s="920">
        <v>2.1</v>
      </c>
      <c r="I2135" s="1266">
        <f>-ROUND(IF(AND(F2135:H2135),C2135*E2135*F2135*G2135*H2135,IF(AND(F2135,G2135),C2135*E2135*F2135*G2135,IF(AND(F2135,H2135),C2135*E2135*F2135*H2135,IF(AND(G2135,H2135),C2135*E2135*G2135*H2135,IF(F2135,C2135*E2135*F2135,IF(G2135,C2135*E2135*G2135,IF(H2135,C2135*E2135*H2135,C2135*E2135))))))),2)</f>
        <v>-4.7300000000000004</v>
      </c>
      <c r="J2135" s="955" t="s">
        <v>102</v>
      </c>
      <c r="K2135" s="902"/>
      <c r="L2135" s="923"/>
      <c r="M2135" s="902"/>
      <c r="N2135" s="900" t="s">
        <v>2297</v>
      </c>
    </row>
    <row r="2136" spans="1:14" s="910" customFormat="1" ht="16.5" hidden="1" customHeight="1">
      <c r="A2136" s="896"/>
      <c r="B2136" s="902" t="s">
        <v>3770</v>
      </c>
      <c r="C2136" s="897">
        <v>1</v>
      </c>
      <c r="D2136" s="1263" t="s">
        <v>273</v>
      </c>
      <c r="E2136" s="919">
        <v>1</v>
      </c>
      <c r="F2136" s="920">
        <v>19.36</v>
      </c>
      <c r="G2136" s="920">
        <v>0</v>
      </c>
      <c r="H2136" s="920">
        <v>3.2</v>
      </c>
      <c r="I2136" s="1266">
        <f t="shared" ref="I2136:I2144" si="196">ROUND(IF(AND(F2136:H2136),C2136*E2136*F2136*G2136*H2136,IF(AND(F2136,G2136),C2136*E2136*F2136*G2136,IF(AND(F2136,H2136),C2136*E2136*F2136*H2136,IF(AND(G2136,H2136),C2136*E2136*G2136*H2136,IF(F2136,C2136*E2136*F2136,IF(G2136,C2136*E2136*G2136,IF(H2136,C2136*E2136*H2136,C2136*E2136))))))),2)</f>
        <v>61.95</v>
      </c>
      <c r="J2136" s="955" t="s">
        <v>102</v>
      </c>
      <c r="K2136" s="902"/>
      <c r="L2136" s="923"/>
      <c r="M2136" s="902"/>
      <c r="N2136" s="900" t="s">
        <v>2297</v>
      </c>
    </row>
    <row r="2137" spans="1:14" s="910" customFormat="1" ht="16.5" hidden="1" customHeight="1">
      <c r="A2137" s="896"/>
      <c r="B2137" s="902" t="s">
        <v>3589</v>
      </c>
      <c r="C2137" s="897">
        <v>1</v>
      </c>
      <c r="D2137" s="1263" t="s">
        <v>273</v>
      </c>
      <c r="E2137" s="919">
        <v>1</v>
      </c>
      <c r="F2137" s="920">
        <v>6.17</v>
      </c>
      <c r="G2137" s="920">
        <v>3</v>
      </c>
      <c r="H2137" s="920">
        <v>0</v>
      </c>
      <c r="I2137" s="1266">
        <f t="shared" si="196"/>
        <v>18.510000000000002</v>
      </c>
      <c r="J2137" s="955" t="s">
        <v>102</v>
      </c>
      <c r="K2137" s="902"/>
      <c r="L2137" s="923"/>
      <c r="M2137" s="902"/>
      <c r="N2137" s="900" t="s">
        <v>2297</v>
      </c>
    </row>
    <row r="2138" spans="1:14" s="910" customFormat="1" ht="16.5" hidden="1" customHeight="1">
      <c r="A2138" s="896"/>
      <c r="B2138" s="902" t="s">
        <v>3763</v>
      </c>
      <c r="C2138" s="897">
        <v>1</v>
      </c>
      <c r="D2138" s="1263" t="s">
        <v>273</v>
      </c>
      <c r="E2138" s="919">
        <v>1</v>
      </c>
      <c r="F2138" s="920">
        <v>18.34</v>
      </c>
      <c r="G2138" s="920">
        <v>0</v>
      </c>
      <c r="H2138" s="920">
        <v>3.2</v>
      </c>
      <c r="I2138" s="1266">
        <f t="shared" si="196"/>
        <v>58.69</v>
      </c>
      <c r="J2138" s="955" t="s">
        <v>102</v>
      </c>
      <c r="K2138" s="902"/>
      <c r="L2138" s="923"/>
      <c r="M2138" s="902"/>
      <c r="N2138" s="900" t="s">
        <v>2297</v>
      </c>
    </row>
    <row r="2139" spans="1:14" s="910" customFormat="1" ht="16.5" hidden="1" customHeight="1">
      <c r="A2139" s="896"/>
      <c r="B2139" s="902" t="s">
        <v>3771</v>
      </c>
      <c r="C2139" s="897">
        <v>1</v>
      </c>
      <c r="D2139" s="1263" t="s">
        <v>273</v>
      </c>
      <c r="E2139" s="919">
        <v>7</v>
      </c>
      <c r="F2139" s="920">
        <v>1.5</v>
      </c>
      <c r="G2139" s="920">
        <v>0.6</v>
      </c>
      <c r="H2139" s="920">
        <v>0</v>
      </c>
      <c r="I2139" s="1266">
        <f t="shared" si="196"/>
        <v>6.3</v>
      </c>
      <c r="J2139" s="955" t="s">
        <v>102</v>
      </c>
      <c r="K2139" s="902"/>
      <c r="L2139" s="923"/>
      <c r="M2139" s="902"/>
      <c r="N2139" s="900" t="s">
        <v>2297</v>
      </c>
    </row>
    <row r="2140" spans="1:14" s="910" customFormat="1" ht="16.5" hidden="1" customHeight="1">
      <c r="A2140" s="896"/>
      <c r="B2140" s="902" t="s">
        <v>3309</v>
      </c>
      <c r="C2140" s="897">
        <v>1</v>
      </c>
      <c r="D2140" s="1263" t="s">
        <v>273</v>
      </c>
      <c r="E2140" s="919">
        <v>1</v>
      </c>
      <c r="F2140" s="920">
        <v>14.2</v>
      </c>
      <c r="G2140" s="920">
        <v>0.3</v>
      </c>
      <c r="H2140" s="920">
        <v>0</v>
      </c>
      <c r="I2140" s="1266">
        <f t="shared" si="196"/>
        <v>4.26</v>
      </c>
      <c r="J2140" s="955" t="s">
        <v>102</v>
      </c>
      <c r="K2140" s="902"/>
      <c r="L2140" s="923"/>
      <c r="M2140" s="902"/>
      <c r="N2140" s="900" t="s">
        <v>2297</v>
      </c>
    </row>
    <row r="2141" spans="1:14" s="910" customFormat="1" ht="16.5" hidden="1" customHeight="1">
      <c r="A2141" s="896"/>
      <c r="B2141" s="902"/>
      <c r="C2141" s="897">
        <v>1</v>
      </c>
      <c r="D2141" s="1263" t="s">
        <v>273</v>
      </c>
      <c r="E2141" s="919">
        <v>2</v>
      </c>
      <c r="F2141" s="920">
        <v>4.87</v>
      </c>
      <c r="G2141" s="920">
        <v>0.3</v>
      </c>
      <c r="H2141" s="920">
        <v>0</v>
      </c>
      <c r="I2141" s="1266">
        <f t="shared" si="196"/>
        <v>2.92</v>
      </c>
      <c r="J2141" s="955" t="s">
        <v>102</v>
      </c>
      <c r="K2141" s="902"/>
      <c r="L2141" s="923"/>
      <c r="M2141" s="902"/>
      <c r="N2141" s="900" t="s">
        <v>2297</v>
      </c>
    </row>
    <row r="2142" spans="1:14" s="910" customFormat="1" ht="16.5" hidden="1" customHeight="1">
      <c r="A2142" s="896"/>
      <c r="B2142" s="902" t="s">
        <v>3772</v>
      </c>
      <c r="C2142" s="897">
        <v>1</v>
      </c>
      <c r="D2142" s="1263" t="s">
        <v>273</v>
      </c>
      <c r="E2142" s="919">
        <v>1</v>
      </c>
      <c r="F2142" s="920">
        <v>16.100000000000001</v>
      </c>
      <c r="G2142" s="920">
        <v>1.2</v>
      </c>
      <c r="H2142" s="920">
        <v>0</v>
      </c>
      <c r="I2142" s="1266">
        <f t="shared" si="196"/>
        <v>19.32</v>
      </c>
      <c r="J2142" s="955" t="s">
        <v>102</v>
      </c>
      <c r="K2142" s="902"/>
      <c r="L2142" s="923"/>
      <c r="M2142" s="902"/>
      <c r="N2142" s="900" t="s">
        <v>2297</v>
      </c>
    </row>
    <row r="2143" spans="1:14" s="910" customFormat="1" ht="16.5" hidden="1" customHeight="1">
      <c r="A2143" s="896"/>
      <c r="B2143" s="902" t="s">
        <v>3773</v>
      </c>
      <c r="C2143" s="897">
        <v>1</v>
      </c>
      <c r="D2143" s="1263" t="s">
        <v>273</v>
      </c>
      <c r="E2143" s="919">
        <v>1</v>
      </c>
      <c r="F2143" s="920">
        <f>(16.1+17.2)/2</f>
        <v>16.649999999999999</v>
      </c>
      <c r="G2143" s="920">
        <v>0.8</v>
      </c>
      <c r="H2143" s="920">
        <v>0</v>
      </c>
      <c r="I2143" s="1266">
        <f t="shared" si="196"/>
        <v>13.32</v>
      </c>
      <c r="J2143" s="955" t="s">
        <v>102</v>
      </c>
      <c r="K2143" s="902"/>
      <c r="L2143" s="923"/>
      <c r="M2143" s="902"/>
      <c r="N2143" s="900" t="s">
        <v>2297</v>
      </c>
    </row>
    <row r="2144" spans="1:14" s="910" customFormat="1" ht="16.5" hidden="1" customHeight="1">
      <c r="A2144" s="896"/>
      <c r="B2144" s="902" t="s">
        <v>3774</v>
      </c>
      <c r="C2144" s="897">
        <v>1</v>
      </c>
      <c r="D2144" s="1263" t="s">
        <v>273</v>
      </c>
      <c r="E2144" s="919">
        <v>2</v>
      </c>
      <c r="F2144" s="920">
        <f>(3.05+3.65)/2</f>
        <v>3.3499999999999996</v>
      </c>
      <c r="G2144" s="920">
        <v>0.8</v>
      </c>
      <c r="H2144" s="920">
        <v>0</v>
      </c>
      <c r="I2144" s="1266">
        <f t="shared" si="196"/>
        <v>5.36</v>
      </c>
      <c r="J2144" s="955" t="s">
        <v>102</v>
      </c>
      <c r="K2144" s="902"/>
      <c r="L2144" s="923"/>
      <c r="M2144" s="902"/>
      <c r="N2144" s="900" t="s">
        <v>2297</v>
      </c>
    </row>
    <row r="2145" spans="1:14" s="910" customFormat="1" ht="16.5" hidden="1" customHeight="1">
      <c r="A2145" s="896"/>
      <c r="B2145" s="902" t="s">
        <v>581</v>
      </c>
      <c r="C2145" s="897">
        <v>1</v>
      </c>
      <c r="D2145" s="1263" t="s">
        <v>273</v>
      </c>
      <c r="E2145" s="919">
        <v>14</v>
      </c>
      <c r="F2145" s="920">
        <v>0.6</v>
      </c>
      <c r="G2145" s="920">
        <v>0</v>
      </c>
      <c r="H2145" s="920">
        <v>0.3</v>
      </c>
      <c r="I2145" s="1266">
        <f t="shared" ref="I2145" si="197">-ROUND(IF(AND(F2145:H2145),C2145*E2145*F2145*G2145*H2145,IF(AND(F2145,G2145),C2145*E2145*F2145*G2145,IF(AND(F2145,H2145),C2145*E2145*F2145*H2145,IF(AND(G2145,H2145),C2145*E2145*G2145*H2145,IF(F2145,C2145*E2145*F2145,IF(G2145,C2145*E2145*G2145,IF(H2145,C2145*E2145*H2145,C2145*E2145))))))),2)</f>
        <v>-2.52</v>
      </c>
      <c r="J2145" s="955" t="s">
        <v>102</v>
      </c>
      <c r="K2145" s="902"/>
      <c r="L2145" s="923"/>
      <c r="M2145" s="902"/>
      <c r="N2145" s="900" t="s">
        <v>2297</v>
      </c>
    </row>
    <row r="2146" spans="1:14" s="910" customFormat="1" ht="16.5" hidden="1" customHeight="1">
      <c r="A2146" s="896"/>
      <c r="B2146" s="956"/>
      <c r="C2146" s="957"/>
      <c r="D2146" s="958"/>
      <c r="E2146" s="1268"/>
      <c r="F2146" s="960"/>
      <c r="G2146" s="960"/>
      <c r="H2146" s="960"/>
      <c r="I2146" s="916"/>
      <c r="J2146" s="955"/>
      <c r="K2146" s="902"/>
      <c r="L2146" s="923"/>
      <c r="M2146" s="902"/>
      <c r="N2146" s="900" t="s">
        <v>2297</v>
      </c>
    </row>
    <row r="2147" spans="1:14" ht="15.75" hidden="1">
      <c r="A2147" s="896"/>
      <c r="B2147" s="902"/>
      <c r="C2147" s="917"/>
      <c r="D2147" s="918"/>
      <c r="E2147" s="919"/>
      <c r="F2147" s="920"/>
      <c r="G2147" s="921"/>
      <c r="H2147" s="896"/>
      <c r="I2147" s="916"/>
      <c r="J2147" s="955" t="s">
        <v>102</v>
      </c>
      <c r="K2147" s="922">
        <f>data!E1763</f>
        <v>129.35</v>
      </c>
      <c r="L2147" s="923" t="s">
        <v>2297</v>
      </c>
      <c r="M2147" s="924">
        <f>ROUND(I2147*K2147,0)</f>
        <v>0</v>
      </c>
      <c r="N2147" s="900" t="s">
        <v>2297</v>
      </c>
    </row>
    <row r="2148" spans="1:14" ht="94.5" hidden="1" customHeight="1">
      <c r="A2148" s="896">
        <v>30</v>
      </c>
      <c r="B2148" s="1612" t="s">
        <v>1167</v>
      </c>
      <c r="C2148" s="1613"/>
      <c r="D2148" s="1613"/>
      <c r="E2148" s="1613"/>
      <c r="F2148" s="1613"/>
      <c r="G2148" s="1613"/>
      <c r="H2148" s="1614"/>
      <c r="I2148" s="897"/>
      <c r="J2148" s="898"/>
      <c r="K2148" s="896"/>
      <c r="L2148" s="923"/>
      <c r="M2148" s="899"/>
      <c r="N2148" s="900" t="s">
        <v>2308</v>
      </c>
    </row>
    <row r="2149" spans="1:14" s="910" customFormat="1" ht="16.5" hidden="1" customHeight="1">
      <c r="A2149" s="896"/>
      <c r="B2149" s="902" t="s">
        <v>3558</v>
      </c>
      <c r="C2149" s="897"/>
      <c r="D2149" s="1263"/>
      <c r="E2149" s="919"/>
      <c r="F2149" s="920"/>
      <c r="G2149" s="920"/>
      <c r="H2149" s="920"/>
      <c r="I2149" s="1264"/>
      <c r="J2149" s="955"/>
      <c r="K2149" s="902"/>
      <c r="L2149" s="923"/>
      <c r="M2149" s="902"/>
      <c r="N2149" s="900" t="s">
        <v>2308</v>
      </c>
    </row>
    <row r="2150" spans="1:14" s="910" customFormat="1" ht="16.5" hidden="1" customHeight="1">
      <c r="A2150" s="896"/>
      <c r="B2150" s="902" t="s">
        <v>2360</v>
      </c>
      <c r="C2150" s="897">
        <v>1</v>
      </c>
      <c r="D2150" s="1263" t="s">
        <v>273</v>
      </c>
      <c r="E2150" s="919">
        <v>1</v>
      </c>
      <c r="F2150" s="920">
        <v>2.85</v>
      </c>
      <c r="G2150" s="920">
        <v>2.78</v>
      </c>
      <c r="H2150" s="920">
        <v>0</v>
      </c>
      <c r="I2150" s="1286">
        <f t="shared" ref="I2150:I2160" si="198">ROUND(IF(AND(F2150:H2150),C2150*E2150*F2150*G2150*H2150,IF(AND(F2150,G2150),C2150*E2150*F2150*G2150,IF(AND(F2150,H2150),C2150*E2150*F2150*H2150,IF(AND(G2150,H2150),C2150*E2150*G2150*H2150,IF(F2150,C2150*E2150*F2150,IF(G2150,C2150*E2150*G2150,IF(H2150,C2150*E2150*H2150,C2150*E2150))))))),2)</f>
        <v>7.92</v>
      </c>
      <c r="J2150" s="955" t="s">
        <v>102</v>
      </c>
      <c r="K2150" s="902"/>
      <c r="L2150" s="923"/>
      <c r="M2150" s="902"/>
      <c r="N2150" s="900" t="s">
        <v>2308</v>
      </c>
    </row>
    <row r="2151" spans="1:14" s="910" customFormat="1" ht="16.5" hidden="1" customHeight="1">
      <c r="A2151" s="896"/>
      <c r="B2151" s="902" t="s">
        <v>2449</v>
      </c>
      <c r="C2151" s="897">
        <v>1</v>
      </c>
      <c r="D2151" s="1263" t="s">
        <v>273</v>
      </c>
      <c r="E2151" s="919">
        <v>1</v>
      </c>
      <c r="F2151" s="920">
        <v>1.34</v>
      </c>
      <c r="G2151" s="920">
        <v>1.6</v>
      </c>
      <c r="H2151" s="920">
        <v>0</v>
      </c>
      <c r="I2151" s="1286">
        <f t="shared" si="198"/>
        <v>2.14</v>
      </c>
      <c r="J2151" s="955" t="s">
        <v>102</v>
      </c>
      <c r="K2151" s="902"/>
      <c r="L2151" s="923"/>
      <c r="M2151" s="902"/>
      <c r="N2151" s="900" t="s">
        <v>2308</v>
      </c>
    </row>
    <row r="2152" spans="1:14" s="910" customFormat="1" ht="16.5" hidden="1" customHeight="1">
      <c r="A2152" s="896"/>
      <c r="B2152" s="902"/>
      <c r="C2152" s="897">
        <v>1</v>
      </c>
      <c r="D2152" s="1263" t="s">
        <v>273</v>
      </c>
      <c r="E2152" s="919">
        <v>1</v>
      </c>
      <c r="F2152" s="920">
        <v>1.34</v>
      </c>
      <c r="G2152" s="920">
        <v>1.0900000000000001</v>
      </c>
      <c r="H2152" s="920">
        <v>0</v>
      </c>
      <c r="I2152" s="1286">
        <f t="shared" si="198"/>
        <v>1.46</v>
      </c>
      <c r="J2152" s="955" t="s">
        <v>102</v>
      </c>
      <c r="K2152" s="902"/>
      <c r="L2152" s="923"/>
      <c r="M2152" s="902"/>
      <c r="N2152" s="900" t="s">
        <v>2308</v>
      </c>
    </row>
    <row r="2153" spans="1:14" s="910" customFormat="1" ht="16.5" hidden="1" customHeight="1">
      <c r="A2153" s="896"/>
      <c r="B2153" s="902" t="s">
        <v>2361</v>
      </c>
      <c r="C2153" s="897">
        <v>1</v>
      </c>
      <c r="D2153" s="1263" t="s">
        <v>273</v>
      </c>
      <c r="E2153" s="919">
        <v>1</v>
      </c>
      <c r="F2153" s="920">
        <v>2.27</v>
      </c>
      <c r="G2153" s="920">
        <v>2.78</v>
      </c>
      <c r="H2153" s="920">
        <v>0</v>
      </c>
      <c r="I2153" s="1286">
        <f t="shared" si="198"/>
        <v>6.31</v>
      </c>
      <c r="J2153" s="955" t="s">
        <v>102</v>
      </c>
      <c r="K2153" s="902"/>
      <c r="L2153" s="923"/>
      <c r="M2153" s="902"/>
      <c r="N2153" s="900" t="s">
        <v>2308</v>
      </c>
    </row>
    <row r="2154" spans="1:14" s="910" customFormat="1" ht="16.5" hidden="1" customHeight="1">
      <c r="A2154" s="896"/>
      <c r="B2154" s="902" t="s">
        <v>2487</v>
      </c>
      <c r="C2154" s="897">
        <v>1</v>
      </c>
      <c r="D2154" s="1263" t="s">
        <v>273</v>
      </c>
      <c r="E2154" s="919">
        <v>1</v>
      </c>
      <c r="F2154" s="920">
        <v>6.78</v>
      </c>
      <c r="G2154" s="920">
        <v>2.95</v>
      </c>
      <c r="H2154" s="920">
        <v>0</v>
      </c>
      <c r="I2154" s="1286">
        <f t="shared" si="198"/>
        <v>20</v>
      </c>
      <c r="J2154" s="955" t="s">
        <v>102</v>
      </c>
      <c r="K2154" s="902"/>
      <c r="L2154" s="923"/>
      <c r="M2154" s="902"/>
      <c r="N2154" s="900" t="s">
        <v>2308</v>
      </c>
    </row>
    <row r="2155" spans="1:14" s="910" customFormat="1" ht="16.5" hidden="1" customHeight="1">
      <c r="A2155" s="896"/>
      <c r="B2155" s="902" t="s">
        <v>2358</v>
      </c>
      <c r="C2155" s="897">
        <v>1</v>
      </c>
      <c r="D2155" s="1263" t="s">
        <v>273</v>
      </c>
      <c r="E2155" s="919">
        <v>1</v>
      </c>
      <c r="F2155" s="920">
        <v>2.7</v>
      </c>
      <c r="G2155" s="920">
        <v>2.78</v>
      </c>
      <c r="H2155" s="920">
        <v>0</v>
      </c>
      <c r="I2155" s="1286">
        <f t="shared" si="198"/>
        <v>7.51</v>
      </c>
      <c r="J2155" s="955" t="s">
        <v>102</v>
      </c>
      <c r="K2155" s="902"/>
      <c r="L2155" s="923"/>
      <c r="M2155" s="902"/>
      <c r="N2155" s="900" t="s">
        <v>2308</v>
      </c>
    </row>
    <row r="2156" spans="1:14" s="910" customFormat="1" ht="16.5" hidden="1" customHeight="1">
      <c r="A2156" s="896"/>
      <c r="B2156" s="902" t="s">
        <v>2488</v>
      </c>
      <c r="C2156" s="897">
        <v>1</v>
      </c>
      <c r="D2156" s="1263" t="s">
        <v>273</v>
      </c>
      <c r="E2156" s="919">
        <v>1</v>
      </c>
      <c r="F2156" s="920">
        <v>1.31</v>
      </c>
      <c r="G2156" s="920">
        <v>1.94</v>
      </c>
      <c r="H2156" s="920">
        <v>0</v>
      </c>
      <c r="I2156" s="1286">
        <f t="shared" si="198"/>
        <v>2.54</v>
      </c>
      <c r="J2156" s="955" t="s">
        <v>102</v>
      </c>
      <c r="K2156" s="902"/>
      <c r="L2156" s="923"/>
      <c r="M2156" s="902"/>
      <c r="N2156" s="900" t="s">
        <v>2308</v>
      </c>
    </row>
    <row r="2157" spans="1:14" s="910" customFormat="1" ht="16.5" hidden="1" customHeight="1">
      <c r="A2157" s="896"/>
      <c r="B2157" s="902"/>
      <c r="C2157" s="897">
        <v>1</v>
      </c>
      <c r="D2157" s="1263" t="s">
        <v>273</v>
      </c>
      <c r="E2157" s="919">
        <v>1</v>
      </c>
      <c r="F2157" s="920">
        <v>1.31</v>
      </c>
      <c r="G2157" s="920">
        <v>0.7</v>
      </c>
      <c r="H2157" s="920">
        <v>0</v>
      </c>
      <c r="I2157" s="1286">
        <f t="shared" si="198"/>
        <v>0.92</v>
      </c>
      <c r="J2157" s="955" t="s">
        <v>102</v>
      </c>
      <c r="K2157" s="902"/>
      <c r="L2157" s="923"/>
      <c r="M2157" s="902"/>
      <c r="N2157" s="900" t="s">
        <v>2308</v>
      </c>
    </row>
    <row r="2158" spans="1:14" s="910" customFormat="1" ht="16.5" hidden="1" customHeight="1">
      <c r="A2158" s="896"/>
      <c r="B2158" s="902" t="s">
        <v>2357</v>
      </c>
      <c r="C2158" s="897">
        <v>1</v>
      </c>
      <c r="D2158" s="1263" t="s">
        <v>273</v>
      </c>
      <c r="E2158" s="919">
        <v>1</v>
      </c>
      <c r="F2158" s="920">
        <v>1.81</v>
      </c>
      <c r="G2158" s="920">
        <v>2.78</v>
      </c>
      <c r="H2158" s="920">
        <v>0</v>
      </c>
      <c r="I2158" s="1286">
        <f t="shared" si="198"/>
        <v>5.03</v>
      </c>
      <c r="J2158" s="955" t="s">
        <v>102</v>
      </c>
      <c r="K2158" s="902"/>
      <c r="L2158" s="923"/>
      <c r="M2158" s="902"/>
      <c r="N2158" s="900" t="s">
        <v>2308</v>
      </c>
    </row>
    <row r="2159" spans="1:14" s="910" customFormat="1" ht="16.5" hidden="1" customHeight="1">
      <c r="A2159" s="896"/>
      <c r="B2159" s="902" t="s">
        <v>2355</v>
      </c>
      <c r="C2159" s="897">
        <v>1</v>
      </c>
      <c r="D2159" s="1263" t="s">
        <v>273</v>
      </c>
      <c r="E2159" s="919">
        <v>1</v>
      </c>
      <c r="F2159" s="920">
        <v>6.12</v>
      </c>
      <c r="G2159" s="920">
        <v>2.95</v>
      </c>
      <c r="H2159" s="920">
        <v>0</v>
      </c>
      <c r="I2159" s="1286">
        <f t="shared" si="198"/>
        <v>18.05</v>
      </c>
      <c r="J2159" s="955" t="s">
        <v>102</v>
      </c>
      <c r="K2159" s="902"/>
      <c r="L2159" s="923"/>
      <c r="M2159" s="902"/>
      <c r="N2159" s="900" t="s">
        <v>2308</v>
      </c>
    </row>
    <row r="2160" spans="1:14" s="910" customFormat="1" ht="16.5" hidden="1" customHeight="1">
      <c r="A2160" s="896"/>
      <c r="B2160" s="911" t="s">
        <v>2360</v>
      </c>
      <c r="C2160" s="912">
        <v>1</v>
      </c>
      <c r="D2160" s="913" t="s">
        <v>273</v>
      </c>
      <c r="E2160" s="914">
        <v>1</v>
      </c>
      <c r="F2160" s="915">
        <v>11.26</v>
      </c>
      <c r="G2160" s="915">
        <v>0</v>
      </c>
      <c r="H2160" s="915">
        <v>3.2</v>
      </c>
      <c r="I2160" s="916">
        <f t="shared" si="198"/>
        <v>36.03</v>
      </c>
      <c r="J2160" s="955" t="s">
        <v>102</v>
      </c>
      <c r="K2160" s="902"/>
      <c r="L2160" s="923"/>
      <c r="M2160" s="902"/>
      <c r="N2160" s="900" t="s">
        <v>2308</v>
      </c>
    </row>
    <row r="2161" spans="1:14" s="910" customFormat="1" ht="16.5" hidden="1" customHeight="1">
      <c r="A2161" s="896"/>
      <c r="B2161" s="911" t="s">
        <v>2354</v>
      </c>
      <c r="C2161" s="912">
        <v>1</v>
      </c>
      <c r="D2161" s="913" t="s">
        <v>273</v>
      </c>
      <c r="E2161" s="914">
        <v>1</v>
      </c>
      <c r="F2161" s="915">
        <v>1.22</v>
      </c>
      <c r="G2161" s="915">
        <v>0</v>
      </c>
      <c r="H2161" s="915">
        <v>1.26</v>
      </c>
      <c r="I2161" s="916">
        <f>-ROUND(IF(AND(F2161:H2161),C2161*E2161*F2161*G2161*H2161,IF(AND(F2161,G2161),C2161*E2161*F2161*G2161,IF(AND(F2161,H2161),C2161*E2161*F2161*H2161,IF(AND(G2161,H2161),C2161*E2161*G2161*H2161,IF(F2161,C2161*E2161*F2161,IF(G2161,C2161*E2161*G2161,IF(H2161,C2161*E2161*H2161,C2161*E2161))))))),2)</f>
        <v>-1.54</v>
      </c>
      <c r="J2161" s="955" t="s">
        <v>102</v>
      </c>
      <c r="K2161" s="902"/>
      <c r="L2161" s="923"/>
      <c r="M2161" s="902"/>
      <c r="N2161" s="900" t="s">
        <v>2308</v>
      </c>
    </row>
    <row r="2162" spans="1:14" s="910" customFormat="1" ht="16.5" hidden="1" customHeight="1">
      <c r="A2162" s="896"/>
      <c r="B2162" s="911" t="s">
        <v>581</v>
      </c>
      <c r="C2162" s="912">
        <v>1</v>
      </c>
      <c r="D2162" s="913" t="s">
        <v>273</v>
      </c>
      <c r="E2162" s="914">
        <v>1</v>
      </c>
      <c r="F2162" s="915">
        <v>0.6</v>
      </c>
      <c r="G2162" s="915">
        <v>0</v>
      </c>
      <c r="H2162" s="915">
        <v>0.3</v>
      </c>
      <c r="I2162" s="916">
        <f>-ROUND(IF(AND(F2162:H2162),C2162*E2162*F2162*G2162*H2162,IF(AND(F2162,G2162),C2162*E2162*F2162*G2162,IF(AND(F2162,H2162),C2162*E2162*F2162*H2162,IF(AND(G2162,H2162),C2162*E2162*G2162*H2162,IF(F2162,C2162*E2162*F2162,IF(G2162,C2162*E2162*G2162,IF(H2162,C2162*E2162*H2162,C2162*E2162))))))),2)</f>
        <v>-0.18</v>
      </c>
      <c r="J2162" s="955" t="s">
        <v>102</v>
      </c>
      <c r="K2162" s="902"/>
      <c r="L2162" s="923"/>
      <c r="M2162" s="902"/>
      <c r="N2162" s="900" t="s">
        <v>2308</v>
      </c>
    </row>
    <row r="2163" spans="1:14" s="910" customFormat="1" ht="16.5" hidden="1" customHeight="1">
      <c r="A2163" s="896"/>
      <c r="B2163" s="911" t="s">
        <v>579</v>
      </c>
      <c r="C2163" s="912">
        <v>1</v>
      </c>
      <c r="D2163" s="913" t="s">
        <v>273</v>
      </c>
      <c r="E2163" s="914">
        <v>1</v>
      </c>
      <c r="F2163" s="915">
        <v>0.93</v>
      </c>
      <c r="G2163" s="915">
        <v>0</v>
      </c>
      <c r="H2163" s="915">
        <v>2.1</v>
      </c>
      <c r="I2163" s="916">
        <f>-ROUND(IF(AND(F2163:H2163),C2163*E2163*F2163*G2163*H2163,IF(AND(F2163,G2163),C2163*E2163*F2163*G2163,IF(AND(F2163,H2163),C2163*E2163*F2163*H2163,IF(AND(G2163,H2163),C2163*E2163*G2163*H2163,IF(F2163,C2163*E2163*F2163,IF(G2163,C2163*E2163*G2163,IF(H2163,C2163*E2163*H2163,C2163*E2163))))))),2)</f>
        <v>-1.95</v>
      </c>
      <c r="J2163" s="955" t="s">
        <v>102</v>
      </c>
      <c r="K2163" s="902"/>
      <c r="L2163" s="923"/>
      <c r="M2163" s="902"/>
      <c r="N2163" s="900" t="s">
        <v>2308</v>
      </c>
    </row>
    <row r="2164" spans="1:14" s="910" customFormat="1" ht="16.5" hidden="1" customHeight="1">
      <c r="A2164" s="896"/>
      <c r="B2164" s="911" t="s">
        <v>2449</v>
      </c>
      <c r="C2164" s="912">
        <v>1</v>
      </c>
      <c r="D2164" s="913" t="s">
        <v>273</v>
      </c>
      <c r="E2164" s="914">
        <v>1</v>
      </c>
      <c r="F2164" s="915">
        <v>5.88</v>
      </c>
      <c r="G2164" s="915">
        <v>0</v>
      </c>
      <c r="H2164" s="915">
        <v>1.1000000000000001</v>
      </c>
      <c r="I2164" s="916">
        <f>ROUND(IF(AND(F2164:H2164),C2164*E2164*F2164*G2164*H2164,IF(AND(F2164,G2164),C2164*E2164*F2164*G2164,IF(AND(F2164,H2164),C2164*E2164*F2164*H2164,IF(AND(G2164,H2164),C2164*E2164*G2164*H2164,IF(F2164,C2164*E2164*F2164,IF(G2164,C2164*E2164*G2164,IF(H2164,C2164*E2164*H2164,C2164*E2164))))))),2)</f>
        <v>6.47</v>
      </c>
      <c r="J2164" s="955" t="s">
        <v>102</v>
      </c>
      <c r="K2164" s="902"/>
      <c r="L2164" s="923"/>
      <c r="M2164" s="902"/>
      <c r="N2164" s="900" t="s">
        <v>2308</v>
      </c>
    </row>
    <row r="2165" spans="1:14" s="910" customFormat="1" ht="16.5" hidden="1" customHeight="1">
      <c r="A2165" s="896"/>
      <c r="B2165" s="911" t="s">
        <v>581</v>
      </c>
      <c r="C2165" s="912">
        <v>1</v>
      </c>
      <c r="D2165" s="913" t="s">
        <v>273</v>
      </c>
      <c r="E2165" s="914">
        <v>1</v>
      </c>
      <c r="F2165" s="915">
        <v>0.6</v>
      </c>
      <c r="G2165" s="915">
        <v>0</v>
      </c>
      <c r="H2165" s="915">
        <v>0.3</v>
      </c>
      <c r="I2165" s="916">
        <f>-ROUND(IF(AND(F2165:H2165),C2165*E2165*F2165*G2165*H2165,IF(AND(F2165,G2165),C2165*E2165*F2165*G2165,IF(AND(F2165,H2165),C2165*E2165*F2165*H2165,IF(AND(G2165,H2165),C2165*E2165*G2165*H2165,IF(F2165,C2165*E2165*F2165,IF(G2165,C2165*E2165*G2165,IF(H2165,C2165*E2165*H2165,C2165*E2165))))))),2)</f>
        <v>-0.18</v>
      </c>
      <c r="J2165" s="955" t="s">
        <v>102</v>
      </c>
      <c r="K2165" s="902"/>
      <c r="L2165" s="923"/>
      <c r="M2165" s="902"/>
      <c r="N2165" s="900" t="s">
        <v>2308</v>
      </c>
    </row>
    <row r="2166" spans="1:14" s="910" customFormat="1" ht="16.5" hidden="1" customHeight="1">
      <c r="A2166" s="896"/>
      <c r="B2166" s="911" t="s">
        <v>2494</v>
      </c>
      <c r="C2166" s="912">
        <v>1</v>
      </c>
      <c r="D2166" s="913" t="s">
        <v>273</v>
      </c>
      <c r="E2166" s="914">
        <v>1</v>
      </c>
      <c r="F2166" s="915">
        <v>3.52</v>
      </c>
      <c r="G2166" s="915">
        <v>0</v>
      </c>
      <c r="H2166" s="915">
        <v>3.2</v>
      </c>
      <c r="I2166" s="916">
        <f>ROUND(IF(AND(F2166:H2166),C2166*E2166*F2166*G2166*H2166,IF(AND(F2166,G2166),C2166*E2166*F2166*G2166,IF(AND(F2166,H2166),C2166*E2166*F2166*H2166,IF(AND(G2166,H2166),C2166*E2166*G2166*H2166,IF(F2166,C2166*E2166*F2166,IF(G2166,C2166*E2166*G2166,IF(H2166,C2166*E2166*H2166,C2166*E2166))))))),2)</f>
        <v>11.26</v>
      </c>
      <c r="J2166" s="955" t="s">
        <v>102</v>
      </c>
      <c r="K2166" s="902"/>
      <c r="L2166" s="923"/>
      <c r="M2166" s="902"/>
      <c r="N2166" s="900" t="s">
        <v>2308</v>
      </c>
    </row>
    <row r="2167" spans="1:14" s="910" customFormat="1" ht="16.5" hidden="1" customHeight="1">
      <c r="A2167" s="896"/>
      <c r="B2167" s="911" t="s">
        <v>2495</v>
      </c>
      <c r="C2167" s="912">
        <v>1</v>
      </c>
      <c r="D2167" s="913" t="s">
        <v>273</v>
      </c>
      <c r="E2167" s="914">
        <v>1</v>
      </c>
      <c r="F2167" s="915">
        <v>0.82</v>
      </c>
      <c r="G2167" s="915">
        <v>0</v>
      </c>
      <c r="H2167" s="915">
        <v>2.1</v>
      </c>
      <c r="I2167" s="916">
        <f>-ROUND(IF(AND(F2167:H2167),C2167*E2167*F2167*G2167*H2167,IF(AND(F2167,G2167),C2167*E2167*F2167*G2167,IF(AND(F2167,H2167),C2167*E2167*F2167*H2167,IF(AND(G2167,H2167),C2167*E2167*G2167*H2167,IF(F2167,C2167*E2167*F2167,IF(G2167,C2167*E2167*G2167,IF(H2167,C2167*E2167*H2167,C2167*E2167))))))),2)</f>
        <v>-1.72</v>
      </c>
      <c r="J2167" s="955" t="s">
        <v>102</v>
      </c>
      <c r="K2167" s="902"/>
      <c r="L2167" s="923"/>
      <c r="M2167" s="902"/>
      <c r="N2167" s="900" t="s">
        <v>2308</v>
      </c>
    </row>
    <row r="2168" spans="1:14" s="910" customFormat="1" ht="16.5" hidden="1" customHeight="1">
      <c r="A2168" s="896"/>
      <c r="B2168" s="911" t="s">
        <v>2495</v>
      </c>
      <c r="C2168" s="912">
        <v>1</v>
      </c>
      <c r="D2168" s="913" t="s">
        <v>273</v>
      </c>
      <c r="E2168" s="914">
        <v>1</v>
      </c>
      <c r="F2168" s="915">
        <v>1.05</v>
      </c>
      <c r="G2168" s="915">
        <v>0</v>
      </c>
      <c r="H2168" s="915">
        <v>2.1</v>
      </c>
      <c r="I2168" s="916">
        <f>-ROUND(IF(AND(F2168:H2168),C2168*E2168*F2168*G2168*H2168,IF(AND(F2168,G2168),C2168*E2168*F2168*G2168,IF(AND(F2168,H2168),C2168*E2168*F2168*H2168,IF(AND(G2168,H2168),C2168*E2168*G2168*H2168,IF(F2168,C2168*E2168*F2168,IF(G2168,C2168*E2168*G2168,IF(H2168,C2168*E2168*H2168,C2168*E2168))))))),2)</f>
        <v>-2.21</v>
      </c>
      <c r="J2168" s="955" t="s">
        <v>102</v>
      </c>
      <c r="K2168" s="902"/>
      <c r="L2168" s="923"/>
      <c r="M2168" s="902"/>
      <c r="N2168" s="900" t="s">
        <v>2308</v>
      </c>
    </row>
    <row r="2169" spans="1:14" s="910" customFormat="1" ht="16.5" hidden="1" customHeight="1">
      <c r="A2169" s="896"/>
      <c r="B2169" s="911" t="s">
        <v>581</v>
      </c>
      <c r="C2169" s="912">
        <v>1</v>
      </c>
      <c r="D2169" s="913" t="s">
        <v>273</v>
      </c>
      <c r="E2169" s="914">
        <v>1</v>
      </c>
      <c r="F2169" s="915">
        <v>0.6</v>
      </c>
      <c r="G2169" s="915">
        <v>0</v>
      </c>
      <c r="H2169" s="915">
        <v>0.3</v>
      </c>
      <c r="I2169" s="916">
        <f>-ROUND(IF(AND(F2169:H2169),C2169*E2169*F2169*G2169*H2169,IF(AND(F2169,G2169),C2169*E2169*F2169*G2169,IF(AND(F2169,H2169),C2169*E2169*F2169*H2169,IF(AND(G2169,H2169),C2169*E2169*G2169*H2169,IF(F2169,C2169*E2169*F2169,IF(G2169,C2169*E2169*G2169,IF(H2169,C2169*E2169*H2169,C2169*E2169))))))),2)</f>
        <v>-0.18</v>
      </c>
      <c r="J2169" s="955" t="s">
        <v>102</v>
      </c>
      <c r="K2169" s="902"/>
      <c r="L2169" s="923"/>
      <c r="M2169" s="902"/>
      <c r="N2169" s="900" t="s">
        <v>2308</v>
      </c>
    </row>
    <row r="2170" spans="1:14" s="910" customFormat="1" ht="16.5" hidden="1" customHeight="1">
      <c r="A2170" s="896"/>
      <c r="B2170" s="911" t="s">
        <v>2361</v>
      </c>
      <c r="C2170" s="912">
        <v>1</v>
      </c>
      <c r="D2170" s="913" t="s">
        <v>273</v>
      </c>
      <c r="E2170" s="914">
        <v>1</v>
      </c>
      <c r="F2170" s="915">
        <v>10.1</v>
      </c>
      <c r="G2170" s="915">
        <v>0</v>
      </c>
      <c r="H2170" s="915">
        <v>3.2</v>
      </c>
      <c r="I2170" s="916">
        <f>ROUND(IF(AND(F2170:H2170),C2170*E2170*F2170*G2170*H2170,IF(AND(F2170,G2170),C2170*E2170*F2170*G2170,IF(AND(F2170,H2170),C2170*E2170*F2170*H2170,IF(AND(G2170,H2170),C2170*E2170*G2170*H2170,IF(F2170,C2170*E2170*F2170,IF(G2170,C2170*E2170*G2170,IF(H2170,C2170*E2170*H2170,C2170*E2170))))))),2)</f>
        <v>32.32</v>
      </c>
      <c r="J2170" s="955" t="s">
        <v>102</v>
      </c>
      <c r="K2170" s="902"/>
      <c r="L2170" s="923"/>
      <c r="M2170" s="902"/>
      <c r="N2170" s="900" t="s">
        <v>2308</v>
      </c>
    </row>
    <row r="2171" spans="1:14" s="910" customFormat="1" ht="16.5" hidden="1" customHeight="1">
      <c r="A2171" s="896"/>
      <c r="B2171" s="911" t="s">
        <v>579</v>
      </c>
      <c r="C2171" s="912">
        <v>1</v>
      </c>
      <c r="D2171" s="913" t="s">
        <v>273</v>
      </c>
      <c r="E2171" s="914">
        <v>1</v>
      </c>
      <c r="F2171" s="915">
        <v>1.05</v>
      </c>
      <c r="G2171" s="915">
        <v>0</v>
      </c>
      <c r="H2171" s="915">
        <v>2.1</v>
      </c>
      <c r="I2171" s="916">
        <f>-ROUND(IF(AND(F2171:H2171),C2171*E2171*F2171*G2171*H2171,IF(AND(F2171,G2171),C2171*E2171*F2171*G2171,IF(AND(F2171,H2171),C2171*E2171*F2171*H2171,IF(AND(G2171,H2171),C2171*E2171*G2171*H2171,IF(F2171,C2171*E2171*F2171,IF(G2171,C2171*E2171*G2171,IF(H2171,C2171*E2171*H2171,C2171*E2171))))))),2)</f>
        <v>-2.21</v>
      </c>
      <c r="J2171" s="955" t="s">
        <v>102</v>
      </c>
      <c r="K2171" s="902"/>
      <c r="L2171" s="923"/>
      <c r="M2171" s="902"/>
      <c r="N2171" s="900" t="s">
        <v>2308</v>
      </c>
    </row>
    <row r="2172" spans="1:14" s="910" customFormat="1" ht="16.5" hidden="1" customHeight="1">
      <c r="A2172" s="896"/>
      <c r="B2172" s="911" t="s">
        <v>581</v>
      </c>
      <c r="C2172" s="912">
        <v>2</v>
      </c>
      <c r="D2172" s="913" t="s">
        <v>273</v>
      </c>
      <c r="E2172" s="914">
        <v>1</v>
      </c>
      <c r="F2172" s="915">
        <v>0.6</v>
      </c>
      <c r="G2172" s="915">
        <v>0</v>
      </c>
      <c r="H2172" s="915">
        <v>0.3</v>
      </c>
      <c r="I2172" s="916">
        <f>-ROUND(IF(AND(F2172:H2172),C2172*E2172*F2172*G2172*H2172,IF(AND(F2172,G2172),C2172*E2172*F2172*G2172,IF(AND(F2172,H2172),C2172*E2172*F2172*H2172,IF(AND(G2172,H2172),C2172*E2172*G2172*H2172,IF(F2172,C2172*E2172*F2172,IF(G2172,C2172*E2172*G2172,IF(H2172,C2172*E2172*H2172,C2172*E2172))))))),2)</f>
        <v>-0.36</v>
      </c>
      <c r="J2172" s="955" t="s">
        <v>102</v>
      </c>
      <c r="K2172" s="902"/>
      <c r="L2172" s="923"/>
      <c r="M2172" s="902"/>
      <c r="N2172" s="900" t="s">
        <v>2308</v>
      </c>
    </row>
    <row r="2173" spans="1:14" s="910" customFormat="1" ht="16.5" hidden="1" customHeight="1">
      <c r="A2173" s="896"/>
      <c r="B2173" s="911" t="s">
        <v>2354</v>
      </c>
      <c r="C2173" s="912">
        <v>1</v>
      </c>
      <c r="D2173" s="913" t="s">
        <v>273</v>
      </c>
      <c r="E2173" s="914">
        <v>1</v>
      </c>
      <c r="F2173" s="915">
        <v>1.27</v>
      </c>
      <c r="G2173" s="915">
        <v>0</v>
      </c>
      <c r="H2173" s="915">
        <v>1.23</v>
      </c>
      <c r="I2173" s="916">
        <f>-ROUND(IF(AND(F2173:H2173),C2173*E2173*F2173*G2173*H2173,IF(AND(F2173,G2173),C2173*E2173*F2173*G2173,IF(AND(F2173,H2173),C2173*E2173*F2173*H2173,IF(AND(G2173,H2173),C2173*E2173*G2173*H2173,IF(F2173,C2173*E2173*F2173,IF(G2173,C2173*E2173*G2173,IF(H2173,C2173*E2173*H2173,C2173*E2173))))))),2)</f>
        <v>-1.56</v>
      </c>
      <c r="J2173" s="955" t="s">
        <v>102</v>
      </c>
      <c r="K2173" s="902"/>
      <c r="L2173" s="923"/>
      <c r="M2173" s="902"/>
      <c r="N2173" s="900" t="s">
        <v>2308</v>
      </c>
    </row>
    <row r="2174" spans="1:14" s="910" customFormat="1" ht="16.5" hidden="1" customHeight="1">
      <c r="A2174" s="896"/>
      <c r="B2174" s="911" t="s">
        <v>2487</v>
      </c>
      <c r="C2174" s="912">
        <v>1</v>
      </c>
      <c r="D2174" s="913" t="s">
        <v>273</v>
      </c>
      <c r="E2174" s="914">
        <v>1</v>
      </c>
      <c r="F2174" s="915">
        <v>19.46</v>
      </c>
      <c r="G2174" s="915">
        <v>0</v>
      </c>
      <c r="H2174" s="915">
        <v>3.2</v>
      </c>
      <c r="I2174" s="916">
        <f>ROUND(IF(AND(F2174:H2174),C2174*E2174*F2174*G2174*H2174,IF(AND(F2174,G2174),C2174*E2174*F2174*G2174,IF(AND(F2174,H2174),C2174*E2174*F2174*H2174,IF(AND(G2174,H2174),C2174*E2174*G2174*H2174,IF(F2174,C2174*E2174*F2174,IF(G2174,C2174*E2174*G2174,IF(H2174,C2174*E2174*H2174,C2174*E2174))))))),2)</f>
        <v>62.27</v>
      </c>
      <c r="J2174" s="955" t="s">
        <v>102</v>
      </c>
      <c r="K2174" s="902"/>
      <c r="L2174" s="923"/>
      <c r="M2174" s="902"/>
      <c r="N2174" s="900" t="s">
        <v>2308</v>
      </c>
    </row>
    <row r="2175" spans="1:14" s="910" customFormat="1" ht="16.5" hidden="1" customHeight="1">
      <c r="A2175" s="896"/>
      <c r="B2175" s="911" t="s">
        <v>579</v>
      </c>
      <c r="C2175" s="912">
        <v>1</v>
      </c>
      <c r="D2175" s="913" t="s">
        <v>273</v>
      </c>
      <c r="E2175" s="914">
        <v>1</v>
      </c>
      <c r="F2175" s="915">
        <v>1.2</v>
      </c>
      <c r="G2175" s="915">
        <v>0</v>
      </c>
      <c r="H2175" s="915">
        <v>2.13</v>
      </c>
      <c r="I2175" s="916">
        <f t="shared" ref="I2175:I2180" si="199">-ROUND(IF(AND(F2175:H2175),C2175*E2175*F2175*G2175*H2175,IF(AND(F2175,G2175),C2175*E2175*F2175*G2175,IF(AND(F2175,H2175),C2175*E2175*F2175*H2175,IF(AND(G2175,H2175),C2175*E2175*G2175*H2175,IF(F2175,C2175*E2175*F2175,IF(G2175,C2175*E2175*G2175,IF(H2175,C2175*E2175*H2175,C2175*E2175))))))),2)</f>
        <v>-2.56</v>
      </c>
      <c r="J2175" s="955" t="s">
        <v>102</v>
      </c>
      <c r="K2175" s="902"/>
      <c r="L2175" s="923"/>
      <c r="M2175" s="902"/>
      <c r="N2175" s="900" t="s">
        <v>2308</v>
      </c>
    </row>
    <row r="2176" spans="1:14" s="910" customFormat="1" ht="16.5" hidden="1" customHeight="1">
      <c r="A2176" s="896"/>
      <c r="B2176" s="911" t="s">
        <v>579</v>
      </c>
      <c r="C2176" s="912">
        <v>1</v>
      </c>
      <c r="D2176" s="913" t="s">
        <v>273</v>
      </c>
      <c r="E2176" s="914">
        <v>1</v>
      </c>
      <c r="F2176" s="915">
        <v>0.93</v>
      </c>
      <c r="G2176" s="915">
        <v>0</v>
      </c>
      <c r="H2176" s="915">
        <v>2.1</v>
      </c>
      <c r="I2176" s="916">
        <f t="shared" si="199"/>
        <v>-1.95</v>
      </c>
      <c r="J2176" s="955" t="s">
        <v>102</v>
      </c>
      <c r="K2176" s="902"/>
      <c r="L2176" s="923"/>
      <c r="M2176" s="902"/>
      <c r="N2176" s="900" t="s">
        <v>2308</v>
      </c>
    </row>
    <row r="2177" spans="1:14" s="910" customFormat="1" ht="16.5" hidden="1" customHeight="1">
      <c r="A2177" s="896"/>
      <c r="B2177" s="911" t="s">
        <v>2507</v>
      </c>
      <c r="C2177" s="912">
        <v>1</v>
      </c>
      <c r="D2177" s="913" t="s">
        <v>273</v>
      </c>
      <c r="E2177" s="914">
        <v>1</v>
      </c>
      <c r="F2177" s="915">
        <v>1.32</v>
      </c>
      <c r="G2177" s="915">
        <v>0</v>
      </c>
      <c r="H2177" s="915">
        <v>2.9</v>
      </c>
      <c r="I2177" s="916">
        <f t="shared" si="199"/>
        <v>-3.83</v>
      </c>
      <c r="J2177" s="955" t="s">
        <v>102</v>
      </c>
      <c r="K2177" s="902"/>
      <c r="L2177" s="923"/>
      <c r="M2177" s="902"/>
      <c r="N2177" s="900" t="s">
        <v>2308</v>
      </c>
    </row>
    <row r="2178" spans="1:14" s="910" customFormat="1" ht="16.5" hidden="1" customHeight="1">
      <c r="A2178" s="896"/>
      <c r="B2178" s="911" t="s">
        <v>581</v>
      </c>
      <c r="C2178" s="912">
        <v>1</v>
      </c>
      <c r="D2178" s="913" t="s">
        <v>273</v>
      </c>
      <c r="E2178" s="914">
        <v>4</v>
      </c>
      <c r="F2178" s="915">
        <v>0.6</v>
      </c>
      <c r="G2178" s="915">
        <v>0</v>
      </c>
      <c r="H2178" s="915">
        <v>0.3</v>
      </c>
      <c r="I2178" s="916">
        <f t="shared" si="199"/>
        <v>-0.72</v>
      </c>
      <c r="J2178" s="955" t="s">
        <v>102</v>
      </c>
      <c r="K2178" s="902"/>
      <c r="L2178" s="923"/>
      <c r="M2178" s="902"/>
      <c r="N2178" s="900" t="s">
        <v>2308</v>
      </c>
    </row>
    <row r="2179" spans="1:14" s="910" customFormat="1" ht="16.5" hidden="1" customHeight="1">
      <c r="A2179" s="896"/>
      <c r="B2179" s="911" t="s">
        <v>2354</v>
      </c>
      <c r="C2179" s="912">
        <v>1</v>
      </c>
      <c r="D2179" s="913" t="s">
        <v>273</v>
      </c>
      <c r="E2179" s="914">
        <v>1</v>
      </c>
      <c r="F2179" s="915">
        <v>1.23</v>
      </c>
      <c r="G2179" s="915">
        <v>0</v>
      </c>
      <c r="H2179" s="915">
        <v>1.23</v>
      </c>
      <c r="I2179" s="916">
        <f t="shared" si="199"/>
        <v>-1.51</v>
      </c>
      <c r="J2179" s="955" t="s">
        <v>102</v>
      </c>
      <c r="K2179" s="902"/>
      <c r="L2179" s="923"/>
      <c r="M2179" s="902"/>
      <c r="N2179" s="900" t="s">
        <v>2308</v>
      </c>
    </row>
    <row r="2180" spans="1:14" s="910" customFormat="1" ht="16.5" hidden="1" customHeight="1">
      <c r="A2180" s="896"/>
      <c r="B2180" s="911" t="s">
        <v>2354</v>
      </c>
      <c r="C2180" s="912">
        <v>1</v>
      </c>
      <c r="D2180" s="913" t="s">
        <v>273</v>
      </c>
      <c r="E2180" s="914">
        <v>1</v>
      </c>
      <c r="F2180" s="915">
        <v>1.24</v>
      </c>
      <c r="G2180" s="915">
        <v>0</v>
      </c>
      <c r="H2180" s="915">
        <v>1.27</v>
      </c>
      <c r="I2180" s="916">
        <f t="shared" si="199"/>
        <v>-1.57</v>
      </c>
      <c r="J2180" s="955" t="s">
        <v>102</v>
      </c>
      <c r="K2180" s="902"/>
      <c r="L2180" s="923"/>
      <c r="M2180" s="902"/>
      <c r="N2180" s="900" t="s">
        <v>2308</v>
      </c>
    </row>
    <row r="2181" spans="1:14" s="910" customFormat="1" ht="16.5" hidden="1" customHeight="1">
      <c r="A2181" s="896"/>
      <c r="B2181" s="911" t="s">
        <v>2448</v>
      </c>
      <c r="C2181" s="912">
        <v>1</v>
      </c>
      <c r="D2181" s="913" t="s">
        <v>273</v>
      </c>
      <c r="E2181" s="914">
        <v>1</v>
      </c>
      <c r="F2181" s="915">
        <v>10.96</v>
      </c>
      <c r="G2181" s="915">
        <v>0</v>
      </c>
      <c r="H2181" s="915">
        <v>3.2</v>
      </c>
      <c r="I2181" s="916">
        <f>ROUND(IF(AND(F2181:H2181),C2181*E2181*F2181*G2181*H2181,IF(AND(F2181,G2181),C2181*E2181*F2181*G2181,IF(AND(F2181,H2181),C2181*E2181*F2181*H2181,IF(AND(G2181,H2181),C2181*E2181*G2181*H2181,IF(F2181,C2181*E2181*F2181,IF(G2181,C2181*E2181*G2181,IF(H2181,C2181*E2181*H2181,C2181*E2181))))))),2)</f>
        <v>35.07</v>
      </c>
      <c r="J2181" s="955" t="s">
        <v>102</v>
      </c>
      <c r="K2181" s="902"/>
      <c r="L2181" s="923"/>
      <c r="M2181" s="902"/>
      <c r="N2181" s="900" t="s">
        <v>2308</v>
      </c>
    </row>
    <row r="2182" spans="1:14" s="910" customFormat="1" ht="16.5" hidden="1" customHeight="1">
      <c r="A2182" s="896"/>
      <c r="B2182" s="911" t="s">
        <v>2354</v>
      </c>
      <c r="C2182" s="912">
        <v>1</v>
      </c>
      <c r="D2182" s="913" t="s">
        <v>273</v>
      </c>
      <c r="E2182" s="914">
        <v>1</v>
      </c>
      <c r="F2182" s="915">
        <v>1.23</v>
      </c>
      <c r="G2182" s="915">
        <v>0</v>
      </c>
      <c r="H2182" s="915">
        <v>1.26</v>
      </c>
      <c r="I2182" s="916">
        <f>-ROUND(IF(AND(F2182:H2182),C2182*E2182*F2182*G2182*H2182,IF(AND(F2182,G2182),C2182*E2182*F2182*G2182,IF(AND(F2182,H2182),C2182*E2182*F2182*H2182,IF(AND(G2182,H2182),C2182*E2182*G2182*H2182,IF(F2182,C2182*E2182*F2182,IF(G2182,C2182*E2182*G2182,IF(H2182,C2182*E2182*H2182,C2182*E2182))))))),2)</f>
        <v>-1.55</v>
      </c>
      <c r="J2182" s="955" t="s">
        <v>102</v>
      </c>
      <c r="K2182" s="902"/>
      <c r="L2182" s="923"/>
      <c r="M2182" s="902"/>
      <c r="N2182" s="900" t="s">
        <v>2308</v>
      </c>
    </row>
    <row r="2183" spans="1:14" s="910" customFormat="1" ht="16.5" hidden="1" customHeight="1">
      <c r="A2183" s="896"/>
      <c r="B2183" s="911" t="s">
        <v>581</v>
      </c>
      <c r="C2183" s="912">
        <v>1</v>
      </c>
      <c r="D2183" s="913" t="s">
        <v>273</v>
      </c>
      <c r="E2183" s="914">
        <v>2</v>
      </c>
      <c r="F2183" s="915">
        <v>0.6</v>
      </c>
      <c r="G2183" s="915">
        <v>0</v>
      </c>
      <c r="H2183" s="915">
        <v>0.3</v>
      </c>
      <c r="I2183" s="916">
        <f>-ROUND(IF(AND(F2183:H2183),C2183*E2183*F2183*G2183*H2183,IF(AND(F2183,G2183),C2183*E2183*F2183*G2183,IF(AND(F2183,H2183),C2183*E2183*F2183*H2183,IF(AND(G2183,H2183),C2183*E2183*G2183*H2183,IF(F2183,C2183*E2183*F2183,IF(G2183,C2183*E2183*G2183,IF(H2183,C2183*E2183*H2183,C2183*E2183))))))),2)</f>
        <v>-0.36</v>
      </c>
      <c r="J2183" s="955" t="s">
        <v>102</v>
      </c>
      <c r="K2183" s="902"/>
      <c r="L2183" s="923"/>
      <c r="M2183" s="902"/>
      <c r="N2183" s="900" t="s">
        <v>2308</v>
      </c>
    </row>
    <row r="2184" spans="1:14" s="910" customFormat="1" ht="16.5" hidden="1" customHeight="1">
      <c r="A2184" s="896"/>
      <c r="B2184" s="911" t="s">
        <v>579</v>
      </c>
      <c r="C2184" s="912">
        <v>1</v>
      </c>
      <c r="D2184" s="913" t="s">
        <v>273</v>
      </c>
      <c r="E2184" s="914">
        <v>1</v>
      </c>
      <c r="F2184" s="915">
        <v>0.93</v>
      </c>
      <c r="G2184" s="915">
        <v>0</v>
      </c>
      <c r="H2184" s="915">
        <v>2.1</v>
      </c>
      <c r="I2184" s="916">
        <f>-ROUND(IF(AND(F2184:H2184),C2184*E2184*F2184*G2184*H2184,IF(AND(F2184,G2184),C2184*E2184*F2184*G2184,IF(AND(F2184,H2184),C2184*E2184*F2184*H2184,IF(AND(G2184,H2184),C2184*E2184*G2184*H2184,IF(F2184,C2184*E2184*F2184,IF(G2184,C2184*E2184*G2184,IF(H2184,C2184*E2184*H2184,C2184*E2184))))))),2)</f>
        <v>-1.95</v>
      </c>
      <c r="J2184" s="955" t="s">
        <v>102</v>
      </c>
      <c r="K2184" s="902"/>
      <c r="L2184" s="923"/>
      <c r="M2184" s="902"/>
      <c r="N2184" s="900" t="s">
        <v>2308</v>
      </c>
    </row>
    <row r="2185" spans="1:14" s="910" customFormat="1" ht="16.5" hidden="1" customHeight="1">
      <c r="A2185" s="896"/>
      <c r="B2185" s="911" t="s">
        <v>2488</v>
      </c>
      <c r="C2185" s="912">
        <v>1</v>
      </c>
      <c r="D2185" s="913" t="s">
        <v>273</v>
      </c>
      <c r="E2185" s="914">
        <v>1</v>
      </c>
      <c r="F2185" s="915">
        <v>6.5</v>
      </c>
      <c r="G2185" s="915">
        <v>0</v>
      </c>
      <c r="H2185" s="915">
        <v>1.1000000000000001</v>
      </c>
      <c r="I2185" s="916">
        <f>ROUND(IF(AND(F2185:H2185),C2185*E2185*F2185*G2185*H2185,IF(AND(F2185,G2185),C2185*E2185*F2185*G2185,IF(AND(F2185,H2185),C2185*E2185*F2185*H2185,IF(AND(G2185,H2185),C2185*E2185*G2185*H2185,IF(F2185,C2185*E2185*F2185,IF(G2185,C2185*E2185*G2185,IF(H2185,C2185*E2185*H2185,C2185*E2185))))))),2)</f>
        <v>7.15</v>
      </c>
      <c r="J2185" s="955" t="s">
        <v>102</v>
      </c>
      <c r="K2185" s="902"/>
      <c r="L2185" s="923"/>
      <c r="M2185" s="902"/>
      <c r="N2185" s="900" t="s">
        <v>2308</v>
      </c>
    </row>
    <row r="2186" spans="1:14" s="910" customFormat="1" ht="16.5" hidden="1" customHeight="1">
      <c r="A2186" s="896"/>
      <c r="B2186" s="911" t="s">
        <v>581</v>
      </c>
      <c r="C2186" s="912">
        <v>1</v>
      </c>
      <c r="D2186" s="913" t="s">
        <v>273</v>
      </c>
      <c r="E2186" s="914">
        <v>1</v>
      </c>
      <c r="F2186" s="915">
        <v>0.6</v>
      </c>
      <c r="G2186" s="915">
        <v>0</v>
      </c>
      <c r="H2186" s="915">
        <v>0.3</v>
      </c>
      <c r="I2186" s="916">
        <f>-ROUND(IF(AND(F2186:H2186),C2186*E2186*F2186*G2186*H2186,IF(AND(F2186,G2186),C2186*E2186*F2186*G2186,IF(AND(F2186,H2186),C2186*E2186*F2186*H2186,IF(AND(G2186,H2186),C2186*E2186*G2186*H2186,IF(F2186,C2186*E2186*F2186,IF(G2186,C2186*E2186*G2186,IF(H2186,C2186*E2186*H2186,C2186*E2186))))))),2)</f>
        <v>-0.18</v>
      </c>
      <c r="J2186" s="955" t="s">
        <v>102</v>
      </c>
      <c r="K2186" s="902"/>
      <c r="L2186" s="923"/>
      <c r="M2186" s="902"/>
      <c r="N2186" s="900" t="s">
        <v>2308</v>
      </c>
    </row>
    <row r="2187" spans="1:14" s="910" customFormat="1" ht="16.5" hidden="1" customHeight="1">
      <c r="A2187" s="896"/>
      <c r="B2187" s="911" t="s">
        <v>2498</v>
      </c>
      <c r="C2187" s="912">
        <v>1</v>
      </c>
      <c r="D2187" s="913" t="s">
        <v>273</v>
      </c>
      <c r="E2187" s="914">
        <v>1</v>
      </c>
      <c r="F2187" s="915">
        <v>4.0199999999999996</v>
      </c>
      <c r="G2187" s="915">
        <v>0</v>
      </c>
      <c r="H2187" s="915">
        <v>3.2</v>
      </c>
      <c r="I2187" s="916">
        <f>ROUND(IF(AND(F2187:H2187),C2187*E2187*F2187*G2187*H2187,IF(AND(F2187,G2187),C2187*E2187*F2187*G2187,IF(AND(F2187,H2187),C2187*E2187*F2187*H2187,IF(AND(G2187,H2187),C2187*E2187*G2187*H2187,IF(F2187,C2187*E2187*F2187,IF(G2187,C2187*E2187*G2187,IF(H2187,C2187*E2187*H2187,C2187*E2187))))))),2)</f>
        <v>12.86</v>
      </c>
      <c r="J2187" s="955" t="s">
        <v>102</v>
      </c>
      <c r="K2187" s="902"/>
      <c r="L2187" s="923"/>
      <c r="M2187" s="902"/>
      <c r="N2187" s="900" t="s">
        <v>2308</v>
      </c>
    </row>
    <row r="2188" spans="1:14" s="910" customFormat="1" ht="16.5" hidden="1" customHeight="1">
      <c r="A2188" s="896"/>
      <c r="B2188" s="911" t="s">
        <v>579</v>
      </c>
      <c r="C2188" s="912">
        <v>1</v>
      </c>
      <c r="D2188" s="913" t="s">
        <v>273</v>
      </c>
      <c r="E2188" s="914">
        <v>1</v>
      </c>
      <c r="F2188" s="915">
        <v>0.84</v>
      </c>
      <c r="G2188" s="915">
        <v>0</v>
      </c>
      <c r="H2188" s="915">
        <v>2.1</v>
      </c>
      <c r="I2188" s="916">
        <f>-ROUND(IF(AND(F2188:H2188),C2188*E2188*F2188*G2188*H2188,IF(AND(F2188,G2188),C2188*E2188*F2188*G2188,IF(AND(F2188,H2188),C2188*E2188*F2188*H2188,IF(AND(G2188,H2188),C2188*E2188*G2188*H2188,IF(F2188,C2188*E2188*F2188,IF(G2188,C2188*E2188*G2188,IF(H2188,C2188*E2188*H2188,C2188*E2188))))))),2)</f>
        <v>-1.76</v>
      </c>
      <c r="J2188" s="955" t="s">
        <v>102</v>
      </c>
      <c r="K2188" s="902"/>
      <c r="L2188" s="923"/>
      <c r="M2188" s="902"/>
      <c r="N2188" s="900" t="s">
        <v>2308</v>
      </c>
    </row>
    <row r="2189" spans="1:14" s="910" customFormat="1" ht="16.5" hidden="1" customHeight="1">
      <c r="A2189" s="896"/>
      <c r="B2189" s="911" t="s">
        <v>2499</v>
      </c>
      <c r="C2189" s="912">
        <v>1</v>
      </c>
      <c r="D2189" s="913" t="s">
        <v>273</v>
      </c>
      <c r="E2189" s="914">
        <v>1</v>
      </c>
      <c r="F2189" s="915">
        <v>0.93</v>
      </c>
      <c r="G2189" s="915">
        <v>0</v>
      </c>
      <c r="H2189" s="915">
        <v>2.9</v>
      </c>
      <c r="I2189" s="916">
        <f>-ROUND(IF(AND(F2189:H2189),C2189*E2189*F2189*G2189*H2189,IF(AND(F2189,G2189),C2189*E2189*F2189*G2189,IF(AND(F2189,H2189),C2189*E2189*F2189*H2189,IF(AND(G2189,H2189),C2189*E2189*G2189*H2189,IF(F2189,C2189*E2189*F2189,IF(G2189,C2189*E2189*G2189,IF(H2189,C2189*E2189*H2189,C2189*E2189))))))),2)</f>
        <v>-2.7</v>
      </c>
      <c r="J2189" s="955" t="s">
        <v>102</v>
      </c>
      <c r="K2189" s="902"/>
      <c r="L2189" s="923"/>
      <c r="M2189" s="902"/>
      <c r="N2189" s="900" t="s">
        <v>2308</v>
      </c>
    </row>
    <row r="2190" spans="1:14" s="910" customFormat="1" ht="16.5" hidden="1" customHeight="1">
      <c r="A2190" s="896"/>
      <c r="B2190" s="911" t="s">
        <v>2357</v>
      </c>
      <c r="C2190" s="912">
        <v>1</v>
      </c>
      <c r="D2190" s="913" t="s">
        <v>273</v>
      </c>
      <c r="E2190" s="914">
        <v>1</v>
      </c>
      <c r="F2190" s="915">
        <v>9.18</v>
      </c>
      <c r="G2190" s="915">
        <v>0</v>
      </c>
      <c r="H2190" s="915">
        <v>3.2</v>
      </c>
      <c r="I2190" s="916">
        <f>ROUND(IF(AND(F2190:H2190),C2190*E2190*F2190*G2190*H2190,IF(AND(F2190,G2190),C2190*E2190*F2190*G2190,IF(AND(F2190,H2190),C2190*E2190*F2190*H2190,IF(AND(G2190,H2190),C2190*E2190*G2190*H2190,IF(F2190,C2190*E2190*F2190,IF(G2190,C2190*E2190*G2190,IF(H2190,C2190*E2190*H2190,C2190*E2190))))))),2)</f>
        <v>29.38</v>
      </c>
      <c r="J2190" s="955" t="s">
        <v>102</v>
      </c>
      <c r="K2190" s="902"/>
      <c r="L2190" s="923"/>
      <c r="M2190" s="902"/>
      <c r="N2190" s="900" t="s">
        <v>2308</v>
      </c>
    </row>
    <row r="2191" spans="1:14" s="910" customFormat="1" ht="16.5" hidden="1" customHeight="1">
      <c r="A2191" s="896"/>
      <c r="B2191" s="911" t="s">
        <v>579</v>
      </c>
      <c r="C2191" s="912">
        <v>1</v>
      </c>
      <c r="D2191" s="913" t="s">
        <v>273</v>
      </c>
      <c r="E2191" s="914">
        <v>2</v>
      </c>
      <c r="F2191" s="915">
        <v>0.82</v>
      </c>
      <c r="G2191" s="915">
        <v>0</v>
      </c>
      <c r="H2191" s="915">
        <v>2.12</v>
      </c>
      <c r="I2191" s="916">
        <f>-ROUND(IF(AND(F2191:H2191),C2191*E2191*F2191*G2191*H2191,IF(AND(F2191,G2191),C2191*E2191*F2191*G2191,IF(AND(F2191,H2191),C2191*E2191*F2191*H2191,IF(AND(G2191,H2191),C2191*E2191*G2191*H2191,IF(F2191,C2191*E2191*F2191,IF(G2191,C2191*E2191*G2191,IF(H2191,C2191*E2191*H2191,C2191*E2191))))))),2)</f>
        <v>-3.48</v>
      </c>
      <c r="J2191" s="955" t="s">
        <v>102</v>
      </c>
      <c r="K2191" s="902"/>
      <c r="L2191" s="923"/>
      <c r="M2191" s="902"/>
      <c r="N2191" s="900" t="s">
        <v>2308</v>
      </c>
    </row>
    <row r="2192" spans="1:14" s="910" customFormat="1" ht="16.5" hidden="1" customHeight="1">
      <c r="A2192" s="896"/>
      <c r="B2192" s="911" t="s">
        <v>581</v>
      </c>
      <c r="C2192" s="912">
        <v>1</v>
      </c>
      <c r="D2192" s="913" t="s">
        <v>273</v>
      </c>
      <c r="E2192" s="914">
        <v>3</v>
      </c>
      <c r="F2192" s="915">
        <v>0.6</v>
      </c>
      <c r="G2192" s="915">
        <v>0</v>
      </c>
      <c r="H2192" s="915">
        <v>0.3</v>
      </c>
      <c r="I2192" s="916">
        <f>-ROUND(IF(AND(F2192:H2192),C2192*E2192*F2192*G2192*H2192,IF(AND(F2192,G2192),C2192*E2192*F2192*G2192,IF(AND(F2192,H2192),C2192*E2192*F2192*H2192,IF(AND(G2192,H2192),C2192*E2192*G2192*H2192,IF(F2192,C2192*E2192*F2192,IF(G2192,C2192*E2192*G2192,IF(H2192,C2192*E2192*H2192,C2192*E2192))))))),2)</f>
        <v>-0.54</v>
      </c>
      <c r="J2192" s="955" t="s">
        <v>102</v>
      </c>
      <c r="K2192" s="902"/>
      <c r="L2192" s="923"/>
      <c r="M2192" s="902"/>
      <c r="N2192" s="900" t="s">
        <v>2308</v>
      </c>
    </row>
    <row r="2193" spans="1:14" s="910" customFormat="1" ht="16.5" hidden="1" customHeight="1">
      <c r="A2193" s="896"/>
      <c r="B2193" s="911" t="s">
        <v>2354</v>
      </c>
      <c r="C2193" s="912">
        <v>1</v>
      </c>
      <c r="D2193" s="913" t="s">
        <v>273</v>
      </c>
      <c r="E2193" s="914">
        <v>1</v>
      </c>
      <c r="F2193" s="915">
        <v>1.24</v>
      </c>
      <c r="G2193" s="915">
        <v>0</v>
      </c>
      <c r="H2193" s="915">
        <v>1.24</v>
      </c>
      <c r="I2193" s="916">
        <f>-ROUND(IF(AND(F2193:H2193),C2193*E2193*F2193*G2193*H2193,IF(AND(F2193,G2193),C2193*E2193*F2193*G2193,IF(AND(F2193,H2193),C2193*E2193*F2193*H2193,IF(AND(G2193,H2193),C2193*E2193*G2193*H2193,IF(F2193,C2193*E2193*F2193,IF(G2193,C2193*E2193*G2193,IF(H2193,C2193*E2193*H2193,C2193*E2193))))))),2)</f>
        <v>-1.54</v>
      </c>
      <c r="J2193" s="955" t="s">
        <v>102</v>
      </c>
      <c r="K2193" s="902"/>
      <c r="L2193" s="923"/>
      <c r="M2193" s="902"/>
      <c r="N2193" s="900" t="s">
        <v>2308</v>
      </c>
    </row>
    <row r="2194" spans="1:14" s="910" customFormat="1" ht="16.5" hidden="1" customHeight="1">
      <c r="A2194" s="896"/>
      <c r="B2194" s="911" t="s">
        <v>2355</v>
      </c>
      <c r="C2194" s="912">
        <v>1</v>
      </c>
      <c r="D2194" s="913" t="s">
        <v>273</v>
      </c>
      <c r="E2194" s="914">
        <v>1</v>
      </c>
      <c r="F2194" s="915">
        <v>18.14</v>
      </c>
      <c r="G2194" s="915">
        <v>0</v>
      </c>
      <c r="H2194" s="915">
        <v>3.2</v>
      </c>
      <c r="I2194" s="916">
        <f>ROUND(IF(AND(F2194:H2194),C2194*E2194*F2194*G2194*H2194,IF(AND(F2194,G2194),C2194*E2194*F2194*G2194,IF(AND(F2194,H2194),C2194*E2194*F2194*H2194,IF(AND(G2194,H2194),C2194*E2194*G2194*H2194,IF(F2194,C2194*E2194*F2194,IF(G2194,C2194*E2194*G2194,IF(H2194,C2194*E2194*H2194,C2194*E2194))))))),2)</f>
        <v>58.05</v>
      </c>
      <c r="J2194" s="955" t="s">
        <v>102</v>
      </c>
      <c r="K2194" s="902"/>
      <c r="L2194" s="923"/>
      <c r="M2194" s="902"/>
      <c r="N2194" s="900" t="s">
        <v>2308</v>
      </c>
    </row>
    <row r="2195" spans="1:14" s="910" customFormat="1" ht="16.5" hidden="1" customHeight="1">
      <c r="A2195" s="896"/>
      <c r="B2195" s="911" t="s">
        <v>579</v>
      </c>
      <c r="C2195" s="912">
        <v>1</v>
      </c>
      <c r="D2195" s="913" t="s">
        <v>273</v>
      </c>
      <c r="E2195" s="914">
        <v>2</v>
      </c>
      <c r="F2195" s="915">
        <v>0.93</v>
      </c>
      <c r="G2195" s="915">
        <v>0</v>
      </c>
      <c r="H2195" s="915">
        <v>2.13</v>
      </c>
      <c r="I2195" s="916">
        <f t="shared" ref="I2195:I2200" si="200">-ROUND(IF(AND(F2195:H2195),C2195*E2195*F2195*G2195*H2195,IF(AND(F2195,G2195),C2195*E2195*F2195*G2195,IF(AND(F2195,H2195),C2195*E2195*F2195*H2195,IF(AND(G2195,H2195),C2195*E2195*G2195*H2195,IF(F2195,C2195*E2195*F2195,IF(G2195,C2195*E2195*G2195,IF(H2195,C2195*E2195*H2195,C2195*E2195))))))),2)</f>
        <v>-3.96</v>
      </c>
      <c r="J2195" s="955" t="s">
        <v>102</v>
      </c>
      <c r="K2195" s="902"/>
      <c r="L2195" s="923"/>
      <c r="M2195" s="902"/>
      <c r="N2195" s="900" t="s">
        <v>2308</v>
      </c>
    </row>
    <row r="2196" spans="1:14" s="910" customFormat="1" ht="16.5" hidden="1" customHeight="1">
      <c r="A2196" s="896"/>
      <c r="B2196" s="911" t="s">
        <v>579</v>
      </c>
      <c r="C2196" s="912">
        <v>1</v>
      </c>
      <c r="D2196" s="913" t="s">
        <v>273</v>
      </c>
      <c r="E2196" s="914">
        <v>1</v>
      </c>
      <c r="F2196" s="915">
        <v>0.82</v>
      </c>
      <c r="G2196" s="915">
        <v>0</v>
      </c>
      <c r="H2196" s="915">
        <v>2.12</v>
      </c>
      <c r="I2196" s="916">
        <f t="shared" si="200"/>
        <v>-1.74</v>
      </c>
      <c r="J2196" s="955" t="s">
        <v>102</v>
      </c>
      <c r="K2196" s="902"/>
      <c r="L2196" s="923"/>
      <c r="M2196" s="902"/>
      <c r="N2196" s="900" t="s">
        <v>2308</v>
      </c>
    </row>
    <row r="2197" spans="1:14" s="910" customFormat="1" ht="16.5" hidden="1" customHeight="1">
      <c r="A2197" s="896"/>
      <c r="B2197" s="911" t="s">
        <v>2500</v>
      </c>
      <c r="C2197" s="912">
        <v>1</v>
      </c>
      <c r="D2197" s="913" t="s">
        <v>273</v>
      </c>
      <c r="E2197" s="914">
        <v>1</v>
      </c>
      <c r="F2197" s="915">
        <v>0.93</v>
      </c>
      <c r="G2197" s="915">
        <v>0</v>
      </c>
      <c r="H2197" s="915">
        <v>2.9</v>
      </c>
      <c r="I2197" s="916">
        <f t="shared" si="200"/>
        <v>-2.7</v>
      </c>
      <c r="J2197" s="955" t="s">
        <v>102</v>
      </c>
      <c r="K2197" s="902"/>
      <c r="L2197" s="923"/>
      <c r="M2197" s="902"/>
      <c r="N2197" s="900" t="s">
        <v>2308</v>
      </c>
    </row>
    <row r="2198" spans="1:14" s="910" customFormat="1" ht="16.5" hidden="1" customHeight="1">
      <c r="A2198" s="896"/>
      <c r="B2198" s="911" t="s">
        <v>581</v>
      </c>
      <c r="C2198" s="912">
        <v>1</v>
      </c>
      <c r="D2198" s="913" t="s">
        <v>273</v>
      </c>
      <c r="E2198" s="914">
        <v>5</v>
      </c>
      <c r="F2198" s="915">
        <v>0.6</v>
      </c>
      <c r="G2198" s="915">
        <v>0</v>
      </c>
      <c r="H2198" s="915">
        <v>0.3</v>
      </c>
      <c r="I2198" s="916">
        <f t="shared" si="200"/>
        <v>-0.9</v>
      </c>
      <c r="J2198" s="955" t="s">
        <v>102</v>
      </c>
      <c r="K2198" s="902"/>
      <c r="L2198" s="923"/>
      <c r="M2198" s="902"/>
      <c r="N2198" s="900" t="s">
        <v>2308</v>
      </c>
    </row>
    <row r="2199" spans="1:14" s="910" customFormat="1" ht="16.5" hidden="1" customHeight="1">
      <c r="A2199" s="896"/>
      <c r="B2199" s="911" t="s">
        <v>2354</v>
      </c>
      <c r="C2199" s="912">
        <v>1</v>
      </c>
      <c r="D2199" s="913" t="s">
        <v>273</v>
      </c>
      <c r="E2199" s="914">
        <v>1</v>
      </c>
      <c r="F2199" s="915">
        <v>1.23</v>
      </c>
      <c r="G2199" s="915">
        <v>0</v>
      </c>
      <c r="H2199" s="915">
        <v>1.3</v>
      </c>
      <c r="I2199" s="916">
        <f t="shared" si="200"/>
        <v>-1.6</v>
      </c>
      <c r="J2199" s="955" t="s">
        <v>102</v>
      </c>
      <c r="K2199" s="902"/>
      <c r="L2199" s="923"/>
      <c r="M2199" s="902"/>
      <c r="N2199" s="900" t="s">
        <v>2308</v>
      </c>
    </row>
    <row r="2200" spans="1:14" s="910" customFormat="1" ht="16.5" hidden="1" customHeight="1">
      <c r="A2200" s="896"/>
      <c r="B2200" s="911" t="s">
        <v>2354</v>
      </c>
      <c r="C2200" s="912">
        <v>1</v>
      </c>
      <c r="D2200" s="913" t="s">
        <v>273</v>
      </c>
      <c r="E2200" s="914">
        <v>1</v>
      </c>
      <c r="F2200" s="915">
        <v>1.24</v>
      </c>
      <c r="G2200" s="915">
        <v>0</v>
      </c>
      <c r="H2200" s="915">
        <v>1.23</v>
      </c>
      <c r="I2200" s="916">
        <f t="shared" si="200"/>
        <v>-1.53</v>
      </c>
      <c r="J2200" s="955" t="s">
        <v>102</v>
      </c>
      <c r="K2200" s="902"/>
      <c r="L2200" s="923"/>
      <c r="M2200" s="902"/>
      <c r="N2200" s="900" t="s">
        <v>2308</v>
      </c>
    </row>
    <row r="2201" spans="1:14" s="910" customFormat="1" ht="16.5" hidden="1" customHeight="1">
      <c r="A2201" s="896"/>
      <c r="B2201" s="911" t="s">
        <v>2196</v>
      </c>
      <c r="C2201" s="912">
        <v>1</v>
      </c>
      <c r="D2201" s="913" t="s">
        <v>273</v>
      </c>
      <c r="E2201" s="914">
        <v>8</v>
      </c>
      <c r="F2201" s="915">
        <v>4.8</v>
      </c>
      <c r="G2201" s="915">
        <v>0.23</v>
      </c>
      <c r="H2201" s="915">
        <v>0</v>
      </c>
      <c r="I2201" s="916">
        <f>ROUND(IF(AND(F2201:H2201),C2201*E2201*F2201*G2201*H2201,IF(AND(F2201,G2201),C2201*E2201*F2201*G2201,IF(AND(F2201,H2201),C2201*E2201*F2201*H2201,IF(AND(G2201,H2201),C2201*E2201*G2201*H2201,IF(F2201,C2201*E2201*F2201,IF(G2201,C2201*E2201*G2201,IF(H2201,C2201*E2201*H2201,C2201*E2201))))))),2)</f>
        <v>8.83</v>
      </c>
      <c r="J2201" s="955" t="s">
        <v>102</v>
      </c>
      <c r="K2201" s="902"/>
      <c r="L2201" s="923"/>
      <c r="M2201" s="902"/>
      <c r="N2201" s="900" t="s">
        <v>2308</v>
      </c>
    </row>
    <row r="2202" spans="1:14" s="910" customFormat="1" ht="16.5" hidden="1" customHeight="1">
      <c r="A2202" s="896"/>
      <c r="B2202" s="911" t="s">
        <v>2368</v>
      </c>
      <c r="C2202" s="912">
        <v>1</v>
      </c>
      <c r="D2202" s="913" t="s">
        <v>273</v>
      </c>
      <c r="E2202" s="914">
        <v>13</v>
      </c>
      <c r="F2202" s="915">
        <v>1.8</v>
      </c>
      <c r="G2202" s="915">
        <v>0.23</v>
      </c>
      <c r="H2202" s="915">
        <v>0</v>
      </c>
      <c r="I2202" s="916">
        <f>ROUND(IF(AND(F2202:H2202),C2202*E2202*F2202*G2202*H2202,IF(AND(F2202,G2202),C2202*E2202*F2202*G2202,IF(AND(F2202,H2202),C2202*E2202*F2202*H2202,IF(AND(G2202,H2202),C2202*E2202*G2202*H2202,IF(F2202,C2202*E2202*F2202,IF(G2202,C2202*E2202*G2202,IF(H2202,C2202*E2202*H2202,C2202*E2202))))))),2)</f>
        <v>5.38</v>
      </c>
      <c r="J2202" s="955" t="s">
        <v>102</v>
      </c>
      <c r="K2202" s="902"/>
      <c r="L2202" s="923"/>
      <c r="M2202" s="902"/>
      <c r="N2202" s="900" t="s">
        <v>2308</v>
      </c>
    </row>
    <row r="2203" spans="1:14" s="910" customFormat="1" ht="16.5" hidden="1" customHeight="1">
      <c r="A2203" s="896"/>
      <c r="B2203" s="911" t="s">
        <v>2501</v>
      </c>
      <c r="C2203" s="912">
        <v>1</v>
      </c>
      <c r="D2203" s="913" t="s">
        <v>273</v>
      </c>
      <c r="E2203" s="914">
        <v>1</v>
      </c>
      <c r="F2203" s="915">
        <v>5.45</v>
      </c>
      <c r="G2203" s="915">
        <v>0.115</v>
      </c>
      <c r="H2203" s="915">
        <v>0</v>
      </c>
      <c r="I2203" s="916">
        <f>ROUND(IF(AND(F2203:H2203),C2203*E2203*F2203*G2203*H2203,IF(AND(F2203,G2203),C2203*E2203*F2203*G2203,IF(AND(F2203,H2203),C2203*E2203*F2203*H2203,IF(AND(G2203,H2203),C2203*E2203*G2203*H2203,IF(F2203,C2203*E2203*F2203,IF(G2203,C2203*E2203*G2203,IF(H2203,C2203*E2203*H2203,C2203*E2203))))))),2)</f>
        <v>0.63</v>
      </c>
      <c r="J2203" s="955" t="s">
        <v>102</v>
      </c>
      <c r="K2203" s="902"/>
      <c r="L2203" s="923"/>
      <c r="M2203" s="902"/>
      <c r="N2203" s="900" t="s">
        <v>2308</v>
      </c>
    </row>
    <row r="2204" spans="1:14" s="910" customFormat="1" ht="16.5" hidden="1" customHeight="1">
      <c r="A2204" s="896"/>
      <c r="B2204" s="911" t="s">
        <v>2369</v>
      </c>
      <c r="C2204" s="912">
        <v>1</v>
      </c>
      <c r="D2204" s="913" t="s">
        <v>273</v>
      </c>
      <c r="E2204" s="914">
        <v>1</v>
      </c>
      <c r="F2204" s="915">
        <v>5.15</v>
      </c>
      <c r="G2204" s="915">
        <v>0.115</v>
      </c>
      <c r="H2204" s="915">
        <v>0</v>
      </c>
      <c r="I2204" s="916">
        <f>ROUND(IF(AND(F2204:H2204),C2204*E2204*F2204*G2204*H2204,IF(AND(F2204,G2204),C2204*E2204*F2204*G2204,IF(AND(F2204,H2204),C2204*E2204*F2204*H2204,IF(AND(G2204,H2204),C2204*E2204*G2204*H2204,IF(F2204,C2204*E2204*F2204,IF(G2204,C2204*E2204*G2204,IF(H2204,C2204*E2204*H2204,C2204*E2204))))))),2)</f>
        <v>0.59</v>
      </c>
      <c r="J2204" s="955" t="s">
        <v>102</v>
      </c>
      <c r="K2204" s="902"/>
      <c r="L2204" s="923"/>
      <c r="M2204" s="902"/>
      <c r="N2204" s="900" t="s">
        <v>2308</v>
      </c>
    </row>
    <row r="2205" spans="1:14" s="910" customFormat="1" ht="16.5" hidden="1" customHeight="1">
      <c r="A2205" s="896"/>
      <c r="B2205" s="911" t="s">
        <v>2502</v>
      </c>
      <c r="C2205" s="912">
        <v>1</v>
      </c>
      <c r="D2205" s="913" t="s">
        <v>273</v>
      </c>
      <c r="E2205" s="914">
        <v>1</v>
      </c>
      <c r="F2205" s="915">
        <v>5</v>
      </c>
      <c r="G2205" s="915">
        <v>0.115</v>
      </c>
      <c r="H2205" s="915">
        <v>0</v>
      </c>
      <c r="I2205" s="916">
        <f>ROUND(IF(AND(F2205:H2205),C2205*E2205*F2205*G2205*H2205,IF(AND(F2205,G2205),C2205*E2205*F2205*G2205,IF(AND(F2205,H2205),C2205*E2205*F2205*H2205,IF(AND(G2205,H2205),C2205*E2205*G2205*H2205,IF(F2205,C2205*E2205*F2205,IF(G2205,C2205*E2205*G2205,IF(H2205,C2205*E2205*H2205,C2205*E2205))))))),2)</f>
        <v>0.57999999999999996</v>
      </c>
      <c r="J2205" s="955" t="s">
        <v>102</v>
      </c>
      <c r="K2205" s="902"/>
      <c r="L2205" s="923"/>
      <c r="M2205" s="902"/>
      <c r="N2205" s="900" t="s">
        <v>2308</v>
      </c>
    </row>
    <row r="2206" spans="1:14" s="910" customFormat="1" ht="16.5" hidden="1" customHeight="1">
      <c r="A2206" s="896"/>
      <c r="B2206" s="956"/>
      <c r="C2206" s="957"/>
      <c r="D2206" s="958"/>
      <c r="E2206" s="1268"/>
      <c r="F2206" s="960"/>
      <c r="G2206" s="960"/>
      <c r="H2206" s="960"/>
      <c r="I2206" s="916"/>
      <c r="J2206" s="955"/>
      <c r="K2206" s="902"/>
      <c r="L2206" s="923"/>
      <c r="M2206" s="902"/>
      <c r="N2206" s="900" t="s">
        <v>2308</v>
      </c>
    </row>
    <row r="2207" spans="1:14" ht="15.75" hidden="1">
      <c r="A2207" s="896"/>
      <c r="B2207" s="902"/>
      <c r="C2207" s="917"/>
      <c r="D2207" s="918"/>
      <c r="E2207" s="919"/>
      <c r="F2207" s="920"/>
      <c r="G2207" s="921"/>
      <c r="H2207" s="896"/>
      <c r="I2207" s="916"/>
      <c r="J2207" s="955" t="s">
        <v>102</v>
      </c>
      <c r="K2207" s="922">
        <f>data!E2680</f>
        <v>134.97</v>
      </c>
      <c r="L2207" s="923" t="s">
        <v>2308</v>
      </c>
      <c r="M2207" s="924">
        <f>ROUND(I2207*K2207,0)</f>
        <v>0</v>
      </c>
      <c r="N2207" s="900" t="s">
        <v>2308</v>
      </c>
    </row>
    <row r="2208" spans="1:14" ht="94.5" hidden="1" customHeight="1">
      <c r="A2208" s="896">
        <v>27</v>
      </c>
      <c r="B2208" s="1609" t="s">
        <v>1167</v>
      </c>
      <c r="C2208" s="1609"/>
      <c r="D2208" s="1609"/>
      <c r="E2208" s="1609"/>
      <c r="F2208" s="1609"/>
      <c r="G2208" s="1609"/>
      <c r="H2208" s="1609"/>
      <c r="I2208" s="897"/>
      <c r="J2208" s="898"/>
      <c r="K2208" s="896"/>
      <c r="L2208" s="923"/>
      <c r="M2208" s="899"/>
      <c r="N2208" s="900" t="s">
        <v>2309</v>
      </c>
    </row>
    <row r="2209" spans="1:14" s="910" customFormat="1" ht="16.5" hidden="1" customHeight="1">
      <c r="A2209" s="896"/>
      <c r="B2209" s="928" t="s">
        <v>3852</v>
      </c>
      <c r="C2209" s="897"/>
      <c r="D2209" s="954" t="s">
        <v>3872</v>
      </c>
      <c r="E2209" s="919"/>
      <c r="F2209" s="920"/>
      <c r="G2209" s="920"/>
      <c r="H2209" s="920"/>
      <c r="I2209" s="1264"/>
      <c r="J2209" s="955"/>
      <c r="K2209" s="902"/>
      <c r="L2209" s="923"/>
      <c r="M2209" s="902"/>
      <c r="N2209" s="900" t="s">
        <v>2309</v>
      </c>
    </row>
    <row r="2210" spans="1:14" s="910" customFormat="1" ht="16.5" hidden="1" customHeight="1">
      <c r="A2210" s="896"/>
      <c r="B2210" s="902" t="s">
        <v>2360</v>
      </c>
      <c r="C2210" s="897">
        <v>1</v>
      </c>
      <c r="D2210" s="1263" t="s">
        <v>273</v>
      </c>
      <c r="E2210" s="919">
        <v>1</v>
      </c>
      <c r="F2210" s="920">
        <v>11.06</v>
      </c>
      <c r="G2210" s="920">
        <v>0</v>
      </c>
      <c r="H2210" s="920">
        <v>3</v>
      </c>
      <c r="I2210" s="1266">
        <f t="shared" ref="I2210:I2231" si="201">ROUND(IF(AND(F2210:H2210),C2210*E2210*F2210*G2210*H2210,IF(AND(F2210,G2210),C2210*E2210*F2210*G2210,IF(AND(F2210,H2210),C2210*E2210*F2210*H2210,IF(AND(G2210,H2210),C2210*E2210*G2210*H2210,IF(F2210,C2210*E2210*F2210,IF(G2210,C2210*E2210*G2210,IF(H2210,C2210*E2210*H2210,C2210*E2210))))))),2)</f>
        <v>33.18</v>
      </c>
      <c r="J2210" s="955" t="s">
        <v>102</v>
      </c>
      <c r="K2210" s="902"/>
      <c r="L2210" s="923"/>
      <c r="M2210" s="902"/>
      <c r="N2210" s="900" t="s">
        <v>2309</v>
      </c>
    </row>
    <row r="2211" spans="1:14" s="910" customFormat="1" ht="16.5" hidden="1" customHeight="1">
      <c r="A2211" s="896"/>
      <c r="B2211" s="902" t="s">
        <v>3853</v>
      </c>
      <c r="C2211" s="897">
        <v>1</v>
      </c>
      <c r="D2211" s="1263" t="s">
        <v>273</v>
      </c>
      <c r="E2211" s="919">
        <v>1</v>
      </c>
      <c r="F2211" s="920">
        <v>2.85</v>
      </c>
      <c r="G2211" s="920">
        <v>2.78</v>
      </c>
      <c r="H2211" s="920">
        <v>0</v>
      </c>
      <c r="I2211" s="1266">
        <f t="shared" si="201"/>
        <v>7.92</v>
      </c>
      <c r="J2211" s="955" t="s">
        <v>102</v>
      </c>
      <c r="K2211" s="902"/>
      <c r="L2211" s="923"/>
      <c r="M2211" s="902"/>
      <c r="N2211" s="900" t="s">
        <v>2309</v>
      </c>
    </row>
    <row r="2212" spans="1:14" s="910" customFormat="1" ht="16.5" hidden="1" customHeight="1">
      <c r="A2212" s="896"/>
      <c r="B2212" s="902" t="s">
        <v>3854</v>
      </c>
      <c r="C2212" s="897">
        <v>1</v>
      </c>
      <c r="D2212" s="1263" t="s">
        <v>273</v>
      </c>
      <c r="E2212" s="919">
        <v>1</v>
      </c>
      <c r="F2212" s="920">
        <v>5.8</v>
      </c>
      <c r="G2212" s="920">
        <v>0</v>
      </c>
      <c r="H2212" s="920">
        <v>0.9</v>
      </c>
      <c r="I2212" s="1266">
        <f t="shared" si="201"/>
        <v>5.22</v>
      </c>
      <c r="J2212" s="955" t="s">
        <v>102</v>
      </c>
      <c r="K2212" s="902"/>
      <c r="L2212" s="923"/>
      <c r="M2212" s="902"/>
      <c r="N2212" s="900" t="s">
        <v>2309</v>
      </c>
    </row>
    <row r="2213" spans="1:14" s="910" customFormat="1" ht="16.5" hidden="1" customHeight="1">
      <c r="A2213" s="896"/>
      <c r="B2213" s="902" t="s">
        <v>3853</v>
      </c>
      <c r="C2213" s="897">
        <v>1</v>
      </c>
      <c r="D2213" s="1263" t="s">
        <v>273</v>
      </c>
      <c r="E2213" s="919">
        <v>1</v>
      </c>
      <c r="F2213" s="920">
        <v>1.31</v>
      </c>
      <c r="G2213" s="920">
        <v>1.59</v>
      </c>
      <c r="H2213" s="920">
        <v>0</v>
      </c>
      <c r="I2213" s="1266">
        <f t="shared" si="201"/>
        <v>2.08</v>
      </c>
      <c r="J2213" s="955" t="s">
        <v>102</v>
      </c>
      <c r="K2213" s="902"/>
      <c r="L2213" s="923"/>
      <c r="M2213" s="902"/>
      <c r="N2213" s="900" t="s">
        <v>2309</v>
      </c>
    </row>
    <row r="2214" spans="1:14" s="910" customFormat="1" ht="16.5" hidden="1" customHeight="1">
      <c r="A2214" s="896"/>
      <c r="B2214" s="902"/>
      <c r="C2214" s="897">
        <v>1</v>
      </c>
      <c r="D2214" s="1263" t="s">
        <v>273</v>
      </c>
      <c r="E2214" s="919">
        <v>1</v>
      </c>
      <c r="F2214" s="920">
        <v>1.31</v>
      </c>
      <c r="G2214" s="920">
        <v>1.1499999999999999</v>
      </c>
      <c r="H2214" s="920">
        <v>0</v>
      </c>
      <c r="I2214" s="1266">
        <f t="shared" si="201"/>
        <v>1.51</v>
      </c>
      <c r="J2214" s="955" t="s">
        <v>102</v>
      </c>
      <c r="K2214" s="902"/>
      <c r="L2214" s="923"/>
      <c r="M2214" s="902"/>
      <c r="N2214" s="900" t="s">
        <v>2309</v>
      </c>
    </row>
    <row r="2215" spans="1:14" s="910" customFormat="1" ht="16.5" hidden="1" customHeight="1">
      <c r="A2215" s="896"/>
      <c r="B2215" s="902" t="s">
        <v>3855</v>
      </c>
      <c r="C2215" s="897">
        <v>1</v>
      </c>
      <c r="D2215" s="1263" t="s">
        <v>273</v>
      </c>
      <c r="E2215" s="919">
        <v>1</v>
      </c>
      <c r="F2215" s="920">
        <v>1.1499999999999999</v>
      </c>
      <c r="G2215" s="920">
        <v>0</v>
      </c>
      <c r="H2215" s="920">
        <v>3</v>
      </c>
      <c r="I2215" s="1266">
        <f t="shared" si="201"/>
        <v>3.45</v>
      </c>
      <c r="J2215" s="955" t="s">
        <v>102</v>
      </c>
      <c r="K2215" s="902"/>
      <c r="L2215" s="923"/>
      <c r="M2215" s="902"/>
      <c r="N2215" s="900" t="s">
        <v>2309</v>
      </c>
    </row>
    <row r="2216" spans="1:14" s="910" customFormat="1" ht="16.5" hidden="1" customHeight="1">
      <c r="A2216" s="896"/>
      <c r="B2216" s="902" t="s">
        <v>3856</v>
      </c>
      <c r="C2216" s="897">
        <v>1</v>
      </c>
      <c r="D2216" s="1263" t="s">
        <v>273</v>
      </c>
      <c r="E2216" s="919">
        <v>1</v>
      </c>
      <c r="F2216" s="920">
        <v>10</v>
      </c>
      <c r="G2216" s="920">
        <v>0</v>
      </c>
      <c r="H2216" s="920">
        <v>3</v>
      </c>
      <c r="I2216" s="1266">
        <f t="shared" si="201"/>
        <v>30</v>
      </c>
      <c r="J2216" s="955" t="s">
        <v>102</v>
      </c>
      <c r="K2216" s="902"/>
      <c r="L2216" s="923"/>
      <c r="M2216" s="902"/>
      <c r="N2216" s="900" t="s">
        <v>2309</v>
      </c>
    </row>
    <row r="2217" spans="1:14" s="910" customFormat="1" ht="16.5" hidden="1" customHeight="1">
      <c r="A2217" s="896"/>
      <c r="B2217" s="902" t="s">
        <v>3853</v>
      </c>
      <c r="C2217" s="897">
        <v>1</v>
      </c>
      <c r="D2217" s="1263" t="s">
        <v>273</v>
      </c>
      <c r="E2217" s="919">
        <v>1</v>
      </c>
      <c r="F2217" s="920">
        <v>2.25</v>
      </c>
      <c r="G2217" s="920">
        <v>2.76</v>
      </c>
      <c r="H2217" s="920">
        <v>0</v>
      </c>
      <c r="I2217" s="1266">
        <f t="shared" si="201"/>
        <v>6.21</v>
      </c>
      <c r="J2217" s="955" t="s">
        <v>102</v>
      </c>
      <c r="K2217" s="902"/>
      <c r="L2217" s="923"/>
      <c r="M2217" s="902"/>
      <c r="N2217" s="900" t="s">
        <v>2309</v>
      </c>
    </row>
    <row r="2218" spans="1:14" s="910" customFormat="1" ht="16.5" hidden="1" customHeight="1">
      <c r="A2218" s="896"/>
      <c r="B2218" s="902" t="s">
        <v>3857</v>
      </c>
      <c r="C2218" s="897">
        <v>1</v>
      </c>
      <c r="D2218" s="1263" t="s">
        <v>273</v>
      </c>
      <c r="E2218" s="919">
        <v>1</v>
      </c>
      <c r="F2218" s="920">
        <v>6.72</v>
      </c>
      <c r="G2218" s="920">
        <v>0</v>
      </c>
      <c r="H2218" s="920">
        <v>0.9</v>
      </c>
      <c r="I2218" s="1266">
        <f t="shared" si="201"/>
        <v>6.05</v>
      </c>
      <c r="J2218" s="955" t="s">
        <v>102</v>
      </c>
      <c r="K2218" s="902"/>
      <c r="L2218" s="923"/>
      <c r="M2218" s="902"/>
      <c r="N2218" s="900" t="s">
        <v>2309</v>
      </c>
    </row>
    <row r="2219" spans="1:14" s="910" customFormat="1" ht="16.5" hidden="1" customHeight="1">
      <c r="A2219" s="896"/>
      <c r="B2219" s="902" t="s">
        <v>3853</v>
      </c>
      <c r="C2219" s="897">
        <v>1</v>
      </c>
      <c r="D2219" s="1263" t="s">
        <v>273</v>
      </c>
      <c r="E2219" s="919">
        <v>1</v>
      </c>
      <c r="F2219" s="920">
        <v>1.45</v>
      </c>
      <c r="G2219" s="920">
        <v>1.91</v>
      </c>
      <c r="H2219" s="920">
        <v>0</v>
      </c>
      <c r="I2219" s="1266">
        <f t="shared" si="201"/>
        <v>2.77</v>
      </c>
      <c r="J2219" s="955" t="s">
        <v>102</v>
      </c>
      <c r="K2219" s="902"/>
      <c r="L2219" s="923"/>
      <c r="M2219" s="902"/>
      <c r="N2219" s="900" t="s">
        <v>2309</v>
      </c>
    </row>
    <row r="2220" spans="1:14" s="910" customFormat="1" ht="16.5" hidden="1" customHeight="1">
      <c r="A2220" s="896"/>
      <c r="B2220" s="902"/>
      <c r="C2220" s="897">
        <v>1</v>
      </c>
      <c r="D2220" s="1263" t="s">
        <v>273</v>
      </c>
      <c r="E2220" s="919">
        <v>1</v>
      </c>
      <c r="F2220" s="920">
        <v>1.45</v>
      </c>
      <c r="G2220" s="920">
        <v>0.8</v>
      </c>
      <c r="H2220" s="920">
        <v>0</v>
      </c>
      <c r="I2220" s="1266">
        <f t="shared" si="201"/>
        <v>1.1599999999999999</v>
      </c>
      <c r="J2220" s="955" t="s">
        <v>102</v>
      </c>
      <c r="K2220" s="902"/>
      <c r="L2220" s="923"/>
      <c r="M2220" s="902"/>
      <c r="N2220" s="900" t="s">
        <v>2309</v>
      </c>
    </row>
    <row r="2221" spans="1:14" s="910" customFormat="1" ht="16.5" hidden="1" customHeight="1">
      <c r="A2221" s="896"/>
      <c r="B2221" s="902" t="s">
        <v>3855</v>
      </c>
      <c r="C2221" s="897">
        <v>1</v>
      </c>
      <c r="D2221" s="1263" t="s">
        <v>273</v>
      </c>
      <c r="E2221" s="919">
        <v>2</v>
      </c>
      <c r="F2221" s="920">
        <v>0.8</v>
      </c>
      <c r="G2221" s="920">
        <v>0</v>
      </c>
      <c r="H2221" s="920">
        <v>3</v>
      </c>
      <c r="I2221" s="1266">
        <f t="shared" si="201"/>
        <v>4.8</v>
      </c>
      <c r="J2221" s="955" t="s">
        <v>102</v>
      </c>
      <c r="K2221" s="902"/>
      <c r="L2221" s="923"/>
      <c r="M2221" s="902"/>
      <c r="N2221" s="900" t="s">
        <v>2309</v>
      </c>
    </row>
    <row r="2222" spans="1:14" s="910" customFormat="1" ht="16.5" hidden="1" customHeight="1">
      <c r="A2222" s="896"/>
      <c r="B2222" s="902" t="s">
        <v>3858</v>
      </c>
      <c r="C2222" s="897">
        <v>1</v>
      </c>
      <c r="D2222" s="1263" t="s">
        <v>273</v>
      </c>
      <c r="E2222" s="919">
        <v>1</v>
      </c>
      <c r="F2222" s="920">
        <v>8.86</v>
      </c>
      <c r="G2222" s="920">
        <v>0</v>
      </c>
      <c r="H2222" s="920">
        <v>3</v>
      </c>
      <c r="I2222" s="1266">
        <f t="shared" si="201"/>
        <v>26.58</v>
      </c>
      <c r="J2222" s="955" t="s">
        <v>102</v>
      </c>
      <c r="K2222" s="902"/>
      <c r="L2222" s="923"/>
      <c r="M2222" s="902"/>
      <c r="N2222" s="900" t="s">
        <v>2309</v>
      </c>
    </row>
    <row r="2223" spans="1:14" s="910" customFormat="1" ht="16.5" hidden="1" customHeight="1">
      <c r="A2223" s="896"/>
      <c r="B2223" s="902" t="s">
        <v>3853</v>
      </c>
      <c r="C2223" s="897">
        <v>1</v>
      </c>
      <c r="D2223" s="1263" t="s">
        <v>273</v>
      </c>
      <c r="E2223" s="919">
        <v>1</v>
      </c>
      <c r="F2223" s="920">
        <v>1.68</v>
      </c>
      <c r="G2223" s="920">
        <v>2.75</v>
      </c>
      <c r="H2223" s="920">
        <v>0</v>
      </c>
      <c r="I2223" s="1266">
        <f t="shared" si="201"/>
        <v>4.62</v>
      </c>
      <c r="J2223" s="955" t="s">
        <v>102</v>
      </c>
      <c r="K2223" s="902"/>
      <c r="L2223" s="923"/>
      <c r="M2223" s="902"/>
      <c r="N2223" s="900" t="s">
        <v>2309</v>
      </c>
    </row>
    <row r="2224" spans="1:14" s="910" customFormat="1" ht="16.5" hidden="1" customHeight="1">
      <c r="A2224" s="896"/>
      <c r="B2224" s="902" t="s">
        <v>3859</v>
      </c>
      <c r="C2224" s="897">
        <v>1</v>
      </c>
      <c r="D2224" s="1263" t="s">
        <v>273</v>
      </c>
      <c r="E2224" s="919">
        <v>1</v>
      </c>
      <c r="F2224" s="920">
        <v>19.48</v>
      </c>
      <c r="G2224" s="920">
        <v>0</v>
      </c>
      <c r="H2224" s="920">
        <v>3</v>
      </c>
      <c r="I2224" s="1266">
        <f t="shared" si="201"/>
        <v>58.44</v>
      </c>
      <c r="J2224" s="955" t="s">
        <v>102</v>
      </c>
      <c r="K2224" s="902"/>
      <c r="L2224" s="923"/>
      <c r="M2224" s="902"/>
      <c r="N2224" s="900" t="s">
        <v>2309</v>
      </c>
    </row>
    <row r="2225" spans="1:14" s="910" customFormat="1" ht="16.5" hidden="1" customHeight="1">
      <c r="A2225" s="896"/>
      <c r="B2225" s="902" t="s">
        <v>3853</v>
      </c>
      <c r="C2225" s="897">
        <v>1</v>
      </c>
      <c r="D2225" s="1263" t="s">
        <v>273</v>
      </c>
      <c r="E2225" s="919">
        <v>1</v>
      </c>
      <c r="F2225" s="920">
        <v>6.75</v>
      </c>
      <c r="G2225" s="920">
        <v>2.99</v>
      </c>
      <c r="H2225" s="920">
        <v>0</v>
      </c>
      <c r="I2225" s="1266">
        <f t="shared" si="201"/>
        <v>20.18</v>
      </c>
      <c r="J2225" s="955" t="s">
        <v>102</v>
      </c>
      <c r="K2225" s="902"/>
      <c r="L2225" s="923"/>
      <c r="M2225" s="902"/>
      <c r="N2225" s="900" t="s">
        <v>2309</v>
      </c>
    </row>
    <row r="2226" spans="1:14" s="910" customFormat="1" ht="16.5" hidden="1" customHeight="1">
      <c r="A2226" s="896"/>
      <c r="B2226" s="902" t="s">
        <v>2355</v>
      </c>
      <c r="C2226" s="897">
        <v>1</v>
      </c>
      <c r="D2226" s="1263" t="s">
        <v>273</v>
      </c>
      <c r="E2226" s="919">
        <v>1</v>
      </c>
      <c r="F2226" s="920">
        <v>18.28</v>
      </c>
      <c r="G2226" s="920">
        <v>0</v>
      </c>
      <c r="H2226" s="920">
        <v>3</v>
      </c>
      <c r="I2226" s="1266">
        <f t="shared" si="201"/>
        <v>54.84</v>
      </c>
      <c r="J2226" s="955" t="s">
        <v>102</v>
      </c>
      <c r="K2226" s="902"/>
      <c r="L2226" s="923"/>
      <c r="M2226" s="902"/>
      <c r="N2226" s="900" t="s">
        <v>2309</v>
      </c>
    </row>
    <row r="2227" spans="1:14" s="910" customFormat="1" ht="16.5" hidden="1" customHeight="1">
      <c r="A2227" s="896"/>
      <c r="B2227" s="902" t="s">
        <v>3853</v>
      </c>
      <c r="C2227" s="897">
        <v>1</v>
      </c>
      <c r="D2227" s="1263" t="s">
        <v>273</v>
      </c>
      <c r="E2227" s="919">
        <v>1</v>
      </c>
      <c r="F2227" s="920">
        <v>6.15</v>
      </c>
      <c r="G2227" s="920">
        <v>2.99</v>
      </c>
      <c r="H2227" s="920">
        <v>0</v>
      </c>
      <c r="I2227" s="1266">
        <f t="shared" si="201"/>
        <v>18.39</v>
      </c>
      <c r="J2227" s="955" t="s">
        <v>102</v>
      </c>
      <c r="K2227" s="902"/>
      <c r="L2227" s="923"/>
      <c r="M2227" s="902"/>
      <c r="N2227" s="900" t="s">
        <v>2309</v>
      </c>
    </row>
    <row r="2228" spans="1:14" s="910" customFormat="1" ht="16.5" hidden="1" customHeight="1">
      <c r="A2228" s="896"/>
      <c r="B2228" s="902" t="s">
        <v>3843</v>
      </c>
      <c r="C2228" s="897">
        <v>2</v>
      </c>
      <c r="D2228" s="1263" t="s">
        <v>273</v>
      </c>
      <c r="E2228" s="919">
        <v>2</v>
      </c>
      <c r="F2228" s="920">
        <v>0.6</v>
      </c>
      <c r="G2228" s="920">
        <v>0</v>
      </c>
      <c r="H2228" s="920">
        <v>0.9</v>
      </c>
      <c r="I2228" s="1266">
        <f t="shared" si="201"/>
        <v>2.16</v>
      </c>
      <c r="J2228" s="955" t="s">
        <v>102</v>
      </c>
      <c r="K2228" s="902"/>
      <c r="L2228" s="923"/>
      <c r="M2228" s="902"/>
      <c r="N2228" s="900" t="s">
        <v>2309</v>
      </c>
    </row>
    <row r="2229" spans="1:14" s="910" customFormat="1" ht="16.5" hidden="1" customHeight="1">
      <c r="A2229" s="896"/>
      <c r="B2229" s="902"/>
      <c r="C2229" s="897">
        <v>1</v>
      </c>
      <c r="D2229" s="1263" t="s">
        <v>273</v>
      </c>
      <c r="E2229" s="919">
        <v>2</v>
      </c>
      <c r="F2229" s="920">
        <v>0.5</v>
      </c>
      <c r="G2229" s="920">
        <v>0</v>
      </c>
      <c r="H2229" s="920">
        <v>0.85</v>
      </c>
      <c r="I2229" s="1266">
        <f t="shared" si="201"/>
        <v>0.85</v>
      </c>
      <c r="J2229" s="955" t="s">
        <v>102</v>
      </c>
      <c r="K2229" s="902"/>
      <c r="L2229" s="923"/>
      <c r="M2229" s="902"/>
      <c r="N2229" s="900" t="s">
        <v>2309</v>
      </c>
    </row>
    <row r="2230" spans="1:14" s="910" customFormat="1" ht="16.5" hidden="1" customHeight="1">
      <c r="A2230" s="896"/>
      <c r="B2230" s="902"/>
      <c r="C2230" s="897">
        <v>1</v>
      </c>
      <c r="D2230" s="1263" t="s">
        <v>273</v>
      </c>
      <c r="E2230" s="919">
        <v>2</v>
      </c>
      <c r="F2230" s="920">
        <v>0.5</v>
      </c>
      <c r="G2230" s="920">
        <v>0</v>
      </c>
      <c r="H2230" s="920">
        <v>0.85</v>
      </c>
      <c r="I2230" s="1266">
        <f t="shared" si="201"/>
        <v>0.85</v>
      </c>
      <c r="J2230" s="955" t="s">
        <v>102</v>
      </c>
      <c r="K2230" s="902"/>
      <c r="L2230" s="923"/>
      <c r="M2230" s="902"/>
      <c r="N2230" s="900" t="s">
        <v>2309</v>
      </c>
    </row>
    <row r="2231" spans="1:14" s="910" customFormat="1" ht="16.5" hidden="1" customHeight="1">
      <c r="A2231" s="896"/>
      <c r="B2231" s="902" t="s">
        <v>3860</v>
      </c>
      <c r="C2231" s="897">
        <v>1</v>
      </c>
      <c r="D2231" s="1263" t="s">
        <v>273</v>
      </c>
      <c r="E2231" s="919">
        <v>2</v>
      </c>
      <c r="F2231" s="920">
        <v>0.57999999999999996</v>
      </c>
      <c r="G2231" s="920">
        <v>0</v>
      </c>
      <c r="H2231" s="920">
        <v>3</v>
      </c>
      <c r="I2231" s="1266">
        <f t="shared" si="201"/>
        <v>3.48</v>
      </c>
      <c r="J2231" s="955" t="s">
        <v>102</v>
      </c>
      <c r="K2231" s="902"/>
      <c r="L2231" s="923"/>
      <c r="M2231" s="902"/>
      <c r="N2231" s="900" t="s">
        <v>2309</v>
      </c>
    </row>
    <row r="2232" spans="1:14" s="910" customFormat="1" ht="16.5" hidden="1" customHeight="1">
      <c r="A2232" s="896"/>
      <c r="B2232" s="902" t="s">
        <v>579</v>
      </c>
      <c r="C2232" s="897">
        <v>1</v>
      </c>
      <c r="D2232" s="1263" t="s">
        <v>273</v>
      </c>
      <c r="E2232" s="919">
        <v>1</v>
      </c>
      <c r="F2232" s="920">
        <v>1.2</v>
      </c>
      <c r="G2232" s="920">
        <v>0</v>
      </c>
      <c r="H2232" s="920">
        <v>2.1</v>
      </c>
      <c r="I2232" s="1266">
        <f t="shared" ref="I2232:I2238" si="202">-ROUND(IF(AND(F2232:H2232),C2232*E2232*F2232*G2232*H2232,IF(AND(F2232,G2232),C2232*E2232*F2232*G2232,IF(AND(F2232,H2232),C2232*E2232*F2232*H2232,IF(AND(G2232,H2232),C2232*E2232*G2232*H2232,IF(F2232,C2232*E2232*F2232,IF(G2232,C2232*E2232*G2232,IF(H2232,C2232*E2232*H2232,C2232*E2232))))))),2)</f>
        <v>-2.52</v>
      </c>
      <c r="J2232" s="955" t="s">
        <v>102</v>
      </c>
      <c r="K2232" s="902"/>
      <c r="L2232" s="923"/>
      <c r="M2232" s="902"/>
      <c r="N2232" s="900" t="s">
        <v>2309</v>
      </c>
    </row>
    <row r="2233" spans="1:14" s="910" customFormat="1" ht="16.5" hidden="1" customHeight="1">
      <c r="A2233" s="896"/>
      <c r="B2233" s="902" t="s">
        <v>579</v>
      </c>
      <c r="C2233" s="897">
        <v>1</v>
      </c>
      <c r="D2233" s="1263" t="s">
        <v>273</v>
      </c>
      <c r="E2233" s="919">
        <v>2</v>
      </c>
      <c r="F2233" s="920">
        <v>0.9</v>
      </c>
      <c r="G2233" s="920">
        <v>0</v>
      </c>
      <c r="H2233" s="920">
        <v>2.1</v>
      </c>
      <c r="I2233" s="1266">
        <f t="shared" si="202"/>
        <v>-3.78</v>
      </c>
      <c r="J2233" s="955" t="s">
        <v>102</v>
      </c>
      <c r="K2233" s="902"/>
      <c r="L2233" s="923"/>
      <c r="M2233" s="902"/>
      <c r="N2233" s="900" t="s">
        <v>2309</v>
      </c>
    </row>
    <row r="2234" spans="1:14" s="910" customFormat="1" ht="16.5" hidden="1" customHeight="1">
      <c r="A2234" s="896"/>
      <c r="B2234" s="902" t="s">
        <v>579</v>
      </c>
      <c r="C2234" s="897">
        <v>2</v>
      </c>
      <c r="D2234" s="1263" t="s">
        <v>273</v>
      </c>
      <c r="E2234" s="919">
        <v>2</v>
      </c>
      <c r="F2234" s="920">
        <v>0.9</v>
      </c>
      <c r="G2234" s="920">
        <v>0</v>
      </c>
      <c r="H2234" s="920">
        <v>2.1</v>
      </c>
      <c r="I2234" s="1266">
        <f t="shared" si="202"/>
        <v>-7.56</v>
      </c>
      <c r="J2234" s="955" t="s">
        <v>102</v>
      </c>
      <c r="K2234" s="902"/>
      <c r="L2234" s="923"/>
      <c r="M2234" s="902"/>
      <c r="N2234" s="900" t="s">
        <v>2309</v>
      </c>
    </row>
    <row r="2235" spans="1:14" s="910" customFormat="1" ht="16.5" hidden="1" customHeight="1">
      <c r="A2235" s="896"/>
      <c r="B2235" s="902" t="s">
        <v>3861</v>
      </c>
      <c r="C2235" s="897">
        <v>1</v>
      </c>
      <c r="D2235" s="1263" t="s">
        <v>273</v>
      </c>
      <c r="E2235" s="919">
        <v>1</v>
      </c>
      <c r="F2235" s="920">
        <v>0.78</v>
      </c>
      <c r="G2235" s="920">
        <v>0</v>
      </c>
      <c r="H2235" s="920">
        <v>2.8</v>
      </c>
      <c r="I2235" s="1266">
        <f t="shared" si="202"/>
        <v>-2.1800000000000002</v>
      </c>
      <c r="J2235" s="955" t="s">
        <v>102</v>
      </c>
      <c r="K2235" s="902"/>
      <c r="L2235" s="923"/>
      <c r="M2235" s="902"/>
      <c r="N2235" s="900" t="s">
        <v>2309</v>
      </c>
    </row>
    <row r="2236" spans="1:14" s="910" customFormat="1" ht="16.5" hidden="1" customHeight="1">
      <c r="A2236" s="896"/>
      <c r="B2236" s="902" t="s">
        <v>3861</v>
      </c>
      <c r="C2236" s="897">
        <v>1</v>
      </c>
      <c r="D2236" s="1263" t="s">
        <v>273</v>
      </c>
      <c r="E2236" s="919">
        <v>2</v>
      </c>
      <c r="F2236" s="920">
        <v>0.9</v>
      </c>
      <c r="G2236" s="920">
        <v>0</v>
      </c>
      <c r="H2236" s="920">
        <v>2.8</v>
      </c>
      <c r="I2236" s="1266">
        <f t="shared" si="202"/>
        <v>-5.04</v>
      </c>
      <c r="J2236" s="955" t="s">
        <v>102</v>
      </c>
      <c r="K2236" s="902"/>
      <c r="L2236" s="923"/>
      <c r="M2236" s="902"/>
      <c r="N2236" s="900" t="s">
        <v>2309</v>
      </c>
    </row>
    <row r="2237" spans="1:14" s="910" customFormat="1" ht="16.5" hidden="1" customHeight="1">
      <c r="A2237" s="896"/>
      <c r="B2237" s="902" t="s">
        <v>2354</v>
      </c>
      <c r="C2237" s="897">
        <v>1</v>
      </c>
      <c r="D2237" s="1263" t="s">
        <v>273</v>
      </c>
      <c r="E2237" s="919">
        <v>8</v>
      </c>
      <c r="F2237" s="920">
        <v>1.2</v>
      </c>
      <c r="G2237" s="920">
        <v>0</v>
      </c>
      <c r="H2237" s="920">
        <v>1.2</v>
      </c>
      <c r="I2237" s="1266">
        <f t="shared" si="202"/>
        <v>-11.52</v>
      </c>
      <c r="J2237" s="955" t="s">
        <v>102</v>
      </c>
      <c r="K2237" s="902"/>
      <c r="L2237" s="923"/>
      <c r="M2237" s="902"/>
      <c r="N2237" s="900" t="s">
        <v>2309</v>
      </c>
    </row>
    <row r="2238" spans="1:14" s="910" customFormat="1" ht="16.5" hidden="1" customHeight="1">
      <c r="A2238" s="896"/>
      <c r="B2238" s="902" t="s">
        <v>581</v>
      </c>
      <c r="C2238" s="897">
        <v>1</v>
      </c>
      <c r="D2238" s="1263" t="s">
        <v>273</v>
      </c>
      <c r="E2238" s="919">
        <v>8</v>
      </c>
      <c r="F2238" s="920">
        <v>0.6</v>
      </c>
      <c r="G2238" s="920">
        <v>0</v>
      </c>
      <c r="H2238" s="920">
        <v>0.3</v>
      </c>
      <c r="I2238" s="1266">
        <f t="shared" si="202"/>
        <v>-1.44</v>
      </c>
      <c r="J2238" s="955" t="s">
        <v>102</v>
      </c>
      <c r="K2238" s="902"/>
      <c r="L2238" s="923"/>
      <c r="M2238" s="902"/>
      <c r="N2238" s="900" t="s">
        <v>2309</v>
      </c>
    </row>
    <row r="2239" spans="1:14" s="910" customFormat="1" ht="16.5" hidden="1" customHeight="1">
      <c r="A2239" s="896"/>
      <c r="B2239" s="956"/>
      <c r="C2239" s="957"/>
      <c r="D2239" s="958"/>
      <c r="E2239" s="1268"/>
      <c r="F2239" s="960"/>
      <c r="G2239" s="960"/>
      <c r="H2239" s="960"/>
      <c r="I2239" s="916"/>
      <c r="J2239" s="955"/>
      <c r="K2239" s="902"/>
      <c r="L2239" s="923"/>
      <c r="M2239" s="902"/>
      <c r="N2239" s="900" t="s">
        <v>2309</v>
      </c>
    </row>
    <row r="2240" spans="1:14" ht="15.75" hidden="1">
      <c r="A2240" s="896"/>
      <c r="B2240" s="902"/>
      <c r="C2240" s="917"/>
      <c r="D2240" s="918"/>
      <c r="E2240" s="919"/>
      <c r="F2240" s="920"/>
      <c r="G2240" s="921"/>
      <c r="H2240" s="896"/>
      <c r="I2240" s="916"/>
      <c r="J2240" s="955" t="s">
        <v>102</v>
      </c>
      <c r="K2240" s="922">
        <f>data!E3597</f>
        <v>146.82</v>
      </c>
      <c r="L2240" s="923" t="s">
        <v>2309</v>
      </c>
      <c r="M2240" s="924">
        <f>ROUND(I2240*K2240,0)</f>
        <v>0</v>
      </c>
      <c r="N2240" s="900" t="s">
        <v>2309</v>
      </c>
    </row>
    <row r="2241" spans="1:14" ht="94.5" hidden="1" customHeight="1">
      <c r="A2241" s="896">
        <v>26</v>
      </c>
      <c r="B2241" s="1612" t="s">
        <v>1168</v>
      </c>
      <c r="C2241" s="1613"/>
      <c r="D2241" s="1613"/>
      <c r="E2241" s="1613"/>
      <c r="F2241" s="1613"/>
      <c r="G2241" s="1613"/>
      <c r="H2241" s="1614"/>
      <c r="I2241" s="897"/>
      <c r="J2241" s="898"/>
      <c r="K2241" s="896"/>
      <c r="L2241" s="923"/>
      <c r="M2241" s="899"/>
      <c r="N2241" s="900" t="s">
        <v>2209</v>
      </c>
    </row>
    <row r="2242" spans="1:14" s="910" customFormat="1" ht="15.75" hidden="1">
      <c r="A2242" s="896"/>
      <c r="B2242" s="902" t="s">
        <v>3660</v>
      </c>
      <c r="C2242" s="897"/>
      <c r="D2242" s="1263"/>
      <c r="E2242" s="919"/>
      <c r="F2242" s="920"/>
      <c r="G2242" s="920"/>
      <c r="H2242" s="920"/>
      <c r="I2242" s="1264"/>
      <c r="J2242" s="955"/>
      <c r="K2242" s="902"/>
      <c r="L2242" s="923"/>
      <c r="M2242" s="902"/>
      <c r="N2242" s="900" t="s">
        <v>2209</v>
      </c>
    </row>
    <row r="2243" spans="1:14" s="910" customFormat="1" ht="15.75" hidden="1">
      <c r="A2243" s="896"/>
      <c r="B2243" s="902"/>
      <c r="C2243" s="897">
        <v>1</v>
      </c>
      <c r="D2243" s="1263" t="s">
        <v>273</v>
      </c>
      <c r="E2243" s="919">
        <v>1</v>
      </c>
      <c r="F2243" s="920">
        <v>13.54</v>
      </c>
      <c r="G2243" s="920">
        <v>0</v>
      </c>
      <c r="H2243" s="920">
        <v>3.7</v>
      </c>
      <c r="I2243" s="1266">
        <f t="shared" ref="I2243:I2247" si="203">ROUND(IF(AND(F2243:H2243),C2243*E2243*F2243*G2243*H2243,IF(AND(F2243,G2243),C2243*E2243*F2243*G2243,IF(AND(F2243,H2243),C2243*E2243*F2243*H2243,IF(AND(G2243,H2243),C2243*E2243*G2243*H2243,IF(F2243,C2243*E2243*F2243,IF(G2243,C2243*E2243*G2243,IF(H2243,C2243*E2243*H2243,C2243*E2243))))))),2)</f>
        <v>50.1</v>
      </c>
      <c r="J2243" s="955" t="s">
        <v>102</v>
      </c>
      <c r="K2243" s="902"/>
      <c r="L2243" s="923"/>
      <c r="M2243" s="902"/>
      <c r="N2243" s="900" t="s">
        <v>2209</v>
      </c>
    </row>
    <row r="2244" spans="1:14" s="910" customFormat="1" ht="15.75" hidden="1">
      <c r="A2244" s="896"/>
      <c r="B2244" s="902"/>
      <c r="C2244" s="897">
        <v>1</v>
      </c>
      <c r="D2244" s="1263" t="s">
        <v>273</v>
      </c>
      <c r="E2244" s="919">
        <v>1</v>
      </c>
      <c r="F2244" s="920">
        <v>13.54</v>
      </c>
      <c r="G2244" s="920">
        <v>0</v>
      </c>
      <c r="H2244" s="920">
        <v>3.2</v>
      </c>
      <c r="I2244" s="1266">
        <f t="shared" si="203"/>
        <v>43.33</v>
      </c>
      <c r="J2244" s="955" t="s">
        <v>102</v>
      </c>
      <c r="K2244" s="902"/>
      <c r="L2244" s="923"/>
      <c r="M2244" s="902"/>
      <c r="N2244" s="900" t="s">
        <v>2209</v>
      </c>
    </row>
    <row r="2245" spans="1:14" s="910" customFormat="1" ht="15.75" hidden="1">
      <c r="A2245" s="896"/>
      <c r="B2245" s="902"/>
      <c r="C2245" s="897">
        <v>1</v>
      </c>
      <c r="D2245" s="1263" t="s">
        <v>273</v>
      </c>
      <c r="E2245" s="919">
        <v>2</v>
      </c>
      <c r="F2245" s="920">
        <v>6.81</v>
      </c>
      <c r="G2245" s="920">
        <v>0</v>
      </c>
      <c r="H2245" s="920">
        <v>3.7</v>
      </c>
      <c r="I2245" s="1266">
        <f t="shared" si="203"/>
        <v>50.39</v>
      </c>
      <c r="J2245" s="955" t="s">
        <v>102</v>
      </c>
      <c r="K2245" s="902"/>
      <c r="L2245" s="923"/>
      <c r="M2245" s="902"/>
      <c r="N2245" s="900" t="s">
        <v>2209</v>
      </c>
    </row>
    <row r="2246" spans="1:14" s="910" customFormat="1" ht="15.75" hidden="1">
      <c r="A2246" s="896"/>
      <c r="B2246" s="902"/>
      <c r="C2246" s="897">
        <v>1</v>
      </c>
      <c r="D2246" s="1263" t="s">
        <v>273</v>
      </c>
      <c r="E2246" s="919">
        <v>1</v>
      </c>
      <c r="F2246" s="920">
        <v>19</v>
      </c>
      <c r="G2246" s="920">
        <v>0</v>
      </c>
      <c r="H2246" s="920">
        <v>0.6</v>
      </c>
      <c r="I2246" s="1266">
        <f t="shared" si="203"/>
        <v>11.4</v>
      </c>
      <c r="J2246" s="955" t="s">
        <v>102</v>
      </c>
      <c r="K2246" s="902"/>
      <c r="L2246" s="923"/>
      <c r="M2246" s="902"/>
      <c r="N2246" s="900" t="s">
        <v>2209</v>
      </c>
    </row>
    <row r="2247" spans="1:14" s="910" customFormat="1" ht="15.75" hidden="1">
      <c r="A2247" s="896"/>
      <c r="B2247" s="902"/>
      <c r="C2247" s="897">
        <v>1</v>
      </c>
      <c r="D2247" s="1263" t="s">
        <v>273</v>
      </c>
      <c r="E2247" s="919">
        <v>1</v>
      </c>
      <c r="F2247" s="920">
        <v>5.7</v>
      </c>
      <c r="G2247" s="920">
        <v>0</v>
      </c>
      <c r="H2247" s="920">
        <v>0.3</v>
      </c>
      <c r="I2247" s="1266">
        <f t="shared" si="203"/>
        <v>1.71</v>
      </c>
      <c r="J2247" s="955" t="s">
        <v>102</v>
      </c>
      <c r="K2247" s="902"/>
      <c r="L2247" s="923"/>
      <c r="M2247" s="902"/>
      <c r="N2247" s="900" t="s">
        <v>2209</v>
      </c>
    </row>
    <row r="2248" spans="1:14" s="910" customFormat="1" ht="15.75" hidden="1">
      <c r="A2248" s="896"/>
      <c r="B2248" s="902"/>
      <c r="C2248" s="897">
        <v>1</v>
      </c>
      <c r="D2248" s="1263" t="s">
        <v>273</v>
      </c>
      <c r="E2248" s="919">
        <v>3</v>
      </c>
      <c r="F2248" s="920">
        <v>1.2</v>
      </c>
      <c r="G2248" s="920">
        <v>0</v>
      </c>
      <c r="H2248" s="920">
        <v>0.6</v>
      </c>
      <c r="I2248" s="1266">
        <f>-ROUND(IF(AND(F2248:H2248),C2248*E2248*F2248*G2248*H2248,IF(AND(F2248,G2248),C2248*E2248*F2248*G2248,IF(AND(F2248,H2248),C2248*E2248*F2248*H2248,IF(AND(G2248,H2248),C2248*E2248*G2248*H2248,IF(F2248,C2248*E2248*F2248,IF(G2248,C2248*E2248*G2248,IF(H2248,C2248*E2248*H2248,C2248*E2248))))))),2)</f>
        <v>-2.16</v>
      </c>
      <c r="J2248" s="955" t="s">
        <v>102</v>
      </c>
      <c r="K2248" s="902"/>
      <c r="L2248" s="923"/>
      <c r="M2248" s="902"/>
      <c r="N2248" s="900" t="s">
        <v>2209</v>
      </c>
    </row>
    <row r="2249" spans="1:14" s="910" customFormat="1" ht="15.75" hidden="1">
      <c r="A2249" s="896"/>
      <c r="B2249" s="902"/>
      <c r="C2249" s="897">
        <v>1</v>
      </c>
      <c r="D2249" s="1263" t="s">
        <v>273</v>
      </c>
      <c r="E2249" s="919">
        <v>1</v>
      </c>
      <c r="F2249" s="920">
        <v>47</v>
      </c>
      <c r="G2249" s="920">
        <v>1.7</v>
      </c>
      <c r="H2249" s="920">
        <v>0</v>
      </c>
      <c r="I2249" s="1266">
        <f t="shared" ref="I2249" si="204">ROUND(IF(AND(F2249:H2249),C2249*E2249*F2249*G2249*H2249,IF(AND(F2249,G2249),C2249*E2249*F2249*G2249,IF(AND(F2249,H2249),C2249*E2249*F2249*H2249,IF(AND(G2249,H2249),C2249*E2249*G2249*H2249,IF(F2249,C2249*E2249*F2249,IF(G2249,C2249*E2249*G2249,IF(H2249,C2249*E2249*H2249,C2249*E2249))))))),2)</f>
        <v>79.900000000000006</v>
      </c>
      <c r="J2249" s="955" t="s">
        <v>102</v>
      </c>
      <c r="K2249" s="902"/>
      <c r="L2249" s="923"/>
      <c r="M2249" s="902"/>
      <c r="N2249" s="900" t="s">
        <v>2209</v>
      </c>
    </row>
    <row r="2250" spans="1:14" s="910" customFormat="1" ht="16.5" hidden="1" customHeight="1">
      <c r="A2250" s="896"/>
      <c r="B2250" s="956"/>
      <c r="C2250" s="957"/>
      <c r="D2250" s="958"/>
      <c r="E2250" s="1268"/>
      <c r="F2250" s="960"/>
      <c r="G2250" s="960"/>
      <c r="H2250" s="960"/>
      <c r="I2250" s="916"/>
      <c r="J2250" s="955"/>
      <c r="K2250" s="902"/>
      <c r="L2250" s="923"/>
      <c r="M2250" s="902"/>
      <c r="N2250" s="900" t="s">
        <v>2209</v>
      </c>
    </row>
    <row r="2251" spans="1:14" ht="15.75" hidden="1">
      <c r="A2251" s="896"/>
      <c r="B2251" s="902"/>
      <c r="C2251" s="917"/>
      <c r="D2251" s="918"/>
      <c r="E2251" s="919"/>
      <c r="F2251" s="920"/>
      <c r="G2251" s="921"/>
      <c r="H2251" s="896"/>
      <c r="I2251" s="916"/>
      <c r="J2251" s="955" t="s">
        <v>102</v>
      </c>
      <c r="K2251" s="922">
        <f>data!E860</f>
        <v>166.22</v>
      </c>
      <c r="L2251" s="923" t="s">
        <v>2209</v>
      </c>
      <c r="M2251" s="924">
        <f>ROUND(I2251*K2251,0)</f>
        <v>0</v>
      </c>
      <c r="N2251" s="900" t="s">
        <v>2209</v>
      </c>
    </row>
    <row r="2252" spans="1:14" ht="94.5" hidden="1" customHeight="1">
      <c r="A2252" s="896">
        <v>33</v>
      </c>
      <c r="B2252" s="1612" t="s">
        <v>1168</v>
      </c>
      <c r="C2252" s="1613"/>
      <c r="D2252" s="1613"/>
      <c r="E2252" s="1613"/>
      <c r="F2252" s="1613"/>
      <c r="G2252" s="1613"/>
      <c r="H2252" s="1614"/>
      <c r="I2252" s="897"/>
      <c r="J2252" s="898"/>
      <c r="K2252" s="896"/>
      <c r="L2252" s="923"/>
      <c r="M2252" s="899"/>
      <c r="N2252" s="900" t="s">
        <v>2297</v>
      </c>
    </row>
    <row r="2253" spans="1:14" s="910" customFormat="1" ht="15.75" hidden="1">
      <c r="A2253" s="896"/>
      <c r="B2253" s="902" t="s">
        <v>3775</v>
      </c>
      <c r="C2253" s="897"/>
      <c r="D2253" s="954" t="s">
        <v>3823</v>
      </c>
      <c r="E2253" s="919"/>
      <c r="F2253" s="920"/>
      <c r="G2253" s="920"/>
      <c r="H2253" s="920"/>
      <c r="I2253" s="1264"/>
      <c r="J2253" s="955"/>
      <c r="K2253" s="902"/>
      <c r="L2253" s="923"/>
      <c r="M2253" s="902"/>
      <c r="N2253" s="900" t="s">
        <v>2297</v>
      </c>
    </row>
    <row r="2254" spans="1:14" s="910" customFormat="1" ht="15.75" hidden="1">
      <c r="A2254" s="896"/>
      <c r="B2254" s="902" t="s">
        <v>2129</v>
      </c>
      <c r="C2254" s="897">
        <v>1</v>
      </c>
      <c r="D2254" s="1263" t="s">
        <v>273</v>
      </c>
      <c r="E2254" s="919">
        <v>1</v>
      </c>
      <c r="F2254" s="920">
        <v>13.54</v>
      </c>
      <c r="G2254" s="920">
        <v>0</v>
      </c>
      <c r="H2254" s="920">
        <v>3.7</v>
      </c>
      <c r="I2254" s="1266">
        <f t="shared" ref="I2254:I2258" si="205">ROUND(IF(AND(F2254:H2254),C2254*E2254*F2254*G2254*H2254,IF(AND(F2254,G2254),C2254*E2254*F2254*G2254,IF(AND(F2254,H2254),C2254*E2254*F2254*H2254,IF(AND(G2254,H2254),C2254*E2254*G2254*H2254,IF(F2254,C2254*E2254*F2254,IF(G2254,C2254*E2254*G2254,IF(H2254,C2254*E2254*H2254,C2254*E2254))))))),2)</f>
        <v>50.1</v>
      </c>
      <c r="J2254" s="955" t="s">
        <v>102</v>
      </c>
      <c r="K2254" s="902"/>
      <c r="L2254" s="923"/>
      <c r="M2254" s="902"/>
      <c r="N2254" s="900" t="s">
        <v>2297</v>
      </c>
    </row>
    <row r="2255" spans="1:14" s="910" customFormat="1" ht="16.5" hidden="1" customHeight="1">
      <c r="A2255" s="896"/>
      <c r="B2255" s="902" t="s">
        <v>3776</v>
      </c>
      <c r="C2255" s="897">
        <v>1</v>
      </c>
      <c r="D2255" s="1263" t="s">
        <v>273</v>
      </c>
      <c r="E2255" s="919">
        <v>1</v>
      </c>
      <c r="F2255" s="920">
        <v>13.54</v>
      </c>
      <c r="G2255" s="920">
        <v>0</v>
      </c>
      <c r="H2255" s="920">
        <v>3.2</v>
      </c>
      <c r="I2255" s="1266">
        <f t="shared" si="205"/>
        <v>43.33</v>
      </c>
      <c r="J2255" s="955" t="s">
        <v>102</v>
      </c>
      <c r="K2255" s="902"/>
      <c r="L2255" s="923"/>
      <c r="M2255" s="902"/>
      <c r="N2255" s="900" t="s">
        <v>2297</v>
      </c>
    </row>
    <row r="2256" spans="1:14" s="910" customFormat="1" ht="16.5" hidden="1" customHeight="1">
      <c r="A2256" s="896"/>
      <c r="B2256" s="902" t="s">
        <v>3777</v>
      </c>
      <c r="C2256" s="897">
        <v>1</v>
      </c>
      <c r="D2256" s="1263" t="s">
        <v>273</v>
      </c>
      <c r="E2256" s="919">
        <v>2</v>
      </c>
      <c r="F2256" s="920">
        <v>6.81</v>
      </c>
      <c r="G2256" s="920">
        <v>0</v>
      </c>
      <c r="H2256" s="920">
        <v>3.7</v>
      </c>
      <c r="I2256" s="1266">
        <f t="shared" si="205"/>
        <v>50.39</v>
      </c>
      <c r="J2256" s="955" t="s">
        <v>102</v>
      </c>
      <c r="K2256" s="902"/>
      <c r="L2256" s="923"/>
      <c r="M2256" s="902"/>
      <c r="N2256" s="900" t="s">
        <v>2297</v>
      </c>
    </row>
    <row r="2257" spans="1:14" s="910" customFormat="1" ht="16.5" hidden="1" customHeight="1">
      <c r="A2257" s="896"/>
      <c r="B2257" s="902" t="s">
        <v>3778</v>
      </c>
      <c r="C2257" s="897">
        <v>1</v>
      </c>
      <c r="D2257" s="1263" t="s">
        <v>273</v>
      </c>
      <c r="E2257" s="919">
        <v>1</v>
      </c>
      <c r="F2257" s="920">
        <v>19</v>
      </c>
      <c r="G2257" s="920">
        <v>0</v>
      </c>
      <c r="H2257" s="920">
        <v>0.6</v>
      </c>
      <c r="I2257" s="1266">
        <f t="shared" si="205"/>
        <v>11.4</v>
      </c>
      <c r="J2257" s="955" t="s">
        <v>102</v>
      </c>
      <c r="K2257" s="902"/>
      <c r="L2257" s="923"/>
      <c r="M2257" s="902"/>
      <c r="N2257" s="900" t="s">
        <v>2297</v>
      </c>
    </row>
    <row r="2258" spans="1:14" s="910" customFormat="1" ht="16.5" hidden="1" customHeight="1">
      <c r="A2258" s="896"/>
      <c r="B2258" s="902" t="s">
        <v>2958</v>
      </c>
      <c r="C2258" s="897">
        <v>1</v>
      </c>
      <c r="D2258" s="1263" t="s">
        <v>273</v>
      </c>
      <c r="E2258" s="919">
        <v>1</v>
      </c>
      <c r="F2258" s="920">
        <v>5.7</v>
      </c>
      <c r="G2258" s="920">
        <v>0</v>
      </c>
      <c r="H2258" s="920">
        <v>0.3</v>
      </c>
      <c r="I2258" s="1266">
        <f t="shared" si="205"/>
        <v>1.71</v>
      </c>
      <c r="J2258" s="955" t="s">
        <v>102</v>
      </c>
      <c r="K2258" s="902"/>
      <c r="L2258" s="923"/>
      <c r="M2258" s="902"/>
      <c r="N2258" s="900" t="s">
        <v>2297</v>
      </c>
    </row>
    <row r="2259" spans="1:14" s="910" customFormat="1" ht="16.5" hidden="1" customHeight="1">
      <c r="A2259" s="896"/>
      <c r="B2259" s="902" t="s">
        <v>3779</v>
      </c>
      <c r="C2259" s="897">
        <v>1</v>
      </c>
      <c r="D2259" s="1263" t="s">
        <v>273</v>
      </c>
      <c r="E2259" s="919">
        <v>3</v>
      </c>
      <c r="F2259" s="920">
        <v>1.2</v>
      </c>
      <c r="G2259" s="920">
        <v>0</v>
      </c>
      <c r="H2259" s="920">
        <v>0.6</v>
      </c>
      <c r="I2259" s="1266">
        <f>-ROUND(IF(AND(F2259:H2259),C2259*E2259*F2259*G2259*H2259,IF(AND(F2259,G2259),C2259*E2259*F2259*G2259,IF(AND(F2259,H2259),C2259*E2259*F2259*H2259,IF(AND(G2259,H2259),C2259*E2259*G2259*H2259,IF(F2259,C2259*E2259*F2259,IF(G2259,C2259*E2259*G2259,IF(H2259,C2259*E2259*H2259,C2259*E2259))))))),2)</f>
        <v>-2.16</v>
      </c>
      <c r="J2259" s="955" t="s">
        <v>102</v>
      </c>
      <c r="K2259" s="902"/>
      <c r="L2259" s="923"/>
      <c r="M2259" s="902"/>
      <c r="N2259" s="900" t="s">
        <v>2297</v>
      </c>
    </row>
    <row r="2260" spans="1:14" s="910" customFormat="1" ht="16.5" hidden="1" customHeight="1">
      <c r="A2260" s="896"/>
      <c r="B2260" s="902" t="s">
        <v>3780</v>
      </c>
      <c r="C2260" s="897">
        <v>1</v>
      </c>
      <c r="D2260" s="1263" t="s">
        <v>273</v>
      </c>
      <c r="E2260" s="919">
        <v>1</v>
      </c>
      <c r="F2260" s="920">
        <v>47</v>
      </c>
      <c r="G2260" s="920">
        <v>1.7</v>
      </c>
      <c r="H2260" s="920">
        <v>0</v>
      </c>
      <c r="I2260" s="1266">
        <f t="shared" ref="I2260" si="206">ROUND(IF(AND(F2260:H2260),C2260*E2260*F2260*G2260*H2260,IF(AND(F2260,G2260),C2260*E2260*F2260*G2260,IF(AND(F2260,H2260),C2260*E2260*F2260*H2260,IF(AND(G2260,H2260),C2260*E2260*G2260*H2260,IF(F2260,C2260*E2260*F2260,IF(G2260,C2260*E2260*G2260,IF(H2260,C2260*E2260*H2260,C2260*E2260))))))),2)</f>
        <v>79.900000000000006</v>
      </c>
      <c r="J2260" s="955" t="s">
        <v>102</v>
      </c>
      <c r="K2260" s="902"/>
      <c r="L2260" s="923"/>
      <c r="M2260" s="902"/>
      <c r="N2260" s="900" t="s">
        <v>2297</v>
      </c>
    </row>
    <row r="2261" spans="1:14" s="910" customFormat="1" ht="16.5" hidden="1" customHeight="1">
      <c r="A2261" s="896"/>
      <c r="B2261" s="956"/>
      <c r="C2261" s="957"/>
      <c r="D2261" s="958"/>
      <c r="E2261" s="1268"/>
      <c r="F2261" s="960"/>
      <c r="G2261" s="960"/>
      <c r="H2261" s="960"/>
      <c r="I2261" s="916"/>
      <c r="J2261" s="955"/>
      <c r="K2261" s="902"/>
      <c r="L2261" s="923"/>
      <c r="M2261" s="902"/>
      <c r="N2261" s="900" t="s">
        <v>2297</v>
      </c>
    </row>
    <row r="2262" spans="1:14" ht="15.75" hidden="1">
      <c r="A2262" s="896"/>
      <c r="B2262" s="902"/>
      <c r="C2262" s="917"/>
      <c r="D2262" s="918"/>
      <c r="E2262" s="919"/>
      <c r="F2262" s="920"/>
      <c r="G2262" s="921"/>
      <c r="H2262" s="896"/>
      <c r="I2262" s="916"/>
      <c r="J2262" s="955" t="s">
        <v>102</v>
      </c>
      <c r="K2262" s="922">
        <f>data!E1777</f>
        <v>177.63</v>
      </c>
      <c r="L2262" s="923" t="s">
        <v>2297</v>
      </c>
      <c r="M2262" s="924">
        <f>ROUND(I2262*K2262,0)</f>
        <v>0</v>
      </c>
      <c r="N2262" s="900" t="s">
        <v>2297</v>
      </c>
    </row>
    <row r="2263" spans="1:14" ht="94.5" hidden="1" customHeight="1">
      <c r="A2263" s="896">
        <v>31</v>
      </c>
      <c r="B2263" s="1612" t="s">
        <v>1168</v>
      </c>
      <c r="C2263" s="1613"/>
      <c r="D2263" s="1613"/>
      <c r="E2263" s="1613"/>
      <c r="F2263" s="1613"/>
      <c r="G2263" s="1613"/>
      <c r="H2263" s="1614"/>
      <c r="I2263" s="897"/>
      <c r="J2263" s="898"/>
      <c r="K2263" s="896"/>
      <c r="L2263" s="923"/>
      <c r="M2263" s="899"/>
      <c r="N2263" s="900" t="s">
        <v>2308</v>
      </c>
    </row>
    <row r="2264" spans="1:14" s="910" customFormat="1" ht="15.75" hidden="1">
      <c r="A2264" s="896"/>
      <c r="B2264" s="902" t="s">
        <v>3571</v>
      </c>
      <c r="C2264" s="897"/>
      <c r="D2264" s="1263"/>
      <c r="E2264" s="919"/>
      <c r="F2264" s="920"/>
      <c r="G2264" s="920"/>
      <c r="H2264" s="920"/>
      <c r="I2264" s="1264"/>
      <c r="J2264" s="955"/>
      <c r="K2264" s="902"/>
      <c r="L2264" s="923"/>
      <c r="M2264" s="902"/>
      <c r="N2264" s="900" t="s">
        <v>2308</v>
      </c>
    </row>
    <row r="2265" spans="1:14" s="910" customFormat="1" ht="15.75" hidden="1">
      <c r="A2265" s="896"/>
      <c r="B2265" s="902" t="s">
        <v>2489</v>
      </c>
      <c r="C2265" s="897">
        <v>1</v>
      </c>
      <c r="D2265" s="1263" t="s">
        <v>273</v>
      </c>
      <c r="E2265" s="919">
        <v>1</v>
      </c>
      <c r="F2265" s="920">
        <v>13.54</v>
      </c>
      <c r="G2265" s="920">
        <v>1.2</v>
      </c>
      <c r="H2265" s="920">
        <v>0</v>
      </c>
      <c r="I2265" s="1286">
        <f t="shared" ref="I2265:I2273" si="207">ROUND(IF(AND(F2265:H2265),C2265*E2265*F2265*G2265*H2265,IF(AND(F2265,G2265),C2265*E2265*F2265*G2265,IF(AND(F2265,H2265),C2265*E2265*F2265*H2265,IF(AND(G2265,H2265),C2265*E2265*G2265*H2265,IF(F2265,C2265*E2265*F2265,IF(G2265,C2265*E2265*G2265,IF(H2265,C2265*E2265*H2265,C2265*E2265))))))),2)</f>
        <v>16.25</v>
      </c>
      <c r="J2265" s="955" t="s">
        <v>102</v>
      </c>
      <c r="K2265" s="902"/>
      <c r="L2265" s="923"/>
      <c r="M2265" s="902"/>
      <c r="N2265" s="900" t="s">
        <v>2308</v>
      </c>
    </row>
    <row r="2266" spans="1:14" s="910" customFormat="1" ht="16.5" hidden="1" customHeight="1">
      <c r="A2266" s="896"/>
      <c r="B2266" s="902"/>
      <c r="C2266" s="897">
        <v>1</v>
      </c>
      <c r="D2266" s="1263" t="s">
        <v>273</v>
      </c>
      <c r="E2266" s="919">
        <v>2</v>
      </c>
      <c r="F2266" s="920">
        <v>1.2</v>
      </c>
      <c r="G2266" s="920">
        <v>2.77</v>
      </c>
      <c r="H2266" s="920">
        <v>0</v>
      </c>
      <c r="I2266" s="1286">
        <f t="shared" si="207"/>
        <v>6.65</v>
      </c>
      <c r="J2266" s="955" t="s">
        <v>102</v>
      </c>
      <c r="K2266" s="902"/>
      <c r="L2266" s="923"/>
      <c r="M2266" s="902"/>
      <c r="N2266" s="900" t="s">
        <v>2308</v>
      </c>
    </row>
    <row r="2267" spans="1:14" s="910" customFormat="1" ht="16.5" hidden="1" customHeight="1">
      <c r="A2267" s="896"/>
      <c r="B2267" s="902" t="s">
        <v>2490</v>
      </c>
      <c r="C2267" s="897">
        <v>1</v>
      </c>
      <c r="D2267" s="1263" t="s">
        <v>273</v>
      </c>
      <c r="E2267" s="919">
        <v>1</v>
      </c>
      <c r="F2267" s="920">
        <v>23.4</v>
      </c>
      <c r="G2267" s="920">
        <v>0.9</v>
      </c>
      <c r="H2267" s="920">
        <v>0</v>
      </c>
      <c r="I2267" s="1286">
        <f t="shared" si="207"/>
        <v>21.06</v>
      </c>
      <c r="J2267" s="955" t="s">
        <v>102</v>
      </c>
      <c r="K2267" s="902"/>
      <c r="L2267" s="923"/>
      <c r="M2267" s="902"/>
      <c r="N2267" s="900" t="s">
        <v>2308</v>
      </c>
    </row>
    <row r="2268" spans="1:14" s="910" customFormat="1" ht="16.5" hidden="1" customHeight="1">
      <c r="A2268" s="896"/>
      <c r="B2268" s="902" t="s">
        <v>2491</v>
      </c>
      <c r="C2268" s="897">
        <v>1</v>
      </c>
      <c r="D2268" s="1263" t="s">
        <v>273</v>
      </c>
      <c r="E2268" s="919">
        <v>2</v>
      </c>
      <c r="F2268" s="920">
        <v>25.8</v>
      </c>
      <c r="G2268" s="920">
        <v>0</v>
      </c>
      <c r="H2268" s="920">
        <v>0.2</v>
      </c>
      <c r="I2268" s="1286">
        <f t="shared" si="207"/>
        <v>10.32</v>
      </c>
      <c r="J2268" s="955" t="s">
        <v>102</v>
      </c>
      <c r="K2268" s="902"/>
      <c r="L2268" s="923"/>
      <c r="M2268" s="902"/>
      <c r="N2268" s="900" t="s">
        <v>2308</v>
      </c>
    </row>
    <row r="2269" spans="1:14" s="910" customFormat="1" ht="16.5" hidden="1" customHeight="1">
      <c r="A2269" s="896"/>
      <c r="B2269" s="902" t="s">
        <v>1243</v>
      </c>
      <c r="C2269" s="897">
        <v>1</v>
      </c>
      <c r="D2269" s="1263" t="s">
        <v>273</v>
      </c>
      <c r="E2269" s="919">
        <v>2</v>
      </c>
      <c r="F2269" s="920">
        <v>16.2</v>
      </c>
      <c r="G2269" s="920">
        <v>0</v>
      </c>
      <c r="H2269" s="920">
        <v>0.3</v>
      </c>
      <c r="I2269" s="1286">
        <f t="shared" si="207"/>
        <v>9.7200000000000006</v>
      </c>
      <c r="J2269" s="955" t="s">
        <v>102</v>
      </c>
      <c r="K2269" s="902"/>
      <c r="L2269" s="923"/>
      <c r="M2269" s="902"/>
      <c r="N2269" s="900" t="s">
        <v>2308</v>
      </c>
    </row>
    <row r="2270" spans="1:14" s="910" customFormat="1" ht="16.5" hidden="1" customHeight="1">
      <c r="A2270" s="896"/>
      <c r="B2270" s="902"/>
      <c r="C2270" s="897">
        <v>2</v>
      </c>
      <c r="D2270" s="1263" t="s">
        <v>273</v>
      </c>
      <c r="E2270" s="919">
        <v>2</v>
      </c>
      <c r="F2270" s="920">
        <v>2.77</v>
      </c>
      <c r="G2270" s="920">
        <v>0</v>
      </c>
      <c r="H2270" s="920">
        <v>0.3</v>
      </c>
      <c r="I2270" s="1286">
        <f t="shared" si="207"/>
        <v>3.32</v>
      </c>
      <c r="J2270" s="955" t="s">
        <v>102</v>
      </c>
      <c r="K2270" s="902"/>
      <c r="L2270" s="923"/>
      <c r="M2270" s="902"/>
      <c r="N2270" s="900" t="s">
        <v>2308</v>
      </c>
    </row>
    <row r="2271" spans="1:14" s="910" customFormat="1" ht="16.5" hidden="1" customHeight="1">
      <c r="A2271" s="896"/>
      <c r="B2271" s="902"/>
      <c r="C2271" s="897">
        <v>2</v>
      </c>
      <c r="D2271" s="1263" t="s">
        <v>273</v>
      </c>
      <c r="E2271" s="919">
        <v>2</v>
      </c>
      <c r="F2271" s="920">
        <v>0.97</v>
      </c>
      <c r="G2271" s="920">
        <v>0</v>
      </c>
      <c r="H2271" s="920">
        <v>0.3</v>
      </c>
      <c r="I2271" s="1286">
        <f t="shared" si="207"/>
        <v>1.1599999999999999</v>
      </c>
      <c r="J2271" s="955" t="s">
        <v>102</v>
      </c>
      <c r="K2271" s="902"/>
      <c r="L2271" s="923"/>
      <c r="M2271" s="902"/>
      <c r="N2271" s="900" t="s">
        <v>2308</v>
      </c>
    </row>
    <row r="2272" spans="1:14" s="910" customFormat="1" ht="16.5" hidden="1" customHeight="1">
      <c r="A2272" s="896"/>
      <c r="B2272" s="902"/>
      <c r="C2272" s="897">
        <v>2</v>
      </c>
      <c r="D2272" s="1263" t="s">
        <v>273</v>
      </c>
      <c r="E2272" s="919">
        <v>2</v>
      </c>
      <c r="F2272" s="920">
        <v>0.97</v>
      </c>
      <c r="G2272" s="920">
        <v>0</v>
      </c>
      <c r="H2272" s="920">
        <v>0.3</v>
      </c>
      <c r="I2272" s="1286">
        <f t="shared" si="207"/>
        <v>1.1599999999999999</v>
      </c>
      <c r="J2272" s="955" t="s">
        <v>102</v>
      </c>
      <c r="K2272" s="902"/>
      <c r="L2272" s="923"/>
      <c r="M2272" s="902"/>
      <c r="N2272" s="900" t="s">
        <v>2308</v>
      </c>
    </row>
    <row r="2273" spans="1:14" s="910" customFormat="1" ht="16.5" hidden="1" customHeight="1">
      <c r="A2273" s="896"/>
      <c r="B2273" s="902"/>
      <c r="C2273" s="897">
        <v>5</v>
      </c>
      <c r="D2273" s="1263" t="s">
        <v>273</v>
      </c>
      <c r="E2273" s="919">
        <v>2</v>
      </c>
      <c r="F2273" s="920">
        <v>0.97</v>
      </c>
      <c r="G2273" s="920">
        <v>0</v>
      </c>
      <c r="H2273" s="920">
        <v>0.3</v>
      </c>
      <c r="I2273" s="1286">
        <f t="shared" si="207"/>
        <v>2.91</v>
      </c>
      <c r="J2273" s="955" t="s">
        <v>102</v>
      </c>
      <c r="K2273" s="902"/>
      <c r="L2273" s="923"/>
      <c r="M2273" s="902"/>
      <c r="N2273" s="900" t="s">
        <v>2308</v>
      </c>
    </row>
    <row r="2274" spans="1:14" s="910" customFormat="1" ht="16.5" hidden="1" customHeight="1">
      <c r="A2274" s="896"/>
      <c r="B2274" s="902" t="s">
        <v>2353</v>
      </c>
      <c r="C2274" s="897">
        <v>1</v>
      </c>
      <c r="D2274" s="1263" t="s">
        <v>273</v>
      </c>
      <c r="E2274" s="919">
        <v>9</v>
      </c>
      <c r="F2274" s="920">
        <v>0.3</v>
      </c>
      <c r="G2274" s="920">
        <v>0</v>
      </c>
      <c r="H2274" s="920">
        <v>0.3</v>
      </c>
      <c r="I2274" s="1286">
        <f>-ROUND(IF(AND(F2274:H2274),C2274*E2274*F2274*G2274*H2274,IF(AND(F2274,G2274),C2274*E2274*F2274*G2274,IF(AND(F2274,H2274),C2274*E2274*F2274*H2274,IF(AND(G2274,H2274),C2274*E2274*G2274*H2274,IF(F2274,C2274*E2274*F2274,IF(G2274,C2274*E2274*G2274,IF(H2274,C2274*E2274*H2274,C2274*E2274))))))),2)</f>
        <v>-0.81</v>
      </c>
      <c r="J2274" s="955" t="s">
        <v>102</v>
      </c>
      <c r="K2274" s="902"/>
      <c r="L2274" s="923"/>
      <c r="M2274" s="902"/>
      <c r="N2274" s="900" t="s">
        <v>2308</v>
      </c>
    </row>
    <row r="2275" spans="1:14" s="910" customFormat="1" ht="16.5" hidden="1" customHeight="1">
      <c r="A2275" s="896"/>
      <c r="B2275" s="902" t="s">
        <v>2492</v>
      </c>
      <c r="C2275" s="897">
        <v>1</v>
      </c>
      <c r="D2275" s="1263" t="s">
        <v>273</v>
      </c>
      <c r="E2275" s="919">
        <v>2</v>
      </c>
      <c r="F2275" s="920">
        <v>5</v>
      </c>
      <c r="G2275" s="920">
        <v>0.42499999999999999</v>
      </c>
      <c r="H2275" s="920">
        <v>0</v>
      </c>
      <c r="I2275" s="1286">
        <f t="shared" ref="I2275:I2281" si="208">ROUND(IF(AND(F2275:H2275),C2275*E2275*F2275*G2275*H2275,IF(AND(F2275,G2275),C2275*E2275*F2275*G2275,IF(AND(F2275,H2275),C2275*E2275*F2275*H2275,IF(AND(G2275,H2275),C2275*E2275*G2275*H2275,IF(F2275,C2275*E2275*F2275,IF(G2275,C2275*E2275*G2275,IF(H2275,C2275*E2275*H2275,C2275*E2275))))))),2)</f>
        <v>4.25</v>
      </c>
      <c r="J2275" s="955" t="s">
        <v>102</v>
      </c>
      <c r="K2275" s="902"/>
      <c r="L2275" s="923"/>
      <c r="M2275" s="902"/>
      <c r="N2275" s="900" t="s">
        <v>2308</v>
      </c>
    </row>
    <row r="2276" spans="1:14" s="910" customFormat="1" ht="16.5" hidden="1" customHeight="1">
      <c r="A2276" s="896"/>
      <c r="B2276" s="902" t="s">
        <v>2493</v>
      </c>
      <c r="C2276" s="897">
        <v>1</v>
      </c>
      <c r="D2276" s="1263" t="s">
        <v>273</v>
      </c>
      <c r="E2276" s="919">
        <v>1</v>
      </c>
      <c r="F2276" s="920">
        <v>14.1</v>
      </c>
      <c r="G2276" s="920">
        <v>0.42499999999999999</v>
      </c>
      <c r="H2276" s="920">
        <v>0</v>
      </c>
      <c r="I2276" s="1286">
        <f t="shared" si="208"/>
        <v>5.99</v>
      </c>
      <c r="J2276" s="955" t="s">
        <v>102</v>
      </c>
      <c r="K2276" s="902"/>
      <c r="L2276" s="923"/>
      <c r="M2276" s="902"/>
      <c r="N2276" s="900" t="s">
        <v>2308</v>
      </c>
    </row>
    <row r="2277" spans="1:14" s="910" customFormat="1" ht="16.5" hidden="1" customHeight="1">
      <c r="A2277" s="896"/>
      <c r="B2277" s="902" t="s">
        <v>2367</v>
      </c>
      <c r="C2277" s="897">
        <v>6</v>
      </c>
      <c r="D2277" s="1263" t="s">
        <v>273</v>
      </c>
      <c r="E2277" s="919">
        <v>2</v>
      </c>
      <c r="F2277" s="920">
        <v>1.5</v>
      </c>
      <c r="G2277" s="920">
        <v>0.6</v>
      </c>
      <c r="H2277" s="920">
        <v>0</v>
      </c>
      <c r="I2277" s="1286">
        <f t="shared" si="208"/>
        <v>10.8</v>
      </c>
      <c r="J2277" s="955" t="s">
        <v>102</v>
      </c>
      <c r="K2277" s="902"/>
      <c r="L2277" s="923"/>
      <c r="M2277" s="902"/>
      <c r="N2277" s="900" t="s">
        <v>2308</v>
      </c>
    </row>
    <row r="2278" spans="1:14" s="910" customFormat="1" ht="16.5" hidden="1" customHeight="1">
      <c r="A2278" s="896"/>
      <c r="B2278" s="902" t="s">
        <v>2503</v>
      </c>
      <c r="C2278" s="897">
        <v>1</v>
      </c>
      <c r="D2278" s="1263" t="s">
        <v>273</v>
      </c>
      <c r="E2278" s="919">
        <v>1</v>
      </c>
      <c r="F2278" s="920">
        <v>13.54</v>
      </c>
      <c r="G2278" s="920">
        <v>0</v>
      </c>
      <c r="H2278" s="920">
        <v>3.2</v>
      </c>
      <c r="I2278" s="1266">
        <f t="shared" si="208"/>
        <v>43.33</v>
      </c>
      <c r="J2278" s="955" t="s">
        <v>102</v>
      </c>
      <c r="K2278" s="902"/>
      <c r="L2278" s="923"/>
      <c r="M2278" s="902"/>
      <c r="N2278" s="900" t="s">
        <v>2308</v>
      </c>
    </row>
    <row r="2279" spans="1:14" s="910" customFormat="1" ht="16.5" hidden="1" customHeight="1">
      <c r="A2279" s="896"/>
      <c r="B2279" s="902" t="s">
        <v>1537</v>
      </c>
      <c r="C2279" s="897">
        <v>1</v>
      </c>
      <c r="D2279" s="1263" t="s">
        <v>273</v>
      </c>
      <c r="E2279" s="919">
        <v>1</v>
      </c>
      <c r="F2279" s="920">
        <v>6.45</v>
      </c>
      <c r="G2279" s="920">
        <v>0</v>
      </c>
      <c r="H2279" s="920">
        <v>3.2</v>
      </c>
      <c r="I2279" s="1266">
        <f t="shared" si="208"/>
        <v>20.64</v>
      </c>
      <c r="J2279" s="955" t="s">
        <v>102</v>
      </c>
      <c r="K2279" s="902"/>
      <c r="L2279" s="923"/>
      <c r="M2279" s="902"/>
      <c r="N2279" s="900" t="s">
        <v>2308</v>
      </c>
    </row>
    <row r="2280" spans="1:14" s="910" customFormat="1" ht="16.5" hidden="1" customHeight="1">
      <c r="A2280" s="896"/>
      <c r="B2280" s="902" t="s">
        <v>2504</v>
      </c>
      <c r="C2280" s="897">
        <v>1</v>
      </c>
      <c r="D2280" s="1263" t="s">
        <v>273</v>
      </c>
      <c r="E2280" s="919">
        <v>1</v>
      </c>
      <c r="F2280" s="920">
        <v>6.45</v>
      </c>
      <c r="G2280" s="920">
        <v>0</v>
      </c>
      <c r="H2280" s="920">
        <v>3.2</v>
      </c>
      <c r="I2280" s="1266">
        <f t="shared" si="208"/>
        <v>20.64</v>
      </c>
      <c r="J2280" s="955" t="s">
        <v>102</v>
      </c>
      <c r="K2280" s="902"/>
      <c r="L2280" s="923"/>
      <c r="M2280" s="902"/>
      <c r="N2280" s="900" t="s">
        <v>2308</v>
      </c>
    </row>
    <row r="2281" spans="1:14" s="910" customFormat="1" ht="16.5" hidden="1" customHeight="1">
      <c r="A2281" s="896"/>
      <c r="B2281" s="902" t="s">
        <v>1544</v>
      </c>
      <c r="C2281" s="897">
        <v>1</v>
      </c>
      <c r="D2281" s="1263" t="s">
        <v>273</v>
      </c>
      <c r="E2281" s="919">
        <v>1</v>
      </c>
      <c r="F2281" s="920">
        <v>13.54</v>
      </c>
      <c r="G2281" s="920">
        <v>0</v>
      </c>
      <c r="H2281" s="920">
        <v>3.5</v>
      </c>
      <c r="I2281" s="1266">
        <f t="shared" si="208"/>
        <v>47.39</v>
      </c>
      <c r="J2281" s="955" t="s">
        <v>102</v>
      </c>
      <c r="K2281" s="902"/>
      <c r="L2281" s="923"/>
      <c r="M2281" s="902"/>
      <c r="N2281" s="900" t="s">
        <v>2308</v>
      </c>
    </row>
    <row r="2282" spans="1:14" s="910" customFormat="1" ht="16.5" hidden="1" customHeight="1">
      <c r="A2282" s="896"/>
      <c r="B2282" s="902" t="s">
        <v>2354</v>
      </c>
      <c r="C2282" s="897">
        <v>1</v>
      </c>
      <c r="D2282" s="1263" t="s">
        <v>273</v>
      </c>
      <c r="E2282" s="919">
        <v>8</v>
      </c>
      <c r="F2282" s="920">
        <v>1.23</v>
      </c>
      <c r="G2282" s="920">
        <v>0</v>
      </c>
      <c r="H2282" s="920">
        <v>1.3</v>
      </c>
      <c r="I2282" s="1266">
        <f>-ROUND(IF(AND(F2282:H2282),C2282*E2282*F2282*G2282*H2282,IF(AND(F2282,G2282),C2282*E2282*F2282*G2282,IF(AND(F2282,H2282),C2282*E2282*F2282*H2282,IF(AND(G2282,H2282),C2282*E2282*G2282*H2282,IF(F2282,C2282*E2282*F2282,IF(G2282,C2282*E2282*G2282,IF(H2282,C2282*E2282*H2282,C2282*E2282))))))),2)</f>
        <v>-12.79</v>
      </c>
      <c r="J2282" s="955" t="s">
        <v>102</v>
      </c>
      <c r="K2282" s="902"/>
      <c r="L2282" s="923"/>
      <c r="M2282" s="902"/>
      <c r="N2282" s="900" t="s">
        <v>2308</v>
      </c>
    </row>
    <row r="2283" spans="1:14" s="910" customFormat="1" ht="16.5" hidden="1" customHeight="1">
      <c r="A2283" s="896"/>
      <c r="B2283" s="902" t="s">
        <v>2134</v>
      </c>
      <c r="C2283" s="897">
        <v>1</v>
      </c>
      <c r="D2283" s="1263" t="s">
        <v>273</v>
      </c>
      <c r="E2283" s="919">
        <v>13</v>
      </c>
      <c r="F2283" s="920">
        <v>0.6</v>
      </c>
      <c r="G2283" s="920">
        <v>0</v>
      </c>
      <c r="H2283" s="920">
        <v>0.3</v>
      </c>
      <c r="I2283" s="1266">
        <f>-ROUND(IF(AND(F2283:H2283),C2283*E2283*F2283*G2283*H2283,IF(AND(F2283,G2283),C2283*E2283*F2283*G2283,IF(AND(F2283,H2283),C2283*E2283*F2283*H2283,IF(AND(G2283,H2283),C2283*E2283*G2283*H2283,IF(F2283,C2283*E2283*F2283,IF(G2283,C2283*E2283*G2283,IF(H2283,C2283*E2283*H2283,C2283*E2283))))))),2)</f>
        <v>-2.34</v>
      </c>
      <c r="J2283" s="955" t="s">
        <v>102</v>
      </c>
      <c r="K2283" s="902"/>
      <c r="L2283" s="923"/>
      <c r="M2283" s="902"/>
      <c r="N2283" s="900" t="s">
        <v>2308</v>
      </c>
    </row>
    <row r="2284" spans="1:14" s="910" customFormat="1" ht="16.5" hidden="1" customHeight="1">
      <c r="A2284" s="896"/>
      <c r="B2284" s="902" t="s">
        <v>579</v>
      </c>
      <c r="C2284" s="897">
        <v>1</v>
      </c>
      <c r="D2284" s="1263" t="s">
        <v>273</v>
      </c>
      <c r="E2284" s="919">
        <v>1</v>
      </c>
      <c r="F2284" s="920">
        <v>1.2</v>
      </c>
      <c r="G2284" s="920">
        <v>0</v>
      </c>
      <c r="H2284" s="920">
        <v>2.13</v>
      </c>
      <c r="I2284" s="1266">
        <f>-ROUND(IF(AND(F2284:H2284),C2284*E2284*F2284*G2284*H2284,IF(AND(F2284,G2284),C2284*E2284*F2284*G2284,IF(AND(F2284,H2284),C2284*E2284*F2284*H2284,IF(AND(G2284,H2284),C2284*E2284*G2284*H2284,IF(F2284,C2284*E2284*F2284,IF(G2284,C2284*E2284*G2284,IF(H2284,C2284*E2284*H2284,C2284*E2284))))))),2)</f>
        <v>-2.56</v>
      </c>
      <c r="J2284" s="955" t="s">
        <v>102</v>
      </c>
      <c r="K2284" s="902"/>
      <c r="L2284" s="923"/>
      <c r="M2284" s="902"/>
      <c r="N2284" s="900" t="s">
        <v>2308</v>
      </c>
    </row>
    <row r="2285" spans="1:14" s="910" customFormat="1" ht="16.5" hidden="1" customHeight="1">
      <c r="A2285" s="896"/>
      <c r="B2285" s="902"/>
      <c r="C2285" s="897">
        <v>1</v>
      </c>
      <c r="D2285" s="1263" t="s">
        <v>273</v>
      </c>
      <c r="E2285" s="919">
        <v>1</v>
      </c>
      <c r="F2285" s="920">
        <v>0.9</v>
      </c>
      <c r="G2285" s="920">
        <v>0</v>
      </c>
      <c r="H2285" s="920">
        <v>2.13</v>
      </c>
      <c r="I2285" s="1266">
        <f>-ROUND(IF(AND(F2285:H2285),C2285*E2285*F2285*G2285*H2285,IF(AND(F2285,G2285),C2285*E2285*F2285*G2285,IF(AND(F2285,H2285),C2285*E2285*F2285*H2285,IF(AND(G2285,H2285),C2285*E2285*G2285*H2285,IF(F2285,C2285*E2285*F2285,IF(G2285,C2285*E2285*G2285,IF(H2285,C2285*E2285*H2285,C2285*E2285))))))),2)</f>
        <v>-1.92</v>
      </c>
      <c r="J2285" s="955" t="s">
        <v>102</v>
      </c>
      <c r="K2285" s="902"/>
      <c r="L2285" s="923"/>
      <c r="M2285" s="902"/>
      <c r="N2285" s="900" t="s">
        <v>2308</v>
      </c>
    </row>
    <row r="2286" spans="1:14" s="910" customFormat="1" ht="16.5" hidden="1" customHeight="1">
      <c r="A2286" s="896"/>
      <c r="B2286" s="902" t="s">
        <v>2357</v>
      </c>
      <c r="C2286" s="897">
        <v>1</v>
      </c>
      <c r="D2286" s="1263" t="s">
        <v>273</v>
      </c>
      <c r="E2286" s="919">
        <v>1</v>
      </c>
      <c r="F2286" s="920">
        <v>0.8</v>
      </c>
      <c r="G2286" s="920">
        <v>0</v>
      </c>
      <c r="H2286" s="920">
        <v>2.12</v>
      </c>
      <c r="I2286" s="1266">
        <f>-ROUND(IF(AND(F2286:H2286),C2286*E2286*F2286*G2286*H2286,IF(AND(F2286,G2286),C2286*E2286*F2286*G2286,IF(AND(F2286,H2286),C2286*E2286*F2286*H2286,IF(AND(G2286,H2286),C2286*E2286*G2286*H2286,IF(F2286,C2286*E2286*F2286,IF(G2286,C2286*E2286*G2286,IF(H2286,C2286*E2286*H2286,C2286*E2286))))))),2)</f>
        <v>-1.7</v>
      </c>
      <c r="J2286" s="955" t="s">
        <v>102</v>
      </c>
      <c r="K2286" s="902"/>
      <c r="L2286" s="923"/>
      <c r="M2286" s="902"/>
      <c r="N2286" s="900" t="s">
        <v>2308</v>
      </c>
    </row>
    <row r="2287" spans="1:14" s="910" customFormat="1" ht="16.5" hidden="1" customHeight="1">
      <c r="A2287" s="896"/>
      <c r="B2287" s="902" t="s">
        <v>1490</v>
      </c>
      <c r="C2287" s="897">
        <v>1</v>
      </c>
      <c r="D2287" s="1263" t="s">
        <v>273</v>
      </c>
      <c r="E2287" s="919">
        <v>2</v>
      </c>
      <c r="F2287" s="920">
        <v>23.43</v>
      </c>
      <c r="G2287" s="920">
        <v>0</v>
      </c>
      <c r="H2287" s="920">
        <v>0.75</v>
      </c>
      <c r="I2287" s="1266">
        <f>ROUND(IF(AND(F2287:H2287),C2287*E2287*F2287*G2287*H2287,IF(AND(F2287,G2287),C2287*E2287*F2287*G2287,IF(AND(F2287,H2287),C2287*E2287*F2287*H2287,IF(AND(G2287,H2287),C2287*E2287*G2287*H2287,IF(F2287,C2287*E2287*F2287,IF(G2287,C2287*E2287*G2287,IF(H2287,C2287*E2287*H2287,C2287*E2287))))))),2)</f>
        <v>35.15</v>
      </c>
      <c r="J2287" s="955" t="s">
        <v>102</v>
      </c>
      <c r="K2287" s="902"/>
      <c r="L2287" s="923"/>
      <c r="M2287" s="902"/>
      <c r="N2287" s="900" t="s">
        <v>2308</v>
      </c>
    </row>
    <row r="2288" spans="1:14" s="910" customFormat="1" ht="16.5" hidden="1" customHeight="1">
      <c r="A2288" s="896"/>
      <c r="B2288" s="902" t="s">
        <v>586</v>
      </c>
      <c r="C2288" s="897">
        <v>1</v>
      </c>
      <c r="D2288" s="1263" t="s">
        <v>273</v>
      </c>
      <c r="E2288" s="919">
        <v>1</v>
      </c>
      <c r="F2288" s="920">
        <v>15.2</v>
      </c>
      <c r="G2288" s="920">
        <v>0</v>
      </c>
      <c r="H2288" s="920">
        <v>0.5</v>
      </c>
      <c r="I2288" s="1266">
        <f>ROUND(IF(AND(F2288:H2288),C2288*E2288*F2288*G2288*H2288,IF(AND(F2288,G2288),C2288*E2288*F2288*G2288,IF(AND(F2288,H2288),C2288*E2288*F2288*H2288,IF(AND(G2288,H2288),C2288*E2288*G2288*H2288,IF(F2288,C2288*E2288*F2288,IF(G2288,C2288*E2288*G2288,IF(H2288,C2288*E2288*H2288,C2288*E2288))))))),2)</f>
        <v>7.6</v>
      </c>
      <c r="J2288" s="955" t="s">
        <v>102</v>
      </c>
      <c r="K2288" s="902"/>
      <c r="L2288" s="923"/>
      <c r="M2288" s="902"/>
      <c r="N2288" s="900" t="s">
        <v>2308</v>
      </c>
    </row>
    <row r="2289" spans="1:14" s="910" customFormat="1" ht="16.5" hidden="1" customHeight="1">
      <c r="A2289" s="896"/>
      <c r="B2289" s="902"/>
      <c r="C2289" s="897">
        <v>1</v>
      </c>
      <c r="D2289" s="1263" t="s">
        <v>273</v>
      </c>
      <c r="E2289" s="919">
        <v>1</v>
      </c>
      <c r="F2289" s="920">
        <v>5.0999999999999996</v>
      </c>
      <c r="G2289" s="920">
        <v>0</v>
      </c>
      <c r="H2289" s="920">
        <f>(0.5+0.15)/2</f>
        <v>0.32500000000000001</v>
      </c>
      <c r="I2289" s="1266">
        <f>ROUND(IF(AND(F2289:H2289),C2289*E2289*F2289*G2289*H2289,IF(AND(F2289,G2289),C2289*E2289*F2289*G2289,IF(AND(F2289,H2289),C2289*E2289*F2289*H2289,IF(AND(G2289,H2289),C2289*E2289*G2289*H2289,IF(F2289,C2289*E2289*F2289,IF(G2289,C2289*E2289*G2289,IF(H2289,C2289*E2289*H2289,C2289*E2289))))))),2)</f>
        <v>1.66</v>
      </c>
      <c r="J2289" s="955" t="s">
        <v>102</v>
      </c>
      <c r="K2289" s="902"/>
      <c r="L2289" s="923"/>
      <c r="M2289" s="902"/>
      <c r="N2289" s="900" t="s">
        <v>2308</v>
      </c>
    </row>
    <row r="2290" spans="1:14" s="910" customFormat="1" ht="16.5" hidden="1" customHeight="1">
      <c r="A2290" s="896"/>
      <c r="B2290" s="902"/>
      <c r="C2290" s="897">
        <v>1</v>
      </c>
      <c r="D2290" s="1263" t="s">
        <v>273</v>
      </c>
      <c r="E2290" s="919">
        <v>1</v>
      </c>
      <c r="F2290" s="920">
        <v>23.8</v>
      </c>
      <c r="G2290" s="920">
        <v>0.95</v>
      </c>
      <c r="H2290" s="920">
        <v>0</v>
      </c>
      <c r="I2290" s="1266">
        <f>ROUND(IF(AND(F2290:H2290),C2290*E2290*F2290*G2290*H2290,IF(AND(F2290,G2290),C2290*E2290*F2290*G2290,IF(AND(F2290,H2290),C2290*E2290*F2290*H2290,IF(AND(G2290,H2290),C2290*E2290*G2290*H2290,IF(F2290,C2290*E2290*F2290,IF(G2290,C2290*E2290*G2290,IF(H2290,C2290*E2290*H2290,C2290*E2290))))))),2)</f>
        <v>22.61</v>
      </c>
      <c r="J2290" s="955" t="s">
        <v>102</v>
      </c>
      <c r="K2290" s="902"/>
      <c r="L2290" s="923"/>
      <c r="M2290" s="902"/>
      <c r="N2290" s="900" t="s">
        <v>2308</v>
      </c>
    </row>
    <row r="2291" spans="1:14" s="910" customFormat="1" ht="16.5" hidden="1" customHeight="1">
      <c r="A2291" s="896"/>
      <c r="B2291" s="956"/>
      <c r="C2291" s="957"/>
      <c r="D2291" s="958"/>
      <c r="E2291" s="1268"/>
      <c r="F2291" s="960"/>
      <c r="G2291" s="960"/>
      <c r="H2291" s="960"/>
      <c r="I2291" s="916"/>
      <c r="J2291" s="955"/>
      <c r="K2291" s="902"/>
      <c r="L2291" s="923"/>
      <c r="M2291" s="902"/>
      <c r="N2291" s="900" t="s">
        <v>2308</v>
      </c>
    </row>
    <row r="2292" spans="1:14" ht="15.75" hidden="1">
      <c r="A2292" s="896"/>
      <c r="B2292" s="902"/>
      <c r="C2292" s="917"/>
      <c r="D2292" s="918"/>
      <c r="E2292" s="919"/>
      <c r="F2292" s="920"/>
      <c r="G2292" s="921"/>
      <c r="H2292" s="896"/>
      <c r="I2292" s="916"/>
      <c r="J2292" s="955" t="s">
        <v>102</v>
      </c>
      <c r="K2292" s="922">
        <f>data!E2694</f>
        <v>186.27</v>
      </c>
      <c r="L2292" s="923" t="s">
        <v>2308</v>
      </c>
      <c r="M2292" s="924">
        <f>ROUND(I2292*K2292,0)</f>
        <v>0</v>
      </c>
      <c r="N2292" s="900" t="s">
        <v>2308</v>
      </c>
    </row>
    <row r="2293" spans="1:14" ht="94.5" hidden="1" customHeight="1">
      <c r="A2293" s="896">
        <v>26</v>
      </c>
      <c r="B2293" s="1612" t="s">
        <v>1168</v>
      </c>
      <c r="C2293" s="1613"/>
      <c r="D2293" s="1613"/>
      <c r="E2293" s="1613"/>
      <c r="F2293" s="1613"/>
      <c r="G2293" s="1613"/>
      <c r="H2293" s="1614"/>
      <c r="I2293" s="897"/>
      <c r="J2293" s="898"/>
      <c r="K2293" s="896"/>
      <c r="L2293" s="923"/>
      <c r="M2293" s="899"/>
      <c r="N2293" s="900" t="s">
        <v>2309</v>
      </c>
    </row>
    <row r="2294" spans="1:14" s="910" customFormat="1" ht="15.75" hidden="1">
      <c r="A2294" s="896"/>
      <c r="B2294" s="902" t="s">
        <v>3606</v>
      </c>
      <c r="C2294" s="897"/>
      <c r="D2294" s="954" t="s">
        <v>3645</v>
      </c>
      <c r="E2294" s="919"/>
      <c r="F2294" s="920"/>
      <c r="G2294" s="920"/>
      <c r="H2294" s="920"/>
      <c r="I2294" s="1264"/>
      <c r="J2294" s="955"/>
      <c r="K2294" s="902"/>
      <c r="L2294" s="923"/>
      <c r="M2294" s="902"/>
      <c r="N2294" s="900" t="s">
        <v>2309</v>
      </c>
    </row>
    <row r="2295" spans="1:14" s="910" customFormat="1" ht="15.75" hidden="1">
      <c r="A2295" s="896"/>
      <c r="B2295" s="902" t="s">
        <v>3452</v>
      </c>
      <c r="C2295" s="897">
        <v>1</v>
      </c>
      <c r="D2295" s="1263" t="s">
        <v>273</v>
      </c>
      <c r="E2295" s="919">
        <v>1</v>
      </c>
      <c r="F2295" s="920">
        <v>6.45</v>
      </c>
      <c r="G2295" s="920">
        <v>0</v>
      </c>
      <c r="H2295" s="920">
        <v>3.3</v>
      </c>
      <c r="I2295" s="1266">
        <f t="shared" ref="I2295" si="209">ROUND(IF(AND(F2295:H2295),C2295*E2295*F2295*G2295*H2295,IF(AND(F2295,G2295),C2295*E2295*F2295*G2295,IF(AND(F2295,H2295),C2295*E2295*F2295*H2295,IF(AND(G2295,H2295),C2295*E2295*G2295*H2295,IF(F2295,C2295*E2295*F2295,IF(G2295,C2295*E2295*G2295,IF(H2295,C2295*E2295*H2295,C2295*E2295))))))),2)</f>
        <v>21.29</v>
      </c>
      <c r="J2295" s="955" t="s">
        <v>102</v>
      </c>
      <c r="K2295" s="902"/>
      <c r="L2295" s="923"/>
      <c r="M2295" s="902"/>
      <c r="N2295" s="900" t="s">
        <v>2309</v>
      </c>
    </row>
    <row r="2296" spans="1:14" s="910" customFormat="1" ht="15.75" hidden="1">
      <c r="A2296" s="896"/>
      <c r="B2296" s="902" t="s">
        <v>2354</v>
      </c>
      <c r="C2296" s="897">
        <v>1</v>
      </c>
      <c r="D2296" s="1263" t="s">
        <v>273</v>
      </c>
      <c r="E2296" s="919">
        <v>2</v>
      </c>
      <c r="F2296" s="920">
        <v>1.2</v>
      </c>
      <c r="G2296" s="920">
        <v>0</v>
      </c>
      <c r="H2296" s="920">
        <v>1.2</v>
      </c>
      <c r="I2296" s="1266">
        <f>-ROUND(IF(AND(F2296:H2296),C2296*E2296*F2296*G2296*H2296,IF(AND(F2296,G2296),C2296*E2296*F2296*G2296,IF(AND(F2296,H2296),C2296*E2296*F2296*H2296,IF(AND(G2296,H2296),C2296*E2296*G2296*H2296,IF(F2296,C2296*E2296*F2296,IF(G2296,C2296*E2296*G2296,IF(H2296,C2296*E2296*H2296,C2296*E2296))))))),2)</f>
        <v>-2.88</v>
      </c>
      <c r="J2296" s="955" t="s">
        <v>102</v>
      </c>
      <c r="K2296" s="902"/>
      <c r="L2296" s="923"/>
      <c r="M2296" s="902"/>
      <c r="N2296" s="900" t="s">
        <v>2309</v>
      </c>
    </row>
    <row r="2297" spans="1:14" s="910" customFormat="1" ht="15.75" hidden="1">
      <c r="A2297" s="896"/>
      <c r="B2297" s="902" t="s">
        <v>579</v>
      </c>
      <c r="C2297" s="897">
        <v>1</v>
      </c>
      <c r="D2297" s="1263" t="s">
        <v>273</v>
      </c>
      <c r="E2297" s="919">
        <v>1</v>
      </c>
      <c r="F2297" s="920">
        <v>1.05</v>
      </c>
      <c r="G2297" s="920">
        <v>0</v>
      </c>
      <c r="H2297" s="920">
        <v>2.1</v>
      </c>
      <c r="I2297" s="1266">
        <f>-ROUND(IF(AND(F2297:H2297),C2297*E2297*F2297*G2297*H2297,IF(AND(F2297,G2297),C2297*E2297*F2297*G2297,IF(AND(F2297,H2297),C2297*E2297*F2297*H2297,IF(AND(G2297,H2297),C2297*E2297*G2297*H2297,IF(F2297,C2297*E2297*F2297,IF(G2297,C2297*E2297*G2297,IF(H2297,C2297*E2297*H2297,C2297*E2297))))))),2)</f>
        <v>-2.21</v>
      </c>
      <c r="J2297" s="955" t="s">
        <v>102</v>
      </c>
      <c r="K2297" s="902"/>
      <c r="L2297" s="923"/>
      <c r="M2297" s="902"/>
      <c r="N2297" s="900" t="s">
        <v>2309</v>
      </c>
    </row>
    <row r="2298" spans="1:14" s="910" customFormat="1" ht="15.75" hidden="1">
      <c r="A2298" s="896"/>
      <c r="B2298" s="902" t="s">
        <v>3454</v>
      </c>
      <c r="C2298" s="897">
        <v>1</v>
      </c>
      <c r="D2298" s="1263" t="s">
        <v>273</v>
      </c>
      <c r="E2298" s="919">
        <v>1</v>
      </c>
      <c r="F2298" s="920">
        <v>13.6</v>
      </c>
      <c r="G2298" s="920">
        <v>0</v>
      </c>
      <c r="H2298" s="920">
        <v>3.3</v>
      </c>
      <c r="I2298" s="1266">
        <f t="shared" ref="I2298:I2315" si="210">ROUND(IF(AND(F2298:H2298),C2298*E2298*F2298*G2298*H2298,IF(AND(F2298,G2298),C2298*E2298*F2298*G2298,IF(AND(F2298,H2298),C2298*E2298*F2298*H2298,IF(AND(G2298,H2298),C2298*E2298*G2298*H2298,IF(F2298,C2298*E2298*F2298,IF(G2298,C2298*E2298*G2298,IF(H2298,C2298*E2298*H2298,C2298*E2298))))))),2)</f>
        <v>44.88</v>
      </c>
      <c r="J2298" s="955" t="s">
        <v>102</v>
      </c>
      <c r="K2298" s="902"/>
      <c r="L2298" s="923"/>
      <c r="M2298" s="902"/>
      <c r="N2298" s="900" t="s">
        <v>2309</v>
      </c>
    </row>
    <row r="2299" spans="1:14" s="910" customFormat="1" ht="15.75" hidden="1">
      <c r="A2299" s="896"/>
      <c r="B2299" s="902" t="s">
        <v>2354</v>
      </c>
      <c r="C2299" s="897">
        <v>1</v>
      </c>
      <c r="D2299" s="1263" t="s">
        <v>273</v>
      </c>
      <c r="E2299" s="919">
        <v>2</v>
      </c>
      <c r="F2299" s="920">
        <v>1.2</v>
      </c>
      <c r="G2299" s="920">
        <v>0</v>
      </c>
      <c r="H2299" s="920">
        <v>1.2</v>
      </c>
      <c r="I2299" s="1266">
        <f>-ROUND(IF(AND(F2299:H2299),C2299*E2299*F2299*G2299*H2299,IF(AND(F2299,G2299),C2299*E2299*F2299*G2299,IF(AND(F2299,H2299),C2299*E2299*F2299*H2299,IF(AND(G2299,H2299),C2299*E2299*G2299*H2299,IF(F2299,C2299*E2299*F2299,IF(G2299,C2299*E2299*G2299,IF(H2299,C2299*E2299*H2299,C2299*E2299))))))),2)</f>
        <v>-2.88</v>
      </c>
      <c r="J2299" s="955" t="s">
        <v>102</v>
      </c>
      <c r="K2299" s="902"/>
      <c r="L2299" s="923"/>
      <c r="M2299" s="902"/>
      <c r="N2299" s="900" t="s">
        <v>2309</v>
      </c>
    </row>
    <row r="2300" spans="1:14" s="910" customFormat="1" ht="15.75" hidden="1">
      <c r="A2300" s="896"/>
      <c r="B2300" s="902" t="s">
        <v>579</v>
      </c>
      <c r="C2300" s="897">
        <v>1</v>
      </c>
      <c r="D2300" s="1263" t="s">
        <v>273</v>
      </c>
      <c r="E2300" s="919">
        <v>1</v>
      </c>
      <c r="F2300" s="920">
        <v>1.2</v>
      </c>
      <c r="G2300" s="920">
        <v>0</v>
      </c>
      <c r="H2300" s="920">
        <v>2.1</v>
      </c>
      <c r="I2300" s="1266">
        <f>-ROUND(IF(AND(F2300:H2300),C2300*E2300*F2300*G2300*H2300,IF(AND(F2300,G2300),C2300*E2300*F2300*G2300,IF(AND(F2300,H2300),C2300*E2300*F2300*H2300,IF(AND(G2300,H2300),C2300*E2300*G2300*H2300,IF(F2300,C2300*E2300*F2300,IF(G2300,C2300*E2300*G2300,IF(H2300,C2300*E2300*H2300,C2300*E2300))))))),2)</f>
        <v>-2.52</v>
      </c>
      <c r="J2300" s="955" t="s">
        <v>102</v>
      </c>
      <c r="K2300" s="902"/>
      <c r="L2300" s="923"/>
      <c r="M2300" s="902"/>
      <c r="N2300" s="900" t="s">
        <v>2309</v>
      </c>
    </row>
    <row r="2301" spans="1:14" s="910" customFormat="1" ht="15.75" hidden="1">
      <c r="A2301" s="896"/>
      <c r="B2301" s="902" t="s">
        <v>3451</v>
      </c>
      <c r="C2301" s="897">
        <v>1</v>
      </c>
      <c r="D2301" s="1263" t="s">
        <v>273</v>
      </c>
      <c r="E2301" s="919">
        <v>1</v>
      </c>
      <c r="F2301" s="920">
        <v>6.45</v>
      </c>
      <c r="G2301" s="920">
        <v>0</v>
      </c>
      <c r="H2301" s="920">
        <v>3.8</v>
      </c>
      <c r="I2301" s="1266">
        <f t="shared" si="210"/>
        <v>24.51</v>
      </c>
      <c r="J2301" s="955" t="s">
        <v>102</v>
      </c>
      <c r="K2301" s="902"/>
      <c r="L2301" s="923"/>
      <c r="M2301" s="902"/>
      <c r="N2301" s="900" t="s">
        <v>2309</v>
      </c>
    </row>
    <row r="2302" spans="1:14" s="910" customFormat="1" ht="15.75" hidden="1">
      <c r="A2302" s="896"/>
      <c r="B2302" s="902" t="s">
        <v>2354</v>
      </c>
      <c r="C2302" s="897">
        <v>1</v>
      </c>
      <c r="D2302" s="1263" t="s">
        <v>273</v>
      </c>
      <c r="E2302" s="919">
        <v>1</v>
      </c>
      <c r="F2302" s="920">
        <v>1.2</v>
      </c>
      <c r="G2302" s="920">
        <v>0</v>
      </c>
      <c r="H2302" s="920">
        <v>1.2</v>
      </c>
      <c r="I2302" s="1266">
        <f>-ROUND(IF(AND(F2302:H2302),C2302*E2302*F2302*G2302*H2302,IF(AND(F2302,G2302),C2302*E2302*F2302*G2302,IF(AND(F2302,H2302),C2302*E2302*F2302*H2302,IF(AND(G2302,H2302),C2302*E2302*G2302*H2302,IF(F2302,C2302*E2302*F2302,IF(G2302,C2302*E2302*G2302,IF(H2302,C2302*E2302*H2302,C2302*E2302))))))),2)</f>
        <v>-1.44</v>
      </c>
      <c r="J2302" s="955" t="s">
        <v>102</v>
      </c>
      <c r="K2302" s="902"/>
      <c r="L2302" s="923"/>
      <c r="M2302" s="902"/>
      <c r="N2302" s="900" t="s">
        <v>2309</v>
      </c>
    </row>
    <row r="2303" spans="1:14" s="910" customFormat="1" ht="15.75" hidden="1">
      <c r="A2303" s="896"/>
      <c r="B2303" s="902" t="s">
        <v>3453</v>
      </c>
      <c r="C2303" s="897">
        <v>1</v>
      </c>
      <c r="D2303" s="1263" t="s">
        <v>273</v>
      </c>
      <c r="E2303" s="919">
        <v>1</v>
      </c>
      <c r="F2303" s="920">
        <v>13.6</v>
      </c>
      <c r="G2303" s="920">
        <v>0</v>
      </c>
      <c r="H2303" s="920">
        <v>3.8</v>
      </c>
      <c r="I2303" s="1266">
        <f t="shared" si="210"/>
        <v>51.68</v>
      </c>
      <c r="J2303" s="955" t="s">
        <v>102</v>
      </c>
      <c r="K2303" s="902"/>
      <c r="L2303" s="923"/>
      <c r="M2303" s="902"/>
      <c r="N2303" s="900" t="s">
        <v>2309</v>
      </c>
    </row>
    <row r="2304" spans="1:14" s="910" customFormat="1" ht="15.75" hidden="1">
      <c r="A2304" s="896"/>
      <c r="B2304" s="902" t="s">
        <v>2354</v>
      </c>
      <c r="C2304" s="897">
        <v>1</v>
      </c>
      <c r="D2304" s="1263" t="s">
        <v>273</v>
      </c>
      <c r="E2304" s="919">
        <v>3</v>
      </c>
      <c r="F2304" s="920">
        <v>1.2</v>
      </c>
      <c r="G2304" s="920">
        <v>0</v>
      </c>
      <c r="H2304" s="920">
        <v>1.2</v>
      </c>
      <c r="I2304" s="1266">
        <f>-ROUND(IF(AND(F2304:H2304),C2304*E2304*F2304*G2304*H2304,IF(AND(F2304,G2304),C2304*E2304*F2304*G2304,IF(AND(F2304,H2304),C2304*E2304*F2304*H2304,IF(AND(G2304,H2304),C2304*E2304*G2304*H2304,IF(F2304,C2304*E2304*F2304,IF(G2304,C2304*E2304*G2304,IF(H2304,C2304*E2304*H2304,C2304*E2304))))))),2)</f>
        <v>-4.32</v>
      </c>
      <c r="J2304" s="955" t="s">
        <v>102</v>
      </c>
      <c r="K2304" s="902"/>
      <c r="L2304" s="923"/>
      <c r="M2304" s="902"/>
      <c r="N2304" s="900" t="s">
        <v>2309</v>
      </c>
    </row>
    <row r="2305" spans="1:14" s="910" customFormat="1" ht="15.75" hidden="1">
      <c r="A2305" s="896"/>
      <c r="B2305" s="902" t="s">
        <v>2134</v>
      </c>
      <c r="C2305" s="897">
        <v>1</v>
      </c>
      <c r="D2305" s="1263" t="s">
        <v>273</v>
      </c>
      <c r="E2305" s="919">
        <v>6</v>
      </c>
      <c r="F2305" s="920">
        <v>0.6</v>
      </c>
      <c r="G2305" s="920">
        <v>0</v>
      </c>
      <c r="H2305" s="920">
        <v>0.3</v>
      </c>
      <c r="I2305" s="1266">
        <f>-ROUND(IF(AND(F2305:H2305),C2305*E2305*F2305*G2305*H2305,IF(AND(F2305,G2305),C2305*E2305*F2305*G2305,IF(AND(F2305,H2305),C2305*E2305*F2305*H2305,IF(AND(G2305,H2305),C2305*E2305*G2305*H2305,IF(F2305,C2305*E2305*F2305,IF(G2305,C2305*E2305*G2305,IF(H2305,C2305*E2305*H2305,C2305*E2305))))))),2)</f>
        <v>-1.08</v>
      </c>
      <c r="J2305" s="955" t="s">
        <v>102</v>
      </c>
      <c r="K2305" s="902"/>
      <c r="L2305" s="923"/>
      <c r="M2305" s="902"/>
      <c r="N2305" s="900" t="s">
        <v>2309</v>
      </c>
    </row>
    <row r="2306" spans="1:14" s="910" customFormat="1" ht="15.75" hidden="1">
      <c r="A2306" s="896"/>
      <c r="B2306" s="902" t="s">
        <v>579</v>
      </c>
      <c r="C2306" s="897">
        <v>1</v>
      </c>
      <c r="D2306" s="1263" t="s">
        <v>273</v>
      </c>
      <c r="E2306" s="919">
        <v>1</v>
      </c>
      <c r="F2306" s="920">
        <v>0.73</v>
      </c>
      <c r="G2306" s="920">
        <v>0</v>
      </c>
      <c r="H2306" s="920">
        <v>2.1</v>
      </c>
      <c r="I2306" s="1266">
        <f>-ROUND(IF(AND(F2306:H2306),C2306*E2306*F2306*G2306*H2306,IF(AND(F2306,G2306),C2306*E2306*F2306*G2306,IF(AND(F2306,H2306),C2306*E2306*F2306*H2306,IF(AND(G2306,H2306),C2306*E2306*G2306*H2306,IF(F2306,C2306*E2306*F2306,IF(G2306,C2306*E2306*G2306,IF(H2306,C2306*E2306*H2306,C2306*E2306))))))),2)</f>
        <v>-1.53</v>
      </c>
      <c r="J2306" s="955" t="s">
        <v>102</v>
      </c>
      <c r="K2306" s="902"/>
      <c r="L2306" s="923"/>
      <c r="M2306" s="902"/>
      <c r="N2306" s="900" t="s">
        <v>2309</v>
      </c>
    </row>
    <row r="2307" spans="1:14" s="910" customFormat="1" ht="15.75" hidden="1">
      <c r="A2307" s="896"/>
      <c r="B2307" s="902" t="s">
        <v>3607</v>
      </c>
      <c r="C2307" s="897">
        <v>1</v>
      </c>
      <c r="D2307" s="1263" t="s">
        <v>273</v>
      </c>
      <c r="E2307" s="919">
        <v>1</v>
      </c>
      <c r="F2307" s="920">
        <v>13.6</v>
      </c>
      <c r="G2307" s="920">
        <v>0.3</v>
      </c>
      <c r="H2307" s="920">
        <v>0</v>
      </c>
      <c r="I2307" s="1266">
        <f t="shared" si="210"/>
        <v>4.08</v>
      </c>
      <c r="J2307" s="955" t="s">
        <v>102</v>
      </c>
      <c r="K2307" s="902"/>
      <c r="L2307" s="923"/>
      <c r="M2307" s="902"/>
      <c r="N2307" s="900" t="s">
        <v>2309</v>
      </c>
    </row>
    <row r="2308" spans="1:14" s="910" customFormat="1" ht="15.75" hidden="1">
      <c r="A2308" s="896"/>
      <c r="B2308" s="902" t="s">
        <v>3608</v>
      </c>
      <c r="C2308" s="897">
        <v>1</v>
      </c>
      <c r="D2308" s="1263" t="s">
        <v>273</v>
      </c>
      <c r="E2308" s="919">
        <v>2</v>
      </c>
      <c r="F2308" s="920">
        <v>4.75</v>
      </c>
      <c r="G2308" s="920">
        <v>0.3</v>
      </c>
      <c r="H2308" s="920">
        <v>0</v>
      </c>
      <c r="I2308" s="1266">
        <f t="shared" si="210"/>
        <v>2.85</v>
      </c>
      <c r="J2308" s="955" t="s">
        <v>102</v>
      </c>
      <c r="K2308" s="902"/>
      <c r="L2308" s="923"/>
      <c r="M2308" s="902"/>
      <c r="N2308" s="900" t="s">
        <v>2309</v>
      </c>
    </row>
    <row r="2309" spans="1:14" s="910" customFormat="1" ht="15.75" hidden="1">
      <c r="A2309" s="896"/>
      <c r="B2309" s="902" t="s">
        <v>3609</v>
      </c>
      <c r="C2309" s="897">
        <v>1</v>
      </c>
      <c r="D2309" s="1263" t="s">
        <v>273</v>
      </c>
      <c r="E2309" s="919">
        <v>1</v>
      </c>
      <c r="F2309" s="920">
        <v>13.6</v>
      </c>
      <c r="G2309" s="920">
        <v>1.22</v>
      </c>
      <c r="H2309" s="920">
        <v>0</v>
      </c>
      <c r="I2309" s="1266">
        <f t="shared" si="210"/>
        <v>16.59</v>
      </c>
      <c r="J2309" s="955" t="s">
        <v>102</v>
      </c>
      <c r="K2309" s="902"/>
      <c r="L2309" s="923"/>
      <c r="M2309" s="902"/>
      <c r="N2309" s="900" t="s">
        <v>2309</v>
      </c>
    </row>
    <row r="2310" spans="1:14" s="910" customFormat="1" ht="15.75" hidden="1">
      <c r="A2310" s="896"/>
      <c r="B2310" s="902" t="s">
        <v>3610</v>
      </c>
      <c r="C2310" s="897">
        <v>1</v>
      </c>
      <c r="D2310" s="1263" t="s">
        <v>273</v>
      </c>
      <c r="E2310" s="919">
        <v>2</v>
      </c>
      <c r="F2310" s="920">
        <v>2.85</v>
      </c>
      <c r="G2310" s="920">
        <v>1.22</v>
      </c>
      <c r="H2310" s="920">
        <v>0</v>
      </c>
      <c r="I2310" s="1266">
        <f t="shared" si="210"/>
        <v>6.95</v>
      </c>
      <c r="J2310" s="955" t="s">
        <v>102</v>
      </c>
      <c r="K2310" s="902"/>
      <c r="L2310" s="923"/>
      <c r="M2310" s="902"/>
      <c r="N2310" s="900" t="s">
        <v>2309</v>
      </c>
    </row>
    <row r="2311" spans="1:14" s="910" customFormat="1" ht="15.75" hidden="1">
      <c r="A2311" s="896"/>
      <c r="B2311" s="902" t="s">
        <v>1243</v>
      </c>
      <c r="C2311" s="897">
        <v>2</v>
      </c>
      <c r="D2311" s="1263" t="s">
        <v>273</v>
      </c>
      <c r="E2311" s="919">
        <v>9</v>
      </c>
      <c r="F2311" s="920">
        <v>1.2</v>
      </c>
      <c r="G2311" s="920">
        <v>0</v>
      </c>
      <c r="H2311" s="920">
        <v>0.3</v>
      </c>
      <c r="I2311" s="1266">
        <f t="shared" si="210"/>
        <v>6.48</v>
      </c>
      <c r="J2311" s="955" t="s">
        <v>102</v>
      </c>
      <c r="K2311" s="902"/>
      <c r="L2311" s="923"/>
      <c r="M2311" s="902"/>
      <c r="N2311" s="900" t="s">
        <v>2309</v>
      </c>
    </row>
    <row r="2312" spans="1:14" s="910" customFormat="1" ht="15.75" hidden="1">
      <c r="A2312" s="896"/>
      <c r="B2312" s="902" t="s">
        <v>1243</v>
      </c>
      <c r="C2312" s="897">
        <v>1</v>
      </c>
      <c r="D2312" s="1263" t="s">
        <v>273</v>
      </c>
      <c r="E2312" s="919">
        <v>2</v>
      </c>
      <c r="F2312" s="920">
        <v>14.85</v>
      </c>
      <c r="G2312" s="920">
        <v>0</v>
      </c>
      <c r="H2312" s="920">
        <v>0.3</v>
      </c>
      <c r="I2312" s="1266">
        <f t="shared" si="210"/>
        <v>8.91</v>
      </c>
      <c r="J2312" s="955" t="s">
        <v>102</v>
      </c>
      <c r="K2312" s="902"/>
      <c r="L2312" s="923"/>
      <c r="M2312" s="902"/>
      <c r="N2312" s="900" t="s">
        <v>2309</v>
      </c>
    </row>
    <row r="2313" spans="1:14" s="910" customFormat="1" ht="15.75" hidden="1">
      <c r="A2313" s="896"/>
      <c r="B2313" s="902" t="s">
        <v>3611</v>
      </c>
      <c r="C2313" s="897">
        <v>2</v>
      </c>
      <c r="D2313" s="1263" t="s">
        <v>273</v>
      </c>
      <c r="E2313" s="919">
        <v>2</v>
      </c>
      <c r="F2313" s="920">
        <v>2.85</v>
      </c>
      <c r="G2313" s="920">
        <v>0</v>
      </c>
      <c r="H2313" s="920">
        <v>0.3</v>
      </c>
      <c r="I2313" s="1266">
        <f t="shared" si="210"/>
        <v>3.42</v>
      </c>
      <c r="J2313" s="955" t="s">
        <v>102</v>
      </c>
      <c r="K2313" s="902"/>
      <c r="L2313" s="923"/>
      <c r="M2313" s="902"/>
      <c r="N2313" s="900" t="s">
        <v>2309</v>
      </c>
    </row>
    <row r="2314" spans="1:14" s="910" customFormat="1" ht="15.75" hidden="1">
      <c r="A2314" s="896"/>
      <c r="B2314" s="902" t="s">
        <v>3311</v>
      </c>
      <c r="C2314" s="897">
        <v>1</v>
      </c>
      <c r="D2314" s="1263" t="s">
        <v>273</v>
      </c>
      <c r="E2314" s="919">
        <v>2</v>
      </c>
      <c r="F2314" s="920">
        <v>44.92</v>
      </c>
      <c r="G2314" s="920">
        <v>0</v>
      </c>
      <c r="H2314" s="920">
        <v>0.75</v>
      </c>
      <c r="I2314" s="1266">
        <f t="shared" si="210"/>
        <v>67.38</v>
      </c>
      <c r="J2314" s="955" t="s">
        <v>102</v>
      </c>
      <c r="K2314" s="902"/>
      <c r="L2314" s="923"/>
      <c r="M2314" s="902"/>
      <c r="N2314" s="900" t="s">
        <v>2309</v>
      </c>
    </row>
    <row r="2315" spans="1:14" s="910" customFormat="1" ht="15.75" hidden="1">
      <c r="A2315" s="896"/>
      <c r="B2315" s="902" t="s">
        <v>2367</v>
      </c>
      <c r="C2315" s="897">
        <v>2</v>
      </c>
      <c r="D2315" s="1263" t="s">
        <v>273</v>
      </c>
      <c r="E2315" s="919">
        <v>4</v>
      </c>
      <c r="F2315" s="920">
        <v>1.52</v>
      </c>
      <c r="G2315" s="920">
        <v>0</v>
      </c>
      <c r="H2315" s="920">
        <v>0.45</v>
      </c>
      <c r="I2315" s="1266">
        <f t="shared" si="210"/>
        <v>5.47</v>
      </c>
      <c r="J2315" s="955" t="s">
        <v>102</v>
      </c>
      <c r="K2315" s="902"/>
      <c r="L2315" s="923"/>
      <c r="M2315" s="902"/>
      <c r="N2315" s="900" t="s">
        <v>2309</v>
      </c>
    </row>
    <row r="2316" spans="1:14" s="910" customFormat="1" ht="15.75" hidden="1">
      <c r="A2316" s="896"/>
      <c r="B2316" s="902"/>
      <c r="C2316" s="897"/>
      <c r="D2316" s="1263"/>
      <c r="E2316" s="919"/>
      <c r="F2316" s="920"/>
      <c r="G2316" s="920"/>
      <c r="H2316" s="920"/>
      <c r="I2316" s="1266"/>
      <c r="J2316" s="955"/>
      <c r="K2316" s="902"/>
      <c r="L2316" s="923"/>
      <c r="M2316" s="902"/>
      <c r="N2316" s="900" t="s">
        <v>2309</v>
      </c>
    </row>
    <row r="2317" spans="1:14" ht="15.75" hidden="1">
      <c r="A2317" s="896"/>
      <c r="B2317" s="902"/>
      <c r="C2317" s="917"/>
      <c r="D2317" s="918"/>
      <c r="E2317" s="919"/>
      <c r="F2317" s="920"/>
      <c r="G2317" s="921"/>
      <c r="H2317" s="896"/>
      <c r="I2317" s="916"/>
      <c r="J2317" s="955" t="s">
        <v>102</v>
      </c>
      <c r="K2317" s="922">
        <f>data!E3611</f>
        <v>200.84</v>
      </c>
      <c r="L2317" s="923" t="s">
        <v>2309</v>
      </c>
      <c r="M2317" s="924">
        <f>ROUND(I2317*K2317,0)</f>
        <v>0</v>
      </c>
      <c r="N2317" s="900" t="s">
        <v>2309</v>
      </c>
    </row>
    <row r="2318" spans="1:14" ht="66" hidden="1" customHeight="1">
      <c r="A2318" s="896">
        <v>28</v>
      </c>
      <c r="B2318" s="1612" t="s">
        <v>606</v>
      </c>
      <c r="C2318" s="1613"/>
      <c r="D2318" s="1613"/>
      <c r="E2318" s="1613"/>
      <c r="F2318" s="1613"/>
      <c r="G2318" s="1613"/>
      <c r="H2318" s="1614"/>
      <c r="I2318" s="897"/>
      <c r="J2318" s="898"/>
      <c r="K2318" s="896"/>
      <c r="L2318" s="923"/>
      <c r="M2318" s="899"/>
      <c r="N2318" s="900" t="s">
        <v>2209</v>
      </c>
    </row>
    <row r="2319" spans="1:14" s="910" customFormat="1" ht="16.5" hidden="1" customHeight="1">
      <c r="A2319" s="896"/>
      <c r="B2319" s="902" t="s">
        <v>3572</v>
      </c>
      <c r="C2319" s="903"/>
      <c r="D2319" s="904"/>
      <c r="E2319" s="905"/>
      <c r="F2319" s="906"/>
      <c r="G2319" s="906"/>
      <c r="H2319" s="907"/>
      <c r="I2319" s="908"/>
      <c r="J2319" s="955"/>
      <c r="K2319" s="902"/>
      <c r="L2319" s="896"/>
      <c r="M2319" s="902"/>
      <c r="N2319" s="900" t="s">
        <v>2209</v>
      </c>
    </row>
    <row r="2320" spans="1:14" s="910" customFormat="1" ht="16.5" hidden="1" customHeight="1">
      <c r="A2320" s="896"/>
      <c r="B2320" s="956" t="s">
        <v>1619</v>
      </c>
      <c r="C2320" s="957">
        <v>1</v>
      </c>
      <c r="D2320" s="958" t="s">
        <v>273</v>
      </c>
      <c r="E2320" s="1268">
        <v>4</v>
      </c>
      <c r="F2320" s="960">
        <v>1.5</v>
      </c>
      <c r="G2320" s="960">
        <v>0</v>
      </c>
      <c r="H2320" s="960">
        <v>1.35</v>
      </c>
      <c r="I2320" s="916">
        <f>ROUND(IF(AND(F2320:H2320),C2320*E2320*F2320*G2320*H2320,IF(AND(F2320,G2320),C2320*E2320*F2320*G2320,IF(AND(F2320,H2320),C2320*E2320*F2320*H2320,IF(AND(G2320,H2320),C2320*E2320*G2320*H2320,IF(F2320,C2320*E2320*F2320,IF(G2320,C2320*E2320*G2320,IF(H2320,C2320*E2320*H2320,C2320*E2320))))))),2)</f>
        <v>8.1</v>
      </c>
      <c r="J2320" s="955" t="s">
        <v>102</v>
      </c>
      <c r="K2320" s="902"/>
      <c r="L2320" s="896"/>
      <c r="M2320" s="902"/>
      <c r="N2320" s="900" t="s">
        <v>2209</v>
      </c>
    </row>
    <row r="2321" spans="1:14" s="910" customFormat="1" ht="16.5" hidden="1" customHeight="1">
      <c r="A2321" s="896"/>
      <c r="B2321" s="956" t="s">
        <v>586</v>
      </c>
      <c r="C2321" s="957">
        <v>1</v>
      </c>
      <c r="D2321" s="958" t="s">
        <v>273</v>
      </c>
      <c r="E2321" s="1268">
        <v>1</v>
      </c>
      <c r="F2321" s="960">
        <v>1.5</v>
      </c>
      <c r="G2321" s="960">
        <v>0</v>
      </c>
      <c r="H2321" s="960">
        <v>1.35</v>
      </c>
      <c r="I2321" s="916">
        <f>ROUND(IF(AND(F2321:H2321),C2321*E2321*F2321*G2321*H2321,IF(AND(F2321,G2321),C2321*E2321*F2321*G2321,IF(AND(F2321,H2321),C2321*E2321*F2321*H2321,IF(AND(G2321,H2321),C2321*E2321*G2321*H2321,IF(F2321,C2321*E2321*F2321,IF(G2321,C2321*E2321*G2321,IF(H2321,C2321*E2321*H2321,C2321*E2321))))))),2)</f>
        <v>2.0299999999999998</v>
      </c>
      <c r="J2321" s="955" t="s">
        <v>102</v>
      </c>
      <c r="K2321" s="902"/>
      <c r="L2321" s="896"/>
      <c r="M2321" s="902"/>
      <c r="N2321" s="900" t="s">
        <v>2209</v>
      </c>
    </row>
    <row r="2322" spans="1:14" s="910" customFormat="1" ht="16.5" hidden="1" customHeight="1">
      <c r="A2322" s="896"/>
      <c r="B2322" s="956"/>
      <c r="C2322" s="957"/>
      <c r="D2322" s="958"/>
      <c r="E2322" s="959"/>
      <c r="F2322" s="960"/>
      <c r="G2322" s="960"/>
      <c r="H2322" s="960"/>
      <c r="I2322" s="916"/>
      <c r="J2322" s="955"/>
      <c r="K2322" s="902"/>
      <c r="L2322" s="923"/>
      <c r="M2322" s="902"/>
      <c r="N2322" s="900" t="s">
        <v>2209</v>
      </c>
    </row>
    <row r="2323" spans="1:14" ht="15.75" hidden="1">
      <c r="A2323" s="896"/>
      <c r="B2323" s="902"/>
      <c r="C2323" s="917"/>
      <c r="D2323" s="918"/>
      <c r="E2323" s="919"/>
      <c r="F2323" s="920"/>
      <c r="G2323" s="921"/>
      <c r="H2323" s="896"/>
      <c r="I2323" s="916"/>
      <c r="J2323" s="955" t="s">
        <v>102</v>
      </c>
      <c r="K2323" s="922">
        <f>data!G877</f>
        <v>172.75</v>
      </c>
      <c r="L2323" s="923" t="s">
        <v>2209</v>
      </c>
      <c r="M2323" s="924">
        <f>ROUND(I2323*K2323,0)</f>
        <v>0</v>
      </c>
      <c r="N2323" s="900" t="s">
        <v>2209</v>
      </c>
    </row>
    <row r="2324" spans="1:14" ht="66" hidden="1" customHeight="1">
      <c r="A2324" s="896">
        <v>28</v>
      </c>
      <c r="B2324" s="1612" t="s">
        <v>606</v>
      </c>
      <c r="C2324" s="1613"/>
      <c r="D2324" s="1613"/>
      <c r="E2324" s="1613"/>
      <c r="F2324" s="1613"/>
      <c r="G2324" s="1613"/>
      <c r="H2324" s="1614"/>
      <c r="I2324" s="897"/>
      <c r="J2324" s="898"/>
      <c r="K2324" s="896"/>
      <c r="L2324" s="923"/>
      <c r="M2324" s="899"/>
      <c r="N2324" s="900" t="s">
        <v>2297</v>
      </c>
    </row>
    <row r="2325" spans="1:14" s="910" customFormat="1" ht="16.5" hidden="1" customHeight="1">
      <c r="A2325" s="896"/>
      <c r="B2325" s="902" t="s">
        <v>3573</v>
      </c>
      <c r="C2325" s="903"/>
      <c r="D2325" s="904"/>
      <c r="E2325" s="905"/>
      <c r="F2325" s="906"/>
      <c r="G2325" s="906"/>
      <c r="H2325" s="907"/>
      <c r="I2325" s="908"/>
      <c r="J2325" s="955"/>
      <c r="K2325" s="902"/>
      <c r="L2325" s="896"/>
      <c r="M2325" s="902"/>
      <c r="N2325" s="900" t="s">
        <v>2297</v>
      </c>
    </row>
    <row r="2326" spans="1:14" s="910" customFormat="1" ht="16.5" hidden="1" customHeight="1">
      <c r="A2326" s="896"/>
      <c r="B2326" s="956" t="s">
        <v>1548</v>
      </c>
      <c r="C2326" s="957">
        <v>5</v>
      </c>
      <c r="D2326" s="958" t="s">
        <v>273</v>
      </c>
      <c r="E2326" s="959">
        <v>0.25</v>
      </c>
      <c r="F2326" s="960">
        <v>1.4</v>
      </c>
      <c r="G2326" s="960">
        <v>0</v>
      </c>
      <c r="H2326" s="960">
        <v>1.4</v>
      </c>
      <c r="I2326" s="916">
        <f t="shared" ref="I2326:I2331" si="211">ROUND(IF(AND(F2326:H2326),C2326*E2326*F2326*G2326*H2326,IF(AND(F2326,G2326),C2326*E2326*F2326*G2326,IF(AND(F2326,H2326),C2326*E2326*F2326*H2326,IF(AND(G2326,H2326),C2326*E2326*G2326*H2326,IF(F2326,C2326*E2326*F2326,IF(G2326,C2326*E2326*G2326,IF(H2326,C2326*E2326*H2326,C2326*E2326))))))),2)</f>
        <v>2.4500000000000002</v>
      </c>
      <c r="J2326" s="955" t="s">
        <v>102</v>
      </c>
      <c r="K2326" s="902"/>
      <c r="L2326" s="896"/>
      <c r="M2326" s="902"/>
      <c r="N2326" s="900" t="s">
        <v>2297</v>
      </c>
    </row>
    <row r="2327" spans="1:14" s="910" customFormat="1" ht="16.5" hidden="1" customHeight="1">
      <c r="A2327" s="896"/>
      <c r="B2327" s="956" t="s">
        <v>2978</v>
      </c>
      <c r="C2327" s="957">
        <v>1</v>
      </c>
      <c r="D2327" s="958" t="s">
        <v>273</v>
      </c>
      <c r="E2327" s="959">
        <v>0.25</v>
      </c>
      <c r="F2327" s="960">
        <v>1.8</v>
      </c>
      <c r="G2327" s="960">
        <v>0</v>
      </c>
      <c r="H2327" s="960">
        <v>1.4</v>
      </c>
      <c r="I2327" s="916">
        <f t="shared" si="211"/>
        <v>0.63</v>
      </c>
      <c r="J2327" s="955" t="s">
        <v>102</v>
      </c>
      <c r="K2327" s="902"/>
      <c r="L2327" s="896"/>
      <c r="M2327" s="902"/>
      <c r="N2327" s="900" t="s">
        <v>2297</v>
      </c>
    </row>
    <row r="2328" spans="1:14" s="910" customFormat="1" ht="16.5" hidden="1" customHeight="1">
      <c r="A2328" s="896"/>
      <c r="B2328" s="956" t="s">
        <v>2979</v>
      </c>
      <c r="C2328" s="957">
        <v>7</v>
      </c>
      <c r="D2328" s="958" t="s">
        <v>273</v>
      </c>
      <c r="E2328" s="959">
        <v>0.25</v>
      </c>
      <c r="F2328" s="960">
        <v>1.4</v>
      </c>
      <c r="G2328" s="960">
        <v>0</v>
      </c>
      <c r="H2328" s="960">
        <v>1.35</v>
      </c>
      <c r="I2328" s="916">
        <f t="shared" si="211"/>
        <v>3.31</v>
      </c>
      <c r="J2328" s="955" t="s">
        <v>102</v>
      </c>
      <c r="K2328" s="902"/>
      <c r="L2328" s="896"/>
      <c r="M2328" s="902"/>
      <c r="N2328" s="900" t="s">
        <v>2297</v>
      </c>
    </row>
    <row r="2329" spans="1:14" s="910" customFormat="1" ht="16.5" hidden="1" customHeight="1">
      <c r="A2329" s="896"/>
      <c r="B2329" s="956" t="s">
        <v>2980</v>
      </c>
      <c r="C2329" s="957">
        <v>1</v>
      </c>
      <c r="D2329" s="958" t="s">
        <v>273</v>
      </c>
      <c r="E2329" s="959">
        <v>0.25</v>
      </c>
      <c r="F2329" s="960">
        <v>1.2</v>
      </c>
      <c r="G2329" s="960">
        <v>0</v>
      </c>
      <c r="H2329" s="960">
        <v>1</v>
      </c>
      <c r="I2329" s="916">
        <f t="shared" si="211"/>
        <v>0.3</v>
      </c>
      <c r="J2329" s="955" t="s">
        <v>102</v>
      </c>
      <c r="K2329" s="902"/>
      <c r="L2329" s="896"/>
      <c r="M2329" s="902"/>
      <c r="N2329" s="900" t="s">
        <v>2297</v>
      </c>
    </row>
    <row r="2330" spans="1:14" s="910" customFormat="1" ht="16.5" hidden="1" customHeight="1">
      <c r="A2330" s="896"/>
      <c r="B2330" s="956" t="s">
        <v>2980</v>
      </c>
      <c r="C2330" s="957">
        <v>1</v>
      </c>
      <c r="D2330" s="958" t="s">
        <v>273</v>
      </c>
      <c r="E2330" s="959">
        <v>0.25</v>
      </c>
      <c r="F2330" s="960">
        <v>1.2</v>
      </c>
      <c r="G2330" s="960">
        <v>0</v>
      </c>
      <c r="H2330" s="960">
        <v>1.1000000000000001</v>
      </c>
      <c r="I2330" s="916">
        <f t="shared" si="211"/>
        <v>0.33</v>
      </c>
      <c r="J2330" s="955" t="s">
        <v>102</v>
      </c>
      <c r="K2330" s="902"/>
      <c r="L2330" s="896"/>
      <c r="M2330" s="902"/>
      <c r="N2330" s="900" t="s">
        <v>2297</v>
      </c>
    </row>
    <row r="2331" spans="1:14" s="910" customFormat="1" ht="16.5" hidden="1" customHeight="1">
      <c r="A2331" s="896"/>
      <c r="B2331" s="956" t="s">
        <v>2980</v>
      </c>
      <c r="C2331" s="957">
        <v>2</v>
      </c>
      <c r="D2331" s="958" t="s">
        <v>273</v>
      </c>
      <c r="E2331" s="959">
        <v>0.25</v>
      </c>
      <c r="F2331" s="960">
        <v>1.2</v>
      </c>
      <c r="G2331" s="960">
        <v>0</v>
      </c>
      <c r="H2331" s="960">
        <v>1.5</v>
      </c>
      <c r="I2331" s="916">
        <f t="shared" si="211"/>
        <v>0.9</v>
      </c>
      <c r="J2331" s="955" t="s">
        <v>102</v>
      </c>
      <c r="K2331" s="902"/>
      <c r="L2331" s="896"/>
      <c r="M2331" s="902"/>
      <c r="N2331" s="900" t="s">
        <v>2297</v>
      </c>
    </row>
    <row r="2332" spans="1:14" s="910" customFormat="1" ht="16.5" hidden="1" customHeight="1">
      <c r="A2332" s="896"/>
      <c r="B2332" s="956"/>
      <c r="C2332" s="957"/>
      <c r="D2332" s="958"/>
      <c r="E2332" s="959"/>
      <c r="F2332" s="960"/>
      <c r="G2332" s="960"/>
      <c r="H2332" s="960"/>
      <c r="I2332" s="916"/>
      <c r="J2332" s="955"/>
      <c r="K2332" s="902"/>
      <c r="L2332" s="896"/>
      <c r="M2332" s="902"/>
      <c r="N2332" s="900" t="s">
        <v>2297</v>
      </c>
    </row>
    <row r="2333" spans="1:14" ht="15.75" hidden="1">
      <c r="A2333" s="896"/>
      <c r="B2333" s="902"/>
      <c r="C2333" s="917"/>
      <c r="D2333" s="918"/>
      <c r="E2333" s="919"/>
      <c r="F2333" s="920"/>
      <c r="G2333" s="921"/>
      <c r="H2333" s="896"/>
      <c r="I2333" s="916"/>
      <c r="J2333" s="955" t="s">
        <v>102</v>
      </c>
      <c r="K2333" s="922">
        <f>data!G1794</f>
        <v>132.55000000000001</v>
      </c>
      <c r="L2333" s="923" t="s">
        <v>2297</v>
      </c>
      <c r="M2333" s="924">
        <f>ROUND(I2333*K2333,0)</f>
        <v>0</v>
      </c>
      <c r="N2333" s="900" t="s">
        <v>2297</v>
      </c>
    </row>
    <row r="2334" spans="1:14" ht="66" hidden="1" customHeight="1">
      <c r="A2334" s="896">
        <v>28</v>
      </c>
      <c r="B2334" s="1612" t="s">
        <v>606</v>
      </c>
      <c r="C2334" s="1613"/>
      <c r="D2334" s="1613"/>
      <c r="E2334" s="1613"/>
      <c r="F2334" s="1613"/>
      <c r="G2334" s="1613"/>
      <c r="H2334" s="1614"/>
      <c r="I2334" s="897"/>
      <c r="J2334" s="898"/>
      <c r="K2334" s="896"/>
      <c r="L2334" s="923"/>
      <c r="M2334" s="899"/>
      <c r="N2334" s="900" t="s">
        <v>2308</v>
      </c>
    </row>
    <row r="2335" spans="1:14" s="910" customFormat="1" ht="16.5" hidden="1" customHeight="1">
      <c r="A2335" s="896"/>
      <c r="B2335" s="902" t="s">
        <v>3572</v>
      </c>
      <c r="C2335" s="903"/>
      <c r="D2335" s="904"/>
      <c r="E2335" s="905"/>
      <c r="F2335" s="906"/>
      <c r="G2335" s="906"/>
      <c r="H2335" s="907"/>
      <c r="I2335" s="908"/>
      <c r="J2335" s="955"/>
      <c r="K2335" s="902"/>
      <c r="L2335" s="896"/>
      <c r="M2335" s="902"/>
      <c r="N2335" s="900" t="s">
        <v>2308</v>
      </c>
    </row>
    <row r="2336" spans="1:14" s="910" customFormat="1" ht="16.5" hidden="1" customHeight="1">
      <c r="A2336" s="896"/>
      <c r="B2336" s="956" t="s">
        <v>1619</v>
      </c>
      <c r="C2336" s="957">
        <v>1</v>
      </c>
      <c r="D2336" s="958" t="s">
        <v>273</v>
      </c>
      <c r="E2336" s="1268">
        <v>4</v>
      </c>
      <c r="F2336" s="960">
        <v>1.5</v>
      </c>
      <c r="G2336" s="960">
        <v>0</v>
      </c>
      <c r="H2336" s="960">
        <v>1.35</v>
      </c>
      <c r="I2336" s="916">
        <f>ROUND(IF(AND(F2336:H2336),C2336*E2336*F2336*G2336*H2336,IF(AND(F2336,G2336),C2336*E2336*F2336*G2336,IF(AND(F2336,H2336),C2336*E2336*F2336*H2336,IF(AND(G2336,H2336),C2336*E2336*G2336*H2336,IF(F2336,C2336*E2336*F2336,IF(G2336,C2336*E2336*G2336,IF(H2336,C2336*E2336*H2336,C2336*E2336))))))),2)</f>
        <v>8.1</v>
      </c>
      <c r="J2336" s="955" t="s">
        <v>102</v>
      </c>
      <c r="K2336" s="902"/>
      <c r="L2336" s="896"/>
      <c r="M2336" s="902"/>
      <c r="N2336" s="900" t="s">
        <v>2308</v>
      </c>
    </row>
    <row r="2337" spans="1:14" s="910" customFormat="1" ht="16.5" hidden="1" customHeight="1">
      <c r="A2337" s="896"/>
      <c r="B2337" s="956" t="s">
        <v>586</v>
      </c>
      <c r="C2337" s="957">
        <v>1</v>
      </c>
      <c r="D2337" s="958" t="s">
        <v>273</v>
      </c>
      <c r="E2337" s="1268">
        <v>1</v>
      </c>
      <c r="F2337" s="960">
        <v>1.5</v>
      </c>
      <c r="G2337" s="960">
        <v>0</v>
      </c>
      <c r="H2337" s="960">
        <v>1.35</v>
      </c>
      <c r="I2337" s="916">
        <f>ROUND(IF(AND(F2337:H2337),C2337*E2337*F2337*G2337*H2337,IF(AND(F2337,G2337),C2337*E2337*F2337*G2337,IF(AND(F2337,H2337),C2337*E2337*F2337*H2337,IF(AND(G2337,H2337),C2337*E2337*G2337*H2337,IF(F2337,C2337*E2337*F2337,IF(G2337,C2337*E2337*G2337,IF(H2337,C2337*E2337*H2337,C2337*E2337))))))),2)</f>
        <v>2.0299999999999998</v>
      </c>
      <c r="J2337" s="955" t="s">
        <v>102</v>
      </c>
      <c r="K2337" s="902"/>
      <c r="L2337" s="896"/>
      <c r="M2337" s="902"/>
      <c r="N2337" s="900" t="s">
        <v>2308</v>
      </c>
    </row>
    <row r="2338" spans="1:14" s="910" customFormat="1" ht="16.5" hidden="1" customHeight="1">
      <c r="A2338" s="896"/>
      <c r="B2338" s="956"/>
      <c r="C2338" s="957"/>
      <c r="D2338" s="958"/>
      <c r="E2338" s="959"/>
      <c r="F2338" s="960"/>
      <c r="G2338" s="960"/>
      <c r="H2338" s="960"/>
      <c r="I2338" s="916"/>
      <c r="J2338" s="955"/>
      <c r="K2338" s="902"/>
      <c r="L2338" s="923"/>
      <c r="M2338" s="902"/>
      <c r="N2338" s="900" t="s">
        <v>2308</v>
      </c>
    </row>
    <row r="2339" spans="1:14" ht="15.75" hidden="1">
      <c r="A2339" s="896"/>
      <c r="B2339" s="902"/>
      <c r="C2339" s="917"/>
      <c r="D2339" s="918"/>
      <c r="E2339" s="919"/>
      <c r="F2339" s="920"/>
      <c r="G2339" s="921"/>
      <c r="H2339" s="896"/>
      <c r="I2339" s="916"/>
      <c r="J2339" s="955" t="s">
        <v>102</v>
      </c>
      <c r="K2339" s="922">
        <f>data!G2711</f>
        <v>137.6</v>
      </c>
      <c r="L2339" s="923" t="s">
        <v>2308</v>
      </c>
      <c r="M2339" s="924">
        <f>ROUND(I2339*K2339,0)</f>
        <v>0</v>
      </c>
      <c r="N2339" s="900" t="s">
        <v>2308</v>
      </c>
    </row>
    <row r="2340" spans="1:14" ht="66" hidden="1" customHeight="1">
      <c r="A2340" s="896">
        <v>27</v>
      </c>
      <c r="B2340" s="1612" t="s">
        <v>606</v>
      </c>
      <c r="C2340" s="1613"/>
      <c r="D2340" s="1613"/>
      <c r="E2340" s="1613"/>
      <c r="F2340" s="1613"/>
      <c r="G2340" s="1613"/>
      <c r="H2340" s="1614"/>
      <c r="I2340" s="897"/>
      <c r="J2340" s="898"/>
      <c r="K2340" s="896"/>
      <c r="L2340" s="923"/>
      <c r="M2340" s="899"/>
      <c r="N2340" s="900" t="s">
        <v>2309</v>
      </c>
    </row>
    <row r="2341" spans="1:14" s="910" customFormat="1" ht="16.5" hidden="1" customHeight="1">
      <c r="A2341" s="896"/>
      <c r="B2341" s="902" t="s">
        <v>3618</v>
      </c>
      <c r="C2341" s="903"/>
      <c r="D2341" s="904"/>
      <c r="E2341" s="905"/>
      <c r="F2341" s="906"/>
      <c r="G2341" s="906"/>
      <c r="H2341" s="907"/>
      <c r="I2341" s="908"/>
      <c r="J2341" s="955"/>
      <c r="K2341" s="902"/>
      <c r="L2341" s="896"/>
      <c r="M2341" s="902"/>
      <c r="N2341" s="900" t="s">
        <v>2309</v>
      </c>
    </row>
    <row r="2342" spans="1:14" s="910" customFormat="1" ht="16.5" hidden="1" customHeight="1">
      <c r="A2342" s="896"/>
      <c r="B2342" s="956" t="s">
        <v>3619</v>
      </c>
      <c r="C2342" s="957">
        <v>8</v>
      </c>
      <c r="D2342" s="958" t="s">
        <v>273</v>
      </c>
      <c r="E2342" s="959">
        <v>0.25</v>
      </c>
      <c r="F2342" s="960">
        <v>1.2</v>
      </c>
      <c r="G2342" s="960">
        <v>0</v>
      </c>
      <c r="H2342" s="960">
        <v>1.2</v>
      </c>
      <c r="I2342" s="916">
        <f>ROUND(IF(AND(F2342:H2342),C2342*E2342*F2342*G2342*H2342,IF(AND(F2342,G2342),C2342*E2342*F2342*G2342,IF(AND(F2342,H2342),C2342*E2342*F2342*H2342,IF(AND(G2342,H2342),C2342*E2342*G2342*H2342,IF(F2342,C2342*E2342*F2342,IF(G2342,C2342*E2342*G2342,IF(H2342,C2342*E2342*H2342,C2342*E2342))))))),2)</f>
        <v>2.88</v>
      </c>
      <c r="J2342" s="955" t="s">
        <v>102</v>
      </c>
      <c r="K2342" s="902"/>
      <c r="L2342" s="896"/>
      <c r="M2342" s="902"/>
      <c r="N2342" s="900" t="s">
        <v>2309</v>
      </c>
    </row>
    <row r="2343" spans="1:14" s="910" customFormat="1" ht="16.5" hidden="1" customHeight="1">
      <c r="A2343" s="896"/>
      <c r="B2343" s="956"/>
      <c r="C2343" s="957"/>
      <c r="D2343" s="958"/>
      <c r="E2343" s="959"/>
      <c r="F2343" s="960"/>
      <c r="G2343" s="960"/>
      <c r="H2343" s="960"/>
      <c r="I2343" s="916"/>
      <c r="J2343" s="955"/>
      <c r="K2343" s="902"/>
      <c r="L2343" s="923"/>
      <c r="M2343" s="902"/>
      <c r="N2343" s="900" t="s">
        <v>2309</v>
      </c>
    </row>
    <row r="2344" spans="1:14" ht="15.75" hidden="1">
      <c r="A2344" s="896"/>
      <c r="B2344" s="902"/>
      <c r="C2344" s="917"/>
      <c r="D2344" s="918"/>
      <c r="E2344" s="919"/>
      <c r="F2344" s="920"/>
      <c r="G2344" s="921"/>
      <c r="H2344" s="896"/>
      <c r="I2344" s="916"/>
      <c r="J2344" s="955" t="s">
        <v>102</v>
      </c>
      <c r="K2344" s="922">
        <f>data!G3628</f>
        <v>149.86000000000001</v>
      </c>
      <c r="L2344" s="923" t="s">
        <v>2309</v>
      </c>
      <c r="M2344" s="924">
        <f>ROUND(I2344*K2344,0)</f>
        <v>0</v>
      </c>
      <c r="N2344" s="900" t="s">
        <v>2309</v>
      </c>
    </row>
    <row r="2345" spans="1:14" ht="66" hidden="1" customHeight="1">
      <c r="A2345" s="896">
        <v>28</v>
      </c>
      <c r="B2345" s="1612" t="s">
        <v>1184</v>
      </c>
      <c r="C2345" s="1613"/>
      <c r="D2345" s="1613"/>
      <c r="E2345" s="1613"/>
      <c r="F2345" s="1613"/>
      <c r="G2345" s="1613"/>
      <c r="H2345" s="1614"/>
      <c r="I2345" s="897"/>
      <c r="J2345" s="898"/>
      <c r="K2345" s="896"/>
      <c r="L2345" s="923"/>
      <c r="M2345" s="899"/>
      <c r="N2345" s="900" t="s">
        <v>2209</v>
      </c>
    </row>
    <row r="2346" spans="1:14" s="910" customFormat="1" ht="16.5" hidden="1" customHeight="1">
      <c r="A2346" s="896"/>
      <c r="B2346" s="902" t="s">
        <v>3572</v>
      </c>
      <c r="C2346" s="903"/>
      <c r="D2346" s="904"/>
      <c r="E2346" s="905"/>
      <c r="F2346" s="906"/>
      <c r="G2346" s="906"/>
      <c r="H2346" s="907"/>
      <c r="I2346" s="908"/>
      <c r="J2346" s="955"/>
      <c r="K2346" s="902"/>
      <c r="L2346" s="896"/>
      <c r="M2346" s="902"/>
      <c r="N2346" s="900" t="s">
        <v>2209</v>
      </c>
    </row>
    <row r="2347" spans="1:14" s="910" customFormat="1" ht="16.5" hidden="1" customHeight="1">
      <c r="A2347" s="896"/>
      <c r="B2347" s="956" t="s">
        <v>1619</v>
      </c>
      <c r="C2347" s="957">
        <v>1</v>
      </c>
      <c r="D2347" s="958" t="s">
        <v>273</v>
      </c>
      <c r="E2347" s="1268">
        <v>4</v>
      </c>
      <c r="F2347" s="960">
        <v>1.5</v>
      </c>
      <c r="G2347" s="960">
        <v>0</v>
      </c>
      <c r="H2347" s="960">
        <v>1.35</v>
      </c>
      <c r="I2347" s="916">
        <f>ROUND(IF(AND(F2347:H2347),C2347*E2347*F2347*G2347*H2347,IF(AND(F2347,G2347),C2347*E2347*F2347*G2347,IF(AND(F2347,H2347),C2347*E2347*F2347*H2347,IF(AND(G2347,H2347),C2347*E2347*G2347*H2347,IF(F2347,C2347*E2347*F2347,IF(G2347,C2347*E2347*G2347,IF(H2347,C2347*E2347*H2347,C2347*E2347))))))),2)</f>
        <v>8.1</v>
      </c>
      <c r="J2347" s="955" t="s">
        <v>102</v>
      </c>
      <c r="K2347" s="902"/>
      <c r="L2347" s="896"/>
      <c r="M2347" s="902"/>
      <c r="N2347" s="900" t="s">
        <v>2209</v>
      </c>
    </row>
    <row r="2348" spans="1:14" s="910" customFormat="1" ht="16.5" hidden="1" customHeight="1">
      <c r="A2348" s="896"/>
      <c r="B2348" s="956" t="s">
        <v>586</v>
      </c>
      <c r="C2348" s="957">
        <v>1</v>
      </c>
      <c r="D2348" s="958" t="s">
        <v>273</v>
      </c>
      <c r="E2348" s="1268">
        <v>1</v>
      </c>
      <c r="F2348" s="960">
        <v>1.5</v>
      </c>
      <c r="G2348" s="960">
        <v>0</v>
      </c>
      <c r="H2348" s="960">
        <v>1.35</v>
      </c>
      <c r="I2348" s="916">
        <f>ROUND(IF(AND(F2348:H2348),C2348*E2348*F2348*G2348*H2348,IF(AND(F2348,G2348),C2348*E2348*F2348*G2348,IF(AND(F2348,H2348),C2348*E2348*F2348*H2348,IF(AND(G2348,H2348),C2348*E2348*G2348*H2348,IF(F2348,C2348*E2348*F2348,IF(G2348,C2348*E2348*G2348,IF(H2348,C2348*E2348*H2348,C2348*E2348))))))),2)</f>
        <v>2.0299999999999998</v>
      </c>
      <c r="J2348" s="955" t="s">
        <v>102</v>
      </c>
      <c r="K2348" s="902"/>
      <c r="L2348" s="896"/>
      <c r="M2348" s="902"/>
      <c r="N2348" s="900" t="s">
        <v>2209</v>
      </c>
    </row>
    <row r="2349" spans="1:14" s="910" customFormat="1" ht="16.5" hidden="1" customHeight="1">
      <c r="A2349" s="896"/>
      <c r="B2349" s="956"/>
      <c r="C2349" s="957"/>
      <c r="D2349" s="958"/>
      <c r="E2349" s="959"/>
      <c r="F2349" s="960"/>
      <c r="G2349" s="960"/>
      <c r="H2349" s="960"/>
      <c r="I2349" s="916"/>
      <c r="J2349" s="955"/>
      <c r="K2349" s="902"/>
      <c r="L2349" s="923"/>
      <c r="M2349" s="902"/>
      <c r="N2349" s="900" t="s">
        <v>2209</v>
      </c>
    </row>
    <row r="2350" spans="1:14" ht="15.75" hidden="1">
      <c r="A2350" s="896"/>
      <c r="B2350" s="902"/>
      <c r="C2350" s="917"/>
      <c r="D2350" s="918"/>
      <c r="E2350" s="919"/>
      <c r="F2350" s="920"/>
      <c r="G2350" s="921"/>
      <c r="H2350" s="896"/>
      <c r="I2350" s="916"/>
      <c r="J2350" s="955" t="s">
        <v>102</v>
      </c>
      <c r="K2350" s="922">
        <f>data!G891</f>
        <v>630</v>
      </c>
      <c r="L2350" s="923" t="s">
        <v>2209</v>
      </c>
      <c r="M2350" s="924">
        <f>ROUND(I2350*K2350,0)</f>
        <v>0</v>
      </c>
      <c r="N2350" s="900" t="s">
        <v>2209</v>
      </c>
    </row>
    <row r="2351" spans="1:14" ht="66" hidden="1" customHeight="1">
      <c r="A2351" s="896">
        <v>28</v>
      </c>
      <c r="B2351" s="1612" t="s">
        <v>1184</v>
      </c>
      <c r="C2351" s="1613"/>
      <c r="D2351" s="1613"/>
      <c r="E2351" s="1613"/>
      <c r="F2351" s="1613"/>
      <c r="G2351" s="1613"/>
      <c r="H2351" s="1614"/>
      <c r="I2351" s="897"/>
      <c r="J2351" s="898"/>
      <c r="K2351" s="896"/>
      <c r="L2351" s="923"/>
      <c r="M2351" s="899"/>
      <c r="N2351" s="900" t="s">
        <v>2297</v>
      </c>
    </row>
    <row r="2352" spans="1:14" s="910" customFormat="1" ht="16.5" hidden="1" customHeight="1">
      <c r="A2352" s="896"/>
      <c r="B2352" s="902" t="s">
        <v>3572</v>
      </c>
      <c r="C2352" s="903"/>
      <c r="D2352" s="904"/>
      <c r="E2352" s="905"/>
      <c r="F2352" s="906"/>
      <c r="G2352" s="906"/>
      <c r="H2352" s="907"/>
      <c r="I2352" s="908"/>
      <c r="J2352" s="955"/>
      <c r="K2352" s="902"/>
      <c r="L2352" s="896"/>
      <c r="M2352" s="902"/>
      <c r="N2352" s="900" t="s">
        <v>2297</v>
      </c>
    </row>
    <row r="2353" spans="1:14" s="910" customFormat="1" ht="16.5" hidden="1" customHeight="1">
      <c r="A2353" s="896"/>
      <c r="B2353" s="956" t="s">
        <v>1619</v>
      </c>
      <c r="C2353" s="957">
        <v>1</v>
      </c>
      <c r="D2353" s="958" t="s">
        <v>273</v>
      </c>
      <c r="E2353" s="1268">
        <v>4</v>
      </c>
      <c r="F2353" s="960">
        <v>1.5</v>
      </c>
      <c r="G2353" s="960">
        <v>0</v>
      </c>
      <c r="H2353" s="960">
        <v>1.35</v>
      </c>
      <c r="I2353" s="916">
        <f>ROUND(IF(AND(F2353:H2353),C2353*E2353*F2353*G2353*H2353,IF(AND(F2353,G2353),C2353*E2353*F2353*G2353,IF(AND(F2353,H2353),C2353*E2353*F2353*H2353,IF(AND(G2353,H2353),C2353*E2353*G2353*H2353,IF(F2353,C2353*E2353*F2353,IF(G2353,C2353*E2353*G2353,IF(H2353,C2353*E2353*H2353,C2353*E2353))))))),2)</f>
        <v>8.1</v>
      </c>
      <c r="J2353" s="955" t="s">
        <v>102</v>
      </c>
      <c r="K2353" s="902"/>
      <c r="L2353" s="896"/>
      <c r="M2353" s="902"/>
      <c r="N2353" s="900" t="s">
        <v>2297</v>
      </c>
    </row>
    <row r="2354" spans="1:14" s="910" customFormat="1" ht="16.5" hidden="1" customHeight="1">
      <c r="A2354" s="896"/>
      <c r="B2354" s="956" t="s">
        <v>586</v>
      </c>
      <c r="C2354" s="957">
        <v>1</v>
      </c>
      <c r="D2354" s="958" t="s">
        <v>273</v>
      </c>
      <c r="E2354" s="1268">
        <v>1</v>
      </c>
      <c r="F2354" s="960">
        <v>1.5</v>
      </c>
      <c r="G2354" s="960">
        <v>0</v>
      </c>
      <c r="H2354" s="960">
        <v>1.35</v>
      </c>
      <c r="I2354" s="916">
        <f>ROUND(IF(AND(F2354:H2354),C2354*E2354*F2354*G2354*H2354,IF(AND(F2354,G2354),C2354*E2354*F2354*G2354,IF(AND(F2354,H2354),C2354*E2354*F2354*H2354,IF(AND(G2354,H2354),C2354*E2354*G2354*H2354,IF(F2354,C2354*E2354*F2354,IF(G2354,C2354*E2354*G2354,IF(H2354,C2354*E2354*H2354,C2354*E2354))))))),2)</f>
        <v>2.0299999999999998</v>
      </c>
      <c r="J2354" s="955" t="s">
        <v>102</v>
      </c>
      <c r="K2354" s="902"/>
      <c r="L2354" s="896"/>
      <c r="M2354" s="902"/>
      <c r="N2354" s="900" t="s">
        <v>2297</v>
      </c>
    </row>
    <row r="2355" spans="1:14" s="910" customFormat="1" ht="16.5" hidden="1" customHeight="1">
      <c r="A2355" s="896"/>
      <c r="B2355" s="956"/>
      <c r="C2355" s="957"/>
      <c r="D2355" s="958"/>
      <c r="E2355" s="959"/>
      <c r="F2355" s="960"/>
      <c r="G2355" s="960"/>
      <c r="H2355" s="960"/>
      <c r="I2355" s="916"/>
      <c r="J2355" s="955"/>
      <c r="K2355" s="902"/>
      <c r="L2355" s="923"/>
      <c r="M2355" s="902"/>
      <c r="N2355" s="900" t="s">
        <v>2297</v>
      </c>
    </row>
    <row r="2356" spans="1:14" ht="15.75" hidden="1">
      <c r="A2356" s="896"/>
      <c r="B2356" s="902"/>
      <c r="C2356" s="917"/>
      <c r="D2356" s="918"/>
      <c r="E2356" s="919"/>
      <c r="F2356" s="920"/>
      <c r="G2356" s="921"/>
      <c r="H2356" s="896"/>
      <c r="I2356" s="916"/>
      <c r="J2356" s="955" t="s">
        <v>102</v>
      </c>
      <c r="K2356" s="922">
        <f>data!G1808</f>
        <v>630</v>
      </c>
      <c r="L2356" s="923" t="s">
        <v>2297</v>
      </c>
      <c r="M2356" s="924">
        <f>ROUND(I2356*K2356,0)</f>
        <v>0</v>
      </c>
      <c r="N2356" s="900" t="s">
        <v>2297</v>
      </c>
    </row>
    <row r="2357" spans="1:14" ht="66" hidden="1" customHeight="1">
      <c r="A2357" s="896">
        <v>28</v>
      </c>
      <c r="B2357" s="1612" t="s">
        <v>1184</v>
      </c>
      <c r="C2357" s="1613"/>
      <c r="D2357" s="1613"/>
      <c r="E2357" s="1613"/>
      <c r="F2357" s="1613"/>
      <c r="G2357" s="1613"/>
      <c r="H2357" s="1614"/>
      <c r="I2357" s="897"/>
      <c r="J2357" s="898"/>
      <c r="K2357" s="896"/>
      <c r="L2357" s="923"/>
      <c r="M2357" s="899"/>
      <c r="N2357" s="900" t="s">
        <v>2308</v>
      </c>
    </row>
    <row r="2358" spans="1:14" s="910" customFormat="1" ht="16.5" hidden="1" customHeight="1">
      <c r="A2358" s="896"/>
      <c r="B2358" s="902" t="s">
        <v>3572</v>
      </c>
      <c r="C2358" s="903"/>
      <c r="D2358" s="904"/>
      <c r="E2358" s="905"/>
      <c r="F2358" s="906"/>
      <c r="G2358" s="906"/>
      <c r="H2358" s="907"/>
      <c r="I2358" s="908"/>
      <c r="J2358" s="955"/>
      <c r="K2358" s="902"/>
      <c r="L2358" s="896"/>
      <c r="M2358" s="902"/>
      <c r="N2358" s="900" t="s">
        <v>2308</v>
      </c>
    </row>
    <row r="2359" spans="1:14" s="910" customFormat="1" ht="16.5" hidden="1" customHeight="1">
      <c r="A2359" s="896"/>
      <c r="B2359" s="956" t="s">
        <v>1619</v>
      </c>
      <c r="C2359" s="957">
        <v>1</v>
      </c>
      <c r="D2359" s="958" t="s">
        <v>273</v>
      </c>
      <c r="E2359" s="1268">
        <v>4</v>
      </c>
      <c r="F2359" s="960">
        <v>1.5</v>
      </c>
      <c r="G2359" s="960">
        <v>0</v>
      </c>
      <c r="H2359" s="960">
        <v>1.35</v>
      </c>
      <c r="I2359" s="916">
        <f>ROUND(IF(AND(F2359:H2359),C2359*E2359*F2359*G2359*H2359,IF(AND(F2359,G2359),C2359*E2359*F2359*G2359,IF(AND(F2359,H2359),C2359*E2359*F2359*H2359,IF(AND(G2359,H2359),C2359*E2359*G2359*H2359,IF(F2359,C2359*E2359*F2359,IF(G2359,C2359*E2359*G2359,IF(H2359,C2359*E2359*H2359,C2359*E2359))))))),2)</f>
        <v>8.1</v>
      </c>
      <c r="J2359" s="955" t="s">
        <v>102</v>
      </c>
      <c r="K2359" s="902"/>
      <c r="L2359" s="896"/>
      <c r="M2359" s="902"/>
      <c r="N2359" s="900" t="s">
        <v>2308</v>
      </c>
    </row>
    <row r="2360" spans="1:14" s="910" customFormat="1" ht="16.5" hidden="1" customHeight="1">
      <c r="A2360" s="896"/>
      <c r="B2360" s="956" t="s">
        <v>586</v>
      </c>
      <c r="C2360" s="957">
        <v>1</v>
      </c>
      <c r="D2360" s="958" t="s">
        <v>273</v>
      </c>
      <c r="E2360" s="1268">
        <v>1</v>
      </c>
      <c r="F2360" s="960">
        <v>1.5</v>
      </c>
      <c r="G2360" s="960">
        <v>0</v>
      </c>
      <c r="H2360" s="960">
        <v>1.35</v>
      </c>
      <c r="I2360" s="916">
        <f>ROUND(IF(AND(F2360:H2360),C2360*E2360*F2360*G2360*H2360,IF(AND(F2360,G2360),C2360*E2360*F2360*G2360,IF(AND(F2360,H2360),C2360*E2360*F2360*H2360,IF(AND(G2360,H2360),C2360*E2360*G2360*H2360,IF(F2360,C2360*E2360*F2360,IF(G2360,C2360*E2360*G2360,IF(H2360,C2360*E2360*H2360,C2360*E2360))))))),2)</f>
        <v>2.0299999999999998</v>
      </c>
      <c r="J2360" s="955" t="s">
        <v>102</v>
      </c>
      <c r="K2360" s="902"/>
      <c r="L2360" s="896"/>
      <c r="M2360" s="902"/>
      <c r="N2360" s="900" t="s">
        <v>2308</v>
      </c>
    </row>
    <row r="2361" spans="1:14" s="910" customFormat="1" ht="16.5" hidden="1" customHeight="1">
      <c r="A2361" s="896"/>
      <c r="B2361" s="956"/>
      <c r="C2361" s="957"/>
      <c r="D2361" s="958"/>
      <c r="E2361" s="959"/>
      <c r="F2361" s="960"/>
      <c r="G2361" s="960"/>
      <c r="H2361" s="960"/>
      <c r="I2361" s="916"/>
      <c r="J2361" s="955"/>
      <c r="K2361" s="902"/>
      <c r="L2361" s="923"/>
      <c r="M2361" s="902"/>
      <c r="N2361" s="900" t="s">
        <v>2308</v>
      </c>
    </row>
    <row r="2362" spans="1:14" ht="15.75" hidden="1">
      <c r="A2362" s="896"/>
      <c r="B2362" s="902"/>
      <c r="C2362" s="917"/>
      <c r="D2362" s="918"/>
      <c r="E2362" s="919"/>
      <c r="F2362" s="920"/>
      <c r="G2362" s="921"/>
      <c r="H2362" s="896"/>
      <c r="I2362" s="916"/>
      <c r="J2362" s="955" t="s">
        <v>102</v>
      </c>
      <c r="K2362" s="922">
        <f>data!G2725</f>
        <v>630</v>
      </c>
      <c r="L2362" s="923" t="s">
        <v>2308</v>
      </c>
      <c r="M2362" s="924">
        <f>ROUND(I2362*K2362,0)</f>
        <v>0</v>
      </c>
      <c r="N2362" s="900" t="s">
        <v>2308</v>
      </c>
    </row>
    <row r="2363" spans="1:14" ht="66" hidden="1" customHeight="1">
      <c r="A2363" s="896">
        <v>31</v>
      </c>
      <c r="B2363" s="1612" t="s">
        <v>1184</v>
      </c>
      <c r="C2363" s="1613"/>
      <c r="D2363" s="1613"/>
      <c r="E2363" s="1613"/>
      <c r="F2363" s="1613"/>
      <c r="G2363" s="1613"/>
      <c r="H2363" s="1614"/>
      <c r="I2363" s="897"/>
      <c r="J2363" s="898"/>
      <c r="K2363" s="896"/>
      <c r="L2363" s="923"/>
      <c r="M2363" s="899"/>
      <c r="N2363" s="900" t="s">
        <v>2309</v>
      </c>
    </row>
    <row r="2364" spans="1:14" s="910" customFormat="1" ht="16.5" hidden="1" customHeight="1">
      <c r="A2364" s="896"/>
      <c r="B2364" s="902" t="s">
        <v>2557</v>
      </c>
      <c r="C2364" s="903"/>
      <c r="D2364" s="904"/>
      <c r="E2364" s="905"/>
      <c r="F2364" s="906"/>
      <c r="G2364" s="906"/>
      <c r="H2364" s="907"/>
      <c r="I2364" s="908"/>
      <c r="J2364" s="955"/>
      <c r="K2364" s="902"/>
      <c r="L2364" s="896"/>
      <c r="M2364" s="902"/>
      <c r="N2364" s="900" t="s">
        <v>2309</v>
      </c>
    </row>
    <row r="2365" spans="1:14" s="910" customFormat="1" ht="16.5" hidden="1" customHeight="1">
      <c r="A2365" s="896"/>
      <c r="B2365" s="956" t="s">
        <v>1598</v>
      </c>
      <c r="C2365" s="957">
        <v>1</v>
      </c>
      <c r="D2365" s="958" t="s">
        <v>273</v>
      </c>
      <c r="E2365" s="1268">
        <v>1</v>
      </c>
      <c r="F2365" s="960">
        <v>5.4</v>
      </c>
      <c r="G2365" s="960">
        <v>0</v>
      </c>
      <c r="H2365" s="960">
        <v>1</v>
      </c>
      <c r="I2365" s="916">
        <f>ROUND(IF(AND(F2365:H2365),C2365*E2365*F2365*G2365*H2365,IF(AND(F2365,G2365),C2365*E2365*F2365*G2365,IF(AND(F2365,H2365),C2365*E2365*F2365*H2365,IF(AND(G2365,H2365),C2365*E2365*G2365*H2365,IF(F2365,C2365*E2365*F2365,IF(G2365,C2365*E2365*G2365,IF(H2365,C2365*E2365*H2365,C2365*E2365))))))),2)</f>
        <v>5.4</v>
      </c>
      <c r="J2365" s="955" t="s">
        <v>102</v>
      </c>
      <c r="K2365" s="902"/>
      <c r="L2365" s="896"/>
      <c r="M2365" s="902"/>
      <c r="N2365" s="900" t="s">
        <v>2309</v>
      </c>
    </row>
    <row r="2366" spans="1:14" s="910" customFormat="1" ht="16.5" hidden="1" customHeight="1">
      <c r="A2366" s="896"/>
      <c r="B2366" s="956" t="s">
        <v>2562</v>
      </c>
      <c r="C2366" s="957">
        <v>1</v>
      </c>
      <c r="D2366" s="958" t="s">
        <v>273</v>
      </c>
      <c r="E2366" s="1268">
        <v>1</v>
      </c>
      <c r="F2366" s="960">
        <v>30.8</v>
      </c>
      <c r="G2366" s="960">
        <v>0</v>
      </c>
      <c r="H2366" s="960">
        <v>0.3</v>
      </c>
      <c r="I2366" s="916">
        <f>ROUND(IF(AND(F2366:H2366),C2366*E2366*F2366*G2366*H2366,IF(AND(F2366,G2366),C2366*E2366*F2366*G2366,IF(AND(F2366,H2366),C2366*E2366*F2366*H2366,IF(AND(G2366,H2366),C2366*E2366*G2366*H2366,IF(F2366,C2366*E2366*F2366,IF(G2366,C2366*E2366*G2366,IF(H2366,C2366*E2366*H2366,C2366*E2366))))))),2)</f>
        <v>9.24</v>
      </c>
      <c r="J2366" s="955" t="s">
        <v>102</v>
      </c>
      <c r="K2366" s="902"/>
      <c r="L2366" s="896"/>
      <c r="M2366" s="902"/>
      <c r="N2366" s="900" t="s">
        <v>2309</v>
      </c>
    </row>
    <row r="2367" spans="1:14" s="910" customFormat="1" ht="16.5" hidden="1" customHeight="1">
      <c r="A2367" s="896"/>
      <c r="B2367" s="956"/>
      <c r="C2367" s="957"/>
      <c r="D2367" s="958"/>
      <c r="E2367" s="959"/>
      <c r="F2367" s="960"/>
      <c r="G2367" s="960"/>
      <c r="H2367" s="960"/>
      <c r="I2367" s="916"/>
      <c r="J2367" s="955"/>
      <c r="K2367" s="902"/>
      <c r="L2367" s="923"/>
      <c r="M2367" s="902"/>
      <c r="N2367" s="900" t="s">
        <v>2309</v>
      </c>
    </row>
    <row r="2368" spans="1:14" ht="15.75" hidden="1">
      <c r="A2368" s="896"/>
      <c r="B2368" s="902"/>
      <c r="C2368" s="917"/>
      <c r="D2368" s="918"/>
      <c r="E2368" s="919"/>
      <c r="F2368" s="920"/>
      <c r="G2368" s="921"/>
      <c r="H2368" s="896"/>
      <c r="I2368" s="916"/>
      <c r="J2368" s="955" t="s">
        <v>102</v>
      </c>
      <c r="K2368" s="922">
        <f>data!G3642</f>
        <v>630</v>
      </c>
      <c r="L2368" s="923" t="s">
        <v>2309</v>
      </c>
      <c r="M2368" s="924">
        <f>ROUND(I2368*K2368,0)</f>
        <v>0</v>
      </c>
      <c r="N2368" s="900" t="s">
        <v>2309</v>
      </c>
    </row>
    <row r="2369" spans="1:14" ht="181.5" hidden="1" customHeight="1">
      <c r="A2369" s="896">
        <v>29</v>
      </c>
      <c r="B2369" s="1609" t="s">
        <v>1183</v>
      </c>
      <c r="C2369" s="1609"/>
      <c r="D2369" s="1609"/>
      <c r="E2369" s="1609"/>
      <c r="F2369" s="1609"/>
      <c r="G2369" s="1609"/>
      <c r="H2369" s="1609"/>
      <c r="I2369" s="897"/>
      <c r="J2369" s="898"/>
      <c r="K2369" s="896"/>
      <c r="L2369" s="923"/>
      <c r="M2369" s="899"/>
      <c r="N2369" s="900" t="s">
        <v>2209</v>
      </c>
    </row>
    <row r="2370" spans="1:14" s="910" customFormat="1" ht="16.5" hidden="1" customHeight="1">
      <c r="A2370" s="896"/>
      <c r="B2370" s="902" t="s">
        <v>3574</v>
      </c>
      <c r="C2370" s="903"/>
      <c r="D2370" s="904"/>
      <c r="E2370" s="905"/>
      <c r="F2370" s="906"/>
      <c r="G2370" s="906"/>
      <c r="H2370" s="907"/>
      <c r="I2370" s="908"/>
      <c r="J2370" s="909"/>
      <c r="K2370" s="902"/>
      <c r="L2370" s="896"/>
      <c r="M2370" s="902"/>
      <c r="N2370" s="900" t="s">
        <v>2209</v>
      </c>
    </row>
    <row r="2371" spans="1:14" s="910" customFormat="1" ht="16.5" hidden="1" customHeight="1">
      <c r="A2371" s="896"/>
      <c r="B2371" s="956" t="s">
        <v>1621</v>
      </c>
      <c r="C2371" s="957">
        <v>1</v>
      </c>
      <c r="D2371" s="958" t="s">
        <v>273</v>
      </c>
      <c r="E2371" s="959">
        <v>2.25</v>
      </c>
      <c r="F2371" s="960">
        <v>1.2</v>
      </c>
      <c r="G2371" s="960">
        <v>0</v>
      </c>
      <c r="H2371" s="960">
        <v>2.1</v>
      </c>
      <c r="I2371" s="916">
        <f>ROUND(IF(AND(F2371:H2371),C2371*E2371*F2371*G2371*H2371,IF(AND(F2371,G2371),C2371*E2371*F2371*G2371,IF(AND(F2371,H2371),C2371*E2371*F2371*H2371,IF(AND(G2371,H2371),C2371*E2371*G2371*H2371,IF(F2371,C2371*E2371*F2371,IF(G2371,C2371*E2371*G2371,IF(H2371,C2371*E2371*H2371,C2371*E2371))))))),2)</f>
        <v>5.67</v>
      </c>
      <c r="J2371" s="909" t="s">
        <v>102</v>
      </c>
      <c r="K2371" s="902"/>
      <c r="L2371" s="896"/>
      <c r="M2371" s="902"/>
      <c r="N2371" s="900" t="s">
        <v>2209</v>
      </c>
    </row>
    <row r="2372" spans="1:14" s="910" customFormat="1" ht="16.5" hidden="1" customHeight="1">
      <c r="A2372" s="896"/>
      <c r="B2372" s="956"/>
      <c r="C2372" s="957"/>
      <c r="D2372" s="958"/>
      <c r="E2372" s="959"/>
      <c r="F2372" s="960"/>
      <c r="G2372" s="960"/>
      <c r="H2372" s="960"/>
      <c r="I2372" s="916"/>
      <c r="J2372" s="955"/>
      <c r="K2372" s="902"/>
      <c r="L2372" s="923"/>
      <c r="M2372" s="902"/>
      <c r="N2372" s="900" t="s">
        <v>2209</v>
      </c>
    </row>
    <row r="2373" spans="1:14" ht="15.75" hidden="1">
      <c r="A2373" s="896"/>
      <c r="B2373" s="902"/>
      <c r="C2373" s="917"/>
      <c r="D2373" s="918"/>
      <c r="E2373" s="919"/>
      <c r="F2373" s="920"/>
      <c r="G2373" s="921"/>
      <c r="H2373" s="896"/>
      <c r="I2373" s="916"/>
      <c r="J2373" s="955" t="s">
        <v>102</v>
      </c>
      <c r="K2373" s="922">
        <f>data!G888</f>
        <v>786.87</v>
      </c>
      <c r="L2373" s="923" t="s">
        <v>2209</v>
      </c>
      <c r="M2373" s="924">
        <f>ROUND(I2373*K2373,0)</f>
        <v>0</v>
      </c>
      <c r="N2373" s="900" t="s">
        <v>2209</v>
      </c>
    </row>
    <row r="2374" spans="1:14" ht="181.5" hidden="1" customHeight="1">
      <c r="A2374" s="896">
        <v>29</v>
      </c>
      <c r="B2374" s="1609" t="s">
        <v>1183</v>
      </c>
      <c r="C2374" s="1609"/>
      <c r="D2374" s="1609"/>
      <c r="E2374" s="1609"/>
      <c r="F2374" s="1609"/>
      <c r="G2374" s="1609"/>
      <c r="H2374" s="1609"/>
      <c r="I2374" s="897"/>
      <c r="J2374" s="898"/>
      <c r="K2374" s="896"/>
      <c r="L2374" s="923"/>
      <c r="M2374" s="899"/>
      <c r="N2374" s="900" t="s">
        <v>2297</v>
      </c>
    </row>
    <row r="2375" spans="1:14" s="910" customFormat="1" ht="16.5" hidden="1" customHeight="1">
      <c r="A2375" s="896"/>
      <c r="B2375" s="902" t="s">
        <v>3574</v>
      </c>
      <c r="C2375" s="903"/>
      <c r="D2375" s="904"/>
      <c r="E2375" s="905"/>
      <c r="F2375" s="906"/>
      <c r="G2375" s="906"/>
      <c r="H2375" s="907"/>
      <c r="I2375" s="908"/>
      <c r="J2375" s="909"/>
      <c r="K2375" s="902"/>
      <c r="L2375" s="896"/>
      <c r="M2375" s="902"/>
      <c r="N2375" s="900" t="s">
        <v>2297</v>
      </c>
    </row>
    <row r="2376" spans="1:14" s="910" customFormat="1" ht="16.5" hidden="1" customHeight="1">
      <c r="A2376" s="896"/>
      <c r="B2376" s="956" t="s">
        <v>1621</v>
      </c>
      <c r="C2376" s="957">
        <v>1</v>
      </c>
      <c r="D2376" s="958" t="s">
        <v>273</v>
      </c>
      <c r="E2376" s="959">
        <v>2.25</v>
      </c>
      <c r="F2376" s="960">
        <v>1.2</v>
      </c>
      <c r="G2376" s="960">
        <v>0</v>
      </c>
      <c r="H2376" s="960">
        <v>2.1</v>
      </c>
      <c r="I2376" s="916">
        <f>ROUND(IF(AND(F2376:H2376),C2376*E2376*F2376*G2376*H2376,IF(AND(F2376,G2376),C2376*E2376*F2376*G2376,IF(AND(F2376,H2376),C2376*E2376*F2376*H2376,IF(AND(G2376,H2376),C2376*E2376*G2376*H2376,IF(F2376,C2376*E2376*F2376,IF(G2376,C2376*E2376*G2376,IF(H2376,C2376*E2376*H2376,C2376*E2376))))))),2)</f>
        <v>5.67</v>
      </c>
      <c r="J2376" s="909" t="s">
        <v>102</v>
      </c>
      <c r="K2376" s="902"/>
      <c r="L2376" s="896"/>
      <c r="M2376" s="902"/>
      <c r="N2376" s="900" t="s">
        <v>2297</v>
      </c>
    </row>
    <row r="2377" spans="1:14" s="910" customFormat="1" ht="16.5" hidden="1" customHeight="1">
      <c r="A2377" s="896"/>
      <c r="B2377" s="956"/>
      <c r="C2377" s="957"/>
      <c r="D2377" s="958"/>
      <c r="E2377" s="959"/>
      <c r="F2377" s="960"/>
      <c r="G2377" s="960"/>
      <c r="H2377" s="960"/>
      <c r="I2377" s="916"/>
      <c r="J2377" s="955"/>
      <c r="K2377" s="902"/>
      <c r="L2377" s="923"/>
      <c r="M2377" s="902"/>
      <c r="N2377" s="900" t="s">
        <v>2297</v>
      </c>
    </row>
    <row r="2378" spans="1:14" ht="15.75" hidden="1">
      <c r="A2378" s="896"/>
      <c r="B2378" s="902"/>
      <c r="C2378" s="917"/>
      <c r="D2378" s="918"/>
      <c r="E2378" s="919"/>
      <c r="F2378" s="920"/>
      <c r="G2378" s="921"/>
      <c r="H2378" s="896"/>
      <c r="I2378" s="916"/>
      <c r="J2378" s="955" t="s">
        <v>102</v>
      </c>
      <c r="K2378" s="922">
        <f>data!G1805</f>
        <v>849.67000000000007</v>
      </c>
      <c r="L2378" s="923" t="s">
        <v>2297</v>
      </c>
      <c r="M2378" s="924">
        <f>ROUND(I2378*K2378,0)</f>
        <v>0</v>
      </c>
      <c r="N2378" s="900" t="s">
        <v>2297</v>
      </c>
    </row>
    <row r="2379" spans="1:14" ht="181.5" hidden="1" customHeight="1">
      <c r="A2379" s="896">
        <v>29</v>
      </c>
      <c r="B2379" s="1609" t="s">
        <v>1183</v>
      </c>
      <c r="C2379" s="1609"/>
      <c r="D2379" s="1609"/>
      <c r="E2379" s="1609"/>
      <c r="F2379" s="1609"/>
      <c r="G2379" s="1609"/>
      <c r="H2379" s="1609"/>
      <c r="I2379" s="897"/>
      <c r="J2379" s="898"/>
      <c r="K2379" s="896"/>
      <c r="L2379" s="923"/>
      <c r="M2379" s="899"/>
      <c r="N2379" s="900" t="s">
        <v>2308</v>
      </c>
    </row>
    <row r="2380" spans="1:14" s="910" customFormat="1" ht="16.5" hidden="1" customHeight="1">
      <c r="A2380" s="896"/>
      <c r="B2380" s="902" t="s">
        <v>3574</v>
      </c>
      <c r="C2380" s="903"/>
      <c r="D2380" s="904"/>
      <c r="E2380" s="905"/>
      <c r="F2380" s="906"/>
      <c r="G2380" s="906"/>
      <c r="H2380" s="907"/>
      <c r="I2380" s="908"/>
      <c r="J2380" s="909"/>
      <c r="K2380" s="902"/>
      <c r="L2380" s="896"/>
      <c r="M2380" s="902"/>
      <c r="N2380" s="900" t="s">
        <v>2308</v>
      </c>
    </row>
    <row r="2381" spans="1:14" s="910" customFormat="1" ht="16.5" hidden="1" customHeight="1">
      <c r="A2381" s="896"/>
      <c r="B2381" s="956" t="s">
        <v>1621</v>
      </c>
      <c r="C2381" s="957">
        <v>1</v>
      </c>
      <c r="D2381" s="958" t="s">
        <v>273</v>
      </c>
      <c r="E2381" s="959">
        <v>2.25</v>
      </c>
      <c r="F2381" s="960">
        <v>1.2</v>
      </c>
      <c r="G2381" s="960">
        <v>0</v>
      </c>
      <c r="H2381" s="960">
        <v>2.1</v>
      </c>
      <c r="I2381" s="916">
        <f>ROUND(IF(AND(F2381:H2381),C2381*E2381*F2381*G2381*H2381,IF(AND(F2381,G2381),C2381*E2381*F2381*G2381,IF(AND(F2381,H2381),C2381*E2381*F2381*H2381,IF(AND(G2381,H2381),C2381*E2381*G2381*H2381,IF(F2381,C2381*E2381*F2381,IF(G2381,C2381*E2381*G2381,IF(H2381,C2381*E2381*H2381,C2381*E2381))))))),2)</f>
        <v>5.67</v>
      </c>
      <c r="J2381" s="909" t="s">
        <v>102</v>
      </c>
      <c r="K2381" s="902"/>
      <c r="L2381" s="896"/>
      <c r="M2381" s="902"/>
      <c r="N2381" s="900" t="s">
        <v>2308</v>
      </c>
    </row>
    <row r="2382" spans="1:14" s="910" customFormat="1" ht="16.5" hidden="1" customHeight="1">
      <c r="A2382" s="896"/>
      <c r="B2382" s="956"/>
      <c r="C2382" s="957"/>
      <c r="D2382" s="958"/>
      <c r="E2382" s="959"/>
      <c r="F2382" s="960"/>
      <c r="G2382" s="960"/>
      <c r="H2382" s="960"/>
      <c r="I2382" s="916"/>
      <c r="J2382" s="955"/>
      <c r="K2382" s="902"/>
      <c r="L2382" s="923"/>
      <c r="M2382" s="902"/>
      <c r="N2382" s="900" t="s">
        <v>2308</v>
      </c>
    </row>
    <row r="2383" spans="1:14" ht="15.75" hidden="1">
      <c r="A2383" s="896"/>
      <c r="B2383" s="902"/>
      <c r="C2383" s="917"/>
      <c r="D2383" s="918"/>
      <c r="E2383" s="919"/>
      <c r="F2383" s="920"/>
      <c r="G2383" s="921"/>
      <c r="H2383" s="896"/>
      <c r="I2383" s="916"/>
      <c r="J2383" s="955" t="s">
        <v>102</v>
      </c>
      <c r="K2383" s="922">
        <f>data!G2722</f>
        <v>897.27</v>
      </c>
      <c r="L2383" s="923" t="s">
        <v>2308</v>
      </c>
      <c r="M2383" s="924">
        <f>ROUND(I2383*K2383,0)</f>
        <v>0</v>
      </c>
      <c r="N2383" s="900" t="s">
        <v>2308</v>
      </c>
    </row>
    <row r="2384" spans="1:14" ht="181.5" hidden="1" customHeight="1">
      <c r="A2384" s="896">
        <v>29</v>
      </c>
      <c r="B2384" s="1609" t="s">
        <v>1183</v>
      </c>
      <c r="C2384" s="1609"/>
      <c r="D2384" s="1609"/>
      <c r="E2384" s="1609"/>
      <c r="F2384" s="1609"/>
      <c r="G2384" s="1609"/>
      <c r="H2384" s="1609"/>
      <c r="I2384" s="897"/>
      <c r="J2384" s="898"/>
      <c r="K2384" s="896"/>
      <c r="L2384" s="923"/>
      <c r="M2384" s="899"/>
      <c r="N2384" s="900" t="s">
        <v>2309</v>
      </c>
    </row>
    <row r="2385" spans="1:14" s="910" customFormat="1" ht="16.5" hidden="1" customHeight="1">
      <c r="A2385" s="896"/>
      <c r="B2385" s="902" t="s">
        <v>3574</v>
      </c>
      <c r="C2385" s="903"/>
      <c r="D2385" s="904"/>
      <c r="E2385" s="905"/>
      <c r="F2385" s="906"/>
      <c r="G2385" s="906"/>
      <c r="H2385" s="907"/>
      <c r="I2385" s="908"/>
      <c r="J2385" s="909"/>
      <c r="K2385" s="902"/>
      <c r="L2385" s="896"/>
      <c r="M2385" s="902"/>
      <c r="N2385" s="900" t="s">
        <v>2309</v>
      </c>
    </row>
    <row r="2386" spans="1:14" s="910" customFormat="1" ht="16.5" hidden="1" customHeight="1">
      <c r="A2386" s="896"/>
      <c r="B2386" s="956" t="s">
        <v>1621</v>
      </c>
      <c r="C2386" s="957">
        <v>1</v>
      </c>
      <c r="D2386" s="958" t="s">
        <v>273</v>
      </c>
      <c r="E2386" s="959">
        <v>2.25</v>
      </c>
      <c r="F2386" s="960">
        <v>1.2</v>
      </c>
      <c r="G2386" s="960">
        <v>0</v>
      </c>
      <c r="H2386" s="960">
        <v>2.1</v>
      </c>
      <c r="I2386" s="916">
        <f>ROUND(IF(AND(F2386:H2386),C2386*E2386*F2386*G2386*H2386,IF(AND(F2386,G2386),C2386*E2386*F2386*G2386,IF(AND(F2386,H2386),C2386*E2386*F2386*H2386,IF(AND(G2386,H2386),C2386*E2386*G2386*H2386,IF(F2386,C2386*E2386*F2386,IF(G2386,C2386*E2386*G2386,IF(H2386,C2386*E2386*H2386,C2386*E2386))))))),2)</f>
        <v>5.67</v>
      </c>
      <c r="J2386" s="909" t="s">
        <v>102</v>
      </c>
      <c r="K2386" s="902"/>
      <c r="L2386" s="896"/>
      <c r="M2386" s="902"/>
      <c r="N2386" s="900" t="s">
        <v>2309</v>
      </c>
    </row>
    <row r="2387" spans="1:14" s="910" customFormat="1" ht="16.5" hidden="1" customHeight="1">
      <c r="A2387" s="896"/>
      <c r="B2387" s="956"/>
      <c r="C2387" s="957"/>
      <c r="D2387" s="958"/>
      <c r="E2387" s="959"/>
      <c r="F2387" s="960"/>
      <c r="G2387" s="960"/>
      <c r="H2387" s="960"/>
      <c r="I2387" s="916"/>
      <c r="J2387" s="955"/>
      <c r="K2387" s="902"/>
      <c r="L2387" s="923"/>
      <c r="M2387" s="902"/>
      <c r="N2387" s="900" t="s">
        <v>2309</v>
      </c>
    </row>
    <row r="2388" spans="1:14" ht="15.75" hidden="1">
      <c r="A2388" s="896"/>
      <c r="B2388" s="902"/>
      <c r="C2388" s="917"/>
      <c r="D2388" s="918"/>
      <c r="E2388" s="919"/>
      <c r="F2388" s="920"/>
      <c r="G2388" s="921"/>
      <c r="H2388" s="896"/>
      <c r="I2388" s="916"/>
      <c r="J2388" s="955" t="s">
        <v>102</v>
      </c>
      <c r="K2388" s="922">
        <f>data!G3639</f>
        <v>968.78</v>
      </c>
      <c r="L2388" s="923" t="s">
        <v>2309</v>
      </c>
      <c r="M2388" s="924">
        <f>ROUND(I2388*K2388,0)</f>
        <v>0</v>
      </c>
      <c r="N2388" s="900" t="s">
        <v>2309</v>
      </c>
    </row>
    <row r="2389" spans="1:14" ht="111.75" hidden="1" customHeight="1">
      <c r="A2389" s="896">
        <v>32</v>
      </c>
      <c r="B2389" s="1609" t="s">
        <v>680</v>
      </c>
      <c r="C2389" s="1609"/>
      <c r="D2389" s="1609"/>
      <c r="E2389" s="1609"/>
      <c r="F2389" s="1609"/>
      <c r="G2389" s="1609"/>
      <c r="H2389" s="1609"/>
      <c r="I2389" s="897"/>
      <c r="J2389" s="898"/>
      <c r="K2389" s="896"/>
      <c r="L2389" s="923"/>
      <c r="M2389" s="899"/>
      <c r="N2389" s="900" t="s">
        <v>2209</v>
      </c>
    </row>
    <row r="2390" spans="1:14" s="910" customFormat="1" ht="16.5" hidden="1" customHeight="1">
      <c r="A2390" s="896"/>
      <c r="B2390" s="902" t="s">
        <v>3527</v>
      </c>
      <c r="C2390" s="903"/>
      <c r="D2390" s="904"/>
      <c r="E2390" s="905"/>
      <c r="F2390" s="906"/>
      <c r="G2390" s="906"/>
      <c r="H2390" s="907"/>
      <c r="I2390" s="908"/>
      <c r="J2390" s="955"/>
      <c r="K2390" s="902"/>
      <c r="L2390" s="923"/>
      <c r="M2390" s="902"/>
      <c r="N2390" s="900" t="s">
        <v>2209</v>
      </c>
    </row>
    <row r="2391" spans="1:14" s="910" customFormat="1" ht="16.5" hidden="1" customHeight="1">
      <c r="A2391" s="896"/>
      <c r="B2391" s="911"/>
      <c r="C2391" s="912">
        <v>1</v>
      </c>
      <c r="D2391" s="913" t="s">
        <v>273</v>
      </c>
      <c r="E2391" s="914">
        <v>1</v>
      </c>
      <c r="F2391" s="1289">
        <v>2.4</v>
      </c>
      <c r="G2391" s="915">
        <v>0</v>
      </c>
      <c r="H2391" s="915">
        <v>2.1</v>
      </c>
      <c r="I2391" s="916">
        <f>ROUND(IF(AND(F2391:H2391),C2391*E2391*F2391*G2391*H2391,IF(AND(F2391,G2391),C2391*E2391*F2391*G2391,IF(AND(F2391,H2391),C2391*E2391*F2391*H2391,IF(AND(G2391,H2391),C2391*E2391*G2391*H2391,IF(F2391,C2391*E2391*F2391,IF(G2391,C2391*E2391*G2391,IF(H2391,C2391*E2391*H2391,C2391*E2391))))))),2)</f>
        <v>5.04</v>
      </c>
      <c r="J2391" s="955" t="s">
        <v>102</v>
      </c>
      <c r="K2391" s="902"/>
      <c r="L2391" s="923"/>
      <c r="M2391" s="902"/>
      <c r="N2391" s="900" t="s">
        <v>2209</v>
      </c>
    </row>
    <row r="2392" spans="1:14" s="910" customFormat="1" ht="16.5" hidden="1" customHeight="1">
      <c r="A2392" s="896"/>
      <c r="B2392" s="956"/>
      <c r="C2392" s="957"/>
      <c r="D2392" s="958"/>
      <c r="E2392" s="1268"/>
      <c r="F2392" s="1290"/>
      <c r="G2392" s="960"/>
      <c r="H2392" s="960"/>
      <c r="I2392" s="916"/>
      <c r="J2392" s="955"/>
      <c r="K2392" s="902"/>
      <c r="L2392" s="923"/>
      <c r="M2392" s="902"/>
      <c r="N2392" s="900" t="s">
        <v>2209</v>
      </c>
    </row>
    <row r="2393" spans="1:14" ht="15.75" hidden="1">
      <c r="A2393" s="896"/>
      <c r="B2393" s="902"/>
      <c r="C2393" s="917"/>
      <c r="D2393" s="918"/>
      <c r="E2393" s="919"/>
      <c r="F2393" s="920"/>
      <c r="G2393" s="921"/>
      <c r="H2393" s="896"/>
      <c r="I2393" s="916"/>
      <c r="J2393" s="955" t="s">
        <v>102</v>
      </c>
      <c r="K2393" s="922">
        <f>data!G894</f>
        <v>3198</v>
      </c>
      <c r="L2393" s="923" t="s">
        <v>2209</v>
      </c>
      <c r="M2393" s="924">
        <f>ROUND(I2393*K2393,0)</f>
        <v>0</v>
      </c>
      <c r="N2393" s="900" t="s">
        <v>2209</v>
      </c>
    </row>
    <row r="2394" spans="1:14" ht="111.75" hidden="1" customHeight="1">
      <c r="A2394" s="896">
        <v>30</v>
      </c>
      <c r="B2394" s="1609" t="s">
        <v>680</v>
      </c>
      <c r="C2394" s="1609"/>
      <c r="D2394" s="1609"/>
      <c r="E2394" s="1609"/>
      <c r="F2394" s="1609"/>
      <c r="G2394" s="1609"/>
      <c r="H2394" s="1609"/>
      <c r="I2394" s="897"/>
      <c r="J2394" s="898"/>
      <c r="K2394" s="896"/>
      <c r="L2394" s="923"/>
      <c r="M2394" s="899"/>
      <c r="N2394" s="900" t="s">
        <v>2297</v>
      </c>
    </row>
    <row r="2395" spans="1:14" s="910" customFormat="1" ht="16.5" hidden="1" customHeight="1">
      <c r="A2395" s="896"/>
      <c r="B2395" s="902" t="s">
        <v>2738</v>
      </c>
      <c r="C2395" s="903"/>
      <c r="D2395" s="904"/>
      <c r="E2395" s="905"/>
      <c r="F2395" s="906"/>
      <c r="G2395" s="906"/>
      <c r="H2395" s="907"/>
      <c r="I2395" s="908"/>
      <c r="J2395" s="955"/>
      <c r="K2395" s="902"/>
      <c r="L2395" s="923"/>
      <c r="M2395" s="902"/>
      <c r="N2395" s="900" t="s">
        <v>2297</v>
      </c>
    </row>
    <row r="2396" spans="1:14" s="910" customFormat="1" ht="16.5" hidden="1" customHeight="1">
      <c r="A2396" s="896"/>
      <c r="B2396" s="911"/>
      <c r="C2396" s="912">
        <v>1</v>
      </c>
      <c r="D2396" s="913" t="s">
        <v>273</v>
      </c>
      <c r="E2396" s="914">
        <v>1</v>
      </c>
      <c r="F2396" s="1289">
        <v>2.4500000000000002</v>
      </c>
      <c r="G2396" s="915">
        <v>0</v>
      </c>
      <c r="H2396" s="915">
        <v>2.1</v>
      </c>
      <c r="I2396" s="916">
        <f>ROUND(IF(AND(F2396:H2396),C2396*E2396*F2396*G2396*H2396,IF(AND(F2396,G2396),C2396*E2396*F2396*G2396,IF(AND(F2396,H2396),C2396*E2396*F2396*H2396,IF(AND(G2396,H2396),C2396*E2396*G2396*H2396,IF(F2396,C2396*E2396*F2396,IF(G2396,C2396*E2396*G2396,IF(H2396,C2396*E2396*H2396,C2396*E2396))))))),2)</f>
        <v>5.15</v>
      </c>
      <c r="J2396" s="955" t="s">
        <v>102</v>
      </c>
      <c r="K2396" s="902"/>
      <c r="L2396" s="923"/>
      <c r="M2396" s="902"/>
      <c r="N2396" s="900" t="s">
        <v>2297</v>
      </c>
    </row>
    <row r="2397" spans="1:14" s="910" customFormat="1" ht="16.5" hidden="1" customHeight="1">
      <c r="A2397" s="896"/>
      <c r="B2397" s="956"/>
      <c r="C2397" s="957"/>
      <c r="D2397" s="958"/>
      <c r="E2397" s="1268"/>
      <c r="F2397" s="1290"/>
      <c r="G2397" s="960"/>
      <c r="H2397" s="960"/>
      <c r="I2397" s="916"/>
      <c r="J2397" s="955"/>
      <c r="K2397" s="902"/>
      <c r="L2397" s="923"/>
      <c r="M2397" s="902"/>
      <c r="N2397" s="900" t="s">
        <v>2297</v>
      </c>
    </row>
    <row r="2398" spans="1:14" ht="15.75" hidden="1">
      <c r="A2398" s="896"/>
      <c r="B2398" s="902"/>
      <c r="C2398" s="917"/>
      <c r="D2398" s="918"/>
      <c r="E2398" s="919"/>
      <c r="F2398" s="920"/>
      <c r="G2398" s="921"/>
      <c r="H2398" s="896"/>
      <c r="I2398" s="916"/>
      <c r="J2398" s="955" t="s">
        <v>102</v>
      </c>
      <c r="K2398" s="922">
        <f>data!G1811</f>
        <v>3198</v>
      </c>
      <c r="L2398" s="923" t="s">
        <v>2297</v>
      </c>
      <c r="M2398" s="924">
        <f>ROUND(I2398*K2398,0)</f>
        <v>0</v>
      </c>
      <c r="N2398" s="900" t="s">
        <v>2297</v>
      </c>
    </row>
    <row r="2399" spans="1:14" ht="111.75" hidden="1" customHeight="1">
      <c r="A2399" s="896">
        <v>32</v>
      </c>
      <c r="B2399" s="1609" t="s">
        <v>680</v>
      </c>
      <c r="C2399" s="1609"/>
      <c r="D2399" s="1609"/>
      <c r="E2399" s="1609"/>
      <c r="F2399" s="1609"/>
      <c r="G2399" s="1609"/>
      <c r="H2399" s="1609"/>
      <c r="I2399" s="897"/>
      <c r="J2399" s="898"/>
      <c r="K2399" s="896"/>
      <c r="L2399" s="923"/>
      <c r="M2399" s="899"/>
      <c r="N2399" s="900" t="s">
        <v>2308</v>
      </c>
    </row>
    <row r="2400" spans="1:14" s="910" customFormat="1" ht="16.5" hidden="1" customHeight="1">
      <c r="A2400" s="896"/>
      <c r="B2400" s="902" t="s">
        <v>3527</v>
      </c>
      <c r="C2400" s="903"/>
      <c r="D2400" s="904"/>
      <c r="E2400" s="905"/>
      <c r="F2400" s="906"/>
      <c r="G2400" s="906"/>
      <c r="H2400" s="907"/>
      <c r="I2400" s="908"/>
      <c r="J2400" s="955"/>
      <c r="K2400" s="902"/>
      <c r="L2400" s="923"/>
      <c r="M2400" s="902"/>
      <c r="N2400" s="900" t="s">
        <v>2308</v>
      </c>
    </row>
    <row r="2401" spans="1:14" s="910" customFormat="1" ht="16.5" hidden="1" customHeight="1">
      <c r="A2401" s="896"/>
      <c r="B2401" s="911"/>
      <c r="C2401" s="912">
        <v>1</v>
      </c>
      <c r="D2401" s="913" t="s">
        <v>273</v>
      </c>
      <c r="E2401" s="914">
        <v>1</v>
      </c>
      <c r="F2401" s="1289">
        <v>2.4</v>
      </c>
      <c r="G2401" s="915">
        <v>0</v>
      </c>
      <c r="H2401" s="915">
        <v>2.1</v>
      </c>
      <c r="I2401" s="916">
        <f>ROUND(IF(AND(F2401:H2401),C2401*E2401*F2401*G2401*H2401,IF(AND(F2401,G2401),C2401*E2401*F2401*G2401,IF(AND(F2401,H2401),C2401*E2401*F2401*H2401,IF(AND(G2401,H2401),C2401*E2401*G2401*H2401,IF(F2401,C2401*E2401*F2401,IF(G2401,C2401*E2401*G2401,IF(H2401,C2401*E2401*H2401,C2401*E2401))))))),2)</f>
        <v>5.04</v>
      </c>
      <c r="J2401" s="955" t="s">
        <v>102</v>
      </c>
      <c r="K2401" s="902"/>
      <c r="L2401" s="923"/>
      <c r="M2401" s="902"/>
      <c r="N2401" s="900" t="s">
        <v>2308</v>
      </c>
    </row>
    <row r="2402" spans="1:14" s="910" customFormat="1" ht="16.5" hidden="1" customHeight="1">
      <c r="A2402" s="896"/>
      <c r="B2402" s="956"/>
      <c r="C2402" s="957"/>
      <c r="D2402" s="958"/>
      <c r="E2402" s="1268"/>
      <c r="F2402" s="1290"/>
      <c r="G2402" s="960"/>
      <c r="H2402" s="960"/>
      <c r="I2402" s="916"/>
      <c r="J2402" s="955"/>
      <c r="K2402" s="902"/>
      <c r="L2402" s="923"/>
      <c r="M2402" s="902"/>
      <c r="N2402" s="900" t="s">
        <v>2308</v>
      </c>
    </row>
    <row r="2403" spans="1:14" ht="15.75" hidden="1">
      <c r="A2403" s="896"/>
      <c r="B2403" s="902"/>
      <c r="C2403" s="917"/>
      <c r="D2403" s="918"/>
      <c r="E2403" s="919"/>
      <c r="F2403" s="920"/>
      <c r="G2403" s="921"/>
      <c r="H2403" s="896"/>
      <c r="I2403" s="916"/>
      <c r="J2403" s="955" t="s">
        <v>102</v>
      </c>
      <c r="K2403" s="922">
        <f>data!G2728</f>
        <v>3500</v>
      </c>
      <c r="L2403" s="923" t="s">
        <v>2308</v>
      </c>
      <c r="M2403" s="924">
        <f>ROUND(I2403*K2403,0)</f>
        <v>0</v>
      </c>
      <c r="N2403" s="900" t="s">
        <v>2308</v>
      </c>
    </row>
    <row r="2404" spans="1:14" ht="111.75" hidden="1" customHeight="1">
      <c r="A2404" s="896">
        <v>28</v>
      </c>
      <c r="B2404" s="1609" t="s">
        <v>680</v>
      </c>
      <c r="C2404" s="1609"/>
      <c r="D2404" s="1609"/>
      <c r="E2404" s="1609"/>
      <c r="F2404" s="1609"/>
      <c r="G2404" s="1609"/>
      <c r="H2404" s="1609"/>
      <c r="I2404" s="897"/>
      <c r="J2404" s="898"/>
      <c r="K2404" s="896"/>
      <c r="L2404" s="923"/>
      <c r="M2404" s="899"/>
      <c r="N2404" s="900" t="s">
        <v>2309</v>
      </c>
    </row>
    <row r="2405" spans="1:14" s="910" customFormat="1" ht="16.5" hidden="1" customHeight="1">
      <c r="A2405" s="896"/>
      <c r="B2405" s="902" t="s">
        <v>3575</v>
      </c>
      <c r="C2405" s="1269"/>
      <c r="D2405" s="1280" t="s">
        <v>3252</v>
      </c>
      <c r="E2405" s="1270"/>
      <c r="F2405" s="1271"/>
      <c r="G2405" s="1271"/>
      <c r="H2405" s="1271"/>
      <c r="I2405" s="1269"/>
      <c r="J2405" s="955"/>
      <c r="K2405" s="902"/>
      <c r="L2405" s="923"/>
      <c r="M2405" s="902"/>
      <c r="N2405" s="900" t="s">
        <v>2309</v>
      </c>
    </row>
    <row r="2406" spans="1:14" s="910" customFormat="1" ht="16.5" hidden="1" customHeight="1">
      <c r="A2406" s="896"/>
      <c r="B2406" s="928"/>
      <c r="C2406" s="897">
        <v>1</v>
      </c>
      <c r="D2406" s="1263" t="s">
        <v>273</v>
      </c>
      <c r="E2406" s="919">
        <v>1</v>
      </c>
      <c r="F2406" s="920">
        <v>3.15</v>
      </c>
      <c r="G2406" s="920">
        <v>2.85</v>
      </c>
      <c r="H2406" s="920">
        <v>0</v>
      </c>
      <c r="I2406" s="1266">
        <f t="shared" ref="I2406" si="212">ROUND(IF(AND(F2406:H2406),C2406*E2406*F2406*G2406*H2406,IF(AND(F2406,G2406),C2406*E2406*F2406*G2406,IF(AND(F2406,H2406),C2406*E2406*F2406*H2406,IF(AND(G2406,H2406),C2406*E2406*G2406*H2406,IF(F2406,C2406*E2406*F2406,IF(G2406,C2406*E2406*G2406,IF(H2406,C2406*E2406*H2406,C2406*E2406))))))),2)</f>
        <v>8.98</v>
      </c>
      <c r="J2406" s="955" t="s">
        <v>102</v>
      </c>
      <c r="K2406" s="902"/>
      <c r="L2406" s="923"/>
      <c r="M2406" s="902"/>
      <c r="N2406" s="900" t="s">
        <v>2309</v>
      </c>
    </row>
    <row r="2407" spans="1:14" s="910" customFormat="1" ht="16.5" hidden="1" customHeight="1">
      <c r="A2407" s="896"/>
      <c r="B2407" s="956"/>
      <c r="C2407" s="957"/>
      <c r="D2407" s="958"/>
      <c r="E2407" s="1268"/>
      <c r="F2407" s="1290"/>
      <c r="G2407" s="960"/>
      <c r="H2407" s="960"/>
      <c r="I2407" s="916"/>
      <c r="J2407" s="955"/>
      <c r="K2407" s="902"/>
      <c r="L2407" s="923"/>
      <c r="M2407" s="902"/>
      <c r="N2407" s="900" t="s">
        <v>2309</v>
      </c>
    </row>
    <row r="2408" spans="1:14" ht="15.75" hidden="1">
      <c r="A2408" s="896"/>
      <c r="B2408" s="902"/>
      <c r="C2408" s="917"/>
      <c r="D2408" s="918"/>
      <c r="E2408" s="919"/>
      <c r="F2408" s="920"/>
      <c r="G2408" s="921"/>
      <c r="H2408" s="896"/>
      <c r="I2408" s="916"/>
      <c r="J2408" s="955" t="s">
        <v>102</v>
      </c>
      <c r="K2408" s="922">
        <f>data!G3645</f>
        <v>4025</v>
      </c>
      <c r="L2408" s="923" t="s">
        <v>2309</v>
      </c>
      <c r="M2408" s="924">
        <f>ROUND(I2408*K2408,0)</f>
        <v>0</v>
      </c>
      <c r="N2408" s="900" t="s">
        <v>2309</v>
      </c>
    </row>
    <row r="2409" spans="1:14" ht="36.75" hidden="1" customHeight="1">
      <c r="A2409" s="896">
        <v>33</v>
      </c>
      <c r="B2409" s="1609" t="s">
        <v>952</v>
      </c>
      <c r="C2409" s="1609"/>
      <c r="D2409" s="1609"/>
      <c r="E2409" s="1609"/>
      <c r="F2409" s="1609"/>
      <c r="G2409" s="1609"/>
      <c r="H2409" s="1609"/>
      <c r="I2409" s="897"/>
      <c r="J2409" s="898"/>
      <c r="K2409" s="896"/>
      <c r="L2409" s="923"/>
      <c r="M2409" s="899"/>
      <c r="N2409" s="900" t="s">
        <v>2209</v>
      </c>
    </row>
    <row r="2410" spans="1:14" s="910" customFormat="1" ht="16.5" hidden="1" customHeight="1">
      <c r="A2410" s="896"/>
      <c r="B2410" s="902" t="s">
        <v>3617</v>
      </c>
      <c r="C2410" s="903"/>
      <c r="D2410" s="904"/>
      <c r="E2410" s="905"/>
      <c r="F2410" s="906"/>
      <c r="G2410" s="906"/>
      <c r="H2410" s="907"/>
      <c r="I2410" s="908"/>
      <c r="J2410" s="955"/>
      <c r="K2410" s="902"/>
      <c r="L2410" s="896"/>
      <c r="M2410" s="902"/>
      <c r="N2410" s="900" t="s">
        <v>2209</v>
      </c>
    </row>
    <row r="2411" spans="1:14" s="910" customFormat="1" ht="16.5" hidden="1" customHeight="1">
      <c r="A2411" s="896"/>
      <c r="B2411" s="956"/>
      <c r="C2411" s="957">
        <v>1</v>
      </c>
      <c r="D2411" s="958" t="s">
        <v>273</v>
      </c>
      <c r="E2411" s="1268">
        <v>4</v>
      </c>
      <c r="F2411" s="960">
        <v>0</v>
      </c>
      <c r="G2411" s="960">
        <v>0</v>
      </c>
      <c r="H2411" s="960">
        <v>0</v>
      </c>
      <c r="I2411" s="916">
        <f>ROUND(IF(AND(F2411:H2411),C2411*E2411*F2411*G2411*H2411,IF(AND(F2411,G2411),C2411*E2411*F2411*G2411,IF(AND(F2411,H2411),C2411*E2411*F2411*H2411,IF(AND(G2411,H2411),C2411*E2411*G2411*H2411,IF(F2411,C2411*E2411*F2411,IF(G2411,C2411*E2411*G2411,IF(H2411,C2411*E2411*H2411,C2411*E2411))))))),2)</f>
        <v>4</v>
      </c>
      <c r="J2411" s="955" t="s">
        <v>115</v>
      </c>
      <c r="K2411" s="902"/>
      <c r="L2411" s="896"/>
      <c r="M2411" s="902"/>
      <c r="N2411" s="900" t="s">
        <v>2209</v>
      </c>
    </row>
    <row r="2412" spans="1:14" s="910" customFormat="1" ht="16.5" hidden="1" customHeight="1">
      <c r="A2412" s="896"/>
      <c r="B2412" s="956"/>
      <c r="C2412" s="957"/>
      <c r="D2412" s="958"/>
      <c r="E2412" s="1268"/>
      <c r="F2412" s="960"/>
      <c r="G2412" s="960"/>
      <c r="H2412" s="960"/>
      <c r="I2412" s="916"/>
      <c r="J2412" s="955"/>
      <c r="K2412" s="902"/>
      <c r="L2412" s="896"/>
      <c r="M2412" s="902"/>
      <c r="N2412" s="900" t="s">
        <v>2209</v>
      </c>
    </row>
    <row r="2413" spans="1:14" ht="15.75" hidden="1">
      <c r="A2413" s="896"/>
      <c r="B2413" s="902"/>
      <c r="C2413" s="917"/>
      <c r="D2413" s="918"/>
      <c r="E2413" s="919"/>
      <c r="F2413" s="920"/>
      <c r="G2413" s="921"/>
      <c r="H2413" s="896"/>
      <c r="I2413" s="916"/>
      <c r="J2413" s="955" t="s">
        <v>115</v>
      </c>
      <c r="K2413" s="922">
        <f>data!G903</f>
        <v>666.66</v>
      </c>
      <c r="L2413" s="923" t="s">
        <v>2209</v>
      </c>
      <c r="M2413" s="924">
        <f>ROUND(I2413*K2413,0)</f>
        <v>0</v>
      </c>
      <c r="N2413" s="900" t="s">
        <v>2209</v>
      </c>
    </row>
    <row r="2414" spans="1:14" ht="36.75" hidden="1" customHeight="1">
      <c r="A2414" s="896">
        <v>33</v>
      </c>
      <c r="B2414" s="1609" t="s">
        <v>952</v>
      </c>
      <c r="C2414" s="1609"/>
      <c r="D2414" s="1609"/>
      <c r="E2414" s="1609"/>
      <c r="F2414" s="1609"/>
      <c r="G2414" s="1609"/>
      <c r="H2414" s="1609"/>
      <c r="I2414" s="897"/>
      <c r="J2414" s="898"/>
      <c r="K2414" s="896"/>
      <c r="L2414" s="923"/>
      <c r="M2414" s="899"/>
      <c r="N2414" s="900" t="s">
        <v>2297</v>
      </c>
    </row>
    <row r="2415" spans="1:14" s="910" customFormat="1" ht="16.5" hidden="1" customHeight="1">
      <c r="A2415" s="896"/>
      <c r="B2415" s="902" t="s">
        <v>3567</v>
      </c>
      <c r="C2415" s="903"/>
      <c r="D2415" s="904"/>
      <c r="E2415" s="905"/>
      <c r="F2415" s="906"/>
      <c r="G2415" s="906"/>
      <c r="H2415" s="907"/>
      <c r="I2415" s="908"/>
      <c r="J2415" s="955"/>
      <c r="K2415" s="902"/>
      <c r="L2415" s="896"/>
      <c r="M2415" s="902"/>
      <c r="N2415" s="900" t="s">
        <v>2297</v>
      </c>
    </row>
    <row r="2416" spans="1:14" s="910" customFormat="1" ht="16.5" hidden="1" customHeight="1">
      <c r="A2416" s="896"/>
      <c r="B2416" s="956"/>
      <c r="C2416" s="957">
        <v>1</v>
      </c>
      <c r="D2416" s="958" t="s">
        <v>273</v>
      </c>
      <c r="E2416" s="1268">
        <v>8</v>
      </c>
      <c r="F2416" s="960">
        <v>0</v>
      </c>
      <c r="G2416" s="960">
        <v>0</v>
      </c>
      <c r="H2416" s="960">
        <v>0</v>
      </c>
      <c r="I2416" s="916">
        <f>ROUND(IF(AND(F2416:H2416),C2416*E2416*F2416*G2416*H2416,IF(AND(F2416,G2416),C2416*E2416*F2416*G2416,IF(AND(F2416,H2416),C2416*E2416*F2416*H2416,IF(AND(G2416,H2416),C2416*E2416*G2416*H2416,IF(F2416,C2416*E2416*F2416,IF(G2416,C2416*E2416*G2416,IF(H2416,C2416*E2416*H2416,C2416*E2416))))))),2)</f>
        <v>8</v>
      </c>
      <c r="J2416" s="955" t="s">
        <v>115</v>
      </c>
      <c r="K2416" s="902"/>
      <c r="L2416" s="896"/>
      <c r="M2416" s="902"/>
      <c r="N2416" s="900" t="s">
        <v>2297</v>
      </c>
    </row>
    <row r="2417" spans="1:14" s="910" customFormat="1" ht="16.5" hidden="1" customHeight="1">
      <c r="A2417" s="896"/>
      <c r="B2417" s="956"/>
      <c r="C2417" s="957"/>
      <c r="D2417" s="958"/>
      <c r="E2417" s="1268"/>
      <c r="F2417" s="960"/>
      <c r="G2417" s="960"/>
      <c r="H2417" s="960"/>
      <c r="I2417" s="916"/>
      <c r="J2417" s="955"/>
      <c r="K2417" s="902"/>
      <c r="L2417" s="896"/>
      <c r="M2417" s="902"/>
      <c r="N2417" s="900" t="s">
        <v>2297</v>
      </c>
    </row>
    <row r="2418" spans="1:14" ht="15.75" hidden="1">
      <c r="A2418" s="896"/>
      <c r="B2418" s="902"/>
      <c r="C2418" s="917"/>
      <c r="D2418" s="918"/>
      <c r="E2418" s="919"/>
      <c r="F2418" s="920"/>
      <c r="G2418" s="921"/>
      <c r="H2418" s="896"/>
      <c r="I2418" s="916"/>
      <c r="J2418" s="955" t="s">
        <v>115</v>
      </c>
      <c r="K2418" s="922">
        <f>data!G1820</f>
        <v>666.66</v>
      </c>
      <c r="L2418" s="923" t="s">
        <v>2297</v>
      </c>
      <c r="M2418" s="924">
        <f>ROUND(I2418*K2418,0)</f>
        <v>0</v>
      </c>
      <c r="N2418" s="900" t="s">
        <v>2297</v>
      </c>
    </row>
    <row r="2419" spans="1:14" ht="36.75" hidden="1" customHeight="1">
      <c r="A2419" s="896">
        <v>33</v>
      </c>
      <c r="B2419" s="1609" t="s">
        <v>952</v>
      </c>
      <c r="C2419" s="1609"/>
      <c r="D2419" s="1609"/>
      <c r="E2419" s="1609"/>
      <c r="F2419" s="1609"/>
      <c r="G2419" s="1609"/>
      <c r="H2419" s="1609"/>
      <c r="I2419" s="897"/>
      <c r="J2419" s="898"/>
      <c r="K2419" s="896"/>
      <c r="L2419" s="923"/>
      <c r="M2419" s="899"/>
      <c r="N2419" s="900" t="s">
        <v>2308</v>
      </c>
    </row>
    <row r="2420" spans="1:14" s="910" customFormat="1" ht="16.5" hidden="1" customHeight="1">
      <c r="A2420" s="896"/>
      <c r="B2420" s="902" t="s">
        <v>3617</v>
      </c>
      <c r="C2420" s="903"/>
      <c r="D2420" s="904"/>
      <c r="E2420" s="905"/>
      <c r="F2420" s="906"/>
      <c r="G2420" s="906"/>
      <c r="H2420" s="907"/>
      <c r="I2420" s="908"/>
      <c r="J2420" s="955"/>
      <c r="K2420" s="902"/>
      <c r="L2420" s="896"/>
      <c r="M2420" s="902"/>
      <c r="N2420" s="900" t="s">
        <v>2308</v>
      </c>
    </row>
    <row r="2421" spans="1:14" s="910" customFormat="1" ht="16.5" hidden="1" customHeight="1">
      <c r="A2421" s="896"/>
      <c r="B2421" s="956"/>
      <c r="C2421" s="957">
        <v>1</v>
      </c>
      <c r="D2421" s="958" t="s">
        <v>273</v>
      </c>
      <c r="E2421" s="1268">
        <v>8</v>
      </c>
      <c r="F2421" s="960">
        <v>0</v>
      </c>
      <c r="G2421" s="960">
        <v>0</v>
      </c>
      <c r="H2421" s="960">
        <v>0</v>
      </c>
      <c r="I2421" s="916">
        <f>ROUND(IF(AND(F2421:H2421),C2421*E2421*F2421*G2421*H2421,IF(AND(F2421,G2421),C2421*E2421*F2421*G2421,IF(AND(F2421,H2421),C2421*E2421*F2421*H2421,IF(AND(G2421,H2421),C2421*E2421*G2421*H2421,IF(F2421,C2421*E2421*F2421,IF(G2421,C2421*E2421*G2421,IF(H2421,C2421*E2421*H2421,C2421*E2421))))))),2)</f>
        <v>8</v>
      </c>
      <c r="J2421" s="955" t="s">
        <v>115</v>
      </c>
      <c r="K2421" s="902"/>
      <c r="L2421" s="896"/>
      <c r="M2421" s="902"/>
      <c r="N2421" s="900" t="s">
        <v>2308</v>
      </c>
    </row>
    <row r="2422" spans="1:14" s="910" customFormat="1" ht="16.5" hidden="1" customHeight="1">
      <c r="A2422" s="896"/>
      <c r="B2422" s="956"/>
      <c r="C2422" s="957"/>
      <c r="D2422" s="958"/>
      <c r="E2422" s="1268"/>
      <c r="F2422" s="960"/>
      <c r="G2422" s="960"/>
      <c r="H2422" s="960"/>
      <c r="I2422" s="916"/>
      <c r="J2422" s="955"/>
      <c r="K2422" s="902"/>
      <c r="L2422" s="896"/>
      <c r="M2422" s="902"/>
      <c r="N2422" s="900" t="s">
        <v>2308</v>
      </c>
    </row>
    <row r="2423" spans="1:14" ht="15.75" hidden="1">
      <c r="A2423" s="896"/>
      <c r="B2423" s="902"/>
      <c r="C2423" s="917"/>
      <c r="D2423" s="918"/>
      <c r="E2423" s="919"/>
      <c r="F2423" s="920"/>
      <c r="G2423" s="921"/>
      <c r="H2423" s="896"/>
      <c r="I2423" s="916"/>
      <c r="J2423" s="955" t="s">
        <v>115</v>
      </c>
      <c r="K2423" s="922">
        <f>data!G2737</f>
        <v>733.33</v>
      </c>
      <c r="L2423" s="923" t="s">
        <v>2308</v>
      </c>
      <c r="M2423" s="924">
        <f>ROUND(I2423*K2423,0)</f>
        <v>0</v>
      </c>
      <c r="N2423" s="900" t="s">
        <v>2308</v>
      </c>
    </row>
    <row r="2424" spans="1:14" ht="36.75" hidden="1" customHeight="1">
      <c r="A2424" s="896">
        <v>28</v>
      </c>
      <c r="B2424" s="1609" t="s">
        <v>952</v>
      </c>
      <c r="C2424" s="1609"/>
      <c r="D2424" s="1609"/>
      <c r="E2424" s="1609"/>
      <c r="F2424" s="1609"/>
      <c r="G2424" s="1609"/>
      <c r="H2424" s="1609"/>
      <c r="I2424" s="897"/>
      <c r="J2424" s="898"/>
      <c r="K2424" s="896"/>
      <c r="L2424" s="923"/>
      <c r="M2424" s="899"/>
      <c r="N2424" s="900" t="s">
        <v>2309</v>
      </c>
    </row>
    <row r="2425" spans="1:14" s="910" customFormat="1" ht="16.5" hidden="1" customHeight="1">
      <c r="A2425" s="896"/>
      <c r="B2425" s="902" t="s">
        <v>3617</v>
      </c>
      <c r="C2425" s="903"/>
      <c r="D2425" s="904"/>
      <c r="E2425" s="905"/>
      <c r="F2425" s="906"/>
      <c r="G2425" s="906"/>
      <c r="H2425" s="907"/>
      <c r="I2425" s="908"/>
      <c r="J2425" s="955"/>
      <c r="K2425" s="902"/>
      <c r="L2425" s="896"/>
      <c r="M2425" s="902"/>
      <c r="N2425" s="900" t="s">
        <v>2309</v>
      </c>
    </row>
    <row r="2426" spans="1:14" s="910" customFormat="1" ht="16.5" hidden="1" customHeight="1">
      <c r="A2426" s="896"/>
      <c r="B2426" s="956"/>
      <c r="C2426" s="957">
        <v>1</v>
      </c>
      <c r="D2426" s="958" t="s">
        <v>273</v>
      </c>
      <c r="E2426" s="1268">
        <v>4</v>
      </c>
      <c r="F2426" s="960">
        <v>0</v>
      </c>
      <c r="G2426" s="960">
        <v>0</v>
      </c>
      <c r="H2426" s="960">
        <v>0</v>
      </c>
      <c r="I2426" s="1291">
        <f>ROUND(IF(AND(F2426:H2426),C2426*E2426*F2426*G2426*H2426,IF(AND(F2426,G2426),C2426*E2426*F2426*G2426,IF(AND(F2426,H2426),C2426*E2426*F2426*H2426,IF(AND(G2426,H2426),C2426*E2426*G2426*H2426,IF(F2426,C2426*E2426*F2426,IF(G2426,C2426*E2426*G2426,IF(H2426,C2426*E2426*H2426,C2426*E2426))))))),2)</f>
        <v>4</v>
      </c>
      <c r="J2426" s="955" t="s">
        <v>115</v>
      </c>
      <c r="K2426" s="902"/>
      <c r="L2426" s="896"/>
      <c r="M2426" s="902"/>
      <c r="N2426" s="900" t="s">
        <v>2309</v>
      </c>
    </row>
    <row r="2427" spans="1:14" s="910" customFormat="1" ht="16.5" hidden="1" customHeight="1">
      <c r="A2427" s="896"/>
      <c r="B2427" s="956"/>
      <c r="C2427" s="957"/>
      <c r="D2427" s="958"/>
      <c r="E2427" s="1268"/>
      <c r="F2427" s="960"/>
      <c r="G2427" s="960"/>
      <c r="H2427" s="960"/>
      <c r="I2427" s="1291"/>
      <c r="J2427" s="955"/>
      <c r="K2427" s="902"/>
      <c r="L2427" s="896"/>
      <c r="M2427" s="902"/>
      <c r="N2427" s="900" t="s">
        <v>2309</v>
      </c>
    </row>
    <row r="2428" spans="1:14" ht="15.75" hidden="1">
      <c r="A2428" s="896"/>
      <c r="B2428" s="902"/>
      <c r="C2428" s="917"/>
      <c r="D2428" s="918"/>
      <c r="E2428" s="919"/>
      <c r="F2428" s="920"/>
      <c r="G2428" s="921"/>
      <c r="H2428" s="896"/>
      <c r="I2428" s="1291"/>
      <c r="J2428" s="955" t="s">
        <v>115</v>
      </c>
      <c r="K2428" s="922">
        <f>data!G3654</f>
        <v>808</v>
      </c>
      <c r="L2428" s="923" t="s">
        <v>2309</v>
      </c>
      <c r="M2428" s="924">
        <f>ROUND(I2428*K2428,0)</f>
        <v>0</v>
      </c>
      <c r="N2428" s="900" t="s">
        <v>2309</v>
      </c>
    </row>
    <row r="2429" spans="1:14" ht="33" hidden="1" customHeight="1">
      <c r="A2429" s="896">
        <v>32</v>
      </c>
      <c r="B2429" s="1609" t="s">
        <v>1231</v>
      </c>
      <c r="C2429" s="1609"/>
      <c r="D2429" s="1609"/>
      <c r="E2429" s="1609"/>
      <c r="F2429" s="1609"/>
      <c r="G2429" s="1609"/>
      <c r="H2429" s="1609"/>
      <c r="I2429" s="897"/>
      <c r="J2429" s="898"/>
      <c r="K2429" s="896"/>
      <c r="L2429" s="923"/>
      <c r="M2429" s="899"/>
      <c r="N2429" s="900" t="s">
        <v>2209</v>
      </c>
    </row>
    <row r="2430" spans="1:14" s="910" customFormat="1" ht="16.5" hidden="1" customHeight="1">
      <c r="A2430" s="896"/>
      <c r="B2430" s="902" t="s">
        <v>3567</v>
      </c>
      <c r="C2430" s="903"/>
      <c r="D2430" s="904"/>
      <c r="E2430" s="905"/>
      <c r="F2430" s="906"/>
      <c r="G2430" s="906"/>
      <c r="H2430" s="907"/>
      <c r="I2430" s="908"/>
      <c r="J2430" s="955"/>
      <c r="K2430" s="902"/>
      <c r="L2430" s="896"/>
      <c r="M2430" s="902"/>
      <c r="N2430" s="900" t="s">
        <v>2209</v>
      </c>
    </row>
    <row r="2431" spans="1:14" s="910" customFormat="1" ht="16.5" hidden="1" customHeight="1">
      <c r="A2431" s="896"/>
      <c r="B2431" s="956"/>
      <c r="C2431" s="957">
        <v>1</v>
      </c>
      <c r="D2431" s="958" t="s">
        <v>273</v>
      </c>
      <c r="E2431" s="1268">
        <v>1</v>
      </c>
      <c r="F2431" s="960">
        <v>0</v>
      </c>
      <c r="G2431" s="960">
        <v>0</v>
      </c>
      <c r="H2431" s="960">
        <v>0</v>
      </c>
      <c r="I2431" s="916">
        <f>ROUND(IF(AND(F2431:H2431),C2431*E2431*F2431*G2431*H2431,IF(AND(F2431,G2431),C2431*E2431*F2431*G2431,IF(AND(F2431,H2431),C2431*E2431*F2431*H2431,IF(AND(G2431,H2431),C2431*E2431*G2431*H2431,IF(F2431,C2431*E2431*F2431,IF(G2431,C2431*E2431*G2431,IF(H2431,C2431*E2431*H2431,C2431*E2431))))))),2)</f>
        <v>1</v>
      </c>
      <c r="J2431" s="955" t="s">
        <v>115</v>
      </c>
      <c r="K2431" s="902"/>
      <c r="L2431" s="896"/>
      <c r="M2431" s="902"/>
      <c r="N2431" s="900" t="s">
        <v>2209</v>
      </c>
    </row>
    <row r="2432" spans="1:14" s="910" customFormat="1" ht="16.5" hidden="1" customHeight="1">
      <c r="A2432" s="896"/>
      <c r="B2432" s="956"/>
      <c r="C2432" s="957"/>
      <c r="D2432" s="958"/>
      <c r="E2432" s="1268"/>
      <c r="F2432" s="960"/>
      <c r="G2432" s="960"/>
      <c r="H2432" s="960"/>
      <c r="I2432" s="916"/>
      <c r="J2432" s="955"/>
      <c r="K2432" s="902"/>
      <c r="L2432" s="896"/>
      <c r="M2432" s="902"/>
      <c r="N2432" s="900" t="s">
        <v>2209</v>
      </c>
    </row>
    <row r="2433" spans="1:14" ht="15.75" hidden="1">
      <c r="A2433" s="896"/>
      <c r="B2433" s="902"/>
      <c r="C2433" s="917"/>
      <c r="D2433" s="918"/>
      <c r="E2433" s="919"/>
      <c r="F2433" s="920"/>
      <c r="G2433" s="921"/>
      <c r="H2433" s="896"/>
      <c r="I2433" s="916"/>
      <c r="J2433" s="955" t="s">
        <v>115</v>
      </c>
      <c r="K2433" s="922">
        <f>data!G912</f>
        <v>500</v>
      </c>
      <c r="L2433" s="923" t="s">
        <v>2209</v>
      </c>
      <c r="M2433" s="924">
        <f>ROUND(I2433*K2433,0)</f>
        <v>0</v>
      </c>
      <c r="N2433" s="900" t="s">
        <v>2209</v>
      </c>
    </row>
    <row r="2434" spans="1:14" ht="33" hidden="1" customHeight="1">
      <c r="A2434" s="896">
        <v>32</v>
      </c>
      <c r="B2434" s="1609" t="s">
        <v>1231</v>
      </c>
      <c r="C2434" s="1609"/>
      <c r="D2434" s="1609"/>
      <c r="E2434" s="1609"/>
      <c r="F2434" s="1609"/>
      <c r="G2434" s="1609"/>
      <c r="H2434" s="1609"/>
      <c r="I2434" s="897"/>
      <c r="J2434" s="898"/>
      <c r="K2434" s="896"/>
      <c r="L2434" s="923"/>
      <c r="M2434" s="899"/>
      <c r="N2434" s="900" t="s">
        <v>2297</v>
      </c>
    </row>
    <row r="2435" spans="1:14" s="910" customFormat="1" ht="16.5" hidden="1" customHeight="1">
      <c r="A2435" s="896"/>
      <c r="B2435" s="902" t="s">
        <v>3567</v>
      </c>
      <c r="C2435" s="903"/>
      <c r="D2435" s="904"/>
      <c r="E2435" s="905"/>
      <c r="F2435" s="906"/>
      <c r="G2435" s="906"/>
      <c r="H2435" s="907"/>
      <c r="I2435" s="908"/>
      <c r="J2435" s="955"/>
      <c r="K2435" s="902"/>
      <c r="L2435" s="896"/>
      <c r="M2435" s="902"/>
      <c r="N2435" s="900" t="s">
        <v>2297</v>
      </c>
    </row>
    <row r="2436" spans="1:14" s="910" customFormat="1" ht="16.5" hidden="1" customHeight="1">
      <c r="A2436" s="896"/>
      <c r="B2436" s="956"/>
      <c r="C2436" s="957">
        <v>1</v>
      </c>
      <c r="D2436" s="958" t="s">
        <v>273</v>
      </c>
      <c r="E2436" s="1268">
        <v>1</v>
      </c>
      <c r="F2436" s="960">
        <v>0</v>
      </c>
      <c r="G2436" s="960">
        <v>0</v>
      </c>
      <c r="H2436" s="960">
        <v>0</v>
      </c>
      <c r="I2436" s="916">
        <f>ROUND(IF(AND(F2436:H2436),C2436*E2436*F2436*G2436*H2436,IF(AND(F2436,G2436),C2436*E2436*F2436*G2436,IF(AND(F2436,H2436),C2436*E2436*F2436*H2436,IF(AND(G2436,H2436),C2436*E2436*G2436*H2436,IF(F2436,C2436*E2436*F2436,IF(G2436,C2436*E2436*G2436,IF(H2436,C2436*E2436*H2436,C2436*E2436))))))),2)</f>
        <v>1</v>
      </c>
      <c r="J2436" s="955" t="s">
        <v>115</v>
      </c>
      <c r="K2436" s="902"/>
      <c r="L2436" s="896"/>
      <c r="M2436" s="902"/>
      <c r="N2436" s="900" t="s">
        <v>2297</v>
      </c>
    </row>
    <row r="2437" spans="1:14" s="910" customFormat="1" ht="16.5" hidden="1" customHeight="1">
      <c r="A2437" s="896"/>
      <c r="B2437" s="956"/>
      <c r="C2437" s="957"/>
      <c r="D2437" s="958"/>
      <c r="E2437" s="1268"/>
      <c r="F2437" s="960"/>
      <c r="G2437" s="960"/>
      <c r="H2437" s="960"/>
      <c r="I2437" s="916"/>
      <c r="J2437" s="955"/>
      <c r="K2437" s="902"/>
      <c r="L2437" s="896"/>
      <c r="M2437" s="902"/>
      <c r="N2437" s="900" t="s">
        <v>2297</v>
      </c>
    </row>
    <row r="2438" spans="1:14" ht="15.75" hidden="1">
      <c r="A2438" s="896"/>
      <c r="B2438" s="902"/>
      <c r="C2438" s="917"/>
      <c r="D2438" s="918"/>
      <c r="E2438" s="919"/>
      <c r="F2438" s="920"/>
      <c r="G2438" s="921"/>
      <c r="H2438" s="896"/>
      <c r="I2438" s="916"/>
      <c r="J2438" s="955" t="s">
        <v>115</v>
      </c>
      <c r="K2438" s="922">
        <f>data!G1829</f>
        <v>500</v>
      </c>
      <c r="L2438" s="923" t="s">
        <v>2297</v>
      </c>
      <c r="M2438" s="924">
        <f>ROUND(I2438*K2438,0)</f>
        <v>0</v>
      </c>
      <c r="N2438" s="900" t="s">
        <v>2297</v>
      </c>
    </row>
    <row r="2439" spans="1:14" ht="33" hidden="1" customHeight="1">
      <c r="A2439" s="896">
        <v>32</v>
      </c>
      <c r="B2439" s="1609" t="s">
        <v>1231</v>
      </c>
      <c r="C2439" s="1609"/>
      <c r="D2439" s="1609"/>
      <c r="E2439" s="1609"/>
      <c r="F2439" s="1609"/>
      <c r="G2439" s="1609"/>
      <c r="H2439" s="1609"/>
      <c r="I2439" s="897"/>
      <c r="J2439" s="898"/>
      <c r="K2439" s="896"/>
      <c r="L2439" s="923"/>
      <c r="M2439" s="899"/>
      <c r="N2439" s="900" t="s">
        <v>2308</v>
      </c>
    </row>
    <row r="2440" spans="1:14" s="910" customFormat="1" ht="16.5" hidden="1" customHeight="1">
      <c r="A2440" s="896"/>
      <c r="B2440" s="902" t="s">
        <v>3567</v>
      </c>
      <c r="C2440" s="903"/>
      <c r="D2440" s="904"/>
      <c r="E2440" s="905"/>
      <c r="F2440" s="906"/>
      <c r="G2440" s="906"/>
      <c r="H2440" s="907"/>
      <c r="I2440" s="908"/>
      <c r="J2440" s="955"/>
      <c r="K2440" s="902"/>
      <c r="L2440" s="896"/>
      <c r="M2440" s="902"/>
      <c r="N2440" s="900" t="s">
        <v>2308</v>
      </c>
    </row>
    <row r="2441" spans="1:14" s="910" customFormat="1" ht="16.5" hidden="1" customHeight="1">
      <c r="A2441" s="896"/>
      <c r="B2441" s="956"/>
      <c r="C2441" s="957">
        <v>1</v>
      </c>
      <c r="D2441" s="958" t="s">
        <v>273</v>
      </c>
      <c r="E2441" s="1268">
        <v>1</v>
      </c>
      <c r="F2441" s="960">
        <v>0</v>
      </c>
      <c r="G2441" s="960">
        <v>0</v>
      </c>
      <c r="H2441" s="960">
        <v>0</v>
      </c>
      <c r="I2441" s="916">
        <f>ROUND(IF(AND(F2441:H2441),C2441*E2441*F2441*G2441*H2441,IF(AND(F2441,G2441),C2441*E2441*F2441*G2441,IF(AND(F2441,H2441),C2441*E2441*F2441*H2441,IF(AND(G2441,H2441),C2441*E2441*G2441*H2441,IF(F2441,C2441*E2441*F2441,IF(G2441,C2441*E2441*G2441,IF(H2441,C2441*E2441*H2441,C2441*E2441))))))),2)</f>
        <v>1</v>
      </c>
      <c r="J2441" s="955" t="s">
        <v>115</v>
      </c>
      <c r="K2441" s="902"/>
      <c r="L2441" s="896"/>
      <c r="M2441" s="902"/>
      <c r="N2441" s="900" t="s">
        <v>2308</v>
      </c>
    </row>
    <row r="2442" spans="1:14" s="910" customFormat="1" ht="16.5" hidden="1" customHeight="1">
      <c r="A2442" s="896"/>
      <c r="B2442" s="956"/>
      <c r="C2442" s="957"/>
      <c r="D2442" s="958"/>
      <c r="E2442" s="1268"/>
      <c r="F2442" s="960"/>
      <c r="G2442" s="960"/>
      <c r="H2442" s="960"/>
      <c r="I2442" s="916"/>
      <c r="J2442" s="955"/>
      <c r="K2442" s="902"/>
      <c r="L2442" s="896"/>
      <c r="M2442" s="902"/>
      <c r="N2442" s="900" t="s">
        <v>2308</v>
      </c>
    </row>
    <row r="2443" spans="1:14" ht="15.75" hidden="1">
      <c r="A2443" s="896"/>
      <c r="B2443" s="902"/>
      <c r="C2443" s="917"/>
      <c r="D2443" s="918"/>
      <c r="E2443" s="919"/>
      <c r="F2443" s="920"/>
      <c r="G2443" s="921"/>
      <c r="H2443" s="896"/>
      <c r="I2443" s="916"/>
      <c r="J2443" s="955" t="s">
        <v>115</v>
      </c>
      <c r="K2443" s="922">
        <f>data!G2746</f>
        <v>550</v>
      </c>
      <c r="L2443" s="923" t="s">
        <v>2308</v>
      </c>
      <c r="M2443" s="924">
        <f>ROUND(I2443*K2443,0)</f>
        <v>0</v>
      </c>
      <c r="N2443" s="900" t="s">
        <v>2308</v>
      </c>
    </row>
    <row r="2444" spans="1:14" ht="33" hidden="1" customHeight="1">
      <c r="A2444" s="896">
        <v>32</v>
      </c>
      <c r="B2444" s="1609" t="s">
        <v>1231</v>
      </c>
      <c r="C2444" s="1609"/>
      <c r="D2444" s="1609"/>
      <c r="E2444" s="1609"/>
      <c r="F2444" s="1609"/>
      <c r="G2444" s="1609"/>
      <c r="H2444" s="1609"/>
      <c r="I2444" s="897"/>
      <c r="J2444" s="898"/>
      <c r="K2444" s="896"/>
      <c r="L2444" s="923"/>
      <c r="M2444" s="899"/>
      <c r="N2444" s="900" t="s">
        <v>2309</v>
      </c>
    </row>
    <row r="2445" spans="1:14" s="910" customFormat="1" ht="16.5" hidden="1" customHeight="1">
      <c r="A2445" s="896"/>
      <c r="B2445" s="902" t="s">
        <v>3567</v>
      </c>
      <c r="C2445" s="903"/>
      <c r="D2445" s="904"/>
      <c r="E2445" s="905"/>
      <c r="F2445" s="906"/>
      <c r="G2445" s="906"/>
      <c r="H2445" s="907"/>
      <c r="I2445" s="908"/>
      <c r="J2445" s="955"/>
      <c r="K2445" s="902"/>
      <c r="L2445" s="896"/>
      <c r="M2445" s="902"/>
      <c r="N2445" s="900" t="s">
        <v>2309</v>
      </c>
    </row>
    <row r="2446" spans="1:14" s="910" customFormat="1" ht="16.5" hidden="1" customHeight="1">
      <c r="A2446" s="896"/>
      <c r="B2446" s="956"/>
      <c r="C2446" s="957">
        <v>1</v>
      </c>
      <c r="D2446" s="958" t="s">
        <v>273</v>
      </c>
      <c r="E2446" s="1268">
        <v>1</v>
      </c>
      <c r="F2446" s="960">
        <v>0</v>
      </c>
      <c r="G2446" s="960">
        <v>0</v>
      </c>
      <c r="H2446" s="960">
        <v>0</v>
      </c>
      <c r="I2446" s="916">
        <f>ROUND(IF(AND(F2446:H2446),C2446*E2446*F2446*G2446*H2446,IF(AND(F2446,G2446),C2446*E2446*F2446*G2446,IF(AND(F2446,H2446),C2446*E2446*F2446*H2446,IF(AND(G2446,H2446),C2446*E2446*G2446*H2446,IF(F2446,C2446*E2446*F2446,IF(G2446,C2446*E2446*G2446,IF(H2446,C2446*E2446*H2446,C2446*E2446))))))),2)</f>
        <v>1</v>
      </c>
      <c r="J2446" s="955" t="s">
        <v>115</v>
      </c>
      <c r="K2446" s="902"/>
      <c r="L2446" s="896"/>
      <c r="M2446" s="902"/>
      <c r="N2446" s="900" t="s">
        <v>2309</v>
      </c>
    </row>
    <row r="2447" spans="1:14" s="910" customFormat="1" ht="16.5" hidden="1" customHeight="1">
      <c r="A2447" s="896"/>
      <c r="B2447" s="956"/>
      <c r="C2447" s="957"/>
      <c r="D2447" s="958"/>
      <c r="E2447" s="1268"/>
      <c r="F2447" s="960"/>
      <c r="G2447" s="960"/>
      <c r="H2447" s="960"/>
      <c r="I2447" s="916"/>
      <c r="J2447" s="955"/>
      <c r="K2447" s="902"/>
      <c r="L2447" s="896"/>
      <c r="M2447" s="902"/>
      <c r="N2447" s="900" t="s">
        <v>2309</v>
      </c>
    </row>
    <row r="2448" spans="1:14" ht="15.75" hidden="1">
      <c r="A2448" s="896"/>
      <c r="B2448" s="902"/>
      <c r="C2448" s="917"/>
      <c r="D2448" s="918"/>
      <c r="E2448" s="919"/>
      <c r="F2448" s="920"/>
      <c r="G2448" s="921"/>
      <c r="H2448" s="896"/>
      <c r="I2448" s="916"/>
      <c r="J2448" s="955" t="s">
        <v>115</v>
      </c>
      <c r="K2448" s="922">
        <f>data!G3663</f>
        <v>606</v>
      </c>
      <c r="L2448" s="923" t="s">
        <v>2309</v>
      </c>
      <c r="M2448" s="924">
        <f>ROUND(I2448*K2448,0)</f>
        <v>0</v>
      </c>
      <c r="N2448" s="900" t="s">
        <v>2309</v>
      </c>
    </row>
    <row r="2449" spans="1:14" ht="36.75" hidden="1" customHeight="1">
      <c r="A2449" s="896">
        <v>33</v>
      </c>
      <c r="B2449" s="1609" t="s">
        <v>1437</v>
      </c>
      <c r="C2449" s="1609"/>
      <c r="D2449" s="1609"/>
      <c r="E2449" s="1609"/>
      <c r="F2449" s="1609"/>
      <c r="G2449" s="1609"/>
      <c r="H2449" s="1609"/>
      <c r="I2449" s="897"/>
      <c r="J2449" s="898"/>
      <c r="K2449" s="896"/>
      <c r="L2449" s="923"/>
      <c r="M2449" s="899"/>
      <c r="N2449" s="900" t="s">
        <v>2209</v>
      </c>
    </row>
    <row r="2450" spans="1:14" s="910" customFormat="1" ht="16.5" hidden="1" customHeight="1">
      <c r="A2450" s="896"/>
      <c r="B2450" s="902" t="s">
        <v>3567</v>
      </c>
      <c r="C2450" s="903"/>
      <c r="D2450" s="904"/>
      <c r="E2450" s="905"/>
      <c r="F2450" s="906"/>
      <c r="G2450" s="906"/>
      <c r="H2450" s="907"/>
      <c r="I2450" s="908"/>
      <c r="J2450" s="955"/>
      <c r="K2450" s="902"/>
      <c r="L2450" s="923"/>
      <c r="M2450" s="902"/>
      <c r="N2450" s="900" t="s">
        <v>2209</v>
      </c>
    </row>
    <row r="2451" spans="1:14" s="910" customFormat="1" ht="16.5" hidden="1" customHeight="1">
      <c r="A2451" s="896"/>
      <c r="B2451" s="956"/>
      <c r="C2451" s="957">
        <v>1</v>
      </c>
      <c r="D2451" s="958" t="s">
        <v>273</v>
      </c>
      <c r="E2451" s="1268">
        <v>1</v>
      </c>
      <c r="F2451" s="960">
        <v>0</v>
      </c>
      <c r="G2451" s="960">
        <v>0</v>
      </c>
      <c r="H2451" s="960">
        <v>0</v>
      </c>
      <c r="I2451" s="916">
        <f>ROUND(IF(AND(F2451:H2451),C2451*E2451*F2451*G2451*H2451,IF(AND(F2451,G2451),C2451*E2451*F2451*G2451,IF(AND(F2451,H2451),C2451*E2451*F2451*H2451,IF(AND(G2451,H2451),C2451*E2451*G2451*H2451,IF(F2451,C2451*E2451*F2451,IF(G2451,C2451*E2451*G2451,IF(H2451,C2451*E2451*H2451,C2451*E2451))))))),2)</f>
        <v>1</v>
      </c>
      <c r="J2451" s="955" t="s">
        <v>115</v>
      </c>
      <c r="K2451" s="902"/>
      <c r="L2451" s="923"/>
      <c r="M2451" s="902"/>
      <c r="N2451" s="900" t="s">
        <v>2209</v>
      </c>
    </row>
    <row r="2452" spans="1:14" s="910" customFormat="1" ht="16.5" hidden="1" customHeight="1">
      <c r="A2452" s="896"/>
      <c r="B2452" s="956"/>
      <c r="C2452" s="957"/>
      <c r="D2452" s="958"/>
      <c r="E2452" s="1268"/>
      <c r="F2452" s="960"/>
      <c r="G2452" s="960"/>
      <c r="H2452" s="960"/>
      <c r="I2452" s="916"/>
      <c r="J2452" s="955"/>
      <c r="K2452" s="902"/>
      <c r="L2452" s="923"/>
      <c r="M2452" s="902"/>
      <c r="N2452" s="900" t="s">
        <v>2209</v>
      </c>
    </row>
    <row r="2453" spans="1:14" ht="15.75" hidden="1">
      <c r="A2453" s="896"/>
      <c r="B2453" s="902"/>
      <c r="C2453" s="917"/>
      <c r="D2453" s="918"/>
      <c r="E2453" s="919"/>
      <c r="F2453" s="920"/>
      <c r="G2453" s="921"/>
      <c r="H2453" s="896"/>
      <c r="I2453" s="916"/>
      <c r="J2453" s="955" t="s">
        <v>115</v>
      </c>
      <c r="K2453" s="922">
        <f>data!G916</f>
        <v>130</v>
      </c>
      <c r="L2453" s="923" t="s">
        <v>2209</v>
      </c>
      <c r="M2453" s="924">
        <f>ROUND(I2453*K2453,0)</f>
        <v>0</v>
      </c>
      <c r="N2453" s="900" t="s">
        <v>2209</v>
      </c>
    </row>
    <row r="2454" spans="1:14" ht="36.75" hidden="1" customHeight="1">
      <c r="A2454" s="896">
        <v>33</v>
      </c>
      <c r="B2454" s="1609" t="s">
        <v>1437</v>
      </c>
      <c r="C2454" s="1609"/>
      <c r="D2454" s="1609"/>
      <c r="E2454" s="1609"/>
      <c r="F2454" s="1609"/>
      <c r="G2454" s="1609"/>
      <c r="H2454" s="1609"/>
      <c r="I2454" s="897"/>
      <c r="J2454" s="898"/>
      <c r="K2454" s="896"/>
      <c r="L2454" s="923"/>
      <c r="M2454" s="899"/>
      <c r="N2454" s="900" t="s">
        <v>2297</v>
      </c>
    </row>
    <row r="2455" spans="1:14" s="910" customFormat="1" ht="16.5" hidden="1" customHeight="1">
      <c r="A2455" s="896"/>
      <c r="B2455" s="902" t="s">
        <v>3567</v>
      </c>
      <c r="C2455" s="903"/>
      <c r="D2455" s="904"/>
      <c r="E2455" s="905"/>
      <c r="F2455" s="906"/>
      <c r="G2455" s="906"/>
      <c r="H2455" s="907"/>
      <c r="I2455" s="908"/>
      <c r="J2455" s="955"/>
      <c r="K2455" s="902"/>
      <c r="L2455" s="923"/>
      <c r="M2455" s="902"/>
      <c r="N2455" s="900" t="s">
        <v>2297</v>
      </c>
    </row>
    <row r="2456" spans="1:14" s="910" customFormat="1" ht="16.5" hidden="1" customHeight="1">
      <c r="A2456" s="896"/>
      <c r="B2456" s="956"/>
      <c r="C2456" s="957">
        <v>1</v>
      </c>
      <c r="D2456" s="958" t="s">
        <v>273</v>
      </c>
      <c r="E2456" s="1268">
        <v>1</v>
      </c>
      <c r="F2456" s="960">
        <v>0</v>
      </c>
      <c r="G2456" s="960">
        <v>0</v>
      </c>
      <c r="H2456" s="960">
        <v>0</v>
      </c>
      <c r="I2456" s="916">
        <f>ROUND(IF(AND(F2456:H2456),C2456*E2456*F2456*G2456*H2456,IF(AND(F2456,G2456),C2456*E2456*F2456*G2456,IF(AND(F2456,H2456),C2456*E2456*F2456*H2456,IF(AND(G2456,H2456),C2456*E2456*G2456*H2456,IF(F2456,C2456*E2456*F2456,IF(G2456,C2456*E2456*G2456,IF(H2456,C2456*E2456*H2456,C2456*E2456))))))),2)</f>
        <v>1</v>
      </c>
      <c r="J2456" s="955" t="s">
        <v>115</v>
      </c>
      <c r="K2456" s="902"/>
      <c r="L2456" s="923"/>
      <c r="M2456" s="902"/>
      <c r="N2456" s="900" t="s">
        <v>2297</v>
      </c>
    </row>
    <row r="2457" spans="1:14" s="910" customFormat="1" ht="16.5" hidden="1" customHeight="1">
      <c r="A2457" s="896"/>
      <c r="B2457" s="956"/>
      <c r="C2457" s="957"/>
      <c r="D2457" s="958"/>
      <c r="E2457" s="1268"/>
      <c r="F2457" s="960"/>
      <c r="G2457" s="960"/>
      <c r="H2457" s="960"/>
      <c r="I2457" s="916"/>
      <c r="J2457" s="955"/>
      <c r="K2457" s="902"/>
      <c r="L2457" s="923"/>
      <c r="M2457" s="902"/>
      <c r="N2457" s="900" t="s">
        <v>2297</v>
      </c>
    </row>
    <row r="2458" spans="1:14" ht="15.75" hidden="1">
      <c r="A2458" s="896"/>
      <c r="B2458" s="902"/>
      <c r="C2458" s="917"/>
      <c r="D2458" s="918"/>
      <c r="E2458" s="919"/>
      <c r="F2458" s="920"/>
      <c r="G2458" s="921"/>
      <c r="H2458" s="896"/>
      <c r="I2458" s="916"/>
      <c r="J2458" s="955" t="s">
        <v>115</v>
      </c>
      <c r="K2458" s="922">
        <f>data!G1833</f>
        <v>130</v>
      </c>
      <c r="L2458" s="923" t="s">
        <v>2297</v>
      </c>
      <c r="M2458" s="924">
        <f>ROUND(I2458*K2458,0)</f>
        <v>0</v>
      </c>
      <c r="N2458" s="900" t="s">
        <v>2297</v>
      </c>
    </row>
    <row r="2459" spans="1:14" ht="36.75" hidden="1" customHeight="1">
      <c r="A2459" s="896">
        <v>33</v>
      </c>
      <c r="B2459" s="1609" t="s">
        <v>1437</v>
      </c>
      <c r="C2459" s="1609"/>
      <c r="D2459" s="1609"/>
      <c r="E2459" s="1609"/>
      <c r="F2459" s="1609"/>
      <c r="G2459" s="1609"/>
      <c r="H2459" s="1609"/>
      <c r="I2459" s="897"/>
      <c r="J2459" s="898"/>
      <c r="K2459" s="896"/>
      <c r="L2459" s="923"/>
      <c r="M2459" s="899"/>
      <c r="N2459" s="900" t="s">
        <v>2308</v>
      </c>
    </row>
    <row r="2460" spans="1:14" s="910" customFormat="1" ht="16.5" hidden="1" customHeight="1">
      <c r="A2460" s="896"/>
      <c r="B2460" s="902" t="s">
        <v>3567</v>
      </c>
      <c r="C2460" s="903"/>
      <c r="D2460" s="904"/>
      <c r="E2460" s="905"/>
      <c r="F2460" s="906"/>
      <c r="G2460" s="906"/>
      <c r="H2460" s="907"/>
      <c r="I2460" s="908"/>
      <c r="J2460" s="955"/>
      <c r="K2460" s="902"/>
      <c r="L2460" s="923"/>
      <c r="M2460" s="902"/>
      <c r="N2460" s="900" t="s">
        <v>2308</v>
      </c>
    </row>
    <row r="2461" spans="1:14" s="910" customFormat="1" ht="16.5" hidden="1" customHeight="1">
      <c r="A2461" s="896"/>
      <c r="B2461" s="956"/>
      <c r="C2461" s="957">
        <v>1</v>
      </c>
      <c r="D2461" s="958" t="s">
        <v>273</v>
      </c>
      <c r="E2461" s="1268">
        <v>1</v>
      </c>
      <c r="F2461" s="960">
        <v>0</v>
      </c>
      <c r="G2461" s="960">
        <v>0</v>
      </c>
      <c r="H2461" s="960">
        <v>0</v>
      </c>
      <c r="I2461" s="916">
        <f>ROUND(IF(AND(F2461:H2461),C2461*E2461*F2461*G2461*H2461,IF(AND(F2461,G2461),C2461*E2461*F2461*G2461,IF(AND(F2461,H2461),C2461*E2461*F2461*H2461,IF(AND(G2461,H2461),C2461*E2461*G2461*H2461,IF(F2461,C2461*E2461*F2461,IF(G2461,C2461*E2461*G2461,IF(H2461,C2461*E2461*H2461,C2461*E2461))))))),2)</f>
        <v>1</v>
      </c>
      <c r="J2461" s="955" t="s">
        <v>115</v>
      </c>
      <c r="K2461" s="902"/>
      <c r="L2461" s="923"/>
      <c r="M2461" s="902"/>
      <c r="N2461" s="900" t="s">
        <v>2308</v>
      </c>
    </row>
    <row r="2462" spans="1:14" s="910" customFormat="1" ht="16.5" hidden="1" customHeight="1">
      <c r="A2462" s="896"/>
      <c r="B2462" s="956"/>
      <c r="C2462" s="957"/>
      <c r="D2462" s="958"/>
      <c r="E2462" s="1268"/>
      <c r="F2462" s="960"/>
      <c r="G2462" s="960"/>
      <c r="H2462" s="960"/>
      <c r="I2462" s="916"/>
      <c r="J2462" s="955"/>
      <c r="K2462" s="902"/>
      <c r="L2462" s="923"/>
      <c r="M2462" s="902"/>
      <c r="N2462" s="900" t="s">
        <v>2308</v>
      </c>
    </row>
    <row r="2463" spans="1:14" ht="15.75" hidden="1">
      <c r="A2463" s="896"/>
      <c r="B2463" s="902"/>
      <c r="C2463" s="917"/>
      <c r="D2463" s="918"/>
      <c r="E2463" s="919"/>
      <c r="F2463" s="920"/>
      <c r="G2463" s="921"/>
      <c r="H2463" s="896"/>
      <c r="I2463" s="916"/>
      <c r="J2463" s="955" t="s">
        <v>115</v>
      </c>
      <c r="K2463" s="922">
        <f>data!G2750</f>
        <v>143</v>
      </c>
      <c r="L2463" s="923" t="s">
        <v>2308</v>
      </c>
      <c r="M2463" s="924">
        <f>ROUND(I2463*K2463,0)</f>
        <v>0</v>
      </c>
      <c r="N2463" s="900" t="s">
        <v>2308</v>
      </c>
    </row>
    <row r="2464" spans="1:14" ht="36.75" hidden="1" customHeight="1">
      <c r="A2464" s="896">
        <v>29</v>
      </c>
      <c r="B2464" s="1609" t="s">
        <v>1437</v>
      </c>
      <c r="C2464" s="1609"/>
      <c r="D2464" s="1609"/>
      <c r="E2464" s="1609"/>
      <c r="F2464" s="1609"/>
      <c r="G2464" s="1609"/>
      <c r="H2464" s="1609"/>
      <c r="I2464" s="897"/>
      <c r="J2464" s="898"/>
      <c r="K2464" s="896"/>
      <c r="L2464" s="923"/>
      <c r="M2464" s="899"/>
      <c r="N2464" s="900" t="s">
        <v>2309</v>
      </c>
    </row>
    <row r="2465" spans="1:15" s="910" customFormat="1" ht="16.5" hidden="1" customHeight="1">
      <c r="A2465" s="896"/>
      <c r="B2465" s="902" t="s">
        <v>3617</v>
      </c>
      <c r="C2465" s="903"/>
      <c r="D2465" s="904"/>
      <c r="E2465" s="905"/>
      <c r="F2465" s="906"/>
      <c r="G2465" s="906"/>
      <c r="H2465" s="907"/>
      <c r="I2465" s="908"/>
      <c r="J2465" s="955"/>
      <c r="K2465" s="902"/>
      <c r="L2465" s="923"/>
      <c r="M2465" s="902"/>
      <c r="N2465" s="900" t="s">
        <v>2309</v>
      </c>
    </row>
    <row r="2466" spans="1:15" s="910" customFormat="1" ht="16.5" hidden="1" customHeight="1">
      <c r="A2466" s="896"/>
      <c r="B2466" s="956"/>
      <c r="C2466" s="957">
        <v>1</v>
      </c>
      <c r="D2466" s="958" t="s">
        <v>273</v>
      </c>
      <c r="E2466" s="1268">
        <v>1</v>
      </c>
      <c r="F2466" s="960">
        <v>0</v>
      </c>
      <c r="G2466" s="960">
        <v>0</v>
      </c>
      <c r="H2466" s="960">
        <v>0</v>
      </c>
      <c r="I2466" s="1291">
        <f>ROUND(IF(AND(F2466:H2466),C2466*E2466*F2466*G2466*H2466,IF(AND(F2466,G2466),C2466*E2466*F2466*G2466,IF(AND(F2466,H2466),C2466*E2466*F2466*H2466,IF(AND(G2466,H2466),C2466*E2466*G2466*H2466,IF(F2466,C2466*E2466*F2466,IF(G2466,C2466*E2466*G2466,IF(H2466,C2466*E2466*H2466,C2466*E2466))))))),2)</f>
        <v>1</v>
      </c>
      <c r="J2466" s="955" t="s">
        <v>115</v>
      </c>
      <c r="K2466" s="902"/>
      <c r="L2466" s="923"/>
      <c r="M2466" s="902"/>
      <c r="N2466" s="900" t="s">
        <v>2309</v>
      </c>
    </row>
    <row r="2467" spans="1:15" s="910" customFormat="1" ht="16.5" hidden="1" customHeight="1">
      <c r="A2467" s="896"/>
      <c r="B2467" s="956"/>
      <c r="C2467" s="957"/>
      <c r="D2467" s="958"/>
      <c r="E2467" s="1268"/>
      <c r="F2467" s="960"/>
      <c r="G2467" s="960"/>
      <c r="H2467" s="960"/>
      <c r="I2467" s="1291"/>
      <c r="J2467" s="955"/>
      <c r="K2467" s="902"/>
      <c r="L2467" s="923"/>
      <c r="M2467" s="902"/>
      <c r="N2467" s="900" t="s">
        <v>2309</v>
      </c>
    </row>
    <row r="2468" spans="1:15" ht="15.75" hidden="1">
      <c r="A2468" s="896"/>
      <c r="B2468" s="902"/>
      <c r="C2468" s="917"/>
      <c r="D2468" s="918"/>
      <c r="E2468" s="919"/>
      <c r="F2468" s="920"/>
      <c r="G2468" s="921"/>
      <c r="H2468" s="896"/>
      <c r="I2468" s="1291"/>
      <c r="J2468" s="955" t="s">
        <v>115</v>
      </c>
      <c r="K2468" s="922">
        <f>data!G3667</f>
        <v>157</v>
      </c>
      <c r="L2468" s="923" t="s">
        <v>2309</v>
      </c>
      <c r="M2468" s="924">
        <f>ROUND(I2468*K2468,0)</f>
        <v>0</v>
      </c>
      <c r="N2468" s="900" t="s">
        <v>2309</v>
      </c>
    </row>
    <row r="2469" spans="1:15" s="1403" customFormat="1" ht="69.75" customHeight="1">
      <c r="A2469" s="1397">
        <v>28</v>
      </c>
      <c r="B2469" s="1610" t="s">
        <v>124</v>
      </c>
      <c r="C2469" s="1610"/>
      <c r="D2469" s="1610"/>
      <c r="E2469" s="1610"/>
      <c r="F2469" s="1610"/>
      <c r="G2469" s="1610"/>
      <c r="H2469" s="1610"/>
      <c r="I2469" s="1398"/>
      <c r="J2469" s="1399"/>
      <c r="K2469" s="1397"/>
      <c r="L2469" s="1400"/>
      <c r="M2469" s="1401"/>
      <c r="N2469" s="1402" t="s">
        <v>2209</v>
      </c>
    </row>
    <row r="2470" spans="1:15" s="1411" customFormat="1" ht="16.5" customHeight="1">
      <c r="A2470" s="1397"/>
      <c r="B2470" s="1410" t="s">
        <v>3895</v>
      </c>
      <c r="C2470" s="1417" t="s">
        <v>152</v>
      </c>
      <c r="D2470" s="1418"/>
      <c r="E2470" s="1419"/>
      <c r="F2470" s="1420"/>
      <c r="G2470" s="1395" t="s">
        <v>4007</v>
      </c>
      <c r="H2470" s="1421"/>
      <c r="I2470" s="1422">
        <v>1559.75</v>
      </c>
      <c r="J2470" s="1423" t="s">
        <v>141</v>
      </c>
      <c r="K2470" s="1410"/>
      <c r="L2470" s="1400"/>
      <c r="M2470" s="1410"/>
      <c r="N2470" s="1402" t="s">
        <v>2209</v>
      </c>
      <c r="O2470" s="1424"/>
    </row>
    <row r="2471" spans="1:15" s="1411" customFormat="1" ht="16.5" customHeight="1">
      <c r="A2471" s="1397"/>
      <c r="B2471" s="1410" t="s">
        <v>3913</v>
      </c>
      <c r="C2471" s="1417" t="s">
        <v>3661</v>
      </c>
      <c r="D2471" s="1418"/>
      <c r="E2471" s="1419"/>
      <c r="F2471" s="1420"/>
      <c r="G2471" s="1395" t="s">
        <v>4009</v>
      </c>
      <c r="H2471" s="1421"/>
      <c r="I2471" s="1422">
        <v>665.23</v>
      </c>
      <c r="J2471" s="1423" t="s">
        <v>141</v>
      </c>
      <c r="K2471" s="1410"/>
      <c r="L2471" s="1400"/>
      <c r="M2471" s="1410"/>
      <c r="N2471" s="1402" t="s">
        <v>2209</v>
      </c>
      <c r="O2471" s="1424"/>
    </row>
    <row r="2472" spans="1:15" s="1411" customFormat="1" ht="16.5" customHeight="1">
      <c r="A2472" s="1397"/>
      <c r="B2472" s="1404" t="s">
        <v>3916</v>
      </c>
      <c r="C2472" s="1417" t="s">
        <v>3889</v>
      </c>
      <c r="D2472" s="1418"/>
      <c r="E2472" s="1419"/>
      <c r="F2472" s="1420"/>
      <c r="G2472" s="1395" t="s">
        <v>4010</v>
      </c>
      <c r="H2472" s="1421"/>
      <c r="I2472" s="1422">
        <v>1810.9</v>
      </c>
      <c r="J2472" s="1423" t="s">
        <v>141</v>
      </c>
      <c r="K2472" s="1410"/>
      <c r="L2472" s="1400"/>
      <c r="M2472" s="1410"/>
      <c r="N2472" s="1402" t="s">
        <v>2209</v>
      </c>
      <c r="O2472" s="1424"/>
    </row>
    <row r="2473" spans="1:15" s="1411" customFormat="1" ht="16.5" customHeight="1">
      <c r="A2473" s="1397"/>
      <c r="B2473" s="1404" t="s">
        <v>3921</v>
      </c>
      <c r="C2473" s="1417" t="s">
        <v>866</v>
      </c>
      <c r="D2473" s="1418"/>
      <c r="E2473" s="1419"/>
      <c r="F2473" s="1420"/>
      <c r="G2473" s="1395" t="s">
        <v>4018</v>
      </c>
      <c r="H2473" s="1421"/>
      <c r="I2473" s="1422">
        <v>218.01</v>
      </c>
      <c r="J2473" s="1423" t="s">
        <v>141</v>
      </c>
      <c r="K2473" s="1410"/>
      <c r="L2473" s="1400"/>
      <c r="M2473" s="1410"/>
      <c r="N2473" s="1402" t="s">
        <v>2209</v>
      </c>
      <c r="O2473" s="1424"/>
    </row>
    <row r="2474" spans="1:15" s="1411" customFormat="1" ht="16.5" customHeight="1">
      <c r="A2474" s="1397"/>
      <c r="B2474" s="1404"/>
      <c r="C2474" s="1417"/>
      <c r="D2474" s="1418"/>
      <c r="E2474" s="1419"/>
      <c r="F2474" s="1420"/>
      <c r="G2474" s="1420"/>
      <c r="H2474" s="1421"/>
      <c r="I2474" s="1422"/>
      <c r="J2474" s="1423"/>
      <c r="K2474" s="1410"/>
      <c r="L2474" s="1400"/>
      <c r="M2474" s="1410"/>
      <c r="N2474" s="1402" t="s">
        <v>2209</v>
      </c>
      <c r="O2474" s="1457"/>
    </row>
    <row r="2475" spans="1:15" s="1411" customFormat="1" ht="16.5" customHeight="1">
      <c r="A2475" s="1397"/>
      <c r="B2475" s="1410"/>
      <c r="C2475" s="1417"/>
      <c r="D2475" s="1418"/>
      <c r="E2475" s="1419"/>
      <c r="F2475" s="1420"/>
      <c r="G2475" s="1420"/>
      <c r="H2475" s="1421"/>
      <c r="I2475" s="1422">
        <f>SUM(I2470:I2474)</f>
        <v>4253.8900000000003</v>
      </c>
      <c r="J2475" s="1423" t="s">
        <v>141</v>
      </c>
      <c r="K2475" s="1410"/>
      <c r="L2475" s="1400"/>
      <c r="M2475" s="1410"/>
      <c r="N2475" s="1402" t="s">
        <v>2209</v>
      </c>
    </row>
    <row r="2476" spans="1:15" s="1403" customFormat="1" ht="15.75">
      <c r="A2476" s="1397"/>
      <c r="B2476" s="1410"/>
      <c r="C2476" s="1431"/>
      <c r="D2476" s="1432"/>
      <c r="E2476" s="1413"/>
      <c r="F2476" s="1414"/>
      <c r="G2476" s="1433"/>
      <c r="H2476" s="1397" t="s">
        <v>902</v>
      </c>
      <c r="I2476" s="1430">
        <f>ROUND(I2475/1000,2)</f>
        <v>4.25</v>
      </c>
      <c r="J2476" s="1423" t="s">
        <v>29</v>
      </c>
      <c r="K2476" s="1434">
        <f>data!E286</f>
        <v>62198.5</v>
      </c>
      <c r="L2476" s="1400" t="s">
        <v>2209</v>
      </c>
      <c r="M2476" s="1435">
        <f>ROUND(I2476*K2476,0)</f>
        <v>264344</v>
      </c>
      <c r="N2476" s="1402" t="s">
        <v>2209</v>
      </c>
    </row>
    <row r="2477" spans="1:15" ht="69.75" hidden="1" customHeight="1">
      <c r="A2477" s="896">
        <v>35</v>
      </c>
      <c r="B2477" s="1609" t="s">
        <v>124</v>
      </c>
      <c r="C2477" s="1609"/>
      <c r="D2477" s="1609"/>
      <c r="E2477" s="1609"/>
      <c r="F2477" s="1609"/>
      <c r="G2477" s="1609"/>
      <c r="H2477" s="1609"/>
      <c r="I2477" s="897"/>
      <c r="J2477" s="898"/>
      <c r="K2477" s="896"/>
      <c r="L2477" s="923"/>
      <c r="M2477" s="899"/>
      <c r="N2477" s="900" t="s">
        <v>2297</v>
      </c>
    </row>
    <row r="2478" spans="1:15" s="910" customFormat="1" ht="16.5" hidden="1" customHeight="1">
      <c r="A2478" s="896"/>
      <c r="B2478" s="902" t="s">
        <v>3701</v>
      </c>
      <c r="C2478" s="903" t="s">
        <v>1622</v>
      </c>
      <c r="D2478" s="904"/>
      <c r="E2478" s="905"/>
      <c r="F2478" s="906"/>
      <c r="G2478" s="954" t="s">
        <v>3814</v>
      </c>
      <c r="H2478" s="907"/>
      <c r="I2478" s="908">
        <v>1805.23</v>
      </c>
      <c r="J2478" s="955" t="s">
        <v>141</v>
      </c>
      <c r="K2478" s="902"/>
      <c r="L2478" s="923"/>
      <c r="M2478" s="902"/>
      <c r="N2478" s="900" t="s">
        <v>2209</v>
      </c>
      <c r="O2478" s="1293"/>
    </row>
    <row r="2479" spans="1:15" s="910" customFormat="1" ht="16.5" hidden="1" customHeight="1">
      <c r="A2479" s="896"/>
      <c r="B2479" s="902" t="s">
        <v>3720</v>
      </c>
      <c r="C2479" s="903" t="s">
        <v>866</v>
      </c>
      <c r="D2479" s="904"/>
      <c r="E2479" s="905"/>
      <c r="F2479" s="906"/>
      <c r="G2479" s="954" t="s">
        <v>3820</v>
      </c>
      <c r="H2479" s="907"/>
      <c r="I2479" s="908">
        <v>258.08999999999997</v>
      </c>
      <c r="J2479" s="955" t="s">
        <v>141</v>
      </c>
      <c r="K2479" s="902"/>
      <c r="L2479" s="923"/>
      <c r="M2479" s="902"/>
      <c r="N2479" s="900" t="s">
        <v>2297</v>
      </c>
      <c r="O2479" s="1292"/>
    </row>
    <row r="2480" spans="1:15" s="910" customFormat="1" ht="16.5" hidden="1" customHeight="1">
      <c r="A2480" s="896"/>
      <c r="B2480" s="928"/>
      <c r="C2480" s="1294"/>
      <c r="D2480" s="904"/>
      <c r="E2480" s="905"/>
      <c r="F2480" s="906"/>
      <c r="G2480" s="906"/>
      <c r="H2480" s="907"/>
      <c r="I2480" s="908"/>
      <c r="J2480" s="955"/>
      <c r="K2480" s="902"/>
      <c r="L2480" s="923"/>
      <c r="M2480" s="902"/>
      <c r="N2480" s="900" t="s">
        <v>2297</v>
      </c>
      <c r="O2480" s="1295"/>
    </row>
    <row r="2481" spans="1:15" s="910" customFormat="1" ht="16.5" hidden="1" customHeight="1">
      <c r="A2481" s="896"/>
      <c r="B2481" s="902"/>
      <c r="C2481" s="903"/>
      <c r="D2481" s="904"/>
      <c r="E2481" s="905"/>
      <c r="F2481" s="906"/>
      <c r="G2481" s="906"/>
      <c r="H2481" s="907"/>
      <c r="I2481" s="908">
        <f>SUM(I2478:I2480)</f>
        <v>2063.3200000000002</v>
      </c>
      <c r="J2481" s="955" t="s">
        <v>141</v>
      </c>
      <c r="K2481" s="902"/>
      <c r="L2481" s="923"/>
      <c r="M2481" s="902"/>
      <c r="N2481" s="900" t="s">
        <v>2297</v>
      </c>
    </row>
    <row r="2482" spans="1:15" ht="15.75" hidden="1">
      <c r="A2482" s="896"/>
      <c r="B2482" s="902"/>
      <c r="C2482" s="917"/>
      <c r="D2482" s="918"/>
      <c r="E2482" s="919"/>
      <c r="F2482" s="920"/>
      <c r="G2482" s="921"/>
      <c r="H2482" s="896" t="s">
        <v>902</v>
      </c>
      <c r="I2482" s="916"/>
      <c r="J2482" s="955" t="s">
        <v>29</v>
      </c>
      <c r="K2482" s="922">
        <f>data!E1202</f>
        <v>62385</v>
      </c>
      <c r="L2482" s="923" t="s">
        <v>2297</v>
      </c>
      <c r="M2482" s="924">
        <f>ROUND(I2482*K2482,0)</f>
        <v>0</v>
      </c>
      <c r="N2482" s="900" t="s">
        <v>2297</v>
      </c>
    </row>
    <row r="2483" spans="1:15" ht="69.75" hidden="1" customHeight="1">
      <c r="A2483" s="896">
        <v>31</v>
      </c>
      <c r="B2483" s="1609" t="s">
        <v>124</v>
      </c>
      <c r="C2483" s="1609"/>
      <c r="D2483" s="1609"/>
      <c r="E2483" s="1609"/>
      <c r="F2483" s="1609"/>
      <c r="G2483" s="1609"/>
      <c r="H2483" s="1609"/>
      <c r="I2483" s="897"/>
      <c r="J2483" s="898"/>
      <c r="K2483" s="896"/>
      <c r="L2483" s="923"/>
      <c r="M2483" s="899"/>
      <c r="N2483" s="900" t="s">
        <v>2308</v>
      </c>
    </row>
    <row r="2484" spans="1:15" s="910" customFormat="1" ht="16.5" hidden="1" customHeight="1">
      <c r="A2484" s="896"/>
      <c r="B2484" s="902" t="s">
        <v>3546</v>
      </c>
      <c r="C2484" s="903" t="s">
        <v>1622</v>
      </c>
      <c r="D2484" s="904"/>
      <c r="E2484" s="905"/>
      <c r="F2484" s="906"/>
      <c r="G2484" s="906"/>
      <c r="H2484" s="907"/>
      <c r="I2484" s="908">
        <v>2595.52</v>
      </c>
      <c r="J2484" s="955" t="s">
        <v>141</v>
      </c>
      <c r="K2484" s="902"/>
      <c r="L2484" s="923"/>
      <c r="M2484" s="902"/>
      <c r="N2484" s="900" t="s">
        <v>2308</v>
      </c>
      <c r="O2484" s="1292"/>
    </row>
    <row r="2485" spans="1:15" s="910" customFormat="1" ht="16.5" hidden="1" customHeight="1">
      <c r="A2485" s="896"/>
      <c r="B2485" s="928"/>
      <c r="C2485" s="1294"/>
      <c r="D2485" s="904"/>
      <c r="E2485" s="905"/>
      <c r="F2485" s="906"/>
      <c r="G2485" s="906"/>
      <c r="H2485" s="907"/>
      <c r="I2485" s="908"/>
      <c r="J2485" s="955"/>
      <c r="K2485" s="902"/>
      <c r="L2485" s="923"/>
      <c r="M2485" s="902"/>
      <c r="N2485" s="900" t="s">
        <v>2308</v>
      </c>
      <c r="O2485" s="1295"/>
    </row>
    <row r="2486" spans="1:15" s="910" customFormat="1" ht="16.5" hidden="1" customHeight="1">
      <c r="A2486" s="896"/>
      <c r="B2486" s="902"/>
      <c r="C2486" s="903"/>
      <c r="D2486" s="904"/>
      <c r="E2486" s="905"/>
      <c r="F2486" s="906"/>
      <c r="G2486" s="906"/>
      <c r="H2486" s="907"/>
      <c r="I2486" s="908"/>
      <c r="J2486" s="955" t="s">
        <v>141</v>
      </c>
      <c r="K2486" s="902"/>
      <c r="L2486" s="923"/>
      <c r="M2486" s="902"/>
      <c r="N2486" s="900" t="s">
        <v>2308</v>
      </c>
    </row>
    <row r="2487" spans="1:15" ht="15.75" hidden="1">
      <c r="A2487" s="896"/>
      <c r="B2487" s="902"/>
      <c r="C2487" s="917"/>
      <c r="D2487" s="918"/>
      <c r="E2487" s="919"/>
      <c r="F2487" s="920"/>
      <c r="G2487" s="921"/>
      <c r="H2487" s="896" t="s">
        <v>902</v>
      </c>
      <c r="I2487" s="916">
        <f>ROUND(I2486/1000,2)</f>
        <v>0</v>
      </c>
      <c r="J2487" s="955" t="s">
        <v>29</v>
      </c>
      <c r="K2487" s="922">
        <f>data!E2119</f>
        <v>79809.5</v>
      </c>
      <c r="L2487" s="923" t="s">
        <v>2308</v>
      </c>
      <c r="M2487" s="924">
        <f>ROUND(I2487*K2487,0)</f>
        <v>0</v>
      </c>
      <c r="N2487" s="900" t="s">
        <v>2308</v>
      </c>
    </row>
    <row r="2488" spans="1:15" ht="69.75" hidden="1" customHeight="1">
      <c r="A2488" s="896">
        <v>22</v>
      </c>
      <c r="B2488" s="1609" t="s">
        <v>124</v>
      </c>
      <c r="C2488" s="1609"/>
      <c r="D2488" s="1609"/>
      <c r="E2488" s="1609"/>
      <c r="F2488" s="1609"/>
      <c r="G2488" s="1609"/>
      <c r="H2488" s="1609"/>
      <c r="I2488" s="897"/>
      <c r="J2488" s="898"/>
      <c r="K2488" s="896"/>
      <c r="L2488" s="923"/>
      <c r="M2488" s="899"/>
      <c r="N2488" s="900" t="s">
        <v>2309</v>
      </c>
    </row>
    <row r="2489" spans="1:15" s="910" customFormat="1" ht="16.5" hidden="1" customHeight="1">
      <c r="A2489" s="896"/>
      <c r="B2489" s="902" t="s">
        <v>3534</v>
      </c>
      <c r="C2489" s="1296" t="s">
        <v>3463</v>
      </c>
      <c r="D2489" s="904"/>
      <c r="E2489" s="905"/>
      <c r="F2489" s="906"/>
      <c r="G2489" s="906" t="s">
        <v>3450</v>
      </c>
      <c r="H2489" s="907"/>
      <c r="I2489" s="908">
        <v>85.9</v>
      </c>
      <c r="J2489" s="955" t="s">
        <v>141</v>
      </c>
      <c r="K2489" s="902"/>
      <c r="L2489" s="923"/>
      <c r="M2489" s="902"/>
      <c r="N2489" s="900" t="s">
        <v>2309</v>
      </c>
      <c r="O2489" s="1292"/>
    </row>
    <row r="2490" spans="1:15" s="910" customFormat="1" ht="16.5" hidden="1" customHeight="1">
      <c r="A2490" s="896"/>
      <c r="B2490" s="902" t="s">
        <v>3535</v>
      </c>
      <c r="C2490" s="1296" t="s">
        <v>866</v>
      </c>
      <c r="D2490" s="904"/>
      <c r="E2490" s="905"/>
      <c r="F2490" s="906"/>
      <c r="G2490" s="906"/>
      <c r="H2490" s="907"/>
      <c r="I2490" s="908">
        <v>223.68</v>
      </c>
      <c r="J2490" s="955" t="s">
        <v>141</v>
      </c>
      <c r="K2490" s="902"/>
      <c r="L2490" s="923"/>
      <c r="M2490" s="902"/>
      <c r="N2490" s="900" t="s">
        <v>2309</v>
      </c>
      <c r="O2490" s="1292"/>
    </row>
    <row r="2491" spans="1:15" s="910" customFormat="1" ht="16.5" hidden="1" customHeight="1">
      <c r="A2491" s="896"/>
      <c r="B2491" s="928"/>
      <c r="C2491" s="1294"/>
      <c r="D2491" s="904"/>
      <c r="E2491" s="905"/>
      <c r="F2491" s="906"/>
      <c r="G2491" s="906"/>
      <c r="H2491" s="907"/>
      <c r="I2491" s="908"/>
      <c r="J2491" s="955"/>
      <c r="K2491" s="902"/>
      <c r="L2491" s="923"/>
      <c r="M2491" s="902"/>
      <c r="N2491" s="900" t="s">
        <v>2309</v>
      </c>
      <c r="O2491" s="1295"/>
    </row>
    <row r="2492" spans="1:15" s="910" customFormat="1" ht="16.5" hidden="1" customHeight="1">
      <c r="A2492" s="896"/>
      <c r="B2492" s="902"/>
      <c r="C2492" s="903"/>
      <c r="D2492" s="904"/>
      <c r="E2492" s="905"/>
      <c r="F2492" s="906"/>
      <c r="G2492" s="906"/>
      <c r="H2492" s="907"/>
      <c r="I2492" s="908">
        <f>SUM(I2489:I2491)</f>
        <v>309.58000000000004</v>
      </c>
      <c r="J2492" s="955" t="s">
        <v>141</v>
      </c>
      <c r="K2492" s="902"/>
      <c r="L2492" s="923"/>
      <c r="M2492" s="902"/>
      <c r="N2492" s="900" t="s">
        <v>2309</v>
      </c>
    </row>
    <row r="2493" spans="1:15" ht="15.75" hidden="1">
      <c r="A2493" s="896"/>
      <c r="B2493" s="902"/>
      <c r="C2493" s="917"/>
      <c r="D2493" s="918"/>
      <c r="E2493" s="919"/>
      <c r="F2493" s="920"/>
      <c r="G2493" s="921"/>
      <c r="H2493" s="896" t="s">
        <v>902</v>
      </c>
      <c r="I2493" s="916"/>
      <c r="J2493" s="955" t="s">
        <v>29</v>
      </c>
      <c r="K2493" s="922">
        <f>data!E3036</f>
        <v>92466</v>
      </c>
      <c r="L2493" s="923" t="s">
        <v>2309</v>
      </c>
      <c r="M2493" s="924">
        <f>ROUND(I2493*K2493,0)</f>
        <v>0</v>
      </c>
      <c r="N2493" s="900" t="s">
        <v>2309</v>
      </c>
    </row>
    <row r="2494" spans="1:15" s="1253" customFormat="1" ht="15.75" hidden="1">
      <c r="A2494" s="967"/>
      <c r="B2494" s="967" t="s">
        <v>2510</v>
      </c>
      <c r="C2494" s="967"/>
      <c r="D2494" s="967"/>
      <c r="E2494" s="967"/>
      <c r="F2494" s="988"/>
      <c r="G2494" s="988"/>
      <c r="H2494" s="967"/>
      <c r="I2494" s="1261"/>
      <c r="J2494" s="1262"/>
      <c r="K2494" s="967"/>
      <c r="L2494" s="967"/>
      <c r="M2494" s="967"/>
      <c r="N2494" s="900"/>
    </row>
    <row r="2495" spans="1:15" ht="72" hidden="1" customHeight="1">
      <c r="A2495" s="896">
        <v>1</v>
      </c>
      <c r="B2495" s="1609" t="s">
        <v>803</v>
      </c>
      <c r="C2495" s="1609"/>
      <c r="D2495" s="1609"/>
      <c r="E2495" s="1609"/>
      <c r="F2495" s="1609"/>
      <c r="G2495" s="1609"/>
      <c r="H2495" s="1609"/>
      <c r="I2495" s="897"/>
      <c r="J2495" s="898"/>
      <c r="K2495" s="896"/>
      <c r="L2495" s="896"/>
      <c r="M2495" s="899"/>
      <c r="N2495" s="900" t="s">
        <v>2209</v>
      </c>
    </row>
    <row r="2496" spans="1:15" s="910" customFormat="1" ht="15.75" hidden="1">
      <c r="A2496" s="896"/>
      <c r="B2496" s="902" t="s">
        <v>3662</v>
      </c>
      <c r="C2496" s="903"/>
      <c r="D2496" s="904"/>
      <c r="E2496" s="905"/>
      <c r="F2496" s="906"/>
      <c r="G2496" s="906"/>
      <c r="H2496" s="907"/>
      <c r="I2496" s="908"/>
      <c r="J2496" s="955"/>
      <c r="K2496" s="902"/>
      <c r="L2496" s="896"/>
      <c r="M2496" s="902"/>
      <c r="N2496" s="900" t="s">
        <v>2209</v>
      </c>
    </row>
    <row r="2497" spans="1:14" s="910" customFormat="1" ht="15.75" hidden="1">
      <c r="A2497" s="896"/>
      <c r="B2497" s="1297" t="s">
        <v>583</v>
      </c>
      <c r="C2497" s="1298">
        <v>1</v>
      </c>
      <c r="D2497" s="1299" t="s">
        <v>273</v>
      </c>
      <c r="E2497" s="1300">
        <v>1</v>
      </c>
      <c r="F2497" s="1301">
        <v>0</v>
      </c>
      <c r="G2497" s="1301">
        <v>0</v>
      </c>
      <c r="H2497" s="1301">
        <v>0</v>
      </c>
      <c r="I2497" s="1291">
        <f>ROUND(IF(AND(F2497:H2497),C2497*E2497*F2497*G2497*H2497,IF(AND(F2497,G2497),C2497*E2497*F2497*G2497,IF(AND(F2497,H2497),C2497*E2497*F2497*H2497,IF(AND(G2497,H2497),C2497*E2497*G2497*H2497,IF(F2497,C2497*E2497*F2497,IF(G2497,C2497*E2497*G2497,IF(H2497,C2497*E2497*H2497,C2497*E2497))))))),2)</f>
        <v>1</v>
      </c>
      <c r="J2497" s="955" t="s">
        <v>115</v>
      </c>
      <c r="K2497" s="902"/>
      <c r="L2497" s="896"/>
      <c r="M2497" s="902"/>
      <c r="N2497" s="900" t="s">
        <v>2209</v>
      </c>
    </row>
    <row r="2498" spans="1:14" s="910" customFormat="1" ht="15.75" hidden="1">
      <c r="A2498" s="896"/>
      <c r="B2498" s="956"/>
      <c r="C2498" s="957"/>
      <c r="D2498" s="958"/>
      <c r="E2498" s="1268"/>
      <c r="F2498" s="960"/>
      <c r="G2498" s="960"/>
      <c r="H2498" s="960"/>
      <c r="I2498" s="916"/>
      <c r="J2498" s="955"/>
      <c r="K2498" s="902"/>
      <c r="L2498" s="896"/>
      <c r="M2498" s="902"/>
      <c r="N2498" s="900" t="s">
        <v>2209</v>
      </c>
    </row>
    <row r="2499" spans="1:14" ht="15.75" hidden="1">
      <c r="A2499" s="896"/>
      <c r="B2499" s="902"/>
      <c r="C2499" s="917"/>
      <c r="D2499" s="918"/>
      <c r="E2499" s="919"/>
      <c r="F2499" s="920"/>
      <c r="G2499" s="921"/>
      <c r="H2499" s="896"/>
      <c r="I2499" s="1291"/>
      <c r="J2499" s="955" t="s">
        <v>115</v>
      </c>
      <c r="K2499" s="922">
        <f>'D&amp;W data'!H25</f>
        <v>20396.340000000004</v>
      </c>
      <c r="L2499" s="923" t="s">
        <v>2209</v>
      </c>
      <c r="M2499" s="924">
        <f>ROUND(I2499*K2499,0)</f>
        <v>0</v>
      </c>
      <c r="N2499" s="900" t="s">
        <v>2209</v>
      </c>
    </row>
    <row r="2500" spans="1:14" ht="72" hidden="1" customHeight="1">
      <c r="A2500" s="896">
        <v>2</v>
      </c>
      <c r="B2500" s="1609" t="s">
        <v>2096</v>
      </c>
      <c r="C2500" s="1609"/>
      <c r="D2500" s="1609"/>
      <c r="E2500" s="1609"/>
      <c r="F2500" s="1609"/>
      <c r="G2500" s="1609"/>
      <c r="H2500" s="1609"/>
      <c r="I2500" s="897"/>
      <c r="J2500" s="898"/>
      <c r="K2500" s="896"/>
      <c r="L2500" s="896"/>
      <c r="M2500" s="899"/>
      <c r="N2500" s="900" t="s">
        <v>2209</v>
      </c>
    </row>
    <row r="2501" spans="1:14" s="910" customFormat="1" ht="15.75" hidden="1">
      <c r="A2501" s="896"/>
      <c r="B2501" s="902" t="s">
        <v>2327</v>
      </c>
      <c r="C2501" s="903"/>
      <c r="D2501" s="904"/>
      <c r="E2501" s="905"/>
      <c r="F2501" s="906"/>
      <c r="G2501" s="906"/>
      <c r="H2501" s="907"/>
      <c r="I2501" s="908"/>
      <c r="J2501" s="955"/>
      <c r="K2501" s="902"/>
      <c r="L2501" s="896"/>
      <c r="M2501" s="902"/>
      <c r="N2501" s="900" t="s">
        <v>2209</v>
      </c>
    </row>
    <row r="2502" spans="1:14" s="910" customFormat="1" ht="15.75" hidden="1">
      <c r="A2502" s="896"/>
      <c r="B2502" s="956"/>
      <c r="C2502" s="957">
        <v>1</v>
      </c>
      <c r="D2502" s="958" t="s">
        <v>273</v>
      </c>
      <c r="E2502" s="1268">
        <v>3</v>
      </c>
      <c r="F2502" s="960">
        <v>0</v>
      </c>
      <c r="G2502" s="960">
        <v>0</v>
      </c>
      <c r="H2502" s="960">
        <v>0</v>
      </c>
      <c r="I2502" s="1291">
        <f>ROUND(IF(AND(F2502:H2502),C2502*E2502*F2502*G2502*H2502,IF(AND(F2502,G2502),C2502*E2502*F2502*G2502,IF(AND(F2502,H2502),C2502*E2502*F2502*H2502,IF(AND(G2502,H2502),C2502*E2502*G2502*H2502,IF(F2502,C2502*E2502*F2502,IF(G2502,C2502*E2502*G2502,IF(H2502,C2502*E2502*H2502,C2502*E2502))))))),2)</f>
        <v>3</v>
      </c>
      <c r="J2502" s="955" t="s">
        <v>115</v>
      </c>
      <c r="K2502" s="902"/>
      <c r="L2502" s="896"/>
      <c r="M2502" s="902"/>
      <c r="N2502" s="900" t="s">
        <v>2209</v>
      </c>
    </row>
    <row r="2503" spans="1:14" s="910" customFormat="1" ht="15.75" hidden="1">
      <c r="A2503" s="896"/>
      <c r="B2503" s="956"/>
      <c r="C2503" s="957"/>
      <c r="D2503" s="958"/>
      <c r="E2503" s="1268"/>
      <c r="F2503" s="960"/>
      <c r="G2503" s="960"/>
      <c r="H2503" s="960"/>
      <c r="I2503" s="1291"/>
      <c r="J2503" s="955"/>
      <c r="K2503" s="902"/>
      <c r="L2503" s="896"/>
      <c r="M2503" s="902"/>
      <c r="N2503" s="900" t="s">
        <v>2209</v>
      </c>
    </row>
    <row r="2504" spans="1:14" ht="15.75" hidden="1">
      <c r="A2504" s="896"/>
      <c r="B2504" s="902"/>
      <c r="C2504" s="917"/>
      <c r="D2504" s="918"/>
      <c r="E2504" s="919"/>
      <c r="F2504" s="920"/>
      <c r="G2504" s="921"/>
      <c r="H2504" s="896"/>
      <c r="I2504" s="1291"/>
      <c r="J2504" s="955" t="s">
        <v>115</v>
      </c>
      <c r="K2504" s="922">
        <f>'D&amp;W data'!H43</f>
        <v>10891.57</v>
      </c>
      <c r="L2504" s="923" t="s">
        <v>2209</v>
      </c>
      <c r="M2504" s="924">
        <f>ROUND(I2504*K2504,0)</f>
        <v>0</v>
      </c>
      <c r="N2504" s="900" t="s">
        <v>2209</v>
      </c>
    </row>
    <row r="2505" spans="1:14" ht="72" hidden="1" customHeight="1">
      <c r="A2505" s="896">
        <v>3</v>
      </c>
      <c r="B2505" s="1609" t="s">
        <v>2200</v>
      </c>
      <c r="C2505" s="1609"/>
      <c r="D2505" s="1609"/>
      <c r="E2505" s="1609"/>
      <c r="F2505" s="1609"/>
      <c r="G2505" s="1609"/>
      <c r="H2505" s="1609"/>
      <c r="I2505" s="897"/>
      <c r="J2505" s="898"/>
      <c r="K2505" s="896"/>
      <c r="L2505" s="896"/>
      <c r="M2505" s="899"/>
      <c r="N2505" s="900" t="s">
        <v>2209</v>
      </c>
    </row>
    <row r="2506" spans="1:14" s="910" customFormat="1" ht="15.75" hidden="1">
      <c r="A2506" s="896"/>
      <c r="B2506" s="902" t="s">
        <v>2328</v>
      </c>
      <c r="C2506" s="903"/>
      <c r="D2506" s="904"/>
      <c r="E2506" s="905"/>
      <c r="F2506" s="906"/>
      <c r="G2506" s="906"/>
      <c r="H2506" s="907"/>
      <c r="I2506" s="908"/>
      <c r="J2506" s="955"/>
      <c r="K2506" s="902"/>
      <c r="L2506" s="896"/>
      <c r="M2506" s="902"/>
      <c r="N2506" s="900" t="s">
        <v>2209</v>
      </c>
    </row>
    <row r="2507" spans="1:14" s="910" customFormat="1" ht="15.75" hidden="1">
      <c r="A2507" s="896"/>
      <c r="B2507" s="956"/>
      <c r="C2507" s="957">
        <v>1</v>
      </c>
      <c r="D2507" s="958" t="s">
        <v>273</v>
      </c>
      <c r="E2507" s="1268">
        <v>1</v>
      </c>
      <c r="F2507" s="960">
        <v>0</v>
      </c>
      <c r="G2507" s="960">
        <v>0</v>
      </c>
      <c r="H2507" s="960">
        <v>0</v>
      </c>
      <c r="I2507" s="1291">
        <f>ROUND(IF(AND(F2507:H2507),C2507*E2507*F2507*G2507*H2507,IF(AND(F2507,G2507),C2507*E2507*F2507*G2507,IF(AND(F2507,H2507),C2507*E2507*F2507*H2507,IF(AND(G2507,H2507),C2507*E2507*G2507*H2507,IF(F2507,C2507*E2507*F2507,IF(G2507,C2507*E2507*G2507,IF(H2507,C2507*E2507*H2507,C2507*E2507))))))),2)</f>
        <v>1</v>
      </c>
      <c r="J2507" s="955" t="s">
        <v>115</v>
      </c>
      <c r="K2507" s="902"/>
      <c r="L2507" s="896"/>
      <c r="M2507" s="902"/>
      <c r="N2507" s="900" t="s">
        <v>2209</v>
      </c>
    </row>
    <row r="2508" spans="1:14" s="910" customFormat="1" ht="15.75" hidden="1">
      <c r="A2508" s="896"/>
      <c r="B2508" s="956"/>
      <c r="C2508" s="957"/>
      <c r="D2508" s="958"/>
      <c r="E2508" s="1268"/>
      <c r="F2508" s="960"/>
      <c r="G2508" s="960"/>
      <c r="H2508" s="960"/>
      <c r="I2508" s="1291"/>
      <c r="J2508" s="955"/>
      <c r="K2508" s="902"/>
      <c r="L2508" s="896"/>
      <c r="M2508" s="902"/>
      <c r="N2508" s="900" t="s">
        <v>2209</v>
      </c>
    </row>
    <row r="2509" spans="1:14" ht="15.75" hidden="1">
      <c r="A2509" s="896"/>
      <c r="B2509" s="902"/>
      <c r="C2509" s="917"/>
      <c r="D2509" s="918"/>
      <c r="E2509" s="919"/>
      <c r="F2509" s="920"/>
      <c r="G2509" s="921"/>
      <c r="H2509" s="896"/>
      <c r="I2509" s="1291"/>
      <c r="J2509" s="955" t="s">
        <v>115</v>
      </c>
      <c r="K2509" s="922">
        <f>'D&amp;W data'!H61</f>
        <v>9855.7799999999988</v>
      </c>
      <c r="L2509" s="923" t="s">
        <v>2209</v>
      </c>
      <c r="M2509" s="924">
        <f>ROUND(I2509*K2509,0)</f>
        <v>0</v>
      </c>
      <c r="N2509" s="900" t="s">
        <v>2209</v>
      </c>
    </row>
    <row r="2510" spans="1:14" ht="71.25" hidden="1" customHeight="1">
      <c r="A2510" s="896">
        <v>2</v>
      </c>
      <c r="B2510" s="1609" t="s">
        <v>1630</v>
      </c>
      <c r="C2510" s="1609"/>
      <c r="D2510" s="1609"/>
      <c r="E2510" s="1609"/>
      <c r="F2510" s="1609"/>
      <c r="G2510" s="1609"/>
      <c r="H2510" s="1609"/>
      <c r="I2510" s="897"/>
      <c r="J2510" s="898"/>
      <c r="K2510" s="896"/>
      <c r="L2510" s="896"/>
      <c r="M2510" s="899"/>
      <c r="N2510" s="900" t="s">
        <v>2209</v>
      </c>
    </row>
    <row r="2511" spans="1:14" s="910" customFormat="1" ht="15.75" hidden="1">
      <c r="A2511" s="896"/>
      <c r="B2511" s="902" t="s">
        <v>3662</v>
      </c>
      <c r="C2511" s="903"/>
      <c r="D2511" s="904"/>
      <c r="E2511" s="905"/>
      <c r="F2511" s="906"/>
      <c r="G2511" s="906"/>
      <c r="H2511" s="907"/>
      <c r="I2511" s="908"/>
      <c r="J2511" s="955"/>
      <c r="K2511" s="902"/>
      <c r="L2511" s="896"/>
      <c r="M2511" s="902"/>
      <c r="N2511" s="900" t="s">
        <v>2209</v>
      </c>
    </row>
    <row r="2512" spans="1:14" s="910" customFormat="1" ht="15.75" hidden="1">
      <c r="A2512" s="896"/>
      <c r="B2512" s="1297" t="s">
        <v>2722</v>
      </c>
      <c r="C2512" s="1298">
        <v>1</v>
      </c>
      <c r="D2512" s="1299" t="s">
        <v>273</v>
      </c>
      <c r="E2512" s="1300">
        <v>1</v>
      </c>
      <c r="F2512" s="1301">
        <v>0</v>
      </c>
      <c r="G2512" s="1301">
        <v>0</v>
      </c>
      <c r="H2512" s="1301">
        <v>0</v>
      </c>
      <c r="I2512" s="1291">
        <f>ROUND(IF(AND(F2512:H2512),C2512*E2512*F2512*G2512*H2512,IF(AND(F2512,G2512),C2512*E2512*F2512*G2512,IF(AND(F2512,H2512),C2512*E2512*F2512*H2512,IF(AND(G2512,H2512),C2512*E2512*G2512*H2512,IF(F2512,C2512*E2512*F2512,IF(G2512,C2512*E2512*G2512,IF(H2512,C2512*E2512*H2512,C2512*E2512))))))),2)</f>
        <v>1</v>
      </c>
      <c r="J2512" s="955" t="s">
        <v>115</v>
      </c>
      <c r="K2512" s="902"/>
      <c r="L2512" s="896"/>
      <c r="M2512" s="902"/>
      <c r="N2512" s="900" t="s">
        <v>2209</v>
      </c>
    </row>
    <row r="2513" spans="1:14" s="910" customFormat="1" ht="15.75" hidden="1">
      <c r="A2513" s="896"/>
      <c r="B2513" s="956"/>
      <c r="C2513" s="957"/>
      <c r="D2513" s="958"/>
      <c r="E2513" s="1268"/>
      <c r="F2513" s="960"/>
      <c r="G2513" s="960"/>
      <c r="H2513" s="960"/>
      <c r="I2513" s="1291"/>
      <c r="J2513" s="955"/>
      <c r="K2513" s="902"/>
      <c r="L2513" s="896"/>
      <c r="M2513" s="902"/>
      <c r="N2513" s="900" t="s">
        <v>2209</v>
      </c>
    </row>
    <row r="2514" spans="1:14" ht="15.75" hidden="1">
      <c r="A2514" s="896"/>
      <c r="B2514" s="902"/>
      <c r="C2514" s="917"/>
      <c r="D2514" s="918"/>
      <c r="E2514" s="919"/>
      <c r="F2514" s="920"/>
      <c r="G2514" s="921"/>
      <c r="H2514" s="896"/>
      <c r="I2514" s="1291"/>
      <c r="J2514" s="955" t="s">
        <v>115</v>
      </c>
      <c r="K2514" s="922">
        <f>'D&amp;W data'!H80</f>
        <v>14099.53</v>
      </c>
      <c r="L2514" s="923" t="s">
        <v>2209</v>
      </c>
      <c r="M2514" s="924">
        <f>ROUND(I2514*K2514,0)</f>
        <v>0</v>
      </c>
      <c r="N2514" s="900" t="s">
        <v>2209</v>
      </c>
    </row>
    <row r="2515" spans="1:14" ht="71.25" hidden="1" customHeight="1">
      <c r="A2515" s="896">
        <v>3</v>
      </c>
      <c r="B2515" s="1609" t="s">
        <v>1631</v>
      </c>
      <c r="C2515" s="1609"/>
      <c r="D2515" s="1609"/>
      <c r="E2515" s="1609"/>
      <c r="F2515" s="1609"/>
      <c r="G2515" s="1609"/>
      <c r="H2515" s="1609"/>
      <c r="I2515" s="897"/>
      <c r="J2515" s="898"/>
      <c r="K2515" s="896"/>
      <c r="L2515" s="896"/>
      <c r="M2515" s="899"/>
      <c r="N2515" s="900" t="s">
        <v>2209</v>
      </c>
    </row>
    <row r="2516" spans="1:14" s="910" customFormat="1" ht="15.75" hidden="1">
      <c r="A2516" s="896"/>
      <c r="B2516" s="902" t="s">
        <v>3663</v>
      </c>
      <c r="C2516" s="903"/>
      <c r="D2516" s="904"/>
      <c r="E2516" s="905"/>
      <c r="F2516" s="906"/>
      <c r="G2516" s="906"/>
      <c r="H2516" s="907"/>
      <c r="I2516" s="908"/>
      <c r="J2516" s="955"/>
      <c r="K2516" s="902"/>
      <c r="L2516" s="896"/>
      <c r="M2516" s="902"/>
      <c r="N2516" s="900" t="s">
        <v>2209</v>
      </c>
    </row>
    <row r="2517" spans="1:14" s="910" customFormat="1" ht="15.75" hidden="1">
      <c r="A2517" s="896"/>
      <c r="B2517" s="1297"/>
      <c r="C2517" s="1298">
        <v>1</v>
      </c>
      <c r="D2517" s="1299" t="s">
        <v>273</v>
      </c>
      <c r="E2517" s="1300">
        <v>1</v>
      </c>
      <c r="F2517" s="1301">
        <v>0</v>
      </c>
      <c r="G2517" s="1301">
        <v>0</v>
      </c>
      <c r="H2517" s="1301">
        <v>0</v>
      </c>
      <c r="I2517" s="916">
        <f>ROUND(IF(AND(F2517:H2517),C2517*E2517*F2517*G2517*H2517,IF(AND(F2517,G2517),C2517*E2517*F2517*G2517,IF(AND(F2517,H2517),C2517*E2517*F2517*H2517,IF(AND(G2517,H2517),C2517*E2517*G2517*H2517,IF(F2517,C2517*E2517*F2517,IF(G2517,C2517*E2517*G2517,IF(H2517,C2517*E2517*H2517,C2517*E2517))))))),2)</f>
        <v>1</v>
      </c>
      <c r="J2517" s="955" t="s">
        <v>115</v>
      </c>
      <c r="K2517" s="902"/>
      <c r="L2517" s="896"/>
      <c r="M2517" s="902"/>
      <c r="N2517" s="900" t="s">
        <v>2209</v>
      </c>
    </row>
    <row r="2518" spans="1:14" s="910" customFormat="1" ht="15.75" hidden="1">
      <c r="A2518" s="896"/>
      <c r="B2518" s="956"/>
      <c r="C2518" s="957"/>
      <c r="D2518" s="958"/>
      <c r="E2518" s="1268"/>
      <c r="F2518" s="960"/>
      <c r="G2518" s="960"/>
      <c r="H2518" s="960"/>
      <c r="I2518" s="916"/>
      <c r="J2518" s="955"/>
      <c r="K2518" s="902"/>
      <c r="L2518" s="896"/>
      <c r="M2518" s="902"/>
      <c r="N2518" s="900" t="s">
        <v>2209</v>
      </c>
    </row>
    <row r="2519" spans="1:14" ht="15.75" hidden="1">
      <c r="A2519" s="896"/>
      <c r="B2519" s="902"/>
      <c r="C2519" s="917"/>
      <c r="D2519" s="918"/>
      <c r="E2519" s="919"/>
      <c r="F2519" s="920"/>
      <c r="G2519" s="921"/>
      <c r="H2519" s="896"/>
      <c r="I2519" s="916"/>
      <c r="J2519" s="955" t="s">
        <v>115</v>
      </c>
      <c r="K2519" s="922">
        <f>'D&amp;W data'!H99</f>
        <v>13359.1</v>
      </c>
      <c r="L2519" s="923" t="s">
        <v>2209</v>
      </c>
      <c r="M2519" s="924">
        <f>ROUND(I2519*K2519,0)</f>
        <v>0</v>
      </c>
      <c r="N2519" s="900" t="s">
        <v>2209</v>
      </c>
    </row>
    <row r="2520" spans="1:14" ht="71.25" hidden="1" customHeight="1">
      <c r="A2520" s="896">
        <v>3</v>
      </c>
      <c r="B2520" s="1609" t="s">
        <v>2137</v>
      </c>
      <c r="C2520" s="1609"/>
      <c r="D2520" s="1609"/>
      <c r="E2520" s="1609"/>
      <c r="F2520" s="1609"/>
      <c r="G2520" s="1609"/>
      <c r="H2520" s="1609"/>
      <c r="I2520" s="897"/>
      <c r="J2520" s="898"/>
      <c r="K2520" s="896"/>
      <c r="L2520" s="896"/>
      <c r="M2520" s="899"/>
      <c r="N2520" s="900" t="s">
        <v>2209</v>
      </c>
    </row>
    <row r="2521" spans="1:14" s="910" customFormat="1" ht="15.75" hidden="1">
      <c r="A2521" s="896"/>
      <c r="B2521" s="902" t="s">
        <v>2184</v>
      </c>
      <c r="C2521" s="903"/>
      <c r="D2521" s="904"/>
      <c r="E2521" s="905"/>
      <c r="F2521" s="906"/>
      <c r="G2521" s="906"/>
      <c r="H2521" s="907"/>
      <c r="I2521" s="908"/>
      <c r="J2521" s="955"/>
      <c r="K2521" s="902"/>
      <c r="L2521" s="896"/>
      <c r="M2521" s="902"/>
      <c r="N2521" s="900" t="s">
        <v>2209</v>
      </c>
    </row>
    <row r="2522" spans="1:14" s="910" customFormat="1" ht="15.75" hidden="1">
      <c r="A2522" s="896"/>
      <c r="B2522" s="956" t="s">
        <v>2185</v>
      </c>
      <c r="C2522" s="957">
        <v>1</v>
      </c>
      <c r="D2522" s="958" t="s">
        <v>273</v>
      </c>
      <c r="E2522" s="1268">
        <v>5</v>
      </c>
      <c r="F2522" s="960">
        <v>0</v>
      </c>
      <c r="G2522" s="960">
        <v>0</v>
      </c>
      <c r="H2522" s="960">
        <v>0</v>
      </c>
      <c r="I2522" s="916">
        <f>ROUND(IF(AND(F2522:H2522),C2522*E2522*F2522*G2522*H2522,IF(AND(F2522,G2522),C2522*E2522*F2522*G2522,IF(AND(F2522,H2522),C2522*E2522*F2522*H2522,IF(AND(G2522,H2522),C2522*E2522*G2522*H2522,IF(F2522,C2522*E2522*F2522,IF(G2522,C2522*E2522*G2522,IF(H2522,C2522*E2522*H2522,C2522*E2522))))))),2)</f>
        <v>5</v>
      </c>
      <c r="J2522" s="955" t="s">
        <v>115</v>
      </c>
      <c r="K2522" s="902"/>
      <c r="L2522" s="896"/>
      <c r="M2522" s="902"/>
      <c r="N2522" s="900" t="s">
        <v>2209</v>
      </c>
    </row>
    <row r="2523" spans="1:14" s="910" customFormat="1" ht="15.75" hidden="1">
      <c r="A2523" s="896"/>
      <c r="B2523" s="956"/>
      <c r="C2523" s="957"/>
      <c r="D2523" s="958"/>
      <c r="E2523" s="1268"/>
      <c r="F2523" s="960"/>
      <c r="G2523" s="960"/>
      <c r="H2523" s="960"/>
      <c r="I2523" s="916"/>
      <c r="J2523" s="955"/>
      <c r="K2523" s="902"/>
      <c r="L2523" s="896"/>
      <c r="M2523" s="902"/>
      <c r="N2523" s="900" t="s">
        <v>2209</v>
      </c>
    </row>
    <row r="2524" spans="1:14" ht="15.75" hidden="1">
      <c r="A2524" s="896"/>
      <c r="B2524" s="902"/>
      <c r="C2524" s="917"/>
      <c r="D2524" s="918"/>
      <c r="E2524" s="919"/>
      <c r="F2524" s="920"/>
      <c r="G2524" s="921"/>
      <c r="H2524" s="896"/>
      <c r="I2524" s="916"/>
      <c r="J2524" s="955" t="s">
        <v>115</v>
      </c>
      <c r="K2524" s="922">
        <f>'D&amp;W data'!H194</f>
        <v>8905.99</v>
      </c>
      <c r="L2524" s="923" t="s">
        <v>2209</v>
      </c>
      <c r="M2524" s="924">
        <f>ROUND(I2524*K2524,0)</f>
        <v>0</v>
      </c>
      <c r="N2524" s="900" t="s">
        <v>2209</v>
      </c>
    </row>
    <row r="2525" spans="1:14" ht="71.25" hidden="1" customHeight="1">
      <c r="A2525" s="896">
        <v>3</v>
      </c>
      <c r="B2525" s="1609" t="s">
        <v>1632</v>
      </c>
      <c r="C2525" s="1609"/>
      <c r="D2525" s="1609"/>
      <c r="E2525" s="1609"/>
      <c r="F2525" s="1609"/>
      <c r="G2525" s="1609"/>
      <c r="H2525" s="1609"/>
      <c r="I2525" s="897"/>
      <c r="J2525" s="898"/>
      <c r="K2525" s="896"/>
      <c r="L2525" s="896"/>
      <c r="M2525" s="899"/>
      <c r="N2525" s="900" t="s">
        <v>2209</v>
      </c>
    </row>
    <row r="2526" spans="1:14" s="910" customFormat="1" ht="15.75" hidden="1">
      <c r="A2526" s="896"/>
      <c r="B2526" s="902" t="s">
        <v>2329</v>
      </c>
      <c r="C2526" s="903"/>
      <c r="D2526" s="904"/>
      <c r="E2526" s="905"/>
      <c r="F2526" s="906"/>
      <c r="G2526" s="906"/>
      <c r="H2526" s="907"/>
      <c r="I2526" s="908"/>
      <c r="J2526" s="955"/>
      <c r="K2526" s="902"/>
      <c r="L2526" s="896"/>
      <c r="M2526" s="902"/>
      <c r="N2526" s="900" t="s">
        <v>2209</v>
      </c>
    </row>
    <row r="2527" spans="1:14" s="910" customFormat="1" ht="15.75" hidden="1">
      <c r="A2527" s="896"/>
      <c r="B2527" s="956" t="s">
        <v>583</v>
      </c>
      <c r="C2527" s="957">
        <v>1</v>
      </c>
      <c r="D2527" s="958" t="s">
        <v>273</v>
      </c>
      <c r="E2527" s="1268">
        <v>1</v>
      </c>
      <c r="F2527" s="960">
        <v>0</v>
      </c>
      <c r="G2527" s="960">
        <v>0</v>
      </c>
      <c r="H2527" s="960">
        <v>0</v>
      </c>
      <c r="I2527" s="916">
        <f>ROUND(IF(AND(F2527:H2527),C2527*E2527*F2527*G2527*H2527,IF(AND(F2527,G2527),C2527*E2527*F2527*G2527,IF(AND(F2527,H2527),C2527*E2527*F2527*H2527,IF(AND(G2527,H2527),C2527*E2527*G2527*H2527,IF(F2527,C2527*E2527*F2527,IF(G2527,C2527*E2527*G2527,IF(H2527,C2527*E2527*H2527,C2527*E2527))))))),2)</f>
        <v>1</v>
      </c>
      <c r="J2527" s="955" t="s">
        <v>115</v>
      </c>
      <c r="K2527" s="902"/>
      <c r="L2527" s="896"/>
      <c r="M2527" s="902"/>
      <c r="N2527" s="900" t="s">
        <v>2209</v>
      </c>
    </row>
    <row r="2528" spans="1:14" s="910" customFormat="1" ht="15.75" hidden="1">
      <c r="A2528" s="896"/>
      <c r="B2528" s="956"/>
      <c r="C2528" s="957"/>
      <c r="D2528" s="958"/>
      <c r="E2528" s="1268"/>
      <c r="F2528" s="960"/>
      <c r="G2528" s="960"/>
      <c r="H2528" s="960"/>
      <c r="I2528" s="916"/>
      <c r="J2528" s="955"/>
      <c r="K2528" s="902"/>
      <c r="L2528" s="896"/>
      <c r="M2528" s="902"/>
      <c r="N2528" s="900" t="s">
        <v>2209</v>
      </c>
    </row>
    <row r="2529" spans="1:14" ht="15.75" hidden="1">
      <c r="A2529" s="896"/>
      <c r="B2529" s="902"/>
      <c r="C2529" s="917"/>
      <c r="D2529" s="918"/>
      <c r="E2529" s="919"/>
      <c r="F2529" s="920"/>
      <c r="G2529" s="921"/>
      <c r="H2529" s="896"/>
      <c r="I2529" s="916"/>
      <c r="J2529" s="955" t="s">
        <v>115</v>
      </c>
      <c r="K2529" s="922">
        <f>'D&amp;W data'!H137</f>
        <v>6334.76</v>
      </c>
      <c r="L2529" s="923" t="s">
        <v>2209</v>
      </c>
      <c r="M2529" s="924">
        <f>ROUND(I2529*K2529,0)</f>
        <v>0</v>
      </c>
      <c r="N2529" s="900" t="s">
        <v>2209</v>
      </c>
    </row>
    <row r="2530" spans="1:14" ht="71.25" hidden="1" customHeight="1">
      <c r="A2530" s="896">
        <v>40</v>
      </c>
      <c r="B2530" s="1609" t="s">
        <v>804</v>
      </c>
      <c r="C2530" s="1609"/>
      <c r="D2530" s="1609"/>
      <c r="E2530" s="1609"/>
      <c r="F2530" s="1609"/>
      <c r="G2530" s="1609"/>
      <c r="H2530" s="1609"/>
      <c r="I2530" s="897"/>
      <c r="J2530" s="898"/>
      <c r="K2530" s="896"/>
      <c r="L2530" s="896"/>
      <c r="M2530" s="899"/>
      <c r="N2530" s="900" t="s">
        <v>2209</v>
      </c>
    </row>
    <row r="2531" spans="1:14" s="910" customFormat="1" ht="15.75" hidden="1">
      <c r="A2531" s="896"/>
      <c r="B2531" s="1274" t="s">
        <v>2319</v>
      </c>
      <c r="C2531" s="903"/>
      <c r="D2531" s="904"/>
      <c r="E2531" s="905"/>
      <c r="F2531" s="906"/>
      <c r="G2531" s="906"/>
      <c r="H2531" s="907"/>
      <c r="I2531" s="908"/>
      <c r="J2531" s="955"/>
      <c r="K2531" s="902"/>
      <c r="L2531" s="896"/>
      <c r="M2531" s="902"/>
      <c r="N2531" s="900" t="s">
        <v>2209</v>
      </c>
    </row>
    <row r="2532" spans="1:14" s="910" customFormat="1" ht="15.75" hidden="1">
      <c r="A2532" s="896"/>
      <c r="B2532" s="956" t="s">
        <v>583</v>
      </c>
      <c r="C2532" s="957">
        <v>2</v>
      </c>
      <c r="D2532" s="958" t="s">
        <v>273</v>
      </c>
      <c r="E2532" s="1268">
        <v>1</v>
      </c>
      <c r="F2532" s="960">
        <v>0</v>
      </c>
      <c r="G2532" s="960">
        <v>0</v>
      </c>
      <c r="H2532" s="960">
        <v>0</v>
      </c>
      <c r="I2532" s="1291">
        <f>ROUND(IF(AND(F2532:H2532),C2532*E2532*F2532*G2532*H2532,IF(AND(F2532,G2532),C2532*E2532*F2532*G2532,IF(AND(F2532,H2532),C2532*E2532*F2532*H2532,IF(AND(G2532,H2532),C2532*E2532*G2532*H2532,IF(F2532,C2532*E2532*F2532,IF(G2532,C2532*E2532*G2532,IF(H2532,C2532*E2532*H2532,C2532*E2532))))))),2)</f>
        <v>2</v>
      </c>
      <c r="J2532" s="955" t="s">
        <v>115</v>
      </c>
      <c r="K2532" s="902"/>
      <c r="L2532" s="896"/>
      <c r="M2532" s="902"/>
      <c r="N2532" s="900" t="s">
        <v>2209</v>
      </c>
    </row>
    <row r="2533" spans="1:14" s="910" customFormat="1" ht="15.75" hidden="1">
      <c r="A2533" s="896"/>
      <c r="B2533" s="1274" t="s">
        <v>2330</v>
      </c>
      <c r="C2533" s="903"/>
      <c r="D2533" s="904"/>
      <c r="E2533" s="905"/>
      <c r="F2533" s="906"/>
      <c r="G2533" s="906"/>
      <c r="H2533" s="907"/>
      <c r="I2533" s="1302"/>
      <c r="J2533" s="955"/>
      <c r="K2533" s="902"/>
      <c r="L2533" s="896"/>
      <c r="M2533" s="902"/>
      <c r="N2533" s="900" t="s">
        <v>2209</v>
      </c>
    </row>
    <row r="2534" spans="1:14" s="910" customFormat="1" ht="15.75" hidden="1">
      <c r="A2534" s="896"/>
      <c r="B2534" s="956" t="s">
        <v>584</v>
      </c>
      <c r="C2534" s="957">
        <v>3</v>
      </c>
      <c r="D2534" s="958" t="s">
        <v>273</v>
      </c>
      <c r="E2534" s="1268">
        <v>1</v>
      </c>
      <c r="F2534" s="960">
        <v>0</v>
      </c>
      <c r="G2534" s="960">
        <v>0</v>
      </c>
      <c r="H2534" s="960">
        <v>0</v>
      </c>
      <c r="I2534" s="1291">
        <f>ROUND(IF(AND(F2534:H2534),C2534*E2534*F2534*G2534*H2534,IF(AND(F2534,G2534),C2534*E2534*F2534*G2534,IF(AND(F2534,H2534),C2534*E2534*F2534*H2534,IF(AND(G2534,H2534),C2534*E2534*G2534*H2534,IF(F2534,C2534*E2534*F2534,IF(G2534,C2534*E2534*G2534,IF(H2534,C2534*E2534*H2534,C2534*E2534))))))),2)</f>
        <v>3</v>
      </c>
      <c r="J2534" s="955" t="s">
        <v>115</v>
      </c>
      <c r="K2534" s="902"/>
      <c r="L2534" s="896"/>
      <c r="M2534" s="902"/>
      <c r="N2534" s="900" t="s">
        <v>2209</v>
      </c>
    </row>
    <row r="2535" spans="1:14" s="910" customFormat="1" ht="15.75" hidden="1">
      <c r="A2535" s="896"/>
      <c r="B2535" s="956"/>
      <c r="C2535" s="957"/>
      <c r="D2535" s="958"/>
      <c r="E2535" s="1268"/>
      <c r="F2535" s="960"/>
      <c r="G2535" s="960"/>
      <c r="H2535" s="960"/>
      <c r="I2535" s="1291"/>
      <c r="J2535" s="955"/>
      <c r="K2535" s="902"/>
      <c r="L2535" s="896"/>
      <c r="M2535" s="902"/>
      <c r="N2535" s="900" t="s">
        <v>2209</v>
      </c>
    </row>
    <row r="2536" spans="1:14" ht="15.75" hidden="1">
      <c r="A2536" s="896"/>
      <c r="B2536" s="902"/>
      <c r="C2536" s="917"/>
      <c r="D2536" s="918"/>
      <c r="E2536" s="919"/>
      <c r="F2536" s="920"/>
      <c r="G2536" s="921"/>
      <c r="H2536" s="896"/>
      <c r="I2536" s="1291"/>
      <c r="J2536" s="955" t="s">
        <v>115</v>
      </c>
      <c r="K2536" s="922">
        <f>'D&amp;W data'!H156</f>
        <v>15555.64</v>
      </c>
      <c r="L2536" s="923" t="s">
        <v>2209</v>
      </c>
      <c r="M2536" s="924">
        <f>ROUND(I2536*K2536,0)</f>
        <v>0</v>
      </c>
      <c r="N2536" s="900" t="s">
        <v>2209</v>
      </c>
    </row>
    <row r="2537" spans="1:14" ht="71.25" hidden="1" customHeight="1">
      <c r="A2537" s="896">
        <v>4</v>
      </c>
      <c r="B2537" s="1609" t="s">
        <v>2091</v>
      </c>
      <c r="C2537" s="1609"/>
      <c r="D2537" s="1609"/>
      <c r="E2537" s="1609"/>
      <c r="F2537" s="1609"/>
      <c r="G2537" s="1609"/>
      <c r="H2537" s="1609"/>
      <c r="I2537" s="897"/>
      <c r="J2537" s="898"/>
      <c r="K2537" s="896"/>
      <c r="L2537" s="896"/>
      <c r="M2537" s="899"/>
      <c r="N2537" s="900" t="s">
        <v>2209</v>
      </c>
    </row>
    <row r="2538" spans="1:14" s="910" customFormat="1" ht="15.75" hidden="1">
      <c r="A2538" s="896"/>
      <c r="B2538" s="902" t="s">
        <v>2327</v>
      </c>
      <c r="C2538" s="903"/>
      <c r="D2538" s="904"/>
      <c r="E2538" s="905"/>
      <c r="F2538" s="906"/>
      <c r="G2538" s="906"/>
      <c r="H2538" s="907"/>
      <c r="I2538" s="908"/>
      <c r="J2538" s="955"/>
      <c r="K2538" s="902"/>
      <c r="L2538" s="896"/>
      <c r="M2538" s="902"/>
      <c r="N2538" s="900" t="s">
        <v>2209</v>
      </c>
    </row>
    <row r="2539" spans="1:14" s="910" customFormat="1" ht="15.75" hidden="1">
      <c r="A2539" s="896"/>
      <c r="B2539" s="956" t="s">
        <v>583</v>
      </c>
      <c r="C2539" s="957">
        <v>1</v>
      </c>
      <c r="D2539" s="958" t="s">
        <v>273</v>
      </c>
      <c r="E2539" s="1268">
        <v>2</v>
      </c>
      <c r="F2539" s="960">
        <v>0</v>
      </c>
      <c r="G2539" s="960">
        <v>0</v>
      </c>
      <c r="H2539" s="960">
        <v>0</v>
      </c>
      <c r="I2539" s="1291">
        <f>ROUND(IF(AND(F2539:H2539),C2539*E2539*F2539*G2539*H2539,IF(AND(F2539,G2539),C2539*E2539*F2539*G2539,IF(AND(F2539,H2539),C2539*E2539*F2539*H2539,IF(AND(G2539,H2539),C2539*E2539*G2539*H2539,IF(F2539,C2539*E2539*F2539,IF(G2539,C2539*E2539*G2539,IF(H2539,C2539*E2539*H2539,C2539*E2539))))))),2)</f>
        <v>2</v>
      </c>
      <c r="J2539" s="955" t="s">
        <v>115</v>
      </c>
      <c r="K2539" s="902"/>
      <c r="L2539" s="896"/>
      <c r="M2539" s="902"/>
      <c r="N2539" s="900" t="s">
        <v>2209</v>
      </c>
    </row>
    <row r="2540" spans="1:14" s="910" customFormat="1" ht="15.75" hidden="1">
      <c r="A2540" s="896"/>
      <c r="B2540" s="902" t="s">
        <v>2327</v>
      </c>
      <c r="C2540" s="903"/>
      <c r="D2540" s="904"/>
      <c r="E2540" s="905"/>
      <c r="F2540" s="906"/>
      <c r="G2540" s="906"/>
      <c r="H2540" s="907"/>
      <c r="I2540" s="908"/>
      <c r="J2540" s="955"/>
      <c r="K2540" s="902"/>
      <c r="L2540" s="896"/>
      <c r="M2540" s="902"/>
      <c r="N2540" s="900" t="s">
        <v>2209</v>
      </c>
    </row>
    <row r="2541" spans="1:14" s="910" customFormat="1" ht="15.75" hidden="1">
      <c r="A2541" s="896"/>
      <c r="B2541" s="956" t="s">
        <v>584</v>
      </c>
      <c r="C2541" s="957">
        <v>1</v>
      </c>
      <c r="D2541" s="958" t="s">
        <v>273</v>
      </c>
      <c r="E2541" s="1268">
        <v>3</v>
      </c>
      <c r="F2541" s="960">
        <v>0</v>
      </c>
      <c r="G2541" s="960">
        <v>0</v>
      </c>
      <c r="H2541" s="960">
        <v>0</v>
      </c>
      <c r="I2541" s="1291">
        <f>ROUND(IF(AND(F2541:H2541),C2541*E2541*F2541*G2541*H2541,IF(AND(F2541,G2541),C2541*E2541*F2541*G2541,IF(AND(F2541,H2541),C2541*E2541*F2541*H2541,IF(AND(G2541,H2541),C2541*E2541*G2541*H2541,IF(F2541,C2541*E2541*F2541,IF(G2541,C2541*E2541*G2541,IF(H2541,C2541*E2541*H2541,C2541*E2541))))))),2)</f>
        <v>3</v>
      </c>
      <c r="J2541" s="955" t="s">
        <v>115</v>
      </c>
      <c r="K2541" s="902"/>
      <c r="L2541" s="896"/>
      <c r="M2541" s="902"/>
      <c r="N2541" s="900" t="s">
        <v>2209</v>
      </c>
    </row>
    <row r="2542" spans="1:14" s="910" customFormat="1" ht="15.75" hidden="1">
      <c r="A2542" s="896"/>
      <c r="B2542" s="956"/>
      <c r="C2542" s="957"/>
      <c r="D2542" s="958"/>
      <c r="E2542" s="1268"/>
      <c r="F2542" s="960"/>
      <c r="G2542" s="960"/>
      <c r="H2542" s="960"/>
      <c r="I2542" s="1291"/>
      <c r="J2542" s="955"/>
      <c r="K2542" s="902"/>
      <c r="L2542" s="896"/>
      <c r="M2542" s="902"/>
      <c r="N2542" s="900" t="s">
        <v>2209</v>
      </c>
    </row>
    <row r="2543" spans="1:14" ht="15.75" hidden="1">
      <c r="A2543" s="896"/>
      <c r="B2543" s="902"/>
      <c r="C2543" s="917"/>
      <c r="D2543" s="918"/>
      <c r="E2543" s="919"/>
      <c r="F2543" s="920"/>
      <c r="G2543" s="921"/>
      <c r="H2543" s="896"/>
      <c r="I2543" s="1291"/>
      <c r="J2543" s="955" t="s">
        <v>115</v>
      </c>
      <c r="K2543" s="922">
        <f>'D&amp;W data'!H175</f>
        <v>9631.65</v>
      </c>
      <c r="L2543" s="923" t="s">
        <v>2209</v>
      </c>
      <c r="M2543" s="924">
        <f>ROUND(I2543*K2543,0)</f>
        <v>0</v>
      </c>
      <c r="N2543" s="900" t="s">
        <v>2209</v>
      </c>
    </row>
    <row r="2544" spans="1:14" ht="148.5" hidden="1" customHeight="1">
      <c r="A2544" s="896">
        <v>5</v>
      </c>
      <c r="B2544" s="1609" t="s">
        <v>910</v>
      </c>
      <c r="C2544" s="1609"/>
      <c r="D2544" s="1609"/>
      <c r="E2544" s="1609"/>
      <c r="F2544" s="1609"/>
      <c r="G2544" s="1609"/>
      <c r="H2544" s="1609"/>
      <c r="I2544" s="897"/>
      <c r="J2544" s="898"/>
      <c r="K2544" s="896"/>
      <c r="L2544" s="896"/>
      <c r="M2544" s="899"/>
      <c r="N2544" s="900" t="s">
        <v>2209</v>
      </c>
    </row>
    <row r="2545" spans="1:15" s="910" customFormat="1" ht="16.5" hidden="1" customHeight="1">
      <c r="A2545" s="896"/>
      <c r="B2545" s="902" t="s">
        <v>2184</v>
      </c>
      <c r="C2545" s="903"/>
      <c r="D2545" s="904"/>
      <c r="E2545" s="905"/>
      <c r="F2545" s="906"/>
      <c r="G2545" s="906"/>
      <c r="H2545" s="907"/>
      <c r="I2545" s="908"/>
      <c r="J2545" s="955"/>
      <c r="K2545" s="902"/>
      <c r="L2545" s="896"/>
      <c r="M2545" s="902"/>
      <c r="N2545" s="900" t="s">
        <v>2209</v>
      </c>
    </row>
    <row r="2546" spans="1:15" s="910" customFormat="1" ht="16.5" hidden="1" customHeight="1">
      <c r="A2546" s="896"/>
      <c r="B2546" s="956" t="s">
        <v>2186</v>
      </c>
      <c r="C2546" s="957">
        <v>1</v>
      </c>
      <c r="D2546" s="958" t="s">
        <v>273</v>
      </c>
      <c r="E2546" s="1268">
        <v>3</v>
      </c>
      <c r="F2546" s="960">
        <v>0.72</v>
      </c>
      <c r="G2546" s="960">
        <v>0</v>
      </c>
      <c r="H2546" s="960">
        <v>1.99</v>
      </c>
      <c r="I2546" s="916">
        <f>ROUND(IF(AND(F2546:H2546),C2546*E2546*F2546*G2546*H2546,IF(AND(F2546,G2546),C2546*E2546*F2546*G2546,IF(AND(F2546,H2546),C2546*E2546*F2546*H2546,IF(AND(G2546,H2546),C2546*E2546*G2546*H2546,IF(F2546,C2546*E2546*F2546,IF(G2546,C2546*E2546*G2546,IF(H2546,C2546*E2546*H2546,C2546*E2546))))))),2)</f>
        <v>4.3</v>
      </c>
      <c r="J2546" s="955" t="s">
        <v>102</v>
      </c>
      <c r="K2546" s="902"/>
      <c r="L2546" s="896"/>
      <c r="M2546" s="902"/>
      <c r="N2546" s="900" t="s">
        <v>2209</v>
      </c>
      <c r="O2546" s="1268">
        <v>2</v>
      </c>
    </row>
    <row r="2547" spans="1:15" s="910" customFormat="1" ht="16.5" hidden="1" customHeight="1">
      <c r="A2547" s="896"/>
      <c r="B2547" s="956"/>
      <c r="C2547" s="957"/>
      <c r="D2547" s="958"/>
      <c r="E2547" s="1268"/>
      <c r="F2547" s="960"/>
      <c r="G2547" s="960"/>
      <c r="H2547" s="960"/>
      <c r="I2547" s="916"/>
      <c r="J2547" s="955"/>
      <c r="K2547" s="902"/>
      <c r="L2547" s="896"/>
      <c r="M2547" s="902"/>
      <c r="N2547" s="900" t="s">
        <v>2209</v>
      </c>
      <c r="O2547" s="1268"/>
    </row>
    <row r="2548" spans="1:15" ht="15.75" hidden="1">
      <c r="A2548" s="896"/>
      <c r="B2548" s="902"/>
      <c r="C2548" s="917"/>
      <c r="D2548" s="918"/>
      <c r="E2548" s="919"/>
      <c r="F2548" s="920"/>
      <c r="G2548" s="921"/>
      <c r="H2548" s="896"/>
      <c r="I2548" s="916"/>
      <c r="J2548" s="955" t="s">
        <v>102</v>
      </c>
      <c r="K2548" s="922">
        <f>'D&amp;W data'!H218</f>
        <v>6011.2</v>
      </c>
      <c r="L2548" s="923" t="s">
        <v>2209</v>
      </c>
      <c r="M2548" s="924">
        <f>ROUND(I2548*K2548,0)</f>
        <v>0</v>
      </c>
      <c r="N2548" s="900" t="s">
        <v>2209</v>
      </c>
    </row>
    <row r="2549" spans="1:15" ht="148.5" hidden="1" customHeight="1">
      <c r="A2549" s="896">
        <v>2</v>
      </c>
      <c r="B2549" s="1609" t="s">
        <v>910</v>
      </c>
      <c r="C2549" s="1609"/>
      <c r="D2549" s="1609"/>
      <c r="E2549" s="1609"/>
      <c r="F2549" s="1609"/>
      <c r="G2549" s="1609"/>
      <c r="H2549" s="1609"/>
      <c r="I2549" s="897"/>
      <c r="J2549" s="898"/>
      <c r="K2549" s="896"/>
      <c r="L2549" s="896"/>
      <c r="M2549" s="899"/>
      <c r="N2549" s="900" t="s">
        <v>2209</v>
      </c>
    </row>
    <row r="2550" spans="1:15" s="910" customFormat="1" ht="16.5" hidden="1" customHeight="1">
      <c r="A2550" s="896"/>
      <c r="B2550" s="1212" t="s">
        <v>2331</v>
      </c>
      <c r="C2550" s="903"/>
      <c r="D2550" s="904"/>
      <c r="E2550" s="905"/>
      <c r="F2550" s="906"/>
      <c r="G2550" s="906"/>
      <c r="H2550" s="907"/>
      <c r="I2550" s="908"/>
      <c r="J2550" s="955"/>
      <c r="K2550" s="902"/>
      <c r="L2550" s="896"/>
      <c r="M2550" s="902"/>
      <c r="N2550" s="900" t="s">
        <v>2209</v>
      </c>
    </row>
    <row r="2551" spans="1:15" s="910" customFormat="1" ht="16.5" hidden="1" customHeight="1">
      <c r="A2551" s="896"/>
      <c r="B2551" s="911"/>
      <c r="C2551" s="912">
        <v>1</v>
      </c>
      <c r="D2551" s="913" t="s">
        <v>273</v>
      </c>
      <c r="E2551" s="914">
        <v>2</v>
      </c>
      <c r="F2551" s="915">
        <v>1.01</v>
      </c>
      <c r="G2551" s="915">
        <v>0</v>
      </c>
      <c r="H2551" s="915">
        <v>2.09</v>
      </c>
      <c r="I2551" s="916">
        <f>ROUND(IF(AND(F2551:H2551),C2551*E2551*F2551*G2551*H2551,IF(AND(F2551,G2551),C2551*E2551*F2551*G2551,IF(AND(F2551,H2551),C2551*E2551*F2551*H2551,IF(AND(G2551,H2551),C2551*E2551*G2551*H2551,IF(F2551,C2551*E2551*F2551,IF(G2551,C2551*E2551*G2551,IF(H2551,C2551*E2551*H2551,C2551*E2551))))))),2)</f>
        <v>4.22</v>
      </c>
      <c r="J2551" s="955" t="s">
        <v>102</v>
      </c>
      <c r="K2551" s="902"/>
      <c r="L2551" s="896"/>
      <c r="M2551" s="902"/>
      <c r="N2551" s="900" t="s">
        <v>2209</v>
      </c>
      <c r="O2551" s="1268">
        <v>2</v>
      </c>
    </row>
    <row r="2552" spans="1:15" s="910" customFormat="1" ht="16.5" hidden="1" customHeight="1">
      <c r="A2552" s="896"/>
      <c r="B2552" s="911"/>
      <c r="C2552" s="912">
        <v>1</v>
      </c>
      <c r="D2552" s="913" t="s">
        <v>273</v>
      </c>
      <c r="E2552" s="914">
        <v>2</v>
      </c>
      <c r="F2552" s="915">
        <v>1.02</v>
      </c>
      <c r="G2552" s="915">
        <v>0</v>
      </c>
      <c r="H2552" s="915">
        <v>2.02</v>
      </c>
      <c r="I2552" s="916">
        <f>ROUND(IF(AND(F2552:H2552),C2552*E2552*F2552*G2552*H2552,IF(AND(F2552,G2552),C2552*E2552*F2552*G2552,IF(AND(F2552,H2552),C2552*E2552*F2552*H2552,IF(AND(G2552,H2552),C2552*E2552*G2552*H2552,IF(F2552,C2552*E2552*F2552,IF(G2552,C2552*E2552*G2552,IF(H2552,C2552*E2552*H2552,C2552*E2552))))))),2)</f>
        <v>4.12</v>
      </c>
      <c r="J2552" s="955" t="s">
        <v>102</v>
      </c>
      <c r="K2552" s="902"/>
      <c r="L2552" s="896"/>
      <c r="M2552" s="902"/>
      <c r="N2552" s="900" t="s">
        <v>2209</v>
      </c>
      <c r="O2552" s="1268">
        <v>2</v>
      </c>
    </row>
    <row r="2553" spans="1:15" s="910" customFormat="1" ht="16.5" hidden="1" customHeight="1">
      <c r="A2553" s="896"/>
      <c r="B2553" s="911"/>
      <c r="C2553" s="912">
        <v>1</v>
      </c>
      <c r="D2553" s="913" t="s">
        <v>273</v>
      </c>
      <c r="E2553" s="914">
        <v>1</v>
      </c>
      <c r="F2553" s="915">
        <v>1</v>
      </c>
      <c r="G2553" s="915">
        <v>0</v>
      </c>
      <c r="H2553" s="915">
        <v>2.02</v>
      </c>
      <c r="I2553" s="916">
        <f>ROUND(IF(AND(F2553:H2553),C2553*E2553*F2553*G2553*H2553,IF(AND(F2553,G2553),C2553*E2553*F2553*G2553,IF(AND(F2553,H2553),C2553*E2553*F2553*H2553,IF(AND(G2553,H2553),C2553*E2553*G2553*H2553,IF(F2553,C2553*E2553*F2553,IF(G2553,C2553*E2553*G2553,IF(H2553,C2553*E2553*H2553,C2553*E2553))))))),2)</f>
        <v>2.02</v>
      </c>
      <c r="J2553" s="955" t="s">
        <v>102</v>
      </c>
      <c r="K2553" s="902"/>
      <c r="L2553" s="896"/>
      <c r="M2553" s="902"/>
      <c r="N2553" s="900" t="s">
        <v>2209</v>
      </c>
      <c r="O2553" s="1268">
        <v>2</v>
      </c>
    </row>
    <row r="2554" spans="1:15" s="910" customFormat="1" ht="16.5" hidden="1" customHeight="1">
      <c r="A2554" s="896"/>
      <c r="B2554" s="911"/>
      <c r="C2554" s="912"/>
      <c r="D2554" s="913"/>
      <c r="E2554" s="914"/>
      <c r="F2554" s="915"/>
      <c r="G2554" s="915"/>
      <c r="H2554" s="915"/>
      <c r="I2554" s="916"/>
      <c r="J2554" s="955"/>
      <c r="K2554" s="902"/>
      <c r="L2554" s="896"/>
      <c r="M2554" s="902"/>
      <c r="N2554" s="900" t="s">
        <v>2209</v>
      </c>
      <c r="O2554" s="1303"/>
    </row>
    <row r="2555" spans="1:15" ht="15.75" hidden="1">
      <c r="A2555" s="896"/>
      <c r="B2555" s="902"/>
      <c r="C2555" s="917"/>
      <c r="D2555" s="918"/>
      <c r="E2555" s="919"/>
      <c r="F2555" s="920"/>
      <c r="G2555" s="921"/>
      <c r="H2555" s="896"/>
      <c r="I2555" s="916"/>
      <c r="J2555" s="955" t="s">
        <v>102</v>
      </c>
      <c r="K2555" s="922">
        <f>'D&amp;W data'!H230</f>
        <v>5617.52</v>
      </c>
      <c r="L2555" s="923" t="s">
        <v>2209</v>
      </c>
      <c r="M2555" s="924">
        <f>ROUND(I2555*K2555,0)</f>
        <v>0</v>
      </c>
      <c r="N2555" s="900" t="s">
        <v>2209</v>
      </c>
    </row>
    <row r="2556" spans="1:15" ht="120" hidden="1" customHeight="1">
      <c r="A2556" s="896">
        <v>5</v>
      </c>
      <c r="B2556" s="1632" t="s">
        <v>3615</v>
      </c>
      <c r="C2556" s="1632"/>
      <c r="D2556" s="1632"/>
      <c r="E2556" s="1632"/>
      <c r="F2556" s="1632"/>
      <c r="G2556" s="1632"/>
      <c r="H2556" s="1632"/>
      <c r="I2556" s="897"/>
      <c r="J2556" s="898"/>
      <c r="K2556" s="896"/>
      <c r="L2556" s="896"/>
      <c r="M2556" s="899"/>
      <c r="N2556" s="900" t="s">
        <v>2209</v>
      </c>
    </row>
    <row r="2557" spans="1:15" s="910" customFormat="1" ht="16.5" hidden="1" customHeight="1">
      <c r="A2557" s="896"/>
      <c r="B2557" s="902" t="s">
        <v>3664</v>
      </c>
      <c r="C2557" s="903"/>
      <c r="D2557" s="904"/>
      <c r="E2557" s="905"/>
      <c r="F2557" s="906"/>
      <c r="G2557" s="906"/>
      <c r="H2557" s="907"/>
      <c r="I2557" s="908"/>
      <c r="J2557" s="955"/>
      <c r="K2557" s="902"/>
      <c r="L2557" s="896"/>
      <c r="M2557" s="902"/>
      <c r="N2557" s="900" t="s">
        <v>2209</v>
      </c>
    </row>
    <row r="2558" spans="1:15" s="910" customFormat="1" ht="16.5" hidden="1" customHeight="1">
      <c r="A2558" s="896"/>
      <c r="B2558" s="1297"/>
      <c r="C2558" s="1298">
        <v>1</v>
      </c>
      <c r="D2558" s="1299" t="s">
        <v>273</v>
      </c>
      <c r="E2558" s="1300">
        <v>8</v>
      </c>
      <c r="F2558" s="1301">
        <v>1.2</v>
      </c>
      <c r="G2558" s="1301">
        <v>0</v>
      </c>
      <c r="H2558" s="1301">
        <v>1.2</v>
      </c>
      <c r="I2558" s="916">
        <f>ROUND(IF(AND(F2558:H2558),C2558*E2558*F2558*G2558*H2558,IF(AND(F2558,G2558),C2558*E2558*F2558*G2558,IF(AND(F2558,H2558),C2558*E2558*F2558*H2558,IF(AND(G2558,H2558),C2558*E2558*G2558*H2558,IF(F2558,C2558*E2558*F2558,IF(G2558,C2558*E2558*G2558,IF(H2558,C2558*E2558*H2558,C2558*E2558))))))),2)</f>
        <v>11.52</v>
      </c>
      <c r="J2558" s="955" t="s">
        <v>102</v>
      </c>
      <c r="K2558" s="902"/>
      <c r="L2558" s="896"/>
      <c r="M2558" s="902"/>
      <c r="N2558" s="900" t="s">
        <v>2209</v>
      </c>
    </row>
    <row r="2559" spans="1:15" s="910" customFormat="1" ht="16.5" hidden="1" customHeight="1">
      <c r="A2559" s="896"/>
      <c r="B2559" s="956"/>
      <c r="C2559" s="957"/>
      <c r="D2559" s="958"/>
      <c r="E2559" s="1268"/>
      <c r="F2559" s="960"/>
      <c r="G2559" s="960"/>
      <c r="H2559" s="960"/>
      <c r="I2559" s="916"/>
      <c r="J2559" s="955"/>
      <c r="K2559" s="902"/>
      <c r="L2559" s="896"/>
      <c r="M2559" s="902"/>
      <c r="N2559" s="900" t="s">
        <v>2209</v>
      </c>
    </row>
    <row r="2560" spans="1:15" ht="15.75" hidden="1">
      <c r="A2560" s="896"/>
      <c r="B2560" s="902"/>
      <c r="C2560" s="917"/>
      <c r="D2560" s="918"/>
      <c r="E2560" s="919"/>
      <c r="F2560" s="920"/>
      <c r="G2560" s="921"/>
      <c r="H2560" s="896"/>
      <c r="I2560" s="916"/>
      <c r="J2560" s="955" t="s">
        <v>102</v>
      </c>
      <c r="K2560" s="922">
        <f>'D&amp;W data'!H235</f>
        <v>8058</v>
      </c>
      <c r="L2560" s="923" t="s">
        <v>2209</v>
      </c>
      <c r="M2560" s="924">
        <f>ROUND(I2560*K2560,0)</f>
        <v>0</v>
      </c>
      <c r="N2560" s="900" t="s">
        <v>2209</v>
      </c>
    </row>
    <row r="2561" spans="1:15" s="910" customFormat="1" ht="16.5" hidden="1" customHeight="1">
      <c r="A2561" s="896">
        <v>6</v>
      </c>
      <c r="B2561" s="902" t="s">
        <v>2332</v>
      </c>
      <c r="C2561" s="903" t="s">
        <v>1549</v>
      </c>
      <c r="D2561" s="904"/>
      <c r="E2561" s="905"/>
      <c r="F2561" s="906"/>
      <c r="G2561" s="906"/>
      <c r="H2561" s="907"/>
      <c r="I2561" s="908"/>
      <c r="J2561" s="955"/>
      <c r="K2561" s="902"/>
      <c r="L2561" s="896"/>
      <c r="M2561" s="902"/>
      <c r="N2561" s="900" t="s">
        <v>2209</v>
      </c>
    </row>
    <row r="2562" spans="1:15" s="910" customFormat="1" ht="16.5" hidden="1" customHeight="1">
      <c r="A2562" s="896"/>
      <c r="B2562" s="911"/>
      <c r="C2562" s="912">
        <v>1</v>
      </c>
      <c r="D2562" s="913" t="s">
        <v>273</v>
      </c>
      <c r="E2562" s="914">
        <v>2</v>
      </c>
      <c r="F2562" s="915">
        <v>1.5</v>
      </c>
      <c r="G2562" s="915">
        <v>0</v>
      </c>
      <c r="H2562" s="915">
        <v>1.35</v>
      </c>
      <c r="I2562" s="916">
        <f>ROUND(IF(AND(F2562:H2562),C2562*E2562*F2562*G2562*H2562,IF(AND(F2562,G2562),C2562*E2562*F2562*G2562,IF(AND(F2562,H2562),C2562*E2562*F2562*H2562,IF(AND(G2562,H2562),C2562*E2562*G2562*H2562,IF(F2562,C2562*E2562*F2562,IF(G2562,C2562*E2562*G2562,IF(H2562,C2562*E2562*H2562,C2562*E2562))))))),2)</f>
        <v>4.05</v>
      </c>
      <c r="J2562" s="955" t="s">
        <v>102</v>
      </c>
      <c r="K2562" s="902"/>
      <c r="L2562" s="896"/>
      <c r="M2562" s="902"/>
      <c r="N2562" s="900" t="s">
        <v>2209</v>
      </c>
    </row>
    <row r="2563" spans="1:15" s="910" customFormat="1" ht="16.5" hidden="1" customHeight="1">
      <c r="A2563" s="896"/>
      <c r="B2563" s="956"/>
      <c r="C2563" s="957"/>
      <c r="D2563" s="958"/>
      <c r="E2563" s="1268"/>
      <c r="F2563" s="960"/>
      <c r="G2563" s="960"/>
      <c r="H2563" s="960"/>
      <c r="I2563" s="916"/>
      <c r="J2563" s="955"/>
      <c r="K2563" s="902"/>
      <c r="L2563" s="896"/>
      <c r="M2563" s="902"/>
      <c r="N2563" s="900" t="s">
        <v>2209</v>
      </c>
    </row>
    <row r="2564" spans="1:15" ht="15.75" hidden="1">
      <c r="A2564" s="896"/>
      <c r="B2564" s="902"/>
      <c r="C2564" s="917"/>
      <c r="D2564" s="918"/>
      <c r="E2564" s="919"/>
      <c r="F2564" s="920"/>
      <c r="G2564" s="921"/>
      <c r="H2564" s="896"/>
      <c r="I2564" s="916"/>
      <c r="J2564" s="955" t="s">
        <v>102</v>
      </c>
      <c r="K2564" s="922">
        <f>'D&amp;W data'!H233</f>
        <v>6038</v>
      </c>
      <c r="L2564" s="923" t="s">
        <v>2209</v>
      </c>
      <c r="M2564" s="924">
        <f>ROUND(I2564*K2564,0)</f>
        <v>0</v>
      </c>
      <c r="N2564" s="900" t="s">
        <v>2209</v>
      </c>
    </row>
    <row r="2565" spans="1:15" s="910" customFormat="1" ht="16.5" hidden="1" customHeight="1">
      <c r="A2565" s="896">
        <v>3</v>
      </c>
      <c r="B2565" s="1212" t="s">
        <v>2333</v>
      </c>
      <c r="C2565" s="903" t="s">
        <v>1633</v>
      </c>
      <c r="D2565" s="904"/>
      <c r="E2565" s="905"/>
      <c r="F2565" s="906"/>
      <c r="G2565" s="906"/>
      <c r="H2565" s="907"/>
      <c r="I2565" s="908"/>
      <c r="J2565" s="955"/>
      <c r="K2565" s="902"/>
      <c r="L2565" s="896"/>
      <c r="M2565" s="902"/>
      <c r="N2565" s="900" t="s">
        <v>2209</v>
      </c>
    </row>
    <row r="2566" spans="1:15" s="910" customFormat="1" ht="16.5" hidden="1" customHeight="1">
      <c r="A2566" s="896"/>
      <c r="B2566" s="956"/>
      <c r="C2566" s="957">
        <v>1</v>
      </c>
      <c r="D2566" s="958" t="s">
        <v>273</v>
      </c>
      <c r="E2566" s="1268">
        <v>1</v>
      </c>
      <c r="F2566" s="960">
        <v>1.51</v>
      </c>
      <c r="G2566" s="960">
        <v>0</v>
      </c>
      <c r="H2566" s="960">
        <v>1.2</v>
      </c>
      <c r="I2566" s="916">
        <f>ROUND(IF(AND(F2566:H2566),C2566*E2566*F2566*G2566*H2566,IF(AND(F2566,G2566),C2566*E2566*F2566*G2566,IF(AND(F2566,H2566),C2566*E2566*F2566*H2566,IF(AND(G2566,H2566),C2566*E2566*G2566*H2566,IF(F2566,C2566*E2566*F2566,IF(G2566,C2566*E2566*G2566,IF(H2566,C2566*E2566*H2566,C2566*E2566))))))),2)</f>
        <v>1.81</v>
      </c>
      <c r="J2566" s="955" t="s">
        <v>102</v>
      </c>
      <c r="K2566" s="902"/>
      <c r="L2566" s="896"/>
      <c r="M2566" s="902"/>
      <c r="N2566" s="900" t="s">
        <v>2209</v>
      </c>
      <c r="O2566" s="1268">
        <v>1</v>
      </c>
    </row>
    <row r="2567" spans="1:15" s="910" customFormat="1" ht="16.5" hidden="1" customHeight="1">
      <c r="A2567" s="896"/>
      <c r="B2567" s="956"/>
      <c r="C2567" s="957"/>
      <c r="D2567" s="958"/>
      <c r="E2567" s="1268"/>
      <c r="F2567" s="960"/>
      <c r="G2567" s="960"/>
      <c r="H2567" s="960"/>
      <c r="I2567" s="916"/>
      <c r="J2567" s="955"/>
      <c r="K2567" s="902"/>
      <c r="L2567" s="896"/>
      <c r="M2567" s="902"/>
      <c r="N2567" s="900" t="s">
        <v>2209</v>
      </c>
      <c r="O2567" s="1268"/>
    </row>
    <row r="2568" spans="1:15" ht="15.75" hidden="1">
      <c r="A2568" s="896"/>
      <c r="B2568" s="902"/>
      <c r="C2568" s="917"/>
      <c r="D2568" s="918"/>
      <c r="E2568" s="919"/>
      <c r="F2568" s="920"/>
      <c r="G2568" s="921"/>
      <c r="H2568" s="896"/>
      <c r="I2568" s="916"/>
      <c r="J2568" s="955" t="s">
        <v>102</v>
      </c>
      <c r="K2568" s="922">
        <f>'D&amp;W data'!H237</f>
        <v>5830</v>
      </c>
      <c r="L2568" s="923" t="s">
        <v>2209</v>
      </c>
      <c r="M2568" s="924">
        <f>ROUND(I2568*K2568,0)</f>
        <v>0</v>
      </c>
      <c r="N2568" s="900" t="s">
        <v>2209</v>
      </c>
    </row>
    <row r="2569" spans="1:15" ht="27" hidden="1" customHeight="1">
      <c r="A2569" s="896">
        <v>6</v>
      </c>
      <c r="B2569" s="1609" t="s">
        <v>2284</v>
      </c>
      <c r="C2569" s="1609"/>
      <c r="D2569" s="1609"/>
      <c r="E2569" s="1609"/>
      <c r="F2569" s="1609"/>
      <c r="G2569" s="1609"/>
      <c r="H2569" s="1609"/>
      <c r="I2569" s="897"/>
      <c r="J2569" s="898"/>
      <c r="K2569" s="896"/>
      <c r="L2569" s="896"/>
      <c r="M2569" s="899"/>
      <c r="N2569" s="900" t="s">
        <v>2209</v>
      </c>
    </row>
    <row r="2570" spans="1:15" s="910" customFormat="1" ht="16.5" hidden="1" customHeight="1">
      <c r="A2570" s="896"/>
      <c r="B2570" s="980" t="s">
        <v>2334</v>
      </c>
      <c r="C2570" s="903"/>
      <c r="D2570" s="904"/>
      <c r="E2570" s="905"/>
      <c r="F2570" s="906"/>
      <c r="G2570" s="906"/>
      <c r="H2570" s="907"/>
      <c r="I2570" s="908"/>
      <c r="J2570" s="955"/>
      <c r="K2570" s="902"/>
      <c r="L2570" s="896"/>
      <c r="M2570" s="902"/>
      <c r="N2570" s="900" t="s">
        <v>2209</v>
      </c>
    </row>
    <row r="2571" spans="1:15" s="910" customFormat="1" ht="16.5" hidden="1" customHeight="1">
      <c r="A2571" s="896"/>
      <c r="B2571" s="956"/>
      <c r="C2571" s="957">
        <v>1</v>
      </c>
      <c r="D2571" s="958" t="s">
        <v>273</v>
      </c>
      <c r="E2571" s="1268">
        <v>1</v>
      </c>
      <c r="F2571" s="960">
        <v>1.2</v>
      </c>
      <c r="G2571" s="960">
        <v>0</v>
      </c>
      <c r="H2571" s="960">
        <v>0.3</v>
      </c>
      <c r="I2571" s="916">
        <f>ROUND(IF(AND(F2571:H2571),C2571*E2571*F2571*G2571*H2571,IF(AND(F2571,G2571),C2571*E2571*F2571*G2571,IF(AND(F2571,H2571),C2571*E2571*F2571*H2571,IF(AND(G2571,H2571),C2571*E2571*G2571*H2571,IF(F2571,C2571*E2571*F2571,IF(G2571,C2571*E2571*G2571,IF(H2571,C2571*E2571*H2571,C2571*E2571))))))),2)</f>
        <v>0.36</v>
      </c>
      <c r="J2571" s="955" t="s">
        <v>102</v>
      </c>
      <c r="K2571" s="902"/>
      <c r="L2571" s="896"/>
      <c r="M2571" s="902"/>
      <c r="N2571" s="900" t="s">
        <v>2209</v>
      </c>
    </row>
    <row r="2572" spans="1:15" s="910" customFormat="1" ht="16.5" hidden="1" customHeight="1">
      <c r="A2572" s="896"/>
      <c r="B2572" s="956"/>
      <c r="C2572" s="957"/>
      <c r="D2572" s="958"/>
      <c r="E2572" s="1268"/>
      <c r="F2572" s="960"/>
      <c r="G2572" s="960"/>
      <c r="H2572" s="960"/>
      <c r="I2572" s="916"/>
      <c r="J2572" s="955"/>
      <c r="K2572" s="902"/>
      <c r="L2572" s="896"/>
      <c r="M2572" s="902"/>
      <c r="N2572" s="900" t="s">
        <v>2209</v>
      </c>
    </row>
    <row r="2573" spans="1:15" ht="15.75" hidden="1">
      <c r="A2573" s="896"/>
      <c r="B2573" s="902"/>
      <c r="C2573" s="917"/>
      <c r="D2573" s="918"/>
      <c r="E2573" s="919"/>
      <c r="F2573" s="920"/>
      <c r="G2573" s="921"/>
      <c r="H2573" s="896"/>
      <c r="I2573" s="916"/>
      <c r="J2573" s="955" t="s">
        <v>102</v>
      </c>
      <c r="K2573" s="922">
        <f>'D&amp;W data'!H240</f>
        <v>3797</v>
      </c>
      <c r="L2573" s="923" t="s">
        <v>2209</v>
      </c>
      <c r="M2573" s="924">
        <f>ROUND(I2573*K2573,0)</f>
        <v>0</v>
      </c>
      <c r="N2573" s="900" t="s">
        <v>2209</v>
      </c>
    </row>
    <row r="2574" spans="1:15" ht="27" hidden="1" customHeight="1">
      <c r="A2574" s="896">
        <v>6</v>
      </c>
      <c r="B2574" s="1609" t="s">
        <v>1199</v>
      </c>
      <c r="C2574" s="1609"/>
      <c r="D2574" s="1609"/>
      <c r="E2574" s="1609"/>
      <c r="F2574" s="1609"/>
      <c r="G2574" s="1609"/>
      <c r="H2574" s="1609"/>
      <c r="I2574" s="897"/>
      <c r="J2574" s="898"/>
      <c r="K2574" s="896"/>
      <c r="L2574" s="896"/>
      <c r="M2574" s="899"/>
      <c r="N2574" s="900" t="s">
        <v>2209</v>
      </c>
    </row>
    <row r="2575" spans="1:15" s="910" customFormat="1" ht="16.5" hidden="1" customHeight="1">
      <c r="A2575" s="896"/>
      <c r="B2575" s="980" t="s">
        <v>2334</v>
      </c>
      <c r="C2575" s="903"/>
      <c r="D2575" s="904"/>
      <c r="E2575" s="905"/>
      <c r="F2575" s="906"/>
      <c r="G2575" s="906"/>
      <c r="H2575" s="907"/>
      <c r="I2575" s="908"/>
      <c r="J2575" s="955"/>
      <c r="K2575" s="902"/>
      <c r="L2575" s="896"/>
      <c r="M2575" s="902"/>
      <c r="N2575" s="900" t="s">
        <v>2209</v>
      </c>
    </row>
    <row r="2576" spans="1:15" s="910" customFormat="1" ht="16.5" hidden="1" customHeight="1">
      <c r="A2576" s="896"/>
      <c r="B2576" s="956"/>
      <c r="C2576" s="957">
        <v>1</v>
      </c>
      <c r="D2576" s="958" t="s">
        <v>273</v>
      </c>
      <c r="E2576" s="1268">
        <v>16</v>
      </c>
      <c r="F2576" s="960">
        <v>0</v>
      </c>
      <c r="G2576" s="960">
        <v>0</v>
      </c>
      <c r="H2576" s="960">
        <v>0</v>
      </c>
      <c r="I2576" s="1291">
        <f>ROUND(IF(AND(F2576:H2576),C2576*E2576*F2576*G2576*H2576,IF(AND(F2576,G2576),C2576*E2576*F2576*G2576,IF(AND(F2576,H2576),C2576*E2576*F2576*H2576,IF(AND(G2576,H2576),C2576*E2576*G2576*H2576,IF(F2576,C2576*E2576*F2576,IF(G2576,C2576*E2576*G2576,IF(H2576,C2576*E2576*H2576,C2576*E2576))))))),2)</f>
        <v>16</v>
      </c>
      <c r="J2576" s="955" t="s">
        <v>115</v>
      </c>
      <c r="K2576" s="902"/>
      <c r="L2576" s="896"/>
      <c r="M2576" s="902"/>
      <c r="N2576" s="900" t="s">
        <v>2209</v>
      </c>
    </row>
    <row r="2577" spans="1:14" s="910" customFormat="1" ht="16.5" hidden="1" customHeight="1">
      <c r="A2577" s="896"/>
      <c r="B2577" s="956"/>
      <c r="C2577" s="957"/>
      <c r="D2577" s="958"/>
      <c r="E2577" s="1268"/>
      <c r="F2577" s="960"/>
      <c r="G2577" s="960"/>
      <c r="H2577" s="960"/>
      <c r="I2577" s="1291"/>
      <c r="J2577" s="955"/>
      <c r="K2577" s="902"/>
      <c r="L2577" s="896"/>
      <c r="M2577" s="902"/>
      <c r="N2577" s="900" t="s">
        <v>2209</v>
      </c>
    </row>
    <row r="2578" spans="1:14" ht="15.75" hidden="1">
      <c r="A2578" s="896"/>
      <c r="B2578" s="902"/>
      <c r="C2578" s="917"/>
      <c r="D2578" s="918"/>
      <c r="E2578" s="919"/>
      <c r="F2578" s="920"/>
      <c r="G2578" s="921"/>
      <c r="H2578" s="896"/>
      <c r="I2578" s="1291"/>
      <c r="J2578" s="955" t="s">
        <v>115</v>
      </c>
      <c r="K2578" s="922">
        <f>'D&amp;W data'!H200</f>
        <v>494.94</v>
      </c>
      <c r="L2578" s="923" t="s">
        <v>2209</v>
      </c>
      <c r="M2578" s="924">
        <f>ROUND(I2578*K2578,0)</f>
        <v>0</v>
      </c>
      <c r="N2578" s="900" t="s">
        <v>2209</v>
      </c>
    </row>
    <row r="2579" spans="1:14" ht="27" hidden="1" customHeight="1">
      <c r="A2579" s="896">
        <v>4</v>
      </c>
      <c r="B2579" s="1609" t="s">
        <v>932</v>
      </c>
      <c r="C2579" s="1609"/>
      <c r="D2579" s="1609"/>
      <c r="E2579" s="1609"/>
      <c r="F2579" s="1609"/>
      <c r="G2579" s="1609"/>
      <c r="H2579" s="1609"/>
      <c r="I2579" s="897"/>
      <c r="J2579" s="898"/>
      <c r="K2579" s="896"/>
      <c r="L2579" s="896"/>
      <c r="M2579" s="899"/>
      <c r="N2579" s="900" t="s">
        <v>2209</v>
      </c>
    </row>
    <row r="2580" spans="1:14" s="910" customFormat="1" ht="16.5" hidden="1" customHeight="1">
      <c r="A2580" s="896"/>
      <c r="B2580" s="1212" t="s">
        <v>2335</v>
      </c>
      <c r="C2580" s="903"/>
      <c r="D2580" s="904"/>
      <c r="E2580" s="905"/>
      <c r="F2580" s="906"/>
      <c r="G2580" s="906"/>
      <c r="H2580" s="907"/>
      <c r="I2580" s="908"/>
      <c r="J2580" s="955"/>
      <c r="K2580" s="902"/>
      <c r="L2580" s="896"/>
      <c r="M2580" s="902"/>
      <c r="N2580" s="900" t="s">
        <v>2209</v>
      </c>
    </row>
    <row r="2581" spans="1:14" s="910" customFormat="1" ht="16.5" hidden="1" customHeight="1">
      <c r="A2581" s="896"/>
      <c r="B2581" s="956"/>
      <c r="C2581" s="957">
        <v>1</v>
      </c>
      <c r="D2581" s="958" t="s">
        <v>273</v>
      </c>
      <c r="E2581" s="1268">
        <v>19</v>
      </c>
      <c r="F2581" s="960">
        <v>0.6</v>
      </c>
      <c r="G2581" s="960">
        <v>0</v>
      </c>
      <c r="H2581" s="960">
        <v>0.3</v>
      </c>
      <c r="I2581" s="916">
        <f>ROUND(IF(AND(F2581:H2581),C2581*E2581*F2581*G2581*H2581,IF(AND(F2581,G2581),C2581*E2581*F2581*G2581,IF(AND(F2581,H2581),C2581*E2581*F2581*H2581,IF(AND(G2581,H2581),C2581*E2581*G2581*H2581,IF(F2581,C2581*E2581*F2581,IF(G2581,C2581*E2581*G2581,IF(H2581,C2581*E2581*H2581,C2581*E2581))))))),2)</f>
        <v>3.42</v>
      </c>
      <c r="J2581" s="955" t="s">
        <v>102</v>
      </c>
      <c r="K2581" s="902"/>
      <c r="L2581" s="896"/>
      <c r="M2581" s="902"/>
      <c r="N2581" s="900" t="s">
        <v>2209</v>
      </c>
    </row>
    <row r="2582" spans="1:14" s="910" customFormat="1" ht="16.5" hidden="1" customHeight="1">
      <c r="A2582" s="896"/>
      <c r="B2582" s="956"/>
      <c r="C2582" s="957"/>
      <c r="D2582" s="958"/>
      <c r="E2582" s="1268"/>
      <c r="F2582" s="960"/>
      <c r="G2582" s="960"/>
      <c r="H2582" s="960"/>
      <c r="I2582" s="916"/>
      <c r="J2582" s="955"/>
      <c r="K2582" s="902"/>
      <c r="L2582" s="896"/>
      <c r="M2582" s="902"/>
      <c r="N2582" s="900" t="s">
        <v>2209</v>
      </c>
    </row>
    <row r="2583" spans="1:14" ht="15.75" hidden="1">
      <c r="A2583" s="896"/>
      <c r="B2583" s="902"/>
      <c r="C2583" s="917"/>
      <c r="D2583" s="918"/>
      <c r="E2583" s="919"/>
      <c r="F2583" s="920"/>
      <c r="G2583" s="921"/>
      <c r="H2583" s="896"/>
      <c r="I2583" s="916"/>
      <c r="J2583" s="955" t="s">
        <v>102</v>
      </c>
      <c r="K2583" s="922">
        <f>'D&amp;W data'!H206</f>
        <v>513.1</v>
      </c>
      <c r="L2583" s="923" t="s">
        <v>2209</v>
      </c>
      <c r="M2583" s="924">
        <f>ROUND(I2583*K2583,0)</f>
        <v>0</v>
      </c>
      <c r="N2583" s="900" t="s">
        <v>2209</v>
      </c>
    </row>
    <row r="2584" spans="1:14" s="1403" customFormat="1" ht="46.5" customHeight="1">
      <c r="A2584" s="1397">
        <v>29</v>
      </c>
      <c r="B2584" s="1610" t="s">
        <v>185</v>
      </c>
      <c r="C2584" s="1610"/>
      <c r="D2584" s="1610"/>
      <c r="E2584" s="1610"/>
      <c r="F2584" s="1610"/>
      <c r="G2584" s="1610"/>
      <c r="H2584" s="1610"/>
      <c r="I2584" s="1398"/>
      <c r="J2584" s="1399"/>
      <c r="K2584" s="1397"/>
      <c r="L2584" s="1397"/>
      <c r="M2584" s="1401"/>
      <c r="N2584" s="1402" t="s">
        <v>2209</v>
      </c>
    </row>
    <row r="2585" spans="1:14" s="1411" customFormat="1" ht="16.5" customHeight="1">
      <c r="A2585" s="1397"/>
      <c r="B2585" s="1438" t="s">
        <v>3886</v>
      </c>
      <c r="C2585" s="1417"/>
      <c r="D2585" s="1395" t="s">
        <v>4019</v>
      </c>
      <c r="E2585" s="1419"/>
      <c r="F2585" s="1420"/>
      <c r="G2585" s="1420"/>
      <c r="H2585" s="1421"/>
      <c r="I2585" s="1422"/>
      <c r="J2585" s="1423"/>
      <c r="K2585" s="1410"/>
      <c r="L2585" s="1397"/>
      <c r="M2585" s="1410"/>
      <c r="N2585" s="1402" t="s">
        <v>2209</v>
      </c>
    </row>
    <row r="2586" spans="1:14" s="1411" customFormat="1" ht="16.5" customHeight="1">
      <c r="A2586" s="1397"/>
      <c r="B2586" s="1458" t="s">
        <v>3781</v>
      </c>
      <c r="C2586" s="1459">
        <v>1</v>
      </c>
      <c r="D2586" s="1460" t="s">
        <v>273</v>
      </c>
      <c r="E2586" s="1461">
        <v>8</v>
      </c>
      <c r="F2586" s="1462">
        <v>40</v>
      </c>
      <c r="G2586" s="1448">
        <v>0</v>
      </c>
      <c r="H2586" s="1448">
        <v>0</v>
      </c>
      <c r="I2586" s="1430">
        <f>ROUND(IF(AND(F2586:H2586),C2586*E2586*F2586*G2586*H2586,IF(AND(F2586,G2586),C2586*E2586*F2586*G2586,IF(AND(F2586,H2586),C2586*E2586*F2586*H2586,IF(AND(G2586,H2586),C2586*E2586*G2586*H2586,IF(F2586,C2586*E2586*F2586,IF(G2586,C2586*E2586*G2586,IF(H2586,C2586*E2586*H2586,C2586*E2586))))))),2)</f>
        <v>320</v>
      </c>
      <c r="J2586" s="1423" t="s">
        <v>141</v>
      </c>
      <c r="K2586" s="1410"/>
      <c r="L2586" s="1397"/>
      <c r="M2586" s="1410"/>
      <c r="N2586" s="1402" t="s">
        <v>2209</v>
      </c>
    </row>
    <row r="2587" spans="1:14" s="1411" customFormat="1" ht="16.5" customHeight="1">
      <c r="A2587" s="1397"/>
      <c r="B2587" s="1458"/>
      <c r="C2587" s="1398"/>
      <c r="D2587" s="1412"/>
      <c r="E2587" s="1413"/>
      <c r="F2587" s="1414"/>
      <c r="G2587" s="1414"/>
      <c r="H2587" s="1414"/>
      <c r="I2587" s="1415"/>
      <c r="J2587" s="1423"/>
      <c r="K2587" s="1410"/>
      <c r="L2587" s="1397"/>
      <c r="M2587" s="1410"/>
      <c r="N2587" s="1402" t="s">
        <v>2209</v>
      </c>
    </row>
    <row r="2588" spans="1:14" s="1403" customFormat="1" ht="15.75">
      <c r="A2588" s="1397"/>
      <c r="B2588" s="1410"/>
      <c r="C2588" s="1431"/>
      <c r="D2588" s="1432"/>
      <c r="E2588" s="1413"/>
      <c r="F2588" s="1414"/>
      <c r="G2588" s="1433"/>
      <c r="H2588" s="1397"/>
      <c r="I2588" s="1430">
        <f>SUM(I2586:I2587)</f>
        <v>320</v>
      </c>
      <c r="J2588" s="1423" t="s">
        <v>4</v>
      </c>
      <c r="K2588" s="1434">
        <f>data!G306</f>
        <v>84.009999999999991</v>
      </c>
      <c r="L2588" s="1400" t="s">
        <v>2209</v>
      </c>
      <c r="M2588" s="1435">
        <f>ROUND(I2588*K2588,0)</f>
        <v>26883</v>
      </c>
      <c r="N2588" s="1402" t="s">
        <v>2209</v>
      </c>
    </row>
    <row r="2589" spans="1:14" ht="65.25" hidden="1" customHeight="1">
      <c r="A2589" s="896">
        <v>7</v>
      </c>
      <c r="B2589" s="1609" t="s">
        <v>933</v>
      </c>
      <c r="C2589" s="1609"/>
      <c r="D2589" s="1609"/>
      <c r="E2589" s="1609"/>
      <c r="F2589" s="1609"/>
      <c r="G2589" s="1609"/>
      <c r="H2589" s="1609"/>
      <c r="I2589" s="897"/>
      <c r="J2589" s="898"/>
      <c r="K2589" s="896"/>
      <c r="L2589" s="896"/>
      <c r="M2589" s="899"/>
      <c r="N2589" s="900" t="s">
        <v>2209</v>
      </c>
    </row>
    <row r="2590" spans="1:14" s="910" customFormat="1" ht="16.5" hidden="1" customHeight="1">
      <c r="A2590" s="896"/>
      <c r="B2590" s="902" t="s">
        <v>2337</v>
      </c>
      <c r="C2590" s="903"/>
      <c r="D2590" s="904"/>
      <c r="E2590" s="905"/>
      <c r="F2590" s="906"/>
      <c r="G2590" s="906"/>
      <c r="H2590" s="907"/>
      <c r="I2590" s="908"/>
      <c r="J2590" s="955"/>
      <c r="K2590" s="902"/>
      <c r="L2590" s="896"/>
      <c r="M2590" s="902"/>
      <c r="N2590" s="900" t="s">
        <v>2209</v>
      </c>
    </row>
    <row r="2591" spans="1:14" s="910" customFormat="1" ht="16.5" hidden="1" customHeight="1">
      <c r="A2591" s="896"/>
      <c r="B2591" s="911" t="s">
        <v>1535</v>
      </c>
      <c r="C2591" s="912">
        <v>1</v>
      </c>
      <c r="D2591" s="913" t="s">
        <v>273</v>
      </c>
      <c r="E2591" s="914">
        <v>11</v>
      </c>
      <c r="F2591" s="915">
        <v>1.5</v>
      </c>
      <c r="G2591" s="915">
        <v>0</v>
      </c>
      <c r="H2591" s="915">
        <v>1.35</v>
      </c>
      <c r="I2591" s="916">
        <f>ROUND(IF(AND(F2591:H2591),C2591*E2591*F2591*G2591*H2591,IF(AND(F2591,G2591),C2591*E2591*F2591*G2591,IF(AND(F2591,H2591),C2591*E2591*F2591*H2591,IF(AND(G2591,H2591),C2591*E2591*G2591*H2591,IF(F2591,C2591*E2591*F2591,IF(G2591,C2591*E2591*G2591,IF(H2591,C2591*E2591*H2591,C2591*E2591))))))),2)</f>
        <v>22.28</v>
      </c>
      <c r="J2591" s="955" t="s">
        <v>102</v>
      </c>
      <c r="K2591" s="902"/>
      <c r="L2591" s="896"/>
      <c r="M2591" s="902"/>
      <c r="N2591" s="900" t="s">
        <v>2209</v>
      </c>
    </row>
    <row r="2592" spans="1:14" s="910" customFormat="1" ht="16.5" hidden="1" customHeight="1">
      <c r="A2592" s="896"/>
      <c r="B2592" s="911"/>
      <c r="C2592" s="912">
        <v>1</v>
      </c>
      <c r="D2592" s="913" t="s">
        <v>273</v>
      </c>
      <c r="E2592" s="914">
        <v>1</v>
      </c>
      <c r="F2592" s="915">
        <v>1.59</v>
      </c>
      <c r="G2592" s="915">
        <v>0</v>
      </c>
      <c r="H2592" s="915">
        <v>1.35</v>
      </c>
      <c r="I2592" s="916">
        <f>ROUND(IF(AND(F2592:H2592),C2592*E2592*F2592*G2592*H2592,IF(AND(F2592,G2592),C2592*E2592*F2592*G2592,IF(AND(F2592,H2592),C2592*E2592*F2592*H2592,IF(AND(G2592,H2592),C2592*E2592*G2592*H2592,IF(F2592,C2592*E2592*F2592,IF(G2592,C2592*E2592*G2592,IF(H2592,C2592*E2592*H2592,C2592*E2592))))))),2)</f>
        <v>2.15</v>
      </c>
      <c r="J2592" s="955" t="s">
        <v>102</v>
      </c>
      <c r="K2592" s="902"/>
      <c r="L2592" s="896"/>
      <c r="M2592" s="902"/>
      <c r="N2592" s="900" t="s">
        <v>2209</v>
      </c>
    </row>
    <row r="2593" spans="1:14" s="910" customFormat="1" ht="16.5" hidden="1" customHeight="1">
      <c r="A2593" s="896"/>
      <c r="B2593" s="911"/>
      <c r="C2593" s="912">
        <v>1</v>
      </c>
      <c r="D2593" s="913" t="s">
        <v>273</v>
      </c>
      <c r="E2593" s="914">
        <v>2</v>
      </c>
      <c r="F2593" s="915">
        <v>1.5</v>
      </c>
      <c r="G2593" s="915">
        <v>0</v>
      </c>
      <c r="H2593" s="915">
        <v>1.35</v>
      </c>
      <c r="I2593" s="916">
        <f>ROUND(IF(AND(F2593:H2593),C2593*E2593*F2593*G2593*H2593,IF(AND(F2593,G2593),C2593*E2593*F2593*G2593,IF(AND(F2593,H2593),C2593*E2593*F2593*H2593,IF(AND(G2593,H2593),C2593*E2593*G2593*H2593,IF(F2593,C2593*E2593*F2593,IF(G2593,C2593*E2593*G2593,IF(H2593,C2593*E2593*H2593,C2593*E2593))))))),2)</f>
        <v>4.05</v>
      </c>
      <c r="J2593" s="955" t="s">
        <v>102</v>
      </c>
      <c r="K2593" s="902"/>
      <c r="L2593" s="896"/>
      <c r="M2593" s="902"/>
      <c r="N2593" s="900" t="s">
        <v>2209</v>
      </c>
    </row>
    <row r="2594" spans="1:14" s="910" customFormat="1" ht="16.5" hidden="1" customHeight="1">
      <c r="A2594" s="896"/>
      <c r="B2594" s="956"/>
      <c r="C2594" s="957"/>
      <c r="D2594" s="958"/>
      <c r="E2594" s="1268"/>
      <c r="F2594" s="960"/>
      <c r="G2594" s="960"/>
      <c r="H2594" s="960"/>
      <c r="I2594" s="916"/>
      <c r="J2594" s="955"/>
      <c r="K2594" s="902"/>
      <c r="L2594" s="896"/>
      <c r="M2594" s="902"/>
      <c r="N2594" s="900" t="s">
        <v>2209</v>
      </c>
    </row>
    <row r="2595" spans="1:14" ht="15.75" hidden="1">
      <c r="A2595" s="896"/>
      <c r="B2595" s="902"/>
      <c r="C2595" s="917"/>
      <c r="D2595" s="918"/>
      <c r="E2595" s="919"/>
      <c r="F2595" s="920"/>
      <c r="G2595" s="921"/>
      <c r="H2595" s="896"/>
      <c r="I2595" s="916"/>
      <c r="J2595" s="955" t="s">
        <v>102</v>
      </c>
      <c r="K2595" s="922">
        <f>data!G313</f>
        <v>2353.58</v>
      </c>
      <c r="L2595" s="923" t="s">
        <v>2209</v>
      </c>
      <c r="M2595" s="924">
        <f>ROUND(I2595*K2595,0)</f>
        <v>0</v>
      </c>
      <c r="N2595" s="900" t="s">
        <v>2209</v>
      </c>
    </row>
    <row r="2596" spans="1:14" ht="42.75" hidden="1" customHeight="1">
      <c r="A2596" s="896">
        <v>51</v>
      </c>
      <c r="B2596" s="1609" t="s">
        <v>626</v>
      </c>
      <c r="C2596" s="1609"/>
      <c r="D2596" s="1609"/>
      <c r="E2596" s="1609"/>
      <c r="F2596" s="1609"/>
      <c r="G2596" s="1609"/>
      <c r="H2596" s="1609"/>
      <c r="I2596" s="897"/>
      <c r="J2596" s="898"/>
      <c r="K2596" s="896"/>
      <c r="L2596" s="896"/>
      <c r="M2596" s="899"/>
      <c r="N2596" s="900" t="s">
        <v>2209</v>
      </c>
    </row>
    <row r="2597" spans="1:14" s="910" customFormat="1" ht="16.5" hidden="1" customHeight="1">
      <c r="A2597" s="896"/>
      <c r="B2597" s="980" t="s">
        <v>2338</v>
      </c>
      <c r="C2597" s="903"/>
      <c r="D2597" s="904"/>
      <c r="E2597" s="905"/>
      <c r="F2597" s="906"/>
      <c r="G2597" s="906"/>
      <c r="H2597" s="907"/>
      <c r="I2597" s="908"/>
      <c r="J2597" s="955"/>
      <c r="K2597" s="902"/>
      <c r="L2597" s="896"/>
      <c r="M2597" s="902"/>
      <c r="N2597" s="900" t="s">
        <v>2209</v>
      </c>
    </row>
    <row r="2598" spans="1:14" s="910" customFormat="1" ht="16.5" hidden="1" customHeight="1">
      <c r="A2598" s="896"/>
      <c r="B2598" s="956" t="s">
        <v>661</v>
      </c>
      <c r="C2598" s="957">
        <v>1</v>
      </c>
      <c r="D2598" s="958" t="s">
        <v>273</v>
      </c>
      <c r="E2598" s="1268">
        <v>1</v>
      </c>
      <c r="F2598" s="1290">
        <v>58.6</v>
      </c>
      <c r="G2598" s="960">
        <v>0</v>
      </c>
      <c r="H2598" s="960">
        <v>0</v>
      </c>
      <c r="I2598" s="916">
        <f>ROUND(IF(AND(F2598:H2598),C2598*E2598*F2598*G2598*H2598,IF(AND(F2598,G2598),C2598*E2598*F2598*G2598,IF(AND(F2598,H2598),C2598*E2598*F2598*H2598,IF(AND(G2598,H2598),C2598*E2598*G2598*H2598,IF(F2598,C2598*E2598*F2598,IF(G2598,C2598*E2598*G2598,IF(H2598,C2598*E2598*H2598,C2598*E2598))))))),2)</f>
        <v>58.6</v>
      </c>
      <c r="J2598" s="955" t="s">
        <v>141</v>
      </c>
      <c r="K2598" s="902"/>
      <c r="L2598" s="896"/>
      <c r="M2598" s="902"/>
      <c r="N2598" s="900" t="s">
        <v>2209</v>
      </c>
    </row>
    <row r="2599" spans="1:14" s="910" customFormat="1" ht="16.5" hidden="1" customHeight="1">
      <c r="A2599" s="896"/>
      <c r="B2599" s="956"/>
      <c r="C2599" s="957"/>
      <c r="D2599" s="958"/>
      <c r="E2599" s="1268"/>
      <c r="F2599" s="1290"/>
      <c r="G2599" s="960"/>
      <c r="H2599" s="960"/>
      <c r="I2599" s="916"/>
      <c r="J2599" s="955"/>
      <c r="K2599" s="902"/>
      <c r="L2599" s="896"/>
      <c r="M2599" s="902"/>
      <c r="N2599" s="900" t="s">
        <v>2209</v>
      </c>
    </row>
    <row r="2600" spans="1:14" ht="15.75" hidden="1">
      <c r="A2600" s="896"/>
      <c r="B2600" s="902"/>
      <c r="C2600" s="917"/>
      <c r="D2600" s="918"/>
      <c r="E2600" s="919"/>
      <c r="F2600" s="920"/>
      <c r="G2600" s="921"/>
      <c r="H2600" s="896"/>
      <c r="I2600" s="916"/>
      <c r="J2600" s="955" t="s">
        <v>141</v>
      </c>
      <c r="K2600" s="922">
        <f>data!G320</f>
        <v>106.5</v>
      </c>
      <c r="L2600" s="923" t="s">
        <v>2209</v>
      </c>
      <c r="M2600" s="924">
        <f>ROUND(I2600*K2600,0)</f>
        <v>0</v>
      </c>
      <c r="N2600" s="900" t="s">
        <v>2209</v>
      </c>
    </row>
    <row r="2601" spans="1:14" ht="132" hidden="1" customHeight="1">
      <c r="A2601" s="896">
        <v>8</v>
      </c>
      <c r="B2601" s="1609" t="s">
        <v>928</v>
      </c>
      <c r="C2601" s="1609"/>
      <c r="D2601" s="1609"/>
      <c r="E2601" s="1609"/>
      <c r="F2601" s="1609"/>
      <c r="G2601" s="1609"/>
      <c r="H2601" s="1609"/>
      <c r="I2601" s="897"/>
      <c r="J2601" s="898"/>
      <c r="K2601" s="896"/>
      <c r="L2601" s="896"/>
      <c r="M2601" s="899"/>
      <c r="N2601" s="900" t="s">
        <v>2209</v>
      </c>
    </row>
    <row r="2602" spans="1:14" s="910" customFormat="1" ht="16.5" hidden="1" customHeight="1">
      <c r="A2602" s="896"/>
      <c r="B2602" s="902" t="s">
        <v>2321</v>
      </c>
      <c r="C2602" s="903"/>
      <c r="D2602" s="904"/>
      <c r="E2602" s="905"/>
      <c r="F2602" s="906"/>
      <c r="G2602" s="906"/>
      <c r="H2602" s="907"/>
      <c r="I2602" s="908"/>
      <c r="J2602" s="955"/>
      <c r="K2602" s="902"/>
      <c r="L2602" s="896"/>
      <c r="M2602" s="902"/>
      <c r="N2602" s="900" t="s">
        <v>2209</v>
      </c>
    </row>
    <row r="2603" spans="1:14" s="910" customFormat="1" ht="16.5" hidden="1" customHeight="1">
      <c r="A2603" s="896"/>
      <c r="B2603" s="956"/>
      <c r="C2603" s="957">
        <v>1</v>
      </c>
      <c r="D2603" s="958" t="s">
        <v>273</v>
      </c>
      <c r="E2603" s="1268">
        <v>1</v>
      </c>
      <c r="F2603" s="1290">
        <v>19.53</v>
      </c>
      <c r="G2603" s="960">
        <v>0</v>
      </c>
      <c r="H2603" s="960">
        <v>0.8</v>
      </c>
      <c r="I2603" s="916">
        <f>ROUND(IF(AND(F2603:H2603),C2603*E2603*F2603*G2603*H2603,IF(AND(F2603,G2603),C2603*E2603*F2603*G2603,IF(AND(F2603,H2603),C2603*E2603*F2603*H2603,IF(AND(G2603,H2603),C2603*E2603*G2603*H2603,IF(F2603,C2603*E2603*F2603,IF(G2603,C2603*E2603*G2603,IF(H2603,C2603*E2603*H2603,C2603*E2603))))))),2)</f>
        <v>15.62</v>
      </c>
      <c r="J2603" s="955" t="s">
        <v>102</v>
      </c>
      <c r="K2603" s="902"/>
      <c r="L2603" s="896"/>
      <c r="M2603" s="902"/>
      <c r="N2603" s="900" t="s">
        <v>2209</v>
      </c>
    </row>
    <row r="2604" spans="1:14" s="910" customFormat="1" ht="16.5" hidden="1" customHeight="1">
      <c r="A2604" s="896"/>
      <c r="B2604" s="956"/>
      <c r="C2604" s="957"/>
      <c r="D2604" s="958"/>
      <c r="E2604" s="1268"/>
      <c r="F2604" s="1290"/>
      <c r="G2604" s="960"/>
      <c r="H2604" s="960"/>
      <c r="I2604" s="916"/>
      <c r="J2604" s="955"/>
      <c r="K2604" s="902"/>
      <c r="L2604" s="896"/>
      <c r="M2604" s="902"/>
      <c r="N2604" s="900" t="s">
        <v>2209</v>
      </c>
    </row>
    <row r="2605" spans="1:14" ht="15.75" hidden="1">
      <c r="A2605" s="896"/>
      <c r="B2605" s="902"/>
      <c r="C2605" s="917"/>
      <c r="D2605" s="918"/>
      <c r="E2605" s="919"/>
      <c r="F2605" s="920"/>
      <c r="G2605" s="921"/>
      <c r="H2605" s="896"/>
      <c r="I2605" s="916"/>
      <c r="J2605" s="955" t="s">
        <v>102</v>
      </c>
      <c r="K2605" s="922">
        <f>data!G334</f>
        <v>2839.34</v>
      </c>
      <c r="L2605" s="923" t="s">
        <v>2209</v>
      </c>
      <c r="M2605" s="924">
        <f>ROUND(I2605*K2605,0)</f>
        <v>0</v>
      </c>
      <c r="N2605" s="900" t="s">
        <v>2209</v>
      </c>
    </row>
    <row r="2606" spans="1:14" ht="96.75" hidden="1" customHeight="1">
      <c r="A2606" s="896">
        <v>4</v>
      </c>
      <c r="B2606" s="1609" t="s">
        <v>1634</v>
      </c>
      <c r="C2606" s="1609"/>
      <c r="D2606" s="1609"/>
      <c r="E2606" s="1609"/>
      <c r="F2606" s="1609"/>
      <c r="G2606" s="1609"/>
      <c r="H2606" s="1609"/>
      <c r="I2606" s="897"/>
      <c r="J2606" s="898"/>
      <c r="K2606" s="896"/>
      <c r="L2606" s="896"/>
      <c r="M2606" s="899"/>
      <c r="N2606" s="900" t="s">
        <v>2209</v>
      </c>
    </row>
    <row r="2607" spans="1:14" s="910" customFormat="1" ht="16.5" hidden="1" customHeight="1">
      <c r="A2607" s="896"/>
      <c r="B2607" s="902" t="s">
        <v>2339</v>
      </c>
      <c r="C2607" s="903"/>
      <c r="D2607" s="904"/>
      <c r="E2607" s="905"/>
      <c r="F2607" s="906"/>
      <c r="G2607" s="906"/>
      <c r="H2607" s="907"/>
      <c r="I2607" s="908"/>
      <c r="J2607" s="955"/>
      <c r="K2607" s="902"/>
      <c r="L2607" s="896"/>
      <c r="M2607" s="902"/>
      <c r="N2607" s="900" t="s">
        <v>2209</v>
      </c>
    </row>
    <row r="2608" spans="1:14" s="910" customFormat="1" ht="16.5" hidden="1" customHeight="1">
      <c r="A2608" s="896"/>
      <c r="B2608" s="956" t="s">
        <v>578</v>
      </c>
      <c r="C2608" s="957">
        <v>1</v>
      </c>
      <c r="D2608" s="958" t="s">
        <v>273</v>
      </c>
      <c r="E2608" s="1268">
        <v>1</v>
      </c>
      <c r="F2608" s="1290">
        <v>3.3</v>
      </c>
      <c r="G2608" s="960">
        <v>0</v>
      </c>
      <c r="H2608" s="960">
        <v>0.87</v>
      </c>
      <c r="I2608" s="916">
        <f>ROUND(IF(AND(F2608:H2608),C2608*E2608*F2608*G2608*H2608,IF(AND(F2608,G2608),C2608*E2608*F2608*G2608,IF(AND(F2608,H2608),C2608*E2608*F2608*H2608,IF(AND(G2608,H2608),C2608*E2608*G2608*H2608,IF(F2608,C2608*E2608*F2608,IF(G2608,C2608*E2608*G2608,IF(H2608,C2608*E2608*H2608,C2608*E2608))))))),2)</f>
        <v>2.87</v>
      </c>
      <c r="J2608" s="955" t="s">
        <v>102</v>
      </c>
      <c r="K2608" s="902"/>
      <c r="L2608" s="896"/>
      <c r="M2608" s="902"/>
      <c r="N2608" s="900" t="s">
        <v>2209</v>
      </c>
    </row>
    <row r="2609" spans="1:14" s="910" customFormat="1" ht="16.5" hidden="1" customHeight="1">
      <c r="A2609" s="896"/>
      <c r="B2609" s="956"/>
      <c r="C2609" s="957">
        <v>1</v>
      </c>
      <c r="D2609" s="958" t="s">
        <v>273</v>
      </c>
      <c r="E2609" s="1268">
        <v>1</v>
      </c>
      <c r="F2609" s="1290">
        <v>1</v>
      </c>
      <c r="G2609" s="960">
        <v>0</v>
      </c>
      <c r="H2609" s="960">
        <v>0.87</v>
      </c>
      <c r="I2609" s="916">
        <f>ROUND(IF(AND(F2609:H2609),C2609*E2609*F2609*G2609*H2609,IF(AND(F2609,G2609),C2609*E2609*F2609*G2609,IF(AND(F2609,H2609),C2609*E2609*F2609*H2609,IF(AND(G2609,H2609),C2609*E2609*G2609*H2609,IF(F2609,C2609*E2609*F2609,IF(G2609,C2609*E2609*G2609,IF(H2609,C2609*E2609*H2609,C2609*E2609))))))),2)</f>
        <v>0.87</v>
      </c>
      <c r="J2609" s="955" t="s">
        <v>102</v>
      </c>
      <c r="K2609" s="902"/>
      <c r="L2609" s="896"/>
      <c r="M2609" s="902"/>
      <c r="N2609" s="900" t="s">
        <v>2209</v>
      </c>
    </row>
    <row r="2610" spans="1:14" s="910" customFormat="1" ht="16.5" hidden="1" customHeight="1">
      <c r="A2610" s="896"/>
      <c r="B2610" s="956" t="s">
        <v>654</v>
      </c>
      <c r="C2610" s="957">
        <v>1</v>
      </c>
      <c r="D2610" s="958" t="s">
        <v>273</v>
      </c>
      <c r="E2610" s="1268">
        <v>1</v>
      </c>
      <c r="F2610" s="1290">
        <v>1.45</v>
      </c>
      <c r="G2610" s="960">
        <v>0</v>
      </c>
      <c r="H2610" s="960">
        <v>0.87</v>
      </c>
      <c r="I2610" s="916">
        <f>ROUND(IF(AND(F2610:H2610),C2610*E2610*F2610*G2610*H2610,IF(AND(F2610,G2610),C2610*E2610*F2610*G2610,IF(AND(F2610,H2610),C2610*E2610*F2610*H2610,IF(AND(G2610,H2610),C2610*E2610*G2610*H2610,IF(F2610,C2610*E2610*F2610,IF(G2610,C2610*E2610*G2610,IF(H2610,C2610*E2610*H2610,C2610*E2610))))))),2)</f>
        <v>1.26</v>
      </c>
      <c r="J2610" s="955" t="s">
        <v>102</v>
      </c>
      <c r="K2610" s="902"/>
      <c r="L2610" s="896"/>
      <c r="M2610" s="902"/>
      <c r="N2610" s="900" t="s">
        <v>2209</v>
      </c>
    </row>
    <row r="2611" spans="1:14" s="910" customFormat="1" ht="16.5" hidden="1" customHeight="1">
      <c r="A2611" s="896"/>
      <c r="B2611" s="956"/>
      <c r="C2611" s="957">
        <v>1</v>
      </c>
      <c r="D2611" s="958" t="s">
        <v>273</v>
      </c>
      <c r="E2611" s="1268">
        <v>1</v>
      </c>
      <c r="F2611" s="1290">
        <v>2.57</v>
      </c>
      <c r="G2611" s="960">
        <v>0</v>
      </c>
      <c r="H2611" s="960">
        <v>0.87</v>
      </c>
      <c r="I2611" s="916">
        <f>ROUND(IF(AND(F2611:H2611),C2611*E2611*F2611*G2611*H2611,IF(AND(F2611,G2611),C2611*E2611*F2611*G2611,IF(AND(F2611,H2611),C2611*E2611*F2611*H2611,IF(AND(G2611,H2611),C2611*E2611*G2611*H2611,IF(F2611,C2611*E2611*F2611,IF(G2611,C2611*E2611*G2611,IF(H2611,C2611*E2611*H2611,C2611*E2611))))))),2)</f>
        <v>2.2400000000000002</v>
      </c>
      <c r="J2611" s="955" t="s">
        <v>102</v>
      </c>
      <c r="K2611" s="902"/>
      <c r="L2611" s="896"/>
      <c r="M2611" s="902"/>
      <c r="N2611" s="900" t="s">
        <v>2209</v>
      </c>
    </row>
    <row r="2612" spans="1:14" s="910" customFormat="1" ht="16.5" hidden="1" customHeight="1">
      <c r="A2612" s="896"/>
      <c r="B2612" s="956"/>
      <c r="C2612" s="957"/>
      <c r="D2612" s="958"/>
      <c r="E2612" s="1268"/>
      <c r="F2612" s="1290"/>
      <c r="G2612" s="960"/>
      <c r="H2612" s="960"/>
      <c r="I2612" s="916"/>
      <c r="J2612" s="955"/>
      <c r="K2612" s="902"/>
      <c r="L2612" s="896"/>
      <c r="M2612" s="902"/>
      <c r="N2612" s="900" t="s">
        <v>2209</v>
      </c>
    </row>
    <row r="2613" spans="1:14" ht="15.75" hidden="1">
      <c r="A2613" s="896"/>
      <c r="B2613" s="902"/>
      <c r="C2613" s="917"/>
      <c r="D2613" s="918"/>
      <c r="E2613" s="919"/>
      <c r="F2613" s="920"/>
      <c r="G2613" s="921"/>
      <c r="H2613" s="896"/>
      <c r="I2613" s="916"/>
      <c r="J2613" s="955" t="s">
        <v>102</v>
      </c>
      <c r="K2613" s="922">
        <f>data!G345</f>
        <v>1258.8900000000001</v>
      </c>
      <c r="L2613" s="923" t="s">
        <v>2209</v>
      </c>
      <c r="M2613" s="924">
        <f>ROUND(I2613*K2613,0)</f>
        <v>0</v>
      </c>
      <c r="N2613" s="900" t="s">
        <v>2209</v>
      </c>
    </row>
    <row r="2614" spans="1:14" ht="31.5" hidden="1" customHeight="1">
      <c r="A2614" s="896">
        <v>4</v>
      </c>
      <c r="B2614" s="1609" t="s">
        <v>2286</v>
      </c>
      <c r="C2614" s="1609"/>
      <c r="D2614" s="1609"/>
      <c r="E2614" s="1609"/>
      <c r="F2614" s="1609"/>
      <c r="G2614" s="1609"/>
      <c r="H2614" s="1609"/>
      <c r="I2614" s="897"/>
      <c r="J2614" s="898"/>
      <c r="K2614" s="896"/>
      <c r="L2614" s="896"/>
      <c r="M2614" s="899"/>
      <c r="N2614" s="900" t="s">
        <v>2209</v>
      </c>
    </row>
    <row r="2615" spans="1:14" s="910" customFormat="1" ht="16.5" hidden="1" customHeight="1">
      <c r="A2615" s="896"/>
      <c r="B2615" s="902" t="s">
        <v>2339</v>
      </c>
      <c r="C2615" s="903"/>
      <c r="D2615" s="904"/>
      <c r="E2615" s="905"/>
      <c r="F2615" s="906"/>
      <c r="G2615" s="906"/>
      <c r="H2615" s="907"/>
      <c r="I2615" s="908"/>
      <c r="J2615" s="955"/>
      <c r="K2615" s="902"/>
      <c r="L2615" s="896"/>
      <c r="M2615" s="902"/>
      <c r="N2615" s="900" t="s">
        <v>2209</v>
      </c>
    </row>
    <row r="2616" spans="1:14" s="910" customFormat="1" ht="16.5" hidden="1" customHeight="1">
      <c r="A2616" s="896"/>
      <c r="B2616" s="956"/>
      <c r="C2616" s="957">
        <v>1</v>
      </c>
      <c r="D2616" s="958" t="s">
        <v>273</v>
      </c>
      <c r="E2616" s="1268">
        <v>1</v>
      </c>
      <c r="F2616" s="1290">
        <v>0.5</v>
      </c>
      <c r="G2616" s="960">
        <v>0</v>
      </c>
      <c r="H2616" s="960">
        <v>0</v>
      </c>
      <c r="I2616" s="916">
        <f>ROUND(IF(AND(F2616:H2616),C2616*E2616*F2616*G2616*H2616,IF(AND(F2616,G2616),C2616*E2616*F2616*G2616,IF(AND(F2616,H2616),C2616*E2616*F2616*H2616,IF(AND(G2616,H2616),C2616*E2616*G2616*H2616,IF(F2616,C2616*E2616*F2616,IF(G2616,C2616*E2616*G2616,IF(H2616,C2616*E2616*H2616,C2616*E2616))))))),2)</f>
        <v>0.5</v>
      </c>
      <c r="J2616" s="955" t="s">
        <v>4</v>
      </c>
      <c r="K2616" s="902"/>
      <c r="L2616" s="896"/>
      <c r="M2616" s="902"/>
      <c r="N2616" s="900" t="s">
        <v>2209</v>
      </c>
    </row>
    <row r="2617" spans="1:14" s="910" customFormat="1" ht="16.5" hidden="1" customHeight="1">
      <c r="A2617" s="896"/>
      <c r="B2617" s="956"/>
      <c r="C2617" s="957"/>
      <c r="D2617" s="958"/>
      <c r="E2617" s="1268"/>
      <c r="F2617" s="1290"/>
      <c r="G2617" s="960"/>
      <c r="H2617" s="960"/>
      <c r="I2617" s="916"/>
      <c r="J2617" s="955"/>
      <c r="K2617" s="902"/>
      <c r="L2617" s="896"/>
      <c r="M2617" s="902"/>
      <c r="N2617" s="900" t="s">
        <v>2209</v>
      </c>
    </row>
    <row r="2618" spans="1:14" ht="15.75" hidden="1">
      <c r="A2618" s="896"/>
      <c r="B2618" s="902"/>
      <c r="C2618" s="917"/>
      <c r="D2618" s="918"/>
      <c r="E2618" s="919"/>
      <c r="F2618" s="920"/>
      <c r="G2618" s="921"/>
      <c r="H2618" s="896"/>
      <c r="I2618" s="916"/>
      <c r="J2618" s="955" t="s">
        <v>4</v>
      </c>
      <c r="K2618" s="922">
        <f>data!G349</f>
        <v>470.28</v>
      </c>
      <c r="L2618" s="923" t="s">
        <v>2209</v>
      </c>
      <c r="M2618" s="924">
        <f>ROUND(I2618*K2618,0)</f>
        <v>0</v>
      </c>
      <c r="N2618" s="900" t="s">
        <v>2209</v>
      </c>
    </row>
    <row r="2619" spans="1:14" ht="30.75" hidden="1" customHeight="1">
      <c r="A2619" s="896">
        <v>7</v>
      </c>
      <c r="B2619" s="1609" t="s">
        <v>958</v>
      </c>
      <c r="C2619" s="1609"/>
      <c r="D2619" s="1609"/>
      <c r="E2619" s="1609"/>
      <c r="F2619" s="1609"/>
      <c r="G2619" s="1609"/>
      <c r="H2619" s="1609"/>
      <c r="I2619" s="897"/>
      <c r="J2619" s="898"/>
      <c r="K2619" s="896"/>
      <c r="L2619" s="896"/>
      <c r="M2619" s="899"/>
      <c r="N2619" s="900" t="s">
        <v>2209</v>
      </c>
    </row>
    <row r="2620" spans="1:14" s="910" customFormat="1" ht="16.5" hidden="1" customHeight="1">
      <c r="A2620" s="896"/>
      <c r="B2620" s="902" t="s">
        <v>2100</v>
      </c>
      <c r="C2620" s="903"/>
      <c r="D2620" s="904"/>
      <c r="E2620" s="905"/>
      <c r="F2620" s="906"/>
      <c r="G2620" s="906"/>
      <c r="H2620" s="907"/>
      <c r="I2620" s="908"/>
      <c r="J2620" s="955"/>
      <c r="K2620" s="902"/>
      <c r="L2620" s="896"/>
      <c r="M2620" s="902"/>
      <c r="N2620" s="900" t="s">
        <v>2209</v>
      </c>
    </row>
    <row r="2621" spans="1:14" s="910" customFormat="1" ht="16.5" hidden="1" customHeight="1">
      <c r="A2621" s="896"/>
      <c r="B2621" s="956" t="s">
        <v>939</v>
      </c>
      <c r="C2621" s="957">
        <v>1</v>
      </c>
      <c r="D2621" s="958" t="s">
        <v>273</v>
      </c>
      <c r="E2621" s="1268">
        <v>11</v>
      </c>
      <c r="F2621" s="1290">
        <v>1.25</v>
      </c>
      <c r="G2621" s="960">
        <v>0</v>
      </c>
      <c r="H2621" s="960">
        <v>0</v>
      </c>
      <c r="I2621" s="916">
        <f>ROUND(IF(AND(F2621:H2621),C2621*E2621*F2621*G2621*H2621,IF(AND(F2621,G2621),C2621*E2621*F2621*G2621,IF(AND(F2621,H2621),C2621*E2621*F2621*H2621,IF(AND(G2621,H2621),C2621*E2621*G2621*H2621,IF(F2621,C2621*E2621*F2621,IF(G2621,C2621*E2621*G2621,IF(H2621,C2621*E2621*H2621,C2621*E2621))))))),2)</f>
        <v>13.75</v>
      </c>
      <c r="J2621" s="955" t="s">
        <v>277</v>
      </c>
      <c r="K2621" s="902"/>
      <c r="L2621" s="896"/>
      <c r="M2621" s="902"/>
      <c r="N2621" s="900" t="s">
        <v>2209</v>
      </c>
    </row>
    <row r="2622" spans="1:14" s="910" customFormat="1" ht="16.5" hidden="1" customHeight="1">
      <c r="A2622" s="896"/>
      <c r="B2622" s="956" t="s">
        <v>940</v>
      </c>
      <c r="C2622" s="957">
        <v>1</v>
      </c>
      <c r="D2622" s="958" t="s">
        <v>273</v>
      </c>
      <c r="E2622" s="1268">
        <v>11</v>
      </c>
      <c r="F2622" s="1290">
        <v>1.25</v>
      </c>
      <c r="G2622" s="960">
        <v>0</v>
      </c>
      <c r="H2622" s="960">
        <v>0</v>
      </c>
      <c r="I2622" s="916">
        <f>ROUND(IF(AND(F2622:H2622),C2622*E2622*F2622*G2622*H2622,IF(AND(F2622,G2622),C2622*E2622*F2622*G2622,IF(AND(F2622,H2622),C2622*E2622*F2622*H2622,IF(AND(G2622,H2622),C2622*E2622*G2622*H2622,IF(F2622,C2622*E2622*F2622,IF(G2622,C2622*E2622*G2622,IF(H2622,C2622*E2622*H2622,C2622*E2622))))))),2)</f>
        <v>13.75</v>
      </c>
      <c r="J2622" s="955" t="s">
        <v>277</v>
      </c>
      <c r="K2622" s="902"/>
      <c r="L2622" s="896"/>
      <c r="M2622" s="902"/>
      <c r="N2622" s="900" t="s">
        <v>2209</v>
      </c>
    </row>
    <row r="2623" spans="1:14" s="910" customFormat="1" ht="16.5" hidden="1" customHeight="1">
      <c r="A2623" s="896"/>
      <c r="B2623" s="980" t="s">
        <v>584</v>
      </c>
      <c r="C2623" s="903"/>
      <c r="D2623" s="904"/>
      <c r="E2623" s="905"/>
      <c r="F2623" s="906"/>
      <c r="G2623" s="906"/>
      <c r="H2623" s="907"/>
      <c r="I2623" s="908"/>
      <c r="J2623" s="955"/>
      <c r="K2623" s="902"/>
      <c r="L2623" s="896"/>
      <c r="M2623" s="902"/>
      <c r="N2623" s="900" t="s">
        <v>2209</v>
      </c>
    </row>
    <row r="2624" spans="1:14" s="910" customFormat="1" ht="16.5" hidden="1" customHeight="1">
      <c r="A2624" s="896"/>
      <c r="B2624" s="956" t="s">
        <v>939</v>
      </c>
      <c r="C2624" s="957">
        <v>1</v>
      </c>
      <c r="D2624" s="958" t="s">
        <v>273</v>
      </c>
      <c r="E2624" s="1268">
        <v>7</v>
      </c>
      <c r="F2624" s="1290">
        <v>1.25</v>
      </c>
      <c r="G2624" s="960">
        <v>0</v>
      </c>
      <c r="H2624" s="960">
        <v>0</v>
      </c>
      <c r="I2624" s="916">
        <f>ROUND(IF(AND(F2624:H2624),C2624*E2624*F2624*G2624*H2624,IF(AND(F2624,G2624),C2624*E2624*F2624*G2624,IF(AND(F2624,H2624),C2624*E2624*F2624*H2624,IF(AND(G2624,H2624),C2624*E2624*G2624*H2624,IF(F2624,C2624*E2624*F2624,IF(G2624,C2624*E2624*G2624,IF(H2624,C2624*E2624*H2624,C2624*E2624))))))),2)</f>
        <v>8.75</v>
      </c>
      <c r="J2624" s="955" t="s">
        <v>277</v>
      </c>
      <c r="K2624" s="902"/>
      <c r="L2624" s="896"/>
      <c r="M2624" s="902"/>
      <c r="N2624" s="900" t="s">
        <v>2209</v>
      </c>
    </row>
    <row r="2625" spans="1:14" s="910" customFormat="1" ht="16.5" hidden="1" customHeight="1">
      <c r="A2625" s="896"/>
      <c r="B2625" s="956"/>
      <c r="C2625" s="957"/>
      <c r="D2625" s="958"/>
      <c r="E2625" s="1268"/>
      <c r="F2625" s="1290"/>
      <c r="G2625" s="960"/>
      <c r="H2625" s="960"/>
      <c r="I2625" s="916"/>
      <c r="J2625" s="955"/>
      <c r="K2625" s="902"/>
      <c r="L2625" s="896"/>
      <c r="M2625" s="902"/>
      <c r="N2625" s="900" t="s">
        <v>2209</v>
      </c>
    </row>
    <row r="2626" spans="1:14" ht="15.75" hidden="1">
      <c r="A2626" s="896"/>
      <c r="B2626" s="902"/>
      <c r="C2626" s="917"/>
      <c r="D2626" s="918"/>
      <c r="E2626" s="919"/>
      <c r="F2626" s="920"/>
      <c r="G2626" s="921"/>
      <c r="H2626" s="896"/>
      <c r="I2626" s="916"/>
      <c r="J2626" s="955" t="s">
        <v>277</v>
      </c>
      <c r="K2626" s="922">
        <f>data!G624</f>
        <v>412</v>
      </c>
      <c r="L2626" s="923" t="s">
        <v>2209</v>
      </c>
      <c r="M2626" s="924">
        <f>ROUND(I2626*K2626,0)</f>
        <v>0</v>
      </c>
      <c r="N2626" s="900" t="s">
        <v>2209</v>
      </c>
    </row>
    <row r="2627" spans="1:14" s="1253" customFormat="1" ht="15.75" hidden="1">
      <c r="A2627" s="967"/>
      <c r="B2627" s="967" t="s">
        <v>2211</v>
      </c>
      <c r="C2627" s="967"/>
      <c r="D2627" s="967"/>
      <c r="E2627" s="967"/>
      <c r="F2627" s="988"/>
      <c r="G2627" s="988"/>
      <c r="H2627" s="967"/>
      <c r="I2627" s="1261"/>
      <c r="J2627" s="1262"/>
      <c r="K2627" s="967"/>
      <c r="L2627" s="967"/>
      <c r="M2627" s="967"/>
      <c r="N2627" s="900" t="s">
        <v>2297</v>
      </c>
    </row>
    <row r="2628" spans="1:14" ht="72" hidden="1" customHeight="1">
      <c r="A2628" s="896">
        <v>1</v>
      </c>
      <c r="B2628" s="1609" t="s">
        <v>803</v>
      </c>
      <c r="C2628" s="1609"/>
      <c r="D2628" s="1609"/>
      <c r="E2628" s="1609"/>
      <c r="F2628" s="1609"/>
      <c r="G2628" s="1609"/>
      <c r="H2628" s="1609"/>
      <c r="I2628" s="897"/>
      <c r="J2628" s="898"/>
      <c r="K2628" s="896"/>
      <c r="L2628" s="896"/>
      <c r="M2628" s="899"/>
      <c r="N2628" s="900" t="s">
        <v>2297</v>
      </c>
    </row>
    <row r="2629" spans="1:14" s="910" customFormat="1" ht="15.75" hidden="1">
      <c r="A2629" s="896"/>
      <c r="B2629" s="902" t="s">
        <v>2761</v>
      </c>
      <c r="C2629" s="903" t="s">
        <v>1550</v>
      </c>
      <c r="D2629" s="904"/>
      <c r="E2629" s="905"/>
      <c r="F2629" s="906"/>
      <c r="G2629" s="906"/>
      <c r="H2629" s="907"/>
      <c r="I2629" s="908"/>
      <c r="J2629" s="955"/>
      <c r="K2629" s="902"/>
      <c r="L2629" s="896"/>
      <c r="M2629" s="902"/>
      <c r="N2629" s="900" t="s">
        <v>2297</v>
      </c>
    </row>
    <row r="2630" spans="1:14" s="910" customFormat="1" ht="15.75" hidden="1">
      <c r="A2630" s="896"/>
      <c r="B2630" s="911" t="s">
        <v>583</v>
      </c>
      <c r="C2630" s="912">
        <v>1</v>
      </c>
      <c r="D2630" s="913" t="s">
        <v>273</v>
      </c>
      <c r="E2630" s="914">
        <v>1</v>
      </c>
      <c r="F2630" s="915">
        <v>0</v>
      </c>
      <c r="G2630" s="915">
        <v>0</v>
      </c>
      <c r="H2630" s="915">
        <v>0</v>
      </c>
      <c r="I2630" s="1291">
        <f>ROUND(IF(AND(F2630:H2630),C2630*E2630*F2630*G2630*H2630,IF(AND(F2630,G2630),C2630*E2630*F2630*G2630,IF(AND(F2630,H2630),C2630*E2630*F2630*H2630,IF(AND(G2630,H2630),C2630*E2630*G2630*H2630,IF(F2630,C2630*E2630*F2630,IF(G2630,C2630*E2630*G2630,IF(H2630,C2630*E2630*H2630,C2630*E2630))))))),2)</f>
        <v>1</v>
      </c>
      <c r="J2630" s="955" t="s">
        <v>115</v>
      </c>
      <c r="K2630" s="902"/>
      <c r="L2630" s="896"/>
      <c r="M2630" s="902"/>
      <c r="N2630" s="900" t="s">
        <v>2297</v>
      </c>
    </row>
    <row r="2631" spans="1:14" s="910" customFormat="1" ht="15.75" hidden="1">
      <c r="A2631" s="896"/>
      <c r="B2631" s="956"/>
      <c r="C2631" s="957"/>
      <c r="D2631" s="958"/>
      <c r="E2631" s="1268"/>
      <c r="F2631" s="960"/>
      <c r="G2631" s="960"/>
      <c r="H2631" s="960"/>
      <c r="I2631" s="1291"/>
      <c r="J2631" s="955"/>
      <c r="K2631" s="902"/>
      <c r="L2631" s="896"/>
      <c r="M2631" s="902"/>
      <c r="N2631" s="900" t="s">
        <v>2297</v>
      </c>
    </row>
    <row r="2632" spans="1:14" ht="15.75" hidden="1">
      <c r="A2632" s="896"/>
      <c r="B2632" s="902"/>
      <c r="C2632" s="917"/>
      <c r="D2632" s="918"/>
      <c r="E2632" s="919"/>
      <c r="F2632" s="920"/>
      <c r="G2632" s="921"/>
      <c r="H2632" s="896"/>
      <c r="I2632" s="1291"/>
      <c r="J2632" s="955" t="s">
        <v>115</v>
      </c>
      <c r="K2632" s="922">
        <f>'D&amp;W data'!H260</f>
        <v>20396.340000000004</v>
      </c>
      <c r="L2632" s="923" t="s">
        <v>2297</v>
      </c>
      <c r="M2632" s="924">
        <f>ROUND(I2632*K2632,0)</f>
        <v>0</v>
      </c>
      <c r="N2632" s="900" t="s">
        <v>2297</v>
      </c>
    </row>
    <row r="2633" spans="1:14" ht="41.25" hidden="1" customHeight="1">
      <c r="A2633" s="896">
        <v>2</v>
      </c>
      <c r="B2633" s="1609" t="s">
        <v>2759</v>
      </c>
      <c r="C2633" s="1609"/>
      <c r="D2633" s="1609"/>
      <c r="E2633" s="1609"/>
      <c r="F2633" s="1609"/>
      <c r="G2633" s="1609"/>
      <c r="H2633" s="1609"/>
      <c r="I2633" s="897"/>
      <c r="J2633" s="898"/>
      <c r="K2633" s="896"/>
      <c r="L2633" s="896"/>
      <c r="M2633" s="899"/>
      <c r="N2633" s="900" t="s">
        <v>2297</v>
      </c>
    </row>
    <row r="2634" spans="1:14" s="910" customFormat="1" ht="15.75" hidden="1">
      <c r="A2634" s="896"/>
      <c r="B2634" s="902" t="s">
        <v>2762</v>
      </c>
      <c r="C2634" s="903" t="s">
        <v>2737</v>
      </c>
      <c r="D2634" s="904"/>
      <c r="E2634" s="905"/>
      <c r="F2634" s="906"/>
      <c r="G2634" s="906"/>
      <c r="H2634" s="907"/>
      <c r="I2634" s="908"/>
      <c r="J2634" s="955"/>
      <c r="K2634" s="902"/>
      <c r="L2634" s="896"/>
      <c r="M2634" s="902"/>
      <c r="N2634" s="900" t="s">
        <v>2297</v>
      </c>
    </row>
    <row r="2635" spans="1:14" s="910" customFormat="1" ht="15.75" hidden="1">
      <c r="A2635" s="896"/>
      <c r="B2635" s="956"/>
      <c r="C2635" s="957">
        <v>1</v>
      </c>
      <c r="D2635" s="958" t="s">
        <v>273</v>
      </c>
      <c r="E2635" s="1268">
        <v>3</v>
      </c>
      <c r="F2635" s="960">
        <v>0</v>
      </c>
      <c r="G2635" s="960">
        <v>0</v>
      </c>
      <c r="H2635" s="960">
        <v>0</v>
      </c>
      <c r="I2635" s="1291">
        <f>ROUND(IF(AND(F2635:H2635),C2635*E2635*F2635*G2635*H2635,IF(AND(F2635,G2635),C2635*E2635*F2635*G2635,IF(AND(F2635,H2635),C2635*E2635*F2635*H2635,IF(AND(G2635,H2635),C2635*E2635*G2635*H2635,IF(F2635,C2635*E2635*F2635,IF(G2635,C2635*E2635*G2635,IF(H2635,C2635*E2635*H2635,C2635*E2635))))))),2)</f>
        <v>3</v>
      </c>
      <c r="J2635" s="955" t="s">
        <v>115</v>
      </c>
      <c r="K2635" s="902"/>
      <c r="L2635" s="896"/>
      <c r="M2635" s="902"/>
      <c r="N2635" s="900" t="s">
        <v>2297</v>
      </c>
    </row>
    <row r="2636" spans="1:14" s="910" customFormat="1" ht="15.75" hidden="1">
      <c r="A2636" s="896"/>
      <c r="B2636" s="956"/>
      <c r="C2636" s="957"/>
      <c r="D2636" s="958"/>
      <c r="E2636" s="1268"/>
      <c r="F2636" s="960"/>
      <c r="G2636" s="960"/>
      <c r="H2636" s="960"/>
      <c r="I2636" s="1291"/>
      <c r="J2636" s="955"/>
      <c r="K2636" s="902"/>
      <c r="L2636" s="896"/>
      <c r="M2636" s="902"/>
      <c r="N2636" s="900" t="s">
        <v>2297</v>
      </c>
    </row>
    <row r="2637" spans="1:14" ht="15.75" hidden="1">
      <c r="A2637" s="896"/>
      <c r="B2637" s="902"/>
      <c r="C2637" s="917"/>
      <c r="D2637" s="918"/>
      <c r="E2637" s="919"/>
      <c r="F2637" s="920"/>
      <c r="G2637" s="921"/>
      <c r="H2637" s="896"/>
      <c r="I2637" s="1291"/>
      <c r="J2637" s="955" t="s">
        <v>115</v>
      </c>
      <c r="K2637" s="922">
        <f>'D&amp;W data'!H278</f>
        <v>4180.6099999999997</v>
      </c>
      <c r="L2637" s="923" t="s">
        <v>2297</v>
      </c>
      <c r="M2637" s="924">
        <f>ROUND(I2637*K2637,0)</f>
        <v>0</v>
      </c>
      <c r="N2637" s="900" t="s">
        <v>2297</v>
      </c>
    </row>
    <row r="2638" spans="1:14" ht="72" hidden="1" customHeight="1">
      <c r="A2638" s="896">
        <v>3</v>
      </c>
      <c r="B2638" s="1609" t="s">
        <v>2200</v>
      </c>
      <c r="C2638" s="1609"/>
      <c r="D2638" s="1609"/>
      <c r="E2638" s="1609"/>
      <c r="F2638" s="1609"/>
      <c r="G2638" s="1609"/>
      <c r="H2638" s="1609"/>
      <c r="I2638" s="897"/>
      <c r="J2638" s="898"/>
      <c r="K2638" s="896"/>
      <c r="L2638" s="896"/>
      <c r="M2638" s="899"/>
      <c r="N2638" s="900" t="s">
        <v>2297</v>
      </c>
    </row>
    <row r="2639" spans="1:14" s="910" customFormat="1" ht="15.75" hidden="1">
      <c r="A2639" s="896"/>
      <c r="B2639" s="902" t="s">
        <v>2555</v>
      </c>
      <c r="C2639" s="903"/>
      <c r="D2639" s="904"/>
      <c r="E2639" s="905"/>
      <c r="F2639" s="906"/>
      <c r="G2639" s="906"/>
      <c r="H2639" s="907"/>
      <c r="I2639" s="908"/>
      <c r="J2639" s="955"/>
      <c r="K2639" s="902"/>
      <c r="L2639" s="896"/>
      <c r="M2639" s="902"/>
      <c r="N2639" s="900" t="s">
        <v>2297</v>
      </c>
    </row>
    <row r="2640" spans="1:14" s="910" customFormat="1" ht="15.75" hidden="1">
      <c r="A2640" s="896"/>
      <c r="B2640" s="956"/>
      <c r="C2640" s="957">
        <v>1</v>
      </c>
      <c r="D2640" s="958" t="s">
        <v>273</v>
      </c>
      <c r="E2640" s="1268">
        <v>1</v>
      </c>
      <c r="F2640" s="960">
        <v>0</v>
      </c>
      <c r="G2640" s="960">
        <v>0</v>
      </c>
      <c r="H2640" s="960">
        <v>0</v>
      </c>
      <c r="I2640" s="1291">
        <f>ROUND(IF(AND(F2640:H2640),C2640*E2640*F2640*G2640*H2640,IF(AND(F2640,G2640),C2640*E2640*F2640*G2640,IF(AND(F2640,H2640),C2640*E2640*F2640*H2640,IF(AND(G2640,H2640),C2640*E2640*G2640*H2640,IF(F2640,C2640*E2640*F2640,IF(G2640,C2640*E2640*G2640,IF(H2640,C2640*E2640*H2640,C2640*E2640))))))),2)</f>
        <v>1</v>
      </c>
      <c r="J2640" s="955" t="s">
        <v>115</v>
      </c>
      <c r="K2640" s="902"/>
      <c r="L2640" s="896"/>
      <c r="M2640" s="902"/>
      <c r="N2640" s="900" t="s">
        <v>2297</v>
      </c>
    </row>
    <row r="2641" spans="1:14" s="910" customFormat="1" ht="15.75" hidden="1">
      <c r="A2641" s="896"/>
      <c r="B2641" s="956"/>
      <c r="C2641" s="957"/>
      <c r="D2641" s="958"/>
      <c r="E2641" s="1268"/>
      <c r="F2641" s="960"/>
      <c r="G2641" s="960"/>
      <c r="H2641" s="960"/>
      <c r="I2641" s="1291"/>
      <c r="J2641" s="955"/>
      <c r="K2641" s="902"/>
      <c r="L2641" s="896"/>
      <c r="M2641" s="902"/>
      <c r="N2641" s="900" t="s">
        <v>2297</v>
      </c>
    </row>
    <row r="2642" spans="1:14" ht="15.75" hidden="1">
      <c r="A2642" s="896"/>
      <c r="B2642" s="902"/>
      <c r="C2642" s="917"/>
      <c r="D2642" s="918"/>
      <c r="E2642" s="919"/>
      <c r="F2642" s="920"/>
      <c r="G2642" s="921"/>
      <c r="H2642" s="896"/>
      <c r="I2642" s="1291"/>
      <c r="J2642" s="955" t="s">
        <v>115</v>
      </c>
      <c r="K2642" s="922">
        <f>'D&amp;W data'!H296</f>
        <v>9855.7799999999988</v>
      </c>
      <c r="L2642" s="923" t="s">
        <v>2297</v>
      </c>
      <c r="M2642" s="924">
        <f>ROUND(I2642*K2642,0)</f>
        <v>0</v>
      </c>
      <c r="N2642" s="900" t="s">
        <v>2297</v>
      </c>
    </row>
    <row r="2643" spans="1:14" ht="71.25" hidden="1" customHeight="1">
      <c r="A2643" s="896">
        <v>2</v>
      </c>
      <c r="B2643" s="1609" t="s">
        <v>1630</v>
      </c>
      <c r="C2643" s="1609"/>
      <c r="D2643" s="1609"/>
      <c r="E2643" s="1609"/>
      <c r="F2643" s="1609"/>
      <c r="G2643" s="1609"/>
      <c r="H2643" s="1609"/>
      <c r="I2643" s="897"/>
      <c r="J2643" s="898"/>
      <c r="K2643" s="896"/>
      <c r="L2643" s="896"/>
      <c r="M2643" s="899"/>
      <c r="N2643" s="900" t="s">
        <v>2297</v>
      </c>
    </row>
    <row r="2644" spans="1:14" s="910" customFormat="1" ht="15.75" hidden="1">
      <c r="A2644" s="896"/>
      <c r="B2644" s="928" t="s">
        <v>2323</v>
      </c>
      <c r="C2644" s="903"/>
      <c r="D2644" s="904"/>
      <c r="E2644" s="905"/>
      <c r="F2644" s="906"/>
      <c r="G2644" s="906"/>
      <c r="H2644" s="907"/>
      <c r="I2644" s="908"/>
      <c r="J2644" s="955"/>
      <c r="K2644" s="902"/>
      <c r="L2644" s="896"/>
      <c r="M2644" s="902"/>
      <c r="N2644" s="900" t="s">
        <v>2297</v>
      </c>
    </row>
    <row r="2645" spans="1:14" s="910" customFormat="1" ht="15.75" hidden="1">
      <c r="A2645" s="896"/>
      <c r="B2645" s="956" t="s">
        <v>583</v>
      </c>
      <c r="C2645" s="957">
        <v>1</v>
      </c>
      <c r="D2645" s="958" t="s">
        <v>273</v>
      </c>
      <c r="E2645" s="1268">
        <v>1</v>
      </c>
      <c r="F2645" s="960">
        <v>0</v>
      </c>
      <c r="G2645" s="960">
        <v>0</v>
      </c>
      <c r="H2645" s="960">
        <v>0</v>
      </c>
      <c r="I2645" s="916">
        <f>ROUND(IF(AND(F2645:H2645),C2645*E2645*F2645*G2645*H2645,IF(AND(F2645,G2645),C2645*E2645*F2645*G2645,IF(AND(F2645,H2645),C2645*E2645*F2645*H2645,IF(AND(G2645,H2645),C2645*E2645*G2645*H2645,IF(F2645,C2645*E2645*F2645,IF(G2645,C2645*E2645*G2645,IF(H2645,C2645*E2645*H2645,C2645*E2645))))))),2)</f>
        <v>1</v>
      </c>
      <c r="J2645" s="955" t="s">
        <v>115</v>
      </c>
      <c r="K2645" s="902"/>
      <c r="L2645" s="896"/>
      <c r="M2645" s="902"/>
      <c r="N2645" s="900" t="s">
        <v>2297</v>
      </c>
    </row>
    <row r="2646" spans="1:14" s="910" customFormat="1" ht="15.75" hidden="1">
      <c r="A2646" s="896"/>
      <c r="B2646" s="956"/>
      <c r="C2646" s="957"/>
      <c r="D2646" s="958"/>
      <c r="E2646" s="1268"/>
      <c r="F2646" s="960"/>
      <c r="G2646" s="960"/>
      <c r="H2646" s="960"/>
      <c r="I2646" s="916"/>
      <c r="J2646" s="955"/>
      <c r="K2646" s="902"/>
      <c r="L2646" s="896"/>
      <c r="M2646" s="902"/>
      <c r="N2646" s="900" t="s">
        <v>2297</v>
      </c>
    </row>
    <row r="2647" spans="1:14" ht="15.75" hidden="1">
      <c r="A2647" s="896"/>
      <c r="B2647" s="902"/>
      <c r="C2647" s="917"/>
      <c r="D2647" s="918"/>
      <c r="E2647" s="919"/>
      <c r="F2647" s="920"/>
      <c r="G2647" s="921"/>
      <c r="H2647" s="896"/>
      <c r="I2647" s="916"/>
      <c r="J2647" s="955" t="s">
        <v>115</v>
      </c>
      <c r="K2647" s="922">
        <f>'D&amp;W data'!H315</f>
        <v>14099.53</v>
      </c>
      <c r="L2647" s="923" t="s">
        <v>2297</v>
      </c>
      <c r="M2647" s="924">
        <f>ROUND(I2647*K2647,0)</f>
        <v>0</v>
      </c>
      <c r="N2647" s="900" t="s">
        <v>2297</v>
      </c>
    </row>
    <row r="2648" spans="1:14" ht="71.25" hidden="1" customHeight="1">
      <c r="A2648" s="896">
        <v>3</v>
      </c>
      <c r="B2648" s="1609" t="s">
        <v>1631</v>
      </c>
      <c r="C2648" s="1609"/>
      <c r="D2648" s="1609"/>
      <c r="E2648" s="1609"/>
      <c r="F2648" s="1609"/>
      <c r="G2648" s="1609"/>
      <c r="H2648" s="1609"/>
      <c r="I2648" s="897"/>
      <c r="J2648" s="898"/>
      <c r="K2648" s="896"/>
      <c r="L2648" s="896"/>
      <c r="M2648" s="899"/>
      <c r="N2648" s="900" t="s">
        <v>2297</v>
      </c>
    </row>
    <row r="2649" spans="1:14" s="910" customFormat="1" ht="15.75" hidden="1">
      <c r="A2649" s="896"/>
      <c r="B2649" s="928" t="s">
        <v>2318</v>
      </c>
      <c r="C2649" s="903"/>
      <c r="D2649" s="904"/>
      <c r="E2649" s="905"/>
      <c r="F2649" s="906"/>
      <c r="G2649" s="906"/>
      <c r="H2649" s="907"/>
      <c r="I2649" s="908"/>
      <c r="J2649" s="955"/>
      <c r="K2649" s="902"/>
      <c r="L2649" s="896"/>
      <c r="M2649" s="902"/>
      <c r="N2649" s="900" t="s">
        <v>2297</v>
      </c>
    </row>
    <row r="2650" spans="1:14" s="910" customFormat="1" ht="15.75" hidden="1">
      <c r="A2650" s="896"/>
      <c r="B2650" s="956" t="s">
        <v>583</v>
      </c>
      <c r="C2650" s="957">
        <v>1</v>
      </c>
      <c r="D2650" s="958" t="s">
        <v>273</v>
      </c>
      <c r="E2650" s="1268">
        <v>1</v>
      </c>
      <c r="F2650" s="960">
        <v>0</v>
      </c>
      <c r="G2650" s="960">
        <v>0</v>
      </c>
      <c r="H2650" s="960">
        <v>0</v>
      </c>
      <c r="I2650" s="916">
        <f>ROUND(IF(AND(F2650:H2650),C2650*E2650*F2650*G2650*H2650,IF(AND(F2650,G2650),C2650*E2650*F2650*G2650,IF(AND(F2650,H2650),C2650*E2650*F2650*H2650,IF(AND(G2650,H2650),C2650*E2650*G2650*H2650,IF(F2650,C2650*E2650*F2650,IF(G2650,C2650*E2650*G2650,IF(H2650,C2650*E2650*H2650,C2650*E2650))))))),2)</f>
        <v>1</v>
      </c>
      <c r="J2650" s="955" t="s">
        <v>115</v>
      </c>
      <c r="K2650" s="902"/>
      <c r="L2650" s="896"/>
      <c r="M2650" s="902"/>
      <c r="N2650" s="900" t="s">
        <v>2297</v>
      </c>
    </row>
    <row r="2651" spans="1:14" s="910" customFormat="1" ht="15.75" hidden="1">
      <c r="A2651" s="896"/>
      <c r="B2651" s="956"/>
      <c r="C2651" s="957"/>
      <c r="D2651" s="958"/>
      <c r="E2651" s="1268"/>
      <c r="F2651" s="960"/>
      <c r="G2651" s="960"/>
      <c r="H2651" s="960"/>
      <c r="I2651" s="916"/>
      <c r="J2651" s="955"/>
      <c r="K2651" s="902"/>
      <c r="L2651" s="896"/>
      <c r="M2651" s="902"/>
      <c r="N2651" s="900" t="s">
        <v>2297</v>
      </c>
    </row>
    <row r="2652" spans="1:14" ht="15.75" hidden="1">
      <c r="A2652" s="896"/>
      <c r="B2652" s="902"/>
      <c r="C2652" s="917"/>
      <c r="D2652" s="918"/>
      <c r="E2652" s="919"/>
      <c r="F2652" s="920"/>
      <c r="G2652" s="921"/>
      <c r="H2652" s="896"/>
      <c r="I2652" s="916"/>
      <c r="J2652" s="955" t="s">
        <v>115</v>
      </c>
      <c r="K2652" s="922">
        <f>'D&amp;W data'!H334</f>
        <v>13359.1</v>
      </c>
      <c r="L2652" s="923" t="s">
        <v>2297</v>
      </c>
      <c r="M2652" s="924">
        <f>ROUND(I2652*K2652,0)</f>
        <v>0</v>
      </c>
      <c r="N2652" s="900" t="s">
        <v>2297</v>
      </c>
    </row>
    <row r="2653" spans="1:14" ht="71.25" hidden="1" customHeight="1">
      <c r="A2653" s="896">
        <v>3</v>
      </c>
      <c r="B2653" s="1609" t="s">
        <v>2137</v>
      </c>
      <c r="C2653" s="1609"/>
      <c r="D2653" s="1609"/>
      <c r="E2653" s="1609"/>
      <c r="F2653" s="1609"/>
      <c r="G2653" s="1609"/>
      <c r="H2653" s="1609"/>
      <c r="I2653" s="897"/>
      <c r="J2653" s="898"/>
      <c r="K2653" s="896"/>
      <c r="L2653" s="896"/>
      <c r="M2653" s="899"/>
      <c r="N2653" s="900" t="s">
        <v>2297</v>
      </c>
    </row>
    <row r="2654" spans="1:14" s="910" customFormat="1" ht="15.75" hidden="1">
      <c r="A2654" s="896"/>
      <c r="B2654" s="902" t="s">
        <v>2184</v>
      </c>
      <c r="C2654" s="903"/>
      <c r="D2654" s="904"/>
      <c r="E2654" s="905"/>
      <c r="F2654" s="906"/>
      <c r="G2654" s="906"/>
      <c r="H2654" s="907"/>
      <c r="I2654" s="908"/>
      <c r="J2654" s="955"/>
      <c r="K2654" s="902"/>
      <c r="L2654" s="896"/>
      <c r="M2654" s="902"/>
      <c r="N2654" s="900" t="s">
        <v>2297</v>
      </c>
    </row>
    <row r="2655" spans="1:14" s="910" customFormat="1" ht="15.75" hidden="1">
      <c r="A2655" s="896"/>
      <c r="B2655" s="956" t="s">
        <v>2185</v>
      </c>
      <c r="C2655" s="957">
        <v>1</v>
      </c>
      <c r="D2655" s="958" t="s">
        <v>273</v>
      </c>
      <c r="E2655" s="1268">
        <v>5</v>
      </c>
      <c r="F2655" s="960">
        <v>0</v>
      </c>
      <c r="G2655" s="960">
        <v>0</v>
      </c>
      <c r="H2655" s="960">
        <v>0</v>
      </c>
      <c r="I2655" s="916">
        <f>ROUND(IF(AND(F2655:H2655),C2655*E2655*F2655*G2655*H2655,IF(AND(F2655,G2655),C2655*E2655*F2655*G2655,IF(AND(F2655,H2655),C2655*E2655*F2655*H2655,IF(AND(G2655,H2655),C2655*E2655*G2655*H2655,IF(F2655,C2655*E2655*F2655,IF(G2655,C2655*E2655*G2655,IF(H2655,C2655*E2655*H2655,C2655*E2655))))))),2)</f>
        <v>5</v>
      </c>
      <c r="J2655" s="955" t="s">
        <v>115</v>
      </c>
      <c r="K2655" s="902"/>
      <c r="L2655" s="896"/>
      <c r="M2655" s="902"/>
      <c r="N2655" s="900" t="s">
        <v>2297</v>
      </c>
    </row>
    <row r="2656" spans="1:14" s="910" customFormat="1" ht="15.75" hidden="1">
      <c r="A2656" s="896"/>
      <c r="B2656" s="956"/>
      <c r="C2656" s="957"/>
      <c r="D2656" s="958"/>
      <c r="E2656" s="1268"/>
      <c r="F2656" s="960"/>
      <c r="G2656" s="960"/>
      <c r="H2656" s="960"/>
      <c r="I2656" s="916"/>
      <c r="J2656" s="955"/>
      <c r="K2656" s="902"/>
      <c r="L2656" s="896"/>
      <c r="M2656" s="902"/>
      <c r="N2656" s="900" t="s">
        <v>2297</v>
      </c>
    </row>
    <row r="2657" spans="1:14" ht="15.75" hidden="1">
      <c r="A2657" s="896"/>
      <c r="B2657" s="902"/>
      <c r="C2657" s="917"/>
      <c r="D2657" s="918"/>
      <c r="E2657" s="919"/>
      <c r="F2657" s="920"/>
      <c r="G2657" s="921"/>
      <c r="H2657" s="896"/>
      <c r="I2657" s="916"/>
      <c r="J2657" s="955" t="s">
        <v>115</v>
      </c>
      <c r="K2657" s="922">
        <f>'D&amp;W data'!H429</f>
        <v>8905.99</v>
      </c>
      <c r="L2657" s="923" t="s">
        <v>2297</v>
      </c>
      <c r="M2657" s="924">
        <f>ROUND(I2657*K2657,0)</f>
        <v>0</v>
      </c>
      <c r="N2657" s="900" t="s">
        <v>2297</v>
      </c>
    </row>
    <row r="2658" spans="1:14" ht="71.25" hidden="1" customHeight="1">
      <c r="A2658" s="896">
        <v>3</v>
      </c>
      <c r="B2658" s="1609" t="s">
        <v>1632</v>
      </c>
      <c r="C2658" s="1609"/>
      <c r="D2658" s="1609"/>
      <c r="E2658" s="1609"/>
      <c r="F2658" s="1609"/>
      <c r="G2658" s="1609"/>
      <c r="H2658" s="1609"/>
      <c r="I2658" s="897"/>
      <c r="J2658" s="898"/>
      <c r="K2658" s="896"/>
      <c r="L2658" s="896"/>
      <c r="M2658" s="899"/>
      <c r="N2658" s="900" t="s">
        <v>2297</v>
      </c>
    </row>
    <row r="2659" spans="1:14" s="910" customFormat="1" ht="15.75" hidden="1">
      <c r="A2659" s="896"/>
      <c r="B2659" s="902" t="s">
        <v>2329</v>
      </c>
      <c r="C2659" s="903"/>
      <c r="D2659" s="904"/>
      <c r="E2659" s="905"/>
      <c r="F2659" s="906"/>
      <c r="G2659" s="906"/>
      <c r="H2659" s="907"/>
      <c r="I2659" s="908"/>
      <c r="J2659" s="955"/>
      <c r="K2659" s="902"/>
      <c r="L2659" s="896"/>
      <c r="M2659" s="902"/>
      <c r="N2659" s="900" t="s">
        <v>2297</v>
      </c>
    </row>
    <row r="2660" spans="1:14" s="910" customFormat="1" ht="15.75" hidden="1">
      <c r="A2660" s="896"/>
      <c r="B2660" s="956" t="s">
        <v>583</v>
      </c>
      <c r="C2660" s="957">
        <v>1</v>
      </c>
      <c r="D2660" s="958" t="s">
        <v>273</v>
      </c>
      <c r="E2660" s="1268">
        <v>1</v>
      </c>
      <c r="F2660" s="960">
        <v>0</v>
      </c>
      <c r="G2660" s="960">
        <v>0</v>
      </c>
      <c r="H2660" s="960">
        <v>0</v>
      </c>
      <c r="I2660" s="916">
        <f>ROUND(IF(AND(F2660:H2660),C2660*E2660*F2660*G2660*H2660,IF(AND(F2660,G2660),C2660*E2660*F2660*G2660,IF(AND(F2660,H2660),C2660*E2660*F2660*H2660,IF(AND(G2660,H2660),C2660*E2660*G2660*H2660,IF(F2660,C2660*E2660*F2660,IF(G2660,C2660*E2660*G2660,IF(H2660,C2660*E2660*H2660,C2660*E2660))))))),2)</f>
        <v>1</v>
      </c>
      <c r="J2660" s="955" t="s">
        <v>115</v>
      </c>
      <c r="K2660" s="902"/>
      <c r="L2660" s="896"/>
      <c r="M2660" s="902"/>
      <c r="N2660" s="900" t="s">
        <v>2297</v>
      </c>
    </row>
    <row r="2661" spans="1:14" s="910" customFormat="1" ht="15.75" hidden="1">
      <c r="A2661" s="896"/>
      <c r="B2661" s="956"/>
      <c r="C2661" s="957"/>
      <c r="D2661" s="958"/>
      <c r="E2661" s="1268"/>
      <c r="F2661" s="960"/>
      <c r="G2661" s="960"/>
      <c r="H2661" s="960"/>
      <c r="I2661" s="916"/>
      <c r="J2661" s="955"/>
      <c r="K2661" s="902"/>
      <c r="L2661" s="896"/>
      <c r="M2661" s="902"/>
      <c r="N2661" s="900" t="s">
        <v>2297</v>
      </c>
    </row>
    <row r="2662" spans="1:14" ht="15.75" hidden="1">
      <c r="A2662" s="896"/>
      <c r="B2662" s="902"/>
      <c r="C2662" s="917"/>
      <c r="D2662" s="918"/>
      <c r="E2662" s="919"/>
      <c r="F2662" s="920"/>
      <c r="G2662" s="921"/>
      <c r="H2662" s="896"/>
      <c r="I2662" s="916"/>
      <c r="J2662" s="955" t="s">
        <v>115</v>
      </c>
      <c r="K2662" s="922">
        <f>'D&amp;W data'!H372</f>
        <v>6334.76</v>
      </c>
      <c r="L2662" s="923" t="s">
        <v>2297</v>
      </c>
      <c r="M2662" s="924">
        <f>ROUND(I2662*K2662,0)</f>
        <v>0</v>
      </c>
      <c r="N2662" s="900" t="s">
        <v>2297</v>
      </c>
    </row>
    <row r="2663" spans="1:14" ht="71.25" hidden="1" customHeight="1">
      <c r="A2663" s="896">
        <v>40</v>
      </c>
      <c r="B2663" s="1609" t="s">
        <v>804</v>
      </c>
      <c r="C2663" s="1609"/>
      <c r="D2663" s="1609"/>
      <c r="E2663" s="1609"/>
      <c r="F2663" s="1609"/>
      <c r="G2663" s="1609"/>
      <c r="H2663" s="1609"/>
      <c r="I2663" s="897"/>
      <c r="J2663" s="898"/>
      <c r="K2663" s="896"/>
      <c r="L2663" s="896"/>
      <c r="M2663" s="899"/>
      <c r="N2663" s="900" t="s">
        <v>2297</v>
      </c>
    </row>
    <row r="2664" spans="1:14" s="910" customFormat="1" ht="15.75" hidden="1">
      <c r="A2664" s="896"/>
      <c r="B2664" s="902" t="s">
        <v>2738</v>
      </c>
      <c r="C2664" s="903" t="s">
        <v>2737</v>
      </c>
      <c r="D2664" s="904"/>
      <c r="E2664" s="905"/>
      <c r="F2664" s="906"/>
      <c r="G2664" s="906"/>
      <c r="H2664" s="907"/>
      <c r="I2664" s="908"/>
      <c r="J2664" s="955"/>
      <c r="K2664" s="902"/>
      <c r="L2664" s="896"/>
      <c r="M2664" s="902"/>
      <c r="N2664" s="900" t="s">
        <v>2297</v>
      </c>
    </row>
    <row r="2665" spans="1:14" s="910" customFormat="1" ht="15.75" hidden="1">
      <c r="A2665" s="896"/>
      <c r="B2665" s="956"/>
      <c r="C2665" s="957">
        <v>1</v>
      </c>
      <c r="D2665" s="958" t="s">
        <v>273</v>
      </c>
      <c r="E2665" s="1268">
        <v>1</v>
      </c>
      <c r="F2665" s="960">
        <v>0</v>
      </c>
      <c r="G2665" s="960">
        <v>0</v>
      </c>
      <c r="H2665" s="960">
        <v>0</v>
      </c>
      <c r="I2665" s="1291">
        <f>ROUND(IF(AND(F2665:H2665),C2665*E2665*F2665*G2665*H2665,IF(AND(F2665,G2665),C2665*E2665*F2665*G2665,IF(AND(F2665,H2665),C2665*E2665*F2665*H2665,IF(AND(G2665,H2665),C2665*E2665*G2665*H2665,IF(F2665,C2665*E2665*F2665,IF(G2665,C2665*E2665*G2665,IF(H2665,C2665*E2665*H2665,C2665*E2665))))))),2)</f>
        <v>1</v>
      </c>
      <c r="J2665" s="955" t="s">
        <v>115</v>
      </c>
      <c r="K2665" s="902"/>
      <c r="L2665" s="896"/>
      <c r="M2665" s="902"/>
      <c r="N2665" s="900" t="s">
        <v>2297</v>
      </c>
    </row>
    <row r="2666" spans="1:14" s="910" customFormat="1" ht="15.75" hidden="1">
      <c r="A2666" s="896"/>
      <c r="B2666" s="956"/>
      <c r="C2666" s="957">
        <v>1</v>
      </c>
      <c r="D2666" s="958" t="s">
        <v>273</v>
      </c>
      <c r="E2666" s="1268">
        <v>1</v>
      </c>
      <c r="F2666" s="960">
        <v>0</v>
      </c>
      <c r="G2666" s="960">
        <v>0</v>
      </c>
      <c r="H2666" s="960">
        <v>0</v>
      </c>
      <c r="I2666" s="1291">
        <f>ROUND(IF(AND(F2666:H2666),C2666*E2666*F2666*G2666*H2666,IF(AND(F2666,G2666),C2666*E2666*F2666*G2666,IF(AND(F2666,H2666),C2666*E2666*F2666*H2666,IF(AND(G2666,H2666),C2666*E2666*G2666*H2666,IF(F2666,C2666*E2666*F2666,IF(G2666,C2666*E2666*G2666,IF(H2666,C2666*E2666*H2666,C2666*E2666))))))),2)</f>
        <v>1</v>
      </c>
      <c r="J2666" s="955" t="s">
        <v>115</v>
      </c>
      <c r="K2666" s="902"/>
      <c r="L2666" s="896"/>
      <c r="M2666" s="902"/>
      <c r="N2666" s="900" t="s">
        <v>2297</v>
      </c>
    </row>
    <row r="2667" spans="1:14" s="910" customFormat="1" ht="15.75" hidden="1">
      <c r="A2667" s="896"/>
      <c r="B2667" s="902" t="s">
        <v>2738</v>
      </c>
      <c r="C2667" s="903" t="s">
        <v>2737</v>
      </c>
      <c r="D2667" s="904"/>
      <c r="E2667" s="905"/>
      <c r="F2667" s="906"/>
      <c r="G2667" s="906"/>
      <c r="H2667" s="907"/>
      <c r="I2667" s="908"/>
      <c r="J2667" s="955"/>
      <c r="K2667" s="902"/>
      <c r="L2667" s="896"/>
      <c r="M2667" s="902"/>
      <c r="N2667" s="900" t="s">
        <v>2297</v>
      </c>
    </row>
    <row r="2668" spans="1:14" s="910" customFormat="1" ht="15.75" hidden="1">
      <c r="A2668" s="896"/>
      <c r="B2668" s="956"/>
      <c r="C2668" s="957">
        <v>1</v>
      </c>
      <c r="D2668" s="958" t="s">
        <v>273</v>
      </c>
      <c r="E2668" s="1268">
        <v>3</v>
      </c>
      <c r="F2668" s="960">
        <v>0</v>
      </c>
      <c r="G2668" s="960">
        <v>0</v>
      </c>
      <c r="H2668" s="960">
        <v>0</v>
      </c>
      <c r="I2668" s="1291">
        <f>ROUND(IF(AND(F2668:H2668),C2668*E2668*F2668*G2668*H2668,IF(AND(F2668,G2668),C2668*E2668*F2668*G2668,IF(AND(F2668,H2668),C2668*E2668*F2668*H2668,IF(AND(G2668,H2668),C2668*E2668*G2668*H2668,IF(F2668,C2668*E2668*F2668,IF(G2668,C2668*E2668*G2668,IF(H2668,C2668*E2668*H2668,C2668*E2668))))))),2)</f>
        <v>3</v>
      </c>
      <c r="J2668" s="955" t="s">
        <v>115</v>
      </c>
      <c r="K2668" s="902"/>
      <c r="L2668" s="896"/>
      <c r="M2668" s="902"/>
      <c r="N2668" s="900" t="s">
        <v>2297</v>
      </c>
    </row>
    <row r="2669" spans="1:14" s="910" customFormat="1" ht="15.75" hidden="1">
      <c r="A2669" s="896"/>
      <c r="B2669" s="956"/>
      <c r="C2669" s="957"/>
      <c r="D2669" s="958"/>
      <c r="E2669" s="1268"/>
      <c r="F2669" s="960"/>
      <c r="G2669" s="960"/>
      <c r="H2669" s="960"/>
      <c r="I2669" s="1291"/>
      <c r="J2669" s="955"/>
      <c r="K2669" s="902"/>
      <c r="L2669" s="896"/>
      <c r="M2669" s="902"/>
      <c r="N2669" s="900" t="s">
        <v>2297</v>
      </c>
    </row>
    <row r="2670" spans="1:14" ht="15.75" hidden="1">
      <c r="A2670" s="896"/>
      <c r="B2670" s="902"/>
      <c r="C2670" s="917"/>
      <c r="D2670" s="918"/>
      <c r="E2670" s="919"/>
      <c r="F2670" s="920"/>
      <c r="G2670" s="921"/>
      <c r="H2670" s="896"/>
      <c r="I2670" s="1291"/>
      <c r="J2670" s="955" t="s">
        <v>115</v>
      </c>
      <c r="K2670" s="922">
        <f>'D&amp;W data'!H391</f>
        <v>15555.64</v>
      </c>
      <c r="L2670" s="923" t="s">
        <v>2297</v>
      </c>
      <c r="M2670" s="924">
        <f>ROUND(I2670*K2670,0)</f>
        <v>0</v>
      </c>
      <c r="N2670" s="900" t="s">
        <v>2297</v>
      </c>
    </row>
    <row r="2671" spans="1:14" ht="42.75" hidden="1" customHeight="1">
      <c r="A2671" s="896">
        <v>3</v>
      </c>
      <c r="B2671" s="1609" t="s">
        <v>2760</v>
      </c>
      <c r="C2671" s="1609"/>
      <c r="D2671" s="1609"/>
      <c r="E2671" s="1609"/>
      <c r="F2671" s="1609"/>
      <c r="G2671" s="1609"/>
      <c r="H2671" s="1609"/>
      <c r="I2671" s="897"/>
      <c r="J2671" s="898"/>
      <c r="K2671" s="896"/>
      <c r="L2671" s="896"/>
      <c r="M2671" s="899"/>
      <c r="N2671" s="900" t="s">
        <v>2297</v>
      </c>
    </row>
    <row r="2672" spans="1:14" s="910" customFormat="1" ht="15.75" hidden="1">
      <c r="A2672" s="896"/>
      <c r="B2672" s="902" t="s">
        <v>2762</v>
      </c>
      <c r="C2672" s="903" t="s">
        <v>2737</v>
      </c>
      <c r="D2672" s="904"/>
      <c r="E2672" s="905"/>
      <c r="F2672" s="906"/>
      <c r="G2672" s="906"/>
      <c r="H2672" s="907"/>
      <c r="I2672" s="908"/>
      <c r="J2672" s="955"/>
      <c r="K2672" s="902"/>
      <c r="L2672" s="896"/>
      <c r="M2672" s="902"/>
      <c r="N2672" s="900" t="s">
        <v>2297</v>
      </c>
    </row>
    <row r="2673" spans="1:15" s="910" customFormat="1" ht="15.75" hidden="1">
      <c r="A2673" s="896"/>
      <c r="B2673" s="956"/>
      <c r="C2673" s="957">
        <v>1</v>
      </c>
      <c r="D2673" s="958" t="s">
        <v>273</v>
      </c>
      <c r="E2673" s="1268">
        <v>1</v>
      </c>
      <c r="F2673" s="960">
        <v>0</v>
      </c>
      <c r="G2673" s="960">
        <v>0</v>
      </c>
      <c r="H2673" s="960">
        <v>0</v>
      </c>
      <c r="I2673" s="1291">
        <f>ROUND(IF(AND(F2673:H2673),C2673*E2673*F2673*G2673*H2673,IF(AND(F2673,G2673),C2673*E2673*F2673*G2673,IF(AND(F2673,H2673),C2673*E2673*F2673*H2673,IF(AND(G2673,H2673),C2673*E2673*G2673*H2673,IF(F2673,C2673*E2673*F2673,IF(G2673,C2673*E2673*G2673,IF(H2673,C2673*E2673*H2673,C2673*E2673))))))),2)</f>
        <v>1</v>
      </c>
      <c r="J2673" s="955" t="s">
        <v>115</v>
      </c>
      <c r="K2673" s="902"/>
      <c r="L2673" s="896"/>
      <c r="M2673" s="902"/>
      <c r="N2673" s="900" t="s">
        <v>2297</v>
      </c>
    </row>
    <row r="2674" spans="1:15" s="910" customFormat="1" ht="15.75" hidden="1">
      <c r="A2674" s="896"/>
      <c r="B2674" s="956"/>
      <c r="C2674" s="957">
        <v>1</v>
      </c>
      <c r="D2674" s="958" t="s">
        <v>273</v>
      </c>
      <c r="E2674" s="1268">
        <v>1</v>
      </c>
      <c r="F2674" s="960">
        <v>0</v>
      </c>
      <c r="G2674" s="960">
        <v>0</v>
      </c>
      <c r="H2674" s="960">
        <v>0</v>
      </c>
      <c r="I2674" s="1291">
        <f>ROUND(IF(AND(F2674:H2674),C2674*E2674*F2674*G2674*H2674,IF(AND(F2674,G2674),C2674*E2674*F2674*G2674,IF(AND(F2674,H2674),C2674*E2674*F2674*H2674,IF(AND(G2674,H2674),C2674*E2674*G2674*H2674,IF(F2674,C2674*E2674*F2674,IF(G2674,C2674*E2674*G2674,IF(H2674,C2674*E2674*H2674,C2674*E2674))))))),2)</f>
        <v>1</v>
      </c>
      <c r="J2674" s="955" t="s">
        <v>115</v>
      </c>
      <c r="K2674" s="902"/>
      <c r="L2674" s="896"/>
      <c r="M2674" s="902"/>
      <c r="N2674" s="900" t="s">
        <v>2297</v>
      </c>
    </row>
    <row r="2675" spans="1:15" s="910" customFormat="1" ht="15.75" hidden="1">
      <c r="A2675" s="896"/>
      <c r="B2675" s="902" t="s">
        <v>2762</v>
      </c>
      <c r="C2675" s="903" t="s">
        <v>2737</v>
      </c>
      <c r="D2675" s="904"/>
      <c r="E2675" s="905"/>
      <c r="F2675" s="906"/>
      <c r="G2675" s="906"/>
      <c r="H2675" s="907"/>
      <c r="I2675" s="908"/>
      <c r="J2675" s="955"/>
      <c r="K2675" s="902"/>
      <c r="L2675" s="896"/>
      <c r="M2675" s="902"/>
      <c r="N2675" s="900" t="s">
        <v>2297</v>
      </c>
    </row>
    <row r="2676" spans="1:15" s="910" customFormat="1" ht="15.75" hidden="1">
      <c r="A2676" s="896"/>
      <c r="B2676" s="956"/>
      <c r="C2676" s="957">
        <v>1</v>
      </c>
      <c r="D2676" s="958" t="s">
        <v>273</v>
      </c>
      <c r="E2676" s="1268">
        <v>3</v>
      </c>
      <c r="F2676" s="960">
        <v>0</v>
      </c>
      <c r="G2676" s="960">
        <v>0</v>
      </c>
      <c r="H2676" s="960">
        <v>0</v>
      </c>
      <c r="I2676" s="1291">
        <f>ROUND(IF(AND(F2676:H2676),C2676*E2676*F2676*G2676*H2676,IF(AND(F2676,G2676),C2676*E2676*F2676*G2676,IF(AND(F2676,H2676),C2676*E2676*F2676*H2676,IF(AND(G2676,H2676),C2676*E2676*G2676*H2676,IF(F2676,C2676*E2676*F2676,IF(G2676,C2676*E2676*G2676,IF(H2676,C2676*E2676*H2676,C2676*E2676))))))),2)</f>
        <v>3</v>
      </c>
      <c r="J2676" s="955" t="s">
        <v>115</v>
      </c>
      <c r="K2676" s="902"/>
      <c r="L2676" s="896"/>
      <c r="M2676" s="902"/>
      <c r="N2676" s="900" t="s">
        <v>2297</v>
      </c>
    </row>
    <row r="2677" spans="1:15" s="910" customFormat="1" ht="15.75" hidden="1">
      <c r="A2677" s="896"/>
      <c r="B2677" s="956"/>
      <c r="C2677" s="957"/>
      <c r="D2677" s="958"/>
      <c r="E2677" s="1268"/>
      <c r="F2677" s="960"/>
      <c r="G2677" s="960"/>
      <c r="H2677" s="960"/>
      <c r="I2677" s="1291"/>
      <c r="J2677" s="955"/>
      <c r="K2677" s="902"/>
      <c r="L2677" s="896"/>
      <c r="M2677" s="902"/>
      <c r="N2677" s="900" t="s">
        <v>2297</v>
      </c>
    </row>
    <row r="2678" spans="1:15" ht="15.75" hidden="1">
      <c r="A2678" s="896"/>
      <c r="B2678" s="902"/>
      <c r="C2678" s="917"/>
      <c r="D2678" s="918"/>
      <c r="E2678" s="919"/>
      <c r="F2678" s="920"/>
      <c r="G2678" s="921"/>
      <c r="H2678" s="896"/>
      <c r="I2678" s="1291"/>
      <c r="J2678" s="955" t="s">
        <v>115</v>
      </c>
      <c r="K2678" s="922">
        <f>'D&amp;W data'!H410</f>
        <v>4472.53</v>
      </c>
      <c r="L2678" s="923" t="s">
        <v>2297</v>
      </c>
      <c r="M2678" s="924">
        <f>ROUND(I2678*K2678,0)</f>
        <v>0</v>
      </c>
      <c r="N2678" s="900" t="s">
        <v>2297</v>
      </c>
    </row>
    <row r="2679" spans="1:15" ht="148.5" hidden="1" customHeight="1">
      <c r="A2679" s="896">
        <v>5</v>
      </c>
      <c r="B2679" s="1609" t="s">
        <v>910</v>
      </c>
      <c r="C2679" s="1609"/>
      <c r="D2679" s="1609"/>
      <c r="E2679" s="1609"/>
      <c r="F2679" s="1609"/>
      <c r="G2679" s="1609"/>
      <c r="H2679" s="1609"/>
      <c r="I2679" s="897"/>
      <c r="J2679" s="898"/>
      <c r="K2679" s="896"/>
      <c r="L2679" s="896"/>
      <c r="M2679" s="899"/>
      <c r="N2679" s="900" t="s">
        <v>2297</v>
      </c>
    </row>
    <row r="2680" spans="1:15" s="910" customFormat="1" ht="16.5" hidden="1" customHeight="1">
      <c r="A2680" s="896"/>
      <c r="B2680" s="902" t="s">
        <v>2184</v>
      </c>
      <c r="C2680" s="903"/>
      <c r="D2680" s="904"/>
      <c r="E2680" s="905"/>
      <c r="F2680" s="906"/>
      <c r="G2680" s="906"/>
      <c r="H2680" s="907"/>
      <c r="I2680" s="908"/>
      <c r="J2680" s="955"/>
      <c r="K2680" s="902"/>
      <c r="L2680" s="896"/>
      <c r="M2680" s="902"/>
      <c r="N2680" s="900" t="s">
        <v>2297</v>
      </c>
    </row>
    <row r="2681" spans="1:15" s="910" customFormat="1" ht="16.5" hidden="1" customHeight="1">
      <c r="A2681" s="896"/>
      <c r="B2681" s="956" t="s">
        <v>2186</v>
      </c>
      <c r="C2681" s="957">
        <v>1</v>
      </c>
      <c r="D2681" s="958" t="s">
        <v>273</v>
      </c>
      <c r="E2681" s="1268">
        <v>3</v>
      </c>
      <c r="F2681" s="960">
        <v>0.72</v>
      </c>
      <c r="G2681" s="960">
        <v>0</v>
      </c>
      <c r="H2681" s="960">
        <v>1.99</v>
      </c>
      <c r="I2681" s="916">
        <f>ROUND(IF(AND(F2681:H2681),C2681*E2681*F2681*G2681*H2681,IF(AND(F2681,G2681),C2681*E2681*F2681*G2681,IF(AND(F2681,H2681),C2681*E2681*F2681*H2681,IF(AND(G2681,H2681),C2681*E2681*G2681*H2681,IF(F2681,C2681*E2681*F2681,IF(G2681,C2681*E2681*G2681,IF(H2681,C2681*E2681*H2681,C2681*E2681))))))),2)</f>
        <v>4.3</v>
      </c>
      <c r="J2681" s="955" t="s">
        <v>102</v>
      </c>
      <c r="K2681" s="902"/>
      <c r="L2681" s="896"/>
      <c r="M2681" s="902"/>
      <c r="N2681" s="900" t="s">
        <v>2297</v>
      </c>
      <c r="O2681" s="1268">
        <v>2</v>
      </c>
    </row>
    <row r="2682" spans="1:15" s="910" customFormat="1" ht="16.5" hidden="1" customHeight="1">
      <c r="A2682" s="896"/>
      <c r="B2682" s="956"/>
      <c r="C2682" s="957"/>
      <c r="D2682" s="958"/>
      <c r="E2682" s="1268"/>
      <c r="F2682" s="960"/>
      <c r="G2682" s="960"/>
      <c r="H2682" s="960"/>
      <c r="I2682" s="916"/>
      <c r="J2682" s="955"/>
      <c r="K2682" s="902"/>
      <c r="L2682" s="896"/>
      <c r="M2682" s="902"/>
      <c r="N2682" s="900" t="s">
        <v>2297</v>
      </c>
      <c r="O2682" s="1268"/>
    </row>
    <row r="2683" spans="1:15" ht="15.75" hidden="1">
      <c r="A2683" s="896"/>
      <c r="B2683" s="902"/>
      <c r="C2683" s="917"/>
      <c r="D2683" s="918"/>
      <c r="E2683" s="919"/>
      <c r="F2683" s="920"/>
      <c r="G2683" s="921"/>
      <c r="H2683" s="896"/>
      <c r="I2683" s="916"/>
      <c r="J2683" s="955" t="s">
        <v>102</v>
      </c>
      <c r="K2683" s="922">
        <f>'D&amp;W data'!H453</f>
        <v>6011.2</v>
      </c>
      <c r="L2683" s="923" t="s">
        <v>2297</v>
      </c>
      <c r="M2683" s="924">
        <f>ROUND(I2683*K2683,0)</f>
        <v>0</v>
      </c>
      <c r="N2683" s="900" t="s">
        <v>2297</v>
      </c>
    </row>
    <row r="2684" spans="1:15" ht="148.5" hidden="1" customHeight="1">
      <c r="A2684" s="896">
        <v>2</v>
      </c>
      <c r="B2684" s="1609" t="s">
        <v>910</v>
      </c>
      <c r="C2684" s="1609"/>
      <c r="D2684" s="1609"/>
      <c r="E2684" s="1609"/>
      <c r="F2684" s="1609"/>
      <c r="G2684" s="1609"/>
      <c r="H2684" s="1609"/>
      <c r="I2684" s="897"/>
      <c r="J2684" s="898"/>
      <c r="K2684" s="896"/>
      <c r="L2684" s="896"/>
      <c r="M2684" s="899"/>
      <c r="N2684" s="900" t="s">
        <v>2297</v>
      </c>
    </row>
    <row r="2685" spans="1:15" s="910" customFormat="1" ht="16.5" hidden="1" customHeight="1">
      <c r="A2685" s="896"/>
      <c r="B2685" s="1212" t="s">
        <v>2331</v>
      </c>
      <c r="C2685" s="903"/>
      <c r="D2685" s="904"/>
      <c r="E2685" s="905"/>
      <c r="F2685" s="906"/>
      <c r="G2685" s="906"/>
      <c r="H2685" s="907"/>
      <c r="I2685" s="908"/>
      <c r="J2685" s="955"/>
      <c r="K2685" s="902"/>
      <c r="L2685" s="896"/>
      <c r="M2685" s="902"/>
      <c r="N2685" s="900" t="s">
        <v>2297</v>
      </c>
    </row>
    <row r="2686" spans="1:15" s="910" customFormat="1" ht="16.5" hidden="1" customHeight="1">
      <c r="A2686" s="896"/>
      <c r="B2686" s="911"/>
      <c r="C2686" s="912">
        <v>1</v>
      </c>
      <c r="D2686" s="913" t="s">
        <v>273</v>
      </c>
      <c r="E2686" s="914">
        <v>2</v>
      </c>
      <c r="F2686" s="915">
        <v>1.01</v>
      </c>
      <c r="G2686" s="915">
        <v>0</v>
      </c>
      <c r="H2686" s="915">
        <v>2.09</v>
      </c>
      <c r="I2686" s="916">
        <f>ROUND(IF(AND(F2686:H2686),C2686*E2686*F2686*G2686*H2686,IF(AND(F2686,G2686),C2686*E2686*F2686*G2686,IF(AND(F2686,H2686),C2686*E2686*F2686*H2686,IF(AND(G2686,H2686),C2686*E2686*G2686*H2686,IF(F2686,C2686*E2686*F2686,IF(G2686,C2686*E2686*G2686,IF(H2686,C2686*E2686*H2686,C2686*E2686))))))),2)</f>
        <v>4.22</v>
      </c>
      <c r="J2686" s="955" t="s">
        <v>102</v>
      </c>
      <c r="K2686" s="902"/>
      <c r="L2686" s="896"/>
      <c r="M2686" s="902"/>
      <c r="N2686" s="900" t="s">
        <v>2297</v>
      </c>
      <c r="O2686" s="1268">
        <v>2</v>
      </c>
    </row>
    <row r="2687" spans="1:15" s="910" customFormat="1" ht="16.5" hidden="1" customHeight="1">
      <c r="A2687" s="896"/>
      <c r="B2687" s="911"/>
      <c r="C2687" s="912">
        <v>1</v>
      </c>
      <c r="D2687" s="913" t="s">
        <v>273</v>
      </c>
      <c r="E2687" s="914">
        <v>2</v>
      </c>
      <c r="F2687" s="915">
        <v>1.02</v>
      </c>
      <c r="G2687" s="915">
        <v>0</v>
      </c>
      <c r="H2687" s="915">
        <v>2.02</v>
      </c>
      <c r="I2687" s="916">
        <f>ROUND(IF(AND(F2687:H2687),C2687*E2687*F2687*G2687*H2687,IF(AND(F2687,G2687),C2687*E2687*F2687*G2687,IF(AND(F2687,H2687),C2687*E2687*F2687*H2687,IF(AND(G2687,H2687),C2687*E2687*G2687*H2687,IF(F2687,C2687*E2687*F2687,IF(G2687,C2687*E2687*G2687,IF(H2687,C2687*E2687*H2687,C2687*E2687))))))),2)</f>
        <v>4.12</v>
      </c>
      <c r="J2687" s="955" t="s">
        <v>102</v>
      </c>
      <c r="K2687" s="902"/>
      <c r="L2687" s="896"/>
      <c r="M2687" s="902"/>
      <c r="N2687" s="900" t="s">
        <v>2297</v>
      </c>
      <c r="O2687" s="1268">
        <v>2</v>
      </c>
    </row>
    <row r="2688" spans="1:15" s="910" customFormat="1" ht="16.5" hidden="1" customHeight="1">
      <c r="A2688" s="896"/>
      <c r="B2688" s="911"/>
      <c r="C2688" s="912">
        <v>1</v>
      </c>
      <c r="D2688" s="913" t="s">
        <v>273</v>
      </c>
      <c r="E2688" s="914">
        <v>1</v>
      </c>
      <c r="F2688" s="915">
        <v>1</v>
      </c>
      <c r="G2688" s="915">
        <v>0</v>
      </c>
      <c r="H2688" s="915">
        <v>2.02</v>
      </c>
      <c r="I2688" s="916">
        <f>ROUND(IF(AND(F2688:H2688),C2688*E2688*F2688*G2688*H2688,IF(AND(F2688,G2688),C2688*E2688*F2688*G2688,IF(AND(F2688,H2688),C2688*E2688*F2688*H2688,IF(AND(G2688,H2688),C2688*E2688*G2688*H2688,IF(F2688,C2688*E2688*F2688,IF(G2688,C2688*E2688*G2688,IF(H2688,C2688*E2688*H2688,C2688*E2688))))))),2)</f>
        <v>2.02</v>
      </c>
      <c r="J2688" s="955" t="s">
        <v>102</v>
      </c>
      <c r="K2688" s="902"/>
      <c r="L2688" s="896"/>
      <c r="M2688" s="902"/>
      <c r="N2688" s="900" t="s">
        <v>2297</v>
      </c>
      <c r="O2688" s="1268">
        <v>2</v>
      </c>
    </row>
    <row r="2689" spans="1:15" s="910" customFormat="1" ht="16.5" hidden="1" customHeight="1">
      <c r="A2689" s="896"/>
      <c r="B2689" s="911"/>
      <c r="C2689" s="912"/>
      <c r="D2689" s="913"/>
      <c r="E2689" s="914"/>
      <c r="F2689" s="915"/>
      <c r="G2689" s="915"/>
      <c r="H2689" s="915"/>
      <c r="I2689" s="916"/>
      <c r="J2689" s="955"/>
      <c r="K2689" s="902"/>
      <c r="L2689" s="896"/>
      <c r="M2689" s="902"/>
      <c r="N2689" s="900" t="s">
        <v>2297</v>
      </c>
      <c r="O2689" s="1303"/>
    </row>
    <row r="2690" spans="1:15" ht="15.75" hidden="1">
      <c r="A2690" s="896"/>
      <c r="B2690" s="902"/>
      <c r="C2690" s="917"/>
      <c r="D2690" s="918"/>
      <c r="E2690" s="919"/>
      <c r="F2690" s="920"/>
      <c r="G2690" s="921"/>
      <c r="H2690" s="896"/>
      <c r="I2690" s="916"/>
      <c r="J2690" s="955" t="s">
        <v>102</v>
      </c>
      <c r="K2690" s="922">
        <f>'D&amp;W data'!H465</f>
        <v>5617.52</v>
      </c>
      <c r="L2690" s="923" t="s">
        <v>2297</v>
      </c>
      <c r="M2690" s="924">
        <f>ROUND(I2690*K2690,0)</f>
        <v>0</v>
      </c>
      <c r="N2690" s="900" t="s">
        <v>2297</v>
      </c>
    </row>
    <row r="2691" spans="1:15" ht="192.75" hidden="1" customHeight="1">
      <c r="A2691" s="896">
        <v>5</v>
      </c>
      <c r="B2691" s="1632" t="s">
        <v>807</v>
      </c>
      <c r="C2691" s="1632"/>
      <c r="D2691" s="1632"/>
      <c r="E2691" s="1632"/>
      <c r="F2691" s="1632"/>
      <c r="G2691" s="1632"/>
      <c r="H2691" s="1632"/>
      <c r="I2691" s="897"/>
      <c r="J2691" s="898"/>
      <c r="K2691" s="896"/>
      <c r="L2691" s="896"/>
      <c r="M2691" s="899"/>
      <c r="N2691" s="900" t="s">
        <v>2297</v>
      </c>
    </row>
    <row r="2692" spans="1:15" s="910" customFormat="1" ht="16.5" hidden="1" customHeight="1">
      <c r="A2692" s="896"/>
      <c r="B2692" s="902" t="s">
        <v>3550</v>
      </c>
      <c r="C2692" s="903" t="s">
        <v>1547</v>
      </c>
      <c r="D2692" s="904"/>
      <c r="E2692" s="905"/>
      <c r="F2692" s="906"/>
      <c r="G2692" s="906"/>
      <c r="H2692" s="907"/>
      <c r="I2692" s="908"/>
      <c r="J2692" s="955"/>
      <c r="K2692" s="902"/>
      <c r="L2692" s="896"/>
      <c r="M2692" s="902"/>
      <c r="N2692" s="900" t="s">
        <v>2297</v>
      </c>
    </row>
    <row r="2693" spans="1:15" s="910" customFormat="1" ht="16.5" hidden="1" customHeight="1">
      <c r="A2693" s="896"/>
      <c r="B2693" s="911" t="s">
        <v>1548</v>
      </c>
      <c r="C2693" s="912">
        <v>1</v>
      </c>
      <c r="D2693" s="913" t="s">
        <v>273</v>
      </c>
      <c r="E2693" s="914">
        <v>5</v>
      </c>
      <c r="F2693" s="915">
        <v>1.4</v>
      </c>
      <c r="G2693" s="915">
        <v>1.4</v>
      </c>
      <c r="H2693" s="915">
        <v>0</v>
      </c>
      <c r="I2693" s="916">
        <f>ROUND(IF(AND(F2693:H2693),C2693*E2693*F2693*G2693*H2693,IF(AND(F2693,G2693),C2693*E2693*F2693*G2693,IF(AND(F2693,H2693),C2693*E2693*F2693*H2693,IF(AND(G2693,H2693),C2693*E2693*G2693*H2693,IF(F2693,C2693*E2693*F2693,IF(G2693,C2693*E2693*G2693,IF(H2693,C2693*E2693*H2693,C2693*E2693))))))),2)</f>
        <v>9.8000000000000007</v>
      </c>
      <c r="J2693" s="955" t="s">
        <v>102</v>
      </c>
      <c r="K2693" s="902"/>
      <c r="L2693" s="896"/>
      <c r="M2693" s="902"/>
      <c r="N2693" s="900" t="s">
        <v>2297</v>
      </c>
    </row>
    <row r="2694" spans="1:15" s="910" customFormat="1" ht="16.5" hidden="1" customHeight="1">
      <c r="A2694" s="896"/>
      <c r="B2694" s="911" t="s">
        <v>2734</v>
      </c>
      <c r="C2694" s="912">
        <v>1</v>
      </c>
      <c r="D2694" s="913" t="s">
        <v>273</v>
      </c>
      <c r="E2694" s="914">
        <v>7</v>
      </c>
      <c r="F2694" s="915">
        <v>1.35</v>
      </c>
      <c r="G2694" s="915">
        <v>1.4</v>
      </c>
      <c r="H2694" s="915">
        <v>0</v>
      </c>
      <c r="I2694" s="916">
        <f>ROUND(IF(AND(F2694:H2694),C2694*E2694*F2694*G2694*H2694,IF(AND(F2694,G2694),C2694*E2694*F2694*G2694,IF(AND(F2694,H2694),C2694*E2694*F2694*H2694,IF(AND(G2694,H2694),C2694*E2694*G2694*H2694,IF(F2694,C2694*E2694*F2694,IF(G2694,C2694*E2694*G2694,IF(H2694,C2694*E2694*H2694,C2694*E2694))))))),2)</f>
        <v>13.23</v>
      </c>
      <c r="J2694" s="955" t="s">
        <v>102</v>
      </c>
      <c r="K2694" s="902"/>
      <c r="L2694" s="896"/>
      <c r="M2694" s="902"/>
      <c r="N2694" s="900" t="s">
        <v>2297</v>
      </c>
    </row>
    <row r="2695" spans="1:15" s="910" customFormat="1" ht="16.5" hidden="1" customHeight="1">
      <c r="A2695" s="896"/>
      <c r="B2695" s="956"/>
      <c r="C2695" s="957"/>
      <c r="D2695" s="958"/>
      <c r="E2695" s="1268"/>
      <c r="F2695" s="960"/>
      <c r="G2695" s="960"/>
      <c r="H2695" s="960"/>
      <c r="I2695" s="916"/>
      <c r="J2695" s="955"/>
      <c r="K2695" s="902"/>
      <c r="L2695" s="896"/>
      <c r="M2695" s="902"/>
      <c r="N2695" s="900" t="s">
        <v>2297</v>
      </c>
    </row>
    <row r="2696" spans="1:15" ht="15.75" hidden="1">
      <c r="A2696" s="896"/>
      <c r="B2696" s="902"/>
      <c r="C2696" s="917"/>
      <c r="D2696" s="918"/>
      <c r="E2696" s="919"/>
      <c r="F2696" s="920"/>
      <c r="G2696" s="921"/>
      <c r="H2696" s="896"/>
      <c r="I2696" s="916"/>
      <c r="J2696" s="955" t="s">
        <v>102</v>
      </c>
      <c r="K2696" s="922">
        <f>'D&amp;W data'!H470</f>
        <v>8058</v>
      </c>
      <c r="L2696" s="923" t="s">
        <v>2297</v>
      </c>
      <c r="M2696" s="924">
        <f>ROUND(I2696*K2696,0)</f>
        <v>0</v>
      </c>
      <c r="N2696" s="900" t="s">
        <v>2297</v>
      </c>
    </row>
    <row r="2697" spans="1:15" s="910" customFormat="1" ht="16.5" hidden="1" customHeight="1">
      <c r="A2697" s="896">
        <v>6</v>
      </c>
      <c r="B2697" s="902" t="s">
        <v>3570</v>
      </c>
      <c r="C2697" s="903" t="s">
        <v>1549</v>
      </c>
      <c r="D2697" s="904"/>
      <c r="E2697" s="905"/>
      <c r="F2697" s="906"/>
      <c r="G2697" s="906"/>
      <c r="H2697" s="907"/>
      <c r="I2697" s="908"/>
      <c r="J2697" s="955"/>
      <c r="K2697" s="902"/>
      <c r="L2697" s="896"/>
      <c r="M2697" s="902"/>
      <c r="N2697" s="900" t="s">
        <v>2297</v>
      </c>
    </row>
    <row r="2698" spans="1:15" s="910" customFormat="1" ht="16.5" hidden="1" customHeight="1">
      <c r="A2698" s="896"/>
      <c r="B2698" s="911" t="s">
        <v>2970</v>
      </c>
      <c r="C2698" s="912">
        <v>1</v>
      </c>
      <c r="D2698" s="913" t="s">
        <v>273</v>
      </c>
      <c r="E2698" s="914">
        <v>1</v>
      </c>
      <c r="F2698" s="915">
        <v>1.8</v>
      </c>
      <c r="G2698" s="915">
        <v>1.4</v>
      </c>
      <c r="H2698" s="915">
        <v>0</v>
      </c>
      <c r="I2698" s="916">
        <f>ROUND(IF(AND(F2698:H2698),C2698*E2698*F2698*G2698*H2698,IF(AND(F2698,G2698),C2698*E2698*F2698*G2698,IF(AND(F2698,H2698),C2698*E2698*F2698*H2698,IF(AND(G2698,H2698),C2698*E2698*G2698*H2698,IF(F2698,C2698*E2698*F2698,IF(G2698,C2698*E2698*G2698,IF(H2698,C2698*E2698*H2698,C2698*E2698))))))),2)</f>
        <v>2.52</v>
      </c>
      <c r="J2698" s="955" t="s">
        <v>102</v>
      </c>
      <c r="K2698" s="902"/>
      <c r="L2698" s="896"/>
      <c r="M2698" s="902"/>
      <c r="N2698" s="900" t="s">
        <v>2297</v>
      </c>
    </row>
    <row r="2699" spans="1:15" s="910" customFormat="1" ht="16.5" hidden="1" customHeight="1">
      <c r="A2699" s="896"/>
      <c r="B2699" s="956"/>
      <c r="C2699" s="957"/>
      <c r="D2699" s="958"/>
      <c r="E2699" s="1268"/>
      <c r="F2699" s="960"/>
      <c r="G2699" s="960"/>
      <c r="H2699" s="960"/>
      <c r="I2699" s="916"/>
      <c r="J2699" s="955"/>
      <c r="K2699" s="902"/>
      <c r="L2699" s="896"/>
      <c r="M2699" s="902"/>
      <c r="N2699" s="900" t="s">
        <v>2297</v>
      </c>
    </row>
    <row r="2700" spans="1:15" ht="15.75" hidden="1">
      <c r="A2700" s="896"/>
      <c r="B2700" s="902"/>
      <c r="C2700" s="917"/>
      <c r="D2700" s="918"/>
      <c r="E2700" s="919"/>
      <c r="F2700" s="920"/>
      <c r="G2700" s="921"/>
      <c r="H2700" s="896"/>
      <c r="I2700" s="916"/>
      <c r="J2700" s="955" t="s">
        <v>102</v>
      </c>
      <c r="K2700" s="922">
        <f>'D&amp;W data'!H468</f>
        <v>6038</v>
      </c>
      <c r="L2700" s="923" t="s">
        <v>2297</v>
      </c>
      <c r="M2700" s="924">
        <f>ROUND(I2700*K2700,0)</f>
        <v>0</v>
      </c>
      <c r="N2700" s="900" t="s">
        <v>2297</v>
      </c>
    </row>
    <row r="2701" spans="1:15" s="910" customFormat="1" ht="16.5" hidden="1" customHeight="1">
      <c r="A2701" s="896">
        <v>3</v>
      </c>
      <c r="B2701" s="902" t="s">
        <v>3570</v>
      </c>
      <c r="C2701" s="903" t="s">
        <v>1633</v>
      </c>
      <c r="D2701" s="904"/>
      <c r="E2701" s="905"/>
      <c r="F2701" s="906"/>
      <c r="G2701" s="906"/>
      <c r="H2701" s="907"/>
      <c r="I2701" s="908"/>
      <c r="J2701" s="955"/>
      <c r="K2701" s="902"/>
      <c r="L2701" s="896"/>
      <c r="M2701" s="902"/>
      <c r="N2701" s="900" t="s">
        <v>2297</v>
      </c>
    </row>
    <row r="2702" spans="1:15" s="910" customFormat="1" ht="16.5" hidden="1" customHeight="1">
      <c r="A2702" s="896"/>
      <c r="B2702" s="956" t="s">
        <v>2971</v>
      </c>
      <c r="C2702" s="957">
        <v>1</v>
      </c>
      <c r="D2702" s="958" t="s">
        <v>273</v>
      </c>
      <c r="E2702" s="1268">
        <v>1</v>
      </c>
      <c r="F2702" s="960">
        <v>1.2</v>
      </c>
      <c r="G2702" s="960">
        <v>0</v>
      </c>
      <c r="H2702" s="960">
        <v>1</v>
      </c>
      <c r="I2702" s="916">
        <f>ROUND(IF(AND(F2702:H2702),C2702*E2702*F2702*G2702*H2702,IF(AND(F2702,G2702),C2702*E2702*F2702*G2702,IF(AND(F2702,H2702),C2702*E2702*F2702*H2702,IF(AND(G2702,H2702),C2702*E2702*G2702*H2702,IF(F2702,C2702*E2702*F2702,IF(G2702,C2702*E2702*G2702,IF(H2702,C2702*E2702*H2702,C2702*E2702))))))),2)</f>
        <v>1.2</v>
      </c>
      <c r="J2702" s="955" t="s">
        <v>102</v>
      </c>
      <c r="K2702" s="902"/>
      <c r="L2702" s="896"/>
      <c r="M2702" s="902"/>
      <c r="N2702" s="900" t="s">
        <v>2297</v>
      </c>
      <c r="O2702" s="1268">
        <v>1</v>
      </c>
    </row>
    <row r="2703" spans="1:15" s="910" customFormat="1" ht="16.5" hidden="1" customHeight="1">
      <c r="A2703" s="896"/>
      <c r="B2703" s="956"/>
      <c r="C2703" s="957">
        <v>1</v>
      </c>
      <c r="D2703" s="958" t="s">
        <v>273</v>
      </c>
      <c r="E2703" s="1268">
        <v>1</v>
      </c>
      <c r="F2703" s="960">
        <v>1.2</v>
      </c>
      <c r="G2703" s="960">
        <v>0</v>
      </c>
      <c r="H2703" s="960">
        <v>1.1000000000000001</v>
      </c>
      <c r="I2703" s="916">
        <f>ROUND(IF(AND(F2703:H2703),C2703*E2703*F2703*G2703*H2703,IF(AND(F2703,G2703),C2703*E2703*F2703*G2703,IF(AND(F2703,H2703),C2703*E2703*F2703*H2703,IF(AND(G2703,H2703),C2703*E2703*G2703*H2703,IF(F2703,C2703*E2703*F2703,IF(G2703,C2703*E2703*G2703,IF(H2703,C2703*E2703*H2703,C2703*E2703))))))),2)</f>
        <v>1.32</v>
      </c>
      <c r="J2703" s="955" t="s">
        <v>102</v>
      </c>
      <c r="K2703" s="902"/>
      <c r="L2703" s="896"/>
      <c r="M2703" s="902"/>
      <c r="N2703" s="900" t="s">
        <v>2297</v>
      </c>
      <c r="O2703" s="1268">
        <v>1</v>
      </c>
    </row>
    <row r="2704" spans="1:15" s="910" customFormat="1" ht="16.5" hidden="1" customHeight="1">
      <c r="A2704" s="896"/>
      <c r="B2704" s="956"/>
      <c r="C2704" s="957">
        <v>1</v>
      </c>
      <c r="D2704" s="958" t="s">
        <v>273</v>
      </c>
      <c r="E2704" s="1268">
        <v>2</v>
      </c>
      <c r="F2704" s="960">
        <v>1.2</v>
      </c>
      <c r="G2704" s="960">
        <v>0</v>
      </c>
      <c r="H2704" s="960">
        <v>1.5</v>
      </c>
      <c r="I2704" s="916">
        <f>ROUND(IF(AND(F2704:H2704),C2704*E2704*F2704*G2704*H2704,IF(AND(F2704,G2704),C2704*E2704*F2704*G2704,IF(AND(F2704,H2704),C2704*E2704*F2704*H2704,IF(AND(G2704,H2704),C2704*E2704*G2704*H2704,IF(F2704,C2704*E2704*F2704,IF(G2704,C2704*E2704*G2704,IF(H2704,C2704*E2704*H2704,C2704*E2704))))))),2)</f>
        <v>3.6</v>
      </c>
      <c r="J2704" s="955" t="s">
        <v>102</v>
      </c>
      <c r="K2704" s="902"/>
      <c r="L2704" s="896"/>
      <c r="M2704" s="902"/>
      <c r="N2704" s="900" t="s">
        <v>2297</v>
      </c>
      <c r="O2704" s="1268">
        <v>1</v>
      </c>
    </row>
    <row r="2705" spans="1:15" s="910" customFormat="1" ht="16.5" hidden="1" customHeight="1">
      <c r="A2705" s="896"/>
      <c r="B2705" s="956"/>
      <c r="C2705" s="957"/>
      <c r="D2705" s="958"/>
      <c r="E2705" s="1268"/>
      <c r="F2705" s="960"/>
      <c r="G2705" s="960"/>
      <c r="H2705" s="960"/>
      <c r="I2705" s="916"/>
      <c r="J2705" s="955"/>
      <c r="K2705" s="902"/>
      <c r="L2705" s="896"/>
      <c r="M2705" s="902"/>
      <c r="N2705" s="900" t="s">
        <v>2297</v>
      </c>
      <c r="O2705" s="1268"/>
    </row>
    <row r="2706" spans="1:15" ht="15.75" hidden="1">
      <c r="A2706" s="896"/>
      <c r="B2706" s="902"/>
      <c r="C2706" s="917"/>
      <c r="D2706" s="918"/>
      <c r="E2706" s="919"/>
      <c r="F2706" s="920"/>
      <c r="G2706" s="921"/>
      <c r="H2706" s="896"/>
      <c r="I2706" s="916"/>
      <c r="J2706" s="955" t="s">
        <v>102</v>
      </c>
      <c r="K2706" s="922">
        <f>'D&amp;W data'!H472</f>
        <v>5830</v>
      </c>
      <c r="L2706" s="923" t="s">
        <v>2297</v>
      </c>
      <c r="M2706" s="924">
        <f>ROUND(I2706*K2706,0)</f>
        <v>0</v>
      </c>
      <c r="N2706" s="900" t="s">
        <v>2297</v>
      </c>
    </row>
    <row r="2707" spans="1:15" ht="27" hidden="1" customHeight="1">
      <c r="A2707" s="896">
        <v>6</v>
      </c>
      <c r="B2707" s="1609" t="s">
        <v>2284</v>
      </c>
      <c r="C2707" s="1609"/>
      <c r="D2707" s="1609"/>
      <c r="E2707" s="1609"/>
      <c r="F2707" s="1609"/>
      <c r="G2707" s="1609"/>
      <c r="H2707" s="1609"/>
      <c r="I2707" s="897"/>
      <c r="J2707" s="898"/>
      <c r="K2707" s="896"/>
      <c r="L2707" s="896"/>
      <c r="M2707" s="899"/>
      <c r="N2707" s="900" t="s">
        <v>2297</v>
      </c>
    </row>
    <row r="2708" spans="1:15" s="910" customFormat="1" ht="16.5" hidden="1" customHeight="1">
      <c r="A2708" s="896"/>
      <c r="B2708" s="980" t="s">
        <v>2334</v>
      </c>
      <c r="C2708" s="903"/>
      <c r="D2708" s="904"/>
      <c r="E2708" s="905"/>
      <c r="F2708" s="906"/>
      <c r="G2708" s="906"/>
      <c r="H2708" s="907"/>
      <c r="I2708" s="908"/>
      <c r="J2708" s="955"/>
      <c r="K2708" s="902"/>
      <c r="L2708" s="896"/>
      <c r="M2708" s="902"/>
      <c r="N2708" s="900" t="s">
        <v>2297</v>
      </c>
    </row>
    <row r="2709" spans="1:15" s="910" customFormat="1" ht="16.5" hidden="1" customHeight="1">
      <c r="A2709" s="896"/>
      <c r="B2709" s="956"/>
      <c r="C2709" s="957">
        <v>1</v>
      </c>
      <c r="D2709" s="958" t="s">
        <v>273</v>
      </c>
      <c r="E2709" s="1268">
        <v>1</v>
      </c>
      <c r="F2709" s="960">
        <v>1.2</v>
      </c>
      <c r="G2709" s="960">
        <v>0</v>
      </c>
      <c r="H2709" s="960">
        <v>0.3</v>
      </c>
      <c r="I2709" s="916">
        <f>ROUND(IF(AND(F2709:H2709),C2709*E2709*F2709*G2709*H2709,IF(AND(F2709,G2709),C2709*E2709*F2709*G2709,IF(AND(F2709,H2709),C2709*E2709*F2709*H2709,IF(AND(G2709,H2709),C2709*E2709*G2709*H2709,IF(F2709,C2709*E2709*F2709,IF(G2709,C2709*E2709*G2709,IF(H2709,C2709*E2709*H2709,C2709*E2709))))))),2)</f>
        <v>0.36</v>
      </c>
      <c r="J2709" s="955" t="s">
        <v>102</v>
      </c>
      <c r="K2709" s="902"/>
      <c r="L2709" s="896"/>
      <c r="M2709" s="902"/>
      <c r="N2709" s="900" t="s">
        <v>2297</v>
      </c>
    </row>
    <row r="2710" spans="1:15" s="910" customFormat="1" ht="16.5" hidden="1" customHeight="1">
      <c r="A2710" s="896"/>
      <c r="B2710" s="956"/>
      <c r="C2710" s="957"/>
      <c r="D2710" s="958"/>
      <c r="E2710" s="1268"/>
      <c r="F2710" s="960"/>
      <c r="G2710" s="960"/>
      <c r="H2710" s="960"/>
      <c r="I2710" s="916"/>
      <c r="J2710" s="955"/>
      <c r="K2710" s="902"/>
      <c r="L2710" s="896"/>
      <c r="M2710" s="902"/>
      <c r="N2710" s="900" t="s">
        <v>2297</v>
      </c>
    </row>
    <row r="2711" spans="1:15" ht="15.75" hidden="1">
      <c r="A2711" s="896"/>
      <c r="B2711" s="902"/>
      <c r="C2711" s="917"/>
      <c r="D2711" s="918"/>
      <c r="E2711" s="919"/>
      <c r="F2711" s="920"/>
      <c r="G2711" s="921"/>
      <c r="H2711" s="896"/>
      <c r="I2711" s="916"/>
      <c r="J2711" s="955" t="s">
        <v>102</v>
      </c>
      <c r="K2711" s="922">
        <f>'D&amp;W data'!H475</f>
        <v>3797</v>
      </c>
      <c r="L2711" s="923" t="s">
        <v>2297</v>
      </c>
      <c r="M2711" s="924">
        <f>ROUND(I2711*K2711,0)</f>
        <v>0</v>
      </c>
      <c r="N2711" s="900" t="s">
        <v>2297</v>
      </c>
    </row>
    <row r="2712" spans="1:15" ht="27" hidden="1" customHeight="1">
      <c r="A2712" s="896">
        <v>6</v>
      </c>
      <c r="B2712" s="1609" t="s">
        <v>1199</v>
      </c>
      <c r="C2712" s="1609"/>
      <c r="D2712" s="1609"/>
      <c r="E2712" s="1609"/>
      <c r="F2712" s="1609"/>
      <c r="G2712" s="1609"/>
      <c r="H2712" s="1609"/>
      <c r="I2712" s="897"/>
      <c r="J2712" s="898"/>
      <c r="K2712" s="896"/>
      <c r="L2712" s="896"/>
      <c r="M2712" s="899"/>
      <c r="N2712" s="900" t="s">
        <v>2297</v>
      </c>
    </row>
    <row r="2713" spans="1:15" s="910" customFormat="1" ht="16.5" hidden="1" customHeight="1">
      <c r="A2713" s="896"/>
      <c r="B2713" s="980" t="s">
        <v>2334</v>
      </c>
      <c r="C2713" s="903"/>
      <c r="D2713" s="904"/>
      <c r="E2713" s="905"/>
      <c r="F2713" s="906"/>
      <c r="G2713" s="906"/>
      <c r="H2713" s="907"/>
      <c r="I2713" s="908"/>
      <c r="J2713" s="955"/>
      <c r="K2713" s="902"/>
      <c r="L2713" s="896"/>
      <c r="M2713" s="902"/>
      <c r="N2713" s="900" t="s">
        <v>2297</v>
      </c>
    </row>
    <row r="2714" spans="1:15" s="910" customFormat="1" ht="16.5" hidden="1" customHeight="1">
      <c r="A2714" s="896"/>
      <c r="B2714" s="956"/>
      <c r="C2714" s="957">
        <v>1</v>
      </c>
      <c r="D2714" s="958" t="s">
        <v>273</v>
      </c>
      <c r="E2714" s="1268">
        <v>16</v>
      </c>
      <c r="F2714" s="960">
        <v>0</v>
      </c>
      <c r="G2714" s="960">
        <v>0</v>
      </c>
      <c r="H2714" s="960">
        <v>0</v>
      </c>
      <c r="I2714" s="1291">
        <f>ROUND(IF(AND(F2714:H2714),C2714*E2714*F2714*G2714*H2714,IF(AND(F2714,G2714),C2714*E2714*F2714*G2714,IF(AND(F2714,H2714),C2714*E2714*F2714*H2714,IF(AND(G2714,H2714),C2714*E2714*G2714*H2714,IF(F2714,C2714*E2714*F2714,IF(G2714,C2714*E2714*G2714,IF(H2714,C2714*E2714*H2714,C2714*E2714))))))),2)</f>
        <v>16</v>
      </c>
      <c r="J2714" s="955" t="s">
        <v>115</v>
      </c>
      <c r="K2714" s="902"/>
      <c r="L2714" s="896"/>
      <c r="M2714" s="902"/>
      <c r="N2714" s="900" t="s">
        <v>2297</v>
      </c>
    </row>
    <row r="2715" spans="1:15" s="910" customFormat="1" ht="16.5" hidden="1" customHeight="1">
      <c r="A2715" s="896"/>
      <c r="B2715" s="956"/>
      <c r="C2715" s="957"/>
      <c r="D2715" s="958"/>
      <c r="E2715" s="1268"/>
      <c r="F2715" s="960"/>
      <c r="G2715" s="960"/>
      <c r="H2715" s="960"/>
      <c r="I2715" s="1291"/>
      <c r="J2715" s="955"/>
      <c r="K2715" s="902"/>
      <c r="L2715" s="896"/>
      <c r="M2715" s="902"/>
      <c r="N2715" s="900" t="s">
        <v>2297</v>
      </c>
    </row>
    <row r="2716" spans="1:15" ht="15.75" hidden="1">
      <c r="A2716" s="896"/>
      <c r="B2716" s="902"/>
      <c r="C2716" s="917"/>
      <c r="D2716" s="918"/>
      <c r="E2716" s="919"/>
      <c r="F2716" s="920"/>
      <c r="G2716" s="921"/>
      <c r="H2716" s="896"/>
      <c r="I2716" s="1291"/>
      <c r="J2716" s="955" t="s">
        <v>115</v>
      </c>
      <c r="K2716" s="922">
        <f>'D&amp;W data'!H435</f>
        <v>494.64</v>
      </c>
      <c r="L2716" s="923" t="s">
        <v>2297</v>
      </c>
      <c r="M2716" s="924">
        <f>ROUND(I2716*K2716,0)</f>
        <v>0</v>
      </c>
      <c r="N2716" s="900" t="s">
        <v>2297</v>
      </c>
    </row>
    <row r="2717" spans="1:15" ht="27" hidden="1" customHeight="1">
      <c r="A2717" s="896">
        <v>4</v>
      </c>
      <c r="B2717" s="1609" t="s">
        <v>932</v>
      </c>
      <c r="C2717" s="1609"/>
      <c r="D2717" s="1609"/>
      <c r="E2717" s="1609"/>
      <c r="F2717" s="1609"/>
      <c r="G2717" s="1609"/>
      <c r="H2717" s="1609"/>
      <c r="I2717" s="897"/>
      <c r="J2717" s="898"/>
      <c r="K2717" s="896"/>
      <c r="L2717" s="896"/>
      <c r="M2717" s="899"/>
      <c r="N2717" s="900" t="s">
        <v>2297</v>
      </c>
    </row>
    <row r="2718" spans="1:15" s="910" customFormat="1" ht="16.5" hidden="1" customHeight="1">
      <c r="A2718" s="896"/>
      <c r="B2718" s="1212" t="s">
        <v>2335</v>
      </c>
      <c r="C2718" s="903"/>
      <c r="D2718" s="904"/>
      <c r="E2718" s="905"/>
      <c r="F2718" s="906"/>
      <c r="G2718" s="906"/>
      <c r="H2718" s="907"/>
      <c r="I2718" s="908"/>
      <c r="J2718" s="955"/>
      <c r="K2718" s="902"/>
      <c r="L2718" s="896"/>
      <c r="M2718" s="902"/>
      <c r="N2718" s="900" t="s">
        <v>2297</v>
      </c>
    </row>
    <row r="2719" spans="1:15" s="910" customFormat="1" ht="16.5" hidden="1" customHeight="1">
      <c r="A2719" s="896"/>
      <c r="B2719" s="956"/>
      <c r="C2719" s="957">
        <v>1</v>
      </c>
      <c r="D2719" s="958" t="s">
        <v>273</v>
      </c>
      <c r="E2719" s="1268">
        <v>19</v>
      </c>
      <c r="F2719" s="960">
        <v>0.6</v>
      </c>
      <c r="G2719" s="960">
        <v>0</v>
      </c>
      <c r="H2719" s="960">
        <v>0.3</v>
      </c>
      <c r="I2719" s="916">
        <f>ROUND(IF(AND(F2719:H2719),C2719*E2719*F2719*G2719*H2719,IF(AND(F2719,G2719),C2719*E2719*F2719*G2719,IF(AND(F2719,H2719),C2719*E2719*F2719*H2719,IF(AND(G2719,H2719),C2719*E2719*G2719*H2719,IF(F2719,C2719*E2719*F2719,IF(G2719,C2719*E2719*G2719,IF(H2719,C2719*E2719*H2719,C2719*E2719))))))),2)</f>
        <v>3.42</v>
      </c>
      <c r="J2719" s="955" t="s">
        <v>102</v>
      </c>
      <c r="K2719" s="902"/>
      <c r="L2719" s="896"/>
      <c r="M2719" s="902"/>
      <c r="N2719" s="900" t="s">
        <v>2297</v>
      </c>
    </row>
    <row r="2720" spans="1:15" s="910" customFormat="1" ht="16.5" hidden="1" customHeight="1">
      <c r="A2720" s="896"/>
      <c r="B2720" s="956"/>
      <c r="C2720" s="957"/>
      <c r="D2720" s="958"/>
      <c r="E2720" s="1268"/>
      <c r="F2720" s="960"/>
      <c r="G2720" s="960"/>
      <c r="H2720" s="960"/>
      <c r="I2720" s="916"/>
      <c r="J2720" s="955"/>
      <c r="K2720" s="902"/>
      <c r="L2720" s="896"/>
      <c r="M2720" s="902"/>
      <c r="N2720" s="900" t="s">
        <v>2297</v>
      </c>
    </row>
    <row r="2721" spans="1:14" ht="15.75" hidden="1">
      <c r="A2721" s="896"/>
      <c r="B2721" s="902"/>
      <c r="C2721" s="917"/>
      <c r="D2721" s="918"/>
      <c r="E2721" s="919"/>
      <c r="F2721" s="920"/>
      <c r="G2721" s="921"/>
      <c r="H2721" s="896"/>
      <c r="I2721" s="916"/>
      <c r="J2721" s="955" t="s">
        <v>102</v>
      </c>
      <c r="K2721" s="922">
        <f>'D&amp;W data'!H441</f>
        <v>529.5</v>
      </c>
      <c r="L2721" s="923" t="s">
        <v>2297</v>
      </c>
      <c r="M2721" s="924">
        <f>ROUND(I2721*K2721,0)</f>
        <v>0</v>
      </c>
      <c r="N2721" s="900" t="s">
        <v>2297</v>
      </c>
    </row>
    <row r="2722" spans="1:14" ht="46.5" hidden="1" customHeight="1">
      <c r="A2722" s="896">
        <v>36</v>
      </c>
      <c r="B2722" s="1609" t="s">
        <v>185</v>
      </c>
      <c r="C2722" s="1609"/>
      <c r="D2722" s="1609"/>
      <c r="E2722" s="1609"/>
      <c r="F2722" s="1609"/>
      <c r="G2722" s="1609"/>
      <c r="H2722" s="1609"/>
      <c r="I2722" s="897"/>
      <c r="J2722" s="898"/>
      <c r="K2722" s="896"/>
      <c r="L2722" s="896"/>
      <c r="M2722" s="899"/>
      <c r="N2722" s="900" t="s">
        <v>2297</v>
      </c>
    </row>
    <row r="2723" spans="1:14" s="910" customFormat="1" ht="16.5" hidden="1" customHeight="1">
      <c r="A2723" s="896"/>
      <c r="B2723" s="902" t="s">
        <v>3660</v>
      </c>
      <c r="C2723" s="903"/>
      <c r="D2723" s="954" t="s">
        <v>3823</v>
      </c>
      <c r="E2723" s="905"/>
      <c r="F2723" s="906"/>
      <c r="G2723" s="906"/>
      <c r="H2723" s="907"/>
      <c r="I2723" s="908"/>
      <c r="J2723" s="955"/>
      <c r="K2723" s="902"/>
      <c r="L2723" s="896"/>
      <c r="M2723" s="902"/>
      <c r="N2723" s="900" t="s">
        <v>2297</v>
      </c>
    </row>
    <row r="2724" spans="1:14" s="910" customFormat="1" ht="16.5" hidden="1" customHeight="1">
      <c r="A2724" s="896"/>
      <c r="B2724" s="1297" t="s">
        <v>3781</v>
      </c>
      <c r="C2724" s="1298">
        <v>1</v>
      </c>
      <c r="D2724" s="1299" t="s">
        <v>273</v>
      </c>
      <c r="E2724" s="1300">
        <v>8</v>
      </c>
      <c r="F2724" s="1304">
        <v>40</v>
      </c>
      <c r="G2724" s="1301">
        <v>0</v>
      </c>
      <c r="H2724" s="1301">
        <v>0</v>
      </c>
      <c r="I2724" s="916">
        <f>ROUND(IF(AND(F2724:H2724),C2724*E2724*F2724*G2724*H2724,IF(AND(F2724,G2724),C2724*E2724*F2724*G2724,IF(AND(F2724,H2724),C2724*E2724*F2724*H2724,IF(AND(G2724,H2724),C2724*E2724*G2724*H2724,IF(F2724,C2724*E2724*F2724,IF(G2724,C2724*E2724*G2724,IF(H2724,C2724*E2724*H2724,C2724*E2724))))))),2)</f>
        <v>320</v>
      </c>
      <c r="J2724" s="955" t="s">
        <v>141</v>
      </c>
      <c r="K2724" s="902"/>
      <c r="L2724" s="896"/>
      <c r="M2724" s="902"/>
      <c r="N2724" s="900" t="s">
        <v>2297</v>
      </c>
    </row>
    <row r="2725" spans="1:14" s="910" customFormat="1" ht="16.5" hidden="1" customHeight="1">
      <c r="A2725" s="896"/>
      <c r="B2725" s="956"/>
      <c r="C2725" s="957"/>
      <c r="D2725" s="958"/>
      <c r="E2725" s="1268"/>
      <c r="F2725" s="960"/>
      <c r="G2725" s="960"/>
      <c r="H2725" s="960"/>
      <c r="I2725" s="916"/>
      <c r="J2725" s="955"/>
      <c r="K2725" s="902"/>
      <c r="L2725" s="896"/>
      <c r="M2725" s="902"/>
      <c r="N2725" s="900" t="s">
        <v>2297</v>
      </c>
    </row>
    <row r="2726" spans="1:14" ht="15.75" hidden="1">
      <c r="A2726" s="896"/>
      <c r="B2726" s="902"/>
      <c r="C2726" s="917"/>
      <c r="D2726" s="918"/>
      <c r="E2726" s="919"/>
      <c r="F2726" s="920"/>
      <c r="G2726" s="921"/>
      <c r="H2726" s="896"/>
      <c r="I2726" s="916"/>
      <c r="J2726" s="955" t="s">
        <v>4</v>
      </c>
      <c r="K2726" s="922">
        <f>data!G1222</f>
        <v>82.8</v>
      </c>
      <c r="L2726" s="923" t="s">
        <v>2297</v>
      </c>
      <c r="M2726" s="924">
        <f>ROUND(I2726*K2726,0)</f>
        <v>0</v>
      </c>
      <c r="N2726" s="900" t="s">
        <v>2297</v>
      </c>
    </row>
    <row r="2727" spans="1:14" ht="65.25" hidden="1" customHeight="1">
      <c r="A2727" s="896">
        <v>31</v>
      </c>
      <c r="B2727" s="1609" t="s">
        <v>933</v>
      </c>
      <c r="C2727" s="1609"/>
      <c r="D2727" s="1609"/>
      <c r="E2727" s="1609"/>
      <c r="F2727" s="1609"/>
      <c r="G2727" s="1609"/>
      <c r="H2727" s="1609"/>
      <c r="I2727" s="897"/>
      <c r="J2727" s="898"/>
      <c r="K2727" s="896"/>
      <c r="L2727" s="896"/>
      <c r="M2727" s="899"/>
      <c r="N2727" s="900" t="s">
        <v>2297</v>
      </c>
    </row>
    <row r="2728" spans="1:14" s="910" customFormat="1" ht="16.5" hidden="1" customHeight="1">
      <c r="A2728" s="896"/>
      <c r="B2728" s="902" t="s">
        <v>3587</v>
      </c>
      <c r="C2728" s="903"/>
      <c r="D2728" s="954" t="s">
        <v>3641</v>
      </c>
      <c r="E2728" s="905"/>
      <c r="F2728" s="906"/>
      <c r="G2728" s="906"/>
      <c r="H2728" s="907"/>
      <c r="I2728" s="908"/>
      <c r="J2728" s="955"/>
      <c r="K2728" s="902"/>
      <c r="L2728" s="896"/>
      <c r="M2728" s="902"/>
      <c r="N2728" s="900" t="s">
        <v>2297</v>
      </c>
    </row>
    <row r="2729" spans="1:14" s="910" customFormat="1" ht="16.5" hidden="1" customHeight="1">
      <c r="A2729" s="896"/>
      <c r="B2729" s="911"/>
      <c r="C2729" s="912">
        <v>1</v>
      </c>
      <c r="D2729" s="913" t="s">
        <v>273</v>
      </c>
      <c r="E2729" s="914">
        <v>8</v>
      </c>
      <c r="F2729" s="915">
        <v>1.2</v>
      </c>
      <c r="G2729" s="915">
        <v>1.2</v>
      </c>
      <c r="H2729" s="915">
        <v>0</v>
      </c>
      <c r="I2729" s="916">
        <f>ROUND(IF(AND(F2729:H2729),C2729*E2729*F2729*G2729*H2729,IF(AND(F2729,G2729),C2729*E2729*F2729*G2729,IF(AND(F2729,H2729),C2729*E2729*F2729*H2729,IF(AND(G2729,H2729),C2729*E2729*G2729*H2729,IF(F2729,C2729*E2729*F2729,IF(G2729,C2729*E2729*G2729,IF(H2729,C2729*E2729*H2729,C2729*E2729))))))),2)</f>
        <v>11.52</v>
      </c>
      <c r="J2729" s="955" t="s">
        <v>102</v>
      </c>
      <c r="K2729" s="902"/>
      <c r="L2729" s="896"/>
      <c r="M2729" s="902"/>
      <c r="N2729" s="900" t="s">
        <v>2297</v>
      </c>
    </row>
    <row r="2730" spans="1:14" s="910" customFormat="1" ht="16.5" hidden="1" customHeight="1">
      <c r="A2730" s="896"/>
      <c r="B2730" s="956"/>
      <c r="C2730" s="957"/>
      <c r="D2730" s="958"/>
      <c r="E2730" s="1268"/>
      <c r="F2730" s="960"/>
      <c r="G2730" s="960"/>
      <c r="H2730" s="960"/>
      <c r="I2730" s="916"/>
      <c r="J2730" s="955"/>
      <c r="K2730" s="902"/>
      <c r="L2730" s="896"/>
      <c r="M2730" s="902"/>
      <c r="N2730" s="900" t="s">
        <v>2297</v>
      </c>
    </row>
    <row r="2731" spans="1:14" ht="15.75" hidden="1">
      <c r="A2731" s="896"/>
      <c r="B2731" s="902"/>
      <c r="C2731" s="917"/>
      <c r="D2731" s="918"/>
      <c r="E2731" s="919"/>
      <c r="F2731" s="920"/>
      <c r="G2731" s="921"/>
      <c r="H2731" s="896"/>
      <c r="I2731" s="916"/>
      <c r="J2731" s="955" t="s">
        <v>102</v>
      </c>
      <c r="K2731" s="922">
        <f>data!G1230</f>
        <v>2324.02</v>
      </c>
      <c r="L2731" s="923" t="s">
        <v>2297</v>
      </c>
      <c r="M2731" s="924">
        <f>ROUND(I2731*K2731,0)</f>
        <v>0</v>
      </c>
      <c r="N2731" s="900" t="s">
        <v>2297</v>
      </c>
    </row>
    <row r="2732" spans="1:14" ht="42.75" hidden="1" customHeight="1">
      <c r="A2732" s="896">
        <v>51</v>
      </c>
      <c r="B2732" s="1609" t="s">
        <v>626</v>
      </c>
      <c r="C2732" s="1609"/>
      <c r="D2732" s="1609"/>
      <c r="E2732" s="1609"/>
      <c r="F2732" s="1609"/>
      <c r="G2732" s="1609"/>
      <c r="H2732" s="1609"/>
      <c r="I2732" s="897"/>
      <c r="J2732" s="898"/>
      <c r="K2732" s="896"/>
      <c r="L2732" s="896"/>
      <c r="M2732" s="899"/>
      <c r="N2732" s="900" t="s">
        <v>2297</v>
      </c>
    </row>
    <row r="2733" spans="1:14" s="910" customFormat="1" ht="16.5" hidden="1" customHeight="1">
      <c r="A2733" s="896"/>
      <c r="B2733" s="980" t="s">
        <v>2338</v>
      </c>
      <c r="C2733" s="903"/>
      <c r="D2733" s="904"/>
      <c r="E2733" s="905"/>
      <c r="F2733" s="906"/>
      <c r="G2733" s="906"/>
      <c r="H2733" s="907"/>
      <c r="I2733" s="908"/>
      <c r="J2733" s="955"/>
      <c r="K2733" s="902"/>
      <c r="L2733" s="896"/>
      <c r="M2733" s="902"/>
      <c r="N2733" s="900" t="s">
        <v>2297</v>
      </c>
    </row>
    <row r="2734" spans="1:14" s="910" customFormat="1" ht="16.5" hidden="1" customHeight="1">
      <c r="A2734" s="896"/>
      <c r="B2734" s="956" t="s">
        <v>661</v>
      </c>
      <c r="C2734" s="957">
        <v>1</v>
      </c>
      <c r="D2734" s="958" t="s">
        <v>273</v>
      </c>
      <c r="E2734" s="1268">
        <v>1</v>
      </c>
      <c r="F2734" s="1290">
        <v>58.6</v>
      </c>
      <c r="G2734" s="960">
        <v>0</v>
      </c>
      <c r="H2734" s="960">
        <v>0</v>
      </c>
      <c r="I2734" s="916">
        <f>ROUND(IF(AND(F2734:H2734),C2734*E2734*F2734*G2734*H2734,IF(AND(F2734,G2734),C2734*E2734*F2734*G2734,IF(AND(F2734,H2734),C2734*E2734*F2734*H2734,IF(AND(G2734,H2734),C2734*E2734*G2734*H2734,IF(F2734,C2734*E2734*F2734,IF(G2734,C2734*E2734*G2734,IF(H2734,C2734*E2734*H2734,C2734*E2734))))))),2)</f>
        <v>58.6</v>
      </c>
      <c r="J2734" s="955" t="s">
        <v>141</v>
      </c>
      <c r="K2734" s="902"/>
      <c r="L2734" s="896"/>
      <c r="M2734" s="902"/>
      <c r="N2734" s="900" t="s">
        <v>2297</v>
      </c>
    </row>
    <row r="2735" spans="1:14" s="910" customFormat="1" ht="16.5" hidden="1" customHeight="1">
      <c r="A2735" s="896"/>
      <c r="B2735" s="956"/>
      <c r="C2735" s="957"/>
      <c r="D2735" s="958"/>
      <c r="E2735" s="1268"/>
      <c r="F2735" s="1290"/>
      <c r="G2735" s="960"/>
      <c r="H2735" s="960"/>
      <c r="I2735" s="916"/>
      <c r="J2735" s="955"/>
      <c r="K2735" s="902"/>
      <c r="L2735" s="896"/>
      <c r="M2735" s="902"/>
      <c r="N2735" s="900" t="s">
        <v>2297</v>
      </c>
    </row>
    <row r="2736" spans="1:14" ht="15.75" hidden="1">
      <c r="A2736" s="896"/>
      <c r="B2736" s="902"/>
      <c r="C2736" s="917"/>
      <c r="D2736" s="918"/>
      <c r="E2736" s="919"/>
      <c r="F2736" s="920"/>
      <c r="G2736" s="921"/>
      <c r="H2736" s="896"/>
      <c r="I2736" s="916"/>
      <c r="J2736" s="955" t="s">
        <v>141</v>
      </c>
      <c r="K2736" s="922">
        <f>data!G1237</f>
        <v>106.5</v>
      </c>
      <c r="L2736" s="923" t="s">
        <v>2297</v>
      </c>
      <c r="M2736" s="924">
        <f>ROUND(I2736*K2736,0)</f>
        <v>0</v>
      </c>
      <c r="N2736" s="900" t="s">
        <v>2297</v>
      </c>
    </row>
    <row r="2737" spans="1:14" ht="132" hidden="1" customHeight="1">
      <c r="A2737" s="896">
        <v>5</v>
      </c>
      <c r="B2737" s="1609" t="s">
        <v>928</v>
      </c>
      <c r="C2737" s="1609"/>
      <c r="D2737" s="1609"/>
      <c r="E2737" s="1609"/>
      <c r="F2737" s="1609"/>
      <c r="G2737" s="1609"/>
      <c r="H2737" s="1609"/>
      <c r="I2737" s="897"/>
      <c r="J2737" s="898"/>
      <c r="K2737" s="896"/>
      <c r="L2737" s="896"/>
      <c r="M2737" s="899"/>
      <c r="N2737" s="900" t="s">
        <v>2297</v>
      </c>
    </row>
    <row r="2738" spans="1:14" s="910" customFormat="1" ht="16.5" hidden="1" customHeight="1">
      <c r="A2738" s="896"/>
      <c r="B2738" s="902" t="s">
        <v>2763</v>
      </c>
      <c r="C2738" s="903"/>
      <c r="D2738" s="904"/>
      <c r="E2738" s="905"/>
      <c r="F2738" s="906"/>
      <c r="G2738" s="906"/>
      <c r="H2738" s="907"/>
      <c r="I2738" s="908"/>
      <c r="J2738" s="955"/>
      <c r="K2738" s="902"/>
      <c r="L2738" s="896"/>
      <c r="M2738" s="902"/>
      <c r="N2738" s="900" t="s">
        <v>2297</v>
      </c>
    </row>
    <row r="2739" spans="1:14" s="910" customFormat="1" ht="16.5" hidden="1" customHeight="1">
      <c r="A2739" s="896"/>
      <c r="B2739" s="956" t="s">
        <v>578</v>
      </c>
      <c r="C2739" s="957">
        <v>1</v>
      </c>
      <c r="D2739" s="958" t="s">
        <v>273</v>
      </c>
      <c r="E2739" s="1268">
        <v>1</v>
      </c>
      <c r="F2739" s="1290">
        <v>11.15</v>
      </c>
      <c r="G2739" s="960">
        <v>0</v>
      </c>
      <c r="H2739" s="960">
        <v>0.85</v>
      </c>
      <c r="I2739" s="916">
        <f>ROUND(IF(AND(F2739:H2739),C2739*E2739*F2739*G2739*H2739,IF(AND(F2739,G2739),C2739*E2739*F2739*G2739,IF(AND(F2739,H2739),C2739*E2739*F2739*H2739,IF(AND(G2739,H2739),C2739*E2739*G2739*H2739,IF(F2739,C2739*E2739*F2739,IF(G2739,C2739*E2739*G2739,IF(H2739,C2739*E2739*H2739,C2739*E2739))))))),2)</f>
        <v>9.48</v>
      </c>
      <c r="J2739" s="955" t="s">
        <v>102</v>
      </c>
      <c r="K2739" s="902"/>
      <c r="L2739" s="896"/>
      <c r="M2739" s="902"/>
      <c r="N2739" s="900" t="s">
        <v>2297</v>
      </c>
    </row>
    <row r="2740" spans="1:14" s="910" customFormat="1" ht="16.5" hidden="1" customHeight="1">
      <c r="A2740" s="896"/>
      <c r="B2740" s="956" t="s">
        <v>2735</v>
      </c>
      <c r="C2740" s="957">
        <v>1</v>
      </c>
      <c r="D2740" s="958" t="s">
        <v>273</v>
      </c>
      <c r="E2740" s="1268">
        <v>1</v>
      </c>
      <c r="F2740" s="1290">
        <v>7.5</v>
      </c>
      <c r="G2740" s="960">
        <v>0</v>
      </c>
      <c r="H2740" s="960">
        <v>0.85</v>
      </c>
      <c r="I2740" s="916">
        <f>ROUND(IF(AND(F2740:H2740),C2740*E2740*F2740*G2740*H2740,IF(AND(F2740,G2740),C2740*E2740*F2740*G2740,IF(AND(F2740,H2740),C2740*E2740*F2740*H2740,IF(AND(G2740,H2740),C2740*E2740*G2740*H2740,IF(F2740,C2740*E2740*F2740,IF(G2740,C2740*E2740*G2740,IF(H2740,C2740*E2740*H2740,C2740*E2740))))))),2)</f>
        <v>6.38</v>
      </c>
      <c r="J2740" s="955" t="s">
        <v>102</v>
      </c>
      <c r="K2740" s="902"/>
      <c r="L2740" s="896"/>
      <c r="M2740" s="902"/>
      <c r="N2740" s="900" t="s">
        <v>2297</v>
      </c>
    </row>
    <row r="2741" spans="1:14" s="910" customFormat="1" ht="16.5" hidden="1" customHeight="1">
      <c r="A2741" s="896"/>
      <c r="B2741" s="956" t="s">
        <v>2736</v>
      </c>
      <c r="C2741" s="957">
        <v>1</v>
      </c>
      <c r="D2741" s="958" t="s">
        <v>273</v>
      </c>
      <c r="E2741" s="1268">
        <v>1</v>
      </c>
      <c r="F2741" s="1290">
        <v>7.5</v>
      </c>
      <c r="G2741" s="960">
        <v>0</v>
      </c>
      <c r="H2741" s="960">
        <v>0.85</v>
      </c>
      <c r="I2741" s="916">
        <f>ROUND(IF(AND(F2741:H2741),C2741*E2741*F2741*G2741*H2741,IF(AND(F2741,G2741),C2741*E2741*F2741*G2741,IF(AND(F2741,H2741),C2741*E2741*F2741*H2741,IF(AND(G2741,H2741),C2741*E2741*G2741*H2741,IF(F2741,C2741*E2741*F2741,IF(G2741,C2741*E2741*G2741,IF(H2741,C2741*E2741*H2741,C2741*E2741))))))),2)</f>
        <v>6.38</v>
      </c>
      <c r="J2741" s="955" t="s">
        <v>102</v>
      </c>
      <c r="K2741" s="902"/>
      <c r="L2741" s="896"/>
      <c r="M2741" s="902"/>
      <c r="N2741" s="900" t="s">
        <v>2297</v>
      </c>
    </row>
    <row r="2742" spans="1:14" s="910" customFormat="1" ht="16.5" hidden="1" customHeight="1">
      <c r="A2742" s="896"/>
      <c r="B2742" s="956"/>
      <c r="C2742" s="957"/>
      <c r="D2742" s="958"/>
      <c r="E2742" s="1268"/>
      <c r="F2742" s="1290"/>
      <c r="G2742" s="960"/>
      <c r="H2742" s="960"/>
      <c r="I2742" s="916"/>
      <c r="J2742" s="955"/>
      <c r="K2742" s="902"/>
      <c r="L2742" s="896"/>
      <c r="M2742" s="902"/>
      <c r="N2742" s="900" t="s">
        <v>2297</v>
      </c>
    </row>
    <row r="2743" spans="1:14" ht="15.75" hidden="1">
      <c r="A2743" s="896"/>
      <c r="B2743" s="902"/>
      <c r="C2743" s="917"/>
      <c r="D2743" s="918"/>
      <c r="E2743" s="919"/>
      <c r="F2743" s="920"/>
      <c r="G2743" s="921"/>
      <c r="H2743" s="896"/>
      <c r="I2743" s="916"/>
      <c r="J2743" s="955" t="s">
        <v>102</v>
      </c>
      <c r="K2743" s="922">
        <f>data!G1251</f>
        <v>2839.34</v>
      </c>
      <c r="L2743" s="923" t="s">
        <v>2297</v>
      </c>
      <c r="M2743" s="924">
        <f>ROUND(I2743*K2743,0)</f>
        <v>0</v>
      </c>
      <c r="N2743" s="900" t="s">
        <v>2297</v>
      </c>
    </row>
    <row r="2744" spans="1:14" ht="96.75" hidden="1" customHeight="1">
      <c r="A2744" s="896">
        <v>4</v>
      </c>
      <c r="B2744" s="1609" t="s">
        <v>1634</v>
      </c>
      <c r="C2744" s="1609"/>
      <c r="D2744" s="1609"/>
      <c r="E2744" s="1609"/>
      <c r="F2744" s="1609"/>
      <c r="G2744" s="1609"/>
      <c r="H2744" s="1609"/>
      <c r="I2744" s="897"/>
      <c r="J2744" s="898"/>
      <c r="K2744" s="896"/>
      <c r="L2744" s="896"/>
      <c r="M2744" s="899"/>
      <c r="N2744" s="900" t="s">
        <v>2297</v>
      </c>
    </row>
    <row r="2745" spans="1:14" s="910" customFormat="1" ht="16.5" hidden="1" customHeight="1">
      <c r="A2745" s="896"/>
      <c r="B2745" s="902" t="s">
        <v>2339</v>
      </c>
      <c r="C2745" s="903"/>
      <c r="D2745" s="904"/>
      <c r="E2745" s="905"/>
      <c r="F2745" s="906"/>
      <c r="G2745" s="906"/>
      <c r="H2745" s="907"/>
      <c r="I2745" s="908"/>
      <c r="J2745" s="955"/>
      <c r="K2745" s="902"/>
      <c r="L2745" s="896"/>
      <c r="M2745" s="902"/>
      <c r="N2745" s="900" t="s">
        <v>2297</v>
      </c>
    </row>
    <row r="2746" spans="1:14" s="910" customFormat="1" ht="16.5" hidden="1" customHeight="1">
      <c r="A2746" s="896"/>
      <c r="B2746" s="956" t="s">
        <v>578</v>
      </c>
      <c r="C2746" s="957">
        <v>1</v>
      </c>
      <c r="D2746" s="958" t="s">
        <v>273</v>
      </c>
      <c r="E2746" s="1268">
        <v>1</v>
      </c>
      <c r="F2746" s="1290">
        <v>3.3</v>
      </c>
      <c r="G2746" s="960">
        <v>0</v>
      </c>
      <c r="H2746" s="960">
        <v>0.87</v>
      </c>
      <c r="I2746" s="916">
        <f>ROUND(IF(AND(F2746:H2746),C2746*E2746*F2746*G2746*H2746,IF(AND(F2746,G2746),C2746*E2746*F2746*G2746,IF(AND(F2746,H2746),C2746*E2746*F2746*H2746,IF(AND(G2746,H2746),C2746*E2746*G2746*H2746,IF(F2746,C2746*E2746*F2746,IF(G2746,C2746*E2746*G2746,IF(H2746,C2746*E2746*H2746,C2746*E2746))))))),2)</f>
        <v>2.87</v>
      </c>
      <c r="J2746" s="955" t="s">
        <v>102</v>
      </c>
      <c r="K2746" s="902"/>
      <c r="L2746" s="896"/>
      <c r="M2746" s="902"/>
      <c r="N2746" s="900" t="s">
        <v>2297</v>
      </c>
    </row>
    <row r="2747" spans="1:14" s="910" customFormat="1" ht="16.5" hidden="1" customHeight="1">
      <c r="A2747" s="896"/>
      <c r="B2747" s="956"/>
      <c r="C2747" s="957">
        <v>1</v>
      </c>
      <c r="D2747" s="958" t="s">
        <v>273</v>
      </c>
      <c r="E2747" s="1268">
        <v>1</v>
      </c>
      <c r="F2747" s="1290">
        <v>1</v>
      </c>
      <c r="G2747" s="960">
        <v>0</v>
      </c>
      <c r="H2747" s="960">
        <v>0.87</v>
      </c>
      <c r="I2747" s="916">
        <f>ROUND(IF(AND(F2747:H2747),C2747*E2747*F2747*G2747*H2747,IF(AND(F2747,G2747),C2747*E2747*F2747*G2747,IF(AND(F2747,H2747),C2747*E2747*F2747*H2747,IF(AND(G2747,H2747),C2747*E2747*G2747*H2747,IF(F2747,C2747*E2747*F2747,IF(G2747,C2747*E2747*G2747,IF(H2747,C2747*E2747*H2747,C2747*E2747))))))),2)</f>
        <v>0.87</v>
      </c>
      <c r="J2747" s="955" t="s">
        <v>102</v>
      </c>
      <c r="K2747" s="902"/>
      <c r="L2747" s="896"/>
      <c r="M2747" s="902"/>
      <c r="N2747" s="900" t="s">
        <v>2297</v>
      </c>
    </row>
    <row r="2748" spans="1:14" s="910" customFormat="1" ht="16.5" hidden="1" customHeight="1">
      <c r="A2748" s="896"/>
      <c r="B2748" s="956" t="s">
        <v>654</v>
      </c>
      <c r="C2748" s="957">
        <v>1</v>
      </c>
      <c r="D2748" s="958" t="s">
        <v>273</v>
      </c>
      <c r="E2748" s="1268">
        <v>1</v>
      </c>
      <c r="F2748" s="1290">
        <v>1.45</v>
      </c>
      <c r="G2748" s="960">
        <v>0</v>
      </c>
      <c r="H2748" s="960">
        <v>0.87</v>
      </c>
      <c r="I2748" s="916">
        <f>ROUND(IF(AND(F2748:H2748),C2748*E2748*F2748*G2748*H2748,IF(AND(F2748,G2748),C2748*E2748*F2748*G2748,IF(AND(F2748,H2748),C2748*E2748*F2748*H2748,IF(AND(G2748,H2748),C2748*E2748*G2748*H2748,IF(F2748,C2748*E2748*F2748,IF(G2748,C2748*E2748*G2748,IF(H2748,C2748*E2748*H2748,C2748*E2748))))))),2)</f>
        <v>1.26</v>
      </c>
      <c r="J2748" s="955" t="s">
        <v>102</v>
      </c>
      <c r="K2748" s="902"/>
      <c r="L2748" s="896"/>
      <c r="M2748" s="902"/>
      <c r="N2748" s="900" t="s">
        <v>2297</v>
      </c>
    </row>
    <row r="2749" spans="1:14" s="910" customFormat="1" ht="16.5" hidden="1" customHeight="1">
      <c r="A2749" s="896"/>
      <c r="B2749" s="956"/>
      <c r="C2749" s="957">
        <v>1</v>
      </c>
      <c r="D2749" s="958" t="s">
        <v>273</v>
      </c>
      <c r="E2749" s="1268">
        <v>1</v>
      </c>
      <c r="F2749" s="1290">
        <v>2.57</v>
      </c>
      <c r="G2749" s="960">
        <v>0</v>
      </c>
      <c r="H2749" s="960">
        <v>0.87</v>
      </c>
      <c r="I2749" s="916">
        <f>ROUND(IF(AND(F2749:H2749),C2749*E2749*F2749*G2749*H2749,IF(AND(F2749,G2749),C2749*E2749*F2749*G2749,IF(AND(F2749,H2749),C2749*E2749*F2749*H2749,IF(AND(G2749,H2749),C2749*E2749*G2749*H2749,IF(F2749,C2749*E2749*F2749,IF(G2749,C2749*E2749*G2749,IF(H2749,C2749*E2749*H2749,C2749*E2749))))))),2)</f>
        <v>2.2400000000000002</v>
      </c>
      <c r="J2749" s="955" t="s">
        <v>102</v>
      </c>
      <c r="K2749" s="902"/>
      <c r="L2749" s="896"/>
      <c r="M2749" s="902"/>
      <c r="N2749" s="900" t="s">
        <v>2297</v>
      </c>
    </row>
    <row r="2750" spans="1:14" s="910" customFormat="1" ht="16.5" hidden="1" customHeight="1">
      <c r="A2750" s="896"/>
      <c r="B2750" s="956"/>
      <c r="C2750" s="957"/>
      <c r="D2750" s="958"/>
      <c r="E2750" s="1268"/>
      <c r="F2750" s="1290"/>
      <c r="G2750" s="960"/>
      <c r="H2750" s="960"/>
      <c r="I2750" s="916"/>
      <c r="J2750" s="955"/>
      <c r="K2750" s="902"/>
      <c r="L2750" s="896"/>
      <c r="M2750" s="902"/>
      <c r="N2750" s="900" t="s">
        <v>2297</v>
      </c>
    </row>
    <row r="2751" spans="1:14" ht="15.75" hidden="1">
      <c r="A2751" s="896"/>
      <c r="B2751" s="902"/>
      <c r="C2751" s="917"/>
      <c r="D2751" s="918"/>
      <c r="E2751" s="919"/>
      <c r="F2751" s="920"/>
      <c r="G2751" s="921"/>
      <c r="H2751" s="896"/>
      <c r="I2751" s="916"/>
      <c r="J2751" s="955" t="s">
        <v>102</v>
      </c>
      <c r="K2751" s="922">
        <f>data!G1262</f>
        <v>1258.8900000000001</v>
      </c>
      <c r="L2751" s="923" t="s">
        <v>2297</v>
      </c>
      <c r="M2751" s="924">
        <f>ROUND(I2751*K2751,0)</f>
        <v>0</v>
      </c>
      <c r="N2751" s="900" t="s">
        <v>2297</v>
      </c>
    </row>
    <row r="2752" spans="1:14" ht="31.5" hidden="1" customHeight="1">
      <c r="A2752" s="896">
        <v>4</v>
      </c>
      <c r="B2752" s="1609" t="s">
        <v>2286</v>
      </c>
      <c r="C2752" s="1609"/>
      <c r="D2752" s="1609"/>
      <c r="E2752" s="1609"/>
      <c r="F2752" s="1609"/>
      <c r="G2752" s="1609"/>
      <c r="H2752" s="1609"/>
      <c r="I2752" s="897"/>
      <c r="J2752" s="898"/>
      <c r="K2752" s="896"/>
      <c r="L2752" s="896"/>
      <c r="M2752" s="899"/>
      <c r="N2752" s="900" t="s">
        <v>2297</v>
      </c>
    </row>
    <row r="2753" spans="1:14" s="910" customFormat="1" ht="16.5" hidden="1" customHeight="1">
      <c r="A2753" s="896"/>
      <c r="B2753" s="902" t="s">
        <v>2339</v>
      </c>
      <c r="C2753" s="903"/>
      <c r="D2753" s="904"/>
      <c r="E2753" s="905"/>
      <c r="F2753" s="906"/>
      <c r="G2753" s="906"/>
      <c r="H2753" s="907"/>
      <c r="I2753" s="908"/>
      <c r="J2753" s="955"/>
      <c r="K2753" s="902"/>
      <c r="L2753" s="896"/>
      <c r="M2753" s="902"/>
      <c r="N2753" s="900" t="s">
        <v>2297</v>
      </c>
    </row>
    <row r="2754" spans="1:14" s="910" customFormat="1" ht="16.5" hidden="1" customHeight="1">
      <c r="A2754" s="896"/>
      <c r="B2754" s="956"/>
      <c r="C2754" s="957">
        <v>1</v>
      </c>
      <c r="D2754" s="958" t="s">
        <v>273</v>
      </c>
      <c r="E2754" s="1268">
        <v>1</v>
      </c>
      <c r="F2754" s="1290">
        <v>0.5</v>
      </c>
      <c r="G2754" s="960">
        <v>0</v>
      </c>
      <c r="H2754" s="960">
        <v>0</v>
      </c>
      <c r="I2754" s="916">
        <f>ROUND(IF(AND(F2754:H2754),C2754*E2754*F2754*G2754*H2754,IF(AND(F2754,G2754),C2754*E2754*F2754*G2754,IF(AND(F2754,H2754),C2754*E2754*F2754*H2754,IF(AND(G2754,H2754),C2754*E2754*G2754*H2754,IF(F2754,C2754*E2754*F2754,IF(G2754,C2754*E2754*G2754,IF(H2754,C2754*E2754*H2754,C2754*E2754))))))),2)</f>
        <v>0.5</v>
      </c>
      <c r="J2754" s="955" t="s">
        <v>4</v>
      </c>
      <c r="K2754" s="902"/>
      <c r="L2754" s="896"/>
      <c r="M2754" s="902"/>
      <c r="N2754" s="900" t="s">
        <v>2297</v>
      </c>
    </row>
    <row r="2755" spans="1:14" s="910" customFormat="1" ht="16.5" hidden="1" customHeight="1">
      <c r="A2755" s="896"/>
      <c r="B2755" s="956"/>
      <c r="C2755" s="957"/>
      <c r="D2755" s="958"/>
      <c r="E2755" s="1268"/>
      <c r="F2755" s="1290"/>
      <c r="G2755" s="960"/>
      <c r="H2755" s="960"/>
      <c r="I2755" s="916"/>
      <c r="J2755" s="955"/>
      <c r="K2755" s="902"/>
      <c r="L2755" s="896"/>
      <c r="M2755" s="902"/>
      <c r="N2755" s="900" t="s">
        <v>2297</v>
      </c>
    </row>
    <row r="2756" spans="1:14" ht="15.75" hidden="1">
      <c r="A2756" s="896"/>
      <c r="B2756" s="902"/>
      <c r="C2756" s="917"/>
      <c r="D2756" s="918"/>
      <c r="E2756" s="919"/>
      <c r="F2756" s="920"/>
      <c r="G2756" s="921"/>
      <c r="H2756" s="896"/>
      <c r="I2756" s="916"/>
      <c r="J2756" s="955" t="s">
        <v>4</v>
      </c>
      <c r="K2756" s="922">
        <f>data!G1266</f>
        <v>470.28</v>
      </c>
      <c r="L2756" s="923" t="s">
        <v>2297</v>
      </c>
      <c r="M2756" s="924">
        <f>ROUND(I2756*K2756,0)</f>
        <v>0</v>
      </c>
      <c r="N2756" s="900" t="s">
        <v>2297</v>
      </c>
    </row>
    <row r="2757" spans="1:14" ht="30.75" hidden="1" customHeight="1">
      <c r="A2757" s="896">
        <v>7</v>
      </c>
      <c r="B2757" s="1609" t="s">
        <v>958</v>
      </c>
      <c r="C2757" s="1609"/>
      <c r="D2757" s="1609"/>
      <c r="E2757" s="1609"/>
      <c r="F2757" s="1609"/>
      <c r="G2757" s="1609"/>
      <c r="H2757" s="1609"/>
      <c r="I2757" s="897"/>
      <c r="J2757" s="898"/>
      <c r="K2757" s="896"/>
      <c r="L2757" s="896"/>
      <c r="M2757" s="899"/>
      <c r="N2757" s="900" t="s">
        <v>2297</v>
      </c>
    </row>
    <row r="2758" spans="1:14" s="910" customFormat="1" ht="16.5" hidden="1" customHeight="1">
      <c r="A2758" s="896"/>
      <c r="B2758" s="902" t="s">
        <v>2100</v>
      </c>
      <c r="C2758" s="903"/>
      <c r="D2758" s="904"/>
      <c r="E2758" s="905"/>
      <c r="F2758" s="906"/>
      <c r="G2758" s="906"/>
      <c r="H2758" s="907"/>
      <c r="I2758" s="908"/>
      <c r="J2758" s="955"/>
      <c r="K2758" s="902"/>
      <c r="L2758" s="896"/>
      <c r="M2758" s="902"/>
      <c r="N2758" s="900" t="s">
        <v>2297</v>
      </c>
    </row>
    <row r="2759" spans="1:14" s="910" customFormat="1" ht="16.5" hidden="1" customHeight="1">
      <c r="A2759" s="896"/>
      <c r="B2759" s="956" t="s">
        <v>939</v>
      </c>
      <c r="C2759" s="957">
        <v>1</v>
      </c>
      <c r="D2759" s="958" t="s">
        <v>273</v>
      </c>
      <c r="E2759" s="1268">
        <v>11</v>
      </c>
      <c r="F2759" s="1290">
        <v>1.25</v>
      </c>
      <c r="G2759" s="960">
        <v>0</v>
      </c>
      <c r="H2759" s="960">
        <v>0</v>
      </c>
      <c r="I2759" s="916">
        <f>ROUND(IF(AND(F2759:H2759),C2759*E2759*F2759*G2759*H2759,IF(AND(F2759,G2759),C2759*E2759*F2759*G2759,IF(AND(F2759,H2759),C2759*E2759*F2759*H2759,IF(AND(G2759,H2759),C2759*E2759*G2759*H2759,IF(F2759,C2759*E2759*F2759,IF(G2759,C2759*E2759*G2759,IF(H2759,C2759*E2759*H2759,C2759*E2759))))))),2)</f>
        <v>13.75</v>
      </c>
      <c r="J2759" s="955" t="s">
        <v>277</v>
      </c>
      <c r="K2759" s="902"/>
      <c r="L2759" s="896"/>
      <c r="M2759" s="902"/>
      <c r="N2759" s="900" t="s">
        <v>2297</v>
      </c>
    </row>
    <row r="2760" spans="1:14" s="910" customFormat="1" ht="16.5" hidden="1" customHeight="1">
      <c r="A2760" s="896"/>
      <c r="B2760" s="956" t="s">
        <v>940</v>
      </c>
      <c r="C2760" s="957">
        <v>1</v>
      </c>
      <c r="D2760" s="958" t="s">
        <v>273</v>
      </c>
      <c r="E2760" s="1268">
        <v>11</v>
      </c>
      <c r="F2760" s="1290">
        <v>1.25</v>
      </c>
      <c r="G2760" s="960">
        <v>0</v>
      </c>
      <c r="H2760" s="960">
        <v>0</v>
      </c>
      <c r="I2760" s="916">
        <f>ROUND(IF(AND(F2760:H2760),C2760*E2760*F2760*G2760*H2760,IF(AND(F2760,G2760),C2760*E2760*F2760*G2760,IF(AND(F2760,H2760),C2760*E2760*F2760*H2760,IF(AND(G2760,H2760),C2760*E2760*G2760*H2760,IF(F2760,C2760*E2760*F2760,IF(G2760,C2760*E2760*G2760,IF(H2760,C2760*E2760*H2760,C2760*E2760))))))),2)</f>
        <v>13.75</v>
      </c>
      <c r="J2760" s="955" t="s">
        <v>277</v>
      </c>
      <c r="K2760" s="902"/>
      <c r="L2760" s="896"/>
      <c r="M2760" s="902"/>
      <c r="N2760" s="900" t="s">
        <v>2297</v>
      </c>
    </row>
    <row r="2761" spans="1:14" s="910" customFormat="1" ht="16.5" hidden="1" customHeight="1">
      <c r="A2761" s="896"/>
      <c r="B2761" s="980" t="s">
        <v>584</v>
      </c>
      <c r="C2761" s="903"/>
      <c r="D2761" s="904"/>
      <c r="E2761" s="905"/>
      <c r="F2761" s="906"/>
      <c r="G2761" s="906"/>
      <c r="H2761" s="907"/>
      <c r="I2761" s="908"/>
      <c r="J2761" s="955"/>
      <c r="K2761" s="902"/>
      <c r="L2761" s="896"/>
      <c r="M2761" s="902"/>
      <c r="N2761" s="900" t="s">
        <v>2297</v>
      </c>
    </row>
    <row r="2762" spans="1:14" s="910" customFormat="1" ht="16.5" hidden="1" customHeight="1">
      <c r="A2762" s="896"/>
      <c r="B2762" s="956" t="s">
        <v>939</v>
      </c>
      <c r="C2762" s="957">
        <v>1</v>
      </c>
      <c r="D2762" s="958" t="s">
        <v>273</v>
      </c>
      <c r="E2762" s="1268">
        <v>7</v>
      </c>
      <c r="F2762" s="1290">
        <v>1.25</v>
      </c>
      <c r="G2762" s="960">
        <v>0</v>
      </c>
      <c r="H2762" s="960">
        <v>0</v>
      </c>
      <c r="I2762" s="916">
        <f>ROUND(IF(AND(F2762:H2762),C2762*E2762*F2762*G2762*H2762,IF(AND(F2762,G2762),C2762*E2762*F2762*G2762,IF(AND(F2762,H2762),C2762*E2762*F2762*H2762,IF(AND(G2762,H2762),C2762*E2762*G2762*H2762,IF(F2762,C2762*E2762*F2762,IF(G2762,C2762*E2762*G2762,IF(H2762,C2762*E2762*H2762,C2762*E2762))))))),2)</f>
        <v>8.75</v>
      </c>
      <c r="J2762" s="955" t="s">
        <v>277</v>
      </c>
      <c r="K2762" s="902"/>
      <c r="L2762" s="896"/>
      <c r="M2762" s="902"/>
      <c r="N2762" s="900" t="s">
        <v>2297</v>
      </c>
    </row>
    <row r="2763" spans="1:14" s="910" customFormat="1" ht="16.5" hidden="1" customHeight="1">
      <c r="A2763" s="896"/>
      <c r="B2763" s="956"/>
      <c r="C2763" s="957"/>
      <c r="D2763" s="958"/>
      <c r="E2763" s="1268"/>
      <c r="F2763" s="1290"/>
      <c r="G2763" s="960"/>
      <c r="H2763" s="960"/>
      <c r="I2763" s="916"/>
      <c r="J2763" s="955"/>
      <c r="K2763" s="902"/>
      <c r="L2763" s="896"/>
      <c r="M2763" s="902"/>
      <c r="N2763" s="900" t="s">
        <v>2297</v>
      </c>
    </row>
    <row r="2764" spans="1:14" ht="15.75" hidden="1">
      <c r="A2764" s="896"/>
      <c r="B2764" s="902"/>
      <c r="C2764" s="917"/>
      <c r="D2764" s="918"/>
      <c r="E2764" s="919"/>
      <c r="F2764" s="920"/>
      <c r="G2764" s="921"/>
      <c r="H2764" s="896"/>
      <c r="I2764" s="916"/>
      <c r="J2764" s="955" t="s">
        <v>277</v>
      </c>
      <c r="K2764" s="922">
        <f>data!G1541</f>
        <v>412</v>
      </c>
      <c r="L2764" s="923" t="s">
        <v>2297</v>
      </c>
      <c r="M2764" s="924">
        <f>ROUND(I2764*K2764,0)</f>
        <v>0</v>
      </c>
      <c r="N2764" s="900" t="s">
        <v>2297</v>
      </c>
    </row>
    <row r="2765" spans="1:14" s="1253" customFormat="1" ht="15.75" hidden="1">
      <c r="A2765" s="967"/>
      <c r="B2765" s="967" t="s">
        <v>2212</v>
      </c>
      <c r="C2765" s="967"/>
      <c r="D2765" s="967"/>
      <c r="E2765" s="967"/>
      <c r="F2765" s="988"/>
      <c r="G2765" s="988"/>
      <c r="H2765" s="967"/>
      <c r="I2765" s="1261"/>
      <c r="J2765" s="1262"/>
      <c r="K2765" s="967"/>
      <c r="L2765" s="967"/>
      <c r="M2765" s="967"/>
      <c r="N2765" s="900" t="s">
        <v>2308</v>
      </c>
    </row>
    <row r="2766" spans="1:14" ht="72" hidden="1" customHeight="1">
      <c r="A2766" s="896">
        <v>37</v>
      </c>
      <c r="B2766" s="1609" t="s">
        <v>3680</v>
      </c>
      <c r="C2766" s="1609"/>
      <c r="D2766" s="1609"/>
      <c r="E2766" s="1609"/>
      <c r="F2766" s="1609"/>
      <c r="G2766" s="1609"/>
      <c r="H2766" s="1609"/>
      <c r="I2766" s="897"/>
      <c r="J2766" s="898"/>
      <c r="K2766" s="896"/>
      <c r="L2766" s="896"/>
      <c r="M2766" s="899"/>
      <c r="N2766" s="900" t="s">
        <v>2308</v>
      </c>
    </row>
    <row r="2767" spans="1:14" s="910" customFormat="1" ht="15.75" hidden="1">
      <c r="A2767" s="896"/>
      <c r="B2767" s="902" t="s">
        <v>3789</v>
      </c>
      <c r="C2767" s="903"/>
      <c r="D2767" s="954" t="s">
        <v>3819</v>
      </c>
      <c r="E2767" s="905"/>
      <c r="F2767" s="906"/>
      <c r="G2767" s="906"/>
      <c r="H2767" s="907"/>
      <c r="I2767" s="908"/>
      <c r="J2767" s="955"/>
      <c r="K2767" s="902"/>
      <c r="L2767" s="896"/>
      <c r="M2767" s="902"/>
      <c r="N2767" s="900" t="s">
        <v>2308</v>
      </c>
    </row>
    <row r="2768" spans="1:14" s="910" customFormat="1" ht="15.75" hidden="1">
      <c r="A2768" s="896"/>
      <c r="B2768" s="1297" t="s">
        <v>3788</v>
      </c>
      <c r="C2768" s="1298">
        <v>1</v>
      </c>
      <c r="D2768" s="1299" t="s">
        <v>273</v>
      </c>
      <c r="E2768" s="1300">
        <v>1</v>
      </c>
      <c r="F2768" s="1301">
        <v>0</v>
      </c>
      <c r="G2768" s="1301">
        <v>0</v>
      </c>
      <c r="H2768" s="1301">
        <v>0</v>
      </c>
      <c r="I2768" s="1291">
        <f>ROUND(IF(AND(F2768:H2768),C2768*E2768*F2768*G2768*H2768,IF(AND(F2768,G2768),C2768*E2768*F2768*G2768,IF(AND(F2768,H2768),C2768*E2768*F2768*H2768,IF(AND(G2768,H2768),C2768*E2768*G2768*H2768,IF(F2768,C2768*E2768*F2768,IF(G2768,C2768*E2768*G2768,IF(H2768,C2768*E2768*H2768,C2768*E2768))))))),2)</f>
        <v>1</v>
      </c>
      <c r="J2768" s="955" t="s">
        <v>115</v>
      </c>
      <c r="K2768" s="902"/>
      <c r="L2768" s="896"/>
      <c r="M2768" s="902"/>
      <c r="N2768" s="900" t="s">
        <v>2308</v>
      </c>
    </row>
    <row r="2769" spans="1:14" s="910" customFormat="1" ht="15.75" hidden="1">
      <c r="A2769" s="896"/>
      <c r="B2769" s="956"/>
      <c r="C2769" s="957"/>
      <c r="D2769" s="958"/>
      <c r="E2769" s="1268"/>
      <c r="F2769" s="960"/>
      <c r="G2769" s="960"/>
      <c r="H2769" s="960"/>
      <c r="I2769" s="1291"/>
      <c r="J2769" s="955"/>
      <c r="K2769" s="902"/>
      <c r="L2769" s="896"/>
      <c r="M2769" s="902"/>
      <c r="N2769" s="900" t="s">
        <v>2308</v>
      </c>
    </row>
    <row r="2770" spans="1:14" ht="15.75" hidden="1">
      <c r="A2770" s="896"/>
      <c r="B2770" s="902"/>
      <c r="C2770" s="917"/>
      <c r="D2770" s="918"/>
      <c r="E2770" s="919"/>
      <c r="F2770" s="920"/>
      <c r="G2770" s="921"/>
      <c r="H2770" s="896"/>
      <c r="I2770" s="1291"/>
      <c r="J2770" s="955" t="s">
        <v>115</v>
      </c>
      <c r="K2770" s="922">
        <f>'D&amp;W data'!H495</f>
        <v>18903.09</v>
      </c>
      <c r="L2770" s="923" t="s">
        <v>2308</v>
      </c>
      <c r="M2770" s="924">
        <f>ROUND(I2770*K2770,0)</f>
        <v>0</v>
      </c>
      <c r="N2770" s="900" t="s">
        <v>2308</v>
      </c>
    </row>
    <row r="2771" spans="1:14" ht="72" hidden="1" customHeight="1">
      <c r="A2771" s="896">
        <v>2</v>
      </c>
      <c r="B2771" s="1609" t="s">
        <v>2096</v>
      </c>
      <c r="C2771" s="1609"/>
      <c r="D2771" s="1609"/>
      <c r="E2771" s="1609"/>
      <c r="F2771" s="1609"/>
      <c r="G2771" s="1609"/>
      <c r="H2771" s="1609"/>
      <c r="I2771" s="897"/>
      <c r="J2771" s="898"/>
      <c r="K2771" s="896"/>
      <c r="L2771" s="896"/>
      <c r="M2771" s="899"/>
      <c r="N2771" s="900" t="s">
        <v>2308</v>
      </c>
    </row>
    <row r="2772" spans="1:14" s="910" customFormat="1" ht="15.75" hidden="1">
      <c r="A2772" s="896"/>
      <c r="B2772" s="902" t="s">
        <v>2327</v>
      </c>
      <c r="C2772" s="903"/>
      <c r="D2772" s="904"/>
      <c r="E2772" s="905"/>
      <c r="F2772" s="906"/>
      <c r="G2772" s="906"/>
      <c r="H2772" s="907"/>
      <c r="I2772" s="908"/>
      <c r="J2772" s="955"/>
      <c r="K2772" s="902"/>
      <c r="L2772" s="896"/>
      <c r="M2772" s="902"/>
      <c r="N2772" s="900" t="s">
        <v>2308</v>
      </c>
    </row>
    <row r="2773" spans="1:14" s="910" customFormat="1" ht="15.75" hidden="1">
      <c r="A2773" s="896"/>
      <c r="B2773" s="956"/>
      <c r="C2773" s="957">
        <v>1</v>
      </c>
      <c r="D2773" s="958" t="s">
        <v>273</v>
      </c>
      <c r="E2773" s="1268">
        <v>3</v>
      </c>
      <c r="F2773" s="960">
        <v>0</v>
      </c>
      <c r="G2773" s="960">
        <v>0</v>
      </c>
      <c r="H2773" s="960">
        <v>0</v>
      </c>
      <c r="I2773" s="1291">
        <f>ROUND(IF(AND(F2773:H2773),C2773*E2773*F2773*G2773*H2773,IF(AND(F2773,G2773),C2773*E2773*F2773*G2773,IF(AND(F2773,H2773),C2773*E2773*F2773*H2773,IF(AND(G2773,H2773),C2773*E2773*G2773*H2773,IF(F2773,C2773*E2773*F2773,IF(G2773,C2773*E2773*G2773,IF(H2773,C2773*E2773*H2773,C2773*E2773))))))),2)</f>
        <v>3</v>
      </c>
      <c r="J2773" s="955" t="s">
        <v>115</v>
      </c>
      <c r="K2773" s="902"/>
      <c r="L2773" s="896"/>
      <c r="M2773" s="902"/>
      <c r="N2773" s="900" t="s">
        <v>2308</v>
      </c>
    </row>
    <row r="2774" spans="1:14" s="910" customFormat="1" ht="15.75" hidden="1">
      <c r="A2774" s="896"/>
      <c r="B2774" s="956"/>
      <c r="C2774" s="957"/>
      <c r="D2774" s="958"/>
      <c r="E2774" s="1268"/>
      <c r="F2774" s="960"/>
      <c r="G2774" s="960"/>
      <c r="H2774" s="960"/>
      <c r="I2774" s="1291"/>
      <c r="J2774" s="955"/>
      <c r="K2774" s="902"/>
      <c r="L2774" s="896"/>
      <c r="M2774" s="902"/>
      <c r="N2774" s="900" t="s">
        <v>2308</v>
      </c>
    </row>
    <row r="2775" spans="1:14" ht="15.75" hidden="1">
      <c r="A2775" s="896"/>
      <c r="B2775" s="902"/>
      <c r="C2775" s="917"/>
      <c r="D2775" s="918"/>
      <c r="E2775" s="919"/>
      <c r="F2775" s="920"/>
      <c r="G2775" s="921"/>
      <c r="H2775" s="896"/>
      <c r="I2775" s="1291"/>
      <c r="J2775" s="955" t="s">
        <v>115</v>
      </c>
      <c r="K2775" s="922">
        <f>'D&amp;W data'!H513</f>
        <v>11215.33</v>
      </c>
      <c r="L2775" s="923" t="s">
        <v>2308</v>
      </c>
      <c r="M2775" s="924">
        <f>ROUND(I2775*K2775,0)</f>
        <v>0</v>
      </c>
      <c r="N2775" s="900" t="s">
        <v>2308</v>
      </c>
    </row>
    <row r="2776" spans="1:14" ht="72" hidden="1" customHeight="1">
      <c r="A2776" s="896">
        <v>3</v>
      </c>
      <c r="B2776" s="1609" t="s">
        <v>2200</v>
      </c>
      <c r="C2776" s="1609"/>
      <c r="D2776" s="1609"/>
      <c r="E2776" s="1609"/>
      <c r="F2776" s="1609"/>
      <c r="G2776" s="1609"/>
      <c r="H2776" s="1609"/>
      <c r="I2776" s="897"/>
      <c r="J2776" s="898"/>
      <c r="K2776" s="896"/>
      <c r="L2776" s="896"/>
      <c r="M2776" s="899"/>
      <c r="N2776" s="900" t="s">
        <v>2308</v>
      </c>
    </row>
    <row r="2777" spans="1:14" s="910" customFormat="1" ht="15.75" hidden="1">
      <c r="A2777" s="896"/>
      <c r="B2777" s="902" t="s">
        <v>2328</v>
      </c>
      <c r="C2777" s="903"/>
      <c r="D2777" s="904"/>
      <c r="E2777" s="905"/>
      <c r="F2777" s="906"/>
      <c r="G2777" s="906"/>
      <c r="H2777" s="907"/>
      <c r="I2777" s="908"/>
      <c r="J2777" s="955"/>
      <c r="K2777" s="902"/>
      <c r="L2777" s="896"/>
      <c r="M2777" s="902"/>
      <c r="N2777" s="900" t="s">
        <v>2308</v>
      </c>
    </row>
    <row r="2778" spans="1:14" s="910" customFormat="1" ht="15.75" hidden="1">
      <c r="A2778" s="896"/>
      <c r="B2778" s="956"/>
      <c r="C2778" s="957">
        <v>1</v>
      </c>
      <c r="D2778" s="958" t="s">
        <v>273</v>
      </c>
      <c r="E2778" s="1268">
        <v>1</v>
      </c>
      <c r="F2778" s="960">
        <v>0</v>
      </c>
      <c r="G2778" s="960">
        <v>0</v>
      </c>
      <c r="H2778" s="960">
        <v>0</v>
      </c>
      <c r="I2778" s="1291">
        <f>ROUND(IF(AND(F2778:H2778),C2778*E2778*F2778*G2778*H2778,IF(AND(F2778,G2778),C2778*E2778*F2778*G2778,IF(AND(F2778,H2778),C2778*E2778*F2778*H2778,IF(AND(G2778,H2778),C2778*E2778*G2778*H2778,IF(F2778,C2778*E2778*F2778,IF(G2778,C2778*E2778*G2778,IF(H2778,C2778*E2778*H2778,C2778*E2778))))))),2)</f>
        <v>1</v>
      </c>
      <c r="J2778" s="955" t="s">
        <v>115</v>
      </c>
      <c r="K2778" s="902"/>
      <c r="L2778" s="896"/>
      <c r="M2778" s="902"/>
      <c r="N2778" s="900" t="s">
        <v>2308</v>
      </c>
    </row>
    <row r="2779" spans="1:14" s="910" customFormat="1" ht="15.75" hidden="1">
      <c r="A2779" s="896"/>
      <c r="B2779" s="956"/>
      <c r="C2779" s="957"/>
      <c r="D2779" s="958"/>
      <c r="E2779" s="1268"/>
      <c r="F2779" s="960"/>
      <c r="G2779" s="960"/>
      <c r="H2779" s="960"/>
      <c r="I2779" s="1291"/>
      <c r="J2779" s="955"/>
      <c r="K2779" s="902"/>
      <c r="L2779" s="896"/>
      <c r="M2779" s="902"/>
      <c r="N2779" s="900" t="s">
        <v>2308</v>
      </c>
    </row>
    <row r="2780" spans="1:14" ht="15.75" hidden="1">
      <c r="A2780" s="896"/>
      <c r="B2780" s="902"/>
      <c r="C2780" s="917"/>
      <c r="D2780" s="918"/>
      <c r="E2780" s="919"/>
      <c r="F2780" s="920"/>
      <c r="G2780" s="921"/>
      <c r="H2780" s="896"/>
      <c r="I2780" s="1291"/>
      <c r="J2780" s="955" t="s">
        <v>115</v>
      </c>
      <c r="K2780" s="922">
        <f>'D&amp;W data'!H531</f>
        <v>10134.49</v>
      </c>
      <c r="L2780" s="923" t="s">
        <v>2308</v>
      </c>
      <c r="M2780" s="924">
        <f>ROUND(I2780*K2780,0)</f>
        <v>0</v>
      </c>
      <c r="N2780" s="900" t="s">
        <v>2308</v>
      </c>
    </row>
    <row r="2781" spans="1:14" ht="71.25" hidden="1" customHeight="1">
      <c r="A2781" s="896">
        <v>38</v>
      </c>
      <c r="B2781" s="1609" t="s">
        <v>3681</v>
      </c>
      <c r="C2781" s="1609"/>
      <c r="D2781" s="1609"/>
      <c r="E2781" s="1609"/>
      <c r="F2781" s="1609"/>
      <c r="G2781" s="1609"/>
      <c r="H2781" s="1609"/>
      <c r="I2781" s="897"/>
      <c r="J2781" s="898"/>
      <c r="K2781" s="896"/>
      <c r="L2781" s="896"/>
      <c r="M2781" s="899"/>
      <c r="N2781" s="900" t="s">
        <v>2308</v>
      </c>
    </row>
    <row r="2782" spans="1:14" s="910" customFormat="1" ht="15.75" hidden="1">
      <c r="A2782" s="896"/>
      <c r="B2782" s="902" t="s">
        <v>3662</v>
      </c>
      <c r="C2782" s="903"/>
      <c r="D2782" s="954" t="s">
        <v>3819</v>
      </c>
      <c r="E2782" s="905"/>
      <c r="F2782" s="906"/>
      <c r="G2782" s="906"/>
      <c r="H2782" s="907"/>
      <c r="I2782" s="908"/>
      <c r="J2782" s="955"/>
      <c r="K2782" s="902"/>
      <c r="L2782" s="896"/>
      <c r="M2782" s="902"/>
      <c r="N2782" s="900" t="s">
        <v>2308</v>
      </c>
    </row>
    <row r="2783" spans="1:14" s="910" customFormat="1" ht="15.75" hidden="1">
      <c r="A2783" s="896"/>
      <c r="B2783" s="1297"/>
      <c r="C2783" s="1298">
        <v>1</v>
      </c>
      <c r="D2783" s="1299" t="s">
        <v>273</v>
      </c>
      <c r="E2783" s="1300">
        <v>1</v>
      </c>
      <c r="F2783" s="1301">
        <v>0</v>
      </c>
      <c r="G2783" s="1301">
        <v>0</v>
      </c>
      <c r="H2783" s="1301">
        <v>0</v>
      </c>
      <c r="I2783" s="1291">
        <f>ROUND(IF(AND(F2783:H2783),C2783*E2783*F2783*G2783*H2783,IF(AND(F2783,G2783),C2783*E2783*F2783*G2783,IF(AND(F2783,H2783),C2783*E2783*F2783*H2783,IF(AND(G2783,H2783),C2783*E2783*G2783*H2783,IF(F2783,C2783*E2783*F2783,IF(G2783,C2783*E2783*G2783,IF(H2783,C2783*E2783*H2783,C2783*E2783))))))),2)</f>
        <v>1</v>
      </c>
      <c r="J2783" s="955" t="s">
        <v>115</v>
      </c>
      <c r="K2783" s="902"/>
      <c r="L2783" s="896"/>
      <c r="M2783" s="902"/>
      <c r="N2783" s="900" t="s">
        <v>2308</v>
      </c>
    </row>
    <row r="2784" spans="1:14" s="910" customFormat="1" ht="15.75" hidden="1">
      <c r="A2784" s="896"/>
      <c r="B2784" s="956"/>
      <c r="C2784" s="957"/>
      <c r="D2784" s="958"/>
      <c r="E2784" s="1268"/>
      <c r="F2784" s="960"/>
      <c r="G2784" s="960"/>
      <c r="H2784" s="960"/>
      <c r="I2784" s="1291"/>
      <c r="J2784" s="955"/>
      <c r="K2784" s="902"/>
      <c r="L2784" s="896"/>
      <c r="M2784" s="902"/>
      <c r="N2784" s="900" t="s">
        <v>2308</v>
      </c>
    </row>
    <row r="2785" spans="1:14" ht="15.75" hidden="1">
      <c r="A2785" s="896"/>
      <c r="B2785" s="902"/>
      <c r="C2785" s="917"/>
      <c r="D2785" s="918"/>
      <c r="E2785" s="919"/>
      <c r="F2785" s="920"/>
      <c r="G2785" s="921"/>
      <c r="H2785" s="896"/>
      <c r="I2785" s="1291"/>
      <c r="J2785" s="955" t="s">
        <v>115</v>
      </c>
      <c r="K2785" s="922">
        <f>'D&amp;W data'!H550</f>
        <v>12770.460000000001</v>
      </c>
      <c r="L2785" s="923" t="s">
        <v>2308</v>
      </c>
      <c r="M2785" s="924">
        <f>ROUND(I2785*K2785,0)</f>
        <v>0</v>
      </c>
      <c r="N2785" s="900" t="s">
        <v>2308</v>
      </c>
    </row>
    <row r="2786" spans="1:14" ht="71.25" hidden="1" customHeight="1">
      <c r="A2786" s="896">
        <v>39</v>
      </c>
      <c r="B2786" s="1609" t="s">
        <v>3683</v>
      </c>
      <c r="C2786" s="1609"/>
      <c r="D2786" s="1609"/>
      <c r="E2786" s="1609"/>
      <c r="F2786" s="1609"/>
      <c r="G2786" s="1609"/>
      <c r="H2786" s="1609"/>
      <c r="I2786" s="897"/>
      <c r="J2786" s="898"/>
      <c r="K2786" s="896"/>
      <c r="L2786" s="896"/>
      <c r="M2786" s="899"/>
      <c r="N2786" s="900" t="s">
        <v>2308</v>
      </c>
    </row>
    <row r="2787" spans="1:14" s="910" customFormat="1" ht="15.75" hidden="1">
      <c r="A2787" s="896"/>
      <c r="B2787" s="902" t="s">
        <v>3790</v>
      </c>
      <c r="C2787" s="903"/>
      <c r="D2787" s="954" t="s">
        <v>3819</v>
      </c>
      <c r="E2787" s="905"/>
      <c r="F2787" s="906"/>
      <c r="G2787" s="906"/>
      <c r="H2787" s="907"/>
      <c r="I2787" s="908"/>
      <c r="J2787" s="955"/>
      <c r="K2787" s="902"/>
      <c r="L2787" s="896"/>
      <c r="M2787" s="902"/>
      <c r="N2787" s="900" t="s">
        <v>2308</v>
      </c>
    </row>
    <row r="2788" spans="1:14" s="910" customFormat="1" ht="15.75" hidden="1">
      <c r="A2788" s="896"/>
      <c r="B2788" s="1297"/>
      <c r="C2788" s="1298">
        <v>1</v>
      </c>
      <c r="D2788" s="1299" t="s">
        <v>273</v>
      </c>
      <c r="E2788" s="1300">
        <v>1</v>
      </c>
      <c r="F2788" s="1301">
        <v>0</v>
      </c>
      <c r="G2788" s="1301">
        <v>0</v>
      </c>
      <c r="H2788" s="1301">
        <v>0</v>
      </c>
      <c r="I2788" s="916">
        <f>ROUND(IF(AND(F2788:H2788),C2788*E2788*F2788*G2788*H2788,IF(AND(F2788,G2788),C2788*E2788*F2788*G2788,IF(AND(F2788,H2788),C2788*E2788*F2788*H2788,IF(AND(G2788,H2788),C2788*E2788*G2788*H2788,IF(F2788,C2788*E2788*F2788,IF(G2788,C2788*E2788*G2788,IF(H2788,C2788*E2788*H2788,C2788*E2788))))))),2)</f>
        <v>1</v>
      </c>
      <c r="J2788" s="955" t="s">
        <v>115</v>
      </c>
      <c r="K2788" s="902"/>
      <c r="L2788" s="896"/>
      <c r="M2788" s="902"/>
      <c r="N2788" s="900" t="s">
        <v>2308</v>
      </c>
    </row>
    <row r="2789" spans="1:14" s="910" customFormat="1" ht="15.75" hidden="1">
      <c r="A2789" s="896"/>
      <c r="B2789" s="956"/>
      <c r="C2789" s="957"/>
      <c r="D2789" s="958"/>
      <c r="E2789" s="1268"/>
      <c r="F2789" s="960"/>
      <c r="G2789" s="960"/>
      <c r="H2789" s="960"/>
      <c r="I2789" s="916"/>
      <c r="J2789" s="955"/>
      <c r="K2789" s="902"/>
      <c r="L2789" s="896"/>
      <c r="M2789" s="902"/>
      <c r="N2789" s="900" t="s">
        <v>2308</v>
      </c>
    </row>
    <row r="2790" spans="1:14" ht="15.75" hidden="1">
      <c r="A2790" s="896"/>
      <c r="B2790" s="902"/>
      <c r="C2790" s="917"/>
      <c r="D2790" s="918"/>
      <c r="E2790" s="919"/>
      <c r="F2790" s="920"/>
      <c r="G2790" s="921"/>
      <c r="H2790" s="896"/>
      <c r="I2790" s="916"/>
      <c r="J2790" s="955" t="s">
        <v>115</v>
      </c>
      <c r="K2790" s="922">
        <f>'D&amp;W data'!H569</f>
        <v>10756.689999999999</v>
      </c>
      <c r="L2790" s="923" t="s">
        <v>2308</v>
      </c>
      <c r="M2790" s="924">
        <f>ROUND(I2790*K2790,0)</f>
        <v>0</v>
      </c>
      <c r="N2790" s="900" t="s">
        <v>2308</v>
      </c>
    </row>
    <row r="2791" spans="1:14" ht="71.25" hidden="1" customHeight="1">
      <c r="A2791" s="896">
        <v>36</v>
      </c>
      <c r="B2791" s="1609" t="s">
        <v>2137</v>
      </c>
      <c r="C2791" s="1609"/>
      <c r="D2791" s="1609"/>
      <c r="E2791" s="1609"/>
      <c r="F2791" s="1609"/>
      <c r="G2791" s="1609"/>
      <c r="H2791" s="1609"/>
      <c r="I2791" s="897"/>
      <c r="J2791" s="898"/>
      <c r="K2791" s="896"/>
      <c r="L2791" s="896"/>
      <c r="M2791" s="899"/>
      <c r="N2791" s="900" t="s">
        <v>2308</v>
      </c>
    </row>
    <row r="2792" spans="1:14" s="910" customFormat="1" ht="15.75" hidden="1">
      <c r="A2792" s="896"/>
      <c r="B2792" s="902" t="s">
        <v>3576</v>
      </c>
      <c r="C2792" s="903"/>
      <c r="D2792" s="904"/>
      <c r="E2792" s="905"/>
      <c r="F2792" s="906"/>
      <c r="G2792" s="906"/>
      <c r="H2792" s="907"/>
      <c r="I2792" s="908"/>
      <c r="J2792" s="955"/>
      <c r="K2792" s="902"/>
      <c r="L2792" s="896"/>
      <c r="M2792" s="902"/>
      <c r="N2792" s="900" t="s">
        <v>2308</v>
      </c>
    </row>
    <row r="2793" spans="1:14" s="910" customFormat="1" ht="15.75" hidden="1">
      <c r="A2793" s="896"/>
      <c r="B2793" s="911" t="s">
        <v>583</v>
      </c>
      <c r="C2793" s="912">
        <v>1</v>
      </c>
      <c r="D2793" s="913" t="s">
        <v>273</v>
      </c>
      <c r="E2793" s="914">
        <v>1</v>
      </c>
      <c r="F2793" s="915">
        <v>0</v>
      </c>
      <c r="G2793" s="915">
        <v>0</v>
      </c>
      <c r="H2793" s="915">
        <v>0</v>
      </c>
      <c r="I2793" s="1291">
        <f>ROUND(IF(AND(F2793:H2793),C2793*E2793*F2793*G2793*H2793,IF(AND(F2793,G2793),C2793*E2793*F2793*G2793,IF(AND(F2793,H2793),C2793*E2793*F2793*H2793,IF(AND(G2793,H2793),C2793*E2793*G2793*H2793,IF(F2793,C2793*E2793*F2793,IF(G2793,C2793*E2793*G2793,IF(H2793,C2793*E2793*H2793,C2793*E2793))))))),2)</f>
        <v>1</v>
      </c>
      <c r="J2793" s="955" t="s">
        <v>115</v>
      </c>
      <c r="K2793" s="902"/>
      <c r="L2793" s="896"/>
      <c r="M2793" s="902"/>
      <c r="N2793" s="900" t="s">
        <v>2308</v>
      </c>
    </row>
    <row r="2794" spans="1:14" s="910" customFormat="1" ht="15.75" hidden="1">
      <c r="A2794" s="896"/>
      <c r="B2794" s="956"/>
      <c r="C2794" s="957"/>
      <c r="D2794" s="958"/>
      <c r="E2794" s="1268"/>
      <c r="F2794" s="960"/>
      <c r="G2794" s="960"/>
      <c r="H2794" s="960"/>
      <c r="I2794" s="1291"/>
      <c r="J2794" s="955"/>
      <c r="K2794" s="902"/>
      <c r="L2794" s="896"/>
      <c r="M2794" s="902"/>
      <c r="N2794" s="900" t="s">
        <v>2308</v>
      </c>
    </row>
    <row r="2795" spans="1:14" ht="15.75" hidden="1">
      <c r="A2795" s="896"/>
      <c r="B2795" s="902"/>
      <c r="C2795" s="917"/>
      <c r="D2795" s="918"/>
      <c r="E2795" s="919"/>
      <c r="F2795" s="920"/>
      <c r="G2795" s="921"/>
      <c r="H2795" s="896"/>
      <c r="I2795" s="1291"/>
      <c r="J2795" s="955" t="s">
        <v>115</v>
      </c>
      <c r="K2795" s="922">
        <f>'D&amp;W data'!H664</f>
        <v>9185.3799999999992</v>
      </c>
      <c r="L2795" s="923" t="s">
        <v>2308</v>
      </c>
      <c r="M2795" s="924">
        <f>ROUND(I2795*K2795,0)</f>
        <v>0</v>
      </c>
      <c r="N2795" s="900" t="s">
        <v>2308</v>
      </c>
    </row>
    <row r="2796" spans="1:14" ht="71.25" hidden="1" customHeight="1">
      <c r="A2796" s="896">
        <v>3</v>
      </c>
      <c r="B2796" s="1609" t="s">
        <v>1632</v>
      </c>
      <c r="C2796" s="1609"/>
      <c r="D2796" s="1609"/>
      <c r="E2796" s="1609"/>
      <c r="F2796" s="1609"/>
      <c r="G2796" s="1609"/>
      <c r="H2796" s="1609"/>
      <c r="I2796" s="897"/>
      <c r="J2796" s="898"/>
      <c r="K2796" s="896"/>
      <c r="L2796" s="896"/>
      <c r="M2796" s="899"/>
      <c r="N2796" s="900" t="s">
        <v>2308</v>
      </c>
    </row>
    <row r="2797" spans="1:14" s="910" customFormat="1" ht="15.75" hidden="1">
      <c r="A2797" s="896"/>
      <c r="B2797" s="902" t="s">
        <v>3663</v>
      </c>
      <c r="C2797" s="903"/>
      <c r="D2797" s="904"/>
      <c r="E2797" s="905"/>
      <c r="F2797" s="906"/>
      <c r="G2797" s="906"/>
      <c r="H2797" s="907"/>
      <c r="I2797" s="908"/>
      <c r="J2797" s="955"/>
      <c r="K2797" s="902"/>
      <c r="L2797" s="896"/>
      <c r="M2797" s="902"/>
      <c r="N2797" s="900" t="s">
        <v>2308</v>
      </c>
    </row>
    <row r="2798" spans="1:14" s="910" customFormat="1" ht="15.75" hidden="1">
      <c r="A2798" s="896"/>
      <c r="B2798" s="1297"/>
      <c r="C2798" s="1298">
        <v>1</v>
      </c>
      <c r="D2798" s="1299" t="s">
        <v>273</v>
      </c>
      <c r="E2798" s="1300">
        <v>1</v>
      </c>
      <c r="F2798" s="1301">
        <v>0</v>
      </c>
      <c r="G2798" s="1301">
        <v>0</v>
      </c>
      <c r="H2798" s="1301">
        <v>0</v>
      </c>
      <c r="I2798" s="916">
        <f>ROUND(IF(AND(F2798:H2798),C2798*E2798*F2798*G2798*H2798,IF(AND(F2798,G2798),C2798*E2798*F2798*G2798,IF(AND(F2798,H2798),C2798*E2798*F2798*H2798,IF(AND(G2798,H2798),C2798*E2798*G2798*H2798,IF(F2798,C2798*E2798*F2798,IF(G2798,C2798*E2798*G2798,IF(H2798,C2798*E2798*H2798,C2798*E2798))))))),2)</f>
        <v>1</v>
      </c>
      <c r="J2798" s="955" t="s">
        <v>115</v>
      </c>
      <c r="K2798" s="902"/>
      <c r="L2798" s="896"/>
      <c r="M2798" s="902"/>
      <c r="N2798" s="900" t="s">
        <v>2308</v>
      </c>
    </row>
    <row r="2799" spans="1:14" s="910" customFormat="1" ht="15.75" hidden="1">
      <c r="A2799" s="896"/>
      <c r="B2799" s="956"/>
      <c r="C2799" s="957"/>
      <c r="D2799" s="958"/>
      <c r="E2799" s="1268"/>
      <c r="F2799" s="960"/>
      <c r="G2799" s="960"/>
      <c r="H2799" s="960"/>
      <c r="I2799" s="916"/>
      <c r="J2799" s="955"/>
      <c r="K2799" s="902"/>
      <c r="L2799" s="896"/>
      <c r="M2799" s="902"/>
      <c r="N2799" s="900" t="s">
        <v>2308</v>
      </c>
    </row>
    <row r="2800" spans="1:14" ht="15.75" hidden="1">
      <c r="A2800" s="896"/>
      <c r="B2800" s="902"/>
      <c r="C2800" s="917"/>
      <c r="D2800" s="918"/>
      <c r="E2800" s="919"/>
      <c r="F2800" s="920"/>
      <c r="G2800" s="921"/>
      <c r="H2800" s="896"/>
      <c r="I2800" s="916"/>
      <c r="J2800" s="955" t="s">
        <v>115</v>
      </c>
      <c r="K2800" s="922">
        <f>'D&amp;W data'!H607</f>
        <v>6584.41</v>
      </c>
      <c r="L2800" s="923" t="s">
        <v>2308</v>
      </c>
      <c r="M2800" s="924">
        <f>ROUND(I2800*K2800,0)</f>
        <v>0</v>
      </c>
      <c r="N2800" s="900" t="s">
        <v>2308</v>
      </c>
    </row>
    <row r="2801" spans="1:14" ht="71.25" hidden="1" customHeight="1">
      <c r="A2801" s="896">
        <v>40</v>
      </c>
      <c r="B2801" s="1609" t="s">
        <v>804</v>
      </c>
      <c r="C2801" s="1609"/>
      <c r="D2801" s="1609"/>
      <c r="E2801" s="1609"/>
      <c r="F2801" s="1609"/>
      <c r="G2801" s="1609"/>
      <c r="H2801" s="1609"/>
      <c r="I2801" s="897"/>
      <c r="J2801" s="898"/>
      <c r="K2801" s="896"/>
      <c r="L2801" s="896"/>
      <c r="M2801" s="899"/>
      <c r="N2801" s="900" t="s">
        <v>2308</v>
      </c>
    </row>
    <row r="2802" spans="1:14" s="910" customFormat="1" ht="15.75" hidden="1">
      <c r="A2802" s="896"/>
      <c r="B2802" s="1274" t="s">
        <v>2319</v>
      </c>
      <c r="C2802" s="903"/>
      <c r="D2802" s="904"/>
      <c r="E2802" s="905"/>
      <c r="F2802" s="906"/>
      <c r="G2802" s="906"/>
      <c r="H2802" s="907"/>
      <c r="I2802" s="908"/>
      <c r="J2802" s="955"/>
      <c r="K2802" s="902"/>
      <c r="L2802" s="896"/>
      <c r="M2802" s="902"/>
      <c r="N2802" s="900" t="s">
        <v>2308</v>
      </c>
    </row>
    <row r="2803" spans="1:14" s="910" customFormat="1" ht="15.75" hidden="1">
      <c r="A2803" s="896"/>
      <c r="B2803" s="956" t="s">
        <v>583</v>
      </c>
      <c r="C2803" s="957">
        <v>2</v>
      </c>
      <c r="D2803" s="958" t="s">
        <v>273</v>
      </c>
      <c r="E2803" s="1268">
        <v>1</v>
      </c>
      <c r="F2803" s="960">
        <v>0</v>
      </c>
      <c r="G2803" s="960">
        <v>0</v>
      </c>
      <c r="H2803" s="960">
        <v>0</v>
      </c>
      <c r="I2803" s="1291">
        <f>ROUND(IF(AND(F2803:H2803),C2803*E2803*F2803*G2803*H2803,IF(AND(F2803,G2803),C2803*E2803*F2803*G2803,IF(AND(F2803,H2803),C2803*E2803*F2803*H2803,IF(AND(G2803,H2803),C2803*E2803*G2803*H2803,IF(F2803,C2803*E2803*F2803,IF(G2803,C2803*E2803*G2803,IF(H2803,C2803*E2803*H2803,C2803*E2803))))))),2)</f>
        <v>2</v>
      </c>
      <c r="J2803" s="955" t="s">
        <v>115</v>
      </c>
      <c r="K2803" s="902"/>
      <c r="L2803" s="896"/>
      <c r="M2803" s="902"/>
      <c r="N2803" s="900" t="s">
        <v>2308</v>
      </c>
    </row>
    <row r="2804" spans="1:14" s="910" customFormat="1" ht="15.75" hidden="1">
      <c r="A2804" s="896"/>
      <c r="B2804" s="1274" t="s">
        <v>2330</v>
      </c>
      <c r="C2804" s="903"/>
      <c r="D2804" s="904"/>
      <c r="E2804" s="905"/>
      <c r="F2804" s="906"/>
      <c r="G2804" s="906"/>
      <c r="H2804" s="907"/>
      <c r="I2804" s="1302"/>
      <c r="J2804" s="955"/>
      <c r="K2804" s="902"/>
      <c r="L2804" s="896"/>
      <c r="M2804" s="902"/>
      <c r="N2804" s="900" t="s">
        <v>2308</v>
      </c>
    </row>
    <row r="2805" spans="1:14" s="910" customFormat="1" ht="15.75" hidden="1">
      <c r="A2805" s="896"/>
      <c r="B2805" s="956" t="s">
        <v>584</v>
      </c>
      <c r="C2805" s="957">
        <v>3</v>
      </c>
      <c r="D2805" s="958" t="s">
        <v>273</v>
      </c>
      <c r="E2805" s="1268">
        <v>1</v>
      </c>
      <c r="F2805" s="960">
        <v>0</v>
      </c>
      <c r="G2805" s="960">
        <v>0</v>
      </c>
      <c r="H2805" s="960">
        <v>0</v>
      </c>
      <c r="I2805" s="1291">
        <f>ROUND(IF(AND(F2805:H2805),C2805*E2805*F2805*G2805*H2805,IF(AND(F2805,G2805),C2805*E2805*F2805*G2805,IF(AND(F2805,H2805),C2805*E2805*F2805*H2805,IF(AND(G2805,H2805),C2805*E2805*G2805*H2805,IF(F2805,C2805*E2805*F2805,IF(G2805,C2805*E2805*G2805,IF(H2805,C2805*E2805*H2805,C2805*E2805))))))),2)</f>
        <v>3</v>
      </c>
      <c r="J2805" s="955" t="s">
        <v>115</v>
      </c>
      <c r="K2805" s="902"/>
      <c r="L2805" s="896"/>
      <c r="M2805" s="902"/>
      <c r="N2805" s="900" t="s">
        <v>2308</v>
      </c>
    </row>
    <row r="2806" spans="1:14" s="910" customFormat="1" ht="15.75" hidden="1">
      <c r="A2806" s="896"/>
      <c r="B2806" s="956"/>
      <c r="C2806" s="957"/>
      <c r="D2806" s="958"/>
      <c r="E2806" s="1268"/>
      <c r="F2806" s="960"/>
      <c r="G2806" s="960"/>
      <c r="H2806" s="960"/>
      <c r="I2806" s="1291"/>
      <c r="J2806" s="955"/>
      <c r="K2806" s="902"/>
      <c r="L2806" s="896"/>
      <c r="M2806" s="902"/>
      <c r="N2806" s="900" t="s">
        <v>2308</v>
      </c>
    </row>
    <row r="2807" spans="1:14" ht="15.75" hidden="1">
      <c r="A2807" s="896"/>
      <c r="B2807" s="902"/>
      <c r="C2807" s="917"/>
      <c r="D2807" s="918"/>
      <c r="E2807" s="919"/>
      <c r="F2807" s="920"/>
      <c r="G2807" s="921"/>
      <c r="H2807" s="896"/>
      <c r="I2807" s="1291"/>
      <c r="J2807" s="955" t="s">
        <v>115</v>
      </c>
      <c r="K2807" s="922">
        <f>'D&amp;W data'!H626</f>
        <v>13789.809999999998</v>
      </c>
      <c r="L2807" s="923" t="s">
        <v>2308</v>
      </c>
      <c r="M2807" s="924">
        <f>ROUND(I2807*K2807,0)</f>
        <v>0</v>
      </c>
      <c r="N2807" s="900" t="s">
        <v>2308</v>
      </c>
    </row>
    <row r="2808" spans="1:14" ht="71.25" hidden="1" customHeight="1">
      <c r="A2808" s="896">
        <v>4</v>
      </c>
      <c r="B2808" s="1609" t="s">
        <v>2091</v>
      </c>
      <c r="C2808" s="1609"/>
      <c r="D2808" s="1609"/>
      <c r="E2808" s="1609"/>
      <c r="F2808" s="1609"/>
      <c r="G2808" s="1609"/>
      <c r="H2808" s="1609"/>
      <c r="I2808" s="897"/>
      <c r="J2808" s="898"/>
      <c r="K2808" s="896"/>
      <c r="L2808" s="896"/>
      <c r="M2808" s="899"/>
      <c r="N2808" s="900" t="s">
        <v>2308</v>
      </c>
    </row>
    <row r="2809" spans="1:14" s="910" customFormat="1" ht="15.75" hidden="1">
      <c r="A2809" s="896"/>
      <c r="B2809" s="902" t="s">
        <v>2327</v>
      </c>
      <c r="C2809" s="903"/>
      <c r="D2809" s="904"/>
      <c r="E2809" s="905"/>
      <c r="F2809" s="906"/>
      <c r="G2809" s="906"/>
      <c r="H2809" s="907"/>
      <c r="I2809" s="908"/>
      <c r="J2809" s="955"/>
      <c r="K2809" s="902"/>
      <c r="L2809" s="896"/>
      <c r="M2809" s="902"/>
      <c r="N2809" s="900" t="s">
        <v>2308</v>
      </c>
    </row>
    <row r="2810" spans="1:14" s="910" customFormat="1" ht="15.75" hidden="1">
      <c r="A2810" s="896"/>
      <c r="B2810" s="956" t="s">
        <v>583</v>
      </c>
      <c r="C2810" s="957">
        <v>1</v>
      </c>
      <c r="D2810" s="958" t="s">
        <v>273</v>
      </c>
      <c r="E2810" s="1268">
        <v>2</v>
      </c>
      <c r="F2810" s="960">
        <v>0</v>
      </c>
      <c r="G2810" s="960">
        <v>0</v>
      </c>
      <c r="H2810" s="960">
        <v>0</v>
      </c>
      <c r="I2810" s="1291">
        <f>ROUND(IF(AND(F2810:H2810),C2810*E2810*F2810*G2810*H2810,IF(AND(F2810,G2810),C2810*E2810*F2810*G2810,IF(AND(F2810,H2810),C2810*E2810*F2810*H2810,IF(AND(G2810,H2810),C2810*E2810*G2810*H2810,IF(F2810,C2810*E2810*F2810,IF(G2810,C2810*E2810*G2810,IF(H2810,C2810*E2810*H2810,C2810*E2810))))))),2)</f>
        <v>2</v>
      </c>
      <c r="J2810" s="955" t="s">
        <v>115</v>
      </c>
      <c r="K2810" s="902"/>
      <c r="L2810" s="896"/>
      <c r="M2810" s="902"/>
      <c r="N2810" s="900" t="s">
        <v>2308</v>
      </c>
    </row>
    <row r="2811" spans="1:14" s="910" customFormat="1" ht="15.75" hidden="1">
      <c r="A2811" s="896"/>
      <c r="B2811" s="902" t="s">
        <v>2327</v>
      </c>
      <c r="C2811" s="903"/>
      <c r="D2811" s="904"/>
      <c r="E2811" s="905"/>
      <c r="F2811" s="906"/>
      <c r="G2811" s="906"/>
      <c r="H2811" s="907"/>
      <c r="I2811" s="908"/>
      <c r="J2811" s="955"/>
      <c r="K2811" s="902"/>
      <c r="L2811" s="896"/>
      <c r="M2811" s="902"/>
      <c r="N2811" s="900" t="s">
        <v>2308</v>
      </c>
    </row>
    <row r="2812" spans="1:14" s="910" customFormat="1" ht="15.75" hidden="1">
      <c r="A2812" s="896"/>
      <c r="B2812" s="956" t="s">
        <v>584</v>
      </c>
      <c r="C2812" s="957">
        <v>1</v>
      </c>
      <c r="D2812" s="958" t="s">
        <v>273</v>
      </c>
      <c r="E2812" s="1268">
        <v>3</v>
      </c>
      <c r="F2812" s="960">
        <v>0</v>
      </c>
      <c r="G2812" s="960">
        <v>0</v>
      </c>
      <c r="H2812" s="960">
        <v>0</v>
      </c>
      <c r="I2812" s="1291">
        <f>ROUND(IF(AND(F2812:H2812),C2812*E2812*F2812*G2812*H2812,IF(AND(F2812,G2812),C2812*E2812*F2812*G2812,IF(AND(F2812,H2812),C2812*E2812*F2812*H2812,IF(AND(G2812,H2812),C2812*E2812*G2812*H2812,IF(F2812,C2812*E2812*F2812,IF(G2812,C2812*E2812*G2812,IF(H2812,C2812*E2812*H2812,C2812*E2812))))))),2)</f>
        <v>3</v>
      </c>
      <c r="J2812" s="955" t="s">
        <v>115</v>
      </c>
      <c r="K2812" s="902"/>
      <c r="L2812" s="896"/>
      <c r="M2812" s="902"/>
      <c r="N2812" s="900" t="s">
        <v>2308</v>
      </c>
    </row>
    <row r="2813" spans="1:14" s="910" customFormat="1" ht="15.75" hidden="1">
      <c r="A2813" s="896"/>
      <c r="B2813" s="956"/>
      <c r="C2813" s="957"/>
      <c r="D2813" s="958"/>
      <c r="E2813" s="1268"/>
      <c r="F2813" s="960"/>
      <c r="G2813" s="960"/>
      <c r="H2813" s="960"/>
      <c r="I2813" s="1291"/>
      <c r="J2813" s="955"/>
      <c r="K2813" s="902"/>
      <c r="L2813" s="896"/>
      <c r="M2813" s="902"/>
      <c r="N2813" s="900" t="s">
        <v>2308</v>
      </c>
    </row>
    <row r="2814" spans="1:14" ht="15.75" hidden="1">
      <c r="A2814" s="896"/>
      <c r="B2814" s="902"/>
      <c r="C2814" s="917"/>
      <c r="D2814" s="918"/>
      <c r="E2814" s="919"/>
      <c r="F2814" s="920"/>
      <c r="G2814" s="921"/>
      <c r="H2814" s="896"/>
      <c r="I2814" s="1291"/>
      <c r="J2814" s="955" t="s">
        <v>115</v>
      </c>
      <c r="K2814" s="922">
        <f>'D&amp;W data'!H645</f>
        <v>9936.0399999999991</v>
      </c>
      <c r="L2814" s="923" t="s">
        <v>2308</v>
      </c>
      <c r="M2814" s="924">
        <f>ROUND(I2814*K2814,0)</f>
        <v>0</v>
      </c>
      <c r="N2814" s="900" t="s">
        <v>2308</v>
      </c>
    </row>
    <row r="2815" spans="1:14" ht="148.5" hidden="1" customHeight="1">
      <c r="A2815" s="896">
        <v>5</v>
      </c>
      <c r="B2815" s="1609" t="s">
        <v>910</v>
      </c>
      <c r="C2815" s="1609"/>
      <c r="D2815" s="1609"/>
      <c r="E2815" s="1609"/>
      <c r="F2815" s="1609"/>
      <c r="G2815" s="1609"/>
      <c r="H2815" s="1609"/>
      <c r="I2815" s="897"/>
      <c r="J2815" s="898"/>
      <c r="K2815" s="896"/>
      <c r="L2815" s="896"/>
      <c r="M2815" s="899"/>
      <c r="N2815" s="900" t="s">
        <v>2308</v>
      </c>
    </row>
    <row r="2816" spans="1:14" s="910" customFormat="1" ht="16.5" hidden="1" customHeight="1">
      <c r="A2816" s="896"/>
      <c r="B2816" s="902" t="s">
        <v>2184</v>
      </c>
      <c r="C2816" s="903"/>
      <c r="D2816" s="904"/>
      <c r="E2816" s="905"/>
      <c r="F2816" s="906"/>
      <c r="G2816" s="906"/>
      <c r="H2816" s="907"/>
      <c r="I2816" s="908"/>
      <c r="J2816" s="955"/>
      <c r="K2816" s="902"/>
      <c r="L2816" s="896"/>
      <c r="M2816" s="902"/>
      <c r="N2816" s="900" t="s">
        <v>2308</v>
      </c>
    </row>
    <row r="2817" spans="1:15" s="910" customFormat="1" ht="16.5" hidden="1" customHeight="1">
      <c r="A2817" s="896"/>
      <c r="B2817" s="956" t="s">
        <v>2186</v>
      </c>
      <c r="C2817" s="957">
        <v>1</v>
      </c>
      <c r="D2817" s="958" t="s">
        <v>273</v>
      </c>
      <c r="E2817" s="1268">
        <v>3</v>
      </c>
      <c r="F2817" s="960">
        <v>0.72</v>
      </c>
      <c r="G2817" s="960">
        <v>0</v>
      </c>
      <c r="H2817" s="960">
        <v>1.99</v>
      </c>
      <c r="I2817" s="916">
        <f>ROUND(IF(AND(F2817:H2817),C2817*E2817*F2817*G2817*H2817,IF(AND(F2817,G2817),C2817*E2817*F2817*G2817,IF(AND(F2817,H2817),C2817*E2817*F2817*H2817,IF(AND(G2817,H2817),C2817*E2817*G2817*H2817,IF(F2817,C2817*E2817*F2817,IF(G2817,C2817*E2817*G2817,IF(H2817,C2817*E2817*H2817,C2817*E2817))))))),2)</f>
        <v>4.3</v>
      </c>
      <c r="J2817" s="955" t="s">
        <v>102</v>
      </c>
      <c r="K2817" s="902"/>
      <c r="L2817" s="896"/>
      <c r="M2817" s="902"/>
      <c r="N2817" s="900" t="s">
        <v>2308</v>
      </c>
      <c r="O2817" s="1268">
        <v>2</v>
      </c>
    </row>
    <row r="2818" spans="1:15" s="910" customFormat="1" ht="16.5" hidden="1" customHeight="1">
      <c r="A2818" s="896"/>
      <c r="B2818" s="956"/>
      <c r="C2818" s="957"/>
      <c r="D2818" s="958"/>
      <c r="E2818" s="1268"/>
      <c r="F2818" s="960"/>
      <c r="G2818" s="960"/>
      <c r="H2818" s="960"/>
      <c r="I2818" s="916"/>
      <c r="J2818" s="955"/>
      <c r="K2818" s="902"/>
      <c r="L2818" s="896"/>
      <c r="M2818" s="902"/>
      <c r="N2818" s="900" t="s">
        <v>2308</v>
      </c>
      <c r="O2818" s="1268"/>
    </row>
    <row r="2819" spans="1:15" ht="15.75" hidden="1">
      <c r="A2819" s="896"/>
      <c r="B2819" s="902"/>
      <c r="C2819" s="917"/>
      <c r="D2819" s="918"/>
      <c r="E2819" s="919"/>
      <c r="F2819" s="920"/>
      <c r="G2819" s="921"/>
      <c r="H2819" s="896"/>
      <c r="I2819" s="916"/>
      <c r="J2819" s="955" t="s">
        <v>102</v>
      </c>
      <c r="K2819" s="922">
        <f>'D&amp;W data'!H688</f>
        <v>6057.2</v>
      </c>
      <c r="L2819" s="923" t="s">
        <v>2308</v>
      </c>
      <c r="M2819" s="924">
        <f>ROUND(I2819*K2819,0)</f>
        <v>0</v>
      </c>
      <c r="N2819" s="900" t="s">
        <v>2308</v>
      </c>
    </row>
    <row r="2820" spans="1:15" ht="148.5" hidden="1" customHeight="1">
      <c r="A2820" s="896">
        <v>2</v>
      </c>
      <c r="B2820" s="1609" t="s">
        <v>910</v>
      </c>
      <c r="C2820" s="1609"/>
      <c r="D2820" s="1609"/>
      <c r="E2820" s="1609"/>
      <c r="F2820" s="1609"/>
      <c r="G2820" s="1609"/>
      <c r="H2820" s="1609"/>
      <c r="I2820" s="897"/>
      <c r="J2820" s="898"/>
      <c r="K2820" s="896"/>
      <c r="L2820" s="896"/>
      <c r="M2820" s="899"/>
      <c r="N2820" s="900" t="s">
        <v>2308</v>
      </c>
    </row>
    <row r="2821" spans="1:15" s="910" customFormat="1" ht="16.5" hidden="1" customHeight="1">
      <c r="A2821" s="896"/>
      <c r="B2821" s="1212" t="s">
        <v>2331</v>
      </c>
      <c r="C2821" s="903"/>
      <c r="D2821" s="904"/>
      <c r="E2821" s="905"/>
      <c r="F2821" s="906"/>
      <c r="G2821" s="906"/>
      <c r="H2821" s="907"/>
      <c r="I2821" s="908"/>
      <c r="J2821" s="955"/>
      <c r="K2821" s="902"/>
      <c r="L2821" s="896"/>
      <c r="M2821" s="902"/>
      <c r="N2821" s="900" t="s">
        <v>2308</v>
      </c>
    </row>
    <row r="2822" spans="1:15" s="910" customFormat="1" ht="16.5" hidden="1" customHeight="1">
      <c r="A2822" s="896"/>
      <c r="B2822" s="911"/>
      <c r="C2822" s="912">
        <v>1</v>
      </c>
      <c r="D2822" s="913" t="s">
        <v>273</v>
      </c>
      <c r="E2822" s="914">
        <v>2</v>
      </c>
      <c r="F2822" s="915">
        <v>1.01</v>
      </c>
      <c r="G2822" s="915">
        <v>0</v>
      </c>
      <c r="H2822" s="915">
        <v>2.09</v>
      </c>
      <c r="I2822" s="916">
        <f>ROUND(IF(AND(F2822:H2822),C2822*E2822*F2822*G2822*H2822,IF(AND(F2822,G2822),C2822*E2822*F2822*G2822,IF(AND(F2822,H2822),C2822*E2822*F2822*H2822,IF(AND(G2822,H2822),C2822*E2822*G2822*H2822,IF(F2822,C2822*E2822*F2822,IF(G2822,C2822*E2822*G2822,IF(H2822,C2822*E2822*H2822,C2822*E2822))))))),2)</f>
        <v>4.22</v>
      </c>
      <c r="J2822" s="955" t="s">
        <v>102</v>
      </c>
      <c r="K2822" s="902"/>
      <c r="L2822" s="896"/>
      <c r="M2822" s="902"/>
      <c r="N2822" s="900" t="s">
        <v>2308</v>
      </c>
      <c r="O2822" s="1268">
        <v>2</v>
      </c>
    </row>
    <row r="2823" spans="1:15" s="910" customFormat="1" ht="16.5" hidden="1" customHeight="1">
      <c r="A2823" s="896"/>
      <c r="B2823" s="911"/>
      <c r="C2823" s="912">
        <v>1</v>
      </c>
      <c r="D2823" s="913" t="s">
        <v>273</v>
      </c>
      <c r="E2823" s="914">
        <v>2</v>
      </c>
      <c r="F2823" s="915">
        <v>1.02</v>
      </c>
      <c r="G2823" s="915">
        <v>0</v>
      </c>
      <c r="H2823" s="915">
        <v>2.02</v>
      </c>
      <c r="I2823" s="916">
        <f>ROUND(IF(AND(F2823:H2823),C2823*E2823*F2823*G2823*H2823,IF(AND(F2823,G2823),C2823*E2823*F2823*G2823,IF(AND(F2823,H2823),C2823*E2823*F2823*H2823,IF(AND(G2823,H2823),C2823*E2823*G2823*H2823,IF(F2823,C2823*E2823*F2823,IF(G2823,C2823*E2823*G2823,IF(H2823,C2823*E2823*H2823,C2823*E2823))))))),2)</f>
        <v>4.12</v>
      </c>
      <c r="J2823" s="955" t="s">
        <v>102</v>
      </c>
      <c r="K2823" s="902"/>
      <c r="L2823" s="896"/>
      <c r="M2823" s="902"/>
      <c r="N2823" s="900" t="s">
        <v>2308</v>
      </c>
      <c r="O2823" s="1268">
        <v>2</v>
      </c>
    </row>
    <row r="2824" spans="1:15" s="910" customFormat="1" ht="16.5" hidden="1" customHeight="1">
      <c r="A2824" s="896"/>
      <c r="B2824" s="911"/>
      <c r="C2824" s="912">
        <v>1</v>
      </c>
      <c r="D2824" s="913" t="s">
        <v>273</v>
      </c>
      <c r="E2824" s="914">
        <v>1</v>
      </c>
      <c r="F2824" s="915">
        <v>1</v>
      </c>
      <c r="G2824" s="915">
        <v>0</v>
      </c>
      <c r="H2824" s="915">
        <v>2.02</v>
      </c>
      <c r="I2824" s="916">
        <f>ROUND(IF(AND(F2824:H2824),C2824*E2824*F2824*G2824*H2824,IF(AND(F2824,G2824),C2824*E2824*F2824*G2824,IF(AND(F2824,H2824),C2824*E2824*F2824*H2824,IF(AND(G2824,H2824),C2824*E2824*G2824*H2824,IF(F2824,C2824*E2824*F2824,IF(G2824,C2824*E2824*G2824,IF(H2824,C2824*E2824*H2824,C2824*E2824))))))),2)</f>
        <v>2.02</v>
      </c>
      <c r="J2824" s="955" t="s">
        <v>102</v>
      </c>
      <c r="K2824" s="902"/>
      <c r="L2824" s="896"/>
      <c r="M2824" s="902"/>
      <c r="N2824" s="900" t="s">
        <v>2308</v>
      </c>
      <c r="O2824" s="1268">
        <v>2</v>
      </c>
    </row>
    <row r="2825" spans="1:15" s="910" customFormat="1" ht="16.5" hidden="1" customHeight="1">
      <c r="A2825" s="896"/>
      <c r="B2825" s="911"/>
      <c r="C2825" s="912"/>
      <c r="D2825" s="913"/>
      <c r="E2825" s="914"/>
      <c r="F2825" s="915"/>
      <c r="G2825" s="915"/>
      <c r="H2825" s="915"/>
      <c r="I2825" s="916"/>
      <c r="J2825" s="955"/>
      <c r="K2825" s="902"/>
      <c r="L2825" s="896"/>
      <c r="M2825" s="902"/>
      <c r="N2825" s="900" t="s">
        <v>2308</v>
      </c>
      <c r="O2825" s="1303"/>
    </row>
    <row r="2826" spans="1:15" ht="15.75" hidden="1">
      <c r="A2826" s="896"/>
      <c r="B2826" s="902"/>
      <c r="C2826" s="917"/>
      <c r="D2826" s="918"/>
      <c r="E2826" s="919"/>
      <c r="F2826" s="920"/>
      <c r="G2826" s="921"/>
      <c r="H2826" s="896"/>
      <c r="I2826" s="916"/>
      <c r="J2826" s="955" t="s">
        <v>102</v>
      </c>
      <c r="K2826" s="922">
        <f>'D&amp;W data'!H700</f>
        <v>5663.52</v>
      </c>
      <c r="L2826" s="923" t="s">
        <v>2308</v>
      </c>
      <c r="M2826" s="924">
        <f>ROUND(I2826*K2826,0)</f>
        <v>0</v>
      </c>
      <c r="N2826" s="900" t="s">
        <v>2308</v>
      </c>
    </row>
    <row r="2827" spans="1:15" ht="118.9" hidden="1" customHeight="1">
      <c r="A2827" s="896">
        <v>40</v>
      </c>
      <c r="B2827" s="1632" t="s">
        <v>3615</v>
      </c>
      <c r="C2827" s="1632"/>
      <c r="D2827" s="1632"/>
      <c r="E2827" s="1632"/>
      <c r="F2827" s="1632"/>
      <c r="G2827" s="1632"/>
      <c r="H2827" s="1632"/>
      <c r="I2827" s="897"/>
      <c r="J2827" s="898"/>
      <c r="K2827" s="896"/>
      <c r="L2827" s="896"/>
      <c r="M2827" s="899"/>
      <c r="N2827" s="900" t="s">
        <v>2308</v>
      </c>
    </row>
    <row r="2828" spans="1:15" ht="32.450000000000003" hidden="1" customHeight="1">
      <c r="A2828" s="896"/>
      <c r="B2828" s="1632" t="s">
        <v>3792</v>
      </c>
      <c r="C2828" s="1632"/>
      <c r="D2828" s="1632"/>
      <c r="E2828" s="1632"/>
      <c r="F2828" s="1632"/>
      <c r="G2828" s="1632"/>
      <c r="H2828" s="1632"/>
      <c r="I2828" s="897"/>
      <c r="J2828" s="898"/>
      <c r="K2828" s="896"/>
      <c r="L2828" s="896"/>
      <c r="M2828" s="899"/>
      <c r="N2828" s="900"/>
    </row>
    <row r="2829" spans="1:15" s="910" customFormat="1" ht="16.5" hidden="1" customHeight="1">
      <c r="A2829" s="896"/>
      <c r="B2829" s="902" t="s">
        <v>3791</v>
      </c>
      <c r="C2829" s="903"/>
      <c r="D2829" s="954" t="s">
        <v>3819</v>
      </c>
      <c r="E2829" s="905"/>
      <c r="F2829" s="906"/>
      <c r="G2829" s="906"/>
      <c r="H2829" s="907"/>
      <c r="I2829" s="908"/>
      <c r="J2829" s="955"/>
      <c r="K2829" s="902"/>
      <c r="L2829" s="896"/>
      <c r="M2829" s="902"/>
      <c r="N2829" s="900" t="s">
        <v>2308</v>
      </c>
    </row>
    <row r="2830" spans="1:15" s="910" customFormat="1" ht="16.5" hidden="1" customHeight="1">
      <c r="A2830" s="896"/>
      <c r="B2830" s="1297"/>
      <c r="C2830" s="1298">
        <v>1</v>
      </c>
      <c r="D2830" s="1299" t="s">
        <v>273</v>
      </c>
      <c r="E2830" s="1300">
        <v>8</v>
      </c>
      <c r="F2830" s="1301">
        <v>1.2</v>
      </c>
      <c r="G2830" s="1301">
        <v>0</v>
      </c>
      <c r="H2830" s="1301">
        <v>1.2</v>
      </c>
      <c r="I2830" s="916">
        <f>ROUND(IF(AND(F2830:H2830),C2830*E2830*F2830*G2830*H2830,IF(AND(F2830,G2830),C2830*E2830*F2830*G2830,IF(AND(F2830,H2830),C2830*E2830*F2830*H2830,IF(AND(G2830,H2830),C2830*E2830*G2830*H2830,IF(F2830,C2830*E2830*F2830,IF(G2830,C2830*E2830*G2830,IF(H2830,C2830*E2830*H2830,C2830*E2830))))))),2)</f>
        <v>11.52</v>
      </c>
      <c r="J2830" s="955" t="s">
        <v>102</v>
      </c>
      <c r="K2830" s="902"/>
      <c r="L2830" s="896"/>
      <c r="M2830" s="902"/>
      <c r="N2830" s="900" t="s">
        <v>2308</v>
      </c>
    </row>
    <row r="2831" spans="1:15" s="910" customFormat="1" ht="16.5" hidden="1" customHeight="1">
      <c r="A2831" s="896"/>
      <c r="B2831" s="956"/>
      <c r="C2831" s="957"/>
      <c r="D2831" s="958"/>
      <c r="E2831" s="1268"/>
      <c r="F2831" s="960"/>
      <c r="G2831" s="960"/>
      <c r="H2831" s="960"/>
      <c r="I2831" s="916"/>
      <c r="J2831" s="955"/>
      <c r="K2831" s="902"/>
      <c r="L2831" s="896"/>
      <c r="M2831" s="902"/>
      <c r="N2831" s="900" t="s">
        <v>2308</v>
      </c>
    </row>
    <row r="2832" spans="1:15" ht="15.75" hidden="1">
      <c r="A2832" s="896"/>
      <c r="B2832" s="902"/>
      <c r="C2832" s="917"/>
      <c r="D2832" s="918"/>
      <c r="E2832" s="919"/>
      <c r="F2832" s="920"/>
      <c r="G2832" s="921"/>
      <c r="H2832" s="896"/>
      <c r="I2832" s="916"/>
      <c r="J2832" s="955" t="s">
        <v>102</v>
      </c>
      <c r="K2832" s="922">
        <f>'D&amp;W data'!H705</f>
        <v>8058</v>
      </c>
      <c r="L2832" s="923" t="s">
        <v>2308</v>
      </c>
      <c r="M2832" s="924">
        <f>ROUND(I2832*K2832,0)</f>
        <v>0</v>
      </c>
      <c r="N2832" s="900" t="s">
        <v>2308</v>
      </c>
    </row>
    <row r="2833" spans="1:15" s="910" customFormat="1" ht="16.5" hidden="1" customHeight="1">
      <c r="A2833" s="896">
        <v>6</v>
      </c>
      <c r="B2833" s="902" t="s">
        <v>2332</v>
      </c>
      <c r="C2833" s="903" t="s">
        <v>1549</v>
      </c>
      <c r="D2833" s="904"/>
      <c r="E2833" s="905"/>
      <c r="F2833" s="906"/>
      <c r="G2833" s="906"/>
      <c r="H2833" s="907"/>
      <c r="I2833" s="908"/>
      <c r="J2833" s="955"/>
      <c r="K2833" s="902"/>
      <c r="L2833" s="896"/>
      <c r="M2833" s="902"/>
      <c r="N2833" s="900" t="s">
        <v>2308</v>
      </c>
    </row>
    <row r="2834" spans="1:15" s="910" customFormat="1" ht="16.5" hidden="1" customHeight="1">
      <c r="A2834" s="896"/>
      <c r="B2834" s="911"/>
      <c r="C2834" s="912">
        <v>1</v>
      </c>
      <c r="D2834" s="913" t="s">
        <v>273</v>
      </c>
      <c r="E2834" s="914">
        <v>2</v>
      </c>
      <c r="F2834" s="915">
        <v>1.5</v>
      </c>
      <c r="G2834" s="915">
        <v>0</v>
      </c>
      <c r="H2834" s="915">
        <v>1.35</v>
      </c>
      <c r="I2834" s="916">
        <f>ROUND(IF(AND(F2834:H2834),C2834*E2834*F2834*G2834*H2834,IF(AND(F2834,G2834),C2834*E2834*F2834*G2834,IF(AND(F2834,H2834),C2834*E2834*F2834*H2834,IF(AND(G2834,H2834),C2834*E2834*G2834*H2834,IF(F2834,C2834*E2834*F2834,IF(G2834,C2834*E2834*G2834,IF(H2834,C2834*E2834*H2834,C2834*E2834))))))),2)</f>
        <v>4.05</v>
      </c>
      <c r="J2834" s="955" t="s">
        <v>102</v>
      </c>
      <c r="K2834" s="902"/>
      <c r="L2834" s="896"/>
      <c r="M2834" s="902"/>
      <c r="N2834" s="900" t="s">
        <v>2308</v>
      </c>
    </row>
    <row r="2835" spans="1:15" s="910" customFormat="1" ht="16.5" hidden="1" customHeight="1">
      <c r="A2835" s="896"/>
      <c r="B2835" s="956"/>
      <c r="C2835" s="957"/>
      <c r="D2835" s="958"/>
      <c r="E2835" s="1268"/>
      <c r="F2835" s="960"/>
      <c r="G2835" s="960"/>
      <c r="H2835" s="960"/>
      <c r="I2835" s="916"/>
      <c r="J2835" s="955"/>
      <c r="K2835" s="902"/>
      <c r="L2835" s="896"/>
      <c r="M2835" s="902"/>
      <c r="N2835" s="900" t="s">
        <v>2308</v>
      </c>
    </row>
    <row r="2836" spans="1:15" ht="15.75" hidden="1">
      <c r="A2836" s="896"/>
      <c r="B2836" s="902"/>
      <c r="C2836" s="917"/>
      <c r="D2836" s="918"/>
      <c r="E2836" s="919"/>
      <c r="F2836" s="920"/>
      <c r="G2836" s="921"/>
      <c r="H2836" s="896"/>
      <c r="I2836" s="916"/>
      <c r="J2836" s="955" t="s">
        <v>102</v>
      </c>
      <c r="K2836" s="922">
        <f>'D&amp;W data'!H703</f>
        <v>6038</v>
      </c>
      <c r="L2836" s="923" t="s">
        <v>2308</v>
      </c>
      <c r="M2836" s="924">
        <f>ROUND(I2836*K2836,0)</f>
        <v>0</v>
      </c>
      <c r="N2836" s="900" t="s">
        <v>2308</v>
      </c>
    </row>
    <row r="2837" spans="1:15" s="910" customFormat="1" ht="16.5" hidden="1" customHeight="1">
      <c r="A2837" s="896">
        <v>3</v>
      </c>
      <c r="B2837" s="1212" t="s">
        <v>2333</v>
      </c>
      <c r="C2837" s="903" t="s">
        <v>1633</v>
      </c>
      <c r="D2837" s="904"/>
      <c r="E2837" s="905"/>
      <c r="F2837" s="906"/>
      <c r="G2837" s="906"/>
      <c r="H2837" s="907"/>
      <c r="I2837" s="908"/>
      <c r="J2837" s="955"/>
      <c r="K2837" s="902"/>
      <c r="L2837" s="896"/>
      <c r="M2837" s="902"/>
      <c r="N2837" s="900" t="s">
        <v>2308</v>
      </c>
    </row>
    <row r="2838" spans="1:15" s="910" customFormat="1" ht="16.5" hidden="1" customHeight="1">
      <c r="A2838" s="896"/>
      <c r="B2838" s="956"/>
      <c r="C2838" s="957">
        <v>1</v>
      </c>
      <c r="D2838" s="958" t="s">
        <v>273</v>
      </c>
      <c r="E2838" s="1268">
        <v>1</v>
      </c>
      <c r="F2838" s="960">
        <v>1.51</v>
      </c>
      <c r="G2838" s="960">
        <v>0</v>
      </c>
      <c r="H2838" s="960">
        <v>1.2</v>
      </c>
      <c r="I2838" s="916">
        <f>ROUND(IF(AND(F2838:H2838),C2838*E2838*F2838*G2838*H2838,IF(AND(F2838,G2838),C2838*E2838*F2838*G2838,IF(AND(F2838,H2838),C2838*E2838*F2838*H2838,IF(AND(G2838,H2838),C2838*E2838*G2838*H2838,IF(F2838,C2838*E2838*F2838,IF(G2838,C2838*E2838*G2838,IF(H2838,C2838*E2838*H2838,C2838*E2838))))))),2)</f>
        <v>1.81</v>
      </c>
      <c r="J2838" s="955" t="s">
        <v>102</v>
      </c>
      <c r="K2838" s="902"/>
      <c r="L2838" s="896"/>
      <c r="M2838" s="902"/>
      <c r="N2838" s="900" t="s">
        <v>2308</v>
      </c>
      <c r="O2838" s="1268">
        <v>1</v>
      </c>
    </row>
    <row r="2839" spans="1:15" s="910" customFormat="1" ht="16.5" hidden="1" customHeight="1">
      <c r="A2839" s="896"/>
      <c r="B2839" s="956"/>
      <c r="C2839" s="957"/>
      <c r="D2839" s="958"/>
      <c r="E2839" s="1268"/>
      <c r="F2839" s="960"/>
      <c r="G2839" s="960"/>
      <c r="H2839" s="960"/>
      <c r="I2839" s="916"/>
      <c r="J2839" s="955"/>
      <c r="K2839" s="902"/>
      <c r="L2839" s="896"/>
      <c r="M2839" s="902"/>
      <c r="N2839" s="900" t="s">
        <v>2308</v>
      </c>
      <c r="O2839" s="1268"/>
    </row>
    <row r="2840" spans="1:15" ht="15.75" hidden="1">
      <c r="A2840" s="896"/>
      <c r="B2840" s="902"/>
      <c r="C2840" s="917"/>
      <c r="D2840" s="918"/>
      <c r="E2840" s="919"/>
      <c r="F2840" s="920"/>
      <c r="G2840" s="921"/>
      <c r="H2840" s="896"/>
      <c r="I2840" s="916"/>
      <c r="J2840" s="955" t="s">
        <v>102</v>
      </c>
      <c r="K2840" s="922">
        <f>'D&amp;W data'!H707</f>
        <v>5830</v>
      </c>
      <c r="L2840" s="923" t="s">
        <v>2308</v>
      </c>
      <c r="M2840" s="924">
        <f>ROUND(I2840*K2840,0)</f>
        <v>0</v>
      </c>
      <c r="N2840" s="900" t="s">
        <v>2308</v>
      </c>
    </row>
    <row r="2841" spans="1:15" ht="27" hidden="1" customHeight="1">
      <c r="A2841" s="896">
        <v>6</v>
      </c>
      <c r="B2841" s="1609" t="s">
        <v>2284</v>
      </c>
      <c r="C2841" s="1609"/>
      <c r="D2841" s="1609"/>
      <c r="E2841" s="1609"/>
      <c r="F2841" s="1609"/>
      <c r="G2841" s="1609"/>
      <c r="H2841" s="1609"/>
      <c r="I2841" s="897"/>
      <c r="J2841" s="898"/>
      <c r="K2841" s="896"/>
      <c r="L2841" s="896"/>
      <c r="M2841" s="899"/>
      <c r="N2841" s="900" t="s">
        <v>2308</v>
      </c>
    </row>
    <row r="2842" spans="1:15" s="910" customFormat="1" ht="16.5" hidden="1" customHeight="1">
      <c r="A2842" s="896"/>
      <c r="B2842" s="980" t="s">
        <v>2334</v>
      </c>
      <c r="C2842" s="903"/>
      <c r="D2842" s="904"/>
      <c r="E2842" s="905"/>
      <c r="F2842" s="906"/>
      <c r="G2842" s="906"/>
      <c r="H2842" s="907"/>
      <c r="I2842" s="908"/>
      <c r="J2842" s="955"/>
      <c r="K2842" s="902"/>
      <c r="L2842" s="896"/>
      <c r="M2842" s="902"/>
      <c r="N2842" s="900" t="s">
        <v>2308</v>
      </c>
    </row>
    <row r="2843" spans="1:15" s="910" customFormat="1" ht="16.5" hidden="1" customHeight="1">
      <c r="A2843" s="896"/>
      <c r="B2843" s="956"/>
      <c r="C2843" s="957">
        <v>1</v>
      </c>
      <c r="D2843" s="958" t="s">
        <v>273</v>
      </c>
      <c r="E2843" s="1268">
        <v>1</v>
      </c>
      <c r="F2843" s="960">
        <v>1.2</v>
      </c>
      <c r="G2843" s="960">
        <v>0</v>
      </c>
      <c r="H2843" s="960">
        <v>0.3</v>
      </c>
      <c r="I2843" s="916">
        <f>ROUND(IF(AND(F2843:H2843),C2843*E2843*F2843*G2843*H2843,IF(AND(F2843,G2843),C2843*E2843*F2843*G2843,IF(AND(F2843,H2843),C2843*E2843*F2843*H2843,IF(AND(G2843,H2843),C2843*E2843*G2843*H2843,IF(F2843,C2843*E2843*F2843,IF(G2843,C2843*E2843*G2843,IF(H2843,C2843*E2843*H2843,C2843*E2843))))))),2)</f>
        <v>0.36</v>
      </c>
      <c r="J2843" s="955" t="s">
        <v>102</v>
      </c>
      <c r="K2843" s="902"/>
      <c r="L2843" s="896"/>
      <c r="M2843" s="902"/>
      <c r="N2843" s="900" t="s">
        <v>2308</v>
      </c>
    </row>
    <row r="2844" spans="1:15" s="910" customFormat="1" ht="16.5" hidden="1" customHeight="1">
      <c r="A2844" s="896"/>
      <c r="B2844" s="956"/>
      <c r="C2844" s="957"/>
      <c r="D2844" s="958"/>
      <c r="E2844" s="1268"/>
      <c r="F2844" s="960"/>
      <c r="G2844" s="960"/>
      <c r="H2844" s="960"/>
      <c r="I2844" s="916"/>
      <c r="J2844" s="955"/>
      <c r="K2844" s="902"/>
      <c r="L2844" s="896"/>
      <c r="M2844" s="902"/>
      <c r="N2844" s="900" t="s">
        <v>2308</v>
      </c>
    </row>
    <row r="2845" spans="1:15" ht="15.75" hidden="1">
      <c r="A2845" s="896"/>
      <c r="B2845" s="902"/>
      <c r="C2845" s="917"/>
      <c r="D2845" s="918"/>
      <c r="E2845" s="919"/>
      <c r="F2845" s="920"/>
      <c r="G2845" s="921"/>
      <c r="H2845" s="896"/>
      <c r="I2845" s="916"/>
      <c r="J2845" s="955" t="s">
        <v>102</v>
      </c>
      <c r="K2845" s="922">
        <f>'D&amp;W data'!H710</f>
        <v>3797</v>
      </c>
      <c r="L2845" s="923" t="s">
        <v>2308</v>
      </c>
      <c r="M2845" s="924">
        <f>ROUND(I2845*K2845,0)</f>
        <v>0</v>
      </c>
      <c r="N2845" s="900" t="s">
        <v>2308</v>
      </c>
    </row>
    <row r="2846" spans="1:15" ht="27" hidden="1" customHeight="1">
      <c r="A2846" s="896">
        <v>6</v>
      </c>
      <c r="B2846" s="1609" t="s">
        <v>1199</v>
      </c>
      <c r="C2846" s="1609"/>
      <c r="D2846" s="1609"/>
      <c r="E2846" s="1609"/>
      <c r="F2846" s="1609"/>
      <c r="G2846" s="1609"/>
      <c r="H2846" s="1609"/>
      <c r="I2846" s="897"/>
      <c r="J2846" s="898"/>
      <c r="K2846" s="896"/>
      <c r="L2846" s="896"/>
      <c r="M2846" s="899"/>
      <c r="N2846" s="900" t="s">
        <v>2308</v>
      </c>
    </row>
    <row r="2847" spans="1:15" s="910" customFormat="1" ht="16.5" hidden="1" customHeight="1">
      <c r="A2847" s="896"/>
      <c r="B2847" s="980" t="s">
        <v>2334</v>
      </c>
      <c r="C2847" s="903"/>
      <c r="D2847" s="904"/>
      <c r="E2847" s="905"/>
      <c r="F2847" s="906"/>
      <c r="G2847" s="906"/>
      <c r="H2847" s="907"/>
      <c r="I2847" s="908"/>
      <c r="J2847" s="955"/>
      <c r="K2847" s="902"/>
      <c r="L2847" s="896"/>
      <c r="M2847" s="902"/>
      <c r="N2847" s="900" t="s">
        <v>2308</v>
      </c>
    </row>
    <row r="2848" spans="1:15" s="910" customFormat="1" ht="16.5" hidden="1" customHeight="1">
      <c r="A2848" s="896"/>
      <c r="B2848" s="956"/>
      <c r="C2848" s="957">
        <v>1</v>
      </c>
      <c r="D2848" s="958" t="s">
        <v>273</v>
      </c>
      <c r="E2848" s="1268">
        <v>16</v>
      </c>
      <c r="F2848" s="960">
        <v>0</v>
      </c>
      <c r="G2848" s="960">
        <v>0</v>
      </c>
      <c r="H2848" s="960">
        <v>0</v>
      </c>
      <c r="I2848" s="1291">
        <f>ROUND(IF(AND(F2848:H2848),C2848*E2848*F2848*G2848*H2848,IF(AND(F2848,G2848),C2848*E2848*F2848*G2848,IF(AND(F2848,H2848),C2848*E2848*F2848*H2848,IF(AND(G2848,H2848),C2848*E2848*G2848*H2848,IF(F2848,C2848*E2848*F2848,IF(G2848,C2848*E2848*G2848,IF(H2848,C2848*E2848*H2848,C2848*E2848))))))),2)</f>
        <v>16</v>
      </c>
      <c r="J2848" s="955" t="s">
        <v>115</v>
      </c>
      <c r="K2848" s="902"/>
      <c r="L2848" s="896"/>
      <c r="M2848" s="902"/>
      <c r="N2848" s="900" t="s">
        <v>2308</v>
      </c>
    </row>
    <row r="2849" spans="1:14" s="910" customFormat="1" ht="16.5" hidden="1" customHeight="1">
      <c r="A2849" s="896"/>
      <c r="B2849" s="956"/>
      <c r="C2849" s="957"/>
      <c r="D2849" s="958"/>
      <c r="E2849" s="1268"/>
      <c r="F2849" s="960"/>
      <c r="G2849" s="960"/>
      <c r="H2849" s="960"/>
      <c r="I2849" s="1291"/>
      <c r="J2849" s="955"/>
      <c r="K2849" s="902"/>
      <c r="L2849" s="896"/>
      <c r="M2849" s="902"/>
      <c r="N2849" s="900" t="s">
        <v>2308</v>
      </c>
    </row>
    <row r="2850" spans="1:14" ht="15.75" hidden="1">
      <c r="A2850" s="896"/>
      <c r="B2850" s="902"/>
      <c r="C2850" s="917"/>
      <c r="D2850" s="918"/>
      <c r="E2850" s="919"/>
      <c r="F2850" s="920"/>
      <c r="G2850" s="921"/>
      <c r="H2850" s="896"/>
      <c r="I2850" s="1291"/>
      <c r="J2850" s="955" t="s">
        <v>115</v>
      </c>
      <c r="K2850" s="922">
        <f>'D&amp;W data'!H670</f>
        <v>520.87</v>
      </c>
      <c r="L2850" s="923" t="s">
        <v>2308</v>
      </c>
      <c r="M2850" s="924">
        <f>ROUND(I2850*K2850,0)</f>
        <v>0</v>
      </c>
      <c r="N2850" s="900" t="s">
        <v>2308</v>
      </c>
    </row>
    <row r="2851" spans="1:14" ht="27" hidden="1" customHeight="1">
      <c r="A2851" s="896">
        <v>4</v>
      </c>
      <c r="B2851" s="1609" t="s">
        <v>932</v>
      </c>
      <c r="C2851" s="1609"/>
      <c r="D2851" s="1609"/>
      <c r="E2851" s="1609"/>
      <c r="F2851" s="1609"/>
      <c r="G2851" s="1609"/>
      <c r="H2851" s="1609"/>
      <c r="I2851" s="897"/>
      <c r="J2851" s="898"/>
      <c r="K2851" s="896"/>
      <c r="L2851" s="896"/>
      <c r="M2851" s="899"/>
      <c r="N2851" s="900" t="s">
        <v>2308</v>
      </c>
    </row>
    <row r="2852" spans="1:14" s="910" customFormat="1" ht="16.5" hidden="1" customHeight="1">
      <c r="A2852" s="896"/>
      <c r="B2852" s="1212" t="s">
        <v>2335</v>
      </c>
      <c r="C2852" s="903"/>
      <c r="D2852" s="904"/>
      <c r="E2852" s="905"/>
      <c r="F2852" s="906"/>
      <c r="G2852" s="906"/>
      <c r="H2852" s="907"/>
      <c r="I2852" s="908"/>
      <c r="J2852" s="955"/>
      <c r="K2852" s="902"/>
      <c r="L2852" s="896"/>
      <c r="M2852" s="902"/>
      <c r="N2852" s="900" t="s">
        <v>2308</v>
      </c>
    </row>
    <row r="2853" spans="1:14" s="910" customFormat="1" ht="16.5" hidden="1" customHeight="1">
      <c r="A2853" s="896"/>
      <c r="B2853" s="956"/>
      <c r="C2853" s="957">
        <v>1</v>
      </c>
      <c r="D2853" s="958" t="s">
        <v>273</v>
      </c>
      <c r="E2853" s="1268">
        <v>19</v>
      </c>
      <c r="F2853" s="960">
        <v>0.6</v>
      </c>
      <c r="G2853" s="960">
        <v>0</v>
      </c>
      <c r="H2853" s="960">
        <v>0.3</v>
      </c>
      <c r="I2853" s="916">
        <f>ROUND(IF(AND(F2853:H2853),C2853*E2853*F2853*G2853*H2853,IF(AND(F2853,G2853),C2853*E2853*F2853*G2853,IF(AND(F2853,H2853),C2853*E2853*F2853*H2853,IF(AND(G2853,H2853),C2853*E2853*G2853*H2853,IF(F2853,C2853*E2853*F2853,IF(G2853,C2853*E2853*G2853,IF(H2853,C2853*E2853*H2853,C2853*E2853))))))),2)</f>
        <v>3.42</v>
      </c>
      <c r="J2853" s="955" t="s">
        <v>102</v>
      </c>
      <c r="K2853" s="902"/>
      <c r="L2853" s="896"/>
      <c r="M2853" s="902"/>
      <c r="N2853" s="900" t="s">
        <v>2308</v>
      </c>
    </row>
    <row r="2854" spans="1:14" s="910" customFormat="1" ht="16.5" hidden="1" customHeight="1">
      <c r="A2854" s="896"/>
      <c r="B2854" s="956"/>
      <c r="C2854" s="957"/>
      <c r="D2854" s="958"/>
      <c r="E2854" s="1268"/>
      <c r="F2854" s="960"/>
      <c r="G2854" s="960"/>
      <c r="H2854" s="960"/>
      <c r="I2854" s="916"/>
      <c r="J2854" s="955"/>
      <c r="K2854" s="902"/>
      <c r="L2854" s="896"/>
      <c r="M2854" s="902"/>
      <c r="N2854" s="900" t="s">
        <v>2308</v>
      </c>
    </row>
    <row r="2855" spans="1:14" ht="15.75" hidden="1">
      <c r="A2855" s="896"/>
      <c r="B2855" s="902"/>
      <c r="C2855" s="917"/>
      <c r="D2855" s="918"/>
      <c r="E2855" s="919"/>
      <c r="F2855" s="920"/>
      <c r="G2855" s="921"/>
      <c r="H2855" s="896"/>
      <c r="I2855" s="916"/>
      <c r="J2855" s="955" t="s">
        <v>102</v>
      </c>
      <c r="K2855" s="922">
        <f>'D&amp;W data'!H676</f>
        <v>554.35</v>
      </c>
      <c r="L2855" s="923" t="s">
        <v>2308</v>
      </c>
      <c r="M2855" s="924">
        <f>ROUND(I2855*K2855,0)</f>
        <v>0</v>
      </c>
      <c r="N2855" s="900" t="s">
        <v>2308</v>
      </c>
    </row>
    <row r="2856" spans="1:14" ht="46.5" hidden="1" customHeight="1">
      <c r="A2856" s="896">
        <v>2</v>
      </c>
      <c r="B2856" s="1609" t="s">
        <v>185</v>
      </c>
      <c r="C2856" s="1609"/>
      <c r="D2856" s="1609"/>
      <c r="E2856" s="1609"/>
      <c r="F2856" s="1609"/>
      <c r="G2856" s="1609"/>
      <c r="H2856" s="1609"/>
      <c r="I2856" s="897"/>
      <c r="J2856" s="898"/>
      <c r="K2856" s="896"/>
      <c r="L2856" s="896"/>
      <c r="M2856" s="899"/>
      <c r="N2856" s="900" t="s">
        <v>2308</v>
      </c>
    </row>
    <row r="2857" spans="1:14" s="910" customFormat="1" ht="16.5" hidden="1" customHeight="1">
      <c r="A2857" s="896"/>
      <c r="B2857" s="902" t="s">
        <v>3577</v>
      </c>
      <c r="C2857" s="903"/>
      <c r="D2857" s="904"/>
      <c r="E2857" s="905"/>
      <c r="F2857" s="906"/>
      <c r="G2857" s="906"/>
      <c r="H2857" s="907"/>
      <c r="I2857" s="908"/>
      <c r="J2857" s="955"/>
      <c r="K2857" s="902"/>
      <c r="L2857" s="896"/>
      <c r="M2857" s="902"/>
      <c r="N2857" s="900" t="s">
        <v>2308</v>
      </c>
    </row>
    <row r="2858" spans="1:14" s="910" customFormat="1" ht="16.5" hidden="1" customHeight="1">
      <c r="A2858" s="896"/>
      <c r="B2858" s="911"/>
      <c r="C2858" s="897">
        <v>1</v>
      </c>
      <c r="D2858" s="1263" t="s">
        <v>273</v>
      </c>
      <c r="E2858" s="919">
        <v>6</v>
      </c>
      <c r="F2858" s="920">
        <v>40</v>
      </c>
      <c r="G2858" s="920">
        <v>0</v>
      </c>
      <c r="H2858" s="920">
        <v>0</v>
      </c>
      <c r="I2858" s="1266">
        <f>ROUND(IF(AND(F2858:H2858),C2858*E2858*F2858*G2858*H2858,IF(AND(F2858,G2858),C2858*E2858*F2858*G2858,IF(AND(F2858,H2858),C2858*E2858*F2858*H2858,IF(AND(G2858,H2858),C2858*E2858*G2858*H2858,IF(F2858,C2858*E2858*F2858,IF(G2858,C2858*E2858*G2858,IF(H2858,C2858*E2858*H2858,C2858*E2858))))))),2)</f>
        <v>240</v>
      </c>
      <c r="J2858" s="955" t="s">
        <v>141</v>
      </c>
      <c r="K2858" s="902"/>
      <c r="L2858" s="896"/>
      <c r="M2858" s="902"/>
      <c r="N2858" s="900" t="s">
        <v>2308</v>
      </c>
    </row>
    <row r="2859" spans="1:14" s="910" customFormat="1" ht="16.5" hidden="1" customHeight="1">
      <c r="A2859" s="896"/>
      <c r="B2859" s="911"/>
      <c r="C2859" s="897">
        <v>1</v>
      </c>
      <c r="D2859" s="1263" t="s">
        <v>273</v>
      </c>
      <c r="E2859" s="919">
        <v>7</v>
      </c>
      <c r="F2859" s="920">
        <v>40</v>
      </c>
      <c r="G2859" s="920">
        <v>0</v>
      </c>
      <c r="H2859" s="920">
        <v>0</v>
      </c>
      <c r="I2859" s="1266">
        <f>ROUND(IF(AND(F2859:H2859),C2859*E2859*F2859*G2859*H2859,IF(AND(F2859,G2859),C2859*E2859*F2859*G2859,IF(AND(F2859,H2859),C2859*E2859*F2859*H2859,IF(AND(G2859,H2859),C2859*E2859*G2859*H2859,IF(F2859,C2859*E2859*F2859,IF(G2859,C2859*E2859*G2859,IF(H2859,C2859*E2859*H2859,C2859*E2859))))))),2)</f>
        <v>280</v>
      </c>
      <c r="J2859" s="955" t="s">
        <v>141</v>
      </c>
      <c r="K2859" s="902"/>
      <c r="L2859" s="896"/>
      <c r="M2859" s="902"/>
      <c r="N2859" s="900" t="s">
        <v>2308</v>
      </c>
    </row>
    <row r="2860" spans="1:14" s="910" customFormat="1" ht="16.5" hidden="1" customHeight="1">
      <c r="A2860" s="896"/>
      <c r="B2860" s="956"/>
      <c r="C2860" s="957"/>
      <c r="D2860" s="958"/>
      <c r="E2860" s="1268"/>
      <c r="F2860" s="960"/>
      <c r="G2860" s="960"/>
      <c r="H2860" s="960"/>
      <c r="I2860" s="916"/>
      <c r="J2860" s="955"/>
      <c r="K2860" s="902"/>
      <c r="L2860" s="896"/>
      <c r="M2860" s="902"/>
      <c r="N2860" s="900" t="s">
        <v>2308</v>
      </c>
    </row>
    <row r="2861" spans="1:14" ht="15.75" hidden="1">
      <c r="A2861" s="896"/>
      <c r="B2861" s="902"/>
      <c r="C2861" s="917"/>
      <c r="D2861" s="918"/>
      <c r="E2861" s="919"/>
      <c r="F2861" s="920"/>
      <c r="G2861" s="921"/>
      <c r="H2861" s="896"/>
      <c r="I2861" s="916"/>
      <c r="J2861" s="955" t="s">
        <v>4</v>
      </c>
      <c r="K2861" s="922">
        <f>data!G2139</f>
        <v>95.89</v>
      </c>
      <c r="L2861" s="923" t="s">
        <v>2308</v>
      </c>
      <c r="M2861" s="924">
        <f>ROUND(I2861*K2861,0)</f>
        <v>0</v>
      </c>
      <c r="N2861" s="900" t="s">
        <v>2308</v>
      </c>
    </row>
    <row r="2862" spans="1:14" ht="65.25" hidden="1" customHeight="1">
      <c r="A2862" s="896">
        <v>2</v>
      </c>
      <c r="B2862" s="1609" t="s">
        <v>933</v>
      </c>
      <c r="C2862" s="1609"/>
      <c r="D2862" s="1609"/>
      <c r="E2862" s="1609"/>
      <c r="F2862" s="1609"/>
      <c r="G2862" s="1609"/>
      <c r="H2862" s="1609"/>
      <c r="I2862" s="897"/>
      <c r="J2862" s="898"/>
      <c r="K2862" s="896"/>
      <c r="L2862" s="896"/>
      <c r="M2862" s="899"/>
      <c r="N2862" s="900" t="s">
        <v>2308</v>
      </c>
    </row>
    <row r="2863" spans="1:14" s="910" customFormat="1" ht="16.5" hidden="1" customHeight="1">
      <c r="A2863" s="896"/>
      <c r="B2863" s="902" t="s">
        <v>2323</v>
      </c>
      <c r="C2863" s="903"/>
      <c r="D2863" s="904"/>
      <c r="E2863" s="905"/>
      <c r="F2863" s="906"/>
      <c r="G2863" s="906"/>
      <c r="H2863" s="907"/>
      <c r="I2863" s="908"/>
      <c r="J2863" s="955"/>
      <c r="K2863" s="902"/>
      <c r="L2863" s="896"/>
      <c r="M2863" s="902"/>
      <c r="N2863" s="900" t="s">
        <v>2308</v>
      </c>
    </row>
    <row r="2864" spans="1:14" s="910" customFormat="1" ht="16.5" hidden="1" customHeight="1">
      <c r="A2864" s="896"/>
      <c r="B2864" s="911" t="s">
        <v>1535</v>
      </c>
      <c r="C2864" s="912">
        <v>1</v>
      </c>
      <c r="D2864" s="913" t="s">
        <v>273</v>
      </c>
      <c r="E2864" s="914">
        <v>8</v>
      </c>
      <c r="F2864" s="915">
        <v>1.2</v>
      </c>
      <c r="G2864" s="915">
        <v>0</v>
      </c>
      <c r="H2864" s="915">
        <v>1.2</v>
      </c>
      <c r="I2864" s="916">
        <f>ROUND(IF(AND(F2864:H2864),C2864*E2864*F2864*G2864*H2864,IF(AND(F2864,G2864),C2864*E2864*F2864*G2864,IF(AND(F2864,H2864),C2864*E2864*F2864*H2864,IF(AND(G2864,H2864),C2864*E2864*G2864*H2864,IF(F2864,C2864*E2864*F2864,IF(G2864,C2864*E2864*G2864,IF(H2864,C2864*E2864*H2864,C2864*E2864))))))),2)</f>
        <v>11.52</v>
      </c>
      <c r="J2864" s="955" t="s">
        <v>102</v>
      </c>
      <c r="K2864" s="902"/>
      <c r="L2864" s="896"/>
      <c r="M2864" s="902"/>
      <c r="N2864" s="900" t="s">
        <v>2308</v>
      </c>
    </row>
    <row r="2865" spans="1:14" s="910" customFormat="1" ht="16.5" hidden="1" customHeight="1">
      <c r="A2865" s="896"/>
      <c r="B2865" s="956"/>
      <c r="C2865" s="957"/>
      <c r="D2865" s="958"/>
      <c r="E2865" s="1268"/>
      <c r="F2865" s="960"/>
      <c r="G2865" s="960"/>
      <c r="H2865" s="960"/>
      <c r="I2865" s="916"/>
      <c r="J2865" s="955"/>
      <c r="K2865" s="902"/>
      <c r="L2865" s="896"/>
      <c r="M2865" s="902"/>
      <c r="N2865" s="900" t="s">
        <v>2308</v>
      </c>
    </row>
    <row r="2866" spans="1:14" ht="15.75" hidden="1">
      <c r="A2866" s="896"/>
      <c r="B2866" s="902"/>
      <c r="C2866" s="917"/>
      <c r="D2866" s="918"/>
      <c r="E2866" s="919"/>
      <c r="F2866" s="920"/>
      <c r="G2866" s="921"/>
      <c r="H2866" s="896"/>
      <c r="I2866" s="916"/>
      <c r="J2866" s="955" t="s">
        <v>102</v>
      </c>
      <c r="K2866" s="922">
        <f>data!G2147</f>
        <v>2719.44</v>
      </c>
      <c r="L2866" s="923" t="s">
        <v>2308</v>
      </c>
      <c r="M2866" s="924">
        <f>ROUND(I2866*K2866,0)</f>
        <v>0</v>
      </c>
      <c r="N2866" s="900" t="s">
        <v>2308</v>
      </c>
    </row>
    <row r="2867" spans="1:14" ht="42.75" hidden="1" customHeight="1">
      <c r="A2867" s="896">
        <v>51</v>
      </c>
      <c r="B2867" s="1609" t="s">
        <v>626</v>
      </c>
      <c r="C2867" s="1609"/>
      <c r="D2867" s="1609"/>
      <c r="E2867" s="1609"/>
      <c r="F2867" s="1609"/>
      <c r="G2867" s="1609"/>
      <c r="H2867" s="1609"/>
      <c r="I2867" s="897"/>
      <c r="J2867" s="898"/>
      <c r="K2867" s="896"/>
      <c r="L2867" s="896"/>
      <c r="M2867" s="899"/>
      <c r="N2867" s="900" t="s">
        <v>2308</v>
      </c>
    </row>
    <row r="2868" spans="1:14" s="910" customFormat="1" ht="16.5" hidden="1" customHeight="1">
      <c r="A2868" s="896"/>
      <c r="B2868" s="980" t="s">
        <v>2338</v>
      </c>
      <c r="C2868" s="903"/>
      <c r="D2868" s="904"/>
      <c r="E2868" s="905"/>
      <c r="F2868" s="906"/>
      <c r="G2868" s="906"/>
      <c r="H2868" s="907"/>
      <c r="I2868" s="908"/>
      <c r="J2868" s="955"/>
      <c r="K2868" s="902"/>
      <c r="L2868" s="896"/>
      <c r="M2868" s="902"/>
      <c r="N2868" s="900" t="s">
        <v>2308</v>
      </c>
    </row>
    <row r="2869" spans="1:14" s="910" customFormat="1" ht="16.5" hidden="1" customHeight="1">
      <c r="A2869" s="896"/>
      <c r="B2869" s="956" t="s">
        <v>661</v>
      </c>
      <c r="C2869" s="957">
        <v>1</v>
      </c>
      <c r="D2869" s="958" t="s">
        <v>273</v>
      </c>
      <c r="E2869" s="1268">
        <v>1</v>
      </c>
      <c r="F2869" s="1290">
        <v>58.6</v>
      </c>
      <c r="G2869" s="960">
        <v>0</v>
      </c>
      <c r="H2869" s="960">
        <v>0</v>
      </c>
      <c r="I2869" s="916">
        <f>ROUND(IF(AND(F2869:H2869),C2869*E2869*F2869*G2869*H2869,IF(AND(F2869,G2869),C2869*E2869*F2869*G2869,IF(AND(F2869,H2869),C2869*E2869*F2869*H2869,IF(AND(G2869,H2869),C2869*E2869*G2869*H2869,IF(F2869,C2869*E2869*F2869,IF(G2869,C2869*E2869*G2869,IF(H2869,C2869*E2869*H2869,C2869*E2869))))))),2)</f>
        <v>58.6</v>
      </c>
      <c r="J2869" s="955" t="s">
        <v>141</v>
      </c>
      <c r="K2869" s="902"/>
      <c r="L2869" s="896"/>
      <c r="M2869" s="902"/>
      <c r="N2869" s="900" t="s">
        <v>2308</v>
      </c>
    </row>
    <row r="2870" spans="1:14" s="910" customFormat="1" ht="16.5" hidden="1" customHeight="1">
      <c r="A2870" s="896"/>
      <c r="B2870" s="956"/>
      <c r="C2870" s="957"/>
      <c r="D2870" s="958"/>
      <c r="E2870" s="1268"/>
      <c r="F2870" s="1290"/>
      <c r="G2870" s="960"/>
      <c r="H2870" s="960"/>
      <c r="I2870" s="916"/>
      <c r="J2870" s="955"/>
      <c r="K2870" s="902"/>
      <c r="L2870" s="896"/>
      <c r="M2870" s="902"/>
      <c r="N2870" s="900" t="s">
        <v>2308</v>
      </c>
    </row>
    <row r="2871" spans="1:14" ht="15.75" hidden="1">
      <c r="A2871" s="896"/>
      <c r="B2871" s="902"/>
      <c r="C2871" s="917"/>
      <c r="D2871" s="918"/>
      <c r="E2871" s="919"/>
      <c r="F2871" s="920"/>
      <c r="G2871" s="921"/>
      <c r="H2871" s="896"/>
      <c r="I2871" s="916"/>
      <c r="J2871" s="955" t="s">
        <v>141</v>
      </c>
      <c r="K2871" s="922">
        <f>data!G2154</f>
        <v>114.65</v>
      </c>
      <c r="L2871" s="923" t="s">
        <v>2308</v>
      </c>
      <c r="M2871" s="924">
        <f>ROUND(I2871*K2871,0)</f>
        <v>0</v>
      </c>
      <c r="N2871" s="900" t="s">
        <v>2308</v>
      </c>
    </row>
    <row r="2872" spans="1:14" ht="132" hidden="1" customHeight="1">
      <c r="A2872" s="896">
        <v>8</v>
      </c>
      <c r="B2872" s="1609" t="s">
        <v>928</v>
      </c>
      <c r="C2872" s="1609"/>
      <c r="D2872" s="1609"/>
      <c r="E2872" s="1609"/>
      <c r="F2872" s="1609"/>
      <c r="G2872" s="1609"/>
      <c r="H2872" s="1609"/>
      <c r="I2872" s="897"/>
      <c r="J2872" s="898"/>
      <c r="K2872" s="896"/>
      <c r="L2872" s="896"/>
      <c r="M2872" s="899"/>
      <c r="N2872" s="900" t="s">
        <v>2308</v>
      </c>
    </row>
    <row r="2873" spans="1:14" s="910" customFormat="1" ht="16.5" hidden="1" customHeight="1">
      <c r="A2873" s="896"/>
      <c r="B2873" s="902" t="s">
        <v>2321</v>
      </c>
      <c r="C2873" s="903"/>
      <c r="D2873" s="904"/>
      <c r="E2873" s="905"/>
      <c r="F2873" s="906"/>
      <c r="G2873" s="906"/>
      <c r="H2873" s="907"/>
      <c r="I2873" s="908"/>
      <c r="J2873" s="955"/>
      <c r="K2873" s="902"/>
      <c r="L2873" s="896"/>
      <c r="M2873" s="902"/>
      <c r="N2873" s="900" t="s">
        <v>2308</v>
      </c>
    </row>
    <row r="2874" spans="1:14" s="910" customFormat="1" ht="16.5" hidden="1" customHeight="1">
      <c r="A2874" s="896"/>
      <c r="B2874" s="956"/>
      <c r="C2874" s="957">
        <v>1</v>
      </c>
      <c r="D2874" s="958" t="s">
        <v>273</v>
      </c>
      <c r="E2874" s="1268">
        <v>1</v>
      </c>
      <c r="F2874" s="1290">
        <v>19.53</v>
      </c>
      <c r="G2874" s="960">
        <v>0</v>
      </c>
      <c r="H2874" s="960">
        <v>0.8</v>
      </c>
      <c r="I2874" s="916">
        <f>ROUND(IF(AND(F2874:H2874),C2874*E2874*F2874*G2874*H2874,IF(AND(F2874,G2874),C2874*E2874*F2874*G2874,IF(AND(F2874,H2874),C2874*E2874*F2874*H2874,IF(AND(G2874,H2874),C2874*E2874*G2874*H2874,IF(F2874,C2874*E2874*F2874,IF(G2874,C2874*E2874*G2874,IF(H2874,C2874*E2874*H2874,C2874*E2874))))))),2)</f>
        <v>15.62</v>
      </c>
      <c r="J2874" s="955" t="s">
        <v>102</v>
      </c>
      <c r="K2874" s="902"/>
      <c r="L2874" s="896"/>
      <c r="M2874" s="902"/>
      <c r="N2874" s="900" t="s">
        <v>2308</v>
      </c>
    </row>
    <row r="2875" spans="1:14" s="910" customFormat="1" ht="16.5" hidden="1" customHeight="1">
      <c r="A2875" s="896"/>
      <c r="B2875" s="956"/>
      <c r="C2875" s="957"/>
      <c r="D2875" s="958"/>
      <c r="E2875" s="1268"/>
      <c r="F2875" s="1290"/>
      <c r="G2875" s="960"/>
      <c r="H2875" s="960"/>
      <c r="I2875" s="916"/>
      <c r="J2875" s="955"/>
      <c r="K2875" s="902"/>
      <c r="L2875" s="896"/>
      <c r="M2875" s="902"/>
      <c r="N2875" s="900" t="s">
        <v>2308</v>
      </c>
    </row>
    <row r="2876" spans="1:14" ht="15.75" hidden="1">
      <c r="A2876" s="896"/>
      <c r="B2876" s="902"/>
      <c r="C2876" s="917"/>
      <c r="D2876" s="918"/>
      <c r="E2876" s="919"/>
      <c r="F2876" s="920"/>
      <c r="G2876" s="921"/>
      <c r="H2876" s="896"/>
      <c r="I2876" s="916"/>
      <c r="J2876" s="955" t="s">
        <v>102</v>
      </c>
      <c r="K2876" s="922">
        <f>data!G2168</f>
        <v>3034.69</v>
      </c>
      <c r="L2876" s="923" t="s">
        <v>2308</v>
      </c>
      <c r="M2876" s="924">
        <f>ROUND(I2876*K2876,0)</f>
        <v>0</v>
      </c>
      <c r="N2876" s="900" t="s">
        <v>2308</v>
      </c>
    </row>
    <row r="2877" spans="1:14" ht="96.75" hidden="1" customHeight="1">
      <c r="A2877" s="896">
        <v>4</v>
      </c>
      <c r="B2877" s="1609" t="s">
        <v>1634</v>
      </c>
      <c r="C2877" s="1609"/>
      <c r="D2877" s="1609"/>
      <c r="E2877" s="1609"/>
      <c r="F2877" s="1609"/>
      <c r="G2877" s="1609"/>
      <c r="H2877" s="1609"/>
      <c r="I2877" s="897"/>
      <c r="J2877" s="898"/>
      <c r="K2877" s="896"/>
      <c r="L2877" s="896"/>
      <c r="M2877" s="899"/>
      <c r="N2877" s="900" t="s">
        <v>2308</v>
      </c>
    </row>
    <row r="2878" spans="1:14" s="910" customFormat="1" ht="16.5" hidden="1" customHeight="1">
      <c r="A2878" s="896"/>
      <c r="B2878" s="902" t="s">
        <v>2339</v>
      </c>
      <c r="C2878" s="903"/>
      <c r="D2878" s="904"/>
      <c r="E2878" s="905"/>
      <c r="F2878" s="906"/>
      <c r="G2878" s="906"/>
      <c r="H2878" s="907"/>
      <c r="I2878" s="908"/>
      <c r="J2878" s="955"/>
      <c r="K2878" s="902"/>
      <c r="L2878" s="896"/>
      <c r="M2878" s="902"/>
      <c r="N2878" s="900" t="s">
        <v>2308</v>
      </c>
    </row>
    <row r="2879" spans="1:14" s="910" customFormat="1" ht="16.5" hidden="1" customHeight="1">
      <c r="A2879" s="896"/>
      <c r="B2879" s="956" t="s">
        <v>578</v>
      </c>
      <c r="C2879" s="957">
        <v>1</v>
      </c>
      <c r="D2879" s="958" t="s">
        <v>273</v>
      </c>
      <c r="E2879" s="1268">
        <v>1</v>
      </c>
      <c r="F2879" s="1290">
        <v>3.3</v>
      </c>
      <c r="G2879" s="960">
        <v>0</v>
      </c>
      <c r="H2879" s="960">
        <v>0.87</v>
      </c>
      <c r="I2879" s="916">
        <f>ROUND(IF(AND(F2879:H2879),C2879*E2879*F2879*G2879*H2879,IF(AND(F2879,G2879),C2879*E2879*F2879*G2879,IF(AND(F2879,H2879),C2879*E2879*F2879*H2879,IF(AND(G2879,H2879),C2879*E2879*G2879*H2879,IF(F2879,C2879*E2879*F2879,IF(G2879,C2879*E2879*G2879,IF(H2879,C2879*E2879*H2879,C2879*E2879))))))),2)</f>
        <v>2.87</v>
      </c>
      <c r="J2879" s="955" t="s">
        <v>102</v>
      </c>
      <c r="K2879" s="902"/>
      <c r="L2879" s="896"/>
      <c r="M2879" s="902"/>
      <c r="N2879" s="900" t="s">
        <v>2308</v>
      </c>
    </row>
    <row r="2880" spans="1:14" s="910" customFormat="1" ht="16.5" hidden="1" customHeight="1">
      <c r="A2880" s="896"/>
      <c r="B2880" s="956"/>
      <c r="C2880" s="957">
        <v>1</v>
      </c>
      <c r="D2880" s="958" t="s">
        <v>273</v>
      </c>
      <c r="E2880" s="1268">
        <v>1</v>
      </c>
      <c r="F2880" s="1290">
        <v>1</v>
      </c>
      <c r="G2880" s="960">
        <v>0</v>
      </c>
      <c r="H2880" s="960">
        <v>0.87</v>
      </c>
      <c r="I2880" s="916">
        <f>ROUND(IF(AND(F2880:H2880),C2880*E2880*F2880*G2880*H2880,IF(AND(F2880,G2880),C2880*E2880*F2880*G2880,IF(AND(F2880,H2880),C2880*E2880*F2880*H2880,IF(AND(G2880,H2880),C2880*E2880*G2880*H2880,IF(F2880,C2880*E2880*F2880,IF(G2880,C2880*E2880*G2880,IF(H2880,C2880*E2880*H2880,C2880*E2880))))))),2)</f>
        <v>0.87</v>
      </c>
      <c r="J2880" s="955" t="s">
        <v>102</v>
      </c>
      <c r="K2880" s="902"/>
      <c r="L2880" s="896"/>
      <c r="M2880" s="902"/>
      <c r="N2880" s="900" t="s">
        <v>2308</v>
      </c>
    </row>
    <row r="2881" spans="1:14" s="910" customFormat="1" ht="16.5" hidden="1" customHeight="1">
      <c r="A2881" s="896"/>
      <c r="B2881" s="956" t="s">
        <v>654</v>
      </c>
      <c r="C2881" s="957">
        <v>1</v>
      </c>
      <c r="D2881" s="958" t="s">
        <v>273</v>
      </c>
      <c r="E2881" s="1268">
        <v>1</v>
      </c>
      <c r="F2881" s="1290">
        <v>1.45</v>
      </c>
      <c r="G2881" s="960">
        <v>0</v>
      </c>
      <c r="H2881" s="960">
        <v>0.87</v>
      </c>
      <c r="I2881" s="916">
        <f>ROUND(IF(AND(F2881:H2881),C2881*E2881*F2881*G2881*H2881,IF(AND(F2881,G2881),C2881*E2881*F2881*G2881,IF(AND(F2881,H2881),C2881*E2881*F2881*H2881,IF(AND(G2881,H2881),C2881*E2881*G2881*H2881,IF(F2881,C2881*E2881*F2881,IF(G2881,C2881*E2881*G2881,IF(H2881,C2881*E2881*H2881,C2881*E2881))))))),2)</f>
        <v>1.26</v>
      </c>
      <c r="J2881" s="955" t="s">
        <v>102</v>
      </c>
      <c r="K2881" s="902"/>
      <c r="L2881" s="896"/>
      <c r="M2881" s="902"/>
      <c r="N2881" s="900" t="s">
        <v>2308</v>
      </c>
    </row>
    <row r="2882" spans="1:14" s="910" customFormat="1" ht="16.5" hidden="1" customHeight="1">
      <c r="A2882" s="896"/>
      <c r="B2882" s="956"/>
      <c r="C2882" s="957">
        <v>1</v>
      </c>
      <c r="D2882" s="958" t="s">
        <v>273</v>
      </c>
      <c r="E2882" s="1268">
        <v>1</v>
      </c>
      <c r="F2882" s="1290">
        <v>2.57</v>
      </c>
      <c r="G2882" s="960">
        <v>0</v>
      </c>
      <c r="H2882" s="960">
        <v>0.87</v>
      </c>
      <c r="I2882" s="916">
        <f>ROUND(IF(AND(F2882:H2882),C2882*E2882*F2882*G2882*H2882,IF(AND(F2882,G2882),C2882*E2882*F2882*G2882,IF(AND(F2882,H2882),C2882*E2882*F2882*H2882,IF(AND(G2882,H2882),C2882*E2882*G2882*H2882,IF(F2882,C2882*E2882*F2882,IF(G2882,C2882*E2882*G2882,IF(H2882,C2882*E2882*H2882,C2882*E2882))))))),2)</f>
        <v>2.2400000000000002</v>
      </c>
      <c r="J2882" s="955" t="s">
        <v>102</v>
      </c>
      <c r="K2882" s="902"/>
      <c r="L2882" s="896"/>
      <c r="M2882" s="902"/>
      <c r="N2882" s="900" t="s">
        <v>2308</v>
      </c>
    </row>
    <row r="2883" spans="1:14" s="910" customFormat="1" ht="16.5" hidden="1" customHeight="1">
      <c r="A2883" s="896"/>
      <c r="B2883" s="956"/>
      <c r="C2883" s="957"/>
      <c r="D2883" s="958"/>
      <c r="E2883" s="1268"/>
      <c r="F2883" s="1290"/>
      <c r="G2883" s="960"/>
      <c r="H2883" s="960"/>
      <c r="I2883" s="916"/>
      <c r="J2883" s="955"/>
      <c r="K2883" s="902"/>
      <c r="L2883" s="896"/>
      <c r="M2883" s="902"/>
      <c r="N2883" s="900" t="s">
        <v>2308</v>
      </c>
    </row>
    <row r="2884" spans="1:14" ht="15.75" hidden="1">
      <c r="A2884" s="896"/>
      <c r="B2884" s="902"/>
      <c r="C2884" s="917"/>
      <c r="D2884" s="918"/>
      <c r="E2884" s="919"/>
      <c r="F2884" s="920"/>
      <c r="G2884" s="921"/>
      <c r="H2884" s="896"/>
      <c r="I2884" s="916"/>
      <c r="J2884" s="955" t="s">
        <v>102</v>
      </c>
      <c r="K2884" s="922">
        <f>data!G2179</f>
        <v>1357.37</v>
      </c>
      <c r="L2884" s="923" t="s">
        <v>2308</v>
      </c>
      <c r="M2884" s="924">
        <f>ROUND(I2884*K2884,0)</f>
        <v>0</v>
      </c>
      <c r="N2884" s="900" t="s">
        <v>2308</v>
      </c>
    </row>
    <row r="2885" spans="1:14" ht="31.5" hidden="1" customHeight="1">
      <c r="A2885" s="896">
        <v>4</v>
      </c>
      <c r="B2885" s="1609" t="s">
        <v>2286</v>
      </c>
      <c r="C2885" s="1609"/>
      <c r="D2885" s="1609"/>
      <c r="E2885" s="1609"/>
      <c r="F2885" s="1609"/>
      <c r="G2885" s="1609"/>
      <c r="H2885" s="1609"/>
      <c r="I2885" s="897"/>
      <c r="J2885" s="898"/>
      <c r="K2885" s="896"/>
      <c r="L2885" s="896"/>
      <c r="M2885" s="899"/>
      <c r="N2885" s="900" t="s">
        <v>2308</v>
      </c>
    </row>
    <row r="2886" spans="1:14" s="910" customFormat="1" ht="16.5" hidden="1" customHeight="1">
      <c r="A2886" s="896"/>
      <c r="B2886" s="902" t="s">
        <v>2339</v>
      </c>
      <c r="C2886" s="903"/>
      <c r="D2886" s="904"/>
      <c r="E2886" s="905"/>
      <c r="F2886" s="906"/>
      <c r="G2886" s="906"/>
      <c r="H2886" s="907"/>
      <c r="I2886" s="908"/>
      <c r="J2886" s="955"/>
      <c r="K2886" s="902"/>
      <c r="L2886" s="896"/>
      <c r="M2886" s="902"/>
      <c r="N2886" s="900" t="s">
        <v>2308</v>
      </c>
    </row>
    <row r="2887" spans="1:14" s="910" customFormat="1" ht="16.5" hidden="1" customHeight="1">
      <c r="A2887" s="896"/>
      <c r="B2887" s="956"/>
      <c r="C2887" s="957">
        <v>1</v>
      </c>
      <c r="D2887" s="958" t="s">
        <v>273</v>
      </c>
      <c r="E2887" s="1268">
        <v>1</v>
      </c>
      <c r="F2887" s="1290">
        <v>0.5</v>
      </c>
      <c r="G2887" s="960">
        <v>0</v>
      </c>
      <c r="H2887" s="960">
        <v>0</v>
      </c>
      <c r="I2887" s="916">
        <f>ROUND(IF(AND(F2887:H2887),C2887*E2887*F2887*G2887*H2887,IF(AND(F2887,G2887),C2887*E2887*F2887*G2887,IF(AND(F2887,H2887),C2887*E2887*F2887*H2887,IF(AND(G2887,H2887),C2887*E2887*G2887*H2887,IF(F2887,C2887*E2887*F2887,IF(G2887,C2887*E2887*G2887,IF(H2887,C2887*E2887*H2887,C2887*E2887))))))),2)</f>
        <v>0.5</v>
      </c>
      <c r="J2887" s="955" t="s">
        <v>4</v>
      </c>
      <c r="K2887" s="902"/>
      <c r="L2887" s="896"/>
      <c r="M2887" s="902"/>
      <c r="N2887" s="900" t="s">
        <v>2308</v>
      </c>
    </row>
    <row r="2888" spans="1:14" s="910" customFormat="1" ht="16.5" hidden="1" customHeight="1">
      <c r="A2888" s="896"/>
      <c r="B2888" s="956"/>
      <c r="C2888" s="957"/>
      <c r="D2888" s="958"/>
      <c r="E2888" s="1268"/>
      <c r="F2888" s="1290"/>
      <c r="G2888" s="960"/>
      <c r="H2888" s="960"/>
      <c r="I2888" s="916"/>
      <c r="J2888" s="955"/>
      <c r="K2888" s="902"/>
      <c r="L2888" s="896"/>
      <c r="M2888" s="902"/>
      <c r="N2888" s="900" t="s">
        <v>2308</v>
      </c>
    </row>
    <row r="2889" spans="1:14" ht="15.75" hidden="1">
      <c r="A2889" s="896"/>
      <c r="B2889" s="902"/>
      <c r="C2889" s="917"/>
      <c r="D2889" s="918"/>
      <c r="E2889" s="919"/>
      <c r="F2889" s="920"/>
      <c r="G2889" s="921"/>
      <c r="H2889" s="896"/>
      <c r="I2889" s="916"/>
      <c r="J2889" s="955" t="s">
        <v>4</v>
      </c>
      <c r="K2889" s="922">
        <f>data!G2183</f>
        <v>508</v>
      </c>
      <c r="L2889" s="923" t="s">
        <v>2308</v>
      </c>
      <c r="M2889" s="924">
        <f>ROUND(I2889*K2889,0)</f>
        <v>0</v>
      </c>
      <c r="N2889" s="900" t="s">
        <v>2308</v>
      </c>
    </row>
    <row r="2890" spans="1:14" ht="30.75" hidden="1" customHeight="1">
      <c r="A2890" s="896">
        <v>7</v>
      </c>
      <c r="B2890" s="1609" t="s">
        <v>958</v>
      </c>
      <c r="C2890" s="1609"/>
      <c r="D2890" s="1609"/>
      <c r="E2890" s="1609"/>
      <c r="F2890" s="1609"/>
      <c r="G2890" s="1609"/>
      <c r="H2890" s="1609"/>
      <c r="I2890" s="897"/>
      <c r="J2890" s="898"/>
      <c r="K2890" s="896"/>
      <c r="L2890" s="896"/>
      <c r="M2890" s="899"/>
      <c r="N2890" s="900" t="s">
        <v>2308</v>
      </c>
    </row>
    <row r="2891" spans="1:14" s="910" customFormat="1" ht="16.5" hidden="1" customHeight="1">
      <c r="A2891" s="896"/>
      <c r="B2891" s="902" t="s">
        <v>2100</v>
      </c>
      <c r="C2891" s="903"/>
      <c r="D2891" s="904"/>
      <c r="E2891" s="905"/>
      <c r="F2891" s="906"/>
      <c r="G2891" s="906"/>
      <c r="H2891" s="907"/>
      <c r="I2891" s="908"/>
      <c r="J2891" s="955"/>
      <c r="K2891" s="902"/>
      <c r="L2891" s="896"/>
      <c r="M2891" s="902"/>
      <c r="N2891" s="900" t="s">
        <v>2308</v>
      </c>
    </row>
    <row r="2892" spans="1:14" s="910" customFormat="1" ht="16.5" hidden="1" customHeight="1">
      <c r="A2892" s="896"/>
      <c r="B2892" s="956" t="s">
        <v>939</v>
      </c>
      <c r="C2892" s="957">
        <v>1</v>
      </c>
      <c r="D2892" s="958" t="s">
        <v>273</v>
      </c>
      <c r="E2892" s="1268">
        <v>11</v>
      </c>
      <c r="F2892" s="1290">
        <v>1.25</v>
      </c>
      <c r="G2892" s="960">
        <v>0</v>
      </c>
      <c r="H2892" s="960">
        <v>0</v>
      </c>
      <c r="I2892" s="916">
        <f>ROUND(IF(AND(F2892:H2892),C2892*E2892*F2892*G2892*H2892,IF(AND(F2892,G2892),C2892*E2892*F2892*G2892,IF(AND(F2892,H2892),C2892*E2892*F2892*H2892,IF(AND(G2892,H2892),C2892*E2892*G2892*H2892,IF(F2892,C2892*E2892*F2892,IF(G2892,C2892*E2892*G2892,IF(H2892,C2892*E2892*H2892,C2892*E2892))))))),2)</f>
        <v>13.75</v>
      </c>
      <c r="J2892" s="955" t="s">
        <v>277</v>
      </c>
      <c r="K2892" s="902"/>
      <c r="L2892" s="896"/>
      <c r="M2892" s="902"/>
      <c r="N2892" s="900" t="s">
        <v>2308</v>
      </c>
    </row>
    <row r="2893" spans="1:14" s="910" customFormat="1" ht="16.5" hidden="1" customHeight="1">
      <c r="A2893" s="896"/>
      <c r="B2893" s="956" t="s">
        <v>940</v>
      </c>
      <c r="C2893" s="957">
        <v>1</v>
      </c>
      <c r="D2893" s="958" t="s">
        <v>273</v>
      </c>
      <c r="E2893" s="1268">
        <v>11</v>
      </c>
      <c r="F2893" s="1290">
        <v>1.25</v>
      </c>
      <c r="G2893" s="960">
        <v>0</v>
      </c>
      <c r="H2893" s="960">
        <v>0</v>
      </c>
      <c r="I2893" s="916">
        <f>ROUND(IF(AND(F2893:H2893),C2893*E2893*F2893*G2893*H2893,IF(AND(F2893,G2893),C2893*E2893*F2893*G2893,IF(AND(F2893,H2893),C2893*E2893*F2893*H2893,IF(AND(G2893,H2893),C2893*E2893*G2893*H2893,IF(F2893,C2893*E2893*F2893,IF(G2893,C2893*E2893*G2893,IF(H2893,C2893*E2893*H2893,C2893*E2893))))))),2)</f>
        <v>13.75</v>
      </c>
      <c r="J2893" s="955" t="s">
        <v>277</v>
      </c>
      <c r="K2893" s="902"/>
      <c r="L2893" s="896"/>
      <c r="M2893" s="902"/>
      <c r="N2893" s="900" t="s">
        <v>2308</v>
      </c>
    </row>
    <row r="2894" spans="1:14" s="910" customFormat="1" ht="16.5" hidden="1" customHeight="1">
      <c r="A2894" s="896"/>
      <c r="B2894" s="980" t="s">
        <v>584</v>
      </c>
      <c r="C2894" s="903"/>
      <c r="D2894" s="904"/>
      <c r="E2894" s="905"/>
      <c r="F2894" s="906"/>
      <c r="G2894" s="906"/>
      <c r="H2894" s="907"/>
      <c r="I2894" s="908"/>
      <c r="J2894" s="955"/>
      <c r="K2894" s="902"/>
      <c r="L2894" s="896"/>
      <c r="M2894" s="902"/>
      <c r="N2894" s="900" t="s">
        <v>2308</v>
      </c>
    </row>
    <row r="2895" spans="1:14" s="910" customFormat="1" ht="16.5" hidden="1" customHeight="1">
      <c r="A2895" s="896"/>
      <c r="B2895" s="956" t="s">
        <v>939</v>
      </c>
      <c r="C2895" s="957">
        <v>1</v>
      </c>
      <c r="D2895" s="958" t="s">
        <v>273</v>
      </c>
      <c r="E2895" s="1268">
        <v>7</v>
      </c>
      <c r="F2895" s="1290">
        <v>1.25</v>
      </c>
      <c r="G2895" s="960">
        <v>0</v>
      </c>
      <c r="H2895" s="960">
        <v>0</v>
      </c>
      <c r="I2895" s="916">
        <f>ROUND(IF(AND(F2895:H2895),C2895*E2895*F2895*G2895*H2895,IF(AND(F2895,G2895),C2895*E2895*F2895*G2895,IF(AND(F2895,H2895),C2895*E2895*F2895*H2895,IF(AND(G2895,H2895),C2895*E2895*G2895*H2895,IF(F2895,C2895*E2895*F2895,IF(G2895,C2895*E2895*G2895,IF(H2895,C2895*E2895*H2895,C2895*E2895))))))),2)</f>
        <v>8.75</v>
      </c>
      <c r="J2895" s="955" t="s">
        <v>277</v>
      </c>
      <c r="K2895" s="902"/>
      <c r="L2895" s="896"/>
      <c r="M2895" s="902"/>
      <c r="N2895" s="900" t="s">
        <v>2308</v>
      </c>
    </row>
    <row r="2896" spans="1:14" s="910" customFormat="1" ht="16.5" hidden="1" customHeight="1">
      <c r="A2896" s="896"/>
      <c r="B2896" s="956"/>
      <c r="C2896" s="957"/>
      <c r="D2896" s="958"/>
      <c r="E2896" s="1268"/>
      <c r="F2896" s="1290"/>
      <c r="G2896" s="960"/>
      <c r="H2896" s="960"/>
      <c r="I2896" s="916"/>
      <c r="J2896" s="955"/>
      <c r="K2896" s="902"/>
      <c r="L2896" s="896"/>
      <c r="M2896" s="902"/>
      <c r="N2896" s="900" t="s">
        <v>2308</v>
      </c>
    </row>
    <row r="2897" spans="1:14" ht="15.75" hidden="1">
      <c r="A2897" s="896"/>
      <c r="B2897" s="902"/>
      <c r="C2897" s="917"/>
      <c r="D2897" s="918"/>
      <c r="E2897" s="919"/>
      <c r="F2897" s="920"/>
      <c r="G2897" s="921"/>
      <c r="H2897" s="896"/>
      <c r="I2897" s="916"/>
      <c r="J2897" s="955" t="s">
        <v>277</v>
      </c>
      <c r="K2897" s="922">
        <f>data!G2458</f>
        <v>438</v>
      </c>
      <c r="L2897" s="923" t="s">
        <v>2308</v>
      </c>
      <c r="M2897" s="924">
        <f>ROUND(I2897*K2897,0)</f>
        <v>0</v>
      </c>
      <c r="N2897" s="900" t="s">
        <v>2308</v>
      </c>
    </row>
    <row r="2898" spans="1:14" s="1253" customFormat="1" ht="15.75" hidden="1">
      <c r="A2898" s="967"/>
      <c r="B2898" s="967" t="s">
        <v>2213</v>
      </c>
      <c r="C2898" s="967"/>
      <c r="D2898" s="967"/>
      <c r="E2898" s="967"/>
      <c r="F2898" s="988"/>
      <c r="G2898" s="988"/>
      <c r="H2898" s="967"/>
      <c r="I2898" s="1261"/>
      <c r="J2898" s="1262"/>
      <c r="K2898" s="967"/>
      <c r="L2898" s="967"/>
      <c r="M2898" s="967"/>
      <c r="N2898" s="900" t="s">
        <v>2309</v>
      </c>
    </row>
    <row r="2899" spans="1:14" ht="72" hidden="1" customHeight="1">
      <c r="A2899" s="896">
        <v>29</v>
      </c>
      <c r="B2899" s="1609" t="s">
        <v>803</v>
      </c>
      <c r="C2899" s="1609"/>
      <c r="D2899" s="1609"/>
      <c r="E2899" s="1609"/>
      <c r="F2899" s="1609"/>
      <c r="G2899" s="1609"/>
      <c r="H2899" s="1609"/>
      <c r="I2899" s="897"/>
      <c r="J2899" s="898"/>
      <c r="K2899" s="896"/>
      <c r="L2899" s="896"/>
      <c r="M2899" s="899"/>
      <c r="N2899" s="900" t="s">
        <v>2309</v>
      </c>
    </row>
    <row r="2900" spans="1:14" s="910" customFormat="1" ht="15.75" hidden="1">
      <c r="A2900" s="896"/>
      <c r="B2900" s="902" t="s">
        <v>3271</v>
      </c>
      <c r="C2900" s="903" t="s">
        <v>1550</v>
      </c>
      <c r="D2900" s="904"/>
      <c r="E2900" s="905"/>
      <c r="F2900" s="906"/>
      <c r="G2900" s="906"/>
      <c r="H2900" s="907"/>
      <c r="I2900" s="908"/>
      <c r="J2900" s="955"/>
      <c r="K2900" s="902"/>
      <c r="L2900" s="896"/>
      <c r="M2900" s="902"/>
      <c r="N2900" s="900" t="s">
        <v>2309</v>
      </c>
    </row>
    <row r="2901" spans="1:14" s="910" customFormat="1" ht="15.75" hidden="1">
      <c r="A2901" s="896"/>
      <c r="B2901" s="911" t="s">
        <v>583</v>
      </c>
      <c r="C2901" s="912">
        <v>1</v>
      </c>
      <c r="D2901" s="913" t="s">
        <v>273</v>
      </c>
      <c r="E2901" s="914">
        <v>1</v>
      </c>
      <c r="F2901" s="915">
        <v>0</v>
      </c>
      <c r="G2901" s="915">
        <v>0</v>
      </c>
      <c r="H2901" s="915">
        <v>0</v>
      </c>
      <c r="I2901" s="1291">
        <f>ROUND(IF(AND(F2901:H2901),C2901*E2901*F2901*G2901*H2901,IF(AND(F2901,G2901),C2901*E2901*F2901*G2901,IF(AND(F2901,H2901),C2901*E2901*F2901*H2901,IF(AND(G2901,H2901),C2901*E2901*G2901*H2901,IF(F2901,C2901*E2901*F2901,IF(G2901,C2901*E2901*G2901,IF(H2901,C2901*E2901*H2901,C2901*E2901))))))),2)</f>
        <v>1</v>
      </c>
      <c r="J2901" s="955" t="s">
        <v>115</v>
      </c>
      <c r="K2901" s="902"/>
      <c r="L2901" s="896"/>
      <c r="M2901" s="902"/>
      <c r="N2901" s="900" t="s">
        <v>2309</v>
      </c>
    </row>
    <row r="2902" spans="1:14" s="910" customFormat="1" ht="15.75" hidden="1">
      <c r="A2902" s="896"/>
      <c r="B2902" s="956"/>
      <c r="C2902" s="957"/>
      <c r="D2902" s="958"/>
      <c r="E2902" s="1268"/>
      <c r="F2902" s="960"/>
      <c r="G2902" s="960"/>
      <c r="H2902" s="960"/>
      <c r="I2902" s="1291"/>
      <c r="J2902" s="955"/>
      <c r="K2902" s="902"/>
      <c r="L2902" s="896"/>
      <c r="M2902" s="902"/>
      <c r="N2902" s="900" t="s">
        <v>2309</v>
      </c>
    </row>
    <row r="2903" spans="1:14" ht="15.75" hidden="1">
      <c r="A2903" s="896"/>
      <c r="B2903" s="902"/>
      <c r="C2903" s="917"/>
      <c r="D2903" s="918"/>
      <c r="E2903" s="919"/>
      <c r="F2903" s="920"/>
      <c r="G2903" s="921"/>
      <c r="H2903" s="896"/>
      <c r="I2903" s="1291"/>
      <c r="J2903" s="955" t="s">
        <v>115</v>
      </c>
      <c r="K2903" s="922">
        <f>'D&amp;W data'!H730</f>
        <v>22903.660000000003</v>
      </c>
      <c r="L2903" s="923" t="s">
        <v>2309</v>
      </c>
      <c r="M2903" s="924">
        <f>ROUND(I2903*K2903,0)</f>
        <v>0</v>
      </c>
      <c r="N2903" s="900" t="s">
        <v>2309</v>
      </c>
    </row>
    <row r="2904" spans="1:14" ht="72" hidden="1" customHeight="1">
      <c r="A2904" s="896">
        <v>3</v>
      </c>
      <c r="B2904" s="1609" t="s">
        <v>3104</v>
      </c>
      <c r="C2904" s="1609"/>
      <c r="D2904" s="1609"/>
      <c r="E2904" s="1609"/>
      <c r="F2904" s="1609"/>
      <c r="G2904" s="1609"/>
      <c r="H2904" s="1609"/>
      <c r="I2904" s="897"/>
      <c r="J2904" s="898"/>
      <c r="K2904" s="896"/>
      <c r="L2904" s="896"/>
      <c r="M2904" s="899"/>
      <c r="N2904" s="900" t="s">
        <v>2309</v>
      </c>
    </row>
    <row r="2905" spans="1:14" s="910" customFormat="1" ht="15.75" hidden="1">
      <c r="A2905" s="896"/>
      <c r="B2905" s="902" t="s">
        <v>3554</v>
      </c>
      <c r="C2905" s="903"/>
      <c r="D2905" s="1280" t="s">
        <v>3252</v>
      </c>
      <c r="E2905" s="905"/>
      <c r="F2905" s="906"/>
      <c r="G2905" s="906"/>
      <c r="H2905" s="907"/>
      <c r="I2905" s="908"/>
      <c r="J2905" s="955"/>
      <c r="K2905" s="902"/>
      <c r="L2905" s="896"/>
      <c r="M2905" s="902"/>
      <c r="N2905" s="900" t="s">
        <v>2309</v>
      </c>
    </row>
    <row r="2906" spans="1:14" s="910" customFormat="1" ht="15.75" hidden="1">
      <c r="A2906" s="896"/>
      <c r="B2906" s="911" t="s">
        <v>584</v>
      </c>
      <c r="C2906" s="912">
        <v>1</v>
      </c>
      <c r="D2906" s="913" t="s">
        <v>273</v>
      </c>
      <c r="E2906" s="914">
        <v>2</v>
      </c>
      <c r="F2906" s="915">
        <v>0</v>
      </c>
      <c r="G2906" s="915">
        <v>0</v>
      </c>
      <c r="H2906" s="915">
        <v>0</v>
      </c>
      <c r="I2906" s="1291">
        <f>ROUND(IF(AND(F2906:H2906),C2906*E2906*F2906*G2906*H2906,IF(AND(F2906,G2906),C2906*E2906*F2906*G2906,IF(AND(F2906,H2906),C2906*E2906*F2906*H2906,IF(AND(G2906,H2906),C2906*E2906*G2906*H2906,IF(F2906,C2906*E2906*F2906,IF(G2906,C2906*E2906*G2906,IF(H2906,C2906*E2906*H2906,C2906*E2906))))))),2)</f>
        <v>2</v>
      </c>
      <c r="J2906" s="955" t="s">
        <v>115</v>
      </c>
      <c r="K2906" s="902"/>
      <c r="L2906" s="896"/>
      <c r="M2906" s="902"/>
      <c r="N2906" s="900" t="s">
        <v>2309</v>
      </c>
    </row>
    <row r="2907" spans="1:14" s="910" customFormat="1" ht="15.75" hidden="1">
      <c r="A2907" s="896"/>
      <c r="B2907" s="956"/>
      <c r="C2907" s="957"/>
      <c r="D2907" s="958"/>
      <c r="E2907" s="1268"/>
      <c r="F2907" s="960"/>
      <c r="G2907" s="960"/>
      <c r="H2907" s="960"/>
      <c r="I2907" s="1291"/>
      <c r="J2907" s="955"/>
      <c r="K2907" s="902"/>
      <c r="L2907" s="896"/>
      <c r="M2907" s="902"/>
      <c r="N2907" s="900" t="s">
        <v>2309</v>
      </c>
    </row>
    <row r="2908" spans="1:14" ht="15.75" hidden="1">
      <c r="A2908" s="896"/>
      <c r="B2908" s="902"/>
      <c r="C2908" s="917"/>
      <c r="D2908" s="918"/>
      <c r="E2908" s="919"/>
      <c r="F2908" s="920"/>
      <c r="G2908" s="921"/>
      <c r="H2908" s="896"/>
      <c r="I2908" s="1291"/>
      <c r="J2908" s="955" t="s">
        <v>115</v>
      </c>
      <c r="K2908" s="922">
        <f>'D&amp;W data'!H748</f>
        <v>11464.42</v>
      </c>
      <c r="L2908" s="923" t="s">
        <v>2309</v>
      </c>
      <c r="M2908" s="924">
        <f>ROUND(I2908*K2908,0)</f>
        <v>0</v>
      </c>
      <c r="N2908" s="900" t="s">
        <v>2309</v>
      </c>
    </row>
    <row r="2909" spans="1:14" ht="72" hidden="1" customHeight="1">
      <c r="A2909" s="896">
        <v>3</v>
      </c>
      <c r="B2909" s="1609" t="s">
        <v>2200</v>
      </c>
      <c r="C2909" s="1609"/>
      <c r="D2909" s="1609"/>
      <c r="E2909" s="1609"/>
      <c r="F2909" s="1609"/>
      <c r="G2909" s="1609"/>
      <c r="H2909" s="1609"/>
      <c r="I2909" s="897"/>
      <c r="J2909" s="898"/>
      <c r="K2909" s="896"/>
      <c r="L2909" s="896"/>
      <c r="M2909" s="899"/>
      <c r="N2909" s="900" t="s">
        <v>2309</v>
      </c>
    </row>
    <row r="2910" spans="1:14" s="910" customFormat="1" ht="15.75" hidden="1">
      <c r="A2910" s="896"/>
      <c r="B2910" s="902" t="s">
        <v>2328</v>
      </c>
      <c r="C2910" s="903"/>
      <c r="D2910" s="904"/>
      <c r="E2910" s="905"/>
      <c r="F2910" s="906"/>
      <c r="G2910" s="906"/>
      <c r="H2910" s="907"/>
      <c r="I2910" s="908"/>
      <c r="J2910" s="955"/>
      <c r="K2910" s="902"/>
      <c r="L2910" s="896"/>
      <c r="M2910" s="902"/>
      <c r="N2910" s="900" t="s">
        <v>2309</v>
      </c>
    </row>
    <row r="2911" spans="1:14" s="910" customFormat="1" ht="15.75" hidden="1">
      <c r="A2911" s="896"/>
      <c r="B2911" s="956"/>
      <c r="C2911" s="957">
        <v>1</v>
      </c>
      <c r="D2911" s="958" t="s">
        <v>273</v>
      </c>
      <c r="E2911" s="1268">
        <v>1</v>
      </c>
      <c r="F2911" s="960">
        <v>0</v>
      </c>
      <c r="G2911" s="960">
        <v>0</v>
      </c>
      <c r="H2911" s="960">
        <v>0</v>
      </c>
      <c r="I2911" s="1291">
        <f>ROUND(IF(AND(F2911:H2911),C2911*E2911*F2911*G2911*H2911,IF(AND(F2911,G2911),C2911*E2911*F2911*G2911,IF(AND(F2911,H2911),C2911*E2911*F2911*H2911,IF(AND(G2911,H2911),C2911*E2911*G2911*H2911,IF(F2911,C2911*E2911*F2911,IF(G2911,C2911*E2911*G2911,IF(H2911,C2911*E2911*H2911,C2911*E2911))))))),2)</f>
        <v>1</v>
      </c>
      <c r="J2911" s="955" t="s">
        <v>115</v>
      </c>
      <c r="K2911" s="902"/>
      <c r="L2911" s="896"/>
      <c r="M2911" s="902"/>
      <c r="N2911" s="900" t="s">
        <v>2309</v>
      </c>
    </row>
    <row r="2912" spans="1:14" s="910" customFormat="1" ht="15.75" hidden="1">
      <c r="A2912" s="896"/>
      <c r="B2912" s="956"/>
      <c r="C2912" s="957"/>
      <c r="D2912" s="958"/>
      <c r="E2912" s="1268"/>
      <c r="F2912" s="960"/>
      <c r="G2912" s="960"/>
      <c r="H2912" s="960"/>
      <c r="I2912" s="1291"/>
      <c r="J2912" s="955"/>
      <c r="K2912" s="902"/>
      <c r="L2912" s="896"/>
      <c r="M2912" s="902"/>
      <c r="N2912" s="900" t="s">
        <v>2309</v>
      </c>
    </row>
    <row r="2913" spans="1:14" ht="15.75" hidden="1">
      <c r="A2913" s="896"/>
      <c r="B2913" s="902"/>
      <c r="C2913" s="917"/>
      <c r="D2913" s="918"/>
      <c r="E2913" s="919"/>
      <c r="F2913" s="920"/>
      <c r="G2913" s="921"/>
      <c r="H2913" s="896"/>
      <c r="I2913" s="1291"/>
      <c r="J2913" s="955" t="s">
        <v>115</v>
      </c>
      <c r="K2913" s="922">
        <f>'D&amp;W data'!H766</f>
        <v>11442.58</v>
      </c>
      <c r="L2913" s="923" t="s">
        <v>2309</v>
      </c>
      <c r="M2913" s="924">
        <f>ROUND(I2913*K2913,0)</f>
        <v>0</v>
      </c>
      <c r="N2913" s="900" t="s">
        <v>2309</v>
      </c>
    </row>
    <row r="2914" spans="1:14" ht="71.25" hidden="1" customHeight="1">
      <c r="A2914" s="896">
        <v>2</v>
      </c>
      <c r="B2914" s="1609" t="s">
        <v>1630</v>
      </c>
      <c r="C2914" s="1609"/>
      <c r="D2914" s="1609"/>
      <c r="E2914" s="1609"/>
      <c r="F2914" s="1609"/>
      <c r="G2914" s="1609"/>
      <c r="H2914" s="1609"/>
      <c r="I2914" s="897"/>
      <c r="J2914" s="898"/>
      <c r="K2914" s="896"/>
      <c r="L2914" s="896"/>
      <c r="M2914" s="899"/>
      <c r="N2914" s="900" t="s">
        <v>2309</v>
      </c>
    </row>
    <row r="2915" spans="1:14" s="910" customFormat="1" ht="15.75" hidden="1">
      <c r="A2915" s="896"/>
      <c r="B2915" s="928" t="s">
        <v>2323</v>
      </c>
      <c r="C2915" s="903"/>
      <c r="D2915" s="904"/>
      <c r="E2915" s="905"/>
      <c r="F2915" s="906"/>
      <c r="G2915" s="906"/>
      <c r="H2915" s="907"/>
      <c r="I2915" s="908"/>
      <c r="J2915" s="955"/>
      <c r="K2915" s="902"/>
      <c r="L2915" s="896"/>
      <c r="M2915" s="902"/>
      <c r="N2915" s="900" t="s">
        <v>2309</v>
      </c>
    </row>
    <row r="2916" spans="1:14" s="910" customFormat="1" ht="15.75" hidden="1">
      <c r="A2916" s="896"/>
      <c r="B2916" s="956" t="s">
        <v>583</v>
      </c>
      <c r="C2916" s="957">
        <v>1</v>
      </c>
      <c r="D2916" s="958" t="s">
        <v>273</v>
      </c>
      <c r="E2916" s="1268">
        <v>1</v>
      </c>
      <c r="F2916" s="960">
        <v>0</v>
      </c>
      <c r="G2916" s="960">
        <v>0</v>
      </c>
      <c r="H2916" s="960">
        <v>0</v>
      </c>
      <c r="I2916" s="916">
        <f>ROUND(IF(AND(F2916:H2916),C2916*E2916*F2916*G2916*H2916,IF(AND(F2916,G2916),C2916*E2916*F2916*G2916,IF(AND(F2916,H2916),C2916*E2916*F2916*H2916,IF(AND(G2916,H2916),C2916*E2916*G2916*H2916,IF(F2916,C2916*E2916*F2916,IF(G2916,C2916*E2916*G2916,IF(H2916,C2916*E2916*H2916,C2916*E2916))))))),2)</f>
        <v>1</v>
      </c>
      <c r="J2916" s="955" t="s">
        <v>115</v>
      </c>
      <c r="K2916" s="902"/>
      <c r="L2916" s="896"/>
      <c r="M2916" s="902"/>
      <c r="N2916" s="900" t="s">
        <v>2309</v>
      </c>
    </row>
    <row r="2917" spans="1:14" s="910" customFormat="1" ht="15.75" hidden="1">
      <c r="A2917" s="896"/>
      <c r="B2917" s="956"/>
      <c r="C2917" s="957"/>
      <c r="D2917" s="958"/>
      <c r="E2917" s="1268"/>
      <c r="F2917" s="960"/>
      <c r="G2917" s="960"/>
      <c r="H2917" s="960"/>
      <c r="I2917" s="916"/>
      <c r="J2917" s="955"/>
      <c r="K2917" s="902"/>
      <c r="L2917" s="896"/>
      <c r="M2917" s="902"/>
      <c r="N2917" s="900" t="s">
        <v>2309</v>
      </c>
    </row>
    <row r="2918" spans="1:14" ht="15.75" hidden="1">
      <c r="A2918" s="896"/>
      <c r="B2918" s="902"/>
      <c r="C2918" s="917"/>
      <c r="D2918" s="918"/>
      <c r="E2918" s="919"/>
      <c r="F2918" s="920"/>
      <c r="G2918" s="921"/>
      <c r="H2918" s="896"/>
      <c r="I2918" s="916"/>
      <c r="J2918" s="955" t="s">
        <v>115</v>
      </c>
      <c r="K2918" s="922">
        <f>'D&amp;W data'!H785</f>
        <v>15875.19</v>
      </c>
      <c r="L2918" s="923" t="s">
        <v>2309</v>
      </c>
      <c r="M2918" s="924">
        <f>ROUND(I2918*K2918,0)</f>
        <v>0</v>
      </c>
      <c r="N2918" s="900" t="s">
        <v>2309</v>
      </c>
    </row>
    <row r="2919" spans="1:14" ht="71.25" hidden="1" customHeight="1">
      <c r="A2919" s="896">
        <v>3</v>
      </c>
      <c r="B2919" s="1609" t="s">
        <v>1631</v>
      </c>
      <c r="C2919" s="1609"/>
      <c r="D2919" s="1609"/>
      <c r="E2919" s="1609"/>
      <c r="F2919" s="1609"/>
      <c r="G2919" s="1609"/>
      <c r="H2919" s="1609"/>
      <c r="I2919" s="897"/>
      <c r="J2919" s="898"/>
      <c r="K2919" s="896"/>
      <c r="L2919" s="896"/>
      <c r="M2919" s="899"/>
      <c r="N2919" s="900" t="s">
        <v>2309</v>
      </c>
    </row>
    <row r="2920" spans="1:14" s="910" customFormat="1" ht="15.75" hidden="1">
      <c r="A2920" s="896"/>
      <c r="B2920" s="928" t="s">
        <v>2318</v>
      </c>
      <c r="C2920" s="903"/>
      <c r="D2920" s="904"/>
      <c r="E2920" s="905"/>
      <c r="F2920" s="906"/>
      <c r="G2920" s="906"/>
      <c r="H2920" s="907"/>
      <c r="I2920" s="908"/>
      <c r="J2920" s="955"/>
      <c r="K2920" s="902"/>
      <c r="L2920" s="896"/>
      <c r="M2920" s="902"/>
      <c r="N2920" s="900" t="s">
        <v>2309</v>
      </c>
    </row>
    <row r="2921" spans="1:14" s="910" customFormat="1" ht="15.75" hidden="1">
      <c r="A2921" s="896"/>
      <c r="B2921" s="956" t="s">
        <v>583</v>
      </c>
      <c r="C2921" s="957">
        <v>1</v>
      </c>
      <c r="D2921" s="958" t="s">
        <v>273</v>
      </c>
      <c r="E2921" s="1268">
        <v>1</v>
      </c>
      <c r="F2921" s="960">
        <v>0</v>
      </c>
      <c r="G2921" s="960">
        <v>0</v>
      </c>
      <c r="H2921" s="960">
        <v>0</v>
      </c>
      <c r="I2921" s="916">
        <f>ROUND(IF(AND(F2921:H2921),C2921*E2921*F2921*G2921*H2921,IF(AND(F2921,G2921),C2921*E2921*F2921*G2921,IF(AND(F2921,H2921),C2921*E2921*F2921*H2921,IF(AND(G2921,H2921),C2921*E2921*G2921*H2921,IF(F2921,C2921*E2921*F2921,IF(G2921,C2921*E2921*G2921,IF(H2921,C2921*E2921*H2921,C2921*E2921))))))),2)</f>
        <v>1</v>
      </c>
      <c r="J2921" s="955" t="s">
        <v>115</v>
      </c>
      <c r="K2921" s="902"/>
      <c r="L2921" s="896"/>
      <c r="M2921" s="902"/>
      <c r="N2921" s="900" t="s">
        <v>2309</v>
      </c>
    </row>
    <row r="2922" spans="1:14" s="910" customFormat="1" ht="15.75" hidden="1">
      <c r="A2922" s="896"/>
      <c r="B2922" s="956"/>
      <c r="C2922" s="957"/>
      <c r="D2922" s="958"/>
      <c r="E2922" s="1268"/>
      <c r="F2922" s="960"/>
      <c r="G2922" s="960"/>
      <c r="H2922" s="960"/>
      <c r="I2922" s="916"/>
      <c r="J2922" s="955"/>
      <c r="K2922" s="902"/>
      <c r="L2922" s="896"/>
      <c r="M2922" s="902"/>
      <c r="N2922" s="900" t="s">
        <v>2309</v>
      </c>
    </row>
    <row r="2923" spans="1:14" ht="15.75" hidden="1">
      <c r="A2923" s="896"/>
      <c r="B2923" s="902"/>
      <c r="C2923" s="917"/>
      <c r="D2923" s="918"/>
      <c r="E2923" s="919"/>
      <c r="F2923" s="920"/>
      <c r="G2923" s="921"/>
      <c r="H2923" s="896"/>
      <c r="I2923" s="916"/>
      <c r="J2923" s="955" t="s">
        <v>115</v>
      </c>
      <c r="K2923" s="922">
        <f>'D&amp;W data'!H804</f>
        <v>15037.220000000001</v>
      </c>
      <c r="L2923" s="923" t="s">
        <v>2309</v>
      </c>
      <c r="M2923" s="924">
        <f>ROUND(I2923*K2923,0)</f>
        <v>0</v>
      </c>
      <c r="N2923" s="900" t="s">
        <v>2309</v>
      </c>
    </row>
    <row r="2924" spans="1:14" ht="71.25" hidden="1" customHeight="1">
      <c r="A2924" s="896">
        <v>3</v>
      </c>
      <c r="B2924" s="1609" t="s">
        <v>2137</v>
      </c>
      <c r="C2924" s="1609"/>
      <c r="D2924" s="1609"/>
      <c r="E2924" s="1609"/>
      <c r="F2924" s="1609"/>
      <c r="G2924" s="1609"/>
      <c r="H2924" s="1609"/>
      <c r="I2924" s="897"/>
      <c r="J2924" s="898"/>
      <c r="K2924" s="896"/>
      <c r="L2924" s="896"/>
      <c r="M2924" s="899"/>
      <c r="N2924" s="900" t="s">
        <v>2309</v>
      </c>
    </row>
    <row r="2925" spans="1:14" s="910" customFormat="1" ht="15.75" hidden="1">
      <c r="A2925" s="896"/>
      <c r="B2925" s="902" t="s">
        <v>2184</v>
      </c>
      <c r="C2925" s="903"/>
      <c r="D2925" s="904"/>
      <c r="E2925" s="905"/>
      <c r="F2925" s="906"/>
      <c r="G2925" s="906"/>
      <c r="H2925" s="907"/>
      <c r="I2925" s="908"/>
      <c r="J2925" s="955"/>
      <c r="K2925" s="902"/>
      <c r="L2925" s="896"/>
      <c r="M2925" s="902"/>
      <c r="N2925" s="900" t="s">
        <v>2309</v>
      </c>
    </row>
    <row r="2926" spans="1:14" s="910" customFormat="1" ht="15.75" hidden="1">
      <c r="A2926" s="896"/>
      <c r="B2926" s="956" t="s">
        <v>2185</v>
      </c>
      <c r="C2926" s="957">
        <v>1</v>
      </c>
      <c r="D2926" s="958" t="s">
        <v>273</v>
      </c>
      <c r="E2926" s="1268">
        <v>5</v>
      </c>
      <c r="F2926" s="960">
        <v>0</v>
      </c>
      <c r="G2926" s="960">
        <v>0</v>
      </c>
      <c r="H2926" s="960">
        <v>0</v>
      </c>
      <c r="I2926" s="916">
        <f>ROUND(IF(AND(F2926:H2926),C2926*E2926*F2926*G2926*H2926,IF(AND(F2926,G2926),C2926*E2926*F2926*G2926,IF(AND(F2926,H2926),C2926*E2926*F2926*H2926,IF(AND(G2926,H2926),C2926*E2926*G2926*H2926,IF(F2926,C2926*E2926*F2926,IF(G2926,C2926*E2926*G2926,IF(H2926,C2926*E2926*H2926,C2926*E2926))))))),2)</f>
        <v>5</v>
      </c>
      <c r="J2926" s="955" t="s">
        <v>115</v>
      </c>
      <c r="K2926" s="902"/>
      <c r="L2926" s="896"/>
      <c r="M2926" s="902"/>
      <c r="N2926" s="900" t="s">
        <v>2309</v>
      </c>
    </row>
    <row r="2927" spans="1:14" s="910" customFormat="1" ht="15.75" hidden="1">
      <c r="A2927" s="896"/>
      <c r="B2927" s="956"/>
      <c r="C2927" s="957"/>
      <c r="D2927" s="958"/>
      <c r="E2927" s="1268"/>
      <c r="F2927" s="960"/>
      <c r="G2927" s="960"/>
      <c r="H2927" s="960"/>
      <c r="I2927" s="916"/>
      <c r="J2927" s="955"/>
      <c r="K2927" s="902"/>
      <c r="L2927" s="896"/>
      <c r="M2927" s="902"/>
      <c r="N2927" s="900" t="s">
        <v>2309</v>
      </c>
    </row>
    <row r="2928" spans="1:14" ht="15.75" hidden="1">
      <c r="A2928" s="896"/>
      <c r="B2928" s="902"/>
      <c r="C2928" s="917"/>
      <c r="D2928" s="918"/>
      <c r="E2928" s="919"/>
      <c r="F2928" s="920"/>
      <c r="G2928" s="921"/>
      <c r="H2928" s="896"/>
      <c r="I2928" s="916"/>
      <c r="J2928" s="955" t="s">
        <v>115</v>
      </c>
      <c r="K2928" s="922">
        <f>'D&amp;W data'!H899</f>
        <v>10330.61</v>
      </c>
      <c r="L2928" s="923" t="s">
        <v>2309</v>
      </c>
      <c r="M2928" s="924">
        <f>ROUND(I2928*K2928,0)</f>
        <v>0</v>
      </c>
      <c r="N2928" s="900" t="s">
        <v>2309</v>
      </c>
    </row>
    <row r="2929" spans="1:14" ht="71.25" hidden="1" customHeight="1">
      <c r="A2929" s="896">
        <v>3</v>
      </c>
      <c r="B2929" s="1609" t="s">
        <v>1632</v>
      </c>
      <c r="C2929" s="1609"/>
      <c r="D2929" s="1609"/>
      <c r="E2929" s="1609"/>
      <c r="F2929" s="1609"/>
      <c r="G2929" s="1609"/>
      <c r="H2929" s="1609"/>
      <c r="I2929" s="897"/>
      <c r="J2929" s="898"/>
      <c r="K2929" s="896"/>
      <c r="L2929" s="896"/>
      <c r="M2929" s="899"/>
      <c r="N2929" s="900" t="s">
        <v>2309</v>
      </c>
    </row>
    <row r="2930" spans="1:14" s="910" customFormat="1" ht="15.75" hidden="1">
      <c r="A2930" s="896"/>
      <c r="B2930" s="902" t="s">
        <v>2329</v>
      </c>
      <c r="C2930" s="903"/>
      <c r="D2930" s="904"/>
      <c r="E2930" s="905"/>
      <c r="F2930" s="906"/>
      <c r="G2930" s="906"/>
      <c r="H2930" s="907"/>
      <c r="I2930" s="908"/>
      <c r="J2930" s="955"/>
      <c r="K2930" s="902"/>
      <c r="L2930" s="896"/>
      <c r="M2930" s="902"/>
      <c r="N2930" s="900" t="s">
        <v>2309</v>
      </c>
    </row>
    <row r="2931" spans="1:14" s="910" customFormat="1" ht="15.75" hidden="1">
      <c r="A2931" s="896"/>
      <c r="B2931" s="956" t="s">
        <v>583</v>
      </c>
      <c r="C2931" s="957">
        <v>1</v>
      </c>
      <c r="D2931" s="958" t="s">
        <v>273</v>
      </c>
      <c r="E2931" s="1268">
        <v>1</v>
      </c>
      <c r="F2931" s="960">
        <v>0</v>
      </c>
      <c r="G2931" s="960">
        <v>0</v>
      </c>
      <c r="H2931" s="960">
        <v>0</v>
      </c>
      <c r="I2931" s="916">
        <f>ROUND(IF(AND(F2931:H2931),C2931*E2931*F2931*G2931*H2931,IF(AND(F2931,G2931),C2931*E2931*F2931*G2931,IF(AND(F2931,H2931),C2931*E2931*F2931*H2931,IF(AND(G2931,H2931),C2931*E2931*G2931*H2931,IF(F2931,C2931*E2931*F2931,IF(G2931,C2931*E2931*G2931,IF(H2931,C2931*E2931*H2931,C2931*E2931))))))),2)</f>
        <v>1</v>
      </c>
      <c r="J2931" s="955" t="s">
        <v>115</v>
      </c>
      <c r="K2931" s="902"/>
      <c r="L2931" s="896"/>
      <c r="M2931" s="902"/>
      <c r="N2931" s="900" t="s">
        <v>2309</v>
      </c>
    </row>
    <row r="2932" spans="1:14" s="910" customFormat="1" ht="15.75" hidden="1">
      <c r="A2932" s="896"/>
      <c r="B2932" s="956"/>
      <c r="C2932" s="957"/>
      <c r="D2932" s="958"/>
      <c r="E2932" s="1268"/>
      <c r="F2932" s="960"/>
      <c r="G2932" s="960"/>
      <c r="H2932" s="960"/>
      <c r="I2932" s="916"/>
      <c r="J2932" s="955"/>
      <c r="K2932" s="902"/>
      <c r="L2932" s="896"/>
      <c r="M2932" s="902"/>
      <c r="N2932" s="900" t="s">
        <v>2309</v>
      </c>
    </row>
    <row r="2933" spans="1:14" ht="15.75" hidden="1">
      <c r="A2933" s="896"/>
      <c r="B2933" s="902"/>
      <c r="C2933" s="917"/>
      <c r="D2933" s="918"/>
      <c r="E2933" s="919"/>
      <c r="F2933" s="920"/>
      <c r="G2933" s="921"/>
      <c r="H2933" s="896"/>
      <c r="I2933" s="916"/>
      <c r="J2933" s="955" t="s">
        <v>115</v>
      </c>
      <c r="K2933" s="922">
        <f>'D&amp;W data'!H842</f>
        <v>7015.49</v>
      </c>
      <c r="L2933" s="923" t="s">
        <v>2309</v>
      </c>
      <c r="M2933" s="924">
        <f>ROUND(I2933*K2933,0)</f>
        <v>0</v>
      </c>
      <c r="N2933" s="900" t="s">
        <v>2309</v>
      </c>
    </row>
    <row r="2934" spans="1:14" ht="71.25" hidden="1" customHeight="1">
      <c r="A2934" s="896">
        <v>40</v>
      </c>
      <c r="B2934" s="1609" t="s">
        <v>804</v>
      </c>
      <c r="C2934" s="1609"/>
      <c r="D2934" s="1609"/>
      <c r="E2934" s="1609"/>
      <c r="F2934" s="1609"/>
      <c r="G2934" s="1609"/>
      <c r="H2934" s="1609"/>
      <c r="I2934" s="897"/>
      <c r="J2934" s="898"/>
      <c r="K2934" s="896"/>
      <c r="L2934" s="896"/>
      <c r="M2934" s="899"/>
      <c r="N2934" s="900" t="s">
        <v>2309</v>
      </c>
    </row>
    <row r="2935" spans="1:14" s="910" customFormat="1" ht="15.75" hidden="1">
      <c r="A2935" s="896"/>
      <c r="B2935" s="1274" t="s">
        <v>2319</v>
      </c>
      <c r="C2935" s="903"/>
      <c r="D2935" s="904"/>
      <c r="E2935" s="905"/>
      <c r="F2935" s="906"/>
      <c r="G2935" s="906"/>
      <c r="H2935" s="907"/>
      <c r="I2935" s="908"/>
      <c r="J2935" s="955"/>
      <c r="K2935" s="902"/>
      <c r="L2935" s="896"/>
      <c r="M2935" s="902"/>
      <c r="N2935" s="900" t="s">
        <v>2309</v>
      </c>
    </row>
    <row r="2936" spans="1:14" s="910" customFormat="1" ht="15.75" hidden="1">
      <c r="A2936" s="896"/>
      <c r="B2936" s="956" t="s">
        <v>583</v>
      </c>
      <c r="C2936" s="957">
        <v>2</v>
      </c>
      <c r="D2936" s="958" t="s">
        <v>273</v>
      </c>
      <c r="E2936" s="1268">
        <v>1</v>
      </c>
      <c r="F2936" s="960">
        <v>0</v>
      </c>
      <c r="G2936" s="960">
        <v>0</v>
      </c>
      <c r="H2936" s="960">
        <v>0</v>
      </c>
      <c r="I2936" s="1291">
        <f>ROUND(IF(AND(F2936:H2936),C2936*E2936*F2936*G2936*H2936,IF(AND(F2936,G2936),C2936*E2936*F2936*G2936,IF(AND(F2936,H2936),C2936*E2936*F2936*H2936,IF(AND(G2936,H2936),C2936*E2936*G2936*H2936,IF(F2936,C2936*E2936*F2936,IF(G2936,C2936*E2936*G2936,IF(H2936,C2936*E2936*H2936,C2936*E2936))))))),2)</f>
        <v>2</v>
      </c>
      <c r="J2936" s="955" t="s">
        <v>115</v>
      </c>
      <c r="K2936" s="902"/>
      <c r="L2936" s="896"/>
      <c r="M2936" s="902"/>
      <c r="N2936" s="900" t="s">
        <v>2309</v>
      </c>
    </row>
    <row r="2937" spans="1:14" s="910" customFormat="1" ht="15.75" hidden="1">
      <c r="A2937" s="896"/>
      <c r="B2937" s="1274" t="s">
        <v>2330</v>
      </c>
      <c r="C2937" s="903"/>
      <c r="D2937" s="904"/>
      <c r="E2937" s="905"/>
      <c r="F2937" s="906"/>
      <c r="G2937" s="906"/>
      <c r="H2937" s="907"/>
      <c r="I2937" s="1302"/>
      <c r="J2937" s="955"/>
      <c r="K2937" s="902"/>
      <c r="L2937" s="896"/>
      <c r="M2937" s="902"/>
      <c r="N2937" s="900" t="s">
        <v>2309</v>
      </c>
    </row>
    <row r="2938" spans="1:14" s="910" customFormat="1" ht="15.75" hidden="1">
      <c r="A2938" s="896"/>
      <c r="B2938" s="956" t="s">
        <v>584</v>
      </c>
      <c r="C2938" s="957">
        <v>3</v>
      </c>
      <c r="D2938" s="958" t="s">
        <v>273</v>
      </c>
      <c r="E2938" s="1268">
        <v>1</v>
      </c>
      <c r="F2938" s="960">
        <v>0</v>
      </c>
      <c r="G2938" s="960">
        <v>0</v>
      </c>
      <c r="H2938" s="960">
        <v>0</v>
      </c>
      <c r="I2938" s="1291">
        <f>ROUND(IF(AND(F2938:H2938),C2938*E2938*F2938*G2938*H2938,IF(AND(F2938,G2938),C2938*E2938*F2938*G2938,IF(AND(F2938,H2938),C2938*E2938*F2938*H2938,IF(AND(G2938,H2938),C2938*E2938*G2938*H2938,IF(F2938,C2938*E2938*F2938,IF(G2938,C2938*E2938*G2938,IF(H2938,C2938*E2938*H2938,C2938*E2938))))))),2)</f>
        <v>3</v>
      </c>
      <c r="J2938" s="955" t="s">
        <v>115</v>
      </c>
      <c r="K2938" s="902"/>
      <c r="L2938" s="896"/>
      <c r="M2938" s="902"/>
      <c r="N2938" s="900" t="s">
        <v>2309</v>
      </c>
    </row>
    <row r="2939" spans="1:14" s="910" customFormat="1" ht="15.75" hidden="1">
      <c r="A2939" s="896"/>
      <c r="B2939" s="956"/>
      <c r="C2939" s="957"/>
      <c r="D2939" s="958"/>
      <c r="E2939" s="1268"/>
      <c r="F2939" s="960"/>
      <c r="G2939" s="960"/>
      <c r="H2939" s="960"/>
      <c r="I2939" s="1291"/>
      <c r="J2939" s="955"/>
      <c r="K2939" s="902"/>
      <c r="L2939" s="896"/>
      <c r="M2939" s="902"/>
      <c r="N2939" s="900" t="s">
        <v>2309</v>
      </c>
    </row>
    <row r="2940" spans="1:14" ht="15.75" hidden="1">
      <c r="A2940" s="896"/>
      <c r="B2940" s="902"/>
      <c r="C2940" s="917"/>
      <c r="D2940" s="918"/>
      <c r="E2940" s="919"/>
      <c r="F2940" s="920"/>
      <c r="G2940" s="921"/>
      <c r="H2940" s="896"/>
      <c r="I2940" s="1291"/>
      <c r="J2940" s="955" t="s">
        <v>115</v>
      </c>
      <c r="K2940" s="922">
        <f>'D&amp;W data'!H861</f>
        <v>17517.36</v>
      </c>
      <c r="L2940" s="923" t="s">
        <v>2309</v>
      </c>
      <c r="M2940" s="924">
        <f>ROUND(I2940*K2940,0)</f>
        <v>0</v>
      </c>
      <c r="N2940" s="900" t="s">
        <v>2309</v>
      </c>
    </row>
    <row r="2941" spans="1:14" ht="71.25" hidden="1" customHeight="1">
      <c r="A2941" s="896">
        <v>4</v>
      </c>
      <c r="B2941" s="1609" t="s">
        <v>2091</v>
      </c>
      <c r="C2941" s="1609"/>
      <c r="D2941" s="1609"/>
      <c r="E2941" s="1609"/>
      <c r="F2941" s="1609"/>
      <c r="G2941" s="1609"/>
      <c r="H2941" s="1609"/>
      <c r="I2941" s="897"/>
      <c r="J2941" s="898"/>
      <c r="K2941" s="896"/>
      <c r="L2941" s="896"/>
      <c r="M2941" s="899"/>
      <c r="N2941" s="900" t="s">
        <v>2309</v>
      </c>
    </row>
    <row r="2942" spans="1:14" s="910" customFormat="1" ht="15.75" hidden="1">
      <c r="A2942" s="896"/>
      <c r="B2942" s="902" t="s">
        <v>2327</v>
      </c>
      <c r="C2942" s="903"/>
      <c r="D2942" s="904"/>
      <c r="E2942" s="905"/>
      <c r="F2942" s="906"/>
      <c r="G2942" s="906"/>
      <c r="H2942" s="907"/>
      <c r="I2942" s="908"/>
      <c r="J2942" s="955"/>
      <c r="K2942" s="902"/>
      <c r="L2942" s="896"/>
      <c r="M2942" s="902"/>
      <c r="N2942" s="900" t="s">
        <v>2309</v>
      </c>
    </row>
    <row r="2943" spans="1:14" s="910" customFormat="1" ht="15.75" hidden="1">
      <c r="A2943" s="896"/>
      <c r="B2943" s="956" t="s">
        <v>583</v>
      </c>
      <c r="C2943" s="957">
        <v>1</v>
      </c>
      <c r="D2943" s="958" t="s">
        <v>273</v>
      </c>
      <c r="E2943" s="1268">
        <v>2</v>
      </c>
      <c r="F2943" s="960">
        <v>0</v>
      </c>
      <c r="G2943" s="960">
        <v>0</v>
      </c>
      <c r="H2943" s="960">
        <v>0</v>
      </c>
      <c r="I2943" s="1291">
        <f>ROUND(IF(AND(F2943:H2943),C2943*E2943*F2943*G2943*H2943,IF(AND(F2943,G2943),C2943*E2943*F2943*G2943,IF(AND(F2943,H2943),C2943*E2943*F2943*H2943,IF(AND(G2943,H2943),C2943*E2943*G2943*H2943,IF(F2943,C2943*E2943*F2943,IF(G2943,C2943*E2943*G2943,IF(H2943,C2943*E2943*H2943,C2943*E2943))))))),2)</f>
        <v>2</v>
      </c>
      <c r="J2943" s="955" t="s">
        <v>115</v>
      </c>
      <c r="K2943" s="902"/>
      <c r="L2943" s="896"/>
      <c r="M2943" s="902"/>
      <c r="N2943" s="900" t="s">
        <v>2309</v>
      </c>
    </row>
    <row r="2944" spans="1:14" s="910" customFormat="1" ht="15.75" hidden="1">
      <c r="A2944" s="896"/>
      <c r="B2944" s="902" t="s">
        <v>2327</v>
      </c>
      <c r="C2944" s="903"/>
      <c r="D2944" s="904"/>
      <c r="E2944" s="905"/>
      <c r="F2944" s="906"/>
      <c r="G2944" s="906"/>
      <c r="H2944" s="907"/>
      <c r="I2944" s="908"/>
      <c r="J2944" s="955"/>
      <c r="K2944" s="902"/>
      <c r="L2944" s="896"/>
      <c r="M2944" s="902"/>
      <c r="N2944" s="900" t="s">
        <v>2309</v>
      </c>
    </row>
    <row r="2945" spans="1:15" s="910" customFormat="1" ht="15.75" hidden="1">
      <c r="A2945" s="896"/>
      <c r="B2945" s="956" t="s">
        <v>584</v>
      </c>
      <c r="C2945" s="957">
        <v>1</v>
      </c>
      <c r="D2945" s="958" t="s">
        <v>273</v>
      </c>
      <c r="E2945" s="1268">
        <v>3</v>
      </c>
      <c r="F2945" s="960">
        <v>0</v>
      </c>
      <c r="G2945" s="960">
        <v>0</v>
      </c>
      <c r="H2945" s="960">
        <v>0</v>
      </c>
      <c r="I2945" s="1291">
        <f>ROUND(IF(AND(F2945:H2945),C2945*E2945*F2945*G2945*H2945,IF(AND(F2945,G2945),C2945*E2945*F2945*G2945,IF(AND(F2945,H2945),C2945*E2945*F2945*H2945,IF(AND(G2945,H2945),C2945*E2945*G2945*H2945,IF(F2945,C2945*E2945*F2945,IF(G2945,C2945*E2945*G2945,IF(H2945,C2945*E2945*H2945,C2945*E2945))))))),2)</f>
        <v>3</v>
      </c>
      <c r="J2945" s="955" t="s">
        <v>115</v>
      </c>
      <c r="K2945" s="902"/>
      <c r="L2945" s="896"/>
      <c r="M2945" s="902"/>
      <c r="N2945" s="900" t="s">
        <v>2309</v>
      </c>
    </row>
    <row r="2946" spans="1:15" s="910" customFormat="1" ht="15.75" hidden="1">
      <c r="A2946" s="896"/>
      <c r="B2946" s="956"/>
      <c r="C2946" s="957"/>
      <c r="D2946" s="958"/>
      <c r="E2946" s="1268"/>
      <c r="F2946" s="960"/>
      <c r="G2946" s="960"/>
      <c r="H2946" s="960"/>
      <c r="I2946" s="1291"/>
      <c r="J2946" s="955"/>
      <c r="K2946" s="902"/>
      <c r="L2946" s="896"/>
      <c r="M2946" s="902"/>
      <c r="N2946" s="900" t="s">
        <v>2309</v>
      </c>
    </row>
    <row r="2947" spans="1:15" ht="15.75" hidden="1">
      <c r="A2947" s="896"/>
      <c r="B2947" s="902"/>
      <c r="C2947" s="917"/>
      <c r="D2947" s="918"/>
      <c r="E2947" s="919"/>
      <c r="F2947" s="920"/>
      <c r="G2947" s="921"/>
      <c r="H2947" s="896"/>
      <c r="I2947" s="1291"/>
      <c r="J2947" s="955" t="s">
        <v>115</v>
      </c>
      <c r="K2947" s="922">
        <f>'D&amp;W data'!H880</f>
        <v>11186.3</v>
      </c>
      <c r="L2947" s="923" t="s">
        <v>2309</v>
      </c>
      <c r="M2947" s="924">
        <f>ROUND(I2947*K2947,0)</f>
        <v>0</v>
      </c>
      <c r="N2947" s="900" t="s">
        <v>2309</v>
      </c>
    </row>
    <row r="2948" spans="1:15" ht="148.5" hidden="1" customHeight="1">
      <c r="A2948" s="896">
        <v>5</v>
      </c>
      <c r="B2948" s="1609" t="s">
        <v>910</v>
      </c>
      <c r="C2948" s="1609"/>
      <c r="D2948" s="1609"/>
      <c r="E2948" s="1609"/>
      <c r="F2948" s="1609"/>
      <c r="G2948" s="1609"/>
      <c r="H2948" s="1609"/>
      <c r="I2948" s="897"/>
      <c r="J2948" s="898"/>
      <c r="K2948" s="896"/>
      <c r="L2948" s="896"/>
      <c r="M2948" s="899"/>
      <c r="N2948" s="900" t="s">
        <v>2309</v>
      </c>
    </row>
    <row r="2949" spans="1:15" s="910" customFormat="1" ht="16.5" hidden="1" customHeight="1">
      <c r="A2949" s="896"/>
      <c r="B2949" s="902" t="s">
        <v>3525</v>
      </c>
      <c r="C2949" s="903"/>
      <c r="D2949" s="904"/>
      <c r="E2949" s="905"/>
      <c r="F2949" s="906"/>
      <c r="G2949" s="906"/>
      <c r="H2949" s="907"/>
      <c r="I2949" s="908"/>
      <c r="J2949" s="955"/>
      <c r="K2949" s="902"/>
      <c r="L2949" s="896"/>
      <c r="M2949" s="902"/>
      <c r="N2949" s="900" t="s">
        <v>2309</v>
      </c>
    </row>
    <row r="2950" spans="1:15" s="910" customFormat="1" ht="16.5" hidden="1" customHeight="1">
      <c r="A2950" s="896"/>
      <c r="B2950" s="956" t="s">
        <v>2990</v>
      </c>
      <c r="C2950" s="957">
        <v>1</v>
      </c>
      <c r="D2950" s="958" t="s">
        <v>273</v>
      </c>
      <c r="E2950" s="1268">
        <v>2</v>
      </c>
      <c r="F2950" s="960">
        <v>1.05</v>
      </c>
      <c r="G2950" s="960">
        <v>0</v>
      </c>
      <c r="H2950" s="960">
        <v>2.1</v>
      </c>
      <c r="I2950" s="916">
        <f>ROUND(IF(AND(F2950:H2950),C2950*E2950*F2950*G2950*H2950,IF(AND(F2950,G2950),C2950*E2950*F2950*G2950,IF(AND(F2950,H2950),C2950*E2950*F2950*H2950,IF(AND(G2950,H2950),C2950*E2950*G2950*H2950,IF(F2950,C2950*E2950*F2950,IF(G2950,C2950*E2950*G2950,IF(H2950,C2950*E2950*H2950,C2950*E2950))))))),2)</f>
        <v>4.41</v>
      </c>
      <c r="J2950" s="955" t="s">
        <v>102</v>
      </c>
      <c r="K2950" s="902"/>
      <c r="L2950" s="896"/>
      <c r="M2950" s="902"/>
      <c r="N2950" s="900" t="s">
        <v>2309</v>
      </c>
      <c r="O2950" s="1268">
        <v>2</v>
      </c>
    </row>
    <row r="2951" spans="1:15" s="910" customFormat="1" ht="16.5" hidden="1" customHeight="1">
      <c r="A2951" s="896"/>
      <c r="B2951" s="956" t="s">
        <v>2991</v>
      </c>
      <c r="C2951" s="957">
        <v>1</v>
      </c>
      <c r="D2951" s="958" t="s">
        <v>273</v>
      </c>
      <c r="E2951" s="1268">
        <v>3</v>
      </c>
      <c r="F2951" s="960">
        <v>1.05</v>
      </c>
      <c r="G2951" s="960">
        <v>0</v>
      </c>
      <c r="H2951" s="960">
        <v>2.1</v>
      </c>
      <c r="I2951" s="916">
        <f>ROUND(IF(AND(F2951:H2951),C2951*E2951*F2951*G2951*H2951,IF(AND(F2951,G2951),C2951*E2951*F2951*G2951,IF(AND(F2951,H2951),C2951*E2951*F2951*H2951,IF(AND(G2951,H2951),C2951*E2951*G2951*H2951,IF(F2951,C2951*E2951*F2951,IF(G2951,C2951*E2951*G2951,IF(H2951,C2951*E2951*H2951,C2951*E2951))))))),2)</f>
        <v>6.62</v>
      </c>
      <c r="J2951" s="955" t="s">
        <v>102</v>
      </c>
      <c r="K2951" s="902"/>
      <c r="L2951" s="896"/>
      <c r="M2951" s="902"/>
      <c r="N2951" s="900" t="s">
        <v>2309</v>
      </c>
      <c r="O2951" s="1268">
        <v>2</v>
      </c>
    </row>
    <row r="2952" spans="1:15" s="910" customFormat="1" ht="16.5" hidden="1" customHeight="1">
      <c r="A2952" s="896"/>
      <c r="B2952" s="956" t="s">
        <v>2940</v>
      </c>
      <c r="C2952" s="957">
        <v>1</v>
      </c>
      <c r="D2952" s="958" t="s">
        <v>273</v>
      </c>
      <c r="E2952" s="1268">
        <v>4</v>
      </c>
      <c r="F2952" s="960">
        <v>0.75</v>
      </c>
      <c r="G2952" s="960">
        <v>0</v>
      </c>
      <c r="H2952" s="960">
        <v>1.9</v>
      </c>
      <c r="I2952" s="916">
        <f>ROUND(IF(AND(F2952:H2952),C2952*E2952*F2952*G2952*H2952,IF(AND(F2952,G2952),C2952*E2952*F2952*G2952,IF(AND(F2952,H2952),C2952*E2952*F2952*H2952,IF(AND(G2952,H2952),C2952*E2952*G2952*H2952,IF(F2952,C2952*E2952*F2952,IF(G2952,C2952*E2952*G2952,IF(H2952,C2952*E2952*H2952,C2952*E2952))))))),2)</f>
        <v>5.7</v>
      </c>
      <c r="J2952" s="955" t="s">
        <v>102</v>
      </c>
      <c r="K2952" s="902"/>
      <c r="L2952" s="896"/>
      <c r="M2952" s="902"/>
      <c r="N2952" s="900" t="s">
        <v>2309</v>
      </c>
      <c r="O2952" s="1268">
        <v>2</v>
      </c>
    </row>
    <row r="2953" spans="1:15" s="910" customFormat="1" ht="16.5" hidden="1" customHeight="1">
      <c r="A2953" s="896"/>
      <c r="B2953" s="956"/>
      <c r="C2953" s="957"/>
      <c r="D2953" s="958"/>
      <c r="E2953" s="1268"/>
      <c r="F2953" s="960"/>
      <c r="G2953" s="960"/>
      <c r="H2953" s="960"/>
      <c r="I2953" s="916"/>
      <c r="J2953" s="955"/>
      <c r="K2953" s="902"/>
      <c r="L2953" s="896"/>
      <c r="M2953" s="902"/>
      <c r="N2953" s="900" t="s">
        <v>2309</v>
      </c>
      <c r="O2953" s="1268"/>
    </row>
    <row r="2954" spans="1:15" ht="15.75" hidden="1">
      <c r="A2954" s="896"/>
      <c r="B2954" s="902"/>
      <c r="C2954" s="917"/>
      <c r="D2954" s="918"/>
      <c r="E2954" s="919"/>
      <c r="F2954" s="920"/>
      <c r="G2954" s="921"/>
      <c r="H2954" s="896"/>
      <c r="I2954" s="916"/>
      <c r="J2954" s="955" t="s">
        <v>102</v>
      </c>
      <c r="K2954" s="922">
        <f>'D&amp;W data'!H923</f>
        <v>6958.78</v>
      </c>
      <c r="L2954" s="923" t="s">
        <v>2309</v>
      </c>
      <c r="M2954" s="924">
        <f>ROUND(I2954*K2954,0)</f>
        <v>0</v>
      </c>
      <c r="N2954" s="900" t="s">
        <v>2309</v>
      </c>
    </row>
    <row r="2955" spans="1:15" ht="148.5" hidden="1" customHeight="1">
      <c r="A2955" s="896">
        <v>2</v>
      </c>
      <c r="B2955" s="1609" t="s">
        <v>910</v>
      </c>
      <c r="C2955" s="1609"/>
      <c r="D2955" s="1609"/>
      <c r="E2955" s="1609"/>
      <c r="F2955" s="1609"/>
      <c r="G2955" s="1609"/>
      <c r="H2955" s="1609"/>
      <c r="I2955" s="897"/>
      <c r="J2955" s="898"/>
      <c r="K2955" s="896"/>
      <c r="L2955" s="896"/>
      <c r="M2955" s="899"/>
      <c r="N2955" s="900" t="s">
        <v>2309</v>
      </c>
    </row>
    <row r="2956" spans="1:15" s="910" customFormat="1" ht="16.5" hidden="1" customHeight="1">
      <c r="A2956" s="896"/>
      <c r="B2956" s="1212" t="s">
        <v>2331</v>
      </c>
      <c r="C2956" s="903"/>
      <c r="D2956" s="904"/>
      <c r="E2956" s="905"/>
      <c r="F2956" s="906"/>
      <c r="G2956" s="906"/>
      <c r="H2956" s="907"/>
      <c r="I2956" s="908"/>
      <c r="J2956" s="955"/>
      <c r="K2956" s="902"/>
      <c r="L2956" s="896"/>
      <c r="M2956" s="902"/>
      <c r="N2956" s="900" t="s">
        <v>2309</v>
      </c>
    </row>
    <row r="2957" spans="1:15" s="910" customFormat="1" ht="16.5" hidden="1" customHeight="1">
      <c r="A2957" s="896"/>
      <c r="B2957" s="911"/>
      <c r="C2957" s="912">
        <v>1</v>
      </c>
      <c r="D2957" s="913" t="s">
        <v>273</v>
      </c>
      <c r="E2957" s="914">
        <v>2</v>
      </c>
      <c r="F2957" s="915">
        <v>1.01</v>
      </c>
      <c r="G2957" s="915">
        <v>0</v>
      </c>
      <c r="H2957" s="915">
        <v>2.09</v>
      </c>
      <c r="I2957" s="916">
        <f>ROUND(IF(AND(F2957:H2957),C2957*E2957*F2957*G2957*H2957,IF(AND(F2957,G2957),C2957*E2957*F2957*G2957,IF(AND(F2957,H2957),C2957*E2957*F2957*H2957,IF(AND(G2957,H2957),C2957*E2957*G2957*H2957,IF(F2957,C2957*E2957*F2957,IF(G2957,C2957*E2957*G2957,IF(H2957,C2957*E2957*H2957,C2957*E2957))))))),2)</f>
        <v>4.22</v>
      </c>
      <c r="J2957" s="955" t="s">
        <v>102</v>
      </c>
      <c r="K2957" s="902"/>
      <c r="L2957" s="896"/>
      <c r="M2957" s="902"/>
      <c r="N2957" s="900" t="s">
        <v>2309</v>
      </c>
      <c r="O2957" s="1268">
        <v>2</v>
      </c>
    </row>
    <row r="2958" spans="1:15" s="910" customFormat="1" ht="16.5" hidden="1" customHeight="1">
      <c r="A2958" s="896"/>
      <c r="B2958" s="911"/>
      <c r="C2958" s="912">
        <v>1</v>
      </c>
      <c r="D2958" s="913" t="s">
        <v>273</v>
      </c>
      <c r="E2958" s="914">
        <v>2</v>
      </c>
      <c r="F2958" s="915">
        <v>1.02</v>
      </c>
      <c r="G2958" s="915">
        <v>0</v>
      </c>
      <c r="H2958" s="915">
        <v>2.02</v>
      </c>
      <c r="I2958" s="916">
        <f>ROUND(IF(AND(F2958:H2958),C2958*E2958*F2958*G2958*H2958,IF(AND(F2958,G2958),C2958*E2958*F2958*G2958,IF(AND(F2958,H2958),C2958*E2958*F2958*H2958,IF(AND(G2958,H2958),C2958*E2958*G2958*H2958,IF(F2958,C2958*E2958*F2958,IF(G2958,C2958*E2958*G2958,IF(H2958,C2958*E2958*H2958,C2958*E2958))))))),2)</f>
        <v>4.12</v>
      </c>
      <c r="J2958" s="955" t="s">
        <v>102</v>
      </c>
      <c r="K2958" s="902"/>
      <c r="L2958" s="896"/>
      <c r="M2958" s="902"/>
      <c r="N2958" s="900" t="s">
        <v>2309</v>
      </c>
      <c r="O2958" s="1268">
        <v>2</v>
      </c>
    </row>
    <row r="2959" spans="1:15" s="910" customFormat="1" ht="16.5" hidden="1" customHeight="1">
      <c r="A2959" s="896"/>
      <c r="B2959" s="911"/>
      <c r="C2959" s="912">
        <v>1</v>
      </c>
      <c r="D2959" s="913" t="s">
        <v>273</v>
      </c>
      <c r="E2959" s="914">
        <v>1</v>
      </c>
      <c r="F2959" s="915">
        <v>1</v>
      </c>
      <c r="G2959" s="915">
        <v>0</v>
      </c>
      <c r="H2959" s="915">
        <v>2.02</v>
      </c>
      <c r="I2959" s="916">
        <f>ROUND(IF(AND(F2959:H2959),C2959*E2959*F2959*G2959*H2959,IF(AND(F2959,G2959),C2959*E2959*F2959*G2959,IF(AND(F2959,H2959),C2959*E2959*F2959*H2959,IF(AND(G2959,H2959),C2959*E2959*G2959*H2959,IF(F2959,C2959*E2959*F2959,IF(G2959,C2959*E2959*G2959,IF(H2959,C2959*E2959*H2959,C2959*E2959))))))),2)</f>
        <v>2.02</v>
      </c>
      <c r="J2959" s="955" t="s">
        <v>102</v>
      </c>
      <c r="K2959" s="902"/>
      <c r="L2959" s="896"/>
      <c r="M2959" s="902"/>
      <c r="N2959" s="900" t="s">
        <v>2309</v>
      </c>
      <c r="O2959" s="1268">
        <v>2</v>
      </c>
    </row>
    <row r="2960" spans="1:15" s="910" customFormat="1" ht="16.5" hidden="1" customHeight="1">
      <c r="A2960" s="896"/>
      <c r="B2960" s="911"/>
      <c r="C2960" s="912"/>
      <c r="D2960" s="913"/>
      <c r="E2960" s="914"/>
      <c r="F2960" s="915"/>
      <c r="G2960" s="915"/>
      <c r="H2960" s="915"/>
      <c r="I2960" s="916"/>
      <c r="J2960" s="955"/>
      <c r="K2960" s="902"/>
      <c r="L2960" s="896"/>
      <c r="M2960" s="902"/>
      <c r="N2960" s="900" t="s">
        <v>2309</v>
      </c>
      <c r="O2960" s="1303"/>
    </row>
    <row r="2961" spans="1:15" ht="15.75" hidden="1">
      <c r="A2961" s="896"/>
      <c r="B2961" s="902"/>
      <c r="C2961" s="917"/>
      <c r="D2961" s="918"/>
      <c r="E2961" s="919"/>
      <c r="F2961" s="920"/>
      <c r="G2961" s="921"/>
      <c r="H2961" s="896"/>
      <c r="I2961" s="916"/>
      <c r="J2961" s="955" t="s">
        <v>102</v>
      </c>
      <c r="K2961" s="922">
        <f>'D&amp;W data'!H935</f>
        <v>6508.85</v>
      </c>
      <c r="L2961" s="923" t="s">
        <v>2309</v>
      </c>
      <c r="M2961" s="924">
        <f>ROUND(I2961*K2961,0)</f>
        <v>0</v>
      </c>
      <c r="N2961" s="900" t="s">
        <v>2309</v>
      </c>
    </row>
    <row r="2962" spans="1:15" ht="192.75" hidden="1" customHeight="1">
      <c r="A2962" s="896">
        <v>30</v>
      </c>
      <c r="B2962" s="1632" t="s">
        <v>807</v>
      </c>
      <c r="C2962" s="1632"/>
      <c r="D2962" s="1632"/>
      <c r="E2962" s="1632"/>
      <c r="F2962" s="1632"/>
      <c r="G2962" s="1632"/>
      <c r="H2962" s="1632"/>
      <c r="I2962" s="897"/>
      <c r="J2962" s="898"/>
      <c r="K2962" s="896"/>
      <c r="L2962" s="896"/>
      <c r="M2962" s="899"/>
      <c r="N2962" s="900" t="s">
        <v>2309</v>
      </c>
    </row>
    <row r="2963" spans="1:15" s="910" customFormat="1" ht="16.5" hidden="1" customHeight="1">
      <c r="A2963" s="896"/>
      <c r="B2963" s="902" t="s">
        <v>3272</v>
      </c>
      <c r="C2963" s="903" t="s">
        <v>1547</v>
      </c>
      <c r="D2963" s="904"/>
      <c r="E2963" s="905"/>
      <c r="F2963" s="906"/>
      <c r="G2963" s="906"/>
      <c r="H2963" s="907"/>
      <c r="I2963" s="908"/>
      <c r="J2963" s="955"/>
      <c r="K2963" s="902"/>
      <c r="L2963" s="896"/>
      <c r="M2963" s="902"/>
      <c r="N2963" s="900" t="s">
        <v>2309</v>
      </c>
    </row>
    <row r="2964" spans="1:15" s="910" customFormat="1" ht="16.5" hidden="1" customHeight="1">
      <c r="A2964" s="896"/>
      <c r="B2964" s="911" t="s">
        <v>1548</v>
      </c>
      <c r="C2964" s="912">
        <v>1</v>
      </c>
      <c r="D2964" s="913" t="s">
        <v>273</v>
      </c>
      <c r="E2964" s="914">
        <v>10</v>
      </c>
      <c r="F2964" s="915">
        <v>1.2</v>
      </c>
      <c r="G2964" s="915">
        <v>0</v>
      </c>
      <c r="H2964" s="915">
        <v>1.2</v>
      </c>
      <c r="I2964" s="916">
        <f>ROUND(IF(AND(F2964:H2964),C2964*E2964*F2964*G2964*H2964,IF(AND(F2964,G2964),C2964*E2964*F2964*G2964,IF(AND(F2964,H2964),C2964*E2964*F2964*H2964,IF(AND(G2964,H2964),C2964*E2964*G2964*H2964,IF(F2964,C2964*E2964*F2964,IF(G2964,C2964*E2964*G2964,IF(H2964,C2964*E2964*H2964,C2964*E2964))))))),2)</f>
        <v>14.4</v>
      </c>
      <c r="J2964" s="955" t="s">
        <v>102</v>
      </c>
      <c r="K2964" s="902"/>
      <c r="L2964" s="896"/>
      <c r="M2964" s="902"/>
      <c r="N2964" s="900" t="s">
        <v>2309</v>
      </c>
    </row>
    <row r="2965" spans="1:15" s="910" customFormat="1" ht="16.5" hidden="1" customHeight="1">
      <c r="A2965" s="896"/>
      <c r="B2965" s="956"/>
      <c r="C2965" s="957"/>
      <c r="D2965" s="958"/>
      <c r="E2965" s="1268"/>
      <c r="F2965" s="960"/>
      <c r="G2965" s="960"/>
      <c r="H2965" s="960"/>
      <c r="I2965" s="916"/>
      <c r="J2965" s="955"/>
      <c r="K2965" s="902"/>
      <c r="L2965" s="896"/>
      <c r="M2965" s="902"/>
      <c r="N2965" s="900" t="s">
        <v>2309</v>
      </c>
    </row>
    <row r="2966" spans="1:15" ht="15.75" hidden="1">
      <c r="A2966" s="896"/>
      <c r="B2966" s="902"/>
      <c r="C2966" s="917"/>
      <c r="D2966" s="918"/>
      <c r="E2966" s="919"/>
      <c r="F2966" s="920"/>
      <c r="G2966" s="921"/>
      <c r="H2966" s="896"/>
      <c r="I2966" s="916"/>
      <c r="J2966" s="955" t="s">
        <v>102</v>
      </c>
      <c r="K2966" s="922">
        <f>'D&amp;W data'!H940</f>
        <v>8622</v>
      </c>
      <c r="L2966" s="923" t="s">
        <v>2309</v>
      </c>
      <c r="M2966" s="924">
        <f>ROUND(I2966*K2966,0)</f>
        <v>0</v>
      </c>
      <c r="N2966" s="900" t="s">
        <v>2309</v>
      </c>
    </row>
    <row r="2967" spans="1:15" s="910" customFormat="1" ht="16.5" hidden="1" customHeight="1">
      <c r="A2967" s="896">
        <v>6</v>
      </c>
      <c r="B2967" s="902" t="s">
        <v>2332</v>
      </c>
      <c r="C2967" s="903" t="s">
        <v>1549</v>
      </c>
      <c r="D2967" s="904"/>
      <c r="E2967" s="905"/>
      <c r="F2967" s="906"/>
      <c r="G2967" s="906"/>
      <c r="H2967" s="907"/>
      <c r="I2967" s="908"/>
      <c r="J2967" s="955"/>
      <c r="K2967" s="902"/>
      <c r="L2967" s="896"/>
      <c r="M2967" s="902"/>
      <c r="N2967" s="900" t="s">
        <v>2309</v>
      </c>
    </row>
    <row r="2968" spans="1:15" s="910" customFormat="1" ht="16.5" hidden="1" customHeight="1">
      <c r="A2968" s="896"/>
      <c r="B2968" s="911"/>
      <c r="C2968" s="912">
        <v>1</v>
      </c>
      <c r="D2968" s="913" t="s">
        <v>273</v>
      </c>
      <c r="E2968" s="914">
        <v>2</v>
      </c>
      <c r="F2968" s="915">
        <v>1.5</v>
      </c>
      <c r="G2968" s="915">
        <v>0</v>
      </c>
      <c r="H2968" s="915">
        <v>1.35</v>
      </c>
      <c r="I2968" s="916">
        <f>ROUND(IF(AND(F2968:H2968),C2968*E2968*F2968*G2968*H2968,IF(AND(F2968,G2968),C2968*E2968*F2968*G2968,IF(AND(F2968,H2968),C2968*E2968*F2968*H2968,IF(AND(G2968,H2968),C2968*E2968*G2968*H2968,IF(F2968,C2968*E2968*F2968,IF(G2968,C2968*E2968*G2968,IF(H2968,C2968*E2968*H2968,C2968*E2968))))))),2)</f>
        <v>4.05</v>
      </c>
      <c r="J2968" s="955" t="s">
        <v>102</v>
      </c>
      <c r="K2968" s="902"/>
      <c r="L2968" s="896"/>
      <c r="M2968" s="902"/>
      <c r="N2968" s="900" t="s">
        <v>2309</v>
      </c>
    </row>
    <row r="2969" spans="1:15" s="910" customFormat="1" ht="16.5" hidden="1" customHeight="1">
      <c r="A2969" s="896"/>
      <c r="B2969" s="956"/>
      <c r="C2969" s="957"/>
      <c r="D2969" s="958"/>
      <c r="E2969" s="1268"/>
      <c r="F2969" s="960"/>
      <c r="G2969" s="960"/>
      <c r="H2969" s="960"/>
      <c r="I2969" s="916"/>
      <c r="J2969" s="955"/>
      <c r="K2969" s="902"/>
      <c r="L2969" s="896"/>
      <c r="M2969" s="902"/>
      <c r="N2969" s="900" t="s">
        <v>2309</v>
      </c>
    </row>
    <row r="2970" spans="1:15" ht="15.75" hidden="1">
      <c r="A2970" s="896"/>
      <c r="B2970" s="902"/>
      <c r="C2970" s="917"/>
      <c r="D2970" s="918"/>
      <c r="E2970" s="919"/>
      <c r="F2970" s="920"/>
      <c r="G2970" s="921"/>
      <c r="H2970" s="896"/>
      <c r="I2970" s="916"/>
      <c r="J2970" s="955" t="s">
        <v>102</v>
      </c>
      <c r="K2970" s="922">
        <f>'D&amp;W data'!H938</f>
        <v>6460</v>
      </c>
      <c r="L2970" s="923" t="s">
        <v>2309</v>
      </c>
      <c r="M2970" s="924">
        <f>ROUND(I2970*K2970,0)</f>
        <v>0</v>
      </c>
      <c r="N2970" s="900" t="s">
        <v>2309</v>
      </c>
    </row>
    <row r="2971" spans="1:15" s="910" customFormat="1" ht="16.5" hidden="1" customHeight="1">
      <c r="A2971" s="896">
        <v>3</v>
      </c>
      <c r="B2971" s="902" t="s">
        <v>3578</v>
      </c>
      <c r="C2971" s="903"/>
      <c r="D2971" s="904"/>
      <c r="E2971" s="905"/>
      <c r="F2971" s="906"/>
      <c r="G2971" s="906"/>
      <c r="H2971" s="907"/>
      <c r="I2971" s="908"/>
      <c r="J2971" s="955"/>
      <c r="K2971" s="902"/>
      <c r="L2971" s="896"/>
      <c r="M2971" s="902"/>
      <c r="N2971" s="900" t="s">
        <v>2309</v>
      </c>
    </row>
    <row r="2972" spans="1:15" s="910" customFormat="1" ht="16.5" hidden="1" customHeight="1">
      <c r="A2972" s="896"/>
      <c r="B2972" s="911" t="s">
        <v>3046</v>
      </c>
      <c r="C2972" s="912">
        <v>1</v>
      </c>
      <c r="D2972" s="913" t="s">
        <v>273</v>
      </c>
      <c r="E2972" s="914">
        <v>1</v>
      </c>
      <c r="F2972" s="915">
        <v>1.5</v>
      </c>
      <c r="G2972" s="915">
        <v>0</v>
      </c>
      <c r="H2972" s="915">
        <v>1.35</v>
      </c>
      <c r="I2972" s="916">
        <f>ROUND(IF(AND(F2972:H2972),C2972*E2972*F2972*G2972*H2972,IF(AND(F2972,G2972),C2972*E2972*F2972*G2972,IF(AND(F2972,H2972),C2972*E2972*F2972*H2972,IF(AND(G2972,H2972),C2972*E2972*G2972*H2972,IF(F2972,C2972*E2972*F2972,IF(G2972,C2972*E2972*G2972,IF(H2972,C2972*E2972*H2972,C2972*E2972))))))),2)</f>
        <v>2.0299999999999998</v>
      </c>
      <c r="J2972" s="955" t="s">
        <v>102</v>
      </c>
      <c r="K2972" s="902"/>
      <c r="L2972" s="896"/>
      <c r="M2972" s="902"/>
      <c r="N2972" s="900" t="s">
        <v>2309</v>
      </c>
      <c r="O2972" s="1268">
        <v>1</v>
      </c>
    </row>
    <row r="2973" spans="1:15" s="910" customFormat="1" ht="16.5" hidden="1" customHeight="1">
      <c r="A2973" s="896"/>
      <c r="B2973" s="956"/>
      <c r="C2973" s="957"/>
      <c r="D2973" s="958"/>
      <c r="E2973" s="1268"/>
      <c r="F2973" s="960"/>
      <c r="G2973" s="960"/>
      <c r="H2973" s="960"/>
      <c r="I2973" s="916"/>
      <c r="J2973" s="955"/>
      <c r="K2973" s="902"/>
      <c r="L2973" s="896"/>
      <c r="M2973" s="902"/>
      <c r="N2973" s="900" t="s">
        <v>2309</v>
      </c>
      <c r="O2973" s="1268"/>
    </row>
    <row r="2974" spans="1:15" ht="15.75" hidden="1">
      <c r="A2974" s="896"/>
      <c r="B2974" s="902"/>
      <c r="C2974" s="917"/>
      <c r="D2974" s="918"/>
      <c r="E2974" s="919"/>
      <c r="F2974" s="920"/>
      <c r="G2974" s="921"/>
      <c r="H2974" s="896"/>
      <c r="I2974" s="916"/>
      <c r="J2974" s="955" t="s">
        <v>102</v>
      </c>
      <c r="K2974" s="922">
        <f>'D&amp;W data'!H942</f>
        <v>6238</v>
      </c>
      <c r="L2974" s="923" t="s">
        <v>2309</v>
      </c>
      <c r="M2974" s="924">
        <f>ROUND(I2974*K2974,0)</f>
        <v>0</v>
      </c>
      <c r="N2974" s="900" t="s">
        <v>2309</v>
      </c>
    </row>
    <row r="2975" spans="1:15" ht="27" hidden="1" customHeight="1">
      <c r="A2975" s="896">
        <v>6</v>
      </c>
      <c r="B2975" s="1609" t="s">
        <v>2284</v>
      </c>
      <c r="C2975" s="1609"/>
      <c r="D2975" s="1609"/>
      <c r="E2975" s="1609"/>
      <c r="F2975" s="1609"/>
      <c r="G2975" s="1609"/>
      <c r="H2975" s="1609"/>
      <c r="I2975" s="897"/>
      <c r="J2975" s="898"/>
      <c r="K2975" s="896"/>
      <c r="L2975" s="896"/>
      <c r="M2975" s="899"/>
      <c r="N2975" s="900" t="s">
        <v>2309</v>
      </c>
    </row>
    <row r="2976" spans="1:15" s="910" customFormat="1" ht="16.5" hidden="1" customHeight="1">
      <c r="A2976" s="896"/>
      <c r="B2976" s="980" t="s">
        <v>2334</v>
      </c>
      <c r="C2976" s="903"/>
      <c r="D2976" s="904"/>
      <c r="E2976" s="905"/>
      <c r="F2976" s="906"/>
      <c r="G2976" s="906"/>
      <c r="H2976" s="907"/>
      <c r="I2976" s="908"/>
      <c r="J2976" s="955"/>
      <c r="K2976" s="902"/>
      <c r="L2976" s="896"/>
      <c r="M2976" s="902"/>
      <c r="N2976" s="900" t="s">
        <v>2309</v>
      </c>
    </row>
    <row r="2977" spans="1:14" s="910" customFormat="1" ht="16.5" hidden="1" customHeight="1">
      <c r="A2977" s="896"/>
      <c r="B2977" s="956"/>
      <c r="C2977" s="957">
        <v>1</v>
      </c>
      <c r="D2977" s="958" t="s">
        <v>273</v>
      </c>
      <c r="E2977" s="1268">
        <v>1</v>
      </c>
      <c r="F2977" s="960">
        <v>1.2</v>
      </c>
      <c r="G2977" s="960">
        <v>0</v>
      </c>
      <c r="H2977" s="960">
        <v>0.3</v>
      </c>
      <c r="I2977" s="916">
        <f>ROUND(IF(AND(F2977:H2977),C2977*E2977*F2977*G2977*H2977,IF(AND(F2977,G2977),C2977*E2977*F2977*G2977,IF(AND(F2977,H2977),C2977*E2977*F2977*H2977,IF(AND(G2977,H2977),C2977*E2977*G2977*H2977,IF(F2977,C2977*E2977*F2977,IF(G2977,C2977*E2977*G2977,IF(H2977,C2977*E2977*H2977,C2977*E2977))))))),2)</f>
        <v>0.36</v>
      </c>
      <c r="J2977" s="955" t="s">
        <v>102</v>
      </c>
      <c r="K2977" s="902"/>
      <c r="L2977" s="896"/>
      <c r="M2977" s="902"/>
      <c r="N2977" s="900" t="s">
        <v>2309</v>
      </c>
    </row>
    <row r="2978" spans="1:14" s="910" customFormat="1" ht="16.5" hidden="1" customHeight="1">
      <c r="A2978" s="896"/>
      <c r="B2978" s="956"/>
      <c r="C2978" s="957"/>
      <c r="D2978" s="958"/>
      <c r="E2978" s="1268"/>
      <c r="F2978" s="960"/>
      <c r="G2978" s="960"/>
      <c r="H2978" s="960"/>
      <c r="I2978" s="916"/>
      <c r="J2978" s="955"/>
      <c r="K2978" s="902"/>
      <c r="L2978" s="896"/>
      <c r="M2978" s="902"/>
      <c r="N2978" s="900" t="s">
        <v>2309</v>
      </c>
    </row>
    <row r="2979" spans="1:14" ht="15.75" hidden="1">
      <c r="A2979" s="896"/>
      <c r="B2979" s="902"/>
      <c r="C2979" s="917"/>
      <c r="D2979" s="918"/>
      <c r="E2979" s="919"/>
      <c r="F2979" s="920"/>
      <c r="G2979" s="921"/>
      <c r="H2979" s="896"/>
      <c r="I2979" s="916"/>
      <c r="J2979" s="955" t="s">
        <v>102</v>
      </c>
      <c r="K2979" s="922">
        <f>'D&amp;W data'!H945</f>
        <v>4062</v>
      </c>
      <c r="L2979" s="923" t="s">
        <v>2309</v>
      </c>
      <c r="M2979" s="924">
        <f>ROUND(I2979*K2979,0)</f>
        <v>0</v>
      </c>
      <c r="N2979" s="900" t="s">
        <v>2309</v>
      </c>
    </row>
    <row r="2980" spans="1:14" ht="27" hidden="1" customHeight="1">
      <c r="A2980" s="896">
        <v>6</v>
      </c>
      <c r="B2980" s="1609" t="s">
        <v>1199</v>
      </c>
      <c r="C2980" s="1609"/>
      <c r="D2980" s="1609"/>
      <c r="E2980" s="1609"/>
      <c r="F2980" s="1609"/>
      <c r="G2980" s="1609"/>
      <c r="H2980" s="1609"/>
      <c r="I2980" s="897"/>
      <c r="J2980" s="898"/>
      <c r="K2980" s="896"/>
      <c r="L2980" s="896"/>
      <c r="M2980" s="899"/>
      <c r="N2980" s="900" t="s">
        <v>2309</v>
      </c>
    </row>
    <row r="2981" spans="1:14" s="910" customFormat="1" ht="16.5" hidden="1" customHeight="1">
      <c r="A2981" s="896"/>
      <c r="B2981" s="980" t="s">
        <v>2334</v>
      </c>
      <c r="C2981" s="903"/>
      <c r="D2981" s="904"/>
      <c r="E2981" s="905"/>
      <c r="F2981" s="906"/>
      <c r="G2981" s="906"/>
      <c r="H2981" s="907"/>
      <c r="I2981" s="908"/>
      <c r="J2981" s="955"/>
      <c r="K2981" s="902"/>
      <c r="L2981" s="896"/>
      <c r="M2981" s="902"/>
      <c r="N2981" s="900" t="s">
        <v>2309</v>
      </c>
    </row>
    <row r="2982" spans="1:14" s="910" customFormat="1" ht="16.5" hidden="1" customHeight="1">
      <c r="A2982" s="896"/>
      <c r="B2982" s="956"/>
      <c r="C2982" s="957">
        <v>1</v>
      </c>
      <c r="D2982" s="958" t="s">
        <v>273</v>
      </c>
      <c r="E2982" s="1268">
        <v>16</v>
      </c>
      <c r="F2982" s="960">
        <v>0</v>
      </c>
      <c r="G2982" s="960">
        <v>0</v>
      </c>
      <c r="H2982" s="960">
        <v>0</v>
      </c>
      <c r="I2982" s="1291">
        <f>ROUND(IF(AND(F2982:H2982),C2982*E2982*F2982*G2982*H2982,IF(AND(F2982,G2982),C2982*E2982*F2982*G2982,IF(AND(F2982,H2982),C2982*E2982*F2982*H2982,IF(AND(G2982,H2982),C2982*E2982*G2982*H2982,IF(F2982,C2982*E2982*F2982,IF(G2982,C2982*E2982*G2982,IF(H2982,C2982*E2982*H2982,C2982*E2982))))))),2)</f>
        <v>16</v>
      </c>
      <c r="J2982" s="955" t="s">
        <v>115</v>
      </c>
      <c r="K2982" s="902"/>
      <c r="L2982" s="896"/>
      <c r="M2982" s="902"/>
      <c r="N2982" s="900" t="s">
        <v>2309</v>
      </c>
    </row>
    <row r="2983" spans="1:14" s="910" customFormat="1" ht="16.5" hidden="1" customHeight="1">
      <c r="A2983" s="896"/>
      <c r="B2983" s="956"/>
      <c r="C2983" s="957"/>
      <c r="D2983" s="958"/>
      <c r="E2983" s="1268"/>
      <c r="F2983" s="960"/>
      <c r="G2983" s="960"/>
      <c r="H2983" s="960"/>
      <c r="I2983" s="1291"/>
      <c r="J2983" s="955"/>
      <c r="K2983" s="902"/>
      <c r="L2983" s="896"/>
      <c r="M2983" s="902"/>
      <c r="N2983" s="900" t="s">
        <v>2309</v>
      </c>
    </row>
    <row r="2984" spans="1:14" ht="15.75" hidden="1">
      <c r="A2984" s="896"/>
      <c r="B2984" s="902"/>
      <c r="C2984" s="917"/>
      <c r="D2984" s="918"/>
      <c r="E2984" s="919"/>
      <c r="F2984" s="920"/>
      <c r="G2984" s="921"/>
      <c r="H2984" s="896"/>
      <c r="I2984" s="1291"/>
      <c r="J2984" s="955" t="s">
        <v>115</v>
      </c>
      <c r="K2984" s="922">
        <f>'D&amp;W data'!H905</f>
        <v>576.98</v>
      </c>
      <c r="L2984" s="923" t="s">
        <v>2309</v>
      </c>
      <c r="M2984" s="924">
        <f>ROUND(I2984*K2984,0)</f>
        <v>0</v>
      </c>
      <c r="N2984" s="900" t="s">
        <v>2309</v>
      </c>
    </row>
    <row r="2985" spans="1:14" ht="27" hidden="1" customHeight="1">
      <c r="A2985" s="896">
        <v>32</v>
      </c>
      <c r="B2985" s="1609" t="s">
        <v>932</v>
      </c>
      <c r="C2985" s="1609"/>
      <c r="D2985" s="1609"/>
      <c r="E2985" s="1609"/>
      <c r="F2985" s="1609"/>
      <c r="G2985" s="1609"/>
      <c r="H2985" s="1609"/>
      <c r="I2985" s="897"/>
      <c r="J2985" s="898"/>
      <c r="K2985" s="896"/>
      <c r="L2985" s="896"/>
      <c r="M2985" s="899"/>
      <c r="N2985" s="900" t="s">
        <v>2309</v>
      </c>
    </row>
    <row r="2986" spans="1:14" s="910" customFormat="1" ht="16.5" hidden="1" customHeight="1">
      <c r="A2986" s="896"/>
      <c r="B2986" s="902" t="s">
        <v>3605</v>
      </c>
      <c r="C2986" s="897"/>
      <c r="D2986" s="954" t="s">
        <v>3646</v>
      </c>
      <c r="E2986" s="905"/>
      <c r="F2986" s="906"/>
      <c r="G2986" s="906"/>
      <c r="H2986" s="907"/>
      <c r="I2986" s="908"/>
      <c r="J2986" s="955"/>
      <c r="K2986" s="902"/>
      <c r="L2986" s="896"/>
      <c r="M2986" s="902"/>
      <c r="N2986" s="900" t="s">
        <v>2309</v>
      </c>
    </row>
    <row r="2987" spans="1:14" s="910" customFormat="1" ht="16.5" hidden="1" customHeight="1">
      <c r="A2987" s="896"/>
      <c r="B2987" s="956"/>
      <c r="C2987" s="957">
        <v>1</v>
      </c>
      <c r="D2987" s="958" t="s">
        <v>273</v>
      </c>
      <c r="E2987" s="1268">
        <v>11</v>
      </c>
      <c r="F2987" s="960">
        <v>0.6</v>
      </c>
      <c r="G2987" s="960">
        <v>0</v>
      </c>
      <c r="H2987" s="960">
        <v>0.3</v>
      </c>
      <c r="I2987" s="916">
        <f>ROUND(IF(AND(F2987:H2987),C2987*E2987*F2987*G2987*H2987,IF(AND(F2987,G2987),C2987*E2987*F2987*G2987,IF(AND(F2987,H2987),C2987*E2987*F2987*H2987,IF(AND(G2987,H2987),C2987*E2987*G2987*H2987,IF(F2987,C2987*E2987*F2987,IF(G2987,C2987*E2987*G2987,IF(H2987,C2987*E2987*H2987,C2987*E2987))))))),2)</f>
        <v>1.98</v>
      </c>
      <c r="J2987" s="955" t="s">
        <v>102</v>
      </c>
      <c r="K2987" s="902"/>
      <c r="L2987" s="896"/>
      <c r="M2987" s="902"/>
      <c r="N2987" s="900" t="s">
        <v>2309</v>
      </c>
    </row>
    <row r="2988" spans="1:14" s="910" customFormat="1" ht="16.5" hidden="1" customHeight="1">
      <c r="A2988" s="896"/>
      <c r="B2988" s="956"/>
      <c r="C2988" s="957">
        <v>1</v>
      </c>
      <c r="D2988" s="958" t="s">
        <v>273</v>
      </c>
      <c r="E2988" s="1268">
        <v>2</v>
      </c>
      <c r="F2988" s="960">
        <v>0.3</v>
      </c>
      <c r="G2988" s="960">
        <v>0</v>
      </c>
      <c r="H2988" s="960">
        <v>0.3</v>
      </c>
      <c r="I2988" s="916">
        <f>ROUND(IF(AND(F2988:H2988),C2988*E2988*F2988*G2988*H2988,IF(AND(F2988,G2988),C2988*E2988*F2988*G2988,IF(AND(F2988,H2988),C2988*E2988*F2988*H2988,IF(AND(G2988,H2988),C2988*E2988*G2988*H2988,IF(F2988,C2988*E2988*F2988,IF(G2988,C2988*E2988*G2988,IF(H2988,C2988*E2988*H2988,C2988*E2988))))))),2)</f>
        <v>0.18</v>
      </c>
      <c r="J2988" s="955" t="s">
        <v>102</v>
      </c>
      <c r="K2988" s="902"/>
      <c r="L2988" s="896"/>
      <c r="M2988" s="902"/>
      <c r="N2988" s="900" t="s">
        <v>2309</v>
      </c>
    </row>
    <row r="2989" spans="1:14" s="910" customFormat="1" ht="16.5" hidden="1" customHeight="1">
      <c r="A2989" s="896"/>
      <c r="B2989" s="956"/>
      <c r="C2989" s="957"/>
      <c r="D2989" s="958"/>
      <c r="E2989" s="1268"/>
      <c r="F2989" s="960"/>
      <c r="G2989" s="960"/>
      <c r="H2989" s="960"/>
      <c r="I2989" s="916"/>
      <c r="J2989" s="955"/>
      <c r="K2989" s="902"/>
      <c r="L2989" s="896"/>
      <c r="M2989" s="902"/>
      <c r="N2989" s="900" t="s">
        <v>2309</v>
      </c>
    </row>
    <row r="2990" spans="1:14" ht="15.75" hidden="1">
      <c r="A2990" s="896"/>
      <c r="B2990" s="902"/>
      <c r="C2990" s="917"/>
      <c r="D2990" s="918"/>
      <c r="E2990" s="919"/>
      <c r="F2990" s="920"/>
      <c r="G2990" s="921"/>
      <c r="H2990" s="896"/>
      <c r="I2990" s="916"/>
      <c r="J2990" s="955" t="s">
        <v>102</v>
      </c>
      <c r="K2990" s="922">
        <f>'D&amp;W data'!H911</f>
        <v>604.07999999999993</v>
      </c>
      <c r="L2990" s="923" t="s">
        <v>2309</v>
      </c>
      <c r="M2990" s="924">
        <f>ROUND(I2990*K2990,0)</f>
        <v>0</v>
      </c>
      <c r="N2990" s="900" t="s">
        <v>2309</v>
      </c>
    </row>
    <row r="2991" spans="1:14" ht="46.5" hidden="1" customHeight="1">
      <c r="A2991" s="896">
        <v>24</v>
      </c>
      <c r="B2991" s="1609" t="s">
        <v>185</v>
      </c>
      <c r="C2991" s="1609"/>
      <c r="D2991" s="1609"/>
      <c r="E2991" s="1609"/>
      <c r="F2991" s="1609"/>
      <c r="G2991" s="1609"/>
      <c r="H2991" s="1609"/>
      <c r="I2991" s="897"/>
      <c r="J2991" s="898"/>
      <c r="K2991" s="896"/>
      <c r="L2991" s="896"/>
      <c r="M2991" s="899"/>
      <c r="N2991" s="900" t="s">
        <v>2309</v>
      </c>
    </row>
    <row r="2992" spans="1:14" s="910" customFormat="1" ht="16.5" hidden="1" customHeight="1">
      <c r="A2992" s="896"/>
      <c r="B2992" s="902" t="s">
        <v>3536</v>
      </c>
      <c r="C2992" s="897"/>
      <c r="D2992" s="1263" t="s">
        <v>3470</v>
      </c>
      <c r="E2992" s="905"/>
      <c r="F2992" s="906"/>
      <c r="G2992" s="906"/>
      <c r="H2992" s="907"/>
      <c r="I2992" s="908"/>
      <c r="J2992" s="955"/>
      <c r="K2992" s="902"/>
      <c r="L2992" s="896"/>
      <c r="M2992" s="902"/>
      <c r="N2992" s="900" t="s">
        <v>2309</v>
      </c>
    </row>
    <row r="2993" spans="1:14" s="910" customFormat="1" ht="16.5" hidden="1" customHeight="1">
      <c r="A2993" s="896"/>
      <c r="B2993" s="911"/>
      <c r="C2993" s="897">
        <v>1</v>
      </c>
      <c r="D2993" s="1263" t="s">
        <v>273</v>
      </c>
      <c r="E2993" s="919">
        <v>3</v>
      </c>
      <c r="F2993" s="920">
        <v>32.14</v>
      </c>
      <c r="G2993" s="920">
        <v>0</v>
      </c>
      <c r="H2993" s="920">
        <v>0</v>
      </c>
      <c r="I2993" s="1266">
        <f>ROUND(IF(AND(F2993:H2993),C2993*E2993*F2993*G2993*H2993,IF(AND(F2993,G2993),C2993*E2993*F2993*G2993,IF(AND(F2993,H2993),C2993*E2993*F2993*H2993,IF(AND(G2993,H2993),C2993*E2993*G2993*H2993,IF(F2993,C2993*E2993*F2993,IF(G2993,C2993*E2993*G2993,IF(H2993,C2993*E2993*H2993,C2993*E2993))))))),2)</f>
        <v>96.42</v>
      </c>
      <c r="J2993" s="955" t="s">
        <v>141</v>
      </c>
      <c r="K2993" s="902"/>
      <c r="L2993" s="896"/>
      <c r="M2993" s="902"/>
      <c r="N2993" s="900" t="s">
        <v>2309</v>
      </c>
    </row>
    <row r="2994" spans="1:14" s="910" customFormat="1" ht="16.5" hidden="1" customHeight="1">
      <c r="A2994" s="896"/>
      <c r="B2994" s="956"/>
      <c r="C2994" s="957"/>
      <c r="D2994" s="958"/>
      <c r="E2994" s="1268"/>
      <c r="F2994" s="960"/>
      <c r="G2994" s="960"/>
      <c r="H2994" s="960"/>
      <c r="I2994" s="916"/>
      <c r="J2994" s="955"/>
      <c r="K2994" s="902"/>
      <c r="L2994" s="896"/>
      <c r="M2994" s="902"/>
      <c r="N2994" s="900" t="s">
        <v>2309</v>
      </c>
    </row>
    <row r="2995" spans="1:14" ht="15.75" hidden="1">
      <c r="A2995" s="896"/>
      <c r="B2995" s="902"/>
      <c r="C2995" s="917"/>
      <c r="D2995" s="918"/>
      <c r="E2995" s="919"/>
      <c r="F2995" s="920"/>
      <c r="G2995" s="921"/>
      <c r="H2995" s="896" t="s">
        <v>3114</v>
      </c>
      <c r="I2995" s="916"/>
      <c r="J2995" s="955" t="s">
        <v>141</v>
      </c>
      <c r="K2995" s="922">
        <f>data!G3056</f>
        <v>110.99</v>
      </c>
      <c r="L2995" s="923" t="s">
        <v>2309</v>
      </c>
      <c r="M2995" s="924">
        <f>ROUND(I2995*K2995,0)</f>
        <v>0</v>
      </c>
      <c r="N2995" s="900" t="s">
        <v>2309</v>
      </c>
    </row>
    <row r="2996" spans="1:14" ht="65.25" hidden="1" customHeight="1">
      <c r="A2996" s="896">
        <v>7</v>
      </c>
      <c r="B2996" s="1609" t="s">
        <v>933</v>
      </c>
      <c r="C2996" s="1609"/>
      <c r="D2996" s="1609"/>
      <c r="E2996" s="1609"/>
      <c r="F2996" s="1609"/>
      <c r="G2996" s="1609"/>
      <c r="H2996" s="1609"/>
      <c r="I2996" s="897"/>
      <c r="J2996" s="898"/>
      <c r="K2996" s="896"/>
      <c r="L2996" s="896"/>
      <c r="M2996" s="899"/>
      <c r="N2996" s="900" t="s">
        <v>2309</v>
      </c>
    </row>
    <row r="2997" spans="1:14" s="910" customFormat="1" ht="16.5" hidden="1" customHeight="1">
      <c r="A2997" s="896"/>
      <c r="B2997" s="902" t="s">
        <v>2337</v>
      </c>
      <c r="C2997" s="903"/>
      <c r="D2997" s="904"/>
      <c r="E2997" s="905"/>
      <c r="F2997" s="906"/>
      <c r="G2997" s="906"/>
      <c r="H2997" s="907"/>
      <c r="I2997" s="908"/>
      <c r="J2997" s="955"/>
      <c r="K2997" s="902"/>
      <c r="L2997" s="896"/>
      <c r="M2997" s="902"/>
      <c r="N2997" s="900" t="s">
        <v>2309</v>
      </c>
    </row>
    <row r="2998" spans="1:14" s="910" customFormat="1" ht="16.5" hidden="1" customHeight="1">
      <c r="A2998" s="896"/>
      <c r="B2998" s="911" t="s">
        <v>1535</v>
      </c>
      <c r="C2998" s="912">
        <v>1</v>
      </c>
      <c r="D2998" s="913" t="s">
        <v>273</v>
      </c>
      <c r="E2998" s="914">
        <v>11</v>
      </c>
      <c r="F2998" s="915">
        <v>1.5</v>
      </c>
      <c r="G2998" s="915">
        <v>0</v>
      </c>
      <c r="H2998" s="915">
        <v>1.35</v>
      </c>
      <c r="I2998" s="916">
        <f>ROUND(IF(AND(F2998:H2998),C2998*E2998*F2998*G2998*H2998,IF(AND(F2998,G2998),C2998*E2998*F2998*G2998,IF(AND(F2998,H2998),C2998*E2998*F2998*H2998,IF(AND(G2998,H2998),C2998*E2998*G2998*H2998,IF(F2998,C2998*E2998*F2998,IF(G2998,C2998*E2998*G2998,IF(H2998,C2998*E2998*H2998,C2998*E2998))))))),2)</f>
        <v>22.28</v>
      </c>
      <c r="J2998" s="955" t="s">
        <v>102</v>
      </c>
      <c r="K2998" s="902"/>
      <c r="L2998" s="896"/>
      <c r="M2998" s="902"/>
      <c r="N2998" s="900" t="s">
        <v>2309</v>
      </c>
    </row>
    <row r="2999" spans="1:14" s="910" customFormat="1" ht="16.5" hidden="1" customHeight="1">
      <c r="A2999" s="896"/>
      <c r="B2999" s="911"/>
      <c r="C2999" s="912">
        <v>1</v>
      </c>
      <c r="D2999" s="913" t="s">
        <v>273</v>
      </c>
      <c r="E2999" s="914">
        <v>1</v>
      </c>
      <c r="F2999" s="915">
        <v>1.59</v>
      </c>
      <c r="G2999" s="915">
        <v>0</v>
      </c>
      <c r="H2999" s="915">
        <v>1.35</v>
      </c>
      <c r="I2999" s="916">
        <f>ROUND(IF(AND(F2999:H2999),C2999*E2999*F2999*G2999*H2999,IF(AND(F2999,G2999),C2999*E2999*F2999*G2999,IF(AND(F2999,H2999),C2999*E2999*F2999*H2999,IF(AND(G2999,H2999),C2999*E2999*G2999*H2999,IF(F2999,C2999*E2999*F2999,IF(G2999,C2999*E2999*G2999,IF(H2999,C2999*E2999*H2999,C2999*E2999))))))),2)</f>
        <v>2.15</v>
      </c>
      <c r="J2999" s="955" t="s">
        <v>102</v>
      </c>
      <c r="K2999" s="902"/>
      <c r="L2999" s="896"/>
      <c r="M2999" s="902"/>
      <c r="N2999" s="900" t="s">
        <v>2309</v>
      </c>
    </row>
    <row r="3000" spans="1:14" s="910" customFormat="1" ht="16.5" hidden="1" customHeight="1">
      <c r="A3000" s="896"/>
      <c r="B3000" s="911"/>
      <c r="C3000" s="912">
        <v>1</v>
      </c>
      <c r="D3000" s="913" t="s">
        <v>273</v>
      </c>
      <c r="E3000" s="914">
        <v>2</v>
      </c>
      <c r="F3000" s="915">
        <v>1.5</v>
      </c>
      <c r="G3000" s="915">
        <v>0</v>
      </c>
      <c r="H3000" s="915">
        <v>1.35</v>
      </c>
      <c r="I3000" s="916">
        <f>ROUND(IF(AND(F3000:H3000),C3000*E3000*F3000*G3000*H3000,IF(AND(F3000,G3000),C3000*E3000*F3000*G3000,IF(AND(F3000,H3000),C3000*E3000*F3000*H3000,IF(AND(G3000,H3000),C3000*E3000*G3000*H3000,IF(F3000,C3000*E3000*F3000,IF(G3000,C3000*E3000*G3000,IF(H3000,C3000*E3000*H3000,C3000*E3000))))))),2)</f>
        <v>4.05</v>
      </c>
      <c r="J3000" s="955" t="s">
        <v>102</v>
      </c>
      <c r="K3000" s="902"/>
      <c r="L3000" s="896"/>
      <c r="M3000" s="902"/>
      <c r="N3000" s="900" t="s">
        <v>2309</v>
      </c>
    </row>
    <row r="3001" spans="1:14" s="910" customFormat="1" ht="16.5" hidden="1" customHeight="1">
      <c r="A3001" s="896"/>
      <c r="B3001" s="956"/>
      <c r="C3001" s="957"/>
      <c r="D3001" s="958"/>
      <c r="E3001" s="1268"/>
      <c r="F3001" s="960"/>
      <c r="G3001" s="960"/>
      <c r="H3001" s="960"/>
      <c r="I3001" s="916"/>
      <c r="J3001" s="955"/>
      <c r="K3001" s="902"/>
      <c r="L3001" s="896"/>
      <c r="M3001" s="902"/>
      <c r="N3001" s="900" t="s">
        <v>2309</v>
      </c>
    </row>
    <row r="3002" spans="1:14" ht="15.75" hidden="1">
      <c r="A3002" s="896"/>
      <c r="B3002" s="902"/>
      <c r="C3002" s="917"/>
      <c r="D3002" s="918"/>
      <c r="E3002" s="919"/>
      <c r="F3002" s="920"/>
      <c r="G3002" s="921"/>
      <c r="H3002" s="896"/>
      <c r="I3002" s="916"/>
      <c r="J3002" s="955" t="s">
        <v>102</v>
      </c>
      <c r="K3002" s="922">
        <f>data!G3064</f>
        <v>3138.49</v>
      </c>
      <c r="L3002" s="923" t="s">
        <v>2309</v>
      </c>
      <c r="M3002" s="924">
        <f>ROUND(I3002*K3002,0)</f>
        <v>0</v>
      </c>
      <c r="N3002" s="900" t="s">
        <v>2309</v>
      </c>
    </row>
    <row r="3003" spans="1:14" ht="42.75" hidden="1" customHeight="1">
      <c r="A3003" s="896">
        <v>51</v>
      </c>
      <c r="B3003" s="1609" t="s">
        <v>626</v>
      </c>
      <c r="C3003" s="1609"/>
      <c r="D3003" s="1609"/>
      <c r="E3003" s="1609"/>
      <c r="F3003" s="1609"/>
      <c r="G3003" s="1609"/>
      <c r="H3003" s="1609"/>
      <c r="I3003" s="897"/>
      <c r="J3003" s="898"/>
      <c r="K3003" s="896"/>
      <c r="L3003" s="896"/>
      <c r="M3003" s="899"/>
      <c r="N3003" s="900" t="s">
        <v>2309</v>
      </c>
    </row>
    <row r="3004" spans="1:14" s="910" customFormat="1" ht="16.5" hidden="1" customHeight="1">
      <c r="A3004" s="896"/>
      <c r="B3004" s="980" t="s">
        <v>2338</v>
      </c>
      <c r="C3004" s="903"/>
      <c r="D3004" s="904"/>
      <c r="E3004" s="905"/>
      <c r="F3004" s="906"/>
      <c r="G3004" s="906"/>
      <c r="H3004" s="907"/>
      <c r="I3004" s="908"/>
      <c r="J3004" s="955"/>
      <c r="K3004" s="902"/>
      <c r="L3004" s="896"/>
      <c r="M3004" s="902"/>
      <c r="N3004" s="900" t="s">
        <v>2309</v>
      </c>
    </row>
    <row r="3005" spans="1:14" s="910" customFormat="1" ht="16.5" hidden="1" customHeight="1">
      <c r="A3005" s="896"/>
      <c r="B3005" s="956" t="s">
        <v>661</v>
      </c>
      <c r="C3005" s="957">
        <v>1</v>
      </c>
      <c r="D3005" s="958" t="s">
        <v>273</v>
      </c>
      <c r="E3005" s="1268">
        <v>1</v>
      </c>
      <c r="F3005" s="1290">
        <v>58.6</v>
      </c>
      <c r="G3005" s="960">
        <v>0</v>
      </c>
      <c r="H3005" s="960">
        <v>0</v>
      </c>
      <c r="I3005" s="916">
        <f>ROUND(IF(AND(F3005:H3005),C3005*E3005*F3005*G3005*H3005,IF(AND(F3005,G3005),C3005*E3005*F3005*G3005,IF(AND(F3005,H3005),C3005*E3005*F3005*H3005,IF(AND(G3005,H3005),C3005*E3005*G3005*H3005,IF(F3005,C3005*E3005*F3005,IF(G3005,C3005*E3005*G3005,IF(H3005,C3005*E3005*H3005,C3005*E3005))))))),2)</f>
        <v>58.6</v>
      </c>
      <c r="J3005" s="955" t="s">
        <v>141</v>
      </c>
      <c r="K3005" s="902"/>
      <c r="L3005" s="896"/>
      <c r="M3005" s="902"/>
      <c r="N3005" s="900" t="s">
        <v>2309</v>
      </c>
    </row>
    <row r="3006" spans="1:14" s="910" customFormat="1" ht="16.5" hidden="1" customHeight="1">
      <c r="A3006" s="896"/>
      <c r="B3006" s="956"/>
      <c r="C3006" s="957"/>
      <c r="D3006" s="958"/>
      <c r="E3006" s="1268"/>
      <c r="F3006" s="1290"/>
      <c r="G3006" s="960"/>
      <c r="H3006" s="960"/>
      <c r="I3006" s="916"/>
      <c r="J3006" s="955"/>
      <c r="K3006" s="902"/>
      <c r="L3006" s="896"/>
      <c r="M3006" s="902"/>
      <c r="N3006" s="900" t="s">
        <v>2309</v>
      </c>
    </row>
    <row r="3007" spans="1:14" ht="15.75" hidden="1">
      <c r="A3007" s="896"/>
      <c r="B3007" s="902"/>
      <c r="C3007" s="917"/>
      <c r="D3007" s="918"/>
      <c r="E3007" s="919"/>
      <c r="F3007" s="920"/>
      <c r="G3007" s="921"/>
      <c r="H3007" s="896"/>
      <c r="I3007" s="916"/>
      <c r="J3007" s="955" t="s">
        <v>141</v>
      </c>
      <c r="K3007" s="922">
        <f>data!G3071</f>
        <v>126.9</v>
      </c>
      <c r="L3007" s="923" t="s">
        <v>2309</v>
      </c>
      <c r="M3007" s="924">
        <f>ROUND(I3007*K3007,0)</f>
        <v>0</v>
      </c>
      <c r="N3007" s="900" t="s">
        <v>2309</v>
      </c>
    </row>
    <row r="3008" spans="1:14" ht="132" hidden="1" customHeight="1">
      <c r="A3008" s="896">
        <v>6</v>
      </c>
      <c r="B3008" s="1609" t="s">
        <v>928</v>
      </c>
      <c r="C3008" s="1609"/>
      <c r="D3008" s="1609"/>
      <c r="E3008" s="1609"/>
      <c r="F3008" s="1609"/>
      <c r="G3008" s="1609"/>
      <c r="H3008" s="1609"/>
      <c r="I3008" s="897"/>
      <c r="J3008" s="898"/>
      <c r="K3008" s="896"/>
      <c r="L3008" s="896"/>
      <c r="M3008" s="899"/>
      <c r="N3008" s="900" t="s">
        <v>2309</v>
      </c>
    </row>
    <row r="3009" spans="1:14" s="910" customFormat="1" ht="16.5" hidden="1" customHeight="1">
      <c r="A3009" s="896"/>
      <c r="B3009" s="902" t="s">
        <v>3579</v>
      </c>
      <c r="C3009" s="903"/>
      <c r="D3009" s="1280" t="s">
        <v>3254</v>
      </c>
      <c r="E3009" s="905"/>
      <c r="F3009" s="906"/>
      <c r="G3009" s="906"/>
      <c r="H3009" s="907"/>
      <c r="I3009" s="908"/>
      <c r="J3009" s="955"/>
      <c r="K3009" s="902"/>
      <c r="L3009" s="896"/>
      <c r="M3009" s="902"/>
      <c r="N3009" s="900" t="s">
        <v>2309</v>
      </c>
    </row>
    <row r="3010" spans="1:14" s="910" customFormat="1" ht="16.5" hidden="1" customHeight="1">
      <c r="A3010" s="896"/>
      <c r="B3010" s="956"/>
      <c r="C3010" s="957">
        <v>1</v>
      </c>
      <c r="D3010" s="958" t="s">
        <v>273</v>
      </c>
      <c r="E3010" s="1268">
        <v>1</v>
      </c>
      <c r="F3010" s="1290">
        <v>3.8</v>
      </c>
      <c r="G3010" s="960">
        <v>0</v>
      </c>
      <c r="H3010" s="960">
        <v>0.9</v>
      </c>
      <c r="I3010" s="916">
        <f t="shared" ref="I3010:I3015" si="213">ROUND(IF(AND(F3010:H3010),C3010*E3010*F3010*G3010*H3010,IF(AND(F3010,G3010),C3010*E3010*F3010*G3010,IF(AND(F3010,H3010),C3010*E3010*F3010*H3010,IF(AND(G3010,H3010),C3010*E3010*G3010*H3010,IF(F3010,C3010*E3010*F3010,IF(G3010,C3010*E3010*G3010,IF(H3010,C3010*E3010*H3010,C3010*E3010))))))),2)</f>
        <v>3.42</v>
      </c>
      <c r="J3010" s="955" t="s">
        <v>102</v>
      </c>
      <c r="K3010" s="902"/>
      <c r="L3010" s="896"/>
      <c r="M3010" s="902"/>
      <c r="N3010" s="900" t="s">
        <v>2309</v>
      </c>
    </row>
    <row r="3011" spans="1:14" s="910" customFormat="1" ht="16.5" hidden="1" customHeight="1">
      <c r="A3011" s="896"/>
      <c r="B3011" s="956"/>
      <c r="C3011" s="957">
        <v>1</v>
      </c>
      <c r="D3011" s="958" t="s">
        <v>273</v>
      </c>
      <c r="E3011" s="1268">
        <v>1</v>
      </c>
      <c r="F3011" s="1290">
        <v>3.9</v>
      </c>
      <c r="G3011" s="960">
        <v>0</v>
      </c>
      <c r="H3011" s="960">
        <v>0.9</v>
      </c>
      <c r="I3011" s="916">
        <f t="shared" si="213"/>
        <v>3.51</v>
      </c>
      <c r="J3011" s="955" t="s">
        <v>102</v>
      </c>
      <c r="K3011" s="902"/>
      <c r="L3011" s="896"/>
      <c r="M3011" s="902"/>
      <c r="N3011" s="900" t="s">
        <v>2309</v>
      </c>
    </row>
    <row r="3012" spans="1:14" s="910" customFormat="1" ht="16.5" hidden="1" customHeight="1">
      <c r="A3012" s="896"/>
      <c r="B3012" s="956"/>
      <c r="C3012" s="957">
        <v>1</v>
      </c>
      <c r="D3012" s="958" t="s">
        <v>273</v>
      </c>
      <c r="E3012" s="1268">
        <v>1</v>
      </c>
      <c r="F3012" s="1290">
        <v>4.25</v>
      </c>
      <c r="G3012" s="960">
        <v>0</v>
      </c>
      <c r="H3012" s="960">
        <v>0.9</v>
      </c>
      <c r="I3012" s="916">
        <f t="shared" si="213"/>
        <v>3.83</v>
      </c>
      <c r="J3012" s="955" t="s">
        <v>102</v>
      </c>
      <c r="K3012" s="902"/>
      <c r="L3012" s="896"/>
      <c r="M3012" s="902"/>
      <c r="N3012" s="900" t="s">
        <v>2309</v>
      </c>
    </row>
    <row r="3013" spans="1:14" s="910" customFormat="1" ht="16.5" hidden="1" customHeight="1">
      <c r="A3013" s="896"/>
      <c r="B3013" s="956"/>
      <c r="C3013" s="957">
        <v>1</v>
      </c>
      <c r="D3013" s="958" t="s">
        <v>273</v>
      </c>
      <c r="E3013" s="1268">
        <v>1</v>
      </c>
      <c r="F3013" s="1290">
        <v>5</v>
      </c>
      <c r="G3013" s="960">
        <v>0</v>
      </c>
      <c r="H3013" s="960">
        <v>0.9</v>
      </c>
      <c r="I3013" s="916">
        <f t="shared" si="213"/>
        <v>4.5</v>
      </c>
      <c r="J3013" s="955" t="s">
        <v>102</v>
      </c>
      <c r="K3013" s="902"/>
      <c r="L3013" s="896"/>
      <c r="M3013" s="902"/>
      <c r="N3013" s="900" t="s">
        <v>2309</v>
      </c>
    </row>
    <row r="3014" spans="1:14" s="910" customFormat="1" ht="16.5" hidden="1" customHeight="1">
      <c r="A3014" s="896"/>
      <c r="B3014" s="956"/>
      <c r="C3014" s="957">
        <v>1</v>
      </c>
      <c r="D3014" s="958" t="s">
        <v>273</v>
      </c>
      <c r="E3014" s="1268">
        <v>1</v>
      </c>
      <c r="F3014" s="1290">
        <v>3.85</v>
      </c>
      <c r="G3014" s="960">
        <v>0</v>
      </c>
      <c r="H3014" s="960">
        <v>0.9</v>
      </c>
      <c r="I3014" s="916">
        <f t="shared" si="213"/>
        <v>3.47</v>
      </c>
      <c r="J3014" s="955" t="s">
        <v>102</v>
      </c>
      <c r="K3014" s="902"/>
      <c r="L3014" s="896"/>
      <c r="M3014" s="902"/>
      <c r="N3014" s="900" t="s">
        <v>2309</v>
      </c>
    </row>
    <row r="3015" spans="1:14" s="910" customFormat="1" ht="16.5" hidden="1" customHeight="1">
      <c r="A3015" s="896"/>
      <c r="B3015" s="956"/>
      <c r="C3015" s="957">
        <v>1</v>
      </c>
      <c r="D3015" s="958" t="s">
        <v>273</v>
      </c>
      <c r="E3015" s="1268">
        <v>1</v>
      </c>
      <c r="F3015" s="1290">
        <v>3.5</v>
      </c>
      <c r="G3015" s="960">
        <v>0</v>
      </c>
      <c r="H3015" s="960">
        <v>0.9</v>
      </c>
      <c r="I3015" s="916">
        <f t="shared" si="213"/>
        <v>3.15</v>
      </c>
      <c r="J3015" s="955" t="s">
        <v>102</v>
      </c>
      <c r="K3015" s="902"/>
      <c r="L3015" s="896"/>
      <c r="M3015" s="902"/>
      <c r="N3015" s="900" t="s">
        <v>2309</v>
      </c>
    </row>
    <row r="3016" spans="1:14" s="910" customFormat="1" ht="16.5" hidden="1" customHeight="1">
      <c r="A3016" s="896"/>
      <c r="B3016" s="956"/>
      <c r="C3016" s="957"/>
      <c r="D3016" s="958"/>
      <c r="E3016" s="1268"/>
      <c r="F3016" s="1290"/>
      <c r="G3016" s="960"/>
      <c r="H3016" s="960"/>
      <c r="I3016" s="916"/>
      <c r="J3016" s="955"/>
      <c r="K3016" s="902"/>
      <c r="L3016" s="896"/>
      <c r="M3016" s="902"/>
      <c r="N3016" s="900" t="s">
        <v>2309</v>
      </c>
    </row>
    <row r="3017" spans="1:14" ht="15.75" hidden="1">
      <c r="A3017" s="896"/>
      <c r="B3017" s="902"/>
      <c r="C3017" s="917"/>
      <c r="D3017" s="918"/>
      <c r="E3017" s="919"/>
      <c r="F3017" s="920"/>
      <c r="G3017" s="921"/>
      <c r="H3017" s="896"/>
      <c r="I3017" s="916"/>
      <c r="J3017" s="955" t="s">
        <v>102</v>
      </c>
      <c r="K3017" s="922">
        <f>data!G3085</f>
        <v>3345.94</v>
      </c>
      <c r="L3017" s="923" t="s">
        <v>2309</v>
      </c>
      <c r="M3017" s="924">
        <f>ROUND(I3017*K3017,0)</f>
        <v>0</v>
      </c>
      <c r="N3017" s="900" t="s">
        <v>2309</v>
      </c>
    </row>
    <row r="3018" spans="1:14" ht="96.75" hidden="1" customHeight="1">
      <c r="A3018" s="896">
        <v>4</v>
      </c>
      <c r="B3018" s="1609" t="s">
        <v>1634</v>
      </c>
      <c r="C3018" s="1609"/>
      <c r="D3018" s="1609"/>
      <c r="E3018" s="1609"/>
      <c r="F3018" s="1609"/>
      <c r="G3018" s="1609"/>
      <c r="H3018" s="1609"/>
      <c r="I3018" s="897"/>
      <c r="J3018" s="898"/>
      <c r="K3018" s="896"/>
      <c r="L3018" s="896"/>
      <c r="M3018" s="899"/>
      <c r="N3018" s="900" t="s">
        <v>2309</v>
      </c>
    </row>
    <row r="3019" spans="1:14" s="910" customFormat="1" ht="16.5" hidden="1" customHeight="1">
      <c r="A3019" s="896"/>
      <c r="B3019" s="902" t="s">
        <v>2339</v>
      </c>
      <c r="C3019" s="903"/>
      <c r="D3019" s="904"/>
      <c r="E3019" s="905"/>
      <c r="F3019" s="906"/>
      <c r="G3019" s="906"/>
      <c r="H3019" s="907"/>
      <c r="I3019" s="908"/>
      <c r="J3019" s="955"/>
      <c r="K3019" s="902"/>
      <c r="L3019" s="896"/>
      <c r="M3019" s="902"/>
      <c r="N3019" s="900" t="s">
        <v>2309</v>
      </c>
    </row>
    <row r="3020" spans="1:14" s="910" customFormat="1" ht="16.5" hidden="1" customHeight="1">
      <c r="A3020" s="896"/>
      <c r="B3020" s="956" t="s">
        <v>578</v>
      </c>
      <c r="C3020" s="957">
        <v>1</v>
      </c>
      <c r="D3020" s="958" t="s">
        <v>273</v>
      </c>
      <c r="E3020" s="1268">
        <v>1</v>
      </c>
      <c r="F3020" s="1290">
        <v>3.3</v>
      </c>
      <c r="G3020" s="960">
        <v>0</v>
      </c>
      <c r="H3020" s="960">
        <v>0.87</v>
      </c>
      <c r="I3020" s="916">
        <f>ROUND(IF(AND(F3020:H3020),C3020*E3020*F3020*G3020*H3020,IF(AND(F3020,G3020),C3020*E3020*F3020*G3020,IF(AND(F3020,H3020),C3020*E3020*F3020*H3020,IF(AND(G3020,H3020),C3020*E3020*G3020*H3020,IF(F3020,C3020*E3020*F3020,IF(G3020,C3020*E3020*G3020,IF(H3020,C3020*E3020*H3020,C3020*E3020))))))),2)</f>
        <v>2.87</v>
      </c>
      <c r="J3020" s="955" t="s">
        <v>102</v>
      </c>
      <c r="K3020" s="902"/>
      <c r="L3020" s="896"/>
      <c r="M3020" s="902"/>
      <c r="N3020" s="900" t="s">
        <v>2309</v>
      </c>
    </row>
    <row r="3021" spans="1:14" s="910" customFormat="1" ht="16.5" hidden="1" customHeight="1">
      <c r="A3021" s="896"/>
      <c r="B3021" s="956"/>
      <c r="C3021" s="957">
        <v>1</v>
      </c>
      <c r="D3021" s="958" t="s">
        <v>273</v>
      </c>
      <c r="E3021" s="1268">
        <v>1</v>
      </c>
      <c r="F3021" s="1290">
        <v>1</v>
      </c>
      <c r="G3021" s="960">
        <v>0</v>
      </c>
      <c r="H3021" s="960">
        <v>0.87</v>
      </c>
      <c r="I3021" s="916">
        <f>ROUND(IF(AND(F3021:H3021),C3021*E3021*F3021*G3021*H3021,IF(AND(F3021,G3021),C3021*E3021*F3021*G3021,IF(AND(F3021,H3021),C3021*E3021*F3021*H3021,IF(AND(G3021,H3021),C3021*E3021*G3021*H3021,IF(F3021,C3021*E3021*F3021,IF(G3021,C3021*E3021*G3021,IF(H3021,C3021*E3021*H3021,C3021*E3021))))))),2)</f>
        <v>0.87</v>
      </c>
      <c r="J3021" s="955" t="s">
        <v>102</v>
      </c>
      <c r="K3021" s="902"/>
      <c r="L3021" s="896"/>
      <c r="M3021" s="902"/>
      <c r="N3021" s="900" t="s">
        <v>2309</v>
      </c>
    </row>
    <row r="3022" spans="1:14" s="910" customFormat="1" ht="16.5" hidden="1" customHeight="1">
      <c r="A3022" s="896"/>
      <c r="B3022" s="956" t="s">
        <v>654</v>
      </c>
      <c r="C3022" s="957">
        <v>1</v>
      </c>
      <c r="D3022" s="958" t="s">
        <v>273</v>
      </c>
      <c r="E3022" s="1268">
        <v>1</v>
      </c>
      <c r="F3022" s="1290">
        <v>1.45</v>
      </c>
      <c r="G3022" s="960">
        <v>0</v>
      </c>
      <c r="H3022" s="960">
        <v>0.87</v>
      </c>
      <c r="I3022" s="916">
        <f>ROUND(IF(AND(F3022:H3022),C3022*E3022*F3022*G3022*H3022,IF(AND(F3022,G3022),C3022*E3022*F3022*G3022,IF(AND(F3022,H3022),C3022*E3022*F3022*H3022,IF(AND(G3022,H3022),C3022*E3022*G3022*H3022,IF(F3022,C3022*E3022*F3022,IF(G3022,C3022*E3022*G3022,IF(H3022,C3022*E3022*H3022,C3022*E3022))))))),2)</f>
        <v>1.26</v>
      </c>
      <c r="J3022" s="955" t="s">
        <v>102</v>
      </c>
      <c r="K3022" s="902"/>
      <c r="L3022" s="896"/>
      <c r="M3022" s="902"/>
      <c r="N3022" s="900" t="s">
        <v>2309</v>
      </c>
    </row>
    <row r="3023" spans="1:14" s="910" customFormat="1" ht="16.5" hidden="1" customHeight="1">
      <c r="A3023" s="896"/>
      <c r="B3023" s="956"/>
      <c r="C3023" s="957">
        <v>1</v>
      </c>
      <c r="D3023" s="958" t="s">
        <v>273</v>
      </c>
      <c r="E3023" s="1268">
        <v>1</v>
      </c>
      <c r="F3023" s="1290">
        <v>2.57</v>
      </c>
      <c r="G3023" s="960">
        <v>0</v>
      </c>
      <c r="H3023" s="960">
        <v>0.87</v>
      </c>
      <c r="I3023" s="916">
        <f>ROUND(IF(AND(F3023:H3023),C3023*E3023*F3023*G3023*H3023,IF(AND(F3023,G3023),C3023*E3023*F3023*G3023,IF(AND(F3023,H3023),C3023*E3023*F3023*H3023,IF(AND(G3023,H3023),C3023*E3023*G3023*H3023,IF(F3023,C3023*E3023*F3023,IF(G3023,C3023*E3023*G3023,IF(H3023,C3023*E3023*H3023,C3023*E3023))))))),2)</f>
        <v>2.2400000000000002</v>
      </c>
      <c r="J3023" s="955" t="s">
        <v>102</v>
      </c>
      <c r="K3023" s="902"/>
      <c r="L3023" s="896"/>
      <c r="M3023" s="902"/>
      <c r="N3023" s="900" t="s">
        <v>2309</v>
      </c>
    </row>
    <row r="3024" spans="1:14" s="910" customFormat="1" ht="16.5" hidden="1" customHeight="1">
      <c r="A3024" s="896"/>
      <c r="B3024" s="956"/>
      <c r="C3024" s="957"/>
      <c r="D3024" s="958"/>
      <c r="E3024" s="1268"/>
      <c r="F3024" s="1290"/>
      <c r="G3024" s="960"/>
      <c r="H3024" s="960"/>
      <c r="I3024" s="916"/>
      <c r="J3024" s="955"/>
      <c r="K3024" s="902"/>
      <c r="L3024" s="896"/>
      <c r="M3024" s="902"/>
      <c r="N3024" s="900" t="s">
        <v>2309</v>
      </c>
    </row>
    <row r="3025" spans="1:14" ht="15.75" hidden="1">
      <c r="A3025" s="896"/>
      <c r="B3025" s="902"/>
      <c r="C3025" s="917"/>
      <c r="D3025" s="918"/>
      <c r="E3025" s="919"/>
      <c r="F3025" s="920"/>
      <c r="G3025" s="921"/>
      <c r="H3025" s="896"/>
      <c r="I3025" s="916"/>
      <c r="J3025" s="955" t="s">
        <v>102</v>
      </c>
      <c r="K3025" s="922">
        <f>data!G3096</f>
        <v>1514.34</v>
      </c>
      <c r="L3025" s="923" t="s">
        <v>2309</v>
      </c>
      <c r="M3025" s="924">
        <f>ROUND(I3025*K3025,0)</f>
        <v>0</v>
      </c>
      <c r="N3025" s="900" t="s">
        <v>2309</v>
      </c>
    </row>
    <row r="3026" spans="1:14" ht="31.5" hidden="1" customHeight="1">
      <c r="A3026" s="896">
        <v>4</v>
      </c>
      <c r="B3026" s="1609" t="s">
        <v>2286</v>
      </c>
      <c r="C3026" s="1609"/>
      <c r="D3026" s="1609"/>
      <c r="E3026" s="1609"/>
      <c r="F3026" s="1609"/>
      <c r="G3026" s="1609"/>
      <c r="H3026" s="1609"/>
      <c r="I3026" s="897"/>
      <c r="J3026" s="898"/>
      <c r="K3026" s="896"/>
      <c r="L3026" s="896"/>
      <c r="M3026" s="899"/>
      <c r="N3026" s="900" t="s">
        <v>2309</v>
      </c>
    </row>
    <row r="3027" spans="1:14" s="910" customFormat="1" ht="16.5" hidden="1" customHeight="1">
      <c r="A3027" s="896"/>
      <c r="B3027" s="902" t="s">
        <v>2339</v>
      </c>
      <c r="C3027" s="903"/>
      <c r="D3027" s="904"/>
      <c r="E3027" s="905"/>
      <c r="F3027" s="906"/>
      <c r="G3027" s="906"/>
      <c r="H3027" s="907"/>
      <c r="I3027" s="908"/>
      <c r="J3027" s="955"/>
      <c r="K3027" s="902"/>
      <c r="L3027" s="896"/>
      <c r="M3027" s="902"/>
      <c r="N3027" s="900" t="s">
        <v>2309</v>
      </c>
    </row>
    <row r="3028" spans="1:14" s="910" customFormat="1" ht="16.5" hidden="1" customHeight="1">
      <c r="A3028" s="896"/>
      <c r="B3028" s="956"/>
      <c r="C3028" s="957">
        <v>1</v>
      </c>
      <c r="D3028" s="958" t="s">
        <v>273</v>
      </c>
      <c r="E3028" s="1268">
        <v>1</v>
      </c>
      <c r="F3028" s="1290">
        <v>0.5</v>
      </c>
      <c r="G3028" s="960">
        <v>0</v>
      </c>
      <c r="H3028" s="960">
        <v>0</v>
      </c>
      <c r="I3028" s="916">
        <f>ROUND(IF(AND(F3028:H3028),C3028*E3028*F3028*G3028*H3028,IF(AND(F3028,G3028),C3028*E3028*F3028*G3028,IF(AND(F3028,H3028),C3028*E3028*F3028*H3028,IF(AND(G3028,H3028),C3028*E3028*G3028*H3028,IF(F3028,C3028*E3028*F3028,IF(G3028,C3028*E3028*G3028,IF(H3028,C3028*E3028*H3028,C3028*E3028))))))),2)</f>
        <v>0.5</v>
      </c>
      <c r="J3028" s="955" t="s">
        <v>4</v>
      </c>
      <c r="K3028" s="902"/>
      <c r="L3028" s="896"/>
      <c r="M3028" s="902"/>
      <c r="N3028" s="900" t="s">
        <v>2309</v>
      </c>
    </row>
    <row r="3029" spans="1:14" s="910" customFormat="1" ht="16.5" hidden="1" customHeight="1">
      <c r="A3029" s="896"/>
      <c r="B3029" s="956"/>
      <c r="C3029" s="957"/>
      <c r="D3029" s="958"/>
      <c r="E3029" s="1268"/>
      <c r="F3029" s="1290"/>
      <c r="G3029" s="960"/>
      <c r="H3029" s="960"/>
      <c r="I3029" s="916"/>
      <c r="J3029" s="955"/>
      <c r="K3029" s="902"/>
      <c r="L3029" s="896"/>
      <c r="M3029" s="902"/>
      <c r="N3029" s="900" t="s">
        <v>2309</v>
      </c>
    </row>
    <row r="3030" spans="1:14" ht="15.75" hidden="1">
      <c r="A3030" s="896"/>
      <c r="B3030" s="902"/>
      <c r="C3030" s="917"/>
      <c r="D3030" s="918"/>
      <c r="E3030" s="919"/>
      <c r="F3030" s="920"/>
      <c r="G3030" s="921"/>
      <c r="H3030" s="896"/>
      <c r="I3030" s="916"/>
      <c r="J3030" s="955" t="s">
        <v>4</v>
      </c>
      <c r="K3030" s="922">
        <f>data!G3100</f>
        <v>568.35</v>
      </c>
      <c r="L3030" s="923" t="s">
        <v>2309</v>
      </c>
      <c r="M3030" s="924">
        <f>ROUND(I3030*K3030,0)</f>
        <v>0</v>
      </c>
      <c r="N3030" s="900" t="s">
        <v>2309</v>
      </c>
    </row>
    <row r="3031" spans="1:14" ht="30.75" hidden="1" customHeight="1">
      <c r="A3031" s="896">
        <v>7</v>
      </c>
      <c r="B3031" s="1609" t="s">
        <v>958</v>
      </c>
      <c r="C3031" s="1609"/>
      <c r="D3031" s="1609"/>
      <c r="E3031" s="1609"/>
      <c r="F3031" s="1609"/>
      <c r="G3031" s="1609"/>
      <c r="H3031" s="1609"/>
      <c r="I3031" s="897"/>
      <c r="J3031" s="898"/>
      <c r="K3031" s="896"/>
      <c r="L3031" s="896"/>
      <c r="M3031" s="899"/>
      <c r="N3031" s="900" t="s">
        <v>2309</v>
      </c>
    </row>
    <row r="3032" spans="1:14" s="910" customFormat="1" ht="16.5" hidden="1" customHeight="1">
      <c r="A3032" s="896"/>
      <c r="B3032" s="902" t="s">
        <v>2100</v>
      </c>
      <c r="C3032" s="903"/>
      <c r="D3032" s="904"/>
      <c r="E3032" s="905"/>
      <c r="F3032" s="906"/>
      <c r="G3032" s="906"/>
      <c r="H3032" s="907"/>
      <c r="I3032" s="908"/>
      <c r="J3032" s="955"/>
      <c r="K3032" s="902"/>
      <c r="L3032" s="896"/>
      <c r="M3032" s="902"/>
      <c r="N3032" s="900" t="s">
        <v>2309</v>
      </c>
    </row>
    <row r="3033" spans="1:14" s="910" customFormat="1" ht="16.5" hidden="1" customHeight="1">
      <c r="A3033" s="896"/>
      <c r="B3033" s="956" t="s">
        <v>939</v>
      </c>
      <c r="C3033" s="957">
        <v>1</v>
      </c>
      <c r="D3033" s="958" t="s">
        <v>273</v>
      </c>
      <c r="E3033" s="1268">
        <v>11</v>
      </c>
      <c r="F3033" s="1290">
        <v>1.25</v>
      </c>
      <c r="G3033" s="960">
        <v>0</v>
      </c>
      <c r="H3033" s="960">
        <v>0</v>
      </c>
      <c r="I3033" s="916">
        <f>ROUND(IF(AND(F3033:H3033),C3033*E3033*F3033*G3033*H3033,IF(AND(F3033,G3033),C3033*E3033*F3033*G3033,IF(AND(F3033,H3033),C3033*E3033*F3033*H3033,IF(AND(G3033,H3033),C3033*E3033*G3033*H3033,IF(F3033,C3033*E3033*F3033,IF(G3033,C3033*E3033*G3033,IF(H3033,C3033*E3033*H3033,C3033*E3033))))))),2)</f>
        <v>13.75</v>
      </c>
      <c r="J3033" s="955" t="s">
        <v>277</v>
      </c>
      <c r="K3033" s="902"/>
      <c r="L3033" s="896"/>
      <c r="M3033" s="902"/>
      <c r="N3033" s="900" t="s">
        <v>2309</v>
      </c>
    </row>
    <row r="3034" spans="1:14" s="910" customFormat="1" ht="16.5" hidden="1" customHeight="1">
      <c r="A3034" s="896"/>
      <c r="B3034" s="956" t="s">
        <v>940</v>
      </c>
      <c r="C3034" s="957">
        <v>1</v>
      </c>
      <c r="D3034" s="958" t="s">
        <v>273</v>
      </c>
      <c r="E3034" s="1268">
        <v>11</v>
      </c>
      <c r="F3034" s="1290">
        <v>1.25</v>
      </c>
      <c r="G3034" s="960">
        <v>0</v>
      </c>
      <c r="H3034" s="960">
        <v>0</v>
      </c>
      <c r="I3034" s="916">
        <f>ROUND(IF(AND(F3034:H3034),C3034*E3034*F3034*G3034*H3034,IF(AND(F3034,G3034),C3034*E3034*F3034*G3034,IF(AND(F3034,H3034),C3034*E3034*F3034*H3034,IF(AND(G3034,H3034),C3034*E3034*G3034*H3034,IF(F3034,C3034*E3034*F3034,IF(G3034,C3034*E3034*G3034,IF(H3034,C3034*E3034*H3034,C3034*E3034))))))),2)</f>
        <v>13.75</v>
      </c>
      <c r="J3034" s="955" t="s">
        <v>277</v>
      </c>
      <c r="K3034" s="902"/>
      <c r="L3034" s="896"/>
      <c r="M3034" s="902"/>
      <c r="N3034" s="900" t="s">
        <v>2309</v>
      </c>
    </row>
    <row r="3035" spans="1:14" s="910" customFormat="1" ht="16.5" hidden="1" customHeight="1">
      <c r="A3035" s="896"/>
      <c r="B3035" s="980" t="s">
        <v>584</v>
      </c>
      <c r="C3035" s="903"/>
      <c r="D3035" s="904"/>
      <c r="E3035" s="905"/>
      <c r="F3035" s="906"/>
      <c r="G3035" s="906"/>
      <c r="H3035" s="907"/>
      <c r="I3035" s="908"/>
      <c r="J3035" s="955"/>
      <c r="K3035" s="902"/>
      <c r="L3035" s="896"/>
      <c r="M3035" s="902"/>
      <c r="N3035" s="900" t="s">
        <v>2309</v>
      </c>
    </row>
    <row r="3036" spans="1:14" s="910" customFormat="1" ht="16.5" hidden="1" customHeight="1">
      <c r="A3036" s="896"/>
      <c r="B3036" s="956" t="s">
        <v>939</v>
      </c>
      <c r="C3036" s="957">
        <v>1</v>
      </c>
      <c r="D3036" s="958" t="s">
        <v>273</v>
      </c>
      <c r="E3036" s="1268">
        <v>7</v>
      </c>
      <c r="F3036" s="1290">
        <v>1.25</v>
      </c>
      <c r="G3036" s="960">
        <v>0</v>
      </c>
      <c r="H3036" s="960">
        <v>0</v>
      </c>
      <c r="I3036" s="916">
        <f>ROUND(IF(AND(F3036:H3036),C3036*E3036*F3036*G3036*H3036,IF(AND(F3036,G3036),C3036*E3036*F3036*G3036,IF(AND(F3036,H3036),C3036*E3036*F3036*H3036,IF(AND(G3036,H3036),C3036*E3036*G3036*H3036,IF(F3036,C3036*E3036*F3036,IF(G3036,C3036*E3036*G3036,IF(H3036,C3036*E3036*H3036,C3036*E3036))))))),2)</f>
        <v>8.75</v>
      </c>
      <c r="J3036" s="955" t="s">
        <v>277</v>
      </c>
      <c r="K3036" s="902"/>
      <c r="L3036" s="896"/>
      <c r="M3036" s="902"/>
      <c r="N3036" s="900" t="s">
        <v>2309</v>
      </c>
    </row>
    <row r="3037" spans="1:14" s="910" customFormat="1" ht="16.5" hidden="1" customHeight="1">
      <c r="A3037" s="896"/>
      <c r="B3037" s="956"/>
      <c r="C3037" s="957"/>
      <c r="D3037" s="958"/>
      <c r="E3037" s="1268"/>
      <c r="F3037" s="1290"/>
      <c r="G3037" s="960"/>
      <c r="H3037" s="960"/>
      <c r="I3037" s="916"/>
      <c r="J3037" s="955"/>
      <c r="K3037" s="902"/>
      <c r="L3037" s="896"/>
      <c r="M3037" s="902"/>
      <c r="N3037" s="900" t="s">
        <v>2309</v>
      </c>
    </row>
    <row r="3038" spans="1:14" ht="15.75" hidden="1">
      <c r="A3038" s="896"/>
      <c r="B3038" s="902"/>
      <c r="C3038" s="917"/>
      <c r="D3038" s="918"/>
      <c r="E3038" s="919"/>
      <c r="F3038" s="920"/>
      <c r="G3038" s="921"/>
      <c r="H3038" s="896"/>
      <c r="I3038" s="916"/>
      <c r="J3038" s="955" t="s">
        <v>277</v>
      </c>
      <c r="K3038" s="922">
        <f>data!G3375</f>
        <v>453</v>
      </c>
      <c r="L3038" s="923" t="s">
        <v>2309</v>
      </c>
      <c r="M3038" s="924">
        <f>ROUND(I3038*K3038,0)</f>
        <v>0</v>
      </c>
      <c r="N3038" s="900" t="s">
        <v>2309</v>
      </c>
    </row>
    <row r="3039" spans="1:14" s="1253" customFormat="1" ht="15.75" hidden="1">
      <c r="A3039" s="967"/>
      <c r="B3039" s="967" t="s">
        <v>2511</v>
      </c>
      <c r="C3039" s="967"/>
      <c r="D3039" s="967"/>
      <c r="E3039" s="967"/>
      <c r="F3039" s="988"/>
      <c r="G3039" s="988"/>
      <c r="H3039" s="967"/>
      <c r="I3039" s="1261"/>
      <c r="J3039" s="1262"/>
      <c r="K3039" s="967"/>
      <c r="L3039" s="967"/>
      <c r="M3039" s="967"/>
      <c r="N3039" s="900"/>
    </row>
    <row r="3040" spans="1:14" ht="63.75" hidden="1" customHeight="1">
      <c r="A3040" s="896">
        <v>1</v>
      </c>
      <c r="B3040" s="1609" t="s">
        <v>308</v>
      </c>
      <c r="C3040" s="1609"/>
      <c r="D3040" s="1609"/>
      <c r="E3040" s="1609"/>
      <c r="F3040" s="1609"/>
      <c r="G3040" s="1609"/>
      <c r="H3040" s="1609"/>
      <c r="I3040" s="897"/>
      <c r="J3040" s="898"/>
      <c r="K3040" s="896"/>
      <c r="L3040" s="896"/>
      <c r="M3040" s="899"/>
      <c r="N3040" s="900" t="s">
        <v>2209</v>
      </c>
    </row>
    <row r="3041" spans="1:14" s="910" customFormat="1" ht="16.5" hidden="1" customHeight="1">
      <c r="A3041" s="896"/>
      <c r="B3041" s="902" t="s">
        <v>3579</v>
      </c>
      <c r="C3041" s="903"/>
      <c r="D3041" s="904"/>
      <c r="E3041" s="905"/>
      <c r="F3041" s="906"/>
      <c r="G3041" s="906"/>
      <c r="H3041" s="907"/>
      <c r="I3041" s="908"/>
      <c r="J3041" s="909"/>
      <c r="K3041" s="902"/>
      <c r="L3041" s="896"/>
      <c r="M3041" s="902"/>
      <c r="N3041" s="900" t="s">
        <v>2209</v>
      </c>
    </row>
    <row r="3042" spans="1:14" s="910" customFormat="1" ht="16.5" hidden="1" customHeight="1">
      <c r="A3042" s="896"/>
      <c r="B3042" s="956"/>
      <c r="C3042" s="957">
        <v>1</v>
      </c>
      <c r="D3042" s="958" t="s">
        <v>273</v>
      </c>
      <c r="E3042" s="1268">
        <v>1</v>
      </c>
      <c r="F3042" s="960">
        <v>10</v>
      </c>
      <c r="G3042" s="960">
        <v>0</v>
      </c>
      <c r="H3042" s="960">
        <v>0</v>
      </c>
      <c r="I3042" s="916">
        <f>ROUND(IF(AND(F3042:H3042),C3042*E3042*F3042*G3042*H3042,IF(AND(F3042,G3042),C3042*E3042*F3042*G3042,IF(AND(F3042,H3042),C3042*E3042*F3042*H3042,IF(AND(G3042,H3042),C3042*E3042*G3042*H3042,IF(F3042,C3042*E3042*F3042,IF(G3042,C3042*E3042*G3042,IF(H3042,C3042*E3042*H3042,C3042*E3042))))))),2)</f>
        <v>10</v>
      </c>
      <c r="J3042" s="909" t="s">
        <v>277</v>
      </c>
      <c r="K3042" s="902"/>
      <c r="L3042" s="896"/>
      <c r="M3042" s="902"/>
      <c r="N3042" s="900" t="s">
        <v>2209</v>
      </c>
    </row>
    <row r="3043" spans="1:14" s="910" customFormat="1" ht="16.5" hidden="1" customHeight="1">
      <c r="A3043" s="896"/>
      <c r="B3043" s="956"/>
      <c r="C3043" s="957"/>
      <c r="D3043" s="958"/>
      <c r="E3043" s="1268"/>
      <c r="F3043" s="960"/>
      <c r="G3043" s="960"/>
      <c r="H3043" s="960"/>
      <c r="I3043" s="916"/>
      <c r="J3043" s="909"/>
      <c r="K3043" s="902"/>
      <c r="L3043" s="896"/>
      <c r="M3043" s="902"/>
      <c r="N3043" s="900" t="s">
        <v>2209</v>
      </c>
    </row>
    <row r="3044" spans="1:14" ht="15.75" hidden="1">
      <c r="A3044" s="896"/>
      <c r="B3044" s="902"/>
      <c r="C3044" s="917"/>
      <c r="D3044" s="918"/>
      <c r="E3044" s="919"/>
      <c r="F3044" s="920"/>
      <c r="G3044" s="921"/>
      <c r="H3044" s="896"/>
      <c r="I3044" s="916"/>
      <c r="J3044" s="909" t="s">
        <v>277</v>
      </c>
      <c r="K3044" s="922">
        <f>'SANITATION DTA'!G82</f>
        <v>193</v>
      </c>
      <c r="L3044" s="923" t="s">
        <v>2209</v>
      </c>
      <c r="M3044" s="924">
        <f>ROUND(I3044*K3044,0)</f>
        <v>0</v>
      </c>
      <c r="N3044" s="900" t="s">
        <v>2209</v>
      </c>
    </row>
    <row r="3045" spans="1:14" ht="63.75" hidden="1" customHeight="1">
      <c r="A3045" s="896">
        <v>1</v>
      </c>
      <c r="B3045" s="1609" t="s">
        <v>309</v>
      </c>
      <c r="C3045" s="1609"/>
      <c r="D3045" s="1609"/>
      <c r="E3045" s="1609"/>
      <c r="F3045" s="1609"/>
      <c r="G3045" s="1609"/>
      <c r="H3045" s="1609"/>
      <c r="I3045" s="897"/>
      <c r="J3045" s="898"/>
      <c r="K3045" s="896"/>
      <c r="L3045" s="896"/>
      <c r="M3045" s="899"/>
      <c r="N3045" s="900" t="s">
        <v>2209</v>
      </c>
    </row>
    <row r="3046" spans="1:14" s="910" customFormat="1" ht="16.5" hidden="1" customHeight="1">
      <c r="A3046" s="896"/>
      <c r="B3046" s="902" t="s">
        <v>2341</v>
      </c>
      <c r="C3046" s="903"/>
      <c r="D3046" s="904"/>
      <c r="E3046" s="905"/>
      <c r="F3046" s="906"/>
      <c r="G3046" s="906"/>
      <c r="H3046" s="907"/>
      <c r="I3046" s="908"/>
      <c r="J3046" s="909"/>
      <c r="K3046" s="902"/>
      <c r="L3046" s="896"/>
      <c r="M3046" s="902"/>
      <c r="N3046" s="900" t="s">
        <v>2209</v>
      </c>
    </row>
    <row r="3047" spans="1:14" s="910" customFormat="1" ht="16.5" hidden="1" customHeight="1">
      <c r="A3047" s="896"/>
      <c r="B3047" s="911"/>
      <c r="C3047" s="912">
        <v>1</v>
      </c>
      <c r="D3047" s="913" t="s">
        <v>273</v>
      </c>
      <c r="E3047" s="914">
        <v>1</v>
      </c>
      <c r="F3047" s="1289">
        <v>45</v>
      </c>
      <c r="G3047" s="915">
        <v>0</v>
      </c>
      <c r="H3047" s="915">
        <v>0</v>
      </c>
      <c r="I3047" s="916">
        <f>ROUND(IF(AND(F3047:H3047),C3047*E3047*F3047*G3047*H3047,IF(AND(F3047,G3047),C3047*E3047*F3047*G3047,IF(AND(F3047,H3047),C3047*E3047*F3047*H3047,IF(AND(G3047,H3047),C3047*E3047*G3047*H3047,IF(F3047,C3047*E3047*F3047,IF(G3047,C3047*E3047*G3047,IF(H3047,C3047*E3047*H3047,C3047*E3047))))))),2)</f>
        <v>45</v>
      </c>
      <c r="J3047" s="909" t="s">
        <v>277</v>
      </c>
      <c r="K3047" s="902"/>
      <c r="L3047" s="896"/>
      <c r="M3047" s="902"/>
      <c r="N3047" s="900" t="s">
        <v>2209</v>
      </c>
    </row>
    <row r="3048" spans="1:14" s="910" customFormat="1" ht="16.5" hidden="1" customHeight="1">
      <c r="A3048" s="896"/>
      <c r="B3048" s="956"/>
      <c r="C3048" s="957"/>
      <c r="D3048" s="958"/>
      <c r="E3048" s="1268"/>
      <c r="F3048" s="960"/>
      <c r="G3048" s="960"/>
      <c r="H3048" s="960"/>
      <c r="I3048" s="916"/>
      <c r="J3048" s="909"/>
      <c r="K3048" s="902"/>
      <c r="L3048" s="896"/>
      <c r="M3048" s="902"/>
      <c r="N3048" s="900" t="s">
        <v>2209</v>
      </c>
    </row>
    <row r="3049" spans="1:14" ht="15.75" hidden="1">
      <c r="A3049" s="896"/>
      <c r="B3049" s="902"/>
      <c r="C3049" s="917"/>
      <c r="D3049" s="918"/>
      <c r="E3049" s="919"/>
      <c r="F3049" s="920"/>
      <c r="G3049" s="921"/>
      <c r="H3049" s="896"/>
      <c r="I3049" s="916"/>
      <c r="J3049" s="909" t="s">
        <v>277</v>
      </c>
      <c r="K3049" s="922">
        <f>'SANITATION DTA'!G79</f>
        <v>123</v>
      </c>
      <c r="L3049" s="923" t="s">
        <v>2209</v>
      </c>
      <c r="M3049" s="924">
        <f>ROUND(I3049*K3049,0)</f>
        <v>0</v>
      </c>
      <c r="N3049" s="900" t="s">
        <v>2209</v>
      </c>
    </row>
    <row r="3050" spans="1:14" ht="63.75" hidden="1" customHeight="1">
      <c r="A3050" s="896">
        <v>10</v>
      </c>
      <c r="B3050" s="1609" t="s">
        <v>1635</v>
      </c>
      <c r="C3050" s="1609"/>
      <c r="D3050" s="1609"/>
      <c r="E3050" s="1609"/>
      <c r="F3050" s="1609"/>
      <c r="G3050" s="1609"/>
      <c r="H3050" s="1609"/>
      <c r="I3050" s="897"/>
      <c r="J3050" s="898"/>
      <c r="K3050" s="896"/>
      <c r="L3050" s="896"/>
      <c r="M3050" s="899"/>
      <c r="N3050" s="900" t="s">
        <v>2209</v>
      </c>
    </row>
    <row r="3051" spans="1:14" s="910" customFormat="1" ht="16.5" hidden="1" customHeight="1">
      <c r="A3051" s="896"/>
      <c r="B3051" s="1212" t="s">
        <v>2326</v>
      </c>
      <c r="C3051" s="903"/>
      <c r="D3051" s="904"/>
      <c r="E3051" s="905"/>
      <c r="F3051" s="906"/>
      <c r="G3051" s="906"/>
      <c r="H3051" s="907"/>
      <c r="I3051" s="908"/>
      <c r="J3051" s="909"/>
      <c r="K3051" s="902"/>
      <c r="L3051" s="896"/>
      <c r="M3051" s="902"/>
      <c r="N3051" s="900" t="s">
        <v>2209</v>
      </c>
    </row>
    <row r="3052" spans="1:14" s="910" customFormat="1" ht="16.5" hidden="1" customHeight="1">
      <c r="A3052" s="896"/>
      <c r="B3052" s="956"/>
      <c r="C3052" s="957">
        <v>1</v>
      </c>
      <c r="D3052" s="958" t="s">
        <v>273</v>
      </c>
      <c r="E3052" s="1268">
        <v>1</v>
      </c>
      <c r="F3052" s="1290">
        <v>11</v>
      </c>
      <c r="G3052" s="960">
        <v>0</v>
      </c>
      <c r="H3052" s="960">
        <v>0</v>
      </c>
      <c r="I3052" s="916">
        <f>ROUND(IF(AND(F3052:H3052),C3052*E3052*F3052*G3052*H3052,IF(AND(F3052,G3052),C3052*E3052*F3052*G3052,IF(AND(F3052,H3052),C3052*E3052*F3052*H3052,IF(AND(G3052,H3052),C3052*E3052*G3052*H3052,IF(F3052,C3052*E3052*F3052,IF(G3052,C3052*E3052*G3052,IF(H3052,C3052*E3052*H3052,C3052*E3052))))))),2)</f>
        <v>11</v>
      </c>
      <c r="J3052" s="909" t="s">
        <v>277</v>
      </c>
      <c r="K3052" s="902"/>
      <c r="L3052" s="896"/>
      <c r="M3052" s="902"/>
      <c r="N3052" s="900" t="s">
        <v>2209</v>
      </c>
    </row>
    <row r="3053" spans="1:14" s="910" customFormat="1" ht="16.5" hidden="1" customHeight="1">
      <c r="A3053" s="896"/>
      <c r="B3053" s="956"/>
      <c r="C3053" s="957"/>
      <c r="D3053" s="958"/>
      <c r="E3053" s="1268"/>
      <c r="F3053" s="960"/>
      <c r="G3053" s="960"/>
      <c r="H3053" s="960"/>
      <c r="I3053" s="916"/>
      <c r="J3053" s="909"/>
      <c r="K3053" s="902"/>
      <c r="L3053" s="896"/>
      <c r="M3053" s="902"/>
      <c r="N3053" s="900" t="s">
        <v>2209</v>
      </c>
    </row>
    <row r="3054" spans="1:14" ht="15.75" hidden="1">
      <c r="A3054" s="896"/>
      <c r="B3054" s="902"/>
      <c r="C3054" s="917"/>
      <c r="D3054" s="918"/>
      <c r="E3054" s="919"/>
      <c r="F3054" s="920"/>
      <c r="G3054" s="921"/>
      <c r="H3054" s="896"/>
      <c r="I3054" s="916"/>
      <c r="J3054" s="909" t="s">
        <v>277</v>
      </c>
      <c r="K3054" s="922">
        <f>'SANITATION DTA'!G76</f>
        <v>85</v>
      </c>
      <c r="L3054" s="923" t="s">
        <v>2209</v>
      </c>
      <c r="M3054" s="924">
        <f>ROUND(I3054*K3054,0)</f>
        <v>0</v>
      </c>
      <c r="N3054" s="900" t="s">
        <v>2209</v>
      </c>
    </row>
    <row r="3055" spans="1:14" ht="41.25" hidden="1" customHeight="1">
      <c r="A3055" s="896">
        <v>2</v>
      </c>
      <c r="B3055" s="1609" t="s">
        <v>1252</v>
      </c>
      <c r="C3055" s="1609"/>
      <c r="D3055" s="1609"/>
      <c r="E3055" s="1609"/>
      <c r="F3055" s="1609"/>
      <c r="G3055" s="1609"/>
      <c r="H3055" s="1609"/>
      <c r="I3055" s="897"/>
      <c r="J3055" s="898"/>
      <c r="K3055" s="896"/>
      <c r="L3055" s="896"/>
      <c r="M3055" s="899"/>
      <c r="N3055" s="900" t="s">
        <v>2209</v>
      </c>
    </row>
    <row r="3056" spans="1:14" s="910" customFormat="1" ht="16.5" hidden="1" customHeight="1">
      <c r="A3056" s="896"/>
      <c r="B3056" s="902" t="s">
        <v>2317</v>
      </c>
      <c r="C3056" s="903"/>
      <c r="D3056" s="904"/>
      <c r="E3056" s="905"/>
      <c r="F3056" s="906"/>
      <c r="G3056" s="906"/>
      <c r="H3056" s="907"/>
      <c r="I3056" s="908"/>
      <c r="J3056" s="909"/>
      <c r="K3056" s="902"/>
      <c r="L3056" s="896"/>
      <c r="M3056" s="902"/>
      <c r="N3056" s="900" t="s">
        <v>2209</v>
      </c>
    </row>
    <row r="3057" spans="1:14" s="910" customFormat="1" ht="16.5" hidden="1" customHeight="1">
      <c r="A3057" s="896"/>
      <c r="B3057" s="956"/>
      <c r="C3057" s="957">
        <v>1</v>
      </c>
      <c r="D3057" s="958" t="s">
        <v>273</v>
      </c>
      <c r="E3057" s="1268">
        <v>1</v>
      </c>
      <c r="F3057" s="960">
        <v>85</v>
      </c>
      <c r="G3057" s="960">
        <v>0</v>
      </c>
      <c r="H3057" s="960">
        <v>0</v>
      </c>
      <c r="I3057" s="916">
        <f>ROUND(IF(AND(F3057:H3057),C3057*E3057*F3057*G3057*H3057,IF(AND(F3057,G3057),C3057*E3057*F3057*G3057,IF(AND(F3057,H3057),C3057*E3057*F3057*H3057,IF(AND(G3057,H3057),C3057*E3057*G3057*H3057,IF(F3057,C3057*E3057*F3057,IF(G3057,C3057*E3057*G3057,IF(H3057,C3057*E3057*H3057,C3057*E3057))))))),2)</f>
        <v>85</v>
      </c>
      <c r="J3057" s="909" t="s">
        <v>277</v>
      </c>
      <c r="K3057" s="902"/>
      <c r="L3057" s="896"/>
      <c r="M3057" s="902"/>
      <c r="N3057" s="900" t="s">
        <v>2209</v>
      </c>
    </row>
    <row r="3058" spans="1:14" s="910" customFormat="1" ht="16.5" hidden="1" customHeight="1">
      <c r="A3058" s="896"/>
      <c r="B3058" s="956"/>
      <c r="C3058" s="957"/>
      <c r="D3058" s="958"/>
      <c r="E3058" s="1268"/>
      <c r="F3058" s="960"/>
      <c r="G3058" s="960"/>
      <c r="H3058" s="960"/>
      <c r="I3058" s="916"/>
      <c r="J3058" s="909"/>
      <c r="K3058" s="902"/>
      <c r="L3058" s="896"/>
      <c r="M3058" s="902"/>
      <c r="N3058" s="900" t="s">
        <v>2209</v>
      </c>
    </row>
    <row r="3059" spans="1:14" ht="15.75" hidden="1">
      <c r="A3059" s="896"/>
      <c r="B3059" s="902"/>
      <c r="C3059" s="917"/>
      <c r="D3059" s="918"/>
      <c r="E3059" s="919"/>
      <c r="F3059" s="920"/>
      <c r="G3059" s="921"/>
      <c r="H3059" s="896"/>
      <c r="I3059" s="916"/>
      <c r="J3059" s="909" t="s">
        <v>277</v>
      </c>
      <c r="K3059" s="922">
        <f>'SANITATION DTA'!G86</f>
        <v>24</v>
      </c>
      <c r="L3059" s="923" t="s">
        <v>2209</v>
      </c>
      <c r="M3059" s="924">
        <f>ROUND(I3059*K3059,0)</f>
        <v>0</v>
      </c>
      <c r="N3059" s="900" t="s">
        <v>2209</v>
      </c>
    </row>
    <row r="3060" spans="1:14" ht="63.75" hidden="1" customHeight="1">
      <c r="A3060" s="896">
        <v>2</v>
      </c>
      <c r="B3060" s="1609" t="s">
        <v>278</v>
      </c>
      <c r="C3060" s="1609"/>
      <c r="D3060" s="1609"/>
      <c r="E3060" s="1609"/>
      <c r="F3060" s="1609"/>
      <c r="G3060" s="1609"/>
      <c r="H3060" s="1609"/>
      <c r="I3060" s="897"/>
      <c r="J3060" s="898"/>
      <c r="K3060" s="896"/>
      <c r="L3060" s="896"/>
      <c r="M3060" s="899"/>
      <c r="N3060" s="900" t="s">
        <v>2209</v>
      </c>
    </row>
    <row r="3061" spans="1:14" s="910" customFormat="1" ht="16.5" hidden="1" customHeight="1">
      <c r="A3061" s="896"/>
      <c r="B3061" s="902" t="s">
        <v>2341</v>
      </c>
      <c r="C3061" s="903"/>
      <c r="D3061" s="904"/>
      <c r="E3061" s="905"/>
      <c r="F3061" s="906"/>
      <c r="G3061" s="906"/>
      <c r="H3061" s="907"/>
      <c r="I3061" s="908"/>
      <c r="J3061" s="909"/>
      <c r="K3061" s="902"/>
      <c r="L3061" s="896"/>
      <c r="M3061" s="902"/>
      <c r="N3061" s="900" t="s">
        <v>2209</v>
      </c>
    </row>
    <row r="3062" spans="1:14" s="910" customFormat="1" ht="16.5" hidden="1" customHeight="1">
      <c r="A3062" s="896"/>
      <c r="B3062" s="911" t="s">
        <v>419</v>
      </c>
      <c r="C3062" s="912">
        <v>1</v>
      </c>
      <c r="D3062" s="913" t="s">
        <v>273</v>
      </c>
      <c r="E3062" s="914">
        <v>1</v>
      </c>
      <c r="F3062" s="1289">
        <f>I3049</f>
        <v>0</v>
      </c>
      <c r="G3062" s="915">
        <v>0</v>
      </c>
      <c r="H3062" s="915">
        <v>0</v>
      </c>
      <c r="I3062" s="916">
        <f>ROUND(IF(AND(F3062:H3062),C3062*E3062*F3062*G3062*H3062,IF(AND(F3062,G3062),C3062*E3062*F3062*G3062,IF(AND(F3062,H3062),C3062*E3062*F3062*H3062,IF(AND(G3062,H3062),C3062*E3062*G3062*H3062,IF(F3062,C3062*E3062*F3062,IF(G3062,C3062*E3062*G3062,IF(H3062,C3062*E3062*H3062,C3062*E3062))))))),2)</f>
        <v>1</v>
      </c>
      <c r="J3062" s="909" t="s">
        <v>277</v>
      </c>
      <c r="K3062" s="902"/>
      <c r="L3062" s="896"/>
      <c r="M3062" s="902"/>
      <c r="N3062" s="900" t="s">
        <v>2209</v>
      </c>
    </row>
    <row r="3063" spans="1:14" s="910" customFormat="1" ht="16.5" hidden="1" customHeight="1">
      <c r="A3063" s="896"/>
      <c r="B3063" s="956"/>
      <c r="C3063" s="957"/>
      <c r="D3063" s="958"/>
      <c r="E3063" s="1268"/>
      <c r="F3063" s="960"/>
      <c r="G3063" s="960"/>
      <c r="H3063" s="960"/>
      <c r="I3063" s="916"/>
      <c r="J3063" s="909"/>
      <c r="K3063" s="902"/>
      <c r="L3063" s="896"/>
      <c r="M3063" s="902"/>
      <c r="N3063" s="900" t="s">
        <v>2209</v>
      </c>
    </row>
    <row r="3064" spans="1:14" ht="15.75" hidden="1">
      <c r="A3064" s="896"/>
      <c r="B3064" s="902"/>
      <c r="C3064" s="917"/>
      <c r="D3064" s="918"/>
      <c r="E3064" s="919"/>
      <c r="F3064" s="920"/>
      <c r="G3064" s="921"/>
      <c r="H3064" s="896"/>
      <c r="I3064" s="916"/>
      <c r="J3064" s="909" t="s">
        <v>277</v>
      </c>
      <c r="K3064" s="922">
        <f>'SANITATION DTA'!G90</f>
        <v>31</v>
      </c>
      <c r="L3064" s="923" t="s">
        <v>2209</v>
      </c>
      <c r="M3064" s="924">
        <f>ROUND(I3064*K3064,0)</f>
        <v>0</v>
      </c>
      <c r="N3064" s="900" t="s">
        <v>2209</v>
      </c>
    </row>
    <row r="3065" spans="1:14" ht="39.75" hidden="1" customHeight="1">
      <c r="A3065" s="896">
        <v>3</v>
      </c>
      <c r="B3065" s="1609" t="s">
        <v>352</v>
      </c>
      <c r="C3065" s="1609"/>
      <c r="D3065" s="1609"/>
      <c r="E3065" s="1609"/>
      <c r="F3065" s="1609"/>
      <c r="G3065" s="1609"/>
      <c r="H3065" s="1609"/>
      <c r="I3065" s="897"/>
      <c r="J3065" s="898"/>
      <c r="K3065" s="896"/>
      <c r="L3065" s="896"/>
      <c r="M3065" s="899"/>
      <c r="N3065" s="900" t="s">
        <v>2209</v>
      </c>
    </row>
    <row r="3066" spans="1:14" s="910" customFormat="1" ht="16.5" hidden="1" customHeight="1">
      <c r="A3066" s="896"/>
      <c r="B3066" s="902" t="s">
        <v>2341</v>
      </c>
      <c r="C3066" s="903"/>
      <c r="D3066" s="904"/>
      <c r="E3066" s="905"/>
      <c r="F3066" s="906"/>
      <c r="G3066" s="906"/>
      <c r="H3066" s="907"/>
      <c r="I3066" s="908"/>
      <c r="J3066" s="909"/>
      <c r="K3066" s="902"/>
      <c r="L3066" s="896"/>
      <c r="M3066" s="902"/>
      <c r="N3066" s="900" t="s">
        <v>2209</v>
      </c>
    </row>
    <row r="3067" spans="1:14" s="910" customFormat="1" ht="16.5" hidden="1" customHeight="1">
      <c r="A3067" s="896"/>
      <c r="B3067" s="956"/>
      <c r="C3067" s="957">
        <v>1</v>
      </c>
      <c r="D3067" s="958" t="s">
        <v>273</v>
      </c>
      <c r="E3067" s="1268">
        <v>9</v>
      </c>
      <c r="F3067" s="960">
        <f>I3061</f>
        <v>0</v>
      </c>
      <c r="G3067" s="960">
        <v>0</v>
      </c>
      <c r="H3067" s="960">
        <v>0</v>
      </c>
      <c r="I3067" s="1291">
        <f>ROUND(IF(AND(F3067:H3067),C3067*E3067*F3067*G3067*H3067,IF(AND(F3067,G3067),C3067*E3067*F3067*G3067,IF(AND(F3067,H3067),C3067*E3067*F3067*H3067,IF(AND(G3067,H3067),C3067*E3067*G3067*H3067,IF(F3067,C3067*E3067*F3067,IF(G3067,C3067*E3067*G3067,IF(H3067,C3067*E3067*H3067,C3067*E3067))))))),2)</f>
        <v>9</v>
      </c>
      <c r="J3067" s="909" t="s">
        <v>115</v>
      </c>
      <c r="K3067" s="902"/>
      <c r="L3067" s="896"/>
      <c r="M3067" s="902"/>
      <c r="N3067" s="900" t="s">
        <v>2209</v>
      </c>
    </row>
    <row r="3068" spans="1:14" s="910" customFormat="1" ht="16.5" hidden="1" customHeight="1">
      <c r="A3068" s="896"/>
      <c r="B3068" s="956"/>
      <c r="C3068" s="957"/>
      <c r="D3068" s="958"/>
      <c r="E3068" s="1268"/>
      <c r="F3068" s="960"/>
      <c r="G3068" s="960"/>
      <c r="H3068" s="960"/>
      <c r="I3068" s="1291"/>
      <c r="J3068" s="909"/>
      <c r="K3068" s="902"/>
      <c r="L3068" s="896"/>
      <c r="M3068" s="902"/>
      <c r="N3068" s="900" t="s">
        <v>2209</v>
      </c>
    </row>
    <row r="3069" spans="1:14" ht="15.75" hidden="1">
      <c r="A3069" s="896"/>
      <c r="B3069" s="902"/>
      <c r="C3069" s="917"/>
      <c r="D3069" s="918"/>
      <c r="E3069" s="919"/>
      <c r="F3069" s="920"/>
      <c r="G3069" s="921"/>
      <c r="H3069" s="896"/>
      <c r="I3069" s="1291"/>
      <c r="J3069" s="909" t="s">
        <v>115</v>
      </c>
      <c r="K3069" s="922">
        <f>'SANITATION DTA'!G59</f>
        <v>349</v>
      </c>
      <c r="L3069" s="923" t="s">
        <v>2209</v>
      </c>
      <c r="M3069" s="924">
        <f>ROUND(I3069*K3069,0)</f>
        <v>0</v>
      </c>
      <c r="N3069" s="900" t="s">
        <v>2209</v>
      </c>
    </row>
    <row r="3070" spans="1:14" ht="28.5" hidden="1" customHeight="1">
      <c r="A3070" s="896">
        <v>4</v>
      </c>
      <c r="B3070" s="1609" t="s">
        <v>685</v>
      </c>
      <c r="C3070" s="1609"/>
      <c r="D3070" s="1609"/>
      <c r="E3070" s="1609"/>
      <c r="F3070" s="1609"/>
      <c r="G3070" s="1609"/>
      <c r="H3070" s="1609"/>
      <c r="I3070" s="897"/>
      <c r="J3070" s="898"/>
      <c r="K3070" s="896"/>
      <c r="L3070" s="896"/>
      <c r="M3070" s="899"/>
      <c r="N3070" s="900" t="s">
        <v>2209</v>
      </c>
    </row>
    <row r="3071" spans="1:14" s="910" customFormat="1" ht="16.5" hidden="1" customHeight="1">
      <c r="A3071" s="896"/>
      <c r="B3071" s="980" t="s">
        <v>607</v>
      </c>
      <c r="C3071" s="903"/>
      <c r="D3071" s="904"/>
      <c r="E3071" s="905"/>
      <c r="F3071" s="906"/>
      <c r="G3071" s="906"/>
      <c r="H3071" s="907"/>
      <c r="I3071" s="908"/>
      <c r="J3071" s="909"/>
      <c r="K3071" s="902"/>
      <c r="L3071" s="896"/>
      <c r="M3071" s="902"/>
      <c r="N3071" s="900" t="s">
        <v>2209</v>
      </c>
    </row>
    <row r="3072" spans="1:14" s="910" customFormat="1" ht="16.5" hidden="1" customHeight="1">
      <c r="A3072" s="896"/>
      <c r="B3072" s="956"/>
      <c r="C3072" s="957">
        <v>1</v>
      </c>
      <c r="D3072" s="958" t="s">
        <v>273</v>
      </c>
      <c r="E3072" s="1268">
        <v>2</v>
      </c>
      <c r="F3072" s="960">
        <f>I3065</f>
        <v>0</v>
      </c>
      <c r="G3072" s="960">
        <v>0</v>
      </c>
      <c r="H3072" s="960">
        <v>0</v>
      </c>
      <c r="I3072" s="1291">
        <f>ROUND(IF(AND(F3072:H3072),C3072*E3072*F3072*G3072*H3072,IF(AND(F3072,G3072),C3072*E3072*F3072*G3072,IF(AND(F3072,H3072),C3072*E3072*F3072*H3072,IF(AND(G3072,H3072),C3072*E3072*G3072*H3072,IF(F3072,C3072*E3072*F3072,IF(G3072,C3072*E3072*G3072,IF(H3072,C3072*E3072*H3072,C3072*E3072))))))),2)</f>
        <v>2</v>
      </c>
      <c r="J3072" s="909" t="s">
        <v>115</v>
      </c>
      <c r="K3072" s="902"/>
      <c r="L3072" s="896"/>
      <c r="M3072" s="902"/>
      <c r="N3072" s="900" t="s">
        <v>2209</v>
      </c>
    </row>
    <row r="3073" spans="1:14" s="910" customFormat="1" ht="16.5" hidden="1" customHeight="1">
      <c r="A3073" s="896"/>
      <c r="B3073" s="956"/>
      <c r="C3073" s="957"/>
      <c r="D3073" s="958"/>
      <c r="E3073" s="1268"/>
      <c r="F3073" s="960"/>
      <c r="G3073" s="960"/>
      <c r="H3073" s="960"/>
      <c r="I3073" s="1291"/>
      <c r="J3073" s="909"/>
      <c r="K3073" s="902"/>
      <c r="L3073" s="896"/>
      <c r="M3073" s="902"/>
      <c r="N3073" s="900" t="s">
        <v>2209</v>
      </c>
    </row>
    <row r="3074" spans="1:14" ht="15.75" hidden="1">
      <c r="A3074" s="896"/>
      <c r="B3074" s="902"/>
      <c r="C3074" s="917"/>
      <c r="D3074" s="918"/>
      <c r="E3074" s="919"/>
      <c r="F3074" s="920"/>
      <c r="G3074" s="921"/>
      <c r="H3074" s="896"/>
      <c r="I3074" s="1291"/>
      <c r="J3074" s="909" t="s">
        <v>115</v>
      </c>
      <c r="K3074" s="922">
        <f>'SANITATION DTA'!G55</f>
        <v>1483</v>
      </c>
      <c r="L3074" s="923" t="s">
        <v>2209</v>
      </c>
      <c r="M3074" s="924">
        <f>ROUND(I3074*K3074,0)</f>
        <v>0</v>
      </c>
      <c r="N3074" s="900" t="s">
        <v>2209</v>
      </c>
    </row>
    <row r="3075" spans="1:14" ht="29.25" hidden="1" customHeight="1">
      <c r="A3075" s="896">
        <v>4</v>
      </c>
      <c r="B3075" s="1609" t="s">
        <v>341</v>
      </c>
      <c r="C3075" s="1609"/>
      <c r="D3075" s="1609"/>
      <c r="E3075" s="1609"/>
      <c r="F3075" s="1609"/>
      <c r="G3075" s="1609"/>
      <c r="H3075" s="1609"/>
      <c r="I3075" s="897"/>
      <c r="J3075" s="898"/>
      <c r="K3075" s="896"/>
      <c r="L3075" s="896"/>
      <c r="M3075" s="899"/>
      <c r="N3075" s="900" t="s">
        <v>2209</v>
      </c>
    </row>
    <row r="3076" spans="1:14" s="910" customFormat="1" ht="16.5" hidden="1" customHeight="1">
      <c r="A3076" s="896"/>
      <c r="B3076" s="902" t="s">
        <v>2341</v>
      </c>
      <c r="C3076" s="903"/>
      <c r="D3076" s="904"/>
      <c r="E3076" s="905"/>
      <c r="F3076" s="906"/>
      <c r="G3076" s="906"/>
      <c r="H3076" s="907"/>
      <c r="I3076" s="908"/>
      <c r="J3076" s="909"/>
      <c r="K3076" s="902"/>
      <c r="L3076" s="896"/>
      <c r="M3076" s="902"/>
      <c r="N3076" s="900" t="s">
        <v>2209</v>
      </c>
    </row>
    <row r="3077" spans="1:14" s="910" customFormat="1" ht="16.5" hidden="1" customHeight="1">
      <c r="A3077" s="896"/>
      <c r="B3077" s="911"/>
      <c r="C3077" s="912">
        <v>1</v>
      </c>
      <c r="D3077" s="913" t="s">
        <v>273</v>
      </c>
      <c r="E3077" s="914">
        <v>1</v>
      </c>
      <c r="F3077" s="915">
        <v>17</v>
      </c>
      <c r="G3077" s="915">
        <v>0</v>
      </c>
      <c r="H3077" s="915">
        <v>0</v>
      </c>
      <c r="I3077" s="916">
        <f>ROUND(IF(AND(F3077:H3077),C3077*E3077*F3077*G3077*H3077,IF(AND(F3077,G3077),C3077*E3077*F3077*G3077,IF(AND(F3077,H3077),C3077*E3077*F3077*H3077,IF(AND(G3077,H3077),C3077*E3077*G3077*H3077,IF(F3077,C3077*E3077*F3077,IF(G3077,C3077*E3077*G3077,IF(H3077,C3077*E3077*H3077,C3077*E3077))))))),2)</f>
        <v>17</v>
      </c>
      <c r="J3077" s="909" t="s">
        <v>277</v>
      </c>
      <c r="K3077" s="902"/>
      <c r="L3077" s="896"/>
      <c r="M3077" s="902"/>
      <c r="N3077" s="900" t="s">
        <v>2209</v>
      </c>
    </row>
    <row r="3078" spans="1:14" s="910" customFormat="1" ht="16.5" hidden="1" customHeight="1">
      <c r="A3078" s="896"/>
      <c r="B3078" s="956"/>
      <c r="C3078" s="957"/>
      <c r="D3078" s="958"/>
      <c r="E3078" s="1268"/>
      <c r="F3078" s="960"/>
      <c r="G3078" s="960"/>
      <c r="H3078" s="960"/>
      <c r="I3078" s="916"/>
      <c r="J3078" s="909"/>
      <c r="K3078" s="902"/>
      <c r="L3078" s="896"/>
      <c r="M3078" s="902"/>
      <c r="N3078" s="900" t="s">
        <v>2209</v>
      </c>
    </row>
    <row r="3079" spans="1:14" ht="15.75" hidden="1">
      <c r="A3079" s="896"/>
      <c r="B3079" s="902"/>
      <c r="C3079" s="917"/>
      <c r="D3079" s="918"/>
      <c r="E3079" s="919"/>
      <c r="F3079" s="920"/>
      <c r="G3079" s="921"/>
      <c r="H3079" s="896"/>
      <c r="I3079" s="916"/>
      <c r="J3079" s="909" t="s">
        <v>277</v>
      </c>
      <c r="K3079" s="922">
        <f>'SANITATION DTA'!G35</f>
        <v>136.66666666666666</v>
      </c>
      <c r="L3079" s="923" t="s">
        <v>2209</v>
      </c>
      <c r="M3079" s="924">
        <f>ROUND(I3079*K3079,0)</f>
        <v>0</v>
      </c>
      <c r="N3079" s="900" t="s">
        <v>2209</v>
      </c>
    </row>
    <row r="3080" spans="1:14" ht="29.25" hidden="1" customHeight="1">
      <c r="A3080" s="896">
        <v>4</v>
      </c>
      <c r="B3080" s="1609" t="s">
        <v>346</v>
      </c>
      <c r="C3080" s="1609"/>
      <c r="D3080" s="1609"/>
      <c r="E3080" s="1609"/>
      <c r="F3080" s="1609"/>
      <c r="G3080" s="1609"/>
      <c r="H3080" s="1609"/>
      <c r="I3080" s="897"/>
      <c r="J3080" s="898"/>
      <c r="K3080" s="896"/>
      <c r="L3080" s="896"/>
      <c r="M3080" s="899"/>
      <c r="N3080" s="900" t="s">
        <v>2209</v>
      </c>
    </row>
    <row r="3081" spans="1:14" s="910" customFormat="1" ht="16.5" hidden="1" customHeight="1">
      <c r="A3081" s="896"/>
      <c r="B3081" s="902" t="s">
        <v>2324</v>
      </c>
      <c r="C3081" s="903"/>
      <c r="D3081" s="904"/>
      <c r="E3081" s="905"/>
      <c r="F3081" s="906"/>
      <c r="G3081" s="906"/>
      <c r="H3081" s="907"/>
      <c r="I3081" s="908"/>
      <c r="J3081" s="909"/>
      <c r="K3081" s="902"/>
      <c r="L3081" s="896"/>
      <c r="M3081" s="902"/>
      <c r="N3081" s="900" t="s">
        <v>2209</v>
      </c>
    </row>
    <row r="3082" spans="1:14" s="910" customFormat="1" ht="16.5" hidden="1" customHeight="1">
      <c r="A3082" s="896"/>
      <c r="B3082" s="911"/>
      <c r="C3082" s="912">
        <v>1</v>
      </c>
      <c r="D3082" s="913" t="s">
        <v>273</v>
      </c>
      <c r="E3082" s="914">
        <v>1</v>
      </c>
      <c r="F3082" s="915">
        <v>18</v>
      </c>
      <c r="G3082" s="915">
        <v>0</v>
      </c>
      <c r="H3082" s="915">
        <v>0</v>
      </c>
      <c r="I3082" s="916">
        <f>ROUND(IF(AND(F3082:H3082),C3082*E3082*F3082*G3082*H3082,IF(AND(F3082,G3082),C3082*E3082*F3082*G3082,IF(AND(F3082,H3082),C3082*E3082*F3082*H3082,IF(AND(G3082,H3082),C3082*E3082*G3082*H3082,IF(F3082,C3082*E3082*F3082,IF(G3082,C3082*E3082*G3082,IF(H3082,C3082*E3082*H3082,C3082*E3082))))))),2)</f>
        <v>18</v>
      </c>
      <c r="J3082" s="909" t="s">
        <v>277</v>
      </c>
      <c r="K3082" s="902"/>
      <c r="L3082" s="896"/>
      <c r="M3082" s="902"/>
      <c r="N3082" s="900" t="s">
        <v>2209</v>
      </c>
    </row>
    <row r="3083" spans="1:14" s="910" customFormat="1" ht="16.5" hidden="1" customHeight="1">
      <c r="A3083" s="896"/>
      <c r="B3083" s="911"/>
      <c r="C3083" s="912"/>
      <c r="D3083" s="913"/>
      <c r="E3083" s="914"/>
      <c r="F3083" s="915"/>
      <c r="G3083" s="915"/>
      <c r="H3083" s="915"/>
      <c r="I3083" s="916"/>
      <c r="J3083" s="909"/>
      <c r="K3083" s="902"/>
      <c r="L3083" s="896"/>
      <c r="M3083" s="902"/>
      <c r="N3083" s="900" t="s">
        <v>2209</v>
      </c>
    </row>
    <row r="3084" spans="1:14" ht="15.75" hidden="1">
      <c r="A3084" s="896"/>
      <c r="B3084" s="902"/>
      <c r="C3084" s="917"/>
      <c r="D3084" s="918"/>
      <c r="E3084" s="919"/>
      <c r="F3084" s="920"/>
      <c r="G3084" s="921"/>
      <c r="H3084" s="896"/>
      <c r="I3084" s="916"/>
      <c r="J3084" s="909" t="s">
        <v>277</v>
      </c>
      <c r="K3084" s="922">
        <f>'SANITATION DTA'!G41</f>
        <v>129.66666666666666</v>
      </c>
      <c r="L3084" s="923" t="s">
        <v>2209</v>
      </c>
      <c r="M3084" s="924">
        <f>ROUND(I3084*K3084,0)</f>
        <v>0</v>
      </c>
      <c r="N3084" s="900" t="s">
        <v>2209</v>
      </c>
    </row>
    <row r="3085" spans="1:14" ht="29.25" hidden="1" customHeight="1">
      <c r="A3085" s="896">
        <v>5</v>
      </c>
      <c r="B3085" s="1609" t="s">
        <v>348</v>
      </c>
      <c r="C3085" s="1609"/>
      <c r="D3085" s="1609"/>
      <c r="E3085" s="1609"/>
      <c r="F3085" s="1609"/>
      <c r="G3085" s="1609"/>
      <c r="H3085" s="1609"/>
      <c r="I3085" s="897"/>
      <c r="J3085" s="898"/>
      <c r="K3085" s="896"/>
      <c r="L3085" s="896"/>
      <c r="M3085" s="899"/>
      <c r="N3085" s="900" t="s">
        <v>2209</v>
      </c>
    </row>
    <row r="3086" spans="1:14" s="910" customFormat="1" ht="16.5" hidden="1" customHeight="1">
      <c r="A3086" s="896"/>
      <c r="B3086" s="902" t="s">
        <v>2341</v>
      </c>
      <c r="C3086" s="903"/>
      <c r="D3086" s="904"/>
      <c r="E3086" s="905"/>
      <c r="F3086" s="906"/>
      <c r="G3086" s="906"/>
      <c r="H3086" s="907"/>
      <c r="I3086" s="908"/>
      <c r="J3086" s="909"/>
      <c r="K3086" s="902"/>
      <c r="L3086" s="896"/>
      <c r="M3086" s="902"/>
      <c r="N3086" s="900" t="s">
        <v>2209</v>
      </c>
    </row>
    <row r="3087" spans="1:14" s="910" customFormat="1" ht="16.5" hidden="1" customHeight="1">
      <c r="A3087" s="896"/>
      <c r="B3087" s="911"/>
      <c r="C3087" s="912">
        <v>1</v>
      </c>
      <c r="D3087" s="913" t="s">
        <v>273</v>
      </c>
      <c r="E3087" s="914">
        <v>1</v>
      </c>
      <c r="F3087" s="1289">
        <v>22</v>
      </c>
      <c r="G3087" s="915">
        <v>0</v>
      </c>
      <c r="H3087" s="915">
        <v>0</v>
      </c>
      <c r="I3087" s="916">
        <f>ROUND(IF(AND(F3087:H3087),C3087*E3087*F3087*G3087*H3087,IF(AND(F3087,G3087),C3087*E3087*F3087*G3087,IF(AND(F3087,H3087),C3087*E3087*F3087*H3087,IF(AND(G3087,H3087),C3087*E3087*G3087*H3087,IF(F3087,C3087*E3087*F3087,IF(G3087,C3087*E3087*G3087,IF(H3087,C3087*E3087*H3087,C3087*E3087))))))),2)</f>
        <v>22</v>
      </c>
      <c r="J3087" s="909" t="s">
        <v>277</v>
      </c>
      <c r="K3087" s="902"/>
      <c r="L3087" s="896"/>
      <c r="M3087" s="902"/>
      <c r="N3087" s="900" t="s">
        <v>2209</v>
      </c>
    </row>
    <row r="3088" spans="1:14" s="910" customFormat="1" ht="16.5" hidden="1" customHeight="1">
      <c r="A3088" s="896"/>
      <c r="B3088" s="956"/>
      <c r="C3088" s="957"/>
      <c r="D3088" s="958"/>
      <c r="E3088" s="1268"/>
      <c r="F3088" s="960"/>
      <c r="G3088" s="960"/>
      <c r="H3088" s="960"/>
      <c r="I3088" s="916"/>
      <c r="J3088" s="909"/>
      <c r="K3088" s="902"/>
      <c r="L3088" s="896"/>
      <c r="M3088" s="902"/>
      <c r="N3088" s="900" t="s">
        <v>2209</v>
      </c>
    </row>
    <row r="3089" spans="1:14" ht="15.75" hidden="1">
      <c r="A3089" s="896"/>
      <c r="B3089" s="902"/>
      <c r="C3089" s="917"/>
      <c r="D3089" s="918"/>
      <c r="E3089" s="919"/>
      <c r="F3089" s="920"/>
      <c r="G3089" s="921"/>
      <c r="H3089" s="896"/>
      <c r="I3089" s="916"/>
      <c r="J3089" s="909" t="s">
        <v>277</v>
      </c>
      <c r="K3089" s="922">
        <f>'SANITATION DTA'!G47</f>
        <v>81.333333333333329</v>
      </c>
      <c r="L3089" s="923" t="s">
        <v>2209</v>
      </c>
      <c r="M3089" s="924">
        <f>ROUND(I3089*K3089,0)</f>
        <v>0</v>
      </c>
      <c r="N3089" s="900" t="s">
        <v>2209</v>
      </c>
    </row>
    <row r="3090" spans="1:14" ht="53.25" hidden="1" customHeight="1">
      <c r="A3090" s="896">
        <v>6</v>
      </c>
      <c r="B3090" s="1609" t="s">
        <v>350</v>
      </c>
      <c r="C3090" s="1609"/>
      <c r="D3090" s="1609"/>
      <c r="E3090" s="1609"/>
      <c r="F3090" s="1609"/>
      <c r="G3090" s="1609"/>
      <c r="H3090" s="1609"/>
      <c r="I3090" s="897"/>
      <c r="J3090" s="898"/>
      <c r="K3090" s="896"/>
      <c r="L3090" s="896"/>
      <c r="M3090" s="899"/>
      <c r="N3090" s="900" t="s">
        <v>2209</v>
      </c>
    </row>
    <row r="3091" spans="1:14" s="910" customFormat="1" ht="16.5" hidden="1" customHeight="1">
      <c r="A3091" s="896"/>
      <c r="B3091" s="902" t="s">
        <v>2341</v>
      </c>
      <c r="C3091" s="903"/>
      <c r="D3091" s="904"/>
      <c r="E3091" s="905"/>
      <c r="F3091" s="906"/>
      <c r="G3091" s="906"/>
      <c r="H3091" s="907"/>
      <c r="I3091" s="908"/>
      <c r="J3091" s="909"/>
      <c r="K3091" s="902"/>
      <c r="L3091" s="896"/>
      <c r="M3091" s="902"/>
      <c r="N3091" s="900" t="s">
        <v>2209</v>
      </c>
    </row>
    <row r="3092" spans="1:14" s="910" customFormat="1" ht="16.5" hidden="1" customHeight="1">
      <c r="A3092" s="896"/>
      <c r="B3092" s="911" t="s">
        <v>425</v>
      </c>
      <c r="C3092" s="912">
        <v>1</v>
      </c>
      <c r="D3092" s="913" t="s">
        <v>273</v>
      </c>
      <c r="E3092" s="914">
        <v>1</v>
      </c>
      <c r="F3092" s="915">
        <f>I3079</f>
        <v>0</v>
      </c>
      <c r="G3092" s="915">
        <v>0</v>
      </c>
      <c r="H3092" s="915">
        <v>0</v>
      </c>
      <c r="I3092" s="916">
        <f>ROUND(IF(AND(F3092:H3092),C3092*E3092*F3092*G3092*H3092,IF(AND(F3092,G3092),C3092*E3092*F3092*G3092,IF(AND(F3092,H3092),C3092*E3092*F3092*H3092,IF(AND(G3092,H3092),C3092*E3092*G3092*H3092,IF(F3092,C3092*E3092*F3092,IF(G3092,C3092*E3092*G3092,IF(H3092,C3092*E3092*H3092,C3092*E3092))))))),2)</f>
        <v>1</v>
      </c>
      <c r="J3092" s="909" t="s">
        <v>277</v>
      </c>
      <c r="K3092" s="902"/>
      <c r="L3092" s="896"/>
      <c r="M3092" s="902"/>
      <c r="N3092" s="900" t="s">
        <v>2209</v>
      </c>
    </row>
    <row r="3093" spans="1:14" s="910" customFormat="1" ht="16.5" hidden="1" customHeight="1">
      <c r="A3093" s="896"/>
      <c r="B3093" s="911" t="s">
        <v>887</v>
      </c>
      <c r="C3093" s="912">
        <v>1</v>
      </c>
      <c r="D3093" s="913" t="s">
        <v>273</v>
      </c>
      <c r="E3093" s="914">
        <v>1</v>
      </c>
      <c r="F3093" s="915">
        <f>I3089</f>
        <v>0</v>
      </c>
      <c r="G3093" s="915">
        <v>0</v>
      </c>
      <c r="H3093" s="915">
        <v>0</v>
      </c>
      <c r="I3093" s="916">
        <f>ROUND(IF(AND(F3093:H3093),C3093*E3093*F3093*G3093*H3093,IF(AND(F3093,G3093),C3093*E3093*F3093*G3093,IF(AND(F3093,H3093),C3093*E3093*F3093*H3093,IF(AND(G3093,H3093),C3093*E3093*G3093*H3093,IF(F3093,C3093*E3093*F3093,IF(G3093,C3093*E3093*G3093,IF(H3093,C3093*E3093*H3093,C3093*E3093))))))),2)</f>
        <v>1</v>
      </c>
      <c r="J3093" s="909" t="s">
        <v>277</v>
      </c>
      <c r="K3093" s="902"/>
      <c r="L3093" s="896"/>
      <c r="M3093" s="902"/>
      <c r="N3093" s="900" t="s">
        <v>2209</v>
      </c>
    </row>
    <row r="3094" spans="1:14" s="910" customFormat="1" ht="16.5" hidden="1" customHeight="1">
      <c r="A3094" s="896"/>
      <c r="B3094" s="956"/>
      <c r="C3094" s="957"/>
      <c r="D3094" s="958"/>
      <c r="E3094" s="1268"/>
      <c r="F3094" s="960"/>
      <c r="G3094" s="960"/>
      <c r="H3094" s="960"/>
      <c r="I3094" s="916"/>
      <c r="J3094" s="909"/>
      <c r="K3094" s="902"/>
      <c r="L3094" s="896"/>
      <c r="M3094" s="902"/>
      <c r="N3094" s="900" t="s">
        <v>2209</v>
      </c>
    </row>
    <row r="3095" spans="1:14" ht="15.75" hidden="1">
      <c r="A3095" s="896"/>
      <c r="B3095" s="902"/>
      <c r="C3095" s="917"/>
      <c r="D3095" s="918"/>
      <c r="E3095" s="919"/>
      <c r="F3095" s="920"/>
      <c r="G3095" s="921"/>
      <c r="H3095" s="896"/>
      <c r="I3095" s="916"/>
      <c r="J3095" s="909" t="s">
        <v>277</v>
      </c>
      <c r="K3095" s="922">
        <f>'SANITATION DTA'!G51</f>
        <v>70</v>
      </c>
      <c r="L3095" s="923" t="s">
        <v>2209</v>
      </c>
      <c r="M3095" s="924">
        <f>ROUND(I3095*K3095,0)</f>
        <v>0</v>
      </c>
      <c r="N3095" s="900" t="s">
        <v>2209</v>
      </c>
    </row>
    <row r="3096" spans="1:14" ht="66" hidden="1" customHeight="1">
      <c r="A3096" s="896">
        <v>7</v>
      </c>
      <c r="B3096" s="1609" t="s">
        <v>328</v>
      </c>
      <c r="C3096" s="1609"/>
      <c r="D3096" s="1609"/>
      <c r="E3096" s="1609"/>
      <c r="F3096" s="1609"/>
      <c r="G3096" s="1609"/>
      <c r="H3096" s="1609"/>
      <c r="I3096" s="897"/>
      <c r="J3096" s="898"/>
      <c r="K3096" s="896"/>
      <c r="L3096" s="896"/>
      <c r="M3096" s="899"/>
      <c r="N3096" s="900" t="s">
        <v>2209</v>
      </c>
    </row>
    <row r="3097" spans="1:14" s="910" customFormat="1" ht="16.5" hidden="1" customHeight="1">
      <c r="A3097" s="896"/>
      <c r="B3097" s="902" t="s">
        <v>2341</v>
      </c>
      <c r="C3097" s="903"/>
      <c r="D3097" s="904"/>
      <c r="E3097" s="905"/>
      <c r="F3097" s="906"/>
      <c r="G3097" s="906"/>
      <c r="H3097" s="907"/>
      <c r="I3097" s="908"/>
      <c r="J3097" s="909"/>
      <c r="K3097" s="902"/>
      <c r="L3097" s="896"/>
      <c r="M3097" s="902"/>
      <c r="N3097" s="900" t="s">
        <v>2209</v>
      </c>
    </row>
    <row r="3098" spans="1:14" s="910" customFormat="1" ht="16.5" hidden="1" customHeight="1">
      <c r="A3098" s="896"/>
      <c r="B3098" s="911" t="s">
        <v>310</v>
      </c>
      <c r="C3098" s="912">
        <v>1</v>
      </c>
      <c r="D3098" s="913" t="s">
        <v>273</v>
      </c>
      <c r="E3098" s="914">
        <v>3</v>
      </c>
      <c r="F3098" s="915">
        <v>0</v>
      </c>
      <c r="G3098" s="915">
        <v>0</v>
      </c>
      <c r="H3098" s="915">
        <v>0</v>
      </c>
      <c r="I3098" s="1291">
        <f>ROUND(IF(AND(F3098:H3098),C3098*E3098*F3098*G3098*H3098,IF(AND(F3098,G3098),C3098*E3098*F3098*G3098,IF(AND(F3098,H3098),C3098*E3098*F3098*H3098,IF(AND(G3098,H3098),C3098*E3098*G3098*H3098,IF(F3098,C3098*E3098*F3098,IF(G3098,C3098*E3098*G3098,IF(H3098,C3098*E3098*H3098,C3098*E3098))))))),2)</f>
        <v>3</v>
      </c>
      <c r="J3098" s="909" t="s">
        <v>115</v>
      </c>
      <c r="K3098" s="902"/>
      <c r="L3098" s="896"/>
      <c r="M3098" s="902"/>
      <c r="N3098" s="900" t="s">
        <v>2209</v>
      </c>
    </row>
    <row r="3099" spans="1:14" s="910" customFormat="1" ht="16.5" hidden="1" customHeight="1">
      <c r="A3099" s="896"/>
      <c r="B3099" s="956"/>
      <c r="C3099" s="957"/>
      <c r="D3099" s="958"/>
      <c r="E3099" s="1268"/>
      <c r="F3099" s="960"/>
      <c r="G3099" s="960"/>
      <c r="H3099" s="960"/>
      <c r="I3099" s="1291"/>
      <c r="J3099" s="909"/>
      <c r="K3099" s="902"/>
      <c r="L3099" s="896"/>
      <c r="M3099" s="902"/>
      <c r="N3099" s="900" t="s">
        <v>2209</v>
      </c>
    </row>
    <row r="3100" spans="1:14" ht="15.75" hidden="1">
      <c r="A3100" s="896"/>
      <c r="B3100" s="902"/>
      <c r="C3100" s="917"/>
      <c r="D3100" s="918"/>
      <c r="E3100" s="919"/>
      <c r="F3100" s="920"/>
      <c r="G3100" s="921"/>
      <c r="H3100" s="896"/>
      <c r="I3100" s="1291"/>
      <c r="J3100" s="909" t="s">
        <v>115</v>
      </c>
      <c r="K3100" s="922">
        <f>'SANITATION DTA'!G11</f>
        <v>4776</v>
      </c>
      <c r="L3100" s="923" t="s">
        <v>2209</v>
      </c>
      <c r="M3100" s="924">
        <f>ROUND(I3100*K3100,0)</f>
        <v>0</v>
      </c>
      <c r="N3100" s="900" t="s">
        <v>2209</v>
      </c>
    </row>
    <row r="3101" spans="1:14" ht="36" hidden="1" customHeight="1">
      <c r="A3101" s="896">
        <v>8</v>
      </c>
      <c r="B3101" s="1609" t="s">
        <v>608</v>
      </c>
      <c r="C3101" s="1609"/>
      <c r="D3101" s="1609"/>
      <c r="E3101" s="1609"/>
      <c r="F3101" s="1609"/>
      <c r="G3101" s="1609"/>
      <c r="H3101" s="1609"/>
      <c r="I3101" s="897"/>
      <c r="J3101" s="898"/>
      <c r="K3101" s="896"/>
      <c r="L3101" s="896"/>
      <c r="M3101" s="899"/>
      <c r="N3101" s="900" t="s">
        <v>2209</v>
      </c>
    </row>
    <row r="3102" spans="1:14" s="910" customFormat="1" ht="16.5" hidden="1" customHeight="1">
      <c r="A3102" s="896"/>
      <c r="B3102" s="980" t="s">
        <v>607</v>
      </c>
      <c r="C3102" s="903"/>
      <c r="D3102" s="904"/>
      <c r="E3102" s="905"/>
      <c r="F3102" s="906"/>
      <c r="G3102" s="906"/>
      <c r="H3102" s="907"/>
      <c r="I3102" s="908"/>
      <c r="J3102" s="909"/>
      <c r="K3102" s="902"/>
      <c r="L3102" s="896"/>
      <c r="M3102" s="902"/>
      <c r="N3102" s="900" t="s">
        <v>2209</v>
      </c>
    </row>
    <row r="3103" spans="1:14" s="910" customFormat="1" ht="16.5" hidden="1" customHeight="1">
      <c r="A3103" s="896"/>
      <c r="B3103" s="956" t="s">
        <v>310</v>
      </c>
      <c r="C3103" s="957">
        <v>1</v>
      </c>
      <c r="D3103" s="958" t="s">
        <v>273</v>
      </c>
      <c r="E3103" s="1268">
        <v>1</v>
      </c>
      <c r="F3103" s="960">
        <v>0</v>
      </c>
      <c r="G3103" s="960">
        <v>0</v>
      </c>
      <c r="H3103" s="960">
        <v>0</v>
      </c>
      <c r="I3103" s="1291">
        <f>ROUND(IF(AND(F3103:H3103),C3103*E3103*F3103*G3103*H3103,IF(AND(F3103,G3103),C3103*E3103*F3103*G3103,IF(AND(F3103,H3103),C3103*E3103*F3103*H3103,IF(AND(G3103,H3103),C3103*E3103*G3103*H3103,IF(F3103,C3103*E3103*F3103,IF(G3103,C3103*E3103*G3103,IF(H3103,C3103*E3103*H3103,C3103*E3103))))))),2)</f>
        <v>1</v>
      </c>
      <c r="J3103" s="909" t="s">
        <v>115</v>
      </c>
      <c r="K3103" s="902"/>
      <c r="L3103" s="896"/>
      <c r="M3103" s="902"/>
      <c r="N3103" s="900" t="s">
        <v>2209</v>
      </c>
    </row>
    <row r="3104" spans="1:14" s="910" customFormat="1" ht="16.5" hidden="1" customHeight="1">
      <c r="A3104" s="896"/>
      <c r="B3104" s="956"/>
      <c r="C3104" s="957"/>
      <c r="D3104" s="958"/>
      <c r="E3104" s="1268"/>
      <c r="F3104" s="960"/>
      <c r="G3104" s="960"/>
      <c r="H3104" s="960"/>
      <c r="I3104" s="1291"/>
      <c r="J3104" s="909"/>
      <c r="K3104" s="902"/>
      <c r="L3104" s="896"/>
      <c r="M3104" s="902"/>
      <c r="N3104" s="900" t="s">
        <v>2209</v>
      </c>
    </row>
    <row r="3105" spans="1:14" ht="15.75" hidden="1">
      <c r="A3105" s="896"/>
      <c r="B3105" s="902"/>
      <c r="C3105" s="917"/>
      <c r="D3105" s="918"/>
      <c r="E3105" s="919"/>
      <c r="F3105" s="920"/>
      <c r="G3105" s="921"/>
      <c r="H3105" s="896"/>
      <c r="I3105" s="1291"/>
      <c r="J3105" s="909" t="s">
        <v>115</v>
      </c>
      <c r="K3105" s="922">
        <f>'SANITATION DTA'!G14</f>
        <v>934</v>
      </c>
      <c r="L3105" s="923" t="s">
        <v>2209</v>
      </c>
      <c r="M3105" s="924">
        <f>ROUND(I3105*K3105,0)</f>
        <v>0</v>
      </c>
      <c r="N3105" s="900" t="s">
        <v>2209</v>
      </c>
    </row>
    <row r="3106" spans="1:14" ht="57" hidden="1" customHeight="1">
      <c r="A3106" s="896">
        <v>8</v>
      </c>
      <c r="B3106" s="1609" t="s">
        <v>1253</v>
      </c>
      <c r="C3106" s="1609"/>
      <c r="D3106" s="1609"/>
      <c r="E3106" s="1609"/>
      <c r="F3106" s="1609"/>
      <c r="G3106" s="1609"/>
      <c r="H3106" s="1609"/>
      <c r="I3106" s="897"/>
      <c r="J3106" s="898"/>
      <c r="K3106" s="896"/>
      <c r="L3106" s="896"/>
      <c r="M3106" s="899"/>
      <c r="N3106" s="900" t="s">
        <v>2209</v>
      </c>
    </row>
    <row r="3107" spans="1:14" s="910" customFormat="1" ht="16.5" hidden="1" customHeight="1">
      <c r="A3107" s="896"/>
      <c r="B3107" s="902" t="s">
        <v>2341</v>
      </c>
      <c r="C3107" s="903"/>
      <c r="D3107" s="904"/>
      <c r="E3107" s="905"/>
      <c r="F3107" s="906"/>
      <c r="G3107" s="906"/>
      <c r="H3107" s="907"/>
      <c r="I3107" s="908"/>
      <c r="J3107" s="909"/>
      <c r="K3107" s="902"/>
      <c r="L3107" s="896"/>
      <c r="M3107" s="902"/>
      <c r="N3107" s="900" t="s">
        <v>2209</v>
      </c>
    </row>
    <row r="3108" spans="1:14" s="910" customFormat="1" ht="16.5" hidden="1" customHeight="1">
      <c r="A3108" s="896"/>
      <c r="B3108" s="956" t="s">
        <v>688</v>
      </c>
      <c r="C3108" s="957">
        <v>1</v>
      </c>
      <c r="D3108" s="958" t="s">
        <v>273</v>
      </c>
      <c r="E3108" s="1268">
        <v>1</v>
      </c>
      <c r="F3108" s="960">
        <v>0</v>
      </c>
      <c r="G3108" s="960">
        <v>0</v>
      </c>
      <c r="H3108" s="960">
        <v>0</v>
      </c>
      <c r="I3108" s="1291">
        <f>ROUND(IF(AND(F3108:H3108),C3108*E3108*F3108*G3108*H3108,IF(AND(F3108,G3108),C3108*E3108*F3108*G3108,IF(AND(F3108,H3108),C3108*E3108*F3108*H3108,IF(AND(G3108,H3108),C3108*E3108*G3108*H3108,IF(F3108,C3108*E3108*F3108,IF(G3108,C3108*E3108*G3108,IF(H3108,C3108*E3108*H3108,C3108*E3108))))))),2)</f>
        <v>1</v>
      </c>
      <c r="J3108" s="909" t="s">
        <v>115</v>
      </c>
      <c r="K3108" s="902"/>
      <c r="L3108" s="896"/>
      <c r="M3108" s="902"/>
      <c r="N3108" s="900" t="s">
        <v>2209</v>
      </c>
    </row>
    <row r="3109" spans="1:14" s="910" customFormat="1" ht="16.5" hidden="1" customHeight="1">
      <c r="A3109" s="896"/>
      <c r="B3109" s="956"/>
      <c r="C3109" s="957"/>
      <c r="D3109" s="958"/>
      <c r="E3109" s="1268"/>
      <c r="F3109" s="960"/>
      <c r="G3109" s="960"/>
      <c r="H3109" s="960"/>
      <c r="I3109" s="1291"/>
      <c r="J3109" s="909"/>
      <c r="K3109" s="902"/>
      <c r="L3109" s="896"/>
      <c r="M3109" s="902"/>
      <c r="N3109" s="900" t="s">
        <v>2209</v>
      </c>
    </row>
    <row r="3110" spans="1:14" ht="15.75" hidden="1">
      <c r="A3110" s="896"/>
      <c r="B3110" s="902"/>
      <c r="C3110" s="917"/>
      <c r="D3110" s="918"/>
      <c r="E3110" s="919"/>
      <c r="F3110" s="920"/>
      <c r="G3110" s="921"/>
      <c r="H3110" s="896"/>
      <c r="I3110" s="1291"/>
      <c r="J3110" s="909" t="s">
        <v>115</v>
      </c>
      <c r="K3110" s="922">
        <f>'SANITATION DTA'!G17</f>
        <v>2385</v>
      </c>
      <c r="L3110" s="923" t="s">
        <v>2209</v>
      </c>
      <c r="M3110" s="924">
        <f>ROUND(I3110*K3110,0)</f>
        <v>0</v>
      </c>
      <c r="N3110" s="900" t="s">
        <v>2209</v>
      </c>
    </row>
    <row r="3111" spans="1:14" ht="132.75" hidden="1" customHeight="1">
      <c r="A3111" s="896">
        <v>9</v>
      </c>
      <c r="B3111" s="1609" t="s">
        <v>333</v>
      </c>
      <c r="C3111" s="1609"/>
      <c r="D3111" s="1609"/>
      <c r="E3111" s="1609"/>
      <c r="F3111" s="1609"/>
      <c r="G3111" s="1609"/>
      <c r="H3111" s="1609"/>
      <c r="I3111" s="897"/>
      <c r="J3111" s="898"/>
      <c r="K3111" s="896"/>
      <c r="L3111" s="896"/>
      <c r="M3111" s="899"/>
      <c r="N3111" s="900" t="s">
        <v>2209</v>
      </c>
    </row>
    <row r="3112" spans="1:14" s="910" customFormat="1" ht="16.5" hidden="1" customHeight="1">
      <c r="A3112" s="896"/>
      <c r="B3112" s="902" t="s">
        <v>2341</v>
      </c>
      <c r="C3112" s="903"/>
      <c r="D3112" s="904"/>
      <c r="E3112" s="905"/>
      <c r="F3112" s="906"/>
      <c r="G3112" s="906"/>
      <c r="H3112" s="907"/>
      <c r="I3112" s="908"/>
      <c r="J3112" s="909"/>
      <c r="K3112" s="902"/>
      <c r="L3112" s="896"/>
      <c r="M3112" s="902"/>
      <c r="N3112" s="900" t="s">
        <v>2209</v>
      </c>
    </row>
    <row r="3113" spans="1:14" s="910" customFormat="1" ht="16.5" hidden="1" customHeight="1">
      <c r="A3113" s="896"/>
      <c r="B3113" s="911"/>
      <c r="C3113" s="912">
        <v>1</v>
      </c>
      <c r="D3113" s="913" t="s">
        <v>273</v>
      </c>
      <c r="E3113" s="914">
        <v>3</v>
      </c>
      <c r="F3113" s="915">
        <v>0</v>
      </c>
      <c r="G3113" s="915">
        <v>0</v>
      </c>
      <c r="H3113" s="915">
        <v>0</v>
      </c>
      <c r="I3113" s="1291">
        <f>ROUND(IF(AND(F3113:H3113),C3113*E3113*F3113*G3113*H3113,IF(AND(F3113,G3113),C3113*E3113*F3113*G3113,IF(AND(F3113,H3113),C3113*E3113*F3113*H3113,IF(AND(G3113,H3113),C3113*E3113*G3113*H3113,IF(F3113,C3113*E3113*F3113,IF(G3113,C3113*E3113*G3113,IF(H3113,C3113*E3113*H3113,C3113*E3113))))))),2)</f>
        <v>3</v>
      </c>
      <c r="J3113" s="909" t="s">
        <v>115</v>
      </c>
      <c r="K3113" s="902"/>
      <c r="L3113" s="896"/>
      <c r="M3113" s="902"/>
      <c r="N3113" s="900" t="s">
        <v>2209</v>
      </c>
    </row>
    <row r="3114" spans="1:14" s="910" customFormat="1" ht="16.5" hidden="1" customHeight="1">
      <c r="A3114" s="896"/>
      <c r="B3114" s="911"/>
      <c r="C3114" s="912"/>
      <c r="D3114" s="913"/>
      <c r="E3114" s="914"/>
      <c r="F3114" s="915"/>
      <c r="G3114" s="915"/>
      <c r="H3114" s="915"/>
      <c r="I3114" s="1291"/>
      <c r="J3114" s="909"/>
      <c r="K3114" s="902"/>
      <c r="L3114" s="896"/>
      <c r="M3114" s="902"/>
      <c r="N3114" s="900" t="s">
        <v>2209</v>
      </c>
    </row>
    <row r="3115" spans="1:14" ht="15.75" hidden="1">
      <c r="A3115" s="896"/>
      <c r="B3115" s="902"/>
      <c r="C3115" s="917"/>
      <c r="D3115" s="918"/>
      <c r="E3115" s="919"/>
      <c r="F3115" s="920"/>
      <c r="G3115" s="921"/>
      <c r="H3115" s="896"/>
      <c r="I3115" s="1291"/>
      <c r="J3115" s="909" t="s">
        <v>115</v>
      </c>
      <c r="K3115" s="922">
        <f>'SANITATION DTA'!G25</f>
        <v>1827</v>
      </c>
      <c r="L3115" s="923" t="s">
        <v>2209</v>
      </c>
      <c r="M3115" s="924">
        <f>ROUND(I3115*K3115,0)</f>
        <v>0</v>
      </c>
      <c r="N3115" s="900" t="s">
        <v>2209</v>
      </c>
    </row>
    <row r="3116" spans="1:14" ht="21.75" hidden="1" customHeight="1">
      <c r="A3116" s="896">
        <v>10</v>
      </c>
      <c r="B3116" s="1612" t="s">
        <v>718</v>
      </c>
      <c r="C3116" s="1613"/>
      <c r="D3116" s="1613"/>
      <c r="E3116" s="1613"/>
      <c r="F3116" s="1613"/>
      <c r="G3116" s="1613"/>
      <c r="H3116" s="1614"/>
      <c r="I3116" s="1291"/>
      <c r="J3116" s="898"/>
      <c r="K3116" s="896"/>
      <c r="L3116" s="896"/>
      <c r="M3116" s="899"/>
      <c r="N3116" s="900" t="s">
        <v>2209</v>
      </c>
    </row>
    <row r="3117" spans="1:14" s="910" customFormat="1" ht="16.5" hidden="1" customHeight="1">
      <c r="A3117" s="896"/>
      <c r="B3117" s="902" t="s">
        <v>2341</v>
      </c>
      <c r="C3117" s="903"/>
      <c r="D3117" s="904"/>
      <c r="E3117" s="905"/>
      <c r="F3117" s="906"/>
      <c r="G3117" s="906"/>
      <c r="H3117" s="907"/>
      <c r="I3117" s="1302"/>
      <c r="J3117" s="909"/>
      <c r="K3117" s="902"/>
      <c r="L3117" s="896"/>
      <c r="M3117" s="902"/>
      <c r="N3117" s="900" t="s">
        <v>2209</v>
      </c>
    </row>
    <row r="3118" spans="1:14" s="910" customFormat="1" ht="16.5" hidden="1" customHeight="1">
      <c r="A3118" s="896"/>
      <c r="B3118" s="956"/>
      <c r="C3118" s="957">
        <v>1</v>
      </c>
      <c r="D3118" s="958" t="s">
        <v>273</v>
      </c>
      <c r="E3118" s="1268">
        <v>3</v>
      </c>
      <c r="F3118" s="960">
        <v>0</v>
      </c>
      <c r="G3118" s="960">
        <v>0</v>
      </c>
      <c r="H3118" s="960">
        <v>0</v>
      </c>
      <c r="I3118" s="1291">
        <f>ROUND(IF(AND(F3118:H3118),C3118*E3118*F3118*G3118*H3118,IF(AND(F3118,G3118),C3118*E3118*F3118*G3118,IF(AND(F3118,H3118),C3118*E3118*F3118*H3118,IF(AND(G3118,H3118),C3118*E3118*G3118*H3118,IF(F3118,C3118*E3118*F3118,IF(G3118,C3118*E3118*G3118,IF(H3118,C3118*E3118*H3118,C3118*E3118))))))),2)</f>
        <v>3</v>
      </c>
      <c r="J3118" s="909" t="s">
        <v>115</v>
      </c>
      <c r="K3118" s="902"/>
      <c r="L3118" s="896"/>
      <c r="M3118" s="902"/>
      <c r="N3118" s="900" t="s">
        <v>2209</v>
      </c>
    </row>
    <row r="3119" spans="1:14" s="910" customFormat="1" ht="16.5" hidden="1" customHeight="1">
      <c r="A3119" s="896"/>
      <c r="B3119" s="956"/>
      <c r="C3119" s="957"/>
      <c r="D3119" s="958"/>
      <c r="E3119" s="1268"/>
      <c r="F3119" s="960"/>
      <c r="G3119" s="960"/>
      <c r="H3119" s="960"/>
      <c r="I3119" s="1291"/>
      <c r="J3119" s="909"/>
      <c r="K3119" s="902"/>
      <c r="L3119" s="896"/>
      <c r="M3119" s="902"/>
      <c r="N3119" s="900" t="s">
        <v>2209</v>
      </c>
    </row>
    <row r="3120" spans="1:14" ht="15.75" hidden="1">
      <c r="A3120" s="896"/>
      <c r="B3120" s="902"/>
      <c r="C3120" s="917"/>
      <c r="D3120" s="918"/>
      <c r="E3120" s="919"/>
      <c r="F3120" s="920"/>
      <c r="G3120" s="921"/>
      <c r="H3120" s="896"/>
      <c r="I3120" s="1291"/>
      <c r="J3120" s="909" t="s">
        <v>115</v>
      </c>
      <c r="K3120" s="922">
        <f>'SANITATION DTA'!G152</f>
        <v>122</v>
      </c>
      <c r="L3120" s="923" t="s">
        <v>2209</v>
      </c>
      <c r="M3120" s="924">
        <f>ROUND(I3120*K3120,0)</f>
        <v>0</v>
      </c>
      <c r="N3120" s="900" t="s">
        <v>2209</v>
      </c>
    </row>
    <row r="3121" spans="1:14" ht="58.5" hidden="1" customHeight="1">
      <c r="A3121" s="896">
        <v>11</v>
      </c>
      <c r="B3121" s="1609" t="s">
        <v>290</v>
      </c>
      <c r="C3121" s="1609"/>
      <c r="D3121" s="1609"/>
      <c r="E3121" s="1609"/>
      <c r="F3121" s="1609"/>
      <c r="G3121" s="1609"/>
      <c r="H3121" s="1609"/>
      <c r="I3121" s="897"/>
      <c r="J3121" s="898"/>
      <c r="K3121" s="896"/>
      <c r="L3121" s="896"/>
      <c r="M3121" s="899"/>
      <c r="N3121" s="900" t="s">
        <v>2209</v>
      </c>
    </row>
    <row r="3122" spans="1:14" s="910" customFormat="1" ht="16.5" hidden="1" customHeight="1">
      <c r="A3122" s="896"/>
      <c r="B3122" s="902" t="s">
        <v>2341</v>
      </c>
      <c r="C3122" s="903"/>
      <c r="D3122" s="904"/>
      <c r="E3122" s="905"/>
      <c r="F3122" s="906"/>
      <c r="G3122" s="906"/>
      <c r="H3122" s="907"/>
      <c r="I3122" s="908"/>
      <c r="J3122" s="909"/>
      <c r="K3122" s="902"/>
      <c r="L3122" s="896"/>
      <c r="M3122" s="902"/>
      <c r="N3122" s="900" t="s">
        <v>2209</v>
      </c>
    </row>
    <row r="3123" spans="1:14" s="910" customFormat="1" ht="16.5" hidden="1" customHeight="1">
      <c r="A3123" s="896"/>
      <c r="B3123" s="911"/>
      <c r="C3123" s="912">
        <v>1</v>
      </c>
      <c r="D3123" s="913" t="s">
        <v>273</v>
      </c>
      <c r="E3123" s="914">
        <v>1</v>
      </c>
      <c r="F3123" s="1305">
        <v>1000</v>
      </c>
      <c r="G3123" s="915">
        <v>0</v>
      </c>
      <c r="H3123" s="915">
        <v>0</v>
      </c>
      <c r="I3123" s="916">
        <f>ROUND(IF(AND(F3123:H3123),C3123*E3123*F3123*G3123*H3123,IF(AND(F3123,G3123),C3123*E3123*F3123*G3123,IF(AND(F3123,H3123),C3123*E3123*F3123*H3123,IF(AND(G3123,H3123),C3123*E3123*G3123*H3123,IF(F3123,C3123*E3123*F3123,IF(G3123,C3123*E3123*G3123,IF(H3123,C3123*E3123*H3123,C3123*E3123))))))),2)</f>
        <v>1000</v>
      </c>
      <c r="J3123" s="909" t="s">
        <v>291</v>
      </c>
      <c r="K3123" s="902"/>
      <c r="L3123" s="896"/>
      <c r="M3123" s="902"/>
      <c r="N3123" s="900" t="s">
        <v>2209</v>
      </c>
    </row>
    <row r="3124" spans="1:14" s="910" customFormat="1" ht="16.5" hidden="1" customHeight="1">
      <c r="A3124" s="896"/>
      <c r="B3124" s="911"/>
      <c r="C3124" s="912"/>
      <c r="D3124" s="913"/>
      <c r="E3124" s="914"/>
      <c r="F3124" s="1305"/>
      <c r="G3124" s="915"/>
      <c r="H3124" s="915"/>
      <c r="I3124" s="916"/>
      <c r="J3124" s="909"/>
      <c r="K3124" s="902"/>
      <c r="L3124" s="896"/>
      <c r="M3124" s="902"/>
      <c r="N3124" s="900" t="s">
        <v>2209</v>
      </c>
    </row>
    <row r="3125" spans="1:14" ht="15.75" hidden="1">
      <c r="A3125" s="896"/>
      <c r="B3125" s="902"/>
      <c r="C3125" s="917"/>
      <c r="D3125" s="918"/>
      <c r="E3125" s="919"/>
      <c r="F3125" s="920"/>
      <c r="G3125" s="921"/>
      <c r="H3125" s="896"/>
      <c r="I3125" s="916"/>
      <c r="J3125" s="909" t="s">
        <v>291</v>
      </c>
      <c r="K3125" s="922">
        <f>'SANITATION DTA'!G69</f>
        <v>6</v>
      </c>
      <c r="L3125" s="923" t="s">
        <v>2209</v>
      </c>
      <c r="M3125" s="924">
        <f>ROUND(I3125*K3125,0)</f>
        <v>0</v>
      </c>
      <c r="N3125" s="900" t="s">
        <v>2209</v>
      </c>
    </row>
    <row r="3126" spans="1:14" ht="146.25" hidden="1" customHeight="1">
      <c r="A3126" s="896">
        <v>7</v>
      </c>
      <c r="B3126" s="1609" t="s">
        <v>448</v>
      </c>
      <c r="C3126" s="1609"/>
      <c r="D3126" s="1609"/>
      <c r="E3126" s="1609"/>
      <c r="F3126" s="1609"/>
      <c r="G3126" s="1609"/>
      <c r="H3126" s="1609"/>
      <c r="I3126" s="897"/>
      <c r="J3126" s="898"/>
      <c r="K3126" s="896"/>
      <c r="L3126" s="896"/>
      <c r="M3126" s="899"/>
      <c r="N3126" s="900" t="s">
        <v>2209</v>
      </c>
    </row>
    <row r="3127" spans="1:14" s="910" customFormat="1" ht="16.5" hidden="1" customHeight="1">
      <c r="A3127" s="896"/>
      <c r="B3127" s="902" t="s">
        <v>3580</v>
      </c>
      <c r="C3127" s="903"/>
      <c r="D3127" s="1280" t="s">
        <v>3246</v>
      </c>
      <c r="E3127" s="905"/>
      <c r="F3127" s="906"/>
      <c r="G3127" s="906"/>
      <c r="H3127" s="907"/>
      <c r="I3127" s="908"/>
      <c r="J3127" s="909"/>
      <c r="K3127" s="902"/>
      <c r="L3127" s="896"/>
      <c r="M3127" s="902"/>
      <c r="N3127" s="900" t="s">
        <v>2209</v>
      </c>
    </row>
    <row r="3128" spans="1:14" s="910" customFormat="1" ht="16.5" hidden="1" customHeight="1">
      <c r="A3128" s="896"/>
      <c r="B3128" s="911" t="s">
        <v>588</v>
      </c>
      <c r="C3128" s="912">
        <v>1</v>
      </c>
      <c r="D3128" s="913" t="s">
        <v>273</v>
      </c>
      <c r="E3128" s="914">
        <v>1</v>
      </c>
      <c r="F3128" s="1305">
        <v>90</v>
      </c>
      <c r="G3128" s="915">
        <v>0</v>
      </c>
      <c r="H3128" s="915">
        <v>0</v>
      </c>
      <c r="I3128" s="916"/>
      <c r="J3128" s="909" t="s">
        <v>277</v>
      </c>
      <c r="K3128" s="969">
        <f>'SANITATION DTA'!G108</f>
        <v>446.4</v>
      </c>
      <c r="L3128" s="923" t="s">
        <v>2209</v>
      </c>
      <c r="M3128" s="924">
        <f>ROUND(I3128*K3128,0)</f>
        <v>0</v>
      </c>
      <c r="N3128" s="900" t="s">
        <v>2209</v>
      </c>
    </row>
    <row r="3129" spans="1:14" s="910" customFormat="1" ht="16.5" hidden="1" customHeight="1">
      <c r="A3129" s="896"/>
      <c r="B3129" s="911" t="s">
        <v>589</v>
      </c>
      <c r="C3129" s="912">
        <v>1</v>
      </c>
      <c r="D3129" s="913" t="s">
        <v>273</v>
      </c>
      <c r="E3129" s="914">
        <v>1</v>
      </c>
      <c r="F3129" s="1305">
        <v>30</v>
      </c>
      <c r="G3129" s="915">
        <v>0</v>
      </c>
      <c r="H3129" s="915">
        <v>0</v>
      </c>
      <c r="I3129" s="916"/>
      <c r="J3129" s="909" t="s">
        <v>277</v>
      </c>
      <c r="K3129" s="969">
        <f>'SANITATION DTA'!G110</f>
        <v>477.6</v>
      </c>
      <c r="L3129" s="923" t="s">
        <v>2209</v>
      </c>
      <c r="M3129" s="924">
        <f>ROUND(I3129*K3129,0)</f>
        <v>0</v>
      </c>
      <c r="N3129" s="900" t="s">
        <v>2209</v>
      </c>
    </row>
    <row r="3130" spans="1:14" s="910" customFormat="1" ht="16.5" hidden="1" customHeight="1">
      <c r="A3130" s="896"/>
      <c r="B3130" s="956" t="s">
        <v>590</v>
      </c>
      <c r="C3130" s="957">
        <v>1</v>
      </c>
      <c r="D3130" s="958" t="s">
        <v>273</v>
      </c>
      <c r="E3130" s="1268">
        <v>1</v>
      </c>
      <c r="F3130" s="1306">
        <v>60</v>
      </c>
      <c r="G3130" s="960">
        <v>0</v>
      </c>
      <c r="H3130" s="960">
        <v>0</v>
      </c>
      <c r="I3130" s="916"/>
      <c r="J3130" s="909" t="s">
        <v>277</v>
      </c>
      <c r="K3130" s="969">
        <f>'SANITATION DTA'!G112</f>
        <v>600</v>
      </c>
      <c r="L3130" s="923" t="s">
        <v>2209</v>
      </c>
      <c r="M3130" s="924">
        <f>ROUND(I3130*K3130,0)</f>
        <v>0</v>
      </c>
      <c r="N3130" s="900" t="s">
        <v>2209</v>
      </c>
    </row>
    <row r="3131" spans="1:14" ht="15.75" hidden="1">
      <c r="A3131" s="896"/>
      <c r="B3131" s="902"/>
      <c r="C3131" s="917"/>
      <c r="D3131" s="918"/>
      <c r="E3131" s="919"/>
      <c r="F3131" s="920"/>
      <c r="G3131" s="921"/>
      <c r="H3131" s="896"/>
      <c r="I3131" s="916"/>
      <c r="J3131" s="909"/>
      <c r="K3131" s="922"/>
      <c r="L3131" s="922"/>
      <c r="M3131" s="924"/>
      <c r="N3131" s="900" t="s">
        <v>2209</v>
      </c>
    </row>
    <row r="3132" spans="1:14" ht="43.5" hidden="1" customHeight="1">
      <c r="A3132" s="896">
        <v>8</v>
      </c>
      <c r="B3132" s="1609" t="s">
        <v>449</v>
      </c>
      <c r="C3132" s="1609"/>
      <c r="D3132" s="1609"/>
      <c r="E3132" s="1609"/>
      <c r="F3132" s="1609"/>
      <c r="G3132" s="1609"/>
      <c r="H3132" s="1609"/>
      <c r="I3132" s="897"/>
      <c r="J3132" s="898"/>
      <c r="K3132" s="896"/>
      <c r="L3132" s="896"/>
      <c r="M3132" s="899"/>
      <c r="N3132" s="900" t="s">
        <v>2209</v>
      </c>
    </row>
    <row r="3133" spans="1:14" s="910" customFormat="1" ht="16.5" hidden="1" customHeight="1">
      <c r="A3133" s="896"/>
      <c r="B3133" s="902" t="s">
        <v>3580</v>
      </c>
      <c r="C3133" s="903"/>
      <c r="D3133" s="1280" t="s">
        <v>3246</v>
      </c>
      <c r="E3133" s="905"/>
      <c r="F3133" s="906"/>
      <c r="G3133" s="906"/>
      <c r="H3133" s="907"/>
      <c r="I3133" s="908"/>
      <c r="J3133" s="909"/>
      <c r="K3133" s="902"/>
      <c r="L3133" s="896"/>
      <c r="M3133" s="902"/>
      <c r="N3133" s="900" t="s">
        <v>2209</v>
      </c>
    </row>
    <row r="3134" spans="1:14" s="910" customFormat="1" ht="16.5" hidden="1" customHeight="1">
      <c r="A3134" s="896"/>
      <c r="B3134" s="911"/>
      <c r="C3134" s="912">
        <v>1</v>
      </c>
      <c r="D3134" s="913" t="s">
        <v>273</v>
      </c>
      <c r="E3134" s="914">
        <v>1</v>
      </c>
      <c r="F3134" s="1289">
        <v>18</v>
      </c>
      <c r="G3134" s="915">
        <v>0</v>
      </c>
      <c r="H3134" s="915">
        <v>0</v>
      </c>
      <c r="I3134" s="916">
        <f>ROUND(IF(AND(F3134:H3134),C3134*E3134*F3134*G3134*H3134,IF(AND(F3134,G3134),C3134*E3134*F3134*G3134,IF(AND(F3134,H3134),C3134*E3134*F3134*H3134,IF(AND(G3134,H3134),C3134*E3134*G3134*H3134,IF(F3134,C3134*E3134*F3134,IF(G3134,C3134*E3134*G3134,IF(H3134,C3134*E3134*H3134,C3134*E3134))))))),2)</f>
        <v>18</v>
      </c>
      <c r="J3134" s="909" t="s">
        <v>277</v>
      </c>
      <c r="K3134" s="902"/>
      <c r="L3134" s="896"/>
      <c r="M3134" s="902"/>
      <c r="N3134" s="900" t="s">
        <v>2209</v>
      </c>
    </row>
    <row r="3135" spans="1:14" s="910" customFormat="1" ht="16.5" hidden="1" customHeight="1">
      <c r="A3135" s="896"/>
      <c r="B3135" s="911"/>
      <c r="C3135" s="912"/>
      <c r="D3135" s="913"/>
      <c r="E3135" s="914"/>
      <c r="F3135" s="1289"/>
      <c r="G3135" s="915"/>
      <c r="H3135" s="915"/>
      <c r="I3135" s="916"/>
      <c r="J3135" s="909"/>
      <c r="K3135" s="902"/>
      <c r="L3135" s="896"/>
      <c r="M3135" s="902"/>
      <c r="N3135" s="900" t="s">
        <v>2209</v>
      </c>
    </row>
    <row r="3136" spans="1:14" ht="15.75" hidden="1">
      <c r="A3136" s="896"/>
      <c r="B3136" s="902"/>
      <c r="C3136" s="917"/>
      <c r="D3136" s="918"/>
      <c r="E3136" s="919"/>
      <c r="F3136" s="920"/>
      <c r="G3136" s="921"/>
      <c r="H3136" s="896"/>
      <c r="I3136" s="916"/>
      <c r="J3136" s="909" t="s">
        <v>277</v>
      </c>
      <c r="K3136" s="922">
        <f>'SANITATION DTA'!G127</f>
        <v>325</v>
      </c>
      <c r="L3136" s="923" t="s">
        <v>2209</v>
      </c>
      <c r="M3136" s="924">
        <f>ROUND(I3136*K3136,0)</f>
        <v>0</v>
      </c>
      <c r="N3136" s="900" t="s">
        <v>2209</v>
      </c>
    </row>
    <row r="3137" spans="1:17" s="1310" customFormat="1" ht="99.75" hidden="1" customHeight="1">
      <c r="A3137" s="1307">
        <v>9</v>
      </c>
      <c r="B3137" s="1630" t="s">
        <v>2748</v>
      </c>
      <c r="C3137" s="1630"/>
      <c r="D3137" s="1630"/>
      <c r="E3137" s="1630"/>
      <c r="F3137" s="1630"/>
      <c r="G3137" s="1630"/>
      <c r="H3137" s="1630"/>
      <c r="I3137" s="1308"/>
      <c r="J3137" s="1177"/>
      <c r="K3137" s="1307"/>
      <c r="L3137" s="1307"/>
      <c r="M3137" s="1309"/>
      <c r="N3137" s="900" t="s">
        <v>2209</v>
      </c>
      <c r="O3137" s="1310" t="s">
        <v>0</v>
      </c>
      <c r="Q3137" s="1310" t="s">
        <v>0</v>
      </c>
    </row>
    <row r="3138" spans="1:17" s="910" customFormat="1" ht="16.5" hidden="1" customHeight="1">
      <c r="A3138" s="896"/>
      <c r="B3138" s="902" t="s">
        <v>3580</v>
      </c>
      <c r="C3138" s="903"/>
      <c r="D3138" s="1280" t="s">
        <v>3246</v>
      </c>
      <c r="E3138" s="905"/>
      <c r="F3138" s="906"/>
      <c r="G3138" s="906"/>
      <c r="H3138" s="907"/>
      <c r="I3138" s="908"/>
      <c r="J3138" s="909"/>
      <c r="K3138" s="902"/>
      <c r="L3138" s="896"/>
      <c r="M3138" s="902"/>
      <c r="N3138" s="900" t="s">
        <v>2209</v>
      </c>
    </row>
    <row r="3139" spans="1:17" s="1310" customFormat="1" ht="15.75" hidden="1">
      <c r="A3139" s="1307"/>
      <c r="B3139" s="1274"/>
      <c r="C3139" s="1311">
        <v>1</v>
      </c>
      <c r="D3139" s="1276" t="s">
        <v>273</v>
      </c>
      <c r="E3139" s="1177">
        <v>1</v>
      </c>
      <c r="F3139" s="1277">
        <v>0</v>
      </c>
      <c r="G3139" s="1208">
        <v>0</v>
      </c>
      <c r="H3139" s="1277">
        <v>0</v>
      </c>
      <c r="I3139" s="1312">
        <f>ROUND(IF(AND(F3139:H3139),C3139*E3139*F3139*G3139*H3139,IF(AND(F3139,G3139),C3139*E3139*F3139*G3139,IF(AND(F3139,H3139),C3139*E3139*F3139*H3139,IF(AND(G3139,H3139),C3139*E3139*G3139*H3139,IF(F3139,C3139*E3139*F3139,IF(G3139,C3139*E3139*G3139,IF(H3139,C3139*E3139*H3139,C3139*E3139))))))),2)</f>
        <v>1</v>
      </c>
      <c r="J3139" s="1148" t="s">
        <v>115</v>
      </c>
      <c r="K3139" s="1307"/>
      <c r="L3139" s="1307"/>
      <c r="M3139" s="1309"/>
      <c r="N3139" s="900" t="s">
        <v>2209</v>
      </c>
    </row>
    <row r="3140" spans="1:17" s="1310" customFormat="1" ht="15.75" hidden="1">
      <c r="A3140" s="1307"/>
      <c r="B3140" s="1274"/>
      <c r="C3140" s="1311"/>
      <c r="D3140" s="1276"/>
      <c r="E3140" s="1177"/>
      <c r="F3140" s="1277"/>
      <c r="G3140" s="1208"/>
      <c r="H3140" s="1277"/>
      <c r="I3140" s="1312"/>
      <c r="J3140" s="1148"/>
      <c r="K3140" s="1307"/>
      <c r="L3140" s="1307"/>
      <c r="M3140" s="1309"/>
      <c r="N3140" s="900" t="s">
        <v>2209</v>
      </c>
    </row>
    <row r="3141" spans="1:17" s="1310" customFormat="1" ht="15.75" hidden="1">
      <c r="A3141" s="1307"/>
      <c r="B3141" s="1383"/>
      <c r="C3141" s="1313"/>
      <c r="D3141" s="1314"/>
      <c r="E3141" s="1177"/>
      <c r="F3141" s="1315"/>
      <c r="G3141" s="1316"/>
      <c r="H3141" s="1315"/>
      <c r="I3141" s="1317"/>
      <c r="J3141" s="1148" t="s">
        <v>115</v>
      </c>
      <c r="K3141" s="1208">
        <f>'SANITATION DTA'!G124</f>
        <v>18409</v>
      </c>
      <c r="L3141" s="923" t="s">
        <v>2209</v>
      </c>
      <c r="M3141" s="1318">
        <f>ROUND(I3141*K3141,0)</f>
        <v>0</v>
      </c>
      <c r="N3141" s="900" t="s">
        <v>2209</v>
      </c>
      <c r="O3141" s="1310" t="s">
        <v>0</v>
      </c>
    </row>
    <row r="3142" spans="1:17" s="1310" customFormat="1" ht="30.75" hidden="1" customHeight="1">
      <c r="A3142" s="1307">
        <v>10</v>
      </c>
      <c r="B3142" s="1630" t="s">
        <v>591</v>
      </c>
      <c r="C3142" s="1630"/>
      <c r="D3142" s="1630"/>
      <c r="E3142" s="1630"/>
      <c r="F3142" s="1630"/>
      <c r="G3142" s="1630"/>
      <c r="H3142" s="1630"/>
      <c r="I3142" s="1308"/>
      <c r="J3142" s="1177"/>
      <c r="K3142" s="1307"/>
      <c r="L3142" s="1307"/>
      <c r="M3142" s="1309"/>
      <c r="N3142" s="900" t="s">
        <v>2209</v>
      </c>
      <c r="O3142" s="1310" t="s">
        <v>0</v>
      </c>
      <c r="Q3142" s="1310" t="s">
        <v>0</v>
      </c>
    </row>
    <row r="3143" spans="1:17" s="910" customFormat="1" ht="16.5" hidden="1" customHeight="1">
      <c r="A3143" s="896"/>
      <c r="B3143" s="902" t="s">
        <v>3512</v>
      </c>
      <c r="C3143" s="903"/>
      <c r="D3143" s="1280" t="s">
        <v>3246</v>
      </c>
      <c r="E3143" s="905"/>
      <c r="F3143" s="906"/>
      <c r="G3143" s="906"/>
      <c r="H3143" s="907"/>
      <c r="I3143" s="908"/>
      <c r="J3143" s="909"/>
      <c r="K3143" s="902"/>
      <c r="L3143" s="896"/>
      <c r="M3143" s="902"/>
      <c r="N3143" s="900" t="s">
        <v>2209</v>
      </c>
    </row>
    <row r="3144" spans="1:17" s="1310" customFormat="1" ht="15.75" hidden="1">
      <c r="A3144" s="1307"/>
      <c r="B3144" s="1274"/>
      <c r="C3144" s="1311">
        <v>1</v>
      </c>
      <c r="D3144" s="1276" t="s">
        <v>273</v>
      </c>
      <c r="E3144" s="1177">
        <v>1</v>
      </c>
      <c r="F3144" s="1319">
        <v>85</v>
      </c>
      <c r="G3144" s="1208">
        <v>0</v>
      </c>
      <c r="H3144" s="1277">
        <v>0</v>
      </c>
      <c r="I3144" s="1320">
        <f>ROUND(IF(AND(F3144:H3144),C3144*E3144*F3144*G3144*H3144,IF(AND(F3144,G3144),C3144*E3144*F3144*G3144,IF(AND(F3144,H3144),C3144*E3144*F3144*H3144,IF(AND(G3144,H3144),C3144*E3144*G3144*H3144,IF(F3144,C3144*E3144*F3144,IF(G3144,C3144*E3144*G3144,IF(H3144,C3144*E3144*H3144,C3144*E3144))))))),2)</f>
        <v>85</v>
      </c>
      <c r="J3144" s="1148" t="s">
        <v>277</v>
      </c>
      <c r="K3144" s="1307"/>
      <c r="L3144" s="1307"/>
      <c r="M3144" s="1309"/>
      <c r="N3144" s="900" t="s">
        <v>2209</v>
      </c>
    </row>
    <row r="3145" spans="1:17" s="1310" customFormat="1" ht="15.75" hidden="1">
      <c r="A3145" s="1307"/>
      <c r="B3145" s="1274"/>
      <c r="C3145" s="1311"/>
      <c r="D3145" s="1276"/>
      <c r="E3145" s="1177"/>
      <c r="F3145" s="1319"/>
      <c r="G3145" s="1208"/>
      <c r="H3145" s="1277"/>
      <c r="I3145" s="1320"/>
      <c r="J3145" s="1148"/>
      <c r="K3145" s="1307"/>
      <c r="L3145" s="1307"/>
      <c r="M3145" s="1309"/>
      <c r="N3145" s="900" t="s">
        <v>2209</v>
      </c>
    </row>
    <row r="3146" spans="1:17" s="1310" customFormat="1" ht="15.75" hidden="1">
      <c r="A3146" s="1307"/>
      <c r="B3146" s="1383"/>
      <c r="C3146" s="1313"/>
      <c r="D3146" s="1314"/>
      <c r="E3146" s="1177"/>
      <c r="F3146" s="1315"/>
      <c r="G3146" s="1316"/>
      <c r="H3146" s="1315"/>
      <c r="I3146" s="1207"/>
      <c r="J3146" s="1148" t="s">
        <v>277</v>
      </c>
      <c r="K3146" s="1208">
        <f>'SANITATION DTA'!G130</f>
        <v>64</v>
      </c>
      <c r="L3146" s="923" t="s">
        <v>2209</v>
      </c>
      <c r="M3146" s="1318">
        <f>ROUND(I3146*K3146,0)</f>
        <v>0</v>
      </c>
      <c r="N3146" s="900" t="s">
        <v>2209</v>
      </c>
      <c r="O3146" s="1310" t="s">
        <v>0</v>
      </c>
    </row>
    <row r="3147" spans="1:17" s="1310" customFormat="1" ht="20.25" hidden="1" customHeight="1">
      <c r="A3147" s="1307">
        <v>11</v>
      </c>
      <c r="B3147" s="1630" t="s">
        <v>284</v>
      </c>
      <c r="C3147" s="1630"/>
      <c r="D3147" s="1630"/>
      <c r="E3147" s="1630"/>
      <c r="F3147" s="1630"/>
      <c r="G3147" s="1630"/>
      <c r="H3147" s="1630"/>
      <c r="I3147" s="1308"/>
      <c r="J3147" s="1177"/>
      <c r="K3147" s="1307"/>
      <c r="L3147" s="1307"/>
      <c r="M3147" s="1309"/>
      <c r="N3147" s="900" t="s">
        <v>2209</v>
      </c>
      <c r="O3147" s="1310" t="s">
        <v>0</v>
      </c>
      <c r="Q3147" s="1310" t="s">
        <v>0</v>
      </c>
    </row>
    <row r="3148" spans="1:17" s="910" customFormat="1" ht="16.5" hidden="1" customHeight="1">
      <c r="A3148" s="896"/>
      <c r="B3148" s="902" t="s">
        <v>3512</v>
      </c>
      <c r="C3148" s="903"/>
      <c r="D3148" s="1280" t="s">
        <v>3246</v>
      </c>
      <c r="E3148" s="905"/>
      <c r="F3148" s="906"/>
      <c r="G3148" s="906"/>
      <c r="H3148" s="907"/>
      <c r="I3148" s="908"/>
      <c r="J3148" s="909"/>
      <c r="K3148" s="902"/>
      <c r="L3148" s="896"/>
      <c r="M3148" s="902"/>
      <c r="N3148" s="900" t="s">
        <v>2209</v>
      </c>
    </row>
    <row r="3149" spans="1:17" s="1310" customFormat="1" ht="15.75" hidden="1">
      <c r="A3149" s="1307"/>
      <c r="B3149" s="1274"/>
      <c r="C3149" s="1311">
        <v>1</v>
      </c>
      <c r="D3149" s="1276" t="s">
        <v>273</v>
      </c>
      <c r="E3149" s="1177">
        <v>1</v>
      </c>
      <c r="F3149" s="1277">
        <v>0</v>
      </c>
      <c r="G3149" s="1208">
        <v>0</v>
      </c>
      <c r="H3149" s="1277">
        <v>0</v>
      </c>
      <c r="I3149" s="1312">
        <f>ROUND(IF(AND(F3149:H3149),C3149*E3149*F3149*G3149*H3149,IF(AND(F3149,G3149),C3149*E3149*F3149*G3149,IF(AND(F3149,H3149),C3149*E3149*F3149*H3149,IF(AND(G3149,H3149),C3149*E3149*G3149*H3149,IF(F3149,C3149*E3149*F3149,IF(G3149,C3149*E3149*G3149,IF(H3149,C3149*E3149*H3149,C3149*E3149))))))),2)</f>
        <v>1</v>
      </c>
      <c r="J3149" s="1148" t="s">
        <v>115</v>
      </c>
      <c r="K3149" s="1307"/>
      <c r="L3149" s="1307"/>
      <c r="M3149" s="1309"/>
      <c r="N3149" s="900" t="s">
        <v>2209</v>
      </c>
    </row>
    <row r="3150" spans="1:17" s="1310" customFormat="1" ht="15.75" hidden="1">
      <c r="A3150" s="1307"/>
      <c r="B3150" s="1274"/>
      <c r="C3150" s="1311"/>
      <c r="D3150" s="1276"/>
      <c r="E3150" s="1177"/>
      <c r="F3150" s="1277"/>
      <c r="G3150" s="1208"/>
      <c r="H3150" s="1277"/>
      <c r="I3150" s="1312"/>
      <c r="J3150" s="1148"/>
      <c r="K3150" s="1307"/>
      <c r="L3150" s="1307"/>
      <c r="M3150" s="1309"/>
      <c r="N3150" s="900" t="s">
        <v>2209</v>
      </c>
    </row>
    <row r="3151" spans="1:17" s="1310" customFormat="1" ht="15.75" hidden="1">
      <c r="A3151" s="1307"/>
      <c r="B3151" s="1383"/>
      <c r="C3151" s="1313"/>
      <c r="D3151" s="1314"/>
      <c r="E3151" s="1177"/>
      <c r="F3151" s="1315"/>
      <c r="G3151" s="1316"/>
      <c r="H3151" s="1315"/>
      <c r="I3151" s="1317"/>
      <c r="J3151" s="1148" t="s">
        <v>115</v>
      </c>
      <c r="K3151" s="1208">
        <f>'SANITATION DTA'!G136</f>
        <v>109</v>
      </c>
      <c r="L3151" s="923" t="s">
        <v>2209</v>
      </c>
      <c r="M3151" s="1318">
        <f>ROUND(I3151*K3151,0)</f>
        <v>0</v>
      </c>
      <c r="N3151" s="900" t="s">
        <v>2209</v>
      </c>
      <c r="O3151" s="1310" t="s">
        <v>0</v>
      </c>
    </row>
    <row r="3152" spans="1:17" s="1310" customFormat="1" ht="20.25" hidden="1" customHeight="1">
      <c r="A3152" s="1307">
        <v>12</v>
      </c>
      <c r="B3152" s="1630" t="s">
        <v>285</v>
      </c>
      <c r="C3152" s="1630"/>
      <c r="D3152" s="1630"/>
      <c r="E3152" s="1630"/>
      <c r="F3152" s="1630"/>
      <c r="G3152" s="1630"/>
      <c r="H3152" s="1630"/>
      <c r="I3152" s="1308"/>
      <c r="J3152" s="1177"/>
      <c r="K3152" s="1307"/>
      <c r="L3152" s="1307"/>
      <c r="M3152" s="1309"/>
      <c r="N3152" s="900" t="s">
        <v>2209</v>
      </c>
      <c r="O3152" s="1310" t="s">
        <v>0</v>
      </c>
      <c r="Q3152" s="1310" t="s">
        <v>0</v>
      </c>
    </row>
    <row r="3153" spans="1:17" s="910" customFormat="1" ht="16.5" hidden="1" customHeight="1">
      <c r="A3153" s="896"/>
      <c r="B3153" s="902" t="s">
        <v>3512</v>
      </c>
      <c r="C3153" s="903"/>
      <c r="D3153" s="1280" t="s">
        <v>3246</v>
      </c>
      <c r="E3153" s="905"/>
      <c r="F3153" s="906"/>
      <c r="G3153" s="906"/>
      <c r="H3153" s="907"/>
      <c r="I3153" s="908"/>
      <c r="J3153" s="909"/>
      <c r="K3153" s="902"/>
      <c r="L3153" s="896"/>
      <c r="M3153" s="902"/>
      <c r="N3153" s="900" t="s">
        <v>2209</v>
      </c>
    </row>
    <row r="3154" spans="1:17" s="1310" customFormat="1" ht="15.75" hidden="1">
      <c r="A3154" s="1307"/>
      <c r="B3154" s="1274"/>
      <c r="C3154" s="1311">
        <v>1</v>
      </c>
      <c r="D3154" s="1276" t="s">
        <v>273</v>
      </c>
      <c r="E3154" s="1177">
        <v>1</v>
      </c>
      <c r="F3154" s="1277">
        <v>0.5</v>
      </c>
      <c r="G3154" s="1208">
        <v>0</v>
      </c>
      <c r="H3154" s="1277">
        <v>0</v>
      </c>
      <c r="I3154" s="1320">
        <f>ROUND(IF(AND(F3154:H3154),C3154*E3154*F3154*G3154*H3154,IF(AND(F3154,G3154),C3154*E3154*F3154*G3154,IF(AND(F3154,H3154),C3154*E3154*F3154*H3154,IF(AND(G3154,H3154),C3154*E3154*G3154*H3154,IF(F3154,C3154*E3154*F3154,IF(G3154,C3154*E3154*G3154,IF(H3154,C3154*E3154*H3154,C3154*E3154))))))),2)</f>
        <v>0.5</v>
      </c>
      <c r="J3154" s="1148" t="s">
        <v>277</v>
      </c>
      <c r="K3154" s="1307"/>
      <c r="L3154" s="1307"/>
      <c r="M3154" s="1309"/>
      <c r="N3154" s="900" t="s">
        <v>2209</v>
      </c>
    </row>
    <row r="3155" spans="1:17" s="1310" customFormat="1" ht="15.75" hidden="1">
      <c r="A3155" s="1307"/>
      <c r="B3155" s="1274"/>
      <c r="C3155" s="1311"/>
      <c r="D3155" s="1276"/>
      <c r="E3155" s="1177"/>
      <c r="F3155" s="1277"/>
      <c r="G3155" s="1208"/>
      <c r="H3155" s="1277"/>
      <c r="I3155" s="1320"/>
      <c r="J3155" s="1148"/>
      <c r="K3155" s="1307"/>
      <c r="L3155" s="1307"/>
      <c r="M3155" s="1309"/>
      <c r="N3155" s="900" t="s">
        <v>2209</v>
      </c>
    </row>
    <row r="3156" spans="1:17" s="1310" customFormat="1" ht="15.75" hidden="1">
      <c r="A3156" s="1307"/>
      <c r="B3156" s="1383"/>
      <c r="C3156" s="1313"/>
      <c r="D3156" s="1314"/>
      <c r="E3156" s="1177"/>
      <c r="F3156" s="1315"/>
      <c r="G3156" s="1316"/>
      <c r="H3156" s="1315"/>
      <c r="I3156" s="1207"/>
      <c r="J3156" s="1148" t="s">
        <v>277</v>
      </c>
      <c r="K3156" s="1208">
        <f>'SANITATION DTA'!G139</f>
        <v>198</v>
      </c>
      <c r="L3156" s="923" t="s">
        <v>2209</v>
      </c>
      <c r="M3156" s="1318">
        <f>ROUND(I3156*K3156,0)</f>
        <v>0</v>
      </c>
      <c r="N3156" s="900" t="s">
        <v>2209</v>
      </c>
      <c r="O3156" s="1310" t="s">
        <v>0</v>
      </c>
    </row>
    <row r="3157" spans="1:17" s="1310" customFormat="1" ht="20.25" hidden="1" customHeight="1">
      <c r="A3157" s="1307">
        <v>13</v>
      </c>
      <c r="B3157" s="1630" t="s">
        <v>286</v>
      </c>
      <c r="C3157" s="1630"/>
      <c r="D3157" s="1630"/>
      <c r="E3157" s="1630"/>
      <c r="F3157" s="1630"/>
      <c r="G3157" s="1630"/>
      <c r="H3157" s="1630"/>
      <c r="I3157" s="1308"/>
      <c r="J3157" s="1177"/>
      <c r="K3157" s="1307"/>
      <c r="L3157" s="1307"/>
      <c r="M3157" s="1309"/>
      <c r="N3157" s="900" t="s">
        <v>2209</v>
      </c>
      <c r="O3157" s="1310" t="s">
        <v>0</v>
      </c>
      <c r="Q3157" s="1310" t="s">
        <v>0</v>
      </c>
    </row>
    <row r="3158" spans="1:17" s="910" customFormat="1" ht="16.5" hidden="1" customHeight="1">
      <c r="A3158" s="896"/>
      <c r="B3158" s="902" t="s">
        <v>3512</v>
      </c>
      <c r="C3158" s="903"/>
      <c r="D3158" s="1280" t="s">
        <v>3246</v>
      </c>
      <c r="E3158" s="905"/>
      <c r="F3158" s="906"/>
      <c r="G3158" s="906"/>
      <c r="H3158" s="907"/>
      <c r="I3158" s="908"/>
      <c r="J3158" s="909"/>
      <c r="K3158" s="902"/>
      <c r="L3158" s="896"/>
      <c r="M3158" s="902"/>
      <c r="N3158" s="900" t="s">
        <v>2209</v>
      </c>
    </row>
    <row r="3159" spans="1:17" s="1310" customFormat="1" ht="15.75" hidden="1">
      <c r="A3159" s="1307"/>
      <c r="B3159" s="1274"/>
      <c r="C3159" s="1311">
        <v>1</v>
      </c>
      <c r="D3159" s="1276" t="s">
        <v>273</v>
      </c>
      <c r="E3159" s="1177">
        <v>1</v>
      </c>
      <c r="F3159" s="1277">
        <v>0</v>
      </c>
      <c r="G3159" s="1208">
        <v>0</v>
      </c>
      <c r="H3159" s="1277">
        <v>0</v>
      </c>
      <c r="I3159" s="1312">
        <f>ROUND(IF(AND(F3159:H3159),C3159*E3159*F3159*G3159*H3159,IF(AND(F3159,G3159),C3159*E3159*F3159*G3159,IF(AND(F3159,H3159),C3159*E3159*F3159*H3159,IF(AND(G3159,H3159),C3159*E3159*G3159*H3159,IF(F3159,C3159*E3159*F3159,IF(G3159,C3159*E3159*G3159,IF(H3159,C3159*E3159*H3159,C3159*E3159))))))),2)</f>
        <v>1</v>
      </c>
      <c r="J3159" s="1148" t="s">
        <v>115</v>
      </c>
      <c r="K3159" s="1307"/>
      <c r="L3159" s="1307"/>
      <c r="M3159" s="1309"/>
      <c r="N3159" s="900" t="s">
        <v>2209</v>
      </c>
    </row>
    <row r="3160" spans="1:17" s="1310" customFormat="1" ht="15.75" hidden="1">
      <c r="A3160" s="1307"/>
      <c r="B3160" s="1274"/>
      <c r="C3160" s="1311"/>
      <c r="D3160" s="1276"/>
      <c r="E3160" s="1177"/>
      <c r="F3160" s="1277"/>
      <c r="G3160" s="1208"/>
      <c r="H3160" s="1277"/>
      <c r="I3160" s="1312"/>
      <c r="J3160" s="1148"/>
      <c r="K3160" s="1307"/>
      <c r="L3160" s="1307"/>
      <c r="M3160" s="1309"/>
      <c r="N3160" s="900" t="s">
        <v>2209</v>
      </c>
    </row>
    <row r="3161" spans="1:17" s="1310" customFormat="1" ht="15.75" hidden="1">
      <c r="A3161" s="1307"/>
      <c r="B3161" s="1383"/>
      <c r="C3161" s="1313"/>
      <c r="D3161" s="1314"/>
      <c r="E3161" s="1177"/>
      <c r="F3161" s="1315"/>
      <c r="G3161" s="1316"/>
      <c r="H3161" s="1315"/>
      <c r="I3161" s="1317"/>
      <c r="J3161" s="1148" t="s">
        <v>115</v>
      </c>
      <c r="K3161" s="1208">
        <f>'SANITATION DTA'!G142</f>
        <v>22</v>
      </c>
      <c r="L3161" s="923" t="s">
        <v>2209</v>
      </c>
      <c r="M3161" s="1318">
        <f>ROUND(I3161*K3161,0)</f>
        <v>0</v>
      </c>
      <c r="N3161" s="900" t="s">
        <v>2209</v>
      </c>
      <c r="O3161" s="1310" t="s">
        <v>0</v>
      </c>
    </row>
    <row r="3162" spans="1:17" s="1310" customFormat="1" ht="20.25" hidden="1" customHeight="1">
      <c r="A3162" s="1307">
        <v>14</v>
      </c>
      <c r="B3162" s="1630" t="s">
        <v>287</v>
      </c>
      <c r="C3162" s="1630"/>
      <c r="D3162" s="1630"/>
      <c r="E3162" s="1630"/>
      <c r="F3162" s="1630"/>
      <c r="G3162" s="1630"/>
      <c r="H3162" s="1630"/>
      <c r="I3162" s="1308"/>
      <c r="J3162" s="1177"/>
      <c r="K3162" s="1307"/>
      <c r="L3162" s="1307"/>
      <c r="M3162" s="1309"/>
      <c r="N3162" s="900" t="s">
        <v>2209</v>
      </c>
      <c r="O3162" s="1310" t="s">
        <v>0</v>
      </c>
      <c r="Q3162" s="1310" t="s">
        <v>0</v>
      </c>
    </row>
    <row r="3163" spans="1:17" s="910" customFormat="1" ht="16.5" hidden="1" customHeight="1">
      <c r="A3163" s="896"/>
      <c r="B3163" s="902" t="s">
        <v>3512</v>
      </c>
      <c r="C3163" s="903"/>
      <c r="D3163" s="1280" t="s">
        <v>3246</v>
      </c>
      <c r="E3163" s="905"/>
      <c r="F3163" s="906"/>
      <c r="G3163" s="906"/>
      <c r="H3163" s="907"/>
      <c r="I3163" s="908"/>
      <c r="J3163" s="909"/>
      <c r="K3163" s="902"/>
      <c r="L3163" s="896"/>
      <c r="M3163" s="902"/>
      <c r="N3163" s="900" t="s">
        <v>2209</v>
      </c>
    </row>
    <row r="3164" spans="1:17" s="1310" customFormat="1" ht="15.75" hidden="1">
      <c r="A3164" s="1307"/>
      <c r="B3164" s="1274"/>
      <c r="C3164" s="1311">
        <v>1</v>
      </c>
      <c r="D3164" s="1276" t="s">
        <v>273</v>
      </c>
      <c r="E3164" s="1177">
        <v>1</v>
      </c>
      <c r="F3164" s="1277">
        <v>0</v>
      </c>
      <c r="G3164" s="1208">
        <v>0</v>
      </c>
      <c r="H3164" s="1277">
        <v>0</v>
      </c>
      <c r="I3164" s="1312">
        <f>ROUND(IF(AND(F3164:H3164),C3164*E3164*F3164*G3164*H3164,IF(AND(F3164,G3164),C3164*E3164*F3164*G3164,IF(AND(F3164,H3164),C3164*E3164*F3164*H3164,IF(AND(G3164,H3164),C3164*E3164*G3164*H3164,IF(F3164,C3164*E3164*F3164,IF(G3164,C3164*E3164*G3164,IF(H3164,C3164*E3164*H3164,C3164*E3164))))))),2)</f>
        <v>1</v>
      </c>
      <c r="J3164" s="1148" t="s">
        <v>115</v>
      </c>
      <c r="K3164" s="1307"/>
      <c r="L3164" s="1307"/>
      <c r="M3164" s="1309"/>
      <c r="N3164" s="900" t="s">
        <v>2209</v>
      </c>
    </row>
    <row r="3165" spans="1:17" s="1310" customFormat="1" ht="15.75" hidden="1">
      <c r="A3165" s="1307"/>
      <c r="B3165" s="1274"/>
      <c r="C3165" s="1311"/>
      <c r="D3165" s="1276"/>
      <c r="E3165" s="1177"/>
      <c r="F3165" s="1277"/>
      <c r="G3165" s="1208"/>
      <c r="H3165" s="1277"/>
      <c r="I3165" s="1312"/>
      <c r="J3165" s="1148"/>
      <c r="K3165" s="1307"/>
      <c r="L3165" s="1307"/>
      <c r="M3165" s="1309"/>
      <c r="N3165" s="900" t="s">
        <v>2209</v>
      </c>
    </row>
    <row r="3166" spans="1:17" s="1310" customFormat="1" ht="15.75" hidden="1">
      <c r="A3166" s="1307"/>
      <c r="B3166" s="1383"/>
      <c r="C3166" s="1313"/>
      <c r="D3166" s="1314"/>
      <c r="E3166" s="1177"/>
      <c r="F3166" s="1315"/>
      <c r="G3166" s="1316"/>
      <c r="H3166" s="1315"/>
      <c r="I3166" s="1317"/>
      <c r="J3166" s="1148" t="s">
        <v>115</v>
      </c>
      <c r="K3166" s="1208">
        <f>'SANITATION DTA'!G133</f>
        <v>145.19999999999999</v>
      </c>
      <c r="L3166" s="923" t="s">
        <v>2209</v>
      </c>
      <c r="M3166" s="1318">
        <f>ROUND(I3166*K3166,0)</f>
        <v>0</v>
      </c>
      <c r="N3166" s="900" t="s">
        <v>2209</v>
      </c>
      <c r="O3166" s="1310" t="s">
        <v>0</v>
      </c>
    </row>
    <row r="3167" spans="1:17" s="1310" customFormat="1" ht="48" hidden="1" customHeight="1">
      <c r="A3167" s="1307">
        <v>15</v>
      </c>
      <c r="B3167" s="1630" t="s">
        <v>288</v>
      </c>
      <c r="C3167" s="1630"/>
      <c r="D3167" s="1630"/>
      <c r="E3167" s="1630"/>
      <c r="F3167" s="1630"/>
      <c r="G3167" s="1630"/>
      <c r="H3167" s="1630"/>
      <c r="I3167" s="1308"/>
      <c r="J3167" s="1177"/>
      <c r="K3167" s="1307"/>
      <c r="L3167" s="1307"/>
      <c r="M3167" s="1309"/>
      <c r="N3167" s="900" t="s">
        <v>2209</v>
      </c>
      <c r="O3167" s="1310" t="s">
        <v>0</v>
      </c>
      <c r="Q3167" s="1310" t="s">
        <v>0</v>
      </c>
    </row>
    <row r="3168" spans="1:17" s="910" customFormat="1" ht="16.5" hidden="1" customHeight="1">
      <c r="A3168" s="896"/>
      <c r="B3168" s="902" t="s">
        <v>3532</v>
      </c>
      <c r="C3168" s="903"/>
      <c r="D3168" s="1280" t="s">
        <v>3246</v>
      </c>
      <c r="E3168" s="905"/>
      <c r="F3168" s="906"/>
      <c r="G3168" s="906"/>
      <c r="H3168" s="907"/>
      <c r="I3168" s="908"/>
      <c r="J3168" s="909"/>
      <c r="K3168" s="902"/>
      <c r="L3168" s="896"/>
      <c r="M3168" s="902"/>
      <c r="N3168" s="900" t="s">
        <v>2209</v>
      </c>
    </row>
    <row r="3169" spans="1:17" s="1310" customFormat="1" ht="15.75" hidden="1">
      <c r="A3169" s="1307"/>
      <c r="B3169" s="1274"/>
      <c r="C3169" s="1311">
        <v>1</v>
      </c>
      <c r="D3169" s="1276" t="s">
        <v>273</v>
      </c>
      <c r="E3169" s="1177">
        <v>1</v>
      </c>
      <c r="F3169" s="1208">
        <v>90</v>
      </c>
      <c r="G3169" s="1208">
        <v>0</v>
      </c>
      <c r="H3169" s="1277">
        <v>0</v>
      </c>
      <c r="I3169" s="1320">
        <f>ROUND(IF(AND(F3169:H3169),C3169*E3169*F3169*G3169*H3169,IF(AND(F3169,G3169),C3169*E3169*F3169*G3169,IF(AND(F3169,H3169),C3169*E3169*F3169*H3169,IF(AND(G3169,H3169),C3169*E3169*G3169*H3169,IF(F3169,C3169*E3169*F3169,IF(G3169,C3169*E3169*G3169,IF(H3169,C3169*E3169*H3169,C3169*E3169))))))),2)</f>
        <v>90</v>
      </c>
      <c r="J3169" s="1148" t="s">
        <v>277</v>
      </c>
      <c r="K3169" s="1307"/>
      <c r="L3169" s="1307"/>
      <c r="M3169" s="1309"/>
      <c r="N3169" s="900" t="s">
        <v>2209</v>
      </c>
    </row>
    <row r="3170" spans="1:17" s="1310" customFormat="1" ht="15.75" hidden="1">
      <c r="A3170" s="1307"/>
      <c r="B3170" s="1274"/>
      <c r="C3170" s="1311"/>
      <c r="D3170" s="1276"/>
      <c r="E3170" s="1177"/>
      <c r="F3170" s="1208"/>
      <c r="G3170" s="1208"/>
      <c r="H3170" s="1277"/>
      <c r="I3170" s="1320"/>
      <c r="J3170" s="1148"/>
      <c r="K3170" s="1307"/>
      <c r="L3170" s="1307"/>
      <c r="M3170" s="1309"/>
      <c r="N3170" s="900" t="s">
        <v>2209</v>
      </c>
    </row>
    <row r="3171" spans="1:17" s="1310" customFormat="1" ht="17.25" hidden="1" customHeight="1">
      <c r="A3171" s="1307"/>
      <c r="B3171" s="1383"/>
      <c r="C3171" s="1313"/>
      <c r="D3171" s="1314"/>
      <c r="E3171" s="1177"/>
      <c r="F3171" s="1315"/>
      <c r="G3171" s="1316"/>
      <c r="H3171" s="1315"/>
      <c r="I3171" s="1207"/>
      <c r="J3171" s="1148" t="s">
        <v>277</v>
      </c>
      <c r="K3171" s="1208">
        <f>'SANITATION DTA'!G145</f>
        <v>80</v>
      </c>
      <c r="L3171" s="923" t="s">
        <v>2209</v>
      </c>
      <c r="M3171" s="1318">
        <f>ROUND(I3171*K3171,0)</f>
        <v>0</v>
      </c>
      <c r="N3171" s="900" t="s">
        <v>2209</v>
      </c>
      <c r="O3171" s="1310" t="s">
        <v>0</v>
      </c>
    </row>
    <row r="3172" spans="1:17" s="1310" customFormat="1" ht="81" hidden="1" customHeight="1">
      <c r="A3172" s="1307">
        <v>16</v>
      </c>
      <c r="B3172" s="1631" t="s">
        <v>381</v>
      </c>
      <c r="C3172" s="1630"/>
      <c r="D3172" s="1630"/>
      <c r="E3172" s="1630"/>
      <c r="F3172" s="1630"/>
      <c r="G3172" s="1630"/>
      <c r="H3172" s="1630"/>
      <c r="I3172" s="1308"/>
      <c r="J3172" s="1177"/>
      <c r="K3172" s="1307"/>
      <c r="L3172" s="1307"/>
      <c r="M3172" s="1309"/>
      <c r="N3172" s="900" t="s">
        <v>2209</v>
      </c>
      <c r="O3172" s="1310" t="s">
        <v>0</v>
      </c>
      <c r="Q3172" s="1310" t="s">
        <v>0</v>
      </c>
    </row>
    <row r="3173" spans="1:17" s="910" customFormat="1" ht="16.5" hidden="1" customHeight="1">
      <c r="A3173" s="896"/>
      <c r="B3173" s="902" t="s">
        <v>3532</v>
      </c>
      <c r="C3173" s="903"/>
      <c r="D3173" s="1280" t="s">
        <v>3246</v>
      </c>
      <c r="E3173" s="905"/>
      <c r="F3173" s="906"/>
      <c r="G3173" s="906"/>
      <c r="H3173" s="907"/>
      <c r="I3173" s="908"/>
      <c r="J3173" s="909"/>
      <c r="K3173" s="902"/>
      <c r="L3173" s="896"/>
      <c r="M3173" s="902"/>
      <c r="N3173" s="900" t="s">
        <v>2209</v>
      </c>
    </row>
    <row r="3174" spans="1:17" s="1310" customFormat="1" ht="15.75" hidden="1">
      <c r="A3174" s="1307"/>
      <c r="B3174" s="1274"/>
      <c r="C3174" s="1311">
        <v>1</v>
      </c>
      <c r="D3174" s="1276" t="s">
        <v>273</v>
      </c>
      <c r="E3174" s="1177">
        <v>1</v>
      </c>
      <c r="F3174" s="1277">
        <v>0</v>
      </c>
      <c r="G3174" s="1208">
        <v>0</v>
      </c>
      <c r="H3174" s="1277">
        <v>0</v>
      </c>
      <c r="I3174" s="1312">
        <f>ROUND(IF(AND(F3174:H3174),C3174*E3174*F3174*G3174*H3174,IF(AND(F3174,G3174),C3174*E3174*F3174*G3174,IF(AND(F3174,H3174),C3174*E3174*F3174*H3174,IF(AND(G3174,H3174),C3174*E3174*G3174*H3174,IF(F3174,C3174*E3174*F3174,IF(G3174,C3174*E3174*G3174,IF(H3174,C3174*E3174*H3174,C3174*E3174))))))),2)</f>
        <v>1</v>
      </c>
      <c r="J3174" s="1148" t="s">
        <v>115</v>
      </c>
      <c r="K3174" s="1307"/>
      <c r="L3174" s="1307"/>
      <c r="M3174" s="1309"/>
      <c r="N3174" s="900" t="s">
        <v>2209</v>
      </c>
    </row>
    <row r="3175" spans="1:17" s="1310" customFormat="1" ht="15.75" hidden="1">
      <c r="A3175" s="1307"/>
      <c r="B3175" s="1274"/>
      <c r="C3175" s="1311"/>
      <c r="D3175" s="1276"/>
      <c r="E3175" s="1177"/>
      <c r="F3175" s="1277"/>
      <c r="G3175" s="1208"/>
      <c r="H3175" s="1277"/>
      <c r="I3175" s="1312"/>
      <c r="J3175" s="1148"/>
      <c r="K3175" s="1307"/>
      <c r="L3175" s="1307"/>
      <c r="M3175" s="1309"/>
      <c r="N3175" s="900" t="s">
        <v>2209</v>
      </c>
    </row>
    <row r="3176" spans="1:17" s="1310" customFormat="1" ht="17.25" hidden="1" customHeight="1">
      <c r="A3176" s="1307"/>
      <c r="B3176" s="1383"/>
      <c r="C3176" s="1313"/>
      <c r="D3176" s="1314"/>
      <c r="E3176" s="1177"/>
      <c r="F3176" s="1315"/>
      <c r="G3176" s="1316"/>
      <c r="H3176" s="1315"/>
      <c r="I3176" s="1317"/>
      <c r="J3176" s="1148" t="s">
        <v>115</v>
      </c>
      <c r="K3176" s="1208">
        <f>'SANITATION DTA'!G148</f>
        <v>4500</v>
      </c>
      <c r="L3176" s="923" t="s">
        <v>2209</v>
      </c>
      <c r="M3176" s="1318">
        <f>ROUND(I3176*K3176,0)</f>
        <v>0</v>
      </c>
      <c r="N3176" s="900" t="s">
        <v>2209</v>
      </c>
      <c r="O3176" s="1310" t="s">
        <v>0</v>
      </c>
    </row>
    <row r="3177" spans="1:17" s="1253" customFormat="1" ht="15.75" hidden="1">
      <c r="A3177" s="967"/>
      <c r="B3177" s="967" t="s">
        <v>2211</v>
      </c>
      <c r="C3177" s="967"/>
      <c r="D3177" s="967"/>
      <c r="E3177" s="967"/>
      <c r="F3177" s="988"/>
      <c r="G3177" s="988"/>
      <c r="H3177" s="967"/>
      <c r="I3177" s="1261"/>
      <c r="J3177" s="1262"/>
      <c r="K3177" s="967"/>
      <c r="L3177" s="967"/>
      <c r="M3177" s="967"/>
      <c r="N3177" s="900" t="s">
        <v>2297</v>
      </c>
    </row>
    <row r="3178" spans="1:17" ht="63.75" hidden="1" customHeight="1">
      <c r="A3178" s="896">
        <v>1</v>
      </c>
      <c r="B3178" s="1609" t="s">
        <v>308</v>
      </c>
      <c r="C3178" s="1609"/>
      <c r="D3178" s="1609"/>
      <c r="E3178" s="1609"/>
      <c r="F3178" s="1609"/>
      <c r="G3178" s="1609"/>
      <c r="H3178" s="1609"/>
      <c r="I3178" s="897"/>
      <c r="J3178" s="898"/>
      <c r="K3178" s="896"/>
      <c r="L3178" s="896"/>
      <c r="M3178" s="899"/>
      <c r="N3178" s="900" t="s">
        <v>2297</v>
      </c>
    </row>
    <row r="3179" spans="1:17" s="910" customFormat="1" ht="16.5" hidden="1" customHeight="1">
      <c r="A3179" s="896"/>
      <c r="B3179" s="902" t="s">
        <v>2340</v>
      </c>
      <c r="C3179" s="903"/>
      <c r="D3179" s="904"/>
      <c r="E3179" s="905"/>
      <c r="F3179" s="906"/>
      <c r="G3179" s="906"/>
      <c r="H3179" s="907"/>
      <c r="I3179" s="908"/>
      <c r="J3179" s="909"/>
      <c r="K3179" s="902"/>
      <c r="L3179" s="896"/>
      <c r="M3179" s="902"/>
      <c r="N3179" s="900" t="s">
        <v>2297</v>
      </c>
    </row>
    <row r="3180" spans="1:17" s="910" customFormat="1" ht="16.5" hidden="1" customHeight="1">
      <c r="A3180" s="896"/>
      <c r="B3180" s="956"/>
      <c r="C3180" s="957">
        <v>1</v>
      </c>
      <c r="D3180" s="958" t="s">
        <v>273</v>
      </c>
      <c r="E3180" s="1268">
        <v>1</v>
      </c>
      <c r="F3180" s="960">
        <v>28</v>
      </c>
      <c r="G3180" s="960">
        <v>0</v>
      </c>
      <c r="H3180" s="960">
        <v>0</v>
      </c>
      <c r="I3180" s="916">
        <f>ROUND(IF(AND(F3180:H3180),C3180*E3180*F3180*G3180*H3180,IF(AND(F3180,G3180),C3180*E3180*F3180*G3180,IF(AND(F3180,H3180),C3180*E3180*F3180*H3180,IF(AND(G3180,H3180),C3180*E3180*G3180*H3180,IF(F3180,C3180*E3180*F3180,IF(G3180,C3180*E3180*G3180,IF(H3180,C3180*E3180*H3180,C3180*E3180))))))),2)</f>
        <v>28</v>
      </c>
      <c r="J3180" s="909" t="s">
        <v>277</v>
      </c>
      <c r="K3180" s="902"/>
      <c r="L3180" s="896"/>
      <c r="M3180" s="902"/>
      <c r="N3180" s="900" t="s">
        <v>2297</v>
      </c>
    </row>
    <row r="3181" spans="1:17" s="910" customFormat="1" ht="16.5" hidden="1" customHeight="1">
      <c r="A3181" s="896"/>
      <c r="B3181" s="956"/>
      <c r="C3181" s="957"/>
      <c r="D3181" s="958"/>
      <c r="E3181" s="1268"/>
      <c r="F3181" s="960"/>
      <c r="G3181" s="960"/>
      <c r="H3181" s="960"/>
      <c r="I3181" s="916"/>
      <c r="J3181" s="909"/>
      <c r="K3181" s="902"/>
      <c r="L3181" s="896"/>
      <c r="M3181" s="902"/>
      <c r="N3181" s="900" t="s">
        <v>2297</v>
      </c>
    </row>
    <row r="3182" spans="1:17" ht="15.75" hidden="1">
      <c r="A3182" s="896"/>
      <c r="B3182" s="902"/>
      <c r="C3182" s="917"/>
      <c r="D3182" s="918"/>
      <c r="E3182" s="919"/>
      <c r="F3182" s="920"/>
      <c r="G3182" s="921"/>
      <c r="H3182" s="896"/>
      <c r="I3182" s="916"/>
      <c r="J3182" s="909" t="s">
        <v>277</v>
      </c>
      <c r="K3182" s="922">
        <f>'SANITATION DTA'!G231</f>
        <v>193</v>
      </c>
      <c r="L3182" s="923" t="s">
        <v>2297</v>
      </c>
      <c r="M3182" s="924">
        <f>ROUND(I3182*K3182,0)</f>
        <v>0</v>
      </c>
      <c r="N3182" s="900" t="s">
        <v>2297</v>
      </c>
    </row>
    <row r="3183" spans="1:17" ht="63.75" hidden="1" customHeight="1">
      <c r="A3183" s="896">
        <v>9</v>
      </c>
      <c r="B3183" s="1609" t="s">
        <v>309</v>
      </c>
      <c r="C3183" s="1609"/>
      <c r="D3183" s="1609"/>
      <c r="E3183" s="1609"/>
      <c r="F3183" s="1609"/>
      <c r="G3183" s="1609"/>
      <c r="H3183" s="1609"/>
      <c r="I3183" s="897"/>
      <c r="J3183" s="898"/>
      <c r="K3183" s="896"/>
      <c r="L3183" s="896"/>
      <c r="M3183" s="899"/>
      <c r="N3183" s="900" t="s">
        <v>2297</v>
      </c>
    </row>
    <row r="3184" spans="1:17" s="910" customFormat="1" ht="16.5" hidden="1" customHeight="1">
      <c r="A3184" s="896"/>
      <c r="B3184" s="902" t="s">
        <v>2559</v>
      </c>
      <c r="C3184" s="903"/>
      <c r="D3184" s="904"/>
      <c r="E3184" s="905"/>
      <c r="F3184" s="906"/>
      <c r="G3184" s="906"/>
      <c r="H3184" s="907"/>
      <c r="I3184" s="908"/>
      <c r="J3184" s="909"/>
      <c r="K3184" s="902"/>
      <c r="L3184" s="896"/>
      <c r="M3184" s="902"/>
      <c r="N3184" s="900" t="s">
        <v>2297</v>
      </c>
    </row>
    <row r="3185" spans="1:14" s="910" customFormat="1" ht="16.5" hidden="1" customHeight="1">
      <c r="A3185" s="896"/>
      <c r="B3185" s="911"/>
      <c r="C3185" s="912">
        <v>1</v>
      </c>
      <c r="D3185" s="913" t="s">
        <v>273</v>
      </c>
      <c r="E3185" s="914">
        <v>1</v>
      </c>
      <c r="F3185" s="1289">
        <v>45</v>
      </c>
      <c r="G3185" s="915">
        <v>0</v>
      </c>
      <c r="H3185" s="915">
        <v>0</v>
      </c>
      <c r="I3185" s="916">
        <f>ROUND(IF(AND(F3185:H3185),C3185*E3185*F3185*G3185*H3185,IF(AND(F3185,G3185),C3185*E3185*F3185*G3185,IF(AND(F3185,H3185),C3185*E3185*F3185*H3185,IF(AND(G3185,H3185),C3185*E3185*G3185*H3185,IF(F3185,C3185*E3185*F3185,IF(G3185,C3185*E3185*G3185,IF(H3185,C3185*E3185*H3185,C3185*E3185))))))),2)</f>
        <v>45</v>
      </c>
      <c r="J3185" s="909" t="s">
        <v>277</v>
      </c>
      <c r="K3185" s="902"/>
      <c r="L3185" s="896"/>
      <c r="M3185" s="902"/>
      <c r="N3185" s="900" t="s">
        <v>2297</v>
      </c>
    </row>
    <row r="3186" spans="1:14" s="910" customFormat="1" ht="16.5" hidden="1" customHeight="1">
      <c r="A3186" s="896"/>
      <c r="B3186" s="956"/>
      <c r="C3186" s="957"/>
      <c r="D3186" s="958"/>
      <c r="E3186" s="1268"/>
      <c r="F3186" s="960"/>
      <c r="G3186" s="960"/>
      <c r="H3186" s="960"/>
      <c r="I3186" s="916"/>
      <c r="J3186" s="909"/>
      <c r="K3186" s="902"/>
      <c r="L3186" s="896"/>
      <c r="M3186" s="902"/>
      <c r="N3186" s="900" t="s">
        <v>2297</v>
      </c>
    </row>
    <row r="3187" spans="1:14" ht="15.75" hidden="1">
      <c r="A3187" s="896"/>
      <c r="B3187" s="902"/>
      <c r="C3187" s="917"/>
      <c r="D3187" s="918"/>
      <c r="E3187" s="919"/>
      <c r="F3187" s="920"/>
      <c r="G3187" s="921"/>
      <c r="H3187" s="896"/>
      <c r="I3187" s="916"/>
      <c r="J3187" s="909" t="s">
        <v>277</v>
      </c>
      <c r="K3187" s="922">
        <f>'SANITATION DTA'!G228</f>
        <v>123</v>
      </c>
      <c r="L3187" s="923" t="s">
        <v>2297</v>
      </c>
      <c r="M3187" s="924">
        <f>ROUND(I3187*K3187,0)</f>
        <v>0</v>
      </c>
      <c r="N3187" s="900" t="s">
        <v>2297</v>
      </c>
    </row>
    <row r="3188" spans="1:14" ht="63.75" hidden="1" customHeight="1">
      <c r="A3188" s="896">
        <v>7</v>
      </c>
      <c r="B3188" s="1609" t="s">
        <v>1635</v>
      </c>
      <c r="C3188" s="1609"/>
      <c r="D3188" s="1609"/>
      <c r="E3188" s="1609"/>
      <c r="F3188" s="1609"/>
      <c r="G3188" s="1609"/>
      <c r="H3188" s="1609"/>
      <c r="I3188" s="897"/>
      <c r="J3188" s="898"/>
      <c r="K3188" s="896"/>
      <c r="L3188" s="896"/>
      <c r="M3188" s="899"/>
      <c r="N3188" s="900" t="s">
        <v>2297</v>
      </c>
    </row>
    <row r="3189" spans="1:14" s="910" customFormat="1" ht="16.5" hidden="1" customHeight="1">
      <c r="A3189" s="896"/>
      <c r="B3189" s="902" t="s">
        <v>2764</v>
      </c>
      <c r="C3189" s="903"/>
      <c r="D3189" s="904"/>
      <c r="E3189" s="905"/>
      <c r="F3189" s="906"/>
      <c r="G3189" s="906"/>
      <c r="H3189" s="907"/>
      <c r="I3189" s="908"/>
      <c r="J3189" s="909"/>
      <c r="K3189" s="902"/>
      <c r="L3189" s="896"/>
      <c r="M3189" s="902"/>
      <c r="N3189" s="900" t="s">
        <v>2297</v>
      </c>
    </row>
    <row r="3190" spans="1:14" s="910" customFormat="1" ht="16.5" hidden="1" customHeight="1">
      <c r="A3190" s="896"/>
      <c r="B3190" s="956"/>
      <c r="C3190" s="957">
        <v>1</v>
      </c>
      <c r="D3190" s="958" t="s">
        <v>273</v>
      </c>
      <c r="E3190" s="1268">
        <v>1</v>
      </c>
      <c r="F3190" s="1290">
        <v>44</v>
      </c>
      <c r="G3190" s="960">
        <v>0</v>
      </c>
      <c r="H3190" s="960">
        <v>0</v>
      </c>
      <c r="I3190" s="916">
        <f>ROUND(IF(AND(F3190:H3190),C3190*E3190*F3190*G3190*H3190,IF(AND(F3190,G3190),C3190*E3190*F3190*G3190,IF(AND(F3190,H3190),C3190*E3190*F3190*H3190,IF(AND(G3190,H3190),C3190*E3190*G3190*H3190,IF(F3190,C3190*E3190*F3190,IF(G3190,C3190*E3190*G3190,IF(H3190,C3190*E3190*H3190,C3190*E3190))))))),2)</f>
        <v>44</v>
      </c>
      <c r="J3190" s="909" t="s">
        <v>277</v>
      </c>
      <c r="K3190" s="902"/>
      <c r="L3190" s="896"/>
      <c r="M3190" s="902"/>
      <c r="N3190" s="900" t="s">
        <v>2297</v>
      </c>
    </row>
    <row r="3191" spans="1:14" s="910" customFormat="1" ht="16.5" hidden="1" customHeight="1">
      <c r="A3191" s="896"/>
      <c r="B3191" s="956"/>
      <c r="C3191" s="957"/>
      <c r="D3191" s="958"/>
      <c r="E3191" s="1268"/>
      <c r="F3191" s="960"/>
      <c r="G3191" s="960"/>
      <c r="H3191" s="960"/>
      <c r="I3191" s="916"/>
      <c r="J3191" s="909"/>
      <c r="K3191" s="902"/>
      <c r="L3191" s="896"/>
      <c r="M3191" s="902"/>
      <c r="N3191" s="900" t="s">
        <v>2297</v>
      </c>
    </row>
    <row r="3192" spans="1:14" ht="15.75" hidden="1">
      <c r="A3192" s="896"/>
      <c r="B3192" s="902"/>
      <c r="C3192" s="917"/>
      <c r="D3192" s="918"/>
      <c r="E3192" s="919"/>
      <c r="F3192" s="920"/>
      <c r="G3192" s="921"/>
      <c r="H3192" s="896"/>
      <c r="I3192" s="916"/>
      <c r="J3192" s="909" t="s">
        <v>277</v>
      </c>
      <c r="K3192" s="922">
        <f>'SANITATION DTA'!G225</f>
        <v>85</v>
      </c>
      <c r="L3192" s="923" t="s">
        <v>2297</v>
      </c>
      <c r="M3192" s="924">
        <f>ROUND(I3192*K3192,0)</f>
        <v>0</v>
      </c>
      <c r="N3192" s="900" t="s">
        <v>2297</v>
      </c>
    </row>
    <row r="3193" spans="1:14" ht="41.25" hidden="1" customHeight="1">
      <c r="A3193" s="896">
        <v>2</v>
      </c>
      <c r="B3193" s="1609" t="s">
        <v>1252</v>
      </c>
      <c r="C3193" s="1609"/>
      <c r="D3193" s="1609"/>
      <c r="E3193" s="1609"/>
      <c r="F3193" s="1609"/>
      <c r="G3193" s="1609"/>
      <c r="H3193" s="1609"/>
      <c r="I3193" s="897"/>
      <c r="J3193" s="898"/>
      <c r="K3193" s="896"/>
      <c r="L3193" s="896"/>
      <c r="M3193" s="899"/>
      <c r="N3193" s="900" t="s">
        <v>2297</v>
      </c>
    </row>
    <row r="3194" spans="1:14" s="910" customFormat="1" ht="16.5" hidden="1" customHeight="1">
      <c r="A3194" s="896"/>
      <c r="B3194" s="902" t="s">
        <v>2317</v>
      </c>
      <c r="C3194" s="903"/>
      <c r="D3194" s="904"/>
      <c r="E3194" s="905"/>
      <c r="F3194" s="906"/>
      <c r="G3194" s="906"/>
      <c r="H3194" s="907"/>
      <c r="I3194" s="908"/>
      <c r="J3194" s="909"/>
      <c r="K3194" s="902"/>
      <c r="L3194" s="896"/>
      <c r="M3194" s="902"/>
      <c r="N3194" s="900" t="s">
        <v>2297</v>
      </c>
    </row>
    <row r="3195" spans="1:14" s="910" customFormat="1" ht="16.5" hidden="1" customHeight="1">
      <c r="A3195" s="896"/>
      <c r="B3195" s="956"/>
      <c r="C3195" s="957">
        <v>1</v>
      </c>
      <c r="D3195" s="958" t="s">
        <v>273</v>
      </c>
      <c r="E3195" s="1268">
        <v>1</v>
      </c>
      <c r="F3195" s="960">
        <v>85</v>
      </c>
      <c r="G3195" s="960">
        <v>0</v>
      </c>
      <c r="H3195" s="960">
        <v>0</v>
      </c>
      <c r="I3195" s="916">
        <f>ROUND(IF(AND(F3195:H3195),C3195*E3195*F3195*G3195*H3195,IF(AND(F3195,G3195),C3195*E3195*F3195*G3195,IF(AND(F3195,H3195),C3195*E3195*F3195*H3195,IF(AND(G3195,H3195),C3195*E3195*G3195*H3195,IF(F3195,C3195*E3195*F3195,IF(G3195,C3195*E3195*G3195,IF(H3195,C3195*E3195*H3195,C3195*E3195))))))),2)</f>
        <v>85</v>
      </c>
      <c r="J3195" s="909" t="s">
        <v>277</v>
      </c>
      <c r="K3195" s="902"/>
      <c r="L3195" s="896"/>
      <c r="M3195" s="902"/>
      <c r="N3195" s="900" t="s">
        <v>2297</v>
      </c>
    </row>
    <row r="3196" spans="1:14" s="910" customFormat="1" ht="16.5" hidden="1" customHeight="1">
      <c r="A3196" s="896"/>
      <c r="B3196" s="956"/>
      <c r="C3196" s="957"/>
      <c r="D3196" s="958"/>
      <c r="E3196" s="1268"/>
      <c r="F3196" s="960"/>
      <c r="G3196" s="960"/>
      <c r="H3196" s="960"/>
      <c r="I3196" s="916"/>
      <c r="J3196" s="909"/>
      <c r="K3196" s="902"/>
      <c r="L3196" s="896"/>
      <c r="M3196" s="902"/>
      <c r="N3196" s="900" t="s">
        <v>2297</v>
      </c>
    </row>
    <row r="3197" spans="1:14" ht="15.75" hidden="1">
      <c r="A3197" s="896"/>
      <c r="B3197" s="902"/>
      <c r="C3197" s="917"/>
      <c r="D3197" s="918"/>
      <c r="E3197" s="919"/>
      <c r="F3197" s="920"/>
      <c r="G3197" s="921"/>
      <c r="H3197" s="896"/>
      <c r="I3197" s="916"/>
      <c r="J3197" s="909" t="s">
        <v>277</v>
      </c>
      <c r="K3197" s="922">
        <f>'SANITATION DTA'!G235</f>
        <v>24</v>
      </c>
      <c r="L3197" s="923" t="s">
        <v>2297</v>
      </c>
      <c r="M3197" s="924">
        <f>ROUND(I3197*K3197,0)</f>
        <v>0</v>
      </c>
      <c r="N3197" s="900" t="s">
        <v>2297</v>
      </c>
    </row>
    <row r="3198" spans="1:14" ht="63.75" hidden="1" customHeight="1">
      <c r="A3198" s="896">
        <v>8</v>
      </c>
      <c r="B3198" s="1609" t="s">
        <v>278</v>
      </c>
      <c r="C3198" s="1609"/>
      <c r="D3198" s="1609"/>
      <c r="E3198" s="1609"/>
      <c r="F3198" s="1609"/>
      <c r="G3198" s="1609"/>
      <c r="H3198" s="1609"/>
      <c r="I3198" s="897"/>
      <c r="J3198" s="898"/>
      <c r="K3198" s="896"/>
      <c r="L3198" s="896"/>
      <c r="M3198" s="899"/>
      <c r="N3198" s="900" t="s">
        <v>2297</v>
      </c>
    </row>
    <row r="3199" spans="1:14" s="910" customFormat="1" ht="16.5" hidden="1" customHeight="1">
      <c r="A3199" s="896"/>
      <c r="B3199" s="902" t="s">
        <v>2765</v>
      </c>
      <c r="C3199" s="903"/>
      <c r="D3199" s="904"/>
      <c r="E3199" s="905"/>
      <c r="F3199" s="906"/>
      <c r="G3199" s="906"/>
      <c r="H3199" s="907"/>
      <c r="I3199" s="908"/>
      <c r="J3199" s="909"/>
      <c r="K3199" s="902"/>
      <c r="L3199" s="896"/>
      <c r="M3199" s="902"/>
      <c r="N3199" s="900" t="s">
        <v>2297</v>
      </c>
    </row>
    <row r="3200" spans="1:14" s="910" customFormat="1" ht="16.5" hidden="1" customHeight="1">
      <c r="A3200" s="896"/>
      <c r="B3200" s="911"/>
      <c r="C3200" s="912">
        <v>1</v>
      </c>
      <c r="D3200" s="913" t="s">
        <v>273</v>
      </c>
      <c r="E3200" s="914">
        <v>1</v>
      </c>
      <c r="F3200" s="1289">
        <v>44</v>
      </c>
      <c r="G3200" s="915">
        <v>0</v>
      </c>
      <c r="H3200" s="915">
        <v>0</v>
      </c>
      <c r="I3200" s="916">
        <f>ROUND(IF(AND(F3200:H3200),C3200*E3200*F3200*G3200*H3200,IF(AND(F3200,G3200),C3200*E3200*F3200*G3200,IF(AND(F3200,H3200),C3200*E3200*F3200*H3200,IF(AND(G3200,H3200),C3200*E3200*G3200*H3200,IF(F3200,C3200*E3200*F3200,IF(G3200,C3200*E3200*G3200,IF(H3200,C3200*E3200*H3200,C3200*E3200))))))),2)</f>
        <v>44</v>
      </c>
      <c r="J3200" s="909" t="s">
        <v>277</v>
      </c>
      <c r="K3200" s="902"/>
      <c r="L3200" s="896"/>
      <c r="M3200" s="902"/>
      <c r="N3200" s="900" t="s">
        <v>2297</v>
      </c>
    </row>
    <row r="3201" spans="1:14" s="910" customFormat="1" ht="16.5" hidden="1" customHeight="1">
      <c r="A3201" s="896"/>
      <c r="B3201" s="956"/>
      <c r="C3201" s="957"/>
      <c r="D3201" s="958"/>
      <c r="E3201" s="1268"/>
      <c r="F3201" s="960"/>
      <c r="G3201" s="960"/>
      <c r="H3201" s="960"/>
      <c r="I3201" s="916"/>
      <c r="J3201" s="909"/>
      <c r="K3201" s="902"/>
      <c r="L3201" s="896"/>
      <c r="M3201" s="902"/>
      <c r="N3201" s="900" t="s">
        <v>2297</v>
      </c>
    </row>
    <row r="3202" spans="1:14" ht="15.75" hidden="1">
      <c r="A3202" s="896"/>
      <c r="B3202" s="902"/>
      <c r="C3202" s="917"/>
      <c r="D3202" s="918"/>
      <c r="E3202" s="919"/>
      <c r="F3202" s="920"/>
      <c r="G3202" s="921"/>
      <c r="H3202" s="896"/>
      <c r="I3202" s="916"/>
      <c r="J3202" s="909" t="s">
        <v>277</v>
      </c>
      <c r="K3202" s="922">
        <f>'SANITATION DTA'!G239</f>
        <v>31</v>
      </c>
      <c r="L3202" s="923" t="s">
        <v>2297</v>
      </c>
      <c r="M3202" s="924">
        <f>ROUND(I3202*K3202,0)</f>
        <v>0</v>
      </c>
      <c r="N3202" s="900" t="s">
        <v>2297</v>
      </c>
    </row>
    <row r="3203" spans="1:14" ht="39.75" hidden="1" customHeight="1">
      <c r="A3203" s="896">
        <v>9</v>
      </c>
      <c r="B3203" s="1609" t="s">
        <v>352</v>
      </c>
      <c r="C3203" s="1609"/>
      <c r="D3203" s="1609"/>
      <c r="E3203" s="1609"/>
      <c r="F3203" s="1609"/>
      <c r="G3203" s="1609"/>
      <c r="H3203" s="1609"/>
      <c r="I3203" s="897"/>
      <c r="J3203" s="898"/>
      <c r="K3203" s="896"/>
      <c r="L3203" s="896"/>
      <c r="M3203" s="899"/>
      <c r="N3203" s="900" t="s">
        <v>2297</v>
      </c>
    </row>
    <row r="3204" spans="1:14" s="910" customFormat="1" ht="16.5" hidden="1" customHeight="1">
      <c r="A3204" s="896"/>
      <c r="B3204" s="902" t="s">
        <v>2772</v>
      </c>
      <c r="C3204" s="903"/>
      <c r="D3204" s="904"/>
      <c r="E3204" s="905"/>
      <c r="F3204" s="906"/>
      <c r="G3204" s="906"/>
      <c r="H3204" s="907"/>
      <c r="I3204" s="908"/>
      <c r="J3204" s="909"/>
      <c r="K3204" s="902"/>
      <c r="L3204" s="896"/>
      <c r="M3204" s="902"/>
      <c r="N3204" s="900" t="s">
        <v>2297</v>
      </c>
    </row>
    <row r="3205" spans="1:14" s="910" customFormat="1" ht="16.5" hidden="1" customHeight="1">
      <c r="A3205" s="896"/>
      <c r="B3205" s="956"/>
      <c r="C3205" s="957">
        <v>1</v>
      </c>
      <c r="D3205" s="958" t="s">
        <v>273</v>
      </c>
      <c r="E3205" s="1268">
        <v>6</v>
      </c>
      <c r="F3205" s="960">
        <f>I3199</f>
        <v>0</v>
      </c>
      <c r="G3205" s="960">
        <v>0</v>
      </c>
      <c r="H3205" s="960">
        <v>0</v>
      </c>
      <c r="I3205" s="1291">
        <f>ROUND(IF(AND(F3205:H3205),C3205*E3205*F3205*G3205*H3205,IF(AND(F3205,G3205),C3205*E3205*F3205*G3205,IF(AND(F3205,H3205),C3205*E3205*F3205*H3205,IF(AND(G3205,H3205),C3205*E3205*G3205*H3205,IF(F3205,C3205*E3205*F3205,IF(G3205,C3205*E3205*G3205,IF(H3205,C3205*E3205*H3205,C3205*E3205))))))),2)</f>
        <v>6</v>
      </c>
      <c r="J3205" s="909" t="s">
        <v>115</v>
      </c>
      <c r="K3205" s="902"/>
      <c r="L3205" s="896"/>
      <c r="M3205" s="902"/>
      <c r="N3205" s="900" t="s">
        <v>2297</v>
      </c>
    </row>
    <row r="3206" spans="1:14" s="910" customFormat="1" ht="16.5" hidden="1" customHeight="1">
      <c r="A3206" s="896"/>
      <c r="B3206" s="956"/>
      <c r="C3206" s="957"/>
      <c r="D3206" s="958"/>
      <c r="E3206" s="1268"/>
      <c r="F3206" s="960"/>
      <c r="G3206" s="960"/>
      <c r="H3206" s="960"/>
      <c r="I3206" s="1291"/>
      <c r="J3206" s="909"/>
      <c r="K3206" s="902"/>
      <c r="L3206" s="896"/>
      <c r="M3206" s="902"/>
      <c r="N3206" s="900" t="s">
        <v>2297</v>
      </c>
    </row>
    <row r="3207" spans="1:14" ht="15.75" hidden="1">
      <c r="A3207" s="896"/>
      <c r="B3207" s="902"/>
      <c r="C3207" s="917"/>
      <c r="D3207" s="918"/>
      <c r="E3207" s="919"/>
      <c r="F3207" s="920"/>
      <c r="G3207" s="921"/>
      <c r="H3207" s="896"/>
      <c r="I3207" s="1291"/>
      <c r="J3207" s="909" t="s">
        <v>115</v>
      </c>
      <c r="K3207" s="922">
        <f>'SANITATION DTA'!G208</f>
        <v>349</v>
      </c>
      <c r="L3207" s="923" t="s">
        <v>2297</v>
      </c>
      <c r="M3207" s="924">
        <f>ROUND(I3207*K3207,0)</f>
        <v>0</v>
      </c>
      <c r="N3207" s="900" t="s">
        <v>2297</v>
      </c>
    </row>
    <row r="3208" spans="1:14" ht="28.5" hidden="1" customHeight="1">
      <c r="A3208" s="896">
        <v>12</v>
      </c>
      <c r="B3208" s="1609" t="s">
        <v>2560</v>
      </c>
      <c r="C3208" s="1609"/>
      <c r="D3208" s="1609"/>
      <c r="E3208" s="1609"/>
      <c r="F3208" s="1609"/>
      <c r="G3208" s="1609"/>
      <c r="H3208" s="1609"/>
      <c r="I3208" s="897"/>
      <c r="J3208" s="898"/>
      <c r="K3208" s="896"/>
      <c r="L3208" s="896"/>
      <c r="M3208" s="899"/>
      <c r="N3208" s="900" t="s">
        <v>2297</v>
      </c>
    </row>
    <row r="3209" spans="1:14" s="910" customFormat="1" ht="16.5" hidden="1" customHeight="1">
      <c r="A3209" s="896"/>
      <c r="B3209" s="902" t="s">
        <v>2559</v>
      </c>
      <c r="C3209" s="903"/>
      <c r="D3209" s="904"/>
      <c r="E3209" s="905"/>
      <c r="F3209" s="906"/>
      <c r="G3209" s="906"/>
      <c r="H3209" s="907"/>
      <c r="I3209" s="908"/>
      <c r="J3209" s="909"/>
      <c r="K3209" s="902"/>
      <c r="L3209" s="896"/>
      <c r="M3209" s="902"/>
      <c r="N3209" s="900" t="s">
        <v>2297</v>
      </c>
    </row>
    <row r="3210" spans="1:14" s="910" customFormat="1" ht="16.5" hidden="1" customHeight="1">
      <c r="A3210" s="896"/>
      <c r="B3210" s="956"/>
      <c r="C3210" s="957">
        <v>1</v>
      </c>
      <c r="D3210" s="958" t="s">
        <v>273</v>
      </c>
      <c r="E3210" s="1268">
        <v>3</v>
      </c>
      <c r="F3210" s="960">
        <f>I3203</f>
        <v>0</v>
      </c>
      <c r="G3210" s="960">
        <v>0</v>
      </c>
      <c r="H3210" s="960">
        <v>0</v>
      </c>
      <c r="I3210" s="1291">
        <f>ROUND(IF(AND(F3210:H3210),C3210*E3210*F3210*G3210*H3210,IF(AND(F3210,G3210),C3210*E3210*F3210*G3210,IF(AND(F3210,H3210),C3210*E3210*F3210*H3210,IF(AND(G3210,H3210),C3210*E3210*G3210*H3210,IF(F3210,C3210*E3210*F3210,IF(G3210,C3210*E3210*G3210,IF(H3210,C3210*E3210*H3210,C3210*E3210))))))),2)</f>
        <v>3</v>
      </c>
      <c r="J3210" s="909" t="s">
        <v>115</v>
      </c>
      <c r="K3210" s="902"/>
      <c r="L3210" s="896"/>
      <c r="M3210" s="902"/>
      <c r="N3210" s="900" t="s">
        <v>2297</v>
      </c>
    </row>
    <row r="3211" spans="1:14" s="910" customFormat="1" ht="16.5" hidden="1" customHeight="1">
      <c r="A3211" s="896"/>
      <c r="B3211" s="956"/>
      <c r="C3211" s="957"/>
      <c r="D3211" s="958"/>
      <c r="E3211" s="1268"/>
      <c r="F3211" s="960"/>
      <c r="G3211" s="960"/>
      <c r="H3211" s="960"/>
      <c r="I3211" s="1291"/>
      <c r="J3211" s="909"/>
      <c r="K3211" s="902"/>
      <c r="L3211" s="896"/>
      <c r="M3211" s="902"/>
      <c r="N3211" s="900" t="s">
        <v>2297</v>
      </c>
    </row>
    <row r="3212" spans="1:14" ht="15.75" hidden="1">
      <c r="A3212" s="896"/>
      <c r="B3212" s="902"/>
      <c r="C3212" s="917"/>
      <c r="D3212" s="918"/>
      <c r="E3212" s="919"/>
      <c r="F3212" s="920"/>
      <c r="G3212" s="921"/>
      <c r="H3212" s="896"/>
      <c r="I3212" s="1291"/>
      <c r="J3212" s="909" t="s">
        <v>115</v>
      </c>
      <c r="K3212" s="922">
        <f>'SANITATION DTA'!G204</f>
        <v>2769</v>
      </c>
      <c r="L3212" s="923" t="s">
        <v>2297</v>
      </c>
      <c r="M3212" s="924">
        <f>ROUND(I3212*K3212,0)</f>
        <v>0</v>
      </c>
      <c r="N3212" s="900" t="s">
        <v>2297</v>
      </c>
    </row>
    <row r="3213" spans="1:14" ht="29.25" hidden="1" customHeight="1">
      <c r="A3213" s="896">
        <v>10</v>
      </c>
      <c r="B3213" s="1609" t="s">
        <v>341</v>
      </c>
      <c r="C3213" s="1609"/>
      <c r="D3213" s="1609"/>
      <c r="E3213" s="1609"/>
      <c r="F3213" s="1609"/>
      <c r="G3213" s="1609"/>
      <c r="H3213" s="1609"/>
      <c r="I3213" s="897"/>
      <c r="J3213" s="898"/>
      <c r="K3213" s="896"/>
      <c r="L3213" s="896"/>
      <c r="M3213" s="899"/>
      <c r="N3213" s="900" t="s">
        <v>2297</v>
      </c>
    </row>
    <row r="3214" spans="1:14" s="910" customFormat="1" ht="16.5" hidden="1" customHeight="1">
      <c r="A3214" s="896"/>
      <c r="B3214" s="902" t="s">
        <v>2766</v>
      </c>
      <c r="C3214" s="903"/>
      <c r="D3214" s="904"/>
      <c r="E3214" s="905"/>
      <c r="F3214" s="906"/>
      <c r="G3214" s="906"/>
      <c r="H3214" s="907"/>
      <c r="I3214" s="908"/>
      <c r="J3214" s="909"/>
      <c r="K3214" s="902"/>
      <c r="L3214" s="896"/>
      <c r="M3214" s="902"/>
      <c r="N3214" s="900" t="s">
        <v>2297</v>
      </c>
    </row>
    <row r="3215" spans="1:14" s="910" customFormat="1" ht="16.5" hidden="1" customHeight="1">
      <c r="A3215" s="896"/>
      <c r="B3215" s="911"/>
      <c r="C3215" s="912">
        <v>1</v>
      </c>
      <c r="D3215" s="913" t="s">
        <v>273</v>
      </c>
      <c r="E3215" s="914">
        <v>1</v>
      </c>
      <c r="F3215" s="915">
        <v>11.5</v>
      </c>
      <c r="G3215" s="915">
        <v>0</v>
      </c>
      <c r="H3215" s="915">
        <v>0</v>
      </c>
      <c r="I3215" s="916">
        <f>ROUND(IF(AND(F3215:H3215),C3215*E3215*F3215*G3215*H3215,IF(AND(F3215,G3215),C3215*E3215*F3215*G3215,IF(AND(F3215,H3215),C3215*E3215*F3215*H3215,IF(AND(G3215,H3215),C3215*E3215*G3215*H3215,IF(F3215,C3215*E3215*F3215,IF(G3215,C3215*E3215*G3215,IF(H3215,C3215*E3215*H3215,C3215*E3215))))))),2)</f>
        <v>11.5</v>
      </c>
      <c r="J3215" s="909" t="s">
        <v>277</v>
      </c>
      <c r="K3215" s="902"/>
      <c r="L3215" s="896"/>
      <c r="M3215" s="902"/>
      <c r="N3215" s="900" t="s">
        <v>2297</v>
      </c>
    </row>
    <row r="3216" spans="1:14" s="910" customFormat="1" ht="16.5" hidden="1" customHeight="1">
      <c r="A3216" s="896"/>
      <c r="B3216" s="956"/>
      <c r="C3216" s="957"/>
      <c r="D3216" s="958"/>
      <c r="E3216" s="1268"/>
      <c r="F3216" s="960"/>
      <c r="G3216" s="960"/>
      <c r="H3216" s="960"/>
      <c r="I3216" s="916"/>
      <c r="J3216" s="909"/>
      <c r="K3216" s="902"/>
      <c r="L3216" s="896"/>
      <c r="M3216" s="902"/>
      <c r="N3216" s="900" t="s">
        <v>2297</v>
      </c>
    </row>
    <row r="3217" spans="1:14" ht="15.75" hidden="1">
      <c r="A3217" s="896"/>
      <c r="B3217" s="902"/>
      <c r="C3217" s="917"/>
      <c r="D3217" s="918"/>
      <c r="E3217" s="919"/>
      <c r="F3217" s="920"/>
      <c r="G3217" s="921"/>
      <c r="H3217" s="896"/>
      <c r="I3217" s="916"/>
      <c r="J3217" s="909" t="s">
        <v>277</v>
      </c>
      <c r="K3217" s="922">
        <f>'SANITATION DTA'!G184</f>
        <v>136.66666666666666</v>
      </c>
      <c r="L3217" s="923" t="s">
        <v>2297</v>
      </c>
      <c r="M3217" s="924">
        <f>ROUND(I3217*K3217,0)</f>
        <v>0</v>
      </c>
      <c r="N3217" s="900" t="s">
        <v>2297</v>
      </c>
    </row>
    <row r="3218" spans="1:14" ht="29.25" hidden="1" customHeight="1">
      <c r="A3218" s="896">
        <v>4</v>
      </c>
      <c r="B3218" s="1609" t="s">
        <v>346</v>
      </c>
      <c r="C3218" s="1609"/>
      <c r="D3218" s="1609"/>
      <c r="E3218" s="1609"/>
      <c r="F3218" s="1609"/>
      <c r="G3218" s="1609"/>
      <c r="H3218" s="1609"/>
      <c r="I3218" s="897"/>
      <c r="J3218" s="898"/>
      <c r="K3218" s="896"/>
      <c r="L3218" s="896"/>
      <c r="M3218" s="899"/>
      <c r="N3218" s="900" t="s">
        <v>2297</v>
      </c>
    </row>
    <row r="3219" spans="1:14" s="910" customFormat="1" ht="16.5" hidden="1" customHeight="1">
      <c r="A3219" s="896"/>
      <c r="B3219" s="902" t="s">
        <v>2324</v>
      </c>
      <c r="C3219" s="903"/>
      <c r="D3219" s="904"/>
      <c r="E3219" s="905"/>
      <c r="F3219" s="906"/>
      <c r="G3219" s="906"/>
      <c r="H3219" s="907"/>
      <c r="I3219" s="908"/>
      <c r="J3219" s="909"/>
      <c r="K3219" s="902"/>
      <c r="L3219" s="896"/>
      <c r="M3219" s="902"/>
      <c r="N3219" s="900" t="s">
        <v>2297</v>
      </c>
    </row>
    <row r="3220" spans="1:14" s="910" customFormat="1" ht="16.5" hidden="1" customHeight="1">
      <c r="A3220" s="896"/>
      <c r="B3220" s="911"/>
      <c r="C3220" s="912">
        <v>1</v>
      </c>
      <c r="D3220" s="913" t="s">
        <v>273</v>
      </c>
      <c r="E3220" s="914">
        <v>1</v>
      </c>
      <c r="F3220" s="915">
        <v>18</v>
      </c>
      <c r="G3220" s="915">
        <v>0</v>
      </c>
      <c r="H3220" s="915">
        <v>0</v>
      </c>
      <c r="I3220" s="916">
        <f>ROUND(IF(AND(F3220:H3220),C3220*E3220*F3220*G3220*H3220,IF(AND(F3220,G3220),C3220*E3220*F3220*G3220,IF(AND(F3220,H3220),C3220*E3220*F3220*H3220,IF(AND(G3220,H3220),C3220*E3220*G3220*H3220,IF(F3220,C3220*E3220*F3220,IF(G3220,C3220*E3220*G3220,IF(H3220,C3220*E3220*H3220,C3220*E3220))))))),2)</f>
        <v>18</v>
      </c>
      <c r="J3220" s="909" t="s">
        <v>277</v>
      </c>
      <c r="K3220" s="902"/>
      <c r="L3220" s="896"/>
      <c r="M3220" s="902"/>
      <c r="N3220" s="900" t="s">
        <v>2297</v>
      </c>
    </row>
    <row r="3221" spans="1:14" s="910" customFormat="1" ht="16.5" hidden="1" customHeight="1">
      <c r="A3221" s="896"/>
      <c r="B3221" s="911"/>
      <c r="C3221" s="912"/>
      <c r="D3221" s="913"/>
      <c r="E3221" s="914"/>
      <c r="F3221" s="915"/>
      <c r="G3221" s="915"/>
      <c r="H3221" s="915"/>
      <c r="I3221" s="916"/>
      <c r="J3221" s="909"/>
      <c r="K3221" s="902"/>
      <c r="L3221" s="896"/>
      <c r="M3221" s="902"/>
      <c r="N3221" s="900" t="s">
        <v>2297</v>
      </c>
    </row>
    <row r="3222" spans="1:14" ht="15.75" hidden="1">
      <c r="A3222" s="896"/>
      <c r="B3222" s="902"/>
      <c r="C3222" s="917"/>
      <c r="D3222" s="918"/>
      <c r="E3222" s="919"/>
      <c r="F3222" s="920"/>
      <c r="G3222" s="921"/>
      <c r="H3222" s="896"/>
      <c r="I3222" s="916"/>
      <c r="J3222" s="909" t="s">
        <v>277</v>
      </c>
      <c r="K3222" s="922">
        <f>'SANITATION DTA'!G190</f>
        <v>129.66666666666666</v>
      </c>
      <c r="L3222" s="923" t="s">
        <v>2297</v>
      </c>
      <c r="M3222" s="924">
        <f>ROUND(I3222*K3222,0)</f>
        <v>0</v>
      </c>
      <c r="N3222" s="900" t="s">
        <v>2297</v>
      </c>
    </row>
    <row r="3223" spans="1:14" ht="29.25" hidden="1" customHeight="1">
      <c r="A3223" s="896">
        <v>11</v>
      </c>
      <c r="B3223" s="1609" t="s">
        <v>348</v>
      </c>
      <c r="C3223" s="1609"/>
      <c r="D3223" s="1609"/>
      <c r="E3223" s="1609"/>
      <c r="F3223" s="1609"/>
      <c r="G3223" s="1609"/>
      <c r="H3223" s="1609"/>
      <c r="I3223" s="897"/>
      <c r="J3223" s="898"/>
      <c r="K3223" s="896"/>
      <c r="L3223" s="896"/>
      <c r="M3223" s="899"/>
      <c r="N3223" s="900" t="s">
        <v>2297</v>
      </c>
    </row>
    <row r="3224" spans="1:14" s="910" customFormat="1" ht="16.5" hidden="1" customHeight="1">
      <c r="A3224" s="896"/>
      <c r="B3224" s="902" t="s">
        <v>2766</v>
      </c>
      <c r="C3224" s="903"/>
      <c r="D3224" s="904"/>
      <c r="E3224" s="905"/>
      <c r="F3224" s="906"/>
      <c r="G3224" s="906"/>
      <c r="H3224" s="907"/>
      <c r="I3224" s="908"/>
      <c r="J3224" s="909"/>
      <c r="K3224" s="902"/>
      <c r="L3224" s="896"/>
      <c r="M3224" s="902"/>
      <c r="N3224" s="900" t="s">
        <v>2297</v>
      </c>
    </row>
    <row r="3225" spans="1:14" s="910" customFormat="1" ht="16.5" hidden="1" customHeight="1">
      <c r="A3225" s="896"/>
      <c r="B3225" s="911"/>
      <c r="C3225" s="912">
        <v>1</v>
      </c>
      <c r="D3225" s="913" t="s">
        <v>273</v>
      </c>
      <c r="E3225" s="914">
        <v>1</v>
      </c>
      <c r="F3225" s="1289">
        <v>18</v>
      </c>
      <c r="G3225" s="915">
        <v>0</v>
      </c>
      <c r="H3225" s="915">
        <v>0</v>
      </c>
      <c r="I3225" s="916">
        <f>ROUND(IF(AND(F3225:H3225),C3225*E3225*F3225*G3225*H3225,IF(AND(F3225,G3225),C3225*E3225*F3225*G3225,IF(AND(F3225,H3225),C3225*E3225*F3225*H3225,IF(AND(G3225,H3225),C3225*E3225*G3225*H3225,IF(F3225,C3225*E3225*F3225,IF(G3225,C3225*E3225*G3225,IF(H3225,C3225*E3225*H3225,C3225*E3225))))))),2)</f>
        <v>18</v>
      </c>
      <c r="J3225" s="909" t="s">
        <v>277</v>
      </c>
      <c r="K3225" s="902"/>
      <c r="L3225" s="896"/>
      <c r="M3225" s="902"/>
      <c r="N3225" s="900" t="s">
        <v>2297</v>
      </c>
    </row>
    <row r="3226" spans="1:14" s="910" customFormat="1" ht="16.5" hidden="1" customHeight="1">
      <c r="A3226" s="896"/>
      <c r="B3226" s="956"/>
      <c r="C3226" s="957"/>
      <c r="D3226" s="958"/>
      <c r="E3226" s="1268"/>
      <c r="F3226" s="960"/>
      <c r="G3226" s="960"/>
      <c r="H3226" s="960"/>
      <c r="I3226" s="916"/>
      <c r="J3226" s="909"/>
      <c r="K3226" s="902"/>
      <c r="L3226" s="896"/>
      <c r="M3226" s="902"/>
      <c r="N3226" s="900" t="s">
        <v>2297</v>
      </c>
    </row>
    <row r="3227" spans="1:14" ht="15.75" hidden="1">
      <c r="A3227" s="896"/>
      <c r="B3227" s="902"/>
      <c r="C3227" s="917"/>
      <c r="D3227" s="918"/>
      <c r="E3227" s="919"/>
      <c r="F3227" s="920"/>
      <c r="G3227" s="921"/>
      <c r="H3227" s="896"/>
      <c r="I3227" s="916"/>
      <c r="J3227" s="909" t="s">
        <v>277</v>
      </c>
      <c r="K3227" s="922">
        <f>'SANITATION DTA'!G196</f>
        <v>81.333333333333329</v>
      </c>
      <c r="L3227" s="923" t="s">
        <v>2297</v>
      </c>
      <c r="M3227" s="924">
        <f>ROUND(I3227*K3227,0)</f>
        <v>0</v>
      </c>
      <c r="N3227" s="900" t="s">
        <v>2297</v>
      </c>
    </row>
    <row r="3228" spans="1:14" ht="53.25" hidden="1" customHeight="1">
      <c r="A3228" s="896">
        <v>12</v>
      </c>
      <c r="B3228" s="1609" t="s">
        <v>350</v>
      </c>
      <c r="C3228" s="1609"/>
      <c r="D3228" s="1609"/>
      <c r="E3228" s="1609"/>
      <c r="F3228" s="1609"/>
      <c r="G3228" s="1609"/>
      <c r="H3228" s="1609"/>
      <c r="I3228" s="897"/>
      <c r="J3228" s="898"/>
      <c r="K3228" s="896"/>
      <c r="L3228" s="896"/>
      <c r="M3228" s="899"/>
      <c r="N3228" s="900" t="s">
        <v>2297</v>
      </c>
    </row>
    <row r="3229" spans="1:14" s="910" customFormat="1" ht="16.5" hidden="1" customHeight="1">
      <c r="A3229" s="896"/>
      <c r="B3229" s="902" t="s">
        <v>2767</v>
      </c>
      <c r="C3229" s="903"/>
      <c r="D3229" s="904"/>
      <c r="E3229" s="905"/>
      <c r="F3229" s="906"/>
      <c r="G3229" s="906"/>
      <c r="H3229" s="907"/>
      <c r="I3229" s="908"/>
      <c r="J3229" s="909"/>
      <c r="K3229" s="902"/>
      <c r="L3229" s="896"/>
      <c r="M3229" s="902"/>
      <c r="N3229" s="900" t="s">
        <v>2297</v>
      </c>
    </row>
    <row r="3230" spans="1:14" s="910" customFormat="1" ht="16.5" hidden="1" customHeight="1">
      <c r="A3230" s="896"/>
      <c r="B3230" s="911" t="s">
        <v>425</v>
      </c>
      <c r="C3230" s="912">
        <v>1</v>
      </c>
      <c r="D3230" s="913" t="s">
        <v>273</v>
      </c>
      <c r="E3230" s="914">
        <v>1</v>
      </c>
      <c r="F3230" s="915">
        <v>11.5</v>
      </c>
      <c r="G3230" s="915">
        <v>0</v>
      </c>
      <c r="H3230" s="915">
        <v>0</v>
      </c>
      <c r="I3230" s="916">
        <f>ROUND(IF(AND(F3230:H3230),C3230*E3230*F3230*G3230*H3230,IF(AND(F3230,G3230),C3230*E3230*F3230*G3230,IF(AND(F3230,H3230),C3230*E3230*F3230*H3230,IF(AND(G3230,H3230),C3230*E3230*G3230*H3230,IF(F3230,C3230*E3230*F3230,IF(G3230,C3230*E3230*G3230,IF(H3230,C3230*E3230*H3230,C3230*E3230))))))),2)</f>
        <v>11.5</v>
      </c>
      <c r="J3230" s="909" t="s">
        <v>277</v>
      </c>
      <c r="K3230" s="902"/>
      <c r="L3230" s="896"/>
      <c r="M3230" s="902"/>
      <c r="N3230" s="900" t="s">
        <v>2297</v>
      </c>
    </row>
    <row r="3231" spans="1:14" s="910" customFormat="1" ht="16.5" hidden="1" customHeight="1">
      <c r="A3231" s="896"/>
      <c r="B3231" s="911" t="s">
        <v>887</v>
      </c>
      <c r="C3231" s="912">
        <v>1</v>
      </c>
      <c r="D3231" s="913" t="s">
        <v>273</v>
      </c>
      <c r="E3231" s="914">
        <v>1</v>
      </c>
      <c r="F3231" s="915">
        <v>18</v>
      </c>
      <c r="G3231" s="915">
        <v>0</v>
      </c>
      <c r="H3231" s="915">
        <v>0</v>
      </c>
      <c r="I3231" s="916">
        <f>ROUND(IF(AND(F3231:H3231),C3231*E3231*F3231*G3231*H3231,IF(AND(F3231,G3231),C3231*E3231*F3231*G3231,IF(AND(F3231,H3231),C3231*E3231*F3231*H3231,IF(AND(G3231,H3231),C3231*E3231*G3231*H3231,IF(F3231,C3231*E3231*F3231,IF(G3231,C3231*E3231*G3231,IF(H3231,C3231*E3231*H3231,C3231*E3231))))))),2)</f>
        <v>18</v>
      </c>
      <c r="J3231" s="909" t="s">
        <v>277</v>
      </c>
      <c r="K3231" s="902"/>
      <c r="L3231" s="896"/>
      <c r="M3231" s="902"/>
      <c r="N3231" s="900" t="s">
        <v>2297</v>
      </c>
    </row>
    <row r="3232" spans="1:14" s="910" customFormat="1" ht="16.5" hidden="1" customHeight="1">
      <c r="A3232" s="896"/>
      <c r="B3232" s="956"/>
      <c r="C3232" s="957"/>
      <c r="D3232" s="958"/>
      <c r="E3232" s="1268"/>
      <c r="F3232" s="960"/>
      <c r="G3232" s="960"/>
      <c r="H3232" s="960"/>
      <c r="I3232" s="916"/>
      <c r="J3232" s="909"/>
      <c r="K3232" s="902"/>
      <c r="L3232" s="896"/>
      <c r="M3232" s="902"/>
      <c r="N3232" s="900" t="s">
        <v>2297</v>
      </c>
    </row>
    <row r="3233" spans="1:14" ht="15.75" hidden="1">
      <c r="A3233" s="896"/>
      <c r="B3233" s="902"/>
      <c r="C3233" s="917"/>
      <c r="D3233" s="918"/>
      <c r="E3233" s="919"/>
      <c r="F3233" s="920"/>
      <c r="G3233" s="921"/>
      <c r="H3233" s="896"/>
      <c r="I3233" s="916"/>
      <c r="J3233" s="909" t="s">
        <v>277</v>
      </c>
      <c r="K3233" s="922">
        <f>'SANITATION DTA'!G200</f>
        <v>70</v>
      </c>
      <c r="L3233" s="923" t="s">
        <v>2297</v>
      </c>
      <c r="M3233" s="924">
        <f>ROUND(I3233*K3233,0)</f>
        <v>0</v>
      </c>
      <c r="N3233" s="900" t="s">
        <v>2297</v>
      </c>
    </row>
    <row r="3234" spans="1:14" ht="66" hidden="1" customHeight="1">
      <c r="A3234" s="896">
        <v>13</v>
      </c>
      <c r="B3234" s="1609" t="s">
        <v>328</v>
      </c>
      <c r="C3234" s="1609"/>
      <c r="D3234" s="1609"/>
      <c r="E3234" s="1609"/>
      <c r="F3234" s="1609"/>
      <c r="G3234" s="1609"/>
      <c r="H3234" s="1609"/>
      <c r="I3234" s="897"/>
      <c r="J3234" s="898"/>
      <c r="K3234" s="896"/>
      <c r="L3234" s="896"/>
      <c r="M3234" s="899"/>
      <c r="N3234" s="900" t="s">
        <v>2297</v>
      </c>
    </row>
    <row r="3235" spans="1:14" s="910" customFormat="1" ht="16.5" hidden="1" customHeight="1">
      <c r="A3235" s="896"/>
      <c r="B3235" s="902" t="s">
        <v>2768</v>
      </c>
      <c r="C3235" s="903"/>
      <c r="D3235" s="904"/>
      <c r="E3235" s="905"/>
      <c r="F3235" s="906"/>
      <c r="G3235" s="906"/>
      <c r="H3235" s="907"/>
      <c r="I3235" s="908"/>
      <c r="J3235" s="909"/>
      <c r="K3235" s="902"/>
      <c r="L3235" s="896"/>
      <c r="M3235" s="902"/>
      <c r="N3235" s="900" t="s">
        <v>2297</v>
      </c>
    </row>
    <row r="3236" spans="1:14" s="910" customFormat="1" ht="16.5" hidden="1" customHeight="1">
      <c r="A3236" s="896"/>
      <c r="B3236" s="911" t="s">
        <v>310</v>
      </c>
      <c r="C3236" s="912">
        <v>1</v>
      </c>
      <c r="D3236" s="913" t="s">
        <v>273</v>
      </c>
      <c r="E3236" s="914">
        <v>3</v>
      </c>
      <c r="F3236" s="915">
        <v>0</v>
      </c>
      <c r="G3236" s="915">
        <v>0</v>
      </c>
      <c r="H3236" s="915">
        <v>0</v>
      </c>
      <c r="I3236" s="1291">
        <f>ROUND(IF(AND(F3236:H3236),C3236*E3236*F3236*G3236*H3236,IF(AND(F3236,G3236),C3236*E3236*F3236*G3236,IF(AND(F3236,H3236),C3236*E3236*F3236*H3236,IF(AND(G3236,H3236),C3236*E3236*G3236*H3236,IF(F3236,C3236*E3236*F3236,IF(G3236,C3236*E3236*G3236,IF(H3236,C3236*E3236*H3236,C3236*E3236))))))),2)</f>
        <v>3</v>
      </c>
      <c r="J3236" s="909" t="s">
        <v>115</v>
      </c>
      <c r="K3236" s="902"/>
      <c r="L3236" s="896"/>
      <c r="M3236" s="902"/>
      <c r="N3236" s="900" t="s">
        <v>2297</v>
      </c>
    </row>
    <row r="3237" spans="1:14" s="910" customFormat="1" ht="16.5" hidden="1" customHeight="1">
      <c r="A3237" s="896"/>
      <c r="B3237" s="956"/>
      <c r="C3237" s="957"/>
      <c r="D3237" s="958"/>
      <c r="E3237" s="1268"/>
      <c r="F3237" s="960"/>
      <c r="G3237" s="960"/>
      <c r="H3237" s="960"/>
      <c r="I3237" s="1291"/>
      <c r="J3237" s="909"/>
      <c r="K3237" s="902"/>
      <c r="L3237" s="896"/>
      <c r="M3237" s="902"/>
      <c r="N3237" s="900" t="s">
        <v>2297</v>
      </c>
    </row>
    <row r="3238" spans="1:14" ht="15.75" hidden="1">
      <c r="A3238" s="896"/>
      <c r="B3238" s="902"/>
      <c r="C3238" s="917"/>
      <c r="D3238" s="918"/>
      <c r="E3238" s="919"/>
      <c r="F3238" s="920"/>
      <c r="G3238" s="921"/>
      <c r="H3238" s="896"/>
      <c r="I3238" s="1291"/>
      <c r="J3238" s="909" t="s">
        <v>115</v>
      </c>
      <c r="K3238" s="922">
        <f>'SANITATION DTA'!G160</f>
        <v>4776</v>
      </c>
      <c r="L3238" s="923" t="s">
        <v>2297</v>
      </c>
      <c r="M3238" s="924">
        <f>ROUND(I3238*K3238,0)</f>
        <v>0</v>
      </c>
      <c r="N3238" s="900" t="s">
        <v>2297</v>
      </c>
    </row>
    <row r="3239" spans="1:14" ht="36" hidden="1" customHeight="1">
      <c r="A3239" s="896">
        <v>8</v>
      </c>
      <c r="B3239" s="1609" t="s">
        <v>608</v>
      </c>
      <c r="C3239" s="1609"/>
      <c r="D3239" s="1609"/>
      <c r="E3239" s="1609"/>
      <c r="F3239" s="1609"/>
      <c r="G3239" s="1609"/>
      <c r="H3239" s="1609"/>
      <c r="I3239" s="897"/>
      <c r="J3239" s="898"/>
      <c r="K3239" s="896"/>
      <c r="L3239" s="896"/>
      <c r="M3239" s="899"/>
      <c r="N3239" s="900" t="s">
        <v>2297</v>
      </c>
    </row>
    <row r="3240" spans="1:14" s="910" customFormat="1" ht="16.5" hidden="1" customHeight="1">
      <c r="A3240" s="896"/>
      <c r="B3240" s="980" t="s">
        <v>607</v>
      </c>
      <c r="C3240" s="903"/>
      <c r="D3240" s="904"/>
      <c r="E3240" s="905"/>
      <c r="F3240" s="906"/>
      <c r="G3240" s="906"/>
      <c r="H3240" s="907"/>
      <c r="I3240" s="908"/>
      <c r="J3240" s="909"/>
      <c r="K3240" s="902"/>
      <c r="L3240" s="896"/>
      <c r="M3240" s="902"/>
      <c r="N3240" s="900" t="s">
        <v>2297</v>
      </c>
    </row>
    <row r="3241" spans="1:14" s="910" customFormat="1" ht="16.5" hidden="1" customHeight="1">
      <c r="A3241" s="896"/>
      <c r="B3241" s="956" t="s">
        <v>310</v>
      </c>
      <c r="C3241" s="957">
        <v>1</v>
      </c>
      <c r="D3241" s="958" t="s">
        <v>273</v>
      </c>
      <c r="E3241" s="1268">
        <v>1</v>
      </c>
      <c r="F3241" s="960">
        <v>0</v>
      </c>
      <c r="G3241" s="960">
        <v>0</v>
      </c>
      <c r="H3241" s="960">
        <v>0</v>
      </c>
      <c r="I3241" s="1291">
        <f>ROUND(IF(AND(F3241:H3241),C3241*E3241*F3241*G3241*H3241,IF(AND(F3241,G3241),C3241*E3241*F3241*G3241,IF(AND(F3241,H3241),C3241*E3241*F3241*H3241,IF(AND(G3241,H3241),C3241*E3241*G3241*H3241,IF(F3241,C3241*E3241*F3241,IF(G3241,C3241*E3241*G3241,IF(H3241,C3241*E3241*H3241,C3241*E3241))))))),2)</f>
        <v>1</v>
      </c>
      <c r="J3241" s="909" t="s">
        <v>115</v>
      </c>
      <c r="K3241" s="902"/>
      <c r="L3241" s="896"/>
      <c r="M3241" s="902"/>
      <c r="N3241" s="900" t="s">
        <v>2297</v>
      </c>
    </row>
    <row r="3242" spans="1:14" s="910" customFormat="1" ht="16.5" hidden="1" customHeight="1">
      <c r="A3242" s="896"/>
      <c r="B3242" s="956"/>
      <c r="C3242" s="957"/>
      <c r="D3242" s="958"/>
      <c r="E3242" s="1268"/>
      <c r="F3242" s="960"/>
      <c r="G3242" s="960"/>
      <c r="H3242" s="960"/>
      <c r="I3242" s="1291"/>
      <c r="J3242" s="909"/>
      <c r="K3242" s="902"/>
      <c r="L3242" s="896"/>
      <c r="M3242" s="902"/>
      <c r="N3242" s="900" t="s">
        <v>2297</v>
      </c>
    </row>
    <row r="3243" spans="1:14" ht="15.75" hidden="1">
      <c r="A3243" s="896"/>
      <c r="B3243" s="902"/>
      <c r="C3243" s="917"/>
      <c r="D3243" s="918"/>
      <c r="E3243" s="919"/>
      <c r="F3243" s="920"/>
      <c r="G3243" s="921"/>
      <c r="H3243" s="896"/>
      <c r="I3243" s="1291"/>
      <c r="J3243" s="909" t="s">
        <v>115</v>
      </c>
      <c r="K3243" s="922">
        <f>'SANITATION DTA'!G163</f>
        <v>934</v>
      </c>
      <c r="L3243" s="923" t="s">
        <v>2297</v>
      </c>
      <c r="M3243" s="924">
        <f>ROUND(I3243*K3243,0)</f>
        <v>0</v>
      </c>
      <c r="N3243" s="900" t="s">
        <v>2297</v>
      </c>
    </row>
    <row r="3244" spans="1:14" ht="57" hidden="1" customHeight="1">
      <c r="A3244" s="896">
        <v>17</v>
      </c>
      <c r="B3244" s="1609" t="s">
        <v>1253</v>
      </c>
      <c r="C3244" s="1609"/>
      <c r="D3244" s="1609"/>
      <c r="E3244" s="1609"/>
      <c r="F3244" s="1609"/>
      <c r="G3244" s="1609"/>
      <c r="H3244" s="1609"/>
      <c r="I3244" s="897"/>
      <c r="J3244" s="898"/>
      <c r="K3244" s="896"/>
      <c r="L3244" s="896"/>
      <c r="M3244" s="899"/>
      <c r="N3244" s="900" t="s">
        <v>2297</v>
      </c>
    </row>
    <row r="3245" spans="1:14" s="910" customFormat="1" ht="16.5" hidden="1" customHeight="1">
      <c r="A3245" s="896"/>
      <c r="B3245" s="902" t="s">
        <v>2559</v>
      </c>
      <c r="C3245" s="903"/>
      <c r="D3245" s="904"/>
      <c r="E3245" s="905"/>
      <c r="F3245" s="906"/>
      <c r="G3245" s="906"/>
      <c r="H3245" s="907"/>
      <c r="I3245" s="908"/>
      <c r="J3245" s="909"/>
      <c r="K3245" s="902"/>
      <c r="L3245" s="896"/>
      <c r="M3245" s="902"/>
      <c r="N3245" s="900" t="s">
        <v>2297</v>
      </c>
    </row>
    <row r="3246" spans="1:14" s="910" customFormat="1" ht="16.5" hidden="1" customHeight="1">
      <c r="A3246" s="896"/>
      <c r="B3246" s="956" t="s">
        <v>688</v>
      </c>
      <c r="C3246" s="957">
        <v>1</v>
      </c>
      <c r="D3246" s="958" t="s">
        <v>273</v>
      </c>
      <c r="E3246" s="1268">
        <v>1</v>
      </c>
      <c r="F3246" s="960">
        <v>0</v>
      </c>
      <c r="G3246" s="960">
        <v>0</v>
      </c>
      <c r="H3246" s="960">
        <v>0</v>
      </c>
      <c r="I3246" s="916">
        <f>ROUND(IF(AND(F3246:H3246),C3246*E3246*F3246*G3246*H3246,IF(AND(F3246,G3246),C3246*E3246*F3246*G3246,IF(AND(F3246,H3246),C3246*E3246*F3246*H3246,IF(AND(G3246,H3246),C3246*E3246*G3246*H3246,IF(F3246,C3246*E3246*F3246,IF(G3246,C3246*E3246*G3246,IF(H3246,C3246*E3246*H3246,C3246*E3246))))))),2)</f>
        <v>1</v>
      </c>
      <c r="J3246" s="909" t="s">
        <v>115</v>
      </c>
      <c r="K3246" s="902"/>
      <c r="L3246" s="896"/>
      <c r="M3246" s="902"/>
      <c r="N3246" s="900" t="s">
        <v>2297</v>
      </c>
    </row>
    <row r="3247" spans="1:14" s="910" customFormat="1" ht="16.5" hidden="1" customHeight="1">
      <c r="A3247" s="896"/>
      <c r="B3247" s="956"/>
      <c r="C3247" s="957"/>
      <c r="D3247" s="958"/>
      <c r="E3247" s="1268"/>
      <c r="F3247" s="960"/>
      <c r="G3247" s="960"/>
      <c r="H3247" s="960"/>
      <c r="I3247" s="1291"/>
      <c r="J3247" s="909"/>
      <c r="K3247" s="902"/>
      <c r="L3247" s="896"/>
      <c r="M3247" s="902"/>
      <c r="N3247" s="900" t="s">
        <v>2297</v>
      </c>
    </row>
    <row r="3248" spans="1:14" ht="15.75" hidden="1">
      <c r="A3248" s="896"/>
      <c r="B3248" s="902"/>
      <c r="C3248" s="917"/>
      <c r="D3248" s="918"/>
      <c r="E3248" s="919"/>
      <c r="F3248" s="920"/>
      <c r="G3248" s="921"/>
      <c r="H3248" s="896"/>
      <c r="I3248" s="1291"/>
      <c r="J3248" s="909" t="s">
        <v>115</v>
      </c>
      <c r="K3248" s="922">
        <f>'SANITATION DTA'!G166</f>
        <v>2385</v>
      </c>
      <c r="L3248" s="923" t="s">
        <v>2297</v>
      </c>
      <c r="M3248" s="924">
        <f>ROUND(I3248*K3248,0)</f>
        <v>0</v>
      </c>
      <c r="N3248" s="900" t="s">
        <v>2297</v>
      </c>
    </row>
    <row r="3249" spans="1:14" ht="132.75" hidden="1" customHeight="1">
      <c r="A3249" s="896">
        <v>14</v>
      </c>
      <c r="B3249" s="1609" t="s">
        <v>333</v>
      </c>
      <c r="C3249" s="1609"/>
      <c r="D3249" s="1609"/>
      <c r="E3249" s="1609"/>
      <c r="F3249" s="1609"/>
      <c r="G3249" s="1609"/>
      <c r="H3249" s="1609"/>
      <c r="I3249" s="897"/>
      <c r="J3249" s="898"/>
      <c r="K3249" s="896"/>
      <c r="L3249" s="896"/>
      <c r="M3249" s="899"/>
      <c r="N3249" s="900" t="s">
        <v>2297</v>
      </c>
    </row>
    <row r="3250" spans="1:14" s="910" customFormat="1" ht="16.5" hidden="1" customHeight="1">
      <c r="A3250" s="896"/>
      <c r="B3250" s="902" t="s">
        <v>2769</v>
      </c>
      <c r="C3250" s="903"/>
      <c r="D3250" s="904"/>
      <c r="E3250" s="905"/>
      <c r="F3250" s="906"/>
      <c r="G3250" s="906"/>
      <c r="H3250" s="907"/>
      <c r="I3250" s="908"/>
      <c r="J3250" s="909"/>
      <c r="K3250" s="902"/>
      <c r="L3250" s="896"/>
      <c r="M3250" s="902"/>
      <c r="N3250" s="900" t="s">
        <v>2297</v>
      </c>
    </row>
    <row r="3251" spans="1:14" s="910" customFormat="1" ht="16.5" hidden="1" customHeight="1">
      <c r="A3251" s="896"/>
      <c r="B3251" s="911"/>
      <c r="C3251" s="912">
        <v>1</v>
      </c>
      <c r="D3251" s="913" t="s">
        <v>273</v>
      </c>
      <c r="E3251" s="914">
        <v>3</v>
      </c>
      <c r="F3251" s="915">
        <v>0</v>
      </c>
      <c r="G3251" s="915">
        <v>0</v>
      </c>
      <c r="H3251" s="915">
        <v>0</v>
      </c>
      <c r="I3251" s="1291">
        <f>ROUND(IF(AND(F3251:H3251),C3251*E3251*F3251*G3251*H3251,IF(AND(F3251,G3251),C3251*E3251*F3251*G3251,IF(AND(F3251,H3251),C3251*E3251*F3251*H3251,IF(AND(G3251,H3251),C3251*E3251*G3251*H3251,IF(F3251,C3251*E3251*F3251,IF(G3251,C3251*E3251*G3251,IF(H3251,C3251*E3251*H3251,C3251*E3251))))))),2)</f>
        <v>3</v>
      </c>
      <c r="J3251" s="909" t="s">
        <v>115</v>
      </c>
      <c r="K3251" s="902"/>
      <c r="L3251" s="896"/>
      <c r="M3251" s="902"/>
      <c r="N3251" s="900" t="s">
        <v>2297</v>
      </c>
    </row>
    <row r="3252" spans="1:14" s="910" customFormat="1" ht="16.5" hidden="1" customHeight="1">
      <c r="A3252" s="896"/>
      <c r="B3252" s="911"/>
      <c r="C3252" s="912"/>
      <c r="D3252" s="913"/>
      <c r="E3252" s="914"/>
      <c r="F3252" s="915"/>
      <c r="G3252" s="915"/>
      <c r="H3252" s="915"/>
      <c r="I3252" s="1291"/>
      <c r="J3252" s="909"/>
      <c r="K3252" s="902"/>
      <c r="L3252" s="896"/>
      <c r="M3252" s="902"/>
      <c r="N3252" s="900" t="s">
        <v>2297</v>
      </c>
    </row>
    <row r="3253" spans="1:14" ht="15.75" hidden="1">
      <c r="A3253" s="896"/>
      <c r="B3253" s="902"/>
      <c r="C3253" s="917"/>
      <c r="D3253" s="918"/>
      <c r="E3253" s="919"/>
      <c r="F3253" s="920"/>
      <c r="G3253" s="921"/>
      <c r="H3253" s="896"/>
      <c r="I3253" s="1291"/>
      <c r="J3253" s="909" t="s">
        <v>115</v>
      </c>
      <c r="K3253" s="922">
        <f>'SANITATION DTA'!G174</f>
        <v>1827</v>
      </c>
      <c r="L3253" s="923" t="s">
        <v>2297</v>
      </c>
      <c r="M3253" s="924">
        <f>ROUND(I3253*K3253,0)</f>
        <v>0</v>
      </c>
      <c r="N3253" s="900" t="s">
        <v>2297</v>
      </c>
    </row>
    <row r="3254" spans="1:14" ht="21.75" hidden="1" customHeight="1">
      <c r="A3254" s="896">
        <v>15</v>
      </c>
      <c r="B3254" s="1612" t="s">
        <v>718</v>
      </c>
      <c r="C3254" s="1613"/>
      <c r="D3254" s="1613"/>
      <c r="E3254" s="1613"/>
      <c r="F3254" s="1613"/>
      <c r="G3254" s="1613"/>
      <c r="H3254" s="1614"/>
      <c r="I3254" s="1291"/>
      <c r="J3254" s="898"/>
      <c r="K3254" s="896"/>
      <c r="L3254" s="896"/>
      <c r="M3254" s="899"/>
      <c r="N3254" s="900" t="s">
        <v>2297</v>
      </c>
    </row>
    <row r="3255" spans="1:14" s="910" customFormat="1" ht="16.5" hidden="1" customHeight="1">
      <c r="A3255" s="896"/>
      <c r="B3255" s="902" t="s">
        <v>2772</v>
      </c>
      <c r="C3255" s="903"/>
      <c r="D3255" s="904"/>
      <c r="E3255" s="905"/>
      <c r="F3255" s="906"/>
      <c r="G3255" s="906"/>
      <c r="H3255" s="907"/>
      <c r="I3255" s="1302"/>
      <c r="J3255" s="909"/>
      <c r="K3255" s="902"/>
      <c r="L3255" s="896"/>
      <c r="M3255" s="902"/>
      <c r="N3255" s="900" t="s">
        <v>2297</v>
      </c>
    </row>
    <row r="3256" spans="1:14" s="910" customFormat="1" ht="16.5" hidden="1" customHeight="1">
      <c r="A3256" s="896"/>
      <c r="B3256" s="956"/>
      <c r="C3256" s="957">
        <v>1</v>
      </c>
      <c r="D3256" s="958" t="s">
        <v>273</v>
      </c>
      <c r="E3256" s="1268">
        <v>4</v>
      </c>
      <c r="F3256" s="960">
        <v>0</v>
      </c>
      <c r="G3256" s="960">
        <v>0</v>
      </c>
      <c r="H3256" s="960">
        <v>0</v>
      </c>
      <c r="I3256" s="1291">
        <f>ROUND(IF(AND(F3256:H3256),C3256*E3256*F3256*G3256*H3256,IF(AND(F3256,G3256),C3256*E3256*F3256*G3256,IF(AND(F3256,H3256),C3256*E3256*F3256*H3256,IF(AND(G3256,H3256),C3256*E3256*G3256*H3256,IF(F3256,C3256*E3256*F3256,IF(G3256,C3256*E3256*G3256,IF(H3256,C3256*E3256*H3256,C3256*E3256))))))),2)</f>
        <v>4</v>
      </c>
      <c r="J3256" s="909" t="s">
        <v>115</v>
      </c>
      <c r="K3256" s="902"/>
      <c r="L3256" s="896"/>
      <c r="M3256" s="902"/>
      <c r="N3256" s="900" t="s">
        <v>2297</v>
      </c>
    </row>
    <row r="3257" spans="1:14" s="910" customFormat="1" ht="16.5" hidden="1" customHeight="1">
      <c r="A3257" s="896"/>
      <c r="B3257" s="956"/>
      <c r="C3257" s="957"/>
      <c r="D3257" s="958"/>
      <c r="E3257" s="1268"/>
      <c r="F3257" s="960"/>
      <c r="G3257" s="960"/>
      <c r="H3257" s="960"/>
      <c r="I3257" s="1291"/>
      <c r="J3257" s="909"/>
      <c r="K3257" s="902"/>
      <c r="L3257" s="896"/>
      <c r="M3257" s="902"/>
      <c r="N3257" s="900" t="s">
        <v>2297</v>
      </c>
    </row>
    <row r="3258" spans="1:14" ht="15.75" hidden="1">
      <c r="A3258" s="896"/>
      <c r="B3258" s="902"/>
      <c r="C3258" s="917"/>
      <c r="D3258" s="918"/>
      <c r="E3258" s="919"/>
      <c r="F3258" s="920"/>
      <c r="G3258" s="921"/>
      <c r="H3258" s="896"/>
      <c r="I3258" s="1291"/>
      <c r="J3258" s="909" t="s">
        <v>115</v>
      </c>
      <c r="K3258" s="922">
        <f>'SANITATION DTA'!G302</f>
        <v>86</v>
      </c>
      <c r="L3258" s="923" t="s">
        <v>2297</v>
      </c>
      <c r="M3258" s="924">
        <f>ROUND(I3258*K3258,0)</f>
        <v>0</v>
      </c>
      <c r="N3258" s="900" t="s">
        <v>2297</v>
      </c>
    </row>
    <row r="3259" spans="1:14" ht="58.5" hidden="1" customHeight="1">
      <c r="A3259" s="896">
        <v>16</v>
      </c>
      <c r="B3259" s="1609" t="s">
        <v>290</v>
      </c>
      <c r="C3259" s="1609"/>
      <c r="D3259" s="1609"/>
      <c r="E3259" s="1609"/>
      <c r="F3259" s="1609"/>
      <c r="G3259" s="1609"/>
      <c r="H3259" s="1609"/>
      <c r="I3259" s="897"/>
      <c r="J3259" s="898"/>
      <c r="K3259" s="896"/>
      <c r="L3259" s="896"/>
      <c r="M3259" s="899"/>
      <c r="N3259" s="900" t="s">
        <v>2297</v>
      </c>
    </row>
    <row r="3260" spans="1:14" s="910" customFormat="1" ht="16.5" hidden="1" customHeight="1">
      <c r="A3260" s="896"/>
      <c r="B3260" s="902" t="s">
        <v>2764</v>
      </c>
      <c r="C3260" s="903"/>
      <c r="D3260" s="904"/>
      <c r="E3260" s="905"/>
      <c r="F3260" s="906"/>
      <c r="G3260" s="906"/>
      <c r="H3260" s="907"/>
      <c r="I3260" s="908"/>
      <c r="J3260" s="909"/>
      <c r="K3260" s="902"/>
      <c r="L3260" s="896"/>
      <c r="M3260" s="902"/>
      <c r="N3260" s="900" t="s">
        <v>2297</v>
      </c>
    </row>
    <row r="3261" spans="1:14" s="910" customFormat="1" ht="16.5" hidden="1" customHeight="1">
      <c r="A3261" s="896"/>
      <c r="B3261" s="911"/>
      <c r="C3261" s="912">
        <v>1</v>
      </c>
      <c r="D3261" s="913" t="s">
        <v>273</v>
      </c>
      <c r="E3261" s="914">
        <v>1</v>
      </c>
      <c r="F3261" s="1305">
        <v>1000</v>
      </c>
      <c r="G3261" s="915">
        <v>0</v>
      </c>
      <c r="H3261" s="915">
        <v>0</v>
      </c>
      <c r="I3261" s="916">
        <f>ROUND(IF(AND(F3261:H3261),C3261*E3261*F3261*G3261*H3261,IF(AND(F3261,G3261),C3261*E3261*F3261*G3261,IF(AND(F3261,H3261),C3261*E3261*F3261*H3261,IF(AND(G3261,H3261),C3261*E3261*G3261*H3261,IF(F3261,C3261*E3261*F3261,IF(G3261,C3261*E3261*G3261,IF(H3261,C3261*E3261*H3261,C3261*E3261))))))),2)</f>
        <v>1000</v>
      </c>
      <c r="J3261" s="909" t="s">
        <v>291</v>
      </c>
      <c r="K3261" s="902"/>
      <c r="L3261" s="896"/>
      <c r="M3261" s="902"/>
      <c r="N3261" s="900" t="s">
        <v>2297</v>
      </c>
    </row>
    <row r="3262" spans="1:14" s="910" customFormat="1" ht="16.5" hidden="1" customHeight="1">
      <c r="A3262" s="896"/>
      <c r="B3262" s="911"/>
      <c r="C3262" s="912"/>
      <c r="D3262" s="913"/>
      <c r="E3262" s="914"/>
      <c r="F3262" s="1305"/>
      <c r="G3262" s="915"/>
      <c r="H3262" s="915"/>
      <c r="I3262" s="916"/>
      <c r="J3262" s="909"/>
      <c r="K3262" s="902"/>
      <c r="L3262" s="896"/>
      <c r="M3262" s="902"/>
      <c r="N3262" s="900" t="s">
        <v>2297</v>
      </c>
    </row>
    <row r="3263" spans="1:14" ht="15.75" hidden="1">
      <c r="A3263" s="896"/>
      <c r="B3263" s="902"/>
      <c r="C3263" s="917"/>
      <c r="D3263" s="918"/>
      <c r="E3263" s="919"/>
      <c r="F3263" s="920"/>
      <c r="G3263" s="921"/>
      <c r="H3263" s="896"/>
      <c r="I3263" s="916"/>
      <c r="J3263" s="909" t="s">
        <v>291</v>
      </c>
      <c r="K3263" s="922">
        <f>'SANITATION DTA'!G218</f>
        <v>6</v>
      </c>
      <c r="L3263" s="923" t="s">
        <v>2297</v>
      </c>
      <c r="M3263" s="924">
        <f>ROUND(I3263*K3263,0)</f>
        <v>0</v>
      </c>
      <c r="N3263" s="900" t="s">
        <v>2297</v>
      </c>
    </row>
    <row r="3264" spans="1:14" ht="146.25" hidden="1" customHeight="1">
      <c r="A3264" s="896">
        <v>17</v>
      </c>
      <c r="B3264" s="1609" t="s">
        <v>448</v>
      </c>
      <c r="C3264" s="1609"/>
      <c r="D3264" s="1609"/>
      <c r="E3264" s="1609"/>
      <c r="F3264" s="1609"/>
      <c r="G3264" s="1609"/>
      <c r="H3264" s="1609"/>
      <c r="I3264" s="897"/>
      <c r="J3264" s="898"/>
      <c r="K3264" s="896"/>
      <c r="L3264" s="896"/>
      <c r="M3264" s="899"/>
      <c r="N3264" s="900" t="s">
        <v>2297</v>
      </c>
    </row>
    <row r="3265" spans="1:17" s="910" customFormat="1" ht="16.5" hidden="1" customHeight="1">
      <c r="A3265" s="896"/>
      <c r="B3265" s="902" t="s">
        <v>3580</v>
      </c>
      <c r="C3265" s="903"/>
      <c r="D3265" s="904"/>
      <c r="E3265" s="905"/>
      <c r="F3265" s="906"/>
      <c r="G3265" s="906"/>
      <c r="H3265" s="907"/>
      <c r="I3265" s="908"/>
      <c r="J3265" s="909"/>
      <c r="K3265" s="902"/>
      <c r="L3265" s="896"/>
      <c r="M3265" s="902"/>
      <c r="N3265" s="900" t="s">
        <v>2297</v>
      </c>
    </row>
    <row r="3266" spans="1:17" s="910" customFormat="1" ht="16.5" hidden="1" customHeight="1">
      <c r="A3266" s="896"/>
      <c r="B3266" s="911" t="s">
        <v>588</v>
      </c>
      <c r="C3266" s="912"/>
      <c r="D3266" s="913" t="s">
        <v>273</v>
      </c>
      <c r="E3266" s="914">
        <v>1</v>
      </c>
      <c r="F3266" s="1305">
        <v>90</v>
      </c>
      <c r="G3266" s="915">
        <v>0</v>
      </c>
      <c r="H3266" s="915">
        <v>0</v>
      </c>
      <c r="I3266" s="916">
        <f>ROUND(IF(AND(F3266:H3266),C3266*E3266*F3266*G3266*H3266,IF(AND(F3266,G3266),C3266*E3266*F3266*G3266,IF(AND(F3266,H3266),C3266*E3266*F3266*H3266,IF(AND(G3266,H3266),C3266*E3266*G3266*H3266,IF(F3266,C3266*E3266*F3266,IF(G3266,C3266*E3266*G3266,IF(H3266,C3266*E3266*H3266,C3266*E3266))))))),2)</f>
        <v>0</v>
      </c>
      <c r="J3266" s="909" t="s">
        <v>277</v>
      </c>
      <c r="K3266" s="969">
        <f>'SANITATION DTA'!G257</f>
        <v>446.4</v>
      </c>
      <c r="L3266" s="923" t="s">
        <v>2297</v>
      </c>
      <c r="M3266" s="924">
        <f>ROUND(I3266*K3266,0)</f>
        <v>0</v>
      </c>
      <c r="N3266" s="900" t="s">
        <v>2297</v>
      </c>
    </row>
    <row r="3267" spans="1:17" s="910" customFormat="1" ht="16.5" hidden="1" customHeight="1">
      <c r="A3267" s="896"/>
      <c r="B3267" s="911" t="s">
        <v>589</v>
      </c>
      <c r="C3267" s="912"/>
      <c r="D3267" s="913" t="s">
        <v>273</v>
      </c>
      <c r="E3267" s="914">
        <v>1</v>
      </c>
      <c r="F3267" s="1305">
        <v>30</v>
      </c>
      <c r="G3267" s="915">
        <v>0</v>
      </c>
      <c r="H3267" s="915">
        <v>0</v>
      </c>
      <c r="I3267" s="916">
        <f>ROUND(IF(AND(F3267:H3267),C3267*E3267*F3267*G3267*H3267,IF(AND(F3267,G3267),C3267*E3267*F3267*G3267,IF(AND(F3267,H3267),C3267*E3267*F3267*H3267,IF(AND(G3267,H3267),C3267*E3267*G3267*H3267,IF(F3267,C3267*E3267*F3267,IF(G3267,C3267*E3267*G3267,IF(H3267,C3267*E3267*H3267,C3267*E3267))))))),2)</f>
        <v>0</v>
      </c>
      <c r="J3267" s="909" t="s">
        <v>277</v>
      </c>
      <c r="K3267" s="969">
        <f>'SANITATION DTA'!G259</f>
        <v>477.6</v>
      </c>
      <c r="L3267" s="923" t="s">
        <v>2297</v>
      </c>
      <c r="M3267" s="924">
        <f>ROUND(I3267*K3267,0)</f>
        <v>0</v>
      </c>
      <c r="N3267" s="900" t="s">
        <v>2297</v>
      </c>
    </row>
    <row r="3268" spans="1:17" s="910" customFormat="1" ht="16.5" hidden="1" customHeight="1">
      <c r="A3268" s="896"/>
      <c r="B3268" s="956" t="s">
        <v>590</v>
      </c>
      <c r="C3268" s="957">
        <v>1</v>
      </c>
      <c r="D3268" s="958" t="s">
        <v>273</v>
      </c>
      <c r="E3268" s="1268">
        <v>1</v>
      </c>
      <c r="F3268" s="1306">
        <v>60</v>
      </c>
      <c r="G3268" s="960">
        <v>0</v>
      </c>
      <c r="H3268" s="960">
        <v>0</v>
      </c>
      <c r="I3268" s="916"/>
      <c r="J3268" s="909" t="s">
        <v>277</v>
      </c>
      <c r="K3268" s="969">
        <f>'SANITATION DTA'!G261</f>
        <v>535.70000000000005</v>
      </c>
      <c r="L3268" s="923" t="s">
        <v>2297</v>
      </c>
      <c r="M3268" s="924">
        <f>ROUND(I3268*K3268,0)</f>
        <v>0</v>
      </c>
      <c r="N3268" s="900" t="s">
        <v>2297</v>
      </c>
    </row>
    <row r="3269" spans="1:17" ht="15.75" hidden="1">
      <c r="A3269" s="896"/>
      <c r="B3269" s="902"/>
      <c r="C3269" s="917"/>
      <c r="D3269" s="918"/>
      <c r="E3269" s="919"/>
      <c r="F3269" s="920"/>
      <c r="G3269" s="921"/>
      <c r="H3269" s="896"/>
      <c r="I3269" s="916"/>
      <c r="J3269" s="909"/>
      <c r="K3269" s="922"/>
      <c r="L3269" s="922"/>
      <c r="M3269" s="924"/>
      <c r="N3269" s="900" t="s">
        <v>2297</v>
      </c>
    </row>
    <row r="3270" spans="1:17" ht="43.5" hidden="1" customHeight="1">
      <c r="A3270" s="896">
        <v>18</v>
      </c>
      <c r="B3270" s="1609" t="s">
        <v>449</v>
      </c>
      <c r="C3270" s="1609"/>
      <c r="D3270" s="1609"/>
      <c r="E3270" s="1609"/>
      <c r="F3270" s="1609"/>
      <c r="G3270" s="1609"/>
      <c r="H3270" s="1609"/>
      <c r="I3270" s="897"/>
      <c r="J3270" s="898"/>
      <c r="K3270" s="896"/>
      <c r="L3270" s="896"/>
      <c r="M3270" s="899"/>
      <c r="N3270" s="900" t="s">
        <v>2297</v>
      </c>
    </row>
    <row r="3271" spans="1:17" s="910" customFormat="1" ht="16.5" hidden="1" customHeight="1">
      <c r="A3271" s="896"/>
      <c r="B3271" s="902" t="s">
        <v>3580</v>
      </c>
      <c r="C3271" s="903"/>
      <c r="D3271" s="904"/>
      <c r="E3271" s="905"/>
      <c r="F3271" s="906"/>
      <c r="G3271" s="906"/>
      <c r="H3271" s="907"/>
      <c r="I3271" s="908"/>
      <c r="J3271" s="909"/>
      <c r="K3271" s="902"/>
      <c r="L3271" s="896"/>
      <c r="M3271" s="902"/>
      <c r="N3271" s="900" t="s">
        <v>2297</v>
      </c>
    </row>
    <row r="3272" spans="1:17" s="910" customFormat="1" ht="16.5" hidden="1" customHeight="1">
      <c r="A3272" s="896"/>
      <c r="B3272" s="911"/>
      <c r="C3272" s="912"/>
      <c r="D3272" s="913" t="s">
        <v>273</v>
      </c>
      <c r="E3272" s="914">
        <v>1</v>
      </c>
      <c r="F3272" s="1289">
        <v>18</v>
      </c>
      <c r="G3272" s="915">
        <v>0</v>
      </c>
      <c r="H3272" s="915">
        <v>0</v>
      </c>
      <c r="I3272" s="916">
        <f>ROUND(IF(AND(F3272:H3272),C3272*E3272*F3272*G3272*H3272,IF(AND(F3272,G3272),C3272*E3272*F3272*G3272,IF(AND(F3272,H3272),C3272*E3272*F3272*H3272,IF(AND(G3272,H3272),C3272*E3272*G3272*H3272,IF(F3272,C3272*E3272*F3272,IF(G3272,C3272*E3272*G3272,IF(H3272,C3272*E3272*H3272,C3272*E3272))))))),2)</f>
        <v>0</v>
      </c>
      <c r="J3272" s="909" t="s">
        <v>277</v>
      </c>
      <c r="K3272" s="902"/>
      <c r="L3272" s="896"/>
      <c r="M3272" s="902"/>
      <c r="N3272" s="900" t="s">
        <v>2297</v>
      </c>
    </row>
    <row r="3273" spans="1:17" s="910" customFormat="1" ht="16.5" hidden="1" customHeight="1">
      <c r="A3273" s="896"/>
      <c r="B3273" s="911"/>
      <c r="C3273" s="912"/>
      <c r="D3273" s="913"/>
      <c r="E3273" s="914"/>
      <c r="F3273" s="1289"/>
      <c r="G3273" s="915"/>
      <c r="H3273" s="915"/>
      <c r="I3273" s="916"/>
      <c r="J3273" s="909"/>
      <c r="K3273" s="902"/>
      <c r="L3273" s="896"/>
      <c r="M3273" s="902"/>
      <c r="N3273" s="900" t="s">
        <v>2297</v>
      </c>
    </row>
    <row r="3274" spans="1:17" ht="15.75" hidden="1">
      <c r="A3274" s="896"/>
      <c r="B3274" s="902"/>
      <c r="C3274" s="917"/>
      <c r="D3274" s="918"/>
      <c r="E3274" s="919"/>
      <c r="F3274" s="920"/>
      <c r="G3274" s="921"/>
      <c r="H3274" s="896"/>
      <c r="I3274" s="916">
        <f>SUM(I3272:I3273)</f>
        <v>0</v>
      </c>
      <c r="J3274" s="909" t="s">
        <v>277</v>
      </c>
      <c r="K3274" s="922">
        <f>'SANITATION DTA'!G277</f>
        <v>325</v>
      </c>
      <c r="L3274" s="923" t="s">
        <v>2297</v>
      </c>
      <c r="M3274" s="924">
        <f>ROUND(I3274*K3274,0)</f>
        <v>0</v>
      </c>
      <c r="N3274" s="900" t="s">
        <v>2297</v>
      </c>
    </row>
    <row r="3275" spans="1:17" s="1310" customFormat="1" ht="99.75" hidden="1" customHeight="1">
      <c r="A3275" s="1307">
        <v>19</v>
      </c>
      <c r="B3275" s="1630" t="s">
        <v>2748</v>
      </c>
      <c r="C3275" s="1630"/>
      <c r="D3275" s="1630"/>
      <c r="E3275" s="1630"/>
      <c r="F3275" s="1630"/>
      <c r="G3275" s="1630"/>
      <c r="H3275" s="1630"/>
      <c r="I3275" s="1308"/>
      <c r="J3275" s="1177"/>
      <c r="K3275" s="1307"/>
      <c r="L3275" s="1307"/>
      <c r="M3275" s="1309"/>
      <c r="N3275" s="900" t="s">
        <v>2297</v>
      </c>
      <c r="O3275" s="1310" t="s">
        <v>0</v>
      </c>
      <c r="Q3275" s="1310" t="s">
        <v>0</v>
      </c>
    </row>
    <row r="3276" spans="1:17" s="910" customFormat="1" ht="16.5" hidden="1" customHeight="1">
      <c r="A3276" s="896"/>
      <c r="B3276" s="902" t="s">
        <v>3580</v>
      </c>
      <c r="C3276" s="903"/>
      <c r="D3276" s="904"/>
      <c r="E3276" s="905"/>
      <c r="F3276" s="906"/>
      <c r="G3276" s="906"/>
      <c r="H3276" s="907"/>
      <c r="I3276" s="908"/>
      <c r="J3276" s="909"/>
      <c r="K3276" s="902"/>
      <c r="L3276" s="896"/>
      <c r="M3276" s="902"/>
      <c r="N3276" s="900" t="s">
        <v>2297</v>
      </c>
    </row>
    <row r="3277" spans="1:17" s="1310" customFormat="1" ht="15.75" hidden="1">
      <c r="A3277" s="1307"/>
      <c r="B3277" s="1274"/>
      <c r="C3277" s="1311"/>
      <c r="D3277" s="1276" t="s">
        <v>273</v>
      </c>
      <c r="E3277" s="1177">
        <v>1</v>
      </c>
      <c r="F3277" s="1277">
        <v>0</v>
      </c>
      <c r="G3277" s="1208">
        <v>0</v>
      </c>
      <c r="H3277" s="1277">
        <v>0</v>
      </c>
      <c r="I3277" s="1312">
        <f>ROUND(IF(AND(F3277:H3277),C3277*E3277*F3277*G3277*H3277,IF(AND(F3277,G3277),C3277*E3277*F3277*G3277,IF(AND(F3277,H3277),C3277*E3277*F3277*H3277,IF(AND(G3277,H3277),C3277*E3277*G3277*H3277,IF(F3277,C3277*E3277*F3277,IF(G3277,C3277*E3277*G3277,IF(H3277,C3277*E3277*H3277,C3277*E3277))))))),2)</f>
        <v>0</v>
      </c>
      <c r="J3277" s="1148" t="s">
        <v>115</v>
      </c>
      <c r="K3277" s="1307"/>
      <c r="L3277" s="1307"/>
      <c r="M3277" s="1309"/>
      <c r="N3277" s="900" t="s">
        <v>2297</v>
      </c>
    </row>
    <row r="3278" spans="1:17" s="1310" customFormat="1" ht="15.75" hidden="1">
      <c r="A3278" s="1307"/>
      <c r="B3278" s="1274"/>
      <c r="C3278" s="1311"/>
      <c r="D3278" s="1276"/>
      <c r="E3278" s="1177"/>
      <c r="F3278" s="1277"/>
      <c r="G3278" s="1208"/>
      <c r="H3278" s="1277"/>
      <c r="I3278" s="1312"/>
      <c r="J3278" s="1148"/>
      <c r="K3278" s="1307"/>
      <c r="L3278" s="1307"/>
      <c r="M3278" s="1309"/>
      <c r="N3278" s="900" t="s">
        <v>2297</v>
      </c>
    </row>
    <row r="3279" spans="1:17" s="1310" customFormat="1" ht="15.75" hidden="1">
      <c r="A3279" s="1307"/>
      <c r="B3279" s="1383"/>
      <c r="C3279" s="1313"/>
      <c r="D3279" s="1314"/>
      <c r="E3279" s="1177"/>
      <c r="F3279" s="1315"/>
      <c r="G3279" s="1316"/>
      <c r="H3279" s="1315"/>
      <c r="I3279" s="1317">
        <f>SUM(I3277:I3278)</f>
        <v>0</v>
      </c>
      <c r="J3279" s="1148" t="s">
        <v>115</v>
      </c>
      <c r="K3279" s="1208">
        <f>'SANITATION DTA'!G274</f>
        <v>18526</v>
      </c>
      <c r="L3279" s="923" t="s">
        <v>2297</v>
      </c>
      <c r="M3279" s="1318">
        <f>ROUND(I3279*K3279,0)</f>
        <v>0</v>
      </c>
      <c r="N3279" s="900" t="s">
        <v>2297</v>
      </c>
      <c r="O3279" s="1310" t="s">
        <v>0</v>
      </c>
    </row>
    <row r="3280" spans="1:17" s="1310" customFormat="1" ht="30.75" hidden="1" customHeight="1">
      <c r="A3280" s="1307">
        <v>20</v>
      </c>
      <c r="B3280" s="1630" t="s">
        <v>591</v>
      </c>
      <c r="C3280" s="1630"/>
      <c r="D3280" s="1630"/>
      <c r="E3280" s="1630"/>
      <c r="F3280" s="1630"/>
      <c r="G3280" s="1630"/>
      <c r="H3280" s="1630"/>
      <c r="I3280" s="1308"/>
      <c r="J3280" s="1177"/>
      <c r="K3280" s="1307"/>
      <c r="L3280" s="1307"/>
      <c r="M3280" s="1309"/>
      <c r="N3280" s="900" t="s">
        <v>2297</v>
      </c>
      <c r="O3280" s="1310" t="s">
        <v>0</v>
      </c>
      <c r="Q3280" s="1310" t="s">
        <v>0</v>
      </c>
    </row>
    <row r="3281" spans="1:17" s="910" customFormat="1" ht="16.5" hidden="1" customHeight="1">
      <c r="A3281" s="896"/>
      <c r="B3281" s="902" t="s">
        <v>3512</v>
      </c>
      <c r="C3281" s="903"/>
      <c r="D3281" s="904"/>
      <c r="E3281" s="905"/>
      <c r="F3281" s="906"/>
      <c r="G3281" s="906"/>
      <c r="H3281" s="907"/>
      <c r="I3281" s="908"/>
      <c r="J3281" s="909"/>
      <c r="K3281" s="902"/>
      <c r="L3281" s="896"/>
      <c r="M3281" s="902"/>
      <c r="N3281" s="900" t="s">
        <v>2297</v>
      </c>
    </row>
    <row r="3282" spans="1:17" s="1310" customFormat="1" ht="15.75" hidden="1">
      <c r="A3282" s="1307"/>
      <c r="B3282" s="1274"/>
      <c r="C3282" s="1311"/>
      <c r="D3282" s="1276" t="s">
        <v>273</v>
      </c>
      <c r="E3282" s="1177">
        <v>1</v>
      </c>
      <c r="F3282" s="1319">
        <v>85</v>
      </c>
      <c r="G3282" s="1208">
        <v>0</v>
      </c>
      <c r="H3282" s="1277">
        <v>0</v>
      </c>
      <c r="I3282" s="1320">
        <f>ROUND(IF(AND(F3282:H3282),C3282*E3282*F3282*G3282*H3282,IF(AND(F3282,G3282),C3282*E3282*F3282*G3282,IF(AND(F3282,H3282),C3282*E3282*F3282*H3282,IF(AND(G3282,H3282),C3282*E3282*G3282*H3282,IF(F3282,C3282*E3282*F3282,IF(G3282,C3282*E3282*G3282,IF(H3282,C3282*E3282*H3282,C3282*E3282))))))),2)</f>
        <v>0</v>
      </c>
      <c r="J3282" s="1148" t="s">
        <v>277</v>
      </c>
      <c r="K3282" s="1307"/>
      <c r="L3282" s="1307"/>
      <c r="M3282" s="1309"/>
      <c r="N3282" s="900" t="s">
        <v>2297</v>
      </c>
    </row>
    <row r="3283" spans="1:17" s="1310" customFormat="1" ht="15.75" hidden="1">
      <c r="A3283" s="1307"/>
      <c r="B3283" s="1274"/>
      <c r="C3283" s="1311"/>
      <c r="D3283" s="1276"/>
      <c r="E3283" s="1177"/>
      <c r="F3283" s="1319"/>
      <c r="G3283" s="1208"/>
      <c r="H3283" s="1277"/>
      <c r="I3283" s="1320"/>
      <c r="J3283" s="1148"/>
      <c r="K3283" s="1307"/>
      <c r="L3283" s="1307"/>
      <c r="M3283" s="1309"/>
      <c r="N3283" s="900" t="s">
        <v>2297</v>
      </c>
    </row>
    <row r="3284" spans="1:17" s="1310" customFormat="1" ht="15.75" hidden="1">
      <c r="A3284" s="1307"/>
      <c r="B3284" s="1383"/>
      <c r="C3284" s="1313"/>
      <c r="D3284" s="1314"/>
      <c r="E3284" s="1177"/>
      <c r="F3284" s="1315"/>
      <c r="G3284" s="1316"/>
      <c r="H3284" s="1315"/>
      <c r="I3284" s="1207">
        <f>SUM(I3282:I3283)</f>
        <v>0</v>
      </c>
      <c r="J3284" s="1148" t="s">
        <v>277</v>
      </c>
      <c r="K3284" s="1208">
        <f>'SANITATION DTA'!G280</f>
        <v>59</v>
      </c>
      <c r="L3284" s="923" t="s">
        <v>2297</v>
      </c>
      <c r="M3284" s="1318">
        <f>ROUND(I3284*K3284,0)</f>
        <v>0</v>
      </c>
      <c r="N3284" s="900" t="s">
        <v>2297</v>
      </c>
      <c r="O3284" s="1310" t="s">
        <v>0</v>
      </c>
    </row>
    <row r="3285" spans="1:17" s="1310" customFormat="1" ht="20.25" hidden="1" customHeight="1">
      <c r="A3285" s="1307">
        <v>21</v>
      </c>
      <c r="B3285" s="1630" t="s">
        <v>284</v>
      </c>
      <c r="C3285" s="1630"/>
      <c r="D3285" s="1630"/>
      <c r="E3285" s="1630"/>
      <c r="F3285" s="1630"/>
      <c r="G3285" s="1630"/>
      <c r="H3285" s="1630"/>
      <c r="I3285" s="1308"/>
      <c r="J3285" s="1177"/>
      <c r="K3285" s="1307"/>
      <c r="L3285" s="1307"/>
      <c r="M3285" s="1309"/>
      <c r="N3285" s="900" t="s">
        <v>2297</v>
      </c>
      <c r="O3285" s="1310" t="s">
        <v>0</v>
      </c>
      <c r="Q3285" s="1310" t="s">
        <v>0</v>
      </c>
    </row>
    <row r="3286" spans="1:17" s="910" customFormat="1" ht="16.5" hidden="1" customHeight="1">
      <c r="A3286" s="896"/>
      <c r="B3286" s="902" t="s">
        <v>3512</v>
      </c>
      <c r="C3286" s="903"/>
      <c r="D3286" s="904"/>
      <c r="E3286" s="905"/>
      <c r="F3286" s="906"/>
      <c r="G3286" s="906"/>
      <c r="H3286" s="907"/>
      <c r="I3286" s="908"/>
      <c r="J3286" s="909"/>
      <c r="K3286" s="902"/>
      <c r="L3286" s="896"/>
      <c r="M3286" s="902"/>
      <c r="N3286" s="900" t="s">
        <v>2297</v>
      </c>
    </row>
    <row r="3287" spans="1:17" s="1310" customFormat="1" ht="15.75" hidden="1">
      <c r="A3287" s="1307"/>
      <c r="B3287" s="1274"/>
      <c r="C3287" s="1311"/>
      <c r="D3287" s="1276" t="s">
        <v>273</v>
      </c>
      <c r="E3287" s="1177">
        <v>1</v>
      </c>
      <c r="F3287" s="1277">
        <v>0</v>
      </c>
      <c r="G3287" s="1208">
        <v>0</v>
      </c>
      <c r="H3287" s="1277">
        <v>0</v>
      </c>
      <c r="I3287" s="1312">
        <f>ROUND(IF(AND(F3287:H3287),C3287*E3287*F3287*G3287*H3287,IF(AND(F3287,G3287),C3287*E3287*F3287*G3287,IF(AND(F3287,H3287),C3287*E3287*F3287*H3287,IF(AND(G3287,H3287),C3287*E3287*G3287*H3287,IF(F3287,C3287*E3287*F3287,IF(G3287,C3287*E3287*G3287,IF(H3287,C3287*E3287*H3287,C3287*E3287))))))),2)</f>
        <v>0</v>
      </c>
      <c r="J3287" s="1148" t="s">
        <v>115</v>
      </c>
      <c r="K3287" s="1307"/>
      <c r="L3287" s="1307"/>
      <c r="M3287" s="1309"/>
      <c r="N3287" s="900" t="s">
        <v>2297</v>
      </c>
    </row>
    <row r="3288" spans="1:17" s="1310" customFormat="1" ht="15.75" hidden="1">
      <c r="A3288" s="1307"/>
      <c r="B3288" s="1274"/>
      <c r="C3288" s="1311"/>
      <c r="D3288" s="1276"/>
      <c r="E3288" s="1177"/>
      <c r="F3288" s="1277"/>
      <c r="G3288" s="1208"/>
      <c r="H3288" s="1277"/>
      <c r="I3288" s="1312"/>
      <c r="J3288" s="1148"/>
      <c r="K3288" s="1307"/>
      <c r="L3288" s="1307"/>
      <c r="M3288" s="1309"/>
      <c r="N3288" s="900" t="s">
        <v>2297</v>
      </c>
    </row>
    <row r="3289" spans="1:17" s="1310" customFormat="1" ht="15.75" hidden="1">
      <c r="A3289" s="1307"/>
      <c r="B3289" s="1383"/>
      <c r="C3289" s="1313"/>
      <c r="D3289" s="1314"/>
      <c r="E3289" s="1177"/>
      <c r="F3289" s="1315"/>
      <c r="G3289" s="1316"/>
      <c r="H3289" s="1315"/>
      <c r="I3289" s="1317">
        <f>SUM(I3287:I3288)</f>
        <v>0</v>
      </c>
      <c r="J3289" s="1148" t="s">
        <v>115</v>
      </c>
      <c r="K3289" s="1208">
        <f>'SANITATION DTA'!G286</f>
        <v>300</v>
      </c>
      <c r="L3289" s="923" t="s">
        <v>2297</v>
      </c>
      <c r="M3289" s="1318">
        <f>ROUND(I3289*K3289,0)</f>
        <v>0</v>
      </c>
      <c r="N3289" s="900" t="s">
        <v>2297</v>
      </c>
      <c r="O3289" s="1310" t="s">
        <v>0</v>
      </c>
    </row>
    <row r="3290" spans="1:17" s="1310" customFormat="1" ht="20.25" hidden="1" customHeight="1">
      <c r="A3290" s="1307">
        <v>22</v>
      </c>
      <c r="B3290" s="1630" t="s">
        <v>285</v>
      </c>
      <c r="C3290" s="1630"/>
      <c r="D3290" s="1630"/>
      <c r="E3290" s="1630"/>
      <c r="F3290" s="1630"/>
      <c r="G3290" s="1630"/>
      <c r="H3290" s="1630"/>
      <c r="I3290" s="1308"/>
      <c r="J3290" s="1177"/>
      <c r="K3290" s="1307"/>
      <c r="L3290" s="1307"/>
      <c r="M3290" s="1309"/>
      <c r="N3290" s="900" t="s">
        <v>2297</v>
      </c>
      <c r="O3290" s="1310" t="s">
        <v>0</v>
      </c>
      <c r="Q3290" s="1310" t="s">
        <v>0</v>
      </c>
    </row>
    <row r="3291" spans="1:17" s="910" customFormat="1" ht="16.5" hidden="1" customHeight="1">
      <c r="A3291" s="896"/>
      <c r="B3291" s="902" t="s">
        <v>3512</v>
      </c>
      <c r="C3291" s="903"/>
      <c r="D3291" s="904"/>
      <c r="E3291" s="905"/>
      <c r="F3291" s="906"/>
      <c r="G3291" s="906"/>
      <c r="H3291" s="907"/>
      <c r="I3291" s="908"/>
      <c r="J3291" s="909"/>
      <c r="K3291" s="902"/>
      <c r="L3291" s="896"/>
      <c r="M3291" s="902"/>
      <c r="N3291" s="900" t="s">
        <v>2297</v>
      </c>
    </row>
    <row r="3292" spans="1:17" s="1310" customFormat="1" ht="15.75" hidden="1">
      <c r="A3292" s="1307"/>
      <c r="B3292" s="1274"/>
      <c r="C3292" s="1311"/>
      <c r="D3292" s="1276" t="s">
        <v>273</v>
      </c>
      <c r="E3292" s="1177">
        <v>1</v>
      </c>
      <c r="F3292" s="1277">
        <v>0.5</v>
      </c>
      <c r="G3292" s="1208">
        <v>0</v>
      </c>
      <c r="H3292" s="1277">
        <v>0</v>
      </c>
      <c r="I3292" s="1320">
        <f>ROUND(IF(AND(F3292:H3292),C3292*E3292*F3292*G3292*H3292,IF(AND(F3292,G3292),C3292*E3292*F3292*G3292,IF(AND(F3292,H3292),C3292*E3292*F3292*H3292,IF(AND(G3292,H3292),C3292*E3292*G3292*H3292,IF(F3292,C3292*E3292*F3292,IF(G3292,C3292*E3292*G3292,IF(H3292,C3292*E3292*H3292,C3292*E3292))))))),2)</f>
        <v>0</v>
      </c>
      <c r="J3292" s="1148" t="s">
        <v>277</v>
      </c>
      <c r="K3292" s="1307"/>
      <c r="L3292" s="1307"/>
      <c r="M3292" s="1309"/>
      <c r="N3292" s="900" t="s">
        <v>2297</v>
      </c>
    </row>
    <row r="3293" spans="1:17" s="1310" customFormat="1" ht="15.75" hidden="1">
      <c r="A3293" s="1307"/>
      <c r="B3293" s="1274"/>
      <c r="C3293" s="1311"/>
      <c r="D3293" s="1276"/>
      <c r="E3293" s="1177"/>
      <c r="F3293" s="1277"/>
      <c r="G3293" s="1208"/>
      <c r="H3293" s="1277"/>
      <c r="I3293" s="1320"/>
      <c r="J3293" s="1148"/>
      <c r="K3293" s="1307"/>
      <c r="L3293" s="1307"/>
      <c r="M3293" s="1309"/>
      <c r="N3293" s="900" t="s">
        <v>2297</v>
      </c>
    </row>
    <row r="3294" spans="1:17" s="1310" customFormat="1" ht="15.75" hidden="1">
      <c r="A3294" s="1307"/>
      <c r="B3294" s="1383"/>
      <c r="C3294" s="1313"/>
      <c r="D3294" s="1314"/>
      <c r="E3294" s="1177"/>
      <c r="F3294" s="1315"/>
      <c r="G3294" s="1316"/>
      <c r="H3294" s="1315"/>
      <c r="I3294" s="1207">
        <f>SUM(I3292:I3293)</f>
        <v>0</v>
      </c>
      <c r="J3294" s="1148" t="s">
        <v>277</v>
      </c>
      <c r="K3294" s="1208">
        <f>'SANITATION DTA'!G289</f>
        <v>400</v>
      </c>
      <c r="L3294" s="923" t="s">
        <v>2297</v>
      </c>
      <c r="M3294" s="1318">
        <f>ROUND(I3294*K3294,0)</f>
        <v>0</v>
      </c>
      <c r="N3294" s="900" t="s">
        <v>2297</v>
      </c>
      <c r="O3294" s="1310" t="s">
        <v>0</v>
      </c>
    </row>
    <row r="3295" spans="1:17" s="1310" customFormat="1" ht="20.25" hidden="1" customHeight="1">
      <c r="A3295" s="1307">
        <v>23</v>
      </c>
      <c r="B3295" s="1630" t="s">
        <v>286</v>
      </c>
      <c r="C3295" s="1630"/>
      <c r="D3295" s="1630"/>
      <c r="E3295" s="1630"/>
      <c r="F3295" s="1630"/>
      <c r="G3295" s="1630"/>
      <c r="H3295" s="1630"/>
      <c r="I3295" s="1308"/>
      <c r="J3295" s="1177"/>
      <c r="K3295" s="1307"/>
      <c r="L3295" s="1307"/>
      <c r="M3295" s="1309"/>
      <c r="N3295" s="900" t="s">
        <v>2297</v>
      </c>
      <c r="O3295" s="1310" t="s">
        <v>0</v>
      </c>
      <c r="Q3295" s="1310" t="s">
        <v>0</v>
      </c>
    </row>
    <row r="3296" spans="1:17" s="910" customFormat="1" ht="16.5" hidden="1" customHeight="1">
      <c r="A3296" s="896"/>
      <c r="B3296" s="902" t="s">
        <v>3512</v>
      </c>
      <c r="C3296" s="903"/>
      <c r="D3296" s="904"/>
      <c r="E3296" s="905"/>
      <c r="F3296" s="906"/>
      <c r="G3296" s="906"/>
      <c r="H3296" s="907"/>
      <c r="I3296" s="908"/>
      <c r="J3296" s="909"/>
      <c r="K3296" s="902"/>
      <c r="L3296" s="896"/>
      <c r="M3296" s="902"/>
      <c r="N3296" s="900" t="s">
        <v>2297</v>
      </c>
    </row>
    <row r="3297" spans="1:17" s="1310" customFormat="1" ht="15.75" hidden="1">
      <c r="A3297" s="1307"/>
      <c r="B3297" s="1274"/>
      <c r="C3297" s="1311"/>
      <c r="D3297" s="1276" t="s">
        <v>273</v>
      </c>
      <c r="E3297" s="1177">
        <v>1</v>
      </c>
      <c r="F3297" s="1277">
        <v>0</v>
      </c>
      <c r="G3297" s="1208">
        <v>0</v>
      </c>
      <c r="H3297" s="1277">
        <v>0</v>
      </c>
      <c r="I3297" s="1312">
        <f>ROUND(IF(AND(F3297:H3297),C3297*E3297*F3297*G3297*H3297,IF(AND(F3297,G3297),C3297*E3297*F3297*G3297,IF(AND(F3297,H3297),C3297*E3297*F3297*H3297,IF(AND(G3297,H3297),C3297*E3297*G3297*H3297,IF(F3297,C3297*E3297*F3297,IF(G3297,C3297*E3297*G3297,IF(H3297,C3297*E3297*H3297,C3297*E3297))))))),2)</f>
        <v>0</v>
      </c>
      <c r="J3297" s="1148" t="s">
        <v>115</v>
      </c>
      <c r="K3297" s="1307"/>
      <c r="L3297" s="1307"/>
      <c r="M3297" s="1309"/>
      <c r="N3297" s="900" t="s">
        <v>2297</v>
      </c>
    </row>
    <row r="3298" spans="1:17" s="1310" customFormat="1" ht="15.75" hidden="1">
      <c r="A3298" s="1307"/>
      <c r="B3298" s="1274"/>
      <c r="C3298" s="1311"/>
      <c r="D3298" s="1276"/>
      <c r="E3298" s="1177"/>
      <c r="F3298" s="1277"/>
      <c r="G3298" s="1208"/>
      <c r="H3298" s="1277"/>
      <c r="I3298" s="1312"/>
      <c r="J3298" s="1148"/>
      <c r="K3298" s="1307"/>
      <c r="L3298" s="1307"/>
      <c r="M3298" s="1309"/>
      <c r="N3298" s="900" t="s">
        <v>2297</v>
      </c>
    </row>
    <row r="3299" spans="1:17" s="1310" customFormat="1" ht="15.75" hidden="1">
      <c r="A3299" s="1307"/>
      <c r="B3299" s="1383"/>
      <c r="C3299" s="1313"/>
      <c r="D3299" s="1314"/>
      <c r="E3299" s="1177"/>
      <c r="F3299" s="1315"/>
      <c r="G3299" s="1316"/>
      <c r="H3299" s="1315"/>
      <c r="I3299" s="1317">
        <f>SUM(I3297:I3298)</f>
        <v>0</v>
      </c>
      <c r="J3299" s="1148" t="s">
        <v>115</v>
      </c>
      <c r="K3299" s="1208">
        <f>'SANITATION DTA'!G292</f>
        <v>70</v>
      </c>
      <c r="L3299" s="923" t="s">
        <v>2297</v>
      </c>
      <c r="M3299" s="1318">
        <f>ROUND(I3299*K3299,0)</f>
        <v>0</v>
      </c>
      <c r="N3299" s="900" t="s">
        <v>2297</v>
      </c>
      <c r="O3299" s="1310" t="s">
        <v>0</v>
      </c>
    </row>
    <row r="3300" spans="1:17" s="1310" customFormat="1" ht="20.25" hidden="1" customHeight="1">
      <c r="A3300" s="1307">
        <v>24</v>
      </c>
      <c r="B3300" s="1630" t="s">
        <v>287</v>
      </c>
      <c r="C3300" s="1630"/>
      <c r="D3300" s="1630"/>
      <c r="E3300" s="1630"/>
      <c r="F3300" s="1630"/>
      <c r="G3300" s="1630"/>
      <c r="H3300" s="1630"/>
      <c r="I3300" s="1308"/>
      <c r="J3300" s="1177"/>
      <c r="K3300" s="1307"/>
      <c r="L3300" s="1307"/>
      <c r="M3300" s="1309"/>
      <c r="N3300" s="900" t="s">
        <v>2297</v>
      </c>
      <c r="O3300" s="1310" t="s">
        <v>0</v>
      </c>
      <c r="Q3300" s="1310" t="s">
        <v>0</v>
      </c>
    </row>
    <row r="3301" spans="1:17" s="910" customFormat="1" ht="16.5" hidden="1" customHeight="1">
      <c r="A3301" s="896"/>
      <c r="B3301" s="902" t="s">
        <v>3512</v>
      </c>
      <c r="C3301" s="903"/>
      <c r="D3301" s="904"/>
      <c r="E3301" s="905"/>
      <c r="F3301" s="906"/>
      <c r="G3301" s="906"/>
      <c r="H3301" s="907"/>
      <c r="I3301" s="908"/>
      <c r="J3301" s="909"/>
      <c r="K3301" s="902"/>
      <c r="L3301" s="896"/>
      <c r="M3301" s="902"/>
      <c r="N3301" s="900" t="s">
        <v>2297</v>
      </c>
    </row>
    <row r="3302" spans="1:17" s="1310" customFormat="1" ht="15.75" hidden="1">
      <c r="A3302" s="1307"/>
      <c r="B3302" s="1274"/>
      <c r="C3302" s="1311"/>
      <c r="D3302" s="1276" t="s">
        <v>273</v>
      </c>
      <c r="E3302" s="1177">
        <v>1</v>
      </c>
      <c r="F3302" s="1277">
        <v>0</v>
      </c>
      <c r="G3302" s="1208">
        <v>0</v>
      </c>
      <c r="H3302" s="1277">
        <v>0</v>
      </c>
      <c r="I3302" s="1312">
        <f>ROUND(IF(AND(F3302:H3302),C3302*E3302*F3302*G3302*H3302,IF(AND(F3302,G3302),C3302*E3302*F3302*G3302,IF(AND(F3302,H3302),C3302*E3302*F3302*H3302,IF(AND(G3302,H3302),C3302*E3302*G3302*H3302,IF(F3302,C3302*E3302*F3302,IF(G3302,C3302*E3302*G3302,IF(H3302,C3302*E3302*H3302,C3302*E3302))))))),2)</f>
        <v>0</v>
      </c>
      <c r="J3302" s="1148" t="s">
        <v>115</v>
      </c>
      <c r="K3302" s="1307"/>
      <c r="L3302" s="1307"/>
      <c r="M3302" s="1309"/>
      <c r="N3302" s="900" t="s">
        <v>2297</v>
      </c>
    </row>
    <row r="3303" spans="1:17" s="1310" customFormat="1" ht="15.75" hidden="1">
      <c r="A3303" s="1307"/>
      <c r="B3303" s="1274"/>
      <c r="C3303" s="1311"/>
      <c r="D3303" s="1276"/>
      <c r="E3303" s="1177"/>
      <c r="F3303" s="1277"/>
      <c r="G3303" s="1208"/>
      <c r="H3303" s="1277"/>
      <c r="I3303" s="1312"/>
      <c r="J3303" s="1148"/>
      <c r="K3303" s="1307"/>
      <c r="L3303" s="1307"/>
      <c r="M3303" s="1309"/>
      <c r="N3303" s="900" t="s">
        <v>2297</v>
      </c>
    </row>
    <row r="3304" spans="1:17" s="1310" customFormat="1" ht="15.75" hidden="1">
      <c r="A3304" s="1307"/>
      <c r="B3304" s="1383"/>
      <c r="C3304" s="1313"/>
      <c r="D3304" s="1314"/>
      <c r="E3304" s="1177"/>
      <c r="F3304" s="1315"/>
      <c r="G3304" s="1316"/>
      <c r="H3304" s="1315"/>
      <c r="I3304" s="1317">
        <f>SUM(I3302:I3303)</f>
        <v>0</v>
      </c>
      <c r="J3304" s="1148" t="s">
        <v>115</v>
      </c>
      <c r="K3304" s="1208">
        <f>'SANITATION DTA'!G283</f>
        <v>175</v>
      </c>
      <c r="L3304" s="923" t="s">
        <v>2297</v>
      </c>
      <c r="M3304" s="1318">
        <f>ROUND(I3304*K3304,0)</f>
        <v>0</v>
      </c>
      <c r="N3304" s="900" t="s">
        <v>2297</v>
      </c>
      <c r="O3304" s="1310" t="s">
        <v>0</v>
      </c>
    </row>
    <row r="3305" spans="1:17" s="1310" customFormat="1" ht="48" hidden="1" customHeight="1">
      <c r="A3305" s="1307">
        <v>25</v>
      </c>
      <c r="B3305" s="1630" t="s">
        <v>288</v>
      </c>
      <c r="C3305" s="1630"/>
      <c r="D3305" s="1630"/>
      <c r="E3305" s="1630"/>
      <c r="F3305" s="1630"/>
      <c r="G3305" s="1630"/>
      <c r="H3305" s="1630"/>
      <c r="I3305" s="1308"/>
      <c r="J3305" s="1177"/>
      <c r="K3305" s="1307"/>
      <c r="L3305" s="1307"/>
      <c r="M3305" s="1309"/>
      <c r="N3305" s="900" t="s">
        <v>2297</v>
      </c>
      <c r="O3305" s="1310" t="s">
        <v>0</v>
      </c>
      <c r="Q3305" s="1310" t="s">
        <v>0</v>
      </c>
    </row>
    <row r="3306" spans="1:17" s="910" customFormat="1" ht="16.5" hidden="1" customHeight="1">
      <c r="A3306" s="896"/>
      <c r="B3306" s="902" t="s">
        <v>3532</v>
      </c>
      <c r="C3306" s="903"/>
      <c r="D3306" s="904"/>
      <c r="E3306" s="905"/>
      <c r="F3306" s="906"/>
      <c r="G3306" s="906"/>
      <c r="H3306" s="907"/>
      <c r="I3306" s="908"/>
      <c r="J3306" s="909"/>
      <c r="K3306" s="902"/>
      <c r="L3306" s="896"/>
      <c r="M3306" s="902"/>
      <c r="N3306" s="900" t="s">
        <v>2297</v>
      </c>
    </row>
    <row r="3307" spans="1:17" s="1310" customFormat="1" ht="15.75" hidden="1">
      <c r="A3307" s="1307"/>
      <c r="B3307" s="1274"/>
      <c r="C3307" s="1311"/>
      <c r="D3307" s="1276" t="s">
        <v>273</v>
      </c>
      <c r="E3307" s="1177">
        <v>1</v>
      </c>
      <c r="F3307" s="1208">
        <v>90</v>
      </c>
      <c r="G3307" s="1208">
        <v>0</v>
      </c>
      <c r="H3307" s="1277">
        <v>0</v>
      </c>
      <c r="I3307" s="1320">
        <f>ROUND(IF(AND(F3307:H3307),C3307*E3307*F3307*G3307*H3307,IF(AND(F3307,G3307),C3307*E3307*F3307*G3307,IF(AND(F3307,H3307),C3307*E3307*F3307*H3307,IF(AND(G3307,H3307),C3307*E3307*G3307*H3307,IF(F3307,C3307*E3307*F3307,IF(G3307,C3307*E3307*G3307,IF(H3307,C3307*E3307*H3307,C3307*E3307))))))),2)</f>
        <v>0</v>
      </c>
      <c r="J3307" s="1148" t="s">
        <v>277</v>
      </c>
      <c r="K3307" s="1307"/>
      <c r="L3307" s="1307"/>
      <c r="M3307" s="1309"/>
      <c r="N3307" s="900" t="s">
        <v>2297</v>
      </c>
    </row>
    <row r="3308" spans="1:17" s="1310" customFormat="1" ht="15.75" hidden="1">
      <c r="A3308" s="1307"/>
      <c r="B3308" s="1274"/>
      <c r="C3308" s="1311"/>
      <c r="D3308" s="1276"/>
      <c r="E3308" s="1177"/>
      <c r="F3308" s="1208"/>
      <c r="G3308" s="1208"/>
      <c r="H3308" s="1277"/>
      <c r="I3308" s="1320"/>
      <c r="J3308" s="1148"/>
      <c r="K3308" s="1307"/>
      <c r="L3308" s="1307"/>
      <c r="M3308" s="1309"/>
      <c r="N3308" s="900" t="s">
        <v>2297</v>
      </c>
    </row>
    <row r="3309" spans="1:17" s="1310" customFormat="1" ht="17.25" hidden="1" customHeight="1">
      <c r="A3309" s="1307"/>
      <c r="B3309" s="1383"/>
      <c r="C3309" s="1313"/>
      <c r="D3309" s="1314"/>
      <c r="E3309" s="1177"/>
      <c r="F3309" s="1315"/>
      <c r="G3309" s="1316"/>
      <c r="H3309" s="1315"/>
      <c r="I3309" s="1207">
        <f>SUM(I3307:I3308)</f>
        <v>0</v>
      </c>
      <c r="J3309" s="1148" t="s">
        <v>277</v>
      </c>
      <c r="K3309" s="1208">
        <f>'SANITATION DTA'!G295</f>
        <v>80</v>
      </c>
      <c r="L3309" s="923" t="s">
        <v>2297</v>
      </c>
      <c r="M3309" s="1318">
        <f>ROUND(I3309*K3309,0)</f>
        <v>0</v>
      </c>
      <c r="N3309" s="900" t="s">
        <v>2297</v>
      </c>
      <c r="O3309" s="1310" t="s">
        <v>0</v>
      </c>
    </row>
    <row r="3310" spans="1:17" s="1310" customFormat="1" ht="81" hidden="1" customHeight="1">
      <c r="A3310" s="1307">
        <v>26</v>
      </c>
      <c r="B3310" s="1631" t="s">
        <v>381</v>
      </c>
      <c r="C3310" s="1630"/>
      <c r="D3310" s="1630"/>
      <c r="E3310" s="1630"/>
      <c r="F3310" s="1630"/>
      <c r="G3310" s="1630"/>
      <c r="H3310" s="1630"/>
      <c r="I3310" s="1308"/>
      <c r="J3310" s="1177"/>
      <c r="K3310" s="1307"/>
      <c r="L3310" s="1307"/>
      <c r="M3310" s="1309"/>
      <c r="N3310" s="900" t="s">
        <v>2297</v>
      </c>
      <c r="O3310" s="1310" t="s">
        <v>0</v>
      </c>
      <c r="Q3310" s="1310" t="s">
        <v>0</v>
      </c>
    </row>
    <row r="3311" spans="1:17" s="910" customFormat="1" ht="16.5" hidden="1" customHeight="1">
      <c r="A3311" s="896"/>
      <c r="B3311" s="902" t="s">
        <v>3532</v>
      </c>
      <c r="C3311" s="903"/>
      <c r="D3311" s="904"/>
      <c r="E3311" s="905"/>
      <c r="F3311" s="906"/>
      <c r="G3311" s="906"/>
      <c r="H3311" s="907"/>
      <c r="I3311" s="908"/>
      <c r="J3311" s="909"/>
      <c r="K3311" s="902"/>
      <c r="L3311" s="896"/>
      <c r="M3311" s="902"/>
      <c r="N3311" s="900" t="s">
        <v>2297</v>
      </c>
    </row>
    <row r="3312" spans="1:17" s="1310" customFormat="1" ht="15.75" hidden="1">
      <c r="A3312" s="1307"/>
      <c r="B3312" s="1274"/>
      <c r="C3312" s="1311"/>
      <c r="D3312" s="1276" t="s">
        <v>273</v>
      </c>
      <c r="E3312" s="1177">
        <v>1</v>
      </c>
      <c r="F3312" s="1277">
        <v>0</v>
      </c>
      <c r="G3312" s="1208">
        <v>0</v>
      </c>
      <c r="H3312" s="1277">
        <v>0</v>
      </c>
      <c r="I3312" s="1312">
        <f>ROUND(IF(AND(F3312:H3312),C3312*E3312*F3312*G3312*H3312,IF(AND(F3312,G3312),C3312*E3312*F3312*G3312,IF(AND(F3312,H3312),C3312*E3312*F3312*H3312,IF(AND(G3312,H3312),C3312*E3312*G3312*H3312,IF(F3312,C3312*E3312*F3312,IF(G3312,C3312*E3312*G3312,IF(H3312,C3312*E3312*H3312,C3312*E3312))))))),2)</f>
        <v>0</v>
      </c>
      <c r="J3312" s="1148" t="s">
        <v>115</v>
      </c>
      <c r="K3312" s="1307"/>
      <c r="L3312" s="1307"/>
      <c r="M3312" s="1309"/>
      <c r="N3312" s="900" t="s">
        <v>2297</v>
      </c>
    </row>
    <row r="3313" spans="1:15" s="1310" customFormat="1" ht="15.75" hidden="1">
      <c r="A3313" s="1307"/>
      <c r="B3313" s="1274"/>
      <c r="C3313" s="1311"/>
      <c r="D3313" s="1276"/>
      <c r="E3313" s="1177"/>
      <c r="F3313" s="1277"/>
      <c r="G3313" s="1208"/>
      <c r="H3313" s="1277"/>
      <c r="I3313" s="1312"/>
      <c r="J3313" s="1148"/>
      <c r="K3313" s="1307"/>
      <c r="L3313" s="1307"/>
      <c r="M3313" s="1309"/>
      <c r="N3313" s="900" t="s">
        <v>2297</v>
      </c>
    </row>
    <row r="3314" spans="1:15" s="1310" customFormat="1" ht="17.25" hidden="1" customHeight="1">
      <c r="A3314" s="1307"/>
      <c r="B3314" s="1383"/>
      <c r="C3314" s="1313"/>
      <c r="D3314" s="1314"/>
      <c r="E3314" s="1177"/>
      <c r="F3314" s="1315"/>
      <c r="G3314" s="1316"/>
      <c r="H3314" s="1315"/>
      <c r="I3314" s="1317">
        <f>SUM(I3312:I3313)</f>
        <v>0</v>
      </c>
      <c r="J3314" s="1148" t="s">
        <v>115</v>
      </c>
      <c r="K3314" s="1208">
        <f>'SANITATION DTA'!G298</f>
        <v>4500</v>
      </c>
      <c r="L3314" s="923" t="s">
        <v>2297</v>
      </c>
      <c r="M3314" s="1318">
        <f>ROUND(I3314*K3314,0)</f>
        <v>0</v>
      </c>
      <c r="N3314" s="900" t="s">
        <v>2297</v>
      </c>
      <c r="O3314" s="1310" t="s">
        <v>0</v>
      </c>
    </row>
    <row r="3315" spans="1:15" s="1253" customFormat="1" ht="15.75" hidden="1">
      <c r="A3315" s="967"/>
      <c r="B3315" s="967" t="s">
        <v>2212</v>
      </c>
      <c r="C3315" s="967"/>
      <c r="D3315" s="967"/>
      <c r="E3315" s="967"/>
      <c r="F3315" s="988"/>
      <c r="G3315" s="988"/>
      <c r="H3315" s="967"/>
      <c r="I3315" s="1261"/>
      <c r="J3315" s="1262"/>
      <c r="K3315" s="967"/>
      <c r="L3315" s="967"/>
      <c r="M3315" s="967"/>
      <c r="N3315" s="900" t="s">
        <v>2308</v>
      </c>
    </row>
    <row r="3316" spans="1:15" ht="63.75" hidden="1" customHeight="1">
      <c r="A3316" s="896">
        <v>1</v>
      </c>
      <c r="B3316" s="1609" t="s">
        <v>308</v>
      </c>
      <c r="C3316" s="1609"/>
      <c r="D3316" s="1609"/>
      <c r="E3316" s="1609"/>
      <c r="F3316" s="1609"/>
      <c r="G3316" s="1609"/>
      <c r="H3316" s="1609"/>
      <c r="I3316" s="897"/>
      <c r="J3316" s="898"/>
      <c r="K3316" s="896"/>
      <c r="L3316" s="896"/>
      <c r="M3316" s="899"/>
      <c r="N3316" s="900" t="s">
        <v>2308</v>
      </c>
    </row>
    <row r="3317" spans="1:15" s="910" customFormat="1" ht="16.5" hidden="1" customHeight="1">
      <c r="A3317" s="896"/>
      <c r="B3317" s="902" t="s">
        <v>2340</v>
      </c>
      <c r="C3317" s="903"/>
      <c r="D3317" s="904"/>
      <c r="E3317" s="905"/>
      <c r="F3317" s="906"/>
      <c r="G3317" s="906"/>
      <c r="H3317" s="907"/>
      <c r="I3317" s="908"/>
      <c r="J3317" s="909"/>
      <c r="K3317" s="902"/>
      <c r="L3317" s="896"/>
      <c r="M3317" s="902"/>
      <c r="N3317" s="900" t="s">
        <v>2308</v>
      </c>
    </row>
    <row r="3318" spans="1:15" s="910" customFormat="1" ht="16.5" hidden="1" customHeight="1">
      <c r="A3318" s="896"/>
      <c r="B3318" s="956"/>
      <c r="C3318" s="957">
        <v>1</v>
      </c>
      <c r="D3318" s="958" t="s">
        <v>273</v>
      </c>
      <c r="E3318" s="1268">
        <v>1</v>
      </c>
      <c r="F3318" s="960">
        <v>28</v>
      </c>
      <c r="G3318" s="960">
        <v>0</v>
      </c>
      <c r="H3318" s="960">
        <v>0</v>
      </c>
      <c r="I3318" s="916">
        <f>ROUND(IF(AND(F3318:H3318),C3318*E3318*F3318*G3318*H3318,IF(AND(F3318,G3318),C3318*E3318*F3318*G3318,IF(AND(F3318,H3318),C3318*E3318*F3318*H3318,IF(AND(G3318,H3318),C3318*E3318*G3318*H3318,IF(F3318,C3318*E3318*F3318,IF(G3318,C3318*E3318*G3318,IF(H3318,C3318*E3318*H3318,C3318*E3318))))))),2)</f>
        <v>28</v>
      </c>
      <c r="J3318" s="909" t="s">
        <v>277</v>
      </c>
      <c r="K3318" s="902"/>
      <c r="L3318" s="896"/>
      <c r="M3318" s="902"/>
      <c r="N3318" s="900" t="s">
        <v>2308</v>
      </c>
    </row>
    <row r="3319" spans="1:15" s="910" customFormat="1" ht="16.5" hidden="1" customHeight="1">
      <c r="A3319" s="896"/>
      <c r="B3319" s="956"/>
      <c r="C3319" s="957"/>
      <c r="D3319" s="958"/>
      <c r="E3319" s="1268"/>
      <c r="F3319" s="960"/>
      <c r="G3319" s="960"/>
      <c r="H3319" s="960"/>
      <c r="I3319" s="916"/>
      <c r="J3319" s="909"/>
      <c r="K3319" s="902"/>
      <c r="L3319" s="896"/>
      <c r="M3319" s="902"/>
      <c r="N3319" s="900" t="s">
        <v>2308</v>
      </c>
    </row>
    <row r="3320" spans="1:15" ht="15.75" hidden="1">
      <c r="A3320" s="896"/>
      <c r="B3320" s="902"/>
      <c r="C3320" s="917"/>
      <c r="D3320" s="918"/>
      <c r="E3320" s="919"/>
      <c r="F3320" s="920"/>
      <c r="G3320" s="921"/>
      <c r="H3320" s="896"/>
      <c r="I3320" s="916"/>
      <c r="J3320" s="909" t="s">
        <v>277</v>
      </c>
      <c r="K3320" s="922">
        <f>'SANITATION DTA'!G381</f>
        <v>202</v>
      </c>
      <c r="L3320" s="923" t="s">
        <v>2308</v>
      </c>
      <c r="M3320" s="924">
        <f>ROUND(I3320*K3320,0)</f>
        <v>0</v>
      </c>
      <c r="N3320" s="900" t="s">
        <v>2308</v>
      </c>
    </row>
    <row r="3321" spans="1:15" ht="63.75" hidden="1" customHeight="1">
      <c r="A3321" s="896">
        <v>1</v>
      </c>
      <c r="B3321" s="1609" t="s">
        <v>309</v>
      </c>
      <c r="C3321" s="1609"/>
      <c r="D3321" s="1609"/>
      <c r="E3321" s="1609"/>
      <c r="F3321" s="1609"/>
      <c r="G3321" s="1609"/>
      <c r="H3321" s="1609"/>
      <c r="I3321" s="897"/>
      <c r="J3321" s="898"/>
      <c r="K3321" s="896"/>
      <c r="L3321" s="896"/>
      <c r="M3321" s="899"/>
      <c r="N3321" s="900" t="s">
        <v>2308</v>
      </c>
    </row>
    <row r="3322" spans="1:15" s="910" customFormat="1" ht="16.5" hidden="1" customHeight="1">
      <c r="A3322" s="896"/>
      <c r="B3322" s="902" t="s">
        <v>2341</v>
      </c>
      <c r="C3322" s="903"/>
      <c r="D3322" s="904"/>
      <c r="E3322" s="905"/>
      <c r="F3322" s="906"/>
      <c r="G3322" s="906"/>
      <c r="H3322" s="907"/>
      <c r="I3322" s="908"/>
      <c r="J3322" s="909"/>
      <c r="K3322" s="902"/>
      <c r="L3322" s="896"/>
      <c r="M3322" s="902"/>
      <c r="N3322" s="900" t="s">
        <v>2308</v>
      </c>
    </row>
    <row r="3323" spans="1:15" s="910" customFormat="1" ht="16.5" hidden="1" customHeight="1">
      <c r="A3323" s="896"/>
      <c r="B3323" s="911"/>
      <c r="C3323" s="912">
        <v>1</v>
      </c>
      <c r="D3323" s="913" t="s">
        <v>273</v>
      </c>
      <c r="E3323" s="914">
        <v>1</v>
      </c>
      <c r="F3323" s="1289">
        <v>45</v>
      </c>
      <c r="G3323" s="915">
        <v>0</v>
      </c>
      <c r="H3323" s="915">
        <v>0</v>
      </c>
      <c r="I3323" s="916">
        <f>ROUND(IF(AND(F3323:H3323),C3323*E3323*F3323*G3323*H3323,IF(AND(F3323,G3323),C3323*E3323*F3323*G3323,IF(AND(F3323,H3323),C3323*E3323*F3323*H3323,IF(AND(G3323,H3323),C3323*E3323*G3323*H3323,IF(F3323,C3323*E3323*F3323,IF(G3323,C3323*E3323*G3323,IF(H3323,C3323*E3323*H3323,C3323*E3323))))))),2)</f>
        <v>45</v>
      </c>
      <c r="J3323" s="909" t="s">
        <v>277</v>
      </c>
      <c r="K3323" s="902"/>
      <c r="L3323" s="896"/>
      <c r="M3323" s="902"/>
      <c r="N3323" s="900" t="s">
        <v>2308</v>
      </c>
    </row>
    <row r="3324" spans="1:15" s="910" customFormat="1" ht="16.5" hidden="1" customHeight="1">
      <c r="A3324" s="896"/>
      <c r="B3324" s="956"/>
      <c r="C3324" s="957"/>
      <c r="D3324" s="958"/>
      <c r="E3324" s="1268"/>
      <c r="F3324" s="960"/>
      <c r="G3324" s="960"/>
      <c r="H3324" s="960"/>
      <c r="I3324" s="916"/>
      <c r="J3324" s="909"/>
      <c r="K3324" s="902"/>
      <c r="L3324" s="896"/>
      <c r="M3324" s="902"/>
      <c r="N3324" s="900" t="s">
        <v>2308</v>
      </c>
    </row>
    <row r="3325" spans="1:15" ht="15.75" hidden="1">
      <c r="A3325" s="896"/>
      <c r="B3325" s="902"/>
      <c r="C3325" s="917"/>
      <c r="D3325" s="918"/>
      <c r="E3325" s="919"/>
      <c r="F3325" s="920"/>
      <c r="G3325" s="921"/>
      <c r="H3325" s="896"/>
      <c r="I3325" s="916"/>
      <c r="J3325" s="909" t="s">
        <v>277</v>
      </c>
      <c r="K3325" s="922">
        <f>'SANITATION DTA'!G378</f>
        <v>129</v>
      </c>
      <c r="L3325" s="923" t="s">
        <v>2308</v>
      </c>
      <c r="M3325" s="924">
        <f>ROUND(I3325*K3325,0)</f>
        <v>0</v>
      </c>
      <c r="N3325" s="900" t="s">
        <v>2308</v>
      </c>
    </row>
    <row r="3326" spans="1:15" ht="63.75" hidden="1" customHeight="1">
      <c r="A3326" s="896">
        <v>1</v>
      </c>
      <c r="B3326" s="1609" t="s">
        <v>1635</v>
      </c>
      <c r="C3326" s="1609"/>
      <c r="D3326" s="1609"/>
      <c r="E3326" s="1609"/>
      <c r="F3326" s="1609"/>
      <c r="G3326" s="1609"/>
      <c r="H3326" s="1609"/>
      <c r="I3326" s="897"/>
      <c r="J3326" s="898"/>
      <c r="K3326" s="896"/>
      <c r="L3326" s="896"/>
      <c r="M3326" s="899"/>
      <c r="N3326" s="900" t="s">
        <v>2308</v>
      </c>
    </row>
    <row r="3327" spans="1:15" s="910" customFormat="1" ht="16.5" hidden="1" customHeight="1">
      <c r="A3327" s="896"/>
      <c r="B3327" s="1212" t="s">
        <v>2319</v>
      </c>
      <c r="C3327" s="903"/>
      <c r="D3327" s="904"/>
      <c r="E3327" s="905"/>
      <c r="F3327" s="906"/>
      <c r="G3327" s="906"/>
      <c r="H3327" s="907"/>
      <c r="I3327" s="908"/>
      <c r="J3327" s="909"/>
      <c r="K3327" s="902"/>
      <c r="L3327" s="896"/>
      <c r="M3327" s="902"/>
      <c r="N3327" s="900" t="s">
        <v>2308</v>
      </c>
    </row>
    <row r="3328" spans="1:15" s="910" customFormat="1" ht="16.5" hidden="1" customHeight="1">
      <c r="A3328" s="896"/>
      <c r="B3328" s="956" t="s">
        <v>2362</v>
      </c>
      <c r="C3328" s="957">
        <v>1</v>
      </c>
      <c r="D3328" s="958" t="s">
        <v>273</v>
      </c>
      <c r="E3328" s="1268">
        <v>1</v>
      </c>
      <c r="F3328" s="1290">
        <v>9.1</v>
      </c>
      <c r="G3328" s="960">
        <v>0</v>
      </c>
      <c r="H3328" s="960">
        <v>0</v>
      </c>
      <c r="I3328" s="916">
        <f>ROUND(IF(AND(F3328:H3328),C3328*E3328*F3328*G3328*H3328,IF(AND(F3328,G3328),C3328*E3328*F3328*G3328,IF(AND(F3328,H3328),C3328*E3328*F3328*H3328,IF(AND(G3328,H3328),C3328*E3328*G3328*H3328,IF(F3328,C3328*E3328*F3328,IF(G3328,C3328*E3328*G3328,IF(H3328,C3328*E3328*H3328,C3328*E3328))))))),2)</f>
        <v>9.1</v>
      </c>
      <c r="J3328" s="909" t="s">
        <v>277</v>
      </c>
      <c r="K3328" s="902"/>
      <c r="L3328" s="896"/>
      <c r="M3328" s="902"/>
      <c r="N3328" s="900" t="s">
        <v>2308</v>
      </c>
    </row>
    <row r="3329" spans="1:14" s="910" customFormat="1" ht="16.5" hidden="1" customHeight="1">
      <c r="A3329" s="896"/>
      <c r="B3329" s="956" t="s">
        <v>2363</v>
      </c>
      <c r="C3329" s="957">
        <v>1</v>
      </c>
      <c r="D3329" s="958" t="s">
        <v>273</v>
      </c>
      <c r="E3329" s="1268">
        <v>1</v>
      </c>
      <c r="F3329" s="1290">
        <v>5.5</v>
      </c>
      <c r="G3329" s="960">
        <v>0</v>
      </c>
      <c r="H3329" s="960">
        <v>0</v>
      </c>
      <c r="I3329" s="916">
        <f>ROUND(IF(AND(F3329:H3329),C3329*E3329*F3329*G3329*H3329,IF(AND(F3329,G3329),C3329*E3329*F3329*G3329,IF(AND(F3329,H3329),C3329*E3329*F3329*H3329,IF(AND(G3329,H3329),C3329*E3329*G3329*H3329,IF(F3329,C3329*E3329*F3329,IF(G3329,C3329*E3329*G3329,IF(H3329,C3329*E3329*H3329,C3329*E3329))))))),2)</f>
        <v>5.5</v>
      </c>
      <c r="J3329" s="909" t="s">
        <v>277</v>
      </c>
      <c r="K3329" s="902"/>
      <c r="L3329" s="896"/>
      <c r="M3329" s="902"/>
      <c r="N3329" s="900" t="s">
        <v>2308</v>
      </c>
    </row>
    <row r="3330" spans="1:14" s="910" customFormat="1" ht="16.5" hidden="1" customHeight="1">
      <c r="A3330" s="896"/>
      <c r="B3330" s="956"/>
      <c r="C3330" s="957"/>
      <c r="D3330" s="958"/>
      <c r="E3330" s="1268"/>
      <c r="F3330" s="960"/>
      <c r="G3330" s="960"/>
      <c r="H3330" s="960"/>
      <c r="I3330" s="916"/>
      <c r="J3330" s="909"/>
      <c r="K3330" s="902"/>
      <c r="L3330" s="896"/>
      <c r="M3330" s="902"/>
      <c r="N3330" s="900" t="s">
        <v>2308</v>
      </c>
    </row>
    <row r="3331" spans="1:14" ht="15.75" hidden="1">
      <c r="A3331" s="896"/>
      <c r="B3331" s="902"/>
      <c r="C3331" s="917"/>
      <c r="D3331" s="918"/>
      <c r="E3331" s="919"/>
      <c r="F3331" s="920"/>
      <c r="G3331" s="921"/>
      <c r="H3331" s="896"/>
      <c r="I3331" s="916"/>
      <c r="J3331" s="909" t="s">
        <v>277</v>
      </c>
      <c r="K3331" s="922">
        <f>'SANITATION DTA'!G375</f>
        <v>89</v>
      </c>
      <c r="L3331" s="923" t="s">
        <v>2308</v>
      </c>
      <c r="M3331" s="924">
        <f>ROUND(I3331*K3331,0)</f>
        <v>0</v>
      </c>
      <c r="N3331" s="900" t="s">
        <v>2308</v>
      </c>
    </row>
    <row r="3332" spans="1:14" ht="41.25" hidden="1" customHeight="1">
      <c r="A3332" s="896">
        <v>2</v>
      </c>
      <c r="B3332" s="1609" t="s">
        <v>1252</v>
      </c>
      <c r="C3332" s="1609"/>
      <c r="D3332" s="1609"/>
      <c r="E3332" s="1609"/>
      <c r="F3332" s="1609"/>
      <c r="G3332" s="1609"/>
      <c r="H3332" s="1609"/>
      <c r="I3332" s="897"/>
      <c r="J3332" s="898"/>
      <c r="K3332" s="896"/>
      <c r="L3332" s="896"/>
      <c r="M3332" s="899"/>
      <c r="N3332" s="900" t="s">
        <v>2308</v>
      </c>
    </row>
    <row r="3333" spans="1:14" s="910" customFormat="1" ht="16.5" hidden="1" customHeight="1">
      <c r="A3333" s="896"/>
      <c r="B3333" s="902" t="s">
        <v>2317</v>
      </c>
      <c r="C3333" s="903"/>
      <c r="D3333" s="904"/>
      <c r="E3333" s="905"/>
      <c r="F3333" s="906"/>
      <c r="G3333" s="906"/>
      <c r="H3333" s="907"/>
      <c r="I3333" s="908"/>
      <c r="J3333" s="909"/>
      <c r="K3333" s="902"/>
      <c r="L3333" s="896"/>
      <c r="M3333" s="902"/>
      <c r="N3333" s="900" t="s">
        <v>2308</v>
      </c>
    </row>
    <row r="3334" spans="1:14" s="910" customFormat="1" ht="16.5" hidden="1" customHeight="1">
      <c r="A3334" s="896"/>
      <c r="B3334" s="956"/>
      <c r="C3334" s="957">
        <v>1</v>
      </c>
      <c r="D3334" s="958" t="s">
        <v>273</v>
      </c>
      <c r="E3334" s="1268">
        <v>1</v>
      </c>
      <c r="F3334" s="960">
        <v>85</v>
      </c>
      <c r="G3334" s="960">
        <v>0</v>
      </c>
      <c r="H3334" s="960">
        <v>0</v>
      </c>
      <c r="I3334" s="916">
        <f>ROUND(IF(AND(F3334:H3334),C3334*E3334*F3334*G3334*H3334,IF(AND(F3334,G3334),C3334*E3334*F3334*G3334,IF(AND(F3334,H3334),C3334*E3334*F3334*H3334,IF(AND(G3334,H3334),C3334*E3334*G3334*H3334,IF(F3334,C3334*E3334*F3334,IF(G3334,C3334*E3334*G3334,IF(H3334,C3334*E3334*H3334,C3334*E3334))))))),2)</f>
        <v>85</v>
      </c>
      <c r="J3334" s="909" t="s">
        <v>277</v>
      </c>
      <c r="K3334" s="902"/>
      <c r="L3334" s="896"/>
      <c r="M3334" s="902"/>
      <c r="N3334" s="900" t="s">
        <v>2308</v>
      </c>
    </row>
    <row r="3335" spans="1:14" s="910" customFormat="1" ht="16.5" hidden="1" customHeight="1">
      <c r="A3335" s="896"/>
      <c r="B3335" s="956"/>
      <c r="C3335" s="957"/>
      <c r="D3335" s="958"/>
      <c r="E3335" s="1268"/>
      <c r="F3335" s="960"/>
      <c r="G3335" s="960"/>
      <c r="H3335" s="960"/>
      <c r="I3335" s="916"/>
      <c r="J3335" s="909"/>
      <c r="K3335" s="902"/>
      <c r="L3335" s="896"/>
      <c r="M3335" s="902"/>
      <c r="N3335" s="900" t="s">
        <v>2308</v>
      </c>
    </row>
    <row r="3336" spans="1:14" ht="15.75" hidden="1">
      <c r="A3336" s="896"/>
      <c r="B3336" s="902"/>
      <c r="C3336" s="917"/>
      <c r="D3336" s="918"/>
      <c r="E3336" s="919"/>
      <c r="F3336" s="920"/>
      <c r="G3336" s="921"/>
      <c r="H3336" s="896"/>
      <c r="I3336" s="916"/>
      <c r="J3336" s="909" t="s">
        <v>277</v>
      </c>
      <c r="K3336" s="922">
        <f>'SANITATION DTA'!G385</f>
        <v>33</v>
      </c>
      <c r="L3336" s="923" t="s">
        <v>2308</v>
      </c>
      <c r="M3336" s="924">
        <f>ROUND(I3336*K3336,0)</f>
        <v>0</v>
      </c>
      <c r="N3336" s="900" t="s">
        <v>2308</v>
      </c>
    </row>
    <row r="3337" spans="1:14" ht="63.75" hidden="1" customHeight="1">
      <c r="A3337" s="896">
        <v>2</v>
      </c>
      <c r="B3337" s="1609" t="s">
        <v>278</v>
      </c>
      <c r="C3337" s="1609"/>
      <c r="D3337" s="1609"/>
      <c r="E3337" s="1609"/>
      <c r="F3337" s="1609"/>
      <c r="G3337" s="1609"/>
      <c r="H3337" s="1609"/>
      <c r="I3337" s="897"/>
      <c r="J3337" s="898"/>
      <c r="K3337" s="896"/>
      <c r="L3337" s="896"/>
      <c r="M3337" s="899"/>
      <c r="N3337" s="900" t="s">
        <v>2308</v>
      </c>
    </row>
    <row r="3338" spans="1:14" s="910" customFormat="1" ht="16.5" hidden="1" customHeight="1">
      <c r="A3338" s="896"/>
      <c r="B3338" s="1212" t="s">
        <v>2319</v>
      </c>
      <c r="C3338" s="903"/>
      <c r="D3338" s="904"/>
      <c r="E3338" s="905"/>
      <c r="F3338" s="906"/>
      <c r="G3338" s="906"/>
      <c r="H3338" s="907"/>
      <c r="I3338" s="908"/>
      <c r="J3338" s="909"/>
      <c r="K3338" s="902"/>
      <c r="L3338" s="896"/>
      <c r="M3338" s="902"/>
      <c r="N3338" s="900" t="s">
        <v>2308</v>
      </c>
    </row>
    <row r="3339" spans="1:14" s="910" customFormat="1" ht="16.5" hidden="1" customHeight="1">
      <c r="A3339" s="896"/>
      <c r="B3339" s="911" t="s">
        <v>2365</v>
      </c>
      <c r="C3339" s="912">
        <v>1</v>
      </c>
      <c r="D3339" s="913" t="s">
        <v>273</v>
      </c>
      <c r="E3339" s="914">
        <v>1</v>
      </c>
      <c r="F3339" s="1289">
        <v>9.1</v>
      </c>
      <c r="G3339" s="915">
        <v>0</v>
      </c>
      <c r="H3339" s="915">
        <v>0</v>
      </c>
      <c r="I3339" s="916">
        <f>ROUND(IF(AND(F3339:H3339),C3339*E3339*F3339*G3339*H3339,IF(AND(F3339,G3339),C3339*E3339*F3339*G3339,IF(AND(F3339,H3339),C3339*E3339*F3339*H3339,IF(AND(G3339,H3339),C3339*E3339*G3339*H3339,IF(F3339,C3339*E3339*F3339,IF(G3339,C3339*E3339*G3339,IF(H3339,C3339*E3339*H3339,C3339*E3339))))))),2)</f>
        <v>9.1</v>
      </c>
      <c r="J3339" s="909" t="s">
        <v>277</v>
      </c>
      <c r="K3339" s="902"/>
      <c r="L3339" s="896"/>
      <c r="M3339" s="902"/>
      <c r="N3339" s="900" t="s">
        <v>2308</v>
      </c>
    </row>
    <row r="3340" spans="1:14" s="910" customFormat="1" ht="16.5" hidden="1" customHeight="1">
      <c r="A3340" s="896"/>
      <c r="B3340" s="911"/>
      <c r="C3340" s="912">
        <v>1</v>
      </c>
      <c r="D3340" s="913" t="s">
        <v>273</v>
      </c>
      <c r="E3340" s="914">
        <v>1</v>
      </c>
      <c r="F3340" s="1289">
        <v>5.5</v>
      </c>
      <c r="G3340" s="915">
        <v>0</v>
      </c>
      <c r="H3340" s="915">
        <v>0</v>
      </c>
      <c r="I3340" s="916">
        <f>ROUND(IF(AND(F3340:H3340),C3340*E3340*F3340*G3340*H3340,IF(AND(F3340,G3340),C3340*E3340*F3340*G3340,IF(AND(F3340,H3340),C3340*E3340*F3340*H3340,IF(AND(G3340,H3340),C3340*E3340*G3340*H3340,IF(F3340,C3340*E3340*F3340,IF(G3340,C3340*E3340*G3340,IF(H3340,C3340*E3340*H3340,C3340*E3340))))))),2)</f>
        <v>5.5</v>
      </c>
      <c r="J3340" s="909" t="s">
        <v>277</v>
      </c>
      <c r="K3340" s="902"/>
      <c r="L3340" s="896"/>
      <c r="M3340" s="902"/>
      <c r="N3340" s="900"/>
    </row>
    <row r="3341" spans="1:14" s="910" customFormat="1" ht="16.5" hidden="1" customHeight="1">
      <c r="A3341" s="896"/>
      <c r="B3341" s="956"/>
      <c r="C3341" s="957"/>
      <c r="D3341" s="958"/>
      <c r="E3341" s="1268"/>
      <c r="F3341" s="960"/>
      <c r="G3341" s="960"/>
      <c r="H3341" s="960"/>
      <c r="I3341" s="916"/>
      <c r="J3341" s="909"/>
      <c r="K3341" s="902"/>
      <c r="L3341" s="896"/>
      <c r="M3341" s="902"/>
      <c r="N3341" s="900" t="s">
        <v>2308</v>
      </c>
    </row>
    <row r="3342" spans="1:14" ht="15.75" hidden="1">
      <c r="A3342" s="896"/>
      <c r="B3342" s="902"/>
      <c r="C3342" s="917"/>
      <c r="D3342" s="918"/>
      <c r="E3342" s="919"/>
      <c r="F3342" s="920"/>
      <c r="G3342" s="921"/>
      <c r="H3342" s="896"/>
      <c r="I3342" s="916"/>
      <c r="J3342" s="909" t="s">
        <v>277</v>
      </c>
      <c r="K3342" s="922">
        <f>'SANITATION DTA'!G389</f>
        <v>33</v>
      </c>
      <c r="L3342" s="923" t="s">
        <v>2308</v>
      </c>
      <c r="M3342" s="924">
        <f>ROUND(I3342*K3342,0)</f>
        <v>0</v>
      </c>
      <c r="N3342" s="900" t="s">
        <v>2308</v>
      </c>
    </row>
    <row r="3343" spans="1:14" ht="39.75" hidden="1" customHeight="1">
      <c r="A3343" s="896">
        <v>3</v>
      </c>
      <c r="B3343" s="1609" t="s">
        <v>352</v>
      </c>
      <c r="C3343" s="1609"/>
      <c r="D3343" s="1609"/>
      <c r="E3343" s="1609"/>
      <c r="F3343" s="1609"/>
      <c r="G3343" s="1609"/>
      <c r="H3343" s="1609"/>
      <c r="I3343" s="897"/>
      <c r="J3343" s="898"/>
      <c r="K3343" s="896"/>
      <c r="L3343" s="896"/>
      <c r="M3343" s="899"/>
      <c r="N3343" s="900" t="s">
        <v>2308</v>
      </c>
    </row>
    <row r="3344" spans="1:14" s="910" customFormat="1" ht="16.5" hidden="1" customHeight="1">
      <c r="A3344" s="896"/>
      <c r="B3344" s="902" t="s">
        <v>2341</v>
      </c>
      <c r="C3344" s="903"/>
      <c r="D3344" s="904"/>
      <c r="E3344" s="905"/>
      <c r="F3344" s="906"/>
      <c r="G3344" s="906"/>
      <c r="H3344" s="907"/>
      <c r="I3344" s="908"/>
      <c r="J3344" s="909"/>
      <c r="K3344" s="902"/>
      <c r="L3344" s="896"/>
      <c r="M3344" s="902"/>
      <c r="N3344" s="900" t="s">
        <v>2308</v>
      </c>
    </row>
    <row r="3345" spans="1:14" s="910" customFormat="1" ht="16.5" hidden="1" customHeight="1">
      <c r="A3345" s="896"/>
      <c r="B3345" s="956"/>
      <c r="C3345" s="957">
        <v>1</v>
      </c>
      <c r="D3345" s="958" t="s">
        <v>273</v>
      </c>
      <c r="E3345" s="1268">
        <v>9</v>
      </c>
      <c r="F3345" s="960">
        <f>I3338</f>
        <v>0</v>
      </c>
      <c r="G3345" s="960">
        <v>0</v>
      </c>
      <c r="H3345" s="960">
        <v>0</v>
      </c>
      <c r="I3345" s="1291">
        <f>ROUND(IF(AND(F3345:H3345),C3345*E3345*F3345*G3345*H3345,IF(AND(F3345,G3345),C3345*E3345*F3345*G3345,IF(AND(F3345,H3345),C3345*E3345*F3345*H3345,IF(AND(G3345,H3345),C3345*E3345*G3345*H3345,IF(F3345,C3345*E3345*F3345,IF(G3345,C3345*E3345*G3345,IF(H3345,C3345*E3345*H3345,C3345*E3345))))))),2)</f>
        <v>9</v>
      </c>
      <c r="J3345" s="909" t="s">
        <v>115</v>
      </c>
      <c r="K3345" s="902"/>
      <c r="L3345" s="896"/>
      <c r="M3345" s="902"/>
      <c r="N3345" s="900" t="s">
        <v>2308</v>
      </c>
    </row>
    <row r="3346" spans="1:14" s="910" customFormat="1" ht="16.5" hidden="1" customHeight="1">
      <c r="A3346" s="896"/>
      <c r="B3346" s="956"/>
      <c r="C3346" s="957"/>
      <c r="D3346" s="958"/>
      <c r="E3346" s="1268"/>
      <c r="F3346" s="960"/>
      <c r="G3346" s="960"/>
      <c r="H3346" s="960"/>
      <c r="I3346" s="1291"/>
      <c r="J3346" s="909"/>
      <c r="K3346" s="902"/>
      <c r="L3346" s="896"/>
      <c r="M3346" s="902"/>
      <c r="N3346" s="900" t="s">
        <v>2308</v>
      </c>
    </row>
    <row r="3347" spans="1:14" ht="15.75" hidden="1">
      <c r="A3347" s="896"/>
      <c r="B3347" s="902"/>
      <c r="C3347" s="917"/>
      <c r="D3347" s="918"/>
      <c r="E3347" s="919"/>
      <c r="F3347" s="920"/>
      <c r="G3347" s="921"/>
      <c r="H3347" s="896"/>
      <c r="I3347" s="1291"/>
      <c r="J3347" s="909" t="s">
        <v>115</v>
      </c>
      <c r="K3347" s="922">
        <f>'SANITATION DTA'!G358</f>
        <v>366</v>
      </c>
      <c r="L3347" s="923" t="s">
        <v>2308</v>
      </c>
      <c r="M3347" s="924">
        <f>ROUND(I3347*K3347,0)</f>
        <v>0</v>
      </c>
      <c r="N3347" s="900" t="s">
        <v>2308</v>
      </c>
    </row>
    <row r="3348" spans="1:14" ht="28.5" hidden="1" customHeight="1">
      <c r="A3348" s="896">
        <v>4</v>
      </c>
      <c r="B3348" s="1609" t="s">
        <v>685</v>
      </c>
      <c r="C3348" s="1609"/>
      <c r="D3348" s="1609"/>
      <c r="E3348" s="1609"/>
      <c r="F3348" s="1609"/>
      <c r="G3348" s="1609"/>
      <c r="H3348" s="1609"/>
      <c r="I3348" s="897"/>
      <c r="J3348" s="898"/>
      <c r="K3348" s="896"/>
      <c r="L3348" s="896"/>
      <c r="M3348" s="899"/>
      <c r="N3348" s="900" t="s">
        <v>2308</v>
      </c>
    </row>
    <row r="3349" spans="1:14" s="910" customFormat="1" ht="16.5" hidden="1" customHeight="1">
      <c r="A3349" s="896"/>
      <c r="B3349" s="980" t="s">
        <v>607</v>
      </c>
      <c r="C3349" s="903"/>
      <c r="D3349" s="904"/>
      <c r="E3349" s="905"/>
      <c r="F3349" s="906"/>
      <c r="G3349" s="906"/>
      <c r="H3349" s="907"/>
      <c r="I3349" s="908"/>
      <c r="J3349" s="909"/>
      <c r="K3349" s="902"/>
      <c r="L3349" s="896"/>
      <c r="M3349" s="902"/>
      <c r="N3349" s="900" t="s">
        <v>2308</v>
      </c>
    </row>
    <row r="3350" spans="1:14" s="910" customFormat="1" ht="16.5" hidden="1" customHeight="1">
      <c r="A3350" s="896"/>
      <c r="B3350" s="956"/>
      <c r="C3350" s="957">
        <v>1</v>
      </c>
      <c r="D3350" s="958" t="s">
        <v>273</v>
      </c>
      <c r="E3350" s="1268">
        <v>2</v>
      </c>
      <c r="F3350" s="960">
        <f>I3343</f>
        <v>0</v>
      </c>
      <c r="G3350" s="960">
        <v>0</v>
      </c>
      <c r="H3350" s="960">
        <v>0</v>
      </c>
      <c r="I3350" s="1291">
        <f>ROUND(IF(AND(F3350:H3350),C3350*E3350*F3350*G3350*H3350,IF(AND(F3350,G3350),C3350*E3350*F3350*G3350,IF(AND(F3350,H3350),C3350*E3350*F3350*H3350,IF(AND(G3350,H3350),C3350*E3350*G3350*H3350,IF(F3350,C3350*E3350*F3350,IF(G3350,C3350*E3350*G3350,IF(H3350,C3350*E3350*H3350,C3350*E3350))))))),2)</f>
        <v>2</v>
      </c>
      <c r="J3350" s="909" t="s">
        <v>115</v>
      </c>
      <c r="K3350" s="902"/>
      <c r="L3350" s="896"/>
      <c r="M3350" s="902"/>
      <c r="N3350" s="900" t="s">
        <v>2308</v>
      </c>
    </row>
    <row r="3351" spans="1:14" s="910" customFormat="1" ht="16.5" hidden="1" customHeight="1">
      <c r="A3351" s="896"/>
      <c r="B3351" s="956"/>
      <c r="C3351" s="957"/>
      <c r="D3351" s="958"/>
      <c r="E3351" s="1268"/>
      <c r="F3351" s="960"/>
      <c r="G3351" s="960"/>
      <c r="H3351" s="960"/>
      <c r="I3351" s="1291"/>
      <c r="J3351" s="909"/>
      <c r="K3351" s="902"/>
      <c r="L3351" s="896"/>
      <c r="M3351" s="902"/>
      <c r="N3351" s="900" t="s">
        <v>2308</v>
      </c>
    </row>
    <row r="3352" spans="1:14" ht="15.75" hidden="1">
      <c r="A3352" s="896"/>
      <c r="B3352" s="902"/>
      <c r="C3352" s="917"/>
      <c r="D3352" s="918"/>
      <c r="E3352" s="919"/>
      <c r="F3352" s="920"/>
      <c r="G3352" s="921"/>
      <c r="H3352" s="896"/>
      <c r="I3352" s="1291"/>
      <c r="J3352" s="909" t="s">
        <v>115</v>
      </c>
      <c r="K3352" s="922">
        <f>'SANITATION DTA'!G354</f>
        <v>1554</v>
      </c>
      <c r="L3352" s="923" t="s">
        <v>2308</v>
      </c>
      <c r="M3352" s="924">
        <f>ROUND(I3352*K3352,0)</f>
        <v>0</v>
      </c>
      <c r="N3352" s="900" t="s">
        <v>2308</v>
      </c>
    </row>
    <row r="3353" spans="1:14" ht="29.25" hidden="1" customHeight="1">
      <c r="A3353" s="896">
        <v>3</v>
      </c>
      <c r="B3353" s="1609" t="s">
        <v>341</v>
      </c>
      <c r="C3353" s="1609"/>
      <c r="D3353" s="1609"/>
      <c r="E3353" s="1609"/>
      <c r="F3353" s="1609"/>
      <c r="G3353" s="1609"/>
      <c r="H3353" s="1609"/>
      <c r="I3353" s="897"/>
      <c r="J3353" s="898"/>
      <c r="K3353" s="896"/>
      <c r="L3353" s="896"/>
      <c r="M3353" s="899"/>
      <c r="N3353" s="900" t="s">
        <v>2308</v>
      </c>
    </row>
    <row r="3354" spans="1:14" s="910" customFormat="1" ht="16.5" hidden="1" customHeight="1">
      <c r="A3354" s="896"/>
      <c r="B3354" s="902" t="s">
        <v>2336</v>
      </c>
      <c r="C3354" s="903"/>
      <c r="D3354" s="904"/>
      <c r="E3354" s="905"/>
      <c r="F3354" s="906"/>
      <c r="G3354" s="906"/>
      <c r="H3354" s="907"/>
      <c r="I3354" s="908"/>
      <c r="J3354" s="909"/>
      <c r="K3354" s="902"/>
      <c r="L3354" s="896"/>
      <c r="M3354" s="902"/>
      <c r="N3354" s="900" t="s">
        <v>2308</v>
      </c>
    </row>
    <row r="3355" spans="1:14" s="910" customFormat="1" ht="16.5" hidden="1" customHeight="1">
      <c r="A3355" s="896"/>
      <c r="B3355" s="911" t="s">
        <v>2362</v>
      </c>
      <c r="C3355" s="912">
        <v>1</v>
      </c>
      <c r="D3355" s="913" t="s">
        <v>273</v>
      </c>
      <c r="E3355" s="914">
        <v>1</v>
      </c>
      <c r="F3355" s="915">
        <v>2.1</v>
      </c>
      <c r="G3355" s="915">
        <v>0</v>
      </c>
      <c r="H3355" s="915">
        <v>0</v>
      </c>
      <c r="I3355" s="916">
        <f>ROUND(IF(AND(F3355:H3355),C3355*E3355*F3355*G3355*H3355,IF(AND(F3355,G3355),C3355*E3355*F3355*G3355,IF(AND(F3355,H3355),C3355*E3355*F3355*H3355,IF(AND(G3355,H3355),C3355*E3355*G3355*H3355,IF(F3355,C3355*E3355*F3355,IF(G3355,C3355*E3355*G3355,IF(H3355,C3355*E3355*H3355,C3355*E3355))))))),2)</f>
        <v>2.1</v>
      </c>
      <c r="J3355" s="909" t="s">
        <v>277</v>
      </c>
      <c r="K3355" s="902"/>
      <c r="L3355" s="896"/>
      <c r="M3355" s="902"/>
      <c r="N3355" s="900" t="s">
        <v>2308</v>
      </c>
    </row>
    <row r="3356" spans="1:14" s="910" customFormat="1" ht="16.5" hidden="1" customHeight="1">
      <c r="A3356" s="896"/>
      <c r="B3356" s="911" t="s">
        <v>2363</v>
      </c>
      <c r="C3356" s="912">
        <v>1</v>
      </c>
      <c r="D3356" s="913" t="s">
        <v>273</v>
      </c>
      <c r="E3356" s="914">
        <v>1</v>
      </c>
      <c r="F3356" s="915">
        <v>2.1</v>
      </c>
      <c r="G3356" s="915">
        <v>0</v>
      </c>
      <c r="H3356" s="915">
        <v>0</v>
      </c>
      <c r="I3356" s="916">
        <f>ROUND(IF(AND(F3356:H3356),C3356*E3356*F3356*G3356*H3356,IF(AND(F3356,G3356),C3356*E3356*F3356*G3356,IF(AND(F3356,H3356),C3356*E3356*F3356*H3356,IF(AND(G3356,H3356),C3356*E3356*G3356*H3356,IF(F3356,C3356*E3356*F3356,IF(G3356,C3356*E3356*G3356,IF(H3356,C3356*E3356*H3356,C3356*E3356))))))),2)</f>
        <v>2.1</v>
      </c>
      <c r="J3356" s="909" t="s">
        <v>277</v>
      </c>
      <c r="K3356" s="902"/>
      <c r="L3356" s="896"/>
      <c r="M3356" s="902"/>
      <c r="N3356" s="900" t="s">
        <v>2308</v>
      </c>
    </row>
    <row r="3357" spans="1:14" s="910" customFormat="1" ht="16.5" hidden="1" customHeight="1">
      <c r="A3357" s="896"/>
      <c r="B3357" s="956"/>
      <c r="C3357" s="957"/>
      <c r="D3357" s="958"/>
      <c r="E3357" s="1268"/>
      <c r="F3357" s="960"/>
      <c r="G3357" s="960"/>
      <c r="H3357" s="960"/>
      <c r="I3357" s="916"/>
      <c r="J3357" s="909"/>
      <c r="K3357" s="902"/>
      <c r="L3357" s="896"/>
      <c r="M3357" s="902"/>
      <c r="N3357" s="900" t="s">
        <v>2308</v>
      </c>
    </row>
    <row r="3358" spans="1:14" ht="15.75" hidden="1">
      <c r="A3358" s="896"/>
      <c r="B3358" s="902"/>
      <c r="C3358" s="917"/>
      <c r="D3358" s="918"/>
      <c r="E3358" s="919"/>
      <c r="F3358" s="920"/>
      <c r="G3358" s="921"/>
      <c r="H3358" s="896"/>
      <c r="I3358" s="916"/>
      <c r="J3358" s="909" t="s">
        <v>277</v>
      </c>
      <c r="K3358" s="922">
        <f>'SANITATION DTA'!G334</f>
        <v>142</v>
      </c>
      <c r="L3358" s="923" t="s">
        <v>2308</v>
      </c>
      <c r="M3358" s="924">
        <f>ROUND(I3358*K3358,0)</f>
        <v>0</v>
      </c>
      <c r="N3358" s="900" t="s">
        <v>2308</v>
      </c>
    </row>
    <row r="3359" spans="1:14" ht="29.25" hidden="1" customHeight="1">
      <c r="A3359" s="896">
        <v>4</v>
      </c>
      <c r="B3359" s="1609" t="s">
        <v>346</v>
      </c>
      <c r="C3359" s="1609"/>
      <c r="D3359" s="1609"/>
      <c r="E3359" s="1609"/>
      <c r="F3359" s="1609"/>
      <c r="G3359" s="1609"/>
      <c r="H3359" s="1609"/>
      <c r="I3359" s="897"/>
      <c r="J3359" s="898"/>
      <c r="K3359" s="896"/>
      <c r="L3359" s="896"/>
      <c r="M3359" s="899"/>
      <c r="N3359" s="900" t="s">
        <v>2308</v>
      </c>
    </row>
    <row r="3360" spans="1:14" s="910" customFormat="1" ht="16.5" hidden="1" customHeight="1">
      <c r="A3360" s="896"/>
      <c r="B3360" s="902" t="s">
        <v>2324</v>
      </c>
      <c r="C3360" s="903"/>
      <c r="D3360" s="904"/>
      <c r="E3360" s="905"/>
      <c r="F3360" s="906"/>
      <c r="G3360" s="906"/>
      <c r="H3360" s="907"/>
      <c r="I3360" s="908"/>
      <c r="J3360" s="909"/>
      <c r="K3360" s="902"/>
      <c r="L3360" s="896"/>
      <c r="M3360" s="902"/>
      <c r="N3360" s="900" t="s">
        <v>2308</v>
      </c>
    </row>
    <row r="3361" spans="1:14" s="910" customFormat="1" ht="16.5" hidden="1" customHeight="1">
      <c r="A3361" s="896"/>
      <c r="B3361" s="911"/>
      <c r="C3361" s="912">
        <v>1</v>
      </c>
      <c r="D3361" s="913" t="s">
        <v>273</v>
      </c>
      <c r="E3361" s="914">
        <v>1</v>
      </c>
      <c r="F3361" s="915">
        <v>18</v>
      </c>
      <c r="G3361" s="915">
        <v>0</v>
      </c>
      <c r="H3361" s="915">
        <v>0</v>
      </c>
      <c r="I3361" s="916">
        <f>ROUND(IF(AND(F3361:H3361),C3361*E3361*F3361*G3361*H3361,IF(AND(F3361,G3361),C3361*E3361*F3361*G3361,IF(AND(F3361,H3361),C3361*E3361*F3361*H3361,IF(AND(G3361,H3361),C3361*E3361*G3361*H3361,IF(F3361,C3361*E3361*F3361,IF(G3361,C3361*E3361*G3361,IF(H3361,C3361*E3361*H3361,C3361*E3361))))))),2)</f>
        <v>18</v>
      </c>
      <c r="J3361" s="909" t="s">
        <v>277</v>
      </c>
      <c r="K3361" s="902"/>
      <c r="L3361" s="896"/>
      <c r="M3361" s="902"/>
      <c r="N3361" s="900" t="s">
        <v>2308</v>
      </c>
    </row>
    <row r="3362" spans="1:14" s="910" customFormat="1" ht="16.5" hidden="1" customHeight="1">
      <c r="A3362" s="896"/>
      <c r="B3362" s="911"/>
      <c r="C3362" s="912"/>
      <c r="D3362" s="913"/>
      <c r="E3362" s="914"/>
      <c r="F3362" s="915"/>
      <c r="G3362" s="915"/>
      <c r="H3362" s="915"/>
      <c r="I3362" s="916"/>
      <c r="J3362" s="909"/>
      <c r="K3362" s="902"/>
      <c r="L3362" s="896"/>
      <c r="M3362" s="902"/>
      <c r="N3362" s="900" t="s">
        <v>2308</v>
      </c>
    </row>
    <row r="3363" spans="1:14" ht="15.75" hidden="1">
      <c r="A3363" s="896"/>
      <c r="B3363" s="902"/>
      <c r="C3363" s="917"/>
      <c r="D3363" s="918"/>
      <c r="E3363" s="919"/>
      <c r="F3363" s="920"/>
      <c r="G3363" s="921"/>
      <c r="H3363" s="896"/>
      <c r="I3363" s="916"/>
      <c r="J3363" s="909" t="s">
        <v>277</v>
      </c>
      <c r="K3363" s="922">
        <f>'SANITATION DTA'!G340</f>
        <v>135</v>
      </c>
      <c r="L3363" s="923" t="s">
        <v>2308</v>
      </c>
      <c r="M3363" s="924">
        <f>ROUND(I3363*K3363,0)</f>
        <v>0</v>
      </c>
      <c r="N3363" s="900" t="s">
        <v>2308</v>
      </c>
    </row>
    <row r="3364" spans="1:14" ht="29.25" hidden="1" customHeight="1">
      <c r="A3364" s="896">
        <v>4</v>
      </c>
      <c r="B3364" s="1609" t="s">
        <v>348</v>
      </c>
      <c r="C3364" s="1609"/>
      <c r="D3364" s="1609"/>
      <c r="E3364" s="1609"/>
      <c r="F3364" s="1609"/>
      <c r="G3364" s="1609"/>
      <c r="H3364" s="1609"/>
      <c r="I3364" s="897"/>
      <c r="J3364" s="898"/>
      <c r="K3364" s="896"/>
      <c r="L3364" s="896"/>
      <c r="M3364" s="899"/>
      <c r="N3364" s="900" t="s">
        <v>2308</v>
      </c>
    </row>
    <row r="3365" spans="1:14" s="910" customFormat="1" ht="16.5" hidden="1" customHeight="1">
      <c r="A3365" s="896"/>
      <c r="B3365" s="902" t="s">
        <v>2336</v>
      </c>
      <c r="C3365" s="903"/>
      <c r="D3365" s="904"/>
      <c r="E3365" s="905"/>
      <c r="F3365" s="906"/>
      <c r="G3365" s="906"/>
      <c r="H3365" s="907"/>
      <c r="I3365" s="908"/>
      <c r="J3365" s="909"/>
      <c r="K3365" s="902"/>
      <c r="L3365" s="896"/>
      <c r="M3365" s="902"/>
      <c r="N3365" s="900" t="s">
        <v>2308</v>
      </c>
    </row>
    <row r="3366" spans="1:14" s="910" customFormat="1" ht="16.5" hidden="1" customHeight="1">
      <c r="A3366" s="896"/>
      <c r="B3366" s="911" t="s">
        <v>2362</v>
      </c>
      <c r="C3366" s="912">
        <v>1</v>
      </c>
      <c r="D3366" s="913" t="s">
        <v>273</v>
      </c>
      <c r="E3366" s="914">
        <v>1</v>
      </c>
      <c r="F3366" s="1289">
        <v>3.9</v>
      </c>
      <c r="G3366" s="915">
        <v>0</v>
      </c>
      <c r="H3366" s="915">
        <v>0</v>
      </c>
      <c r="I3366" s="916">
        <f>ROUND(IF(AND(F3366:H3366),C3366*E3366*F3366*G3366*H3366,IF(AND(F3366,G3366),C3366*E3366*F3366*G3366,IF(AND(F3366,H3366),C3366*E3366*F3366*H3366,IF(AND(G3366,H3366),C3366*E3366*G3366*H3366,IF(F3366,C3366*E3366*F3366,IF(G3366,C3366*E3366*G3366,IF(H3366,C3366*E3366*H3366,C3366*E3366))))))),2)</f>
        <v>3.9</v>
      </c>
      <c r="J3366" s="909" t="s">
        <v>277</v>
      </c>
      <c r="K3366" s="902"/>
      <c r="L3366" s="896"/>
      <c r="M3366" s="902"/>
      <c r="N3366" s="900" t="s">
        <v>2308</v>
      </c>
    </row>
    <row r="3367" spans="1:14" s="910" customFormat="1" ht="16.5" hidden="1" customHeight="1">
      <c r="A3367" s="896"/>
      <c r="B3367" s="911" t="s">
        <v>2363</v>
      </c>
      <c r="C3367" s="912">
        <v>1</v>
      </c>
      <c r="D3367" s="913" t="s">
        <v>273</v>
      </c>
      <c r="E3367" s="914">
        <v>1</v>
      </c>
      <c r="F3367" s="1289">
        <v>3.6</v>
      </c>
      <c r="G3367" s="915">
        <v>0</v>
      </c>
      <c r="H3367" s="915">
        <v>0</v>
      </c>
      <c r="I3367" s="916">
        <f>ROUND(IF(AND(F3367:H3367),C3367*E3367*F3367*G3367*H3367,IF(AND(F3367,G3367),C3367*E3367*F3367*G3367,IF(AND(F3367,H3367),C3367*E3367*F3367*H3367,IF(AND(G3367,H3367),C3367*E3367*G3367*H3367,IF(F3367,C3367*E3367*F3367,IF(G3367,C3367*E3367*G3367,IF(H3367,C3367*E3367*H3367,C3367*E3367))))))),2)</f>
        <v>3.6</v>
      </c>
      <c r="J3367" s="909" t="s">
        <v>277</v>
      </c>
      <c r="K3367" s="902"/>
      <c r="L3367" s="896"/>
      <c r="M3367" s="902"/>
      <c r="N3367" s="900" t="s">
        <v>2308</v>
      </c>
    </row>
    <row r="3368" spans="1:14" s="910" customFormat="1" ht="16.5" hidden="1" customHeight="1">
      <c r="A3368" s="896"/>
      <c r="B3368" s="956"/>
      <c r="C3368" s="957"/>
      <c r="D3368" s="958"/>
      <c r="E3368" s="1268"/>
      <c r="F3368" s="960"/>
      <c r="G3368" s="960"/>
      <c r="H3368" s="960"/>
      <c r="I3368" s="916"/>
      <c r="J3368" s="909"/>
      <c r="K3368" s="902"/>
      <c r="L3368" s="896"/>
      <c r="M3368" s="902"/>
      <c r="N3368" s="900" t="s">
        <v>2308</v>
      </c>
    </row>
    <row r="3369" spans="1:14" ht="15.75" hidden="1">
      <c r="A3369" s="896"/>
      <c r="B3369" s="902"/>
      <c r="C3369" s="917"/>
      <c r="D3369" s="918"/>
      <c r="E3369" s="919"/>
      <c r="F3369" s="920"/>
      <c r="G3369" s="921"/>
      <c r="H3369" s="896"/>
      <c r="I3369" s="916"/>
      <c r="J3369" s="909" t="s">
        <v>277</v>
      </c>
      <c r="K3369" s="922">
        <f>'SANITATION DTA'!G346</f>
        <v>84.666666666666671</v>
      </c>
      <c r="L3369" s="923" t="s">
        <v>2308</v>
      </c>
      <c r="M3369" s="924">
        <f>ROUND(I3369*K3369,0)</f>
        <v>0</v>
      </c>
      <c r="N3369" s="900" t="s">
        <v>2308</v>
      </c>
    </row>
    <row r="3370" spans="1:14" ht="53.25" hidden="1" customHeight="1">
      <c r="A3370" s="896">
        <v>5</v>
      </c>
      <c r="B3370" s="1609" t="s">
        <v>350</v>
      </c>
      <c r="C3370" s="1609"/>
      <c r="D3370" s="1609"/>
      <c r="E3370" s="1609"/>
      <c r="F3370" s="1609"/>
      <c r="G3370" s="1609"/>
      <c r="H3370" s="1609"/>
      <c r="I3370" s="897"/>
      <c r="J3370" s="898"/>
      <c r="K3370" s="896"/>
      <c r="L3370" s="896"/>
      <c r="M3370" s="899"/>
      <c r="N3370" s="900" t="s">
        <v>2308</v>
      </c>
    </row>
    <row r="3371" spans="1:14" s="910" customFormat="1" ht="16.5" hidden="1" customHeight="1">
      <c r="A3371" s="896"/>
      <c r="B3371" s="902" t="s">
        <v>2364</v>
      </c>
      <c r="C3371" s="903"/>
      <c r="D3371" s="904"/>
      <c r="E3371" s="905"/>
      <c r="F3371" s="906"/>
      <c r="G3371" s="906"/>
      <c r="H3371" s="907"/>
      <c r="I3371" s="908"/>
      <c r="J3371" s="909"/>
      <c r="K3371" s="902"/>
      <c r="L3371" s="896"/>
      <c r="M3371" s="902"/>
      <c r="N3371" s="900" t="s">
        <v>2308</v>
      </c>
    </row>
    <row r="3372" spans="1:14" s="910" customFormat="1" ht="16.5" hidden="1" customHeight="1">
      <c r="A3372" s="896"/>
      <c r="B3372" s="911" t="s">
        <v>425</v>
      </c>
      <c r="C3372" s="912">
        <v>1</v>
      </c>
      <c r="D3372" s="913" t="s">
        <v>273</v>
      </c>
      <c r="E3372" s="914">
        <v>1</v>
      </c>
      <c r="F3372" s="915">
        <f>I3358</f>
        <v>0</v>
      </c>
      <c r="G3372" s="915">
        <v>0</v>
      </c>
      <c r="H3372" s="915">
        <v>0</v>
      </c>
      <c r="I3372" s="916">
        <f>ROUND(IF(AND(F3372:H3372),C3372*E3372*F3372*G3372*H3372,IF(AND(F3372,G3372),C3372*E3372*F3372*G3372,IF(AND(F3372,H3372),C3372*E3372*F3372*H3372,IF(AND(G3372,H3372),C3372*E3372*G3372*H3372,IF(F3372,C3372*E3372*F3372,IF(G3372,C3372*E3372*G3372,IF(H3372,C3372*E3372*H3372,C3372*E3372))))))),2)</f>
        <v>1</v>
      </c>
      <c r="J3372" s="909" t="s">
        <v>277</v>
      </c>
      <c r="K3372" s="902"/>
      <c r="L3372" s="896"/>
      <c r="M3372" s="902"/>
      <c r="N3372" s="900" t="s">
        <v>2308</v>
      </c>
    </row>
    <row r="3373" spans="1:14" s="910" customFormat="1" ht="16.5" hidden="1" customHeight="1">
      <c r="A3373" s="896"/>
      <c r="B3373" s="911" t="s">
        <v>887</v>
      </c>
      <c r="C3373" s="912">
        <v>1</v>
      </c>
      <c r="D3373" s="913" t="s">
        <v>273</v>
      </c>
      <c r="E3373" s="914">
        <v>1</v>
      </c>
      <c r="F3373" s="915">
        <f>I3369</f>
        <v>0</v>
      </c>
      <c r="G3373" s="915">
        <v>0</v>
      </c>
      <c r="H3373" s="915">
        <v>0</v>
      </c>
      <c r="I3373" s="916">
        <f>ROUND(IF(AND(F3373:H3373),C3373*E3373*F3373*G3373*H3373,IF(AND(F3373,G3373),C3373*E3373*F3373*G3373,IF(AND(F3373,H3373),C3373*E3373*F3373*H3373,IF(AND(G3373,H3373),C3373*E3373*G3373*H3373,IF(F3373,C3373*E3373*F3373,IF(G3373,C3373*E3373*G3373,IF(H3373,C3373*E3373*H3373,C3373*E3373))))))),2)</f>
        <v>1</v>
      </c>
      <c r="J3373" s="909" t="s">
        <v>277</v>
      </c>
      <c r="K3373" s="902"/>
      <c r="L3373" s="896"/>
      <c r="M3373" s="902"/>
      <c r="N3373" s="900" t="s">
        <v>2308</v>
      </c>
    </row>
    <row r="3374" spans="1:14" s="910" customFormat="1" ht="16.5" hidden="1" customHeight="1">
      <c r="A3374" s="896"/>
      <c r="B3374" s="956"/>
      <c r="C3374" s="957"/>
      <c r="D3374" s="958"/>
      <c r="E3374" s="1268"/>
      <c r="F3374" s="960"/>
      <c r="G3374" s="960"/>
      <c r="H3374" s="960"/>
      <c r="I3374" s="916"/>
      <c r="J3374" s="909"/>
      <c r="K3374" s="902"/>
      <c r="L3374" s="896"/>
      <c r="M3374" s="902"/>
      <c r="N3374" s="900" t="s">
        <v>2308</v>
      </c>
    </row>
    <row r="3375" spans="1:14" ht="15.75" hidden="1">
      <c r="A3375" s="896"/>
      <c r="B3375" s="902"/>
      <c r="C3375" s="917"/>
      <c r="D3375" s="918"/>
      <c r="E3375" s="919"/>
      <c r="F3375" s="920"/>
      <c r="G3375" s="921"/>
      <c r="H3375" s="896"/>
      <c r="I3375" s="916"/>
      <c r="J3375" s="909" t="s">
        <v>277</v>
      </c>
      <c r="K3375" s="922">
        <f>'SANITATION DTA'!G350</f>
        <v>74</v>
      </c>
      <c r="L3375" s="923" t="s">
        <v>2308</v>
      </c>
      <c r="M3375" s="924">
        <f>ROUND(I3375*K3375,0)</f>
        <v>0</v>
      </c>
      <c r="N3375" s="900" t="s">
        <v>2308</v>
      </c>
    </row>
    <row r="3376" spans="1:14" ht="66" hidden="1" customHeight="1">
      <c r="A3376" s="896">
        <v>7</v>
      </c>
      <c r="B3376" s="1609" t="s">
        <v>328</v>
      </c>
      <c r="C3376" s="1609"/>
      <c r="D3376" s="1609"/>
      <c r="E3376" s="1609"/>
      <c r="F3376" s="1609"/>
      <c r="G3376" s="1609"/>
      <c r="H3376" s="1609"/>
      <c r="I3376" s="897"/>
      <c r="J3376" s="898"/>
      <c r="K3376" s="896"/>
      <c r="L3376" s="896"/>
      <c r="M3376" s="899"/>
      <c r="N3376" s="900" t="s">
        <v>2308</v>
      </c>
    </row>
    <row r="3377" spans="1:14" s="910" customFormat="1" ht="16.5" hidden="1" customHeight="1">
      <c r="A3377" s="896"/>
      <c r="B3377" s="902" t="s">
        <v>2341</v>
      </c>
      <c r="C3377" s="903"/>
      <c r="D3377" s="904"/>
      <c r="E3377" s="905"/>
      <c r="F3377" s="906"/>
      <c r="G3377" s="906"/>
      <c r="H3377" s="907"/>
      <c r="I3377" s="908"/>
      <c r="J3377" s="909"/>
      <c r="K3377" s="902"/>
      <c r="L3377" s="896"/>
      <c r="M3377" s="902"/>
      <c r="N3377" s="900" t="s">
        <v>2308</v>
      </c>
    </row>
    <row r="3378" spans="1:14" s="910" customFormat="1" ht="16.5" hidden="1" customHeight="1">
      <c r="A3378" s="896"/>
      <c r="B3378" s="911" t="s">
        <v>310</v>
      </c>
      <c r="C3378" s="912">
        <v>1</v>
      </c>
      <c r="D3378" s="913" t="s">
        <v>273</v>
      </c>
      <c r="E3378" s="914">
        <v>3</v>
      </c>
      <c r="F3378" s="915">
        <v>0</v>
      </c>
      <c r="G3378" s="915">
        <v>0</v>
      </c>
      <c r="H3378" s="915">
        <v>0</v>
      </c>
      <c r="I3378" s="1291">
        <f>ROUND(IF(AND(F3378:H3378),C3378*E3378*F3378*G3378*H3378,IF(AND(F3378,G3378),C3378*E3378*F3378*G3378,IF(AND(F3378,H3378),C3378*E3378*F3378*H3378,IF(AND(G3378,H3378),C3378*E3378*G3378*H3378,IF(F3378,C3378*E3378*F3378,IF(G3378,C3378*E3378*G3378,IF(H3378,C3378*E3378*H3378,C3378*E3378))))))),2)</f>
        <v>3</v>
      </c>
      <c r="J3378" s="909" t="s">
        <v>115</v>
      </c>
      <c r="K3378" s="902"/>
      <c r="L3378" s="896"/>
      <c r="M3378" s="902"/>
      <c r="N3378" s="900" t="s">
        <v>2308</v>
      </c>
    </row>
    <row r="3379" spans="1:14" s="910" customFormat="1" ht="16.5" hidden="1" customHeight="1">
      <c r="A3379" s="896"/>
      <c r="B3379" s="956"/>
      <c r="C3379" s="957"/>
      <c r="D3379" s="958"/>
      <c r="E3379" s="1268"/>
      <c r="F3379" s="960"/>
      <c r="G3379" s="960"/>
      <c r="H3379" s="960"/>
      <c r="I3379" s="1291"/>
      <c r="J3379" s="909"/>
      <c r="K3379" s="902"/>
      <c r="L3379" s="896"/>
      <c r="M3379" s="902"/>
      <c r="N3379" s="900" t="s">
        <v>2308</v>
      </c>
    </row>
    <row r="3380" spans="1:14" ht="15.75" hidden="1">
      <c r="A3380" s="896"/>
      <c r="B3380" s="902"/>
      <c r="C3380" s="917"/>
      <c r="D3380" s="918"/>
      <c r="E3380" s="919"/>
      <c r="F3380" s="920"/>
      <c r="G3380" s="921"/>
      <c r="H3380" s="896"/>
      <c r="I3380" s="1291"/>
      <c r="J3380" s="909" t="s">
        <v>115</v>
      </c>
      <c r="K3380" s="922">
        <f>'SANITATION DTA'!G310</f>
        <v>5006</v>
      </c>
      <c r="L3380" s="923" t="s">
        <v>2308</v>
      </c>
      <c r="M3380" s="924">
        <f>ROUND(I3380*K3380,0)</f>
        <v>0</v>
      </c>
      <c r="N3380" s="900" t="s">
        <v>2308</v>
      </c>
    </row>
    <row r="3381" spans="1:14" ht="36" hidden="1" customHeight="1">
      <c r="A3381" s="896">
        <v>8</v>
      </c>
      <c r="B3381" s="1609" t="s">
        <v>608</v>
      </c>
      <c r="C3381" s="1609"/>
      <c r="D3381" s="1609"/>
      <c r="E3381" s="1609"/>
      <c r="F3381" s="1609"/>
      <c r="G3381" s="1609"/>
      <c r="H3381" s="1609"/>
      <c r="I3381" s="897"/>
      <c r="J3381" s="898"/>
      <c r="K3381" s="896"/>
      <c r="L3381" s="896"/>
      <c r="M3381" s="899"/>
      <c r="N3381" s="900" t="s">
        <v>2308</v>
      </c>
    </row>
    <row r="3382" spans="1:14" s="910" customFormat="1" ht="16.5" hidden="1" customHeight="1">
      <c r="A3382" s="896"/>
      <c r="B3382" s="980" t="s">
        <v>607</v>
      </c>
      <c r="C3382" s="903"/>
      <c r="D3382" s="904"/>
      <c r="E3382" s="905"/>
      <c r="F3382" s="906"/>
      <c r="G3382" s="906"/>
      <c r="H3382" s="907"/>
      <c r="I3382" s="908"/>
      <c r="J3382" s="909"/>
      <c r="K3382" s="902"/>
      <c r="L3382" s="896"/>
      <c r="M3382" s="902"/>
      <c r="N3382" s="900" t="s">
        <v>2308</v>
      </c>
    </row>
    <row r="3383" spans="1:14" s="910" customFormat="1" ht="16.5" hidden="1" customHeight="1">
      <c r="A3383" s="896"/>
      <c r="B3383" s="956" t="s">
        <v>310</v>
      </c>
      <c r="C3383" s="957">
        <v>1</v>
      </c>
      <c r="D3383" s="958" t="s">
        <v>273</v>
      </c>
      <c r="E3383" s="1268">
        <v>1</v>
      </c>
      <c r="F3383" s="960">
        <v>0</v>
      </c>
      <c r="G3383" s="960">
        <v>0</v>
      </c>
      <c r="H3383" s="960">
        <v>0</v>
      </c>
      <c r="I3383" s="1291">
        <f>ROUND(IF(AND(F3383:H3383),C3383*E3383*F3383*G3383*H3383,IF(AND(F3383,G3383),C3383*E3383*F3383*G3383,IF(AND(F3383,H3383),C3383*E3383*F3383*H3383,IF(AND(G3383,H3383),C3383*E3383*G3383*H3383,IF(F3383,C3383*E3383*F3383,IF(G3383,C3383*E3383*G3383,IF(H3383,C3383*E3383*H3383,C3383*E3383))))))),2)</f>
        <v>1</v>
      </c>
      <c r="J3383" s="909" t="s">
        <v>115</v>
      </c>
      <c r="K3383" s="902"/>
      <c r="L3383" s="896"/>
      <c r="M3383" s="902"/>
      <c r="N3383" s="900" t="s">
        <v>2308</v>
      </c>
    </row>
    <row r="3384" spans="1:14" s="910" customFormat="1" ht="16.5" hidden="1" customHeight="1">
      <c r="A3384" s="896"/>
      <c r="B3384" s="956"/>
      <c r="C3384" s="957"/>
      <c r="D3384" s="958"/>
      <c r="E3384" s="1268"/>
      <c r="F3384" s="960"/>
      <c r="G3384" s="960"/>
      <c r="H3384" s="960"/>
      <c r="I3384" s="1291"/>
      <c r="J3384" s="909"/>
      <c r="K3384" s="902"/>
      <c r="L3384" s="896"/>
      <c r="M3384" s="902"/>
      <c r="N3384" s="900" t="s">
        <v>2308</v>
      </c>
    </row>
    <row r="3385" spans="1:14" ht="15.75" hidden="1">
      <c r="A3385" s="896"/>
      <c r="B3385" s="902"/>
      <c r="C3385" s="917"/>
      <c r="D3385" s="918"/>
      <c r="E3385" s="919"/>
      <c r="F3385" s="920"/>
      <c r="G3385" s="921"/>
      <c r="H3385" s="896"/>
      <c r="I3385" s="1291"/>
      <c r="J3385" s="909" t="s">
        <v>115</v>
      </c>
      <c r="K3385" s="922">
        <f>'SANITATION DTA'!G313</f>
        <v>979</v>
      </c>
      <c r="L3385" s="923" t="s">
        <v>2308</v>
      </c>
      <c r="M3385" s="924">
        <f>ROUND(I3385*K3385,0)</f>
        <v>0</v>
      </c>
      <c r="N3385" s="900" t="s">
        <v>2308</v>
      </c>
    </row>
    <row r="3386" spans="1:14" ht="57" hidden="1" customHeight="1">
      <c r="A3386" s="896">
        <v>8</v>
      </c>
      <c r="B3386" s="1609" t="s">
        <v>1253</v>
      </c>
      <c r="C3386" s="1609"/>
      <c r="D3386" s="1609"/>
      <c r="E3386" s="1609"/>
      <c r="F3386" s="1609"/>
      <c r="G3386" s="1609"/>
      <c r="H3386" s="1609"/>
      <c r="I3386" s="897"/>
      <c r="J3386" s="898"/>
      <c r="K3386" s="896"/>
      <c r="L3386" s="896"/>
      <c r="M3386" s="899"/>
      <c r="N3386" s="900" t="s">
        <v>2308</v>
      </c>
    </row>
    <row r="3387" spans="1:14" s="910" customFormat="1" ht="16.5" hidden="1" customHeight="1">
      <c r="A3387" s="896"/>
      <c r="B3387" s="902" t="s">
        <v>2341</v>
      </c>
      <c r="C3387" s="903"/>
      <c r="D3387" s="904"/>
      <c r="E3387" s="905"/>
      <c r="F3387" s="906"/>
      <c r="G3387" s="906"/>
      <c r="H3387" s="907"/>
      <c r="I3387" s="908"/>
      <c r="J3387" s="909"/>
      <c r="K3387" s="902"/>
      <c r="L3387" s="896"/>
      <c r="M3387" s="902"/>
      <c r="N3387" s="900" t="s">
        <v>2308</v>
      </c>
    </row>
    <row r="3388" spans="1:14" s="910" customFormat="1" ht="16.5" hidden="1" customHeight="1">
      <c r="A3388" s="896"/>
      <c r="B3388" s="956" t="s">
        <v>688</v>
      </c>
      <c r="C3388" s="957">
        <v>1</v>
      </c>
      <c r="D3388" s="958" t="s">
        <v>273</v>
      </c>
      <c r="E3388" s="1268">
        <v>1</v>
      </c>
      <c r="F3388" s="960">
        <v>0</v>
      </c>
      <c r="G3388" s="960">
        <v>0</v>
      </c>
      <c r="H3388" s="960">
        <v>0</v>
      </c>
      <c r="I3388" s="1291">
        <f>ROUND(IF(AND(F3388:H3388),C3388*E3388*F3388*G3388*H3388,IF(AND(F3388,G3388),C3388*E3388*F3388*G3388,IF(AND(F3388,H3388),C3388*E3388*F3388*H3388,IF(AND(G3388,H3388),C3388*E3388*G3388*H3388,IF(F3388,C3388*E3388*F3388,IF(G3388,C3388*E3388*G3388,IF(H3388,C3388*E3388*H3388,C3388*E3388))))))),2)</f>
        <v>1</v>
      </c>
      <c r="J3388" s="909" t="s">
        <v>115</v>
      </c>
      <c r="K3388" s="902"/>
      <c r="L3388" s="896"/>
      <c r="M3388" s="902"/>
      <c r="N3388" s="900" t="s">
        <v>2308</v>
      </c>
    </row>
    <row r="3389" spans="1:14" s="910" customFormat="1" ht="16.5" hidden="1" customHeight="1">
      <c r="A3389" s="896"/>
      <c r="B3389" s="956"/>
      <c r="C3389" s="957"/>
      <c r="D3389" s="958"/>
      <c r="E3389" s="1268"/>
      <c r="F3389" s="960"/>
      <c r="G3389" s="960"/>
      <c r="H3389" s="960"/>
      <c r="I3389" s="1291"/>
      <c r="J3389" s="909"/>
      <c r="K3389" s="902"/>
      <c r="L3389" s="896"/>
      <c r="M3389" s="902"/>
      <c r="N3389" s="900" t="s">
        <v>2308</v>
      </c>
    </row>
    <row r="3390" spans="1:14" ht="15.75" hidden="1">
      <c r="A3390" s="896"/>
      <c r="B3390" s="902"/>
      <c r="C3390" s="917"/>
      <c r="D3390" s="918"/>
      <c r="E3390" s="919"/>
      <c r="F3390" s="920"/>
      <c r="G3390" s="921"/>
      <c r="H3390" s="896"/>
      <c r="I3390" s="1291"/>
      <c r="J3390" s="909" t="s">
        <v>115</v>
      </c>
      <c r="K3390" s="922">
        <f>'SANITATION DTA'!G316</f>
        <v>2499</v>
      </c>
      <c r="L3390" s="923" t="s">
        <v>2308</v>
      </c>
      <c r="M3390" s="924">
        <f>ROUND(I3390*K3390,0)</f>
        <v>0</v>
      </c>
      <c r="N3390" s="900" t="s">
        <v>2308</v>
      </c>
    </row>
    <row r="3391" spans="1:14" ht="132.75" hidden="1" customHeight="1">
      <c r="A3391" s="896">
        <v>9</v>
      </c>
      <c r="B3391" s="1609" t="s">
        <v>333</v>
      </c>
      <c r="C3391" s="1609"/>
      <c r="D3391" s="1609"/>
      <c r="E3391" s="1609"/>
      <c r="F3391" s="1609"/>
      <c r="G3391" s="1609"/>
      <c r="H3391" s="1609"/>
      <c r="I3391" s="897"/>
      <c r="J3391" s="898"/>
      <c r="K3391" s="896"/>
      <c r="L3391" s="896"/>
      <c r="M3391" s="899"/>
      <c r="N3391" s="900" t="s">
        <v>2308</v>
      </c>
    </row>
    <row r="3392" spans="1:14" s="910" customFormat="1" ht="16.5" hidden="1" customHeight="1">
      <c r="A3392" s="896"/>
      <c r="B3392" s="902" t="s">
        <v>2341</v>
      </c>
      <c r="C3392" s="903"/>
      <c r="D3392" s="904"/>
      <c r="E3392" s="905"/>
      <c r="F3392" s="906"/>
      <c r="G3392" s="906"/>
      <c r="H3392" s="907"/>
      <c r="I3392" s="908"/>
      <c r="J3392" s="909"/>
      <c r="K3392" s="902"/>
      <c r="L3392" s="896"/>
      <c r="M3392" s="902"/>
      <c r="N3392" s="900" t="s">
        <v>2308</v>
      </c>
    </row>
    <row r="3393" spans="1:14" s="910" customFormat="1" ht="16.5" hidden="1" customHeight="1">
      <c r="A3393" s="896"/>
      <c r="B3393" s="911"/>
      <c r="C3393" s="912">
        <v>1</v>
      </c>
      <c r="D3393" s="913" t="s">
        <v>273</v>
      </c>
      <c r="E3393" s="914">
        <v>3</v>
      </c>
      <c r="F3393" s="915">
        <v>0</v>
      </c>
      <c r="G3393" s="915">
        <v>0</v>
      </c>
      <c r="H3393" s="915">
        <v>0</v>
      </c>
      <c r="I3393" s="1291">
        <f>ROUND(IF(AND(F3393:H3393),C3393*E3393*F3393*G3393*H3393,IF(AND(F3393,G3393),C3393*E3393*F3393*G3393,IF(AND(F3393,H3393),C3393*E3393*F3393*H3393,IF(AND(G3393,H3393),C3393*E3393*G3393*H3393,IF(F3393,C3393*E3393*F3393,IF(G3393,C3393*E3393*G3393,IF(H3393,C3393*E3393*H3393,C3393*E3393))))))),2)</f>
        <v>3</v>
      </c>
      <c r="J3393" s="909" t="s">
        <v>115</v>
      </c>
      <c r="K3393" s="902"/>
      <c r="L3393" s="896"/>
      <c r="M3393" s="902"/>
      <c r="N3393" s="900" t="s">
        <v>2308</v>
      </c>
    </row>
    <row r="3394" spans="1:14" s="910" customFormat="1" ht="16.5" hidden="1" customHeight="1">
      <c r="A3394" s="896"/>
      <c r="B3394" s="911"/>
      <c r="C3394" s="912"/>
      <c r="D3394" s="913"/>
      <c r="E3394" s="914"/>
      <c r="F3394" s="915"/>
      <c r="G3394" s="915"/>
      <c r="H3394" s="915"/>
      <c r="I3394" s="1291"/>
      <c r="J3394" s="909"/>
      <c r="K3394" s="902"/>
      <c r="L3394" s="896"/>
      <c r="M3394" s="902"/>
      <c r="N3394" s="900" t="s">
        <v>2308</v>
      </c>
    </row>
    <row r="3395" spans="1:14" ht="15.75" hidden="1">
      <c r="A3395" s="896"/>
      <c r="B3395" s="902"/>
      <c r="C3395" s="917"/>
      <c r="D3395" s="918"/>
      <c r="E3395" s="919"/>
      <c r="F3395" s="920"/>
      <c r="G3395" s="921"/>
      <c r="H3395" s="896"/>
      <c r="I3395" s="1291"/>
      <c r="J3395" s="909" t="s">
        <v>115</v>
      </c>
      <c r="K3395" s="922">
        <f>'SANITATION DTA'!G324</f>
        <v>1915</v>
      </c>
      <c r="L3395" s="923" t="s">
        <v>2308</v>
      </c>
      <c r="M3395" s="924">
        <f>ROUND(I3395*K3395,0)</f>
        <v>0</v>
      </c>
      <c r="N3395" s="900" t="s">
        <v>2308</v>
      </c>
    </row>
    <row r="3396" spans="1:14" ht="21.75" hidden="1" customHeight="1">
      <c r="A3396" s="896">
        <v>10</v>
      </c>
      <c r="B3396" s="1612" t="s">
        <v>718</v>
      </c>
      <c r="C3396" s="1613"/>
      <c r="D3396" s="1613"/>
      <c r="E3396" s="1613"/>
      <c r="F3396" s="1613"/>
      <c r="G3396" s="1613"/>
      <c r="H3396" s="1614"/>
      <c r="I3396" s="1291"/>
      <c r="J3396" s="898"/>
      <c r="K3396" s="896"/>
      <c r="L3396" s="896"/>
      <c r="M3396" s="899"/>
      <c r="N3396" s="900" t="s">
        <v>2308</v>
      </c>
    </row>
    <row r="3397" spans="1:14" s="910" customFormat="1" ht="16.5" hidden="1" customHeight="1">
      <c r="A3397" s="896"/>
      <c r="B3397" s="902" t="s">
        <v>2341</v>
      </c>
      <c r="C3397" s="903"/>
      <c r="D3397" s="904"/>
      <c r="E3397" s="905"/>
      <c r="F3397" s="906"/>
      <c r="G3397" s="906"/>
      <c r="H3397" s="907"/>
      <c r="I3397" s="1302"/>
      <c r="J3397" s="909"/>
      <c r="K3397" s="902"/>
      <c r="L3397" s="896"/>
      <c r="M3397" s="902"/>
      <c r="N3397" s="900" t="s">
        <v>2308</v>
      </c>
    </row>
    <row r="3398" spans="1:14" s="910" customFormat="1" ht="16.5" hidden="1" customHeight="1">
      <c r="A3398" s="896"/>
      <c r="B3398" s="956"/>
      <c r="C3398" s="957">
        <v>1</v>
      </c>
      <c r="D3398" s="958" t="s">
        <v>273</v>
      </c>
      <c r="E3398" s="1268">
        <v>3</v>
      </c>
      <c r="F3398" s="960">
        <v>0</v>
      </c>
      <c r="G3398" s="960">
        <v>0</v>
      </c>
      <c r="H3398" s="960">
        <v>0</v>
      </c>
      <c r="I3398" s="1291">
        <f>ROUND(IF(AND(F3398:H3398),C3398*E3398*F3398*G3398*H3398,IF(AND(F3398,G3398),C3398*E3398*F3398*G3398,IF(AND(F3398,H3398),C3398*E3398*F3398*H3398,IF(AND(G3398,H3398),C3398*E3398*G3398*H3398,IF(F3398,C3398*E3398*F3398,IF(G3398,C3398*E3398*G3398,IF(H3398,C3398*E3398*H3398,C3398*E3398))))))),2)</f>
        <v>3</v>
      </c>
      <c r="J3398" s="909" t="s">
        <v>115</v>
      </c>
      <c r="K3398" s="902"/>
      <c r="L3398" s="896"/>
      <c r="M3398" s="902"/>
      <c r="N3398" s="900" t="s">
        <v>2308</v>
      </c>
    </row>
    <row r="3399" spans="1:14" s="910" customFormat="1" ht="16.5" hidden="1" customHeight="1">
      <c r="A3399" s="896"/>
      <c r="B3399" s="956"/>
      <c r="C3399" s="957"/>
      <c r="D3399" s="958"/>
      <c r="E3399" s="1268"/>
      <c r="F3399" s="960"/>
      <c r="G3399" s="960"/>
      <c r="H3399" s="960"/>
      <c r="I3399" s="1291"/>
      <c r="J3399" s="909"/>
      <c r="K3399" s="902"/>
      <c r="L3399" s="896"/>
      <c r="M3399" s="902"/>
      <c r="N3399" s="900" t="s">
        <v>2308</v>
      </c>
    </row>
    <row r="3400" spans="1:14" ht="15.75" hidden="1">
      <c r="A3400" s="896"/>
      <c r="B3400" s="902"/>
      <c r="C3400" s="917"/>
      <c r="D3400" s="918"/>
      <c r="E3400" s="919"/>
      <c r="F3400" s="920"/>
      <c r="G3400" s="921"/>
      <c r="H3400" s="896"/>
      <c r="I3400" s="1291"/>
      <c r="J3400" s="909" t="s">
        <v>115</v>
      </c>
      <c r="K3400" s="922">
        <f>'SANITATION DTA'!G446</f>
        <v>89</v>
      </c>
      <c r="L3400" s="923" t="s">
        <v>2308</v>
      </c>
      <c r="M3400" s="924">
        <f>ROUND(I3400*K3400,0)</f>
        <v>0</v>
      </c>
      <c r="N3400" s="900" t="s">
        <v>2308</v>
      </c>
    </row>
    <row r="3401" spans="1:14" ht="58.5" hidden="1" customHeight="1">
      <c r="A3401" s="896">
        <v>11</v>
      </c>
      <c r="B3401" s="1609" t="s">
        <v>290</v>
      </c>
      <c r="C3401" s="1609"/>
      <c r="D3401" s="1609"/>
      <c r="E3401" s="1609"/>
      <c r="F3401" s="1609"/>
      <c r="G3401" s="1609"/>
      <c r="H3401" s="1609"/>
      <c r="I3401" s="897"/>
      <c r="J3401" s="898"/>
      <c r="K3401" s="896"/>
      <c r="L3401" s="896"/>
      <c r="M3401" s="899"/>
      <c r="N3401" s="900" t="s">
        <v>2308</v>
      </c>
    </row>
    <row r="3402" spans="1:14" s="910" customFormat="1" ht="16.5" hidden="1" customHeight="1">
      <c r="A3402" s="896"/>
      <c r="B3402" s="902" t="s">
        <v>2341</v>
      </c>
      <c r="C3402" s="903"/>
      <c r="D3402" s="904"/>
      <c r="E3402" s="905"/>
      <c r="F3402" s="906"/>
      <c r="G3402" s="906"/>
      <c r="H3402" s="907"/>
      <c r="I3402" s="908"/>
      <c r="J3402" s="909"/>
      <c r="K3402" s="902"/>
      <c r="L3402" s="896"/>
      <c r="M3402" s="902"/>
      <c r="N3402" s="900" t="s">
        <v>2308</v>
      </c>
    </row>
    <row r="3403" spans="1:14" s="910" customFormat="1" ht="16.5" hidden="1" customHeight="1">
      <c r="A3403" s="896"/>
      <c r="B3403" s="911"/>
      <c r="C3403" s="912">
        <v>1</v>
      </c>
      <c r="D3403" s="913" t="s">
        <v>273</v>
      </c>
      <c r="E3403" s="914">
        <v>1</v>
      </c>
      <c r="F3403" s="1305">
        <v>1000</v>
      </c>
      <c r="G3403" s="915">
        <v>0</v>
      </c>
      <c r="H3403" s="915">
        <v>0</v>
      </c>
      <c r="I3403" s="916">
        <f>ROUND(IF(AND(F3403:H3403),C3403*E3403*F3403*G3403*H3403,IF(AND(F3403,G3403),C3403*E3403*F3403*G3403,IF(AND(F3403,H3403),C3403*E3403*F3403*H3403,IF(AND(G3403,H3403),C3403*E3403*G3403*H3403,IF(F3403,C3403*E3403*F3403,IF(G3403,C3403*E3403*G3403,IF(H3403,C3403*E3403*H3403,C3403*E3403))))))),2)</f>
        <v>1000</v>
      </c>
      <c r="J3403" s="909" t="s">
        <v>291</v>
      </c>
      <c r="K3403" s="902"/>
      <c r="L3403" s="896"/>
      <c r="M3403" s="902"/>
      <c r="N3403" s="900" t="s">
        <v>2308</v>
      </c>
    </row>
    <row r="3404" spans="1:14" s="910" customFormat="1" ht="16.5" hidden="1" customHeight="1">
      <c r="A3404" s="896"/>
      <c r="B3404" s="911"/>
      <c r="C3404" s="912"/>
      <c r="D3404" s="913"/>
      <c r="E3404" s="914"/>
      <c r="F3404" s="1305"/>
      <c r="G3404" s="915"/>
      <c r="H3404" s="915"/>
      <c r="I3404" s="916"/>
      <c r="J3404" s="909"/>
      <c r="K3404" s="902"/>
      <c r="L3404" s="896"/>
      <c r="M3404" s="902"/>
      <c r="N3404" s="900" t="s">
        <v>2308</v>
      </c>
    </row>
    <row r="3405" spans="1:14" ht="15.75" hidden="1">
      <c r="A3405" s="896"/>
      <c r="B3405" s="902"/>
      <c r="C3405" s="917"/>
      <c r="D3405" s="918"/>
      <c r="E3405" s="919"/>
      <c r="F3405" s="920"/>
      <c r="G3405" s="921"/>
      <c r="H3405" s="896"/>
      <c r="I3405" s="916"/>
      <c r="J3405" s="909" t="s">
        <v>291</v>
      </c>
      <c r="K3405" s="922">
        <f>'SANITATION DTA'!G368</f>
        <v>6</v>
      </c>
      <c r="L3405" s="923" t="s">
        <v>2308</v>
      </c>
      <c r="M3405" s="924">
        <f>ROUND(I3405*K3405,0)</f>
        <v>0</v>
      </c>
      <c r="N3405" s="900" t="s">
        <v>2308</v>
      </c>
    </row>
    <row r="3406" spans="1:14" ht="146.25" hidden="1" customHeight="1">
      <c r="A3406" s="896">
        <v>10</v>
      </c>
      <c r="B3406" s="1609" t="s">
        <v>448</v>
      </c>
      <c r="C3406" s="1609"/>
      <c r="D3406" s="1609"/>
      <c r="E3406" s="1609"/>
      <c r="F3406" s="1609"/>
      <c r="G3406" s="1609"/>
      <c r="H3406" s="1609"/>
      <c r="I3406" s="897"/>
      <c r="J3406" s="898"/>
      <c r="K3406" s="896"/>
      <c r="L3406" s="896"/>
      <c r="M3406" s="899"/>
      <c r="N3406" s="900" t="s">
        <v>2308</v>
      </c>
    </row>
    <row r="3407" spans="1:14" s="910" customFormat="1" ht="16.5" hidden="1" customHeight="1">
      <c r="A3407" s="896"/>
      <c r="B3407" s="1212" t="s">
        <v>2342</v>
      </c>
      <c r="C3407" s="903"/>
      <c r="D3407" s="904"/>
      <c r="E3407" s="905"/>
      <c r="F3407" s="906"/>
      <c r="G3407" s="906"/>
      <c r="H3407" s="907"/>
      <c r="I3407" s="908"/>
      <c r="J3407" s="909"/>
      <c r="K3407" s="902"/>
      <c r="L3407" s="896"/>
      <c r="M3407" s="902"/>
      <c r="N3407" s="900" t="s">
        <v>2308</v>
      </c>
    </row>
    <row r="3408" spans="1:14" s="910" customFormat="1" ht="16.5" hidden="1" customHeight="1">
      <c r="A3408" s="896"/>
      <c r="B3408" s="911" t="s">
        <v>588</v>
      </c>
      <c r="C3408" s="912">
        <v>1</v>
      </c>
      <c r="D3408" s="913" t="s">
        <v>273</v>
      </c>
      <c r="E3408" s="914">
        <v>1</v>
      </c>
      <c r="F3408" s="1289">
        <v>58.85</v>
      </c>
      <c r="G3408" s="915">
        <v>0</v>
      </c>
      <c r="H3408" s="915">
        <v>0</v>
      </c>
      <c r="I3408" s="916"/>
      <c r="J3408" s="909" t="s">
        <v>277</v>
      </c>
      <c r="K3408" s="969">
        <f>'SANITATION DTA'!G407</f>
        <v>470</v>
      </c>
      <c r="L3408" s="923" t="s">
        <v>2308</v>
      </c>
      <c r="M3408" s="924">
        <f>ROUND(I3408*K3408,0)</f>
        <v>0</v>
      </c>
      <c r="N3408" s="900" t="s">
        <v>2308</v>
      </c>
    </row>
    <row r="3409" spans="1:17" s="910" customFormat="1" ht="16.5" hidden="1" customHeight="1">
      <c r="A3409" s="896"/>
      <c r="B3409" s="956" t="s">
        <v>589</v>
      </c>
      <c r="C3409" s="957">
        <v>1</v>
      </c>
      <c r="D3409" s="958" t="s">
        <v>273</v>
      </c>
      <c r="E3409" s="1268">
        <v>1</v>
      </c>
      <c r="F3409" s="1306">
        <v>60</v>
      </c>
      <c r="G3409" s="960">
        <v>0</v>
      </c>
      <c r="H3409" s="960">
        <v>0</v>
      </c>
      <c r="I3409" s="916"/>
      <c r="J3409" s="909" t="s">
        <v>277</v>
      </c>
      <c r="K3409" s="969">
        <f>'SANITATION DTA'!G409</f>
        <v>502</v>
      </c>
      <c r="L3409" s="923" t="s">
        <v>2308</v>
      </c>
      <c r="M3409" s="924">
        <f>ROUND(I3409*K3409,0)</f>
        <v>0</v>
      </c>
      <c r="N3409" s="900" t="s">
        <v>2308</v>
      </c>
    </row>
    <row r="3410" spans="1:17" s="910" customFormat="1" ht="16.5" hidden="1" customHeight="1">
      <c r="A3410" s="896"/>
      <c r="B3410" s="956" t="s">
        <v>590</v>
      </c>
      <c r="C3410" s="957">
        <v>1</v>
      </c>
      <c r="D3410" s="958" t="s">
        <v>273</v>
      </c>
      <c r="E3410" s="1268">
        <v>1</v>
      </c>
      <c r="F3410" s="1306">
        <v>60</v>
      </c>
      <c r="G3410" s="960">
        <v>0</v>
      </c>
      <c r="H3410" s="960">
        <v>0</v>
      </c>
      <c r="I3410" s="916"/>
      <c r="J3410" s="909" t="s">
        <v>277</v>
      </c>
      <c r="K3410" s="969">
        <f>'SANITATION DTA'!G411</f>
        <v>563</v>
      </c>
      <c r="L3410" s="923" t="s">
        <v>2308</v>
      </c>
      <c r="M3410" s="924">
        <f>ROUND(I3410*K3410,0)</f>
        <v>0</v>
      </c>
      <c r="N3410" s="900" t="s">
        <v>2308</v>
      </c>
    </row>
    <row r="3411" spans="1:17" ht="15.75" hidden="1">
      <c r="A3411" s="896"/>
      <c r="B3411" s="902"/>
      <c r="C3411" s="917"/>
      <c r="D3411" s="918"/>
      <c r="E3411" s="919"/>
      <c r="F3411" s="920"/>
      <c r="G3411" s="921"/>
      <c r="H3411" s="896"/>
      <c r="I3411" s="916"/>
      <c r="J3411" s="909"/>
      <c r="K3411" s="922"/>
      <c r="L3411" s="922"/>
      <c r="M3411" s="924"/>
      <c r="N3411" s="900" t="s">
        <v>2308</v>
      </c>
    </row>
    <row r="3412" spans="1:17" ht="43.5" hidden="1" customHeight="1">
      <c r="A3412" s="896">
        <v>11</v>
      </c>
      <c r="B3412" s="1609" t="s">
        <v>449</v>
      </c>
      <c r="C3412" s="1609"/>
      <c r="D3412" s="1609"/>
      <c r="E3412" s="1609"/>
      <c r="F3412" s="1609"/>
      <c r="G3412" s="1609"/>
      <c r="H3412" s="1609"/>
      <c r="I3412" s="897"/>
      <c r="J3412" s="898"/>
      <c r="K3412" s="896"/>
      <c r="L3412" s="896"/>
      <c r="M3412" s="899"/>
      <c r="N3412" s="900" t="s">
        <v>2308</v>
      </c>
    </row>
    <row r="3413" spans="1:17" s="910" customFormat="1" ht="16.5" hidden="1" customHeight="1">
      <c r="A3413" s="896"/>
      <c r="B3413" s="1212" t="s">
        <v>2342</v>
      </c>
      <c r="C3413" s="903"/>
      <c r="D3413" s="904"/>
      <c r="E3413" s="905"/>
      <c r="F3413" s="906"/>
      <c r="G3413" s="906"/>
      <c r="H3413" s="907"/>
      <c r="I3413" s="908"/>
      <c r="J3413" s="909"/>
      <c r="K3413" s="902"/>
      <c r="L3413" s="896"/>
      <c r="M3413" s="902"/>
      <c r="N3413" s="900" t="s">
        <v>2308</v>
      </c>
    </row>
    <row r="3414" spans="1:17" s="910" customFormat="1" ht="16.5" hidden="1" customHeight="1">
      <c r="A3414" s="896"/>
      <c r="B3414" s="911"/>
      <c r="C3414" s="912">
        <v>1</v>
      </c>
      <c r="D3414" s="913" t="s">
        <v>273</v>
      </c>
      <c r="E3414" s="914">
        <v>1</v>
      </c>
      <c r="F3414" s="1289">
        <v>6</v>
      </c>
      <c r="G3414" s="915">
        <v>0</v>
      </c>
      <c r="H3414" s="915">
        <v>0</v>
      </c>
      <c r="I3414" s="916">
        <f>ROUND(IF(AND(F3414:H3414),C3414*E3414*F3414*G3414*H3414,IF(AND(F3414,G3414),C3414*E3414*F3414*G3414,IF(AND(F3414,H3414),C3414*E3414*F3414*H3414,IF(AND(G3414,H3414),C3414*E3414*G3414*H3414,IF(F3414,C3414*E3414*F3414,IF(G3414,C3414*E3414*G3414,IF(H3414,C3414*E3414*H3414,C3414*E3414))))))),2)</f>
        <v>6</v>
      </c>
      <c r="J3414" s="909" t="s">
        <v>277</v>
      </c>
      <c r="K3414" s="902"/>
      <c r="L3414" s="896"/>
      <c r="M3414" s="902"/>
      <c r="N3414" s="900" t="s">
        <v>2308</v>
      </c>
    </row>
    <row r="3415" spans="1:17" s="910" customFormat="1" ht="16.5" hidden="1" customHeight="1">
      <c r="A3415" s="896"/>
      <c r="B3415" s="911"/>
      <c r="C3415" s="912"/>
      <c r="D3415" s="913"/>
      <c r="E3415" s="914"/>
      <c r="F3415" s="1289"/>
      <c r="G3415" s="915"/>
      <c r="H3415" s="915"/>
      <c r="I3415" s="916"/>
      <c r="J3415" s="909"/>
      <c r="K3415" s="902"/>
      <c r="L3415" s="896"/>
      <c r="M3415" s="902"/>
      <c r="N3415" s="900" t="s">
        <v>2308</v>
      </c>
    </row>
    <row r="3416" spans="1:17" ht="15.75" hidden="1">
      <c r="A3416" s="896"/>
      <c r="B3416" s="902"/>
      <c r="C3416" s="917"/>
      <c r="D3416" s="918"/>
      <c r="E3416" s="919"/>
      <c r="F3416" s="920"/>
      <c r="G3416" s="921"/>
      <c r="H3416" s="896"/>
      <c r="I3416" s="916"/>
      <c r="J3416" s="909" t="s">
        <v>277</v>
      </c>
      <c r="K3416" s="922">
        <f>'SANITATION DTA'!G421</f>
        <v>342</v>
      </c>
      <c r="L3416" s="923" t="s">
        <v>2308</v>
      </c>
      <c r="M3416" s="924">
        <f>ROUND(I3416*K3416,0)</f>
        <v>0</v>
      </c>
      <c r="N3416" s="900" t="s">
        <v>2308</v>
      </c>
    </row>
    <row r="3417" spans="1:17" s="1310" customFormat="1" ht="44.25" hidden="1" customHeight="1">
      <c r="A3417" s="1307">
        <v>12</v>
      </c>
      <c r="B3417" s="1630" t="s">
        <v>1534</v>
      </c>
      <c r="C3417" s="1630"/>
      <c r="D3417" s="1630"/>
      <c r="E3417" s="1630"/>
      <c r="F3417" s="1630"/>
      <c r="G3417" s="1630"/>
      <c r="H3417" s="1630"/>
      <c r="I3417" s="1308"/>
      <c r="J3417" s="1177"/>
      <c r="K3417" s="1307"/>
      <c r="L3417" s="1307"/>
      <c r="M3417" s="1309"/>
      <c r="N3417" s="900" t="s">
        <v>2308</v>
      </c>
      <c r="O3417" s="1310" t="s">
        <v>0</v>
      </c>
      <c r="Q3417" s="1310" t="s">
        <v>0</v>
      </c>
    </row>
    <row r="3418" spans="1:17" s="910" customFormat="1" ht="16.5" hidden="1" customHeight="1">
      <c r="A3418" s="896"/>
      <c r="B3418" s="1212" t="s">
        <v>2343</v>
      </c>
      <c r="C3418" s="903"/>
      <c r="D3418" s="904"/>
      <c r="E3418" s="905"/>
      <c r="F3418" s="906"/>
      <c r="G3418" s="906"/>
      <c r="H3418" s="907"/>
      <c r="I3418" s="908"/>
      <c r="J3418" s="909"/>
      <c r="K3418" s="902"/>
      <c r="L3418" s="896"/>
      <c r="M3418" s="902"/>
      <c r="N3418" s="900" t="s">
        <v>2308</v>
      </c>
    </row>
    <row r="3419" spans="1:17" s="1310" customFormat="1" ht="15.75" hidden="1">
      <c r="A3419" s="1307"/>
      <c r="B3419" s="1274"/>
      <c r="C3419" s="1311">
        <v>1</v>
      </c>
      <c r="D3419" s="1276" t="s">
        <v>273</v>
      </c>
      <c r="E3419" s="1177">
        <v>1</v>
      </c>
      <c r="F3419" s="1277">
        <v>0</v>
      </c>
      <c r="G3419" s="1208">
        <v>0</v>
      </c>
      <c r="H3419" s="1277">
        <v>0</v>
      </c>
      <c r="I3419" s="1312">
        <f>ROUND(IF(AND(F3419:H3419),C3419*E3419*F3419*G3419*H3419,IF(AND(F3419,G3419),C3419*E3419*F3419*G3419,IF(AND(F3419,H3419),C3419*E3419*F3419*H3419,IF(AND(G3419,H3419),C3419*E3419*G3419*H3419,IF(F3419,C3419*E3419*F3419,IF(G3419,C3419*E3419*G3419,IF(H3419,C3419*E3419*H3419,C3419*E3419))))))),2)</f>
        <v>1</v>
      </c>
      <c r="J3419" s="1148" t="s">
        <v>115</v>
      </c>
      <c r="K3419" s="1307"/>
      <c r="L3419" s="1307"/>
      <c r="M3419" s="1309"/>
      <c r="N3419" s="900" t="s">
        <v>2308</v>
      </c>
    </row>
    <row r="3420" spans="1:17" s="1310" customFormat="1" ht="15.75" hidden="1">
      <c r="A3420" s="1307"/>
      <c r="B3420" s="1274"/>
      <c r="C3420" s="1311"/>
      <c r="D3420" s="1276"/>
      <c r="E3420" s="1177"/>
      <c r="F3420" s="1277"/>
      <c r="G3420" s="1208"/>
      <c r="H3420" s="1277"/>
      <c r="I3420" s="1312"/>
      <c r="J3420" s="1148"/>
      <c r="K3420" s="1307"/>
      <c r="L3420" s="1307"/>
      <c r="M3420" s="1309"/>
      <c r="N3420" s="900" t="s">
        <v>2308</v>
      </c>
    </row>
    <row r="3421" spans="1:17" s="1310" customFormat="1" ht="15.75" hidden="1">
      <c r="A3421" s="1307"/>
      <c r="B3421" s="1383"/>
      <c r="C3421" s="1313"/>
      <c r="D3421" s="1314"/>
      <c r="E3421" s="1177"/>
      <c r="F3421" s="1315"/>
      <c r="G3421" s="1316"/>
      <c r="H3421" s="1315"/>
      <c r="I3421" s="1317"/>
      <c r="J3421" s="1148" t="s">
        <v>115</v>
      </c>
      <c r="K3421" s="1208">
        <f>'SANITATION DTA'!G418</f>
        <v>18370</v>
      </c>
      <c r="L3421" s="923" t="s">
        <v>2308</v>
      </c>
      <c r="M3421" s="1318">
        <f>ROUND(I3421*K3421,0)</f>
        <v>0</v>
      </c>
      <c r="N3421" s="900" t="s">
        <v>2308</v>
      </c>
      <c r="O3421" s="1310" t="s">
        <v>0</v>
      </c>
    </row>
    <row r="3422" spans="1:17" s="1310" customFormat="1" ht="30.75" hidden="1" customHeight="1">
      <c r="A3422" s="1307">
        <v>13</v>
      </c>
      <c r="B3422" s="1630" t="s">
        <v>591</v>
      </c>
      <c r="C3422" s="1630"/>
      <c r="D3422" s="1630"/>
      <c r="E3422" s="1630"/>
      <c r="F3422" s="1630"/>
      <c r="G3422" s="1630"/>
      <c r="H3422" s="1630"/>
      <c r="I3422" s="1308"/>
      <c r="J3422" s="1177"/>
      <c r="K3422" s="1307"/>
      <c r="L3422" s="1307"/>
      <c r="M3422" s="1309"/>
      <c r="N3422" s="900" t="s">
        <v>2308</v>
      </c>
      <c r="O3422" s="1310" t="s">
        <v>0</v>
      </c>
      <c r="Q3422" s="1310" t="s">
        <v>0</v>
      </c>
    </row>
    <row r="3423" spans="1:17" s="910" customFormat="1" ht="16.5" hidden="1" customHeight="1">
      <c r="A3423" s="896"/>
      <c r="B3423" s="1212" t="s">
        <v>2343</v>
      </c>
      <c r="C3423" s="903"/>
      <c r="D3423" s="904"/>
      <c r="E3423" s="905"/>
      <c r="F3423" s="906"/>
      <c r="G3423" s="906"/>
      <c r="H3423" s="907"/>
      <c r="I3423" s="908"/>
      <c r="J3423" s="909"/>
      <c r="K3423" s="902"/>
      <c r="L3423" s="896"/>
      <c r="M3423" s="902"/>
      <c r="N3423" s="900" t="s">
        <v>2308</v>
      </c>
    </row>
    <row r="3424" spans="1:17" s="1310" customFormat="1" ht="15.75" hidden="1">
      <c r="A3424" s="1307"/>
      <c r="B3424" s="1274"/>
      <c r="C3424" s="1311">
        <v>1</v>
      </c>
      <c r="D3424" s="1276" t="s">
        <v>273</v>
      </c>
      <c r="E3424" s="1177">
        <v>1</v>
      </c>
      <c r="F3424" s="1319">
        <v>58</v>
      </c>
      <c r="G3424" s="1208">
        <v>0</v>
      </c>
      <c r="H3424" s="1277">
        <v>0</v>
      </c>
      <c r="I3424" s="1320">
        <f>ROUND(IF(AND(F3424:H3424),C3424*E3424*F3424*G3424*H3424,IF(AND(F3424,G3424),C3424*E3424*F3424*G3424,IF(AND(F3424,H3424),C3424*E3424*F3424*H3424,IF(AND(G3424,H3424),C3424*E3424*G3424*H3424,IF(F3424,C3424*E3424*F3424,IF(G3424,C3424*E3424*G3424,IF(H3424,C3424*E3424*H3424,C3424*E3424))))))),2)</f>
        <v>58</v>
      </c>
      <c r="J3424" s="1148" t="s">
        <v>277</v>
      </c>
      <c r="K3424" s="1307"/>
      <c r="L3424" s="1307"/>
      <c r="M3424" s="1309"/>
      <c r="N3424" s="900" t="s">
        <v>2308</v>
      </c>
    </row>
    <row r="3425" spans="1:17" s="1310" customFormat="1" ht="15.75" hidden="1">
      <c r="A3425" s="1307"/>
      <c r="B3425" s="1274"/>
      <c r="C3425" s="1311"/>
      <c r="D3425" s="1276"/>
      <c r="E3425" s="1177"/>
      <c r="F3425" s="1319"/>
      <c r="G3425" s="1208"/>
      <c r="H3425" s="1277"/>
      <c r="I3425" s="1320"/>
      <c r="J3425" s="1148"/>
      <c r="K3425" s="1307"/>
      <c r="L3425" s="1307"/>
      <c r="M3425" s="1309"/>
      <c r="N3425" s="900" t="s">
        <v>2308</v>
      </c>
    </row>
    <row r="3426" spans="1:17" s="1310" customFormat="1" ht="15.75" hidden="1">
      <c r="A3426" s="1307"/>
      <c r="B3426" s="1383"/>
      <c r="C3426" s="1313"/>
      <c r="D3426" s="1314"/>
      <c r="E3426" s="1177"/>
      <c r="F3426" s="1315"/>
      <c r="G3426" s="1316"/>
      <c r="H3426" s="1315"/>
      <c r="I3426" s="1207"/>
      <c r="J3426" s="1148" t="s">
        <v>277</v>
      </c>
      <c r="K3426" s="1208">
        <f>'SANITATION DTA'!G424</f>
        <v>73</v>
      </c>
      <c r="L3426" s="923" t="s">
        <v>2308</v>
      </c>
      <c r="M3426" s="1318">
        <f>ROUND(I3426*K3426,0)</f>
        <v>0</v>
      </c>
      <c r="N3426" s="900" t="s">
        <v>2308</v>
      </c>
      <c r="O3426" s="1310" t="s">
        <v>0</v>
      </c>
    </row>
    <row r="3427" spans="1:17" s="1310" customFormat="1" ht="20.25" hidden="1" customHeight="1">
      <c r="A3427" s="1307">
        <v>14</v>
      </c>
      <c r="B3427" s="1630" t="s">
        <v>284</v>
      </c>
      <c r="C3427" s="1630"/>
      <c r="D3427" s="1630"/>
      <c r="E3427" s="1630"/>
      <c r="F3427" s="1630"/>
      <c r="G3427" s="1630"/>
      <c r="H3427" s="1630"/>
      <c r="I3427" s="1308"/>
      <c r="J3427" s="1177"/>
      <c r="K3427" s="1307"/>
      <c r="L3427" s="1307"/>
      <c r="M3427" s="1309"/>
      <c r="N3427" s="900" t="s">
        <v>2308</v>
      </c>
      <c r="O3427" s="1310" t="s">
        <v>0</v>
      </c>
      <c r="Q3427" s="1310" t="s">
        <v>0</v>
      </c>
    </row>
    <row r="3428" spans="1:17" s="910" customFormat="1" ht="16.5" hidden="1" customHeight="1">
      <c r="A3428" s="896"/>
      <c r="B3428" s="1212" t="s">
        <v>2343</v>
      </c>
      <c r="C3428" s="903"/>
      <c r="D3428" s="904"/>
      <c r="E3428" s="905"/>
      <c r="F3428" s="906"/>
      <c r="G3428" s="906"/>
      <c r="H3428" s="907"/>
      <c r="I3428" s="908"/>
      <c r="J3428" s="909"/>
      <c r="K3428" s="902"/>
      <c r="L3428" s="896"/>
      <c r="M3428" s="902"/>
      <c r="N3428" s="900" t="s">
        <v>2308</v>
      </c>
    </row>
    <row r="3429" spans="1:17" s="1310" customFormat="1" ht="15.75" hidden="1">
      <c r="A3429" s="1307"/>
      <c r="B3429" s="1274"/>
      <c r="C3429" s="1311">
        <v>1</v>
      </c>
      <c r="D3429" s="1276" t="s">
        <v>273</v>
      </c>
      <c r="E3429" s="1177">
        <v>1</v>
      </c>
      <c r="F3429" s="1277">
        <v>0</v>
      </c>
      <c r="G3429" s="1208">
        <v>0</v>
      </c>
      <c r="H3429" s="1277">
        <v>0</v>
      </c>
      <c r="I3429" s="1312">
        <f>ROUND(IF(AND(F3429:H3429),C3429*E3429*F3429*G3429*H3429,IF(AND(F3429,G3429),C3429*E3429*F3429*G3429,IF(AND(F3429,H3429),C3429*E3429*F3429*H3429,IF(AND(G3429,H3429),C3429*E3429*G3429*H3429,IF(F3429,C3429*E3429*F3429,IF(G3429,C3429*E3429*G3429,IF(H3429,C3429*E3429*H3429,C3429*E3429))))))),2)</f>
        <v>1</v>
      </c>
      <c r="J3429" s="1148" t="s">
        <v>115</v>
      </c>
      <c r="K3429" s="1307"/>
      <c r="L3429" s="1307"/>
      <c r="M3429" s="1309"/>
      <c r="N3429" s="900" t="s">
        <v>2308</v>
      </c>
    </row>
    <row r="3430" spans="1:17" s="1310" customFormat="1" ht="15.75" hidden="1">
      <c r="A3430" s="1307"/>
      <c r="B3430" s="1274"/>
      <c r="C3430" s="1311"/>
      <c r="D3430" s="1276"/>
      <c r="E3430" s="1177"/>
      <c r="F3430" s="1277"/>
      <c r="G3430" s="1208"/>
      <c r="H3430" s="1277"/>
      <c r="I3430" s="1312"/>
      <c r="J3430" s="1148"/>
      <c r="K3430" s="1307"/>
      <c r="L3430" s="1307"/>
      <c r="M3430" s="1309"/>
      <c r="N3430" s="900" t="s">
        <v>2308</v>
      </c>
    </row>
    <row r="3431" spans="1:17" s="1310" customFormat="1" ht="15.75" hidden="1">
      <c r="A3431" s="1307"/>
      <c r="B3431" s="1383"/>
      <c r="C3431" s="1313"/>
      <c r="D3431" s="1314"/>
      <c r="E3431" s="1177"/>
      <c r="F3431" s="1315"/>
      <c r="G3431" s="1316"/>
      <c r="H3431" s="1315"/>
      <c r="I3431" s="1317"/>
      <c r="J3431" s="1148" t="s">
        <v>115</v>
      </c>
      <c r="K3431" s="1208">
        <f>'SANITATION DTA'!G430</f>
        <v>315</v>
      </c>
      <c r="L3431" s="923" t="s">
        <v>2308</v>
      </c>
      <c r="M3431" s="1318">
        <f>ROUND(I3431*K3431,0)</f>
        <v>0</v>
      </c>
      <c r="N3431" s="900" t="s">
        <v>2308</v>
      </c>
      <c r="O3431" s="1310" t="s">
        <v>0</v>
      </c>
    </row>
    <row r="3432" spans="1:17" s="1310" customFormat="1" ht="20.25" hidden="1" customHeight="1">
      <c r="A3432" s="1307">
        <v>15</v>
      </c>
      <c r="B3432" s="1630" t="s">
        <v>285</v>
      </c>
      <c r="C3432" s="1630"/>
      <c r="D3432" s="1630"/>
      <c r="E3432" s="1630"/>
      <c r="F3432" s="1630"/>
      <c r="G3432" s="1630"/>
      <c r="H3432" s="1630"/>
      <c r="I3432" s="1308"/>
      <c r="J3432" s="1177"/>
      <c r="K3432" s="1307"/>
      <c r="L3432" s="1307"/>
      <c r="M3432" s="1309"/>
      <c r="N3432" s="900" t="s">
        <v>2308</v>
      </c>
      <c r="O3432" s="1310" t="s">
        <v>0</v>
      </c>
      <c r="Q3432" s="1310" t="s">
        <v>0</v>
      </c>
    </row>
    <row r="3433" spans="1:17" s="910" customFormat="1" ht="16.5" hidden="1" customHeight="1">
      <c r="A3433" s="896"/>
      <c r="B3433" s="902" t="s">
        <v>2135</v>
      </c>
      <c r="C3433" s="903"/>
      <c r="D3433" s="904"/>
      <c r="E3433" s="905"/>
      <c r="F3433" s="906"/>
      <c r="G3433" s="906"/>
      <c r="H3433" s="907"/>
      <c r="I3433" s="908"/>
      <c r="J3433" s="909"/>
      <c r="K3433" s="902"/>
      <c r="L3433" s="896"/>
      <c r="M3433" s="902"/>
      <c r="N3433" s="900" t="s">
        <v>2308</v>
      </c>
    </row>
    <row r="3434" spans="1:17" s="1310" customFormat="1" ht="15.75" hidden="1">
      <c r="A3434" s="1307"/>
      <c r="B3434" s="1274"/>
      <c r="C3434" s="1311">
        <v>1</v>
      </c>
      <c r="D3434" s="1276" t="s">
        <v>273</v>
      </c>
      <c r="E3434" s="1177">
        <v>1</v>
      </c>
      <c r="F3434" s="1277">
        <v>0.5</v>
      </c>
      <c r="G3434" s="1208">
        <v>0</v>
      </c>
      <c r="H3434" s="1277">
        <v>0</v>
      </c>
      <c r="I3434" s="1320">
        <f>ROUND(IF(AND(F3434:H3434),C3434*E3434*F3434*G3434*H3434,IF(AND(F3434,G3434),C3434*E3434*F3434*G3434,IF(AND(F3434,H3434),C3434*E3434*F3434*H3434,IF(AND(G3434,H3434),C3434*E3434*G3434*H3434,IF(F3434,C3434*E3434*F3434,IF(G3434,C3434*E3434*G3434,IF(H3434,C3434*E3434*H3434,C3434*E3434))))))),2)</f>
        <v>0.5</v>
      </c>
      <c r="J3434" s="1148" t="s">
        <v>277</v>
      </c>
      <c r="K3434" s="1307"/>
      <c r="L3434" s="1307"/>
      <c r="M3434" s="1309"/>
      <c r="N3434" s="900" t="s">
        <v>2308</v>
      </c>
    </row>
    <row r="3435" spans="1:17" s="1310" customFormat="1" ht="15.75" hidden="1">
      <c r="A3435" s="1307"/>
      <c r="B3435" s="1274"/>
      <c r="C3435" s="1311"/>
      <c r="D3435" s="1276"/>
      <c r="E3435" s="1177"/>
      <c r="F3435" s="1277"/>
      <c r="G3435" s="1208"/>
      <c r="H3435" s="1277"/>
      <c r="I3435" s="1320"/>
      <c r="J3435" s="1148"/>
      <c r="K3435" s="1307"/>
      <c r="L3435" s="1307"/>
      <c r="M3435" s="1309"/>
      <c r="N3435" s="900" t="s">
        <v>2308</v>
      </c>
    </row>
    <row r="3436" spans="1:17" s="1310" customFormat="1" ht="15.75" hidden="1">
      <c r="A3436" s="1307"/>
      <c r="B3436" s="1383"/>
      <c r="C3436" s="1313"/>
      <c r="D3436" s="1314"/>
      <c r="E3436" s="1177"/>
      <c r="F3436" s="1315"/>
      <c r="G3436" s="1316"/>
      <c r="H3436" s="1315"/>
      <c r="I3436" s="1207"/>
      <c r="J3436" s="1148" t="s">
        <v>277</v>
      </c>
      <c r="K3436" s="1208">
        <f>'SANITATION DTA'!G433</f>
        <v>420</v>
      </c>
      <c r="L3436" s="923" t="s">
        <v>2308</v>
      </c>
      <c r="M3436" s="1318">
        <f>ROUND(I3436*K3436,0)</f>
        <v>0</v>
      </c>
      <c r="N3436" s="900" t="s">
        <v>2308</v>
      </c>
      <c r="O3436" s="1310" t="s">
        <v>0</v>
      </c>
    </row>
    <row r="3437" spans="1:17" s="1310" customFormat="1" ht="20.25" hidden="1" customHeight="1">
      <c r="A3437" s="1307">
        <v>17</v>
      </c>
      <c r="B3437" s="1630" t="s">
        <v>286</v>
      </c>
      <c r="C3437" s="1630"/>
      <c r="D3437" s="1630"/>
      <c r="E3437" s="1630"/>
      <c r="F3437" s="1630"/>
      <c r="G3437" s="1630"/>
      <c r="H3437" s="1630"/>
      <c r="I3437" s="1308"/>
      <c r="J3437" s="1177"/>
      <c r="K3437" s="1307"/>
      <c r="L3437" s="1307"/>
      <c r="M3437" s="1309"/>
      <c r="N3437" s="900" t="s">
        <v>2308</v>
      </c>
      <c r="O3437" s="1310" t="s">
        <v>0</v>
      </c>
      <c r="Q3437" s="1310" t="s">
        <v>0</v>
      </c>
    </row>
    <row r="3438" spans="1:17" s="910" customFormat="1" ht="16.5" hidden="1" customHeight="1">
      <c r="A3438" s="896"/>
      <c r="B3438" s="902" t="s">
        <v>2344</v>
      </c>
      <c r="C3438" s="903"/>
      <c r="D3438" s="904"/>
      <c r="E3438" s="905"/>
      <c r="F3438" s="906"/>
      <c r="G3438" s="906"/>
      <c r="H3438" s="907"/>
      <c r="I3438" s="908"/>
      <c r="J3438" s="909"/>
      <c r="K3438" s="902"/>
      <c r="L3438" s="896"/>
      <c r="M3438" s="902"/>
      <c r="N3438" s="900" t="s">
        <v>2308</v>
      </c>
    </row>
    <row r="3439" spans="1:17" s="1310" customFormat="1" ht="15.75" hidden="1">
      <c r="A3439" s="1307"/>
      <c r="B3439" s="1274"/>
      <c r="C3439" s="1311">
        <v>1</v>
      </c>
      <c r="D3439" s="1276" t="s">
        <v>273</v>
      </c>
      <c r="E3439" s="1177">
        <v>1</v>
      </c>
      <c r="F3439" s="1277">
        <v>0</v>
      </c>
      <c r="G3439" s="1208">
        <v>0</v>
      </c>
      <c r="H3439" s="1277">
        <v>0</v>
      </c>
      <c r="I3439" s="1312">
        <f>ROUND(IF(AND(F3439:H3439),C3439*E3439*F3439*G3439*H3439,IF(AND(F3439,G3439),C3439*E3439*F3439*G3439,IF(AND(F3439,H3439),C3439*E3439*F3439*H3439,IF(AND(G3439,H3439),C3439*E3439*G3439*H3439,IF(F3439,C3439*E3439*F3439,IF(G3439,C3439*E3439*G3439,IF(H3439,C3439*E3439*H3439,C3439*E3439))))))),2)</f>
        <v>1</v>
      </c>
      <c r="J3439" s="1148" t="s">
        <v>115</v>
      </c>
      <c r="K3439" s="1307"/>
      <c r="L3439" s="1307"/>
      <c r="M3439" s="1309"/>
      <c r="N3439" s="900" t="s">
        <v>2308</v>
      </c>
    </row>
    <row r="3440" spans="1:17" s="1310" customFormat="1" ht="15.75" hidden="1">
      <c r="A3440" s="1307"/>
      <c r="B3440" s="1274"/>
      <c r="C3440" s="1311"/>
      <c r="D3440" s="1276"/>
      <c r="E3440" s="1177"/>
      <c r="F3440" s="1277"/>
      <c r="G3440" s="1208"/>
      <c r="H3440" s="1277"/>
      <c r="I3440" s="1312"/>
      <c r="J3440" s="1148"/>
      <c r="K3440" s="1307"/>
      <c r="L3440" s="1307"/>
      <c r="M3440" s="1309"/>
      <c r="N3440" s="900" t="s">
        <v>2308</v>
      </c>
    </row>
    <row r="3441" spans="1:17" s="1310" customFormat="1" ht="15.75" hidden="1">
      <c r="A3441" s="1307"/>
      <c r="B3441" s="1383"/>
      <c r="C3441" s="1313"/>
      <c r="D3441" s="1314"/>
      <c r="E3441" s="1177"/>
      <c r="F3441" s="1315"/>
      <c r="G3441" s="1316"/>
      <c r="H3441" s="1315"/>
      <c r="I3441" s="1317"/>
      <c r="J3441" s="1148" t="s">
        <v>115</v>
      </c>
      <c r="K3441" s="1208">
        <f>'SANITATION DTA'!G436</f>
        <v>73</v>
      </c>
      <c r="L3441" s="923" t="s">
        <v>2308</v>
      </c>
      <c r="M3441" s="1318">
        <f>ROUND(I3441*K3441,0)</f>
        <v>0</v>
      </c>
      <c r="N3441" s="900" t="s">
        <v>2308</v>
      </c>
      <c r="O3441" s="1310" t="s">
        <v>0</v>
      </c>
    </row>
    <row r="3442" spans="1:17" s="1310" customFormat="1" ht="20.25" hidden="1" customHeight="1">
      <c r="A3442" s="1307">
        <v>18</v>
      </c>
      <c r="B3442" s="1630" t="s">
        <v>287</v>
      </c>
      <c r="C3442" s="1630"/>
      <c r="D3442" s="1630"/>
      <c r="E3442" s="1630"/>
      <c r="F3442" s="1630"/>
      <c r="G3442" s="1630"/>
      <c r="H3442" s="1630"/>
      <c r="I3442" s="1308"/>
      <c r="J3442" s="1177"/>
      <c r="K3442" s="1307"/>
      <c r="L3442" s="1307"/>
      <c r="M3442" s="1309"/>
      <c r="N3442" s="900" t="s">
        <v>2308</v>
      </c>
      <c r="O3442" s="1310" t="s">
        <v>0</v>
      </c>
      <c r="Q3442" s="1310" t="s">
        <v>0</v>
      </c>
    </row>
    <row r="3443" spans="1:17" s="910" customFormat="1" ht="16.5" hidden="1" customHeight="1">
      <c r="A3443" s="896"/>
      <c r="B3443" s="1212" t="s">
        <v>2345</v>
      </c>
      <c r="C3443" s="903"/>
      <c r="D3443" s="904"/>
      <c r="E3443" s="905"/>
      <c r="F3443" s="906"/>
      <c r="G3443" s="906"/>
      <c r="H3443" s="907"/>
      <c r="I3443" s="908"/>
      <c r="J3443" s="909"/>
      <c r="K3443" s="902"/>
      <c r="L3443" s="896"/>
      <c r="M3443" s="902"/>
      <c r="N3443" s="900" t="s">
        <v>2308</v>
      </c>
    </row>
    <row r="3444" spans="1:17" s="1310" customFormat="1" ht="15.75" hidden="1">
      <c r="A3444" s="1307"/>
      <c r="B3444" s="1274"/>
      <c r="C3444" s="1311">
        <v>1</v>
      </c>
      <c r="D3444" s="1276" t="s">
        <v>273</v>
      </c>
      <c r="E3444" s="1177">
        <v>1</v>
      </c>
      <c r="F3444" s="1277">
        <v>0</v>
      </c>
      <c r="G3444" s="1208">
        <v>0</v>
      </c>
      <c r="H3444" s="1277">
        <v>0</v>
      </c>
      <c r="I3444" s="1312">
        <f>ROUND(IF(AND(F3444:H3444),C3444*E3444*F3444*G3444*H3444,IF(AND(F3444,G3444),C3444*E3444*F3444*G3444,IF(AND(F3444,H3444),C3444*E3444*F3444*H3444,IF(AND(G3444,H3444),C3444*E3444*G3444*H3444,IF(F3444,C3444*E3444*F3444,IF(G3444,C3444*E3444*G3444,IF(H3444,C3444*E3444*H3444,C3444*E3444))))))),2)</f>
        <v>1</v>
      </c>
      <c r="J3444" s="1148" t="s">
        <v>115</v>
      </c>
      <c r="K3444" s="1307"/>
      <c r="L3444" s="1307"/>
      <c r="M3444" s="1309"/>
      <c r="N3444" s="900" t="s">
        <v>2308</v>
      </c>
    </row>
    <row r="3445" spans="1:17" s="1310" customFormat="1" ht="15.75" hidden="1">
      <c r="A3445" s="1307"/>
      <c r="B3445" s="1274"/>
      <c r="C3445" s="1311"/>
      <c r="D3445" s="1276"/>
      <c r="E3445" s="1177"/>
      <c r="F3445" s="1277"/>
      <c r="G3445" s="1208"/>
      <c r="H3445" s="1277"/>
      <c r="I3445" s="1312"/>
      <c r="J3445" s="1148"/>
      <c r="K3445" s="1307"/>
      <c r="L3445" s="1307"/>
      <c r="M3445" s="1309"/>
      <c r="N3445" s="900" t="s">
        <v>2308</v>
      </c>
    </row>
    <row r="3446" spans="1:17" s="1310" customFormat="1" ht="15.75" hidden="1">
      <c r="A3446" s="1307"/>
      <c r="B3446" s="1383"/>
      <c r="C3446" s="1313"/>
      <c r="D3446" s="1314"/>
      <c r="E3446" s="1177"/>
      <c r="F3446" s="1315"/>
      <c r="G3446" s="1316"/>
      <c r="H3446" s="1315"/>
      <c r="I3446" s="1317"/>
      <c r="J3446" s="1148" t="s">
        <v>115</v>
      </c>
      <c r="K3446" s="1208">
        <f>'SANITATION DTA'!G427</f>
        <v>177</v>
      </c>
      <c r="L3446" s="923" t="s">
        <v>2308</v>
      </c>
      <c r="M3446" s="1318">
        <f>ROUND(I3446*K3446,0)</f>
        <v>0</v>
      </c>
      <c r="N3446" s="900" t="s">
        <v>2308</v>
      </c>
      <c r="O3446" s="1310" t="s">
        <v>0</v>
      </c>
    </row>
    <row r="3447" spans="1:17" s="1310" customFormat="1" ht="48" hidden="1" customHeight="1">
      <c r="A3447" s="1307">
        <v>16</v>
      </c>
      <c r="B3447" s="1630" t="s">
        <v>288</v>
      </c>
      <c r="C3447" s="1630"/>
      <c r="D3447" s="1630"/>
      <c r="E3447" s="1630"/>
      <c r="F3447" s="1630"/>
      <c r="G3447" s="1630"/>
      <c r="H3447" s="1630"/>
      <c r="I3447" s="1308"/>
      <c r="J3447" s="1177"/>
      <c r="K3447" s="1307"/>
      <c r="L3447" s="1307"/>
      <c r="M3447" s="1309"/>
      <c r="N3447" s="900" t="s">
        <v>2308</v>
      </c>
      <c r="O3447" s="1310" t="s">
        <v>0</v>
      </c>
      <c r="Q3447" s="1310" t="s">
        <v>0</v>
      </c>
    </row>
    <row r="3448" spans="1:17" s="910" customFormat="1" ht="16.5" hidden="1" customHeight="1">
      <c r="A3448" s="896"/>
      <c r="B3448" s="1212" t="s">
        <v>2343</v>
      </c>
      <c r="C3448" s="903"/>
      <c r="D3448" s="904"/>
      <c r="E3448" s="905"/>
      <c r="F3448" s="906"/>
      <c r="G3448" s="906"/>
      <c r="H3448" s="907"/>
      <c r="I3448" s="908"/>
      <c r="J3448" s="909"/>
      <c r="K3448" s="902"/>
      <c r="L3448" s="896"/>
      <c r="M3448" s="902"/>
      <c r="N3448" s="900" t="s">
        <v>2308</v>
      </c>
    </row>
    <row r="3449" spans="1:17" s="1310" customFormat="1" ht="15.75" hidden="1">
      <c r="A3449" s="1307"/>
      <c r="B3449" s="1274"/>
      <c r="C3449" s="1311">
        <v>1</v>
      </c>
      <c r="D3449" s="1276" t="s">
        <v>273</v>
      </c>
      <c r="E3449" s="1177">
        <v>1</v>
      </c>
      <c r="F3449" s="1208">
        <v>96</v>
      </c>
      <c r="G3449" s="1208">
        <v>0</v>
      </c>
      <c r="H3449" s="1277">
        <v>0</v>
      </c>
      <c r="I3449" s="1320">
        <f>ROUND(IF(AND(F3449:H3449),C3449*E3449*F3449*G3449*H3449,IF(AND(F3449,G3449),C3449*E3449*F3449*G3449,IF(AND(F3449,H3449),C3449*E3449*F3449*H3449,IF(AND(G3449,H3449),C3449*E3449*G3449*H3449,IF(F3449,C3449*E3449*F3449,IF(G3449,C3449*E3449*G3449,IF(H3449,C3449*E3449*H3449,C3449*E3449))))))),2)</f>
        <v>96</v>
      </c>
      <c r="J3449" s="1148" t="s">
        <v>277</v>
      </c>
      <c r="K3449" s="1307"/>
      <c r="L3449" s="1307"/>
      <c r="M3449" s="1309"/>
      <c r="N3449" s="900" t="s">
        <v>2308</v>
      </c>
    </row>
    <row r="3450" spans="1:17" s="1310" customFormat="1" ht="15.75" hidden="1">
      <c r="A3450" s="1307"/>
      <c r="B3450" s="1274"/>
      <c r="C3450" s="1311"/>
      <c r="D3450" s="1276"/>
      <c r="E3450" s="1177"/>
      <c r="F3450" s="1208"/>
      <c r="G3450" s="1208"/>
      <c r="H3450" s="1277"/>
      <c r="I3450" s="1320"/>
      <c r="J3450" s="1148"/>
      <c r="K3450" s="1307"/>
      <c r="L3450" s="1307"/>
      <c r="M3450" s="1309"/>
      <c r="N3450" s="900" t="s">
        <v>2308</v>
      </c>
    </row>
    <row r="3451" spans="1:17" s="1310" customFormat="1" ht="17.25" hidden="1" customHeight="1">
      <c r="A3451" s="1307"/>
      <c r="B3451" s="1383"/>
      <c r="C3451" s="1313"/>
      <c r="D3451" s="1314"/>
      <c r="E3451" s="1177"/>
      <c r="F3451" s="1315"/>
      <c r="G3451" s="1316"/>
      <c r="H3451" s="1315"/>
      <c r="I3451" s="1207"/>
      <c r="J3451" s="1148" t="s">
        <v>277</v>
      </c>
      <c r="K3451" s="1208">
        <f>'SANITATION DTA'!G439</f>
        <v>92</v>
      </c>
      <c r="L3451" s="923" t="s">
        <v>2308</v>
      </c>
      <c r="M3451" s="1318">
        <f>ROUND(I3451*K3451,0)</f>
        <v>0</v>
      </c>
      <c r="N3451" s="900" t="s">
        <v>2308</v>
      </c>
      <c r="O3451" s="1310" t="s">
        <v>0</v>
      </c>
    </row>
    <row r="3452" spans="1:17" s="1310" customFormat="1" ht="81" hidden="1" customHeight="1">
      <c r="A3452" s="1307">
        <v>17</v>
      </c>
      <c r="B3452" s="1631" t="s">
        <v>381</v>
      </c>
      <c r="C3452" s="1630"/>
      <c r="D3452" s="1630"/>
      <c r="E3452" s="1630"/>
      <c r="F3452" s="1630"/>
      <c r="G3452" s="1630"/>
      <c r="H3452" s="1630"/>
      <c r="I3452" s="1308"/>
      <c r="J3452" s="1177"/>
      <c r="K3452" s="1307"/>
      <c r="L3452" s="1307"/>
      <c r="M3452" s="1309"/>
      <c r="N3452" s="900" t="s">
        <v>2308</v>
      </c>
      <c r="O3452" s="1310" t="s">
        <v>0</v>
      </c>
      <c r="Q3452" s="1310" t="s">
        <v>0</v>
      </c>
    </row>
    <row r="3453" spans="1:17" s="910" customFormat="1" ht="16.5" hidden="1" customHeight="1">
      <c r="A3453" s="896"/>
      <c r="B3453" s="1212" t="s">
        <v>2345</v>
      </c>
      <c r="C3453" s="903"/>
      <c r="D3453" s="904"/>
      <c r="E3453" s="905"/>
      <c r="F3453" s="906"/>
      <c r="G3453" s="906"/>
      <c r="H3453" s="907"/>
      <c r="I3453" s="908"/>
      <c r="J3453" s="909"/>
      <c r="K3453" s="902"/>
      <c r="L3453" s="896"/>
      <c r="M3453" s="902"/>
      <c r="N3453" s="900" t="s">
        <v>2308</v>
      </c>
    </row>
    <row r="3454" spans="1:17" s="1310" customFormat="1" ht="15.75" hidden="1">
      <c r="A3454" s="1307"/>
      <c r="B3454" s="1274"/>
      <c r="C3454" s="1311">
        <v>1</v>
      </c>
      <c r="D3454" s="1276" t="s">
        <v>273</v>
      </c>
      <c r="E3454" s="1177">
        <v>1</v>
      </c>
      <c r="F3454" s="1277">
        <v>0</v>
      </c>
      <c r="G3454" s="1208">
        <v>0</v>
      </c>
      <c r="H3454" s="1277">
        <v>0</v>
      </c>
      <c r="I3454" s="1312">
        <f>ROUND(IF(AND(F3454:H3454),C3454*E3454*F3454*G3454*H3454,IF(AND(F3454,G3454),C3454*E3454*F3454*G3454,IF(AND(F3454,H3454),C3454*E3454*F3454*H3454,IF(AND(G3454,H3454),C3454*E3454*G3454*H3454,IF(F3454,C3454*E3454*F3454,IF(G3454,C3454*E3454*G3454,IF(H3454,C3454*E3454*H3454,C3454*E3454))))))),2)</f>
        <v>1</v>
      </c>
      <c r="J3454" s="1148" t="s">
        <v>115</v>
      </c>
      <c r="K3454" s="1307"/>
      <c r="L3454" s="1307"/>
      <c r="M3454" s="1309"/>
      <c r="N3454" s="900" t="s">
        <v>2308</v>
      </c>
    </row>
    <row r="3455" spans="1:17" s="1310" customFormat="1" ht="15.75" hidden="1">
      <c r="A3455" s="1307"/>
      <c r="B3455" s="1274"/>
      <c r="C3455" s="1311"/>
      <c r="D3455" s="1276"/>
      <c r="E3455" s="1177"/>
      <c r="F3455" s="1277"/>
      <c r="G3455" s="1208"/>
      <c r="H3455" s="1277"/>
      <c r="I3455" s="1312"/>
      <c r="J3455" s="1148"/>
      <c r="K3455" s="1307"/>
      <c r="L3455" s="1307"/>
      <c r="M3455" s="1309"/>
      <c r="N3455" s="900" t="s">
        <v>2308</v>
      </c>
    </row>
    <row r="3456" spans="1:17" s="1310" customFormat="1" ht="17.25" hidden="1" customHeight="1">
      <c r="A3456" s="1307"/>
      <c r="B3456" s="1383"/>
      <c r="C3456" s="1313"/>
      <c r="D3456" s="1314"/>
      <c r="E3456" s="1177"/>
      <c r="F3456" s="1315"/>
      <c r="G3456" s="1316"/>
      <c r="H3456" s="1315"/>
      <c r="I3456" s="1317"/>
      <c r="J3456" s="1148" t="s">
        <v>115</v>
      </c>
      <c r="K3456" s="1208">
        <f>'SANITATION DTA'!G442</f>
        <v>4950</v>
      </c>
      <c r="L3456" s="923" t="s">
        <v>2308</v>
      </c>
      <c r="M3456" s="1318">
        <f>ROUND(I3456*K3456,0)</f>
        <v>0</v>
      </c>
      <c r="N3456" s="900" t="s">
        <v>2308</v>
      </c>
      <c r="O3456" s="1310" t="s">
        <v>0</v>
      </c>
    </row>
    <row r="3457" spans="1:14" s="1253" customFormat="1" ht="15.75" hidden="1">
      <c r="A3457" s="967"/>
      <c r="B3457" s="967" t="s">
        <v>2213</v>
      </c>
      <c r="C3457" s="967"/>
      <c r="D3457" s="967"/>
      <c r="E3457" s="967"/>
      <c r="F3457" s="988"/>
      <c r="G3457" s="988"/>
      <c r="H3457" s="967"/>
      <c r="I3457" s="1261"/>
      <c r="J3457" s="1262"/>
      <c r="K3457" s="967"/>
      <c r="L3457" s="967"/>
      <c r="M3457" s="967"/>
      <c r="N3457" s="900" t="s">
        <v>2309</v>
      </c>
    </row>
    <row r="3458" spans="1:14" ht="63.75" hidden="1" customHeight="1">
      <c r="A3458" s="896">
        <v>17</v>
      </c>
      <c r="B3458" s="1609" t="s">
        <v>308</v>
      </c>
      <c r="C3458" s="1609"/>
      <c r="D3458" s="1609"/>
      <c r="E3458" s="1609"/>
      <c r="F3458" s="1609"/>
      <c r="G3458" s="1609"/>
      <c r="H3458" s="1609"/>
      <c r="I3458" s="897"/>
      <c r="J3458" s="898"/>
      <c r="K3458" s="896"/>
      <c r="L3458" s="896"/>
      <c r="M3458" s="899"/>
      <c r="N3458" s="900" t="s">
        <v>2309</v>
      </c>
    </row>
    <row r="3459" spans="1:14" s="910" customFormat="1" ht="16.5" hidden="1" customHeight="1">
      <c r="A3459" s="896"/>
      <c r="B3459" s="902" t="s">
        <v>3579</v>
      </c>
      <c r="C3459" s="903"/>
      <c r="D3459" s="1280" t="s">
        <v>3255</v>
      </c>
      <c r="E3459" s="905"/>
      <c r="F3459" s="906"/>
      <c r="G3459" s="906"/>
      <c r="H3459" s="907"/>
      <c r="I3459" s="908"/>
      <c r="J3459" s="909"/>
      <c r="K3459" s="902"/>
      <c r="L3459" s="896"/>
      <c r="M3459" s="902"/>
      <c r="N3459" s="900" t="s">
        <v>2309</v>
      </c>
    </row>
    <row r="3460" spans="1:14" s="910" customFormat="1" ht="16.5" hidden="1" customHeight="1">
      <c r="A3460" s="896"/>
      <c r="B3460" s="956"/>
      <c r="C3460" s="957">
        <v>1</v>
      </c>
      <c r="D3460" s="958" t="s">
        <v>273</v>
      </c>
      <c r="E3460" s="1268">
        <v>1</v>
      </c>
      <c r="F3460" s="960">
        <v>10</v>
      </c>
      <c r="G3460" s="960">
        <v>0</v>
      </c>
      <c r="H3460" s="960">
        <v>0</v>
      </c>
      <c r="I3460" s="916">
        <f>ROUND(IF(AND(F3460:H3460),C3460*E3460*F3460*G3460*H3460,IF(AND(F3460,G3460),C3460*E3460*F3460*G3460,IF(AND(F3460,H3460),C3460*E3460*F3460*H3460,IF(AND(G3460,H3460),C3460*E3460*G3460*H3460,IF(F3460,C3460*E3460*F3460,IF(G3460,C3460*E3460*G3460,IF(H3460,C3460*E3460*H3460,C3460*E3460))))))),2)</f>
        <v>10</v>
      </c>
      <c r="J3460" s="909" t="s">
        <v>277</v>
      </c>
      <c r="K3460" s="902"/>
      <c r="L3460" s="896"/>
      <c r="M3460" s="902"/>
      <c r="N3460" s="900" t="s">
        <v>2309</v>
      </c>
    </row>
    <row r="3461" spans="1:14" s="910" customFormat="1" ht="16.5" hidden="1" customHeight="1">
      <c r="A3461" s="896"/>
      <c r="B3461" s="956"/>
      <c r="C3461" s="957"/>
      <c r="D3461" s="958"/>
      <c r="E3461" s="1268"/>
      <c r="F3461" s="960"/>
      <c r="G3461" s="960"/>
      <c r="H3461" s="960"/>
      <c r="I3461" s="916"/>
      <c r="J3461" s="909"/>
      <c r="K3461" s="902"/>
      <c r="L3461" s="896"/>
      <c r="M3461" s="902"/>
      <c r="N3461" s="900" t="s">
        <v>2309</v>
      </c>
    </row>
    <row r="3462" spans="1:14" ht="15.75" hidden="1">
      <c r="A3462" s="896"/>
      <c r="B3462" s="902"/>
      <c r="C3462" s="917"/>
      <c r="D3462" s="918"/>
      <c r="E3462" s="919"/>
      <c r="F3462" s="920"/>
      <c r="G3462" s="921"/>
      <c r="H3462" s="896"/>
      <c r="I3462" s="916"/>
      <c r="J3462" s="909" t="s">
        <v>277</v>
      </c>
      <c r="K3462" s="922">
        <f>'SANITATION DTA'!G525</f>
        <v>214</v>
      </c>
      <c r="L3462" s="923" t="s">
        <v>2309</v>
      </c>
      <c r="M3462" s="924">
        <f>ROUND(I3462*K3462,0)</f>
        <v>0</v>
      </c>
      <c r="N3462" s="900" t="s">
        <v>2309</v>
      </c>
    </row>
    <row r="3463" spans="1:14" ht="63.75" hidden="1" customHeight="1">
      <c r="A3463" s="896">
        <v>18</v>
      </c>
      <c r="B3463" s="1609" t="s">
        <v>309</v>
      </c>
      <c r="C3463" s="1609"/>
      <c r="D3463" s="1609"/>
      <c r="E3463" s="1609"/>
      <c r="F3463" s="1609"/>
      <c r="G3463" s="1609"/>
      <c r="H3463" s="1609"/>
      <c r="I3463" s="897"/>
      <c r="J3463" s="898"/>
      <c r="K3463" s="896"/>
      <c r="L3463" s="896"/>
      <c r="M3463" s="899"/>
      <c r="N3463" s="900" t="s">
        <v>2309</v>
      </c>
    </row>
    <row r="3464" spans="1:14" s="910" customFormat="1" ht="16.5" hidden="1" customHeight="1">
      <c r="A3464" s="896"/>
      <c r="B3464" s="902" t="s">
        <v>3581</v>
      </c>
      <c r="C3464" s="903"/>
      <c r="D3464" s="1280" t="s">
        <v>3255</v>
      </c>
      <c r="E3464" s="905"/>
      <c r="F3464" s="906"/>
      <c r="G3464" s="906"/>
      <c r="H3464" s="907"/>
      <c r="I3464" s="908"/>
      <c r="J3464" s="909"/>
      <c r="K3464" s="902"/>
      <c r="L3464" s="896"/>
      <c r="M3464" s="902"/>
      <c r="N3464" s="900" t="s">
        <v>2309</v>
      </c>
    </row>
    <row r="3465" spans="1:14" s="910" customFormat="1" ht="16.5" hidden="1" customHeight="1">
      <c r="A3465" s="896"/>
      <c r="B3465" s="911"/>
      <c r="C3465" s="912">
        <v>1</v>
      </c>
      <c r="D3465" s="913" t="s">
        <v>273</v>
      </c>
      <c r="E3465" s="914">
        <v>1</v>
      </c>
      <c r="F3465" s="1289">
        <v>10</v>
      </c>
      <c r="G3465" s="915">
        <v>0</v>
      </c>
      <c r="H3465" s="915">
        <v>0</v>
      </c>
      <c r="I3465" s="916">
        <f>ROUND(IF(AND(F3465:H3465),C3465*E3465*F3465*G3465*H3465,IF(AND(F3465,G3465),C3465*E3465*F3465*G3465,IF(AND(F3465,H3465),C3465*E3465*F3465*H3465,IF(AND(G3465,H3465),C3465*E3465*G3465*H3465,IF(F3465,C3465*E3465*F3465,IF(G3465,C3465*E3465*G3465,IF(H3465,C3465*E3465*H3465,C3465*E3465))))))),2)</f>
        <v>10</v>
      </c>
      <c r="J3465" s="909" t="s">
        <v>277</v>
      </c>
      <c r="K3465" s="902"/>
      <c r="L3465" s="896"/>
      <c r="M3465" s="902"/>
      <c r="N3465" s="900" t="s">
        <v>2309</v>
      </c>
    </row>
    <row r="3466" spans="1:14" s="910" customFormat="1" ht="16.5" hidden="1" customHeight="1">
      <c r="A3466" s="896"/>
      <c r="B3466" s="956"/>
      <c r="C3466" s="957"/>
      <c r="D3466" s="958"/>
      <c r="E3466" s="1268"/>
      <c r="F3466" s="960"/>
      <c r="G3466" s="960"/>
      <c r="H3466" s="960"/>
      <c r="I3466" s="916"/>
      <c r="J3466" s="909"/>
      <c r="K3466" s="902"/>
      <c r="L3466" s="896"/>
      <c r="M3466" s="902"/>
      <c r="N3466" s="900" t="s">
        <v>2309</v>
      </c>
    </row>
    <row r="3467" spans="1:14" ht="15.75" hidden="1">
      <c r="A3467" s="896"/>
      <c r="B3467" s="902"/>
      <c r="C3467" s="917"/>
      <c r="D3467" s="918"/>
      <c r="E3467" s="919"/>
      <c r="F3467" s="920"/>
      <c r="G3467" s="921"/>
      <c r="H3467" s="896"/>
      <c r="I3467" s="916"/>
      <c r="J3467" s="909" t="s">
        <v>277</v>
      </c>
      <c r="K3467" s="922">
        <f>'SANITATION DTA'!G522</f>
        <v>136</v>
      </c>
      <c r="L3467" s="923" t="s">
        <v>2309</v>
      </c>
      <c r="M3467" s="924">
        <f>ROUND(I3467*K3467,0)</f>
        <v>0</v>
      </c>
      <c r="N3467" s="900" t="s">
        <v>2309</v>
      </c>
    </row>
    <row r="3468" spans="1:14" ht="63.75" hidden="1" customHeight="1">
      <c r="A3468" s="896">
        <v>10</v>
      </c>
      <c r="B3468" s="1609" t="s">
        <v>1635</v>
      </c>
      <c r="C3468" s="1609"/>
      <c r="D3468" s="1609"/>
      <c r="E3468" s="1609"/>
      <c r="F3468" s="1609"/>
      <c r="G3468" s="1609"/>
      <c r="H3468" s="1609"/>
      <c r="I3468" s="897"/>
      <c r="J3468" s="898"/>
      <c r="K3468" s="896"/>
      <c r="L3468" s="896"/>
      <c r="M3468" s="899"/>
      <c r="N3468" s="900" t="s">
        <v>2309</v>
      </c>
    </row>
    <row r="3469" spans="1:14" s="910" customFormat="1" ht="16.5" hidden="1" customHeight="1">
      <c r="A3469" s="896"/>
      <c r="B3469" s="1212" t="s">
        <v>2326</v>
      </c>
      <c r="C3469" s="903"/>
      <c r="D3469" s="904"/>
      <c r="E3469" s="905"/>
      <c r="F3469" s="906"/>
      <c r="G3469" s="906"/>
      <c r="H3469" s="907"/>
      <c r="I3469" s="908"/>
      <c r="J3469" s="909"/>
      <c r="K3469" s="902"/>
      <c r="L3469" s="896"/>
      <c r="M3469" s="902"/>
      <c r="N3469" s="900" t="s">
        <v>2309</v>
      </c>
    </row>
    <row r="3470" spans="1:14" s="910" customFormat="1" ht="16.5" hidden="1" customHeight="1">
      <c r="A3470" s="896"/>
      <c r="B3470" s="956"/>
      <c r="C3470" s="957">
        <v>1</v>
      </c>
      <c r="D3470" s="958" t="s">
        <v>273</v>
      </c>
      <c r="E3470" s="1268">
        <v>1</v>
      </c>
      <c r="F3470" s="1290">
        <v>11</v>
      </c>
      <c r="G3470" s="960">
        <v>0</v>
      </c>
      <c r="H3470" s="960">
        <v>0</v>
      </c>
      <c r="I3470" s="916">
        <f>ROUND(IF(AND(F3470:H3470),C3470*E3470*F3470*G3470*H3470,IF(AND(F3470,G3470),C3470*E3470*F3470*G3470,IF(AND(F3470,H3470),C3470*E3470*F3470*H3470,IF(AND(G3470,H3470),C3470*E3470*G3470*H3470,IF(F3470,C3470*E3470*F3470,IF(G3470,C3470*E3470*G3470,IF(H3470,C3470*E3470*H3470,C3470*E3470))))))),2)</f>
        <v>11</v>
      </c>
      <c r="J3470" s="909" t="s">
        <v>277</v>
      </c>
      <c r="K3470" s="902"/>
      <c r="L3470" s="896"/>
      <c r="M3470" s="902"/>
      <c r="N3470" s="900" t="s">
        <v>2309</v>
      </c>
    </row>
    <row r="3471" spans="1:14" s="910" customFormat="1" ht="16.5" hidden="1" customHeight="1">
      <c r="A3471" s="896"/>
      <c r="B3471" s="956"/>
      <c r="C3471" s="957"/>
      <c r="D3471" s="958"/>
      <c r="E3471" s="1268"/>
      <c r="F3471" s="960"/>
      <c r="G3471" s="960"/>
      <c r="H3471" s="960"/>
      <c r="I3471" s="916"/>
      <c r="J3471" s="909"/>
      <c r="K3471" s="902"/>
      <c r="L3471" s="896"/>
      <c r="M3471" s="902"/>
      <c r="N3471" s="900" t="s">
        <v>2309</v>
      </c>
    </row>
    <row r="3472" spans="1:14" ht="15.75" hidden="1">
      <c r="A3472" s="896"/>
      <c r="B3472" s="902"/>
      <c r="C3472" s="917"/>
      <c r="D3472" s="918"/>
      <c r="E3472" s="919"/>
      <c r="F3472" s="920"/>
      <c r="G3472" s="921"/>
      <c r="H3472" s="896"/>
      <c r="I3472" s="916"/>
      <c r="J3472" s="909" t="s">
        <v>277</v>
      </c>
      <c r="K3472" s="922">
        <f>'SANITATION DTA'!G519</f>
        <v>94</v>
      </c>
      <c r="L3472" s="923" t="s">
        <v>2309</v>
      </c>
      <c r="M3472" s="924">
        <f>ROUND(I3472*K3472,0)</f>
        <v>0</v>
      </c>
      <c r="N3472" s="900" t="s">
        <v>2309</v>
      </c>
    </row>
    <row r="3473" spans="1:14" ht="41.25" hidden="1" customHeight="1">
      <c r="A3473" s="896">
        <v>2</v>
      </c>
      <c r="B3473" s="1609" t="s">
        <v>1252</v>
      </c>
      <c r="C3473" s="1609"/>
      <c r="D3473" s="1609"/>
      <c r="E3473" s="1609"/>
      <c r="F3473" s="1609"/>
      <c r="G3473" s="1609"/>
      <c r="H3473" s="1609"/>
      <c r="I3473" s="897"/>
      <c r="J3473" s="898"/>
      <c r="K3473" s="896"/>
      <c r="L3473" s="896"/>
      <c r="M3473" s="899"/>
      <c r="N3473" s="900" t="s">
        <v>2309</v>
      </c>
    </row>
    <row r="3474" spans="1:14" s="910" customFormat="1" ht="16.5" hidden="1" customHeight="1">
      <c r="A3474" s="896"/>
      <c r="B3474" s="902" t="s">
        <v>2317</v>
      </c>
      <c r="C3474" s="903"/>
      <c r="D3474" s="904"/>
      <c r="E3474" s="905"/>
      <c r="F3474" s="906"/>
      <c r="G3474" s="906"/>
      <c r="H3474" s="907"/>
      <c r="I3474" s="908"/>
      <c r="J3474" s="909"/>
      <c r="K3474" s="902"/>
      <c r="L3474" s="896"/>
      <c r="M3474" s="902"/>
      <c r="N3474" s="900" t="s">
        <v>2309</v>
      </c>
    </row>
    <row r="3475" spans="1:14" s="910" customFormat="1" ht="16.5" hidden="1" customHeight="1">
      <c r="A3475" s="896"/>
      <c r="B3475" s="956"/>
      <c r="C3475" s="957">
        <v>1</v>
      </c>
      <c r="D3475" s="958" t="s">
        <v>273</v>
      </c>
      <c r="E3475" s="1268">
        <v>1</v>
      </c>
      <c r="F3475" s="960">
        <v>85</v>
      </c>
      <c r="G3475" s="960">
        <v>0</v>
      </c>
      <c r="H3475" s="960">
        <v>0</v>
      </c>
      <c r="I3475" s="916">
        <f>ROUND(IF(AND(F3475:H3475),C3475*E3475*F3475*G3475*H3475,IF(AND(F3475,G3475),C3475*E3475*F3475*G3475,IF(AND(F3475,H3475),C3475*E3475*F3475*H3475,IF(AND(G3475,H3475),C3475*E3475*G3475*H3475,IF(F3475,C3475*E3475*F3475,IF(G3475,C3475*E3475*G3475,IF(H3475,C3475*E3475*H3475,C3475*E3475))))))),2)</f>
        <v>85</v>
      </c>
      <c r="J3475" s="909" t="s">
        <v>277</v>
      </c>
      <c r="K3475" s="902"/>
      <c r="L3475" s="896"/>
      <c r="M3475" s="902"/>
      <c r="N3475" s="900" t="s">
        <v>2309</v>
      </c>
    </row>
    <row r="3476" spans="1:14" s="910" customFormat="1" ht="16.5" hidden="1" customHeight="1">
      <c r="A3476" s="896"/>
      <c r="B3476" s="956"/>
      <c r="C3476" s="957"/>
      <c r="D3476" s="958"/>
      <c r="E3476" s="1268"/>
      <c r="F3476" s="960"/>
      <c r="G3476" s="960"/>
      <c r="H3476" s="960"/>
      <c r="I3476" s="916"/>
      <c r="J3476" s="909"/>
      <c r="K3476" s="902"/>
      <c r="L3476" s="896"/>
      <c r="M3476" s="902"/>
      <c r="N3476" s="900" t="s">
        <v>2309</v>
      </c>
    </row>
    <row r="3477" spans="1:14" ht="15.75" hidden="1">
      <c r="A3477" s="896"/>
      <c r="B3477" s="902"/>
      <c r="C3477" s="917"/>
      <c r="D3477" s="918"/>
      <c r="E3477" s="919"/>
      <c r="F3477" s="920"/>
      <c r="G3477" s="921"/>
      <c r="H3477" s="896"/>
      <c r="I3477" s="916"/>
      <c r="J3477" s="909" t="s">
        <v>277</v>
      </c>
      <c r="K3477" s="922">
        <f>'SANITATION DTA'!G529</f>
        <v>35</v>
      </c>
      <c r="L3477" s="923" t="s">
        <v>2309</v>
      </c>
      <c r="M3477" s="924">
        <f>ROUND(I3477*K3477,0)</f>
        <v>0</v>
      </c>
      <c r="N3477" s="900" t="s">
        <v>2309</v>
      </c>
    </row>
    <row r="3478" spans="1:14" ht="63.75" hidden="1" customHeight="1">
      <c r="A3478" s="896">
        <v>19</v>
      </c>
      <c r="B3478" s="1609" t="s">
        <v>278</v>
      </c>
      <c r="C3478" s="1609"/>
      <c r="D3478" s="1609"/>
      <c r="E3478" s="1609"/>
      <c r="F3478" s="1609"/>
      <c r="G3478" s="1609"/>
      <c r="H3478" s="1609"/>
      <c r="I3478" s="897"/>
      <c r="J3478" s="898"/>
      <c r="K3478" s="896"/>
      <c r="L3478" s="896"/>
      <c r="M3478" s="899"/>
      <c r="N3478" s="900" t="s">
        <v>2309</v>
      </c>
    </row>
    <row r="3479" spans="1:14" s="910" customFormat="1" ht="16.5" hidden="1" customHeight="1">
      <c r="A3479" s="896"/>
      <c r="B3479" s="902" t="s">
        <v>3582</v>
      </c>
      <c r="C3479" s="903"/>
      <c r="D3479" s="1280" t="s">
        <v>3255</v>
      </c>
      <c r="E3479" s="905"/>
      <c r="F3479" s="906"/>
      <c r="G3479" s="906"/>
      <c r="H3479" s="907"/>
      <c r="I3479" s="908"/>
      <c r="J3479" s="909"/>
      <c r="K3479" s="902"/>
      <c r="L3479" s="896"/>
      <c r="M3479" s="902"/>
      <c r="N3479" s="900" t="s">
        <v>2309</v>
      </c>
    </row>
    <row r="3480" spans="1:14" s="910" customFormat="1" ht="16.5" hidden="1" customHeight="1">
      <c r="A3480" s="896"/>
      <c r="B3480" s="911" t="s">
        <v>3010</v>
      </c>
      <c r="C3480" s="912">
        <v>1</v>
      </c>
      <c r="D3480" s="913" t="s">
        <v>273</v>
      </c>
      <c r="E3480" s="914">
        <v>1</v>
      </c>
      <c r="F3480" s="1289">
        <v>10</v>
      </c>
      <c r="G3480" s="915">
        <v>0</v>
      </c>
      <c r="H3480" s="915">
        <v>0</v>
      </c>
      <c r="I3480" s="916">
        <f>ROUND(IF(AND(F3480:H3480),C3480*E3480*F3480*G3480*H3480,IF(AND(F3480,G3480),C3480*E3480*F3480*G3480,IF(AND(F3480,H3480),C3480*E3480*F3480*H3480,IF(AND(G3480,H3480),C3480*E3480*G3480*H3480,IF(F3480,C3480*E3480*F3480,IF(G3480,C3480*E3480*G3480,IF(H3480,C3480*E3480*H3480,C3480*E3480))))))),2)</f>
        <v>10</v>
      </c>
      <c r="J3480" s="909" t="s">
        <v>277</v>
      </c>
      <c r="K3480" s="902"/>
      <c r="L3480" s="896"/>
      <c r="M3480" s="902"/>
      <c r="N3480" s="900" t="s">
        <v>2309</v>
      </c>
    </row>
    <row r="3481" spans="1:14" s="910" customFormat="1" ht="16.5" hidden="1" customHeight="1">
      <c r="A3481" s="896"/>
      <c r="B3481" s="911" t="s">
        <v>3011</v>
      </c>
      <c r="C3481" s="912">
        <v>1</v>
      </c>
      <c r="D3481" s="913" t="s">
        <v>273</v>
      </c>
      <c r="E3481" s="914">
        <v>1</v>
      </c>
      <c r="F3481" s="1289">
        <v>10</v>
      </c>
      <c r="G3481" s="915">
        <v>0</v>
      </c>
      <c r="H3481" s="915">
        <v>0</v>
      </c>
      <c r="I3481" s="916">
        <f>ROUND(IF(AND(F3481:H3481),C3481*E3481*F3481*G3481*H3481,IF(AND(F3481,G3481),C3481*E3481*F3481*G3481,IF(AND(F3481,H3481),C3481*E3481*F3481*H3481,IF(AND(G3481,H3481),C3481*E3481*G3481*H3481,IF(F3481,C3481*E3481*F3481,IF(G3481,C3481*E3481*G3481,IF(H3481,C3481*E3481*H3481,C3481*E3481))))))),2)</f>
        <v>10</v>
      </c>
      <c r="J3481" s="909" t="s">
        <v>277</v>
      </c>
      <c r="K3481" s="902"/>
      <c r="L3481" s="896"/>
      <c r="M3481" s="902"/>
      <c r="N3481" s="900" t="s">
        <v>2309</v>
      </c>
    </row>
    <row r="3482" spans="1:14" ht="15.75" hidden="1">
      <c r="A3482" s="896"/>
      <c r="B3482" s="902"/>
      <c r="C3482" s="917"/>
      <c r="D3482" s="918"/>
      <c r="E3482" s="919"/>
      <c r="F3482" s="920"/>
      <c r="G3482" s="921"/>
      <c r="H3482" s="896"/>
      <c r="I3482" s="916"/>
      <c r="J3482" s="909" t="s">
        <v>277</v>
      </c>
      <c r="K3482" s="922">
        <f>'SANITATION DTA'!G533</f>
        <v>33</v>
      </c>
      <c r="L3482" s="923" t="s">
        <v>2309</v>
      </c>
      <c r="M3482" s="924">
        <f>ROUND(I3482*K3482,0)</f>
        <v>0</v>
      </c>
      <c r="N3482" s="900" t="s">
        <v>2309</v>
      </c>
    </row>
    <row r="3483" spans="1:14" ht="39.75" hidden="1" customHeight="1">
      <c r="A3483" s="896">
        <v>3</v>
      </c>
      <c r="B3483" s="1609" t="s">
        <v>352</v>
      </c>
      <c r="C3483" s="1609"/>
      <c r="D3483" s="1609"/>
      <c r="E3483" s="1609"/>
      <c r="F3483" s="1609"/>
      <c r="G3483" s="1609"/>
      <c r="H3483" s="1609"/>
      <c r="I3483" s="897"/>
      <c r="J3483" s="898"/>
      <c r="K3483" s="896"/>
      <c r="L3483" s="896"/>
      <c r="M3483" s="899"/>
      <c r="N3483" s="900" t="s">
        <v>2309</v>
      </c>
    </row>
    <row r="3484" spans="1:14" s="910" customFormat="1" ht="16.5" hidden="1" customHeight="1">
      <c r="A3484" s="896"/>
      <c r="B3484" s="902" t="s">
        <v>2341</v>
      </c>
      <c r="C3484" s="903"/>
      <c r="D3484" s="904"/>
      <c r="E3484" s="905"/>
      <c r="F3484" s="906"/>
      <c r="G3484" s="906"/>
      <c r="H3484" s="907"/>
      <c r="I3484" s="908"/>
      <c r="J3484" s="909"/>
      <c r="K3484" s="902"/>
      <c r="L3484" s="896"/>
      <c r="M3484" s="902"/>
      <c r="N3484" s="900" t="s">
        <v>2309</v>
      </c>
    </row>
    <row r="3485" spans="1:14" s="910" customFormat="1" ht="16.5" hidden="1" customHeight="1">
      <c r="A3485" s="896"/>
      <c r="B3485" s="956"/>
      <c r="C3485" s="957">
        <v>1</v>
      </c>
      <c r="D3485" s="958" t="s">
        <v>273</v>
      </c>
      <c r="E3485" s="1268">
        <v>9</v>
      </c>
      <c r="F3485" s="960">
        <f>I3479</f>
        <v>0</v>
      </c>
      <c r="G3485" s="960">
        <v>0</v>
      </c>
      <c r="H3485" s="960">
        <v>0</v>
      </c>
      <c r="I3485" s="1291">
        <f>ROUND(IF(AND(F3485:H3485),C3485*E3485*F3485*G3485*H3485,IF(AND(F3485,G3485),C3485*E3485*F3485*G3485,IF(AND(F3485,H3485),C3485*E3485*F3485*H3485,IF(AND(G3485,H3485),C3485*E3485*G3485*H3485,IF(F3485,C3485*E3485*F3485,IF(G3485,C3485*E3485*G3485,IF(H3485,C3485*E3485*H3485,C3485*E3485))))))),2)</f>
        <v>9</v>
      </c>
      <c r="J3485" s="909" t="s">
        <v>115</v>
      </c>
      <c r="K3485" s="902"/>
      <c r="L3485" s="896"/>
      <c r="M3485" s="902"/>
      <c r="N3485" s="900" t="s">
        <v>2309</v>
      </c>
    </row>
    <row r="3486" spans="1:14" s="910" customFormat="1" ht="16.5" hidden="1" customHeight="1">
      <c r="A3486" s="896"/>
      <c r="B3486" s="956"/>
      <c r="C3486" s="957"/>
      <c r="D3486" s="958"/>
      <c r="E3486" s="1268"/>
      <c r="F3486" s="960"/>
      <c r="G3486" s="960"/>
      <c r="H3486" s="960"/>
      <c r="I3486" s="1291"/>
      <c r="J3486" s="909"/>
      <c r="K3486" s="902"/>
      <c r="L3486" s="896"/>
      <c r="M3486" s="902"/>
      <c r="N3486" s="900" t="s">
        <v>2309</v>
      </c>
    </row>
    <row r="3487" spans="1:14" ht="15.75" hidden="1">
      <c r="A3487" s="896"/>
      <c r="B3487" s="902"/>
      <c r="C3487" s="917"/>
      <c r="D3487" s="918"/>
      <c r="E3487" s="919"/>
      <c r="F3487" s="920"/>
      <c r="G3487" s="921"/>
      <c r="H3487" s="896"/>
      <c r="I3487" s="1291"/>
      <c r="J3487" s="909" t="s">
        <v>115</v>
      </c>
      <c r="K3487" s="922">
        <f>'SANITATION DTA'!G502</f>
        <v>387</v>
      </c>
      <c r="L3487" s="923" t="s">
        <v>2309</v>
      </c>
      <c r="M3487" s="924">
        <f>ROUND(I3487*K3487,0)</f>
        <v>0</v>
      </c>
      <c r="N3487" s="900" t="s">
        <v>2309</v>
      </c>
    </row>
    <row r="3488" spans="1:14" ht="28.5" hidden="1" customHeight="1">
      <c r="A3488" s="896">
        <v>4</v>
      </c>
      <c r="B3488" s="1609" t="s">
        <v>685</v>
      </c>
      <c r="C3488" s="1609"/>
      <c r="D3488" s="1609"/>
      <c r="E3488" s="1609"/>
      <c r="F3488" s="1609"/>
      <c r="G3488" s="1609"/>
      <c r="H3488" s="1609"/>
      <c r="I3488" s="897"/>
      <c r="J3488" s="898"/>
      <c r="K3488" s="896"/>
      <c r="L3488" s="896"/>
      <c r="M3488" s="899"/>
      <c r="N3488" s="900" t="s">
        <v>2309</v>
      </c>
    </row>
    <row r="3489" spans="1:14" s="910" customFormat="1" ht="16.5" hidden="1" customHeight="1">
      <c r="A3489" s="896"/>
      <c r="B3489" s="980" t="s">
        <v>607</v>
      </c>
      <c r="C3489" s="903"/>
      <c r="D3489" s="904"/>
      <c r="E3489" s="905"/>
      <c r="F3489" s="906"/>
      <c r="G3489" s="906"/>
      <c r="H3489" s="907"/>
      <c r="I3489" s="908"/>
      <c r="J3489" s="909"/>
      <c r="K3489" s="902"/>
      <c r="L3489" s="896"/>
      <c r="M3489" s="902"/>
      <c r="N3489" s="900" t="s">
        <v>2309</v>
      </c>
    </row>
    <row r="3490" spans="1:14" s="910" customFormat="1" ht="16.5" hidden="1" customHeight="1">
      <c r="A3490" s="896"/>
      <c r="B3490" s="956"/>
      <c r="C3490" s="957">
        <v>1</v>
      </c>
      <c r="D3490" s="958" t="s">
        <v>273</v>
      </c>
      <c r="E3490" s="1268">
        <v>2</v>
      </c>
      <c r="F3490" s="960">
        <f>I3483</f>
        <v>0</v>
      </c>
      <c r="G3490" s="960">
        <v>0</v>
      </c>
      <c r="H3490" s="960">
        <v>0</v>
      </c>
      <c r="I3490" s="1291">
        <f>ROUND(IF(AND(F3490:H3490),C3490*E3490*F3490*G3490*H3490,IF(AND(F3490,G3490),C3490*E3490*F3490*G3490,IF(AND(F3490,H3490),C3490*E3490*F3490*H3490,IF(AND(G3490,H3490),C3490*E3490*G3490*H3490,IF(F3490,C3490*E3490*F3490,IF(G3490,C3490*E3490*G3490,IF(H3490,C3490*E3490*H3490,C3490*E3490))))))),2)</f>
        <v>2</v>
      </c>
      <c r="J3490" s="909" t="s">
        <v>115</v>
      </c>
      <c r="K3490" s="902"/>
      <c r="L3490" s="896"/>
      <c r="M3490" s="902"/>
      <c r="N3490" s="900" t="s">
        <v>2309</v>
      </c>
    </row>
    <row r="3491" spans="1:14" s="910" customFormat="1" ht="16.5" hidden="1" customHeight="1">
      <c r="A3491" s="896"/>
      <c r="B3491" s="956"/>
      <c r="C3491" s="957"/>
      <c r="D3491" s="958"/>
      <c r="E3491" s="1268"/>
      <c r="F3491" s="960"/>
      <c r="G3491" s="960"/>
      <c r="H3491" s="960"/>
      <c r="I3491" s="1291"/>
      <c r="J3491" s="909"/>
      <c r="K3491" s="902"/>
      <c r="L3491" s="896"/>
      <c r="M3491" s="902"/>
      <c r="N3491" s="900" t="s">
        <v>2309</v>
      </c>
    </row>
    <row r="3492" spans="1:14" ht="15.75" hidden="1">
      <c r="A3492" s="896"/>
      <c r="B3492" s="902"/>
      <c r="C3492" s="917"/>
      <c r="D3492" s="918"/>
      <c r="E3492" s="919"/>
      <c r="F3492" s="920"/>
      <c r="G3492" s="921"/>
      <c r="H3492" s="896"/>
      <c r="I3492" s="1291"/>
      <c r="J3492" s="909" t="s">
        <v>115</v>
      </c>
      <c r="K3492" s="922">
        <f>'SANITATION DTA'!G498</f>
        <v>1644</v>
      </c>
      <c r="L3492" s="923" t="s">
        <v>2309</v>
      </c>
      <c r="M3492" s="924">
        <f>ROUND(I3492*K3492,0)</f>
        <v>0</v>
      </c>
      <c r="N3492" s="900" t="s">
        <v>2309</v>
      </c>
    </row>
    <row r="3493" spans="1:14" ht="29.25" hidden="1" customHeight="1">
      <c r="A3493" s="896">
        <v>20</v>
      </c>
      <c r="B3493" s="1609" t="s">
        <v>341</v>
      </c>
      <c r="C3493" s="1609"/>
      <c r="D3493" s="1609"/>
      <c r="E3493" s="1609"/>
      <c r="F3493" s="1609"/>
      <c r="G3493" s="1609"/>
      <c r="H3493" s="1609"/>
      <c r="I3493" s="897"/>
      <c r="J3493" s="898"/>
      <c r="K3493" s="896"/>
      <c r="L3493" s="896"/>
      <c r="M3493" s="899"/>
      <c r="N3493" s="900" t="s">
        <v>2309</v>
      </c>
    </row>
    <row r="3494" spans="1:14" s="910" customFormat="1" ht="16.5" hidden="1" customHeight="1">
      <c r="A3494" s="896"/>
      <c r="B3494" s="902" t="s">
        <v>3582</v>
      </c>
      <c r="C3494" s="903"/>
      <c r="D3494" s="1280" t="s">
        <v>3255</v>
      </c>
      <c r="E3494" s="905"/>
      <c r="F3494" s="906"/>
      <c r="G3494" s="906"/>
      <c r="H3494" s="907"/>
      <c r="I3494" s="908"/>
      <c r="J3494" s="909"/>
      <c r="K3494" s="902"/>
      <c r="L3494" s="896"/>
      <c r="M3494" s="902"/>
      <c r="N3494" s="900" t="s">
        <v>2309</v>
      </c>
    </row>
    <row r="3495" spans="1:14" s="910" customFormat="1" ht="16.5" hidden="1" customHeight="1">
      <c r="A3495" s="896"/>
      <c r="B3495" s="911"/>
      <c r="C3495" s="912">
        <v>1</v>
      </c>
      <c r="D3495" s="913" t="s">
        <v>273</v>
      </c>
      <c r="E3495" s="914">
        <v>1</v>
      </c>
      <c r="F3495" s="915">
        <v>20</v>
      </c>
      <c r="G3495" s="915">
        <v>0</v>
      </c>
      <c r="H3495" s="915">
        <v>0</v>
      </c>
      <c r="I3495" s="916">
        <f>ROUND(IF(AND(F3495:H3495),C3495*E3495*F3495*G3495*H3495,IF(AND(F3495,G3495),C3495*E3495*F3495*G3495,IF(AND(F3495,H3495),C3495*E3495*F3495*H3495,IF(AND(G3495,H3495),C3495*E3495*G3495*H3495,IF(F3495,C3495*E3495*F3495,IF(G3495,C3495*E3495*G3495,IF(H3495,C3495*E3495*H3495,C3495*E3495))))))),2)</f>
        <v>20</v>
      </c>
      <c r="J3495" s="909" t="s">
        <v>277</v>
      </c>
      <c r="K3495" s="902"/>
      <c r="L3495" s="896"/>
      <c r="M3495" s="902"/>
      <c r="N3495" s="900" t="s">
        <v>2309</v>
      </c>
    </row>
    <row r="3496" spans="1:14" s="910" customFormat="1" ht="16.5" hidden="1" customHeight="1">
      <c r="A3496" s="896"/>
      <c r="B3496" s="956"/>
      <c r="C3496" s="957"/>
      <c r="D3496" s="958"/>
      <c r="E3496" s="1268"/>
      <c r="F3496" s="960"/>
      <c r="G3496" s="960"/>
      <c r="H3496" s="960"/>
      <c r="I3496" s="916"/>
      <c r="J3496" s="909"/>
      <c r="K3496" s="902"/>
      <c r="L3496" s="896"/>
      <c r="M3496" s="902"/>
      <c r="N3496" s="900" t="s">
        <v>2309</v>
      </c>
    </row>
    <row r="3497" spans="1:14" ht="15.75" hidden="1">
      <c r="A3497" s="896"/>
      <c r="B3497" s="902"/>
      <c r="C3497" s="917"/>
      <c r="D3497" s="918"/>
      <c r="E3497" s="919"/>
      <c r="F3497" s="920"/>
      <c r="G3497" s="921"/>
      <c r="H3497" s="896"/>
      <c r="I3497" s="916"/>
      <c r="J3497" s="909" t="s">
        <v>277</v>
      </c>
      <c r="K3497" s="922">
        <f>'SANITATION DTA'!G478</f>
        <v>149</v>
      </c>
      <c r="L3497" s="923" t="s">
        <v>2309</v>
      </c>
      <c r="M3497" s="924">
        <f>ROUND(I3497*K3497,0)</f>
        <v>0</v>
      </c>
      <c r="N3497" s="900" t="s">
        <v>2309</v>
      </c>
    </row>
    <row r="3498" spans="1:14" ht="29.25" hidden="1" customHeight="1">
      <c r="A3498" s="896">
        <v>4</v>
      </c>
      <c r="B3498" s="1609" t="s">
        <v>346</v>
      </c>
      <c r="C3498" s="1609"/>
      <c r="D3498" s="1609"/>
      <c r="E3498" s="1609"/>
      <c r="F3498" s="1609"/>
      <c r="G3498" s="1609"/>
      <c r="H3498" s="1609"/>
      <c r="I3498" s="897"/>
      <c r="J3498" s="898"/>
      <c r="K3498" s="896"/>
      <c r="L3498" s="896"/>
      <c r="M3498" s="899"/>
      <c r="N3498" s="900" t="s">
        <v>2309</v>
      </c>
    </row>
    <row r="3499" spans="1:14" s="910" customFormat="1" ht="16.5" hidden="1" customHeight="1">
      <c r="A3499" s="896"/>
      <c r="B3499" s="902" t="s">
        <v>3582</v>
      </c>
      <c r="C3499" s="903"/>
      <c r="D3499" s="904"/>
      <c r="E3499" s="905"/>
      <c r="F3499" s="906"/>
      <c r="G3499" s="906"/>
      <c r="H3499" s="907"/>
      <c r="I3499" s="908"/>
      <c r="J3499" s="909"/>
      <c r="K3499" s="902"/>
      <c r="L3499" s="896"/>
      <c r="M3499" s="902"/>
      <c r="N3499" s="900" t="s">
        <v>2309</v>
      </c>
    </row>
    <row r="3500" spans="1:14" s="910" customFormat="1" ht="16.5" hidden="1" customHeight="1">
      <c r="A3500" s="896"/>
      <c r="B3500" s="911"/>
      <c r="C3500" s="912">
        <v>1</v>
      </c>
      <c r="D3500" s="913" t="s">
        <v>273</v>
      </c>
      <c r="E3500" s="914">
        <v>1</v>
      </c>
      <c r="F3500" s="1289">
        <v>25</v>
      </c>
      <c r="G3500" s="915">
        <v>0</v>
      </c>
      <c r="H3500" s="915">
        <v>0</v>
      </c>
      <c r="I3500" s="916">
        <f>ROUND(IF(AND(F3500:H3500),C3500*E3500*F3500*G3500*H3500,IF(AND(F3500,G3500),C3500*E3500*F3500*G3500,IF(AND(F3500,H3500),C3500*E3500*F3500*H3500,IF(AND(G3500,H3500),C3500*E3500*G3500*H3500,IF(F3500,C3500*E3500*F3500,IF(G3500,C3500*E3500*G3500,IF(H3500,C3500*E3500*H3500,C3500*E3500))))))),2)</f>
        <v>25</v>
      </c>
      <c r="J3500" s="909" t="s">
        <v>277</v>
      </c>
      <c r="K3500" s="902"/>
      <c r="L3500" s="896"/>
      <c r="M3500" s="902"/>
      <c r="N3500" s="900" t="s">
        <v>2309</v>
      </c>
    </row>
    <row r="3501" spans="1:14" s="910" customFormat="1" ht="16.5" hidden="1" customHeight="1">
      <c r="A3501" s="896"/>
      <c r="B3501" s="911"/>
      <c r="C3501" s="912"/>
      <c r="D3501" s="913"/>
      <c r="E3501" s="914"/>
      <c r="F3501" s="915"/>
      <c r="G3501" s="915"/>
      <c r="H3501" s="915"/>
      <c r="I3501" s="916"/>
      <c r="J3501" s="909"/>
      <c r="K3501" s="902"/>
      <c r="L3501" s="896"/>
      <c r="M3501" s="902"/>
      <c r="N3501" s="900" t="s">
        <v>2309</v>
      </c>
    </row>
    <row r="3502" spans="1:14" ht="15.75" hidden="1">
      <c r="A3502" s="896"/>
      <c r="B3502" s="902"/>
      <c r="C3502" s="917"/>
      <c r="D3502" s="918"/>
      <c r="E3502" s="919"/>
      <c r="F3502" s="920"/>
      <c r="G3502" s="921"/>
      <c r="H3502" s="896"/>
      <c r="I3502" s="916"/>
      <c r="J3502" s="909" t="s">
        <v>277</v>
      </c>
      <c r="K3502" s="922">
        <f>'SANITATION DTA'!G484</f>
        <v>141.66666666666666</v>
      </c>
      <c r="L3502" s="923" t="s">
        <v>2309</v>
      </c>
      <c r="M3502" s="924">
        <f>ROUND(I3502*K3502,0)</f>
        <v>0</v>
      </c>
      <c r="N3502" s="900" t="s">
        <v>2309</v>
      </c>
    </row>
    <row r="3503" spans="1:14" ht="29.25" hidden="1" customHeight="1">
      <c r="A3503" s="896">
        <v>21</v>
      </c>
      <c r="B3503" s="1609" t="s">
        <v>348</v>
      </c>
      <c r="C3503" s="1609"/>
      <c r="D3503" s="1609"/>
      <c r="E3503" s="1609"/>
      <c r="F3503" s="1609"/>
      <c r="G3503" s="1609"/>
      <c r="H3503" s="1609"/>
      <c r="I3503" s="897"/>
      <c r="J3503" s="898"/>
      <c r="K3503" s="896"/>
      <c r="L3503" s="896"/>
      <c r="M3503" s="899"/>
      <c r="N3503" s="900" t="s">
        <v>2309</v>
      </c>
    </row>
    <row r="3504" spans="1:14" s="910" customFormat="1" ht="16.5" hidden="1" customHeight="1">
      <c r="A3504" s="896"/>
      <c r="B3504" s="902" t="s">
        <v>3582</v>
      </c>
      <c r="C3504" s="903"/>
      <c r="D3504" s="1280" t="s">
        <v>3255</v>
      </c>
      <c r="E3504" s="905"/>
      <c r="F3504" s="906"/>
      <c r="G3504" s="906"/>
      <c r="H3504" s="907"/>
      <c r="I3504" s="908"/>
      <c r="J3504" s="909"/>
      <c r="K3504" s="902"/>
      <c r="L3504" s="896"/>
      <c r="M3504" s="902"/>
      <c r="N3504" s="900" t="s">
        <v>2309</v>
      </c>
    </row>
    <row r="3505" spans="1:14" s="910" customFormat="1" ht="16.5" hidden="1" customHeight="1">
      <c r="A3505" s="896"/>
      <c r="B3505" s="911"/>
      <c r="C3505" s="912">
        <v>1</v>
      </c>
      <c r="D3505" s="913" t="s">
        <v>273</v>
      </c>
      <c r="E3505" s="914">
        <v>1</v>
      </c>
      <c r="F3505" s="1289">
        <v>25</v>
      </c>
      <c r="G3505" s="915">
        <v>0</v>
      </c>
      <c r="H3505" s="915">
        <v>0</v>
      </c>
      <c r="I3505" s="916">
        <f>ROUND(IF(AND(F3505:H3505),C3505*E3505*F3505*G3505*H3505,IF(AND(F3505,G3505),C3505*E3505*F3505*G3505,IF(AND(F3505,H3505),C3505*E3505*F3505*H3505,IF(AND(G3505,H3505),C3505*E3505*G3505*H3505,IF(F3505,C3505*E3505*F3505,IF(G3505,C3505*E3505*G3505,IF(H3505,C3505*E3505*H3505,C3505*E3505))))))),2)</f>
        <v>25</v>
      </c>
      <c r="J3505" s="909" t="s">
        <v>277</v>
      </c>
      <c r="K3505" s="902"/>
      <c r="L3505" s="896"/>
      <c r="M3505" s="902"/>
      <c r="N3505" s="900" t="s">
        <v>2309</v>
      </c>
    </row>
    <row r="3506" spans="1:14" s="910" customFormat="1" ht="16.5" hidden="1" customHeight="1">
      <c r="A3506" s="896"/>
      <c r="B3506" s="956"/>
      <c r="C3506" s="957"/>
      <c r="D3506" s="958"/>
      <c r="E3506" s="1268"/>
      <c r="F3506" s="960"/>
      <c r="G3506" s="960"/>
      <c r="H3506" s="960"/>
      <c r="I3506" s="916"/>
      <c r="J3506" s="909"/>
      <c r="K3506" s="902"/>
      <c r="L3506" s="896"/>
      <c r="M3506" s="902"/>
      <c r="N3506" s="900" t="s">
        <v>2309</v>
      </c>
    </row>
    <row r="3507" spans="1:14" ht="15.75" hidden="1">
      <c r="A3507" s="896"/>
      <c r="B3507" s="902"/>
      <c r="C3507" s="917"/>
      <c r="D3507" s="918"/>
      <c r="E3507" s="919"/>
      <c r="F3507" s="920"/>
      <c r="G3507" s="921"/>
      <c r="H3507" s="896"/>
      <c r="I3507" s="916"/>
      <c r="J3507" s="909" t="s">
        <v>277</v>
      </c>
      <c r="K3507" s="922">
        <f>'SANITATION DTA'!G490</f>
        <v>89</v>
      </c>
      <c r="L3507" s="923" t="s">
        <v>2309</v>
      </c>
      <c r="M3507" s="924">
        <f>ROUND(I3507*K3507,0)</f>
        <v>0</v>
      </c>
      <c r="N3507" s="900" t="s">
        <v>2309</v>
      </c>
    </row>
    <row r="3508" spans="1:14" ht="53.25" hidden="1" customHeight="1">
      <c r="A3508" s="896">
        <v>22</v>
      </c>
      <c r="B3508" s="1609" t="s">
        <v>350</v>
      </c>
      <c r="C3508" s="1609"/>
      <c r="D3508" s="1609"/>
      <c r="E3508" s="1609"/>
      <c r="F3508" s="1609"/>
      <c r="G3508" s="1609"/>
      <c r="H3508" s="1609"/>
      <c r="I3508" s="897"/>
      <c r="J3508" s="898"/>
      <c r="K3508" s="896"/>
      <c r="L3508" s="896"/>
      <c r="M3508" s="899"/>
      <c r="N3508" s="900" t="s">
        <v>2309</v>
      </c>
    </row>
    <row r="3509" spans="1:14" s="910" customFormat="1" ht="16.5" hidden="1" customHeight="1">
      <c r="A3509" s="896"/>
      <c r="B3509" s="902" t="s">
        <v>3582</v>
      </c>
      <c r="C3509" s="903"/>
      <c r="D3509" s="1280" t="s">
        <v>3255</v>
      </c>
      <c r="E3509" s="905"/>
      <c r="F3509" s="906"/>
      <c r="G3509" s="906"/>
      <c r="H3509" s="907"/>
      <c r="I3509" s="908"/>
      <c r="J3509" s="909"/>
      <c r="K3509" s="902"/>
      <c r="L3509" s="896"/>
      <c r="M3509" s="902"/>
      <c r="N3509" s="900" t="s">
        <v>2309</v>
      </c>
    </row>
    <row r="3510" spans="1:14" s="910" customFormat="1" ht="16.5" hidden="1" customHeight="1">
      <c r="A3510" s="896"/>
      <c r="B3510" s="911" t="s">
        <v>425</v>
      </c>
      <c r="C3510" s="912">
        <v>1</v>
      </c>
      <c r="D3510" s="913" t="s">
        <v>273</v>
      </c>
      <c r="E3510" s="914">
        <v>1</v>
      </c>
      <c r="F3510" s="915">
        <v>20</v>
      </c>
      <c r="G3510" s="915">
        <v>0</v>
      </c>
      <c r="H3510" s="915">
        <v>0</v>
      </c>
      <c r="I3510" s="916">
        <f>ROUND(IF(AND(F3510:H3510),C3510*E3510*F3510*G3510*H3510,IF(AND(F3510,G3510),C3510*E3510*F3510*G3510,IF(AND(F3510,H3510),C3510*E3510*F3510*H3510,IF(AND(G3510,H3510),C3510*E3510*G3510*H3510,IF(F3510,C3510*E3510*F3510,IF(G3510,C3510*E3510*G3510,IF(H3510,C3510*E3510*H3510,C3510*E3510))))))),2)</f>
        <v>20</v>
      </c>
      <c r="J3510" s="909" t="s">
        <v>277</v>
      </c>
      <c r="K3510" s="902"/>
      <c r="L3510" s="896"/>
      <c r="M3510" s="902"/>
      <c r="N3510" s="900" t="s">
        <v>2309</v>
      </c>
    </row>
    <row r="3511" spans="1:14" s="910" customFormat="1" ht="16.5" hidden="1" customHeight="1">
      <c r="A3511" s="896"/>
      <c r="B3511" s="911" t="s">
        <v>887</v>
      </c>
      <c r="C3511" s="912">
        <v>1</v>
      </c>
      <c r="D3511" s="913" t="s">
        <v>273</v>
      </c>
      <c r="E3511" s="914">
        <v>1</v>
      </c>
      <c r="F3511" s="915">
        <v>25</v>
      </c>
      <c r="G3511" s="915">
        <v>0</v>
      </c>
      <c r="H3511" s="915">
        <v>0</v>
      </c>
      <c r="I3511" s="916">
        <f>ROUND(IF(AND(F3511:H3511),C3511*E3511*F3511*G3511*H3511,IF(AND(F3511,G3511),C3511*E3511*F3511*G3511,IF(AND(F3511,H3511),C3511*E3511*F3511*H3511,IF(AND(G3511,H3511),C3511*E3511*G3511*H3511,IF(F3511,C3511*E3511*F3511,IF(G3511,C3511*E3511*G3511,IF(H3511,C3511*E3511*H3511,C3511*E3511))))))),2)</f>
        <v>25</v>
      </c>
      <c r="J3511" s="909" t="s">
        <v>277</v>
      </c>
      <c r="K3511" s="902"/>
      <c r="L3511" s="896"/>
      <c r="M3511" s="902"/>
      <c r="N3511" s="900" t="s">
        <v>2309</v>
      </c>
    </row>
    <row r="3512" spans="1:14" s="910" customFormat="1" ht="16.5" hidden="1" customHeight="1">
      <c r="A3512" s="896"/>
      <c r="B3512" s="956"/>
      <c r="C3512" s="957"/>
      <c r="D3512" s="958"/>
      <c r="E3512" s="1268"/>
      <c r="F3512" s="960"/>
      <c r="G3512" s="960"/>
      <c r="H3512" s="960"/>
      <c r="I3512" s="916"/>
      <c r="J3512" s="909"/>
      <c r="K3512" s="902"/>
      <c r="L3512" s="896"/>
      <c r="M3512" s="902"/>
      <c r="N3512" s="900" t="s">
        <v>2309</v>
      </c>
    </row>
    <row r="3513" spans="1:14" ht="15.75" hidden="1">
      <c r="A3513" s="896"/>
      <c r="B3513" s="902"/>
      <c r="C3513" s="917"/>
      <c r="D3513" s="918"/>
      <c r="E3513" s="919"/>
      <c r="F3513" s="920"/>
      <c r="G3513" s="921"/>
      <c r="H3513" s="896"/>
      <c r="I3513" s="916"/>
      <c r="J3513" s="909" t="s">
        <v>277</v>
      </c>
      <c r="K3513" s="922">
        <f>'SANITATION DTA'!G494</f>
        <v>79</v>
      </c>
      <c r="L3513" s="923" t="s">
        <v>2309</v>
      </c>
      <c r="M3513" s="924">
        <f>ROUND(I3513*K3513,0)</f>
        <v>0</v>
      </c>
      <c r="N3513" s="900" t="s">
        <v>2309</v>
      </c>
    </row>
    <row r="3514" spans="1:14" ht="66" hidden="1" customHeight="1">
      <c r="A3514" s="896">
        <v>23</v>
      </c>
      <c r="B3514" s="1609" t="s">
        <v>328</v>
      </c>
      <c r="C3514" s="1609"/>
      <c r="D3514" s="1609"/>
      <c r="E3514" s="1609"/>
      <c r="F3514" s="1609"/>
      <c r="G3514" s="1609"/>
      <c r="H3514" s="1609"/>
      <c r="I3514" s="897"/>
      <c r="J3514" s="898"/>
      <c r="K3514" s="896"/>
      <c r="L3514" s="896"/>
      <c r="M3514" s="899"/>
      <c r="N3514" s="900" t="s">
        <v>2309</v>
      </c>
    </row>
    <row r="3515" spans="1:14" s="910" customFormat="1" ht="16.5" hidden="1" customHeight="1">
      <c r="A3515" s="896"/>
      <c r="B3515" s="902" t="s">
        <v>3583</v>
      </c>
      <c r="C3515" s="903"/>
      <c r="D3515" s="1280" t="s">
        <v>3255</v>
      </c>
      <c r="E3515" s="905"/>
      <c r="F3515" s="906"/>
      <c r="G3515" s="906"/>
      <c r="H3515" s="907"/>
      <c r="I3515" s="908"/>
      <c r="J3515" s="909"/>
      <c r="K3515" s="902"/>
      <c r="L3515" s="896"/>
      <c r="M3515" s="902"/>
      <c r="N3515" s="900" t="s">
        <v>2309</v>
      </c>
    </row>
    <row r="3516" spans="1:14" s="910" customFormat="1" ht="16.5" hidden="1" customHeight="1">
      <c r="A3516" s="896"/>
      <c r="B3516" s="911" t="s">
        <v>310</v>
      </c>
      <c r="C3516" s="912">
        <v>1</v>
      </c>
      <c r="D3516" s="913" t="s">
        <v>273</v>
      </c>
      <c r="E3516" s="914">
        <v>3</v>
      </c>
      <c r="F3516" s="915">
        <v>0</v>
      </c>
      <c r="G3516" s="915">
        <v>0</v>
      </c>
      <c r="H3516" s="915">
        <v>0</v>
      </c>
      <c r="I3516" s="1291">
        <f>ROUND(IF(AND(F3516:H3516),C3516*E3516*F3516*G3516*H3516,IF(AND(F3516,G3516),C3516*E3516*F3516*G3516,IF(AND(F3516,H3516),C3516*E3516*F3516*H3516,IF(AND(G3516,H3516),C3516*E3516*G3516*H3516,IF(F3516,C3516*E3516*F3516,IF(G3516,C3516*E3516*G3516,IF(H3516,C3516*E3516*H3516,C3516*E3516))))))),2)</f>
        <v>3</v>
      </c>
      <c r="J3516" s="909" t="s">
        <v>115</v>
      </c>
      <c r="K3516" s="902"/>
      <c r="L3516" s="896"/>
      <c r="M3516" s="902"/>
      <c r="N3516" s="900" t="s">
        <v>2309</v>
      </c>
    </row>
    <row r="3517" spans="1:14" s="910" customFormat="1" ht="16.5" hidden="1" customHeight="1">
      <c r="A3517" s="896"/>
      <c r="B3517" s="956"/>
      <c r="C3517" s="957"/>
      <c r="D3517" s="958"/>
      <c r="E3517" s="1268"/>
      <c r="F3517" s="960"/>
      <c r="G3517" s="960"/>
      <c r="H3517" s="960"/>
      <c r="I3517" s="1291"/>
      <c r="J3517" s="909"/>
      <c r="K3517" s="902"/>
      <c r="L3517" s="896"/>
      <c r="M3517" s="902"/>
      <c r="N3517" s="900" t="s">
        <v>2309</v>
      </c>
    </row>
    <row r="3518" spans="1:14" ht="15.75" hidden="1">
      <c r="A3518" s="896"/>
      <c r="B3518" s="902"/>
      <c r="C3518" s="917"/>
      <c r="D3518" s="918"/>
      <c r="E3518" s="919"/>
      <c r="F3518" s="920"/>
      <c r="G3518" s="921"/>
      <c r="H3518" s="896"/>
      <c r="I3518" s="1291"/>
      <c r="J3518" s="909" t="s">
        <v>115</v>
      </c>
      <c r="K3518" s="922">
        <f>'SANITATION DTA'!G454</f>
        <v>5297</v>
      </c>
      <c r="L3518" s="923" t="s">
        <v>2309</v>
      </c>
      <c r="M3518" s="924">
        <f>ROUND(I3518*K3518,0)</f>
        <v>0</v>
      </c>
      <c r="N3518" s="900" t="s">
        <v>2309</v>
      </c>
    </row>
    <row r="3519" spans="1:14" ht="36" hidden="1" customHeight="1">
      <c r="A3519" s="896">
        <v>8</v>
      </c>
      <c r="B3519" s="1609" t="s">
        <v>608</v>
      </c>
      <c r="C3519" s="1609"/>
      <c r="D3519" s="1609"/>
      <c r="E3519" s="1609"/>
      <c r="F3519" s="1609"/>
      <c r="G3519" s="1609"/>
      <c r="H3519" s="1609"/>
      <c r="I3519" s="897"/>
      <c r="J3519" s="898"/>
      <c r="K3519" s="896"/>
      <c r="L3519" s="896"/>
      <c r="M3519" s="899"/>
      <c r="N3519" s="900" t="s">
        <v>2309</v>
      </c>
    </row>
    <row r="3520" spans="1:14" s="910" customFormat="1" ht="16.5" hidden="1" customHeight="1">
      <c r="A3520" s="896"/>
      <c r="B3520" s="980" t="s">
        <v>607</v>
      </c>
      <c r="C3520" s="903"/>
      <c r="D3520" s="904"/>
      <c r="E3520" s="905"/>
      <c r="F3520" s="906"/>
      <c r="G3520" s="906"/>
      <c r="H3520" s="907"/>
      <c r="I3520" s="908"/>
      <c r="J3520" s="909"/>
      <c r="K3520" s="902"/>
      <c r="L3520" s="896"/>
      <c r="M3520" s="902"/>
      <c r="N3520" s="900" t="s">
        <v>2309</v>
      </c>
    </row>
    <row r="3521" spans="1:14" s="910" customFormat="1" ht="16.5" hidden="1" customHeight="1">
      <c r="A3521" s="896"/>
      <c r="B3521" s="956" t="s">
        <v>310</v>
      </c>
      <c r="C3521" s="957">
        <v>1</v>
      </c>
      <c r="D3521" s="958" t="s">
        <v>273</v>
      </c>
      <c r="E3521" s="1268">
        <v>1</v>
      </c>
      <c r="F3521" s="960">
        <v>0</v>
      </c>
      <c r="G3521" s="960">
        <v>0</v>
      </c>
      <c r="H3521" s="960">
        <v>0</v>
      </c>
      <c r="I3521" s="1291">
        <f>ROUND(IF(AND(F3521:H3521),C3521*E3521*F3521*G3521*H3521,IF(AND(F3521,G3521),C3521*E3521*F3521*G3521,IF(AND(F3521,H3521),C3521*E3521*F3521*H3521,IF(AND(G3521,H3521),C3521*E3521*G3521*H3521,IF(F3521,C3521*E3521*F3521,IF(G3521,C3521*E3521*G3521,IF(H3521,C3521*E3521*H3521,C3521*E3521))))))),2)</f>
        <v>1</v>
      </c>
      <c r="J3521" s="909" t="s">
        <v>115</v>
      </c>
      <c r="K3521" s="902"/>
      <c r="L3521" s="896"/>
      <c r="M3521" s="902"/>
      <c r="N3521" s="900" t="s">
        <v>2309</v>
      </c>
    </row>
    <row r="3522" spans="1:14" s="910" customFormat="1" ht="16.5" hidden="1" customHeight="1">
      <c r="A3522" s="896"/>
      <c r="B3522" s="956"/>
      <c r="C3522" s="957"/>
      <c r="D3522" s="958"/>
      <c r="E3522" s="1268"/>
      <c r="F3522" s="960"/>
      <c r="G3522" s="960"/>
      <c r="H3522" s="960"/>
      <c r="I3522" s="1291"/>
      <c r="J3522" s="909"/>
      <c r="K3522" s="902"/>
      <c r="L3522" s="896"/>
      <c r="M3522" s="902"/>
      <c r="N3522" s="900" t="s">
        <v>2309</v>
      </c>
    </row>
    <row r="3523" spans="1:14" ht="15.75" hidden="1">
      <c r="A3523" s="896"/>
      <c r="B3523" s="902"/>
      <c r="C3523" s="917"/>
      <c r="D3523" s="918"/>
      <c r="E3523" s="919"/>
      <c r="F3523" s="920"/>
      <c r="G3523" s="921"/>
      <c r="H3523" s="896"/>
      <c r="I3523" s="1291"/>
      <c r="J3523" s="909" t="s">
        <v>115</v>
      </c>
      <c r="K3523" s="922">
        <f>'SANITATION DTA'!G457</f>
        <v>1036</v>
      </c>
      <c r="L3523" s="923" t="s">
        <v>2309</v>
      </c>
      <c r="M3523" s="924">
        <f>ROUND(I3523*K3523,0)</f>
        <v>0</v>
      </c>
      <c r="N3523" s="900" t="s">
        <v>2309</v>
      </c>
    </row>
    <row r="3524" spans="1:14" ht="57" hidden="1" customHeight="1">
      <c r="A3524" s="896">
        <v>8</v>
      </c>
      <c r="B3524" s="1609" t="s">
        <v>1253</v>
      </c>
      <c r="C3524" s="1609"/>
      <c r="D3524" s="1609"/>
      <c r="E3524" s="1609"/>
      <c r="F3524" s="1609"/>
      <c r="G3524" s="1609"/>
      <c r="H3524" s="1609"/>
      <c r="I3524" s="897"/>
      <c r="J3524" s="898"/>
      <c r="K3524" s="896"/>
      <c r="L3524" s="896"/>
      <c r="M3524" s="899"/>
      <c r="N3524" s="900" t="s">
        <v>2309</v>
      </c>
    </row>
    <row r="3525" spans="1:14" s="910" customFormat="1" ht="16.5" hidden="1" customHeight="1">
      <c r="A3525" s="896"/>
      <c r="B3525" s="902" t="s">
        <v>2341</v>
      </c>
      <c r="C3525" s="903"/>
      <c r="D3525" s="904"/>
      <c r="E3525" s="905"/>
      <c r="F3525" s="906"/>
      <c r="G3525" s="906"/>
      <c r="H3525" s="907"/>
      <c r="I3525" s="908"/>
      <c r="J3525" s="909"/>
      <c r="K3525" s="902"/>
      <c r="L3525" s="896"/>
      <c r="M3525" s="902"/>
      <c r="N3525" s="900" t="s">
        <v>2309</v>
      </c>
    </row>
    <row r="3526" spans="1:14" s="910" customFormat="1" ht="16.5" hidden="1" customHeight="1">
      <c r="A3526" s="896"/>
      <c r="B3526" s="956" t="s">
        <v>688</v>
      </c>
      <c r="C3526" s="957">
        <v>1</v>
      </c>
      <c r="D3526" s="958" t="s">
        <v>273</v>
      </c>
      <c r="E3526" s="1268">
        <v>1</v>
      </c>
      <c r="F3526" s="960">
        <v>0</v>
      </c>
      <c r="G3526" s="960">
        <v>0</v>
      </c>
      <c r="H3526" s="960">
        <v>0</v>
      </c>
      <c r="I3526" s="1291">
        <f>ROUND(IF(AND(F3526:H3526),C3526*E3526*F3526*G3526*H3526,IF(AND(F3526,G3526),C3526*E3526*F3526*G3526,IF(AND(F3526,H3526),C3526*E3526*F3526*H3526,IF(AND(G3526,H3526),C3526*E3526*G3526*H3526,IF(F3526,C3526*E3526*F3526,IF(G3526,C3526*E3526*G3526,IF(H3526,C3526*E3526*H3526,C3526*E3526))))))),2)</f>
        <v>1</v>
      </c>
      <c r="J3526" s="909" t="s">
        <v>115</v>
      </c>
      <c r="K3526" s="902"/>
      <c r="L3526" s="896"/>
      <c r="M3526" s="902"/>
      <c r="N3526" s="900" t="s">
        <v>2309</v>
      </c>
    </row>
    <row r="3527" spans="1:14" s="910" customFormat="1" ht="16.5" hidden="1" customHeight="1">
      <c r="A3527" s="896"/>
      <c r="B3527" s="956"/>
      <c r="C3527" s="957"/>
      <c r="D3527" s="958"/>
      <c r="E3527" s="1268"/>
      <c r="F3527" s="960"/>
      <c r="G3527" s="960"/>
      <c r="H3527" s="960"/>
      <c r="I3527" s="1291"/>
      <c r="J3527" s="909"/>
      <c r="K3527" s="902"/>
      <c r="L3527" s="896"/>
      <c r="M3527" s="902"/>
      <c r="N3527" s="900" t="s">
        <v>2309</v>
      </c>
    </row>
    <row r="3528" spans="1:14" ht="15.75" hidden="1">
      <c r="A3528" s="896"/>
      <c r="B3528" s="902"/>
      <c r="C3528" s="917"/>
      <c r="D3528" s="918"/>
      <c r="E3528" s="919"/>
      <c r="F3528" s="920"/>
      <c r="G3528" s="921"/>
      <c r="H3528" s="896"/>
      <c r="I3528" s="1291"/>
      <c r="J3528" s="909" t="s">
        <v>115</v>
      </c>
      <c r="K3528" s="922">
        <f>'SANITATION DTA'!G460</f>
        <v>2644</v>
      </c>
      <c r="L3528" s="923" t="s">
        <v>2309</v>
      </c>
      <c r="M3528" s="924">
        <f>ROUND(I3528*K3528,0)</f>
        <v>0</v>
      </c>
      <c r="N3528" s="900" t="s">
        <v>2309</v>
      </c>
    </row>
    <row r="3529" spans="1:14" ht="132.75" hidden="1" customHeight="1">
      <c r="A3529" s="896">
        <v>9</v>
      </c>
      <c r="B3529" s="1609" t="s">
        <v>333</v>
      </c>
      <c r="C3529" s="1609"/>
      <c r="D3529" s="1609"/>
      <c r="E3529" s="1609"/>
      <c r="F3529" s="1609"/>
      <c r="G3529" s="1609"/>
      <c r="H3529" s="1609"/>
      <c r="I3529" s="897"/>
      <c r="J3529" s="898"/>
      <c r="K3529" s="896"/>
      <c r="L3529" s="896"/>
      <c r="M3529" s="899"/>
      <c r="N3529" s="900" t="s">
        <v>2309</v>
      </c>
    </row>
    <row r="3530" spans="1:14" s="910" customFormat="1" ht="16.5" hidden="1" customHeight="1">
      <c r="A3530" s="896"/>
      <c r="B3530" s="902" t="s">
        <v>2341</v>
      </c>
      <c r="C3530" s="903"/>
      <c r="D3530" s="904"/>
      <c r="E3530" s="905"/>
      <c r="F3530" s="906"/>
      <c r="G3530" s="906"/>
      <c r="H3530" s="907"/>
      <c r="I3530" s="908"/>
      <c r="J3530" s="909"/>
      <c r="K3530" s="902"/>
      <c r="L3530" s="896"/>
      <c r="M3530" s="902"/>
      <c r="N3530" s="900" t="s">
        <v>2309</v>
      </c>
    </row>
    <row r="3531" spans="1:14" s="910" customFormat="1" ht="16.5" hidden="1" customHeight="1">
      <c r="A3531" s="896"/>
      <c r="B3531" s="911"/>
      <c r="C3531" s="912">
        <v>1</v>
      </c>
      <c r="D3531" s="913" t="s">
        <v>273</v>
      </c>
      <c r="E3531" s="914">
        <v>3</v>
      </c>
      <c r="F3531" s="915">
        <v>0</v>
      </c>
      <c r="G3531" s="915">
        <v>0</v>
      </c>
      <c r="H3531" s="915">
        <v>0</v>
      </c>
      <c r="I3531" s="1291">
        <f>ROUND(IF(AND(F3531:H3531),C3531*E3531*F3531*G3531*H3531,IF(AND(F3531,G3531),C3531*E3531*F3531*G3531,IF(AND(F3531,H3531),C3531*E3531*F3531*H3531,IF(AND(G3531,H3531),C3531*E3531*G3531*H3531,IF(F3531,C3531*E3531*F3531,IF(G3531,C3531*E3531*G3531,IF(H3531,C3531*E3531*H3531,C3531*E3531))))))),2)</f>
        <v>3</v>
      </c>
      <c r="J3531" s="909" t="s">
        <v>115</v>
      </c>
      <c r="K3531" s="902"/>
      <c r="L3531" s="896"/>
      <c r="M3531" s="902"/>
      <c r="N3531" s="900" t="s">
        <v>2309</v>
      </c>
    </row>
    <row r="3532" spans="1:14" s="910" customFormat="1" ht="16.5" hidden="1" customHeight="1">
      <c r="A3532" s="896"/>
      <c r="B3532" s="911"/>
      <c r="C3532" s="912"/>
      <c r="D3532" s="913"/>
      <c r="E3532" s="914"/>
      <c r="F3532" s="915"/>
      <c r="G3532" s="915"/>
      <c r="H3532" s="915"/>
      <c r="I3532" s="1291"/>
      <c r="J3532" s="909"/>
      <c r="K3532" s="902"/>
      <c r="L3532" s="896"/>
      <c r="M3532" s="902"/>
      <c r="N3532" s="900" t="s">
        <v>2309</v>
      </c>
    </row>
    <row r="3533" spans="1:14" ht="15.75" hidden="1">
      <c r="A3533" s="896"/>
      <c r="B3533" s="902"/>
      <c r="C3533" s="917"/>
      <c r="D3533" s="918"/>
      <c r="E3533" s="919"/>
      <c r="F3533" s="920"/>
      <c r="G3533" s="921"/>
      <c r="H3533" s="896"/>
      <c r="I3533" s="1291"/>
      <c r="J3533" s="909" t="s">
        <v>115</v>
      </c>
      <c r="K3533" s="922">
        <f>'SANITATION DTA'!G468</f>
        <v>2025</v>
      </c>
      <c r="L3533" s="923" t="s">
        <v>2309</v>
      </c>
      <c r="M3533" s="924">
        <f>ROUND(I3533*K3533,0)</f>
        <v>0</v>
      </c>
      <c r="N3533" s="900" t="s">
        <v>2309</v>
      </c>
    </row>
    <row r="3534" spans="1:14" ht="21.75" hidden="1" customHeight="1">
      <c r="A3534" s="896">
        <v>24</v>
      </c>
      <c r="B3534" s="1612" t="s">
        <v>718</v>
      </c>
      <c r="C3534" s="1613"/>
      <c r="D3534" s="1613"/>
      <c r="E3534" s="1613"/>
      <c r="F3534" s="1613"/>
      <c r="G3534" s="1613"/>
      <c r="H3534" s="1614"/>
      <c r="I3534" s="1291"/>
      <c r="J3534" s="898"/>
      <c r="K3534" s="896"/>
      <c r="L3534" s="896"/>
      <c r="M3534" s="899"/>
      <c r="N3534" s="900" t="s">
        <v>2309</v>
      </c>
    </row>
    <row r="3535" spans="1:14" s="910" customFormat="1" ht="16.5" hidden="1" customHeight="1">
      <c r="A3535" s="896"/>
      <c r="B3535" s="902" t="s">
        <v>3584</v>
      </c>
      <c r="C3535" s="903"/>
      <c r="D3535" s="1280" t="s">
        <v>3255</v>
      </c>
      <c r="E3535" s="905"/>
      <c r="F3535" s="906"/>
      <c r="G3535" s="906"/>
      <c r="H3535" s="907"/>
      <c r="I3535" s="1302"/>
      <c r="J3535" s="909"/>
      <c r="K3535" s="902"/>
      <c r="L3535" s="896"/>
      <c r="M3535" s="902"/>
      <c r="N3535" s="900" t="s">
        <v>2309</v>
      </c>
    </row>
    <row r="3536" spans="1:14" s="910" customFormat="1" ht="16.5" hidden="1" customHeight="1">
      <c r="A3536" s="896"/>
      <c r="B3536" s="956"/>
      <c r="C3536" s="957">
        <v>1</v>
      </c>
      <c r="D3536" s="958" t="s">
        <v>273</v>
      </c>
      <c r="E3536" s="1268">
        <v>3</v>
      </c>
      <c r="F3536" s="960">
        <v>0</v>
      </c>
      <c r="G3536" s="960">
        <v>0</v>
      </c>
      <c r="H3536" s="960">
        <v>0</v>
      </c>
      <c r="I3536" s="1291">
        <f>ROUND(IF(AND(F3536:H3536),C3536*E3536*F3536*G3536*H3536,IF(AND(F3536,G3536),C3536*E3536*F3536*G3536,IF(AND(F3536,H3536),C3536*E3536*F3536*H3536,IF(AND(G3536,H3536),C3536*E3536*G3536*H3536,IF(F3536,C3536*E3536*F3536,IF(G3536,C3536*E3536*G3536,IF(H3536,C3536*E3536*H3536,C3536*E3536))))))),2)</f>
        <v>3</v>
      </c>
      <c r="J3536" s="909" t="s">
        <v>115</v>
      </c>
      <c r="K3536" s="902"/>
      <c r="L3536" s="896"/>
      <c r="M3536" s="902"/>
      <c r="N3536" s="900" t="s">
        <v>2309</v>
      </c>
    </row>
    <row r="3537" spans="1:14" s="910" customFormat="1" ht="16.5" hidden="1" customHeight="1">
      <c r="A3537" s="896"/>
      <c r="B3537" s="956"/>
      <c r="C3537" s="957"/>
      <c r="D3537" s="958"/>
      <c r="E3537" s="1268"/>
      <c r="F3537" s="960"/>
      <c r="G3537" s="960"/>
      <c r="H3537" s="960"/>
      <c r="I3537" s="1291"/>
      <c r="J3537" s="909"/>
      <c r="K3537" s="902"/>
      <c r="L3537" s="896"/>
      <c r="M3537" s="902"/>
      <c r="N3537" s="900" t="s">
        <v>2309</v>
      </c>
    </row>
    <row r="3538" spans="1:14" ht="15.75" hidden="1">
      <c r="A3538" s="896"/>
      <c r="B3538" s="902"/>
      <c r="C3538" s="917"/>
      <c r="D3538" s="918"/>
      <c r="E3538" s="919"/>
      <c r="F3538" s="920"/>
      <c r="G3538" s="921"/>
      <c r="H3538" s="896"/>
      <c r="I3538" s="1291"/>
      <c r="J3538" s="909" t="s">
        <v>115</v>
      </c>
      <c r="K3538" s="922">
        <f>'SANITATION DTA'!G590</f>
        <v>93</v>
      </c>
      <c r="L3538" s="923" t="s">
        <v>2309</v>
      </c>
      <c r="M3538" s="924">
        <f>ROUND(I3538*K3538,0)</f>
        <v>0</v>
      </c>
      <c r="N3538" s="900" t="s">
        <v>2309</v>
      </c>
    </row>
    <row r="3539" spans="1:14" ht="58.5" hidden="1" customHeight="1">
      <c r="A3539" s="896">
        <v>25</v>
      </c>
      <c r="B3539" s="1609" t="s">
        <v>290</v>
      </c>
      <c r="C3539" s="1609"/>
      <c r="D3539" s="1609"/>
      <c r="E3539" s="1609"/>
      <c r="F3539" s="1609"/>
      <c r="G3539" s="1609"/>
      <c r="H3539" s="1609"/>
      <c r="I3539" s="897"/>
      <c r="J3539" s="898"/>
      <c r="K3539" s="896"/>
      <c r="L3539" s="896"/>
      <c r="M3539" s="899"/>
      <c r="N3539" s="900" t="s">
        <v>2309</v>
      </c>
    </row>
    <row r="3540" spans="1:14" s="910" customFormat="1" ht="16.5" hidden="1" customHeight="1">
      <c r="A3540" s="896"/>
      <c r="B3540" s="902" t="s">
        <v>3584</v>
      </c>
      <c r="C3540" s="903"/>
      <c r="D3540" s="1280" t="s">
        <v>3255</v>
      </c>
      <c r="E3540" s="905"/>
      <c r="F3540" s="906"/>
      <c r="G3540" s="906"/>
      <c r="H3540" s="907"/>
      <c r="I3540" s="908"/>
      <c r="J3540" s="909"/>
      <c r="K3540" s="902"/>
      <c r="L3540" s="896"/>
      <c r="M3540" s="902"/>
      <c r="N3540" s="900" t="s">
        <v>2309</v>
      </c>
    </row>
    <row r="3541" spans="1:14" s="910" customFormat="1" ht="16.5" hidden="1" customHeight="1">
      <c r="A3541" s="896"/>
      <c r="B3541" s="911"/>
      <c r="C3541" s="912">
        <v>1</v>
      </c>
      <c r="D3541" s="913" t="s">
        <v>273</v>
      </c>
      <c r="E3541" s="914">
        <v>1</v>
      </c>
      <c r="F3541" s="1305">
        <v>500</v>
      </c>
      <c r="G3541" s="915">
        <v>0</v>
      </c>
      <c r="H3541" s="915">
        <v>0</v>
      </c>
      <c r="I3541" s="916">
        <f>ROUND(IF(AND(F3541:H3541),C3541*E3541*F3541*G3541*H3541,IF(AND(F3541,G3541),C3541*E3541*F3541*G3541,IF(AND(F3541,H3541),C3541*E3541*F3541*H3541,IF(AND(G3541,H3541),C3541*E3541*G3541*H3541,IF(F3541,C3541*E3541*F3541,IF(G3541,C3541*E3541*G3541,IF(H3541,C3541*E3541*H3541,C3541*E3541))))))),2)</f>
        <v>500</v>
      </c>
      <c r="J3541" s="909" t="s">
        <v>291</v>
      </c>
      <c r="K3541" s="902"/>
      <c r="L3541" s="896"/>
      <c r="M3541" s="902"/>
      <c r="N3541" s="900" t="s">
        <v>2309</v>
      </c>
    </row>
    <row r="3542" spans="1:14" s="910" customFormat="1" ht="16.5" hidden="1" customHeight="1">
      <c r="A3542" s="896"/>
      <c r="B3542" s="911"/>
      <c r="C3542" s="912"/>
      <c r="D3542" s="913"/>
      <c r="E3542" s="914"/>
      <c r="F3542" s="1305"/>
      <c r="G3542" s="915"/>
      <c r="H3542" s="915"/>
      <c r="I3542" s="916"/>
      <c r="J3542" s="909"/>
      <c r="K3542" s="902"/>
      <c r="L3542" s="896"/>
      <c r="M3542" s="902"/>
      <c r="N3542" s="900" t="s">
        <v>2309</v>
      </c>
    </row>
    <row r="3543" spans="1:14" ht="15.75" hidden="1">
      <c r="A3543" s="896"/>
      <c r="B3543" s="902"/>
      <c r="C3543" s="917"/>
      <c r="D3543" s="918"/>
      <c r="E3543" s="919"/>
      <c r="F3543" s="920"/>
      <c r="G3543" s="921"/>
      <c r="H3543" s="896"/>
      <c r="I3543" s="916"/>
      <c r="J3543" s="909" t="s">
        <v>291</v>
      </c>
      <c r="K3543" s="922">
        <f>'SANITATION DTA'!G512</f>
        <v>9.5</v>
      </c>
      <c r="L3543" s="923" t="s">
        <v>2309</v>
      </c>
      <c r="M3543" s="924">
        <f>ROUND(I3543*K3543,0)</f>
        <v>0</v>
      </c>
      <c r="N3543" s="900" t="s">
        <v>2309</v>
      </c>
    </row>
    <row r="3544" spans="1:14" ht="146.25" hidden="1" customHeight="1">
      <c r="A3544" s="896">
        <v>10</v>
      </c>
      <c r="B3544" s="1609" t="s">
        <v>448</v>
      </c>
      <c r="C3544" s="1609"/>
      <c r="D3544" s="1609"/>
      <c r="E3544" s="1609"/>
      <c r="F3544" s="1609"/>
      <c r="G3544" s="1609"/>
      <c r="H3544" s="1609"/>
      <c r="I3544" s="897"/>
      <c r="J3544" s="898"/>
      <c r="K3544" s="896"/>
      <c r="L3544" s="896"/>
      <c r="M3544" s="899"/>
      <c r="N3544" s="900" t="s">
        <v>2309</v>
      </c>
    </row>
    <row r="3545" spans="1:14" s="910" customFormat="1" ht="16.5" hidden="1" customHeight="1">
      <c r="A3545" s="896"/>
      <c r="B3545" s="1212" t="s">
        <v>2342</v>
      </c>
      <c r="C3545" s="903"/>
      <c r="D3545" s="904"/>
      <c r="E3545" s="905"/>
      <c r="F3545" s="906"/>
      <c r="G3545" s="906"/>
      <c r="H3545" s="907"/>
      <c r="I3545" s="908"/>
      <c r="J3545" s="909"/>
      <c r="K3545" s="902"/>
      <c r="L3545" s="896"/>
      <c r="M3545" s="902"/>
      <c r="N3545" s="900" t="s">
        <v>2309</v>
      </c>
    </row>
    <row r="3546" spans="1:14" s="910" customFormat="1" ht="16.5" hidden="1" customHeight="1">
      <c r="A3546" s="896"/>
      <c r="B3546" s="911" t="s">
        <v>588</v>
      </c>
      <c r="C3546" s="912">
        <v>1</v>
      </c>
      <c r="D3546" s="913" t="s">
        <v>273</v>
      </c>
      <c r="E3546" s="914">
        <v>1</v>
      </c>
      <c r="F3546" s="1289">
        <v>58.85</v>
      </c>
      <c r="G3546" s="915">
        <v>0</v>
      </c>
      <c r="H3546" s="915">
        <v>0</v>
      </c>
      <c r="I3546" s="916"/>
      <c r="J3546" s="909" t="s">
        <v>277</v>
      </c>
      <c r="K3546" s="969">
        <f>'SANITATION DTA'!G551</f>
        <v>446.4</v>
      </c>
      <c r="L3546" s="923" t="s">
        <v>2309</v>
      </c>
      <c r="M3546" s="924">
        <f>ROUND(I3546*K3546,0)</f>
        <v>0</v>
      </c>
      <c r="N3546" s="900" t="s">
        <v>2309</v>
      </c>
    </row>
    <row r="3547" spans="1:14" s="910" customFormat="1" ht="16.5" hidden="1" customHeight="1">
      <c r="A3547" s="896"/>
      <c r="B3547" s="956" t="s">
        <v>589</v>
      </c>
      <c r="C3547" s="957">
        <v>1</v>
      </c>
      <c r="D3547" s="958" t="s">
        <v>273</v>
      </c>
      <c r="E3547" s="1268">
        <v>1</v>
      </c>
      <c r="F3547" s="1306">
        <v>60</v>
      </c>
      <c r="G3547" s="960">
        <v>0</v>
      </c>
      <c r="H3547" s="960">
        <v>0</v>
      </c>
      <c r="I3547" s="916"/>
      <c r="J3547" s="909" t="s">
        <v>277</v>
      </c>
      <c r="K3547" s="969">
        <f>'SANITATION DTA'!G553</f>
        <v>477.6</v>
      </c>
      <c r="L3547" s="923" t="s">
        <v>2309</v>
      </c>
      <c r="M3547" s="924">
        <f>ROUND(I3547*K3547,0)</f>
        <v>0</v>
      </c>
      <c r="N3547" s="900" t="s">
        <v>2309</v>
      </c>
    </row>
    <row r="3548" spans="1:14" s="910" customFormat="1" ht="16.5" hidden="1" customHeight="1">
      <c r="A3548" s="896"/>
      <c r="B3548" s="956" t="s">
        <v>590</v>
      </c>
      <c r="C3548" s="957">
        <v>1</v>
      </c>
      <c r="D3548" s="958" t="s">
        <v>273</v>
      </c>
      <c r="E3548" s="1268">
        <v>1</v>
      </c>
      <c r="F3548" s="1306">
        <v>60</v>
      </c>
      <c r="G3548" s="960">
        <v>0</v>
      </c>
      <c r="H3548" s="960">
        <v>0</v>
      </c>
      <c r="I3548" s="916"/>
      <c r="J3548" s="909" t="s">
        <v>277</v>
      </c>
      <c r="K3548" s="969">
        <f>'SANITATION DTA'!G555</f>
        <v>535.70000000000005</v>
      </c>
      <c r="L3548" s="923" t="s">
        <v>2309</v>
      </c>
      <c r="M3548" s="924">
        <f>ROUND(I3548*K3548,0)</f>
        <v>0</v>
      </c>
      <c r="N3548" s="900" t="s">
        <v>2309</v>
      </c>
    </row>
    <row r="3549" spans="1:14" ht="15.75" hidden="1">
      <c r="A3549" s="896"/>
      <c r="B3549" s="902"/>
      <c r="C3549" s="917"/>
      <c r="D3549" s="918"/>
      <c r="E3549" s="919"/>
      <c r="F3549" s="920"/>
      <c r="G3549" s="921"/>
      <c r="H3549" s="896"/>
      <c r="I3549" s="916"/>
      <c r="J3549" s="909"/>
      <c r="K3549" s="922"/>
      <c r="L3549" s="922"/>
      <c r="M3549" s="924"/>
      <c r="N3549" s="900" t="s">
        <v>2309</v>
      </c>
    </row>
    <row r="3550" spans="1:14" ht="43.5" hidden="1" customHeight="1">
      <c r="A3550" s="896">
        <v>11</v>
      </c>
      <c r="B3550" s="1609" t="s">
        <v>449</v>
      </c>
      <c r="C3550" s="1609"/>
      <c r="D3550" s="1609"/>
      <c r="E3550" s="1609"/>
      <c r="F3550" s="1609"/>
      <c r="G3550" s="1609"/>
      <c r="H3550" s="1609"/>
      <c r="I3550" s="897"/>
      <c r="J3550" s="898"/>
      <c r="K3550" s="896"/>
      <c r="L3550" s="896"/>
      <c r="M3550" s="899"/>
      <c r="N3550" s="900" t="s">
        <v>2309</v>
      </c>
    </row>
    <row r="3551" spans="1:14" s="910" customFormat="1" ht="16.5" hidden="1" customHeight="1">
      <c r="A3551" s="896"/>
      <c r="B3551" s="1212" t="s">
        <v>2342</v>
      </c>
      <c r="C3551" s="903"/>
      <c r="D3551" s="904"/>
      <c r="E3551" s="905"/>
      <c r="F3551" s="906"/>
      <c r="G3551" s="906"/>
      <c r="H3551" s="907"/>
      <c r="I3551" s="908"/>
      <c r="J3551" s="909"/>
      <c r="K3551" s="902"/>
      <c r="L3551" s="896"/>
      <c r="M3551" s="902"/>
      <c r="N3551" s="900" t="s">
        <v>2309</v>
      </c>
    </row>
    <row r="3552" spans="1:14" s="910" customFormat="1" ht="16.5" hidden="1" customHeight="1">
      <c r="A3552" s="896"/>
      <c r="B3552" s="911"/>
      <c r="C3552" s="912">
        <v>1</v>
      </c>
      <c r="D3552" s="913" t="s">
        <v>273</v>
      </c>
      <c r="E3552" s="914">
        <v>1</v>
      </c>
      <c r="F3552" s="1289">
        <v>6</v>
      </c>
      <c r="G3552" s="915">
        <v>0</v>
      </c>
      <c r="H3552" s="915">
        <v>0</v>
      </c>
      <c r="I3552" s="916">
        <f>ROUND(IF(AND(F3552:H3552),C3552*E3552*F3552*G3552*H3552,IF(AND(F3552,G3552),C3552*E3552*F3552*G3552,IF(AND(F3552,H3552),C3552*E3552*F3552*H3552,IF(AND(G3552,H3552),C3552*E3552*G3552*H3552,IF(F3552,C3552*E3552*F3552,IF(G3552,C3552*E3552*G3552,IF(H3552,C3552*E3552*H3552,C3552*E3552))))))),2)</f>
        <v>6</v>
      </c>
      <c r="J3552" s="909" t="s">
        <v>277</v>
      </c>
      <c r="K3552" s="902"/>
      <c r="L3552" s="896"/>
      <c r="M3552" s="902"/>
      <c r="N3552" s="900" t="s">
        <v>2309</v>
      </c>
    </row>
    <row r="3553" spans="1:17" s="910" customFormat="1" ht="16.5" hidden="1" customHeight="1">
      <c r="A3553" s="896"/>
      <c r="B3553" s="911"/>
      <c r="C3553" s="912"/>
      <c r="D3553" s="913"/>
      <c r="E3553" s="914"/>
      <c r="F3553" s="1289"/>
      <c r="G3553" s="915"/>
      <c r="H3553" s="915"/>
      <c r="I3553" s="916"/>
      <c r="J3553" s="909"/>
      <c r="K3553" s="902"/>
      <c r="L3553" s="896"/>
      <c r="M3553" s="902"/>
      <c r="N3553" s="900" t="s">
        <v>2309</v>
      </c>
    </row>
    <row r="3554" spans="1:17" ht="15.75" hidden="1">
      <c r="A3554" s="896"/>
      <c r="B3554" s="902"/>
      <c r="C3554" s="917"/>
      <c r="D3554" s="918"/>
      <c r="E3554" s="919"/>
      <c r="F3554" s="920"/>
      <c r="G3554" s="921"/>
      <c r="H3554" s="896"/>
      <c r="I3554" s="916"/>
      <c r="J3554" s="909" t="s">
        <v>277</v>
      </c>
      <c r="K3554" s="922">
        <f>'SANITATION DTA'!G565</f>
        <v>325</v>
      </c>
      <c r="L3554" s="923" t="s">
        <v>2309</v>
      </c>
      <c r="M3554" s="924">
        <f>ROUND(I3554*K3554,0)</f>
        <v>0</v>
      </c>
      <c r="N3554" s="900" t="s">
        <v>2309</v>
      </c>
    </row>
    <row r="3555" spans="1:17" s="1310" customFormat="1" ht="44.25" hidden="1" customHeight="1">
      <c r="A3555" s="1307">
        <v>12</v>
      </c>
      <c r="B3555" s="1630" t="s">
        <v>1534</v>
      </c>
      <c r="C3555" s="1630"/>
      <c r="D3555" s="1630"/>
      <c r="E3555" s="1630"/>
      <c r="F3555" s="1630"/>
      <c r="G3555" s="1630"/>
      <c r="H3555" s="1630"/>
      <c r="I3555" s="1308"/>
      <c r="J3555" s="1177"/>
      <c r="K3555" s="1307"/>
      <c r="L3555" s="1307"/>
      <c r="M3555" s="1309"/>
      <c r="N3555" s="900" t="s">
        <v>2309</v>
      </c>
      <c r="O3555" s="1310" t="s">
        <v>0</v>
      </c>
      <c r="Q3555" s="1310" t="s">
        <v>0</v>
      </c>
    </row>
    <row r="3556" spans="1:17" s="910" customFormat="1" ht="16.5" hidden="1" customHeight="1">
      <c r="A3556" s="896"/>
      <c r="B3556" s="1212" t="s">
        <v>2343</v>
      </c>
      <c r="C3556" s="903"/>
      <c r="D3556" s="904"/>
      <c r="E3556" s="905"/>
      <c r="F3556" s="906"/>
      <c r="G3556" s="906"/>
      <c r="H3556" s="907"/>
      <c r="I3556" s="908"/>
      <c r="J3556" s="909"/>
      <c r="K3556" s="902"/>
      <c r="L3556" s="896"/>
      <c r="M3556" s="902"/>
      <c r="N3556" s="900" t="s">
        <v>2309</v>
      </c>
    </row>
    <row r="3557" spans="1:17" s="1310" customFormat="1" ht="15.75" hidden="1">
      <c r="A3557" s="1307"/>
      <c r="B3557" s="1274"/>
      <c r="C3557" s="1311">
        <v>1</v>
      </c>
      <c r="D3557" s="1276" t="s">
        <v>273</v>
      </c>
      <c r="E3557" s="1177">
        <v>1</v>
      </c>
      <c r="F3557" s="1277">
        <v>0</v>
      </c>
      <c r="G3557" s="1208">
        <v>0</v>
      </c>
      <c r="H3557" s="1277">
        <v>0</v>
      </c>
      <c r="I3557" s="1312">
        <f>ROUND(IF(AND(F3557:H3557),C3557*E3557*F3557*G3557*H3557,IF(AND(F3557,G3557),C3557*E3557*F3557*G3557,IF(AND(F3557,H3557),C3557*E3557*F3557*H3557,IF(AND(G3557,H3557),C3557*E3557*G3557*H3557,IF(F3557,C3557*E3557*F3557,IF(G3557,C3557*E3557*G3557,IF(H3557,C3557*E3557*H3557,C3557*E3557))))))),2)</f>
        <v>1</v>
      </c>
      <c r="J3557" s="1148" t="s">
        <v>115</v>
      </c>
      <c r="K3557" s="1307"/>
      <c r="L3557" s="1307"/>
      <c r="M3557" s="1309"/>
      <c r="N3557" s="900" t="s">
        <v>2309</v>
      </c>
    </row>
    <row r="3558" spans="1:17" s="1310" customFormat="1" ht="15.75" hidden="1">
      <c r="A3558" s="1307"/>
      <c r="B3558" s="1274"/>
      <c r="C3558" s="1311"/>
      <c r="D3558" s="1276"/>
      <c r="E3558" s="1177"/>
      <c r="F3558" s="1277"/>
      <c r="G3558" s="1208"/>
      <c r="H3558" s="1277"/>
      <c r="I3558" s="1312"/>
      <c r="J3558" s="1148"/>
      <c r="K3558" s="1307"/>
      <c r="L3558" s="1307"/>
      <c r="M3558" s="1309"/>
      <c r="N3558" s="900" t="s">
        <v>2309</v>
      </c>
    </row>
    <row r="3559" spans="1:17" s="1310" customFormat="1" ht="15.75" hidden="1">
      <c r="A3559" s="1307"/>
      <c r="B3559" s="1383"/>
      <c r="C3559" s="1313"/>
      <c r="D3559" s="1314"/>
      <c r="E3559" s="1177"/>
      <c r="F3559" s="1315"/>
      <c r="G3559" s="1316"/>
      <c r="H3559" s="1315"/>
      <c r="I3559" s="1317"/>
      <c r="J3559" s="1148" t="s">
        <v>115</v>
      </c>
      <c r="K3559" s="1208">
        <f>'SANITATION DTA'!G562</f>
        <v>18370</v>
      </c>
      <c r="L3559" s="923" t="s">
        <v>2309</v>
      </c>
      <c r="M3559" s="1318">
        <f>ROUND(I3559*K3559,0)</f>
        <v>0</v>
      </c>
      <c r="N3559" s="900" t="s">
        <v>2309</v>
      </c>
      <c r="O3559" s="1310" t="s">
        <v>0</v>
      </c>
    </row>
    <row r="3560" spans="1:17" s="1310" customFormat="1" ht="30.75" hidden="1" customHeight="1">
      <c r="A3560" s="1307">
        <v>13</v>
      </c>
      <c r="B3560" s="1630" t="s">
        <v>591</v>
      </c>
      <c r="C3560" s="1630"/>
      <c r="D3560" s="1630"/>
      <c r="E3560" s="1630"/>
      <c r="F3560" s="1630"/>
      <c r="G3560" s="1630"/>
      <c r="H3560" s="1630"/>
      <c r="I3560" s="1308"/>
      <c r="J3560" s="1177"/>
      <c r="K3560" s="1307"/>
      <c r="L3560" s="1307"/>
      <c r="M3560" s="1309"/>
      <c r="N3560" s="900" t="s">
        <v>2309</v>
      </c>
      <c r="O3560" s="1310" t="s">
        <v>0</v>
      </c>
      <c r="Q3560" s="1310" t="s">
        <v>0</v>
      </c>
    </row>
    <row r="3561" spans="1:17" s="910" customFormat="1" ht="16.5" hidden="1" customHeight="1">
      <c r="A3561" s="896"/>
      <c r="B3561" s="1212" t="s">
        <v>2343</v>
      </c>
      <c r="C3561" s="903"/>
      <c r="D3561" s="904"/>
      <c r="E3561" s="905"/>
      <c r="F3561" s="906"/>
      <c r="G3561" s="906"/>
      <c r="H3561" s="907"/>
      <c r="I3561" s="908"/>
      <c r="J3561" s="909"/>
      <c r="K3561" s="902"/>
      <c r="L3561" s="896"/>
      <c r="M3561" s="902"/>
      <c r="N3561" s="900" t="s">
        <v>2309</v>
      </c>
    </row>
    <row r="3562" spans="1:17" s="1310" customFormat="1" ht="15.75" hidden="1">
      <c r="A3562" s="1307"/>
      <c r="B3562" s="1274"/>
      <c r="C3562" s="1311">
        <v>1</v>
      </c>
      <c r="D3562" s="1276" t="s">
        <v>273</v>
      </c>
      <c r="E3562" s="1177">
        <v>1</v>
      </c>
      <c r="F3562" s="1319">
        <v>58</v>
      </c>
      <c r="G3562" s="1208">
        <v>0</v>
      </c>
      <c r="H3562" s="1277">
        <v>0</v>
      </c>
      <c r="I3562" s="1320">
        <f>ROUND(IF(AND(F3562:H3562),C3562*E3562*F3562*G3562*H3562,IF(AND(F3562,G3562),C3562*E3562*F3562*G3562,IF(AND(F3562,H3562),C3562*E3562*F3562*H3562,IF(AND(G3562,H3562),C3562*E3562*G3562*H3562,IF(F3562,C3562*E3562*F3562,IF(G3562,C3562*E3562*G3562,IF(H3562,C3562*E3562*H3562,C3562*E3562))))))),2)</f>
        <v>58</v>
      </c>
      <c r="J3562" s="1148" t="s">
        <v>277</v>
      </c>
      <c r="K3562" s="1307"/>
      <c r="L3562" s="1307"/>
      <c r="M3562" s="1309"/>
      <c r="N3562" s="900" t="s">
        <v>2309</v>
      </c>
    </row>
    <row r="3563" spans="1:17" s="1310" customFormat="1" ht="15.75" hidden="1">
      <c r="A3563" s="1307"/>
      <c r="B3563" s="1274"/>
      <c r="C3563" s="1311"/>
      <c r="D3563" s="1276"/>
      <c r="E3563" s="1177"/>
      <c r="F3563" s="1319"/>
      <c r="G3563" s="1208"/>
      <c r="H3563" s="1277"/>
      <c r="I3563" s="1320"/>
      <c r="J3563" s="1148"/>
      <c r="K3563" s="1307"/>
      <c r="L3563" s="1307"/>
      <c r="M3563" s="1309"/>
      <c r="N3563" s="900" t="s">
        <v>2309</v>
      </c>
    </row>
    <row r="3564" spans="1:17" s="1310" customFormat="1" ht="15.75" hidden="1">
      <c r="A3564" s="1307"/>
      <c r="B3564" s="1383"/>
      <c r="C3564" s="1313"/>
      <c r="D3564" s="1314"/>
      <c r="E3564" s="1177"/>
      <c r="F3564" s="1315"/>
      <c r="G3564" s="1316"/>
      <c r="H3564" s="1315"/>
      <c r="I3564" s="1207"/>
      <c r="J3564" s="1148" t="s">
        <v>277</v>
      </c>
      <c r="K3564" s="1208">
        <f>'SANITATION DTA'!G568</f>
        <v>85</v>
      </c>
      <c r="L3564" s="923" t="s">
        <v>2309</v>
      </c>
      <c r="M3564" s="1318">
        <f>ROUND(I3564*K3564,0)</f>
        <v>0</v>
      </c>
      <c r="N3564" s="900" t="s">
        <v>2309</v>
      </c>
      <c r="O3564" s="1310" t="s">
        <v>0</v>
      </c>
    </row>
    <row r="3565" spans="1:17" s="1310" customFormat="1" ht="20.25" hidden="1" customHeight="1">
      <c r="A3565" s="1307">
        <v>14</v>
      </c>
      <c r="B3565" s="1630" t="s">
        <v>284</v>
      </c>
      <c r="C3565" s="1630"/>
      <c r="D3565" s="1630"/>
      <c r="E3565" s="1630"/>
      <c r="F3565" s="1630"/>
      <c r="G3565" s="1630"/>
      <c r="H3565" s="1630"/>
      <c r="I3565" s="1308"/>
      <c r="J3565" s="1177"/>
      <c r="K3565" s="1307"/>
      <c r="L3565" s="1307"/>
      <c r="M3565" s="1309"/>
      <c r="N3565" s="900" t="s">
        <v>2309</v>
      </c>
      <c r="O3565" s="1310" t="s">
        <v>0</v>
      </c>
      <c r="Q3565" s="1310" t="s">
        <v>0</v>
      </c>
    </row>
    <row r="3566" spans="1:17" s="910" customFormat="1" ht="16.5" hidden="1" customHeight="1">
      <c r="A3566" s="896"/>
      <c r="B3566" s="1212" t="s">
        <v>2343</v>
      </c>
      <c r="C3566" s="903"/>
      <c r="D3566" s="904"/>
      <c r="E3566" s="905"/>
      <c r="F3566" s="906"/>
      <c r="G3566" s="906"/>
      <c r="H3566" s="907"/>
      <c r="I3566" s="908"/>
      <c r="J3566" s="909"/>
      <c r="K3566" s="902"/>
      <c r="L3566" s="896"/>
      <c r="M3566" s="902"/>
      <c r="N3566" s="900" t="s">
        <v>2309</v>
      </c>
    </row>
    <row r="3567" spans="1:17" s="1310" customFormat="1" ht="15.75" hidden="1">
      <c r="A3567" s="1307"/>
      <c r="B3567" s="1274"/>
      <c r="C3567" s="1311">
        <v>1</v>
      </c>
      <c r="D3567" s="1276" t="s">
        <v>273</v>
      </c>
      <c r="E3567" s="1177">
        <v>1</v>
      </c>
      <c r="F3567" s="1277">
        <v>0</v>
      </c>
      <c r="G3567" s="1208">
        <v>0</v>
      </c>
      <c r="H3567" s="1277">
        <v>0</v>
      </c>
      <c r="I3567" s="1312">
        <f>ROUND(IF(AND(F3567:H3567),C3567*E3567*F3567*G3567*H3567,IF(AND(F3567,G3567),C3567*E3567*F3567*G3567,IF(AND(F3567,H3567),C3567*E3567*F3567*H3567,IF(AND(G3567,H3567),C3567*E3567*G3567*H3567,IF(F3567,C3567*E3567*F3567,IF(G3567,C3567*E3567*G3567,IF(H3567,C3567*E3567*H3567,C3567*E3567))))))),2)</f>
        <v>1</v>
      </c>
      <c r="J3567" s="1148" t="s">
        <v>115</v>
      </c>
      <c r="K3567" s="1307"/>
      <c r="L3567" s="1307"/>
      <c r="M3567" s="1309"/>
      <c r="N3567" s="900" t="s">
        <v>2309</v>
      </c>
    </row>
    <row r="3568" spans="1:17" s="1310" customFormat="1" ht="15.75" hidden="1">
      <c r="A3568" s="1307"/>
      <c r="B3568" s="1274"/>
      <c r="C3568" s="1311"/>
      <c r="D3568" s="1276"/>
      <c r="E3568" s="1177"/>
      <c r="F3568" s="1277"/>
      <c r="G3568" s="1208"/>
      <c r="H3568" s="1277"/>
      <c r="I3568" s="1312"/>
      <c r="J3568" s="1148"/>
      <c r="K3568" s="1307"/>
      <c r="L3568" s="1307"/>
      <c r="M3568" s="1309"/>
      <c r="N3568" s="900" t="s">
        <v>2309</v>
      </c>
    </row>
    <row r="3569" spans="1:17" s="1310" customFormat="1" ht="15.75" hidden="1">
      <c r="A3569" s="1307"/>
      <c r="B3569" s="1383"/>
      <c r="C3569" s="1313"/>
      <c r="D3569" s="1314"/>
      <c r="E3569" s="1177"/>
      <c r="F3569" s="1315"/>
      <c r="G3569" s="1316"/>
      <c r="H3569" s="1315"/>
      <c r="I3569" s="1317"/>
      <c r="J3569" s="1148" t="s">
        <v>115</v>
      </c>
      <c r="K3569" s="1208">
        <f>'SANITATION DTA'!G574</f>
        <v>300</v>
      </c>
      <c r="L3569" s="923" t="s">
        <v>2309</v>
      </c>
      <c r="M3569" s="1318">
        <f>ROUND(I3569*K3569,0)</f>
        <v>0</v>
      </c>
      <c r="N3569" s="900" t="s">
        <v>2309</v>
      </c>
      <c r="O3569" s="1310" t="s">
        <v>0</v>
      </c>
    </row>
    <row r="3570" spans="1:17" s="1310" customFormat="1" ht="20.25" hidden="1" customHeight="1">
      <c r="A3570" s="1307">
        <v>15</v>
      </c>
      <c r="B3570" s="1630" t="s">
        <v>285</v>
      </c>
      <c r="C3570" s="1630"/>
      <c r="D3570" s="1630"/>
      <c r="E3570" s="1630"/>
      <c r="F3570" s="1630"/>
      <c r="G3570" s="1630"/>
      <c r="H3570" s="1630"/>
      <c r="I3570" s="1308"/>
      <c r="J3570" s="1177"/>
      <c r="K3570" s="1307"/>
      <c r="L3570" s="1307"/>
      <c r="M3570" s="1309"/>
      <c r="N3570" s="900" t="s">
        <v>2309</v>
      </c>
      <c r="O3570" s="1310" t="s">
        <v>0</v>
      </c>
      <c r="Q3570" s="1310" t="s">
        <v>0</v>
      </c>
    </row>
    <row r="3571" spans="1:17" s="910" customFormat="1" ht="16.5" hidden="1" customHeight="1">
      <c r="A3571" s="896"/>
      <c r="B3571" s="902" t="s">
        <v>2135</v>
      </c>
      <c r="C3571" s="903"/>
      <c r="D3571" s="904"/>
      <c r="E3571" s="905"/>
      <c r="F3571" s="906"/>
      <c r="G3571" s="906"/>
      <c r="H3571" s="907"/>
      <c r="I3571" s="908"/>
      <c r="J3571" s="909"/>
      <c r="K3571" s="902"/>
      <c r="L3571" s="896"/>
      <c r="M3571" s="902"/>
      <c r="N3571" s="900" t="s">
        <v>2309</v>
      </c>
    </row>
    <row r="3572" spans="1:17" s="1310" customFormat="1" ht="15.75" hidden="1">
      <c r="A3572" s="1307"/>
      <c r="B3572" s="1274"/>
      <c r="C3572" s="1311">
        <v>1</v>
      </c>
      <c r="D3572" s="1276" t="s">
        <v>273</v>
      </c>
      <c r="E3572" s="1177">
        <v>1</v>
      </c>
      <c r="F3572" s="1277">
        <v>0.5</v>
      </c>
      <c r="G3572" s="1208">
        <v>0</v>
      </c>
      <c r="H3572" s="1277">
        <v>0</v>
      </c>
      <c r="I3572" s="1320">
        <f>ROUND(IF(AND(F3572:H3572),C3572*E3572*F3572*G3572*H3572,IF(AND(F3572,G3572),C3572*E3572*F3572*G3572,IF(AND(F3572,H3572),C3572*E3572*F3572*H3572,IF(AND(G3572,H3572),C3572*E3572*G3572*H3572,IF(F3572,C3572*E3572*F3572,IF(G3572,C3572*E3572*G3572,IF(H3572,C3572*E3572*H3572,C3572*E3572))))))),2)</f>
        <v>0.5</v>
      </c>
      <c r="J3572" s="1148" t="s">
        <v>277</v>
      </c>
      <c r="K3572" s="1307"/>
      <c r="L3572" s="1307"/>
      <c r="M3572" s="1309"/>
      <c r="N3572" s="900" t="s">
        <v>2309</v>
      </c>
    </row>
    <row r="3573" spans="1:17" s="1310" customFormat="1" ht="15.75" hidden="1">
      <c r="A3573" s="1307"/>
      <c r="B3573" s="1274"/>
      <c r="C3573" s="1311"/>
      <c r="D3573" s="1276"/>
      <c r="E3573" s="1177"/>
      <c r="F3573" s="1277"/>
      <c r="G3573" s="1208"/>
      <c r="H3573" s="1277"/>
      <c r="I3573" s="1320"/>
      <c r="J3573" s="1148"/>
      <c r="K3573" s="1307"/>
      <c r="L3573" s="1307"/>
      <c r="M3573" s="1309"/>
      <c r="N3573" s="900" t="s">
        <v>2309</v>
      </c>
    </row>
    <row r="3574" spans="1:17" s="1310" customFormat="1" ht="15.75" hidden="1">
      <c r="A3574" s="1307"/>
      <c r="B3574" s="1383"/>
      <c r="C3574" s="1313"/>
      <c r="D3574" s="1314"/>
      <c r="E3574" s="1177"/>
      <c r="F3574" s="1315"/>
      <c r="G3574" s="1316"/>
      <c r="H3574" s="1315"/>
      <c r="I3574" s="1207"/>
      <c r="J3574" s="1148" t="s">
        <v>277</v>
      </c>
      <c r="K3574" s="1208">
        <f>'SANITATION DTA'!G577</f>
        <v>400</v>
      </c>
      <c r="L3574" s="923" t="s">
        <v>2309</v>
      </c>
      <c r="M3574" s="1318">
        <f>ROUND(I3574*K3574,0)</f>
        <v>0</v>
      </c>
      <c r="N3574" s="900" t="s">
        <v>2309</v>
      </c>
      <c r="O3574" s="1310" t="s">
        <v>0</v>
      </c>
    </row>
    <row r="3575" spans="1:17" s="1310" customFormat="1" ht="20.25" hidden="1" customHeight="1">
      <c r="A3575" s="1307">
        <v>17</v>
      </c>
      <c r="B3575" s="1630" t="s">
        <v>286</v>
      </c>
      <c r="C3575" s="1630"/>
      <c r="D3575" s="1630"/>
      <c r="E3575" s="1630"/>
      <c r="F3575" s="1630"/>
      <c r="G3575" s="1630"/>
      <c r="H3575" s="1630"/>
      <c r="I3575" s="1308"/>
      <c r="J3575" s="1177"/>
      <c r="K3575" s="1307"/>
      <c r="L3575" s="1307"/>
      <c r="M3575" s="1309"/>
      <c r="N3575" s="900" t="s">
        <v>2309</v>
      </c>
      <c r="O3575" s="1310" t="s">
        <v>0</v>
      </c>
      <c r="Q3575" s="1310" t="s">
        <v>0</v>
      </c>
    </row>
    <row r="3576" spans="1:17" s="910" customFormat="1" ht="16.5" hidden="1" customHeight="1">
      <c r="A3576" s="896"/>
      <c r="B3576" s="902" t="s">
        <v>2344</v>
      </c>
      <c r="C3576" s="903"/>
      <c r="D3576" s="904"/>
      <c r="E3576" s="905"/>
      <c r="F3576" s="906"/>
      <c r="G3576" s="906"/>
      <c r="H3576" s="907"/>
      <c r="I3576" s="908"/>
      <c r="J3576" s="909"/>
      <c r="K3576" s="902"/>
      <c r="L3576" s="896"/>
      <c r="M3576" s="902"/>
      <c r="N3576" s="900" t="s">
        <v>2309</v>
      </c>
    </row>
    <row r="3577" spans="1:17" s="1310" customFormat="1" ht="15.75" hidden="1">
      <c r="A3577" s="1307"/>
      <c r="B3577" s="1274"/>
      <c r="C3577" s="1311">
        <v>1</v>
      </c>
      <c r="D3577" s="1276" t="s">
        <v>273</v>
      </c>
      <c r="E3577" s="1177">
        <v>1</v>
      </c>
      <c r="F3577" s="1277">
        <v>0</v>
      </c>
      <c r="G3577" s="1208">
        <v>0</v>
      </c>
      <c r="H3577" s="1277">
        <v>0</v>
      </c>
      <c r="I3577" s="1312">
        <f>ROUND(IF(AND(F3577:H3577),C3577*E3577*F3577*G3577*H3577,IF(AND(F3577,G3577),C3577*E3577*F3577*G3577,IF(AND(F3577,H3577),C3577*E3577*F3577*H3577,IF(AND(G3577,H3577),C3577*E3577*G3577*H3577,IF(F3577,C3577*E3577*F3577,IF(G3577,C3577*E3577*G3577,IF(H3577,C3577*E3577*H3577,C3577*E3577))))))),2)</f>
        <v>1</v>
      </c>
      <c r="J3577" s="1148" t="s">
        <v>115</v>
      </c>
      <c r="K3577" s="1307"/>
      <c r="L3577" s="1307"/>
      <c r="M3577" s="1309"/>
      <c r="N3577" s="900" t="s">
        <v>2309</v>
      </c>
    </row>
    <row r="3578" spans="1:17" s="1310" customFormat="1" ht="15.75" hidden="1">
      <c r="A3578" s="1307"/>
      <c r="B3578" s="1274"/>
      <c r="C3578" s="1311"/>
      <c r="D3578" s="1276"/>
      <c r="E3578" s="1177"/>
      <c r="F3578" s="1277"/>
      <c r="G3578" s="1208"/>
      <c r="H3578" s="1277"/>
      <c r="I3578" s="1312"/>
      <c r="J3578" s="1148"/>
      <c r="K3578" s="1307"/>
      <c r="L3578" s="1307"/>
      <c r="M3578" s="1309"/>
      <c r="N3578" s="900" t="s">
        <v>2309</v>
      </c>
    </row>
    <row r="3579" spans="1:17" s="1310" customFormat="1" ht="15.75" hidden="1">
      <c r="A3579" s="1307"/>
      <c r="B3579" s="1383"/>
      <c r="C3579" s="1313"/>
      <c r="D3579" s="1314"/>
      <c r="E3579" s="1177"/>
      <c r="F3579" s="1315"/>
      <c r="G3579" s="1316"/>
      <c r="H3579" s="1315"/>
      <c r="I3579" s="1317"/>
      <c r="J3579" s="1148" t="s">
        <v>115</v>
      </c>
      <c r="K3579" s="1208">
        <f>'SANITATION DTA'!G580</f>
        <v>77</v>
      </c>
      <c r="L3579" s="923" t="s">
        <v>2309</v>
      </c>
      <c r="M3579" s="1318">
        <f>ROUND(I3579*K3579,0)</f>
        <v>0</v>
      </c>
      <c r="N3579" s="900" t="s">
        <v>2309</v>
      </c>
      <c r="O3579" s="1310" t="s">
        <v>0</v>
      </c>
    </row>
    <row r="3580" spans="1:17" s="1310" customFormat="1" ht="20.25" hidden="1" customHeight="1">
      <c r="A3580" s="1307">
        <v>18</v>
      </c>
      <c r="B3580" s="1630" t="s">
        <v>287</v>
      </c>
      <c r="C3580" s="1630"/>
      <c r="D3580" s="1630"/>
      <c r="E3580" s="1630"/>
      <c r="F3580" s="1630"/>
      <c r="G3580" s="1630"/>
      <c r="H3580" s="1630"/>
      <c r="I3580" s="1308"/>
      <c r="J3580" s="1177"/>
      <c r="K3580" s="1307"/>
      <c r="L3580" s="1307"/>
      <c r="M3580" s="1309"/>
      <c r="N3580" s="900" t="s">
        <v>2309</v>
      </c>
      <c r="O3580" s="1310" t="s">
        <v>0</v>
      </c>
      <c r="Q3580" s="1310" t="s">
        <v>0</v>
      </c>
    </row>
    <row r="3581" spans="1:17" s="910" customFormat="1" ht="16.5" hidden="1" customHeight="1">
      <c r="A3581" s="896"/>
      <c r="B3581" s="1212" t="s">
        <v>2345</v>
      </c>
      <c r="C3581" s="903"/>
      <c r="D3581" s="904"/>
      <c r="E3581" s="905"/>
      <c r="F3581" s="906"/>
      <c r="G3581" s="906"/>
      <c r="H3581" s="907"/>
      <c r="I3581" s="908"/>
      <c r="J3581" s="909"/>
      <c r="K3581" s="902"/>
      <c r="L3581" s="896"/>
      <c r="M3581" s="902"/>
      <c r="N3581" s="900" t="s">
        <v>2309</v>
      </c>
    </row>
    <row r="3582" spans="1:17" s="1310" customFormat="1" ht="15.75" hidden="1">
      <c r="A3582" s="1307"/>
      <c r="B3582" s="1274"/>
      <c r="C3582" s="1311">
        <v>1</v>
      </c>
      <c r="D3582" s="1276" t="s">
        <v>273</v>
      </c>
      <c r="E3582" s="1177">
        <v>1</v>
      </c>
      <c r="F3582" s="1277">
        <v>0</v>
      </c>
      <c r="G3582" s="1208">
        <v>0</v>
      </c>
      <c r="H3582" s="1277">
        <v>0</v>
      </c>
      <c r="I3582" s="1312">
        <f>ROUND(IF(AND(F3582:H3582),C3582*E3582*F3582*G3582*H3582,IF(AND(F3582,G3582),C3582*E3582*F3582*G3582,IF(AND(F3582,H3582),C3582*E3582*F3582*H3582,IF(AND(G3582,H3582),C3582*E3582*G3582*H3582,IF(F3582,C3582*E3582*F3582,IF(G3582,C3582*E3582*G3582,IF(H3582,C3582*E3582*H3582,C3582*E3582))))))),2)</f>
        <v>1</v>
      </c>
      <c r="J3582" s="1148" t="s">
        <v>115</v>
      </c>
      <c r="K3582" s="1307"/>
      <c r="L3582" s="1307"/>
      <c r="M3582" s="1309"/>
      <c r="N3582" s="900" t="s">
        <v>2309</v>
      </c>
    </row>
    <row r="3583" spans="1:17" s="1310" customFormat="1" ht="15.75" hidden="1">
      <c r="A3583" s="1307"/>
      <c r="B3583" s="1274"/>
      <c r="C3583" s="1311"/>
      <c r="D3583" s="1276"/>
      <c r="E3583" s="1177"/>
      <c r="F3583" s="1277"/>
      <c r="G3583" s="1208"/>
      <c r="H3583" s="1277"/>
      <c r="I3583" s="1312"/>
      <c r="J3583" s="1148"/>
      <c r="K3583" s="1307"/>
      <c r="L3583" s="1307"/>
      <c r="M3583" s="1309"/>
      <c r="N3583" s="900" t="s">
        <v>2309</v>
      </c>
    </row>
    <row r="3584" spans="1:17" s="1310" customFormat="1" ht="15.75" hidden="1">
      <c r="A3584" s="1307"/>
      <c r="B3584" s="1383"/>
      <c r="C3584" s="1313"/>
      <c r="D3584" s="1314"/>
      <c r="E3584" s="1177"/>
      <c r="F3584" s="1315"/>
      <c r="G3584" s="1316"/>
      <c r="H3584" s="1315"/>
      <c r="I3584" s="1317"/>
      <c r="J3584" s="1148" t="s">
        <v>115</v>
      </c>
      <c r="K3584" s="1208">
        <f>'SANITATION DTA'!G571</f>
        <v>194</v>
      </c>
      <c r="L3584" s="923" t="s">
        <v>2309</v>
      </c>
      <c r="M3584" s="1318">
        <f>ROUND(I3584*K3584,0)</f>
        <v>0</v>
      </c>
      <c r="N3584" s="900" t="s">
        <v>2309</v>
      </c>
      <c r="O3584" s="1310" t="s">
        <v>0</v>
      </c>
    </row>
    <row r="3585" spans="1:17" s="1310" customFormat="1" ht="48" hidden="1" customHeight="1">
      <c r="A3585" s="1307">
        <v>16</v>
      </c>
      <c r="B3585" s="1630" t="s">
        <v>288</v>
      </c>
      <c r="C3585" s="1630"/>
      <c r="D3585" s="1630"/>
      <c r="E3585" s="1630"/>
      <c r="F3585" s="1630"/>
      <c r="G3585" s="1630"/>
      <c r="H3585" s="1630"/>
      <c r="I3585" s="1308"/>
      <c r="J3585" s="1177"/>
      <c r="K3585" s="1307"/>
      <c r="L3585" s="1307"/>
      <c r="M3585" s="1309"/>
      <c r="N3585" s="900" t="s">
        <v>2309</v>
      </c>
      <c r="O3585" s="1310" t="s">
        <v>0</v>
      </c>
      <c r="Q3585" s="1310" t="s">
        <v>0</v>
      </c>
    </row>
    <row r="3586" spans="1:17" s="910" customFormat="1" ht="16.5" hidden="1" customHeight="1">
      <c r="A3586" s="896"/>
      <c r="B3586" s="1212" t="s">
        <v>2343</v>
      </c>
      <c r="C3586" s="903"/>
      <c r="D3586" s="904"/>
      <c r="E3586" s="905"/>
      <c r="F3586" s="906"/>
      <c r="G3586" s="906"/>
      <c r="H3586" s="907"/>
      <c r="I3586" s="908"/>
      <c r="J3586" s="909"/>
      <c r="K3586" s="902"/>
      <c r="L3586" s="896"/>
      <c r="M3586" s="902"/>
      <c r="N3586" s="900" t="s">
        <v>2309</v>
      </c>
    </row>
    <row r="3587" spans="1:17" s="1310" customFormat="1" ht="15.75" hidden="1">
      <c r="A3587" s="1307"/>
      <c r="B3587" s="1274"/>
      <c r="C3587" s="1311">
        <v>1</v>
      </c>
      <c r="D3587" s="1276" t="s">
        <v>273</v>
      </c>
      <c r="E3587" s="1177">
        <v>1</v>
      </c>
      <c r="F3587" s="1208">
        <v>96</v>
      </c>
      <c r="G3587" s="1208">
        <v>0</v>
      </c>
      <c r="H3587" s="1277">
        <v>0</v>
      </c>
      <c r="I3587" s="1320">
        <f>ROUND(IF(AND(F3587:H3587),C3587*E3587*F3587*G3587*H3587,IF(AND(F3587,G3587),C3587*E3587*F3587*G3587,IF(AND(F3587,H3587),C3587*E3587*F3587*H3587,IF(AND(G3587,H3587),C3587*E3587*G3587*H3587,IF(F3587,C3587*E3587*F3587,IF(G3587,C3587*E3587*G3587,IF(H3587,C3587*E3587*H3587,C3587*E3587))))))),2)</f>
        <v>96</v>
      </c>
      <c r="J3587" s="1148" t="s">
        <v>277</v>
      </c>
      <c r="K3587" s="1307"/>
      <c r="L3587" s="1307"/>
      <c r="M3587" s="1309"/>
      <c r="N3587" s="900" t="s">
        <v>2309</v>
      </c>
    </row>
    <row r="3588" spans="1:17" s="1310" customFormat="1" ht="15.75" hidden="1">
      <c r="A3588" s="1307"/>
      <c r="B3588" s="1274"/>
      <c r="C3588" s="1311"/>
      <c r="D3588" s="1276"/>
      <c r="E3588" s="1177"/>
      <c r="F3588" s="1208"/>
      <c r="G3588" s="1208"/>
      <c r="H3588" s="1277"/>
      <c r="I3588" s="1320"/>
      <c r="J3588" s="1148"/>
      <c r="K3588" s="1307"/>
      <c r="L3588" s="1307"/>
      <c r="M3588" s="1309"/>
      <c r="N3588" s="900" t="s">
        <v>2309</v>
      </c>
    </row>
    <row r="3589" spans="1:17" s="1310" customFormat="1" ht="17.25" hidden="1" customHeight="1">
      <c r="A3589" s="1307"/>
      <c r="B3589" s="1383"/>
      <c r="C3589" s="1313"/>
      <c r="D3589" s="1314"/>
      <c r="E3589" s="1177"/>
      <c r="F3589" s="1315"/>
      <c r="G3589" s="1316"/>
      <c r="H3589" s="1315"/>
      <c r="I3589" s="1207"/>
      <c r="J3589" s="1148" t="s">
        <v>277</v>
      </c>
      <c r="K3589" s="1208">
        <f>'SANITATION DTA'!G583</f>
        <v>105</v>
      </c>
      <c r="L3589" s="923" t="s">
        <v>2309</v>
      </c>
      <c r="M3589" s="1318">
        <f>ROUND(I3589*K3589,0)</f>
        <v>0</v>
      </c>
      <c r="N3589" s="900" t="s">
        <v>2309</v>
      </c>
      <c r="O3589" s="1310" t="s">
        <v>0</v>
      </c>
    </row>
    <row r="3590" spans="1:17" s="1310" customFormat="1" ht="81" hidden="1" customHeight="1">
      <c r="A3590" s="1307">
        <v>17</v>
      </c>
      <c r="B3590" s="1631" t="s">
        <v>381</v>
      </c>
      <c r="C3590" s="1630"/>
      <c r="D3590" s="1630"/>
      <c r="E3590" s="1630"/>
      <c r="F3590" s="1630"/>
      <c r="G3590" s="1630"/>
      <c r="H3590" s="1630"/>
      <c r="I3590" s="1308"/>
      <c r="J3590" s="1177"/>
      <c r="K3590" s="1307"/>
      <c r="L3590" s="1307"/>
      <c r="M3590" s="1309"/>
      <c r="N3590" s="900" t="s">
        <v>2309</v>
      </c>
      <c r="O3590" s="1310" t="s">
        <v>0</v>
      </c>
      <c r="Q3590" s="1310" t="s">
        <v>0</v>
      </c>
    </row>
    <row r="3591" spans="1:17" s="910" customFormat="1" ht="16.5" hidden="1" customHeight="1">
      <c r="A3591" s="896"/>
      <c r="B3591" s="1212" t="s">
        <v>2345</v>
      </c>
      <c r="C3591" s="903"/>
      <c r="D3591" s="904"/>
      <c r="E3591" s="905"/>
      <c r="F3591" s="906"/>
      <c r="G3591" s="906"/>
      <c r="H3591" s="907"/>
      <c r="I3591" s="908"/>
      <c r="J3591" s="909"/>
      <c r="K3591" s="902"/>
      <c r="L3591" s="896"/>
      <c r="M3591" s="902"/>
      <c r="N3591" s="900" t="s">
        <v>2309</v>
      </c>
    </row>
    <row r="3592" spans="1:17" s="1310" customFormat="1" ht="15.75" hidden="1">
      <c r="A3592" s="1307"/>
      <c r="B3592" s="1274"/>
      <c r="C3592" s="1311">
        <v>1</v>
      </c>
      <c r="D3592" s="1276" t="s">
        <v>273</v>
      </c>
      <c r="E3592" s="1177">
        <v>1</v>
      </c>
      <c r="F3592" s="1277">
        <v>0</v>
      </c>
      <c r="G3592" s="1208">
        <v>0</v>
      </c>
      <c r="H3592" s="1277">
        <v>0</v>
      </c>
      <c r="I3592" s="1312">
        <f>ROUND(IF(AND(F3592:H3592),C3592*E3592*F3592*G3592*H3592,IF(AND(F3592,G3592),C3592*E3592*F3592*G3592,IF(AND(F3592,H3592),C3592*E3592*F3592*H3592,IF(AND(G3592,H3592),C3592*E3592*G3592*H3592,IF(F3592,C3592*E3592*F3592,IF(G3592,C3592*E3592*G3592,IF(H3592,C3592*E3592*H3592,C3592*E3592))))))),2)</f>
        <v>1</v>
      </c>
      <c r="J3592" s="1148" t="s">
        <v>115</v>
      </c>
      <c r="K3592" s="1307"/>
      <c r="L3592" s="1307"/>
      <c r="M3592" s="1309"/>
      <c r="N3592" s="900" t="s">
        <v>2309</v>
      </c>
    </row>
    <row r="3593" spans="1:17" s="1310" customFormat="1" ht="15.75" hidden="1">
      <c r="A3593" s="1307"/>
      <c r="B3593" s="1274"/>
      <c r="C3593" s="1311"/>
      <c r="D3593" s="1276"/>
      <c r="E3593" s="1177"/>
      <c r="F3593" s="1277"/>
      <c r="G3593" s="1208"/>
      <c r="H3593" s="1277"/>
      <c r="I3593" s="1312"/>
      <c r="J3593" s="1148"/>
      <c r="K3593" s="1307"/>
      <c r="L3593" s="1307"/>
      <c r="M3593" s="1309"/>
      <c r="N3593" s="900" t="s">
        <v>2309</v>
      </c>
    </row>
    <row r="3594" spans="1:17" s="1310" customFormat="1" ht="17.25" hidden="1" customHeight="1">
      <c r="A3594" s="1307"/>
      <c r="B3594" s="1383"/>
      <c r="C3594" s="1313"/>
      <c r="D3594" s="1314"/>
      <c r="E3594" s="1177"/>
      <c r="F3594" s="1315"/>
      <c r="G3594" s="1316"/>
      <c r="H3594" s="1315"/>
      <c r="I3594" s="1317"/>
      <c r="J3594" s="1148" t="s">
        <v>115</v>
      </c>
      <c r="K3594" s="1208">
        <f>'SANITATION DTA'!G586</f>
        <v>5445</v>
      </c>
      <c r="L3594" s="923" t="s">
        <v>2309</v>
      </c>
      <c r="M3594" s="1318">
        <f>ROUND(I3594*K3594,0)</f>
        <v>0</v>
      </c>
      <c r="N3594" s="900" t="s">
        <v>2309</v>
      </c>
      <c r="O3594" s="1310" t="s">
        <v>0</v>
      </c>
    </row>
    <row r="3595" spans="1:17" s="1253" customFormat="1" ht="15.75" hidden="1">
      <c r="A3595" s="967"/>
      <c r="B3595" s="967" t="s">
        <v>2415</v>
      </c>
      <c r="C3595" s="967"/>
      <c r="D3595" s="967"/>
      <c r="E3595" s="967"/>
      <c r="F3595" s="988"/>
      <c r="G3595" s="988"/>
      <c r="H3595" s="967"/>
      <c r="I3595" s="1261"/>
      <c r="J3595" s="1262"/>
      <c r="K3595" s="967"/>
      <c r="L3595" s="967"/>
      <c r="M3595" s="967"/>
      <c r="N3595" s="900" t="s">
        <v>2209</v>
      </c>
    </row>
    <row r="3596" spans="1:17" s="1403" customFormat="1" ht="56.25" customHeight="1">
      <c r="A3596" s="1397">
        <v>30</v>
      </c>
      <c r="B3596" s="1610" t="s">
        <v>585</v>
      </c>
      <c r="C3596" s="1610"/>
      <c r="D3596" s="1610"/>
      <c r="E3596" s="1610"/>
      <c r="F3596" s="1610"/>
      <c r="G3596" s="1610"/>
      <c r="H3596" s="1610"/>
      <c r="I3596" s="1398"/>
      <c r="J3596" s="1399"/>
      <c r="K3596" s="1397"/>
      <c r="L3596" s="1397"/>
      <c r="M3596" s="1401"/>
      <c r="N3596" s="1402" t="s">
        <v>2209</v>
      </c>
    </row>
    <row r="3597" spans="1:17" s="1411" customFormat="1" ht="16.5" customHeight="1">
      <c r="A3597" s="1397"/>
      <c r="B3597" s="1438" t="s">
        <v>3917</v>
      </c>
      <c r="C3597" s="1439"/>
      <c r="D3597" s="1395" t="s">
        <v>4016</v>
      </c>
      <c r="E3597" s="1440"/>
      <c r="F3597" s="1441"/>
      <c r="G3597" s="1420"/>
      <c r="H3597" s="1421"/>
      <c r="I3597" s="1422"/>
      <c r="J3597" s="1442"/>
      <c r="K3597" s="1410"/>
      <c r="L3597" s="1397"/>
      <c r="M3597" s="1410"/>
      <c r="N3597" s="1402" t="s">
        <v>2209</v>
      </c>
    </row>
    <row r="3598" spans="1:17" s="1411" customFormat="1" ht="16.5" customHeight="1">
      <c r="A3598" s="1397"/>
      <c r="B3598" s="1443" t="s">
        <v>583</v>
      </c>
      <c r="C3598" s="1444">
        <v>2</v>
      </c>
      <c r="D3598" s="1445" t="s">
        <v>273</v>
      </c>
      <c r="E3598" s="1446">
        <v>1</v>
      </c>
      <c r="F3598" s="1447">
        <v>15</v>
      </c>
      <c r="G3598" s="1448">
        <v>0</v>
      </c>
      <c r="H3598" s="1448">
        <v>0</v>
      </c>
      <c r="I3598" s="1430">
        <f t="shared" ref="I3598:I3600" si="214">ROUND(IF(AND(F3598:H3598),C3598*E3598*F3598*G3598*H3598,IF(AND(F3598,G3598),C3598*E3598*F3598*G3598,IF(AND(F3598,H3598),C3598*E3598*F3598*H3598,IF(AND(G3598,H3598),C3598*E3598*G3598*H3598,IF(F3598,C3598*E3598*F3598,IF(G3598,C3598*E3598*G3598,IF(H3598,C3598*E3598*H3598,C3598*E3598))))))),2)</f>
        <v>30</v>
      </c>
      <c r="J3598" s="1442" t="s">
        <v>277</v>
      </c>
      <c r="K3598" s="1410"/>
      <c r="L3598" s="1397"/>
      <c r="M3598" s="1410"/>
      <c r="N3598" s="1402" t="s">
        <v>2209</v>
      </c>
    </row>
    <row r="3599" spans="1:17" s="1411" customFormat="1" ht="16.5" customHeight="1">
      <c r="A3599" s="1397"/>
      <c r="B3599" s="1443"/>
      <c r="C3599" s="1444">
        <v>4</v>
      </c>
      <c r="D3599" s="1445" t="s">
        <v>273</v>
      </c>
      <c r="E3599" s="1446">
        <v>1</v>
      </c>
      <c r="F3599" s="1447">
        <v>5</v>
      </c>
      <c r="G3599" s="1448">
        <v>0</v>
      </c>
      <c r="H3599" s="1448">
        <v>0</v>
      </c>
      <c r="I3599" s="1430">
        <f t="shared" si="214"/>
        <v>20</v>
      </c>
      <c r="J3599" s="1442" t="s">
        <v>277</v>
      </c>
      <c r="K3599" s="1410"/>
      <c r="L3599" s="1397"/>
      <c r="M3599" s="1410"/>
      <c r="N3599" s="1402" t="s">
        <v>2209</v>
      </c>
    </row>
    <row r="3600" spans="1:17" s="1411" customFormat="1" ht="16.5" customHeight="1">
      <c r="A3600" s="1397"/>
      <c r="B3600" s="1443"/>
      <c r="C3600" s="1444">
        <v>2</v>
      </c>
      <c r="D3600" s="1445" t="s">
        <v>273</v>
      </c>
      <c r="E3600" s="1446">
        <v>1</v>
      </c>
      <c r="F3600" s="1447">
        <v>10</v>
      </c>
      <c r="G3600" s="1448">
        <v>0</v>
      </c>
      <c r="H3600" s="1448">
        <v>0</v>
      </c>
      <c r="I3600" s="1430">
        <f t="shared" si="214"/>
        <v>20</v>
      </c>
      <c r="J3600" s="1442" t="s">
        <v>277</v>
      </c>
      <c r="K3600" s="1410"/>
      <c r="L3600" s="1397"/>
      <c r="M3600" s="1410"/>
      <c r="N3600" s="1402" t="s">
        <v>2209</v>
      </c>
    </row>
    <row r="3601" spans="1:14" s="1411" customFormat="1" ht="16.5" customHeight="1">
      <c r="A3601" s="1397"/>
      <c r="B3601" s="1449"/>
      <c r="C3601" s="1444"/>
      <c r="D3601" s="1445"/>
      <c r="E3601" s="1446"/>
      <c r="F3601" s="1447"/>
      <c r="G3601" s="1448"/>
      <c r="H3601" s="1448"/>
      <c r="I3601" s="1430"/>
      <c r="J3601" s="1442"/>
      <c r="K3601" s="1410"/>
      <c r="L3601" s="1397"/>
      <c r="M3601" s="1410"/>
      <c r="N3601" s="1402" t="s">
        <v>2209</v>
      </c>
    </row>
    <row r="3602" spans="1:14" s="1403" customFormat="1" ht="15.75">
      <c r="A3602" s="1397"/>
      <c r="B3602" s="1410"/>
      <c r="C3602" s="1431"/>
      <c r="D3602" s="1432"/>
      <c r="E3602" s="1413"/>
      <c r="F3602" s="1414"/>
      <c r="G3602" s="1433"/>
      <c r="H3602" s="1397"/>
      <c r="I3602" s="1430">
        <f>SUM(I3598:I3601)</f>
        <v>70</v>
      </c>
      <c r="J3602" s="1442" t="s">
        <v>277</v>
      </c>
      <c r="K3602" s="1434">
        <f>'Ele Data'!I16</f>
        <v>71.040000000000006</v>
      </c>
      <c r="L3602" s="1400" t="s">
        <v>2209</v>
      </c>
      <c r="M3602" s="1435">
        <f>ROUND(I3602*K3602,0)</f>
        <v>4973</v>
      </c>
      <c r="N3602" s="1402" t="s">
        <v>2209</v>
      </c>
    </row>
    <row r="3603" spans="1:14" ht="56.25" hidden="1" customHeight="1">
      <c r="A3603" s="896">
        <v>2</v>
      </c>
      <c r="B3603" s="1609" t="s">
        <v>307</v>
      </c>
      <c r="C3603" s="1609"/>
      <c r="D3603" s="1609"/>
      <c r="E3603" s="1609"/>
      <c r="F3603" s="1609"/>
      <c r="G3603" s="1609"/>
      <c r="H3603" s="1609"/>
      <c r="I3603" s="897"/>
      <c r="J3603" s="898"/>
      <c r="K3603" s="896"/>
      <c r="L3603" s="896"/>
      <c r="M3603" s="899"/>
      <c r="N3603" s="900" t="s">
        <v>2209</v>
      </c>
    </row>
    <row r="3604" spans="1:14" s="910" customFormat="1" ht="16.5" hidden="1" customHeight="1">
      <c r="A3604" s="896"/>
      <c r="B3604" s="902" t="s">
        <v>3655</v>
      </c>
      <c r="C3604" s="903"/>
      <c r="D3604" s="904"/>
      <c r="E3604" s="905"/>
      <c r="F3604" s="906"/>
      <c r="G3604" s="906"/>
      <c r="H3604" s="907"/>
      <c r="I3604" s="908"/>
      <c r="J3604" s="909"/>
      <c r="K3604" s="902"/>
      <c r="L3604" s="896"/>
      <c r="M3604" s="902"/>
      <c r="N3604" s="900" t="s">
        <v>2209</v>
      </c>
    </row>
    <row r="3605" spans="1:14" s="910" customFormat="1" ht="16.5" hidden="1" customHeight="1">
      <c r="A3605" s="896"/>
      <c r="B3605" s="1297"/>
      <c r="C3605" s="1298">
        <v>1</v>
      </c>
      <c r="D3605" s="1299" t="s">
        <v>273</v>
      </c>
      <c r="E3605" s="1300">
        <v>1</v>
      </c>
      <c r="F3605" s="1301">
        <v>40</v>
      </c>
      <c r="G3605" s="1301">
        <v>0</v>
      </c>
      <c r="H3605" s="1301">
        <v>0</v>
      </c>
      <c r="I3605" s="916">
        <f t="shared" ref="I3605" si="215">ROUND(IF(AND(F3605:H3605),C3605*E3605*F3605*G3605*H3605,IF(AND(F3605,G3605),C3605*E3605*F3605*G3605,IF(AND(F3605,H3605),C3605*E3605*F3605*H3605,IF(AND(G3605,H3605),C3605*E3605*G3605*H3605,IF(F3605,C3605*E3605*F3605,IF(G3605,C3605*E3605*G3605,IF(H3605,C3605*E3605*H3605,C3605*E3605))))))),2)</f>
        <v>40</v>
      </c>
      <c r="J3605" s="909" t="s">
        <v>277</v>
      </c>
      <c r="K3605" s="902"/>
      <c r="L3605" s="896"/>
      <c r="M3605" s="902"/>
      <c r="N3605" s="900" t="s">
        <v>2209</v>
      </c>
    </row>
    <row r="3606" spans="1:14" s="910" customFormat="1" ht="16.5" hidden="1" customHeight="1">
      <c r="A3606" s="896"/>
      <c r="B3606" s="956"/>
      <c r="C3606" s="957"/>
      <c r="D3606" s="958"/>
      <c r="E3606" s="1268"/>
      <c r="F3606" s="960"/>
      <c r="G3606" s="960"/>
      <c r="H3606" s="960"/>
      <c r="I3606" s="916"/>
      <c r="J3606" s="909"/>
      <c r="K3606" s="902"/>
      <c r="L3606" s="896"/>
      <c r="M3606" s="902"/>
      <c r="N3606" s="900" t="s">
        <v>2209</v>
      </c>
    </row>
    <row r="3607" spans="1:14" ht="15.75" hidden="1">
      <c r="A3607" s="896"/>
      <c r="B3607" s="902"/>
      <c r="C3607" s="917"/>
      <c r="D3607" s="918"/>
      <c r="E3607" s="919"/>
      <c r="F3607" s="920"/>
      <c r="G3607" s="921"/>
      <c r="H3607" s="896"/>
      <c r="I3607" s="916"/>
      <c r="J3607" s="909" t="s">
        <v>277</v>
      </c>
      <c r="K3607" s="922">
        <f>'Ele Data'!I31</f>
        <v>79.19</v>
      </c>
      <c r="L3607" s="923" t="s">
        <v>2209</v>
      </c>
      <c r="M3607" s="924">
        <f>ROUND(I3607*K3607,0)</f>
        <v>0</v>
      </c>
      <c r="N3607" s="900" t="s">
        <v>2209</v>
      </c>
    </row>
    <row r="3608" spans="1:14" ht="17.25" hidden="1" customHeight="1">
      <c r="A3608" s="896">
        <v>3</v>
      </c>
      <c r="B3608" s="1609" t="s">
        <v>389</v>
      </c>
      <c r="C3608" s="1609"/>
      <c r="D3608" s="1609"/>
      <c r="E3608" s="1609"/>
      <c r="F3608" s="1609"/>
      <c r="G3608" s="1609"/>
      <c r="H3608" s="1609"/>
      <c r="I3608" s="897"/>
      <c r="J3608" s="898"/>
      <c r="K3608" s="896"/>
      <c r="L3608" s="896"/>
      <c r="M3608" s="899"/>
      <c r="N3608" s="900" t="s">
        <v>2209</v>
      </c>
    </row>
    <row r="3609" spans="1:14" s="910" customFormat="1" ht="16.5" hidden="1" customHeight="1">
      <c r="A3609" s="896"/>
      <c r="B3609" s="1274" t="s">
        <v>740</v>
      </c>
      <c r="C3609" s="903"/>
      <c r="D3609" s="904"/>
      <c r="E3609" s="905"/>
      <c r="F3609" s="906"/>
      <c r="G3609" s="906"/>
      <c r="H3609" s="907"/>
      <c r="I3609" s="908"/>
      <c r="J3609" s="909"/>
      <c r="K3609" s="902"/>
      <c r="L3609" s="896"/>
      <c r="M3609" s="902"/>
      <c r="N3609" s="900" t="s">
        <v>2209</v>
      </c>
    </row>
    <row r="3610" spans="1:14" s="910" customFormat="1" ht="16.5" hidden="1" customHeight="1">
      <c r="A3610" s="896"/>
      <c r="B3610" s="956" t="s">
        <v>687</v>
      </c>
      <c r="C3610" s="957"/>
      <c r="D3610" s="958"/>
      <c r="E3610" s="1268"/>
      <c r="F3610" s="960"/>
      <c r="G3610" s="960"/>
      <c r="H3610" s="960"/>
      <c r="I3610" s="916"/>
      <c r="J3610" s="909"/>
      <c r="K3610" s="902"/>
      <c r="L3610" s="896"/>
      <c r="M3610" s="902"/>
      <c r="N3610" s="900" t="s">
        <v>2209</v>
      </c>
    </row>
    <row r="3611" spans="1:14" s="910" customFormat="1" ht="16.5" hidden="1" customHeight="1">
      <c r="A3611" s="896"/>
      <c r="B3611" s="956" t="s">
        <v>659</v>
      </c>
      <c r="C3611" s="957">
        <v>1</v>
      </c>
      <c r="D3611" s="958" t="s">
        <v>273</v>
      </c>
      <c r="E3611" s="1268">
        <v>1</v>
      </c>
      <c r="F3611" s="960">
        <v>4</v>
      </c>
      <c r="G3611" s="960">
        <v>0</v>
      </c>
      <c r="H3611" s="960">
        <v>0</v>
      </c>
      <c r="I3611" s="916">
        <f>ROUND(IF(AND(F3611:H3611),C3611*E3611*F3611*G3611*H3611,IF(AND(F3611,G3611),C3611*E3611*F3611*G3611,IF(AND(F3611,H3611),C3611*E3611*F3611*H3611,IF(AND(G3611,H3611),C3611*E3611*G3611*H3611,IF(F3611,C3611*E3611*F3611,IF(G3611,C3611*E3611*G3611,IF(H3611,C3611*E3611*H3611,C3611*E3611))))))),2)</f>
        <v>4</v>
      </c>
      <c r="J3611" s="909" t="s">
        <v>277</v>
      </c>
      <c r="K3611" s="902"/>
      <c r="L3611" s="896"/>
      <c r="M3611" s="902"/>
      <c r="N3611" s="900" t="s">
        <v>2209</v>
      </c>
    </row>
    <row r="3612" spans="1:14" s="910" customFormat="1" ht="16.5" hidden="1" customHeight="1">
      <c r="A3612" s="896"/>
      <c r="B3612" s="980" t="s">
        <v>688</v>
      </c>
      <c r="C3612" s="957">
        <v>1</v>
      </c>
      <c r="D3612" s="958" t="s">
        <v>273</v>
      </c>
      <c r="E3612" s="1268">
        <v>1</v>
      </c>
      <c r="F3612" s="960">
        <v>1.8</v>
      </c>
      <c r="G3612" s="960">
        <v>0</v>
      </c>
      <c r="H3612" s="960">
        <v>0</v>
      </c>
      <c r="I3612" s="916">
        <f>ROUND(IF(AND(F3612:H3612),C3612*E3612*F3612*G3612*H3612,IF(AND(F3612,G3612),C3612*E3612*F3612*G3612,IF(AND(F3612,H3612),C3612*E3612*F3612*H3612,IF(AND(G3612,H3612),C3612*E3612*G3612*H3612,IF(F3612,C3612*E3612*F3612,IF(G3612,C3612*E3612*G3612,IF(H3612,C3612*E3612*H3612,C3612*E3612))))))),2)</f>
        <v>1.8</v>
      </c>
      <c r="J3612" s="909" t="s">
        <v>277</v>
      </c>
      <c r="K3612" s="902"/>
      <c r="L3612" s="896"/>
      <c r="M3612" s="902"/>
      <c r="N3612" s="900" t="s">
        <v>2209</v>
      </c>
    </row>
    <row r="3613" spans="1:14" s="910" customFormat="1" ht="16.5" hidden="1" customHeight="1">
      <c r="A3613" s="896"/>
      <c r="B3613" s="956" t="s">
        <v>689</v>
      </c>
      <c r="C3613" s="957">
        <v>1</v>
      </c>
      <c r="D3613" s="958" t="s">
        <v>273</v>
      </c>
      <c r="E3613" s="1268">
        <v>1</v>
      </c>
      <c r="F3613" s="960">
        <v>2</v>
      </c>
      <c r="G3613" s="960">
        <v>0</v>
      </c>
      <c r="H3613" s="960">
        <v>0</v>
      </c>
      <c r="I3613" s="916">
        <f>ROUND(IF(AND(F3613:H3613),C3613*E3613*F3613*G3613*H3613,IF(AND(F3613,G3613),C3613*E3613*F3613*G3613,IF(AND(F3613,H3613),C3613*E3613*F3613*H3613,IF(AND(G3613,H3613),C3613*E3613*G3613*H3613,IF(F3613,C3613*E3613*F3613,IF(G3613,C3613*E3613*G3613,IF(H3613,C3613*E3613*H3613,C3613*E3613))))))),2)</f>
        <v>2</v>
      </c>
      <c r="J3613" s="909" t="s">
        <v>277</v>
      </c>
      <c r="K3613" s="902"/>
      <c r="L3613" s="896"/>
      <c r="M3613" s="902"/>
      <c r="N3613" s="900" t="s">
        <v>2209</v>
      </c>
    </row>
    <row r="3614" spans="1:14" s="910" customFormat="1" ht="16.5" hidden="1" customHeight="1">
      <c r="A3614" s="896"/>
      <c r="B3614" s="956"/>
      <c r="C3614" s="957"/>
      <c r="D3614" s="958"/>
      <c r="E3614" s="1268"/>
      <c r="F3614" s="960"/>
      <c r="G3614" s="960"/>
      <c r="H3614" s="960"/>
      <c r="I3614" s="916"/>
      <c r="J3614" s="909"/>
      <c r="K3614" s="902"/>
      <c r="L3614" s="896"/>
      <c r="M3614" s="902"/>
      <c r="N3614" s="900" t="s">
        <v>2209</v>
      </c>
    </row>
    <row r="3615" spans="1:14" ht="15.75" hidden="1">
      <c r="A3615" s="896"/>
      <c r="B3615" s="902"/>
      <c r="C3615" s="917"/>
      <c r="D3615" s="918"/>
      <c r="E3615" s="919"/>
      <c r="F3615" s="920"/>
      <c r="G3615" s="921"/>
      <c r="H3615" s="896"/>
      <c r="I3615" s="916"/>
      <c r="J3615" s="909" t="s">
        <v>277</v>
      </c>
      <c r="K3615" s="922">
        <f>'Ele Data'!I35</f>
        <v>55</v>
      </c>
      <c r="L3615" s="923" t="s">
        <v>2209</v>
      </c>
      <c r="M3615" s="924">
        <f>ROUND(I3615*K3615,0)</f>
        <v>0</v>
      </c>
      <c r="N3615" s="900" t="s">
        <v>2209</v>
      </c>
    </row>
    <row r="3616" spans="1:14" ht="27" hidden="1" customHeight="1">
      <c r="A3616" s="896">
        <v>3</v>
      </c>
      <c r="B3616" s="1609" t="s">
        <v>427</v>
      </c>
      <c r="C3616" s="1609"/>
      <c r="D3616" s="1609"/>
      <c r="E3616" s="1609"/>
      <c r="F3616" s="1609"/>
      <c r="G3616" s="1609"/>
      <c r="H3616" s="1609"/>
      <c r="I3616" s="897"/>
      <c r="J3616" s="898"/>
      <c r="K3616" s="896"/>
      <c r="L3616" s="896"/>
      <c r="M3616" s="899"/>
      <c r="N3616" s="900" t="s">
        <v>2209</v>
      </c>
    </row>
    <row r="3617" spans="1:14" s="910" customFormat="1" ht="16.5" hidden="1" customHeight="1">
      <c r="A3617" s="896"/>
      <c r="B3617" s="902" t="s">
        <v>3655</v>
      </c>
      <c r="C3617" s="903"/>
      <c r="D3617" s="904"/>
      <c r="E3617" s="905"/>
      <c r="F3617" s="906"/>
      <c r="G3617" s="906"/>
      <c r="H3617" s="907"/>
      <c r="I3617" s="908"/>
      <c r="J3617" s="909"/>
      <c r="K3617" s="902"/>
      <c r="L3617" s="896"/>
      <c r="M3617" s="902"/>
      <c r="N3617" s="900" t="s">
        <v>2209</v>
      </c>
    </row>
    <row r="3618" spans="1:14" s="910" customFormat="1" ht="16.5" hidden="1" customHeight="1">
      <c r="A3618" s="896"/>
      <c r="B3618" s="980" t="s">
        <v>584</v>
      </c>
      <c r="C3618" s="1298">
        <v>1</v>
      </c>
      <c r="D3618" s="1299" t="s">
        <v>273</v>
      </c>
      <c r="E3618" s="1300">
        <v>11</v>
      </c>
      <c r="F3618" s="1301">
        <v>0</v>
      </c>
      <c r="G3618" s="1301">
        <v>0</v>
      </c>
      <c r="H3618" s="1301">
        <v>0</v>
      </c>
      <c r="I3618" s="1291">
        <f t="shared" ref="I3618" si="216">ROUND(IF(AND(F3618:H3618),C3618*E3618*F3618*G3618*H3618,IF(AND(F3618,G3618),C3618*E3618*F3618*G3618,IF(AND(F3618,H3618),C3618*E3618*F3618*H3618,IF(AND(G3618,H3618),C3618*E3618*G3618*H3618,IF(F3618,C3618*E3618*F3618,IF(G3618,C3618*E3618*G3618,IF(H3618,C3618*E3618*H3618,C3618*E3618))))))),2)</f>
        <v>11</v>
      </c>
      <c r="J3618" s="909" t="s">
        <v>115</v>
      </c>
      <c r="K3618" s="902"/>
      <c r="L3618" s="896"/>
      <c r="M3618" s="902"/>
      <c r="N3618" s="900" t="s">
        <v>2209</v>
      </c>
    </row>
    <row r="3619" spans="1:14" s="910" customFormat="1" ht="16.5" hidden="1" customHeight="1">
      <c r="A3619" s="896"/>
      <c r="B3619" s="980"/>
      <c r="C3619" s="957"/>
      <c r="D3619" s="958"/>
      <c r="E3619" s="1268"/>
      <c r="F3619" s="960"/>
      <c r="G3619" s="960"/>
      <c r="H3619" s="960"/>
      <c r="I3619" s="1291"/>
      <c r="J3619" s="909"/>
      <c r="K3619" s="902"/>
      <c r="L3619" s="896"/>
      <c r="M3619" s="902"/>
      <c r="N3619" s="900" t="s">
        <v>2209</v>
      </c>
    </row>
    <row r="3620" spans="1:14" ht="15.75" hidden="1">
      <c r="A3620" s="896"/>
      <c r="B3620" s="902"/>
      <c r="C3620" s="917"/>
      <c r="D3620" s="918"/>
      <c r="E3620" s="919"/>
      <c r="F3620" s="920"/>
      <c r="G3620" s="921"/>
      <c r="H3620" s="896"/>
      <c r="I3620" s="1291"/>
      <c r="J3620" s="909" t="s">
        <v>115</v>
      </c>
      <c r="K3620" s="922">
        <f>'Ele Data'!I38</f>
        <v>205</v>
      </c>
      <c r="L3620" s="923" t="s">
        <v>2209</v>
      </c>
      <c r="M3620" s="924">
        <f>ROUND(I3620*K3620,0)</f>
        <v>0</v>
      </c>
      <c r="N3620" s="900" t="s">
        <v>2209</v>
      </c>
    </row>
    <row r="3621" spans="1:14" ht="27" hidden="1" customHeight="1">
      <c r="A3621" s="896">
        <v>4</v>
      </c>
      <c r="B3621" s="1609" t="s">
        <v>610</v>
      </c>
      <c r="C3621" s="1609"/>
      <c r="D3621" s="1609"/>
      <c r="E3621" s="1609"/>
      <c r="F3621" s="1609"/>
      <c r="G3621" s="1609"/>
      <c r="H3621" s="1609"/>
      <c r="I3621" s="897"/>
      <c r="J3621" s="898"/>
      <c r="K3621" s="896"/>
      <c r="L3621" s="896"/>
      <c r="M3621" s="899"/>
      <c r="N3621" s="900" t="s">
        <v>2209</v>
      </c>
    </row>
    <row r="3622" spans="1:14" s="910" customFormat="1" ht="16.5" hidden="1" customHeight="1">
      <c r="A3622" s="896"/>
      <c r="B3622" s="902" t="s">
        <v>2316</v>
      </c>
      <c r="C3622" s="903"/>
      <c r="D3622" s="904"/>
      <c r="E3622" s="905"/>
      <c r="F3622" s="906"/>
      <c r="G3622" s="906"/>
      <c r="H3622" s="907"/>
      <c r="I3622" s="908"/>
      <c r="J3622" s="909"/>
      <c r="K3622" s="902"/>
      <c r="L3622" s="896"/>
      <c r="M3622" s="902"/>
      <c r="N3622" s="900" t="s">
        <v>2209</v>
      </c>
    </row>
    <row r="3623" spans="1:14" s="910" customFormat="1" ht="16.5" hidden="1" customHeight="1">
      <c r="A3623" s="896"/>
      <c r="B3623" s="980" t="s">
        <v>2080</v>
      </c>
      <c r="C3623" s="957">
        <v>1</v>
      </c>
      <c r="D3623" s="958" t="s">
        <v>273</v>
      </c>
      <c r="E3623" s="1268">
        <v>4</v>
      </c>
      <c r="F3623" s="960">
        <v>0</v>
      </c>
      <c r="G3623" s="960">
        <v>0</v>
      </c>
      <c r="H3623" s="960">
        <v>0</v>
      </c>
      <c r="I3623" s="1291">
        <f>ROUND(IF(AND(F3623:H3623),C3623*E3623*F3623*G3623*H3623,IF(AND(F3623,G3623),C3623*E3623*F3623*G3623,IF(AND(F3623,H3623),C3623*E3623*F3623*H3623,IF(AND(G3623,H3623),C3623*E3623*G3623*H3623,IF(F3623,C3623*E3623*F3623,IF(G3623,C3623*E3623*G3623,IF(H3623,C3623*E3623*H3623,C3623*E3623))))))),2)</f>
        <v>4</v>
      </c>
      <c r="J3623" s="909" t="s">
        <v>115</v>
      </c>
      <c r="K3623" s="902"/>
      <c r="L3623" s="896"/>
      <c r="M3623" s="902"/>
      <c r="N3623" s="900" t="s">
        <v>2209</v>
      </c>
    </row>
    <row r="3624" spans="1:14" s="910" customFormat="1" ht="16.5" hidden="1" customHeight="1">
      <c r="A3624" s="896"/>
      <c r="B3624" s="980"/>
      <c r="C3624" s="957"/>
      <c r="D3624" s="958"/>
      <c r="E3624" s="1268"/>
      <c r="F3624" s="960"/>
      <c r="G3624" s="960"/>
      <c r="H3624" s="960"/>
      <c r="I3624" s="916"/>
      <c r="J3624" s="909"/>
      <c r="K3624" s="902"/>
      <c r="L3624" s="896"/>
      <c r="M3624" s="902"/>
      <c r="N3624" s="900" t="s">
        <v>2209</v>
      </c>
    </row>
    <row r="3625" spans="1:14" ht="15.75" hidden="1">
      <c r="A3625" s="896"/>
      <c r="B3625" s="902"/>
      <c r="C3625" s="917"/>
      <c r="D3625" s="918"/>
      <c r="E3625" s="919"/>
      <c r="F3625" s="920"/>
      <c r="G3625" s="921"/>
      <c r="H3625" s="896"/>
      <c r="I3625" s="1291"/>
      <c r="J3625" s="909" t="s">
        <v>115</v>
      </c>
      <c r="K3625" s="922">
        <f>'Ele Data'!I41</f>
        <v>170</v>
      </c>
      <c r="L3625" s="923" t="s">
        <v>2209</v>
      </c>
      <c r="M3625" s="924">
        <f>ROUND(I3625*K3625,0)</f>
        <v>0</v>
      </c>
      <c r="N3625" s="900" t="s">
        <v>2209</v>
      </c>
    </row>
    <row r="3626" spans="1:14" ht="27" hidden="1" customHeight="1">
      <c r="A3626" s="896">
        <v>5</v>
      </c>
      <c r="B3626" s="1609" t="s">
        <v>690</v>
      </c>
      <c r="C3626" s="1609"/>
      <c r="D3626" s="1609"/>
      <c r="E3626" s="1609"/>
      <c r="F3626" s="1609"/>
      <c r="G3626" s="1609"/>
      <c r="H3626" s="1609"/>
      <c r="I3626" s="897"/>
      <c r="J3626" s="898"/>
      <c r="K3626" s="896"/>
      <c r="L3626" s="896"/>
      <c r="M3626" s="899"/>
      <c r="N3626" s="900" t="s">
        <v>2209</v>
      </c>
    </row>
    <row r="3627" spans="1:14" s="910" customFormat="1" ht="16.5" hidden="1" customHeight="1">
      <c r="A3627" s="896"/>
      <c r="B3627" s="902" t="s">
        <v>2346</v>
      </c>
      <c r="C3627" s="903"/>
      <c r="D3627" s="904"/>
      <c r="E3627" s="905"/>
      <c r="F3627" s="906"/>
      <c r="G3627" s="906"/>
      <c r="H3627" s="907"/>
      <c r="I3627" s="908"/>
      <c r="J3627" s="909"/>
      <c r="K3627" s="902"/>
      <c r="L3627" s="896"/>
      <c r="M3627" s="902"/>
      <c r="N3627" s="900" t="s">
        <v>2209</v>
      </c>
    </row>
    <row r="3628" spans="1:14" s="910" customFormat="1" ht="16.5" hidden="1" customHeight="1">
      <c r="A3628" s="896"/>
      <c r="B3628" s="980" t="s">
        <v>2080</v>
      </c>
      <c r="C3628" s="957">
        <v>1</v>
      </c>
      <c r="D3628" s="958" t="s">
        <v>273</v>
      </c>
      <c r="E3628" s="1268">
        <v>14</v>
      </c>
      <c r="F3628" s="960">
        <v>0</v>
      </c>
      <c r="G3628" s="960">
        <v>0</v>
      </c>
      <c r="H3628" s="960">
        <v>0</v>
      </c>
      <c r="I3628" s="1291">
        <f>ROUND(IF(AND(F3628:H3628),C3628*E3628*F3628*G3628*H3628,IF(AND(F3628,G3628),C3628*E3628*F3628*G3628,IF(AND(F3628,H3628),C3628*E3628*F3628*H3628,IF(AND(G3628,H3628),C3628*E3628*G3628*H3628,IF(F3628,C3628*E3628*F3628,IF(G3628,C3628*E3628*G3628,IF(H3628,C3628*E3628*H3628,C3628*E3628))))))),2)</f>
        <v>14</v>
      </c>
      <c r="J3628" s="909" t="s">
        <v>115</v>
      </c>
      <c r="K3628" s="902"/>
      <c r="L3628" s="896"/>
      <c r="M3628" s="902"/>
      <c r="N3628" s="900" t="s">
        <v>2209</v>
      </c>
    </row>
    <row r="3629" spans="1:14" s="910" customFormat="1" ht="16.5" hidden="1" customHeight="1">
      <c r="A3629" s="896"/>
      <c r="B3629" s="980"/>
      <c r="C3629" s="957"/>
      <c r="D3629" s="958"/>
      <c r="E3629" s="1268"/>
      <c r="F3629" s="960"/>
      <c r="G3629" s="960"/>
      <c r="H3629" s="960"/>
      <c r="I3629" s="916"/>
      <c r="J3629" s="909"/>
      <c r="K3629" s="902"/>
      <c r="L3629" s="896"/>
      <c r="M3629" s="902"/>
      <c r="N3629" s="900" t="s">
        <v>2209</v>
      </c>
    </row>
    <row r="3630" spans="1:14" ht="15.75" hidden="1">
      <c r="A3630" s="896"/>
      <c r="B3630" s="902"/>
      <c r="C3630" s="917"/>
      <c r="D3630" s="918"/>
      <c r="E3630" s="919"/>
      <c r="F3630" s="920"/>
      <c r="G3630" s="921"/>
      <c r="H3630" s="896"/>
      <c r="I3630" s="1291"/>
      <c r="J3630" s="909" t="s">
        <v>115</v>
      </c>
      <c r="K3630" s="922">
        <f>'Ele Data'!I44</f>
        <v>130</v>
      </c>
      <c r="L3630" s="923" t="s">
        <v>2209</v>
      </c>
      <c r="M3630" s="924">
        <f>ROUND(I3630*K3630,0)</f>
        <v>0</v>
      </c>
      <c r="N3630" s="900" t="s">
        <v>2209</v>
      </c>
    </row>
    <row r="3631" spans="1:14" ht="27" hidden="1" customHeight="1">
      <c r="A3631" s="896">
        <v>4</v>
      </c>
      <c r="B3631" s="1609" t="s">
        <v>1510</v>
      </c>
      <c r="C3631" s="1609"/>
      <c r="D3631" s="1609"/>
      <c r="E3631" s="1609"/>
      <c r="F3631" s="1609"/>
      <c r="G3631" s="1609"/>
      <c r="H3631" s="1609"/>
      <c r="I3631" s="897"/>
      <c r="J3631" s="898"/>
      <c r="K3631" s="896"/>
      <c r="L3631" s="896"/>
      <c r="M3631" s="899"/>
      <c r="N3631" s="900" t="s">
        <v>2209</v>
      </c>
    </row>
    <row r="3632" spans="1:14" s="910" customFormat="1" ht="16.5" hidden="1" customHeight="1">
      <c r="A3632" s="896"/>
      <c r="B3632" s="902" t="s">
        <v>2347</v>
      </c>
      <c r="C3632" s="903"/>
      <c r="D3632" s="904"/>
      <c r="E3632" s="905"/>
      <c r="F3632" s="906"/>
      <c r="G3632" s="906"/>
      <c r="H3632" s="907"/>
      <c r="I3632" s="908"/>
      <c r="J3632" s="909"/>
      <c r="K3632" s="902"/>
      <c r="L3632" s="896"/>
      <c r="M3632" s="902"/>
      <c r="N3632" s="900" t="s">
        <v>2209</v>
      </c>
    </row>
    <row r="3633" spans="1:14" s="910" customFormat="1" ht="16.5" hidden="1" customHeight="1">
      <c r="A3633" s="896"/>
      <c r="B3633" s="980" t="s">
        <v>586</v>
      </c>
      <c r="C3633" s="957">
        <v>1</v>
      </c>
      <c r="D3633" s="958" t="s">
        <v>273</v>
      </c>
      <c r="E3633" s="1268">
        <v>1</v>
      </c>
      <c r="F3633" s="960">
        <v>0</v>
      </c>
      <c r="G3633" s="960">
        <v>0</v>
      </c>
      <c r="H3633" s="960">
        <v>0</v>
      </c>
      <c r="I3633" s="1291">
        <f>ROUND(IF(AND(F3633:H3633),C3633*E3633*F3633*G3633*H3633,IF(AND(F3633,G3633),C3633*E3633*F3633*G3633,IF(AND(F3633,H3633),C3633*E3633*F3633*H3633,IF(AND(G3633,H3633),C3633*E3633*G3633*H3633,IF(F3633,C3633*E3633*F3633,IF(G3633,C3633*E3633*G3633,IF(H3633,C3633*E3633*H3633,C3633*E3633))))))),2)</f>
        <v>1</v>
      </c>
      <c r="J3633" s="909" t="s">
        <v>115</v>
      </c>
      <c r="K3633" s="902"/>
      <c r="L3633" s="896"/>
      <c r="M3633" s="902"/>
      <c r="N3633" s="900" t="s">
        <v>2209</v>
      </c>
    </row>
    <row r="3634" spans="1:14" s="910" customFormat="1" ht="16.5" hidden="1" customHeight="1">
      <c r="A3634" s="896"/>
      <c r="B3634" s="980" t="s">
        <v>1493</v>
      </c>
      <c r="C3634" s="957">
        <v>1</v>
      </c>
      <c r="D3634" s="958" t="s">
        <v>273</v>
      </c>
      <c r="E3634" s="1268">
        <v>1</v>
      </c>
      <c r="F3634" s="960">
        <v>0</v>
      </c>
      <c r="G3634" s="960">
        <v>0</v>
      </c>
      <c r="H3634" s="960">
        <v>0</v>
      </c>
      <c r="I3634" s="1291">
        <f>ROUND(IF(AND(F3634:H3634),C3634*E3634*F3634*G3634*H3634,IF(AND(F3634,G3634),C3634*E3634*F3634*G3634,IF(AND(F3634,H3634),C3634*E3634*F3634*H3634,IF(AND(G3634,H3634),C3634*E3634*G3634*H3634,IF(F3634,C3634*E3634*F3634,IF(G3634,C3634*E3634*G3634,IF(H3634,C3634*E3634*H3634,C3634*E3634))))))),2)</f>
        <v>1</v>
      </c>
      <c r="J3634" s="909" t="s">
        <v>115</v>
      </c>
      <c r="K3634" s="902"/>
      <c r="L3634" s="896"/>
      <c r="M3634" s="902"/>
      <c r="N3634" s="900" t="s">
        <v>2209</v>
      </c>
    </row>
    <row r="3635" spans="1:14" s="910" customFormat="1" ht="16.5" hidden="1" customHeight="1">
      <c r="A3635" s="896"/>
      <c r="B3635" s="980" t="s">
        <v>1492</v>
      </c>
      <c r="C3635" s="957">
        <v>1</v>
      </c>
      <c r="D3635" s="958" t="s">
        <v>273</v>
      </c>
      <c r="E3635" s="1268">
        <v>1</v>
      </c>
      <c r="F3635" s="960">
        <v>0</v>
      </c>
      <c r="G3635" s="960">
        <v>0</v>
      </c>
      <c r="H3635" s="960">
        <v>0</v>
      </c>
      <c r="I3635" s="1291">
        <f>ROUND(IF(AND(F3635:H3635),C3635*E3635*F3635*G3635*H3635,IF(AND(F3635,G3635),C3635*E3635*F3635*G3635,IF(AND(F3635,H3635),C3635*E3635*F3635*H3635,IF(AND(G3635,H3635),C3635*E3635*G3635*H3635,IF(F3635,C3635*E3635*F3635,IF(G3635,C3635*E3635*G3635,IF(H3635,C3635*E3635*H3635,C3635*E3635))))))),2)</f>
        <v>1</v>
      </c>
      <c r="J3635" s="909" t="s">
        <v>115</v>
      </c>
      <c r="K3635" s="902"/>
      <c r="L3635" s="896"/>
      <c r="M3635" s="902"/>
      <c r="N3635" s="900" t="s">
        <v>2209</v>
      </c>
    </row>
    <row r="3636" spans="1:14" s="910" customFormat="1" ht="16.5" hidden="1" customHeight="1">
      <c r="A3636" s="896"/>
      <c r="B3636" s="980" t="s">
        <v>223</v>
      </c>
      <c r="C3636" s="957">
        <v>1</v>
      </c>
      <c r="D3636" s="958" t="s">
        <v>273</v>
      </c>
      <c r="E3636" s="1268">
        <v>2</v>
      </c>
      <c r="F3636" s="960">
        <v>0</v>
      </c>
      <c r="G3636" s="960">
        <v>0</v>
      </c>
      <c r="H3636" s="960">
        <v>0</v>
      </c>
      <c r="I3636" s="1291">
        <f>ROUND(IF(AND(F3636:H3636),C3636*E3636*F3636*G3636*H3636,IF(AND(F3636,G3636),C3636*E3636*F3636*G3636,IF(AND(F3636,H3636),C3636*E3636*F3636*H3636,IF(AND(G3636,H3636),C3636*E3636*G3636*H3636,IF(F3636,C3636*E3636*F3636,IF(G3636,C3636*E3636*G3636,IF(H3636,C3636*E3636*H3636,C3636*E3636))))))),2)</f>
        <v>2</v>
      </c>
      <c r="J3636" s="909" t="s">
        <v>115</v>
      </c>
      <c r="K3636" s="902"/>
      <c r="L3636" s="896"/>
      <c r="M3636" s="902"/>
      <c r="N3636" s="900" t="s">
        <v>2209</v>
      </c>
    </row>
    <row r="3637" spans="1:14" s="910" customFormat="1" ht="16.5" hidden="1" customHeight="1">
      <c r="A3637" s="896"/>
      <c r="B3637" s="980"/>
      <c r="C3637" s="957"/>
      <c r="D3637" s="958"/>
      <c r="E3637" s="1268"/>
      <c r="F3637" s="960"/>
      <c r="G3637" s="960"/>
      <c r="H3637" s="960"/>
      <c r="I3637" s="1291"/>
      <c r="J3637" s="909"/>
      <c r="K3637" s="902"/>
      <c r="L3637" s="896"/>
      <c r="M3637" s="902"/>
      <c r="N3637" s="900" t="s">
        <v>2209</v>
      </c>
    </row>
    <row r="3638" spans="1:14" ht="15.75" hidden="1">
      <c r="A3638" s="896"/>
      <c r="B3638" s="902"/>
      <c r="C3638" s="917"/>
      <c r="D3638" s="918"/>
      <c r="E3638" s="919"/>
      <c r="F3638" s="920"/>
      <c r="G3638" s="921"/>
      <c r="H3638" s="896"/>
      <c r="I3638" s="1291"/>
      <c r="J3638" s="909" t="s">
        <v>115</v>
      </c>
      <c r="K3638" s="922">
        <f>'Ele Data'!I55</f>
        <v>300</v>
      </c>
      <c r="L3638" s="923" t="s">
        <v>2209</v>
      </c>
      <c r="M3638" s="924">
        <f>ROUND(I3638*K3638,0)</f>
        <v>0</v>
      </c>
      <c r="N3638" s="900" t="s">
        <v>2209</v>
      </c>
    </row>
    <row r="3639" spans="1:14" ht="27" hidden="1" customHeight="1">
      <c r="A3639" s="896">
        <v>6</v>
      </c>
      <c r="B3639" s="1609" t="s">
        <v>612</v>
      </c>
      <c r="C3639" s="1609"/>
      <c r="D3639" s="1609"/>
      <c r="E3639" s="1609"/>
      <c r="F3639" s="1609"/>
      <c r="G3639" s="1609"/>
      <c r="H3639" s="1609"/>
      <c r="I3639" s="897"/>
      <c r="J3639" s="898"/>
      <c r="K3639" s="896"/>
      <c r="L3639" s="896"/>
      <c r="M3639" s="899"/>
      <c r="N3639" s="900" t="s">
        <v>2209</v>
      </c>
    </row>
    <row r="3640" spans="1:14" s="910" customFormat="1" ht="16.5" hidden="1" customHeight="1">
      <c r="A3640" s="896"/>
      <c r="B3640" s="980" t="s">
        <v>607</v>
      </c>
      <c r="C3640" s="903"/>
      <c r="D3640" s="904"/>
      <c r="E3640" s="905"/>
      <c r="F3640" s="906"/>
      <c r="G3640" s="906"/>
      <c r="H3640" s="907"/>
      <c r="I3640" s="908"/>
      <c r="J3640" s="909"/>
      <c r="K3640" s="902"/>
      <c r="L3640" s="896"/>
      <c r="M3640" s="902"/>
      <c r="N3640" s="900" t="s">
        <v>2209</v>
      </c>
    </row>
    <row r="3641" spans="1:14" s="910" customFormat="1" ht="16.5" hidden="1" customHeight="1">
      <c r="A3641" s="896"/>
      <c r="B3641" s="980" t="s">
        <v>1216</v>
      </c>
      <c r="C3641" s="957">
        <v>2</v>
      </c>
      <c r="D3641" s="958" t="s">
        <v>273</v>
      </c>
      <c r="E3641" s="1268">
        <v>1</v>
      </c>
      <c r="F3641" s="960">
        <v>0</v>
      </c>
      <c r="G3641" s="960">
        <v>0</v>
      </c>
      <c r="H3641" s="960">
        <v>0</v>
      </c>
      <c r="I3641" s="1291">
        <f>ROUND(IF(AND(F3641:H3641),C3641*E3641*F3641*G3641*H3641,IF(AND(F3641,G3641),C3641*E3641*F3641*G3641,IF(AND(F3641,H3641),C3641*E3641*F3641*H3641,IF(AND(G3641,H3641),C3641*E3641*G3641*H3641,IF(F3641,C3641*E3641*F3641,IF(G3641,C3641*E3641*G3641,IF(H3641,C3641*E3641*H3641,C3641*E3641))))))),2)</f>
        <v>2</v>
      </c>
      <c r="J3641" s="909" t="s">
        <v>115</v>
      </c>
      <c r="K3641" s="902"/>
      <c r="L3641" s="896"/>
      <c r="M3641" s="902"/>
      <c r="N3641" s="900" t="s">
        <v>2209</v>
      </c>
    </row>
    <row r="3642" spans="1:14" s="910" customFormat="1" ht="16.5" hidden="1" customHeight="1">
      <c r="A3642" s="896"/>
      <c r="B3642" s="980"/>
      <c r="C3642" s="957"/>
      <c r="D3642" s="958"/>
      <c r="E3642" s="1268"/>
      <c r="F3642" s="960"/>
      <c r="G3642" s="960"/>
      <c r="H3642" s="960"/>
      <c r="I3642" s="1291"/>
      <c r="J3642" s="909"/>
      <c r="K3642" s="902"/>
      <c r="L3642" s="896"/>
      <c r="M3642" s="902"/>
      <c r="N3642" s="900" t="s">
        <v>2209</v>
      </c>
    </row>
    <row r="3643" spans="1:14" ht="15.75" hidden="1">
      <c r="A3643" s="896"/>
      <c r="B3643" s="902"/>
      <c r="C3643" s="917"/>
      <c r="D3643" s="918"/>
      <c r="E3643" s="919"/>
      <c r="F3643" s="920"/>
      <c r="G3643" s="921"/>
      <c r="H3643" s="896"/>
      <c r="I3643" s="1291"/>
      <c r="J3643" s="909" t="s">
        <v>115</v>
      </c>
      <c r="K3643" s="922">
        <f>'Ele Data'!I51</f>
        <v>335</v>
      </c>
      <c r="L3643" s="923" t="s">
        <v>2209</v>
      </c>
      <c r="M3643" s="924">
        <f>ROUND(I3643*K3643,0)</f>
        <v>0</v>
      </c>
      <c r="N3643" s="900" t="s">
        <v>2209</v>
      </c>
    </row>
    <row r="3644" spans="1:14" ht="27" hidden="1" customHeight="1">
      <c r="A3644" s="896">
        <v>6</v>
      </c>
      <c r="B3644" s="1609" t="s">
        <v>790</v>
      </c>
      <c r="C3644" s="1609"/>
      <c r="D3644" s="1609"/>
      <c r="E3644" s="1609"/>
      <c r="F3644" s="1609"/>
      <c r="G3644" s="1609"/>
      <c r="H3644" s="1609"/>
      <c r="I3644" s="897"/>
      <c r="J3644" s="898"/>
      <c r="K3644" s="896"/>
      <c r="L3644" s="896"/>
      <c r="M3644" s="899"/>
      <c r="N3644" s="900" t="s">
        <v>2209</v>
      </c>
    </row>
    <row r="3645" spans="1:14" s="910" customFormat="1" ht="16.5" hidden="1" customHeight="1">
      <c r="A3645" s="896"/>
      <c r="B3645" s="902" t="s">
        <v>3665</v>
      </c>
      <c r="C3645" s="903"/>
      <c r="D3645" s="904"/>
      <c r="E3645" s="905"/>
      <c r="F3645" s="906"/>
      <c r="G3645" s="906"/>
      <c r="H3645" s="907"/>
      <c r="I3645" s="908"/>
      <c r="J3645" s="909"/>
      <c r="K3645" s="902"/>
      <c r="L3645" s="896"/>
      <c r="M3645" s="902"/>
      <c r="N3645" s="900" t="s">
        <v>2209</v>
      </c>
    </row>
    <row r="3646" spans="1:14" s="910" customFormat="1" ht="16.5" hidden="1" customHeight="1">
      <c r="A3646" s="896"/>
      <c r="B3646" s="980"/>
      <c r="C3646" s="1298">
        <v>1</v>
      </c>
      <c r="D3646" s="1299" t="s">
        <v>273</v>
      </c>
      <c r="E3646" s="1300">
        <v>4</v>
      </c>
      <c r="F3646" s="1301">
        <v>0</v>
      </c>
      <c r="G3646" s="1301">
        <v>0</v>
      </c>
      <c r="H3646" s="1301">
        <v>0</v>
      </c>
      <c r="I3646" s="1291">
        <f t="shared" ref="I3646" si="217">ROUND(IF(AND(F3646:H3646),C3646*E3646*F3646*G3646*H3646,IF(AND(F3646,G3646),C3646*E3646*F3646*G3646,IF(AND(F3646,H3646),C3646*E3646*F3646*H3646,IF(AND(G3646,H3646),C3646*E3646*G3646*H3646,IF(F3646,C3646*E3646*F3646,IF(G3646,C3646*E3646*G3646,IF(H3646,C3646*E3646*H3646,C3646*E3646))))))),2)</f>
        <v>4</v>
      </c>
      <c r="J3646" s="909" t="s">
        <v>115</v>
      </c>
      <c r="K3646" s="902"/>
      <c r="L3646" s="896"/>
      <c r="M3646" s="902"/>
      <c r="N3646" s="900" t="s">
        <v>2209</v>
      </c>
    </row>
    <row r="3647" spans="1:14" s="910" customFormat="1" ht="16.5" hidden="1" customHeight="1">
      <c r="A3647" s="896"/>
      <c r="B3647" s="980"/>
      <c r="C3647" s="957"/>
      <c r="D3647" s="958"/>
      <c r="E3647" s="1268"/>
      <c r="F3647" s="960"/>
      <c r="G3647" s="960"/>
      <c r="H3647" s="960"/>
      <c r="I3647" s="1291"/>
      <c r="J3647" s="909"/>
      <c r="K3647" s="902"/>
      <c r="L3647" s="896"/>
      <c r="M3647" s="902"/>
      <c r="N3647" s="900" t="s">
        <v>2209</v>
      </c>
    </row>
    <row r="3648" spans="1:14" ht="15.75" hidden="1">
      <c r="A3648" s="896"/>
      <c r="B3648" s="902"/>
      <c r="C3648" s="917"/>
      <c r="D3648" s="918"/>
      <c r="E3648" s="919"/>
      <c r="F3648" s="920"/>
      <c r="G3648" s="921"/>
      <c r="H3648" s="896"/>
      <c r="I3648" s="1291"/>
      <c r="J3648" s="909" t="s">
        <v>115</v>
      </c>
      <c r="K3648" s="922">
        <f>'Ele Data'!I47</f>
        <v>95</v>
      </c>
      <c r="L3648" s="923" t="s">
        <v>2209</v>
      </c>
      <c r="M3648" s="924">
        <f>ROUND(I3648*K3648,0)</f>
        <v>0</v>
      </c>
      <c r="N3648" s="900" t="s">
        <v>2209</v>
      </c>
    </row>
    <row r="3649" spans="1:14" ht="27" hidden="1" customHeight="1">
      <c r="A3649" s="896">
        <v>7</v>
      </c>
      <c r="B3649" s="1609" t="s">
        <v>428</v>
      </c>
      <c r="C3649" s="1609"/>
      <c r="D3649" s="1609"/>
      <c r="E3649" s="1609"/>
      <c r="F3649" s="1609"/>
      <c r="G3649" s="1609"/>
      <c r="H3649" s="1609"/>
      <c r="I3649" s="897"/>
      <c r="J3649" s="898"/>
      <c r="K3649" s="896"/>
      <c r="L3649" s="896"/>
      <c r="M3649" s="899"/>
      <c r="N3649" s="900" t="s">
        <v>2209</v>
      </c>
    </row>
    <row r="3650" spans="1:14" s="910" customFormat="1" ht="16.5" hidden="1" customHeight="1">
      <c r="A3650" s="896"/>
      <c r="B3650" s="902" t="s">
        <v>2100</v>
      </c>
      <c r="C3650" s="903"/>
      <c r="D3650" s="904"/>
      <c r="E3650" s="905"/>
      <c r="F3650" s="906"/>
      <c r="G3650" s="906"/>
      <c r="H3650" s="907"/>
      <c r="I3650" s="908"/>
      <c r="J3650" s="909"/>
      <c r="K3650" s="902"/>
      <c r="L3650" s="896"/>
      <c r="M3650" s="902"/>
      <c r="N3650" s="900" t="s">
        <v>2209</v>
      </c>
    </row>
    <row r="3651" spans="1:14" s="910" customFormat="1" ht="16.5" hidden="1" customHeight="1">
      <c r="A3651" s="896"/>
      <c r="B3651" s="980" t="s">
        <v>2080</v>
      </c>
      <c r="C3651" s="957">
        <v>1</v>
      </c>
      <c r="D3651" s="958" t="s">
        <v>273</v>
      </c>
      <c r="E3651" s="1268">
        <v>12</v>
      </c>
      <c r="F3651" s="960">
        <v>0</v>
      </c>
      <c r="G3651" s="960">
        <v>0</v>
      </c>
      <c r="H3651" s="960">
        <v>0</v>
      </c>
      <c r="I3651" s="1291">
        <f>ROUND(IF(AND(F3651:H3651),C3651*E3651*F3651*G3651*H3651,IF(AND(F3651,G3651),C3651*E3651*F3651*G3651,IF(AND(F3651,H3651),C3651*E3651*F3651*H3651,IF(AND(G3651,H3651),C3651*E3651*G3651*H3651,IF(F3651,C3651*E3651*F3651,IF(G3651,C3651*E3651*G3651,IF(H3651,C3651*E3651*H3651,C3651*E3651))))))),2)</f>
        <v>12</v>
      </c>
      <c r="J3651" s="909" t="s">
        <v>115</v>
      </c>
      <c r="K3651" s="902"/>
      <c r="L3651" s="896"/>
      <c r="M3651" s="902"/>
      <c r="N3651" s="900" t="s">
        <v>2209</v>
      </c>
    </row>
    <row r="3652" spans="1:14" s="910" customFormat="1" ht="16.5" hidden="1" customHeight="1">
      <c r="A3652" s="896"/>
      <c r="B3652" s="980"/>
      <c r="C3652" s="957"/>
      <c r="D3652" s="958"/>
      <c r="E3652" s="1268"/>
      <c r="F3652" s="960"/>
      <c r="G3652" s="960"/>
      <c r="H3652" s="960"/>
      <c r="I3652" s="1291"/>
      <c r="J3652" s="909"/>
      <c r="K3652" s="902"/>
      <c r="L3652" s="896"/>
      <c r="M3652" s="902"/>
      <c r="N3652" s="900" t="s">
        <v>2209</v>
      </c>
    </row>
    <row r="3653" spans="1:14" ht="15.75" hidden="1">
      <c r="A3653" s="896"/>
      <c r="B3653" s="902"/>
      <c r="C3653" s="917"/>
      <c r="D3653" s="918"/>
      <c r="E3653" s="919"/>
      <c r="F3653" s="920"/>
      <c r="G3653" s="921"/>
      <c r="H3653" s="896"/>
      <c r="I3653" s="1291"/>
      <c r="J3653" s="909" t="s">
        <v>115</v>
      </c>
      <c r="K3653" s="922">
        <f>'Ele Data'!I58</f>
        <v>57</v>
      </c>
      <c r="L3653" s="923" t="s">
        <v>2209</v>
      </c>
      <c r="M3653" s="924">
        <f>ROUND(I3653*K3653,0)</f>
        <v>0</v>
      </c>
      <c r="N3653" s="900" t="s">
        <v>2209</v>
      </c>
    </row>
    <row r="3654" spans="1:14" ht="64.5" hidden="1" customHeight="1">
      <c r="A3654" s="896">
        <v>7</v>
      </c>
      <c r="B3654" s="1609" t="s">
        <v>692</v>
      </c>
      <c r="C3654" s="1609"/>
      <c r="D3654" s="1609"/>
      <c r="E3654" s="1609"/>
      <c r="F3654" s="1609"/>
      <c r="G3654" s="1609"/>
      <c r="H3654" s="1609"/>
      <c r="I3654" s="897"/>
      <c r="J3654" s="898"/>
      <c r="K3654" s="896"/>
      <c r="L3654" s="896"/>
      <c r="M3654" s="899"/>
      <c r="N3654" s="900" t="s">
        <v>2209</v>
      </c>
    </row>
    <row r="3655" spans="1:14" s="910" customFormat="1" ht="16.5" hidden="1" customHeight="1">
      <c r="A3655" s="896"/>
      <c r="B3655" s="902" t="s">
        <v>2337</v>
      </c>
      <c r="C3655" s="903"/>
      <c r="D3655" s="904"/>
      <c r="E3655" s="905"/>
      <c r="F3655" s="906"/>
      <c r="G3655" s="906"/>
      <c r="H3655" s="907"/>
      <c r="I3655" s="908"/>
      <c r="J3655" s="909"/>
      <c r="K3655" s="902"/>
      <c r="L3655" s="896"/>
      <c r="M3655" s="902"/>
      <c r="N3655" s="900" t="s">
        <v>2209</v>
      </c>
    </row>
    <row r="3656" spans="1:14" s="910" customFormat="1" ht="16.5" hidden="1" customHeight="1">
      <c r="A3656" s="896"/>
      <c r="B3656" s="980" t="s">
        <v>2201</v>
      </c>
      <c r="C3656" s="912">
        <v>1</v>
      </c>
      <c r="D3656" s="913" t="s">
        <v>273</v>
      </c>
      <c r="E3656" s="914">
        <v>3</v>
      </c>
      <c r="F3656" s="915">
        <v>0</v>
      </c>
      <c r="G3656" s="915">
        <v>0</v>
      </c>
      <c r="H3656" s="915">
        <v>0</v>
      </c>
      <c r="I3656" s="1291">
        <f>ROUND(IF(AND(F3656:H3656),C3656*E3656*F3656*G3656*H3656,IF(AND(F3656,G3656),C3656*E3656*F3656*G3656,IF(AND(F3656,H3656),C3656*E3656*F3656*H3656,IF(AND(G3656,H3656),C3656*E3656*G3656*H3656,IF(F3656,C3656*E3656*F3656,IF(G3656,C3656*E3656*G3656,IF(H3656,C3656*E3656*H3656,C3656*E3656))))))),2)</f>
        <v>3</v>
      </c>
      <c r="J3656" s="909" t="s">
        <v>431</v>
      </c>
      <c r="K3656" s="902"/>
      <c r="L3656" s="896"/>
      <c r="M3656" s="902"/>
      <c r="N3656" s="900" t="s">
        <v>2209</v>
      </c>
    </row>
    <row r="3657" spans="1:14" s="910" customFormat="1" ht="16.5" hidden="1" customHeight="1">
      <c r="A3657" s="896"/>
      <c r="B3657" s="980" t="s">
        <v>586</v>
      </c>
      <c r="C3657" s="912">
        <v>1</v>
      </c>
      <c r="D3657" s="913" t="s">
        <v>273</v>
      </c>
      <c r="E3657" s="914">
        <v>4</v>
      </c>
      <c r="F3657" s="915">
        <v>0</v>
      </c>
      <c r="G3657" s="915">
        <v>0</v>
      </c>
      <c r="H3657" s="915">
        <v>0</v>
      </c>
      <c r="I3657" s="1291">
        <f>ROUND(IF(AND(F3657:H3657),C3657*E3657*F3657*G3657*H3657,IF(AND(F3657,G3657),C3657*E3657*F3657*G3657,IF(AND(F3657,H3657),C3657*E3657*F3657*H3657,IF(AND(G3657,H3657),C3657*E3657*G3657*H3657,IF(F3657,C3657*E3657*F3657,IF(G3657,C3657*E3657*G3657,IF(H3657,C3657*E3657*H3657,C3657*E3657))))))),2)</f>
        <v>4</v>
      </c>
      <c r="J3657" s="909" t="s">
        <v>431</v>
      </c>
      <c r="K3657" s="902"/>
      <c r="L3657" s="896"/>
      <c r="M3657" s="902"/>
      <c r="N3657" s="900" t="s">
        <v>2209</v>
      </c>
    </row>
    <row r="3658" spans="1:14" s="910" customFormat="1" ht="16.5" hidden="1" customHeight="1">
      <c r="A3658" s="896"/>
      <c r="B3658" s="980" t="s">
        <v>578</v>
      </c>
      <c r="C3658" s="912">
        <v>1</v>
      </c>
      <c r="D3658" s="913" t="s">
        <v>273</v>
      </c>
      <c r="E3658" s="914">
        <v>4</v>
      </c>
      <c r="F3658" s="915">
        <v>0</v>
      </c>
      <c r="G3658" s="915">
        <v>0</v>
      </c>
      <c r="H3658" s="915">
        <v>0</v>
      </c>
      <c r="I3658" s="1291">
        <f>ROUND(IF(AND(F3658:H3658),C3658*E3658*F3658*G3658*H3658,IF(AND(F3658,G3658),C3658*E3658*F3658*G3658,IF(AND(F3658,H3658),C3658*E3658*F3658*H3658,IF(AND(G3658,H3658),C3658*E3658*G3658*H3658,IF(F3658,C3658*E3658*F3658,IF(G3658,C3658*E3658*G3658,IF(H3658,C3658*E3658*H3658,C3658*E3658))))))),2)</f>
        <v>4</v>
      </c>
      <c r="J3658" s="909" t="s">
        <v>431</v>
      </c>
      <c r="K3658" s="902"/>
      <c r="L3658" s="896"/>
      <c r="M3658" s="902"/>
      <c r="N3658" s="900" t="s">
        <v>2209</v>
      </c>
    </row>
    <row r="3659" spans="1:14" s="910" customFormat="1" ht="16.5" hidden="1" customHeight="1">
      <c r="A3659" s="896"/>
      <c r="B3659" s="980"/>
      <c r="C3659" s="957"/>
      <c r="D3659" s="958"/>
      <c r="E3659" s="1268"/>
      <c r="F3659" s="960"/>
      <c r="G3659" s="960"/>
      <c r="H3659" s="960"/>
      <c r="I3659" s="1291"/>
      <c r="J3659" s="909"/>
      <c r="K3659" s="902"/>
      <c r="L3659" s="896"/>
      <c r="M3659" s="902"/>
      <c r="N3659" s="900" t="s">
        <v>2209</v>
      </c>
    </row>
    <row r="3660" spans="1:14" ht="15.75" hidden="1">
      <c r="A3660" s="896"/>
      <c r="B3660" s="902"/>
      <c r="C3660" s="917"/>
      <c r="D3660" s="918"/>
      <c r="E3660" s="919"/>
      <c r="F3660" s="920"/>
      <c r="G3660" s="921"/>
      <c r="H3660" s="896"/>
      <c r="I3660" s="1291"/>
      <c r="J3660" s="909" t="s">
        <v>431</v>
      </c>
      <c r="K3660" s="922">
        <f>'Ele Data'!I96</f>
        <v>383.5</v>
      </c>
      <c r="L3660" s="923" t="s">
        <v>2209</v>
      </c>
      <c r="M3660" s="924">
        <f>ROUND(I3660*K3660,0)</f>
        <v>0</v>
      </c>
      <c r="N3660" s="900" t="s">
        <v>2209</v>
      </c>
    </row>
    <row r="3661" spans="1:14" ht="67.5" hidden="1" customHeight="1">
      <c r="A3661" s="896">
        <v>7</v>
      </c>
      <c r="B3661" s="1609" t="s">
        <v>693</v>
      </c>
      <c r="C3661" s="1609"/>
      <c r="D3661" s="1609"/>
      <c r="E3661" s="1609"/>
      <c r="F3661" s="1609"/>
      <c r="G3661" s="1609"/>
      <c r="H3661" s="1609"/>
      <c r="I3661" s="897"/>
      <c r="J3661" s="898"/>
      <c r="K3661" s="896"/>
      <c r="L3661" s="896"/>
      <c r="M3661" s="899"/>
      <c r="N3661" s="900" t="s">
        <v>2209</v>
      </c>
    </row>
    <row r="3662" spans="1:14" s="910" customFormat="1" ht="16.5" hidden="1" customHeight="1">
      <c r="A3662" s="896"/>
      <c r="B3662" s="902" t="s">
        <v>2325</v>
      </c>
      <c r="C3662" s="903"/>
      <c r="D3662" s="904"/>
      <c r="E3662" s="905"/>
      <c r="F3662" s="906"/>
      <c r="G3662" s="906"/>
      <c r="H3662" s="907"/>
      <c r="I3662" s="908"/>
      <c r="J3662" s="909"/>
      <c r="K3662" s="902"/>
      <c r="L3662" s="896"/>
      <c r="M3662" s="902"/>
      <c r="N3662" s="900" t="s">
        <v>2209</v>
      </c>
    </row>
    <row r="3663" spans="1:14" s="910" customFormat="1" ht="16.5" hidden="1" customHeight="1">
      <c r="A3663" s="896"/>
      <c r="B3663" s="980" t="s">
        <v>799</v>
      </c>
      <c r="C3663" s="957">
        <v>1</v>
      </c>
      <c r="D3663" s="958" t="s">
        <v>273</v>
      </c>
      <c r="E3663" s="1268">
        <v>6</v>
      </c>
      <c r="F3663" s="960">
        <v>0</v>
      </c>
      <c r="G3663" s="960">
        <v>0</v>
      </c>
      <c r="H3663" s="960">
        <v>0</v>
      </c>
      <c r="I3663" s="1291">
        <f>ROUND(IF(AND(F3663:H3663),C3663*E3663*F3663*G3663*H3663,IF(AND(F3663,G3663),C3663*E3663*F3663*G3663,IF(AND(F3663,H3663),C3663*E3663*F3663*H3663,IF(AND(G3663,H3663),C3663*E3663*G3663*H3663,IF(F3663,C3663*E3663*F3663,IF(G3663,C3663*E3663*G3663,IF(H3663,C3663*E3663*H3663,C3663*E3663))))))),2)</f>
        <v>6</v>
      </c>
      <c r="J3663" s="909" t="s">
        <v>431</v>
      </c>
      <c r="K3663" s="902"/>
      <c r="L3663" s="896"/>
      <c r="M3663" s="902"/>
      <c r="N3663" s="900" t="s">
        <v>2209</v>
      </c>
    </row>
    <row r="3664" spans="1:14" s="910" customFormat="1" ht="16.5" hidden="1" customHeight="1">
      <c r="A3664" s="896"/>
      <c r="B3664" s="980" t="s">
        <v>1618</v>
      </c>
      <c r="C3664" s="957">
        <v>1</v>
      </c>
      <c r="D3664" s="958" t="s">
        <v>273</v>
      </c>
      <c r="E3664" s="1268">
        <v>1</v>
      </c>
      <c r="F3664" s="960">
        <v>0</v>
      </c>
      <c r="G3664" s="960">
        <v>0</v>
      </c>
      <c r="H3664" s="960">
        <v>0</v>
      </c>
      <c r="I3664" s="1291">
        <f>ROUND(IF(AND(F3664:H3664),C3664*E3664*F3664*G3664*H3664,IF(AND(F3664,G3664),C3664*E3664*F3664*G3664,IF(AND(F3664,H3664),C3664*E3664*F3664*H3664,IF(AND(G3664,H3664),C3664*E3664*G3664*H3664,IF(F3664,C3664*E3664*F3664,IF(G3664,C3664*E3664*G3664,IF(H3664,C3664*E3664*H3664,C3664*E3664))))))),2)</f>
        <v>1</v>
      </c>
      <c r="J3664" s="909" t="s">
        <v>431</v>
      </c>
      <c r="K3664" s="902"/>
      <c r="L3664" s="896"/>
      <c r="M3664" s="902"/>
      <c r="N3664" s="900" t="s">
        <v>2209</v>
      </c>
    </row>
    <row r="3665" spans="1:14" s="910" customFormat="1" ht="16.5" hidden="1" customHeight="1">
      <c r="A3665" s="896"/>
      <c r="B3665" s="980" t="s">
        <v>586</v>
      </c>
      <c r="C3665" s="957">
        <v>1</v>
      </c>
      <c r="D3665" s="958" t="s">
        <v>273</v>
      </c>
      <c r="E3665" s="1268">
        <v>1</v>
      </c>
      <c r="F3665" s="960">
        <v>0</v>
      </c>
      <c r="G3665" s="960">
        <v>0</v>
      </c>
      <c r="H3665" s="960">
        <v>0</v>
      </c>
      <c r="I3665" s="1291">
        <f>ROUND(IF(AND(F3665:H3665),C3665*E3665*F3665*G3665*H3665,IF(AND(F3665,G3665),C3665*E3665*F3665*G3665,IF(AND(F3665,H3665),C3665*E3665*F3665*H3665,IF(AND(G3665,H3665),C3665*E3665*G3665*H3665,IF(F3665,C3665*E3665*F3665,IF(G3665,C3665*E3665*G3665,IF(H3665,C3665*E3665*H3665,C3665*E3665))))))),2)</f>
        <v>1</v>
      </c>
      <c r="J3665" s="909" t="s">
        <v>431</v>
      </c>
      <c r="K3665" s="902"/>
      <c r="L3665" s="896"/>
      <c r="M3665" s="902"/>
      <c r="N3665" s="900" t="s">
        <v>2209</v>
      </c>
    </row>
    <row r="3666" spans="1:14" s="910" customFormat="1" ht="16.5" hidden="1" customHeight="1">
      <c r="A3666" s="896"/>
      <c r="B3666" s="980"/>
      <c r="C3666" s="957"/>
      <c r="D3666" s="958"/>
      <c r="E3666" s="1268"/>
      <c r="F3666" s="960"/>
      <c r="G3666" s="960"/>
      <c r="H3666" s="960"/>
      <c r="I3666" s="916"/>
      <c r="J3666" s="909"/>
      <c r="K3666" s="902"/>
      <c r="L3666" s="896"/>
      <c r="M3666" s="902"/>
      <c r="N3666" s="900" t="s">
        <v>2209</v>
      </c>
    </row>
    <row r="3667" spans="1:14" ht="15.75" hidden="1">
      <c r="A3667" s="896"/>
      <c r="B3667" s="902"/>
      <c r="C3667" s="917"/>
      <c r="D3667" s="918"/>
      <c r="E3667" s="919"/>
      <c r="F3667" s="920"/>
      <c r="G3667" s="921"/>
      <c r="H3667" s="896"/>
      <c r="I3667" s="1291"/>
      <c r="J3667" s="909" t="s">
        <v>431</v>
      </c>
      <c r="K3667" s="922">
        <f>'Ele Data'!I109</f>
        <v>402.5</v>
      </c>
      <c r="L3667" s="923" t="s">
        <v>2209</v>
      </c>
      <c r="M3667" s="924">
        <f>ROUND(I3667*K3667,0)</f>
        <v>0</v>
      </c>
      <c r="N3667" s="900" t="s">
        <v>2209</v>
      </c>
    </row>
    <row r="3668" spans="1:14" ht="44.25" hidden="1" customHeight="1">
      <c r="A3668" s="896">
        <v>8</v>
      </c>
      <c r="B3668" s="1609" t="s">
        <v>2086</v>
      </c>
      <c r="C3668" s="1609"/>
      <c r="D3668" s="1609"/>
      <c r="E3668" s="1609"/>
      <c r="F3668" s="1609"/>
      <c r="G3668" s="1609"/>
      <c r="H3668" s="1609"/>
      <c r="I3668" s="897"/>
      <c r="J3668" s="898"/>
      <c r="K3668" s="896"/>
      <c r="L3668" s="896"/>
      <c r="M3668" s="899"/>
      <c r="N3668" s="900" t="s">
        <v>2209</v>
      </c>
    </row>
    <row r="3669" spans="1:14" s="910" customFormat="1" ht="16.5" hidden="1" customHeight="1">
      <c r="A3669" s="896"/>
      <c r="B3669" s="902" t="s">
        <v>2348</v>
      </c>
      <c r="C3669" s="903"/>
      <c r="D3669" s="904"/>
      <c r="E3669" s="905"/>
      <c r="F3669" s="906"/>
      <c r="G3669" s="906"/>
      <c r="H3669" s="907"/>
      <c r="I3669" s="908"/>
      <c r="J3669" s="909"/>
      <c r="K3669" s="902"/>
      <c r="L3669" s="896"/>
      <c r="M3669" s="902"/>
      <c r="N3669" s="900" t="s">
        <v>2209</v>
      </c>
    </row>
    <row r="3670" spans="1:14" s="910" customFormat="1" ht="16.5" hidden="1" customHeight="1">
      <c r="A3670" s="896"/>
      <c r="B3670" s="902" t="s">
        <v>2087</v>
      </c>
      <c r="C3670" s="903"/>
      <c r="D3670" s="904"/>
      <c r="E3670" s="905"/>
      <c r="F3670" s="906"/>
      <c r="G3670" s="906"/>
      <c r="H3670" s="907"/>
      <c r="I3670" s="908"/>
      <c r="J3670" s="909"/>
      <c r="K3670" s="902"/>
      <c r="L3670" s="896"/>
      <c r="M3670" s="902"/>
      <c r="N3670" s="900" t="s">
        <v>2209</v>
      </c>
    </row>
    <row r="3671" spans="1:14" s="910" customFormat="1" ht="16.5" hidden="1" customHeight="1">
      <c r="A3671" s="896"/>
      <c r="B3671" s="980"/>
      <c r="C3671" s="912">
        <v>1</v>
      </c>
      <c r="D3671" s="913" t="s">
        <v>273</v>
      </c>
      <c r="E3671" s="914">
        <v>1</v>
      </c>
      <c r="F3671" s="1289">
        <v>55</v>
      </c>
      <c r="G3671" s="915">
        <v>0</v>
      </c>
      <c r="H3671" s="915">
        <v>0</v>
      </c>
      <c r="I3671" s="916">
        <f>ROUND(IF(AND(F3671:H3671),C3671*E3671*F3671*G3671*H3671,IF(AND(F3671,G3671),C3671*E3671*F3671*G3671,IF(AND(F3671,H3671),C3671*E3671*F3671*H3671,IF(AND(G3671,H3671),C3671*E3671*G3671*H3671,IF(F3671,C3671*E3671*F3671,IF(G3671,C3671*E3671*G3671,IF(H3671,C3671*E3671*H3671,C3671*E3671))))))),2)</f>
        <v>55</v>
      </c>
      <c r="J3671" s="909" t="s">
        <v>277</v>
      </c>
      <c r="K3671" s="902"/>
      <c r="L3671" s="896"/>
      <c r="M3671" s="902"/>
      <c r="N3671" s="900" t="s">
        <v>2209</v>
      </c>
    </row>
    <row r="3672" spans="1:14" s="910" customFormat="1" ht="16.5" hidden="1" customHeight="1">
      <c r="A3672" s="896"/>
      <c r="B3672" s="980"/>
      <c r="C3672" s="957"/>
      <c r="D3672" s="958"/>
      <c r="E3672" s="1268"/>
      <c r="F3672" s="1290"/>
      <c r="G3672" s="960"/>
      <c r="H3672" s="960"/>
      <c r="I3672" s="916"/>
      <c r="J3672" s="909"/>
      <c r="K3672" s="902"/>
      <c r="L3672" s="896"/>
      <c r="M3672" s="902"/>
      <c r="N3672" s="900" t="s">
        <v>2209</v>
      </c>
    </row>
    <row r="3673" spans="1:14" ht="15.75" hidden="1">
      <c r="A3673" s="896"/>
      <c r="B3673" s="902"/>
      <c r="C3673" s="917"/>
      <c r="D3673" s="918"/>
      <c r="E3673" s="919"/>
      <c r="F3673" s="920"/>
      <c r="G3673" s="921"/>
      <c r="H3673" s="896"/>
      <c r="I3673" s="916"/>
      <c r="J3673" s="909" t="s">
        <v>277</v>
      </c>
      <c r="K3673" s="922">
        <f>'Ele Data'!I154</f>
        <v>18.59</v>
      </c>
      <c r="L3673" s="923" t="s">
        <v>2209</v>
      </c>
      <c r="M3673" s="924">
        <f>ROUND(I3673*K3673,0)</f>
        <v>0</v>
      </c>
      <c r="N3673" s="900" t="s">
        <v>2209</v>
      </c>
    </row>
    <row r="3674" spans="1:14" ht="44.25" hidden="1" customHeight="1">
      <c r="A3674" s="896">
        <v>9</v>
      </c>
      <c r="B3674" s="1609" t="s">
        <v>2255</v>
      </c>
      <c r="C3674" s="1609"/>
      <c r="D3674" s="1609"/>
      <c r="E3674" s="1609"/>
      <c r="F3674" s="1609"/>
      <c r="G3674" s="1609"/>
      <c r="H3674" s="1609"/>
      <c r="I3674" s="897"/>
      <c r="J3674" s="898"/>
      <c r="K3674" s="896"/>
      <c r="L3674" s="896"/>
      <c r="M3674" s="899"/>
      <c r="N3674" s="900" t="s">
        <v>2209</v>
      </c>
    </row>
    <row r="3675" spans="1:14" s="910" customFormat="1" ht="16.5" hidden="1" customHeight="1">
      <c r="A3675" s="896"/>
      <c r="B3675" s="902" t="s">
        <v>2348</v>
      </c>
      <c r="C3675" s="903"/>
      <c r="D3675" s="904"/>
      <c r="E3675" s="905"/>
      <c r="F3675" s="906"/>
      <c r="G3675" s="906"/>
      <c r="H3675" s="907"/>
      <c r="I3675" s="908"/>
      <c r="J3675" s="909"/>
      <c r="K3675" s="902"/>
      <c r="L3675" s="896"/>
      <c r="M3675" s="902"/>
      <c r="N3675" s="900" t="s">
        <v>2209</v>
      </c>
    </row>
    <row r="3676" spans="1:14" s="910" customFormat="1" ht="16.5" hidden="1" customHeight="1">
      <c r="A3676" s="896"/>
      <c r="B3676" s="980"/>
      <c r="C3676" s="912">
        <v>1</v>
      </c>
      <c r="D3676" s="913" t="s">
        <v>273</v>
      </c>
      <c r="E3676" s="914">
        <v>1</v>
      </c>
      <c r="F3676" s="1289">
        <v>150</v>
      </c>
      <c r="G3676" s="915">
        <v>0</v>
      </c>
      <c r="H3676" s="915">
        <v>0</v>
      </c>
      <c r="I3676" s="916">
        <f>ROUND(IF(AND(F3676:H3676),C3676*E3676*F3676*G3676*H3676,IF(AND(F3676,G3676),C3676*E3676*F3676*G3676,IF(AND(F3676,H3676),C3676*E3676*F3676*H3676,IF(AND(G3676,H3676),C3676*E3676*G3676*H3676,IF(F3676,C3676*E3676*F3676,IF(G3676,C3676*E3676*G3676,IF(H3676,C3676*E3676*H3676,C3676*E3676))))))),2)</f>
        <v>150</v>
      </c>
      <c r="J3676" s="909" t="s">
        <v>277</v>
      </c>
      <c r="K3676" s="902"/>
      <c r="L3676" s="896"/>
      <c r="M3676" s="902"/>
      <c r="N3676" s="900" t="s">
        <v>2209</v>
      </c>
    </row>
    <row r="3677" spans="1:14" s="910" customFormat="1" ht="16.5" hidden="1" customHeight="1">
      <c r="A3677" s="896"/>
      <c r="B3677" s="980"/>
      <c r="C3677" s="957"/>
      <c r="D3677" s="958"/>
      <c r="E3677" s="1268"/>
      <c r="F3677" s="1290"/>
      <c r="G3677" s="960"/>
      <c r="H3677" s="960"/>
      <c r="I3677" s="916"/>
      <c r="J3677" s="909"/>
      <c r="K3677" s="902"/>
      <c r="L3677" s="896"/>
      <c r="M3677" s="902"/>
      <c r="N3677" s="900" t="s">
        <v>2209</v>
      </c>
    </row>
    <row r="3678" spans="1:14" ht="15.75" hidden="1">
      <c r="A3678" s="896"/>
      <c r="B3678" s="902"/>
      <c r="C3678" s="917"/>
      <c r="D3678" s="918"/>
      <c r="E3678" s="919"/>
      <c r="F3678" s="920"/>
      <c r="G3678" s="921"/>
      <c r="H3678" s="896"/>
      <c r="I3678" s="916"/>
      <c r="J3678" s="909" t="s">
        <v>277</v>
      </c>
      <c r="K3678" s="922">
        <f>'Ele Data'!I146</f>
        <v>60.7</v>
      </c>
      <c r="L3678" s="923" t="s">
        <v>2209</v>
      </c>
      <c r="M3678" s="924">
        <f>ROUND(I3678*K3678,0)</f>
        <v>0</v>
      </c>
      <c r="N3678" s="900" t="s">
        <v>2209</v>
      </c>
    </row>
    <row r="3679" spans="1:14" ht="44.25" hidden="1" customHeight="1">
      <c r="A3679" s="896">
        <v>9</v>
      </c>
      <c r="B3679" s="1609" t="s">
        <v>429</v>
      </c>
      <c r="C3679" s="1609"/>
      <c r="D3679" s="1609"/>
      <c r="E3679" s="1609"/>
      <c r="F3679" s="1609"/>
      <c r="G3679" s="1609"/>
      <c r="H3679" s="1609"/>
      <c r="I3679" s="897"/>
      <c r="J3679" s="898"/>
      <c r="K3679" s="896"/>
      <c r="L3679" s="896"/>
      <c r="M3679" s="899"/>
      <c r="N3679" s="900" t="s">
        <v>2209</v>
      </c>
    </row>
    <row r="3680" spans="1:14" s="910" customFormat="1" ht="16.5" hidden="1" customHeight="1">
      <c r="A3680" s="896"/>
      <c r="B3680" s="902" t="s">
        <v>2348</v>
      </c>
      <c r="C3680" s="903"/>
      <c r="D3680" s="904"/>
      <c r="E3680" s="905"/>
      <c r="F3680" s="906"/>
      <c r="G3680" s="906"/>
      <c r="H3680" s="907"/>
      <c r="I3680" s="908"/>
      <c r="J3680" s="909"/>
      <c r="K3680" s="902"/>
      <c r="L3680" s="896"/>
      <c r="M3680" s="902"/>
      <c r="N3680" s="900" t="s">
        <v>2209</v>
      </c>
    </row>
    <row r="3681" spans="1:14" s="910" customFormat="1" ht="16.5" hidden="1" customHeight="1">
      <c r="A3681" s="896"/>
      <c r="B3681" s="980"/>
      <c r="C3681" s="912">
        <v>1</v>
      </c>
      <c r="D3681" s="913" t="s">
        <v>273</v>
      </c>
      <c r="E3681" s="914">
        <v>1</v>
      </c>
      <c r="F3681" s="1289">
        <v>150</v>
      </c>
      <c r="G3681" s="915">
        <v>0</v>
      </c>
      <c r="H3681" s="915">
        <v>0</v>
      </c>
      <c r="I3681" s="916">
        <f>ROUND(IF(AND(F3681:H3681),C3681*E3681*F3681*G3681*H3681,IF(AND(F3681,G3681),C3681*E3681*F3681*G3681,IF(AND(F3681,H3681),C3681*E3681*F3681*H3681,IF(AND(G3681,H3681),C3681*E3681*G3681*H3681,IF(F3681,C3681*E3681*F3681,IF(G3681,C3681*E3681*G3681,IF(H3681,C3681*E3681*H3681,C3681*E3681))))))),2)</f>
        <v>150</v>
      </c>
      <c r="J3681" s="909" t="s">
        <v>277</v>
      </c>
      <c r="K3681" s="902"/>
      <c r="L3681" s="896"/>
      <c r="M3681" s="902"/>
      <c r="N3681" s="900" t="s">
        <v>2209</v>
      </c>
    </row>
    <row r="3682" spans="1:14" s="910" customFormat="1" ht="16.5" hidden="1" customHeight="1">
      <c r="A3682" s="896"/>
      <c r="B3682" s="980"/>
      <c r="C3682" s="957"/>
      <c r="D3682" s="958"/>
      <c r="E3682" s="1268"/>
      <c r="F3682" s="1290"/>
      <c r="G3682" s="960"/>
      <c r="H3682" s="960"/>
      <c r="I3682" s="916"/>
      <c r="J3682" s="909"/>
      <c r="K3682" s="902"/>
      <c r="L3682" s="896"/>
      <c r="M3682" s="902"/>
      <c r="N3682" s="900" t="s">
        <v>2209</v>
      </c>
    </row>
    <row r="3683" spans="1:14" ht="15.75" hidden="1">
      <c r="A3683" s="896"/>
      <c r="B3683" s="902"/>
      <c r="C3683" s="917"/>
      <c r="D3683" s="918"/>
      <c r="E3683" s="919"/>
      <c r="F3683" s="920"/>
      <c r="G3683" s="921"/>
      <c r="H3683" s="896"/>
      <c r="I3683" s="916"/>
      <c r="J3683" s="909" t="s">
        <v>277</v>
      </c>
      <c r="K3683" s="922">
        <f>'Ele Data'!I164</f>
        <v>64.873099999999994</v>
      </c>
      <c r="L3683" s="923" t="s">
        <v>2209</v>
      </c>
      <c r="M3683" s="924">
        <f>ROUND(I3683*K3683,0)</f>
        <v>0</v>
      </c>
      <c r="N3683" s="900" t="s">
        <v>2209</v>
      </c>
    </row>
    <row r="3684" spans="1:14" ht="44.25" hidden="1" customHeight="1">
      <c r="A3684" s="896">
        <v>10</v>
      </c>
      <c r="B3684" s="1609" t="s">
        <v>430</v>
      </c>
      <c r="C3684" s="1609"/>
      <c r="D3684" s="1609"/>
      <c r="E3684" s="1609"/>
      <c r="F3684" s="1609"/>
      <c r="G3684" s="1609"/>
      <c r="H3684" s="1609"/>
      <c r="I3684" s="897"/>
      <c r="J3684" s="898"/>
      <c r="K3684" s="896"/>
      <c r="L3684" s="896"/>
      <c r="M3684" s="899"/>
      <c r="N3684" s="900" t="s">
        <v>2209</v>
      </c>
    </row>
    <row r="3685" spans="1:14" s="910" customFormat="1" ht="16.5" hidden="1" customHeight="1">
      <c r="A3685" s="896"/>
      <c r="B3685" s="902" t="s">
        <v>2100</v>
      </c>
      <c r="C3685" s="903"/>
      <c r="D3685" s="904"/>
      <c r="E3685" s="905"/>
      <c r="F3685" s="906"/>
      <c r="G3685" s="906"/>
      <c r="H3685" s="907"/>
      <c r="I3685" s="908"/>
      <c r="J3685" s="909"/>
      <c r="K3685" s="902"/>
      <c r="L3685" s="896"/>
      <c r="M3685" s="902"/>
      <c r="N3685" s="900" t="s">
        <v>2209</v>
      </c>
    </row>
    <row r="3686" spans="1:14" s="910" customFormat="1" ht="16.5" hidden="1" customHeight="1">
      <c r="A3686" s="896"/>
      <c r="B3686" s="980"/>
      <c r="C3686" s="957">
        <v>1</v>
      </c>
      <c r="D3686" s="958" t="s">
        <v>273</v>
      </c>
      <c r="E3686" s="1268">
        <v>1</v>
      </c>
      <c r="F3686" s="1290">
        <v>25</v>
      </c>
      <c r="G3686" s="960">
        <v>0</v>
      </c>
      <c r="H3686" s="960">
        <v>0</v>
      </c>
      <c r="I3686" s="916">
        <f>ROUND(IF(AND(F3686:H3686),C3686*E3686*F3686*G3686*H3686,IF(AND(F3686,G3686),C3686*E3686*F3686*G3686,IF(AND(F3686,H3686),C3686*E3686*F3686*H3686,IF(AND(G3686,H3686),C3686*E3686*G3686*H3686,IF(F3686,C3686*E3686*F3686,IF(G3686,C3686*E3686*G3686,IF(H3686,C3686*E3686*H3686,C3686*E3686))))))),2)</f>
        <v>25</v>
      </c>
      <c r="J3686" s="909" t="s">
        <v>277</v>
      </c>
      <c r="K3686" s="902"/>
      <c r="L3686" s="896"/>
      <c r="M3686" s="902"/>
      <c r="N3686" s="900" t="s">
        <v>2209</v>
      </c>
    </row>
    <row r="3687" spans="1:14" s="910" customFormat="1" ht="16.5" hidden="1" customHeight="1">
      <c r="A3687" s="896"/>
      <c r="B3687" s="980"/>
      <c r="C3687" s="957"/>
      <c r="D3687" s="958"/>
      <c r="E3687" s="1268"/>
      <c r="F3687" s="1290"/>
      <c r="G3687" s="960"/>
      <c r="H3687" s="960"/>
      <c r="I3687" s="916"/>
      <c r="J3687" s="909"/>
      <c r="K3687" s="902"/>
      <c r="L3687" s="896"/>
      <c r="M3687" s="902"/>
      <c r="N3687" s="900" t="s">
        <v>2209</v>
      </c>
    </row>
    <row r="3688" spans="1:14" ht="15.75" hidden="1">
      <c r="A3688" s="896"/>
      <c r="B3688" s="902"/>
      <c r="C3688" s="917"/>
      <c r="D3688" s="918"/>
      <c r="E3688" s="919"/>
      <c r="F3688" s="920"/>
      <c r="G3688" s="921"/>
      <c r="H3688" s="896"/>
      <c r="I3688" s="916"/>
      <c r="J3688" s="909" t="s">
        <v>277</v>
      </c>
      <c r="K3688" s="922">
        <f>'Ele Data'!I174</f>
        <v>98.56</v>
      </c>
      <c r="L3688" s="923" t="s">
        <v>2209</v>
      </c>
      <c r="M3688" s="924">
        <f>ROUND(I3688*K3688,0)</f>
        <v>0</v>
      </c>
      <c r="N3688" s="900" t="s">
        <v>2209</v>
      </c>
    </row>
    <row r="3689" spans="1:14" ht="44.25" hidden="1" customHeight="1">
      <c r="A3689" s="896">
        <v>10</v>
      </c>
      <c r="B3689" s="1609" t="s">
        <v>882</v>
      </c>
      <c r="C3689" s="1609"/>
      <c r="D3689" s="1609"/>
      <c r="E3689" s="1609"/>
      <c r="F3689" s="1609"/>
      <c r="G3689" s="1609"/>
      <c r="H3689" s="1609"/>
      <c r="I3689" s="897"/>
      <c r="J3689" s="898"/>
      <c r="K3689" s="896"/>
      <c r="L3689" s="896"/>
      <c r="M3689" s="899"/>
      <c r="N3689" s="900" t="s">
        <v>2209</v>
      </c>
    </row>
    <row r="3690" spans="1:14" s="910" customFormat="1" ht="16.5" hidden="1" customHeight="1">
      <c r="A3690" s="896"/>
      <c r="B3690" s="902" t="s">
        <v>2346</v>
      </c>
      <c r="C3690" s="903"/>
      <c r="D3690" s="904"/>
      <c r="E3690" s="905"/>
      <c r="F3690" s="906"/>
      <c r="G3690" s="906"/>
      <c r="H3690" s="907"/>
      <c r="I3690" s="908"/>
      <c r="J3690" s="909"/>
      <c r="K3690" s="902"/>
      <c r="L3690" s="896"/>
      <c r="M3690" s="902"/>
      <c r="N3690" s="900" t="s">
        <v>2209</v>
      </c>
    </row>
    <row r="3691" spans="1:14" s="910" customFormat="1" ht="16.5" hidden="1" customHeight="1">
      <c r="A3691" s="896"/>
      <c r="B3691" s="980"/>
      <c r="C3691" s="912">
        <v>1</v>
      </c>
      <c r="D3691" s="913" t="s">
        <v>273</v>
      </c>
      <c r="E3691" s="914">
        <v>1</v>
      </c>
      <c r="F3691" s="1289">
        <v>30</v>
      </c>
      <c r="G3691" s="915">
        <v>0</v>
      </c>
      <c r="H3691" s="915">
        <v>0</v>
      </c>
      <c r="I3691" s="916">
        <f>ROUND(IF(AND(F3691:H3691),C3691*E3691*F3691*G3691*H3691,IF(AND(F3691,G3691),C3691*E3691*F3691*G3691,IF(AND(F3691,H3691),C3691*E3691*F3691*H3691,IF(AND(G3691,H3691),C3691*E3691*G3691*H3691,IF(F3691,C3691*E3691*F3691,IF(G3691,C3691*E3691*G3691,IF(H3691,C3691*E3691*H3691,C3691*E3691))))))),2)</f>
        <v>30</v>
      </c>
      <c r="J3691" s="909" t="s">
        <v>277</v>
      </c>
      <c r="K3691" s="902"/>
      <c r="L3691" s="896"/>
      <c r="M3691" s="902"/>
      <c r="N3691" s="900" t="s">
        <v>2209</v>
      </c>
    </row>
    <row r="3692" spans="1:14" s="910" customFormat="1" ht="16.5" hidden="1" customHeight="1">
      <c r="A3692" s="896"/>
      <c r="B3692" s="980"/>
      <c r="C3692" s="912"/>
      <c r="D3692" s="913"/>
      <c r="E3692" s="914"/>
      <c r="F3692" s="1289"/>
      <c r="G3692" s="915"/>
      <c r="H3692" s="915"/>
      <c r="I3692" s="916"/>
      <c r="J3692" s="909"/>
      <c r="K3692" s="902"/>
      <c r="L3692" s="896"/>
      <c r="M3692" s="902"/>
      <c r="N3692" s="900" t="s">
        <v>2209</v>
      </c>
    </row>
    <row r="3693" spans="1:14" ht="15.75" hidden="1">
      <c r="A3693" s="896"/>
      <c r="B3693" s="902"/>
      <c r="C3693" s="917"/>
      <c r="D3693" s="918"/>
      <c r="E3693" s="919"/>
      <c r="F3693" s="920"/>
      <c r="G3693" s="921"/>
      <c r="H3693" s="896"/>
      <c r="I3693" s="916"/>
      <c r="J3693" s="909" t="s">
        <v>277</v>
      </c>
      <c r="K3693" s="922">
        <f>'Ele Data'!I185</f>
        <v>50.795000000000002</v>
      </c>
      <c r="L3693" s="923" t="s">
        <v>2209</v>
      </c>
      <c r="M3693" s="924">
        <f>ROUND(I3693*K3693,0)</f>
        <v>0</v>
      </c>
      <c r="N3693" s="900" t="s">
        <v>2209</v>
      </c>
    </row>
    <row r="3694" spans="1:14" ht="22.5" hidden="1" customHeight="1">
      <c r="A3694" s="896">
        <v>11</v>
      </c>
      <c r="B3694" s="1609" t="s">
        <v>437</v>
      </c>
      <c r="C3694" s="1609"/>
      <c r="D3694" s="1609"/>
      <c r="E3694" s="1609"/>
      <c r="F3694" s="1609"/>
      <c r="G3694" s="1609"/>
      <c r="H3694" s="1609"/>
      <c r="I3694" s="897"/>
      <c r="J3694" s="898"/>
      <c r="K3694" s="896"/>
      <c r="L3694" s="896"/>
      <c r="M3694" s="899"/>
      <c r="N3694" s="900" t="s">
        <v>2209</v>
      </c>
    </row>
    <row r="3695" spans="1:14" s="910" customFormat="1" ht="16.5" hidden="1" customHeight="1">
      <c r="A3695" s="896"/>
      <c r="B3695" s="902" t="s">
        <v>2349</v>
      </c>
      <c r="C3695" s="903"/>
      <c r="D3695" s="904"/>
      <c r="E3695" s="905"/>
      <c r="F3695" s="906"/>
      <c r="G3695" s="906"/>
      <c r="H3695" s="907"/>
      <c r="I3695" s="908"/>
      <c r="J3695" s="909"/>
      <c r="K3695" s="902"/>
      <c r="L3695" s="896"/>
      <c r="M3695" s="902"/>
      <c r="N3695" s="900" t="s">
        <v>2209</v>
      </c>
    </row>
    <row r="3696" spans="1:14" s="910" customFormat="1" ht="16.5" hidden="1" customHeight="1">
      <c r="A3696" s="896"/>
      <c r="B3696" s="980" t="s">
        <v>2080</v>
      </c>
      <c r="C3696" s="957">
        <v>1</v>
      </c>
      <c r="D3696" s="958" t="s">
        <v>273</v>
      </c>
      <c r="E3696" s="1268">
        <v>13</v>
      </c>
      <c r="F3696" s="960">
        <v>0</v>
      </c>
      <c r="G3696" s="960">
        <v>0</v>
      </c>
      <c r="H3696" s="960">
        <v>0</v>
      </c>
      <c r="I3696" s="1291">
        <f>ROUND(IF(AND(F3696:H3696),C3696*E3696*F3696*G3696*H3696,IF(AND(F3696,G3696),C3696*E3696*F3696*G3696,IF(AND(F3696,H3696),C3696*E3696*F3696*H3696,IF(AND(G3696,H3696),C3696*E3696*G3696*H3696,IF(F3696,C3696*E3696*F3696,IF(G3696,C3696*E3696*G3696,IF(H3696,C3696*E3696*H3696,C3696*E3696))))))),2)</f>
        <v>13</v>
      </c>
      <c r="J3696" s="909" t="s">
        <v>115</v>
      </c>
      <c r="K3696" s="902"/>
      <c r="L3696" s="896"/>
      <c r="M3696" s="902"/>
      <c r="N3696" s="900" t="s">
        <v>2209</v>
      </c>
    </row>
    <row r="3697" spans="1:14" s="910" customFormat="1" ht="16.5" hidden="1" customHeight="1">
      <c r="A3697" s="896"/>
      <c r="B3697" s="980"/>
      <c r="C3697" s="957"/>
      <c r="D3697" s="958"/>
      <c r="E3697" s="1268"/>
      <c r="F3697" s="960"/>
      <c r="G3697" s="960"/>
      <c r="H3697" s="960"/>
      <c r="I3697" s="916"/>
      <c r="J3697" s="909"/>
      <c r="K3697" s="902"/>
      <c r="L3697" s="896"/>
      <c r="M3697" s="902"/>
      <c r="N3697" s="900" t="s">
        <v>2209</v>
      </c>
    </row>
    <row r="3698" spans="1:14" ht="15.75" hidden="1">
      <c r="A3698" s="896"/>
      <c r="B3698" s="902"/>
      <c r="C3698" s="917"/>
      <c r="D3698" s="918"/>
      <c r="E3698" s="919"/>
      <c r="F3698" s="920"/>
      <c r="G3698" s="921"/>
      <c r="H3698" s="896"/>
      <c r="I3698" s="1291"/>
      <c r="J3698" s="909" t="s">
        <v>115</v>
      </c>
      <c r="K3698" s="922">
        <f>'Ele Data'!I61</f>
        <v>190</v>
      </c>
      <c r="L3698" s="923" t="s">
        <v>2209</v>
      </c>
      <c r="M3698" s="924">
        <f>ROUND(I3698*K3698,0)</f>
        <v>0</v>
      </c>
      <c r="N3698" s="900" t="s">
        <v>2209</v>
      </c>
    </row>
    <row r="3699" spans="1:14" ht="22.5" hidden="1" customHeight="1">
      <c r="A3699" s="896">
        <v>12</v>
      </c>
      <c r="B3699" s="1609" t="s">
        <v>615</v>
      </c>
      <c r="C3699" s="1609"/>
      <c r="D3699" s="1609"/>
      <c r="E3699" s="1609"/>
      <c r="F3699" s="1609"/>
      <c r="G3699" s="1609"/>
      <c r="H3699" s="1609"/>
      <c r="I3699" s="897"/>
      <c r="J3699" s="898"/>
      <c r="K3699" s="896"/>
      <c r="L3699" s="896"/>
      <c r="M3699" s="899"/>
      <c r="N3699" s="900" t="s">
        <v>2209</v>
      </c>
    </row>
    <row r="3700" spans="1:14" s="910" customFormat="1" ht="16.5" hidden="1" customHeight="1">
      <c r="A3700" s="896"/>
      <c r="B3700" s="902" t="s">
        <v>2349</v>
      </c>
      <c r="C3700" s="903"/>
      <c r="D3700" s="904"/>
      <c r="E3700" s="905"/>
      <c r="F3700" s="906"/>
      <c r="G3700" s="906"/>
      <c r="H3700" s="907"/>
      <c r="I3700" s="908"/>
      <c r="J3700" s="909"/>
      <c r="K3700" s="902"/>
      <c r="L3700" s="896"/>
      <c r="M3700" s="902"/>
      <c r="N3700" s="900" t="s">
        <v>2209</v>
      </c>
    </row>
    <row r="3701" spans="1:14" s="910" customFormat="1" ht="16.5" hidden="1" customHeight="1">
      <c r="A3701" s="896"/>
      <c r="B3701" s="980" t="s">
        <v>2080</v>
      </c>
      <c r="C3701" s="957">
        <v>1</v>
      </c>
      <c r="D3701" s="958" t="s">
        <v>273</v>
      </c>
      <c r="E3701" s="1268">
        <v>4</v>
      </c>
      <c r="F3701" s="960">
        <v>0</v>
      </c>
      <c r="G3701" s="960">
        <v>0</v>
      </c>
      <c r="H3701" s="960">
        <v>0</v>
      </c>
      <c r="I3701" s="1291">
        <f>ROUND(IF(AND(F3701:H3701),C3701*E3701*F3701*G3701*H3701,IF(AND(F3701,G3701),C3701*E3701*F3701*G3701,IF(AND(F3701,H3701),C3701*E3701*F3701*H3701,IF(AND(G3701,H3701),C3701*E3701*G3701*H3701,IF(F3701,C3701*E3701*F3701,IF(G3701,C3701*E3701*G3701,IF(H3701,C3701*E3701*H3701,C3701*E3701))))))),2)</f>
        <v>4</v>
      </c>
      <c r="J3701" s="909" t="s">
        <v>115</v>
      </c>
      <c r="K3701" s="902"/>
      <c r="L3701" s="896"/>
      <c r="M3701" s="902"/>
      <c r="N3701" s="900" t="s">
        <v>2209</v>
      </c>
    </row>
    <row r="3702" spans="1:14" s="910" customFormat="1" ht="16.5" hidden="1" customHeight="1">
      <c r="A3702" s="896"/>
      <c r="B3702" s="980"/>
      <c r="C3702" s="957"/>
      <c r="D3702" s="958"/>
      <c r="E3702" s="1268"/>
      <c r="F3702" s="960"/>
      <c r="G3702" s="960"/>
      <c r="H3702" s="960"/>
      <c r="I3702" s="916"/>
      <c r="J3702" s="909"/>
      <c r="K3702" s="902"/>
      <c r="L3702" s="896"/>
      <c r="M3702" s="902"/>
      <c r="N3702" s="900" t="s">
        <v>2209</v>
      </c>
    </row>
    <row r="3703" spans="1:14" ht="15.75" hidden="1">
      <c r="A3703" s="896"/>
      <c r="B3703" s="902"/>
      <c r="C3703" s="917"/>
      <c r="D3703" s="918"/>
      <c r="E3703" s="919"/>
      <c r="F3703" s="920"/>
      <c r="G3703" s="921"/>
      <c r="H3703" s="896"/>
      <c r="I3703" s="1291"/>
      <c r="J3703" s="909" t="s">
        <v>115</v>
      </c>
      <c r="K3703" s="922">
        <f>'Ele Data'!I64</f>
        <v>155</v>
      </c>
      <c r="L3703" s="923" t="s">
        <v>2209</v>
      </c>
      <c r="M3703" s="924">
        <f>ROUND(I3703*K3703,0)</f>
        <v>0</v>
      </c>
      <c r="N3703" s="900" t="s">
        <v>2209</v>
      </c>
    </row>
    <row r="3704" spans="1:14" ht="22.5" hidden="1" customHeight="1">
      <c r="A3704" s="896">
        <v>13</v>
      </c>
      <c r="B3704" s="1609" t="s">
        <v>694</v>
      </c>
      <c r="C3704" s="1609"/>
      <c r="D3704" s="1609"/>
      <c r="E3704" s="1609"/>
      <c r="F3704" s="1609"/>
      <c r="G3704" s="1609"/>
      <c r="H3704" s="1609"/>
      <c r="I3704" s="897"/>
      <c r="J3704" s="898"/>
      <c r="K3704" s="896"/>
      <c r="L3704" s="896"/>
      <c r="M3704" s="899"/>
      <c r="N3704" s="900" t="s">
        <v>2209</v>
      </c>
    </row>
    <row r="3705" spans="1:14" s="910" customFormat="1" ht="16.5" hidden="1" customHeight="1">
      <c r="A3705" s="896"/>
      <c r="B3705" s="902" t="s">
        <v>2349</v>
      </c>
      <c r="C3705" s="903"/>
      <c r="D3705" s="904"/>
      <c r="E3705" s="905"/>
      <c r="F3705" s="906"/>
      <c r="G3705" s="906"/>
      <c r="H3705" s="907"/>
      <c r="I3705" s="908"/>
      <c r="J3705" s="909"/>
      <c r="K3705" s="902"/>
      <c r="L3705" s="896"/>
      <c r="M3705" s="902"/>
      <c r="N3705" s="900" t="s">
        <v>2209</v>
      </c>
    </row>
    <row r="3706" spans="1:14" s="910" customFormat="1" ht="16.5" hidden="1" customHeight="1">
      <c r="A3706" s="896"/>
      <c r="B3706" s="980" t="s">
        <v>2080</v>
      </c>
      <c r="C3706" s="957">
        <v>1</v>
      </c>
      <c r="D3706" s="958" t="s">
        <v>273</v>
      </c>
      <c r="E3706" s="1268">
        <v>14</v>
      </c>
      <c r="F3706" s="960">
        <v>0</v>
      </c>
      <c r="G3706" s="960">
        <v>0</v>
      </c>
      <c r="H3706" s="960">
        <v>0</v>
      </c>
      <c r="I3706" s="1291">
        <f>ROUND(IF(AND(F3706:H3706),C3706*E3706*F3706*G3706*H3706,IF(AND(F3706,G3706),C3706*E3706*F3706*G3706,IF(AND(F3706,H3706),C3706*E3706*F3706*H3706,IF(AND(G3706,H3706),C3706*E3706*G3706*H3706,IF(F3706,C3706*E3706*F3706,IF(G3706,C3706*E3706*G3706,IF(H3706,C3706*E3706*H3706,C3706*E3706))))))),2)</f>
        <v>14</v>
      </c>
      <c r="J3706" s="909" t="s">
        <v>115</v>
      </c>
      <c r="K3706" s="902"/>
      <c r="L3706" s="896"/>
      <c r="M3706" s="902"/>
      <c r="N3706" s="900" t="s">
        <v>2209</v>
      </c>
    </row>
    <row r="3707" spans="1:14" s="910" customFormat="1" ht="16.5" hidden="1" customHeight="1">
      <c r="A3707" s="896"/>
      <c r="B3707" s="980"/>
      <c r="C3707" s="957"/>
      <c r="D3707" s="958"/>
      <c r="E3707" s="1268"/>
      <c r="F3707" s="960"/>
      <c r="G3707" s="960"/>
      <c r="H3707" s="960"/>
      <c r="I3707" s="916"/>
      <c r="J3707" s="909"/>
      <c r="K3707" s="902"/>
      <c r="L3707" s="896"/>
      <c r="M3707" s="902"/>
      <c r="N3707" s="900" t="s">
        <v>2209</v>
      </c>
    </row>
    <row r="3708" spans="1:14" ht="15.75" hidden="1">
      <c r="A3708" s="896"/>
      <c r="B3708" s="902"/>
      <c r="C3708" s="917"/>
      <c r="D3708" s="918"/>
      <c r="E3708" s="919"/>
      <c r="F3708" s="920"/>
      <c r="G3708" s="921"/>
      <c r="H3708" s="896"/>
      <c r="I3708" s="1291"/>
      <c r="J3708" s="909" t="s">
        <v>115</v>
      </c>
      <c r="K3708" s="922">
        <f>'Ele Data'!I67</f>
        <v>120</v>
      </c>
      <c r="L3708" s="923" t="s">
        <v>2209</v>
      </c>
      <c r="M3708" s="924">
        <f>ROUND(I3708*K3708,0)</f>
        <v>0</v>
      </c>
      <c r="N3708" s="900" t="s">
        <v>2209</v>
      </c>
    </row>
    <row r="3709" spans="1:14" ht="15" hidden="1" customHeight="1">
      <c r="A3709" s="896">
        <v>14</v>
      </c>
      <c r="B3709" s="1609" t="s">
        <v>617</v>
      </c>
      <c r="C3709" s="1609"/>
      <c r="D3709" s="1609"/>
      <c r="E3709" s="1609"/>
      <c r="F3709" s="1609"/>
      <c r="G3709" s="1609"/>
      <c r="H3709" s="1609"/>
      <c r="I3709" s="897"/>
      <c r="J3709" s="898"/>
      <c r="K3709" s="896"/>
      <c r="L3709" s="896"/>
      <c r="M3709" s="899"/>
      <c r="N3709" s="900" t="s">
        <v>2209</v>
      </c>
    </row>
    <row r="3710" spans="1:14" s="910" customFormat="1" ht="16.5" hidden="1" customHeight="1">
      <c r="A3710" s="896"/>
      <c r="B3710" s="980" t="s">
        <v>607</v>
      </c>
      <c r="C3710" s="903"/>
      <c r="D3710" s="904"/>
      <c r="E3710" s="905"/>
      <c r="F3710" s="906"/>
      <c r="G3710" s="906"/>
      <c r="H3710" s="907"/>
      <c r="I3710" s="908"/>
      <c r="J3710" s="909"/>
      <c r="K3710" s="902"/>
      <c r="L3710" s="896"/>
      <c r="M3710" s="902"/>
      <c r="N3710" s="900" t="s">
        <v>2209</v>
      </c>
    </row>
    <row r="3711" spans="1:14" s="910" customFormat="1" ht="16.5" hidden="1" customHeight="1">
      <c r="A3711" s="896"/>
      <c r="B3711" s="980" t="s">
        <v>1216</v>
      </c>
      <c r="C3711" s="957">
        <v>2</v>
      </c>
      <c r="D3711" s="958" t="s">
        <v>273</v>
      </c>
      <c r="E3711" s="1268">
        <v>1</v>
      </c>
      <c r="F3711" s="960">
        <v>0</v>
      </c>
      <c r="G3711" s="960">
        <v>0</v>
      </c>
      <c r="H3711" s="960">
        <v>0</v>
      </c>
      <c r="I3711" s="1291">
        <f>ROUND(IF(AND(F3711:H3711),C3711*E3711*F3711*G3711*H3711,IF(AND(F3711,G3711),C3711*E3711*F3711*G3711,IF(AND(F3711,H3711),C3711*E3711*F3711*H3711,IF(AND(G3711,H3711),C3711*E3711*G3711*H3711,IF(F3711,C3711*E3711*F3711,IF(G3711,C3711*E3711*G3711,IF(H3711,C3711*E3711*H3711,C3711*E3711))))))),2)</f>
        <v>2</v>
      </c>
      <c r="J3711" s="909" t="s">
        <v>115</v>
      </c>
      <c r="K3711" s="902"/>
      <c r="L3711" s="896"/>
      <c r="M3711" s="902"/>
      <c r="N3711" s="900" t="s">
        <v>2209</v>
      </c>
    </row>
    <row r="3712" spans="1:14" s="910" customFormat="1" ht="16.5" hidden="1" customHeight="1">
      <c r="A3712" s="896"/>
      <c r="B3712" s="980"/>
      <c r="C3712" s="957"/>
      <c r="D3712" s="958"/>
      <c r="E3712" s="1268"/>
      <c r="F3712" s="960"/>
      <c r="G3712" s="960"/>
      <c r="H3712" s="960"/>
      <c r="I3712" s="1291"/>
      <c r="J3712" s="909"/>
      <c r="K3712" s="902"/>
      <c r="L3712" s="896"/>
      <c r="M3712" s="902"/>
      <c r="N3712" s="900" t="s">
        <v>2209</v>
      </c>
    </row>
    <row r="3713" spans="1:14" ht="15.75" hidden="1">
      <c r="A3713" s="896"/>
      <c r="B3713" s="902"/>
      <c r="C3713" s="917"/>
      <c r="D3713" s="918"/>
      <c r="E3713" s="919"/>
      <c r="F3713" s="920"/>
      <c r="G3713" s="921"/>
      <c r="H3713" s="896"/>
      <c r="I3713" s="1291"/>
      <c r="J3713" s="909" t="s">
        <v>115</v>
      </c>
      <c r="K3713" s="922">
        <f>'Ele Data'!I74</f>
        <v>310</v>
      </c>
      <c r="L3713" s="923" t="s">
        <v>2209</v>
      </c>
      <c r="M3713" s="924">
        <f>ROUND(I3713*K3713,0)</f>
        <v>0</v>
      </c>
      <c r="N3713" s="900" t="s">
        <v>2209</v>
      </c>
    </row>
    <row r="3714" spans="1:14" ht="22.5" hidden="1" customHeight="1">
      <c r="A3714" s="896">
        <v>14</v>
      </c>
      <c r="B3714" s="1609" t="s">
        <v>792</v>
      </c>
      <c r="C3714" s="1609"/>
      <c r="D3714" s="1609"/>
      <c r="E3714" s="1609"/>
      <c r="F3714" s="1609"/>
      <c r="G3714" s="1609"/>
      <c r="H3714" s="1609"/>
      <c r="I3714" s="897"/>
      <c r="J3714" s="898"/>
      <c r="K3714" s="896"/>
      <c r="L3714" s="896"/>
      <c r="M3714" s="899"/>
      <c r="N3714" s="900" t="s">
        <v>2209</v>
      </c>
    </row>
    <row r="3715" spans="1:14" s="910" customFormat="1" ht="16.5" hidden="1" customHeight="1">
      <c r="A3715" s="896"/>
      <c r="B3715" s="902" t="s">
        <v>2349</v>
      </c>
      <c r="C3715" s="903"/>
      <c r="D3715" s="904"/>
      <c r="E3715" s="905"/>
      <c r="F3715" s="906"/>
      <c r="G3715" s="906"/>
      <c r="H3715" s="907"/>
      <c r="I3715" s="908"/>
      <c r="J3715" s="909"/>
      <c r="K3715" s="902"/>
      <c r="L3715" s="896"/>
      <c r="M3715" s="902"/>
      <c r="N3715" s="900" t="s">
        <v>2209</v>
      </c>
    </row>
    <row r="3716" spans="1:14" s="910" customFormat="1" ht="16.5" hidden="1" customHeight="1">
      <c r="A3716" s="896"/>
      <c r="B3716" s="980" t="s">
        <v>2080</v>
      </c>
      <c r="C3716" s="957">
        <v>1</v>
      </c>
      <c r="D3716" s="958" t="s">
        <v>273</v>
      </c>
      <c r="E3716" s="1268">
        <v>3</v>
      </c>
      <c r="F3716" s="960">
        <v>0</v>
      </c>
      <c r="G3716" s="960">
        <v>0</v>
      </c>
      <c r="H3716" s="960">
        <v>0</v>
      </c>
      <c r="I3716" s="1291">
        <f>ROUND(IF(AND(F3716:H3716),C3716*E3716*F3716*G3716*H3716,IF(AND(F3716,G3716),C3716*E3716*F3716*G3716,IF(AND(F3716,H3716),C3716*E3716*F3716*H3716,IF(AND(G3716,H3716),C3716*E3716*G3716*H3716,IF(F3716,C3716*E3716*F3716,IF(G3716,C3716*E3716*G3716,IF(H3716,C3716*E3716*H3716,C3716*E3716))))))),2)</f>
        <v>3</v>
      </c>
      <c r="J3716" s="909" t="s">
        <v>115</v>
      </c>
      <c r="K3716" s="902"/>
      <c r="L3716" s="896"/>
      <c r="M3716" s="902"/>
      <c r="N3716" s="900" t="s">
        <v>2209</v>
      </c>
    </row>
    <row r="3717" spans="1:14" s="910" customFormat="1" ht="16.5" hidden="1" customHeight="1">
      <c r="A3717" s="896"/>
      <c r="B3717" s="980"/>
      <c r="C3717" s="957"/>
      <c r="D3717" s="958"/>
      <c r="E3717" s="1268"/>
      <c r="F3717" s="960"/>
      <c r="G3717" s="960"/>
      <c r="H3717" s="960"/>
      <c r="I3717" s="1291"/>
      <c r="J3717" s="909"/>
      <c r="K3717" s="902"/>
      <c r="L3717" s="896"/>
      <c r="M3717" s="902"/>
      <c r="N3717" s="900" t="s">
        <v>2209</v>
      </c>
    </row>
    <row r="3718" spans="1:14" ht="15.75" hidden="1">
      <c r="A3718" s="896"/>
      <c r="B3718" s="902"/>
      <c r="C3718" s="917"/>
      <c r="D3718" s="918"/>
      <c r="E3718" s="919"/>
      <c r="F3718" s="920"/>
      <c r="G3718" s="921"/>
      <c r="H3718" s="896"/>
      <c r="I3718" s="1291"/>
      <c r="J3718" s="909" t="s">
        <v>115</v>
      </c>
      <c r="K3718" s="922">
        <f>'Ele Data'!I70</f>
        <v>80</v>
      </c>
      <c r="L3718" s="923" t="s">
        <v>2209</v>
      </c>
      <c r="M3718" s="924">
        <f>ROUND(I3718*K3718,0)</f>
        <v>0</v>
      </c>
      <c r="N3718" s="900" t="s">
        <v>2209</v>
      </c>
    </row>
    <row r="3719" spans="1:14" ht="22.5" hidden="1" customHeight="1">
      <c r="A3719" s="896">
        <v>16</v>
      </c>
      <c r="B3719" s="1609" t="s">
        <v>439</v>
      </c>
      <c r="C3719" s="1609"/>
      <c r="D3719" s="1609"/>
      <c r="E3719" s="1609"/>
      <c r="F3719" s="1609"/>
      <c r="G3719" s="1609"/>
      <c r="H3719" s="1609"/>
      <c r="I3719" s="897"/>
      <c r="J3719" s="898"/>
      <c r="K3719" s="896"/>
      <c r="L3719" s="896"/>
      <c r="M3719" s="899"/>
      <c r="N3719" s="900" t="s">
        <v>2209</v>
      </c>
    </row>
    <row r="3720" spans="1:14" s="910" customFormat="1" ht="16.5" hidden="1" customHeight="1">
      <c r="A3720" s="896"/>
      <c r="B3720" s="902" t="s">
        <v>2100</v>
      </c>
      <c r="C3720" s="903"/>
      <c r="D3720" s="904"/>
      <c r="E3720" s="905"/>
      <c r="F3720" s="906"/>
      <c r="G3720" s="906"/>
      <c r="H3720" s="907"/>
      <c r="I3720" s="908"/>
      <c r="J3720" s="909"/>
      <c r="K3720" s="902"/>
      <c r="L3720" s="896"/>
      <c r="M3720" s="902"/>
      <c r="N3720" s="900" t="s">
        <v>2209</v>
      </c>
    </row>
    <row r="3721" spans="1:14" s="910" customFormat="1" ht="16.5" hidden="1" customHeight="1">
      <c r="A3721" s="896"/>
      <c r="B3721" s="980" t="s">
        <v>2080</v>
      </c>
      <c r="C3721" s="957">
        <v>1</v>
      </c>
      <c r="D3721" s="958" t="s">
        <v>273</v>
      </c>
      <c r="E3721" s="1268">
        <v>12</v>
      </c>
      <c r="F3721" s="960">
        <v>0</v>
      </c>
      <c r="G3721" s="960">
        <v>0</v>
      </c>
      <c r="H3721" s="960">
        <v>0</v>
      </c>
      <c r="I3721" s="1291">
        <f>ROUND(IF(AND(F3721:H3721),C3721*E3721*F3721*G3721*H3721,IF(AND(F3721,G3721),C3721*E3721*F3721*G3721,IF(AND(F3721,H3721),C3721*E3721*F3721*H3721,IF(AND(G3721,H3721),C3721*E3721*G3721*H3721,IF(F3721,C3721*E3721*F3721,IF(G3721,C3721*E3721*G3721,IF(H3721,C3721*E3721*H3721,C3721*E3721))))))),2)</f>
        <v>12</v>
      </c>
      <c r="J3721" s="909" t="s">
        <v>115</v>
      </c>
      <c r="K3721" s="902"/>
      <c r="L3721" s="896"/>
      <c r="M3721" s="902"/>
      <c r="N3721" s="900" t="s">
        <v>2209</v>
      </c>
    </row>
    <row r="3722" spans="1:14" s="910" customFormat="1" ht="16.5" hidden="1" customHeight="1">
      <c r="A3722" s="896"/>
      <c r="B3722" s="980"/>
      <c r="C3722" s="957"/>
      <c r="D3722" s="958"/>
      <c r="E3722" s="1268"/>
      <c r="F3722" s="960"/>
      <c r="G3722" s="960"/>
      <c r="H3722" s="960"/>
      <c r="I3722" s="916"/>
      <c r="J3722" s="909"/>
      <c r="K3722" s="902"/>
      <c r="L3722" s="896"/>
      <c r="M3722" s="902"/>
      <c r="N3722" s="900" t="s">
        <v>2209</v>
      </c>
    </row>
    <row r="3723" spans="1:14" ht="15.75" hidden="1">
      <c r="A3723" s="896"/>
      <c r="B3723" s="902"/>
      <c r="C3723" s="917"/>
      <c r="D3723" s="918"/>
      <c r="E3723" s="919"/>
      <c r="F3723" s="920"/>
      <c r="G3723" s="921"/>
      <c r="H3723" s="896"/>
      <c r="I3723" s="1291"/>
      <c r="J3723" s="909" t="s">
        <v>115</v>
      </c>
      <c r="K3723" s="922">
        <f>'Ele Data'!I77</f>
        <v>60</v>
      </c>
      <c r="L3723" s="923" t="s">
        <v>2209</v>
      </c>
      <c r="M3723" s="924">
        <f>ROUND(I3723*K3723,0)</f>
        <v>0</v>
      </c>
      <c r="N3723" s="900" t="s">
        <v>2209</v>
      </c>
    </row>
    <row r="3724" spans="1:14" ht="43.5" hidden="1" customHeight="1">
      <c r="A3724" s="896">
        <v>17</v>
      </c>
      <c r="B3724" s="1609" t="s">
        <v>1237</v>
      </c>
      <c r="C3724" s="1609"/>
      <c r="D3724" s="1609"/>
      <c r="E3724" s="1609"/>
      <c r="F3724" s="1609"/>
      <c r="G3724" s="1609"/>
      <c r="H3724" s="1609"/>
      <c r="I3724" s="897"/>
      <c r="J3724" s="898"/>
      <c r="K3724" s="896"/>
      <c r="L3724" s="896"/>
      <c r="M3724" s="899"/>
      <c r="N3724" s="900" t="s">
        <v>2209</v>
      </c>
    </row>
    <row r="3725" spans="1:14" s="910" customFormat="1" ht="16.5" hidden="1" customHeight="1">
      <c r="A3725" s="896"/>
      <c r="B3725" s="902" t="s">
        <v>2100</v>
      </c>
      <c r="C3725" s="903"/>
      <c r="D3725" s="904"/>
      <c r="E3725" s="905"/>
      <c r="F3725" s="906"/>
      <c r="G3725" s="906"/>
      <c r="H3725" s="907"/>
      <c r="I3725" s="908"/>
      <c r="J3725" s="909"/>
      <c r="K3725" s="902"/>
      <c r="L3725" s="896"/>
      <c r="M3725" s="902"/>
      <c r="N3725" s="900" t="s">
        <v>2209</v>
      </c>
    </row>
    <row r="3726" spans="1:14" s="910" customFormat="1" ht="16.5" hidden="1" customHeight="1">
      <c r="A3726" s="896"/>
      <c r="B3726" s="980" t="s">
        <v>2187</v>
      </c>
      <c r="C3726" s="912">
        <v>1</v>
      </c>
      <c r="D3726" s="913" t="s">
        <v>273</v>
      </c>
      <c r="E3726" s="914">
        <v>17</v>
      </c>
      <c r="F3726" s="915">
        <v>0</v>
      </c>
      <c r="G3726" s="915">
        <v>0</v>
      </c>
      <c r="H3726" s="915">
        <v>0</v>
      </c>
      <c r="I3726" s="1291">
        <f>ROUND(IF(AND(F3726:H3726),C3726*E3726*F3726*G3726*H3726,IF(AND(F3726,G3726),C3726*E3726*F3726*G3726,IF(AND(F3726,H3726),C3726*E3726*F3726*H3726,IF(AND(G3726,H3726),C3726*E3726*G3726*H3726,IF(F3726,C3726*E3726*F3726,IF(G3726,C3726*E3726*G3726,IF(H3726,C3726*E3726*H3726,C3726*E3726))))))),2)</f>
        <v>17</v>
      </c>
      <c r="J3726" s="909" t="s">
        <v>115</v>
      </c>
      <c r="K3726" s="902"/>
      <c r="L3726" s="896"/>
      <c r="M3726" s="902"/>
      <c r="N3726" s="900" t="s">
        <v>2209</v>
      </c>
    </row>
    <row r="3727" spans="1:14" s="910" customFormat="1" ht="16.5" hidden="1" customHeight="1">
      <c r="A3727" s="896"/>
      <c r="B3727" s="980"/>
      <c r="C3727" s="957"/>
      <c r="D3727" s="958"/>
      <c r="E3727" s="1268"/>
      <c r="F3727" s="960"/>
      <c r="G3727" s="960"/>
      <c r="H3727" s="960"/>
      <c r="I3727" s="916"/>
      <c r="J3727" s="909"/>
      <c r="K3727" s="902"/>
      <c r="L3727" s="896"/>
      <c r="M3727" s="902"/>
      <c r="N3727" s="900" t="s">
        <v>2209</v>
      </c>
    </row>
    <row r="3728" spans="1:14" ht="15.75" hidden="1">
      <c r="A3728" s="896"/>
      <c r="B3728" s="902"/>
      <c r="C3728" s="917"/>
      <c r="D3728" s="918"/>
      <c r="E3728" s="919"/>
      <c r="F3728" s="920"/>
      <c r="G3728" s="921"/>
      <c r="H3728" s="896"/>
      <c r="I3728" s="1291"/>
      <c r="J3728" s="909" t="s">
        <v>115</v>
      </c>
      <c r="K3728" s="922">
        <f>'Ele Data'!I126</f>
        <v>344.3</v>
      </c>
      <c r="L3728" s="923" t="s">
        <v>2209</v>
      </c>
      <c r="M3728" s="924">
        <f>ROUND(I3728*K3728,0)</f>
        <v>0</v>
      </c>
      <c r="N3728" s="900" t="s">
        <v>2209</v>
      </c>
    </row>
    <row r="3729" spans="1:14" ht="43.5" hidden="1" customHeight="1">
      <c r="A3729" s="896">
        <v>15</v>
      </c>
      <c r="B3729" s="1609" t="s">
        <v>432</v>
      </c>
      <c r="C3729" s="1609"/>
      <c r="D3729" s="1609"/>
      <c r="E3729" s="1609"/>
      <c r="F3729" s="1609"/>
      <c r="G3729" s="1609"/>
      <c r="H3729" s="1609"/>
      <c r="I3729" s="897"/>
      <c r="J3729" s="898"/>
      <c r="K3729" s="896"/>
      <c r="L3729" s="896"/>
      <c r="M3729" s="899"/>
      <c r="N3729" s="900" t="s">
        <v>2209</v>
      </c>
    </row>
    <row r="3730" spans="1:14" s="910" customFormat="1" ht="16.5" hidden="1" customHeight="1">
      <c r="A3730" s="896"/>
      <c r="B3730" s="902" t="s">
        <v>2316</v>
      </c>
      <c r="C3730" s="903"/>
      <c r="D3730" s="904"/>
      <c r="E3730" s="905"/>
      <c r="F3730" s="906"/>
      <c r="G3730" s="906"/>
      <c r="H3730" s="907"/>
      <c r="I3730" s="908"/>
      <c r="J3730" s="909"/>
      <c r="K3730" s="902"/>
      <c r="L3730" s="896"/>
      <c r="M3730" s="902"/>
      <c r="N3730" s="900" t="s">
        <v>2209</v>
      </c>
    </row>
    <row r="3731" spans="1:14" s="910" customFormat="1" ht="16.5" hidden="1" customHeight="1">
      <c r="A3731" s="896"/>
      <c r="B3731" s="980" t="s">
        <v>583</v>
      </c>
      <c r="C3731" s="912">
        <v>1</v>
      </c>
      <c r="D3731" s="913" t="s">
        <v>273</v>
      </c>
      <c r="E3731" s="914">
        <v>30</v>
      </c>
      <c r="F3731" s="915">
        <v>0</v>
      </c>
      <c r="G3731" s="915">
        <v>0</v>
      </c>
      <c r="H3731" s="915">
        <v>0</v>
      </c>
      <c r="I3731" s="1291">
        <f>ROUND(IF(AND(F3731:H3731),C3731*E3731*F3731*G3731*H3731,IF(AND(F3731,G3731),C3731*E3731*F3731*G3731,IF(AND(F3731,H3731),C3731*E3731*F3731*H3731,IF(AND(G3731,H3731),C3731*E3731*G3731*H3731,IF(F3731,C3731*E3731*F3731,IF(G3731,C3731*E3731*G3731,IF(H3731,C3731*E3731*H3731,C3731*E3731))))))),2)</f>
        <v>30</v>
      </c>
      <c r="J3731" s="909" t="s">
        <v>115</v>
      </c>
      <c r="K3731" s="902"/>
      <c r="L3731" s="896"/>
      <c r="M3731" s="902"/>
      <c r="N3731" s="900" t="s">
        <v>2209</v>
      </c>
    </row>
    <row r="3732" spans="1:14" s="910" customFormat="1" ht="16.5" hidden="1" customHeight="1">
      <c r="A3732" s="896"/>
      <c r="B3732" s="980" t="s">
        <v>584</v>
      </c>
      <c r="C3732" s="912">
        <v>1</v>
      </c>
      <c r="D3732" s="913" t="s">
        <v>273</v>
      </c>
      <c r="E3732" s="914">
        <v>15</v>
      </c>
      <c r="F3732" s="915">
        <v>0</v>
      </c>
      <c r="G3732" s="915">
        <v>0</v>
      </c>
      <c r="H3732" s="915">
        <v>0</v>
      </c>
      <c r="I3732" s="1291">
        <f>ROUND(IF(AND(F3732:H3732),C3732*E3732*F3732*G3732*H3732,IF(AND(F3732,G3732),C3732*E3732*F3732*G3732,IF(AND(F3732,H3732),C3732*E3732*F3732*H3732,IF(AND(G3732,H3732),C3732*E3732*G3732*H3732,IF(F3732,C3732*E3732*F3732,IF(G3732,C3732*E3732*G3732,IF(H3732,C3732*E3732*H3732,C3732*E3732))))))),2)</f>
        <v>15</v>
      </c>
      <c r="J3732" s="909" t="s">
        <v>115</v>
      </c>
      <c r="K3732" s="902"/>
      <c r="L3732" s="896"/>
      <c r="M3732" s="902"/>
      <c r="N3732" s="900" t="s">
        <v>2209</v>
      </c>
    </row>
    <row r="3733" spans="1:14" s="910" customFormat="1" ht="16.5" hidden="1" customHeight="1">
      <c r="A3733" s="896"/>
      <c r="B3733" s="980"/>
      <c r="C3733" s="957"/>
      <c r="D3733" s="958"/>
      <c r="E3733" s="1268"/>
      <c r="F3733" s="960"/>
      <c r="G3733" s="960"/>
      <c r="H3733" s="960"/>
      <c r="I3733" s="1291"/>
      <c r="J3733" s="909"/>
      <c r="K3733" s="902"/>
      <c r="L3733" s="896"/>
      <c r="M3733" s="902"/>
      <c r="N3733" s="900" t="s">
        <v>2209</v>
      </c>
    </row>
    <row r="3734" spans="1:14" ht="15.75" hidden="1">
      <c r="A3734" s="896"/>
      <c r="B3734" s="902"/>
      <c r="C3734" s="917"/>
      <c r="D3734" s="918"/>
      <c r="E3734" s="919"/>
      <c r="F3734" s="920"/>
      <c r="G3734" s="921"/>
      <c r="H3734" s="896"/>
      <c r="I3734" s="1291"/>
      <c r="J3734" s="909" t="s">
        <v>115</v>
      </c>
      <c r="K3734" s="922">
        <f>'Ele Data'!I117</f>
        <v>105.53100000000001</v>
      </c>
      <c r="L3734" s="923" t="s">
        <v>2209</v>
      </c>
      <c r="M3734" s="924">
        <f>ROUND(I3734*K3734,0)</f>
        <v>0</v>
      </c>
      <c r="N3734" s="900" t="s">
        <v>2209</v>
      </c>
    </row>
    <row r="3735" spans="1:14" ht="43.5" hidden="1" customHeight="1">
      <c r="A3735" s="896">
        <v>18</v>
      </c>
      <c r="B3735" s="1609" t="s">
        <v>620</v>
      </c>
      <c r="C3735" s="1609"/>
      <c r="D3735" s="1609"/>
      <c r="E3735" s="1609"/>
      <c r="F3735" s="1609"/>
      <c r="G3735" s="1609"/>
      <c r="H3735" s="1609"/>
      <c r="I3735" s="897"/>
      <c r="J3735" s="898"/>
      <c r="K3735" s="896"/>
      <c r="L3735" s="896"/>
      <c r="M3735" s="899"/>
      <c r="N3735" s="900" t="s">
        <v>2209</v>
      </c>
    </row>
    <row r="3736" spans="1:14" s="910" customFormat="1" ht="16.5" hidden="1" customHeight="1">
      <c r="A3736" s="896"/>
      <c r="B3736" s="980" t="s">
        <v>607</v>
      </c>
      <c r="C3736" s="903"/>
      <c r="D3736" s="904"/>
      <c r="E3736" s="905"/>
      <c r="F3736" s="906"/>
      <c r="G3736" s="906"/>
      <c r="H3736" s="907"/>
      <c r="I3736" s="908"/>
      <c r="J3736" s="909"/>
      <c r="K3736" s="902"/>
      <c r="L3736" s="896"/>
      <c r="M3736" s="902"/>
      <c r="N3736" s="900" t="s">
        <v>2209</v>
      </c>
    </row>
    <row r="3737" spans="1:14" s="910" customFormat="1" ht="16.5" hidden="1" customHeight="1">
      <c r="A3737" s="896"/>
      <c r="B3737" s="980"/>
      <c r="C3737" s="957">
        <v>1</v>
      </c>
      <c r="D3737" s="958" t="s">
        <v>273</v>
      </c>
      <c r="E3737" s="1268">
        <v>4</v>
      </c>
      <c r="F3737" s="960">
        <v>0</v>
      </c>
      <c r="G3737" s="960">
        <v>0</v>
      </c>
      <c r="H3737" s="960">
        <v>0</v>
      </c>
      <c r="I3737" s="1291">
        <f>ROUND(IF(AND(F3737:H3737),C3737*E3737*F3737*G3737*H3737,IF(AND(F3737,G3737),C3737*E3737*F3737*G3737,IF(AND(F3737,H3737),C3737*E3737*F3737*H3737,IF(AND(G3737,H3737),C3737*E3737*G3737*H3737,IF(F3737,C3737*E3737*F3737,IF(G3737,C3737*E3737*G3737,IF(H3737,C3737*E3737*H3737,C3737*E3737))))))),2)</f>
        <v>4</v>
      </c>
      <c r="J3737" s="909" t="s">
        <v>115</v>
      </c>
      <c r="K3737" s="902"/>
      <c r="L3737" s="896"/>
      <c r="M3737" s="902"/>
      <c r="N3737" s="900" t="s">
        <v>2209</v>
      </c>
    </row>
    <row r="3738" spans="1:14" s="910" customFormat="1" ht="16.5" hidden="1" customHeight="1">
      <c r="A3738" s="896"/>
      <c r="B3738" s="980"/>
      <c r="C3738" s="957"/>
      <c r="D3738" s="958"/>
      <c r="E3738" s="1268"/>
      <c r="F3738" s="960"/>
      <c r="G3738" s="960"/>
      <c r="H3738" s="960"/>
      <c r="I3738" s="1291"/>
      <c r="J3738" s="909"/>
      <c r="K3738" s="902"/>
      <c r="L3738" s="896"/>
      <c r="M3738" s="902"/>
      <c r="N3738" s="900" t="s">
        <v>2209</v>
      </c>
    </row>
    <row r="3739" spans="1:14" ht="15.75" hidden="1">
      <c r="A3739" s="896"/>
      <c r="B3739" s="902"/>
      <c r="C3739" s="917"/>
      <c r="D3739" s="918"/>
      <c r="E3739" s="919"/>
      <c r="F3739" s="920"/>
      <c r="G3739" s="921"/>
      <c r="H3739" s="896"/>
      <c r="I3739" s="1291"/>
      <c r="J3739" s="909" t="s">
        <v>115</v>
      </c>
      <c r="K3739" s="922">
        <f>'Ele Data'!I134</f>
        <v>99.531000000000006</v>
      </c>
      <c r="L3739" s="923" t="s">
        <v>2209</v>
      </c>
      <c r="M3739" s="924">
        <f>ROUND(I3739*K3739,0)</f>
        <v>0</v>
      </c>
      <c r="N3739" s="900" t="s">
        <v>2209</v>
      </c>
    </row>
    <row r="3740" spans="1:14" ht="19.5" hidden="1" customHeight="1">
      <c r="A3740" s="896">
        <v>19</v>
      </c>
      <c r="B3740" s="1609" t="s">
        <v>624</v>
      </c>
      <c r="C3740" s="1609"/>
      <c r="D3740" s="1609"/>
      <c r="E3740" s="1609"/>
      <c r="F3740" s="1609"/>
      <c r="G3740" s="1609"/>
      <c r="H3740" s="1609"/>
      <c r="I3740" s="897"/>
      <c r="J3740" s="898"/>
      <c r="K3740" s="896"/>
      <c r="L3740" s="896"/>
      <c r="M3740" s="899"/>
      <c r="N3740" s="900" t="s">
        <v>2209</v>
      </c>
    </row>
    <row r="3741" spans="1:14" s="910" customFormat="1" ht="16.5" hidden="1" customHeight="1">
      <c r="A3741" s="896"/>
      <c r="B3741" s="902" t="s">
        <v>2100</v>
      </c>
      <c r="C3741" s="903"/>
      <c r="D3741" s="904"/>
      <c r="E3741" s="905"/>
      <c r="F3741" s="906"/>
      <c r="G3741" s="906"/>
      <c r="H3741" s="907"/>
      <c r="I3741" s="908"/>
      <c r="J3741" s="909"/>
      <c r="K3741" s="902"/>
      <c r="L3741" s="896"/>
      <c r="M3741" s="902"/>
      <c r="N3741" s="900" t="s">
        <v>2209</v>
      </c>
    </row>
    <row r="3742" spans="1:14" s="910" customFormat="1" ht="16.5" hidden="1" customHeight="1">
      <c r="A3742" s="896"/>
      <c r="B3742" s="980" t="s">
        <v>2080</v>
      </c>
      <c r="C3742" s="957">
        <v>1</v>
      </c>
      <c r="D3742" s="958" t="s">
        <v>273</v>
      </c>
      <c r="E3742" s="1268">
        <v>7</v>
      </c>
      <c r="F3742" s="960">
        <v>0</v>
      </c>
      <c r="G3742" s="960">
        <v>0</v>
      </c>
      <c r="H3742" s="960">
        <v>0</v>
      </c>
      <c r="I3742" s="1291">
        <f>ROUND(IF(AND(F3742:H3742),C3742*E3742*F3742*G3742*H3742,IF(AND(F3742,G3742),C3742*E3742*F3742*G3742,IF(AND(F3742,H3742),C3742*E3742*F3742*H3742,IF(AND(G3742,H3742),C3742*E3742*G3742*H3742,IF(F3742,C3742*E3742*F3742,IF(G3742,C3742*E3742*G3742,IF(H3742,C3742*E3742*H3742,C3742*E3742))))))),2)</f>
        <v>7</v>
      </c>
      <c r="J3742" s="909" t="s">
        <v>115</v>
      </c>
      <c r="K3742" s="902"/>
      <c r="L3742" s="896"/>
      <c r="M3742" s="902"/>
      <c r="N3742" s="900" t="s">
        <v>2209</v>
      </c>
    </row>
    <row r="3743" spans="1:14" s="910" customFormat="1" ht="16.5" hidden="1" customHeight="1">
      <c r="A3743" s="896"/>
      <c r="B3743" s="980"/>
      <c r="C3743" s="957"/>
      <c r="D3743" s="958"/>
      <c r="E3743" s="1268"/>
      <c r="F3743" s="960"/>
      <c r="G3743" s="960"/>
      <c r="H3743" s="960"/>
      <c r="I3743" s="916"/>
      <c r="J3743" s="909"/>
      <c r="K3743" s="902"/>
      <c r="L3743" s="896"/>
      <c r="M3743" s="902"/>
      <c r="N3743" s="900" t="s">
        <v>2209</v>
      </c>
    </row>
    <row r="3744" spans="1:14" ht="15.75" hidden="1">
      <c r="A3744" s="896"/>
      <c r="B3744" s="902"/>
      <c r="C3744" s="917"/>
      <c r="D3744" s="918"/>
      <c r="E3744" s="919"/>
      <c r="F3744" s="920"/>
      <c r="G3744" s="921"/>
      <c r="H3744" s="896"/>
      <c r="I3744" s="1291"/>
      <c r="J3744" s="909" t="s">
        <v>115</v>
      </c>
      <c r="K3744" s="922">
        <f>'Ele Data'!I81</f>
        <v>18</v>
      </c>
      <c r="L3744" s="923" t="s">
        <v>2209</v>
      </c>
      <c r="M3744" s="924">
        <f>ROUND(I3744*K3744,0)</f>
        <v>0</v>
      </c>
      <c r="N3744" s="900" t="s">
        <v>2209</v>
      </c>
    </row>
    <row r="3745" spans="1:14" ht="30" hidden="1" customHeight="1">
      <c r="A3745" s="896">
        <v>17</v>
      </c>
      <c r="B3745" s="1609" t="s">
        <v>1267</v>
      </c>
      <c r="C3745" s="1609"/>
      <c r="D3745" s="1609"/>
      <c r="E3745" s="1609"/>
      <c r="F3745" s="1609"/>
      <c r="G3745" s="1609"/>
      <c r="H3745" s="1609"/>
      <c r="I3745" s="897"/>
      <c r="J3745" s="898"/>
      <c r="K3745" s="896"/>
      <c r="L3745" s="896"/>
      <c r="M3745" s="899"/>
      <c r="N3745" s="900" t="s">
        <v>2209</v>
      </c>
    </row>
    <row r="3746" spans="1:14" s="910" customFormat="1" ht="16.5" hidden="1" customHeight="1">
      <c r="A3746" s="896"/>
      <c r="B3746" s="902" t="s">
        <v>2320</v>
      </c>
      <c r="C3746" s="903"/>
      <c r="D3746" s="904"/>
      <c r="E3746" s="905"/>
      <c r="F3746" s="906"/>
      <c r="G3746" s="906"/>
      <c r="H3746" s="907"/>
      <c r="I3746" s="908"/>
      <c r="J3746" s="909"/>
      <c r="K3746" s="902"/>
      <c r="L3746" s="896"/>
      <c r="M3746" s="902"/>
      <c r="N3746" s="900" t="s">
        <v>2209</v>
      </c>
    </row>
    <row r="3747" spans="1:14" s="910" customFormat="1" ht="16.5" hidden="1" customHeight="1">
      <c r="A3747" s="896"/>
      <c r="B3747" s="980" t="s">
        <v>2080</v>
      </c>
      <c r="C3747" s="912">
        <v>1</v>
      </c>
      <c r="D3747" s="913" t="s">
        <v>273</v>
      </c>
      <c r="E3747" s="914">
        <v>21</v>
      </c>
      <c r="F3747" s="915">
        <v>0</v>
      </c>
      <c r="G3747" s="915">
        <v>0</v>
      </c>
      <c r="H3747" s="915">
        <v>0</v>
      </c>
      <c r="I3747" s="1291">
        <f>ROUND(IF(AND(F3747:H3747),C3747*E3747*F3747*G3747*H3747,IF(AND(F3747,G3747),C3747*E3747*F3747*G3747,IF(AND(F3747,H3747),C3747*E3747*F3747*H3747,IF(AND(G3747,H3747),C3747*E3747*G3747*H3747,IF(F3747,C3747*E3747*F3747,IF(G3747,C3747*E3747*G3747,IF(H3747,C3747*E3747*H3747,C3747*E3747))))))),2)</f>
        <v>21</v>
      </c>
      <c r="J3747" s="909" t="s">
        <v>115</v>
      </c>
      <c r="K3747" s="902"/>
      <c r="L3747" s="896"/>
      <c r="M3747" s="902"/>
      <c r="N3747" s="900" t="s">
        <v>2209</v>
      </c>
    </row>
    <row r="3748" spans="1:14" s="910" customFormat="1" ht="16.5" hidden="1" customHeight="1">
      <c r="A3748" s="896"/>
      <c r="B3748" s="980"/>
      <c r="C3748" s="957"/>
      <c r="D3748" s="958"/>
      <c r="E3748" s="1268"/>
      <c r="F3748" s="960"/>
      <c r="G3748" s="960"/>
      <c r="H3748" s="960"/>
      <c r="I3748" s="1291"/>
      <c r="J3748" s="909"/>
      <c r="K3748" s="902"/>
      <c r="L3748" s="896"/>
      <c r="M3748" s="902"/>
      <c r="N3748" s="900" t="s">
        <v>2209</v>
      </c>
    </row>
    <row r="3749" spans="1:14" ht="15.75" hidden="1">
      <c r="A3749" s="896"/>
      <c r="B3749" s="902"/>
      <c r="C3749" s="917"/>
      <c r="D3749" s="918"/>
      <c r="E3749" s="919"/>
      <c r="F3749" s="920"/>
      <c r="G3749" s="921"/>
      <c r="H3749" s="896"/>
      <c r="I3749" s="1291"/>
      <c r="J3749" s="909" t="s">
        <v>115</v>
      </c>
      <c r="K3749" s="922">
        <f>'Ele Data'!I194</f>
        <v>177.65</v>
      </c>
      <c r="L3749" s="923" t="s">
        <v>2209</v>
      </c>
      <c r="M3749" s="924">
        <f>ROUND(I3749*K3749,0)</f>
        <v>0</v>
      </c>
      <c r="N3749" s="900" t="s">
        <v>2209</v>
      </c>
    </row>
    <row r="3750" spans="1:14" ht="43.5" hidden="1" customHeight="1">
      <c r="A3750" s="896">
        <v>8</v>
      </c>
      <c r="B3750" s="1609" t="s">
        <v>2075</v>
      </c>
      <c r="C3750" s="1609"/>
      <c r="D3750" s="1609"/>
      <c r="E3750" s="1609"/>
      <c r="F3750" s="1609"/>
      <c r="G3750" s="1609"/>
      <c r="H3750" s="1609"/>
      <c r="I3750" s="897"/>
      <c r="J3750" s="898"/>
      <c r="K3750" s="896"/>
      <c r="L3750" s="896"/>
      <c r="M3750" s="899"/>
      <c r="N3750" s="900" t="s">
        <v>2209</v>
      </c>
    </row>
    <row r="3751" spans="1:14" s="910" customFormat="1" ht="16.5" hidden="1" customHeight="1">
      <c r="A3751" s="896"/>
      <c r="B3751" s="902" t="s">
        <v>2340</v>
      </c>
      <c r="C3751" s="903"/>
      <c r="D3751" s="904"/>
      <c r="E3751" s="905"/>
      <c r="F3751" s="906"/>
      <c r="G3751" s="906"/>
      <c r="H3751" s="907"/>
      <c r="I3751" s="908"/>
      <c r="J3751" s="909"/>
      <c r="K3751" s="902"/>
      <c r="L3751" s="896"/>
      <c r="M3751" s="902"/>
      <c r="N3751" s="900" t="s">
        <v>2209</v>
      </c>
    </row>
    <row r="3752" spans="1:14" s="910" customFormat="1" ht="16.5" hidden="1" customHeight="1">
      <c r="A3752" s="896"/>
      <c r="B3752" s="980"/>
      <c r="C3752" s="912">
        <v>1</v>
      </c>
      <c r="D3752" s="913" t="s">
        <v>273</v>
      </c>
      <c r="E3752" s="914">
        <v>12</v>
      </c>
      <c r="F3752" s="915">
        <v>0</v>
      </c>
      <c r="G3752" s="915">
        <v>0</v>
      </c>
      <c r="H3752" s="915">
        <v>0</v>
      </c>
      <c r="I3752" s="1291">
        <f>ROUND(IF(AND(F3752:H3752),C3752*E3752*F3752*G3752*H3752,IF(AND(F3752,G3752),C3752*E3752*F3752*G3752,IF(AND(F3752,H3752),C3752*E3752*F3752*H3752,IF(AND(G3752,H3752),C3752*E3752*G3752*H3752,IF(F3752,C3752*E3752*F3752,IF(G3752,C3752*E3752*G3752,IF(H3752,C3752*E3752*H3752,C3752*E3752))))))),2)</f>
        <v>12</v>
      </c>
      <c r="J3752" s="909" t="s">
        <v>115</v>
      </c>
      <c r="K3752" s="902"/>
      <c r="L3752" s="896"/>
      <c r="M3752" s="902"/>
      <c r="N3752" s="900" t="s">
        <v>2209</v>
      </c>
    </row>
    <row r="3753" spans="1:14" s="910" customFormat="1" ht="16.5" hidden="1" customHeight="1">
      <c r="A3753" s="896"/>
      <c r="B3753" s="980"/>
      <c r="C3753" s="957"/>
      <c r="D3753" s="958"/>
      <c r="E3753" s="1268"/>
      <c r="F3753" s="960"/>
      <c r="G3753" s="960"/>
      <c r="H3753" s="960"/>
      <c r="I3753" s="1291"/>
      <c r="J3753" s="909"/>
      <c r="K3753" s="902"/>
      <c r="L3753" s="896"/>
      <c r="M3753" s="902"/>
      <c r="N3753" s="900" t="s">
        <v>2209</v>
      </c>
    </row>
    <row r="3754" spans="1:14" ht="17.25" hidden="1" customHeight="1">
      <c r="A3754" s="896"/>
      <c r="B3754" s="902"/>
      <c r="C3754" s="917"/>
      <c r="D3754" s="918"/>
      <c r="E3754" s="919"/>
      <c r="F3754" s="920"/>
      <c r="G3754" s="921"/>
      <c r="H3754" s="896"/>
      <c r="I3754" s="1291"/>
      <c r="J3754" s="909" t="s">
        <v>115</v>
      </c>
      <c r="K3754" s="922">
        <f>'Ele Data'!I206</f>
        <v>2636.625</v>
      </c>
      <c r="L3754" s="923" t="s">
        <v>2209</v>
      </c>
      <c r="M3754" s="924">
        <f>ROUND(I3754*K3754,0)</f>
        <v>0</v>
      </c>
      <c r="N3754" s="900" t="s">
        <v>2209</v>
      </c>
    </row>
    <row r="3755" spans="1:14" ht="21" hidden="1" customHeight="1">
      <c r="A3755" s="896">
        <v>18</v>
      </c>
      <c r="B3755" s="1609" t="s">
        <v>1571</v>
      </c>
      <c r="C3755" s="1609"/>
      <c r="D3755" s="1609"/>
      <c r="E3755" s="1609"/>
      <c r="F3755" s="1609"/>
      <c r="G3755" s="1609"/>
      <c r="H3755" s="1609"/>
      <c r="I3755" s="897"/>
      <c r="J3755" s="898"/>
      <c r="K3755" s="896"/>
      <c r="L3755" s="896"/>
      <c r="M3755" s="899"/>
      <c r="N3755" s="900" t="s">
        <v>2209</v>
      </c>
    </row>
    <row r="3756" spans="1:14" s="910" customFormat="1" ht="16.5" hidden="1" customHeight="1">
      <c r="A3756" s="896"/>
      <c r="B3756" s="902" t="s">
        <v>2340</v>
      </c>
      <c r="C3756" s="903"/>
      <c r="D3756" s="904"/>
      <c r="E3756" s="905"/>
      <c r="F3756" s="906"/>
      <c r="G3756" s="906"/>
      <c r="H3756" s="907"/>
      <c r="I3756" s="908"/>
      <c r="J3756" s="909"/>
      <c r="K3756" s="902"/>
      <c r="L3756" s="896"/>
      <c r="M3756" s="902"/>
      <c r="N3756" s="900" t="s">
        <v>2209</v>
      </c>
    </row>
    <row r="3757" spans="1:14" s="910" customFormat="1" ht="16.5" hidden="1" customHeight="1">
      <c r="A3757" s="896"/>
      <c r="B3757" s="980"/>
      <c r="C3757" s="912">
        <v>1</v>
      </c>
      <c r="D3757" s="913" t="s">
        <v>273</v>
      </c>
      <c r="E3757" s="914">
        <v>12</v>
      </c>
      <c r="F3757" s="915">
        <v>0</v>
      </c>
      <c r="G3757" s="915">
        <v>0</v>
      </c>
      <c r="H3757" s="915">
        <v>0</v>
      </c>
      <c r="I3757" s="1291">
        <f>ROUND(IF(AND(F3757:H3757),C3757*E3757*F3757*G3757*H3757,IF(AND(F3757,G3757),C3757*E3757*F3757*G3757,IF(AND(F3757,H3757),C3757*E3757*F3757*H3757,IF(AND(G3757,H3757),C3757*E3757*G3757*H3757,IF(F3757,C3757*E3757*F3757,IF(G3757,C3757*E3757*G3757,IF(H3757,C3757*E3757*H3757,C3757*E3757))))))),2)</f>
        <v>12</v>
      </c>
      <c r="J3757" s="909" t="s">
        <v>115</v>
      </c>
      <c r="K3757" s="902"/>
      <c r="L3757" s="896"/>
      <c r="M3757" s="902"/>
      <c r="N3757" s="900" t="s">
        <v>2209</v>
      </c>
    </row>
    <row r="3758" spans="1:14" s="910" customFormat="1" ht="16.5" hidden="1" customHeight="1">
      <c r="A3758" s="896"/>
      <c r="B3758" s="980"/>
      <c r="C3758" s="957"/>
      <c r="D3758" s="958"/>
      <c r="E3758" s="1268"/>
      <c r="F3758" s="960"/>
      <c r="G3758" s="960"/>
      <c r="H3758" s="960"/>
      <c r="I3758" s="916"/>
      <c r="J3758" s="909"/>
      <c r="K3758" s="902"/>
      <c r="L3758" s="896"/>
      <c r="M3758" s="902"/>
      <c r="N3758" s="900" t="s">
        <v>2209</v>
      </c>
    </row>
    <row r="3759" spans="1:14" ht="15.75" hidden="1">
      <c r="A3759" s="896"/>
      <c r="B3759" s="902"/>
      <c r="C3759" s="917"/>
      <c r="D3759" s="918"/>
      <c r="E3759" s="919"/>
      <c r="F3759" s="920"/>
      <c r="G3759" s="921"/>
      <c r="H3759" s="896"/>
      <c r="I3759" s="1291"/>
      <c r="J3759" s="909" t="s">
        <v>115</v>
      </c>
      <c r="K3759" s="922">
        <f>'Ele Data'!I233</f>
        <v>252.38800000000001</v>
      </c>
      <c r="L3759" s="923" t="s">
        <v>2209</v>
      </c>
      <c r="M3759" s="924">
        <f>ROUND(I3759*K3759,0)</f>
        <v>0</v>
      </c>
      <c r="N3759" s="900" t="s">
        <v>2209</v>
      </c>
    </row>
    <row r="3760" spans="1:14" ht="43.5" hidden="1" customHeight="1">
      <c r="A3760" s="896">
        <v>19</v>
      </c>
      <c r="B3760" s="1609" t="s">
        <v>946</v>
      </c>
      <c r="C3760" s="1609"/>
      <c r="D3760" s="1609"/>
      <c r="E3760" s="1609"/>
      <c r="F3760" s="1609"/>
      <c r="G3760" s="1609"/>
      <c r="H3760" s="1609"/>
      <c r="I3760" s="897"/>
      <c r="J3760" s="898"/>
      <c r="K3760" s="896"/>
      <c r="L3760" s="896"/>
      <c r="M3760" s="899"/>
      <c r="N3760" s="900" t="s">
        <v>2209</v>
      </c>
    </row>
    <row r="3761" spans="1:14" s="910" customFormat="1" ht="16.5" hidden="1" customHeight="1">
      <c r="A3761" s="896"/>
      <c r="B3761" s="902" t="s">
        <v>2320</v>
      </c>
      <c r="C3761" s="903"/>
      <c r="D3761" s="904"/>
      <c r="E3761" s="905"/>
      <c r="F3761" s="906"/>
      <c r="G3761" s="906"/>
      <c r="H3761" s="907"/>
      <c r="I3761" s="908"/>
      <c r="J3761" s="909"/>
      <c r="K3761" s="902"/>
      <c r="L3761" s="896"/>
      <c r="M3761" s="902"/>
      <c r="N3761" s="900" t="s">
        <v>2209</v>
      </c>
    </row>
    <row r="3762" spans="1:14" s="910" customFormat="1" ht="16.5" hidden="1" customHeight="1">
      <c r="A3762" s="896"/>
      <c r="B3762" s="980" t="s">
        <v>2080</v>
      </c>
      <c r="C3762" s="957">
        <v>1</v>
      </c>
      <c r="D3762" s="958" t="s">
        <v>273</v>
      </c>
      <c r="E3762" s="1268">
        <v>7</v>
      </c>
      <c r="F3762" s="960">
        <v>0</v>
      </c>
      <c r="G3762" s="960">
        <v>0</v>
      </c>
      <c r="H3762" s="960">
        <v>0</v>
      </c>
      <c r="I3762" s="1291">
        <f>ROUND(IF(AND(F3762:H3762),C3762*E3762*F3762*G3762*H3762,IF(AND(F3762,G3762),C3762*E3762*F3762*G3762,IF(AND(F3762,H3762),C3762*E3762*F3762*H3762,IF(AND(G3762,H3762),C3762*E3762*G3762*H3762,IF(F3762,C3762*E3762*F3762,IF(G3762,C3762*E3762*G3762,IF(H3762,C3762*E3762*H3762,C3762*E3762))))))),2)</f>
        <v>7</v>
      </c>
      <c r="J3762" s="909" t="s">
        <v>115</v>
      </c>
      <c r="K3762" s="902"/>
      <c r="L3762" s="896"/>
      <c r="M3762" s="902"/>
      <c r="N3762" s="900" t="s">
        <v>2209</v>
      </c>
    </row>
    <row r="3763" spans="1:14" s="910" customFormat="1" ht="16.5" hidden="1" customHeight="1">
      <c r="A3763" s="896"/>
      <c r="B3763" s="980"/>
      <c r="C3763" s="957"/>
      <c r="D3763" s="958"/>
      <c r="E3763" s="1268"/>
      <c r="F3763" s="960"/>
      <c r="G3763" s="960"/>
      <c r="H3763" s="960"/>
      <c r="I3763" s="1291"/>
      <c r="J3763" s="909"/>
      <c r="K3763" s="902"/>
      <c r="L3763" s="896"/>
      <c r="M3763" s="902"/>
      <c r="N3763" s="900" t="s">
        <v>2209</v>
      </c>
    </row>
    <row r="3764" spans="1:14" ht="15.75" hidden="1">
      <c r="A3764" s="896"/>
      <c r="B3764" s="902"/>
      <c r="C3764" s="917"/>
      <c r="D3764" s="918"/>
      <c r="E3764" s="919"/>
      <c r="F3764" s="920"/>
      <c r="G3764" s="921"/>
      <c r="H3764" s="896"/>
      <c r="I3764" s="1291"/>
      <c r="J3764" s="909" t="s">
        <v>115</v>
      </c>
      <c r="K3764" s="922">
        <f>'Ele Data'!I210</f>
        <v>2323</v>
      </c>
      <c r="L3764" s="923" t="s">
        <v>2209</v>
      </c>
      <c r="M3764" s="924">
        <f>ROUND(I3764*K3764,0)</f>
        <v>0</v>
      </c>
      <c r="N3764" s="900" t="s">
        <v>2209</v>
      </c>
    </row>
    <row r="3765" spans="1:14" ht="30.75" hidden="1" customHeight="1">
      <c r="A3765" s="896">
        <v>20</v>
      </c>
      <c r="B3765" s="1609" t="s">
        <v>947</v>
      </c>
      <c r="C3765" s="1609"/>
      <c r="D3765" s="1609"/>
      <c r="E3765" s="1609"/>
      <c r="F3765" s="1609"/>
      <c r="G3765" s="1609"/>
      <c r="H3765" s="1609"/>
      <c r="I3765" s="1291"/>
      <c r="J3765" s="898"/>
      <c r="K3765" s="896"/>
      <c r="L3765" s="896"/>
      <c r="M3765" s="899"/>
      <c r="N3765" s="900" t="s">
        <v>2209</v>
      </c>
    </row>
    <row r="3766" spans="1:14" s="910" customFormat="1" ht="16.5" hidden="1" customHeight="1">
      <c r="A3766" s="896"/>
      <c r="B3766" s="902" t="s">
        <v>2320</v>
      </c>
      <c r="C3766" s="903"/>
      <c r="D3766" s="904"/>
      <c r="E3766" s="905"/>
      <c r="F3766" s="906"/>
      <c r="G3766" s="906"/>
      <c r="H3766" s="907"/>
      <c r="I3766" s="908"/>
      <c r="J3766" s="909"/>
      <c r="K3766" s="902"/>
      <c r="L3766" s="896"/>
      <c r="M3766" s="902"/>
      <c r="N3766" s="900" t="s">
        <v>2209</v>
      </c>
    </row>
    <row r="3767" spans="1:14" s="910" customFormat="1" ht="16.5" hidden="1" customHeight="1">
      <c r="A3767" s="896"/>
      <c r="B3767" s="980"/>
      <c r="C3767" s="957">
        <v>1</v>
      </c>
      <c r="D3767" s="958" t="s">
        <v>273</v>
      </c>
      <c r="E3767" s="1268">
        <v>12</v>
      </c>
      <c r="F3767" s="960">
        <v>0</v>
      </c>
      <c r="G3767" s="960">
        <v>0</v>
      </c>
      <c r="H3767" s="960">
        <v>0</v>
      </c>
      <c r="I3767" s="1291">
        <f>ROUND(IF(AND(F3767:H3767),C3767*E3767*F3767*G3767*H3767,IF(AND(F3767,G3767),C3767*E3767*F3767*G3767,IF(AND(F3767,H3767),C3767*E3767*F3767*H3767,IF(AND(G3767,H3767),C3767*E3767*G3767*H3767,IF(F3767,C3767*E3767*F3767,IF(G3767,C3767*E3767*G3767,IF(H3767,C3767*E3767*H3767,C3767*E3767))))))),2)</f>
        <v>12</v>
      </c>
      <c r="J3767" s="909" t="s">
        <v>115</v>
      </c>
      <c r="K3767" s="902"/>
      <c r="L3767" s="896"/>
      <c r="M3767" s="902"/>
      <c r="N3767" s="900" t="s">
        <v>2209</v>
      </c>
    </row>
    <row r="3768" spans="1:14" s="910" customFormat="1" ht="16.5" hidden="1" customHeight="1">
      <c r="A3768" s="896"/>
      <c r="B3768" s="980"/>
      <c r="C3768" s="957"/>
      <c r="D3768" s="958"/>
      <c r="E3768" s="1268"/>
      <c r="F3768" s="960"/>
      <c r="G3768" s="960"/>
      <c r="H3768" s="960"/>
      <c r="I3768" s="1291"/>
      <c r="J3768" s="909"/>
      <c r="K3768" s="902"/>
      <c r="L3768" s="896"/>
      <c r="M3768" s="902"/>
      <c r="N3768" s="900" t="s">
        <v>2209</v>
      </c>
    </row>
    <row r="3769" spans="1:14" ht="15.75" hidden="1">
      <c r="A3769" s="896"/>
      <c r="B3769" s="902"/>
      <c r="C3769" s="917"/>
      <c r="D3769" s="918"/>
      <c r="E3769" s="919"/>
      <c r="F3769" s="920"/>
      <c r="G3769" s="921"/>
      <c r="H3769" s="896"/>
      <c r="I3769" s="1291"/>
      <c r="J3769" s="909" t="s">
        <v>115</v>
      </c>
      <c r="K3769" s="922">
        <f>'Ele Data'!I215</f>
        <v>237.5</v>
      </c>
      <c r="L3769" s="923" t="s">
        <v>2209</v>
      </c>
      <c r="M3769" s="924">
        <f>ROUND(I3769*K3769,0)</f>
        <v>0</v>
      </c>
      <c r="N3769" s="900" t="s">
        <v>2209</v>
      </c>
    </row>
    <row r="3770" spans="1:14" ht="30.75" hidden="1" customHeight="1">
      <c r="A3770" s="896">
        <v>21</v>
      </c>
      <c r="B3770" s="1609" t="s">
        <v>948</v>
      </c>
      <c r="C3770" s="1609"/>
      <c r="D3770" s="1609"/>
      <c r="E3770" s="1609"/>
      <c r="F3770" s="1609"/>
      <c r="G3770" s="1609"/>
      <c r="H3770" s="1609"/>
      <c r="I3770" s="897"/>
      <c r="J3770" s="898"/>
      <c r="K3770" s="896"/>
      <c r="L3770" s="896"/>
      <c r="M3770" s="899"/>
      <c r="N3770" s="900" t="s">
        <v>2209</v>
      </c>
    </row>
    <row r="3771" spans="1:14" s="910" customFormat="1" ht="16.5" hidden="1" customHeight="1">
      <c r="A3771" s="896"/>
      <c r="B3771" s="902" t="s">
        <v>2320</v>
      </c>
      <c r="C3771" s="903"/>
      <c r="D3771" s="904"/>
      <c r="E3771" s="905"/>
      <c r="F3771" s="906"/>
      <c r="G3771" s="906"/>
      <c r="H3771" s="907"/>
      <c r="I3771" s="908"/>
      <c r="J3771" s="909"/>
      <c r="K3771" s="902"/>
      <c r="L3771" s="896"/>
      <c r="M3771" s="902"/>
      <c r="N3771" s="900" t="s">
        <v>2209</v>
      </c>
    </row>
    <row r="3772" spans="1:14" s="910" customFormat="1" ht="16.5" hidden="1" customHeight="1">
      <c r="A3772" s="896"/>
      <c r="B3772" s="980"/>
      <c r="C3772" s="957">
        <v>1</v>
      </c>
      <c r="D3772" s="958" t="s">
        <v>273</v>
      </c>
      <c r="E3772" s="1268">
        <v>7</v>
      </c>
      <c r="F3772" s="960">
        <v>0</v>
      </c>
      <c r="G3772" s="960">
        <v>0</v>
      </c>
      <c r="H3772" s="960">
        <v>0</v>
      </c>
      <c r="I3772" s="1291">
        <f>ROUND(IF(AND(F3772:H3772),C3772*E3772*F3772*G3772*H3772,IF(AND(F3772,G3772),C3772*E3772*F3772*G3772,IF(AND(F3772,H3772),C3772*E3772*F3772*H3772,IF(AND(G3772,H3772),C3772*E3772*G3772*H3772,IF(F3772,C3772*E3772*F3772,IF(G3772,C3772*E3772*G3772,IF(H3772,C3772*E3772*H3772,C3772*E3772))))))),2)</f>
        <v>7</v>
      </c>
      <c r="J3772" s="909" t="s">
        <v>115</v>
      </c>
      <c r="K3772" s="902"/>
      <c r="L3772" s="896"/>
      <c r="M3772" s="902"/>
      <c r="N3772" s="900" t="s">
        <v>2209</v>
      </c>
    </row>
    <row r="3773" spans="1:14" s="910" customFormat="1" ht="16.5" hidden="1" customHeight="1">
      <c r="A3773" s="896"/>
      <c r="B3773" s="980"/>
      <c r="C3773" s="957"/>
      <c r="D3773" s="958"/>
      <c r="E3773" s="1268"/>
      <c r="F3773" s="960"/>
      <c r="G3773" s="960"/>
      <c r="H3773" s="960"/>
      <c r="I3773" s="1291"/>
      <c r="J3773" s="909"/>
      <c r="K3773" s="902"/>
      <c r="L3773" s="896"/>
      <c r="M3773" s="902"/>
      <c r="N3773" s="900" t="s">
        <v>2209</v>
      </c>
    </row>
    <row r="3774" spans="1:14" ht="15.75" hidden="1">
      <c r="A3774" s="896"/>
      <c r="B3774" s="902"/>
      <c r="C3774" s="917"/>
      <c r="D3774" s="918"/>
      <c r="E3774" s="919"/>
      <c r="F3774" s="920"/>
      <c r="G3774" s="921"/>
      <c r="H3774" s="896"/>
      <c r="I3774" s="1291"/>
      <c r="J3774" s="909" t="s">
        <v>115</v>
      </c>
      <c r="K3774" s="922">
        <f>'Ele Data'!I222</f>
        <v>133.625</v>
      </c>
      <c r="L3774" s="923" t="s">
        <v>2209</v>
      </c>
      <c r="M3774" s="924">
        <f>ROUND(I3774*K3774,0)</f>
        <v>0</v>
      </c>
      <c r="N3774" s="900" t="s">
        <v>2209</v>
      </c>
    </row>
    <row r="3775" spans="1:14" ht="30.75" hidden="1" customHeight="1">
      <c r="A3775" s="896">
        <v>15</v>
      </c>
      <c r="B3775" s="1609" t="s">
        <v>950</v>
      </c>
      <c r="C3775" s="1609"/>
      <c r="D3775" s="1609"/>
      <c r="E3775" s="1609"/>
      <c r="F3775" s="1609"/>
      <c r="G3775" s="1609"/>
      <c r="H3775" s="1609"/>
      <c r="I3775" s="897"/>
      <c r="J3775" s="898"/>
      <c r="K3775" s="896"/>
      <c r="L3775" s="896"/>
      <c r="M3775" s="899"/>
      <c r="N3775" s="900" t="s">
        <v>2209</v>
      </c>
    </row>
    <row r="3776" spans="1:14" s="910" customFormat="1" ht="16.5" hidden="1" customHeight="1">
      <c r="A3776" s="896"/>
      <c r="B3776" s="902" t="s">
        <v>2350</v>
      </c>
      <c r="C3776" s="903"/>
      <c r="D3776" s="904"/>
      <c r="E3776" s="905"/>
      <c r="F3776" s="906"/>
      <c r="G3776" s="906"/>
      <c r="H3776" s="907"/>
      <c r="I3776" s="908"/>
      <c r="J3776" s="909"/>
      <c r="K3776" s="902"/>
      <c r="L3776" s="896"/>
      <c r="M3776" s="902"/>
      <c r="N3776" s="900" t="s">
        <v>2209</v>
      </c>
    </row>
    <row r="3777" spans="1:14" s="910" customFormat="1" ht="16.5" hidden="1" customHeight="1">
      <c r="A3777" s="896"/>
      <c r="B3777" s="980" t="s">
        <v>660</v>
      </c>
      <c r="C3777" s="957">
        <v>1</v>
      </c>
      <c r="D3777" s="958" t="s">
        <v>273</v>
      </c>
      <c r="E3777" s="1268">
        <v>2</v>
      </c>
      <c r="F3777" s="960">
        <v>0</v>
      </c>
      <c r="G3777" s="960">
        <v>0</v>
      </c>
      <c r="H3777" s="960">
        <v>0</v>
      </c>
      <c r="I3777" s="1291">
        <f>ROUND(IF(AND(F3777:H3777),C3777*E3777*F3777*G3777*H3777,IF(AND(F3777,G3777),C3777*E3777*F3777*G3777,IF(AND(F3777,H3777),C3777*E3777*F3777*H3777,IF(AND(G3777,H3777),C3777*E3777*G3777*H3777,IF(F3777,C3777*E3777*F3777,IF(G3777,C3777*E3777*G3777,IF(H3777,C3777*E3777*H3777,C3777*E3777))))))),2)</f>
        <v>2</v>
      </c>
      <c r="J3777" s="909" t="s">
        <v>115</v>
      </c>
      <c r="K3777" s="902"/>
      <c r="L3777" s="896"/>
      <c r="M3777" s="902"/>
      <c r="N3777" s="900" t="s">
        <v>2209</v>
      </c>
    </row>
    <row r="3778" spans="1:14" s="910" customFormat="1" ht="16.5" hidden="1" customHeight="1">
      <c r="A3778" s="896"/>
      <c r="B3778" s="980" t="s">
        <v>650</v>
      </c>
      <c r="C3778" s="957">
        <v>1</v>
      </c>
      <c r="D3778" s="958" t="s">
        <v>273</v>
      </c>
      <c r="E3778" s="1268">
        <v>1</v>
      </c>
      <c r="F3778" s="960">
        <v>0</v>
      </c>
      <c r="G3778" s="960">
        <v>0</v>
      </c>
      <c r="H3778" s="960">
        <v>0</v>
      </c>
      <c r="I3778" s="1291">
        <f>ROUND(IF(AND(F3778:H3778),C3778*E3778*F3778*G3778*H3778,IF(AND(F3778,G3778),C3778*E3778*F3778*G3778,IF(AND(F3778,H3778),C3778*E3778*F3778*H3778,IF(AND(G3778,H3778),C3778*E3778*G3778*H3778,IF(F3778,C3778*E3778*F3778,IF(G3778,C3778*E3778*G3778,IF(H3778,C3778*E3778*H3778,C3778*E3778))))))),2)</f>
        <v>1</v>
      </c>
      <c r="J3778" s="909" t="s">
        <v>115</v>
      </c>
      <c r="K3778" s="902"/>
      <c r="L3778" s="896"/>
      <c r="M3778" s="902"/>
      <c r="N3778" s="900" t="s">
        <v>2209</v>
      </c>
    </row>
    <row r="3779" spans="1:14" s="910" customFormat="1" ht="16.5" hidden="1" customHeight="1">
      <c r="A3779" s="896"/>
      <c r="B3779" s="980" t="s">
        <v>1170</v>
      </c>
      <c r="C3779" s="957">
        <v>1</v>
      </c>
      <c r="D3779" s="958" t="s">
        <v>273</v>
      </c>
      <c r="E3779" s="1268">
        <v>1</v>
      </c>
      <c r="F3779" s="960">
        <v>0</v>
      </c>
      <c r="G3779" s="960">
        <v>0</v>
      </c>
      <c r="H3779" s="960">
        <v>0</v>
      </c>
      <c r="I3779" s="1291">
        <f>ROUND(IF(AND(F3779:H3779),C3779*E3779*F3779*G3779*H3779,IF(AND(F3779,G3779),C3779*E3779*F3779*G3779,IF(AND(F3779,H3779),C3779*E3779*F3779*H3779,IF(AND(G3779,H3779),C3779*E3779*G3779*H3779,IF(F3779,C3779*E3779*F3779,IF(G3779,C3779*E3779*G3779,IF(H3779,C3779*E3779*H3779,C3779*E3779))))))),2)</f>
        <v>1</v>
      </c>
      <c r="J3779" s="909" t="s">
        <v>115</v>
      </c>
      <c r="K3779" s="902"/>
      <c r="L3779" s="896"/>
      <c r="M3779" s="902"/>
      <c r="N3779" s="900" t="s">
        <v>2209</v>
      </c>
    </row>
    <row r="3780" spans="1:14" s="910" customFormat="1" ht="16.5" hidden="1" customHeight="1">
      <c r="A3780" s="896"/>
      <c r="B3780" s="980"/>
      <c r="C3780" s="957"/>
      <c r="D3780" s="958"/>
      <c r="E3780" s="1268"/>
      <c r="F3780" s="960"/>
      <c r="G3780" s="960"/>
      <c r="H3780" s="960"/>
      <c r="I3780" s="1291"/>
      <c r="J3780" s="909"/>
      <c r="K3780" s="902"/>
      <c r="L3780" s="896"/>
      <c r="M3780" s="902"/>
      <c r="N3780" s="900" t="s">
        <v>2209</v>
      </c>
    </row>
    <row r="3781" spans="1:14" ht="15.75" hidden="1">
      <c r="A3781" s="896"/>
      <c r="B3781" s="902"/>
      <c r="C3781" s="917"/>
      <c r="D3781" s="918"/>
      <c r="E3781" s="919"/>
      <c r="F3781" s="920"/>
      <c r="G3781" s="921"/>
      <c r="H3781" s="896"/>
      <c r="I3781" s="1291"/>
      <c r="J3781" s="909" t="s">
        <v>115</v>
      </c>
      <c r="K3781" s="922">
        <f>'Ele Data'!I228</f>
        <v>126.80000000000001</v>
      </c>
      <c r="L3781" s="923" t="s">
        <v>2209</v>
      </c>
      <c r="M3781" s="924">
        <f>ROUND(I3781*K3781,0)</f>
        <v>0</v>
      </c>
      <c r="N3781" s="900" t="s">
        <v>2209</v>
      </c>
    </row>
    <row r="3782" spans="1:14" ht="41.25" hidden="1" customHeight="1">
      <c r="A3782" s="896">
        <v>22</v>
      </c>
      <c r="B3782" s="1609" t="s">
        <v>442</v>
      </c>
      <c r="C3782" s="1609"/>
      <c r="D3782" s="1609"/>
      <c r="E3782" s="1609"/>
      <c r="F3782" s="1609"/>
      <c r="G3782" s="1609"/>
      <c r="H3782" s="1609"/>
      <c r="I3782" s="897"/>
      <c r="J3782" s="898"/>
      <c r="K3782" s="896"/>
      <c r="L3782" s="896"/>
      <c r="M3782" s="899"/>
      <c r="N3782" s="900" t="s">
        <v>2209</v>
      </c>
    </row>
    <row r="3783" spans="1:14" s="910" customFormat="1" ht="16.5" hidden="1" customHeight="1">
      <c r="A3783" s="896"/>
      <c r="B3783" s="902" t="s">
        <v>2340</v>
      </c>
      <c r="C3783" s="903"/>
      <c r="D3783" s="904"/>
      <c r="E3783" s="905"/>
      <c r="F3783" s="906"/>
      <c r="G3783" s="906"/>
      <c r="H3783" s="907"/>
      <c r="I3783" s="908"/>
      <c r="J3783" s="909"/>
      <c r="K3783" s="902"/>
      <c r="L3783" s="896"/>
      <c r="M3783" s="902"/>
      <c r="N3783" s="900" t="s">
        <v>2209</v>
      </c>
    </row>
    <row r="3784" spans="1:14" s="910" customFormat="1" ht="16.5" hidden="1" customHeight="1">
      <c r="A3784" s="896"/>
      <c r="B3784" s="980"/>
      <c r="C3784" s="912">
        <v>1</v>
      </c>
      <c r="D3784" s="913" t="s">
        <v>273</v>
      </c>
      <c r="E3784" s="914">
        <v>14</v>
      </c>
      <c r="F3784" s="915">
        <v>0</v>
      </c>
      <c r="G3784" s="915">
        <v>0</v>
      </c>
      <c r="H3784" s="915">
        <v>0</v>
      </c>
      <c r="I3784" s="1291">
        <f>ROUND(IF(AND(F3784:H3784),C3784*E3784*F3784*G3784*H3784,IF(AND(F3784,G3784),C3784*E3784*F3784*G3784,IF(AND(F3784,H3784),C3784*E3784*F3784*H3784,IF(AND(G3784,H3784),C3784*E3784*G3784*H3784,IF(F3784,C3784*E3784*F3784,IF(G3784,C3784*E3784*G3784,IF(H3784,C3784*E3784*H3784,C3784*E3784))))))),2)</f>
        <v>14</v>
      </c>
      <c r="J3784" s="909" t="s">
        <v>115</v>
      </c>
      <c r="K3784" s="902"/>
      <c r="L3784" s="896"/>
      <c r="M3784" s="902"/>
      <c r="N3784" s="900" t="s">
        <v>2209</v>
      </c>
    </row>
    <row r="3785" spans="1:14" s="910" customFormat="1" ht="16.5" hidden="1" customHeight="1">
      <c r="A3785" s="896"/>
      <c r="B3785" s="980"/>
      <c r="C3785" s="957"/>
      <c r="D3785" s="958"/>
      <c r="E3785" s="1268"/>
      <c r="F3785" s="960"/>
      <c r="G3785" s="960"/>
      <c r="H3785" s="960"/>
      <c r="I3785" s="1291"/>
      <c r="J3785" s="909"/>
      <c r="K3785" s="902"/>
      <c r="L3785" s="896"/>
      <c r="M3785" s="902"/>
      <c r="N3785" s="900" t="s">
        <v>2209</v>
      </c>
    </row>
    <row r="3786" spans="1:14" ht="15.75" hidden="1">
      <c r="A3786" s="896"/>
      <c r="B3786" s="902"/>
      <c r="C3786" s="917"/>
      <c r="D3786" s="918"/>
      <c r="E3786" s="919"/>
      <c r="F3786" s="920"/>
      <c r="G3786" s="921"/>
      <c r="H3786" s="896"/>
      <c r="I3786" s="1291"/>
      <c r="J3786" s="909" t="s">
        <v>115</v>
      </c>
      <c r="K3786" s="922">
        <f>'Ele Data'!I241</f>
        <v>404.1</v>
      </c>
      <c r="L3786" s="923" t="s">
        <v>2209</v>
      </c>
      <c r="M3786" s="924">
        <f>ROUND(I3786*K3786,0)</f>
        <v>0</v>
      </c>
      <c r="N3786" s="900" t="s">
        <v>2209</v>
      </c>
    </row>
    <row r="3787" spans="1:14" ht="66.75" hidden="1" customHeight="1">
      <c r="A3787" s="896">
        <v>23</v>
      </c>
      <c r="B3787" s="1609" t="s">
        <v>2090</v>
      </c>
      <c r="C3787" s="1609"/>
      <c r="D3787" s="1609"/>
      <c r="E3787" s="1609"/>
      <c r="F3787" s="1609"/>
      <c r="G3787" s="1609"/>
      <c r="H3787" s="1609"/>
      <c r="I3787" s="897"/>
      <c r="J3787" s="898"/>
      <c r="K3787" s="896"/>
      <c r="L3787" s="896"/>
      <c r="M3787" s="899"/>
      <c r="N3787" s="900" t="s">
        <v>2209</v>
      </c>
    </row>
    <row r="3788" spans="1:14" s="910" customFormat="1" ht="16.5" hidden="1" customHeight="1">
      <c r="A3788" s="896"/>
      <c r="B3788" s="902" t="s">
        <v>2100</v>
      </c>
      <c r="C3788" s="903"/>
      <c r="D3788" s="904"/>
      <c r="E3788" s="905"/>
      <c r="F3788" s="906"/>
      <c r="G3788" s="906"/>
      <c r="H3788" s="907"/>
      <c r="I3788" s="908"/>
      <c r="J3788" s="909"/>
      <c r="K3788" s="902"/>
      <c r="L3788" s="896"/>
      <c r="M3788" s="902"/>
      <c r="N3788" s="900" t="s">
        <v>2209</v>
      </c>
    </row>
    <row r="3789" spans="1:14" s="910" customFormat="1" ht="16.5" hidden="1" customHeight="1">
      <c r="A3789" s="896"/>
      <c r="B3789" s="980"/>
      <c r="C3789" s="957">
        <v>1</v>
      </c>
      <c r="D3789" s="958" t="s">
        <v>273</v>
      </c>
      <c r="E3789" s="1268">
        <v>1</v>
      </c>
      <c r="F3789" s="960">
        <v>0</v>
      </c>
      <c r="G3789" s="960">
        <v>0</v>
      </c>
      <c r="H3789" s="960">
        <v>0</v>
      </c>
      <c r="I3789" s="1291">
        <f>ROUND(IF(AND(F3789:H3789),C3789*E3789*F3789*G3789*H3789,IF(AND(F3789,G3789),C3789*E3789*F3789*G3789,IF(AND(F3789,H3789),C3789*E3789*F3789*H3789,IF(AND(G3789,H3789),C3789*E3789*G3789*H3789,IF(F3789,C3789*E3789*F3789,IF(G3789,C3789*E3789*G3789,IF(H3789,C3789*E3789*H3789,C3789*E3789))))))),2)</f>
        <v>1</v>
      </c>
      <c r="J3789" s="909" t="s">
        <v>115</v>
      </c>
      <c r="K3789" s="902"/>
      <c r="L3789" s="896"/>
      <c r="M3789" s="902"/>
      <c r="N3789" s="900" t="s">
        <v>2209</v>
      </c>
    </row>
    <row r="3790" spans="1:14" s="910" customFormat="1" ht="16.5" hidden="1" customHeight="1">
      <c r="A3790" s="896"/>
      <c r="B3790" s="980"/>
      <c r="C3790" s="957"/>
      <c r="D3790" s="958"/>
      <c r="E3790" s="1268"/>
      <c r="F3790" s="960"/>
      <c r="G3790" s="960"/>
      <c r="H3790" s="960"/>
      <c r="I3790" s="1291"/>
      <c r="J3790" s="909"/>
      <c r="K3790" s="902"/>
      <c r="L3790" s="896"/>
      <c r="M3790" s="902"/>
      <c r="N3790" s="900" t="s">
        <v>2209</v>
      </c>
    </row>
    <row r="3791" spans="1:14" ht="15.75" hidden="1">
      <c r="A3791" s="896"/>
      <c r="B3791" s="902"/>
      <c r="C3791" s="917"/>
      <c r="D3791" s="918"/>
      <c r="E3791" s="919"/>
      <c r="F3791" s="920"/>
      <c r="G3791" s="921"/>
      <c r="H3791" s="896"/>
      <c r="I3791" s="1291"/>
      <c r="J3791" s="909" t="s">
        <v>115</v>
      </c>
      <c r="K3791" s="922">
        <f>'Ele Data'!I284</f>
        <v>1980</v>
      </c>
      <c r="L3791" s="923" t="s">
        <v>2209</v>
      </c>
      <c r="M3791" s="924">
        <f>ROUND(I3791*K3791,0)</f>
        <v>0</v>
      </c>
      <c r="N3791" s="900" t="s">
        <v>2209</v>
      </c>
    </row>
    <row r="3792" spans="1:14" ht="110.25" hidden="1" customHeight="1">
      <c r="A3792" s="896">
        <v>23</v>
      </c>
      <c r="B3792" s="1609" t="s">
        <v>2254</v>
      </c>
      <c r="C3792" s="1609"/>
      <c r="D3792" s="1609"/>
      <c r="E3792" s="1609"/>
      <c r="F3792" s="1609"/>
      <c r="G3792" s="1609"/>
      <c r="H3792" s="1609"/>
      <c r="I3792" s="897"/>
      <c r="J3792" s="898"/>
      <c r="K3792" s="896"/>
      <c r="L3792" s="896"/>
      <c r="M3792" s="899"/>
      <c r="N3792" s="900" t="s">
        <v>2209</v>
      </c>
    </row>
    <row r="3793" spans="1:14" s="910" customFormat="1" ht="16.5" hidden="1" customHeight="1">
      <c r="A3793" s="896"/>
      <c r="B3793" s="902" t="s">
        <v>2100</v>
      </c>
      <c r="C3793" s="903"/>
      <c r="D3793" s="904"/>
      <c r="E3793" s="905"/>
      <c r="F3793" s="906"/>
      <c r="G3793" s="906"/>
      <c r="H3793" s="907"/>
      <c r="I3793" s="908"/>
      <c r="J3793" s="909"/>
      <c r="K3793" s="902"/>
      <c r="L3793" s="896"/>
      <c r="M3793" s="902"/>
      <c r="N3793" s="900" t="s">
        <v>2209</v>
      </c>
    </row>
    <row r="3794" spans="1:14" s="910" customFormat="1" ht="16.5" hidden="1" customHeight="1">
      <c r="A3794" s="896"/>
      <c r="B3794" s="980"/>
      <c r="C3794" s="957">
        <v>1</v>
      </c>
      <c r="D3794" s="958" t="s">
        <v>273</v>
      </c>
      <c r="E3794" s="1268">
        <v>1</v>
      </c>
      <c r="F3794" s="960">
        <v>0</v>
      </c>
      <c r="G3794" s="960">
        <v>0</v>
      </c>
      <c r="H3794" s="960">
        <v>0</v>
      </c>
      <c r="I3794" s="1291">
        <f>ROUND(IF(AND(F3794:H3794),C3794*E3794*F3794*G3794*H3794,IF(AND(F3794,G3794),C3794*E3794*F3794*G3794,IF(AND(F3794,H3794),C3794*E3794*F3794*H3794,IF(AND(G3794,H3794),C3794*E3794*G3794*H3794,IF(F3794,C3794*E3794*F3794,IF(G3794,C3794*E3794*G3794,IF(H3794,C3794*E3794*H3794,C3794*E3794))))))),2)</f>
        <v>1</v>
      </c>
      <c r="J3794" s="909" t="s">
        <v>115</v>
      </c>
      <c r="K3794" s="902"/>
      <c r="L3794" s="896"/>
      <c r="M3794" s="902"/>
      <c r="N3794" s="900" t="s">
        <v>2209</v>
      </c>
    </row>
    <row r="3795" spans="1:14" s="910" customFormat="1" ht="16.5" hidden="1" customHeight="1">
      <c r="A3795" s="896"/>
      <c r="B3795" s="980"/>
      <c r="C3795" s="957"/>
      <c r="D3795" s="958"/>
      <c r="E3795" s="1268"/>
      <c r="F3795" s="960"/>
      <c r="G3795" s="960"/>
      <c r="H3795" s="960"/>
      <c r="I3795" s="1291"/>
      <c r="J3795" s="909"/>
      <c r="K3795" s="902"/>
      <c r="L3795" s="896"/>
      <c r="M3795" s="902"/>
      <c r="N3795" s="900" t="s">
        <v>2209</v>
      </c>
    </row>
    <row r="3796" spans="1:14" ht="15.75" hidden="1">
      <c r="A3796" s="896"/>
      <c r="B3796" s="902"/>
      <c r="C3796" s="917"/>
      <c r="D3796" s="918"/>
      <c r="E3796" s="919"/>
      <c r="F3796" s="920"/>
      <c r="G3796" s="921"/>
      <c r="H3796" s="896"/>
      <c r="I3796" s="1291"/>
      <c r="J3796" s="909" t="s">
        <v>115</v>
      </c>
      <c r="K3796" s="922">
        <f>'Ele Data'!I287</f>
        <v>5900</v>
      </c>
      <c r="L3796" s="923" t="s">
        <v>2209</v>
      </c>
      <c r="M3796" s="924">
        <f>ROUND(I3796*K3796,0)</f>
        <v>0</v>
      </c>
      <c r="N3796" s="900" t="s">
        <v>2209</v>
      </c>
    </row>
    <row r="3797" spans="1:14" ht="43.5" hidden="1" customHeight="1">
      <c r="A3797" s="896">
        <v>16</v>
      </c>
      <c r="B3797" s="1609" t="s">
        <v>794</v>
      </c>
      <c r="C3797" s="1609"/>
      <c r="D3797" s="1609"/>
      <c r="E3797" s="1609"/>
      <c r="F3797" s="1609"/>
      <c r="G3797" s="1609"/>
      <c r="H3797" s="1609"/>
      <c r="I3797" s="897"/>
      <c r="J3797" s="898"/>
      <c r="K3797" s="896"/>
      <c r="L3797" s="896"/>
      <c r="M3797" s="899"/>
      <c r="N3797" s="900" t="s">
        <v>2209</v>
      </c>
    </row>
    <row r="3798" spans="1:14" s="910" customFormat="1" ht="16.5" hidden="1" customHeight="1">
      <c r="A3798" s="896"/>
      <c r="B3798" s="980" t="s">
        <v>424</v>
      </c>
      <c r="C3798" s="903"/>
      <c r="D3798" s="904"/>
      <c r="E3798" s="905"/>
      <c r="F3798" s="906"/>
      <c r="G3798" s="906"/>
      <c r="H3798" s="907"/>
      <c r="I3798" s="908"/>
      <c r="J3798" s="909"/>
      <c r="K3798" s="902"/>
      <c r="L3798" s="896"/>
      <c r="M3798" s="902"/>
      <c r="N3798" s="900" t="s">
        <v>2209</v>
      </c>
    </row>
    <row r="3799" spans="1:14" s="910" customFormat="1" ht="16.5" hidden="1" customHeight="1">
      <c r="A3799" s="896"/>
      <c r="B3799" s="980"/>
      <c r="C3799" s="957">
        <v>1</v>
      </c>
      <c r="D3799" s="958" t="s">
        <v>273</v>
      </c>
      <c r="E3799" s="1268">
        <v>1</v>
      </c>
      <c r="F3799" s="960">
        <v>0</v>
      </c>
      <c r="G3799" s="960">
        <v>0</v>
      </c>
      <c r="H3799" s="960">
        <v>0</v>
      </c>
      <c r="I3799" s="1291">
        <f>ROUND(IF(AND(F3799:H3799),C3799*E3799*F3799*G3799*H3799,IF(AND(F3799,G3799),C3799*E3799*F3799*G3799,IF(AND(F3799,H3799),C3799*E3799*F3799*H3799,IF(AND(G3799,H3799),C3799*E3799*G3799*H3799,IF(F3799,C3799*E3799*F3799,IF(G3799,C3799*E3799*G3799,IF(H3799,C3799*E3799*H3799,C3799*E3799))))))),2)</f>
        <v>1</v>
      </c>
      <c r="J3799" s="909" t="s">
        <v>115</v>
      </c>
      <c r="K3799" s="902"/>
      <c r="L3799" s="896"/>
      <c r="M3799" s="902"/>
      <c r="N3799" s="900" t="s">
        <v>2209</v>
      </c>
    </row>
    <row r="3800" spans="1:14" s="910" customFormat="1" ht="16.5" hidden="1" customHeight="1">
      <c r="A3800" s="896"/>
      <c r="B3800" s="980"/>
      <c r="C3800" s="957"/>
      <c r="D3800" s="958"/>
      <c r="E3800" s="1268"/>
      <c r="F3800" s="960"/>
      <c r="G3800" s="960"/>
      <c r="H3800" s="960"/>
      <c r="I3800" s="1291"/>
      <c r="J3800" s="909"/>
      <c r="K3800" s="902"/>
      <c r="L3800" s="896"/>
      <c r="M3800" s="902"/>
      <c r="N3800" s="900" t="s">
        <v>2209</v>
      </c>
    </row>
    <row r="3801" spans="1:14" ht="15.75" hidden="1">
      <c r="A3801" s="896"/>
      <c r="B3801" s="902"/>
      <c r="C3801" s="917"/>
      <c r="D3801" s="918"/>
      <c r="E3801" s="919"/>
      <c r="F3801" s="920"/>
      <c r="G3801" s="921"/>
      <c r="H3801" s="896"/>
      <c r="I3801" s="1291"/>
      <c r="J3801" s="909" t="s">
        <v>115</v>
      </c>
      <c r="K3801" s="922">
        <f>'Ele Data'!I84</f>
        <v>1290</v>
      </c>
      <c r="L3801" s="923" t="s">
        <v>2209</v>
      </c>
      <c r="M3801" s="924">
        <f>ROUND(I3801*K3801,0)</f>
        <v>0</v>
      </c>
      <c r="N3801" s="900" t="s">
        <v>2209</v>
      </c>
    </row>
    <row r="3802" spans="1:14" ht="66" hidden="1" customHeight="1">
      <c r="A3802" s="896">
        <v>23</v>
      </c>
      <c r="B3802" s="1609" t="s">
        <v>698</v>
      </c>
      <c r="C3802" s="1609"/>
      <c r="D3802" s="1609"/>
      <c r="E3802" s="1609"/>
      <c r="F3802" s="1609"/>
      <c r="G3802" s="1609"/>
      <c r="H3802" s="1609"/>
      <c r="I3802" s="897"/>
      <c r="J3802" s="898"/>
      <c r="K3802" s="896"/>
      <c r="L3802" s="896"/>
      <c r="M3802" s="899"/>
      <c r="N3802" s="900" t="s">
        <v>2209</v>
      </c>
    </row>
    <row r="3803" spans="1:14" s="910" customFormat="1" ht="16.5" hidden="1" customHeight="1">
      <c r="A3803" s="896"/>
      <c r="B3803" s="902" t="s">
        <v>2100</v>
      </c>
      <c r="C3803" s="903"/>
      <c r="D3803" s="904"/>
      <c r="E3803" s="905"/>
      <c r="F3803" s="906"/>
      <c r="G3803" s="906"/>
      <c r="H3803" s="907"/>
      <c r="I3803" s="908"/>
      <c r="J3803" s="909"/>
      <c r="K3803" s="902"/>
      <c r="L3803" s="896"/>
      <c r="M3803" s="902"/>
      <c r="N3803" s="900" t="s">
        <v>2209</v>
      </c>
    </row>
    <row r="3804" spans="1:14" s="910" customFormat="1" ht="16.5" hidden="1" customHeight="1">
      <c r="A3804" s="896"/>
      <c r="B3804" s="980" t="s">
        <v>583</v>
      </c>
      <c r="C3804" s="957">
        <v>1</v>
      </c>
      <c r="D3804" s="958" t="s">
        <v>273</v>
      </c>
      <c r="E3804" s="1268">
        <v>1</v>
      </c>
      <c r="F3804" s="960">
        <v>0</v>
      </c>
      <c r="G3804" s="960">
        <v>0</v>
      </c>
      <c r="H3804" s="960">
        <v>0</v>
      </c>
      <c r="I3804" s="1291">
        <f>ROUND(IF(AND(F3804:H3804),C3804*E3804*F3804*G3804*H3804,IF(AND(F3804,G3804),C3804*E3804*F3804*G3804,IF(AND(F3804,H3804),C3804*E3804*F3804*H3804,IF(AND(G3804,H3804),C3804*E3804*G3804*H3804,IF(F3804,C3804*E3804*F3804,IF(G3804,C3804*E3804*G3804,IF(H3804,C3804*E3804*H3804,C3804*E3804))))))),2)</f>
        <v>1</v>
      </c>
      <c r="J3804" s="909" t="s">
        <v>115</v>
      </c>
      <c r="K3804" s="902"/>
      <c r="L3804" s="896"/>
      <c r="M3804" s="902"/>
      <c r="N3804" s="900" t="s">
        <v>2209</v>
      </c>
    </row>
    <row r="3805" spans="1:14" s="910" customFormat="1" ht="16.5" hidden="1" customHeight="1">
      <c r="A3805" s="896"/>
      <c r="B3805" s="980" t="s">
        <v>584</v>
      </c>
      <c r="C3805" s="957">
        <v>1</v>
      </c>
      <c r="D3805" s="958" t="s">
        <v>273</v>
      </c>
      <c r="E3805" s="1268">
        <v>1</v>
      </c>
      <c r="F3805" s="960">
        <v>0</v>
      </c>
      <c r="G3805" s="960">
        <v>0</v>
      </c>
      <c r="H3805" s="960">
        <v>0</v>
      </c>
      <c r="I3805" s="1291">
        <f>ROUND(IF(AND(F3805:H3805),C3805*E3805*F3805*G3805*H3805,IF(AND(F3805,G3805),C3805*E3805*F3805*G3805,IF(AND(F3805,H3805),C3805*E3805*F3805*H3805,IF(AND(G3805,H3805),C3805*E3805*G3805*H3805,IF(F3805,C3805*E3805*F3805,IF(G3805,C3805*E3805*G3805,IF(H3805,C3805*E3805*H3805,C3805*E3805))))))),2)</f>
        <v>1</v>
      </c>
      <c r="J3805" s="909" t="s">
        <v>115</v>
      </c>
      <c r="K3805" s="902"/>
      <c r="L3805" s="896"/>
      <c r="M3805" s="902"/>
      <c r="N3805" s="900" t="s">
        <v>2209</v>
      </c>
    </row>
    <row r="3806" spans="1:14" s="910" customFormat="1" ht="16.5" hidden="1" customHeight="1">
      <c r="A3806" s="896"/>
      <c r="B3806" s="980"/>
      <c r="C3806" s="957"/>
      <c r="D3806" s="958"/>
      <c r="E3806" s="1268"/>
      <c r="F3806" s="960"/>
      <c r="G3806" s="960"/>
      <c r="H3806" s="960"/>
      <c r="I3806" s="916"/>
      <c r="J3806" s="909"/>
      <c r="K3806" s="902"/>
      <c r="L3806" s="896"/>
      <c r="M3806" s="902"/>
      <c r="N3806" s="900" t="s">
        <v>2209</v>
      </c>
    </row>
    <row r="3807" spans="1:14" ht="15.75" hidden="1">
      <c r="A3807" s="896"/>
      <c r="B3807" s="902"/>
      <c r="C3807" s="917"/>
      <c r="D3807" s="918"/>
      <c r="E3807" s="919"/>
      <c r="F3807" s="920"/>
      <c r="G3807" s="921"/>
      <c r="H3807" s="896"/>
      <c r="I3807" s="1291"/>
      <c r="J3807" s="909" t="s">
        <v>115</v>
      </c>
      <c r="K3807" s="922">
        <f>'Ele Data'!I252</f>
        <v>2936</v>
      </c>
      <c r="L3807" s="923" t="s">
        <v>2209</v>
      </c>
      <c r="M3807" s="924">
        <f>ROUND(I3807*K3807,0)</f>
        <v>0</v>
      </c>
      <c r="N3807" s="900" t="s">
        <v>2209</v>
      </c>
    </row>
    <row r="3808" spans="1:14" ht="44.25" hidden="1" customHeight="1">
      <c r="A3808" s="896">
        <v>24</v>
      </c>
      <c r="B3808" s="1609" t="s">
        <v>941</v>
      </c>
      <c r="C3808" s="1609"/>
      <c r="D3808" s="1609"/>
      <c r="E3808" s="1609"/>
      <c r="F3808" s="1609"/>
      <c r="G3808" s="1609"/>
      <c r="H3808" s="1609"/>
      <c r="I3808" s="897"/>
      <c r="J3808" s="898"/>
      <c r="K3808" s="896"/>
      <c r="L3808" s="896"/>
      <c r="M3808" s="899"/>
      <c r="N3808" s="900" t="s">
        <v>2209</v>
      </c>
    </row>
    <row r="3809" spans="1:14" s="910" customFormat="1" ht="16.5" hidden="1" customHeight="1">
      <c r="A3809" s="896"/>
      <c r="B3809" s="902" t="s">
        <v>2322</v>
      </c>
      <c r="C3809" s="903"/>
      <c r="D3809" s="904"/>
      <c r="E3809" s="905"/>
      <c r="F3809" s="906"/>
      <c r="G3809" s="906"/>
      <c r="H3809" s="907"/>
      <c r="I3809" s="908"/>
      <c r="J3809" s="909"/>
      <c r="K3809" s="902"/>
      <c r="L3809" s="896"/>
      <c r="M3809" s="902"/>
      <c r="N3809" s="900" t="s">
        <v>2209</v>
      </c>
    </row>
    <row r="3810" spans="1:14" s="910" customFormat="1" ht="16.5" hidden="1" customHeight="1">
      <c r="A3810" s="896"/>
      <c r="B3810" s="980"/>
      <c r="C3810" s="957">
        <v>1</v>
      </c>
      <c r="D3810" s="958" t="s">
        <v>273</v>
      </c>
      <c r="E3810" s="1268">
        <v>1</v>
      </c>
      <c r="F3810" s="960">
        <v>0</v>
      </c>
      <c r="G3810" s="960">
        <v>0</v>
      </c>
      <c r="H3810" s="960">
        <v>0</v>
      </c>
      <c r="I3810" s="1291">
        <f>ROUND(IF(AND(F3810:H3810),C3810*E3810*F3810*G3810*H3810,IF(AND(F3810,G3810),C3810*E3810*F3810*G3810,IF(AND(F3810,H3810),C3810*E3810*F3810*H3810,IF(AND(G3810,H3810),C3810*E3810*G3810*H3810,IF(F3810,C3810*E3810*F3810,IF(G3810,C3810*E3810*G3810,IF(H3810,C3810*E3810*H3810,C3810*E3810))))))),2)</f>
        <v>1</v>
      </c>
      <c r="J3810" s="909" t="s">
        <v>115</v>
      </c>
      <c r="K3810" s="902"/>
      <c r="L3810" s="896"/>
      <c r="M3810" s="902"/>
      <c r="N3810" s="900" t="s">
        <v>2209</v>
      </c>
    </row>
    <row r="3811" spans="1:14" s="910" customFormat="1" ht="16.5" hidden="1" customHeight="1">
      <c r="A3811" s="896"/>
      <c r="B3811" s="980"/>
      <c r="C3811" s="957"/>
      <c r="D3811" s="958"/>
      <c r="E3811" s="1268"/>
      <c r="F3811" s="960"/>
      <c r="G3811" s="960"/>
      <c r="H3811" s="960"/>
      <c r="I3811" s="916"/>
      <c r="J3811" s="909"/>
      <c r="K3811" s="902"/>
      <c r="L3811" s="896"/>
      <c r="M3811" s="902"/>
      <c r="N3811" s="900" t="s">
        <v>2209</v>
      </c>
    </row>
    <row r="3812" spans="1:14" ht="15.75" hidden="1">
      <c r="A3812" s="896"/>
      <c r="B3812" s="902"/>
      <c r="C3812" s="917"/>
      <c r="D3812" s="918"/>
      <c r="E3812" s="919"/>
      <c r="F3812" s="920"/>
      <c r="G3812" s="921"/>
      <c r="H3812" s="896"/>
      <c r="I3812" s="1291"/>
      <c r="J3812" s="909" t="s">
        <v>115</v>
      </c>
      <c r="K3812" s="922">
        <f>'Ele Data'!I262</f>
        <v>886.80000000000007</v>
      </c>
      <c r="L3812" s="923" t="s">
        <v>2209</v>
      </c>
      <c r="M3812" s="924">
        <f>ROUND(I3812*K3812,0)</f>
        <v>0</v>
      </c>
      <c r="N3812" s="900" t="s">
        <v>2209</v>
      </c>
    </row>
    <row r="3813" spans="1:14" ht="78" hidden="1" customHeight="1">
      <c r="A3813" s="896">
        <v>25</v>
      </c>
      <c r="B3813" s="1609" t="s">
        <v>450</v>
      </c>
      <c r="C3813" s="1609"/>
      <c r="D3813" s="1609"/>
      <c r="E3813" s="1609"/>
      <c r="F3813" s="1609"/>
      <c r="G3813" s="1609"/>
      <c r="H3813" s="1609"/>
      <c r="I3813" s="897"/>
      <c r="J3813" s="898"/>
      <c r="K3813" s="896"/>
      <c r="L3813" s="896"/>
      <c r="M3813" s="899"/>
      <c r="N3813" s="900" t="s">
        <v>2209</v>
      </c>
    </row>
    <row r="3814" spans="1:14" s="910" customFormat="1" ht="16.5" hidden="1" customHeight="1">
      <c r="A3814" s="896"/>
      <c r="B3814" s="902" t="s">
        <v>2348</v>
      </c>
      <c r="C3814" s="903"/>
      <c r="D3814" s="904"/>
      <c r="E3814" s="905"/>
      <c r="F3814" s="906"/>
      <c r="G3814" s="906"/>
      <c r="H3814" s="907"/>
      <c r="I3814" s="908"/>
      <c r="J3814" s="909"/>
      <c r="K3814" s="902"/>
      <c r="L3814" s="896"/>
      <c r="M3814" s="902"/>
      <c r="N3814" s="900" t="s">
        <v>2209</v>
      </c>
    </row>
    <row r="3815" spans="1:14" s="910" customFormat="1" ht="16.5" hidden="1" customHeight="1">
      <c r="A3815" s="896"/>
      <c r="B3815" s="980"/>
      <c r="C3815" s="957">
        <v>1</v>
      </c>
      <c r="D3815" s="958" t="s">
        <v>273</v>
      </c>
      <c r="E3815" s="1268">
        <v>1</v>
      </c>
      <c r="F3815" s="960">
        <v>0</v>
      </c>
      <c r="G3815" s="960">
        <v>0</v>
      </c>
      <c r="H3815" s="960">
        <v>0</v>
      </c>
      <c r="I3815" s="1291">
        <f>ROUND(IF(AND(F3815:H3815),C3815*E3815*F3815*G3815*H3815,IF(AND(F3815,G3815),C3815*E3815*F3815*G3815,IF(AND(F3815,H3815),C3815*E3815*F3815*H3815,IF(AND(G3815,H3815),C3815*E3815*G3815*H3815,IF(F3815,C3815*E3815*F3815,IF(G3815,C3815*E3815*G3815,IF(H3815,C3815*E3815*H3815,C3815*E3815))))))),2)</f>
        <v>1</v>
      </c>
      <c r="J3815" s="909" t="s">
        <v>115</v>
      </c>
      <c r="K3815" s="902"/>
      <c r="L3815" s="896"/>
      <c r="M3815" s="902"/>
      <c r="N3815" s="900" t="s">
        <v>2209</v>
      </c>
    </row>
    <row r="3816" spans="1:14" s="910" customFormat="1" ht="16.5" hidden="1" customHeight="1">
      <c r="A3816" s="896"/>
      <c r="B3816" s="980"/>
      <c r="C3816" s="957"/>
      <c r="D3816" s="958"/>
      <c r="E3816" s="1268"/>
      <c r="F3816" s="960"/>
      <c r="G3816" s="960"/>
      <c r="H3816" s="960"/>
      <c r="I3816" s="1291"/>
      <c r="J3816" s="909"/>
      <c r="K3816" s="902"/>
      <c r="L3816" s="896"/>
      <c r="M3816" s="902"/>
      <c r="N3816" s="900" t="s">
        <v>2209</v>
      </c>
    </row>
    <row r="3817" spans="1:14" ht="15.75" hidden="1">
      <c r="A3817" s="896"/>
      <c r="B3817" s="902"/>
      <c r="C3817" s="917"/>
      <c r="D3817" s="918"/>
      <c r="E3817" s="919"/>
      <c r="F3817" s="920"/>
      <c r="G3817" s="921"/>
      <c r="H3817" s="896"/>
      <c r="I3817" s="1291"/>
      <c r="J3817" s="909" t="s">
        <v>115</v>
      </c>
      <c r="K3817" s="922">
        <f>'Ele Data'!I281</f>
        <v>3404.82</v>
      </c>
      <c r="L3817" s="923" t="s">
        <v>2209</v>
      </c>
      <c r="M3817" s="924">
        <f>ROUND(I3817*K3817,0)</f>
        <v>0</v>
      </c>
      <c r="N3817" s="900" t="s">
        <v>2209</v>
      </c>
    </row>
    <row r="3818" spans="1:14" s="1253" customFormat="1" ht="15.75" hidden="1">
      <c r="A3818" s="967"/>
      <c r="B3818" s="967" t="s">
        <v>2211</v>
      </c>
      <c r="C3818" s="967"/>
      <c r="D3818" s="967"/>
      <c r="E3818" s="967"/>
      <c r="F3818" s="988"/>
      <c r="G3818" s="988"/>
      <c r="H3818" s="967"/>
      <c r="I3818" s="1261"/>
      <c r="J3818" s="1262"/>
      <c r="K3818" s="967"/>
      <c r="L3818" s="967"/>
      <c r="M3818" s="967"/>
      <c r="N3818" s="900" t="s">
        <v>2209</v>
      </c>
    </row>
    <row r="3819" spans="1:14" ht="56.25" hidden="1" customHeight="1">
      <c r="A3819" s="896">
        <v>41</v>
      </c>
      <c r="B3819" s="1609" t="s">
        <v>585</v>
      </c>
      <c r="C3819" s="1609"/>
      <c r="D3819" s="1609"/>
      <c r="E3819" s="1609"/>
      <c r="F3819" s="1609"/>
      <c r="G3819" s="1609"/>
      <c r="H3819" s="1609"/>
      <c r="I3819" s="897"/>
      <c r="J3819" s="898"/>
      <c r="K3819" s="896"/>
      <c r="L3819" s="896"/>
      <c r="M3819" s="899"/>
      <c r="N3819" s="900" t="s">
        <v>2297</v>
      </c>
    </row>
    <row r="3820" spans="1:14" s="910" customFormat="1" ht="16.5" hidden="1" customHeight="1">
      <c r="A3820" s="896"/>
      <c r="B3820" s="902" t="s">
        <v>3702</v>
      </c>
      <c r="C3820" s="1321"/>
      <c r="D3820" s="954" t="s">
        <v>3814</v>
      </c>
      <c r="E3820" s="1322"/>
      <c r="F3820" s="1323"/>
      <c r="G3820" s="906"/>
      <c r="H3820" s="907"/>
      <c r="I3820" s="908"/>
      <c r="J3820" s="909"/>
      <c r="K3820" s="902"/>
      <c r="L3820" s="896"/>
      <c r="M3820" s="902"/>
      <c r="N3820" s="900" t="s">
        <v>2297</v>
      </c>
    </row>
    <row r="3821" spans="1:14" s="910" customFormat="1" ht="16.5" hidden="1" customHeight="1">
      <c r="A3821" s="896"/>
      <c r="B3821" s="1324"/>
      <c r="C3821" s="1325">
        <v>1</v>
      </c>
      <c r="D3821" s="1326" t="s">
        <v>273</v>
      </c>
      <c r="E3821" s="1327">
        <v>2</v>
      </c>
      <c r="F3821" s="1328">
        <v>15</v>
      </c>
      <c r="G3821" s="1301">
        <v>0</v>
      </c>
      <c r="H3821" s="1301">
        <v>0</v>
      </c>
      <c r="I3821" s="916">
        <f t="shared" ref="I3821:I3823" si="218">ROUND(IF(AND(F3821:H3821),C3821*E3821*F3821*G3821*H3821,IF(AND(F3821,G3821),C3821*E3821*F3821*G3821,IF(AND(F3821,H3821),C3821*E3821*F3821*H3821,IF(AND(G3821,H3821),C3821*E3821*G3821*H3821,IF(F3821,C3821*E3821*F3821,IF(G3821,C3821*E3821*G3821,IF(H3821,C3821*E3821*H3821,C3821*E3821))))))),2)</f>
        <v>30</v>
      </c>
      <c r="J3821" s="909" t="s">
        <v>277</v>
      </c>
      <c r="K3821" s="902"/>
      <c r="L3821" s="896"/>
      <c r="M3821" s="902"/>
      <c r="N3821" s="900" t="s">
        <v>2297</v>
      </c>
    </row>
    <row r="3822" spans="1:14" s="910" customFormat="1" ht="16.5" hidden="1" customHeight="1">
      <c r="A3822" s="896"/>
      <c r="B3822" s="1324"/>
      <c r="C3822" s="1325">
        <v>1</v>
      </c>
      <c r="D3822" s="1326" t="s">
        <v>273</v>
      </c>
      <c r="E3822" s="1327">
        <v>4</v>
      </c>
      <c r="F3822" s="1328">
        <v>5</v>
      </c>
      <c r="G3822" s="1301">
        <v>0</v>
      </c>
      <c r="H3822" s="1301">
        <v>0</v>
      </c>
      <c r="I3822" s="916">
        <f t="shared" si="218"/>
        <v>20</v>
      </c>
      <c r="J3822" s="909" t="s">
        <v>277</v>
      </c>
      <c r="K3822" s="902"/>
      <c r="L3822" s="896"/>
      <c r="M3822" s="902"/>
      <c r="N3822" s="900" t="s">
        <v>2297</v>
      </c>
    </row>
    <row r="3823" spans="1:14" s="910" customFormat="1" ht="16.5" hidden="1" customHeight="1">
      <c r="A3823" s="896"/>
      <c r="B3823" s="1324"/>
      <c r="C3823" s="1325">
        <v>1</v>
      </c>
      <c r="D3823" s="1326" t="s">
        <v>273</v>
      </c>
      <c r="E3823" s="1327">
        <v>2</v>
      </c>
      <c r="F3823" s="1328">
        <v>10</v>
      </c>
      <c r="G3823" s="1301">
        <v>0</v>
      </c>
      <c r="H3823" s="1301">
        <v>0</v>
      </c>
      <c r="I3823" s="916">
        <f t="shared" si="218"/>
        <v>20</v>
      </c>
      <c r="J3823" s="909" t="s">
        <v>277</v>
      </c>
      <c r="K3823" s="902"/>
      <c r="L3823" s="896"/>
      <c r="M3823" s="902"/>
      <c r="N3823" s="900" t="s">
        <v>2297</v>
      </c>
    </row>
    <row r="3824" spans="1:14" s="910" customFormat="1" ht="16.5" hidden="1" customHeight="1">
      <c r="A3824" s="896"/>
      <c r="B3824" s="1329"/>
      <c r="C3824" s="1334"/>
      <c r="D3824" s="1335"/>
      <c r="E3824" s="1336"/>
      <c r="F3824" s="1337"/>
      <c r="G3824" s="960"/>
      <c r="H3824" s="960"/>
      <c r="I3824" s="916"/>
      <c r="J3824" s="909"/>
      <c r="K3824" s="902"/>
      <c r="L3824" s="896"/>
      <c r="M3824" s="902"/>
      <c r="N3824" s="900" t="s">
        <v>2297</v>
      </c>
    </row>
    <row r="3825" spans="1:14" ht="15.75" hidden="1">
      <c r="A3825" s="896"/>
      <c r="B3825" s="902"/>
      <c r="C3825" s="917"/>
      <c r="D3825" s="918"/>
      <c r="E3825" s="919"/>
      <c r="F3825" s="920"/>
      <c r="G3825" s="921"/>
      <c r="H3825" s="896"/>
      <c r="I3825" s="916"/>
      <c r="J3825" s="909" t="s">
        <v>277</v>
      </c>
      <c r="K3825" s="922">
        <f>'Ele Data'!I300</f>
        <v>64.86</v>
      </c>
      <c r="L3825" s="923" t="s">
        <v>2297</v>
      </c>
      <c r="M3825" s="924">
        <f>ROUND(I3825*K3825,0)</f>
        <v>0</v>
      </c>
      <c r="N3825" s="900" t="s">
        <v>2297</v>
      </c>
    </row>
    <row r="3826" spans="1:14" ht="56.25" hidden="1" customHeight="1">
      <c r="A3826" s="896">
        <v>28</v>
      </c>
      <c r="B3826" s="1609" t="s">
        <v>307</v>
      </c>
      <c r="C3826" s="1609"/>
      <c r="D3826" s="1609"/>
      <c r="E3826" s="1609"/>
      <c r="F3826" s="1609"/>
      <c r="G3826" s="1609"/>
      <c r="H3826" s="1609"/>
      <c r="I3826" s="897"/>
      <c r="J3826" s="898"/>
      <c r="K3826" s="896"/>
      <c r="L3826" s="896"/>
      <c r="M3826" s="899"/>
      <c r="N3826" s="900" t="s">
        <v>2297</v>
      </c>
    </row>
    <row r="3827" spans="1:14" s="910" customFormat="1" ht="16.5" hidden="1" customHeight="1">
      <c r="A3827" s="896"/>
      <c r="B3827" s="902" t="s">
        <v>2739</v>
      </c>
      <c r="C3827" s="1338"/>
      <c r="D3827" s="1339"/>
      <c r="E3827" s="1340"/>
      <c r="F3827" s="1341"/>
      <c r="G3827" s="906"/>
      <c r="H3827" s="907"/>
      <c r="I3827" s="908"/>
      <c r="J3827" s="909"/>
      <c r="K3827" s="902"/>
      <c r="L3827" s="896"/>
      <c r="M3827" s="902"/>
      <c r="N3827" s="900" t="s">
        <v>2297</v>
      </c>
    </row>
    <row r="3828" spans="1:14" s="910" customFormat="1" ht="16.5" hidden="1" customHeight="1">
      <c r="A3828" s="896"/>
      <c r="B3828" s="1329" t="s">
        <v>583</v>
      </c>
      <c r="C3828" s="1330">
        <v>1</v>
      </c>
      <c r="D3828" s="1331" t="s">
        <v>273</v>
      </c>
      <c r="E3828" s="1332">
        <v>1</v>
      </c>
      <c r="F3828" s="1333">
        <v>67</v>
      </c>
      <c r="G3828" s="915">
        <v>0</v>
      </c>
      <c r="H3828" s="915">
        <v>0</v>
      </c>
      <c r="I3828" s="916">
        <f>ROUND(IF(AND(F3828:H3828),C3828*E3828*F3828*G3828*H3828,IF(AND(F3828,G3828),C3828*E3828*F3828*G3828,IF(AND(F3828,H3828),C3828*E3828*F3828*H3828,IF(AND(G3828,H3828),C3828*E3828*G3828*H3828,IF(F3828,C3828*E3828*F3828,IF(G3828,C3828*E3828*G3828,IF(H3828,C3828*E3828*H3828,C3828*E3828))))))),2)</f>
        <v>67</v>
      </c>
      <c r="J3828" s="909" t="s">
        <v>277</v>
      </c>
      <c r="K3828" s="902"/>
      <c r="L3828" s="896"/>
      <c r="M3828" s="902"/>
      <c r="N3828" s="900" t="s">
        <v>2297</v>
      </c>
    </row>
    <row r="3829" spans="1:14" s="910" customFormat="1" ht="16.5" hidden="1" customHeight="1">
      <c r="A3829" s="896"/>
      <c r="B3829" s="1329" t="s">
        <v>584</v>
      </c>
      <c r="C3829" s="1330">
        <v>1</v>
      </c>
      <c r="D3829" s="1331" t="s">
        <v>273</v>
      </c>
      <c r="E3829" s="1332">
        <v>1</v>
      </c>
      <c r="F3829" s="1333">
        <v>83</v>
      </c>
      <c r="G3829" s="915">
        <v>0</v>
      </c>
      <c r="H3829" s="915">
        <v>0</v>
      </c>
      <c r="I3829" s="916">
        <f>ROUND(IF(AND(F3829:H3829),C3829*E3829*F3829*G3829*H3829,IF(AND(F3829,G3829),C3829*E3829*F3829*G3829,IF(AND(F3829,H3829),C3829*E3829*F3829*H3829,IF(AND(G3829,H3829),C3829*E3829*G3829*H3829,IF(F3829,C3829*E3829*F3829,IF(G3829,C3829*E3829*G3829,IF(H3829,C3829*E3829*H3829,C3829*E3829))))))),2)</f>
        <v>83</v>
      </c>
      <c r="J3829" s="909" t="s">
        <v>277</v>
      </c>
      <c r="K3829" s="902"/>
      <c r="L3829" s="896"/>
      <c r="M3829" s="902"/>
      <c r="N3829" s="900" t="s">
        <v>2297</v>
      </c>
    </row>
    <row r="3830" spans="1:14" s="910" customFormat="1" ht="16.5" hidden="1" customHeight="1">
      <c r="A3830" s="896"/>
      <c r="B3830" s="956"/>
      <c r="C3830" s="957"/>
      <c r="D3830" s="958"/>
      <c r="E3830" s="1268"/>
      <c r="F3830" s="960"/>
      <c r="G3830" s="960"/>
      <c r="H3830" s="960"/>
      <c r="I3830" s="916"/>
      <c r="J3830" s="909"/>
      <c r="K3830" s="902"/>
      <c r="L3830" s="896"/>
      <c r="M3830" s="902"/>
      <c r="N3830" s="900" t="s">
        <v>2297</v>
      </c>
    </row>
    <row r="3831" spans="1:14" ht="15.75" hidden="1">
      <c r="A3831" s="896"/>
      <c r="B3831" s="902"/>
      <c r="C3831" s="917"/>
      <c r="D3831" s="918"/>
      <c r="E3831" s="919"/>
      <c r="F3831" s="920"/>
      <c r="G3831" s="921"/>
      <c r="H3831" s="896"/>
      <c r="I3831" s="916"/>
      <c r="J3831" s="909" t="s">
        <v>277</v>
      </c>
      <c r="K3831" s="922">
        <f>'Ele Data'!I315</f>
        <v>73.41</v>
      </c>
      <c r="L3831" s="923" t="s">
        <v>2297</v>
      </c>
      <c r="M3831" s="924">
        <f>ROUND(I3831*K3831,0)</f>
        <v>0</v>
      </c>
      <c r="N3831" s="900" t="s">
        <v>2297</v>
      </c>
    </row>
    <row r="3832" spans="1:14" ht="17.25" hidden="1" customHeight="1">
      <c r="A3832" s="896">
        <v>3</v>
      </c>
      <c r="B3832" s="1609" t="s">
        <v>389</v>
      </c>
      <c r="C3832" s="1609"/>
      <c r="D3832" s="1609"/>
      <c r="E3832" s="1609"/>
      <c r="F3832" s="1609"/>
      <c r="G3832" s="1609"/>
      <c r="H3832" s="1609"/>
      <c r="I3832" s="897"/>
      <c r="J3832" s="898"/>
      <c r="K3832" s="896"/>
      <c r="L3832" s="896"/>
      <c r="M3832" s="899"/>
      <c r="N3832" s="900" t="s">
        <v>2297</v>
      </c>
    </row>
    <row r="3833" spans="1:14" s="910" customFormat="1" ht="16.5" hidden="1" customHeight="1">
      <c r="A3833" s="896"/>
      <c r="B3833" s="1274" t="s">
        <v>740</v>
      </c>
      <c r="C3833" s="903"/>
      <c r="D3833" s="904"/>
      <c r="E3833" s="905"/>
      <c r="F3833" s="906"/>
      <c r="G3833" s="906"/>
      <c r="H3833" s="907"/>
      <c r="I3833" s="908"/>
      <c r="J3833" s="909"/>
      <c r="K3833" s="902"/>
      <c r="L3833" s="896"/>
      <c r="M3833" s="902"/>
      <c r="N3833" s="900" t="s">
        <v>2297</v>
      </c>
    </row>
    <row r="3834" spans="1:14" s="910" customFormat="1" ht="16.5" hidden="1" customHeight="1">
      <c r="A3834" s="896"/>
      <c r="B3834" s="956" t="s">
        <v>687</v>
      </c>
      <c r="C3834" s="957"/>
      <c r="D3834" s="958"/>
      <c r="E3834" s="1268"/>
      <c r="F3834" s="960"/>
      <c r="G3834" s="960"/>
      <c r="H3834" s="960"/>
      <c r="I3834" s="916"/>
      <c r="J3834" s="909"/>
      <c r="K3834" s="902"/>
      <c r="L3834" s="896"/>
      <c r="M3834" s="902"/>
      <c r="N3834" s="900" t="s">
        <v>2297</v>
      </c>
    </row>
    <row r="3835" spans="1:14" s="910" customFormat="1" ht="16.5" hidden="1" customHeight="1">
      <c r="A3835" s="896"/>
      <c r="B3835" s="956" t="s">
        <v>659</v>
      </c>
      <c r="C3835" s="957">
        <v>1</v>
      </c>
      <c r="D3835" s="958" t="s">
        <v>273</v>
      </c>
      <c r="E3835" s="1268">
        <v>1</v>
      </c>
      <c r="F3835" s="960">
        <v>4</v>
      </c>
      <c r="G3835" s="960">
        <v>0</v>
      </c>
      <c r="H3835" s="960">
        <v>0</v>
      </c>
      <c r="I3835" s="916">
        <f>ROUND(IF(AND(F3835:H3835),C3835*E3835*F3835*G3835*H3835,IF(AND(F3835,G3835),C3835*E3835*F3835*G3835,IF(AND(F3835,H3835),C3835*E3835*F3835*H3835,IF(AND(G3835,H3835),C3835*E3835*G3835*H3835,IF(F3835,C3835*E3835*F3835,IF(G3835,C3835*E3835*G3835,IF(H3835,C3835*E3835*H3835,C3835*E3835))))))),2)</f>
        <v>4</v>
      </c>
      <c r="J3835" s="909" t="s">
        <v>277</v>
      </c>
      <c r="K3835" s="902"/>
      <c r="L3835" s="896"/>
      <c r="M3835" s="902"/>
      <c r="N3835" s="900" t="s">
        <v>2297</v>
      </c>
    </row>
    <row r="3836" spans="1:14" s="910" customFormat="1" ht="16.5" hidden="1" customHeight="1">
      <c r="A3836" s="896"/>
      <c r="B3836" s="980" t="s">
        <v>688</v>
      </c>
      <c r="C3836" s="957">
        <v>1</v>
      </c>
      <c r="D3836" s="958" t="s">
        <v>273</v>
      </c>
      <c r="E3836" s="1268">
        <v>1</v>
      </c>
      <c r="F3836" s="960">
        <v>1.8</v>
      </c>
      <c r="G3836" s="960">
        <v>0</v>
      </c>
      <c r="H3836" s="960">
        <v>0</v>
      </c>
      <c r="I3836" s="916">
        <f>ROUND(IF(AND(F3836:H3836),C3836*E3836*F3836*G3836*H3836,IF(AND(F3836,G3836),C3836*E3836*F3836*G3836,IF(AND(F3836,H3836),C3836*E3836*F3836*H3836,IF(AND(G3836,H3836),C3836*E3836*G3836*H3836,IF(F3836,C3836*E3836*F3836,IF(G3836,C3836*E3836*G3836,IF(H3836,C3836*E3836*H3836,C3836*E3836))))))),2)</f>
        <v>1.8</v>
      </c>
      <c r="J3836" s="909" t="s">
        <v>277</v>
      </c>
      <c r="K3836" s="902"/>
      <c r="L3836" s="896"/>
      <c r="M3836" s="902"/>
      <c r="N3836" s="900" t="s">
        <v>2297</v>
      </c>
    </row>
    <row r="3837" spans="1:14" s="910" customFormat="1" ht="16.5" hidden="1" customHeight="1">
      <c r="A3837" s="896"/>
      <c r="B3837" s="956" t="s">
        <v>689</v>
      </c>
      <c r="C3837" s="957">
        <v>1</v>
      </c>
      <c r="D3837" s="958" t="s">
        <v>273</v>
      </c>
      <c r="E3837" s="1268">
        <v>1</v>
      </c>
      <c r="F3837" s="960">
        <v>2</v>
      </c>
      <c r="G3837" s="960">
        <v>0</v>
      </c>
      <c r="H3837" s="960">
        <v>0</v>
      </c>
      <c r="I3837" s="916">
        <f>ROUND(IF(AND(F3837:H3837),C3837*E3837*F3837*G3837*H3837,IF(AND(F3837,G3837),C3837*E3837*F3837*G3837,IF(AND(F3837,H3837),C3837*E3837*F3837*H3837,IF(AND(G3837,H3837),C3837*E3837*G3837*H3837,IF(F3837,C3837*E3837*F3837,IF(G3837,C3837*E3837*G3837,IF(H3837,C3837*E3837*H3837,C3837*E3837))))))),2)</f>
        <v>2</v>
      </c>
      <c r="J3837" s="909" t="s">
        <v>277</v>
      </c>
      <c r="K3837" s="902"/>
      <c r="L3837" s="896"/>
      <c r="M3837" s="902"/>
      <c r="N3837" s="900" t="s">
        <v>2297</v>
      </c>
    </row>
    <row r="3838" spans="1:14" s="910" customFormat="1" ht="16.5" hidden="1" customHeight="1">
      <c r="A3838" s="896"/>
      <c r="B3838" s="956"/>
      <c r="C3838" s="957"/>
      <c r="D3838" s="958"/>
      <c r="E3838" s="1268"/>
      <c r="F3838" s="960"/>
      <c r="G3838" s="960"/>
      <c r="H3838" s="960"/>
      <c r="I3838" s="916"/>
      <c r="J3838" s="909"/>
      <c r="K3838" s="902"/>
      <c r="L3838" s="896"/>
      <c r="M3838" s="902"/>
      <c r="N3838" s="900" t="s">
        <v>2297</v>
      </c>
    </row>
    <row r="3839" spans="1:14" ht="15.75" hidden="1">
      <c r="A3839" s="896"/>
      <c r="B3839" s="902"/>
      <c r="C3839" s="917"/>
      <c r="D3839" s="918"/>
      <c r="E3839" s="919"/>
      <c r="F3839" s="920"/>
      <c r="G3839" s="921"/>
      <c r="H3839" s="896"/>
      <c r="I3839" s="916"/>
      <c r="J3839" s="909" t="s">
        <v>277</v>
      </c>
      <c r="K3839" s="922">
        <f>'Ele Data'!I319</f>
        <v>55</v>
      </c>
      <c r="L3839" s="923" t="s">
        <v>2297</v>
      </c>
      <c r="M3839" s="924">
        <f>ROUND(I3839*K3839,0)</f>
        <v>0</v>
      </c>
      <c r="N3839" s="900" t="s">
        <v>2297</v>
      </c>
    </row>
    <row r="3840" spans="1:14" ht="27" hidden="1" customHeight="1">
      <c r="A3840" s="896">
        <v>29</v>
      </c>
      <c r="B3840" s="1609" t="s">
        <v>427</v>
      </c>
      <c r="C3840" s="1609"/>
      <c r="D3840" s="1609"/>
      <c r="E3840" s="1609"/>
      <c r="F3840" s="1609"/>
      <c r="G3840" s="1609"/>
      <c r="H3840" s="1609"/>
      <c r="I3840" s="897"/>
      <c r="J3840" s="898"/>
      <c r="K3840" s="896"/>
      <c r="L3840" s="896"/>
      <c r="M3840" s="899"/>
      <c r="N3840" s="900" t="s">
        <v>2297</v>
      </c>
    </row>
    <row r="3841" spans="1:14" s="910" customFormat="1" ht="16.5" hidden="1" customHeight="1">
      <c r="A3841" s="896"/>
      <c r="B3841" s="902" t="s">
        <v>2770</v>
      </c>
      <c r="C3841" s="903"/>
      <c r="D3841" s="904"/>
      <c r="E3841" s="905"/>
      <c r="F3841" s="906"/>
      <c r="G3841" s="906"/>
      <c r="H3841" s="907"/>
      <c r="I3841" s="908"/>
      <c r="J3841" s="909"/>
      <c r="K3841" s="902"/>
      <c r="L3841" s="896"/>
      <c r="M3841" s="902"/>
      <c r="N3841" s="900" t="s">
        <v>2297</v>
      </c>
    </row>
    <row r="3842" spans="1:14" s="910" customFormat="1" ht="16.5" hidden="1" customHeight="1">
      <c r="A3842" s="896"/>
      <c r="B3842" s="980" t="s">
        <v>2080</v>
      </c>
      <c r="C3842" s="957">
        <v>1</v>
      </c>
      <c r="D3842" s="958" t="s">
        <v>273</v>
      </c>
      <c r="E3842" s="1268">
        <v>14</v>
      </c>
      <c r="F3842" s="960">
        <v>0</v>
      </c>
      <c r="G3842" s="960">
        <v>0</v>
      </c>
      <c r="H3842" s="960">
        <v>0</v>
      </c>
      <c r="I3842" s="1291">
        <f>ROUND(IF(AND(F3842:H3842),C3842*E3842*F3842*G3842*H3842,IF(AND(F3842,G3842),C3842*E3842*F3842*G3842,IF(AND(F3842,H3842),C3842*E3842*F3842*H3842,IF(AND(G3842,H3842),C3842*E3842*G3842*H3842,IF(F3842,C3842*E3842*F3842,IF(G3842,C3842*E3842*G3842,IF(H3842,C3842*E3842*H3842,C3842*E3842))))))),2)</f>
        <v>14</v>
      </c>
      <c r="J3842" s="909" t="s">
        <v>115</v>
      </c>
      <c r="K3842" s="902"/>
      <c r="L3842" s="896"/>
      <c r="M3842" s="902"/>
      <c r="N3842" s="900" t="s">
        <v>2297</v>
      </c>
    </row>
    <row r="3843" spans="1:14" s="910" customFormat="1" ht="16.5" hidden="1" customHeight="1">
      <c r="A3843" s="896"/>
      <c r="B3843" s="980"/>
      <c r="C3843" s="957"/>
      <c r="D3843" s="958"/>
      <c r="E3843" s="1268"/>
      <c r="F3843" s="960"/>
      <c r="G3843" s="960"/>
      <c r="H3843" s="960"/>
      <c r="I3843" s="1291"/>
      <c r="J3843" s="909"/>
      <c r="K3843" s="902"/>
      <c r="L3843" s="896"/>
      <c r="M3843" s="902"/>
      <c r="N3843" s="900" t="s">
        <v>2297</v>
      </c>
    </row>
    <row r="3844" spans="1:14" ht="15.75" hidden="1">
      <c r="A3844" s="896"/>
      <c r="B3844" s="902"/>
      <c r="C3844" s="917"/>
      <c r="D3844" s="918"/>
      <c r="E3844" s="919"/>
      <c r="F3844" s="920"/>
      <c r="G3844" s="921"/>
      <c r="H3844" s="896"/>
      <c r="I3844" s="1291"/>
      <c r="J3844" s="909" t="s">
        <v>115</v>
      </c>
      <c r="K3844" s="922">
        <f>'Ele Data'!I322</f>
        <v>205</v>
      </c>
      <c r="L3844" s="923" t="s">
        <v>2297</v>
      </c>
      <c r="M3844" s="924">
        <f>ROUND(I3844*K3844,0)</f>
        <v>0</v>
      </c>
      <c r="N3844" s="900" t="s">
        <v>2297</v>
      </c>
    </row>
    <row r="3845" spans="1:14" ht="27" hidden="1" customHeight="1">
      <c r="A3845" s="896">
        <v>30</v>
      </c>
      <c r="B3845" s="1609" t="s">
        <v>610</v>
      </c>
      <c r="C3845" s="1609"/>
      <c r="D3845" s="1609"/>
      <c r="E3845" s="1609"/>
      <c r="F3845" s="1609"/>
      <c r="G3845" s="1609"/>
      <c r="H3845" s="1609"/>
      <c r="I3845" s="897"/>
      <c r="J3845" s="898"/>
      <c r="K3845" s="896"/>
      <c r="L3845" s="896"/>
      <c r="M3845" s="899"/>
      <c r="N3845" s="900" t="s">
        <v>2297</v>
      </c>
    </row>
    <row r="3846" spans="1:14" s="910" customFormat="1" ht="16.5" hidden="1" customHeight="1">
      <c r="A3846" s="896"/>
      <c r="B3846" s="902" t="s">
        <v>2770</v>
      </c>
      <c r="C3846" s="903"/>
      <c r="D3846" s="904"/>
      <c r="E3846" s="905"/>
      <c r="F3846" s="906"/>
      <c r="G3846" s="906"/>
      <c r="H3846" s="907"/>
      <c r="I3846" s="908"/>
      <c r="J3846" s="909"/>
      <c r="K3846" s="902"/>
      <c r="L3846" s="896"/>
      <c r="M3846" s="902"/>
      <c r="N3846" s="900" t="s">
        <v>2297</v>
      </c>
    </row>
    <row r="3847" spans="1:14" s="910" customFormat="1" ht="16.5" hidden="1" customHeight="1">
      <c r="A3847" s="896"/>
      <c r="B3847" s="980" t="s">
        <v>2080</v>
      </c>
      <c r="C3847" s="957">
        <v>1</v>
      </c>
      <c r="D3847" s="958" t="s">
        <v>273</v>
      </c>
      <c r="E3847" s="1268">
        <v>3</v>
      </c>
      <c r="F3847" s="960">
        <v>0</v>
      </c>
      <c r="G3847" s="960">
        <v>0</v>
      </c>
      <c r="H3847" s="960">
        <v>0</v>
      </c>
      <c r="I3847" s="1291">
        <f>ROUND(IF(AND(F3847:H3847),C3847*E3847*F3847*G3847*H3847,IF(AND(F3847,G3847),C3847*E3847*F3847*G3847,IF(AND(F3847,H3847),C3847*E3847*F3847*H3847,IF(AND(G3847,H3847),C3847*E3847*G3847*H3847,IF(F3847,C3847*E3847*F3847,IF(G3847,C3847*E3847*G3847,IF(H3847,C3847*E3847*H3847,C3847*E3847))))))),2)</f>
        <v>3</v>
      </c>
      <c r="J3847" s="909" t="s">
        <v>115</v>
      </c>
      <c r="K3847" s="902"/>
      <c r="L3847" s="896"/>
      <c r="M3847" s="902"/>
      <c r="N3847" s="900" t="s">
        <v>2297</v>
      </c>
    </row>
    <row r="3848" spans="1:14" s="910" customFormat="1" ht="16.5" hidden="1" customHeight="1">
      <c r="A3848" s="896"/>
      <c r="B3848" s="980"/>
      <c r="C3848" s="957"/>
      <c r="D3848" s="958"/>
      <c r="E3848" s="1268"/>
      <c r="F3848" s="960"/>
      <c r="G3848" s="960"/>
      <c r="H3848" s="960"/>
      <c r="I3848" s="916"/>
      <c r="J3848" s="909"/>
      <c r="K3848" s="902"/>
      <c r="L3848" s="896"/>
      <c r="M3848" s="902"/>
      <c r="N3848" s="900" t="s">
        <v>2297</v>
      </c>
    </row>
    <row r="3849" spans="1:14" ht="15.75" hidden="1">
      <c r="A3849" s="896"/>
      <c r="B3849" s="902"/>
      <c r="C3849" s="917"/>
      <c r="D3849" s="918"/>
      <c r="E3849" s="919"/>
      <c r="F3849" s="920"/>
      <c r="G3849" s="921"/>
      <c r="H3849" s="896"/>
      <c r="I3849" s="1291"/>
      <c r="J3849" s="909" t="s">
        <v>115</v>
      </c>
      <c r="K3849" s="922">
        <f>'Ele Data'!I325</f>
        <v>170</v>
      </c>
      <c r="L3849" s="923" t="s">
        <v>2297</v>
      </c>
      <c r="M3849" s="924">
        <f>ROUND(I3849*K3849,0)</f>
        <v>0</v>
      </c>
      <c r="N3849" s="900" t="s">
        <v>2297</v>
      </c>
    </row>
    <row r="3850" spans="1:14" ht="27" hidden="1" customHeight="1">
      <c r="A3850" s="896">
        <v>31</v>
      </c>
      <c r="B3850" s="1609" t="s">
        <v>690</v>
      </c>
      <c r="C3850" s="1609"/>
      <c r="D3850" s="1609"/>
      <c r="E3850" s="1609"/>
      <c r="F3850" s="1609"/>
      <c r="G3850" s="1609"/>
      <c r="H3850" s="1609"/>
      <c r="I3850" s="897"/>
      <c r="J3850" s="898"/>
      <c r="K3850" s="896"/>
      <c r="L3850" s="896"/>
      <c r="M3850" s="899"/>
      <c r="N3850" s="900" t="s">
        <v>2297</v>
      </c>
    </row>
    <row r="3851" spans="1:14" s="910" customFormat="1" ht="16.5" hidden="1" customHeight="1">
      <c r="A3851" s="896"/>
      <c r="B3851" s="902" t="s">
        <v>2770</v>
      </c>
      <c r="C3851" s="903"/>
      <c r="D3851" s="904"/>
      <c r="E3851" s="905"/>
      <c r="F3851" s="906"/>
      <c r="G3851" s="906"/>
      <c r="H3851" s="907"/>
      <c r="I3851" s="908"/>
      <c r="J3851" s="909"/>
      <c r="K3851" s="902"/>
      <c r="L3851" s="896"/>
      <c r="M3851" s="902"/>
      <c r="N3851" s="900" t="s">
        <v>2297</v>
      </c>
    </row>
    <row r="3852" spans="1:14" s="910" customFormat="1" ht="16.5" hidden="1" customHeight="1">
      <c r="A3852" s="896"/>
      <c r="B3852" s="980" t="s">
        <v>2080</v>
      </c>
      <c r="C3852" s="957">
        <v>1</v>
      </c>
      <c r="D3852" s="958" t="s">
        <v>273</v>
      </c>
      <c r="E3852" s="1268">
        <v>12</v>
      </c>
      <c r="F3852" s="960">
        <v>0</v>
      </c>
      <c r="G3852" s="960">
        <v>0</v>
      </c>
      <c r="H3852" s="960">
        <v>0</v>
      </c>
      <c r="I3852" s="1291">
        <f>ROUND(IF(AND(F3852:H3852),C3852*E3852*F3852*G3852*H3852,IF(AND(F3852,G3852),C3852*E3852*F3852*G3852,IF(AND(F3852,H3852),C3852*E3852*F3852*H3852,IF(AND(G3852,H3852),C3852*E3852*G3852*H3852,IF(F3852,C3852*E3852*F3852,IF(G3852,C3852*E3852*G3852,IF(H3852,C3852*E3852*H3852,C3852*E3852))))))),2)</f>
        <v>12</v>
      </c>
      <c r="J3852" s="909" t="s">
        <v>115</v>
      </c>
      <c r="K3852" s="902"/>
      <c r="L3852" s="896"/>
      <c r="M3852" s="902"/>
      <c r="N3852" s="900" t="s">
        <v>2297</v>
      </c>
    </row>
    <row r="3853" spans="1:14" s="910" customFormat="1" ht="16.5" hidden="1" customHeight="1">
      <c r="A3853" s="896"/>
      <c r="B3853" s="980"/>
      <c r="C3853" s="957"/>
      <c r="D3853" s="958"/>
      <c r="E3853" s="1268"/>
      <c r="F3853" s="960"/>
      <c r="G3853" s="960"/>
      <c r="H3853" s="960"/>
      <c r="I3853" s="916"/>
      <c r="J3853" s="909"/>
      <c r="K3853" s="902"/>
      <c r="L3853" s="896"/>
      <c r="M3853" s="902"/>
      <c r="N3853" s="900" t="s">
        <v>2297</v>
      </c>
    </row>
    <row r="3854" spans="1:14" ht="15.75" hidden="1">
      <c r="A3854" s="896"/>
      <c r="B3854" s="902"/>
      <c r="C3854" s="917"/>
      <c r="D3854" s="918"/>
      <c r="E3854" s="919"/>
      <c r="F3854" s="920"/>
      <c r="G3854" s="921"/>
      <c r="H3854" s="896"/>
      <c r="I3854" s="1291"/>
      <c r="J3854" s="909" t="s">
        <v>115</v>
      </c>
      <c r="K3854" s="922">
        <f>'Ele Data'!I328</f>
        <v>130</v>
      </c>
      <c r="L3854" s="923" t="s">
        <v>2297</v>
      </c>
      <c r="M3854" s="924">
        <f>ROUND(I3854*K3854,0)</f>
        <v>0</v>
      </c>
      <c r="N3854" s="900" t="s">
        <v>2297</v>
      </c>
    </row>
    <row r="3855" spans="1:14" ht="27" hidden="1" customHeight="1">
      <c r="A3855" s="896">
        <v>4</v>
      </c>
      <c r="B3855" s="1609" t="s">
        <v>1510</v>
      </c>
      <c r="C3855" s="1609"/>
      <c r="D3855" s="1609"/>
      <c r="E3855" s="1609"/>
      <c r="F3855" s="1609"/>
      <c r="G3855" s="1609"/>
      <c r="H3855" s="1609"/>
      <c r="I3855" s="897"/>
      <c r="J3855" s="898"/>
      <c r="K3855" s="896"/>
      <c r="L3855" s="896"/>
      <c r="M3855" s="899"/>
      <c r="N3855" s="900" t="s">
        <v>2297</v>
      </c>
    </row>
    <row r="3856" spans="1:14" s="910" customFormat="1" ht="16.5" hidden="1" customHeight="1">
      <c r="A3856" s="896"/>
      <c r="B3856" s="902" t="s">
        <v>2347</v>
      </c>
      <c r="C3856" s="903"/>
      <c r="D3856" s="904"/>
      <c r="E3856" s="905"/>
      <c r="F3856" s="906"/>
      <c r="G3856" s="906"/>
      <c r="H3856" s="907"/>
      <c r="I3856" s="908"/>
      <c r="J3856" s="909"/>
      <c r="K3856" s="902"/>
      <c r="L3856" s="896"/>
      <c r="M3856" s="902"/>
      <c r="N3856" s="900" t="s">
        <v>2297</v>
      </c>
    </row>
    <row r="3857" spans="1:14" s="910" customFormat="1" ht="16.5" hidden="1" customHeight="1">
      <c r="A3857" s="896"/>
      <c r="B3857" s="980" t="s">
        <v>586</v>
      </c>
      <c r="C3857" s="957">
        <v>1</v>
      </c>
      <c r="D3857" s="958" t="s">
        <v>273</v>
      </c>
      <c r="E3857" s="1268">
        <v>1</v>
      </c>
      <c r="F3857" s="960">
        <v>0</v>
      </c>
      <c r="G3857" s="960">
        <v>0</v>
      </c>
      <c r="H3857" s="960">
        <v>0</v>
      </c>
      <c r="I3857" s="1291">
        <f>ROUND(IF(AND(F3857:H3857),C3857*E3857*F3857*G3857*H3857,IF(AND(F3857,G3857),C3857*E3857*F3857*G3857,IF(AND(F3857,H3857),C3857*E3857*F3857*H3857,IF(AND(G3857,H3857),C3857*E3857*G3857*H3857,IF(F3857,C3857*E3857*F3857,IF(G3857,C3857*E3857*G3857,IF(H3857,C3857*E3857*H3857,C3857*E3857))))))),2)</f>
        <v>1</v>
      </c>
      <c r="J3857" s="909" t="s">
        <v>115</v>
      </c>
      <c r="K3857" s="902"/>
      <c r="L3857" s="896"/>
      <c r="M3857" s="902"/>
      <c r="N3857" s="900" t="s">
        <v>2297</v>
      </c>
    </row>
    <row r="3858" spans="1:14" s="910" customFormat="1" ht="16.5" hidden="1" customHeight="1">
      <c r="A3858" s="896"/>
      <c r="B3858" s="980" t="s">
        <v>1493</v>
      </c>
      <c r="C3858" s="957">
        <v>1</v>
      </c>
      <c r="D3858" s="958" t="s">
        <v>273</v>
      </c>
      <c r="E3858" s="1268">
        <v>1</v>
      </c>
      <c r="F3858" s="960">
        <v>0</v>
      </c>
      <c r="G3858" s="960">
        <v>0</v>
      </c>
      <c r="H3858" s="960">
        <v>0</v>
      </c>
      <c r="I3858" s="1291">
        <f>ROUND(IF(AND(F3858:H3858),C3858*E3858*F3858*G3858*H3858,IF(AND(F3858,G3858),C3858*E3858*F3858*G3858,IF(AND(F3858,H3858),C3858*E3858*F3858*H3858,IF(AND(G3858,H3858),C3858*E3858*G3858*H3858,IF(F3858,C3858*E3858*F3858,IF(G3858,C3858*E3858*G3858,IF(H3858,C3858*E3858*H3858,C3858*E3858))))))),2)</f>
        <v>1</v>
      </c>
      <c r="J3858" s="909" t="s">
        <v>115</v>
      </c>
      <c r="K3858" s="902"/>
      <c r="L3858" s="896"/>
      <c r="M3858" s="902"/>
      <c r="N3858" s="900" t="s">
        <v>2297</v>
      </c>
    </row>
    <row r="3859" spans="1:14" s="910" customFormat="1" ht="16.5" hidden="1" customHeight="1">
      <c r="A3859" s="896"/>
      <c r="B3859" s="980" t="s">
        <v>1492</v>
      </c>
      <c r="C3859" s="957">
        <v>1</v>
      </c>
      <c r="D3859" s="958" t="s">
        <v>273</v>
      </c>
      <c r="E3859" s="1268">
        <v>1</v>
      </c>
      <c r="F3859" s="960">
        <v>0</v>
      </c>
      <c r="G3859" s="960">
        <v>0</v>
      </c>
      <c r="H3859" s="960">
        <v>0</v>
      </c>
      <c r="I3859" s="1291">
        <f>ROUND(IF(AND(F3859:H3859),C3859*E3859*F3859*G3859*H3859,IF(AND(F3859,G3859),C3859*E3859*F3859*G3859,IF(AND(F3859,H3859),C3859*E3859*F3859*H3859,IF(AND(G3859,H3859),C3859*E3859*G3859*H3859,IF(F3859,C3859*E3859*F3859,IF(G3859,C3859*E3859*G3859,IF(H3859,C3859*E3859*H3859,C3859*E3859))))))),2)</f>
        <v>1</v>
      </c>
      <c r="J3859" s="909" t="s">
        <v>115</v>
      </c>
      <c r="K3859" s="902"/>
      <c r="L3859" s="896"/>
      <c r="M3859" s="902"/>
      <c r="N3859" s="900" t="s">
        <v>2297</v>
      </c>
    </row>
    <row r="3860" spans="1:14" s="910" customFormat="1" ht="16.5" hidden="1" customHeight="1">
      <c r="A3860" s="896"/>
      <c r="B3860" s="980" t="s">
        <v>223</v>
      </c>
      <c r="C3860" s="957">
        <v>1</v>
      </c>
      <c r="D3860" s="958" t="s">
        <v>273</v>
      </c>
      <c r="E3860" s="1268">
        <v>2</v>
      </c>
      <c r="F3860" s="960">
        <v>0</v>
      </c>
      <c r="G3860" s="960">
        <v>0</v>
      </c>
      <c r="H3860" s="960">
        <v>0</v>
      </c>
      <c r="I3860" s="1291">
        <f>ROUND(IF(AND(F3860:H3860),C3860*E3860*F3860*G3860*H3860,IF(AND(F3860,G3860),C3860*E3860*F3860*G3860,IF(AND(F3860,H3860),C3860*E3860*F3860*H3860,IF(AND(G3860,H3860),C3860*E3860*G3860*H3860,IF(F3860,C3860*E3860*F3860,IF(G3860,C3860*E3860*G3860,IF(H3860,C3860*E3860*H3860,C3860*E3860))))))),2)</f>
        <v>2</v>
      </c>
      <c r="J3860" s="909" t="s">
        <v>115</v>
      </c>
      <c r="K3860" s="902"/>
      <c r="L3860" s="896"/>
      <c r="M3860" s="902"/>
      <c r="N3860" s="900" t="s">
        <v>2297</v>
      </c>
    </row>
    <row r="3861" spans="1:14" s="910" customFormat="1" ht="16.5" hidden="1" customHeight="1">
      <c r="A3861" s="896"/>
      <c r="B3861" s="980"/>
      <c r="C3861" s="957"/>
      <c r="D3861" s="958"/>
      <c r="E3861" s="1268"/>
      <c r="F3861" s="960"/>
      <c r="G3861" s="960"/>
      <c r="H3861" s="960"/>
      <c r="I3861" s="1291"/>
      <c r="J3861" s="909"/>
      <c r="K3861" s="902"/>
      <c r="L3861" s="896"/>
      <c r="M3861" s="902"/>
      <c r="N3861" s="900" t="s">
        <v>2297</v>
      </c>
    </row>
    <row r="3862" spans="1:14" ht="15.75" hidden="1">
      <c r="A3862" s="896"/>
      <c r="B3862" s="902"/>
      <c r="C3862" s="917"/>
      <c r="D3862" s="918"/>
      <c r="E3862" s="919"/>
      <c r="F3862" s="920"/>
      <c r="G3862" s="921"/>
      <c r="H3862" s="896"/>
      <c r="I3862" s="1291"/>
      <c r="J3862" s="909" t="s">
        <v>115</v>
      </c>
      <c r="K3862" s="922">
        <f>'Ele Data'!I339</f>
        <v>300</v>
      </c>
      <c r="L3862" s="923" t="s">
        <v>2297</v>
      </c>
      <c r="M3862" s="924">
        <f>ROUND(I3862*K3862,0)</f>
        <v>0</v>
      </c>
      <c r="N3862" s="900" t="s">
        <v>2297</v>
      </c>
    </row>
    <row r="3863" spans="1:14" ht="27" hidden="1" customHeight="1">
      <c r="A3863" s="896">
        <v>6</v>
      </c>
      <c r="B3863" s="1609" t="s">
        <v>612</v>
      </c>
      <c r="C3863" s="1609"/>
      <c r="D3863" s="1609"/>
      <c r="E3863" s="1609"/>
      <c r="F3863" s="1609"/>
      <c r="G3863" s="1609"/>
      <c r="H3863" s="1609"/>
      <c r="I3863" s="897"/>
      <c r="J3863" s="898"/>
      <c r="K3863" s="896"/>
      <c r="L3863" s="896"/>
      <c r="M3863" s="899"/>
      <c r="N3863" s="900" t="s">
        <v>2297</v>
      </c>
    </row>
    <row r="3864" spans="1:14" s="910" customFormat="1" ht="16.5" hidden="1" customHeight="1">
      <c r="A3864" s="896"/>
      <c r="B3864" s="980" t="s">
        <v>607</v>
      </c>
      <c r="C3864" s="903"/>
      <c r="D3864" s="904"/>
      <c r="E3864" s="905"/>
      <c r="F3864" s="906"/>
      <c r="G3864" s="906"/>
      <c r="H3864" s="907"/>
      <c r="I3864" s="908"/>
      <c r="J3864" s="909"/>
      <c r="K3864" s="902"/>
      <c r="L3864" s="896"/>
      <c r="M3864" s="902"/>
      <c r="N3864" s="900" t="s">
        <v>2297</v>
      </c>
    </row>
    <row r="3865" spans="1:14" s="910" customFormat="1" ht="16.5" hidden="1" customHeight="1">
      <c r="A3865" s="896"/>
      <c r="B3865" s="980" t="s">
        <v>1216</v>
      </c>
      <c r="C3865" s="957">
        <v>2</v>
      </c>
      <c r="D3865" s="958" t="s">
        <v>273</v>
      </c>
      <c r="E3865" s="1268">
        <v>1</v>
      </c>
      <c r="F3865" s="960">
        <v>0</v>
      </c>
      <c r="G3865" s="960">
        <v>0</v>
      </c>
      <c r="H3865" s="960">
        <v>0</v>
      </c>
      <c r="I3865" s="1291">
        <f>ROUND(IF(AND(F3865:H3865),C3865*E3865*F3865*G3865*H3865,IF(AND(F3865,G3865),C3865*E3865*F3865*G3865,IF(AND(F3865,H3865),C3865*E3865*F3865*H3865,IF(AND(G3865,H3865),C3865*E3865*G3865*H3865,IF(F3865,C3865*E3865*F3865,IF(G3865,C3865*E3865*G3865,IF(H3865,C3865*E3865*H3865,C3865*E3865))))))),2)</f>
        <v>2</v>
      </c>
      <c r="J3865" s="909" t="s">
        <v>115</v>
      </c>
      <c r="K3865" s="902"/>
      <c r="L3865" s="896"/>
      <c r="M3865" s="902"/>
      <c r="N3865" s="900" t="s">
        <v>2297</v>
      </c>
    </row>
    <row r="3866" spans="1:14" s="910" customFormat="1" ht="16.5" hidden="1" customHeight="1">
      <c r="A3866" s="896"/>
      <c r="B3866" s="980"/>
      <c r="C3866" s="957"/>
      <c r="D3866" s="958"/>
      <c r="E3866" s="1268"/>
      <c r="F3866" s="960"/>
      <c r="G3866" s="960"/>
      <c r="H3866" s="960"/>
      <c r="I3866" s="1291"/>
      <c r="J3866" s="909"/>
      <c r="K3866" s="902"/>
      <c r="L3866" s="896"/>
      <c r="M3866" s="902"/>
      <c r="N3866" s="900" t="s">
        <v>2297</v>
      </c>
    </row>
    <row r="3867" spans="1:14" ht="15.75" hidden="1">
      <c r="A3867" s="896"/>
      <c r="B3867" s="902"/>
      <c r="C3867" s="917"/>
      <c r="D3867" s="918"/>
      <c r="E3867" s="919"/>
      <c r="F3867" s="920"/>
      <c r="G3867" s="921"/>
      <c r="H3867" s="896"/>
      <c r="I3867" s="1291"/>
      <c r="J3867" s="909" t="s">
        <v>115</v>
      </c>
      <c r="K3867" s="922">
        <f>'Ele Data'!I335</f>
        <v>335</v>
      </c>
      <c r="L3867" s="923" t="s">
        <v>2297</v>
      </c>
      <c r="M3867" s="924">
        <f>ROUND(I3867*K3867,0)</f>
        <v>0</v>
      </c>
      <c r="N3867" s="900" t="s">
        <v>2297</v>
      </c>
    </row>
    <row r="3868" spans="1:14" ht="27" hidden="1" customHeight="1">
      <c r="A3868" s="896">
        <v>26</v>
      </c>
      <c r="B3868" s="1609" t="s">
        <v>790</v>
      </c>
      <c r="C3868" s="1609"/>
      <c r="D3868" s="1609"/>
      <c r="E3868" s="1609"/>
      <c r="F3868" s="1609"/>
      <c r="G3868" s="1609"/>
      <c r="H3868" s="1609"/>
      <c r="I3868" s="897"/>
      <c r="J3868" s="898"/>
      <c r="K3868" s="896"/>
      <c r="L3868" s="896"/>
      <c r="M3868" s="899"/>
      <c r="N3868" s="900" t="s">
        <v>2297</v>
      </c>
    </row>
    <row r="3869" spans="1:14" s="910" customFormat="1" ht="16.5" hidden="1" customHeight="1">
      <c r="A3869" s="896"/>
      <c r="B3869" s="902" t="s">
        <v>2556</v>
      </c>
      <c r="C3869" s="903"/>
      <c r="D3869" s="904"/>
      <c r="E3869" s="905"/>
      <c r="F3869" s="906"/>
      <c r="G3869" s="906"/>
      <c r="H3869" s="907"/>
      <c r="I3869" s="908"/>
      <c r="J3869" s="909"/>
      <c r="K3869" s="902"/>
      <c r="L3869" s="896"/>
      <c r="M3869" s="902"/>
      <c r="N3869" s="900" t="s">
        <v>2297</v>
      </c>
    </row>
    <row r="3870" spans="1:14" s="910" customFormat="1" ht="16.5" hidden="1" customHeight="1">
      <c r="A3870" s="896"/>
      <c r="B3870" s="980" t="s">
        <v>2080</v>
      </c>
      <c r="C3870" s="957">
        <v>1</v>
      </c>
      <c r="D3870" s="958" t="s">
        <v>273</v>
      </c>
      <c r="E3870" s="1268">
        <v>3</v>
      </c>
      <c r="F3870" s="960">
        <v>0</v>
      </c>
      <c r="G3870" s="960">
        <v>0</v>
      </c>
      <c r="H3870" s="960">
        <v>0</v>
      </c>
      <c r="I3870" s="1291">
        <f>ROUND(IF(AND(F3870:H3870),C3870*E3870*F3870*G3870*H3870,IF(AND(F3870,G3870),C3870*E3870*F3870*G3870,IF(AND(F3870,H3870),C3870*E3870*F3870*H3870,IF(AND(G3870,H3870),C3870*E3870*G3870*H3870,IF(F3870,C3870*E3870*F3870,IF(G3870,C3870*E3870*G3870,IF(H3870,C3870*E3870*H3870,C3870*E3870))))))),2)</f>
        <v>3</v>
      </c>
      <c r="J3870" s="909" t="s">
        <v>115</v>
      </c>
      <c r="K3870" s="902"/>
      <c r="L3870" s="896"/>
      <c r="M3870" s="902"/>
      <c r="N3870" s="900" t="s">
        <v>2297</v>
      </c>
    </row>
    <row r="3871" spans="1:14" s="910" customFormat="1" ht="16.5" hidden="1" customHeight="1">
      <c r="A3871" s="896"/>
      <c r="B3871" s="980"/>
      <c r="C3871" s="957"/>
      <c r="D3871" s="958"/>
      <c r="E3871" s="1268"/>
      <c r="F3871" s="960"/>
      <c r="G3871" s="960"/>
      <c r="H3871" s="960"/>
      <c r="I3871" s="1291"/>
      <c r="J3871" s="909"/>
      <c r="K3871" s="902"/>
      <c r="L3871" s="896"/>
      <c r="M3871" s="902"/>
      <c r="N3871" s="900" t="s">
        <v>2297</v>
      </c>
    </row>
    <row r="3872" spans="1:14" ht="15.75" hidden="1">
      <c r="A3872" s="896"/>
      <c r="B3872" s="902"/>
      <c r="C3872" s="917"/>
      <c r="D3872" s="918"/>
      <c r="E3872" s="919"/>
      <c r="F3872" s="920"/>
      <c r="G3872" s="921"/>
      <c r="H3872" s="896"/>
      <c r="I3872" s="1291"/>
      <c r="J3872" s="909" t="s">
        <v>115</v>
      </c>
      <c r="K3872" s="922">
        <f>'Ele Data'!I331</f>
        <v>95</v>
      </c>
      <c r="L3872" s="923" t="s">
        <v>2297</v>
      </c>
      <c r="M3872" s="924">
        <f>ROUND(I3872*K3872,0)</f>
        <v>0</v>
      </c>
      <c r="N3872" s="900" t="s">
        <v>2297</v>
      </c>
    </row>
    <row r="3873" spans="1:14" ht="27" hidden="1" customHeight="1">
      <c r="A3873" s="896">
        <v>32</v>
      </c>
      <c r="B3873" s="1609" t="s">
        <v>428</v>
      </c>
      <c r="C3873" s="1609"/>
      <c r="D3873" s="1609"/>
      <c r="E3873" s="1609"/>
      <c r="F3873" s="1609"/>
      <c r="G3873" s="1609"/>
      <c r="H3873" s="1609"/>
      <c r="I3873" s="897"/>
      <c r="J3873" s="898"/>
      <c r="K3873" s="896"/>
      <c r="L3873" s="896"/>
      <c r="M3873" s="899"/>
      <c r="N3873" s="900" t="s">
        <v>2297</v>
      </c>
    </row>
    <row r="3874" spans="1:14" s="910" customFormat="1" ht="16.5" hidden="1" customHeight="1">
      <c r="A3874" s="896"/>
      <c r="B3874" s="902" t="s">
        <v>2770</v>
      </c>
      <c r="C3874" s="903"/>
      <c r="D3874" s="904"/>
      <c r="E3874" s="905"/>
      <c r="F3874" s="906"/>
      <c r="G3874" s="906"/>
      <c r="H3874" s="907"/>
      <c r="I3874" s="908"/>
      <c r="J3874" s="909"/>
      <c r="K3874" s="902"/>
      <c r="L3874" s="896"/>
      <c r="M3874" s="902"/>
      <c r="N3874" s="900" t="s">
        <v>2297</v>
      </c>
    </row>
    <row r="3875" spans="1:14" s="910" customFormat="1" ht="16.5" hidden="1" customHeight="1">
      <c r="A3875" s="896"/>
      <c r="B3875" s="980" t="s">
        <v>2080</v>
      </c>
      <c r="C3875" s="957">
        <v>1</v>
      </c>
      <c r="D3875" s="958" t="s">
        <v>273</v>
      </c>
      <c r="E3875" s="1268">
        <v>2</v>
      </c>
      <c r="F3875" s="960">
        <v>0</v>
      </c>
      <c r="G3875" s="960">
        <v>0</v>
      </c>
      <c r="H3875" s="960">
        <v>0</v>
      </c>
      <c r="I3875" s="1291">
        <f>ROUND(IF(AND(F3875:H3875),C3875*E3875*F3875*G3875*H3875,IF(AND(F3875,G3875),C3875*E3875*F3875*G3875,IF(AND(F3875,H3875),C3875*E3875*F3875*H3875,IF(AND(G3875,H3875),C3875*E3875*G3875*H3875,IF(F3875,C3875*E3875*F3875,IF(G3875,C3875*E3875*G3875,IF(H3875,C3875*E3875*H3875,C3875*E3875))))))),2)</f>
        <v>2</v>
      </c>
      <c r="J3875" s="909" t="s">
        <v>115</v>
      </c>
      <c r="K3875" s="902"/>
      <c r="L3875" s="896"/>
      <c r="M3875" s="902"/>
      <c r="N3875" s="900" t="s">
        <v>2297</v>
      </c>
    </row>
    <row r="3876" spans="1:14" s="910" customFormat="1" ht="16.5" hidden="1" customHeight="1">
      <c r="A3876" s="896"/>
      <c r="B3876" s="980"/>
      <c r="C3876" s="957"/>
      <c r="D3876" s="958"/>
      <c r="E3876" s="1268"/>
      <c r="F3876" s="960"/>
      <c r="G3876" s="960"/>
      <c r="H3876" s="960"/>
      <c r="I3876" s="1291"/>
      <c r="J3876" s="909"/>
      <c r="K3876" s="902"/>
      <c r="L3876" s="896"/>
      <c r="M3876" s="902"/>
      <c r="N3876" s="900" t="s">
        <v>2297</v>
      </c>
    </row>
    <row r="3877" spans="1:14" ht="15.75" hidden="1">
      <c r="A3877" s="896"/>
      <c r="B3877" s="902"/>
      <c r="C3877" s="917"/>
      <c r="D3877" s="918"/>
      <c r="E3877" s="919"/>
      <c r="F3877" s="920"/>
      <c r="G3877" s="921"/>
      <c r="H3877" s="896"/>
      <c r="I3877" s="1291"/>
      <c r="J3877" s="909" t="s">
        <v>115</v>
      </c>
      <c r="K3877" s="922">
        <f>'Ele Data'!I342</f>
        <v>57</v>
      </c>
      <c r="L3877" s="923" t="s">
        <v>2297</v>
      </c>
      <c r="M3877" s="924">
        <f>ROUND(I3877*K3877,0)</f>
        <v>0</v>
      </c>
      <c r="N3877" s="900" t="s">
        <v>2297</v>
      </c>
    </row>
    <row r="3878" spans="1:14" ht="64.5" hidden="1" customHeight="1">
      <c r="A3878" s="896">
        <v>33</v>
      </c>
      <c r="B3878" s="1609" t="s">
        <v>692</v>
      </c>
      <c r="C3878" s="1609"/>
      <c r="D3878" s="1609"/>
      <c r="E3878" s="1609"/>
      <c r="F3878" s="1609"/>
      <c r="G3878" s="1609"/>
      <c r="H3878" s="1609"/>
      <c r="I3878" s="897"/>
      <c r="J3878" s="898"/>
      <c r="K3878" s="896"/>
      <c r="L3878" s="896"/>
      <c r="M3878" s="899"/>
      <c r="N3878" s="900" t="s">
        <v>2297</v>
      </c>
    </row>
    <row r="3879" spans="1:14" s="910" customFormat="1" ht="16.5" hidden="1" customHeight="1">
      <c r="A3879" s="896"/>
      <c r="B3879" s="902" t="s">
        <v>2740</v>
      </c>
      <c r="C3879" s="903"/>
      <c r="D3879" s="904"/>
      <c r="E3879" s="905"/>
      <c r="F3879" s="906"/>
      <c r="G3879" s="906"/>
      <c r="H3879" s="907"/>
      <c r="I3879" s="908"/>
      <c r="J3879" s="909"/>
      <c r="K3879" s="902"/>
      <c r="L3879" s="896"/>
      <c r="M3879" s="902"/>
      <c r="N3879" s="900" t="s">
        <v>2297</v>
      </c>
    </row>
    <row r="3880" spans="1:14" s="910" customFormat="1" ht="16.5" hidden="1" customHeight="1">
      <c r="A3880" s="896"/>
      <c r="B3880" s="980"/>
      <c r="C3880" s="912">
        <v>1</v>
      </c>
      <c r="D3880" s="913" t="s">
        <v>273</v>
      </c>
      <c r="E3880" s="914">
        <v>44</v>
      </c>
      <c r="F3880" s="915">
        <v>0</v>
      </c>
      <c r="G3880" s="915">
        <v>0</v>
      </c>
      <c r="H3880" s="915">
        <v>0</v>
      </c>
      <c r="I3880" s="1291">
        <f>ROUND(IF(AND(F3880:H3880),C3880*E3880*F3880*G3880*H3880,IF(AND(F3880,G3880),C3880*E3880*F3880*G3880,IF(AND(F3880,H3880),C3880*E3880*F3880*H3880,IF(AND(G3880,H3880),C3880*E3880*G3880*H3880,IF(F3880,C3880*E3880*F3880,IF(G3880,C3880*E3880*G3880,IF(H3880,C3880*E3880*H3880,C3880*E3880))))))),2)</f>
        <v>44</v>
      </c>
      <c r="J3880" s="909" t="s">
        <v>431</v>
      </c>
      <c r="K3880" s="902"/>
      <c r="L3880" s="896"/>
      <c r="M3880" s="902"/>
      <c r="N3880" s="900" t="s">
        <v>2297</v>
      </c>
    </row>
    <row r="3881" spans="1:14" s="910" customFormat="1" ht="16.5" hidden="1" customHeight="1">
      <c r="A3881" s="896"/>
      <c r="B3881" s="980"/>
      <c r="C3881" s="957"/>
      <c r="D3881" s="958"/>
      <c r="E3881" s="1268"/>
      <c r="F3881" s="960"/>
      <c r="G3881" s="960"/>
      <c r="H3881" s="960"/>
      <c r="I3881" s="1291"/>
      <c r="J3881" s="909"/>
      <c r="K3881" s="902"/>
      <c r="L3881" s="896"/>
      <c r="M3881" s="902"/>
      <c r="N3881" s="900" t="s">
        <v>2297</v>
      </c>
    </row>
    <row r="3882" spans="1:14" ht="15.75" hidden="1">
      <c r="A3882" s="896"/>
      <c r="B3882" s="902"/>
      <c r="C3882" s="917"/>
      <c r="D3882" s="918"/>
      <c r="E3882" s="919"/>
      <c r="F3882" s="920"/>
      <c r="G3882" s="921"/>
      <c r="H3882" s="896"/>
      <c r="I3882" s="1291"/>
      <c r="J3882" s="909" t="s">
        <v>431</v>
      </c>
      <c r="K3882" s="922">
        <f>'Ele Data'!I380</f>
        <v>395.5</v>
      </c>
      <c r="L3882" s="923" t="s">
        <v>2297</v>
      </c>
      <c r="M3882" s="924">
        <f>ROUND(I3882*K3882,0)</f>
        <v>0</v>
      </c>
      <c r="N3882" s="900" t="s">
        <v>2297</v>
      </c>
    </row>
    <row r="3883" spans="1:14" ht="67.5" hidden="1" customHeight="1">
      <c r="A3883" s="896">
        <v>7</v>
      </c>
      <c r="B3883" s="1609" t="s">
        <v>693</v>
      </c>
      <c r="C3883" s="1609"/>
      <c r="D3883" s="1609"/>
      <c r="E3883" s="1609"/>
      <c r="F3883" s="1609"/>
      <c r="G3883" s="1609"/>
      <c r="H3883" s="1609"/>
      <c r="I3883" s="897"/>
      <c r="J3883" s="898"/>
      <c r="K3883" s="896"/>
      <c r="L3883" s="896"/>
      <c r="M3883" s="899"/>
      <c r="N3883" s="900" t="s">
        <v>2297</v>
      </c>
    </row>
    <row r="3884" spans="1:14" s="910" customFormat="1" ht="16.5" hidden="1" customHeight="1">
      <c r="A3884" s="896"/>
      <c r="B3884" s="902" t="s">
        <v>2325</v>
      </c>
      <c r="C3884" s="903"/>
      <c r="D3884" s="904"/>
      <c r="E3884" s="905"/>
      <c r="F3884" s="906"/>
      <c r="G3884" s="906"/>
      <c r="H3884" s="907"/>
      <c r="I3884" s="908"/>
      <c r="J3884" s="909"/>
      <c r="K3884" s="902"/>
      <c r="L3884" s="896"/>
      <c r="M3884" s="902"/>
      <c r="N3884" s="900" t="s">
        <v>2297</v>
      </c>
    </row>
    <row r="3885" spans="1:14" s="910" customFormat="1" ht="16.5" hidden="1" customHeight="1">
      <c r="A3885" s="896"/>
      <c r="B3885" s="980" t="s">
        <v>799</v>
      </c>
      <c r="C3885" s="957">
        <v>1</v>
      </c>
      <c r="D3885" s="958" t="s">
        <v>273</v>
      </c>
      <c r="E3885" s="1268">
        <v>6</v>
      </c>
      <c r="F3885" s="960">
        <v>0</v>
      </c>
      <c r="G3885" s="960">
        <v>0</v>
      </c>
      <c r="H3885" s="960">
        <v>0</v>
      </c>
      <c r="I3885" s="1291">
        <f>ROUND(IF(AND(F3885:H3885),C3885*E3885*F3885*G3885*H3885,IF(AND(F3885,G3885),C3885*E3885*F3885*G3885,IF(AND(F3885,H3885),C3885*E3885*F3885*H3885,IF(AND(G3885,H3885),C3885*E3885*G3885*H3885,IF(F3885,C3885*E3885*F3885,IF(G3885,C3885*E3885*G3885,IF(H3885,C3885*E3885*H3885,C3885*E3885))))))),2)</f>
        <v>6</v>
      </c>
      <c r="J3885" s="909" t="s">
        <v>431</v>
      </c>
      <c r="K3885" s="902"/>
      <c r="L3885" s="896"/>
      <c r="M3885" s="902"/>
      <c r="N3885" s="900" t="s">
        <v>2297</v>
      </c>
    </row>
    <row r="3886" spans="1:14" s="910" customFormat="1" ht="16.5" hidden="1" customHeight="1">
      <c r="A3886" s="896"/>
      <c r="B3886" s="980" t="s">
        <v>1618</v>
      </c>
      <c r="C3886" s="957">
        <v>1</v>
      </c>
      <c r="D3886" s="958" t="s">
        <v>273</v>
      </c>
      <c r="E3886" s="1268">
        <v>1</v>
      </c>
      <c r="F3886" s="960">
        <v>0</v>
      </c>
      <c r="G3886" s="960">
        <v>0</v>
      </c>
      <c r="H3886" s="960">
        <v>0</v>
      </c>
      <c r="I3886" s="1291">
        <f>ROUND(IF(AND(F3886:H3886),C3886*E3886*F3886*G3886*H3886,IF(AND(F3886,G3886),C3886*E3886*F3886*G3886,IF(AND(F3886,H3886),C3886*E3886*F3886*H3886,IF(AND(G3886,H3886),C3886*E3886*G3886*H3886,IF(F3886,C3886*E3886*F3886,IF(G3886,C3886*E3886*G3886,IF(H3886,C3886*E3886*H3886,C3886*E3886))))))),2)</f>
        <v>1</v>
      </c>
      <c r="J3886" s="909" t="s">
        <v>431</v>
      </c>
      <c r="K3886" s="902"/>
      <c r="L3886" s="896"/>
      <c r="M3886" s="902"/>
      <c r="N3886" s="900" t="s">
        <v>2297</v>
      </c>
    </row>
    <row r="3887" spans="1:14" s="910" customFormat="1" ht="16.5" hidden="1" customHeight="1">
      <c r="A3887" s="896"/>
      <c r="B3887" s="980" t="s">
        <v>586</v>
      </c>
      <c r="C3887" s="957">
        <v>1</v>
      </c>
      <c r="D3887" s="958" t="s">
        <v>273</v>
      </c>
      <c r="E3887" s="1268">
        <v>1</v>
      </c>
      <c r="F3887" s="960">
        <v>0</v>
      </c>
      <c r="G3887" s="960">
        <v>0</v>
      </c>
      <c r="H3887" s="960">
        <v>0</v>
      </c>
      <c r="I3887" s="1291">
        <f>ROUND(IF(AND(F3887:H3887),C3887*E3887*F3887*G3887*H3887,IF(AND(F3887,G3887),C3887*E3887*F3887*G3887,IF(AND(F3887,H3887),C3887*E3887*F3887*H3887,IF(AND(G3887,H3887),C3887*E3887*G3887*H3887,IF(F3887,C3887*E3887*F3887,IF(G3887,C3887*E3887*G3887,IF(H3887,C3887*E3887*H3887,C3887*E3887))))))),2)</f>
        <v>1</v>
      </c>
      <c r="J3887" s="909" t="s">
        <v>431</v>
      </c>
      <c r="K3887" s="902"/>
      <c r="L3887" s="896"/>
      <c r="M3887" s="902"/>
      <c r="N3887" s="900" t="s">
        <v>2297</v>
      </c>
    </row>
    <row r="3888" spans="1:14" s="910" customFormat="1" ht="16.5" hidden="1" customHeight="1">
      <c r="A3888" s="896"/>
      <c r="B3888" s="980"/>
      <c r="C3888" s="957"/>
      <c r="D3888" s="958"/>
      <c r="E3888" s="1268"/>
      <c r="F3888" s="960"/>
      <c r="G3888" s="960"/>
      <c r="H3888" s="960"/>
      <c r="I3888" s="916"/>
      <c r="J3888" s="909"/>
      <c r="K3888" s="902"/>
      <c r="L3888" s="896"/>
      <c r="M3888" s="902"/>
      <c r="N3888" s="900" t="s">
        <v>2297</v>
      </c>
    </row>
    <row r="3889" spans="1:14" ht="15.75" hidden="1">
      <c r="A3889" s="896"/>
      <c r="B3889" s="902"/>
      <c r="C3889" s="917"/>
      <c r="D3889" s="918"/>
      <c r="E3889" s="919"/>
      <c r="F3889" s="920"/>
      <c r="G3889" s="921"/>
      <c r="H3889" s="896"/>
      <c r="I3889" s="1291"/>
      <c r="J3889" s="909" t="s">
        <v>431</v>
      </c>
      <c r="K3889" s="922">
        <f>'Ele Data'!I393</f>
        <v>414.5</v>
      </c>
      <c r="L3889" s="923" t="s">
        <v>2297</v>
      </c>
      <c r="M3889" s="924">
        <f>ROUND(I3889*K3889,0)</f>
        <v>0</v>
      </c>
      <c r="N3889" s="900" t="s">
        <v>2297</v>
      </c>
    </row>
    <row r="3890" spans="1:14" ht="44.25" hidden="1" customHeight="1">
      <c r="A3890" s="896">
        <v>34</v>
      </c>
      <c r="B3890" s="1609" t="s">
        <v>2086</v>
      </c>
      <c r="C3890" s="1609"/>
      <c r="D3890" s="1609"/>
      <c r="E3890" s="1609"/>
      <c r="F3890" s="1609"/>
      <c r="G3890" s="1609"/>
      <c r="H3890" s="1609"/>
      <c r="I3890" s="897"/>
      <c r="J3890" s="898"/>
      <c r="K3890" s="896"/>
      <c r="L3890" s="896"/>
      <c r="M3890" s="899"/>
      <c r="N3890" s="900" t="s">
        <v>2297</v>
      </c>
    </row>
    <row r="3891" spans="1:14" s="910" customFormat="1" ht="16.5" hidden="1" customHeight="1">
      <c r="A3891" s="896"/>
      <c r="B3891" s="902" t="s">
        <v>2770</v>
      </c>
      <c r="C3891" s="903"/>
      <c r="D3891" s="904"/>
      <c r="E3891" s="905"/>
      <c r="F3891" s="906"/>
      <c r="G3891" s="906"/>
      <c r="H3891" s="907"/>
      <c r="I3891" s="908"/>
      <c r="J3891" s="909"/>
      <c r="K3891" s="902"/>
      <c r="L3891" s="896"/>
      <c r="M3891" s="902"/>
      <c r="N3891" s="900" t="s">
        <v>2297</v>
      </c>
    </row>
    <row r="3892" spans="1:14" s="910" customFormat="1" ht="16.5" hidden="1" customHeight="1">
      <c r="A3892" s="896"/>
      <c r="B3892" s="902" t="s">
        <v>2087</v>
      </c>
      <c r="C3892" s="903"/>
      <c r="D3892" s="904"/>
      <c r="E3892" s="905"/>
      <c r="F3892" s="906"/>
      <c r="G3892" s="906"/>
      <c r="H3892" s="907"/>
      <c r="I3892" s="908"/>
      <c r="J3892" s="909"/>
      <c r="K3892" s="902"/>
      <c r="L3892" s="896"/>
      <c r="M3892" s="902"/>
      <c r="N3892" s="900" t="s">
        <v>2297</v>
      </c>
    </row>
    <row r="3893" spans="1:14" s="910" customFormat="1" ht="16.5" hidden="1" customHeight="1">
      <c r="A3893" s="896"/>
      <c r="B3893" s="980"/>
      <c r="C3893" s="912">
        <v>1</v>
      </c>
      <c r="D3893" s="913" t="s">
        <v>273</v>
      </c>
      <c r="E3893" s="914">
        <v>1</v>
      </c>
      <c r="F3893" s="1289">
        <v>60</v>
      </c>
      <c r="G3893" s="915">
        <v>0</v>
      </c>
      <c r="H3893" s="915">
        <v>0</v>
      </c>
      <c r="I3893" s="916">
        <f>ROUND(IF(AND(F3893:H3893),C3893*E3893*F3893*G3893*H3893,IF(AND(F3893,G3893),C3893*E3893*F3893*G3893,IF(AND(F3893,H3893),C3893*E3893*F3893*H3893,IF(AND(G3893,H3893),C3893*E3893*G3893*H3893,IF(F3893,C3893*E3893*F3893,IF(G3893,C3893*E3893*G3893,IF(H3893,C3893*E3893*H3893,C3893*E3893))))))),2)</f>
        <v>60</v>
      </c>
      <c r="J3893" s="909" t="s">
        <v>277</v>
      </c>
      <c r="K3893" s="902"/>
      <c r="L3893" s="896"/>
      <c r="M3893" s="902"/>
      <c r="N3893" s="900" t="s">
        <v>2297</v>
      </c>
    </row>
    <row r="3894" spans="1:14" s="910" customFormat="1" ht="16.5" hidden="1" customHeight="1">
      <c r="A3894" s="896"/>
      <c r="B3894" s="980"/>
      <c r="C3894" s="957"/>
      <c r="D3894" s="958"/>
      <c r="E3894" s="1268"/>
      <c r="F3894" s="1290"/>
      <c r="G3894" s="960"/>
      <c r="H3894" s="960"/>
      <c r="I3894" s="916"/>
      <c r="J3894" s="909"/>
      <c r="K3894" s="902"/>
      <c r="L3894" s="896"/>
      <c r="M3894" s="902"/>
      <c r="N3894" s="900" t="s">
        <v>2297</v>
      </c>
    </row>
    <row r="3895" spans="1:14" ht="15.75" hidden="1">
      <c r="A3895" s="896"/>
      <c r="B3895" s="902"/>
      <c r="C3895" s="917"/>
      <c r="D3895" s="918"/>
      <c r="E3895" s="919"/>
      <c r="F3895" s="920"/>
      <c r="G3895" s="921"/>
      <c r="H3895" s="896"/>
      <c r="I3895" s="916"/>
      <c r="J3895" s="909" t="s">
        <v>277</v>
      </c>
      <c r="K3895" s="922">
        <f>'Ele Data'!I438</f>
        <v>19.09</v>
      </c>
      <c r="L3895" s="923" t="s">
        <v>2297</v>
      </c>
      <c r="M3895" s="924">
        <f>ROUND(I3895*K3895,0)</f>
        <v>0</v>
      </c>
      <c r="N3895" s="900" t="s">
        <v>2297</v>
      </c>
    </row>
    <row r="3896" spans="1:14" ht="44.25" hidden="1" customHeight="1">
      <c r="A3896" s="896">
        <v>9</v>
      </c>
      <c r="B3896" s="1609" t="s">
        <v>2255</v>
      </c>
      <c r="C3896" s="1609"/>
      <c r="D3896" s="1609"/>
      <c r="E3896" s="1609"/>
      <c r="F3896" s="1609"/>
      <c r="G3896" s="1609"/>
      <c r="H3896" s="1609"/>
      <c r="I3896" s="897"/>
      <c r="J3896" s="898"/>
      <c r="K3896" s="896"/>
      <c r="L3896" s="896"/>
      <c r="M3896" s="899"/>
      <c r="N3896" s="900" t="s">
        <v>2297</v>
      </c>
    </row>
    <row r="3897" spans="1:14" s="910" customFormat="1" ht="16.5" hidden="1" customHeight="1">
      <c r="A3897" s="896"/>
      <c r="B3897" s="902" t="s">
        <v>2348</v>
      </c>
      <c r="C3897" s="903"/>
      <c r="D3897" s="904"/>
      <c r="E3897" s="905"/>
      <c r="F3897" s="906"/>
      <c r="G3897" s="906"/>
      <c r="H3897" s="907"/>
      <c r="I3897" s="908"/>
      <c r="J3897" s="909"/>
      <c r="K3897" s="902"/>
      <c r="L3897" s="896"/>
      <c r="M3897" s="902"/>
      <c r="N3897" s="900" t="s">
        <v>2297</v>
      </c>
    </row>
    <row r="3898" spans="1:14" s="910" customFormat="1" ht="16.5" hidden="1" customHeight="1">
      <c r="A3898" s="896"/>
      <c r="B3898" s="980"/>
      <c r="C3898" s="912">
        <v>1</v>
      </c>
      <c r="D3898" s="913" t="s">
        <v>273</v>
      </c>
      <c r="E3898" s="914">
        <v>1</v>
      </c>
      <c r="F3898" s="1289">
        <v>150</v>
      </c>
      <c r="G3898" s="915">
        <v>0</v>
      </c>
      <c r="H3898" s="915">
        <v>0</v>
      </c>
      <c r="I3898" s="916">
        <f>ROUND(IF(AND(F3898:H3898),C3898*E3898*F3898*G3898*H3898,IF(AND(F3898,G3898),C3898*E3898*F3898*G3898,IF(AND(F3898,H3898),C3898*E3898*F3898*H3898,IF(AND(G3898,H3898),C3898*E3898*G3898*H3898,IF(F3898,C3898*E3898*F3898,IF(G3898,C3898*E3898*G3898,IF(H3898,C3898*E3898*H3898,C3898*E3898))))))),2)</f>
        <v>150</v>
      </c>
      <c r="J3898" s="909" t="s">
        <v>277</v>
      </c>
      <c r="K3898" s="902"/>
      <c r="L3898" s="896"/>
      <c r="M3898" s="902"/>
      <c r="N3898" s="900" t="s">
        <v>2297</v>
      </c>
    </row>
    <row r="3899" spans="1:14" s="910" customFormat="1" ht="16.5" hidden="1" customHeight="1">
      <c r="A3899" s="896"/>
      <c r="B3899" s="980"/>
      <c r="C3899" s="957"/>
      <c r="D3899" s="958"/>
      <c r="E3899" s="1268"/>
      <c r="F3899" s="1290"/>
      <c r="G3899" s="960"/>
      <c r="H3899" s="960"/>
      <c r="I3899" s="916"/>
      <c r="J3899" s="909"/>
      <c r="K3899" s="902"/>
      <c r="L3899" s="896"/>
      <c r="M3899" s="902"/>
      <c r="N3899" s="900" t="s">
        <v>2297</v>
      </c>
    </row>
    <row r="3900" spans="1:14" ht="15.75" hidden="1">
      <c r="A3900" s="896"/>
      <c r="B3900" s="902"/>
      <c r="C3900" s="917"/>
      <c r="D3900" s="918"/>
      <c r="E3900" s="919"/>
      <c r="F3900" s="920"/>
      <c r="G3900" s="921"/>
      <c r="H3900" s="896"/>
      <c r="I3900" s="916"/>
      <c r="J3900" s="909" t="s">
        <v>277</v>
      </c>
      <c r="K3900" s="922">
        <f>'Ele Data'!I430</f>
        <v>60.7</v>
      </c>
      <c r="L3900" s="923" t="s">
        <v>2297</v>
      </c>
      <c r="M3900" s="924">
        <f>ROUND(I3900*K3900,0)</f>
        <v>0</v>
      </c>
      <c r="N3900" s="900" t="s">
        <v>2297</v>
      </c>
    </row>
    <row r="3901" spans="1:14" ht="44.25" hidden="1" customHeight="1">
      <c r="A3901" s="896">
        <v>35</v>
      </c>
      <c r="B3901" s="1609" t="s">
        <v>429</v>
      </c>
      <c r="C3901" s="1609"/>
      <c r="D3901" s="1609"/>
      <c r="E3901" s="1609"/>
      <c r="F3901" s="1609"/>
      <c r="G3901" s="1609"/>
      <c r="H3901" s="1609"/>
      <c r="I3901" s="897"/>
      <c r="J3901" s="898"/>
      <c r="K3901" s="896"/>
      <c r="L3901" s="896"/>
      <c r="M3901" s="899"/>
      <c r="N3901" s="900" t="s">
        <v>2297</v>
      </c>
    </row>
    <row r="3902" spans="1:14" s="910" customFormat="1" ht="16.5" hidden="1" customHeight="1">
      <c r="A3902" s="896"/>
      <c r="B3902" s="902" t="s">
        <v>2741</v>
      </c>
      <c r="C3902" s="903"/>
      <c r="D3902" s="904"/>
      <c r="E3902" s="905"/>
      <c r="F3902" s="906"/>
      <c r="G3902" s="906"/>
      <c r="H3902" s="907"/>
      <c r="I3902" s="908"/>
      <c r="J3902" s="909"/>
      <c r="K3902" s="902"/>
      <c r="L3902" s="896"/>
      <c r="M3902" s="902"/>
      <c r="N3902" s="900" t="s">
        <v>2297</v>
      </c>
    </row>
    <row r="3903" spans="1:14" s="910" customFormat="1" ht="16.5" hidden="1" customHeight="1">
      <c r="A3903" s="896"/>
      <c r="B3903" s="980" t="s">
        <v>2187</v>
      </c>
      <c r="C3903" s="912">
        <v>1</v>
      </c>
      <c r="D3903" s="913" t="s">
        <v>273</v>
      </c>
      <c r="E3903" s="914">
        <v>1</v>
      </c>
      <c r="F3903" s="1289">
        <v>200</v>
      </c>
      <c r="G3903" s="915">
        <v>0</v>
      </c>
      <c r="H3903" s="915">
        <v>0</v>
      </c>
      <c r="I3903" s="916">
        <f>ROUND(IF(AND(F3903:H3903),C3903*E3903*F3903*G3903*H3903,IF(AND(F3903,G3903),C3903*E3903*F3903*G3903,IF(AND(F3903,H3903),C3903*E3903*F3903*H3903,IF(AND(G3903,H3903),C3903*E3903*G3903*H3903,IF(F3903,C3903*E3903*F3903,IF(G3903,C3903*E3903*G3903,IF(H3903,C3903*E3903*H3903,C3903*E3903))))))),2)</f>
        <v>200</v>
      </c>
      <c r="J3903" s="909" t="s">
        <v>277</v>
      </c>
      <c r="K3903" s="902"/>
      <c r="L3903" s="896"/>
      <c r="M3903" s="902"/>
      <c r="N3903" s="900" t="s">
        <v>2297</v>
      </c>
    </row>
    <row r="3904" spans="1:14" s="910" customFormat="1" ht="16.5" hidden="1" customHeight="1">
      <c r="A3904" s="896"/>
      <c r="B3904" s="980"/>
      <c r="C3904" s="957"/>
      <c r="D3904" s="958"/>
      <c r="E3904" s="1268"/>
      <c r="F3904" s="1290"/>
      <c r="G3904" s="960"/>
      <c r="H3904" s="960"/>
      <c r="I3904" s="916"/>
      <c r="J3904" s="909"/>
      <c r="K3904" s="902"/>
      <c r="L3904" s="896"/>
      <c r="M3904" s="902"/>
      <c r="N3904" s="900" t="s">
        <v>2297</v>
      </c>
    </row>
    <row r="3905" spans="1:14" ht="15.75" hidden="1">
      <c r="A3905" s="896"/>
      <c r="B3905" s="902"/>
      <c r="C3905" s="917"/>
      <c r="D3905" s="918"/>
      <c r="E3905" s="919"/>
      <c r="F3905" s="920"/>
      <c r="G3905" s="921"/>
      <c r="H3905" s="896"/>
      <c r="I3905" s="916"/>
      <c r="J3905" s="909" t="s">
        <v>277</v>
      </c>
      <c r="K3905" s="922">
        <f>'Ele Data'!I448</f>
        <v>65.868499999999997</v>
      </c>
      <c r="L3905" s="923" t="s">
        <v>2297</v>
      </c>
      <c r="M3905" s="924">
        <f>ROUND(I3905*K3905,0)</f>
        <v>0</v>
      </c>
      <c r="N3905" s="900" t="s">
        <v>2297</v>
      </c>
    </row>
    <row r="3906" spans="1:14" ht="44.25" hidden="1" customHeight="1">
      <c r="A3906" s="896">
        <v>36</v>
      </c>
      <c r="B3906" s="1609" t="s">
        <v>430</v>
      </c>
      <c r="C3906" s="1609"/>
      <c r="D3906" s="1609"/>
      <c r="E3906" s="1609"/>
      <c r="F3906" s="1609"/>
      <c r="G3906" s="1609"/>
      <c r="H3906" s="1609"/>
      <c r="I3906" s="897"/>
      <c r="J3906" s="898"/>
      <c r="K3906" s="896"/>
      <c r="L3906" s="896"/>
      <c r="M3906" s="899"/>
      <c r="N3906" s="900" t="s">
        <v>2297</v>
      </c>
    </row>
    <row r="3907" spans="1:14" s="910" customFormat="1" ht="16.5" hidden="1" customHeight="1">
      <c r="A3907" s="896"/>
      <c r="B3907" s="902" t="s">
        <v>2742</v>
      </c>
      <c r="C3907" s="903"/>
      <c r="D3907" s="904"/>
      <c r="E3907" s="905"/>
      <c r="F3907" s="906"/>
      <c r="G3907" s="906"/>
      <c r="H3907" s="907"/>
      <c r="I3907" s="908"/>
      <c r="J3907" s="909"/>
      <c r="K3907" s="902"/>
      <c r="L3907" s="896"/>
      <c r="M3907" s="902"/>
      <c r="N3907" s="900" t="s">
        <v>2297</v>
      </c>
    </row>
    <row r="3908" spans="1:14" s="910" customFormat="1" ht="16.5" hidden="1" customHeight="1">
      <c r="A3908" s="896"/>
      <c r="B3908" s="980"/>
      <c r="C3908" s="957">
        <v>1</v>
      </c>
      <c r="D3908" s="958" t="s">
        <v>273</v>
      </c>
      <c r="E3908" s="1268">
        <v>1</v>
      </c>
      <c r="F3908" s="1290">
        <v>100</v>
      </c>
      <c r="G3908" s="960">
        <v>0</v>
      </c>
      <c r="H3908" s="960">
        <v>0</v>
      </c>
      <c r="I3908" s="916">
        <f>ROUND(IF(AND(F3908:H3908),C3908*E3908*F3908*G3908*H3908,IF(AND(F3908,G3908),C3908*E3908*F3908*G3908,IF(AND(F3908,H3908),C3908*E3908*F3908*H3908,IF(AND(G3908,H3908),C3908*E3908*G3908*H3908,IF(F3908,C3908*E3908*F3908,IF(G3908,C3908*E3908*G3908,IF(H3908,C3908*E3908*H3908,C3908*E3908))))))),2)</f>
        <v>100</v>
      </c>
      <c r="J3908" s="909" t="s">
        <v>277</v>
      </c>
      <c r="K3908" s="902"/>
      <c r="L3908" s="896"/>
      <c r="M3908" s="902"/>
      <c r="N3908" s="900" t="s">
        <v>2297</v>
      </c>
    </row>
    <row r="3909" spans="1:14" s="910" customFormat="1" ht="16.5" hidden="1" customHeight="1">
      <c r="A3909" s="896"/>
      <c r="B3909" s="980"/>
      <c r="C3909" s="957"/>
      <c r="D3909" s="958"/>
      <c r="E3909" s="1268"/>
      <c r="F3909" s="1290"/>
      <c r="G3909" s="960"/>
      <c r="H3909" s="960"/>
      <c r="I3909" s="916"/>
      <c r="J3909" s="909"/>
      <c r="K3909" s="902"/>
      <c r="L3909" s="896"/>
      <c r="M3909" s="902"/>
      <c r="N3909" s="900" t="s">
        <v>2297</v>
      </c>
    </row>
    <row r="3910" spans="1:14" ht="15.75" hidden="1">
      <c r="A3910" s="896"/>
      <c r="B3910" s="902"/>
      <c r="C3910" s="917"/>
      <c r="D3910" s="918"/>
      <c r="E3910" s="919"/>
      <c r="F3910" s="920"/>
      <c r="G3910" s="921"/>
      <c r="H3910" s="896"/>
      <c r="I3910" s="916"/>
      <c r="J3910" s="909" t="s">
        <v>277</v>
      </c>
      <c r="K3910" s="922">
        <f>'Ele Data'!I458</f>
        <v>100.05</v>
      </c>
      <c r="L3910" s="923" t="s">
        <v>2297</v>
      </c>
      <c r="M3910" s="924">
        <f>ROUND(I3910*K3910,0)</f>
        <v>0</v>
      </c>
      <c r="N3910" s="900" t="s">
        <v>2297</v>
      </c>
    </row>
    <row r="3911" spans="1:14" ht="44.25" hidden="1" customHeight="1">
      <c r="A3911" s="896">
        <v>37</v>
      </c>
      <c r="B3911" s="1609" t="s">
        <v>882</v>
      </c>
      <c r="C3911" s="1609"/>
      <c r="D3911" s="1609"/>
      <c r="E3911" s="1609"/>
      <c r="F3911" s="1609"/>
      <c r="G3911" s="1609"/>
      <c r="H3911" s="1609"/>
      <c r="I3911" s="897"/>
      <c r="J3911" s="898"/>
      <c r="K3911" s="896"/>
      <c r="L3911" s="896"/>
      <c r="M3911" s="899"/>
      <c r="N3911" s="900" t="s">
        <v>2297</v>
      </c>
    </row>
    <row r="3912" spans="1:14" s="910" customFormat="1" ht="16.5" hidden="1" customHeight="1">
      <c r="A3912" s="896"/>
      <c r="B3912" s="902" t="s">
        <v>2770</v>
      </c>
      <c r="C3912" s="903"/>
      <c r="D3912" s="904"/>
      <c r="E3912" s="905"/>
      <c r="F3912" s="906"/>
      <c r="G3912" s="906"/>
      <c r="H3912" s="907"/>
      <c r="I3912" s="908"/>
      <c r="J3912" s="909"/>
      <c r="K3912" s="902"/>
      <c r="L3912" s="896"/>
      <c r="M3912" s="902"/>
      <c r="N3912" s="900" t="s">
        <v>2297</v>
      </c>
    </row>
    <row r="3913" spans="1:14" s="910" customFormat="1" ht="16.5" hidden="1" customHeight="1">
      <c r="A3913" s="896"/>
      <c r="B3913" s="980"/>
      <c r="C3913" s="912">
        <v>1</v>
      </c>
      <c r="D3913" s="913" t="s">
        <v>273</v>
      </c>
      <c r="E3913" s="914">
        <v>1</v>
      </c>
      <c r="F3913" s="1289">
        <v>40</v>
      </c>
      <c r="G3913" s="915">
        <v>0</v>
      </c>
      <c r="H3913" s="915">
        <v>0</v>
      </c>
      <c r="I3913" s="916">
        <f>ROUND(IF(AND(F3913:H3913),C3913*E3913*F3913*G3913*H3913,IF(AND(F3913,G3913),C3913*E3913*F3913*G3913,IF(AND(F3913,H3913),C3913*E3913*F3913*H3913,IF(AND(G3913,H3913),C3913*E3913*G3913*H3913,IF(F3913,C3913*E3913*F3913,IF(G3913,C3913*E3913*G3913,IF(H3913,C3913*E3913*H3913,C3913*E3913))))))),2)</f>
        <v>40</v>
      </c>
      <c r="J3913" s="909" t="s">
        <v>277</v>
      </c>
      <c r="K3913" s="902"/>
      <c r="L3913" s="896"/>
      <c r="M3913" s="902"/>
      <c r="N3913" s="900" t="s">
        <v>2297</v>
      </c>
    </row>
    <row r="3914" spans="1:14" s="910" customFormat="1" ht="16.5" hidden="1" customHeight="1">
      <c r="A3914" s="896"/>
      <c r="B3914" s="980"/>
      <c r="C3914" s="912"/>
      <c r="D3914" s="913"/>
      <c r="E3914" s="914"/>
      <c r="F3914" s="1289"/>
      <c r="G3914" s="915"/>
      <c r="H3914" s="915"/>
      <c r="I3914" s="916"/>
      <c r="J3914" s="909"/>
      <c r="K3914" s="902"/>
      <c r="L3914" s="896"/>
      <c r="M3914" s="902"/>
      <c r="N3914" s="900" t="s">
        <v>2297</v>
      </c>
    </row>
    <row r="3915" spans="1:14" ht="15.75" hidden="1">
      <c r="A3915" s="896"/>
      <c r="B3915" s="902"/>
      <c r="C3915" s="917"/>
      <c r="D3915" s="918"/>
      <c r="E3915" s="919"/>
      <c r="F3915" s="920"/>
      <c r="G3915" s="921"/>
      <c r="H3915" s="896"/>
      <c r="I3915" s="916"/>
      <c r="J3915" s="909" t="s">
        <v>277</v>
      </c>
      <c r="K3915" s="922">
        <f>'Ele Data'!I469</f>
        <v>54.465000000000003</v>
      </c>
      <c r="L3915" s="923" t="s">
        <v>2297</v>
      </c>
      <c r="M3915" s="924">
        <f>ROUND(I3915*K3915,0)</f>
        <v>0</v>
      </c>
      <c r="N3915" s="900" t="s">
        <v>2297</v>
      </c>
    </row>
    <row r="3916" spans="1:14" ht="22.5" hidden="1" customHeight="1">
      <c r="A3916" s="896">
        <v>38</v>
      </c>
      <c r="B3916" s="1609" t="s">
        <v>437</v>
      </c>
      <c r="C3916" s="1609"/>
      <c r="D3916" s="1609"/>
      <c r="E3916" s="1609"/>
      <c r="F3916" s="1609"/>
      <c r="G3916" s="1609"/>
      <c r="H3916" s="1609"/>
      <c r="I3916" s="897"/>
      <c r="J3916" s="898"/>
      <c r="K3916" s="896"/>
      <c r="L3916" s="896"/>
      <c r="M3916" s="899"/>
      <c r="N3916" s="900" t="s">
        <v>2297</v>
      </c>
    </row>
    <row r="3917" spans="1:14" s="910" customFormat="1" ht="16.5" hidden="1" customHeight="1">
      <c r="A3917" s="896"/>
      <c r="B3917" s="902" t="s">
        <v>2770</v>
      </c>
      <c r="C3917" s="903"/>
      <c r="D3917" s="904"/>
      <c r="E3917" s="905"/>
      <c r="F3917" s="906"/>
      <c r="G3917" s="906"/>
      <c r="H3917" s="907"/>
      <c r="I3917" s="908"/>
      <c r="J3917" s="909"/>
      <c r="K3917" s="902"/>
      <c r="L3917" s="896"/>
      <c r="M3917" s="902"/>
      <c r="N3917" s="900" t="s">
        <v>2297</v>
      </c>
    </row>
    <row r="3918" spans="1:14" s="910" customFormat="1" ht="16.5" hidden="1" customHeight="1">
      <c r="A3918" s="896"/>
      <c r="B3918" s="980" t="s">
        <v>2080</v>
      </c>
      <c r="C3918" s="957">
        <v>1</v>
      </c>
      <c r="D3918" s="958" t="s">
        <v>273</v>
      </c>
      <c r="E3918" s="1268">
        <v>14</v>
      </c>
      <c r="F3918" s="960">
        <v>0</v>
      </c>
      <c r="G3918" s="960">
        <v>0</v>
      </c>
      <c r="H3918" s="960">
        <v>0</v>
      </c>
      <c r="I3918" s="1291">
        <f>ROUND(IF(AND(F3918:H3918),C3918*E3918*F3918*G3918*H3918,IF(AND(F3918,G3918),C3918*E3918*F3918*G3918,IF(AND(F3918,H3918),C3918*E3918*F3918*H3918,IF(AND(G3918,H3918),C3918*E3918*G3918*H3918,IF(F3918,C3918*E3918*F3918,IF(G3918,C3918*E3918*G3918,IF(H3918,C3918*E3918*H3918,C3918*E3918))))))),2)</f>
        <v>14</v>
      </c>
      <c r="J3918" s="909" t="s">
        <v>115</v>
      </c>
      <c r="K3918" s="902"/>
      <c r="L3918" s="896"/>
      <c r="M3918" s="902"/>
      <c r="N3918" s="900" t="s">
        <v>2297</v>
      </c>
    </row>
    <row r="3919" spans="1:14" s="910" customFormat="1" ht="16.5" hidden="1" customHeight="1">
      <c r="A3919" s="896"/>
      <c r="B3919" s="980"/>
      <c r="C3919" s="957"/>
      <c r="D3919" s="958"/>
      <c r="E3919" s="1268"/>
      <c r="F3919" s="960"/>
      <c r="G3919" s="960"/>
      <c r="H3919" s="960"/>
      <c r="I3919" s="916"/>
      <c r="J3919" s="909"/>
      <c r="K3919" s="902"/>
      <c r="L3919" s="896"/>
      <c r="M3919" s="902"/>
      <c r="N3919" s="900" t="s">
        <v>2297</v>
      </c>
    </row>
    <row r="3920" spans="1:14" ht="15.75" hidden="1">
      <c r="A3920" s="896"/>
      <c r="B3920" s="902"/>
      <c r="C3920" s="917"/>
      <c r="D3920" s="918"/>
      <c r="E3920" s="919"/>
      <c r="F3920" s="920"/>
      <c r="G3920" s="921"/>
      <c r="H3920" s="896"/>
      <c r="I3920" s="1291"/>
      <c r="J3920" s="909" t="s">
        <v>115</v>
      </c>
      <c r="K3920" s="922">
        <f>'Ele Data'!I345</f>
        <v>190</v>
      </c>
      <c r="L3920" s="923" t="s">
        <v>2297</v>
      </c>
      <c r="M3920" s="924">
        <f>ROUND(I3920*K3920,0)</f>
        <v>0</v>
      </c>
      <c r="N3920" s="900" t="s">
        <v>2297</v>
      </c>
    </row>
    <row r="3921" spans="1:14" ht="22.5" hidden="1" customHeight="1">
      <c r="A3921" s="896">
        <v>39</v>
      </c>
      <c r="B3921" s="1609" t="s">
        <v>615</v>
      </c>
      <c r="C3921" s="1609"/>
      <c r="D3921" s="1609"/>
      <c r="E3921" s="1609"/>
      <c r="F3921" s="1609"/>
      <c r="G3921" s="1609"/>
      <c r="H3921" s="1609"/>
      <c r="I3921" s="897"/>
      <c r="J3921" s="898"/>
      <c r="K3921" s="896"/>
      <c r="L3921" s="896"/>
      <c r="M3921" s="899"/>
      <c r="N3921" s="900" t="s">
        <v>2297</v>
      </c>
    </row>
    <row r="3922" spans="1:14" s="910" customFormat="1" ht="16.5" hidden="1" customHeight="1">
      <c r="A3922" s="896"/>
      <c r="B3922" s="902" t="s">
        <v>2770</v>
      </c>
      <c r="C3922" s="903"/>
      <c r="D3922" s="904"/>
      <c r="E3922" s="905"/>
      <c r="F3922" s="906"/>
      <c r="G3922" s="906"/>
      <c r="H3922" s="907"/>
      <c r="I3922" s="908"/>
      <c r="J3922" s="909"/>
      <c r="K3922" s="902"/>
      <c r="L3922" s="896"/>
      <c r="M3922" s="902"/>
      <c r="N3922" s="900" t="s">
        <v>2297</v>
      </c>
    </row>
    <row r="3923" spans="1:14" s="910" customFormat="1" ht="16.5" hidden="1" customHeight="1">
      <c r="A3923" s="896"/>
      <c r="B3923" s="980" t="s">
        <v>2080</v>
      </c>
      <c r="C3923" s="957">
        <v>1</v>
      </c>
      <c r="D3923" s="958" t="s">
        <v>273</v>
      </c>
      <c r="E3923" s="1268">
        <v>3</v>
      </c>
      <c r="F3923" s="960">
        <v>0</v>
      </c>
      <c r="G3923" s="960">
        <v>0</v>
      </c>
      <c r="H3923" s="960">
        <v>0</v>
      </c>
      <c r="I3923" s="1291">
        <f>ROUND(IF(AND(F3923:H3923),C3923*E3923*F3923*G3923*H3923,IF(AND(F3923,G3923),C3923*E3923*F3923*G3923,IF(AND(F3923,H3923),C3923*E3923*F3923*H3923,IF(AND(G3923,H3923),C3923*E3923*G3923*H3923,IF(F3923,C3923*E3923*F3923,IF(G3923,C3923*E3923*G3923,IF(H3923,C3923*E3923*H3923,C3923*E3923))))))),2)</f>
        <v>3</v>
      </c>
      <c r="J3923" s="909" t="s">
        <v>115</v>
      </c>
      <c r="K3923" s="902"/>
      <c r="L3923" s="896"/>
      <c r="M3923" s="902"/>
      <c r="N3923" s="900" t="s">
        <v>2297</v>
      </c>
    </row>
    <row r="3924" spans="1:14" s="910" customFormat="1" ht="16.5" hidden="1" customHeight="1">
      <c r="A3924" s="896"/>
      <c r="B3924" s="980"/>
      <c r="C3924" s="957"/>
      <c r="D3924" s="958"/>
      <c r="E3924" s="1268"/>
      <c r="F3924" s="960"/>
      <c r="G3924" s="960"/>
      <c r="H3924" s="960"/>
      <c r="I3924" s="916"/>
      <c r="J3924" s="909"/>
      <c r="K3924" s="902"/>
      <c r="L3924" s="896"/>
      <c r="M3924" s="902"/>
      <c r="N3924" s="900" t="s">
        <v>2297</v>
      </c>
    </row>
    <row r="3925" spans="1:14" ht="15.75" hidden="1">
      <c r="A3925" s="896"/>
      <c r="B3925" s="902"/>
      <c r="C3925" s="917"/>
      <c r="D3925" s="918"/>
      <c r="E3925" s="919"/>
      <c r="F3925" s="920"/>
      <c r="G3925" s="921"/>
      <c r="H3925" s="896"/>
      <c r="I3925" s="1291"/>
      <c r="J3925" s="909" t="s">
        <v>115</v>
      </c>
      <c r="K3925" s="922">
        <f>'Ele Data'!I348</f>
        <v>155</v>
      </c>
      <c r="L3925" s="923" t="s">
        <v>2297</v>
      </c>
      <c r="M3925" s="924">
        <f>ROUND(I3925*K3925,0)</f>
        <v>0</v>
      </c>
      <c r="N3925" s="900" t="s">
        <v>2297</v>
      </c>
    </row>
    <row r="3926" spans="1:14" ht="22.5" hidden="1" customHeight="1">
      <c r="A3926" s="896">
        <v>40</v>
      </c>
      <c r="B3926" s="1609" t="s">
        <v>694</v>
      </c>
      <c r="C3926" s="1609"/>
      <c r="D3926" s="1609"/>
      <c r="E3926" s="1609"/>
      <c r="F3926" s="1609"/>
      <c r="G3926" s="1609"/>
      <c r="H3926" s="1609"/>
      <c r="I3926" s="897"/>
      <c r="J3926" s="898"/>
      <c r="K3926" s="896"/>
      <c r="L3926" s="896"/>
      <c r="M3926" s="899"/>
      <c r="N3926" s="900" t="s">
        <v>2297</v>
      </c>
    </row>
    <row r="3927" spans="1:14" s="910" customFormat="1" ht="16.5" hidden="1" customHeight="1">
      <c r="A3927" s="896"/>
      <c r="B3927" s="902" t="s">
        <v>2770</v>
      </c>
      <c r="C3927" s="903"/>
      <c r="D3927" s="904"/>
      <c r="E3927" s="905"/>
      <c r="F3927" s="906"/>
      <c r="G3927" s="906"/>
      <c r="H3927" s="907"/>
      <c r="I3927" s="908"/>
      <c r="J3927" s="909"/>
      <c r="K3927" s="902"/>
      <c r="L3927" s="896"/>
      <c r="M3927" s="902"/>
      <c r="N3927" s="900" t="s">
        <v>2297</v>
      </c>
    </row>
    <row r="3928" spans="1:14" s="910" customFormat="1" ht="16.5" hidden="1" customHeight="1">
      <c r="A3928" s="896"/>
      <c r="B3928" s="980" t="s">
        <v>2080</v>
      </c>
      <c r="C3928" s="957">
        <v>1</v>
      </c>
      <c r="D3928" s="958" t="s">
        <v>273</v>
      </c>
      <c r="E3928" s="1268">
        <v>12</v>
      </c>
      <c r="F3928" s="960">
        <v>0</v>
      </c>
      <c r="G3928" s="960">
        <v>0</v>
      </c>
      <c r="H3928" s="960">
        <v>0</v>
      </c>
      <c r="I3928" s="1291">
        <f>ROUND(IF(AND(F3928:H3928),C3928*E3928*F3928*G3928*H3928,IF(AND(F3928,G3928),C3928*E3928*F3928*G3928,IF(AND(F3928,H3928),C3928*E3928*F3928*H3928,IF(AND(G3928,H3928),C3928*E3928*G3928*H3928,IF(F3928,C3928*E3928*F3928,IF(G3928,C3928*E3928*G3928,IF(H3928,C3928*E3928*H3928,C3928*E3928))))))),2)</f>
        <v>12</v>
      </c>
      <c r="J3928" s="909" t="s">
        <v>115</v>
      </c>
      <c r="K3928" s="902"/>
      <c r="L3928" s="896"/>
      <c r="M3928" s="902"/>
      <c r="N3928" s="900" t="s">
        <v>2297</v>
      </c>
    </row>
    <row r="3929" spans="1:14" s="910" customFormat="1" ht="16.5" hidden="1" customHeight="1">
      <c r="A3929" s="896"/>
      <c r="B3929" s="980"/>
      <c r="C3929" s="957"/>
      <c r="D3929" s="958"/>
      <c r="E3929" s="1268"/>
      <c r="F3929" s="960"/>
      <c r="G3929" s="960"/>
      <c r="H3929" s="960"/>
      <c r="I3929" s="916"/>
      <c r="J3929" s="909"/>
      <c r="K3929" s="902"/>
      <c r="L3929" s="896"/>
      <c r="M3929" s="902"/>
      <c r="N3929" s="900" t="s">
        <v>2297</v>
      </c>
    </row>
    <row r="3930" spans="1:14" ht="15.75" hidden="1">
      <c r="A3930" s="896"/>
      <c r="B3930" s="902"/>
      <c r="C3930" s="917"/>
      <c r="D3930" s="918"/>
      <c r="E3930" s="919"/>
      <c r="F3930" s="920"/>
      <c r="G3930" s="921"/>
      <c r="H3930" s="896"/>
      <c r="I3930" s="1291"/>
      <c r="J3930" s="909" t="s">
        <v>115</v>
      </c>
      <c r="K3930" s="922">
        <f>'Ele Data'!I351</f>
        <v>120</v>
      </c>
      <c r="L3930" s="923" t="s">
        <v>2297</v>
      </c>
      <c r="M3930" s="924">
        <f>ROUND(I3930*K3930,0)</f>
        <v>0</v>
      </c>
      <c r="N3930" s="900" t="s">
        <v>2297</v>
      </c>
    </row>
    <row r="3931" spans="1:14" ht="15" hidden="1" customHeight="1">
      <c r="A3931" s="896">
        <v>14</v>
      </c>
      <c r="B3931" s="1609" t="s">
        <v>617</v>
      </c>
      <c r="C3931" s="1609"/>
      <c r="D3931" s="1609"/>
      <c r="E3931" s="1609"/>
      <c r="F3931" s="1609"/>
      <c r="G3931" s="1609"/>
      <c r="H3931" s="1609"/>
      <c r="I3931" s="897"/>
      <c r="J3931" s="898"/>
      <c r="K3931" s="896"/>
      <c r="L3931" s="896"/>
      <c r="M3931" s="899"/>
      <c r="N3931" s="900" t="s">
        <v>2297</v>
      </c>
    </row>
    <row r="3932" spans="1:14" s="910" customFormat="1" ht="16.5" hidden="1" customHeight="1">
      <c r="A3932" s="896"/>
      <c r="B3932" s="980" t="s">
        <v>607</v>
      </c>
      <c r="C3932" s="903"/>
      <c r="D3932" s="904"/>
      <c r="E3932" s="905"/>
      <c r="F3932" s="906"/>
      <c r="G3932" s="906"/>
      <c r="H3932" s="907"/>
      <c r="I3932" s="908"/>
      <c r="J3932" s="909"/>
      <c r="K3932" s="902"/>
      <c r="L3932" s="896"/>
      <c r="M3932" s="902"/>
      <c r="N3932" s="900" t="s">
        <v>2297</v>
      </c>
    </row>
    <row r="3933" spans="1:14" s="910" customFormat="1" ht="16.5" hidden="1" customHeight="1">
      <c r="A3933" s="896"/>
      <c r="B3933" s="980" t="s">
        <v>1216</v>
      </c>
      <c r="C3933" s="957">
        <v>2</v>
      </c>
      <c r="D3933" s="958" t="s">
        <v>273</v>
      </c>
      <c r="E3933" s="1268">
        <v>1</v>
      </c>
      <c r="F3933" s="960">
        <v>0</v>
      </c>
      <c r="G3933" s="960">
        <v>0</v>
      </c>
      <c r="H3933" s="960">
        <v>0</v>
      </c>
      <c r="I3933" s="1291">
        <f>ROUND(IF(AND(F3933:H3933),C3933*E3933*F3933*G3933*H3933,IF(AND(F3933,G3933),C3933*E3933*F3933*G3933,IF(AND(F3933,H3933),C3933*E3933*F3933*H3933,IF(AND(G3933,H3933),C3933*E3933*G3933*H3933,IF(F3933,C3933*E3933*F3933,IF(G3933,C3933*E3933*G3933,IF(H3933,C3933*E3933*H3933,C3933*E3933))))))),2)</f>
        <v>2</v>
      </c>
      <c r="J3933" s="909" t="s">
        <v>115</v>
      </c>
      <c r="K3933" s="902"/>
      <c r="L3933" s="896"/>
      <c r="M3933" s="902"/>
      <c r="N3933" s="900" t="s">
        <v>2297</v>
      </c>
    </row>
    <row r="3934" spans="1:14" s="910" customFormat="1" ht="16.5" hidden="1" customHeight="1">
      <c r="A3934" s="896"/>
      <c r="B3934" s="980"/>
      <c r="C3934" s="957"/>
      <c r="D3934" s="958"/>
      <c r="E3934" s="1268"/>
      <c r="F3934" s="960"/>
      <c r="G3934" s="960"/>
      <c r="H3934" s="960"/>
      <c r="I3934" s="1291"/>
      <c r="J3934" s="909"/>
      <c r="K3934" s="902"/>
      <c r="L3934" s="896"/>
      <c r="M3934" s="902"/>
      <c r="N3934" s="900" t="s">
        <v>2297</v>
      </c>
    </row>
    <row r="3935" spans="1:14" ht="15.75" hidden="1">
      <c r="A3935" s="896"/>
      <c r="B3935" s="902"/>
      <c r="C3935" s="917"/>
      <c r="D3935" s="918"/>
      <c r="E3935" s="919"/>
      <c r="F3935" s="920"/>
      <c r="G3935" s="921"/>
      <c r="H3935" s="896"/>
      <c r="I3935" s="1291"/>
      <c r="J3935" s="909" t="s">
        <v>115</v>
      </c>
      <c r="K3935" s="922">
        <f>'Ele Data'!I358</f>
        <v>310</v>
      </c>
      <c r="L3935" s="923" t="s">
        <v>2297</v>
      </c>
      <c r="M3935" s="924">
        <f>ROUND(I3935*K3935,0)</f>
        <v>0</v>
      </c>
      <c r="N3935" s="900" t="s">
        <v>2297</v>
      </c>
    </row>
    <row r="3936" spans="1:14" ht="22.5" hidden="1" customHeight="1">
      <c r="A3936" s="896">
        <v>34</v>
      </c>
      <c r="B3936" s="1609" t="s">
        <v>792</v>
      </c>
      <c r="C3936" s="1609"/>
      <c r="D3936" s="1609"/>
      <c r="E3936" s="1609"/>
      <c r="F3936" s="1609"/>
      <c r="G3936" s="1609"/>
      <c r="H3936" s="1609"/>
      <c r="I3936" s="897"/>
      <c r="J3936" s="898"/>
      <c r="K3936" s="896"/>
      <c r="L3936" s="896"/>
      <c r="M3936" s="899"/>
      <c r="N3936" s="900" t="s">
        <v>2297</v>
      </c>
    </row>
    <row r="3937" spans="1:14" s="910" customFormat="1" ht="16.5" hidden="1" customHeight="1">
      <c r="A3937" s="896"/>
      <c r="B3937" s="902" t="s">
        <v>2557</v>
      </c>
      <c r="C3937" s="903"/>
      <c r="D3937" s="904"/>
      <c r="E3937" s="905"/>
      <c r="F3937" s="906"/>
      <c r="G3937" s="906"/>
      <c r="H3937" s="907"/>
      <c r="I3937" s="908"/>
      <c r="J3937" s="909"/>
      <c r="K3937" s="902"/>
      <c r="L3937" s="896"/>
      <c r="M3937" s="902"/>
      <c r="N3937" s="900" t="s">
        <v>2297</v>
      </c>
    </row>
    <row r="3938" spans="1:14" s="910" customFormat="1" ht="16.5" hidden="1" customHeight="1">
      <c r="A3938" s="896"/>
      <c r="B3938" s="980" t="s">
        <v>2080</v>
      </c>
      <c r="C3938" s="957">
        <v>1</v>
      </c>
      <c r="D3938" s="958" t="s">
        <v>273</v>
      </c>
      <c r="E3938" s="1268">
        <v>3</v>
      </c>
      <c r="F3938" s="960">
        <v>0</v>
      </c>
      <c r="G3938" s="960">
        <v>0</v>
      </c>
      <c r="H3938" s="960">
        <v>0</v>
      </c>
      <c r="I3938" s="1291">
        <f>ROUND(IF(AND(F3938:H3938),C3938*E3938*F3938*G3938*H3938,IF(AND(F3938,G3938),C3938*E3938*F3938*G3938,IF(AND(F3938,H3938),C3938*E3938*F3938*H3938,IF(AND(G3938,H3938),C3938*E3938*G3938*H3938,IF(F3938,C3938*E3938*F3938,IF(G3938,C3938*E3938*G3938,IF(H3938,C3938*E3938*H3938,C3938*E3938))))))),2)</f>
        <v>3</v>
      </c>
      <c r="J3938" s="909" t="s">
        <v>115</v>
      </c>
      <c r="K3938" s="902"/>
      <c r="L3938" s="896"/>
      <c r="M3938" s="902"/>
      <c r="N3938" s="900" t="s">
        <v>2297</v>
      </c>
    </row>
    <row r="3939" spans="1:14" s="910" customFormat="1" ht="16.5" hidden="1" customHeight="1">
      <c r="A3939" s="896"/>
      <c r="B3939" s="980"/>
      <c r="C3939" s="957"/>
      <c r="D3939" s="958"/>
      <c r="E3939" s="1268"/>
      <c r="F3939" s="960"/>
      <c r="G3939" s="960"/>
      <c r="H3939" s="960"/>
      <c r="I3939" s="1291"/>
      <c r="J3939" s="909"/>
      <c r="K3939" s="902"/>
      <c r="L3939" s="896"/>
      <c r="M3939" s="902"/>
      <c r="N3939" s="900" t="s">
        <v>2297</v>
      </c>
    </row>
    <row r="3940" spans="1:14" ht="15.75" hidden="1">
      <c r="A3940" s="896"/>
      <c r="B3940" s="902"/>
      <c r="C3940" s="917"/>
      <c r="D3940" s="918"/>
      <c r="E3940" s="919"/>
      <c r="F3940" s="920"/>
      <c r="G3940" s="921"/>
      <c r="H3940" s="896"/>
      <c r="I3940" s="1291"/>
      <c r="J3940" s="909" t="s">
        <v>115</v>
      </c>
      <c r="K3940" s="922">
        <f>'Ele Data'!I354</f>
        <v>80</v>
      </c>
      <c r="L3940" s="923" t="s">
        <v>2297</v>
      </c>
      <c r="M3940" s="924">
        <f>ROUND(I3940*K3940,0)</f>
        <v>0</v>
      </c>
      <c r="N3940" s="900" t="s">
        <v>2297</v>
      </c>
    </row>
    <row r="3941" spans="1:14" ht="22.5" hidden="1" customHeight="1">
      <c r="A3941" s="896">
        <v>41</v>
      </c>
      <c r="B3941" s="1609" t="s">
        <v>439</v>
      </c>
      <c r="C3941" s="1609"/>
      <c r="D3941" s="1609"/>
      <c r="E3941" s="1609"/>
      <c r="F3941" s="1609"/>
      <c r="G3941" s="1609"/>
      <c r="H3941" s="1609"/>
      <c r="I3941" s="897"/>
      <c r="J3941" s="898"/>
      <c r="K3941" s="896"/>
      <c r="L3941" s="896"/>
      <c r="M3941" s="899"/>
      <c r="N3941" s="900" t="s">
        <v>2297</v>
      </c>
    </row>
    <row r="3942" spans="1:14" s="910" customFormat="1" ht="16.5" hidden="1" customHeight="1">
      <c r="A3942" s="896"/>
      <c r="B3942" s="902" t="s">
        <v>2770</v>
      </c>
      <c r="C3942" s="903"/>
      <c r="D3942" s="904"/>
      <c r="E3942" s="905"/>
      <c r="F3942" s="906"/>
      <c r="G3942" s="906"/>
      <c r="H3942" s="907"/>
      <c r="I3942" s="908"/>
      <c r="J3942" s="909"/>
      <c r="K3942" s="902"/>
      <c r="L3942" s="896"/>
      <c r="M3942" s="902"/>
      <c r="N3942" s="900" t="s">
        <v>2297</v>
      </c>
    </row>
    <row r="3943" spans="1:14" s="910" customFormat="1" ht="16.5" hidden="1" customHeight="1">
      <c r="A3943" s="896"/>
      <c r="B3943" s="980" t="s">
        <v>2080</v>
      </c>
      <c r="C3943" s="957">
        <v>1</v>
      </c>
      <c r="D3943" s="958" t="s">
        <v>273</v>
      </c>
      <c r="E3943" s="1268">
        <v>2</v>
      </c>
      <c r="F3943" s="960">
        <v>0</v>
      </c>
      <c r="G3943" s="960">
        <v>0</v>
      </c>
      <c r="H3943" s="960">
        <v>0</v>
      </c>
      <c r="I3943" s="1291">
        <f>ROUND(IF(AND(F3943:H3943),C3943*E3943*F3943*G3943*H3943,IF(AND(F3943,G3943),C3943*E3943*F3943*G3943,IF(AND(F3943,H3943),C3943*E3943*F3943*H3943,IF(AND(G3943,H3943),C3943*E3943*G3943*H3943,IF(F3943,C3943*E3943*F3943,IF(G3943,C3943*E3943*G3943,IF(H3943,C3943*E3943*H3943,C3943*E3943))))))),2)</f>
        <v>2</v>
      </c>
      <c r="J3943" s="909" t="s">
        <v>115</v>
      </c>
      <c r="K3943" s="902"/>
      <c r="L3943" s="896"/>
      <c r="M3943" s="902"/>
      <c r="N3943" s="900" t="s">
        <v>2297</v>
      </c>
    </row>
    <row r="3944" spans="1:14" s="910" customFormat="1" ht="16.5" hidden="1" customHeight="1">
      <c r="A3944" s="896"/>
      <c r="B3944" s="980"/>
      <c r="C3944" s="957"/>
      <c r="D3944" s="958"/>
      <c r="E3944" s="1268"/>
      <c r="F3944" s="960"/>
      <c r="G3944" s="960"/>
      <c r="H3944" s="960"/>
      <c r="I3944" s="916"/>
      <c r="J3944" s="909"/>
      <c r="K3944" s="902"/>
      <c r="L3944" s="896"/>
      <c r="M3944" s="902"/>
      <c r="N3944" s="900" t="s">
        <v>2297</v>
      </c>
    </row>
    <row r="3945" spans="1:14" ht="15.75" hidden="1">
      <c r="A3945" s="896"/>
      <c r="B3945" s="902"/>
      <c r="C3945" s="917"/>
      <c r="D3945" s="918"/>
      <c r="E3945" s="919"/>
      <c r="F3945" s="920"/>
      <c r="G3945" s="921"/>
      <c r="H3945" s="896"/>
      <c r="I3945" s="1291"/>
      <c r="J3945" s="909" t="s">
        <v>115</v>
      </c>
      <c r="K3945" s="922">
        <f>'Ele Data'!I361</f>
        <v>60</v>
      </c>
      <c r="L3945" s="923" t="s">
        <v>2297</v>
      </c>
      <c r="M3945" s="924">
        <f>ROUND(I3945*K3945,0)</f>
        <v>0</v>
      </c>
      <c r="N3945" s="900" t="s">
        <v>2297</v>
      </c>
    </row>
    <row r="3946" spans="1:14" ht="43.5" hidden="1" customHeight="1">
      <c r="A3946" s="896">
        <v>42</v>
      </c>
      <c r="B3946" s="1609" t="s">
        <v>1237</v>
      </c>
      <c r="C3946" s="1609"/>
      <c r="D3946" s="1609"/>
      <c r="E3946" s="1609"/>
      <c r="F3946" s="1609"/>
      <c r="G3946" s="1609"/>
      <c r="H3946" s="1609"/>
      <c r="I3946" s="897"/>
      <c r="J3946" s="898"/>
      <c r="K3946" s="896"/>
      <c r="L3946" s="896"/>
      <c r="M3946" s="899"/>
      <c r="N3946" s="900" t="s">
        <v>2297</v>
      </c>
    </row>
    <row r="3947" spans="1:14" s="910" customFormat="1" ht="16.5" hidden="1" customHeight="1">
      <c r="A3947" s="896"/>
      <c r="B3947" s="902" t="s">
        <v>2747</v>
      </c>
      <c r="C3947" s="903"/>
      <c r="D3947" s="904"/>
      <c r="E3947" s="905"/>
      <c r="F3947" s="906"/>
      <c r="G3947" s="906"/>
      <c r="H3947" s="907"/>
      <c r="I3947" s="908"/>
      <c r="J3947" s="909"/>
      <c r="K3947" s="902"/>
      <c r="L3947" s="896"/>
      <c r="M3947" s="902"/>
      <c r="N3947" s="900" t="s">
        <v>2297</v>
      </c>
    </row>
    <row r="3948" spans="1:14" s="910" customFormat="1" ht="16.5" hidden="1" customHeight="1">
      <c r="A3948" s="896"/>
      <c r="B3948" s="980" t="s">
        <v>2187</v>
      </c>
      <c r="C3948" s="912">
        <v>1</v>
      </c>
      <c r="D3948" s="913" t="s">
        <v>273</v>
      </c>
      <c r="E3948" s="914">
        <v>21</v>
      </c>
      <c r="F3948" s="915">
        <v>0</v>
      </c>
      <c r="G3948" s="915">
        <v>0</v>
      </c>
      <c r="H3948" s="915">
        <v>0</v>
      </c>
      <c r="I3948" s="1291">
        <f>ROUND(IF(AND(F3948:H3948),C3948*E3948*F3948*G3948*H3948,IF(AND(F3948,G3948),C3948*E3948*F3948*G3948,IF(AND(F3948,H3948),C3948*E3948*F3948*H3948,IF(AND(G3948,H3948),C3948*E3948*G3948*H3948,IF(F3948,C3948*E3948*F3948,IF(G3948,C3948*E3948*G3948,IF(H3948,C3948*E3948*H3948,C3948*E3948))))))),2)</f>
        <v>21</v>
      </c>
      <c r="J3948" s="909" t="s">
        <v>115</v>
      </c>
      <c r="K3948" s="902"/>
      <c r="L3948" s="896"/>
      <c r="M3948" s="902"/>
      <c r="N3948" s="900" t="s">
        <v>2297</v>
      </c>
    </row>
    <row r="3949" spans="1:14" s="910" customFormat="1" ht="16.5" hidden="1" customHeight="1">
      <c r="A3949" s="896"/>
      <c r="B3949" s="980"/>
      <c r="C3949" s="957"/>
      <c r="D3949" s="958"/>
      <c r="E3949" s="1268"/>
      <c r="F3949" s="960"/>
      <c r="G3949" s="960"/>
      <c r="H3949" s="960"/>
      <c r="I3949" s="916"/>
      <c r="J3949" s="909"/>
      <c r="K3949" s="902"/>
      <c r="L3949" s="896"/>
      <c r="M3949" s="902"/>
      <c r="N3949" s="900" t="s">
        <v>2297</v>
      </c>
    </row>
    <row r="3950" spans="1:14" ht="15.75" hidden="1">
      <c r="A3950" s="896"/>
      <c r="B3950" s="902"/>
      <c r="C3950" s="917"/>
      <c r="D3950" s="918"/>
      <c r="E3950" s="919"/>
      <c r="F3950" s="920"/>
      <c r="G3950" s="921"/>
      <c r="H3950" s="896"/>
      <c r="I3950" s="1291"/>
      <c r="J3950" s="909" t="s">
        <v>115</v>
      </c>
      <c r="K3950" s="922">
        <f>'Ele Data'!I410</f>
        <v>375.5</v>
      </c>
      <c r="L3950" s="923" t="s">
        <v>2297</v>
      </c>
      <c r="M3950" s="924">
        <f>ROUND(I3950*K3950,0)</f>
        <v>0</v>
      </c>
      <c r="N3950" s="900" t="s">
        <v>2297</v>
      </c>
    </row>
    <row r="3951" spans="1:14" ht="43.5" hidden="1" customHeight="1">
      <c r="A3951" s="896">
        <v>43</v>
      </c>
      <c r="B3951" s="1609" t="s">
        <v>432</v>
      </c>
      <c r="C3951" s="1609"/>
      <c r="D3951" s="1609"/>
      <c r="E3951" s="1609"/>
      <c r="F3951" s="1609"/>
      <c r="G3951" s="1609"/>
      <c r="H3951" s="1609"/>
      <c r="I3951" s="897"/>
      <c r="J3951" s="898"/>
      <c r="K3951" s="896"/>
      <c r="L3951" s="896"/>
      <c r="M3951" s="899"/>
      <c r="N3951" s="900" t="s">
        <v>2297</v>
      </c>
    </row>
    <row r="3952" spans="1:14" s="910" customFormat="1" ht="16.5" hidden="1" customHeight="1">
      <c r="A3952" s="896"/>
      <c r="B3952" s="902" t="s">
        <v>2743</v>
      </c>
      <c r="C3952" s="903"/>
      <c r="D3952" s="904"/>
      <c r="E3952" s="905"/>
      <c r="F3952" s="906"/>
      <c r="G3952" s="906"/>
      <c r="H3952" s="907"/>
      <c r="I3952" s="908"/>
      <c r="J3952" s="909"/>
      <c r="K3952" s="902"/>
      <c r="L3952" s="896"/>
      <c r="M3952" s="902"/>
      <c r="N3952" s="900" t="s">
        <v>2297</v>
      </c>
    </row>
    <row r="3953" spans="1:14" s="910" customFormat="1" ht="16.5" hidden="1" customHeight="1">
      <c r="A3953" s="896"/>
      <c r="B3953" s="980" t="s">
        <v>2187</v>
      </c>
      <c r="C3953" s="912">
        <v>1</v>
      </c>
      <c r="D3953" s="913" t="s">
        <v>273</v>
      </c>
      <c r="E3953" s="914">
        <v>28</v>
      </c>
      <c r="F3953" s="915">
        <v>0</v>
      </c>
      <c r="G3953" s="915">
        <v>0</v>
      </c>
      <c r="H3953" s="915">
        <v>0</v>
      </c>
      <c r="I3953" s="1291">
        <f>ROUND(IF(AND(F3953:H3953),C3953*E3953*F3953*G3953*H3953,IF(AND(F3953,G3953),C3953*E3953*F3953*G3953,IF(AND(F3953,H3953),C3953*E3953*F3953*H3953,IF(AND(G3953,H3953),C3953*E3953*G3953*H3953,IF(F3953,C3953*E3953*F3953,IF(G3953,C3953*E3953*G3953,IF(H3953,C3953*E3953*H3953,C3953*E3953))))))),2)</f>
        <v>28</v>
      </c>
      <c r="J3953" s="909" t="s">
        <v>115</v>
      </c>
      <c r="K3953" s="902"/>
      <c r="L3953" s="896"/>
      <c r="M3953" s="902"/>
      <c r="N3953" s="900" t="s">
        <v>2297</v>
      </c>
    </row>
    <row r="3954" spans="1:14" s="910" customFormat="1" ht="16.5" hidden="1" customHeight="1">
      <c r="A3954" s="896"/>
      <c r="B3954" s="980"/>
      <c r="C3954" s="957"/>
      <c r="D3954" s="958"/>
      <c r="E3954" s="1268"/>
      <c r="F3954" s="960"/>
      <c r="G3954" s="960"/>
      <c r="H3954" s="960"/>
      <c r="I3954" s="1291"/>
      <c r="J3954" s="909"/>
      <c r="K3954" s="902"/>
      <c r="L3954" s="896"/>
      <c r="M3954" s="902"/>
      <c r="N3954" s="900" t="s">
        <v>2297</v>
      </c>
    </row>
    <row r="3955" spans="1:14" ht="15.75" hidden="1">
      <c r="A3955" s="896"/>
      <c r="B3955" s="902"/>
      <c r="C3955" s="917"/>
      <c r="D3955" s="918"/>
      <c r="E3955" s="919"/>
      <c r="F3955" s="920"/>
      <c r="G3955" s="921"/>
      <c r="H3955" s="896"/>
      <c r="I3955" s="1291"/>
      <c r="J3955" s="909" t="s">
        <v>115</v>
      </c>
      <c r="K3955" s="922">
        <f>'Ele Data'!I401</f>
        <v>109.685</v>
      </c>
      <c r="L3955" s="923" t="s">
        <v>2297</v>
      </c>
      <c r="M3955" s="924">
        <f>ROUND(I3955*K3955,0)</f>
        <v>0</v>
      </c>
      <c r="N3955" s="900" t="s">
        <v>2297</v>
      </c>
    </row>
    <row r="3956" spans="1:14" ht="43.5" hidden="1" customHeight="1">
      <c r="A3956" s="896">
        <v>18</v>
      </c>
      <c r="B3956" s="1609" t="s">
        <v>620</v>
      </c>
      <c r="C3956" s="1609"/>
      <c r="D3956" s="1609"/>
      <c r="E3956" s="1609"/>
      <c r="F3956" s="1609"/>
      <c r="G3956" s="1609"/>
      <c r="H3956" s="1609"/>
      <c r="I3956" s="897"/>
      <c r="J3956" s="898"/>
      <c r="K3956" s="896"/>
      <c r="L3956" s="896"/>
      <c r="M3956" s="899"/>
      <c r="N3956" s="900" t="s">
        <v>2297</v>
      </c>
    </row>
    <row r="3957" spans="1:14" s="910" customFormat="1" ht="16.5" hidden="1" customHeight="1">
      <c r="A3957" s="896"/>
      <c r="B3957" s="980" t="s">
        <v>607</v>
      </c>
      <c r="C3957" s="903"/>
      <c r="D3957" s="904"/>
      <c r="E3957" s="905"/>
      <c r="F3957" s="906"/>
      <c r="G3957" s="906"/>
      <c r="H3957" s="907"/>
      <c r="I3957" s="908"/>
      <c r="J3957" s="909"/>
      <c r="K3957" s="902"/>
      <c r="L3957" s="896"/>
      <c r="M3957" s="902"/>
      <c r="N3957" s="900" t="s">
        <v>2297</v>
      </c>
    </row>
    <row r="3958" spans="1:14" s="910" customFormat="1" ht="16.5" hidden="1" customHeight="1">
      <c r="A3958" s="896"/>
      <c r="B3958" s="980"/>
      <c r="C3958" s="957">
        <v>1</v>
      </c>
      <c r="D3958" s="958" t="s">
        <v>273</v>
      </c>
      <c r="E3958" s="1268">
        <v>4</v>
      </c>
      <c r="F3958" s="960">
        <v>0</v>
      </c>
      <c r="G3958" s="960">
        <v>0</v>
      </c>
      <c r="H3958" s="960">
        <v>0</v>
      </c>
      <c r="I3958" s="1291">
        <f>ROUND(IF(AND(F3958:H3958),C3958*E3958*F3958*G3958*H3958,IF(AND(F3958,G3958),C3958*E3958*F3958*G3958,IF(AND(F3958,H3958),C3958*E3958*F3958*H3958,IF(AND(G3958,H3958),C3958*E3958*G3958*H3958,IF(F3958,C3958*E3958*F3958,IF(G3958,C3958*E3958*G3958,IF(H3958,C3958*E3958*H3958,C3958*E3958))))))),2)</f>
        <v>4</v>
      </c>
      <c r="J3958" s="909" t="s">
        <v>115</v>
      </c>
      <c r="K3958" s="902"/>
      <c r="L3958" s="896"/>
      <c r="M3958" s="902"/>
      <c r="N3958" s="900" t="s">
        <v>2297</v>
      </c>
    </row>
    <row r="3959" spans="1:14" s="910" customFormat="1" ht="16.5" hidden="1" customHeight="1">
      <c r="A3959" s="896"/>
      <c r="B3959" s="980"/>
      <c r="C3959" s="957"/>
      <c r="D3959" s="958"/>
      <c r="E3959" s="1268"/>
      <c r="F3959" s="960"/>
      <c r="G3959" s="960"/>
      <c r="H3959" s="960"/>
      <c r="I3959" s="1291"/>
      <c r="J3959" s="909"/>
      <c r="K3959" s="902"/>
      <c r="L3959" s="896"/>
      <c r="M3959" s="902"/>
      <c r="N3959" s="900" t="s">
        <v>2297</v>
      </c>
    </row>
    <row r="3960" spans="1:14" ht="15.75" hidden="1">
      <c r="A3960" s="896"/>
      <c r="B3960" s="902"/>
      <c r="C3960" s="917"/>
      <c r="D3960" s="918"/>
      <c r="E3960" s="919"/>
      <c r="F3960" s="920"/>
      <c r="G3960" s="921"/>
      <c r="H3960" s="896"/>
      <c r="I3960" s="1291"/>
      <c r="J3960" s="909" t="s">
        <v>115</v>
      </c>
      <c r="K3960" s="922">
        <f>'Ele Data'!I418</f>
        <v>103.685</v>
      </c>
      <c r="L3960" s="923" t="s">
        <v>2297</v>
      </c>
      <c r="M3960" s="924">
        <f>ROUND(I3960*K3960,0)</f>
        <v>0</v>
      </c>
      <c r="N3960" s="900" t="s">
        <v>2297</v>
      </c>
    </row>
    <row r="3961" spans="1:14" ht="19.5" hidden="1" customHeight="1">
      <c r="A3961" s="896">
        <v>44</v>
      </c>
      <c r="B3961" s="1609" t="s">
        <v>624</v>
      </c>
      <c r="C3961" s="1609"/>
      <c r="D3961" s="1609"/>
      <c r="E3961" s="1609"/>
      <c r="F3961" s="1609"/>
      <c r="G3961" s="1609"/>
      <c r="H3961" s="1609"/>
      <c r="I3961" s="897"/>
      <c r="J3961" s="898"/>
      <c r="K3961" s="896"/>
      <c r="L3961" s="896"/>
      <c r="M3961" s="899"/>
      <c r="N3961" s="900" t="s">
        <v>2297</v>
      </c>
    </row>
    <row r="3962" spans="1:14" s="910" customFormat="1" ht="16.5" hidden="1" customHeight="1">
      <c r="A3962" s="896"/>
      <c r="B3962" s="902" t="s">
        <v>2747</v>
      </c>
      <c r="C3962" s="903"/>
      <c r="D3962" s="904"/>
      <c r="E3962" s="905"/>
      <c r="F3962" s="906"/>
      <c r="G3962" s="906"/>
      <c r="H3962" s="907"/>
      <c r="I3962" s="908"/>
      <c r="J3962" s="909"/>
      <c r="K3962" s="902"/>
      <c r="L3962" s="896"/>
      <c r="M3962" s="902"/>
      <c r="N3962" s="900" t="s">
        <v>2297</v>
      </c>
    </row>
    <row r="3963" spans="1:14" s="910" customFormat="1" ht="16.5" hidden="1" customHeight="1">
      <c r="A3963" s="896"/>
      <c r="B3963" s="980"/>
      <c r="C3963" s="957">
        <v>1</v>
      </c>
      <c r="D3963" s="958" t="s">
        <v>273</v>
      </c>
      <c r="E3963" s="1268">
        <v>10</v>
      </c>
      <c r="F3963" s="960">
        <v>0</v>
      </c>
      <c r="G3963" s="960">
        <v>0</v>
      </c>
      <c r="H3963" s="960">
        <v>0</v>
      </c>
      <c r="I3963" s="1291">
        <f>ROUND(IF(AND(F3963:H3963),C3963*E3963*F3963*G3963*H3963,IF(AND(F3963,G3963),C3963*E3963*F3963*G3963,IF(AND(F3963,H3963),C3963*E3963*F3963*H3963,IF(AND(G3963,H3963),C3963*E3963*G3963*H3963,IF(F3963,C3963*E3963*F3963,IF(G3963,C3963*E3963*G3963,IF(H3963,C3963*E3963*H3963,C3963*E3963))))))),2)</f>
        <v>10</v>
      </c>
      <c r="J3963" s="909" t="s">
        <v>115</v>
      </c>
      <c r="K3963" s="902"/>
      <c r="L3963" s="896"/>
      <c r="M3963" s="902"/>
      <c r="N3963" s="900" t="s">
        <v>2297</v>
      </c>
    </row>
    <row r="3964" spans="1:14" s="910" customFormat="1" ht="16.5" hidden="1" customHeight="1">
      <c r="A3964" s="896"/>
      <c r="B3964" s="980"/>
      <c r="C3964" s="957"/>
      <c r="D3964" s="958"/>
      <c r="E3964" s="1268"/>
      <c r="F3964" s="960"/>
      <c r="G3964" s="960"/>
      <c r="H3964" s="960"/>
      <c r="I3964" s="916"/>
      <c r="J3964" s="909"/>
      <c r="K3964" s="902"/>
      <c r="L3964" s="896"/>
      <c r="M3964" s="902"/>
      <c r="N3964" s="900" t="s">
        <v>2297</v>
      </c>
    </row>
    <row r="3965" spans="1:14" ht="15.75" hidden="1">
      <c r="A3965" s="896"/>
      <c r="B3965" s="902"/>
      <c r="C3965" s="917"/>
      <c r="D3965" s="918"/>
      <c r="E3965" s="919"/>
      <c r="F3965" s="920"/>
      <c r="G3965" s="921"/>
      <c r="H3965" s="896"/>
      <c r="I3965" s="1291"/>
      <c r="J3965" s="909" t="s">
        <v>115</v>
      </c>
      <c r="K3965" s="922">
        <f>'Ele Data'!I365</f>
        <v>18</v>
      </c>
      <c r="L3965" s="923" t="s">
        <v>2297</v>
      </c>
      <c r="M3965" s="924">
        <f>ROUND(I3965*K3965,0)</f>
        <v>0</v>
      </c>
      <c r="N3965" s="900" t="s">
        <v>2297</v>
      </c>
    </row>
    <row r="3966" spans="1:14" ht="30" hidden="1" customHeight="1">
      <c r="A3966" s="896">
        <v>45</v>
      </c>
      <c r="B3966" s="1609" t="s">
        <v>1267</v>
      </c>
      <c r="C3966" s="1609"/>
      <c r="D3966" s="1609"/>
      <c r="E3966" s="1609"/>
      <c r="F3966" s="1609"/>
      <c r="G3966" s="1609"/>
      <c r="H3966" s="1609"/>
      <c r="I3966" s="897"/>
      <c r="J3966" s="898"/>
      <c r="K3966" s="896"/>
      <c r="L3966" s="896"/>
      <c r="M3966" s="899"/>
      <c r="N3966" s="900" t="s">
        <v>2297</v>
      </c>
    </row>
    <row r="3967" spans="1:14" s="910" customFormat="1" ht="16.5" hidden="1" customHeight="1">
      <c r="A3967" s="896"/>
      <c r="B3967" s="902" t="s">
        <v>2741</v>
      </c>
      <c r="C3967" s="903"/>
      <c r="D3967" s="904"/>
      <c r="E3967" s="905"/>
      <c r="F3967" s="906"/>
      <c r="G3967" s="906"/>
      <c r="H3967" s="907"/>
      <c r="I3967" s="908"/>
      <c r="J3967" s="909"/>
      <c r="K3967" s="902"/>
      <c r="L3967" s="896"/>
      <c r="M3967" s="902"/>
      <c r="N3967" s="900" t="s">
        <v>2297</v>
      </c>
    </row>
    <row r="3968" spans="1:14" s="910" customFormat="1" ht="16.5" hidden="1" customHeight="1">
      <c r="A3968" s="896"/>
      <c r="B3968" s="980" t="s">
        <v>2080</v>
      </c>
      <c r="C3968" s="912">
        <v>1</v>
      </c>
      <c r="D3968" s="913" t="s">
        <v>273</v>
      </c>
      <c r="E3968" s="914">
        <v>23</v>
      </c>
      <c r="F3968" s="915">
        <v>0</v>
      </c>
      <c r="G3968" s="915">
        <v>0</v>
      </c>
      <c r="H3968" s="915">
        <v>0</v>
      </c>
      <c r="I3968" s="1291">
        <f>ROUND(IF(AND(F3968:H3968),C3968*E3968*F3968*G3968*H3968,IF(AND(F3968,G3968),C3968*E3968*F3968*G3968,IF(AND(F3968,H3968),C3968*E3968*F3968*H3968,IF(AND(G3968,H3968),C3968*E3968*G3968*H3968,IF(F3968,C3968*E3968*F3968,IF(G3968,C3968*E3968*G3968,IF(H3968,C3968*E3968*H3968,C3968*E3968))))))),2)</f>
        <v>23</v>
      </c>
      <c r="J3968" s="909" t="s">
        <v>115</v>
      </c>
      <c r="K3968" s="902"/>
      <c r="L3968" s="896"/>
      <c r="M3968" s="902"/>
      <c r="N3968" s="900" t="s">
        <v>2297</v>
      </c>
    </row>
    <row r="3969" spans="1:14" s="910" customFormat="1" ht="16.5" hidden="1" customHeight="1">
      <c r="A3969" s="896"/>
      <c r="B3969" s="980"/>
      <c r="C3969" s="957"/>
      <c r="D3969" s="958"/>
      <c r="E3969" s="1268"/>
      <c r="F3969" s="960"/>
      <c r="G3969" s="960"/>
      <c r="H3969" s="960"/>
      <c r="I3969" s="1291"/>
      <c r="J3969" s="909"/>
      <c r="K3969" s="902"/>
      <c r="L3969" s="896"/>
      <c r="M3969" s="902"/>
      <c r="N3969" s="900" t="s">
        <v>2297</v>
      </c>
    </row>
    <row r="3970" spans="1:14" ht="15.75" hidden="1">
      <c r="A3970" s="896"/>
      <c r="B3970" s="902"/>
      <c r="C3970" s="917"/>
      <c r="D3970" s="918"/>
      <c r="E3970" s="919"/>
      <c r="F3970" s="920"/>
      <c r="G3970" s="921"/>
      <c r="H3970" s="896"/>
      <c r="I3970" s="1291"/>
      <c r="J3970" s="909" t="s">
        <v>115</v>
      </c>
      <c r="K3970" s="922">
        <f>'Ele Data'!I478</f>
        <v>120.75</v>
      </c>
      <c r="L3970" s="923" t="s">
        <v>2297</v>
      </c>
      <c r="M3970" s="924">
        <f>ROUND(I3970*K3970,0)</f>
        <v>0</v>
      </c>
      <c r="N3970" s="900" t="s">
        <v>2297</v>
      </c>
    </row>
    <row r="3971" spans="1:14" ht="43.5" hidden="1" customHeight="1">
      <c r="A3971" s="896">
        <v>8</v>
      </c>
      <c r="B3971" s="1609" t="s">
        <v>2075</v>
      </c>
      <c r="C3971" s="1609"/>
      <c r="D3971" s="1609"/>
      <c r="E3971" s="1609"/>
      <c r="F3971" s="1609"/>
      <c r="G3971" s="1609"/>
      <c r="H3971" s="1609"/>
      <c r="I3971" s="897"/>
      <c r="J3971" s="898"/>
      <c r="K3971" s="896"/>
      <c r="L3971" s="896"/>
      <c r="M3971" s="899"/>
      <c r="N3971" s="900" t="s">
        <v>2297</v>
      </c>
    </row>
    <row r="3972" spans="1:14" s="910" customFormat="1" ht="16.5" hidden="1" customHeight="1">
      <c r="A3972" s="896"/>
      <c r="B3972" s="902" t="s">
        <v>2558</v>
      </c>
      <c r="C3972" s="903"/>
      <c r="D3972" s="904"/>
      <c r="E3972" s="905"/>
      <c r="F3972" s="906"/>
      <c r="G3972" s="906"/>
      <c r="H3972" s="907"/>
      <c r="I3972" s="908"/>
      <c r="J3972" s="909"/>
      <c r="K3972" s="902"/>
      <c r="L3972" s="896"/>
      <c r="M3972" s="902"/>
      <c r="N3972" s="900" t="s">
        <v>2297</v>
      </c>
    </row>
    <row r="3973" spans="1:14" s="910" customFormat="1" ht="16.5" hidden="1" customHeight="1">
      <c r="A3973" s="896"/>
      <c r="B3973" s="980" t="s">
        <v>161</v>
      </c>
      <c r="C3973" s="957">
        <v>1</v>
      </c>
      <c r="D3973" s="958" t="s">
        <v>273</v>
      </c>
      <c r="E3973" s="1268">
        <v>7</v>
      </c>
      <c r="F3973" s="960">
        <v>0</v>
      </c>
      <c r="G3973" s="960">
        <v>0</v>
      </c>
      <c r="H3973" s="960">
        <v>0</v>
      </c>
      <c r="I3973" s="1291">
        <f>ROUND(IF(AND(F3973:H3973),C3973*E3973*F3973*G3973*H3973,IF(AND(F3973,G3973),C3973*E3973*F3973*G3973,IF(AND(F3973,H3973),C3973*E3973*F3973*H3973,IF(AND(G3973,H3973),C3973*E3973*G3973*H3973,IF(F3973,C3973*E3973*F3973,IF(G3973,C3973*E3973*G3973,IF(H3973,C3973*E3973*H3973,C3973*E3973))))))),2)</f>
        <v>7</v>
      </c>
      <c r="J3973" s="909" t="s">
        <v>115</v>
      </c>
      <c r="K3973" s="902"/>
      <c r="L3973" s="896"/>
      <c r="M3973" s="902"/>
      <c r="N3973" s="900" t="s">
        <v>2297</v>
      </c>
    </row>
    <row r="3974" spans="1:14" s="910" customFormat="1" ht="16.5" hidden="1" customHeight="1">
      <c r="A3974" s="896"/>
      <c r="B3974" s="980" t="s">
        <v>162</v>
      </c>
      <c r="C3974" s="957">
        <v>1</v>
      </c>
      <c r="D3974" s="958" t="s">
        <v>273</v>
      </c>
      <c r="E3974" s="1268">
        <v>5</v>
      </c>
      <c r="F3974" s="960">
        <v>0</v>
      </c>
      <c r="G3974" s="960">
        <v>0</v>
      </c>
      <c r="H3974" s="960">
        <v>0</v>
      </c>
      <c r="I3974" s="1291">
        <f>ROUND(IF(AND(F3974:H3974),C3974*E3974*F3974*G3974*H3974,IF(AND(F3974,G3974),C3974*E3974*F3974*G3974,IF(AND(F3974,H3974),C3974*E3974*F3974*H3974,IF(AND(G3974,H3974),C3974*E3974*G3974*H3974,IF(F3974,C3974*E3974*F3974,IF(G3974,C3974*E3974*G3974,IF(H3974,C3974*E3974*H3974,C3974*E3974))))))),2)</f>
        <v>5</v>
      </c>
      <c r="J3974" s="909" t="s">
        <v>115</v>
      </c>
      <c r="K3974" s="902"/>
      <c r="L3974" s="896"/>
      <c r="M3974" s="902"/>
      <c r="N3974" s="900" t="s">
        <v>2297</v>
      </c>
    </row>
    <row r="3975" spans="1:14" s="910" customFormat="1" ht="16.5" hidden="1" customHeight="1">
      <c r="A3975" s="896"/>
      <c r="B3975" s="980"/>
      <c r="C3975" s="957"/>
      <c r="D3975" s="958"/>
      <c r="E3975" s="1268"/>
      <c r="F3975" s="960"/>
      <c r="G3975" s="960"/>
      <c r="H3975" s="960"/>
      <c r="I3975" s="1291"/>
      <c r="J3975" s="909"/>
      <c r="K3975" s="902"/>
      <c r="L3975" s="896"/>
      <c r="M3975" s="902"/>
      <c r="N3975" s="900" t="s">
        <v>2297</v>
      </c>
    </row>
    <row r="3976" spans="1:14" ht="17.25" hidden="1" customHeight="1">
      <c r="A3976" s="896"/>
      <c r="B3976" s="902"/>
      <c r="C3976" s="917"/>
      <c r="D3976" s="918"/>
      <c r="E3976" s="919"/>
      <c r="F3976" s="920"/>
      <c r="G3976" s="921"/>
      <c r="H3976" s="896"/>
      <c r="I3976" s="1291"/>
      <c r="J3976" s="909" t="s">
        <v>115</v>
      </c>
      <c r="K3976" s="922">
        <f>'Ele Data'!I490</f>
        <v>2644.375</v>
      </c>
      <c r="L3976" s="923" t="s">
        <v>2297</v>
      </c>
      <c r="M3976" s="924">
        <f>ROUND(I3976*K3976,0)</f>
        <v>0</v>
      </c>
      <c r="N3976" s="900" t="s">
        <v>2297</v>
      </c>
    </row>
    <row r="3977" spans="1:14" ht="21" hidden="1" customHeight="1">
      <c r="A3977" s="896">
        <v>46</v>
      </c>
      <c r="B3977" s="1609" t="s">
        <v>1571</v>
      </c>
      <c r="C3977" s="1609"/>
      <c r="D3977" s="1609"/>
      <c r="E3977" s="1609"/>
      <c r="F3977" s="1609"/>
      <c r="G3977" s="1609"/>
      <c r="H3977" s="1609"/>
      <c r="I3977" s="897"/>
      <c r="J3977" s="898"/>
      <c r="K3977" s="896"/>
      <c r="L3977" s="896"/>
      <c r="M3977" s="899"/>
      <c r="N3977" s="900" t="s">
        <v>2297</v>
      </c>
    </row>
    <row r="3978" spans="1:14" s="910" customFormat="1" ht="16.5" hidden="1" customHeight="1">
      <c r="A3978" s="896"/>
      <c r="B3978" s="902" t="s">
        <v>2744</v>
      </c>
      <c r="C3978" s="903"/>
      <c r="D3978" s="904"/>
      <c r="E3978" s="905"/>
      <c r="F3978" s="906"/>
      <c r="G3978" s="906"/>
      <c r="H3978" s="907"/>
      <c r="I3978" s="908"/>
      <c r="J3978" s="909"/>
      <c r="K3978" s="902"/>
      <c r="L3978" s="896"/>
      <c r="M3978" s="902"/>
      <c r="N3978" s="900" t="s">
        <v>2297</v>
      </c>
    </row>
    <row r="3979" spans="1:14" s="910" customFormat="1" ht="16.5" hidden="1" customHeight="1">
      <c r="A3979" s="896"/>
      <c r="B3979" s="980"/>
      <c r="C3979" s="912">
        <v>1</v>
      </c>
      <c r="D3979" s="913" t="s">
        <v>273</v>
      </c>
      <c r="E3979" s="914">
        <v>13</v>
      </c>
      <c r="F3979" s="915">
        <v>0</v>
      </c>
      <c r="G3979" s="915">
        <v>0</v>
      </c>
      <c r="H3979" s="915">
        <v>0</v>
      </c>
      <c r="I3979" s="1291">
        <f>ROUND(IF(AND(F3979:H3979),C3979*E3979*F3979*G3979*H3979,IF(AND(F3979,G3979),C3979*E3979*F3979*G3979,IF(AND(F3979,H3979),C3979*E3979*F3979*H3979,IF(AND(G3979,H3979),C3979*E3979*G3979*H3979,IF(F3979,C3979*E3979*F3979,IF(G3979,C3979*E3979*G3979,IF(H3979,C3979*E3979*H3979,C3979*E3979))))))),2)</f>
        <v>13</v>
      </c>
      <c r="J3979" s="909" t="s">
        <v>115</v>
      </c>
      <c r="K3979" s="902"/>
      <c r="L3979" s="896"/>
      <c r="M3979" s="902"/>
      <c r="N3979" s="900" t="s">
        <v>2297</v>
      </c>
    </row>
    <row r="3980" spans="1:14" s="910" customFormat="1" ht="16.5" hidden="1" customHeight="1">
      <c r="A3980" s="896"/>
      <c r="B3980" s="980"/>
      <c r="C3980" s="957"/>
      <c r="D3980" s="958"/>
      <c r="E3980" s="1268"/>
      <c r="F3980" s="960"/>
      <c r="G3980" s="960"/>
      <c r="H3980" s="960"/>
      <c r="I3980" s="916"/>
      <c r="J3980" s="909"/>
      <c r="K3980" s="902"/>
      <c r="L3980" s="896"/>
      <c r="M3980" s="902"/>
      <c r="N3980" s="900" t="s">
        <v>2297</v>
      </c>
    </row>
    <row r="3981" spans="1:14" ht="15.75" hidden="1">
      <c r="A3981" s="896"/>
      <c r="B3981" s="902"/>
      <c r="C3981" s="917"/>
      <c r="D3981" s="918"/>
      <c r="E3981" s="919"/>
      <c r="F3981" s="920"/>
      <c r="G3981" s="921"/>
      <c r="H3981" s="896"/>
      <c r="I3981" s="1291"/>
      <c r="J3981" s="909" t="s">
        <v>115</v>
      </c>
      <c r="K3981" s="922">
        <f>'Ele Data'!I517</f>
        <v>195.17000000000002</v>
      </c>
      <c r="L3981" s="923" t="s">
        <v>2297</v>
      </c>
      <c r="M3981" s="924">
        <f>ROUND(I3981*K3981,0)</f>
        <v>0</v>
      </c>
      <c r="N3981" s="900" t="s">
        <v>2297</v>
      </c>
    </row>
    <row r="3982" spans="1:14" ht="43.5" hidden="1" customHeight="1">
      <c r="A3982" s="896">
        <v>47</v>
      </c>
      <c r="B3982" s="1609" t="s">
        <v>946</v>
      </c>
      <c r="C3982" s="1609"/>
      <c r="D3982" s="1609"/>
      <c r="E3982" s="1609"/>
      <c r="F3982" s="1609"/>
      <c r="G3982" s="1609"/>
      <c r="H3982" s="1609"/>
      <c r="I3982" s="897"/>
      <c r="J3982" s="898"/>
      <c r="K3982" s="896"/>
      <c r="L3982" s="896"/>
      <c r="M3982" s="899"/>
      <c r="N3982" s="900" t="s">
        <v>2297</v>
      </c>
    </row>
    <row r="3983" spans="1:14" s="910" customFormat="1" ht="16.5" hidden="1" customHeight="1">
      <c r="A3983" s="896"/>
      <c r="B3983" s="902" t="s">
        <v>2745</v>
      </c>
      <c r="C3983" s="903"/>
      <c r="D3983" s="904"/>
      <c r="E3983" s="905"/>
      <c r="F3983" s="906"/>
      <c r="G3983" s="906"/>
      <c r="H3983" s="907"/>
      <c r="I3983" s="908"/>
      <c r="J3983" s="909"/>
      <c r="K3983" s="902"/>
      <c r="L3983" s="896"/>
      <c r="M3983" s="902"/>
      <c r="N3983" s="900" t="s">
        <v>2297</v>
      </c>
    </row>
    <row r="3984" spans="1:14" s="910" customFormat="1" ht="16.5" hidden="1" customHeight="1">
      <c r="A3984" s="896"/>
      <c r="B3984" s="980" t="s">
        <v>2187</v>
      </c>
      <c r="C3984" s="957">
        <v>1</v>
      </c>
      <c r="D3984" s="958" t="s">
        <v>273</v>
      </c>
      <c r="E3984" s="1268">
        <v>13</v>
      </c>
      <c r="F3984" s="960">
        <v>0</v>
      </c>
      <c r="G3984" s="960">
        <v>0</v>
      </c>
      <c r="H3984" s="960">
        <v>0</v>
      </c>
      <c r="I3984" s="1291">
        <f>ROUND(IF(AND(F3984:H3984),C3984*E3984*F3984*G3984*H3984,IF(AND(F3984,G3984),C3984*E3984*F3984*G3984,IF(AND(F3984,H3984),C3984*E3984*F3984*H3984,IF(AND(G3984,H3984),C3984*E3984*G3984*H3984,IF(F3984,C3984*E3984*F3984,IF(G3984,C3984*E3984*G3984,IF(H3984,C3984*E3984*H3984,C3984*E3984))))))),2)</f>
        <v>13</v>
      </c>
      <c r="J3984" s="909" t="s">
        <v>115</v>
      </c>
      <c r="K3984" s="902"/>
      <c r="L3984" s="896"/>
      <c r="M3984" s="902"/>
      <c r="N3984" s="900" t="s">
        <v>2297</v>
      </c>
    </row>
    <row r="3985" spans="1:14" s="910" customFormat="1" ht="16.5" hidden="1" customHeight="1">
      <c r="A3985" s="896"/>
      <c r="B3985" s="980"/>
      <c r="C3985" s="957"/>
      <c r="D3985" s="958"/>
      <c r="E3985" s="1268"/>
      <c r="F3985" s="960"/>
      <c r="G3985" s="960"/>
      <c r="H3985" s="960"/>
      <c r="I3985" s="1291"/>
      <c r="J3985" s="909"/>
      <c r="K3985" s="902"/>
      <c r="L3985" s="896"/>
      <c r="M3985" s="902"/>
      <c r="N3985" s="900" t="s">
        <v>2297</v>
      </c>
    </row>
    <row r="3986" spans="1:14" ht="15.75" hidden="1">
      <c r="A3986" s="896"/>
      <c r="B3986" s="902"/>
      <c r="C3986" s="917"/>
      <c r="D3986" s="918"/>
      <c r="E3986" s="919"/>
      <c r="F3986" s="920"/>
      <c r="G3986" s="921"/>
      <c r="H3986" s="896"/>
      <c r="I3986" s="1291"/>
      <c r="J3986" s="909" t="s">
        <v>115</v>
      </c>
      <c r="K3986" s="922">
        <f>'Ele Data'!I494</f>
        <v>2323</v>
      </c>
      <c r="L3986" s="923" t="s">
        <v>2297</v>
      </c>
      <c r="M3986" s="924">
        <f>ROUND(I3986*K3986,0)</f>
        <v>0</v>
      </c>
      <c r="N3986" s="900" t="s">
        <v>2297</v>
      </c>
    </row>
    <row r="3987" spans="1:14" ht="30.75" hidden="1" customHeight="1">
      <c r="A3987" s="896">
        <v>48</v>
      </c>
      <c r="B3987" s="1609" t="s">
        <v>947</v>
      </c>
      <c r="C3987" s="1609"/>
      <c r="D3987" s="1609"/>
      <c r="E3987" s="1609"/>
      <c r="F3987" s="1609"/>
      <c r="G3987" s="1609"/>
      <c r="H3987" s="1609"/>
      <c r="I3987" s="1291"/>
      <c r="J3987" s="898"/>
      <c r="K3987" s="896"/>
      <c r="L3987" s="896"/>
      <c r="M3987" s="899"/>
      <c r="N3987" s="900" t="s">
        <v>2297</v>
      </c>
    </row>
    <row r="3988" spans="1:14" s="910" customFormat="1" ht="16.5" hidden="1" customHeight="1">
      <c r="A3988" s="896"/>
      <c r="B3988" s="902" t="s">
        <v>2745</v>
      </c>
      <c r="C3988" s="903"/>
      <c r="D3988" s="904"/>
      <c r="E3988" s="905"/>
      <c r="F3988" s="906"/>
      <c r="G3988" s="906"/>
      <c r="H3988" s="907"/>
      <c r="I3988" s="908"/>
      <c r="J3988" s="909"/>
      <c r="K3988" s="902"/>
      <c r="L3988" s="896"/>
      <c r="M3988" s="902"/>
      <c r="N3988" s="900" t="s">
        <v>2297</v>
      </c>
    </row>
    <row r="3989" spans="1:14" s="910" customFormat="1" ht="16.5" hidden="1" customHeight="1">
      <c r="A3989" s="896"/>
      <c r="B3989" s="980"/>
      <c r="C3989" s="957">
        <v>1</v>
      </c>
      <c r="D3989" s="958" t="s">
        <v>273</v>
      </c>
      <c r="E3989" s="1268">
        <v>13</v>
      </c>
      <c r="F3989" s="960">
        <v>0</v>
      </c>
      <c r="G3989" s="960">
        <v>0</v>
      </c>
      <c r="H3989" s="960">
        <v>0</v>
      </c>
      <c r="I3989" s="1291">
        <f>ROUND(IF(AND(F3989:H3989),C3989*E3989*F3989*G3989*H3989,IF(AND(F3989,G3989),C3989*E3989*F3989*G3989,IF(AND(F3989,H3989),C3989*E3989*F3989*H3989,IF(AND(G3989,H3989),C3989*E3989*G3989*H3989,IF(F3989,C3989*E3989*F3989,IF(G3989,C3989*E3989*G3989,IF(H3989,C3989*E3989*H3989,C3989*E3989))))))),2)</f>
        <v>13</v>
      </c>
      <c r="J3989" s="909" t="s">
        <v>115</v>
      </c>
      <c r="K3989" s="902"/>
      <c r="L3989" s="896"/>
      <c r="M3989" s="902"/>
      <c r="N3989" s="900" t="s">
        <v>2297</v>
      </c>
    </row>
    <row r="3990" spans="1:14" s="910" customFormat="1" ht="16.5" hidden="1" customHeight="1">
      <c r="A3990" s="896"/>
      <c r="B3990" s="980"/>
      <c r="C3990" s="957"/>
      <c r="D3990" s="958"/>
      <c r="E3990" s="1268"/>
      <c r="F3990" s="960"/>
      <c r="G3990" s="960"/>
      <c r="H3990" s="960"/>
      <c r="I3990" s="1291"/>
      <c r="J3990" s="909"/>
      <c r="K3990" s="902"/>
      <c r="L3990" s="896"/>
      <c r="M3990" s="902"/>
      <c r="N3990" s="900" t="s">
        <v>2297</v>
      </c>
    </row>
    <row r="3991" spans="1:14" ht="15.75" hidden="1">
      <c r="A3991" s="896"/>
      <c r="B3991" s="902"/>
      <c r="C3991" s="917"/>
      <c r="D3991" s="918"/>
      <c r="E3991" s="919"/>
      <c r="F3991" s="920"/>
      <c r="G3991" s="921"/>
      <c r="H3991" s="896"/>
      <c r="I3991" s="1291"/>
      <c r="J3991" s="909" t="s">
        <v>115</v>
      </c>
      <c r="K3991" s="922">
        <f>'Ele Data'!I499</f>
        <v>241</v>
      </c>
      <c r="L3991" s="923" t="s">
        <v>2297</v>
      </c>
      <c r="M3991" s="924">
        <f>ROUND(I3991*K3991,0)</f>
        <v>0</v>
      </c>
      <c r="N3991" s="900" t="s">
        <v>2297</v>
      </c>
    </row>
    <row r="3992" spans="1:14" ht="30.75" hidden="1" customHeight="1">
      <c r="A3992" s="896">
        <v>49</v>
      </c>
      <c r="B3992" s="1609" t="s">
        <v>948</v>
      </c>
      <c r="C3992" s="1609"/>
      <c r="D3992" s="1609"/>
      <c r="E3992" s="1609"/>
      <c r="F3992" s="1609"/>
      <c r="G3992" s="1609"/>
      <c r="H3992" s="1609"/>
      <c r="I3992" s="897"/>
      <c r="J3992" s="898"/>
      <c r="K3992" s="896"/>
      <c r="L3992" s="896"/>
      <c r="M3992" s="899"/>
      <c r="N3992" s="900" t="s">
        <v>2297</v>
      </c>
    </row>
    <row r="3993" spans="1:14" s="910" customFormat="1" ht="16.5" hidden="1" customHeight="1">
      <c r="A3993" s="896"/>
      <c r="B3993" s="902" t="s">
        <v>2745</v>
      </c>
      <c r="C3993" s="903"/>
      <c r="D3993" s="904"/>
      <c r="E3993" s="905"/>
      <c r="F3993" s="906"/>
      <c r="G3993" s="906"/>
      <c r="H3993" s="907"/>
      <c r="I3993" s="908"/>
      <c r="J3993" s="909"/>
      <c r="K3993" s="902"/>
      <c r="L3993" s="896"/>
      <c r="M3993" s="902"/>
      <c r="N3993" s="900" t="s">
        <v>2297</v>
      </c>
    </row>
    <row r="3994" spans="1:14" s="910" customFormat="1" ht="16.5" hidden="1" customHeight="1">
      <c r="A3994" s="896"/>
      <c r="B3994" s="980"/>
      <c r="C3994" s="957">
        <v>1</v>
      </c>
      <c r="D3994" s="958" t="s">
        <v>273</v>
      </c>
      <c r="E3994" s="1268">
        <v>13</v>
      </c>
      <c r="F3994" s="960">
        <v>0</v>
      </c>
      <c r="G3994" s="960">
        <v>0</v>
      </c>
      <c r="H3994" s="960">
        <v>0</v>
      </c>
      <c r="I3994" s="1291">
        <f>ROUND(IF(AND(F3994:H3994),C3994*E3994*F3994*G3994*H3994,IF(AND(F3994,G3994),C3994*E3994*F3994*G3994,IF(AND(F3994,H3994),C3994*E3994*F3994*H3994,IF(AND(G3994,H3994),C3994*E3994*G3994*H3994,IF(F3994,C3994*E3994*F3994,IF(G3994,C3994*E3994*G3994,IF(H3994,C3994*E3994*H3994,C3994*E3994))))))),2)</f>
        <v>13</v>
      </c>
      <c r="J3994" s="909" t="s">
        <v>115</v>
      </c>
      <c r="K3994" s="902"/>
      <c r="L3994" s="896"/>
      <c r="M3994" s="902"/>
      <c r="N3994" s="900" t="s">
        <v>2297</v>
      </c>
    </row>
    <row r="3995" spans="1:14" s="910" customFormat="1" ht="16.5" hidden="1" customHeight="1">
      <c r="A3995" s="896"/>
      <c r="B3995" s="980"/>
      <c r="C3995" s="957"/>
      <c r="D3995" s="958"/>
      <c r="E3995" s="1268"/>
      <c r="F3995" s="960"/>
      <c r="G3995" s="960"/>
      <c r="H3995" s="960"/>
      <c r="I3995" s="1291"/>
      <c r="J3995" s="909"/>
      <c r="K3995" s="902"/>
      <c r="L3995" s="896"/>
      <c r="M3995" s="902"/>
      <c r="N3995" s="900" t="s">
        <v>2297</v>
      </c>
    </row>
    <row r="3996" spans="1:14" ht="15.75" hidden="1">
      <c r="A3996" s="896"/>
      <c r="B3996" s="902"/>
      <c r="C3996" s="917"/>
      <c r="D3996" s="918"/>
      <c r="E3996" s="919"/>
      <c r="F3996" s="920"/>
      <c r="G3996" s="921"/>
      <c r="H3996" s="896"/>
      <c r="I3996" s="1291"/>
      <c r="J3996" s="909" t="s">
        <v>115</v>
      </c>
      <c r="K3996" s="922">
        <f>'Ele Data'!I506</f>
        <v>141.375</v>
      </c>
      <c r="L3996" s="923" t="s">
        <v>2297</v>
      </c>
      <c r="M3996" s="924">
        <f>ROUND(I3996*K3996,0)</f>
        <v>0</v>
      </c>
      <c r="N3996" s="900" t="s">
        <v>2297</v>
      </c>
    </row>
    <row r="3997" spans="1:14" ht="30.75" hidden="1" customHeight="1">
      <c r="A3997" s="896">
        <v>15</v>
      </c>
      <c r="B3997" s="1609" t="s">
        <v>950</v>
      </c>
      <c r="C3997" s="1609"/>
      <c r="D3997" s="1609"/>
      <c r="E3997" s="1609"/>
      <c r="F3997" s="1609"/>
      <c r="G3997" s="1609"/>
      <c r="H3997" s="1609"/>
      <c r="I3997" s="897"/>
      <c r="J3997" s="898"/>
      <c r="K3997" s="896"/>
      <c r="L3997" s="896"/>
      <c r="M3997" s="899"/>
      <c r="N3997" s="900" t="s">
        <v>2297</v>
      </c>
    </row>
    <row r="3998" spans="1:14" s="910" customFormat="1" ht="16.5" hidden="1" customHeight="1">
      <c r="A3998" s="896"/>
      <c r="B3998" s="902" t="s">
        <v>2350</v>
      </c>
      <c r="C3998" s="903"/>
      <c r="D3998" s="904"/>
      <c r="E3998" s="905"/>
      <c r="F3998" s="906"/>
      <c r="G3998" s="906"/>
      <c r="H3998" s="907"/>
      <c r="I3998" s="908"/>
      <c r="J3998" s="909"/>
      <c r="K3998" s="902"/>
      <c r="L3998" s="896"/>
      <c r="M3998" s="902"/>
      <c r="N3998" s="900" t="s">
        <v>2297</v>
      </c>
    </row>
    <row r="3999" spans="1:14" s="910" customFormat="1" ht="16.5" hidden="1" customHeight="1">
      <c r="A3999" s="896"/>
      <c r="B3999" s="980" t="s">
        <v>660</v>
      </c>
      <c r="C3999" s="957">
        <v>1</v>
      </c>
      <c r="D3999" s="958" t="s">
        <v>273</v>
      </c>
      <c r="E3999" s="1268">
        <v>2</v>
      </c>
      <c r="F3999" s="960">
        <v>0</v>
      </c>
      <c r="G3999" s="960">
        <v>0</v>
      </c>
      <c r="H3999" s="960">
        <v>0</v>
      </c>
      <c r="I3999" s="1291">
        <f>ROUND(IF(AND(F3999:H3999),C3999*E3999*F3999*G3999*H3999,IF(AND(F3999,G3999),C3999*E3999*F3999*G3999,IF(AND(F3999,H3999),C3999*E3999*F3999*H3999,IF(AND(G3999,H3999),C3999*E3999*G3999*H3999,IF(F3999,C3999*E3999*F3999,IF(G3999,C3999*E3999*G3999,IF(H3999,C3999*E3999*H3999,C3999*E3999))))))),2)</f>
        <v>2</v>
      </c>
      <c r="J3999" s="909" t="s">
        <v>115</v>
      </c>
      <c r="K3999" s="902"/>
      <c r="L3999" s="896"/>
      <c r="M3999" s="902"/>
      <c r="N3999" s="900" t="s">
        <v>2297</v>
      </c>
    </row>
    <row r="4000" spans="1:14" s="910" customFormat="1" ht="16.5" hidden="1" customHeight="1">
      <c r="A4000" s="896"/>
      <c r="B4000" s="980" t="s">
        <v>650</v>
      </c>
      <c r="C4000" s="957">
        <v>1</v>
      </c>
      <c r="D4000" s="958" t="s">
        <v>273</v>
      </c>
      <c r="E4000" s="1268">
        <v>1</v>
      </c>
      <c r="F4000" s="960">
        <v>0</v>
      </c>
      <c r="G4000" s="960">
        <v>0</v>
      </c>
      <c r="H4000" s="960">
        <v>0</v>
      </c>
      <c r="I4000" s="1291">
        <f>ROUND(IF(AND(F4000:H4000),C4000*E4000*F4000*G4000*H4000,IF(AND(F4000,G4000),C4000*E4000*F4000*G4000,IF(AND(F4000,H4000),C4000*E4000*F4000*H4000,IF(AND(G4000,H4000),C4000*E4000*G4000*H4000,IF(F4000,C4000*E4000*F4000,IF(G4000,C4000*E4000*G4000,IF(H4000,C4000*E4000*H4000,C4000*E4000))))))),2)</f>
        <v>1</v>
      </c>
      <c r="J4000" s="909" t="s">
        <v>115</v>
      </c>
      <c r="K4000" s="902"/>
      <c r="L4000" s="896"/>
      <c r="M4000" s="902"/>
      <c r="N4000" s="900" t="s">
        <v>2297</v>
      </c>
    </row>
    <row r="4001" spans="1:14" s="910" customFormat="1" ht="16.5" hidden="1" customHeight="1">
      <c r="A4001" s="896"/>
      <c r="B4001" s="980" t="s">
        <v>1170</v>
      </c>
      <c r="C4001" s="957">
        <v>1</v>
      </c>
      <c r="D4001" s="958" t="s">
        <v>273</v>
      </c>
      <c r="E4001" s="1268">
        <v>1</v>
      </c>
      <c r="F4001" s="960">
        <v>0</v>
      </c>
      <c r="G4001" s="960">
        <v>0</v>
      </c>
      <c r="H4001" s="960">
        <v>0</v>
      </c>
      <c r="I4001" s="1291">
        <f>ROUND(IF(AND(F4001:H4001),C4001*E4001*F4001*G4001*H4001,IF(AND(F4001,G4001),C4001*E4001*F4001*G4001,IF(AND(F4001,H4001),C4001*E4001*F4001*H4001,IF(AND(G4001,H4001),C4001*E4001*G4001*H4001,IF(F4001,C4001*E4001*F4001,IF(G4001,C4001*E4001*G4001,IF(H4001,C4001*E4001*H4001,C4001*E4001))))))),2)</f>
        <v>1</v>
      </c>
      <c r="J4001" s="909" t="s">
        <v>115</v>
      </c>
      <c r="K4001" s="902"/>
      <c r="L4001" s="896"/>
      <c r="M4001" s="902"/>
      <c r="N4001" s="900" t="s">
        <v>2297</v>
      </c>
    </row>
    <row r="4002" spans="1:14" s="910" customFormat="1" ht="16.5" hidden="1" customHeight="1">
      <c r="A4002" s="896"/>
      <c r="B4002" s="980"/>
      <c r="C4002" s="957"/>
      <c r="D4002" s="958"/>
      <c r="E4002" s="1268"/>
      <c r="F4002" s="960"/>
      <c r="G4002" s="960"/>
      <c r="H4002" s="960"/>
      <c r="I4002" s="1291"/>
      <c r="J4002" s="909"/>
      <c r="K4002" s="902"/>
      <c r="L4002" s="896"/>
      <c r="M4002" s="902"/>
      <c r="N4002" s="900" t="s">
        <v>2297</v>
      </c>
    </row>
    <row r="4003" spans="1:14" ht="15.75" hidden="1">
      <c r="A4003" s="896"/>
      <c r="B4003" s="902"/>
      <c r="C4003" s="917"/>
      <c r="D4003" s="918"/>
      <c r="E4003" s="919"/>
      <c r="F4003" s="920"/>
      <c r="G4003" s="921"/>
      <c r="H4003" s="896"/>
      <c r="I4003" s="1291"/>
      <c r="J4003" s="909" t="s">
        <v>115</v>
      </c>
      <c r="K4003" s="922">
        <f>'Ele Data'!I512</f>
        <v>129.5</v>
      </c>
      <c r="L4003" s="923" t="s">
        <v>2297</v>
      </c>
      <c r="M4003" s="924">
        <f>ROUND(I4003*K4003,0)</f>
        <v>0</v>
      </c>
      <c r="N4003" s="900" t="s">
        <v>2297</v>
      </c>
    </row>
    <row r="4004" spans="1:14" ht="41.25" hidden="1" customHeight="1">
      <c r="A4004" s="896">
        <v>50</v>
      </c>
      <c r="B4004" s="1609" t="s">
        <v>442</v>
      </c>
      <c r="C4004" s="1609"/>
      <c r="D4004" s="1609"/>
      <c r="E4004" s="1609"/>
      <c r="F4004" s="1609"/>
      <c r="G4004" s="1609"/>
      <c r="H4004" s="1609"/>
      <c r="I4004" s="897"/>
      <c r="J4004" s="898"/>
      <c r="K4004" s="896"/>
      <c r="L4004" s="896"/>
      <c r="M4004" s="899"/>
      <c r="N4004" s="900" t="s">
        <v>2297</v>
      </c>
    </row>
    <row r="4005" spans="1:14" s="910" customFormat="1" ht="16.5" hidden="1" customHeight="1">
      <c r="A4005" s="896"/>
      <c r="B4005" s="902" t="s">
        <v>2745</v>
      </c>
      <c r="C4005" s="903"/>
      <c r="D4005" s="904"/>
      <c r="E4005" s="905"/>
      <c r="F4005" s="906"/>
      <c r="G4005" s="906"/>
      <c r="H4005" s="907"/>
      <c r="I4005" s="908"/>
      <c r="J4005" s="909"/>
      <c r="K4005" s="902"/>
      <c r="L4005" s="896"/>
      <c r="M4005" s="902"/>
      <c r="N4005" s="900" t="s">
        <v>2297</v>
      </c>
    </row>
    <row r="4006" spans="1:14" s="910" customFormat="1" ht="16.5" hidden="1" customHeight="1">
      <c r="A4006" s="896"/>
      <c r="B4006" s="980"/>
      <c r="C4006" s="912">
        <v>1</v>
      </c>
      <c r="D4006" s="913" t="s">
        <v>273</v>
      </c>
      <c r="E4006" s="914">
        <v>21</v>
      </c>
      <c r="F4006" s="915">
        <v>0</v>
      </c>
      <c r="G4006" s="915">
        <v>0</v>
      </c>
      <c r="H4006" s="915">
        <v>0</v>
      </c>
      <c r="I4006" s="1291">
        <f>ROUND(IF(AND(F4006:H4006),C4006*E4006*F4006*G4006*H4006,IF(AND(F4006,G4006),C4006*E4006*F4006*G4006,IF(AND(F4006,H4006),C4006*E4006*F4006*H4006,IF(AND(G4006,H4006),C4006*E4006*G4006*H4006,IF(F4006,C4006*E4006*F4006,IF(G4006,C4006*E4006*G4006,IF(H4006,C4006*E4006*H4006,C4006*E4006))))))),2)</f>
        <v>21</v>
      </c>
      <c r="J4006" s="909" t="s">
        <v>115</v>
      </c>
      <c r="K4006" s="902"/>
      <c r="L4006" s="896"/>
      <c r="M4006" s="902"/>
      <c r="N4006" s="900" t="s">
        <v>2297</v>
      </c>
    </row>
    <row r="4007" spans="1:14" s="910" customFormat="1" ht="16.5" hidden="1" customHeight="1">
      <c r="A4007" s="896"/>
      <c r="B4007" s="980"/>
      <c r="C4007" s="957"/>
      <c r="D4007" s="958"/>
      <c r="E4007" s="1268"/>
      <c r="F4007" s="960"/>
      <c r="G4007" s="960"/>
      <c r="H4007" s="960"/>
      <c r="I4007" s="1291"/>
      <c r="J4007" s="909"/>
      <c r="K4007" s="902"/>
      <c r="L4007" s="896"/>
      <c r="M4007" s="902"/>
      <c r="N4007" s="900" t="s">
        <v>2297</v>
      </c>
    </row>
    <row r="4008" spans="1:14" ht="15.75" hidden="1">
      <c r="A4008" s="896"/>
      <c r="B4008" s="902"/>
      <c r="C4008" s="917"/>
      <c r="D4008" s="918"/>
      <c r="E4008" s="919"/>
      <c r="F4008" s="920"/>
      <c r="G4008" s="921"/>
      <c r="H4008" s="896"/>
      <c r="I4008" s="1291"/>
      <c r="J4008" s="909" t="s">
        <v>115</v>
      </c>
      <c r="K4008" s="922">
        <f>'Ele Data'!I525</f>
        <v>410.5</v>
      </c>
      <c r="L4008" s="923" t="s">
        <v>2297</v>
      </c>
      <c r="M4008" s="924">
        <f>ROUND(I4008*K4008,0)</f>
        <v>0</v>
      </c>
      <c r="N4008" s="900" t="s">
        <v>2297</v>
      </c>
    </row>
    <row r="4009" spans="1:14" ht="66.75" hidden="1" customHeight="1">
      <c r="A4009" s="896">
        <v>23</v>
      </c>
      <c r="B4009" s="1609" t="s">
        <v>2090</v>
      </c>
      <c r="C4009" s="1609"/>
      <c r="D4009" s="1609"/>
      <c r="E4009" s="1609"/>
      <c r="F4009" s="1609"/>
      <c r="G4009" s="1609"/>
      <c r="H4009" s="1609"/>
      <c r="I4009" s="897"/>
      <c r="J4009" s="898"/>
      <c r="K4009" s="896"/>
      <c r="L4009" s="896"/>
      <c r="M4009" s="899"/>
      <c r="N4009" s="900" t="s">
        <v>2297</v>
      </c>
    </row>
    <row r="4010" spans="1:14" s="910" customFormat="1" ht="16.5" hidden="1" customHeight="1">
      <c r="A4010" s="896"/>
      <c r="B4010" s="902" t="s">
        <v>2100</v>
      </c>
      <c r="C4010" s="903"/>
      <c r="D4010" s="904"/>
      <c r="E4010" s="905"/>
      <c r="F4010" s="906"/>
      <c r="G4010" s="906"/>
      <c r="H4010" s="907"/>
      <c r="I4010" s="908"/>
      <c r="J4010" s="909"/>
      <c r="K4010" s="902"/>
      <c r="L4010" s="896"/>
      <c r="M4010" s="902"/>
      <c r="N4010" s="900" t="s">
        <v>2297</v>
      </c>
    </row>
    <row r="4011" spans="1:14" s="910" customFormat="1" ht="16.5" hidden="1" customHeight="1">
      <c r="A4011" s="896"/>
      <c r="B4011" s="980"/>
      <c r="C4011" s="957">
        <v>1</v>
      </c>
      <c r="D4011" s="958" t="s">
        <v>273</v>
      </c>
      <c r="E4011" s="1268">
        <v>1</v>
      </c>
      <c r="F4011" s="960">
        <v>0</v>
      </c>
      <c r="G4011" s="960">
        <v>0</v>
      </c>
      <c r="H4011" s="960">
        <v>0</v>
      </c>
      <c r="I4011" s="1291">
        <f>ROUND(IF(AND(F4011:H4011),C4011*E4011*F4011*G4011*H4011,IF(AND(F4011,G4011),C4011*E4011*F4011*G4011,IF(AND(F4011,H4011),C4011*E4011*F4011*H4011,IF(AND(G4011,H4011),C4011*E4011*G4011*H4011,IF(F4011,C4011*E4011*F4011,IF(G4011,C4011*E4011*G4011,IF(H4011,C4011*E4011*H4011,C4011*E4011))))))),2)</f>
        <v>1</v>
      </c>
      <c r="J4011" s="909" t="s">
        <v>115</v>
      </c>
      <c r="K4011" s="902"/>
      <c r="L4011" s="896"/>
      <c r="M4011" s="902"/>
      <c r="N4011" s="900" t="s">
        <v>2297</v>
      </c>
    </row>
    <row r="4012" spans="1:14" s="910" customFormat="1" ht="16.5" hidden="1" customHeight="1">
      <c r="A4012" s="896"/>
      <c r="B4012" s="980"/>
      <c r="C4012" s="957"/>
      <c r="D4012" s="958"/>
      <c r="E4012" s="1268"/>
      <c r="F4012" s="960"/>
      <c r="G4012" s="960"/>
      <c r="H4012" s="960"/>
      <c r="I4012" s="1291"/>
      <c r="J4012" s="909"/>
      <c r="K4012" s="902"/>
      <c r="L4012" s="896"/>
      <c r="M4012" s="902"/>
      <c r="N4012" s="900" t="s">
        <v>2297</v>
      </c>
    </row>
    <row r="4013" spans="1:14" ht="15.75" hidden="1">
      <c r="A4013" s="896"/>
      <c r="B4013" s="902"/>
      <c r="C4013" s="917"/>
      <c r="D4013" s="918"/>
      <c r="E4013" s="919"/>
      <c r="F4013" s="920"/>
      <c r="G4013" s="921"/>
      <c r="H4013" s="896"/>
      <c r="I4013" s="1291"/>
      <c r="J4013" s="909" t="s">
        <v>115</v>
      </c>
      <c r="K4013" s="922">
        <f>'Ele Data'!I568</f>
        <v>1980</v>
      </c>
      <c r="L4013" s="923" t="s">
        <v>2297</v>
      </c>
      <c r="M4013" s="924">
        <f>ROUND(I4013*K4013,0)</f>
        <v>0</v>
      </c>
      <c r="N4013" s="900" t="s">
        <v>2297</v>
      </c>
    </row>
    <row r="4014" spans="1:14" ht="110.25" hidden="1" customHeight="1">
      <c r="A4014" s="896">
        <v>23</v>
      </c>
      <c r="B4014" s="1609" t="s">
        <v>2254</v>
      </c>
      <c r="C4014" s="1609"/>
      <c r="D4014" s="1609"/>
      <c r="E4014" s="1609"/>
      <c r="F4014" s="1609"/>
      <c r="G4014" s="1609"/>
      <c r="H4014" s="1609"/>
      <c r="I4014" s="897"/>
      <c r="J4014" s="898"/>
      <c r="K4014" s="896"/>
      <c r="L4014" s="896"/>
      <c r="M4014" s="899"/>
      <c r="N4014" s="900" t="s">
        <v>2297</v>
      </c>
    </row>
    <row r="4015" spans="1:14" s="910" customFormat="1" ht="16.5" hidden="1" customHeight="1">
      <c r="A4015" s="896"/>
      <c r="B4015" s="902" t="s">
        <v>2100</v>
      </c>
      <c r="C4015" s="903"/>
      <c r="D4015" s="904"/>
      <c r="E4015" s="905"/>
      <c r="F4015" s="906"/>
      <c r="G4015" s="906"/>
      <c r="H4015" s="907"/>
      <c r="I4015" s="908"/>
      <c r="J4015" s="909"/>
      <c r="K4015" s="902"/>
      <c r="L4015" s="896"/>
      <c r="M4015" s="902"/>
      <c r="N4015" s="900" t="s">
        <v>2297</v>
      </c>
    </row>
    <row r="4016" spans="1:14" s="910" customFormat="1" ht="16.5" hidden="1" customHeight="1">
      <c r="A4016" s="896"/>
      <c r="B4016" s="980"/>
      <c r="C4016" s="957">
        <v>1</v>
      </c>
      <c r="D4016" s="958" t="s">
        <v>273</v>
      </c>
      <c r="E4016" s="1268">
        <v>1</v>
      </c>
      <c r="F4016" s="960">
        <v>0</v>
      </c>
      <c r="G4016" s="960">
        <v>0</v>
      </c>
      <c r="H4016" s="960">
        <v>0</v>
      </c>
      <c r="I4016" s="1291">
        <f>ROUND(IF(AND(F4016:H4016),C4016*E4016*F4016*G4016*H4016,IF(AND(F4016,G4016),C4016*E4016*F4016*G4016,IF(AND(F4016,H4016),C4016*E4016*F4016*H4016,IF(AND(G4016,H4016),C4016*E4016*G4016*H4016,IF(F4016,C4016*E4016*F4016,IF(G4016,C4016*E4016*G4016,IF(H4016,C4016*E4016*H4016,C4016*E4016))))))),2)</f>
        <v>1</v>
      </c>
      <c r="J4016" s="909" t="s">
        <v>115</v>
      </c>
      <c r="K4016" s="902"/>
      <c r="L4016" s="896"/>
      <c r="M4016" s="902"/>
      <c r="N4016" s="900" t="s">
        <v>2297</v>
      </c>
    </row>
    <row r="4017" spans="1:14" s="910" customFormat="1" ht="16.5" hidden="1" customHeight="1">
      <c r="A4017" s="896"/>
      <c r="B4017" s="980"/>
      <c r="C4017" s="957"/>
      <c r="D4017" s="958"/>
      <c r="E4017" s="1268"/>
      <c r="F4017" s="960"/>
      <c r="G4017" s="960"/>
      <c r="H4017" s="960"/>
      <c r="I4017" s="1291"/>
      <c r="J4017" s="909"/>
      <c r="K4017" s="902"/>
      <c r="L4017" s="896"/>
      <c r="M4017" s="902"/>
      <c r="N4017" s="900" t="s">
        <v>2297</v>
      </c>
    </row>
    <row r="4018" spans="1:14" ht="15.75" hidden="1">
      <c r="A4018" s="896"/>
      <c r="B4018" s="902"/>
      <c r="C4018" s="917"/>
      <c r="D4018" s="918"/>
      <c r="E4018" s="919"/>
      <c r="F4018" s="920"/>
      <c r="G4018" s="921"/>
      <c r="H4018" s="896"/>
      <c r="I4018" s="1291"/>
      <c r="J4018" s="909" t="s">
        <v>115</v>
      </c>
      <c r="K4018" s="922">
        <f>'Ele Data'!I571</f>
        <v>5900</v>
      </c>
      <c r="L4018" s="923" t="s">
        <v>2297</v>
      </c>
      <c r="M4018" s="924">
        <f>ROUND(I4018*K4018,0)</f>
        <v>0</v>
      </c>
      <c r="N4018" s="900" t="s">
        <v>2297</v>
      </c>
    </row>
    <row r="4019" spans="1:14" ht="43.5" hidden="1" customHeight="1">
      <c r="A4019" s="896">
        <v>16</v>
      </c>
      <c r="B4019" s="1609" t="s">
        <v>794</v>
      </c>
      <c r="C4019" s="1609"/>
      <c r="D4019" s="1609"/>
      <c r="E4019" s="1609"/>
      <c r="F4019" s="1609"/>
      <c r="G4019" s="1609"/>
      <c r="H4019" s="1609"/>
      <c r="I4019" s="897"/>
      <c r="J4019" s="898"/>
      <c r="K4019" s="896"/>
      <c r="L4019" s="896"/>
      <c r="M4019" s="899"/>
      <c r="N4019" s="900" t="s">
        <v>2297</v>
      </c>
    </row>
    <row r="4020" spans="1:14" s="910" customFormat="1" ht="16.5" hidden="1" customHeight="1">
      <c r="A4020" s="896"/>
      <c r="B4020" s="980" t="s">
        <v>424</v>
      </c>
      <c r="C4020" s="903"/>
      <c r="D4020" s="904"/>
      <c r="E4020" s="905"/>
      <c r="F4020" s="906"/>
      <c r="G4020" s="906"/>
      <c r="H4020" s="907"/>
      <c r="I4020" s="908"/>
      <c r="J4020" s="909"/>
      <c r="K4020" s="902"/>
      <c r="L4020" s="896"/>
      <c r="M4020" s="902"/>
      <c r="N4020" s="900" t="s">
        <v>2297</v>
      </c>
    </row>
    <row r="4021" spans="1:14" s="910" customFormat="1" ht="16.5" hidden="1" customHeight="1">
      <c r="A4021" s="896"/>
      <c r="B4021" s="980"/>
      <c r="C4021" s="957">
        <v>1</v>
      </c>
      <c r="D4021" s="958" t="s">
        <v>273</v>
      </c>
      <c r="E4021" s="1268">
        <v>1</v>
      </c>
      <c r="F4021" s="960">
        <v>0</v>
      </c>
      <c r="G4021" s="960">
        <v>0</v>
      </c>
      <c r="H4021" s="960">
        <v>0</v>
      </c>
      <c r="I4021" s="1291">
        <f>ROUND(IF(AND(F4021:H4021),C4021*E4021*F4021*G4021*H4021,IF(AND(F4021,G4021),C4021*E4021*F4021*G4021,IF(AND(F4021,H4021),C4021*E4021*F4021*H4021,IF(AND(G4021,H4021),C4021*E4021*G4021*H4021,IF(F4021,C4021*E4021*F4021,IF(G4021,C4021*E4021*G4021,IF(H4021,C4021*E4021*H4021,C4021*E4021))))))),2)</f>
        <v>1</v>
      </c>
      <c r="J4021" s="909" t="s">
        <v>115</v>
      </c>
      <c r="K4021" s="902"/>
      <c r="L4021" s="896"/>
      <c r="M4021" s="902"/>
      <c r="N4021" s="900" t="s">
        <v>2297</v>
      </c>
    </row>
    <row r="4022" spans="1:14" s="910" customFormat="1" ht="16.5" hidden="1" customHeight="1">
      <c r="A4022" s="896"/>
      <c r="B4022" s="980"/>
      <c r="C4022" s="957"/>
      <c r="D4022" s="958"/>
      <c r="E4022" s="1268"/>
      <c r="F4022" s="960"/>
      <c r="G4022" s="960"/>
      <c r="H4022" s="960"/>
      <c r="I4022" s="1291"/>
      <c r="J4022" s="909"/>
      <c r="K4022" s="902"/>
      <c r="L4022" s="896"/>
      <c r="M4022" s="902"/>
      <c r="N4022" s="900" t="s">
        <v>2297</v>
      </c>
    </row>
    <row r="4023" spans="1:14" ht="15.75" hidden="1">
      <c r="A4023" s="896"/>
      <c r="B4023" s="902"/>
      <c r="C4023" s="917"/>
      <c r="D4023" s="918"/>
      <c r="E4023" s="919"/>
      <c r="F4023" s="920"/>
      <c r="G4023" s="921"/>
      <c r="H4023" s="896"/>
      <c r="I4023" s="1291"/>
      <c r="J4023" s="909" t="s">
        <v>115</v>
      </c>
      <c r="K4023" s="922">
        <f>'Ele Data'!I368</f>
        <v>1290</v>
      </c>
      <c r="L4023" s="923" t="s">
        <v>2297</v>
      </c>
      <c r="M4023" s="924">
        <f>ROUND(I4023*K4023,0)</f>
        <v>0</v>
      </c>
      <c r="N4023" s="900" t="s">
        <v>2297</v>
      </c>
    </row>
    <row r="4024" spans="1:14" ht="66" hidden="1" customHeight="1">
      <c r="A4024" s="896">
        <v>51</v>
      </c>
      <c r="B4024" s="1609" t="s">
        <v>698</v>
      </c>
      <c r="C4024" s="1609"/>
      <c r="D4024" s="1609"/>
      <c r="E4024" s="1609"/>
      <c r="F4024" s="1609"/>
      <c r="G4024" s="1609"/>
      <c r="H4024" s="1609"/>
      <c r="I4024" s="897"/>
      <c r="J4024" s="898"/>
      <c r="K4024" s="896"/>
      <c r="L4024" s="896"/>
      <c r="M4024" s="899"/>
      <c r="N4024" s="900" t="s">
        <v>2297</v>
      </c>
    </row>
    <row r="4025" spans="1:14" s="910" customFormat="1" ht="16.5" hidden="1" customHeight="1">
      <c r="A4025" s="896"/>
      <c r="B4025" s="902" t="s">
        <v>2747</v>
      </c>
      <c r="C4025" s="903"/>
      <c r="D4025" s="904"/>
      <c r="E4025" s="905"/>
      <c r="F4025" s="906"/>
      <c r="G4025" s="906"/>
      <c r="H4025" s="907"/>
      <c r="I4025" s="908"/>
      <c r="J4025" s="909"/>
      <c r="K4025" s="902"/>
      <c r="L4025" s="896"/>
      <c r="M4025" s="902"/>
      <c r="N4025" s="900" t="s">
        <v>2297</v>
      </c>
    </row>
    <row r="4026" spans="1:14" s="910" customFormat="1" ht="16.5" hidden="1" customHeight="1">
      <c r="A4026" s="896"/>
      <c r="B4026" s="980"/>
      <c r="C4026" s="957">
        <v>1</v>
      </c>
      <c r="D4026" s="958" t="s">
        <v>273</v>
      </c>
      <c r="E4026" s="1268">
        <v>2</v>
      </c>
      <c r="F4026" s="960">
        <v>0</v>
      </c>
      <c r="G4026" s="960">
        <v>0</v>
      </c>
      <c r="H4026" s="960">
        <v>0</v>
      </c>
      <c r="I4026" s="1291">
        <f>ROUND(IF(AND(F4026:H4026),C4026*E4026*F4026*G4026*H4026,IF(AND(F4026,G4026),C4026*E4026*F4026*G4026,IF(AND(F4026,H4026),C4026*E4026*F4026*H4026,IF(AND(G4026,H4026),C4026*E4026*G4026*H4026,IF(F4026,C4026*E4026*F4026,IF(G4026,C4026*E4026*G4026,IF(H4026,C4026*E4026*H4026,C4026*E4026))))))),2)</f>
        <v>2</v>
      </c>
      <c r="J4026" s="909" t="s">
        <v>115</v>
      </c>
      <c r="K4026" s="902"/>
      <c r="L4026" s="896"/>
      <c r="M4026" s="902"/>
      <c r="N4026" s="900" t="s">
        <v>2297</v>
      </c>
    </row>
    <row r="4027" spans="1:14" s="910" customFormat="1" ht="16.5" hidden="1" customHeight="1">
      <c r="A4027" s="896"/>
      <c r="B4027" s="980"/>
      <c r="C4027" s="957"/>
      <c r="D4027" s="958"/>
      <c r="E4027" s="1268"/>
      <c r="F4027" s="960"/>
      <c r="G4027" s="960"/>
      <c r="H4027" s="960"/>
      <c r="I4027" s="916"/>
      <c r="J4027" s="909"/>
      <c r="K4027" s="902"/>
      <c r="L4027" s="896"/>
      <c r="M4027" s="902"/>
      <c r="N4027" s="900" t="s">
        <v>2297</v>
      </c>
    </row>
    <row r="4028" spans="1:14" ht="15.75" hidden="1">
      <c r="A4028" s="896"/>
      <c r="B4028" s="902"/>
      <c r="C4028" s="917"/>
      <c r="D4028" s="918"/>
      <c r="E4028" s="919"/>
      <c r="F4028" s="920"/>
      <c r="G4028" s="921"/>
      <c r="H4028" s="896"/>
      <c r="I4028" s="1291"/>
      <c r="J4028" s="909" t="s">
        <v>115</v>
      </c>
      <c r="K4028" s="922">
        <f>'Ele Data'!I536</f>
        <v>2995</v>
      </c>
      <c r="L4028" s="923" t="s">
        <v>2297</v>
      </c>
      <c r="M4028" s="924">
        <f>ROUND(I4028*K4028,0)</f>
        <v>0</v>
      </c>
      <c r="N4028" s="900" t="s">
        <v>2297</v>
      </c>
    </row>
    <row r="4029" spans="1:14" ht="44.25" hidden="1" customHeight="1">
      <c r="A4029" s="896">
        <v>52</v>
      </c>
      <c r="B4029" s="1609" t="s">
        <v>941</v>
      </c>
      <c r="C4029" s="1609"/>
      <c r="D4029" s="1609"/>
      <c r="E4029" s="1609"/>
      <c r="F4029" s="1609"/>
      <c r="G4029" s="1609"/>
      <c r="H4029" s="1609"/>
      <c r="I4029" s="897"/>
      <c r="J4029" s="898"/>
      <c r="K4029" s="896"/>
      <c r="L4029" s="896"/>
      <c r="M4029" s="899"/>
      <c r="N4029" s="900" t="s">
        <v>2297</v>
      </c>
    </row>
    <row r="4030" spans="1:14" s="910" customFormat="1" ht="16.5" hidden="1" customHeight="1">
      <c r="A4030" s="896"/>
      <c r="B4030" s="902" t="s">
        <v>2747</v>
      </c>
      <c r="C4030" s="903"/>
      <c r="D4030" s="904"/>
      <c r="E4030" s="905"/>
      <c r="F4030" s="906"/>
      <c r="G4030" s="906"/>
      <c r="H4030" s="907"/>
      <c r="I4030" s="908"/>
      <c r="J4030" s="909"/>
      <c r="K4030" s="902"/>
      <c r="L4030" s="896"/>
      <c r="M4030" s="902"/>
      <c r="N4030" s="900" t="s">
        <v>2297</v>
      </c>
    </row>
    <row r="4031" spans="1:14" s="910" customFormat="1" ht="16.5" hidden="1" customHeight="1">
      <c r="A4031" s="896"/>
      <c r="B4031" s="980"/>
      <c r="C4031" s="957">
        <v>1</v>
      </c>
      <c r="D4031" s="958" t="s">
        <v>273</v>
      </c>
      <c r="E4031" s="1268">
        <v>1</v>
      </c>
      <c r="F4031" s="960">
        <v>0</v>
      </c>
      <c r="G4031" s="960">
        <v>0</v>
      </c>
      <c r="H4031" s="960">
        <v>0</v>
      </c>
      <c r="I4031" s="1291">
        <f>ROUND(IF(AND(F4031:H4031),C4031*E4031*F4031*G4031*H4031,IF(AND(F4031,G4031),C4031*E4031*F4031*G4031,IF(AND(F4031,H4031),C4031*E4031*F4031*H4031,IF(AND(G4031,H4031),C4031*E4031*G4031*H4031,IF(F4031,C4031*E4031*F4031,IF(G4031,C4031*E4031*G4031,IF(H4031,C4031*E4031*H4031,C4031*E4031))))))),2)</f>
        <v>1</v>
      </c>
      <c r="J4031" s="909" t="s">
        <v>115</v>
      </c>
      <c r="K4031" s="902"/>
      <c r="L4031" s="896"/>
      <c r="M4031" s="902"/>
      <c r="N4031" s="900" t="s">
        <v>2297</v>
      </c>
    </row>
    <row r="4032" spans="1:14" s="910" customFormat="1" ht="16.5" hidden="1" customHeight="1">
      <c r="A4032" s="896"/>
      <c r="B4032" s="980"/>
      <c r="C4032" s="957"/>
      <c r="D4032" s="958"/>
      <c r="E4032" s="1268"/>
      <c r="F4032" s="960"/>
      <c r="G4032" s="960"/>
      <c r="H4032" s="960"/>
      <c r="I4032" s="916"/>
      <c r="J4032" s="909"/>
      <c r="K4032" s="902"/>
      <c r="L4032" s="896"/>
      <c r="M4032" s="902"/>
      <c r="N4032" s="900" t="s">
        <v>2297</v>
      </c>
    </row>
    <row r="4033" spans="1:14" ht="15.75" hidden="1">
      <c r="A4033" s="896"/>
      <c r="B4033" s="902"/>
      <c r="C4033" s="917"/>
      <c r="D4033" s="918"/>
      <c r="E4033" s="919"/>
      <c r="F4033" s="920"/>
      <c r="G4033" s="921"/>
      <c r="H4033" s="896"/>
      <c r="I4033" s="1291"/>
      <c r="J4033" s="909" t="s">
        <v>115</v>
      </c>
      <c r="K4033" s="922">
        <f>'Ele Data'!I546</f>
        <v>905</v>
      </c>
      <c r="L4033" s="923" t="s">
        <v>2297</v>
      </c>
      <c r="M4033" s="924">
        <f>ROUND(I4033*K4033,0)</f>
        <v>0</v>
      </c>
      <c r="N4033" s="900" t="s">
        <v>2297</v>
      </c>
    </row>
    <row r="4034" spans="1:14" ht="78" hidden="1" customHeight="1">
      <c r="A4034" s="896">
        <v>53</v>
      </c>
      <c r="B4034" s="1609" t="s">
        <v>450</v>
      </c>
      <c r="C4034" s="1609"/>
      <c r="D4034" s="1609"/>
      <c r="E4034" s="1609"/>
      <c r="F4034" s="1609"/>
      <c r="G4034" s="1609"/>
      <c r="H4034" s="1609"/>
      <c r="I4034" s="897"/>
      <c r="J4034" s="898"/>
      <c r="K4034" s="896"/>
      <c r="L4034" s="896"/>
      <c r="M4034" s="899"/>
      <c r="N4034" s="900" t="s">
        <v>2297</v>
      </c>
    </row>
    <row r="4035" spans="1:14" s="910" customFormat="1" ht="16.5" hidden="1" customHeight="1">
      <c r="A4035" s="896"/>
      <c r="B4035" s="902" t="s">
        <v>2746</v>
      </c>
      <c r="C4035" s="903"/>
      <c r="D4035" s="904"/>
      <c r="E4035" s="905"/>
      <c r="F4035" s="906"/>
      <c r="G4035" s="906"/>
      <c r="H4035" s="907"/>
      <c r="I4035" s="908"/>
      <c r="J4035" s="909"/>
      <c r="K4035" s="902"/>
      <c r="L4035" s="896"/>
      <c r="M4035" s="902"/>
      <c r="N4035" s="900" t="s">
        <v>2297</v>
      </c>
    </row>
    <row r="4036" spans="1:14" s="910" customFormat="1" ht="16.5" hidden="1" customHeight="1">
      <c r="A4036" s="896"/>
      <c r="B4036" s="980"/>
      <c r="C4036" s="957">
        <v>1</v>
      </c>
      <c r="D4036" s="958" t="s">
        <v>273</v>
      </c>
      <c r="E4036" s="1268">
        <v>1</v>
      </c>
      <c r="F4036" s="960">
        <v>0</v>
      </c>
      <c r="G4036" s="960">
        <v>0</v>
      </c>
      <c r="H4036" s="960">
        <v>0</v>
      </c>
      <c r="I4036" s="1291">
        <f>ROUND(IF(AND(F4036:H4036),C4036*E4036*F4036*G4036*H4036,IF(AND(F4036,G4036),C4036*E4036*F4036*G4036,IF(AND(F4036,H4036),C4036*E4036*F4036*H4036,IF(AND(G4036,H4036),C4036*E4036*G4036*H4036,IF(F4036,C4036*E4036*F4036,IF(G4036,C4036*E4036*G4036,IF(H4036,C4036*E4036*H4036,C4036*E4036))))))),2)</f>
        <v>1</v>
      </c>
      <c r="J4036" s="909" t="s">
        <v>115</v>
      </c>
      <c r="K4036" s="902"/>
      <c r="L4036" s="896"/>
      <c r="M4036" s="902"/>
      <c r="N4036" s="900" t="s">
        <v>2297</v>
      </c>
    </row>
    <row r="4037" spans="1:14" s="910" customFormat="1" ht="16.5" hidden="1" customHeight="1">
      <c r="A4037" s="896"/>
      <c r="B4037" s="980"/>
      <c r="C4037" s="957"/>
      <c r="D4037" s="958"/>
      <c r="E4037" s="1268"/>
      <c r="F4037" s="960"/>
      <c r="G4037" s="960"/>
      <c r="H4037" s="960"/>
      <c r="I4037" s="1291"/>
      <c r="J4037" s="909"/>
      <c r="K4037" s="902"/>
      <c r="L4037" s="896"/>
      <c r="M4037" s="902"/>
      <c r="N4037" s="900" t="s">
        <v>2297</v>
      </c>
    </row>
    <row r="4038" spans="1:14" ht="15.75" hidden="1">
      <c r="A4038" s="896"/>
      <c r="B4038" s="902"/>
      <c r="C4038" s="917"/>
      <c r="D4038" s="918"/>
      <c r="E4038" s="919"/>
      <c r="F4038" s="920"/>
      <c r="G4038" s="921"/>
      <c r="H4038" s="896"/>
      <c r="I4038" s="1291"/>
      <c r="J4038" s="909" t="s">
        <v>115</v>
      </c>
      <c r="K4038" s="922">
        <f>'Ele Data'!I565</f>
        <v>3432.82</v>
      </c>
      <c r="L4038" s="923" t="s">
        <v>2297</v>
      </c>
      <c r="M4038" s="924">
        <f>ROUND(I4038*K4038,0)</f>
        <v>0</v>
      </c>
      <c r="N4038" s="900" t="s">
        <v>2297</v>
      </c>
    </row>
    <row r="4039" spans="1:14" s="1253" customFormat="1" ht="15.75" hidden="1">
      <c r="A4039" s="967"/>
      <c r="B4039" s="967" t="s">
        <v>2212</v>
      </c>
      <c r="C4039" s="967"/>
      <c r="D4039" s="967"/>
      <c r="E4039" s="967"/>
      <c r="F4039" s="988"/>
      <c r="G4039" s="988"/>
      <c r="H4039" s="967"/>
      <c r="I4039" s="1261"/>
      <c r="J4039" s="1262"/>
      <c r="K4039" s="967"/>
      <c r="L4039" s="967"/>
      <c r="M4039" s="967"/>
      <c r="N4039" s="900" t="s">
        <v>2308</v>
      </c>
    </row>
    <row r="4040" spans="1:14" ht="56.25" hidden="1" customHeight="1">
      <c r="A4040" s="896">
        <v>2</v>
      </c>
      <c r="B4040" s="1609" t="s">
        <v>585</v>
      </c>
      <c r="C4040" s="1609"/>
      <c r="D4040" s="1609"/>
      <c r="E4040" s="1609"/>
      <c r="F4040" s="1609"/>
      <c r="G4040" s="1609"/>
      <c r="H4040" s="1609"/>
      <c r="I4040" s="897"/>
      <c r="J4040" s="898"/>
      <c r="K4040" s="896"/>
      <c r="L4040" s="896"/>
      <c r="M4040" s="899"/>
      <c r="N4040" s="900" t="s">
        <v>2308</v>
      </c>
    </row>
    <row r="4041" spans="1:14" s="910" customFormat="1" ht="16.5" hidden="1" customHeight="1">
      <c r="A4041" s="896"/>
      <c r="B4041" s="902" t="s">
        <v>2315</v>
      </c>
      <c r="C4041" s="1338"/>
      <c r="D4041" s="1339"/>
      <c r="E4041" s="1340"/>
      <c r="F4041" s="1341"/>
      <c r="G4041" s="906"/>
      <c r="H4041" s="907"/>
      <c r="I4041" s="908"/>
      <c r="J4041" s="909"/>
      <c r="K4041" s="902"/>
      <c r="L4041" s="896"/>
      <c r="M4041" s="902"/>
      <c r="N4041" s="900" t="s">
        <v>2308</v>
      </c>
    </row>
    <row r="4042" spans="1:14" s="910" customFormat="1" ht="16.5" hidden="1" customHeight="1">
      <c r="A4042" s="896"/>
      <c r="B4042" s="1329" t="s">
        <v>650</v>
      </c>
      <c r="C4042" s="1330">
        <v>1</v>
      </c>
      <c r="D4042" s="1331" t="s">
        <v>273</v>
      </c>
      <c r="E4042" s="1332">
        <v>1</v>
      </c>
      <c r="F4042" s="1333">
        <v>8.5</v>
      </c>
      <c r="G4042" s="915">
        <v>0</v>
      </c>
      <c r="H4042" s="915">
        <v>0</v>
      </c>
      <c r="I4042" s="916">
        <f>ROUND(IF(AND(F4042:H4042),C4042*E4042*F4042*G4042*H4042,IF(AND(F4042,G4042),C4042*E4042*F4042*G4042,IF(AND(F4042,H4042),C4042*E4042*F4042*H4042,IF(AND(G4042,H4042),C4042*E4042*G4042*H4042,IF(F4042,C4042*E4042*F4042,IF(G4042,C4042*E4042*G4042,IF(H4042,C4042*E4042*H4042,C4042*E4042))))))),2)</f>
        <v>8.5</v>
      </c>
      <c r="J4042" s="909" t="s">
        <v>277</v>
      </c>
      <c r="K4042" s="902"/>
      <c r="L4042" s="896"/>
      <c r="M4042" s="902"/>
      <c r="N4042" s="900" t="s">
        <v>2308</v>
      </c>
    </row>
    <row r="4043" spans="1:14" s="910" customFormat="1" ht="16.5" hidden="1" customHeight="1">
      <c r="A4043" s="896"/>
      <c r="B4043" s="1329"/>
      <c r="C4043" s="1334"/>
      <c r="D4043" s="1335"/>
      <c r="E4043" s="1336"/>
      <c r="F4043" s="1337"/>
      <c r="G4043" s="960"/>
      <c r="H4043" s="960"/>
      <c r="I4043" s="916"/>
      <c r="J4043" s="909"/>
      <c r="K4043" s="902"/>
      <c r="L4043" s="896"/>
      <c r="M4043" s="902"/>
      <c r="N4043" s="900" t="s">
        <v>2308</v>
      </c>
    </row>
    <row r="4044" spans="1:14" ht="15.75" hidden="1">
      <c r="A4044" s="896"/>
      <c r="B4044" s="902"/>
      <c r="C4044" s="917"/>
      <c r="D4044" s="918"/>
      <c r="E4044" s="919"/>
      <c r="F4044" s="920"/>
      <c r="G4044" s="921"/>
      <c r="H4044" s="896"/>
      <c r="I4044" s="916"/>
      <c r="J4044" s="909" t="s">
        <v>277</v>
      </c>
      <c r="K4044" s="922">
        <f>'Ele Data'!I584</f>
        <v>69.88</v>
      </c>
      <c r="L4044" s="923" t="s">
        <v>2308</v>
      </c>
      <c r="M4044" s="924">
        <f>ROUND(I4044*K4044,0)</f>
        <v>0</v>
      </c>
      <c r="N4044" s="900" t="s">
        <v>2308</v>
      </c>
    </row>
    <row r="4045" spans="1:14" ht="56.25" hidden="1" customHeight="1">
      <c r="A4045" s="896">
        <v>42</v>
      </c>
      <c r="B4045" s="1609" t="s">
        <v>307</v>
      </c>
      <c r="C4045" s="1609"/>
      <c r="D4045" s="1609"/>
      <c r="E4045" s="1609"/>
      <c r="F4045" s="1609"/>
      <c r="G4045" s="1609"/>
      <c r="H4045" s="1609"/>
      <c r="I4045" s="897"/>
      <c r="J4045" s="898"/>
      <c r="K4045" s="896"/>
      <c r="L4045" s="896"/>
      <c r="M4045" s="899"/>
      <c r="N4045" s="900" t="s">
        <v>2308</v>
      </c>
    </row>
    <row r="4046" spans="1:14" s="910" customFormat="1" ht="16.5" hidden="1" customHeight="1">
      <c r="A4046" s="896"/>
      <c r="B4046" s="902" t="s">
        <v>3655</v>
      </c>
      <c r="C4046" s="903"/>
      <c r="D4046" s="954" t="s">
        <v>3817</v>
      </c>
      <c r="E4046" s="905"/>
      <c r="F4046" s="906"/>
      <c r="G4046" s="906"/>
      <c r="H4046" s="907"/>
      <c r="I4046" s="908"/>
      <c r="J4046" s="909"/>
      <c r="K4046" s="902"/>
      <c r="L4046" s="896"/>
      <c r="M4046" s="902"/>
      <c r="N4046" s="900" t="s">
        <v>2308</v>
      </c>
    </row>
    <row r="4047" spans="1:14" s="910" customFormat="1" ht="16.5" hidden="1" customHeight="1">
      <c r="A4047" s="896"/>
      <c r="B4047" s="1297"/>
      <c r="C4047" s="1298">
        <v>1</v>
      </c>
      <c r="D4047" s="1299" t="s">
        <v>273</v>
      </c>
      <c r="E4047" s="1300">
        <v>1</v>
      </c>
      <c r="F4047" s="1301">
        <v>40</v>
      </c>
      <c r="G4047" s="1301">
        <v>0</v>
      </c>
      <c r="H4047" s="1301">
        <v>0</v>
      </c>
      <c r="I4047" s="916">
        <f t="shared" ref="I4047" si="219">ROUND(IF(AND(F4047:H4047),C4047*E4047*F4047*G4047*H4047,IF(AND(F4047,G4047),C4047*E4047*F4047*G4047,IF(AND(F4047,H4047),C4047*E4047*F4047*H4047,IF(AND(G4047,H4047),C4047*E4047*G4047*H4047,IF(F4047,C4047*E4047*F4047,IF(G4047,C4047*E4047*G4047,IF(H4047,C4047*E4047*H4047,C4047*E4047))))))),2)</f>
        <v>40</v>
      </c>
      <c r="J4047" s="909" t="s">
        <v>277</v>
      </c>
      <c r="K4047" s="902"/>
      <c r="L4047" s="896"/>
      <c r="M4047" s="902"/>
      <c r="N4047" s="900" t="s">
        <v>2308</v>
      </c>
    </row>
    <row r="4048" spans="1:14" s="910" customFormat="1" ht="16.5" hidden="1" customHeight="1">
      <c r="A4048" s="896"/>
      <c r="B4048" s="956"/>
      <c r="C4048" s="957"/>
      <c r="D4048" s="958"/>
      <c r="E4048" s="1268"/>
      <c r="F4048" s="960"/>
      <c r="G4048" s="960"/>
      <c r="H4048" s="960"/>
      <c r="I4048" s="916"/>
      <c r="J4048" s="909"/>
      <c r="K4048" s="902"/>
      <c r="L4048" s="896"/>
      <c r="M4048" s="902"/>
      <c r="N4048" s="900" t="s">
        <v>2308</v>
      </c>
    </row>
    <row r="4049" spans="1:14" ht="15.75" hidden="1">
      <c r="A4049" s="896"/>
      <c r="B4049" s="902"/>
      <c r="C4049" s="917"/>
      <c r="D4049" s="918"/>
      <c r="E4049" s="919"/>
      <c r="F4049" s="920"/>
      <c r="G4049" s="921"/>
      <c r="H4049" s="896"/>
      <c r="I4049" s="916"/>
      <c r="J4049" s="909" t="s">
        <v>277</v>
      </c>
      <c r="K4049" s="922">
        <f>'Ele Data'!I599</f>
        <v>79.430000000000007</v>
      </c>
      <c r="L4049" s="923" t="s">
        <v>2308</v>
      </c>
      <c r="M4049" s="924">
        <f>ROUND(I4049*K4049,0)</f>
        <v>0</v>
      </c>
      <c r="N4049" s="900" t="s">
        <v>2308</v>
      </c>
    </row>
    <row r="4050" spans="1:14" ht="17.25" hidden="1" customHeight="1">
      <c r="A4050" s="896">
        <v>3</v>
      </c>
      <c r="B4050" s="1609" t="s">
        <v>389</v>
      </c>
      <c r="C4050" s="1609"/>
      <c r="D4050" s="1609"/>
      <c r="E4050" s="1609"/>
      <c r="F4050" s="1609"/>
      <c r="G4050" s="1609"/>
      <c r="H4050" s="1609"/>
      <c r="I4050" s="897"/>
      <c r="J4050" s="898"/>
      <c r="K4050" s="896"/>
      <c r="L4050" s="896"/>
      <c r="M4050" s="899"/>
      <c r="N4050" s="900" t="s">
        <v>2308</v>
      </c>
    </row>
    <row r="4051" spans="1:14" s="910" customFormat="1" ht="16.5" hidden="1" customHeight="1">
      <c r="A4051" s="896"/>
      <c r="B4051" s="1274" t="s">
        <v>740</v>
      </c>
      <c r="C4051" s="903"/>
      <c r="D4051" s="904"/>
      <c r="E4051" s="905"/>
      <c r="F4051" s="906"/>
      <c r="G4051" s="906"/>
      <c r="H4051" s="907"/>
      <c r="I4051" s="908"/>
      <c r="J4051" s="909"/>
      <c r="K4051" s="902"/>
      <c r="L4051" s="896"/>
      <c r="M4051" s="902"/>
      <c r="N4051" s="900" t="s">
        <v>2308</v>
      </c>
    </row>
    <row r="4052" spans="1:14" s="910" customFormat="1" ht="16.5" hidden="1" customHeight="1">
      <c r="A4052" s="896"/>
      <c r="B4052" s="956" t="s">
        <v>687</v>
      </c>
      <c r="C4052" s="957"/>
      <c r="D4052" s="958"/>
      <c r="E4052" s="1268"/>
      <c r="F4052" s="960"/>
      <c r="G4052" s="960"/>
      <c r="H4052" s="960"/>
      <c r="I4052" s="916"/>
      <c r="J4052" s="909"/>
      <c r="K4052" s="902"/>
      <c r="L4052" s="896"/>
      <c r="M4052" s="902"/>
      <c r="N4052" s="900" t="s">
        <v>2308</v>
      </c>
    </row>
    <row r="4053" spans="1:14" s="910" customFormat="1" ht="16.5" hidden="1" customHeight="1">
      <c r="A4053" s="896"/>
      <c r="B4053" s="956" t="s">
        <v>659</v>
      </c>
      <c r="C4053" s="957">
        <v>1</v>
      </c>
      <c r="D4053" s="958" t="s">
        <v>273</v>
      </c>
      <c r="E4053" s="1268">
        <v>1</v>
      </c>
      <c r="F4053" s="960">
        <v>4</v>
      </c>
      <c r="G4053" s="960">
        <v>0</v>
      </c>
      <c r="H4053" s="960">
        <v>0</v>
      </c>
      <c r="I4053" s="916">
        <f>ROUND(IF(AND(F4053:H4053),C4053*E4053*F4053*G4053*H4053,IF(AND(F4053,G4053),C4053*E4053*F4053*G4053,IF(AND(F4053,H4053),C4053*E4053*F4053*H4053,IF(AND(G4053,H4053),C4053*E4053*G4053*H4053,IF(F4053,C4053*E4053*F4053,IF(G4053,C4053*E4053*G4053,IF(H4053,C4053*E4053*H4053,C4053*E4053))))))),2)</f>
        <v>4</v>
      </c>
      <c r="J4053" s="909" t="s">
        <v>277</v>
      </c>
      <c r="K4053" s="902"/>
      <c r="L4053" s="896"/>
      <c r="M4053" s="902"/>
      <c r="N4053" s="900" t="s">
        <v>2308</v>
      </c>
    </row>
    <row r="4054" spans="1:14" s="910" customFormat="1" ht="16.5" hidden="1" customHeight="1">
      <c r="A4054" s="896"/>
      <c r="B4054" s="980" t="s">
        <v>688</v>
      </c>
      <c r="C4054" s="957">
        <v>1</v>
      </c>
      <c r="D4054" s="958" t="s">
        <v>273</v>
      </c>
      <c r="E4054" s="1268">
        <v>1</v>
      </c>
      <c r="F4054" s="960">
        <v>1.8</v>
      </c>
      <c r="G4054" s="960">
        <v>0</v>
      </c>
      <c r="H4054" s="960">
        <v>0</v>
      </c>
      <c r="I4054" s="916">
        <f>ROUND(IF(AND(F4054:H4054),C4054*E4054*F4054*G4054*H4054,IF(AND(F4054,G4054),C4054*E4054*F4054*G4054,IF(AND(F4054,H4054),C4054*E4054*F4054*H4054,IF(AND(G4054,H4054),C4054*E4054*G4054*H4054,IF(F4054,C4054*E4054*F4054,IF(G4054,C4054*E4054*G4054,IF(H4054,C4054*E4054*H4054,C4054*E4054))))))),2)</f>
        <v>1.8</v>
      </c>
      <c r="J4054" s="909" t="s">
        <v>277</v>
      </c>
      <c r="K4054" s="902"/>
      <c r="L4054" s="896"/>
      <c r="M4054" s="902"/>
      <c r="N4054" s="900" t="s">
        <v>2308</v>
      </c>
    </row>
    <row r="4055" spans="1:14" s="910" customFormat="1" ht="16.5" hidden="1" customHeight="1">
      <c r="A4055" s="896"/>
      <c r="B4055" s="956" t="s">
        <v>689</v>
      </c>
      <c r="C4055" s="957">
        <v>1</v>
      </c>
      <c r="D4055" s="958" t="s">
        <v>273</v>
      </c>
      <c r="E4055" s="1268">
        <v>1</v>
      </c>
      <c r="F4055" s="960">
        <v>2</v>
      </c>
      <c r="G4055" s="960">
        <v>0</v>
      </c>
      <c r="H4055" s="960">
        <v>0</v>
      </c>
      <c r="I4055" s="916">
        <f>ROUND(IF(AND(F4055:H4055),C4055*E4055*F4055*G4055*H4055,IF(AND(F4055,G4055),C4055*E4055*F4055*G4055,IF(AND(F4055,H4055),C4055*E4055*F4055*H4055,IF(AND(G4055,H4055),C4055*E4055*G4055*H4055,IF(F4055,C4055*E4055*F4055,IF(G4055,C4055*E4055*G4055,IF(H4055,C4055*E4055*H4055,C4055*E4055))))))),2)</f>
        <v>2</v>
      </c>
      <c r="J4055" s="909" t="s">
        <v>277</v>
      </c>
      <c r="K4055" s="902"/>
      <c r="L4055" s="896"/>
      <c r="M4055" s="902"/>
      <c r="N4055" s="900" t="s">
        <v>2308</v>
      </c>
    </row>
    <row r="4056" spans="1:14" s="910" customFormat="1" ht="16.5" hidden="1" customHeight="1">
      <c r="A4056" s="896"/>
      <c r="B4056" s="956"/>
      <c r="C4056" s="957"/>
      <c r="D4056" s="958"/>
      <c r="E4056" s="1268"/>
      <c r="F4056" s="960"/>
      <c r="G4056" s="960"/>
      <c r="H4056" s="960"/>
      <c r="I4056" s="916"/>
      <c r="J4056" s="909"/>
      <c r="K4056" s="902"/>
      <c r="L4056" s="896"/>
      <c r="M4056" s="902"/>
      <c r="N4056" s="900" t="s">
        <v>2308</v>
      </c>
    </row>
    <row r="4057" spans="1:14" ht="15.75" hidden="1">
      <c r="A4057" s="896"/>
      <c r="B4057" s="902"/>
      <c r="C4057" s="917"/>
      <c r="D4057" s="918"/>
      <c r="E4057" s="919"/>
      <c r="F4057" s="920"/>
      <c r="G4057" s="921"/>
      <c r="H4057" s="896"/>
      <c r="I4057" s="916"/>
      <c r="J4057" s="909" t="s">
        <v>277</v>
      </c>
      <c r="K4057" s="922">
        <f>'Ele Data'!I603</f>
        <v>58</v>
      </c>
      <c r="L4057" s="923" t="s">
        <v>2308</v>
      </c>
      <c r="M4057" s="924">
        <f>ROUND(I4057*K4057,0)</f>
        <v>0</v>
      </c>
      <c r="N4057" s="900" t="s">
        <v>2308</v>
      </c>
    </row>
    <row r="4058" spans="1:14" ht="27" hidden="1" customHeight="1">
      <c r="A4058" s="896">
        <v>43</v>
      </c>
      <c r="B4058" s="1609" t="s">
        <v>427</v>
      </c>
      <c r="C4058" s="1609"/>
      <c r="D4058" s="1609"/>
      <c r="E4058" s="1609"/>
      <c r="F4058" s="1609"/>
      <c r="G4058" s="1609"/>
      <c r="H4058" s="1609"/>
      <c r="I4058" s="897"/>
      <c r="J4058" s="898"/>
      <c r="K4058" s="896"/>
      <c r="L4058" s="896"/>
      <c r="M4058" s="899"/>
      <c r="N4058" s="900" t="s">
        <v>2308</v>
      </c>
    </row>
    <row r="4059" spans="1:14" s="910" customFormat="1" ht="16.5" hidden="1" customHeight="1">
      <c r="A4059" s="896"/>
      <c r="B4059" s="902" t="s">
        <v>3655</v>
      </c>
      <c r="C4059" s="903"/>
      <c r="D4059" s="954" t="s">
        <v>3817</v>
      </c>
      <c r="E4059" s="905"/>
      <c r="F4059" s="906"/>
      <c r="G4059" s="906"/>
      <c r="H4059" s="907"/>
      <c r="I4059" s="908"/>
      <c r="J4059" s="909"/>
      <c r="K4059" s="902"/>
      <c r="L4059" s="896"/>
      <c r="M4059" s="902"/>
      <c r="N4059" s="900" t="s">
        <v>2308</v>
      </c>
    </row>
    <row r="4060" spans="1:14" s="910" customFormat="1" ht="16.5" hidden="1" customHeight="1">
      <c r="A4060" s="896"/>
      <c r="B4060" s="980" t="s">
        <v>584</v>
      </c>
      <c r="C4060" s="1298">
        <v>1</v>
      </c>
      <c r="D4060" s="1299" t="s">
        <v>273</v>
      </c>
      <c r="E4060" s="1300">
        <v>11</v>
      </c>
      <c r="F4060" s="1301">
        <v>0</v>
      </c>
      <c r="G4060" s="1301">
        <v>0</v>
      </c>
      <c r="H4060" s="1301">
        <v>0</v>
      </c>
      <c r="I4060" s="1291">
        <f t="shared" ref="I4060" si="220">ROUND(IF(AND(F4060:H4060),C4060*E4060*F4060*G4060*H4060,IF(AND(F4060,G4060),C4060*E4060*F4060*G4060,IF(AND(F4060,H4060),C4060*E4060*F4060*H4060,IF(AND(G4060,H4060),C4060*E4060*G4060*H4060,IF(F4060,C4060*E4060*F4060,IF(G4060,C4060*E4060*G4060,IF(H4060,C4060*E4060*H4060,C4060*E4060))))))),2)</f>
        <v>11</v>
      </c>
      <c r="J4060" s="909" t="s">
        <v>115</v>
      </c>
      <c r="K4060" s="902"/>
      <c r="L4060" s="896"/>
      <c r="M4060" s="902"/>
      <c r="N4060" s="900" t="s">
        <v>2308</v>
      </c>
    </row>
    <row r="4061" spans="1:14" s="910" customFormat="1" ht="16.5" hidden="1" customHeight="1">
      <c r="A4061" s="896"/>
      <c r="B4061" s="980"/>
      <c r="C4061" s="957"/>
      <c r="D4061" s="958"/>
      <c r="E4061" s="1268"/>
      <c r="F4061" s="960"/>
      <c r="G4061" s="960"/>
      <c r="H4061" s="960"/>
      <c r="I4061" s="1291"/>
      <c r="J4061" s="909"/>
      <c r="K4061" s="902"/>
      <c r="L4061" s="896"/>
      <c r="M4061" s="902"/>
      <c r="N4061" s="900" t="s">
        <v>2308</v>
      </c>
    </row>
    <row r="4062" spans="1:14" ht="15.75" hidden="1">
      <c r="A4062" s="896"/>
      <c r="B4062" s="902"/>
      <c r="C4062" s="917"/>
      <c r="D4062" s="918"/>
      <c r="E4062" s="919"/>
      <c r="F4062" s="920"/>
      <c r="G4062" s="921"/>
      <c r="H4062" s="896"/>
      <c r="I4062" s="1291"/>
      <c r="J4062" s="909" t="s">
        <v>115</v>
      </c>
      <c r="K4062" s="922">
        <f>'Ele Data'!I606</f>
        <v>226</v>
      </c>
      <c r="L4062" s="923" t="s">
        <v>2308</v>
      </c>
      <c r="M4062" s="924">
        <f>ROUND(I4062*K4062,0)</f>
        <v>0</v>
      </c>
      <c r="N4062" s="900" t="s">
        <v>2308</v>
      </c>
    </row>
    <row r="4063" spans="1:14" ht="27" hidden="1" customHeight="1">
      <c r="A4063" s="896">
        <v>4</v>
      </c>
      <c r="B4063" s="1609" t="s">
        <v>610</v>
      </c>
      <c r="C4063" s="1609"/>
      <c r="D4063" s="1609"/>
      <c r="E4063" s="1609"/>
      <c r="F4063" s="1609"/>
      <c r="G4063" s="1609"/>
      <c r="H4063" s="1609"/>
      <c r="I4063" s="897"/>
      <c r="J4063" s="898"/>
      <c r="K4063" s="896"/>
      <c r="L4063" s="896"/>
      <c r="M4063" s="899"/>
      <c r="N4063" s="900" t="s">
        <v>2308</v>
      </c>
    </row>
    <row r="4064" spans="1:14" s="910" customFormat="1" ht="16.5" hidden="1" customHeight="1">
      <c r="A4064" s="896"/>
      <c r="B4064" s="902" t="s">
        <v>2316</v>
      </c>
      <c r="C4064" s="903"/>
      <c r="D4064" s="904"/>
      <c r="E4064" s="905"/>
      <c r="F4064" s="906"/>
      <c r="G4064" s="906"/>
      <c r="H4064" s="907"/>
      <c r="I4064" s="908"/>
      <c r="J4064" s="909"/>
      <c r="K4064" s="902"/>
      <c r="L4064" s="896"/>
      <c r="M4064" s="902"/>
      <c r="N4064" s="900" t="s">
        <v>2308</v>
      </c>
    </row>
    <row r="4065" spans="1:14" s="910" customFormat="1" ht="16.5" hidden="1" customHeight="1">
      <c r="A4065" s="896"/>
      <c r="B4065" s="980" t="s">
        <v>2080</v>
      </c>
      <c r="C4065" s="957">
        <v>1</v>
      </c>
      <c r="D4065" s="958" t="s">
        <v>273</v>
      </c>
      <c r="E4065" s="1268">
        <v>4</v>
      </c>
      <c r="F4065" s="960">
        <v>0</v>
      </c>
      <c r="G4065" s="960">
        <v>0</v>
      </c>
      <c r="H4065" s="960">
        <v>0</v>
      </c>
      <c r="I4065" s="1291">
        <f>ROUND(IF(AND(F4065:H4065),C4065*E4065*F4065*G4065*H4065,IF(AND(F4065,G4065),C4065*E4065*F4065*G4065,IF(AND(F4065,H4065),C4065*E4065*F4065*H4065,IF(AND(G4065,H4065),C4065*E4065*G4065*H4065,IF(F4065,C4065*E4065*F4065,IF(G4065,C4065*E4065*G4065,IF(H4065,C4065*E4065*H4065,C4065*E4065))))))),2)</f>
        <v>4</v>
      </c>
      <c r="J4065" s="909" t="s">
        <v>115</v>
      </c>
      <c r="K4065" s="902"/>
      <c r="L4065" s="896"/>
      <c r="M4065" s="902"/>
      <c r="N4065" s="900" t="s">
        <v>2308</v>
      </c>
    </row>
    <row r="4066" spans="1:14" s="910" customFormat="1" ht="16.5" hidden="1" customHeight="1">
      <c r="A4066" s="896"/>
      <c r="B4066" s="980"/>
      <c r="C4066" s="957"/>
      <c r="D4066" s="958"/>
      <c r="E4066" s="1268"/>
      <c r="F4066" s="960"/>
      <c r="G4066" s="960"/>
      <c r="H4066" s="960"/>
      <c r="I4066" s="916"/>
      <c r="J4066" s="909"/>
      <c r="K4066" s="902"/>
      <c r="L4066" s="896"/>
      <c r="M4066" s="902"/>
      <c r="N4066" s="900" t="s">
        <v>2308</v>
      </c>
    </row>
    <row r="4067" spans="1:14" ht="15.75" hidden="1">
      <c r="A4067" s="896"/>
      <c r="B4067" s="902"/>
      <c r="C4067" s="917"/>
      <c r="D4067" s="918"/>
      <c r="E4067" s="919"/>
      <c r="F4067" s="920"/>
      <c r="G4067" s="921"/>
      <c r="H4067" s="896"/>
      <c r="I4067" s="1291"/>
      <c r="J4067" s="909" t="s">
        <v>115</v>
      </c>
      <c r="K4067" s="922">
        <f>'Ele Data'!I609</f>
        <v>187</v>
      </c>
      <c r="L4067" s="923" t="s">
        <v>2308</v>
      </c>
      <c r="M4067" s="924">
        <f>ROUND(I4067*K4067,0)</f>
        <v>0</v>
      </c>
      <c r="N4067" s="900" t="s">
        <v>2308</v>
      </c>
    </row>
    <row r="4068" spans="1:14" ht="27" hidden="1" customHeight="1">
      <c r="A4068" s="896">
        <v>5</v>
      </c>
      <c r="B4068" s="1609" t="s">
        <v>690</v>
      </c>
      <c r="C4068" s="1609"/>
      <c r="D4068" s="1609"/>
      <c r="E4068" s="1609"/>
      <c r="F4068" s="1609"/>
      <c r="G4068" s="1609"/>
      <c r="H4068" s="1609"/>
      <c r="I4068" s="897"/>
      <c r="J4068" s="898"/>
      <c r="K4068" s="896"/>
      <c r="L4068" s="896"/>
      <c r="M4068" s="899"/>
      <c r="N4068" s="900" t="s">
        <v>2308</v>
      </c>
    </row>
    <row r="4069" spans="1:14" s="910" customFormat="1" ht="16.5" hidden="1" customHeight="1">
      <c r="A4069" s="896"/>
      <c r="B4069" s="902" t="s">
        <v>2346</v>
      </c>
      <c r="C4069" s="903"/>
      <c r="D4069" s="904"/>
      <c r="E4069" s="905"/>
      <c r="F4069" s="906"/>
      <c r="G4069" s="906"/>
      <c r="H4069" s="907"/>
      <c r="I4069" s="908"/>
      <c r="J4069" s="909"/>
      <c r="K4069" s="902"/>
      <c r="L4069" s="896"/>
      <c r="M4069" s="902"/>
      <c r="N4069" s="900" t="s">
        <v>2308</v>
      </c>
    </row>
    <row r="4070" spans="1:14" s="910" customFormat="1" ht="16.5" hidden="1" customHeight="1">
      <c r="A4070" s="896"/>
      <c r="B4070" s="980" t="s">
        <v>2080</v>
      </c>
      <c r="C4070" s="957">
        <v>1</v>
      </c>
      <c r="D4070" s="958" t="s">
        <v>273</v>
      </c>
      <c r="E4070" s="1268">
        <v>14</v>
      </c>
      <c r="F4070" s="960">
        <v>0</v>
      </c>
      <c r="G4070" s="960">
        <v>0</v>
      </c>
      <c r="H4070" s="960">
        <v>0</v>
      </c>
      <c r="I4070" s="1291">
        <f>ROUND(IF(AND(F4070:H4070),C4070*E4070*F4070*G4070*H4070,IF(AND(F4070,G4070),C4070*E4070*F4070*G4070,IF(AND(F4070,H4070),C4070*E4070*F4070*H4070,IF(AND(G4070,H4070),C4070*E4070*G4070*H4070,IF(F4070,C4070*E4070*F4070,IF(G4070,C4070*E4070*G4070,IF(H4070,C4070*E4070*H4070,C4070*E4070))))))),2)</f>
        <v>14</v>
      </c>
      <c r="J4070" s="909" t="s">
        <v>115</v>
      </c>
      <c r="K4070" s="902"/>
      <c r="L4070" s="896"/>
      <c r="M4070" s="902"/>
      <c r="N4070" s="900" t="s">
        <v>2308</v>
      </c>
    </row>
    <row r="4071" spans="1:14" s="910" customFormat="1" ht="16.5" hidden="1" customHeight="1">
      <c r="A4071" s="896"/>
      <c r="B4071" s="980"/>
      <c r="C4071" s="957"/>
      <c r="D4071" s="958"/>
      <c r="E4071" s="1268"/>
      <c r="F4071" s="960"/>
      <c r="G4071" s="960"/>
      <c r="H4071" s="960"/>
      <c r="I4071" s="916"/>
      <c r="J4071" s="909"/>
      <c r="K4071" s="902"/>
      <c r="L4071" s="896"/>
      <c r="M4071" s="902"/>
      <c r="N4071" s="900" t="s">
        <v>2308</v>
      </c>
    </row>
    <row r="4072" spans="1:14" ht="15.75" hidden="1">
      <c r="A4072" s="896"/>
      <c r="B4072" s="902"/>
      <c r="C4072" s="917"/>
      <c r="D4072" s="918"/>
      <c r="E4072" s="919"/>
      <c r="F4072" s="920"/>
      <c r="G4072" s="921"/>
      <c r="H4072" s="896"/>
      <c r="I4072" s="1291"/>
      <c r="J4072" s="909" t="s">
        <v>115</v>
      </c>
      <c r="K4072" s="922">
        <f>'Ele Data'!I612</f>
        <v>143</v>
      </c>
      <c r="L4072" s="923" t="s">
        <v>2308</v>
      </c>
      <c r="M4072" s="924">
        <f>ROUND(I4072*K4072,0)</f>
        <v>0</v>
      </c>
      <c r="N4072" s="900" t="s">
        <v>2308</v>
      </c>
    </row>
    <row r="4073" spans="1:14" ht="27" hidden="1" customHeight="1">
      <c r="A4073" s="896">
        <v>4</v>
      </c>
      <c r="B4073" s="1609" t="s">
        <v>1510</v>
      </c>
      <c r="C4073" s="1609"/>
      <c r="D4073" s="1609"/>
      <c r="E4073" s="1609"/>
      <c r="F4073" s="1609"/>
      <c r="G4073" s="1609"/>
      <c r="H4073" s="1609"/>
      <c r="I4073" s="897"/>
      <c r="J4073" s="898"/>
      <c r="K4073" s="896"/>
      <c r="L4073" s="896"/>
      <c r="M4073" s="899"/>
      <c r="N4073" s="900" t="s">
        <v>2308</v>
      </c>
    </row>
    <row r="4074" spans="1:14" s="910" customFormat="1" ht="16.5" hidden="1" customHeight="1">
      <c r="A4074" s="896"/>
      <c r="B4074" s="902" t="s">
        <v>2347</v>
      </c>
      <c r="C4074" s="903"/>
      <c r="D4074" s="904"/>
      <c r="E4074" s="905"/>
      <c r="F4074" s="906"/>
      <c r="G4074" s="906"/>
      <c r="H4074" s="907"/>
      <c r="I4074" s="908"/>
      <c r="J4074" s="909"/>
      <c r="K4074" s="902"/>
      <c r="L4074" s="896"/>
      <c r="M4074" s="902"/>
      <c r="N4074" s="900" t="s">
        <v>2308</v>
      </c>
    </row>
    <row r="4075" spans="1:14" s="910" customFormat="1" ht="16.5" hidden="1" customHeight="1">
      <c r="A4075" s="896"/>
      <c r="B4075" s="980" t="s">
        <v>586</v>
      </c>
      <c r="C4075" s="957">
        <v>1</v>
      </c>
      <c r="D4075" s="958" t="s">
        <v>273</v>
      </c>
      <c r="E4075" s="1268">
        <v>1</v>
      </c>
      <c r="F4075" s="960">
        <v>0</v>
      </c>
      <c r="G4075" s="960">
        <v>0</v>
      </c>
      <c r="H4075" s="960">
        <v>0</v>
      </c>
      <c r="I4075" s="1291">
        <f>ROUND(IF(AND(F4075:H4075),C4075*E4075*F4075*G4075*H4075,IF(AND(F4075,G4075),C4075*E4075*F4075*G4075,IF(AND(F4075,H4075),C4075*E4075*F4075*H4075,IF(AND(G4075,H4075),C4075*E4075*G4075*H4075,IF(F4075,C4075*E4075*F4075,IF(G4075,C4075*E4075*G4075,IF(H4075,C4075*E4075*H4075,C4075*E4075))))))),2)</f>
        <v>1</v>
      </c>
      <c r="J4075" s="909" t="s">
        <v>115</v>
      </c>
      <c r="K4075" s="902"/>
      <c r="L4075" s="896"/>
      <c r="M4075" s="902"/>
      <c r="N4075" s="900" t="s">
        <v>2308</v>
      </c>
    </row>
    <row r="4076" spans="1:14" s="910" customFormat="1" ht="16.5" hidden="1" customHeight="1">
      <c r="A4076" s="896"/>
      <c r="B4076" s="980" t="s">
        <v>1493</v>
      </c>
      <c r="C4076" s="957">
        <v>1</v>
      </c>
      <c r="D4076" s="958" t="s">
        <v>273</v>
      </c>
      <c r="E4076" s="1268">
        <v>1</v>
      </c>
      <c r="F4076" s="960">
        <v>0</v>
      </c>
      <c r="G4076" s="960">
        <v>0</v>
      </c>
      <c r="H4076" s="960">
        <v>0</v>
      </c>
      <c r="I4076" s="1291">
        <f>ROUND(IF(AND(F4076:H4076),C4076*E4076*F4076*G4076*H4076,IF(AND(F4076,G4076),C4076*E4076*F4076*G4076,IF(AND(F4076,H4076),C4076*E4076*F4076*H4076,IF(AND(G4076,H4076),C4076*E4076*G4076*H4076,IF(F4076,C4076*E4076*F4076,IF(G4076,C4076*E4076*G4076,IF(H4076,C4076*E4076*H4076,C4076*E4076))))))),2)</f>
        <v>1</v>
      </c>
      <c r="J4076" s="909" t="s">
        <v>115</v>
      </c>
      <c r="K4076" s="902"/>
      <c r="L4076" s="896"/>
      <c r="M4076" s="902"/>
      <c r="N4076" s="900" t="s">
        <v>2308</v>
      </c>
    </row>
    <row r="4077" spans="1:14" s="910" customFormat="1" ht="16.5" hidden="1" customHeight="1">
      <c r="A4077" s="896"/>
      <c r="B4077" s="980" t="s">
        <v>1492</v>
      </c>
      <c r="C4077" s="957">
        <v>1</v>
      </c>
      <c r="D4077" s="958" t="s">
        <v>273</v>
      </c>
      <c r="E4077" s="1268">
        <v>1</v>
      </c>
      <c r="F4077" s="960">
        <v>0</v>
      </c>
      <c r="G4077" s="960">
        <v>0</v>
      </c>
      <c r="H4077" s="960">
        <v>0</v>
      </c>
      <c r="I4077" s="1291">
        <f>ROUND(IF(AND(F4077:H4077),C4077*E4077*F4077*G4077*H4077,IF(AND(F4077,G4077),C4077*E4077*F4077*G4077,IF(AND(F4077,H4077),C4077*E4077*F4077*H4077,IF(AND(G4077,H4077),C4077*E4077*G4077*H4077,IF(F4077,C4077*E4077*F4077,IF(G4077,C4077*E4077*G4077,IF(H4077,C4077*E4077*H4077,C4077*E4077))))))),2)</f>
        <v>1</v>
      </c>
      <c r="J4077" s="909" t="s">
        <v>115</v>
      </c>
      <c r="K4077" s="902"/>
      <c r="L4077" s="896"/>
      <c r="M4077" s="902"/>
      <c r="N4077" s="900" t="s">
        <v>2308</v>
      </c>
    </row>
    <row r="4078" spans="1:14" s="910" customFormat="1" ht="16.5" hidden="1" customHeight="1">
      <c r="A4078" s="896"/>
      <c r="B4078" s="980" t="s">
        <v>223</v>
      </c>
      <c r="C4078" s="957">
        <v>1</v>
      </c>
      <c r="D4078" s="958" t="s">
        <v>273</v>
      </c>
      <c r="E4078" s="1268">
        <v>2</v>
      </c>
      <c r="F4078" s="960">
        <v>0</v>
      </c>
      <c r="G4078" s="960">
        <v>0</v>
      </c>
      <c r="H4078" s="960">
        <v>0</v>
      </c>
      <c r="I4078" s="1291">
        <f>ROUND(IF(AND(F4078:H4078),C4078*E4078*F4078*G4078*H4078,IF(AND(F4078,G4078),C4078*E4078*F4078*G4078,IF(AND(F4078,H4078),C4078*E4078*F4078*H4078,IF(AND(G4078,H4078),C4078*E4078*G4078*H4078,IF(F4078,C4078*E4078*F4078,IF(G4078,C4078*E4078*G4078,IF(H4078,C4078*E4078*H4078,C4078*E4078))))))),2)</f>
        <v>2</v>
      </c>
      <c r="J4078" s="909" t="s">
        <v>115</v>
      </c>
      <c r="K4078" s="902"/>
      <c r="L4078" s="896"/>
      <c r="M4078" s="902"/>
      <c r="N4078" s="900" t="s">
        <v>2308</v>
      </c>
    </row>
    <row r="4079" spans="1:14" s="910" customFormat="1" ht="16.5" hidden="1" customHeight="1">
      <c r="A4079" s="896"/>
      <c r="B4079" s="980"/>
      <c r="C4079" s="957"/>
      <c r="D4079" s="958"/>
      <c r="E4079" s="1268"/>
      <c r="F4079" s="960"/>
      <c r="G4079" s="960"/>
      <c r="H4079" s="960"/>
      <c r="I4079" s="1291"/>
      <c r="J4079" s="909"/>
      <c r="K4079" s="902"/>
      <c r="L4079" s="896"/>
      <c r="M4079" s="902"/>
      <c r="N4079" s="900" t="s">
        <v>2308</v>
      </c>
    </row>
    <row r="4080" spans="1:14" ht="15.75" hidden="1">
      <c r="A4080" s="896"/>
      <c r="B4080" s="902"/>
      <c r="C4080" s="917"/>
      <c r="D4080" s="918"/>
      <c r="E4080" s="919"/>
      <c r="F4080" s="920"/>
      <c r="G4080" s="921"/>
      <c r="H4080" s="896"/>
      <c r="I4080" s="1291"/>
      <c r="J4080" s="909" t="s">
        <v>115</v>
      </c>
      <c r="K4080" s="922">
        <f>'Ele Data'!I623</f>
        <v>331</v>
      </c>
      <c r="L4080" s="923" t="s">
        <v>2308</v>
      </c>
      <c r="M4080" s="924">
        <f>ROUND(I4080*K4080,0)</f>
        <v>0</v>
      </c>
      <c r="N4080" s="900" t="s">
        <v>2308</v>
      </c>
    </row>
    <row r="4081" spans="1:14" ht="27" hidden="1" customHeight="1">
      <c r="A4081" s="896">
        <v>6</v>
      </c>
      <c r="B4081" s="1609" t="s">
        <v>612</v>
      </c>
      <c r="C4081" s="1609"/>
      <c r="D4081" s="1609"/>
      <c r="E4081" s="1609"/>
      <c r="F4081" s="1609"/>
      <c r="G4081" s="1609"/>
      <c r="H4081" s="1609"/>
      <c r="I4081" s="897"/>
      <c r="J4081" s="898"/>
      <c r="K4081" s="896"/>
      <c r="L4081" s="896"/>
      <c r="M4081" s="899"/>
      <c r="N4081" s="900" t="s">
        <v>2308</v>
      </c>
    </row>
    <row r="4082" spans="1:14" s="910" customFormat="1" ht="16.5" hidden="1" customHeight="1">
      <c r="A4082" s="896"/>
      <c r="B4082" s="980" t="s">
        <v>607</v>
      </c>
      <c r="C4082" s="903"/>
      <c r="D4082" s="904"/>
      <c r="E4082" s="905"/>
      <c r="F4082" s="906"/>
      <c r="G4082" s="906"/>
      <c r="H4082" s="907"/>
      <c r="I4082" s="908"/>
      <c r="J4082" s="909"/>
      <c r="K4082" s="902"/>
      <c r="L4082" s="896"/>
      <c r="M4082" s="902"/>
      <c r="N4082" s="900" t="s">
        <v>2308</v>
      </c>
    </row>
    <row r="4083" spans="1:14" s="910" customFormat="1" ht="16.5" hidden="1" customHeight="1">
      <c r="A4083" s="896"/>
      <c r="B4083" s="980" t="s">
        <v>1216</v>
      </c>
      <c r="C4083" s="957">
        <v>2</v>
      </c>
      <c r="D4083" s="958" t="s">
        <v>273</v>
      </c>
      <c r="E4083" s="1268">
        <v>1</v>
      </c>
      <c r="F4083" s="960">
        <v>0</v>
      </c>
      <c r="G4083" s="960">
        <v>0</v>
      </c>
      <c r="H4083" s="960">
        <v>0</v>
      </c>
      <c r="I4083" s="1291">
        <f>ROUND(IF(AND(F4083:H4083),C4083*E4083*F4083*G4083*H4083,IF(AND(F4083,G4083),C4083*E4083*F4083*G4083,IF(AND(F4083,H4083),C4083*E4083*F4083*H4083,IF(AND(G4083,H4083),C4083*E4083*G4083*H4083,IF(F4083,C4083*E4083*F4083,IF(G4083,C4083*E4083*G4083,IF(H4083,C4083*E4083*H4083,C4083*E4083))))))),2)</f>
        <v>2</v>
      </c>
      <c r="J4083" s="909" t="s">
        <v>115</v>
      </c>
      <c r="K4083" s="902"/>
      <c r="L4083" s="896"/>
      <c r="M4083" s="902"/>
      <c r="N4083" s="900" t="s">
        <v>2308</v>
      </c>
    </row>
    <row r="4084" spans="1:14" s="910" customFormat="1" ht="16.5" hidden="1" customHeight="1">
      <c r="A4084" s="896"/>
      <c r="B4084" s="980"/>
      <c r="C4084" s="957"/>
      <c r="D4084" s="958"/>
      <c r="E4084" s="1268"/>
      <c r="F4084" s="960"/>
      <c r="G4084" s="960"/>
      <c r="H4084" s="960"/>
      <c r="I4084" s="1291"/>
      <c r="J4084" s="909"/>
      <c r="K4084" s="902"/>
      <c r="L4084" s="896"/>
      <c r="M4084" s="902"/>
      <c r="N4084" s="900" t="s">
        <v>2308</v>
      </c>
    </row>
    <row r="4085" spans="1:14" ht="15.75" hidden="1">
      <c r="A4085" s="896"/>
      <c r="B4085" s="902"/>
      <c r="C4085" s="917"/>
      <c r="D4085" s="918"/>
      <c r="E4085" s="919"/>
      <c r="F4085" s="920"/>
      <c r="G4085" s="921"/>
      <c r="H4085" s="896"/>
      <c r="I4085" s="1291"/>
      <c r="J4085" s="909" t="s">
        <v>115</v>
      </c>
      <c r="K4085" s="922">
        <f>'Ele Data'!I619</f>
        <v>369</v>
      </c>
      <c r="L4085" s="923" t="s">
        <v>2308</v>
      </c>
      <c r="M4085" s="924">
        <f>ROUND(I4085*K4085,0)</f>
        <v>0</v>
      </c>
      <c r="N4085" s="900" t="s">
        <v>2308</v>
      </c>
    </row>
    <row r="4086" spans="1:14" ht="27" hidden="1" customHeight="1">
      <c r="A4086" s="896">
        <v>44</v>
      </c>
      <c r="B4086" s="1609" t="s">
        <v>790</v>
      </c>
      <c r="C4086" s="1609"/>
      <c r="D4086" s="1609"/>
      <c r="E4086" s="1609"/>
      <c r="F4086" s="1609"/>
      <c r="G4086" s="1609"/>
      <c r="H4086" s="1609"/>
      <c r="I4086" s="897"/>
      <c r="J4086" s="898"/>
      <c r="K4086" s="896"/>
      <c r="L4086" s="896"/>
      <c r="M4086" s="899"/>
      <c r="N4086" s="900" t="s">
        <v>2308</v>
      </c>
    </row>
    <row r="4087" spans="1:14" s="910" customFormat="1" ht="16.5" hidden="1" customHeight="1">
      <c r="A4087" s="896"/>
      <c r="B4087" s="902" t="s">
        <v>3665</v>
      </c>
      <c r="C4087" s="903"/>
      <c r="D4087" s="954" t="s">
        <v>3817</v>
      </c>
      <c r="E4087" s="905"/>
      <c r="F4087" s="906"/>
      <c r="G4087" s="906"/>
      <c r="H4087" s="907"/>
      <c r="I4087" s="908"/>
      <c r="J4087" s="909"/>
      <c r="K4087" s="902"/>
      <c r="L4087" s="896"/>
      <c r="M4087" s="902"/>
      <c r="N4087" s="900" t="s">
        <v>2308</v>
      </c>
    </row>
    <row r="4088" spans="1:14" s="910" customFormat="1" ht="16.5" hidden="1" customHeight="1">
      <c r="A4088" s="896"/>
      <c r="B4088" s="980"/>
      <c r="C4088" s="1298">
        <v>1</v>
      </c>
      <c r="D4088" s="1299" t="s">
        <v>273</v>
      </c>
      <c r="E4088" s="1300">
        <v>4</v>
      </c>
      <c r="F4088" s="1301">
        <v>0</v>
      </c>
      <c r="G4088" s="1301">
        <v>0</v>
      </c>
      <c r="H4088" s="1301">
        <v>0</v>
      </c>
      <c r="I4088" s="1291">
        <f t="shared" ref="I4088" si="221">ROUND(IF(AND(F4088:H4088),C4088*E4088*F4088*G4088*H4088,IF(AND(F4088,G4088),C4088*E4088*F4088*G4088,IF(AND(F4088,H4088),C4088*E4088*F4088*H4088,IF(AND(G4088,H4088),C4088*E4088*G4088*H4088,IF(F4088,C4088*E4088*F4088,IF(G4088,C4088*E4088*G4088,IF(H4088,C4088*E4088*H4088,C4088*E4088))))))),2)</f>
        <v>4</v>
      </c>
      <c r="J4088" s="909" t="s">
        <v>115</v>
      </c>
      <c r="K4088" s="902"/>
      <c r="L4088" s="896"/>
      <c r="M4088" s="902"/>
      <c r="N4088" s="900" t="s">
        <v>2308</v>
      </c>
    </row>
    <row r="4089" spans="1:14" s="910" customFormat="1" ht="16.5" hidden="1" customHeight="1">
      <c r="A4089" s="896"/>
      <c r="B4089" s="980"/>
      <c r="C4089" s="957"/>
      <c r="D4089" s="958"/>
      <c r="E4089" s="1268"/>
      <c r="F4089" s="960"/>
      <c r="G4089" s="960"/>
      <c r="H4089" s="960"/>
      <c r="I4089" s="1291"/>
      <c r="J4089" s="909"/>
      <c r="K4089" s="902"/>
      <c r="L4089" s="896"/>
      <c r="M4089" s="902"/>
      <c r="N4089" s="900" t="s">
        <v>2308</v>
      </c>
    </row>
    <row r="4090" spans="1:14" ht="15.75" hidden="1">
      <c r="A4090" s="896"/>
      <c r="B4090" s="902"/>
      <c r="C4090" s="917"/>
      <c r="D4090" s="918"/>
      <c r="E4090" s="919"/>
      <c r="F4090" s="920"/>
      <c r="G4090" s="921"/>
      <c r="H4090" s="896"/>
      <c r="I4090" s="1291"/>
      <c r="J4090" s="909" t="s">
        <v>115</v>
      </c>
      <c r="K4090" s="922">
        <f>'Ele Data'!I615</f>
        <v>105</v>
      </c>
      <c r="L4090" s="923" t="s">
        <v>2308</v>
      </c>
      <c r="M4090" s="924">
        <f>ROUND(I4090*K4090,0)</f>
        <v>0</v>
      </c>
      <c r="N4090" s="900" t="s">
        <v>2308</v>
      </c>
    </row>
    <row r="4091" spans="1:14" ht="27" hidden="1" customHeight="1">
      <c r="A4091" s="896">
        <v>7</v>
      </c>
      <c r="B4091" s="1609" t="s">
        <v>428</v>
      </c>
      <c r="C4091" s="1609"/>
      <c r="D4091" s="1609"/>
      <c r="E4091" s="1609"/>
      <c r="F4091" s="1609"/>
      <c r="G4091" s="1609"/>
      <c r="H4091" s="1609"/>
      <c r="I4091" s="897"/>
      <c r="J4091" s="898"/>
      <c r="K4091" s="896"/>
      <c r="L4091" s="896"/>
      <c r="M4091" s="899"/>
      <c r="N4091" s="900" t="s">
        <v>2308</v>
      </c>
    </row>
    <row r="4092" spans="1:14" s="910" customFormat="1" ht="16.5" hidden="1" customHeight="1">
      <c r="A4092" s="896"/>
      <c r="B4092" s="902" t="s">
        <v>2100</v>
      </c>
      <c r="C4092" s="903"/>
      <c r="D4092" s="904"/>
      <c r="E4092" s="905"/>
      <c r="F4092" s="906"/>
      <c r="G4092" s="906"/>
      <c r="H4092" s="907"/>
      <c r="I4092" s="908"/>
      <c r="J4092" s="909"/>
      <c r="K4092" s="902"/>
      <c r="L4092" s="896"/>
      <c r="M4092" s="902"/>
      <c r="N4092" s="900" t="s">
        <v>2308</v>
      </c>
    </row>
    <row r="4093" spans="1:14" s="910" customFormat="1" ht="16.5" hidden="1" customHeight="1">
      <c r="A4093" s="896"/>
      <c r="B4093" s="980" t="s">
        <v>2080</v>
      </c>
      <c r="C4093" s="957">
        <v>1</v>
      </c>
      <c r="D4093" s="958" t="s">
        <v>273</v>
      </c>
      <c r="E4093" s="1268">
        <v>12</v>
      </c>
      <c r="F4093" s="960">
        <v>0</v>
      </c>
      <c r="G4093" s="960">
        <v>0</v>
      </c>
      <c r="H4093" s="960">
        <v>0</v>
      </c>
      <c r="I4093" s="1291">
        <f>ROUND(IF(AND(F4093:H4093),C4093*E4093*F4093*G4093*H4093,IF(AND(F4093,G4093),C4093*E4093*F4093*G4093,IF(AND(F4093,H4093),C4093*E4093*F4093*H4093,IF(AND(G4093,H4093),C4093*E4093*G4093*H4093,IF(F4093,C4093*E4093*F4093,IF(G4093,C4093*E4093*G4093,IF(H4093,C4093*E4093*H4093,C4093*E4093))))))),2)</f>
        <v>12</v>
      </c>
      <c r="J4093" s="909" t="s">
        <v>115</v>
      </c>
      <c r="K4093" s="902"/>
      <c r="L4093" s="896"/>
      <c r="M4093" s="902"/>
      <c r="N4093" s="900" t="s">
        <v>2308</v>
      </c>
    </row>
    <row r="4094" spans="1:14" s="910" customFormat="1" ht="16.5" hidden="1" customHeight="1">
      <c r="A4094" s="896"/>
      <c r="B4094" s="980"/>
      <c r="C4094" s="957"/>
      <c r="D4094" s="958"/>
      <c r="E4094" s="1268"/>
      <c r="F4094" s="960"/>
      <c r="G4094" s="960"/>
      <c r="H4094" s="960"/>
      <c r="I4094" s="1291"/>
      <c r="J4094" s="909"/>
      <c r="K4094" s="902"/>
      <c r="L4094" s="896"/>
      <c r="M4094" s="902"/>
      <c r="N4094" s="900" t="s">
        <v>2308</v>
      </c>
    </row>
    <row r="4095" spans="1:14" ht="15.75" hidden="1">
      <c r="A4095" s="896"/>
      <c r="B4095" s="902"/>
      <c r="C4095" s="917"/>
      <c r="D4095" s="918"/>
      <c r="E4095" s="919"/>
      <c r="F4095" s="920"/>
      <c r="G4095" s="921"/>
      <c r="H4095" s="896"/>
      <c r="I4095" s="1291"/>
      <c r="J4095" s="909" t="s">
        <v>115</v>
      </c>
      <c r="K4095" s="922">
        <f>'Ele Data'!I626</f>
        <v>63</v>
      </c>
      <c r="L4095" s="923" t="s">
        <v>2308</v>
      </c>
      <c r="M4095" s="924">
        <f>ROUND(I4095*K4095,0)</f>
        <v>0</v>
      </c>
      <c r="N4095" s="900" t="s">
        <v>2308</v>
      </c>
    </row>
    <row r="4096" spans="1:14" ht="64.5" hidden="1" customHeight="1">
      <c r="A4096" s="896">
        <v>7</v>
      </c>
      <c r="B4096" s="1609" t="s">
        <v>692</v>
      </c>
      <c r="C4096" s="1609"/>
      <c r="D4096" s="1609"/>
      <c r="E4096" s="1609"/>
      <c r="F4096" s="1609"/>
      <c r="G4096" s="1609"/>
      <c r="H4096" s="1609"/>
      <c r="I4096" s="897"/>
      <c r="J4096" s="898"/>
      <c r="K4096" s="896"/>
      <c r="L4096" s="896"/>
      <c r="M4096" s="899"/>
      <c r="N4096" s="900" t="s">
        <v>2308</v>
      </c>
    </row>
    <row r="4097" spans="1:14" s="910" customFormat="1" ht="16.5" hidden="1" customHeight="1">
      <c r="A4097" s="896"/>
      <c r="B4097" s="902" t="s">
        <v>2337</v>
      </c>
      <c r="C4097" s="903"/>
      <c r="D4097" s="904"/>
      <c r="E4097" s="905"/>
      <c r="F4097" s="906"/>
      <c r="G4097" s="906"/>
      <c r="H4097" s="907"/>
      <c r="I4097" s="908"/>
      <c r="J4097" s="909"/>
      <c r="K4097" s="902"/>
      <c r="L4097" s="896"/>
      <c r="M4097" s="902"/>
      <c r="N4097" s="900" t="s">
        <v>2308</v>
      </c>
    </row>
    <row r="4098" spans="1:14" s="910" customFormat="1" ht="16.5" hidden="1" customHeight="1">
      <c r="A4098" s="896"/>
      <c r="B4098" s="980" t="s">
        <v>2201</v>
      </c>
      <c r="C4098" s="912">
        <v>1</v>
      </c>
      <c r="D4098" s="913" t="s">
        <v>273</v>
      </c>
      <c r="E4098" s="914">
        <v>3</v>
      </c>
      <c r="F4098" s="915">
        <v>0</v>
      </c>
      <c r="G4098" s="915">
        <v>0</v>
      </c>
      <c r="H4098" s="915">
        <v>0</v>
      </c>
      <c r="I4098" s="1291">
        <f>ROUND(IF(AND(F4098:H4098),C4098*E4098*F4098*G4098*H4098,IF(AND(F4098,G4098),C4098*E4098*F4098*G4098,IF(AND(F4098,H4098),C4098*E4098*F4098*H4098,IF(AND(G4098,H4098),C4098*E4098*G4098*H4098,IF(F4098,C4098*E4098*F4098,IF(G4098,C4098*E4098*G4098,IF(H4098,C4098*E4098*H4098,C4098*E4098))))))),2)</f>
        <v>3</v>
      </c>
      <c r="J4098" s="909" t="s">
        <v>431</v>
      </c>
      <c r="K4098" s="902"/>
      <c r="L4098" s="896"/>
      <c r="M4098" s="902"/>
      <c r="N4098" s="900" t="s">
        <v>2308</v>
      </c>
    </row>
    <row r="4099" spans="1:14" s="910" customFormat="1" ht="16.5" hidden="1" customHeight="1">
      <c r="A4099" s="896"/>
      <c r="B4099" s="980" t="s">
        <v>586</v>
      </c>
      <c r="C4099" s="912">
        <v>1</v>
      </c>
      <c r="D4099" s="913" t="s">
        <v>273</v>
      </c>
      <c r="E4099" s="914">
        <v>4</v>
      </c>
      <c r="F4099" s="915">
        <v>0</v>
      </c>
      <c r="G4099" s="915">
        <v>0</v>
      </c>
      <c r="H4099" s="915">
        <v>0</v>
      </c>
      <c r="I4099" s="1291">
        <f>ROUND(IF(AND(F4099:H4099),C4099*E4099*F4099*G4099*H4099,IF(AND(F4099,G4099),C4099*E4099*F4099*G4099,IF(AND(F4099,H4099),C4099*E4099*F4099*H4099,IF(AND(G4099,H4099),C4099*E4099*G4099*H4099,IF(F4099,C4099*E4099*F4099,IF(G4099,C4099*E4099*G4099,IF(H4099,C4099*E4099*H4099,C4099*E4099))))))),2)</f>
        <v>4</v>
      </c>
      <c r="J4099" s="909" t="s">
        <v>431</v>
      </c>
      <c r="K4099" s="902"/>
      <c r="L4099" s="896"/>
      <c r="M4099" s="902"/>
      <c r="N4099" s="900" t="s">
        <v>2308</v>
      </c>
    </row>
    <row r="4100" spans="1:14" s="910" customFormat="1" ht="16.5" hidden="1" customHeight="1">
      <c r="A4100" s="896"/>
      <c r="B4100" s="980" t="s">
        <v>578</v>
      </c>
      <c r="C4100" s="912">
        <v>1</v>
      </c>
      <c r="D4100" s="913" t="s">
        <v>273</v>
      </c>
      <c r="E4100" s="914">
        <v>4</v>
      </c>
      <c r="F4100" s="915">
        <v>0</v>
      </c>
      <c r="G4100" s="915">
        <v>0</v>
      </c>
      <c r="H4100" s="915">
        <v>0</v>
      </c>
      <c r="I4100" s="1291">
        <f>ROUND(IF(AND(F4100:H4100),C4100*E4100*F4100*G4100*H4100,IF(AND(F4100,G4100),C4100*E4100*F4100*G4100,IF(AND(F4100,H4100),C4100*E4100*F4100*H4100,IF(AND(G4100,H4100),C4100*E4100*G4100*H4100,IF(F4100,C4100*E4100*F4100,IF(G4100,C4100*E4100*G4100,IF(H4100,C4100*E4100*H4100,C4100*E4100))))))),2)</f>
        <v>4</v>
      </c>
      <c r="J4100" s="909" t="s">
        <v>431</v>
      </c>
      <c r="K4100" s="902"/>
      <c r="L4100" s="896"/>
      <c r="M4100" s="902"/>
      <c r="N4100" s="900" t="s">
        <v>2308</v>
      </c>
    </row>
    <row r="4101" spans="1:14" s="910" customFormat="1" ht="16.5" hidden="1" customHeight="1">
      <c r="A4101" s="896"/>
      <c r="B4101" s="980"/>
      <c r="C4101" s="957"/>
      <c r="D4101" s="958"/>
      <c r="E4101" s="1268"/>
      <c r="F4101" s="960"/>
      <c r="G4101" s="960"/>
      <c r="H4101" s="960"/>
      <c r="I4101" s="1291"/>
      <c r="J4101" s="909"/>
      <c r="K4101" s="902"/>
      <c r="L4101" s="896"/>
      <c r="M4101" s="902"/>
      <c r="N4101" s="900" t="s">
        <v>2308</v>
      </c>
    </row>
    <row r="4102" spans="1:14" ht="15.75" hidden="1">
      <c r="A4102" s="896"/>
      <c r="B4102" s="902"/>
      <c r="C4102" s="917"/>
      <c r="D4102" s="918"/>
      <c r="E4102" s="919"/>
      <c r="F4102" s="920"/>
      <c r="G4102" s="921"/>
      <c r="H4102" s="896"/>
      <c r="I4102" s="1291"/>
      <c r="J4102" s="909" t="s">
        <v>431</v>
      </c>
      <c r="K4102" s="922">
        <f>'Ele Data'!I664</f>
        <v>436.33</v>
      </c>
      <c r="L4102" s="923" t="s">
        <v>2308</v>
      </c>
      <c r="M4102" s="924">
        <f>ROUND(I4102*K4102,0)</f>
        <v>0</v>
      </c>
      <c r="N4102" s="900" t="s">
        <v>2308</v>
      </c>
    </row>
    <row r="4103" spans="1:14" ht="67.5" hidden="1" customHeight="1">
      <c r="A4103" s="896">
        <v>7</v>
      </c>
      <c r="B4103" s="1609" t="s">
        <v>693</v>
      </c>
      <c r="C4103" s="1609"/>
      <c r="D4103" s="1609"/>
      <c r="E4103" s="1609"/>
      <c r="F4103" s="1609"/>
      <c r="G4103" s="1609"/>
      <c r="H4103" s="1609"/>
      <c r="I4103" s="897"/>
      <c r="J4103" s="898"/>
      <c r="K4103" s="896"/>
      <c r="L4103" s="896"/>
      <c r="M4103" s="899"/>
      <c r="N4103" s="900" t="s">
        <v>2308</v>
      </c>
    </row>
    <row r="4104" spans="1:14" s="910" customFormat="1" ht="16.5" hidden="1" customHeight="1">
      <c r="A4104" s="896"/>
      <c r="B4104" s="902" t="s">
        <v>2325</v>
      </c>
      <c r="C4104" s="903"/>
      <c r="D4104" s="904"/>
      <c r="E4104" s="905"/>
      <c r="F4104" s="906"/>
      <c r="G4104" s="906"/>
      <c r="H4104" s="907"/>
      <c r="I4104" s="908"/>
      <c r="J4104" s="909"/>
      <c r="K4104" s="902"/>
      <c r="L4104" s="896"/>
      <c r="M4104" s="902"/>
      <c r="N4104" s="900" t="s">
        <v>2308</v>
      </c>
    </row>
    <row r="4105" spans="1:14" s="910" customFormat="1" ht="16.5" hidden="1" customHeight="1">
      <c r="A4105" s="896"/>
      <c r="B4105" s="980" t="s">
        <v>799</v>
      </c>
      <c r="C4105" s="957">
        <v>1</v>
      </c>
      <c r="D4105" s="958" t="s">
        <v>273</v>
      </c>
      <c r="E4105" s="1268">
        <v>6</v>
      </c>
      <c r="F4105" s="960">
        <v>0</v>
      </c>
      <c r="G4105" s="960">
        <v>0</v>
      </c>
      <c r="H4105" s="960">
        <v>0</v>
      </c>
      <c r="I4105" s="1291">
        <f>ROUND(IF(AND(F4105:H4105),C4105*E4105*F4105*G4105*H4105,IF(AND(F4105,G4105),C4105*E4105*F4105*G4105,IF(AND(F4105,H4105),C4105*E4105*F4105*H4105,IF(AND(G4105,H4105),C4105*E4105*G4105*H4105,IF(F4105,C4105*E4105*F4105,IF(G4105,C4105*E4105*G4105,IF(H4105,C4105*E4105*H4105,C4105*E4105))))))),2)</f>
        <v>6</v>
      </c>
      <c r="J4105" s="909" t="s">
        <v>431</v>
      </c>
      <c r="K4105" s="902"/>
      <c r="L4105" s="896"/>
      <c r="M4105" s="902"/>
      <c r="N4105" s="900" t="s">
        <v>2308</v>
      </c>
    </row>
    <row r="4106" spans="1:14" s="910" customFormat="1" ht="16.5" hidden="1" customHeight="1">
      <c r="A4106" s="896"/>
      <c r="B4106" s="980" t="s">
        <v>1618</v>
      </c>
      <c r="C4106" s="957">
        <v>1</v>
      </c>
      <c r="D4106" s="958" t="s">
        <v>273</v>
      </c>
      <c r="E4106" s="1268">
        <v>1</v>
      </c>
      <c r="F4106" s="960">
        <v>0</v>
      </c>
      <c r="G4106" s="960">
        <v>0</v>
      </c>
      <c r="H4106" s="960">
        <v>0</v>
      </c>
      <c r="I4106" s="1291">
        <f>ROUND(IF(AND(F4106:H4106),C4106*E4106*F4106*G4106*H4106,IF(AND(F4106,G4106),C4106*E4106*F4106*G4106,IF(AND(F4106,H4106),C4106*E4106*F4106*H4106,IF(AND(G4106,H4106),C4106*E4106*G4106*H4106,IF(F4106,C4106*E4106*F4106,IF(G4106,C4106*E4106*G4106,IF(H4106,C4106*E4106*H4106,C4106*E4106))))))),2)</f>
        <v>1</v>
      </c>
      <c r="J4106" s="909" t="s">
        <v>431</v>
      </c>
      <c r="K4106" s="902"/>
      <c r="L4106" s="896"/>
      <c r="M4106" s="902"/>
      <c r="N4106" s="900" t="s">
        <v>2308</v>
      </c>
    </row>
    <row r="4107" spans="1:14" s="910" customFormat="1" ht="16.5" hidden="1" customHeight="1">
      <c r="A4107" s="896"/>
      <c r="B4107" s="980" t="s">
        <v>586</v>
      </c>
      <c r="C4107" s="957">
        <v>1</v>
      </c>
      <c r="D4107" s="958" t="s">
        <v>273</v>
      </c>
      <c r="E4107" s="1268">
        <v>1</v>
      </c>
      <c r="F4107" s="960">
        <v>0</v>
      </c>
      <c r="G4107" s="960">
        <v>0</v>
      </c>
      <c r="H4107" s="960">
        <v>0</v>
      </c>
      <c r="I4107" s="1291">
        <f>ROUND(IF(AND(F4107:H4107),C4107*E4107*F4107*G4107*H4107,IF(AND(F4107,G4107),C4107*E4107*F4107*G4107,IF(AND(F4107,H4107),C4107*E4107*F4107*H4107,IF(AND(G4107,H4107),C4107*E4107*G4107*H4107,IF(F4107,C4107*E4107*F4107,IF(G4107,C4107*E4107*G4107,IF(H4107,C4107*E4107*H4107,C4107*E4107))))))),2)</f>
        <v>1</v>
      </c>
      <c r="J4107" s="909" t="s">
        <v>431</v>
      </c>
      <c r="K4107" s="902"/>
      <c r="L4107" s="896"/>
      <c r="M4107" s="902"/>
      <c r="N4107" s="900" t="s">
        <v>2308</v>
      </c>
    </row>
    <row r="4108" spans="1:14" s="910" customFormat="1" ht="16.5" hidden="1" customHeight="1">
      <c r="A4108" s="896"/>
      <c r="B4108" s="980"/>
      <c r="C4108" s="957"/>
      <c r="D4108" s="958"/>
      <c r="E4108" s="1268"/>
      <c r="F4108" s="960"/>
      <c r="G4108" s="960"/>
      <c r="H4108" s="960"/>
      <c r="I4108" s="916"/>
      <c r="J4108" s="909"/>
      <c r="K4108" s="902"/>
      <c r="L4108" s="896"/>
      <c r="M4108" s="902"/>
      <c r="N4108" s="900" t="s">
        <v>2308</v>
      </c>
    </row>
    <row r="4109" spans="1:14" ht="15.75" hidden="1">
      <c r="A4109" s="896"/>
      <c r="B4109" s="902"/>
      <c r="C4109" s="917"/>
      <c r="D4109" s="918"/>
      <c r="E4109" s="919"/>
      <c r="F4109" s="920"/>
      <c r="G4109" s="921"/>
      <c r="H4109" s="896"/>
      <c r="I4109" s="1291"/>
      <c r="J4109" s="909" t="s">
        <v>431</v>
      </c>
      <c r="K4109" s="922">
        <f>'Ele Data'!I677</f>
        <v>457.33</v>
      </c>
      <c r="L4109" s="923" t="s">
        <v>2308</v>
      </c>
      <c r="M4109" s="924">
        <f>ROUND(I4109*K4109,0)</f>
        <v>0</v>
      </c>
      <c r="N4109" s="900" t="s">
        <v>2308</v>
      </c>
    </row>
    <row r="4110" spans="1:14" ht="44.25" hidden="1" customHeight="1">
      <c r="A4110" s="896">
        <v>8</v>
      </c>
      <c r="B4110" s="1609" t="s">
        <v>2086</v>
      </c>
      <c r="C4110" s="1609"/>
      <c r="D4110" s="1609"/>
      <c r="E4110" s="1609"/>
      <c r="F4110" s="1609"/>
      <c r="G4110" s="1609"/>
      <c r="H4110" s="1609"/>
      <c r="I4110" s="897"/>
      <c r="J4110" s="898"/>
      <c r="K4110" s="896"/>
      <c r="L4110" s="896"/>
      <c r="M4110" s="899"/>
      <c r="N4110" s="900" t="s">
        <v>2308</v>
      </c>
    </row>
    <row r="4111" spans="1:14" s="910" customFormat="1" ht="16.5" hidden="1" customHeight="1">
      <c r="A4111" s="896"/>
      <c r="B4111" s="902" t="s">
        <v>2348</v>
      </c>
      <c r="C4111" s="903"/>
      <c r="D4111" s="904"/>
      <c r="E4111" s="905"/>
      <c r="F4111" s="906"/>
      <c r="G4111" s="906"/>
      <c r="H4111" s="907"/>
      <c r="I4111" s="908"/>
      <c r="J4111" s="909"/>
      <c r="K4111" s="902"/>
      <c r="L4111" s="896"/>
      <c r="M4111" s="902"/>
      <c r="N4111" s="900" t="s">
        <v>2308</v>
      </c>
    </row>
    <row r="4112" spans="1:14" s="910" customFormat="1" ht="16.5" hidden="1" customHeight="1">
      <c r="A4112" s="896"/>
      <c r="B4112" s="902" t="s">
        <v>2087</v>
      </c>
      <c r="C4112" s="903"/>
      <c r="D4112" s="904"/>
      <c r="E4112" s="905"/>
      <c r="F4112" s="906"/>
      <c r="G4112" s="906"/>
      <c r="H4112" s="907"/>
      <c r="I4112" s="908"/>
      <c r="J4112" s="909"/>
      <c r="K4112" s="902"/>
      <c r="L4112" s="896"/>
      <c r="M4112" s="902"/>
      <c r="N4112" s="900" t="s">
        <v>2308</v>
      </c>
    </row>
    <row r="4113" spans="1:14" s="910" customFormat="1" ht="16.5" hidden="1" customHeight="1">
      <c r="A4113" s="896"/>
      <c r="B4113" s="980"/>
      <c r="C4113" s="912">
        <v>1</v>
      </c>
      <c r="D4113" s="913" t="s">
        <v>273</v>
      </c>
      <c r="E4113" s="914">
        <v>1</v>
      </c>
      <c r="F4113" s="1289">
        <v>55</v>
      </c>
      <c r="G4113" s="915">
        <v>0</v>
      </c>
      <c r="H4113" s="915">
        <v>0</v>
      </c>
      <c r="I4113" s="916">
        <f>ROUND(IF(AND(F4113:H4113),C4113*E4113*F4113*G4113*H4113,IF(AND(F4113,G4113),C4113*E4113*F4113*G4113,IF(AND(F4113,H4113),C4113*E4113*F4113*H4113,IF(AND(G4113,H4113),C4113*E4113*G4113*H4113,IF(F4113,C4113*E4113*F4113,IF(G4113,C4113*E4113*G4113,IF(H4113,C4113*E4113*H4113,C4113*E4113))))))),2)</f>
        <v>55</v>
      </c>
      <c r="J4113" s="909" t="s">
        <v>277</v>
      </c>
      <c r="K4113" s="902"/>
      <c r="L4113" s="896"/>
      <c r="M4113" s="902"/>
      <c r="N4113" s="900" t="s">
        <v>2308</v>
      </c>
    </row>
    <row r="4114" spans="1:14" s="910" customFormat="1" ht="16.5" hidden="1" customHeight="1">
      <c r="A4114" s="896"/>
      <c r="B4114" s="980"/>
      <c r="C4114" s="957"/>
      <c r="D4114" s="958"/>
      <c r="E4114" s="1268"/>
      <c r="F4114" s="1290"/>
      <c r="G4114" s="960"/>
      <c r="H4114" s="960"/>
      <c r="I4114" s="916"/>
      <c r="J4114" s="909"/>
      <c r="K4114" s="902"/>
      <c r="L4114" s="896"/>
      <c r="M4114" s="902"/>
      <c r="N4114" s="900" t="s">
        <v>2308</v>
      </c>
    </row>
    <row r="4115" spans="1:14" ht="15.75" hidden="1">
      <c r="A4115" s="896"/>
      <c r="B4115" s="902"/>
      <c r="C4115" s="917"/>
      <c r="D4115" s="918"/>
      <c r="E4115" s="919"/>
      <c r="F4115" s="920"/>
      <c r="G4115" s="921"/>
      <c r="H4115" s="896"/>
      <c r="I4115" s="916"/>
      <c r="J4115" s="909" t="s">
        <v>277</v>
      </c>
      <c r="K4115" s="922">
        <f>'Ele Data'!I722</f>
        <v>21.19</v>
      </c>
      <c r="L4115" s="923" t="s">
        <v>2308</v>
      </c>
      <c r="M4115" s="924">
        <f>ROUND(I4115*K4115,0)</f>
        <v>0</v>
      </c>
      <c r="N4115" s="900" t="s">
        <v>2308</v>
      </c>
    </row>
    <row r="4116" spans="1:14" ht="44.25" hidden="1" customHeight="1">
      <c r="A4116" s="896">
        <v>9</v>
      </c>
      <c r="B4116" s="1609" t="s">
        <v>2255</v>
      </c>
      <c r="C4116" s="1609"/>
      <c r="D4116" s="1609"/>
      <c r="E4116" s="1609"/>
      <c r="F4116" s="1609"/>
      <c r="G4116" s="1609"/>
      <c r="H4116" s="1609"/>
      <c r="I4116" s="897"/>
      <c r="J4116" s="898"/>
      <c r="K4116" s="896"/>
      <c r="L4116" s="896"/>
      <c r="M4116" s="899"/>
      <c r="N4116" s="900" t="s">
        <v>2308</v>
      </c>
    </row>
    <row r="4117" spans="1:14" s="910" customFormat="1" ht="16.5" hidden="1" customHeight="1">
      <c r="A4117" s="896"/>
      <c r="B4117" s="902" t="s">
        <v>2348</v>
      </c>
      <c r="C4117" s="903"/>
      <c r="D4117" s="904"/>
      <c r="E4117" s="905"/>
      <c r="F4117" s="906"/>
      <c r="G4117" s="906"/>
      <c r="H4117" s="907"/>
      <c r="I4117" s="908"/>
      <c r="J4117" s="909"/>
      <c r="K4117" s="902"/>
      <c r="L4117" s="896"/>
      <c r="M4117" s="902"/>
      <c r="N4117" s="900" t="s">
        <v>2308</v>
      </c>
    </row>
    <row r="4118" spans="1:14" s="910" customFormat="1" ht="16.5" hidden="1" customHeight="1">
      <c r="A4118" s="896"/>
      <c r="B4118" s="980"/>
      <c r="C4118" s="912">
        <v>1</v>
      </c>
      <c r="D4118" s="913" t="s">
        <v>273</v>
      </c>
      <c r="E4118" s="914">
        <v>1</v>
      </c>
      <c r="F4118" s="1289">
        <v>150</v>
      </c>
      <c r="G4118" s="915">
        <v>0</v>
      </c>
      <c r="H4118" s="915">
        <v>0</v>
      </c>
      <c r="I4118" s="916">
        <f>ROUND(IF(AND(F4118:H4118),C4118*E4118*F4118*G4118*H4118,IF(AND(F4118,G4118),C4118*E4118*F4118*G4118,IF(AND(F4118,H4118),C4118*E4118*F4118*H4118,IF(AND(G4118,H4118),C4118*E4118*G4118*H4118,IF(F4118,C4118*E4118*F4118,IF(G4118,C4118*E4118*G4118,IF(H4118,C4118*E4118*H4118,C4118*E4118))))))),2)</f>
        <v>150</v>
      </c>
      <c r="J4118" s="909" t="s">
        <v>277</v>
      </c>
      <c r="K4118" s="902"/>
      <c r="L4118" s="896"/>
      <c r="M4118" s="902"/>
      <c r="N4118" s="900" t="s">
        <v>2308</v>
      </c>
    </row>
    <row r="4119" spans="1:14" s="910" customFormat="1" ht="16.5" hidden="1" customHeight="1">
      <c r="A4119" s="896"/>
      <c r="B4119" s="980"/>
      <c r="C4119" s="957"/>
      <c r="D4119" s="958"/>
      <c r="E4119" s="1268"/>
      <c r="F4119" s="1290"/>
      <c r="G4119" s="960"/>
      <c r="H4119" s="960"/>
      <c r="I4119" s="916"/>
      <c r="J4119" s="909"/>
      <c r="K4119" s="902"/>
      <c r="L4119" s="896"/>
      <c r="M4119" s="902"/>
      <c r="N4119" s="900" t="s">
        <v>2308</v>
      </c>
    </row>
    <row r="4120" spans="1:14" ht="15.75" hidden="1">
      <c r="A4120" s="896"/>
      <c r="B4120" s="902"/>
      <c r="C4120" s="917"/>
      <c r="D4120" s="918"/>
      <c r="E4120" s="919"/>
      <c r="F4120" s="920"/>
      <c r="G4120" s="921"/>
      <c r="H4120" s="896"/>
      <c r="I4120" s="916"/>
      <c r="J4120" s="909" t="s">
        <v>277</v>
      </c>
      <c r="K4120" s="922">
        <f>'Ele Data'!I714</f>
        <v>69.83</v>
      </c>
      <c r="L4120" s="923" t="s">
        <v>2308</v>
      </c>
      <c r="M4120" s="924">
        <f>ROUND(I4120*K4120,0)</f>
        <v>0</v>
      </c>
      <c r="N4120" s="900" t="s">
        <v>2308</v>
      </c>
    </row>
    <row r="4121" spans="1:14" ht="44.25" hidden="1" customHeight="1">
      <c r="A4121" s="896">
        <v>9</v>
      </c>
      <c r="B4121" s="1609" t="s">
        <v>429</v>
      </c>
      <c r="C4121" s="1609"/>
      <c r="D4121" s="1609"/>
      <c r="E4121" s="1609"/>
      <c r="F4121" s="1609"/>
      <c r="G4121" s="1609"/>
      <c r="H4121" s="1609"/>
      <c r="I4121" s="897"/>
      <c r="J4121" s="898"/>
      <c r="K4121" s="896"/>
      <c r="L4121" s="896"/>
      <c r="M4121" s="899"/>
      <c r="N4121" s="900" t="s">
        <v>2308</v>
      </c>
    </row>
    <row r="4122" spans="1:14" s="910" customFormat="1" ht="16.5" hidden="1" customHeight="1">
      <c r="A4122" s="896"/>
      <c r="B4122" s="902" t="s">
        <v>2348</v>
      </c>
      <c r="C4122" s="903"/>
      <c r="D4122" s="904"/>
      <c r="E4122" s="905"/>
      <c r="F4122" s="906"/>
      <c r="G4122" s="906"/>
      <c r="H4122" s="907"/>
      <c r="I4122" s="908"/>
      <c r="J4122" s="909"/>
      <c r="K4122" s="902"/>
      <c r="L4122" s="896"/>
      <c r="M4122" s="902"/>
      <c r="N4122" s="900" t="s">
        <v>2308</v>
      </c>
    </row>
    <row r="4123" spans="1:14" s="910" customFormat="1" ht="16.5" hidden="1" customHeight="1">
      <c r="A4123" s="896"/>
      <c r="B4123" s="980"/>
      <c r="C4123" s="912">
        <v>1</v>
      </c>
      <c r="D4123" s="913" t="s">
        <v>273</v>
      </c>
      <c r="E4123" s="914">
        <v>1</v>
      </c>
      <c r="F4123" s="1289">
        <v>150</v>
      </c>
      <c r="G4123" s="915">
        <v>0</v>
      </c>
      <c r="H4123" s="915">
        <v>0</v>
      </c>
      <c r="I4123" s="916">
        <f>ROUND(IF(AND(F4123:H4123),C4123*E4123*F4123*G4123*H4123,IF(AND(F4123,G4123),C4123*E4123*F4123*G4123,IF(AND(F4123,H4123),C4123*E4123*F4123*H4123,IF(AND(G4123,H4123),C4123*E4123*G4123*H4123,IF(F4123,C4123*E4123*F4123,IF(G4123,C4123*E4123*G4123,IF(H4123,C4123*E4123*H4123,C4123*E4123))))))),2)</f>
        <v>150</v>
      </c>
      <c r="J4123" s="909" t="s">
        <v>277</v>
      </c>
      <c r="K4123" s="902"/>
      <c r="L4123" s="896"/>
      <c r="M4123" s="902"/>
      <c r="N4123" s="900" t="s">
        <v>2308</v>
      </c>
    </row>
    <row r="4124" spans="1:14" s="910" customFormat="1" ht="16.5" hidden="1" customHeight="1">
      <c r="A4124" s="896"/>
      <c r="B4124" s="980"/>
      <c r="C4124" s="957"/>
      <c r="D4124" s="958"/>
      <c r="E4124" s="1268"/>
      <c r="F4124" s="1290"/>
      <c r="G4124" s="960"/>
      <c r="H4124" s="960"/>
      <c r="I4124" s="916"/>
      <c r="J4124" s="909"/>
      <c r="K4124" s="902"/>
      <c r="L4124" s="896"/>
      <c r="M4124" s="902"/>
      <c r="N4124" s="900" t="s">
        <v>2308</v>
      </c>
    </row>
    <row r="4125" spans="1:14" ht="15.75" hidden="1">
      <c r="A4125" s="896"/>
      <c r="B4125" s="902"/>
      <c r="C4125" s="917"/>
      <c r="D4125" s="918"/>
      <c r="E4125" s="919"/>
      <c r="F4125" s="920"/>
      <c r="G4125" s="921"/>
      <c r="H4125" s="896"/>
      <c r="I4125" s="916"/>
      <c r="J4125" s="909" t="s">
        <v>277</v>
      </c>
      <c r="K4125" s="922">
        <f>'Ele Data'!I732</f>
        <v>74.22399999999999</v>
      </c>
      <c r="L4125" s="923" t="s">
        <v>2308</v>
      </c>
      <c r="M4125" s="924">
        <f>ROUND(I4125*K4125,0)</f>
        <v>0</v>
      </c>
      <c r="N4125" s="900" t="s">
        <v>2308</v>
      </c>
    </row>
    <row r="4126" spans="1:14" ht="44.25" hidden="1" customHeight="1">
      <c r="A4126" s="896">
        <v>10</v>
      </c>
      <c r="B4126" s="1609" t="s">
        <v>430</v>
      </c>
      <c r="C4126" s="1609"/>
      <c r="D4126" s="1609"/>
      <c r="E4126" s="1609"/>
      <c r="F4126" s="1609"/>
      <c r="G4126" s="1609"/>
      <c r="H4126" s="1609"/>
      <c r="I4126" s="897"/>
      <c r="J4126" s="898"/>
      <c r="K4126" s="896"/>
      <c r="L4126" s="896"/>
      <c r="M4126" s="899"/>
      <c r="N4126" s="900" t="s">
        <v>2308</v>
      </c>
    </row>
    <row r="4127" spans="1:14" s="910" customFormat="1" ht="16.5" hidden="1" customHeight="1">
      <c r="A4127" s="896"/>
      <c r="B4127" s="902" t="s">
        <v>2100</v>
      </c>
      <c r="C4127" s="903"/>
      <c r="D4127" s="904"/>
      <c r="E4127" s="905"/>
      <c r="F4127" s="906"/>
      <c r="G4127" s="906"/>
      <c r="H4127" s="907"/>
      <c r="I4127" s="908"/>
      <c r="J4127" s="909"/>
      <c r="K4127" s="902"/>
      <c r="L4127" s="896"/>
      <c r="M4127" s="902"/>
      <c r="N4127" s="900" t="s">
        <v>2308</v>
      </c>
    </row>
    <row r="4128" spans="1:14" s="910" customFormat="1" ht="16.5" hidden="1" customHeight="1">
      <c r="A4128" s="896"/>
      <c r="B4128" s="980"/>
      <c r="C4128" s="957">
        <v>1</v>
      </c>
      <c r="D4128" s="958" t="s">
        <v>273</v>
      </c>
      <c r="E4128" s="1268">
        <v>1</v>
      </c>
      <c r="F4128" s="1290">
        <v>25</v>
      </c>
      <c r="G4128" s="960">
        <v>0</v>
      </c>
      <c r="H4128" s="960">
        <v>0</v>
      </c>
      <c r="I4128" s="916">
        <f>ROUND(IF(AND(F4128:H4128),C4128*E4128*F4128*G4128*H4128,IF(AND(F4128,G4128),C4128*E4128*F4128*G4128,IF(AND(F4128,H4128),C4128*E4128*F4128*H4128,IF(AND(G4128,H4128),C4128*E4128*G4128*H4128,IF(F4128,C4128*E4128*F4128,IF(G4128,C4128*E4128*G4128,IF(H4128,C4128*E4128*H4128,C4128*E4128))))))),2)</f>
        <v>25</v>
      </c>
      <c r="J4128" s="909" t="s">
        <v>277</v>
      </c>
      <c r="K4128" s="902"/>
      <c r="L4128" s="896"/>
      <c r="M4128" s="902"/>
      <c r="N4128" s="900" t="s">
        <v>2308</v>
      </c>
    </row>
    <row r="4129" spans="1:14" s="910" customFormat="1" ht="16.5" hidden="1" customHeight="1">
      <c r="A4129" s="896"/>
      <c r="B4129" s="980"/>
      <c r="C4129" s="957"/>
      <c r="D4129" s="958"/>
      <c r="E4129" s="1268"/>
      <c r="F4129" s="1290"/>
      <c r="G4129" s="960"/>
      <c r="H4129" s="960"/>
      <c r="I4129" s="916"/>
      <c r="J4129" s="909"/>
      <c r="K4129" s="902"/>
      <c r="L4129" s="896"/>
      <c r="M4129" s="902"/>
      <c r="N4129" s="900" t="s">
        <v>2308</v>
      </c>
    </row>
    <row r="4130" spans="1:14" ht="15.75" hidden="1">
      <c r="A4130" s="896"/>
      <c r="B4130" s="902"/>
      <c r="C4130" s="917"/>
      <c r="D4130" s="918"/>
      <c r="E4130" s="919"/>
      <c r="F4130" s="920"/>
      <c r="G4130" s="921"/>
      <c r="H4130" s="896"/>
      <c r="I4130" s="916"/>
      <c r="J4130" s="909" t="s">
        <v>277</v>
      </c>
      <c r="K4130" s="922">
        <f>'Ele Data'!I742</f>
        <v>112.78</v>
      </c>
      <c r="L4130" s="923" t="s">
        <v>2308</v>
      </c>
      <c r="M4130" s="924">
        <f>ROUND(I4130*K4130,0)</f>
        <v>0</v>
      </c>
      <c r="N4130" s="900" t="s">
        <v>2308</v>
      </c>
    </row>
    <row r="4131" spans="1:14" ht="44.25" hidden="1" customHeight="1">
      <c r="A4131" s="896">
        <v>10</v>
      </c>
      <c r="B4131" s="1609" t="s">
        <v>882</v>
      </c>
      <c r="C4131" s="1609"/>
      <c r="D4131" s="1609"/>
      <c r="E4131" s="1609"/>
      <c r="F4131" s="1609"/>
      <c r="G4131" s="1609"/>
      <c r="H4131" s="1609"/>
      <c r="I4131" s="897"/>
      <c r="J4131" s="898"/>
      <c r="K4131" s="896"/>
      <c r="L4131" s="896"/>
      <c r="M4131" s="899"/>
      <c r="N4131" s="900" t="s">
        <v>2308</v>
      </c>
    </row>
    <row r="4132" spans="1:14" s="910" customFormat="1" ht="16.5" hidden="1" customHeight="1">
      <c r="A4132" s="896"/>
      <c r="B4132" s="902" t="s">
        <v>2346</v>
      </c>
      <c r="C4132" s="903"/>
      <c r="D4132" s="904"/>
      <c r="E4132" s="905"/>
      <c r="F4132" s="906"/>
      <c r="G4132" s="906"/>
      <c r="H4132" s="907"/>
      <c r="I4132" s="908"/>
      <c r="J4132" s="909"/>
      <c r="K4132" s="902"/>
      <c r="L4132" s="896"/>
      <c r="M4132" s="902"/>
      <c r="N4132" s="900" t="s">
        <v>2308</v>
      </c>
    </row>
    <row r="4133" spans="1:14" s="910" customFormat="1" ht="16.5" hidden="1" customHeight="1">
      <c r="A4133" s="896"/>
      <c r="B4133" s="980"/>
      <c r="C4133" s="912">
        <v>1</v>
      </c>
      <c r="D4133" s="913" t="s">
        <v>273</v>
      </c>
      <c r="E4133" s="914">
        <v>1</v>
      </c>
      <c r="F4133" s="1289">
        <v>30</v>
      </c>
      <c r="G4133" s="915">
        <v>0</v>
      </c>
      <c r="H4133" s="915">
        <v>0</v>
      </c>
      <c r="I4133" s="916">
        <f>ROUND(IF(AND(F4133:H4133),C4133*E4133*F4133*G4133*H4133,IF(AND(F4133,G4133),C4133*E4133*F4133*G4133,IF(AND(F4133,H4133),C4133*E4133*F4133*H4133,IF(AND(G4133,H4133),C4133*E4133*G4133*H4133,IF(F4133,C4133*E4133*F4133,IF(G4133,C4133*E4133*G4133,IF(H4133,C4133*E4133*H4133,C4133*E4133))))))),2)</f>
        <v>30</v>
      </c>
      <c r="J4133" s="909" t="s">
        <v>277</v>
      </c>
      <c r="K4133" s="902"/>
      <c r="L4133" s="896"/>
      <c r="M4133" s="902"/>
      <c r="N4133" s="900" t="s">
        <v>2308</v>
      </c>
    </row>
    <row r="4134" spans="1:14" s="910" customFormat="1" ht="16.5" hidden="1" customHeight="1">
      <c r="A4134" s="896"/>
      <c r="B4134" s="980"/>
      <c r="C4134" s="912"/>
      <c r="D4134" s="913"/>
      <c r="E4134" s="914"/>
      <c r="F4134" s="1289"/>
      <c r="G4134" s="915"/>
      <c r="H4134" s="915"/>
      <c r="I4134" s="916"/>
      <c r="J4134" s="909"/>
      <c r="K4134" s="902"/>
      <c r="L4134" s="896"/>
      <c r="M4134" s="902"/>
      <c r="N4134" s="900" t="s">
        <v>2308</v>
      </c>
    </row>
    <row r="4135" spans="1:14" ht="15.75" hidden="1">
      <c r="A4135" s="896"/>
      <c r="B4135" s="902"/>
      <c r="C4135" s="917"/>
      <c r="D4135" s="918"/>
      <c r="E4135" s="919"/>
      <c r="F4135" s="920"/>
      <c r="G4135" s="921"/>
      <c r="H4135" s="896"/>
      <c r="I4135" s="916"/>
      <c r="J4135" s="909" t="s">
        <v>277</v>
      </c>
      <c r="K4135" s="922">
        <f>'Ele Data'!I753</f>
        <v>56.313999999999993</v>
      </c>
      <c r="L4135" s="923" t="s">
        <v>2308</v>
      </c>
      <c r="M4135" s="924">
        <f>ROUND(I4135*K4135,0)</f>
        <v>0</v>
      </c>
      <c r="N4135" s="900" t="s">
        <v>2308</v>
      </c>
    </row>
    <row r="4136" spans="1:14" ht="22.5" hidden="1" customHeight="1">
      <c r="A4136" s="896">
        <v>11</v>
      </c>
      <c r="B4136" s="1609" t="s">
        <v>437</v>
      </c>
      <c r="C4136" s="1609"/>
      <c r="D4136" s="1609"/>
      <c r="E4136" s="1609"/>
      <c r="F4136" s="1609"/>
      <c r="G4136" s="1609"/>
      <c r="H4136" s="1609"/>
      <c r="I4136" s="897"/>
      <c r="J4136" s="898"/>
      <c r="K4136" s="896"/>
      <c r="L4136" s="896"/>
      <c r="M4136" s="899"/>
      <c r="N4136" s="900" t="s">
        <v>2308</v>
      </c>
    </row>
    <row r="4137" spans="1:14" s="910" customFormat="1" ht="16.5" hidden="1" customHeight="1">
      <c r="A4137" s="896"/>
      <c r="B4137" s="902" t="s">
        <v>2349</v>
      </c>
      <c r="C4137" s="903"/>
      <c r="D4137" s="904"/>
      <c r="E4137" s="905"/>
      <c r="F4137" s="906"/>
      <c r="G4137" s="906"/>
      <c r="H4137" s="907"/>
      <c r="I4137" s="908"/>
      <c r="J4137" s="909"/>
      <c r="K4137" s="902"/>
      <c r="L4137" s="896"/>
      <c r="M4137" s="902"/>
      <c r="N4137" s="900" t="s">
        <v>2308</v>
      </c>
    </row>
    <row r="4138" spans="1:14" s="910" customFormat="1" ht="16.5" hidden="1" customHeight="1">
      <c r="A4138" s="896"/>
      <c r="B4138" s="980" t="s">
        <v>2080</v>
      </c>
      <c r="C4138" s="957">
        <v>1</v>
      </c>
      <c r="D4138" s="958" t="s">
        <v>273</v>
      </c>
      <c r="E4138" s="1268">
        <v>13</v>
      </c>
      <c r="F4138" s="960">
        <v>0</v>
      </c>
      <c r="G4138" s="960">
        <v>0</v>
      </c>
      <c r="H4138" s="960">
        <v>0</v>
      </c>
      <c r="I4138" s="1291">
        <f>ROUND(IF(AND(F4138:H4138),C4138*E4138*F4138*G4138*H4138,IF(AND(F4138,G4138),C4138*E4138*F4138*G4138,IF(AND(F4138,H4138),C4138*E4138*F4138*H4138,IF(AND(G4138,H4138),C4138*E4138*G4138*H4138,IF(F4138,C4138*E4138*F4138,IF(G4138,C4138*E4138*G4138,IF(H4138,C4138*E4138*H4138,C4138*E4138))))))),2)</f>
        <v>13</v>
      </c>
      <c r="J4138" s="909" t="s">
        <v>115</v>
      </c>
      <c r="K4138" s="902"/>
      <c r="L4138" s="896"/>
      <c r="M4138" s="902"/>
      <c r="N4138" s="900" t="s">
        <v>2308</v>
      </c>
    </row>
    <row r="4139" spans="1:14" s="910" customFormat="1" ht="16.5" hidden="1" customHeight="1">
      <c r="A4139" s="896"/>
      <c r="B4139" s="980"/>
      <c r="C4139" s="957"/>
      <c r="D4139" s="958"/>
      <c r="E4139" s="1268"/>
      <c r="F4139" s="960"/>
      <c r="G4139" s="960"/>
      <c r="H4139" s="960"/>
      <c r="I4139" s="916"/>
      <c r="J4139" s="909"/>
      <c r="K4139" s="902"/>
      <c r="L4139" s="896"/>
      <c r="M4139" s="902"/>
      <c r="N4139" s="900" t="s">
        <v>2308</v>
      </c>
    </row>
    <row r="4140" spans="1:14" ht="15.75" hidden="1">
      <c r="A4140" s="896"/>
      <c r="B4140" s="902"/>
      <c r="C4140" s="917"/>
      <c r="D4140" s="918"/>
      <c r="E4140" s="919"/>
      <c r="F4140" s="920"/>
      <c r="G4140" s="921"/>
      <c r="H4140" s="896"/>
      <c r="I4140" s="1291"/>
      <c r="J4140" s="909" t="s">
        <v>115</v>
      </c>
      <c r="K4140" s="922">
        <f>'Ele Data'!I629</f>
        <v>209</v>
      </c>
      <c r="L4140" s="923" t="s">
        <v>2308</v>
      </c>
      <c r="M4140" s="924">
        <f>ROUND(I4140*K4140,0)</f>
        <v>0</v>
      </c>
      <c r="N4140" s="900" t="s">
        <v>2308</v>
      </c>
    </row>
    <row r="4141" spans="1:14" ht="22.5" hidden="1" customHeight="1">
      <c r="A4141" s="896">
        <v>12</v>
      </c>
      <c r="B4141" s="1609" t="s">
        <v>615</v>
      </c>
      <c r="C4141" s="1609"/>
      <c r="D4141" s="1609"/>
      <c r="E4141" s="1609"/>
      <c r="F4141" s="1609"/>
      <c r="G4141" s="1609"/>
      <c r="H4141" s="1609"/>
      <c r="I4141" s="897"/>
      <c r="J4141" s="898"/>
      <c r="K4141" s="896"/>
      <c r="L4141" s="896"/>
      <c r="M4141" s="899"/>
      <c r="N4141" s="900" t="s">
        <v>2308</v>
      </c>
    </row>
    <row r="4142" spans="1:14" s="910" customFormat="1" ht="16.5" hidden="1" customHeight="1">
      <c r="A4142" s="896"/>
      <c r="B4142" s="902" t="s">
        <v>2349</v>
      </c>
      <c r="C4142" s="903"/>
      <c r="D4142" s="904"/>
      <c r="E4142" s="905"/>
      <c r="F4142" s="906"/>
      <c r="G4142" s="906"/>
      <c r="H4142" s="907"/>
      <c r="I4142" s="908"/>
      <c r="J4142" s="909"/>
      <c r="K4142" s="902"/>
      <c r="L4142" s="896"/>
      <c r="M4142" s="902"/>
      <c r="N4142" s="900" t="s">
        <v>2308</v>
      </c>
    </row>
    <row r="4143" spans="1:14" s="910" customFormat="1" ht="16.5" hidden="1" customHeight="1">
      <c r="A4143" s="896"/>
      <c r="B4143" s="980" t="s">
        <v>2080</v>
      </c>
      <c r="C4143" s="957">
        <v>1</v>
      </c>
      <c r="D4143" s="958" t="s">
        <v>273</v>
      </c>
      <c r="E4143" s="1268">
        <v>4</v>
      </c>
      <c r="F4143" s="960">
        <v>0</v>
      </c>
      <c r="G4143" s="960">
        <v>0</v>
      </c>
      <c r="H4143" s="960">
        <v>0</v>
      </c>
      <c r="I4143" s="1291">
        <f>ROUND(IF(AND(F4143:H4143),C4143*E4143*F4143*G4143*H4143,IF(AND(F4143,G4143),C4143*E4143*F4143*G4143,IF(AND(F4143,H4143),C4143*E4143*F4143*H4143,IF(AND(G4143,H4143),C4143*E4143*G4143*H4143,IF(F4143,C4143*E4143*F4143,IF(G4143,C4143*E4143*G4143,IF(H4143,C4143*E4143*H4143,C4143*E4143))))))),2)</f>
        <v>4</v>
      </c>
      <c r="J4143" s="909" t="s">
        <v>115</v>
      </c>
      <c r="K4143" s="902"/>
      <c r="L4143" s="896"/>
      <c r="M4143" s="902"/>
      <c r="N4143" s="900" t="s">
        <v>2308</v>
      </c>
    </row>
    <row r="4144" spans="1:14" s="910" customFormat="1" ht="16.5" hidden="1" customHeight="1">
      <c r="A4144" s="896"/>
      <c r="B4144" s="980"/>
      <c r="C4144" s="957"/>
      <c r="D4144" s="958"/>
      <c r="E4144" s="1268"/>
      <c r="F4144" s="960"/>
      <c r="G4144" s="960"/>
      <c r="H4144" s="960"/>
      <c r="I4144" s="916"/>
      <c r="J4144" s="909"/>
      <c r="K4144" s="902"/>
      <c r="L4144" s="896"/>
      <c r="M4144" s="902"/>
      <c r="N4144" s="900" t="s">
        <v>2308</v>
      </c>
    </row>
    <row r="4145" spans="1:14" ht="15.75" hidden="1">
      <c r="A4145" s="896"/>
      <c r="B4145" s="902"/>
      <c r="C4145" s="917"/>
      <c r="D4145" s="918"/>
      <c r="E4145" s="919"/>
      <c r="F4145" s="920"/>
      <c r="G4145" s="921"/>
      <c r="H4145" s="896"/>
      <c r="I4145" s="1291"/>
      <c r="J4145" s="909" t="s">
        <v>115</v>
      </c>
      <c r="K4145" s="922">
        <f>'Ele Data'!I632</f>
        <v>171</v>
      </c>
      <c r="L4145" s="923" t="s">
        <v>2308</v>
      </c>
      <c r="M4145" s="924">
        <f>ROUND(I4145*K4145,0)</f>
        <v>0</v>
      </c>
      <c r="N4145" s="900" t="s">
        <v>2308</v>
      </c>
    </row>
    <row r="4146" spans="1:14" ht="22.5" hidden="1" customHeight="1">
      <c r="A4146" s="896">
        <v>13</v>
      </c>
      <c r="B4146" s="1609" t="s">
        <v>694</v>
      </c>
      <c r="C4146" s="1609"/>
      <c r="D4146" s="1609"/>
      <c r="E4146" s="1609"/>
      <c r="F4146" s="1609"/>
      <c r="G4146" s="1609"/>
      <c r="H4146" s="1609"/>
      <c r="I4146" s="897"/>
      <c r="J4146" s="898"/>
      <c r="K4146" s="896"/>
      <c r="L4146" s="896"/>
      <c r="M4146" s="899"/>
      <c r="N4146" s="900" t="s">
        <v>2308</v>
      </c>
    </row>
    <row r="4147" spans="1:14" s="910" customFormat="1" ht="16.5" hidden="1" customHeight="1">
      <c r="A4147" s="896"/>
      <c r="B4147" s="902" t="s">
        <v>2349</v>
      </c>
      <c r="C4147" s="903"/>
      <c r="D4147" s="904"/>
      <c r="E4147" s="905"/>
      <c r="F4147" s="906"/>
      <c r="G4147" s="906"/>
      <c r="H4147" s="907"/>
      <c r="I4147" s="908"/>
      <c r="J4147" s="909"/>
      <c r="K4147" s="902"/>
      <c r="L4147" s="896"/>
      <c r="M4147" s="902"/>
      <c r="N4147" s="900" t="s">
        <v>2308</v>
      </c>
    </row>
    <row r="4148" spans="1:14" s="910" customFormat="1" ht="16.5" hidden="1" customHeight="1">
      <c r="A4148" s="896"/>
      <c r="B4148" s="980" t="s">
        <v>2080</v>
      </c>
      <c r="C4148" s="957">
        <v>1</v>
      </c>
      <c r="D4148" s="958" t="s">
        <v>273</v>
      </c>
      <c r="E4148" s="1268">
        <v>14</v>
      </c>
      <c r="F4148" s="960">
        <v>0</v>
      </c>
      <c r="G4148" s="960">
        <v>0</v>
      </c>
      <c r="H4148" s="960">
        <v>0</v>
      </c>
      <c r="I4148" s="1291">
        <f>ROUND(IF(AND(F4148:H4148),C4148*E4148*F4148*G4148*H4148,IF(AND(F4148,G4148),C4148*E4148*F4148*G4148,IF(AND(F4148,H4148),C4148*E4148*F4148*H4148,IF(AND(G4148,H4148),C4148*E4148*G4148*H4148,IF(F4148,C4148*E4148*F4148,IF(G4148,C4148*E4148*G4148,IF(H4148,C4148*E4148*H4148,C4148*E4148))))))),2)</f>
        <v>14</v>
      </c>
      <c r="J4148" s="909" t="s">
        <v>115</v>
      </c>
      <c r="K4148" s="902"/>
      <c r="L4148" s="896"/>
      <c r="M4148" s="902"/>
      <c r="N4148" s="900" t="s">
        <v>2308</v>
      </c>
    </row>
    <row r="4149" spans="1:14" s="910" customFormat="1" ht="16.5" hidden="1" customHeight="1">
      <c r="A4149" s="896"/>
      <c r="B4149" s="980"/>
      <c r="C4149" s="957"/>
      <c r="D4149" s="958"/>
      <c r="E4149" s="1268"/>
      <c r="F4149" s="960"/>
      <c r="G4149" s="960"/>
      <c r="H4149" s="960"/>
      <c r="I4149" s="916"/>
      <c r="J4149" s="909"/>
      <c r="K4149" s="902"/>
      <c r="L4149" s="896"/>
      <c r="M4149" s="902"/>
      <c r="N4149" s="900" t="s">
        <v>2308</v>
      </c>
    </row>
    <row r="4150" spans="1:14" ht="15.75" hidden="1">
      <c r="A4150" s="896"/>
      <c r="B4150" s="902"/>
      <c r="C4150" s="917"/>
      <c r="D4150" s="918"/>
      <c r="E4150" s="919"/>
      <c r="F4150" s="920"/>
      <c r="G4150" s="921"/>
      <c r="H4150" s="896"/>
      <c r="I4150" s="1291"/>
      <c r="J4150" s="909" t="s">
        <v>115</v>
      </c>
      <c r="K4150" s="922">
        <f>'Ele Data'!I635</f>
        <v>132</v>
      </c>
      <c r="L4150" s="923" t="s">
        <v>2308</v>
      </c>
      <c r="M4150" s="924">
        <f>ROUND(I4150*K4150,0)</f>
        <v>0</v>
      </c>
      <c r="N4150" s="900" t="s">
        <v>2308</v>
      </c>
    </row>
    <row r="4151" spans="1:14" ht="15" hidden="1" customHeight="1">
      <c r="A4151" s="896">
        <v>14</v>
      </c>
      <c r="B4151" s="1609" t="s">
        <v>617</v>
      </c>
      <c r="C4151" s="1609"/>
      <c r="D4151" s="1609"/>
      <c r="E4151" s="1609"/>
      <c r="F4151" s="1609"/>
      <c r="G4151" s="1609"/>
      <c r="H4151" s="1609"/>
      <c r="I4151" s="897"/>
      <c r="J4151" s="898"/>
      <c r="K4151" s="896"/>
      <c r="L4151" s="896"/>
      <c r="M4151" s="899"/>
      <c r="N4151" s="900" t="s">
        <v>2308</v>
      </c>
    </row>
    <row r="4152" spans="1:14" s="910" customFormat="1" ht="16.5" hidden="1" customHeight="1">
      <c r="A4152" s="896"/>
      <c r="B4152" s="980" t="s">
        <v>607</v>
      </c>
      <c r="C4152" s="903"/>
      <c r="D4152" s="904"/>
      <c r="E4152" s="905"/>
      <c r="F4152" s="906"/>
      <c r="G4152" s="906"/>
      <c r="H4152" s="907"/>
      <c r="I4152" s="908"/>
      <c r="J4152" s="909"/>
      <c r="K4152" s="902"/>
      <c r="L4152" s="896"/>
      <c r="M4152" s="902"/>
      <c r="N4152" s="900" t="s">
        <v>2308</v>
      </c>
    </row>
    <row r="4153" spans="1:14" s="910" customFormat="1" ht="16.5" hidden="1" customHeight="1">
      <c r="A4153" s="896"/>
      <c r="B4153" s="980" t="s">
        <v>1216</v>
      </c>
      <c r="C4153" s="957">
        <v>2</v>
      </c>
      <c r="D4153" s="958" t="s">
        <v>273</v>
      </c>
      <c r="E4153" s="1268">
        <v>1</v>
      </c>
      <c r="F4153" s="960">
        <v>0</v>
      </c>
      <c r="G4153" s="960">
        <v>0</v>
      </c>
      <c r="H4153" s="960">
        <v>0</v>
      </c>
      <c r="I4153" s="1291">
        <f>ROUND(IF(AND(F4153:H4153),C4153*E4153*F4153*G4153*H4153,IF(AND(F4153,G4153),C4153*E4153*F4153*G4153,IF(AND(F4153,H4153),C4153*E4153*F4153*H4153,IF(AND(G4153,H4153),C4153*E4153*G4153*H4153,IF(F4153,C4153*E4153*F4153,IF(G4153,C4153*E4153*G4153,IF(H4153,C4153*E4153*H4153,C4153*E4153))))))),2)</f>
        <v>2</v>
      </c>
      <c r="J4153" s="909" t="s">
        <v>115</v>
      </c>
      <c r="K4153" s="902"/>
      <c r="L4153" s="896"/>
      <c r="M4153" s="902"/>
      <c r="N4153" s="900" t="s">
        <v>2308</v>
      </c>
    </row>
    <row r="4154" spans="1:14" s="910" customFormat="1" ht="16.5" hidden="1" customHeight="1">
      <c r="A4154" s="896"/>
      <c r="B4154" s="980"/>
      <c r="C4154" s="957"/>
      <c r="D4154" s="958"/>
      <c r="E4154" s="1268"/>
      <c r="F4154" s="960"/>
      <c r="G4154" s="960"/>
      <c r="H4154" s="960"/>
      <c r="I4154" s="1291"/>
      <c r="J4154" s="909"/>
      <c r="K4154" s="902"/>
      <c r="L4154" s="896"/>
      <c r="M4154" s="902"/>
      <c r="N4154" s="900" t="s">
        <v>2308</v>
      </c>
    </row>
    <row r="4155" spans="1:14" ht="15.75" hidden="1">
      <c r="A4155" s="896"/>
      <c r="B4155" s="902"/>
      <c r="C4155" s="917"/>
      <c r="D4155" s="918"/>
      <c r="E4155" s="919"/>
      <c r="F4155" s="920"/>
      <c r="G4155" s="921"/>
      <c r="H4155" s="896"/>
      <c r="I4155" s="1291"/>
      <c r="J4155" s="909" t="s">
        <v>115</v>
      </c>
      <c r="K4155" s="922">
        <f>'Ele Data'!I642</f>
        <v>341</v>
      </c>
      <c r="L4155" s="923" t="s">
        <v>2308</v>
      </c>
      <c r="M4155" s="924">
        <f>ROUND(I4155*K4155,0)</f>
        <v>0</v>
      </c>
      <c r="N4155" s="900" t="s">
        <v>2308</v>
      </c>
    </row>
    <row r="4156" spans="1:14" ht="22.5" hidden="1" customHeight="1">
      <c r="A4156" s="896">
        <v>14</v>
      </c>
      <c r="B4156" s="1609" t="s">
        <v>792</v>
      </c>
      <c r="C4156" s="1609"/>
      <c r="D4156" s="1609"/>
      <c r="E4156" s="1609"/>
      <c r="F4156" s="1609"/>
      <c r="G4156" s="1609"/>
      <c r="H4156" s="1609"/>
      <c r="I4156" s="897"/>
      <c r="J4156" s="898"/>
      <c r="K4156" s="896"/>
      <c r="L4156" s="896"/>
      <c r="M4156" s="899"/>
      <c r="N4156" s="900" t="s">
        <v>2308</v>
      </c>
    </row>
    <row r="4157" spans="1:14" s="910" customFormat="1" ht="16.5" hidden="1" customHeight="1">
      <c r="A4157" s="896"/>
      <c r="B4157" s="902" t="s">
        <v>2349</v>
      </c>
      <c r="C4157" s="903"/>
      <c r="D4157" s="904"/>
      <c r="E4157" s="905"/>
      <c r="F4157" s="906"/>
      <c r="G4157" s="906"/>
      <c r="H4157" s="907"/>
      <c r="I4157" s="908"/>
      <c r="J4157" s="909"/>
      <c r="K4157" s="902"/>
      <c r="L4157" s="896"/>
      <c r="M4157" s="902"/>
      <c r="N4157" s="900" t="s">
        <v>2308</v>
      </c>
    </row>
    <row r="4158" spans="1:14" s="910" customFormat="1" ht="16.5" hidden="1" customHeight="1">
      <c r="A4158" s="896"/>
      <c r="B4158" s="980" t="s">
        <v>2080</v>
      </c>
      <c r="C4158" s="957">
        <v>1</v>
      </c>
      <c r="D4158" s="958" t="s">
        <v>273</v>
      </c>
      <c r="E4158" s="1268">
        <v>3</v>
      </c>
      <c r="F4158" s="960">
        <v>0</v>
      </c>
      <c r="G4158" s="960">
        <v>0</v>
      </c>
      <c r="H4158" s="960">
        <v>0</v>
      </c>
      <c r="I4158" s="1291">
        <f>ROUND(IF(AND(F4158:H4158),C4158*E4158*F4158*G4158*H4158,IF(AND(F4158,G4158),C4158*E4158*F4158*G4158,IF(AND(F4158,H4158),C4158*E4158*F4158*H4158,IF(AND(G4158,H4158),C4158*E4158*G4158*H4158,IF(F4158,C4158*E4158*F4158,IF(G4158,C4158*E4158*G4158,IF(H4158,C4158*E4158*H4158,C4158*E4158))))))),2)</f>
        <v>3</v>
      </c>
      <c r="J4158" s="909" t="s">
        <v>115</v>
      </c>
      <c r="K4158" s="902"/>
      <c r="L4158" s="896"/>
      <c r="M4158" s="902"/>
      <c r="N4158" s="900" t="s">
        <v>2308</v>
      </c>
    </row>
    <row r="4159" spans="1:14" s="910" customFormat="1" ht="16.5" hidden="1" customHeight="1">
      <c r="A4159" s="896"/>
      <c r="B4159" s="980"/>
      <c r="C4159" s="957"/>
      <c r="D4159" s="958"/>
      <c r="E4159" s="1268"/>
      <c r="F4159" s="960"/>
      <c r="G4159" s="960"/>
      <c r="H4159" s="960"/>
      <c r="I4159" s="1291"/>
      <c r="J4159" s="909"/>
      <c r="K4159" s="902"/>
      <c r="L4159" s="896"/>
      <c r="M4159" s="902"/>
      <c r="N4159" s="900" t="s">
        <v>2308</v>
      </c>
    </row>
    <row r="4160" spans="1:14" ht="15.75" hidden="1">
      <c r="A4160" s="896"/>
      <c r="B4160" s="902"/>
      <c r="C4160" s="917"/>
      <c r="D4160" s="918"/>
      <c r="E4160" s="919"/>
      <c r="F4160" s="920"/>
      <c r="G4160" s="921"/>
      <c r="H4160" s="896"/>
      <c r="I4160" s="1291"/>
      <c r="J4160" s="909" t="s">
        <v>115</v>
      </c>
      <c r="K4160" s="922">
        <f>'Ele Data'!I638</f>
        <v>88</v>
      </c>
      <c r="L4160" s="923" t="s">
        <v>2308</v>
      </c>
      <c r="M4160" s="924">
        <f>ROUND(I4160*K4160,0)</f>
        <v>0</v>
      </c>
      <c r="N4160" s="900" t="s">
        <v>2308</v>
      </c>
    </row>
    <row r="4161" spans="1:14" ht="22.5" hidden="1" customHeight="1">
      <c r="A4161" s="896">
        <v>16</v>
      </c>
      <c r="B4161" s="1609" t="s">
        <v>439</v>
      </c>
      <c r="C4161" s="1609"/>
      <c r="D4161" s="1609"/>
      <c r="E4161" s="1609"/>
      <c r="F4161" s="1609"/>
      <c r="G4161" s="1609"/>
      <c r="H4161" s="1609"/>
      <c r="I4161" s="897"/>
      <c r="J4161" s="898"/>
      <c r="K4161" s="896"/>
      <c r="L4161" s="896"/>
      <c r="M4161" s="899"/>
      <c r="N4161" s="900" t="s">
        <v>2308</v>
      </c>
    </row>
    <row r="4162" spans="1:14" s="910" customFormat="1" ht="16.5" hidden="1" customHeight="1">
      <c r="A4162" s="896"/>
      <c r="B4162" s="902" t="s">
        <v>2100</v>
      </c>
      <c r="C4162" s="903"/>
      <c r="D4162" s="904"/>
      <c r="E4162" s="905"/>
      <c r="F4162" s="906"/>
      <c r="G4162" s="906"/>
      <c r="H4162" s="907"/>
      <c r="I4162" s="908"/>
      <c r="J4162" s="909"/>
      <c r="K4162" s="902"/>
      <c r="L4162" s="896"/>
      <c r="M4162" s="902"/>
      <c r="N4162" s="900" t="s">
        <v>2308</v>
      </c>
    </row>
    <row r="4163" spans="1:14" s="910" customFormat="1" ht="16.5" hidden="1" customHeight="1">
      <c r="A4163" s="896"/>
      <c r="B4163" s="980" t="s">
        <v>2080</v>
      </c>
      <c r="C4163" s="957">
        <v>1</v>
      </c>
      <c r="D4163" s="958" t="s">
        <v>273</v>
      </c>
      <c r="E4163" s="1268">
        <v>12</v>
      </c>
      <c r="F4163" s="960">
        <v>0</v>
      </c>
      <c r="G4163" s="960">
        <v>0</v>
      </c>
      <c r="H4163" s="960">
        <v>0</v>
      </c>
      <c r="I4163" s="1291">
        <f>ROUND(IF(AND(F4163:H4163),C4163*E4163*F4163*G4163*H4163,IF(AND(F4163,G4163),C4163*E4163*F4163*G4163,IF(AND(F4163,H4163),C4163*E4163*F4163*H4163,IF(AND(G4163,H4163),C4163*E4163*G4163*H4163,IF(F4163,C4163*E4163*F4163,IF(G4163,C4163*E4163*G4163,IF(H4163,C4163*E4163*H4163,C4163*E4163))))))),2)</f>
        <v>12</v>
      </c>
      <c r="J4163" s="909" t="s">
        <v>115</v>
      </c>
      <c r="K4163" s="902"/>
      <c r="L4163" s="896"/>
      <c r="M4163" s="902"/>
      <c r="N4163" s="900" t="s">
        <v>2308</v>
      </c>
    </row>
    <row r="4164" spans="1:14" s="910" customFormat="1" ht="16.5" hidden="1" customHeight="1">
      <c r="A4164" s="896"/>
      <c r="B4164" s="980"/>
      <c r="C4164" s="957"/>
      <c r="D4164" s="958"/>
      <c r="E4164" s="1268"/>
      <c r="F4164" s="960"/>
      <c r="G4164" s="960"/>
      <c r="H4164" s="960"/>
      <c r="I4164" s="916"/>
      <c r="J4164" s="909"/>
      <c r="K4164" s="902"/>
      <c r="L4164" s="896"/>
      <c r="M4164" s="902"/>
      <c r="N4164" s="900" t="s">
        <v>2308</v>
      </c>
    </row>
    <row r="4165" spans="1:14" ht="15.75" hidden="1">
      <c r="A4165" s="896"/>
      <c r="B4165" s="902"/>
      <c r="C4165" s="917"/>
      <c r="D4165" s="918"/>
      <c r="E4165" s="919"/>
      <c r="F4165" s="920"/>
      <c r="G4165" s="921"/>
      <c r="H4165" s="896"/>
      <c r="I4165" s="1291"/>
      <c r="J4165" s="909" t="s">
        <v>115</v>
      </c>
      <c r="K4165" s="922">
        <f>'Ele Data'!I645</f>
        <v>66</v>
      </c>
      <c r="L4165" s="923" t="s">
        <v>2308</v>
      </c>
      <c r="M4165" s="924">
        <f>ROUND(I4165*K4165,0)</f>
        <v>0</v>
      </c>
      <c r="N4165" s="900" t="s">
        <v>2308</v>
      </c>
    </row>
    <row r="4166" spans="1:14" ht="43.5" hidden="1" customHeight="1">
      <c r="A4166" s="896">
        <v>17</v>
      </c>
      <c r="B4166" s="1609" t="s">
        <v>1237</v>
      </c>
      <c r="C4166" s="1609"/>
      <c r="D4166" s="1609"/>
      <c r="E4166" s="1609"/>
      <c r="F4166" s="1609"/>
      <c r="G4166" s="1609"/>
      <c r="H4166" s="1609"/>
      <c r="I4166" s="897"/>
      <c r="J4166" s="898"/>
      <c r="K4166" s="896"/>
      <c r="L4166" s="896"/>
      <c r="M4166" s="899"/>
      <c r="N4166" s="900" t="s">
        <v>2308</v>
      </c>
    </row>
    <row r="4167" spans="1:14" s="910" customFormat="1" ht="16.5" hidden="1" customHeight="1">
      <c r="A4167" s="896"/>
      <c r="B4167" s="902" t="s">
        <v>2100</v>
      </c>
      <c r="C4167" s="903"/>
      <c r="D4167" s="904"/>
      <c r="E4167" s="905"/>
      <c r="F4167" s="906"/>
      <c r="G4167" s="906"/>
      <c r="H4167" s="907"/>
      <c r="I4167" s="908"/>
      <c r="J4167" s="909"/>
      <c r="K4167" s="902"/>
      <c r="L4167" s="896"/>
      <c r="M4167" s="902"/>
      <c r="N4167" s="900" t="s">
        <v>2308</v>
      </c>
    </row>
    <row r="4168" spans="1:14" s="910" customFormat="1" ht="16.5" hidden="1" customHeight="1">
      <c r="A4168" s="896"/>
      <c r="B4168" s="980" t="s">
        <v>2187</v>
      </c>
      <c r="C4168" s="912">
        <v>1</v>
      </c>
      <c r="D4168" s="913" t="s">
        <v>273</v>
      </c>
      <c r="E4168" s="914">
        <v>17</v>
      </c>
      <c r="F4168" s="915">
        <v>0</v>
      </c>
      <c r="G4168" s="915">
        <v>0</v>
      </c>
      <c r="H4168" s="915">
        <v>0</v>
      </c>
      <c r="I4168" s="1291">
        <f>ROUND(IF(AND(F4168:H4168),C4168*E4168*F4168*G4168*H4168,IF(AND(F4168,G4168),C4168*E4168*F4168*G4168,IF(AND(F4168,H4168),C4168*E4168*F4168*H4168,IF(AND(G4168,H4168),C4168*E4168*G4168*H4168,IF(F4168,C4168*E4168*F4168,IF(G4168,C4168*E4168*G4168,IF(H4168,C4168*E4168*H4168,C4168*E4168))))))),2)</f>
        <v>17</v>
      </c>
      <c r="J4168" s="909" t="s">
        <v>115</v>
      </c>
      <c r="K4168" s="902"/>
      <c r="L4168" s="896"/>
      <c r="M4168" s="902"/>
      <c r="N4168" s="900" t="s">
        <v>2308</v>
      </c>
    </row>
    <row r="4169" spans="1:14" s="910" customFormat="1" ht="16.5" hidden="1" customHeight="1">
      <c r="A4169" s="896"/>
      <c r="B4169" s="980"/>
      <c r="C4169" s="957"/>
      <c r="D4169" s="958"/>
      <c r="E4169" s="1268"/>
      <c r="F4169" s="960"/>
      <c r="G4169" s="960"/>
      <c r="H4169" s="960"/>
      <c r="I4169" s="916"/>
      <c r="J4169" s="909"/>
      <c r="K4169" s="902"/>
      <c r="L4169" s="896"/>
      <c r="M4169" s="902"/>
      <c r="N4169" s="900" t="s">
        <v>2308</v>
      </c>
    </row>
    <row r="4170" spans="1:14" ht="15.75" hidden="1">
      <c r="A4170" s="896"/>
      <c r="B4170" s="902"/>
      <c r="C4170" s="917"/>
      <c r="D4170" s="918"/>
      <c r="E4170" s="919"/>
      <c r="F4170" s="920"/>
      <c r="G4170" s="921"/>
      <c r="H4170" s="896"/>
      <c r="I4170" s="1291"/>
      <c r="J4170" s="909" t="s">
        <v>115</v>
      </c>
      <c r="K4170" s="922">
        <f>'Ele Data'!I694</f>
        <v>410</v>
      </c>
      <c r="L4170" s="923" t="s">
        <v>2308</v>
      </c>
      <c r="M4170" s="924">
        <f>ROUND(I4170*K4170,0)</f>
        <v>0</v>
      </c>
      <c r="N4170" s="900" t="s">
        <v>2308</v>
      </c>
    </row>
    <row r="4171" spans="1:14" ht="43.5" hidden="1" customHeight="1">
      <c r="A4171" s="896">
        <v>15</v>
      </c>
      <c r="B4171" s="1609" t="s">
        <v>432</v>
      </c>
      <c r="C4171" s="1609"/>
      <c r="D4171" s="1609"/>
      <c r="E4171" s="1609"/>
      <c r="F4171" s="1609"/>
      <c r="G4171" s="1609"/>
      <c r="H4171" s="1609"/>
      <c r="I4171" s="897"/>
      <c r="J4171" s="898"/>
      <c r="K4171" s="896"/>
      <c r="L4171" s="896"/>
      <c r="M4171" s="899"/>
      <c r="N4171" s="900" t="s">
        <v>2308</v>
      </c>
    </row>
    <row r="4172" spans="1:14" s="910" customFormat="1" ht="16.5" hidden="1" customHeight="1">
      <c r="A4172" s="896"/>
      <c r="B4172" s="902" t="s">
        <v>2316</v>
      </c>
      <c r="C4172" s="903"/>
      <c r="D4172" s="904"/>
      <c r="E4172" s="905"/>
      <c r="F4172" s="906"/>
      <c r="G4172" s="906"/>
      <c r="H4172" s="907"/>
      <c r="I4172" s="908"/>
      <c r="J4172" s="909"/>
      <c r="K4172" s="902"/>
      <c r="L4172" s="896"/>
      <c r="M4172" s="902"/>
      <c r="N4172" s="900" t="s">
        <v>2308</v>
      </c>
    </row>
    <row r="4173" spans="1:14" s="910" customFormat="1" ht="16.5" hidden="1" customHeight="1">
      <c r="A4173" s="896"/>
      <c r="B4173" s="980" t="s">
        <v>583</v>
      </c>
      <c r="C4173" s="912">
        <v>1</v>
      </c>
      <c r="D4173" s="913" t="s">
        <v>273</v>
      </c>
      <c r="E4173" s="914">
        <v>30</v>
      </c>
      <c r="F4173" s="915">
        <v>0</v>
      </c>
      <c r="G4173" s="915">
        <v>0</v>
      </c>
      <c r="H4173" s="915">
        <v>0</v>
      </c>
      <c r="I4173" s="1291">
        <f>ROUND(IF(AND(F4173:H4173),C4173*E4173*F4173*G4173*H4173,IF(AND(F4173,G4173),C4173*E4173*F4173*G4173,IF(AND(F4173,H4173),C4173*E4173*F4173*H4173,IF(AND(G4173,H4173),C4173*E4173*G4173*H4173,IF(F4173,C4173*E4173*F4173,IF(G4173,C4173*E4173*G4173,IF(H4173,C4173*E4173*H4173,C4173*E4173))))))),2)</f>
        <v>30</v>
      </c>
      <c r="J4173" s="909" t="s">
        <v>115</v>
      </c>
      <c r="K4173" s="902"/>
      <c r="L4173" s="896"/>
      <c r="M4173" s="902"/>
      <c r="N4173" s="900" t="s">
        <v>2308</v>
      </c>
    </row>
    <row r="4174" spans="1:14" s="910" customFormat="1" ht="16.5" hidden="1" customHeight="1">
      <c r="A4174" s="896"/>
      <c r="B4174" s="980" t="s">
        <v>584</v>
      </c>
      <c r="C4174" s="912">
        <v>1</v>
      </c>
      <c r="D4174" s="913" t="s">
        <v>273</v>
      </c>
      <c r="E4174" s="914">
        <v>15</v>
      </c>
      <c r="F4174" s="915">
        <v>0</v>
      </c>
      <c r="G4174" s="915">
        <v>0</v>
      </c>
      <c r="H4174" s="915">
        <v>0</v>
      </c>
      <c r="I4174" s="1291">
        <f>ROUND(IF(AND(F4174:H4174),C4174*E4174*F4174*G4174*H4174,IF(AND(F4174,G4174),C4174*E4174*F4174*G4174,IF(AND(F4174,H4174),C4174*E4174*F4174*H4174,IF(AND(G4174,H4174),C4174*E4174*G4174*H4174,IF(F4174,C4174*E4174*F4174,IF(G4174,C4174*E4174*G4174,IF(H4174,C4174*E4174*H4174,C4174*E4174))))))),2)</f>
        <v>15</v>
      </c>
      <c r="J4174" s="909" t="s">
        <v>115</v>
      </c>
      <c r="K4174" s="902"/>
      <c r="L4174" s="896"/>
      <c r="M4174" s="902"/>
      <c r="N4174" s="900" t="s">
        <v>2308</v>
      </c>
    </row>
    <row r="4175" spans="1:14" s="910" customFormat="1" ht="16.5" hidden="1" customHeight="1">
      <c r="A4175" s="896"/>
      <c r="B4175" s="980"/>
      <c r="C4175" s="957"/>
      <c r="D4175" s="958"/>
      <c r="E4175" s="1268"/>
      <c r="F4175" s="960"/>
      <c r="G4175" s="960"/>
      <c r="H4175" s="960"/>
      <c r="I4175" s="1291"/>
      <c r="J4175" s="909"/>
      <c r="K4175" s="902"/>
      <c r="L4175" s="896"/>
      <c r="M4175" s="902"/>
      <c r="N4175" s="900" t="s">
        <v>2308</v>
      </c>
    </row>
    <row r="4176" spans="1:14" ht="15.75" hidden="1">
      <c r="A4176" s="896"/>
      <c r="B4176" s="902"/>
      <c r="C4176" s="917"/>
      <c r="D4176" s="918"/>
      <c r="E4176" s="919"/>
      <c r="F4176" s="920"/>
      <c r="G4176" s="921"/>
      <c r="H4176" s="896"/>
      <c r="I4176" s="1291"/>
      <c r="J4176" s="909" t="s">
        <v>115</v>
      </c>
      <c r="K4176" s="922">
        <f>'Ele Data'!I685</f>
        <v>118.04</v>
      </c>
      <c r="L4176" s="923" t="s">
        <v>2308</v>
      </c>
      <c r="M4176" s="924">
        <f>ROUND(I4176*K4176,0)</f>
        <v>0</v>
      </c>
      <c r="N4176" s="900" t="s">
        <v>2308</v>
      </c>
    </row>
    <row r="4177" spans="1:14" ht="43.5" hidden="1" customHeight="1">
      <c r="A4177" s="896">
        <v>18</v>
      </c>
      <c r="B4177" s="1609" t="s">
        <v>620</v>
      </c>
      <c r="C4177" s="1609"/>
      <c r="D4177" s="1609"/>
      <c r="E4177" s="1609"/>
      <c r="F4177" s="1609"/>
      <c r="G4177" s="1609"/>
      <c r="H4177" s="1609"/>
      <c r="I4177" s="897"/>
      <c r="J4177" s="898"/>
      <c r="K4177" s="896"/>
      <c r="L4177" s="896"/>
      <c r="M4177" s="899"/>
      <c r="N4177" s="900" t="s">
        <v>2308</v>
      </c>
    </row>
    <row r="4178" spans="1:14" s="910" customFormat="1" ht="16.5" hidden="1" customHeight="1">
      <c r="A4178" s="896"/>
      <c r="B4178" s="980" t="s">
        <v>607</v>
      </c>
      <c r="C4178" s="903"/>
      <c r="D4178" s="904"/>
      <c r="E4178" s="905"/>
      <c r="F4178" s="906"/>
      <c r="G4178" s="906"/>
      <c r="H4178" s="907"/>
      <c r="I4178" s="908"/>
      <c r="J4178" s="909"/>
      <c r="K4178" s="902"/>
      <c r="L4178" s="896"/>
      <c r="M4178" s="902"/>
      <c r="N4178" s="900" t="s">
        <v>2308</v>
      </c>
    </row>
    <row r="4179" spans="1:14" s="910" customFormat="1" ht="16.5" hidden="1" customHeight="1">
      <c r="A4179" s="896"/>
      <c r="B4179" s="980"/>
      <c r="C4179" s="957">
        <v>1</v>
      </c>
      <c r="D4179" s="958" t="s">
        <v>273</v>
      </c>
      <c r="E4179" s="1268">
        <v>4</v>
      </c>
      <c r="F4179" s="960">
        <v>0</v>
      </c>
      <c r="G4179" s="960">
        <v>0</v>
      </c>
      <c r="H4179" s="960">
        <v>0</v>
      </c>
      <c r="I4179" s="1291">
        <f>ROUND(IF(AND(F4179:H4179),C4179*E4179*F4179*G4179*H4179,IF(AND(F4179,G4179),C4179*E4179*F4179*G4179,IF(AND(F4179,H4179),C4179*E4179*F4179*H4179,IF(AND(G4179,H4179),C4179*E4179*G4179*H4179,IF(F4179,C4179*E4179*F4179,IF(G4179,C4179*E4179*G4179,IF(H4179,C4179*E4179*H4179,C4179*E4179))))))),2)</f>
        <v>4</v>
      </c>
      <c r="J4179" s="909" t="s">
        <v>115</v>
      </c>
      <c r="K4179" s="902"/>
      <c r="L4179" s="896"/>
      <c r="M4179" s="902"/>
      <c r="N4179" s="900" t="s">
        <v>2308</v>
      </c>
    </row>
    <row r="4180" spans="1:14" s="910" customFormat="1" ht="16.5" hidden="1" customHeight="1">
      <c r="A4180" s="896"/>
      <c r="B4180" s="980"/>
      <c r="C4180" s="957"/>
      <c r="D4180" s="958"/>
      <c r="E4180" s="1268"/>
      <c r="F4180" s="960"/>
      <c r="G4180" s="960"/>
      <c r="H4180" s="960"/>
      <c r="I4180" s="1291"/>
      <c r="J4180" s="909"/>
      <c r="K4180" s="902"/>
      <c r="L4180" s="896"/>
      <c r="M4180" s="902"/>
      <c r="N4180" s="900" t="s">
        <v>2308</v>
      </c>
    </row>
    <row r="4181" spans="1:14" ht="15.75" hidden="1">
      <c r="A4181" s="896"/>
      <c r="B4181" s="902"/>
      <c r="C4181" s="917"/>
      <c r="D4181" s="918"/>
      <c r="E4181" s="919"/>
      <c r="F4181" s="920"/>
      <c r="G4181" s="921"/>
      <c r="H4181" s="896"/>
      <c r="I4181" s="1291"/>
      <c r="J4181" s="909" t="s">
        <v>115</v>
      </c>
      <c r="K4181" s="922">
        <f>'Ele Data'!I702</f>
        <v>112.04</v>
      </c>
      <c r="L4181" s="923" t="s">
        <v>2308</v>
      </c>
      <c r="M4181" s="924">
        <f>ROUND(I4181*K4181,0)</f>
        <v>0</v>
      </c>
      <c r="N4181" s="900" t="s">
        <v>2308</v>
      </c>
    </row>
    <row r="4182" spans="1:14" ht="19.5" hidden="1" customHeight="1">
      <c r="A4182" s="896">
        <v>19</v>
      </c>
      <c r="B4182" s="1609" t="s">
        <v>624</v>
      </c>
      <c r="C4182" s="1609"/>
      <c r="D4182" s="1609"/>
      <c r="E4182" s="1609"/>
      <c r="F4182" s="1609"/>
      <c r="G4182" s="1609"/>
      <c r="H4182" s="1609"/>
      <c r="I4182" s="897"/>
      <c r="J4182" s="898"/>
      <c r="K4182" s="896"/>
      <c r="L4182" s="896"/>
      <c r="M4182" s="899"/>
      <c r="N4182" s="900" t="s">
        <v>2308</v>
      </c>
    </row>
    <row r="4183" spans="1:14" s="910" customFormat="1" ht="16.5" hidden="1" customHeight="1">
      <c r="A4183" s="896"/>
      <c r="B4183" s="902" t="s">
        <v>2100</v>
      </c>
      <c r="C4183" s="903"/>
      <c r="D4183" s="904"/>
      <c r="E4183" s="905"/>
      <c r="F4183" s="906"/>
      <c r="G4183" s="906"/>
      <c r="H4183" s="907"/>
      <c r="I4183" s="908"/>
      <c r="J4183" s="909"/>
      <c r="K4183" s="902"/>
      <c r="L4183" s="896"/>
      <c r="M4183" s="902"/>
      <c r="N4183" s="900" t="s">
        <v>2308</v>
      </c>
    </row>
    <row r="4184" spans="1:14" s="910" customFormat="1" ht="16.5" hidden="1" customHeight="1">
      <c r="A4184" s="896"/>
      <c r="B4184" s="980" t="s">
        <v>2080</v>
      </c>
      <c r="C4184" s="957">
        <v>1</v>
      </c>
      <c r="D4184" s="958" t="s">
        <v>273</v>
      </c>
      <c r="E4184" s="1268">
        <v>7</v>
      </c>
      <c r="F4184" s="960">
        <v>0</v>
      </c>
      <c r="G4184" s="960">
        <v>0</v>
      </c>
      <c r="H4184" s="960">
        <v>0</v>
      </c>
      <c r="I4184" s="1291">
        <f>ROUND(IF(AND(F4184:H4184),C4184*E4184*F4184*G4184*H4184,IF(AND(F4184,G4184),C4184*E4184*F4184*G4184,IF(AND(F4184,H4184),C4184*E4184*F4184*H4184,IF(AND(G4184,H4184),C4184*E4184*G4184*H4184,IF(F4184,C4184*E4184*F4184,IF(G4184,C4184*E4184*G4184,IF(H4184,C4184*E4184*H4184,C4184*E4184))))))),2)</f>
        <v>7</v>
      </c>
      <c r="J4184" s="909" t="s">
        <v>115</v>
      </c>
      <c r="K4184" s="902"/>
      <c r="L4184" s="896"/>
      <c r="M4184" s="902"/>
      <c r="N4184" s="900" t="s">
        <v>2308</v>
      </c>
    </row>
    <row r="4185" spans="1:14" s="910" customFormat="1" ht="16.5" hidden="1" customHeight="1">
      <c r="A4185" s="896"/>
      <c r="B4185" s="980"/>
      <c r="C4185" s="957"/>
      <c r="D4185" s="958"/>
      <c r="E4185" s="1268"/>
      <c r="F4185" s="960"/>
      <c r="G4185" s="960"/>
      <c r="H4185" s="960"/>
      <c r="I4185" s="916"/>
      <c r="J4185" s="909"/>
      <c r="K4185" s="902"/>
      <c r="L4185" s="896"/>
      <c r="M4185" s="902"/>
      <c r="N4185" s="900" t="s">
        <v>2308</v>
      </c>
    </row>
    <row r="4186" spans="1:14" ht="15.75" hidden="1">
      <c r="A4186" s="896"/>
      <c r="B4186" s="902"/>
      <c r="C4186" s="917"/>
      <c r="D4186" s="918"/>
      <c r="E4186" s="919"/>
      <c r="F4186" s="920"/>
      <c r="G4186" s="921"/>
      <c r="H4186" s="896"/>
      <c r="I4186" s="1291"/>
      <c r="J4186" s="909" t="s">
        <v>115</v>
      </c>
      <c r="K4186" s="922">
        <f>'Ele Data'!I649</f>
        <v>20</v>
      </c>
      <c r="L4186" s="923" t="s">
        <v>2308</v>
      </c>
      <c r="M4186" s="924">
        <f>ROUND(I4186*K4186,0)</f>
        <v>0</v>
      </c>
      <c r="N4186" s="900" t="s">
        <v>2308</v>
      </c>
    </row>
    <row r="4187" spans="1:14" ht="30" hidden="1" customHeight="1">
      <c r="A4187" s="896">
        <v>17</v>
      </c>
      <c r="B4187" s="1609" t="s">
        <v>1267</v>
      </c>
      <c r="C4187" s="1609"/>
      <c r="D4187" s="1609"/>
      <c r="E4187" s="1609"/>
      <c r="F4187" s="1609"/>
      <c r="G4187" s="1609"/>
      <c r="H4187" s="1609"/>
      <c r="I4187" s="897"/>
      <c r="J4187" s="898"/>
      <c r="K4187" s="896"/>
      <c r="L4187" s="896"/>
      <c r="M4187" s="899"/>
      <c r="N4187" s="900" t="s">
        <v>2308</v>
      </c>
    </row>
    <row r="4188" spans="1:14" s="910" customFormat="1" ht="16.5" hidden="1" customHeight="1">
      <c r="A4188" s="896"/>
      <c r="B4188" s="902" t="s">
        <v>2320</v>
      </c>
      <c r="C4188" s="903"/>
      <c r="D4188" s="904"/>
      <c r="E4188" s="905"/>
      <c r="F4188" s="906"/>
      <c r="G4188" s="906"/>
      <c r="H4188" s="907"/>
      <c r="I4188" s="908"/>
      <c r="J4188" s="909"/>
      <c r="K4188" s="902"/>
      <c r="L4188" s="896"/>
      <c r="M4188" s="902"/>
      <c r="N4188" s="900" t="s">
        <v>2308</v>
      </c>
    </row>
    <row r="4189" spans="1:14" s="910" customFormat="1" ht="16.5" hidden="1" customHeight="1">
      <c r="A4189" s="896"/>
      <c r="B4189" s="980" t="s">
        <v>2080</v>
      </c>
      <c r="C4189" s="912">
        <v>1</v>
      </c>
      <c r="D4189" s="913" t="s">
        <v>273</v>
      </c>
      <c r="E4189" s="914">
        <v>21</v>
      </c>
      <c r="F4189" s="915">
        <v>0</v>
      </c>
      <c r="G4189" s="915">
        <v>0</v>
      </c>
      <c r="H4189" s="915">
        <v>0</v>
      </c>
      <c r="I4189" s="1291">
        <f>ROUND(IF(AND(F4189:H4189),C4189*E4189*F4189*G4189*H4189,IF(AND(F4189,G4189),C4189*E4189*F4189*G4189,IF(AND(F4189,H4189),C4189*E4189*F4189*H4189,IF(AND(G4189,H4189),C4189*E4189*G4189*H4189,IF(F4189,C4189*E4189*F4189,IF(G4189,C4189*E4189*G4189,IF(H4189,C4189*E4189*H4189,C4189*E4189))))))),2)</f>
        <v>21</v>
      </c>
      <c r="J4189" s="909" t="s">
        <v>115</v>
      </c>
      <c r="K4189" s="902"/>
      <c r="L4189" s="896"/>
      <c r="M4189" s="902"/>
      <c r="N4189" s="900" t="s">
        <v>2308</v>
      </c>
    </row>
    <row r="4190" spans="1:14" s="910" customFormat="1" ht="16.5" hidden="1" customHeight="1">
      <c r="A4190" s="896"/>
      <c r="B4190" s="980"/>
      <c r="C4190" s="957"/>
      <c r="D4190" s="958"/>
      <c r="E4190" s="1268"/>
      <c r="F4190" s="960"/>
      <c r="G4190" s="960"/>
      <c r="H4190" s="960"/>
      <c r="I4190" s="1291"/>
      <c r="J4190" s="909"/>
      <c r="K4190" s="902"/>
      <c r="L4190" s="896"/>
      <c r="M4190" s="902"/>
      <c r="N4190" s="900" t="s">
        <v>2308</v>
      </c>
    </row>
    <row r="4191" spans="1:14" ht="15.75" hidden="1">
      <c r="A4191" s="896"/>
      <c r="B4191" s="902"/>
      <c r="C4191" s="917"/>
      <c r="D4191" s="918"/>
      <c r="E4191" s="919"/>
      <c r="F4191" s="920"/>
      <c r="G4191" s="921"/>
      <c r="H4191" s="896"/>
      <c r="I4191" s="1291"/>
      <c r="J4191" s="909" t="s">
        <v>115</v>
      </c>
      <c r="K4191" s="922">
        <f>'Ele Data'!I762</f>
        <v>122</v>
      </c>
      <c r="L4191" s="923" t="s">
        <v>2308</v>
      </c>
      <c r="M4191" s="924">
        <f>ROUND(I4191*K4191,0)</f>
        <v>0</v>
      </c>
      <c r="N4191" s="900" t="s">
        <v>2308</v>
      </c>
    </row>
    <row r="4192" spans="1:14" ht="43.5" hidden="1" customHeight="1">
      <c r="A4192" s="896">
        <v>8</v>
      </c>
      <c r="B4192" s="1609" t="s">
        <v>2075</v>
      </c>
      <c r="C4192" s="1609"/>
      <c r="D4192" s="1609"/>
      <c r="E4192" s="1609"/>
      <c r="F4192" s="1609"/>
      <c r="G4192" s="1609"/>
      <c r="H4192" s="1609"/>
      <c r="I4192" s="897"/>
      <c r="J4192" s="898"/>
      <c r="K4192" s="896"/>
      <c r="L4192" s="896"/>
      <c r="M4192" s="899"/>
      <c r="N4192" s="900" t="s">
        <v>2308</v>
      </c>
    </row>
    <row r="4193" spans="1:14" s="910" customFormat="1" ht="16.5" hidden="1" customHeight="1">
      <c r="A4193" s="896"/>
      <c r="B4193" s="902" t="s">
        <v>2340</v>
      </c>
      <c r="C4193" s="903"/>
      <c r="D4193" s="904"/>
      <c r="E4193" s="905"/>
      <c r="F4193" s="906"/>
      <c r="G4193" s="906"/>
      <c r="H4193" s="907"/>
      <c r="I4193" s="908"/>
      <c r="J4193" s="909"/>
      <c r="K4193" s="902"/>
      <c r="L4193" s="896"/>
      <c r="M4193" s="902"/>
      <c r="N4193" s="900" t="s">
        <v>2308</v>
      </c>
    </row>
    <row r="4194" spans="1:14" s="910" customFormat="1" ht="16.5" hidden="1" customHeight="1">
      <c r="A4194" s="896"/>
      <c r="B4194" s="980"/>
      <c r="C4194" s="912">
        <v>1</v>
      </c>
      <c r="D4194" s="913" t="s">
        <v>273</v>
      </c>
      <c r="E4194" s="914">
        <v>12</v>
      </c>
      <c r="F4194" s="915">
        <v>0</v>
      </c>
      <c r="G4194" s="915">
        <v>0</v>
      </c>
      <c r="H4194" s="915">
        <v>0</v>
      </c>
      <c r="I4194" s="1291">
        <f>ROUND(IF(AND(F4194:H4194),C4194*E4194*F4194*G4194*H4194,IF(AND(F4194,G4194),C4194*E4194*F4194*G4194,IF(AND(F4194,H4194),C4194*E4194*F4194*H4194,IF(AND(G4194,H4194),C4194*E4194*G4194*H4194,IF(F4194,C4194*E4194*F4194,IF(G4194,C4194*E4194*G4194,IF(H4194,C4194*E4194*H4194,C4194*E4194))))))),2)</f>
        <v>12</v>
      </c>
      <c r="J4194" s="909" t="s">
        <v>115</v>
      </c>
      <c r="K4194" s="902"/>
      <c r="L4194" s="896"/>
      <c r="M4194" s="902"/>
      <c r="N4194" s="900" t="s">
        <v>2308</v>
      </c>
    </row>
    <row r="4195" spans="1:14" s="910" customFormat="1" ht="16.5" hidden="1" customHeight="1">
      <c r="A4195" s="896"/>
      <c r="B4195" s="980"/>
      <c r="C4195" s="957"/>
      <c r="D4195" s="958"/>
      <c r="E4195" s="1268"/>
      <c r="F4195" s="960"/>
      <c r="G4195" s="960"/>
      <c r="H4195" s="960"/>
      <c r="I4195" s="1291"/>
      <c r="J4195" s="909"/>
      <c r="K4195" s="902"/>
      <c r="L4195" s="896"/>
      <c r="M4195" s="902"/>
      <c r="N4195" s="900" t="s">
        <v>2308</v>
      </c>
    </row>
    <row r="4196" spans="1:14" ht="17.25" hidden="1" customHeight="1">
      <c r="A4196" s="896"/>
      <c r="B4196" s="902"/>
      <c r="C4196" s="917"/>
      <c r="D4196" s="918"/>
      <c r="E4196" s="919"/>
      <c r="F4196" s="920"/>
      <c r="G4196" s="921"/>
      <c r="H4196" s="896"/>
      <c r="I4196" s="1291"/>
      <c r="J4196" s="909" t="s">
        <v>115</v>
      </c>
      <c r="K4196" s="922">
        <f>'Ele Data'!I774</f>
        <v>3020.3799999999997</v>
      </c>
      <c r="L4196" s="923" t="s">
        <v>2308</v>
      </c>
      <c r="M4196" s="924">
        <f>ROUND(I4196*K4196,0)</f>
        <v>0</v>
      </c>
      <c r="N4196" s="900" t="s">
        <v>2308</v>
      </c>
    </row>
    <row r="4197" spans="1:14" ht="21" hidden="1" customHeight="1">
      <c r="A4197" s="896">
        <v>18</v>
      </c>
      <c r="B4197" s="1609" t="s">
        <v>1571</v>
      </c>
      <c r="C4197" s="1609"/>
      <c r="D4197" s="1609"/>
      <c r="E4197" s="1609"/>
      <c r="F4197" s="1609"/>
      <c r="G4197" s="1609"/>
      <c r="H4197" s="1609"/>
      <c r="I4197" s="897"/>
      <c r="J4197" s="898"/>
      <c r="K4197" s="896"/>
      <c r="L4197" s="896"/>
      <c r="M4197" s="899"/>
      <c r="N4197" s="900" t="s">
        <v>2308</v>
      </c>
    </row>
    <row r="4198" spans="1:14" s="910" customFormat="1" ht="16.5" hidden="1" customHeight="1">
      <c r="A4198" s="896"/>
      <c r="B4198" s="902" t="s">
        <v>2340</v>
      </c>
      <c r="C4198" s="903"/>
      <c r="D4198" s="904"/>
      <c r="E4198" s="905"/>
      <c r="F4198" s="906"/>
      <c r="G4198" s="906"/>
      <c r="H4198" s="907"/>
      <c r="I4198" s="908"/>
      <c r="J4198" s="909"/>
      <c r="K4198" s="902"/>
      <c r="L4198" s="896"/>
      <c r="M4198" s="902"/>
      <c r="N4198" s="900" t="s">
        <v>2308</v>
      </c>
    </row>
    <row r="4199" spans="1:14" s="910" customFormat="1" ht="16.5" hidden="1" customHeight="1">
      <c r="A4199" s="896"/>
      <c r="B4199" s="980"/>
      <c r="C4199" s="912">
        <v>1</v>
      </c>
      <c r="D4199" s="913" t="s">
        <v>273</v>
      </c>
      <c r="E4199" s="914">
        <v>12</v>
      </c>
      <c r="F4199" s="915">
        <v>0</v>
      </c>
      <c r="G4199" s="915">
        <v>0</v>
      </c>
      <c r="H4199" s="915">
        <v>0</v>
      </c>
      <c r="I4199" s="1291">
        <f>ROUND(IF(AND(F4199:H4199),C4199*E4199*F4199*G4199*H4199,IF(AND(F4199,G4199),C4199*E4199*F4199*G4199,IF(AND(F4199,H4199),C4199*E4199*F4199*H4199,IF(AND(G4199,H4199),C4199*E4199*G4199*H4199,IF(F4199,C4199*E4199*F4199,IF(G4199,C4199*E4199*G4199,IF(H4199,C4199*E4199*H4199,C4199*E4199))))))),2)</f>
        <v>12</v>
      </c>
      <c r="J4199" s="909" t="s">
        <v>115</v>
      </c>
      <c r="K4199" s="902"/>
      <c r="L4199" s="896"/>
      <c r="M4199" s="902"/>
      <c r="N4199" s="900" t="s">
        <v>2308</v>
      </c>
    </row>
    <row r="4200" spans="1:14" s="910" customFormat="1" ht="16.5" hidden="1" customHeight="1">
      <c r="A4200" s="896"/>
      <c r="B4200" s="980"/>
      <c r="C4200" s="957"/>
      <c r="D4200" s="958"/>
      <c r="E4200" s="1268"/>
      <c r="F4200" s="960"/>
      <c r="G4200" s="960"/>
      <c r="H4200" s="960"/>
      <c r="I4200" s="916"/>
      <c r="J4200" s="909"/>
      <c r="K4200" s="902"/>
      <c r="L4200" s="896"/>
      <c r="M4200" s="902"/>
      <c r="N4200" s="900" t="s">
        <v>2308</v>
      </c>
    </row>
    <row r="4201" spans="1:14" ht="15.75" hidden="1">
      <c r="A4201" s="896"/>
      <c r="B4201" s="902"/>
      <c r="C4201" s="917"/>
      <c r="D4201" s="918"/>
      <c r="E4201" s="919"/>
      <c r="F4201" s="920"/>
      <c r="G4201" s="921"/>
      <c r="H4201" s="896"/>
      <c r="I4201" s="1291"/>
      <c r="J4201" s="909" t="s">
        <v>115</v>
      </c>
      <c r="K4201" s="922">
        <f>'Ele Data'!I801</f>
        <v>208.13000000000002</v>
      </c>
      <c r="L4201" s="923" t="s">
        <v>2308</v>
      </c>
      <c r="M4201" s="924">
        <f>ROUND(I4201*K4201,0)</f>
        <v>0</v>
      </c>
      <c r="N4201" s="900" t="s">
        <v>2308</v>
      </c>
    </row>
    <row r="4202" spans="1:14" ht="43.5" hidden="1" customHeight="1">
      <c r="A4202" s="896">
        <v>19</v>
      </c>
      <c r="B4202" s="1609" t="s">
        <v>946</v>
      </c>
      <c r="C4202" s="1609"/>
      <c r="D4202" s="1609"/>
      <c r="E4202" s="1609"/>
      <c r="F4202" s="1609"/>
      <c r="G4202" s="1609"/>
      <c r="H4202" s="1609"/>
      <c r="I4202" s="897"/>
      <c r="J4202" s="898"/>
      <c r="K4202" s="896"/>
      <c r="L4202" s="896"/>
      <c r="M4202" s="899"/>
      <c r="N4202" s="900" t="s">
        <v>2308</v>
      </c>
    </row>
    <row r="4203" spans="1:14" s="910" customFormat="1" ht="16.5" hidden="1" customHeight="1">
      <c r="A4203" s="896"/>
      <c r="B4203" s="902" t="s">
        <v>2320</v>
      </c>
      <c r="C4203" s="903"/>
      <c r="D4203" s="904"/>
      <c r="E4203" s="905"/>
      <c r="F4203" s="906"/>
      <c r="G4203" s="906"/>
      <c r="H4203" s="907"/>
      <c r="I4203" s="908"/>
      <c r="J4203" s="909"/>
      <c r="K4203" s="902"/>
      <c r="L4203" s="896"/>
      <c r="M4203" s="902"/>
      <c r="N4203" s="900" t="s">
        <v>2308</v>
      </c>
    </row>
    <row r="4204" spans="1:14" s="910" customFormat="1" ht="16.5" hidden="1" customHeight="1">
      <c r="A4204" s="896"/>
      <c r="B4204" s="980" t="s">
        <v>2080</v>
      </c>
      <c r="C4204" s="957">
        <v>1</v>
      </c>
      <c r="D4204" s="958" t="s">
        <v>273</v>
      </c>
      <c r="E4204" s="1268">
        <v>7</v>
      </c>
      <c r="F4204" s="960">
        <v>0</v>
      </c>
      <c r="G4204" s="960">
        <v>0</v>
      </c>
      <c r="H4204" s="960">
        <v>0</v>
      </c>
      <c r="I4204" s="1291">
        <f>ROUND(IF(AND(F4204:H4204),C4204*E4204*F4204*G4204*H4204,IF(AND(F4204,G4204),C4204*E4204*F4204*G4204,IF(AND(F4204,H4204),C4204*E4204*F4204*H4204,IF(AND(G4204,H4204),C4204*E4204*G4204*H4204,IF(F4204,C4204*E4204*F4204,IF(G4204,C4204*E4204*G4204,IF(H4204,C4204*E4204*H4204,C4204*E4204))))))),2)</f>
        <v>7</v>
      </c>
      <c r="J4204" s="909" t="s">
        <v>115</v>
      </c>
      <c r="K4204" s="902"/>
      <c r="L4204" s="896"/>
      <c r="M4204" s="902"/>
      <c r="N4204" s="900" t="s">
        <v>2308</v>
      </c>
    </row>
    <row r="4205" spans="1:14" s="910" customFormat="1" ht="16.5" hidden="1" customHeight="1">
      <c r="A4205" s="896"/>
      <c r="B4205" s="980"/>
      <c r="C4205" s="957"/>
      <c r="D4205" s="958"/>
      <c r="E4205" s="1268"/>
      <c r="F4205" s="960"/>
      <c r="G4205" s="960"/>
      <c r="H4205" s="960"/>
      <c r="I4205" s="1291"/>
      <c r="J4205" s="909"/>
      <c r="K4205" s="902"/>
      <c r="L4205" s="896"/>
      <c r="M4205" s="902"/>
      <c r="N4205" s="900" t="s">
        <v>2308</v>
      </c>
    </row>
    <row r="4206" spans="1:14" ht="15.75" hidden="1">
      <c r="A4206" s="896"/>
      <c r="B4206" s="902"/>
      <c r="C4206" s="917"/>
      <c r="D4206" s="918"/>
      <c r="E4206" s="919"/>
      <c r="F4206" s="920"/>
      <c r="G4206" s="921"/>
      <c r="H4206" s="896"/>
      <c r="I4206" s="1291"/>
      <c r="J4206" s="909" t="s">
        <v>115</v>
      </c>
      <c r="K4206" s="922">
        <f>'Ele Data'!I778</f>
        <v>2671.45</v>
      </c>
      <c r="L4206" s="923" t="s">
        <v>2308</v>
      </c>
      <c r="M4206" s="924">
        <f>ROUND(I4206*K4206,0)</f>
        <v>0</v>
      </c>
      <c r="N4206" s="900" t="s">
        <v>2308</v>
      </c>
    </row>
    <row r="4207" spans="1:14" ht="30.75" hidden="1" customHeight="1">
      <c r="A4207" s="896">
        <v>20</v>
      </c>
      <c r="B4207" s="1609" t="s">
        <v>947</v>
      </c>
      <c r="C4207" s="1609"/>
      <c r="D4207" s="1609"/>
      <c r="E4207" s="1609"/>
      <c r="F4207" s="1609"/>
      <c r="G4207" s="1609"/>
      <c r="H4207" s="1609"/>
      <c r="I4207" s="1291"/>
      <c r="J4207" s="898"/>
      <c r="K4207" s="896"/>
      <c r="L4207" s="896"/>
      <c r="M4207" s="899"/>
      <c r="N4207" s="900" t="s">
        <v>2308</v>
      </c>
    </row>
    <row r="4208" spans="1:14" s="910" customFormat="1" ht="16.5" hidden="1" customHeight="1">
      <c r="A4208" s="896"/>
      <c r="B4208" s="902" t="s">
        <v>2320</v>
      </c>
      <c r="C4208" s="903"/>
      <c r="D4208" s="904"/>
      <c r="E4208" s="905"/>
      <c r="F4208" s="906"/>
      <c r="G4208" s="906"/>
      <c r="H4208" s="907"/>
      <c r="I4208" s="908"/>
      <c r="J4208" s="909"/>
      <c r="K4208" s="902"/>
      <c r="L4208" s="896"/>
      <c r="M4208" s="902"/>
      <c r="N4208" s="900" t="s">
        <v>2308</v>
      </c>
    </row>
    <row r="4209" spans="1:14" s="910" customFormat="1" ht="16.5" hidden="1" customHeight="1">
      <c r="A4209" s="896"/>
      <c r="B4209" s="980"/>
      <c r="C4209" s="957">
        <v>1</v>
      </c>
      <c r="D4209" s="958" t="s">
        <v>273</v>
      </c>
      <c r="E4209" s="1268">
        <v>12</v>
      </c>
      <c r="F4209" s="960">
        <v>0</v>
      </c>
      <c r="G4209" s="960">
        <v>0</v>
      </c>
      <c r="H4209" s="960">
        <v>0</v>
      </c>
      <c r="I4209" s="1291">
        <f>ROUND(IF(AND(F4209:H4209),C4209*E4209*F4209*G4209*H4209,IF(AND(F4209,G4209),C4209*E4209*F4209*G4209,IF(AND(F4209,H4209),C4209*E4209*F4209*H4209,IF(AND(G4209,H4209),C4209*E4209*G4209*H4209,IF(F4209,C4209*E4209*F4209,IF(G4209,C4209*E4209*G4209,IF(H4209,C4209*E4209*H4209,C4209*E4209))))))),2)</f>
        <v>12</v>
      </c>
      <c r="J4209" s="909" t="s">
        <v>115</v>
      </c>
      <c r="K4209" s="902"/>
      <c r="L4209" s="896"/>
      <c r="M4209" s="902"/>
      <c r="N4209" s="900" t="s">
        <v>2308</v>
      </c>
    </row>
    <row r="4210" spans="1:14" s="910" customFormat="1" ht="16.5" hidden="1" customHeight="1">
      <c r="A4210" s="896"/>
      <c r="B4210" s="980"/>
      <c r="C4210" s="957"/>
      <c r="D4210" s="958"/>
      <c r="E4210" s="1268"/>
      <c r="F4210" s="960"/>
      <c r="G4210" s="960"/>
      <c r="H4210" s="960"/>
      <c r="I4210" s="1291"/>
      <c r="J4210" s="909"/>
      <c r="K4210" s="902"/>
      <c r="L4210" s="896"/>
      <c r="M4210" s="902"/>
      <c r="N4210" s="900" t="s">
        <v>2308</v>
      </c>
    </row>
    <row r="4211" spans="1:14" ht="15.75" hidden="1">
      <c r="A4211" s="896"/>
      <c r="B4211" s="902"/>
      <c r="C4211" s="917"/>
      <c r="D4211" s="918"/>
      <c r="E4211" s="919"/>
      <c r="F4211" s="920"/>
      <c r="G4211" s="921"/>
      <c r="H4211" s="896"/>
      <c r="I4211" s="1291"/>
      <c r="J4211" s="909" t="s">
        <v>115</v>
      </c>
      <c r="K4211" s="922">
        <f>'Ele Data'!I783</f>
        <v>263</v>
      </c>
      <c r="L4211" s="923" t="s">
        <v>2308</v>
      </c>
      <c r="M4211" s="924">
        <f>ROUND(I4211*K4211,0)</f>
        <v>0</v>
      </c>
      <c r="N4211" s="900" t="s">
        <v>2308</v>
      </c>
    </row>
    <row r="4212" spans="1:14" ht="30.75" hidden="1" customHeight="1">
      <c r="A4212" s="896">
        <v>21</v>
      </c>
      <c r="B4212" s="1609" t="s">
        <v>948</v>
      </c>
      <c r="C4212" s="1609"/>
      <c r="D4212" s="1609"/>
      <c r="E4212" s="1609"/>
      <c r="F4212" s="1609"/>
      <c r="G4212" s="1609"/>
      <c r="H4212" s="1609"/>
      <c r="I4212" s="897"/>
      <c r="J4212" s="898"/>
      <c r="K4212" s="896"/>
      <c r="L4212" s="896"/>
      <c r="M4212" s="899"/>
      <c r="N4212" s="900" t="s">
        <v>2308</v>
      </c>
    </row>
    <row r="4213" spans="1:14" s="910" customFormat="1" ht="16.5" hidden="1" customHeight="1">
      <c r="A4213" s="896"/>
      <c r="B4213" s="902" t="s">
        <v>2320</v>
      </c>
      <c r="C4213" s="903"/>
      <c r="D4213" s="904"/>
      <c r="E4213" s="905"/>
      <c r="F4213" s="906"/>
      <c r="G4213" s="906"/>
      <c r="H4213" s="907"/>
      <c r="I4213" s="908"/>
      <c r="J4213" s="909"/>
      <c r="K4213" s="902"/>
      <c r="L4213" s="896"/>
      <c r="M4213" s="902"/>
      <c r="N4213" s="900" t="s">
        <v>2308</v>
      </c>
    </row>
    <row r="4214" spans="1:14" s="910" customFormat="1" ht="16.5" hidden="1" customHeight="1">
      <c r="A4214" s="896"/>
      <c r="B4214" s="980"/>
      <c r="C4214" s="957">
        <v>1</v>
      </c>
      <c r="D4214" s="958" t="s">
        <v>273</v>
      </c>
      <c r="E4214" s="1268">
        <v>7</v>
      </c>
      <c r="F4214" s="960">
        <v>0</v>
      </c>
      <c r="G4214" s="960">
        <v>0</v>
      </c>
      <c r="H4214" s="960">
        <v>0</v>
      </c>
      <c r="I4214" s="1291">
        <f>ROUND(IF(AND(F4214:H4214),C4214*E4214*F4214*G4214*H4214,IF(AND(F4214,G4214),C4214*E4214*F4214*G4214,IF(AND(F4214,H4214),C4214*E4214*F4214*H4214,IF(AND(G4214,H4214),C4214*E4214*G4214*H4214,IF(F4214,C4214*E4214*F4214,IF(G4214,C4214*E4214*G4214,IF(H4214,C4214*E4214*H4214,C4214*E4214))))))),2)</f>
        <v>7</v>
      </c>
      <c r="J4214" s="909" t="s">
        <v>115</v>
      </c>
      <c r="K4214" s="902"/>
      <c r="L4214" s="896"/>
      <c r="M4214" s="902"/>
      <c r="N4214" s="900" t="s">
        <v>2308</v>
      </c>
    </row>
    <row r="4215" spans="1:14" s="910" customFormat="1" ht="16.5" hidden="1" customHeight="1">
      <c r="A4215" s="896"/>
      <c r="B4215" s="980"/>
      <c r="C4215" s="957"/>
      <c r="D4215" s="958"/>
      <c r="E4215" s="1268"/>
      <c r="F4215" s="960"/>
      <c r="G4215" s="960"/>
      <c r="H4215" s="960"/>
      <c r="I4215" s="1291"/>
      <c r="J4215" s="909"/>
      <c r="K4215" s="902"/>
      <c r="L4215" s="896"/>
      <c r="M4215" s="902"/>
      <c r="N4215" s="900" t="s">
        <v>2308</v>
      </c>
    </row>
    <row r="4216" spans="1:14" ht="15.75" hidden="1">
      <c r="A4216" s="896"/>
      <c r="B4216" s="902"/>
      <c r="C4216" s="917"/>
      <c r="D4216" s="918"/>
      <c r="E4216" s="919"/>
      <c r="F4216" s="920"/>
      <c r="G4216" s="921"/>
      <c r="H4216" s="896"/>
      <c r="I4216" s="1291"/>
      <c r="J4216" s="909" t="s">
        <v>115</v>
      </c>
      <c r="K4216" s="922">
        <f>'Ele Data'!I790</f>
        <v>158.43</v>
      </c>
      <c r="L4216" s="923" t="s">
        <v>2308</v>
      </c>
      <c r="M4216" s="924">
        <f>ROUND(I4216*K4216,0)</f>
        <v>0</v>
      </c>
      <c r="N4216" s="900" t="s">
        <v>2308</v>
      </c>
    </row>
    <row r="4217" spans="1:14" ht="30.75" hidden="1" customHeight="1">
      <c r="A4217" s="896">
        <v>15</v>
      </c>
      <c r="B4217" s="1609" t="s">
        <v>950</v>
      </c>
      <c r="C4217" s="1609"/>
      <c r="D4217" s="1609"/>
      <c r="E4217" s="1609"/>
      <c r="F4217" s="1609"/>
      <c r="G4217" s="1609"/>
      <c r="H4217" s="1609"/>
      <c r="I4217" s="897"/>
      <c r="J4217" s="898"/>
      <c r="K4217" s="896"/>
      <c r="L4217" s="896"/>
      <c r="M4217" s="899"/>
      <c r="N4217" s="900" t="s">
        <v>2308</v>
      </c>
    </row>
    <row r="4218" spans="1:14" s="910" customFormat="1" ht="16.5" hidden="1" customHeight="1">
      <c r="A4218" s="896"/>
      <c r="B4218" s="902" t="s">
        <v>2350</v>
      </c>
      <c r="C4218" s="903"/>
      <c r="D4218" s="904"/>
      <c r="E4218" s="905"/>
      <c r="F4218" s="906"/>
      <c r="G4218" s="906"/>
      <c r="H4218" s="907"/>
      <c r="I4218" s="908"/>
      <c r="J4218" s="909"/>
      <c r="K4218" s="902"/>
      <c r="L4218" s="896"/>
      <c r="M4218" s="902"/>
      <c r="N4218" s="900" t="s">
        <v>2308</v>
      </c>
    </row>
    <row r="4219" spans="1:14" s="910" customFormat="1" ht="16.5" hidden="1" customHeight="1">
      <c r="A4219" s="896"/>
      <c r="B4219" s="980" t="s">
        <v>660</v>
      </c>
      <c r="C4219" s="957">
        <v>1</v>
      </c>
      <c r="D4219" s="958" t="s">
        <v>273</v>
      </c>
      <c r="E4219" s="1268">
        <v>2</v>
      </c>
      <c r="F4219" s="960">
        <v>0</v>
      </c>
      <c r="G4219" s="960">
        <v>0</v>
      </c>
      <c r="H4219" s="960">
        <v>0</v>
      </c>
      <c r="I4219" s="1291">
        <f>ROUND(IF(AND(F4219:H4219),C4219*E4219*F4219*G4219*H4219,IF(AND(F4219,G4219),C4219*E4219*F4219*G4219,IF(AND(F4219,H4219),C4219*E4219*F4219*H4219,IF(AND(G4219,H4219),C4219*E4219*G4219*H4219,IF(F4219,C4219*E4219*F4219,IF(G4219,C4219*E4219*G4219,IF(H4219,C4219*E4219*H4219,C4219*E4219))))))),2)</f>
        <v>2</v>
      </c>
      <c r="J4219" s="909" t="s">
        <v>115</v>
      </c>
      <c r="K4219" s="902"/>
      <c r="L4219" s="896"/>
      <c r="M4219" s="902"/>
      <c r="N4219" s="900" t="s">
        <v>2308</v>
      </c>
    </row>
    <row r="4220" spans="1:14" s="910" customFormat="1" ht="16.5" hidden="1" customHeight="1">
      <c r="A4220" s="896"/>
      <c r="B4220" s="980" t="s">
        <v>650</v>
      </c>
      <c r="C4220" s="957">
        <v>1</v>
      </c>
      <c r="D4220" s="958" t="s">
        <v>273</v>
      </c>
      <c r="E4220" s="1268">
        <v>1</v>
      </c>
      <c r="F4220" s="960">
        <v>0</v>
      </c>
      <c r="G4220" s="960">
        <v>0</v>
      </c>
      <c r="H4220" s="960">
        <v>0</v>
      </c>
      <c r="I4220" s="1291">
        <f>ROUND(IF(AND(F4220:H4220),C4220*E4220*F4220*G4220*H4220,IF(AND(F4220,G4220),C4220*E4220*F4220*G4220,IF(AND(F4220,H4220),C4220*E4220*F4220*H4220,IF(AND(G4220,H4220),C4220*E4220*G4220*H4220,IF(F4220,C4220*E4220*F4220,IF(G4220,C4220*E4220*G4220,IF(H4220,C4220*E4220*H4220,C4220*E4220))))))),2)</f>
        <v>1</v>
      </c>
      <c r="J4220" s="909" t="s">
        <v>115</v>
      </c>
      <c r="K4220" s="902"/>
      <c r="L4220" s="896"/>
      <c r="M4220" s="902"/>
      <c r="N4220" s="900" t="s">
        <v>2308</v>
      </c>
    </row>
    <row r="4221" spans="1:14" s="910" customFormat="1" ht="16.5" hidden="1" customHeight="1">
      <c r="A4221" s="896"/>
      <c r="B4221" s="980" t="s">
        <v>1170</v>
      </c>
      <c r="C4221" s="957">
        <v>1</v>
      </c>
      <c r="D4221" s="958" t="s">
        <v>273</v>
      </c>
      <c r="E4221" s="1268">
        <v>1</v>
      </c>
      <c r="F4221" s="960">
        <v>0</v>
      </c>
      <c r="G4221" s="960">
        <v>0</v>
      </c>
      <c r="H4221" s="960">
        <v>0</v>
      </c>
      <c r="I4221" s="1291">
        <f>ROUND(IF(AND(F4221:H4221),C4221*E4221*F4221*G4221*H4221,IF(AND(F4221,G4221),C4221*E4221*F4221*G4221,IF(AND(F4221,H4221),C4221*E4221*F4221*H4221,IF(AND(G4221,H4221),C4221*E4221*G4221*H4221,IF(F4221,C4221*E4221*F4221,IF(G4221,C4221*E4221*G4221,IF(H4221,C4221*E4221*H4221,C4221*E4221))))))),2)</f>
        <v>1</v>
      </c>
      <c r="J4221" s="909" t="s">
        <v>115</v>
      </c>
      <c r="K4221" s="902"/>
      <c r="L4221" s="896"/>
      <c r="M4221" s="902"/>
      <c r="N4221" s="900" t="s">
        <v>2308</v>
      </c>
    </row>
    <row r="4222" spans="1:14" s="910" customFormat="1" ht="16.5" hidden="1" customHeight="1">
      <c r="A4222" s="896"/>
      <c r="B4222" s="980"/>
      <c r="C4222" s="957"/>
      <c r="D4222" s="958"/>
      <c r="E4222" s="1268"/>
      <c r="F4222" s="960"/>
      <c r="G4222" s="960"/>
      <c r="H4222" s="960"/>
      <c r="I4222" s="1291"/>
      <c r="J4222" s="909"/>
      <c r="K4222" s="902"/>
      <c r="L4222" s="896"/>
      <c r="M4222" s="902"/>
      <c r="N4222" s="900" t="s">
        <v>2308</v>
      </c>
    </row>
    <row r="4223" spans="1:14" ht="15.75" hidden="1">
      <c r="A4223" s="896"/>
      <c r="B4223" s="902"/>
      <c r="C4223" s="917"/>
      <c r="D4223" s="918"/>
      <c r="E4223" s="919"/>
      <c r="F4223" s="920"/>
      <c r="G4223" s="921"/>
      <c r="H4223" s="896"/>
      <c r="I4223" s="1291"/>
      <c r="J4223" s="909" t="s">
        <v>115</v>
      </c>
      <c r="K4223" s="922">
        <f>'Ele Data'!I796</f>
        <v>147</v>
      </c>
      <c r="L4223" s="923" t="s">
        <v>2308</v>
      </c>
      <c r="M4223" s="924">
        <f>ROUND(I4223*K4223,0)</f>
        <v>0</v>
      </c>
      <c r="N4223" s="900" t="s">
        <v>2308</v>
      </c>
    </row>
    <row r="4224" spans="1:14" ht="41.25" hidden="1" customHeight="1">
      <c r="A4224" s="896">
        <v>22</v>
      </c>
      <c r="B4224" s="1609" t="s">
        <v>442</v>
      </c>
      <c r="C4224" s="1609"/>
      <c r="D4224" s="1609"/>
      <c r="E4224" s="1609"/>
      <c r="F4224" s="1609"/>
      <c r="G4224" s="1609"/>
      <c r="H4224" s="1609"/>
      <c r="I4224" s="897"/>
      <c r="J4224" s="898"/>
      <c r="K4224" s="896"/>
      <c r="L4224" s="896"/>
      <c r="M4224" s="899"/>
      <c r="N4224" s="900" t="s">
        <v>2308</v>
      </c>
    </row>
    <row r="4225" spans="1:14" s="910" customFormat="1" ht="16.5" hidden="1" customHeight="1">
      <c r="A4225" s="896"/>
      <c r="B4225" s="902" t="s">
        <v>2340</v>
      </c>
      <c r="C4225" s="903"/>
      <c r="D4225" s="904"/>
      <c r="E4225" s="905"/>
      <c r="F4225" s="906"/>
      <c r="G4225" s="906"/>
      <c r="H4225" s="907"/>
      <c r="I4225" s="908"/>
      <c r="J4225" s="909"/>
      <c r="K4225" s="902"/>
      <c r="L4225" s="896"/>
      <c r="M4225" s="902"/>
      <c r="N4225" s="900" t="s">
        <v>2308</v>
      </c>
    </row>
    <row r="4226" spans="1:14" s="910" customFormat="1" ht="16.5" hidden="1" customHeight="1">
      <c r="A4226" s="896"/>
      <c r="B4226" s="980"/>
      <c r="C4226" s="912">
        <v>1</v>
      </c>
      <c r="D4226" s="913" t="s">
        <v>273</v>
      </c>
      <c r="E4226" s="914">
        <v>14</v>
      </c>
      <c r="F4226" s="915">
        <v>0</v>
      </c>
      <c r="G4226" s="915">
        <v>0</v>
      </c>
      <c r="H4226" s="915">
        <v>0</v>
      </c>
      <c r="I4226" s="1291">
        <f>ROUND(IF(AND(F4226:H4226),C4226*E4226*F4226*G4226*H4226,IF(AND(F4226,G4226),C4226*E4226*F4226*G4226,IF(AND(F4226,H4226),C4226*E4226*F4226*H4226,IF(AND(G4226,H4226),C4226*E4226*G4226*H4226,IF(F4226,C4226*E4226*F4226,IF(G4226,C4226*E4226*G4226,IF(H4226,C4226*E4226*H4226,C4226*E4226))))))),2)</f>
        <v>14</v>
      </c>
      <c r="J4226" s="909" t="s">
        <v>115</v>
      </c>
      <c r="K4226" s="902"/>
      <c r="L4226" s="896"/>
      <c r="M4226" s="902"/>
      <c r="N4226" s="900" t="s">
        <v>2308</v>
      </c>
    </row>
    <row r="4227" spans="1:14" s="910" customFormat="1" ht="16.5" hidden="1" customHeight="1">
      <c r="A4227" s="896"/>
      <c r="B4227" s="980"/>
      <c r="C4227" s="957"/>
      <c r="D4227" s="958"/>
      <c r="E4227" s="1268"/>
      <c r="F4227" s="960"/>
      <c r="G4227" s="960"/>
      <c r="H4227" s="960"/>
      <c r="I4227" s="1291"/>
      <c r="J4227" s="909"/>
      <c r="K4227" s="902"/>
      <c r="L4227" s="896"/>
      <c r="M4227" s="902"/>
      <c r="N4227" s="900" t="s">
        <v>2308</v>
      </c>
    </row>
    <row r="4228" spans="1:14" ht="15.75" hidden="1">
      <c r="A4228" s="896"/>
      <c r="B4228" s="902"/>
      <c r="C4228" s="917"/>
      <c r="D4228" s="918"/>
      <c r="E4228" s="919"/>
      <c r="F4228" s="920"/>
      <c r="G4228" s="921"/>
      <c r="H4228" s="896"/>
      <c r="I4228" s="1291"/>
      <c r="J4228" s="909" t="s">
        <v>115</v>
      </c>
      <c r="K4228" s="922">
        <f>'Ele Data'!I809</f>
        <v>395.93</v>
      </c>
      <c r="L4228" s="923" t="s">
        <v>2308</v>
      </c>
      <c r="M4228" s="924">
        <f>ROUND(I4228*K4228,0)</f>
        <v>0</v>
      </c>
      <c r="N4228" s="900" t="s">
        <v>2308</v>
      </c>
    </row>
    <row r="4229" spans="1:14" ht="66.75" hidden="1" customHeight="1">
      <c r="A4229" s="896">
        <v>23</v>
      </c>
      <c r="B4229" s="1609" t="s">
        <v>2090</v>
      </c>
      <c r="C4229" s="1609"/>
      <c r="D4229" s="1609"/>
      <c r="E4229" s="1609"/>
      <c r="F4229" s="1609"/>
      <c r="G4229" s="1609"/>
      <c r="H4229" s="1609"/>
      <c r="I4229" s="897"/>
      <c r="J4229" s="898"/>
      <c r="K4229" s="896"/>
      <c r="L4229" s="896"/>
      <c r="M4229" s="899"/>
      <c r="N4229" s="900" t="s">
        <v>2308</v>
      </c>
    </row>
    <row r="4230" spans="1:14" s="910" customFormat="1" ht="16.5" hidden="1" customHeight="1">
      <c r="A4230" s="896"/>
      <c r="B4230" s="902" t="s">
        <v>2100</v>
      </c>
      <c r="C4230" s="903"/>
      <c r="D4230" s="904"/>
      <c r="E4230" s="905"/>
      <c r="F4230" s="906"/>
      <c r="G4230" s="906"/>
      <c r="H4230" s="907"/>
      <c r="I4230" s="908"/>
      <c r="J4230" s="909"/>
      <c r="K4230" s="902"/>
      <c r="L4230" s="896"/>
      <c r="M4230" s="902"/>
      <c r="N4230" s="900" t="s">
        <v>2308</v>
      </c>
    </row>
    <row r="4231" spans="1:14" s="910" customFormat="1" ht="16.5" hidden="1" customHeight="1">
      <c r="A4231" s="896"/>
      <c r="B4231" s="980"/>
      <c r="C4231" s="957">
        <v>1</v>
      </c>
      <c r="D4231" s="958" t="s">
        <v>273</v>
      </c>
      <c r="E4231" s="1268">
        <v>1</v>
      </c>
      <c r="F4231" s="960">
        <v>0</v>
      </c>
      <c r="G4231" s="960">
        <v>0</v>
      </c>
      <c r="H4231" s="960">
        <v>0</v>
      </c>
      <c r="I4231" s="1291">
        <f>ROUND(IF(AND(F4231:H4231),C4231*E4231*F4231*G4231*H4231,IF(AND(F4231,G4231),C4231*E4231*F4231*G4231,IF(AND(F4231,H4231),C4231*E4231*F4231*H4231,IF(AND(G4231,H4231),C4231*E4231*G4231*H4231,IF(F4231,C4231*E4231*F4231,IF(G4231,C4231*E4231*G4231,IF(H4231,C4231*E4231*H4231,C4231*E4231))))))),2)</f>
        <v>1</v>
      </c>
      <c r="J4231" s="909" t="s">
        <v>115</v>
      </c>
      <c r="K4231" s="902"/>
      <c r="L4231" s="896"/>
      <c r="M4231" s="902"/>
      <c r="N4231" s="900" t="s">
        <v>2308</v>
      </c>
    </row>
    <row r="4232" spans="1:14" s="910" customFormat="1" ht="16.5" hidden="1" customHeight="1">
      <c r="A4232" s="896"/>
      <c r="B4232" s="980"/>
      <c r="C4232" s="957"/>
      <c r="D4232" s="958"/>
      <c r="E4232" s="1268"/>
      <c r="F4232" s="960"/>
      <c r="G4232" s="960"/>
      <c r="H4232" s="960"/>
      <c r="I4232" s="1291"/>
      <c r="J4232" s="909"/>
      <c r="K4232" s="902"/>
      <c r="L4232" s="896"/>
      <c r="M4232" s="902"/>
      <c r="N4232" s="900" t="s">
        <v>2308</v>
      </c>
    </row>
    <row r="4233" spans="1:14" ht="15.75" hidden="1">
      <c r="A4233" s="896"/>
      <c r="B4233" s="902"/>
      <c r="C4233" s="917"/>
      <c r="D4233" s="918"/>
      <c r="E4233" s="919"/>
      <c r="F4233" s="920"/>
      <c r="G4233" s="921"/>
      <c r="H4233" s="896"/>
      <c r="I4233" s="1291"/>
      <c r="J4233" s="909" t="s">
        <v>115</v>
      </c>
      <c r="K4233" s="922">
        <f>'Ele Data'!I852</f>
        <v>1822</v>
      </c>
      <c r="L4233" s="923" t="s">
        <v>2308</v>
      </c>
      <c r="M4233" s="924">
        <f>ROUND(I4233*K4233,0)</f>
        <v>0</v>
      </c>
      <c r="N4233" s="900" t="s">
        <v>2308</v>
      </c>
    </row>
    <row r="4234" spans="1:14" ht="110.25" hidden="1" customHeight="1">
      <c r="A4234" s="896">
        <v>23</v>
      </c>
      <c r="B4234" s="1609" t="s">
        <v>2254</v>
      </c>
      <c r="C4234" s="1609"/>
      <c r="D4234" s="1609"/>
      <c r="E4234" s="1609"/>
      <c r="F4234" s="1609"/>
      <c r="G4234" s="1609"/>
      <c r="H4234" s="1609"/>
      <c r="I4234" s="897"/>
      <c r="J4234" s="898"/>
      <c r="K4234" s="896"/>
      <c r="L4234" s="896"/>
      <c r="M4234" s="899"/>
      <c r="N4234" s="900" t="s">
        <v>2308</v>
      </c>
    </row>
    <row r="4235" spans="1:14" s="910" customFormat="1" ht="16.5" hidden="1" customHeight="1">
      <c r="A4235" s="896"/>
      <c r="B4235" s="902" t="s">
        <v>2100</v>
      </c>
      <c r="C4235" s="903"/>
      <c r="D4235" s="904"/>
      <c r="E4235" s="905"/>
      <c r="F4235" s="906"/>
      <c r="G4235" s="906"/>
      <c r="H4235" s="907"/>
      <c r="I4235" s="908"/>
      <c r="J4235" s="909"/>
      <c r="K4235" s="902"/>
      <c r="L4235" s="896"/>
      <c r="M4235" s="902"/>
      <c r="N4235" s="900" t="s">
        <v>2308</v>
      </c>
    </row>
    <row r="4236" spans="1:14" s="910" customFormat="1" ht="16.5" hidden="1" customHeight="1">
      <c r="A4236" s="896"/>
      <c r="B4236" s="980"/>
      <c r="C4236" s="957">
        <v>1</v>
      </c>
      <c r="D4236" s="958" t="s">
        <v>273</v>
      </c>
      <c r="E4236" s="1268">
        <v>1</v>
      </c>
      <c r="F4236" s="960">
        <v>0</v>
      </c>
      <c r="G4236" s="960">
        <v>0</v>
      </c>
      <c r="H4236" s="960">
        <v>0</v>
      </c>
      <c r="I4236" s="1291">
        <f>ROUND(IF(AND(F4236:H4236),C4236*E4236*F4236*G4236*H4236,IF(AND(F4236,G4236),C4236*E4236*F4236*G4236,IF(AND(F4236,H4236),C4236*E4236*F4236*H4236,IF(AND(G4236,H4236),C4236*E4236*G4236*H4236,IF(F4236,C4236*E4236*F4236,IF(G4236,C4236*E4236*G4236,IF(H4236,C4236*E4236*H4236,C4236*E4236))))))),2)</f>
        <v>1</v>
      </c>
      <c r="J4236" s="909" t="s">
        <v>115</v>
      </c>
      <c r="K4236" s="902"/>
      <c r="L4236" s="896"/>
      <c r="M4236" s="902"/>
      <c r="N4236" s="900" t="s">
        <v>2308</v>
      </c>
    </row>
    <row r="4237" spans="1:14" s="910" customFormat="1" ht="16.5" hidden="1" customHeight="1">
      <c r="A4237" s="896"/>
      <c r="B4237" s="980"/>
      <c r="C4237" s="957"/>
      <c r="D4237" s="958"/>
      <c r="E4237" s="1268"/>
      <c r="F4237" s="960"/>
      <c r="G4237" s="960"/>
      <c r="H4237" s="960"/>
      <c r="I4237" s="1291"/>
      <c r="J4237" s="909"/>
      <c r="K4237" s="902"/>
      <c r="L4237" s="896"/>
      <c r="M4237" s="902"/>
      <c r="N4237" s="900" t="s">
        <v>2308</v>
      </c>
    </row>
    <row r="4238" spans="1:14" ht="15.75" hidden="1">
      <c r="A4238" s="896"/>
      <c r="B4238" s="902"/>
      <c r="C4238" s="917"/>
      <c r="D4238" s="918"/>
      <c r="E4238" s="919"/>
      <c r="F4238" s="920"/>
      <c r="G4238" s="921"/>
      <c r="H4238" s="896"/>
      <c r="I4238" s="1291"/>
      <c r="J4238" s="909" t="s">
        <v>115</v>
      </c>
      <c r="K4238" s="922">
        <f>'Ele Data'!I855</f>
        <v>5428</v>
      </c>
      <c r="L4238" s="923" t="s">
        <v>2308</v>
      </c>
      <c r="M4238" s="924">
        <f>ROUND(I4238*K4238,0)</f>
        <v>0</v>
      </c>
      <c r="N4238" s="900" t="s">
        <v>2308</v>
      </c>
    </row>
    <row r="4239" spans="1:14" ht="43.5" hidden="1" customHeight="1">
      <c r="A4239" s="896">
        <v>16</v>
      </c>
      <c r="B4239" s="1609" t="s">
        <v>794</v>
      </c>
      <c r="C4239" s="1609"/>
      <c r="D4239" s="1609"/>
      <c r="E4239" s="1609"/>
      <c r="F4239" s="1609"/>
      <c r="G4239" s="1609"/>
      <c r="H4239" s="1609"/>
      <c r="I4239" s="897"/>
      <c r="J4239" s="898"/>
      <c r="K4239" s="896"/>
      <c r="L4239" s="896"/>
      <c r="M4239" s="899"/>
      <c r="N4239" s="900" t="s">
        <v>2308</v>
      </c>
    </row>
    <row r="4240" spans="1:14" s="910" customFormat="1" ht="16.5" hidden="1" customHeight="1">
      <c r="A4240" s="896"/>
      <c r="B4240" s="980" t="s">
        <v>424</v>
      </c>
      <c r="C4240" s="903"/>
      <c r="D4240" s="904"/>
      <c r="E4240" s="905"/>
      <c r="F4240" s="906"/>
      <c r="G4240" s="906"/>
      <c r="H4240" s="907"/>
      <c r="I4240" s="908"/>
      <c r="J4240" s="909"/>
      <c r="K4240" s="902"/>
      <c r="L4240" s="896"/>
      <c r="M4240" s="902"/>
      <c r="N4240" s="900" t="s">
        <v>2308</v>
      </c>
    </row>
    <row r="4241" spans="1:14" s="910" customFormat="1" ht="16.5" hidden="1" customHeight="1">
      <c r="A4241" s="896"/>
      <c r="B4241" s="980"/>
      <c r="C4241" s="957">
        <v>1</v>
      </c>
      <c r="D4241" s="958" t="s">
        <v>273</v>
      </c>
      <c r="E4241" s="1268">
        <v>1</v>
      </c>
      <c r="F4241" s="960">
        <v>0</v>
      </c>
      <c r="G4241" s="960">
        <v>0</v>
      </c>
      <c r="H4241" s="960">
        <v>0</v>
      </c>
      <c r="I4241" s="1291">
        <f>ROUND(IF(AND(F4241:H4241),C4241*E4241*F4241*G4241*H4241,IF(AND(F4241,G4241),C4241*E4241*F4241*G4241,IF(AND(F4241,H4241),C4241*E4241*F4241*H4241,IF(AND(G4241,H4241),C4241*E4241*G4241*H4241,IF(F4241,C4241*E4241*F4241,IF(G4241,C4241*E4241*G4241,IF(H4241,C4241*E4241*H4241,C4241*E4241))))))),2)</f>
        <v>1</v>
      </c>
      <c r="J4241" s="909" t="s">
        <v>115</v>
      </c>
      <c r="K4241" s="902"/>
      <c r="L4241" s="896"/>
      <c r="M4241" s="902"/>
      <c r="N4241" s="900" t="s">
        <v>2308</v>
      </c>
    </row>
    <row r="4242" spans="1:14" s="910" customFormat="1" ht="16.5" hidden="1" customHeight="1">
      <c r="A4242" s="896"/>
      <c r="B4242" s="980"/>
      <c r="C4242" s="957"/>
      <c r="D4242" s="958"/>
      <c r="E4242" s="1268"/>
      <c r="F4242" s="960"/>
      <c r="G4242" s="960"/>
      <c r="H4242" s="960"/>
      <c r="I4242" s="1291"/>
      <c r="J4242" s="909"/>
      <c r="K4242" s="902"/>
      <c r="L4242" s="896"/>
      <c r="M4242" s="902"/>
      <c r="N4242" s="900" t="s">
        <v>2308</v>
      </c>
    </row>
    <row r="4243" spans="1:14" ht="15.75" hidden="1">
      <c r="A4243" s="896"/>
      <c r="B4243" s="902"/>
      <c r="C4243" s="917"/>
      <c r="D4243" s="918"/>
      <c r="E4243" s="919"/>
      <c r="F4243" s="920"/>
      <c r="G4243" s="921"/>
      <c r="H4243" s="896"/>
      <c r="I4243" s="1291"/>
      <c r="J4243" s="909" t="s">
        <v>115</v>
      </c>
      <c r="K4243" s="922">
        <f>'Ele Data'!I652</f>
        <v>1484</v>
      </c>
      <c r="L4243" s="923" t="s">
        <v>2308</v>
      </c>
      <c r="M4243" s="924">
        <f>ROUND(I4243*K4243,0)</f>
        <v>0</v>
      </c>
      <c r="N4243" s="900" t="s">
        <v>2308</v>
      </c>
    </row>
    <row r="4244" spans="1:14" ht="66" hidden="1" customHeight="1">
      <c r="A4244" s="896">
        <v>23</v>
      </c>
      <c r="B4244" s="1609" t="s">
        <v>698</v>
      </c>
      <c r="C4244" s="1609"/>
      <c r="D4244" s="1609"/>
      <c r="E4244" s="1609"/>
      <c r="F4244" s="1609"/>
      <c r="G4244" s="1609"/>
      <c r="H4244" s="1609"/>
      <c r="I4244" s="897"/>
      <c r="J4244" s="898"/>
      <c r="K4244" s="896"/>
      <c r="L4244" s="896"/>
      <c r="M4244" s="899"/>
      <c r="N4244" s="900" t="s">
        <v>2308</v>
      </c>
    </row>
    <row r="4245" spans="1:14" s="910" customFormat="1" ht="16.5" hidden="1" customHeight="1">
      <c r="A4245" s="896"/>
      <c r="B4245" s="902" t="s">
        <v>2100</v>
      </c>
      <c r="C4245" s="903"/>
      <c r="D4245" s="904"/>
      <c r="E4245" s="905"/>
      <c r="F4245" s="906"/>
      <c r="G4245" s="906"/>
      <c r="H4245" s="907"/>
      <c r="I4245" s="908"/>
      <c r="J4245" s="909"/>
      <c r="K4245" s="902"/>
      <c r="L4245" s="896"/>
      <c r="M4245" s="902"/>
      <c r="N4245" s="900" t="s">
        <v>2308</v>
      </c>
    </row>
    <row r="4246" spans="1:14" s="910" customFormat="1" ht="16.5" hidden="1" customHeight="1">
      <c r="A4246" s="896"/>
      <c r="B4246" s="980" t="s">
        <v>583</v>
      </c>
      <c r="C4246" s="957">
        <v>1</v>
      </c>
      <c r="D4246" s="958" t="s">
        <v>273</v>
      </c>
      <c r="E4246" s="1268">
        <v>1</v>
      </c>
      <c r="F4246" s="960">
        <v>0</v>
      </c>
      <c r="G4246" s="960">
        <v>0</v>
      </c>
      <c r="H4246" s="960">
        <v>0</v>
      </c>
      <c r="I4246" s="1291">
        <f>ROUND(IF(AND(F4246:H4246),C4246*E4246*F4246*G4246*H4246,IF(AND(F4246,G4246),C4246*E4246*F4246*G4246,IF(AND(F4246,H4246),C4246*E4246*F4246*H4246,IF(AND(G4246,H4246),C4246*E4246*G4246*H4246,IF(F4246,C4246*E4246*F4246,IF(G4246,C4246*E4246*G4246,IF(H4246,C4246*E4246*H4246,C4246*E4246))))))),2)</f>
        <v>1</v>
      </c>
      <c r="J4246" s="909" t="s">
        <v>115</v>
      </c>
      <c r="K4246" s="902"/>
      <c r="L4246" s="896"/>
      <c r="M4246" s="902"/>
      <c r="N4246" s="900" t="s">
        <v>2308</v>
      </c>
    </row>
    <row r="4247" spans="1:14" s="910" customFormat="1" ht="16.5" hidden="1" customHeight="1">
      <c r="A4247" s="896"/>
      <c r="B4247" s="980" t="s">
        <v>584</v>
      </c>
      <c r="C4247" s="957">
        <v>1</v>
      </c>
      <c r="D4247" s="958" t="s">
        <v>273</v>
      </c>
      <c r="E4247" s="1268">
        <v>1</v>
      </c>
      <c r="F4247" s="960">
        <v>0</v>
      </c>
      <c r="G4247" s="960">
        <v>0</v>
      </c>
      <c r="H4247" s="960">
        <v>0</v>
      </c>
      <c r="I4247" s="1291">
        <f>ROUND(IF(AND(F4247:H4247),C4247*E4247*F4247*G4247*H4247,IF(AND(F4247,G4247),C4247*E4247*F4247*G4247,IF(AND(F4247,H4247),C4247*E4247*F4247*H4247,IF(AND(G4247,H4247),C4247*E4247*G4247*H4247,IF(F4247,C4247*E4247*F4247,IF(G4247,C4247*E4247*G4247,IF(H4247,C4247*E4247*H4247,C4247*E4247))))))),2)</f>
        <v>1</v>
      </c>
      <c r="J4247" s="909" t="s">
        <v>115</v>
      </c>
      <c r="K4247" s="902"/>
      <c r="L4247" s="896"/>
      <c r="M4247" s="902"/>
      <c r="N4247" s="900" t="s">
        <v>2308</v>
      </c>
    </row>
    <row r="4248" spans="1:14" s="910" customFormat="1" ht="16.5" hidden="1" customHeight="1">
      <c r="A4248" s="896"/>
      <c r="B4248" s="980"/>
      <c r="C4248" s="957"/>
      <c r="D4248" s="958"/>
      <c r="E4248" s="1268"/>
      <c r="F4248" s="960"/>
      <c r="G4248" s="960"/>
      <c r="H4248" s="960"/>
      <c r="I4248" s="916"/>
      <c r="J4248" s="909"/>
      <c r="K4248" s="902"/>
      <c r="L4248" s="896"/>
      <c r="M4248" s="902"/>
      <c r="N4248" s="900" t="s">
        <v>2308</v>
      </c>
    </row>
    <row r="4249" spans="1:14" ht="15.75" hidden="1">
      <c r="A4249" s="896"/>
      <c r="B4249" s="902"/>
      <c r="C4249" s="917"/>
      <c r="D4249" s="918"/>
      <c r="E4249" s="919"/>
      <c r="F4249" s="920"/>
      <c r="G4249" s="921"/>
      <c r="H4249" s="896"/>
      <c r="I4249" s="1291"/>
      <c r="J4249" s="909" t="s">
        <v>115</v>
      </c>
      <c r="K4249" s="922">
        <f>'Ele Data'!I820</f>
        <v>3255</v>
      </c>
      <c r="L4249" s="923" t="s">
        <v>2308</v>
      </c>
      <c r="M4249" s="924">
        <f>ROUND(I4249*K4249,0)</f>
        <v>0</v>
      </c>
      <c r="N4249" s="900" t="s">
        <v>2308</v>
      </c>
    </row>
    <row r="4250" spans="1:14" ht="44.25" hidden="1" customHeight="1">
      <c r="A4250" s="896">
        <v>24</v>
      </c>
      <c r="B4250" s="1609" t="s">
        <v>941</v>
      </c>
      <c r="C4250" s="1609"/>
      <c r="D4250" s="1609"/>
      <c r="E4250" s="1609"/>
      <c r="F4250" s="1609"/>
      <c r="G4250" s="1609"/>
      <c r="H4250" s="1609"/>
      <c r="I4250" s="897"/>
      <c r="J4250" s="898"/>
      <c r="K4250" s="896"/>
      <c r="L4250" s="896"/>
      <c r="M4250" s="899"/>
      <c r="N4250" s="900" t="s">
        <v>2308</v>
      </c>
    </row>
    <row r="4251" spans="1:14" s="910" customFormat="1" ht="16.5" hidden="1" customHeight="1">
      <c r="A4251" s="896"/>
      <c r="B4251" s="902" t="s">
        <v>2322</v>
      </c>
      <c r="C4251" s="903"/>
      <c r="D4251" s="904"/>
      <c r="E4251" s="905"/>
      <c r="F4251" s="906"/>
      <c r="G4251" s="906"/>
      <c r="H4251" s="907"/>
      <c r="I4251" s="908"/>
      <c r="J4251" s="909"/>
      <c r="K4251" s="902"/>
      <c r="L4251" s="896"/>
      <c r="M4251" s="902"/>
      <c r="N4251" s="900" t="s">
        <v>2308</v>
      </c>
    </row>
    <row r="4252" spans="1:14" s="910" customFormat="1" ht="16.5" hidden="1" customHeight="1">
      <c r="A4252" s="896"/>
      <c r="B4252" s="980"/>
      <c r="C4252" s="957">
        <v>1</v>
      </c>
      <c r="D4252" s="958" t="s">
        <v>273</v>
      </c>
      <c r="E4252" s="1268">
        <v>1</v>
      </c>
      <c r="F4252" s="960">
        <v>0</v>
      </c>
      <c r="G4252" s="960">
        <v>0</v>
      </c>
      <c r="H4252" s="960">
        <v>0</v>
      </c>
      <c r="I4252" s="1291">
        <f>ROUND(IF(AND(F4252:H4252),C4252*E4252*F4252*G4252*H4252,IF(AND(F4252,G4252),C4252*E4252*F4252*G4252,IF(AND(F4252,H4252),C4252*E4252*F4252*H4252,IF(AND(G4252,H4252),C4252*E4252*G4252*H4252,IF(F4252,C4252*E4252*F4252,IF(G4252,C4252*E4252*G4252,IF(H4252,C4252*E4252*H4252,C4252*E4252))))))),2)</f>
        <v>1</v>
      </c>
      <c r="J4252" s="909" t="s">
        <v>115</v>
      </c>
      <c r="K4252" s="902"/>
      <c r="L4252" s="896"/>
      <c r="M4252" s="902"/>
      <c r="N4252" s="900" t="s">
        <v>2308</v>
      </c>
    </row>
    <row r="4253" spans="1:14" s="910" customFormat="1" ht="16.5" hidden="1" customHeight="1">
      <c r="A4253" s="896"/>
      <c r="B4253" s="980"/>
      <c r="C4253" s="957"/>
      <c r="D4253" s="958"/>
      <c r="E4253" s="1268"/>
      <c r="F4253" s="960"/>
      <c r="G4253" s="960"/>
      <c r="H4253" s="960"/>
      <c r="I4253" s="916"/>
      <c r="J4253" s="909"/>
      <c r="K4253" s="902"/>
      <c r="L4253" s="896"/>
      <c r="M4253" s="902"/>
      <c r="N4253" s="900" t="s">
        <v>2308</v>
      </c>
    </row>
    <row r="4254" spans="1:14" ht="15.75" hidden="1">
      <c r="A4254" s="896"/>
      <c r="B4254" s="902"/>
      <c r="C4254" s="917"/>
      <c r="D4254" s="918"/>
      <c r="E4254" s="919"/>
      <c r="F4254" s="920"/>
      <c r="G4254" s="921"/>
      <c r="H4254" s="896"/>
      <c r="I4254" s="1291"/>
      <c r="J4254" s="909" t="s">
        <v>115</v>
      </c>
      <c r="K4254" s="922">
        <f>'Ele Data'!I830</f>
        <v>1005.6</v>
      </c>
      <c r="L4254" s="923" t="s">
        <v>2308</v>
      </c>
      <c r="M4254" s="924">
        <f>ROUND(I4254*K4254,0)</f>
        <v>0</v>
      </c>
      <c r="N4254" s="900" t="s">
        <v>2308</v>
      </c>
    </row>
    <row r="4255" spans="1:14" ht="78" hidden="1" customHeight="1">
      <c r="A4255" s="896">
        <v>25</v>
      </c>
      <c r="B4255" s="1609" t="s">
        <v>450</v>
      </c>
      <c r="C4255" s="1609"/>
      <c r="D4255" s="1609"/>
      <c r="E4255" s="1609"/>
      <c r="F4255" s="1609"/>
      <c r="G4255" s="1609"/>
      <c r="H4255" s="1609"/>
      <c r="I4255" s="897"/>
      <c r="J4255" s="898"/>
      <c r="K4255" s="896"/>
      <c r="L4255" s="896"/>
      <c r="M4255" s="899"/>
      <c r="N4255" s="900" t="s">
        <v>2308</v>
      </c>
    </row>
    <row r="4256" spans="1:14" s="910" customFormat="1" ht="16.5" hidden="1" customHeight="1">
      <c r="A4256" s="896"/>
      <c r="B4256" s="902" t="s">
        <v>2348</v>
      </c>
      <c r="C4256" s="903"/>
      <c r="D4256" s="904"/>
      <c r="E4256" s="905"/>
      <c r="F4256" s="906"/>
      <c r="G4256" s="906"/>
      <c r="H4256" s="907"/>
      <c r="I4256" s="908"/>
      <c r="J4256" s="909"/>
      <c r="K4256" s="902"/>
      <c r="L4256" s="896"/>
      <c r="M4256" s="902"/>
      <c r="N4256" s="900" t="s">
        <v>2308</v>
      </c>
    </row>
    <row r="4257" spans="1:14" s="910" customFormat="1" ht="16.5" hidden="1" customHeight="1">
      <c r="A4257" s="896"/>
      <c r="B4257" s="980"/>
      <c r="C4257" s="957">
        <v>1</v>
      </c>
      <c r="D4257" s="958" t="s">
        <v>273</v>
      </c>
      <c r="E4257" s="1268">
        <v>1</v>
      </c>
      <c r="F4257" s="960">
        <v>0</v>
      </c>
      <c r="G4257" s="960">
        <v>0</v>
      </c>
      <c r="H4257" s="960">
        <v>0</v>
      </c>
      <c r="I4257" s="1291">
        <f>ROUND(IF(AND(F4257:H4257),C4257*E4257*F4257*G4257*H4257,IF(AND(F4257,G4257),C4257*E4257*F4257*G4257,IF(AND(F4257,H4257),C4257*E4257*F4257*H4257,IF(AND(G4257,H4257),C4257*E4257*G4257*H4257,IF(F4257,C4257*E4257*F4257,IF(G4257,C4257*E4257*G4257,IF(H4257,C4257*E4257*H4257,C4257*E4257))))))),2)</f>
        <v>1</v>
      </c>
      <c r="J4257" s="909" t="s">
        <v>115</v>
      </c>
      <c r="K4257" s="902"/>
      <c r="L4257" s="896"/>
      <c r="M4257" s="902"/>
      <c r="N4257" s="900" t="s">
        <v>2308</v>
      </c>
    </row>
    <row r="4258" spans="1:14" s="910" customFormat="1" ht="16.5" hidden="1" customHeight="1">
      <c r="A4258" s="896"/>
      <c r="B4258" s="980"/>
      <c r="C4258" s="957"/>
      <c r="D4258" s="958"/>
      <c r="E4258" s="1268"/>
      <c r="F4258" s="960"/>
      <c r="G4258" s="960"/>
      <c r="H4258" s="960"/>
      <c r="I4258" s="1291"/>
      <c r="J4258" s="909"/>
      <c r="K4258" s="902"/>
      <c r="L4258" s="896"/>
      <c r="M4258" s="902"/>
      <c r="N4258" s="900" t="s">
        <v>2308</v>
      </c>
    </row>
    <row r="4259" spans="1:14" ht="15.75" hidden="1">
      <c r="A4259" s="896"/>
      <c r="B4259" s="902"/>
      <c r="C4259" s="917"/>
      <c r="D4259" s="918"/>
      <c r="E4259" s="919"/>
      <c r="F4259" s="920"/>
      <c r="G4259" s="921"/>
      <c r="H4259" s="896"/>
      <c r="I4259" s="1291"/>
      <c r="J4259" s="909" t="s">
        <v>115</v>
      </c>
      <c r="K4259" s="922">
        <f>'Ele Data'!I849</f>
        <v>3771.9349999999999</v>
      </c>
      <c r="L4259" s="923" t="s">
        <v>2308</v>
      </c>
      <c r="M4259" s="924">
        <f>ROUND(I4259*K4259,0)</f>
        <v>0</v>
      </c>
      <c r="N4259" s="900" t="s">
        <v>2308</v>
      </c>
    </row>
    <row r="4260" spans="1:14" s="1253" customFormat="1" ht="15.75" hidden="1">
      <c r="A4260" s="967"/>
      <c r="B4260" s="967" t="s">
        <v>2213</v>
      </c>
      <c r="C4260" s="967"/>
      <c r="D4260" s="967"/>
      <c r="E4260" s="967"/>
      <c r="F4260" s="988"/>
      <c r="G4260" s="988"/>
      <c r="H4260" s="967"/>
      <c r="I4260" s="1261"/>
      <c r="J4260" s="1262"/>
      <c r="K4260" s="967"/>
      <c r="L4260" s="967"/>
      <c r="M4260" s="967"/>
      <c r="N4260" s="900" t="s">
        <v>2309</v>
      </c>
    </row>
    <row r="4261" spans="1:14" ht="56.25" hidden="1" customHeight="1">
      <c r="A4261" s="896">
        <v>2</v>
      </c>
      <c r="B4261" s="1609" t="s">
        <v>585</v>
      </c>
      <c r="C4261" s="1609"/>
      <c r="D4261" s="1609"/>
      <c r="E4261" s="1609"/>
      <c r="F4261" s="1609"/>
      <c r="G4261" s="1609"/>
      <c r="H4261" s="1609"/>
      <c r="I4261" s="897"/>
      <c r="J4261" s="898"/>
      <c r="K4261" s="896"/>
      <c r="L4261" s="896"/>
      <c r="M4261" s="899"/>
      <c r="N4261" s="900" t="s">
        <v>2309</v>
      </c>
    </row>
    <row r="4262" spans="1:14" s="910" customFormat="1" ht="16.5" hidden="1" customHeight="1">
      <c r="A4262" s="896"/>
      <c r="B4262" s="902" t="s">
        <v>2315</v>
      </c>
      <c r="C4262" s="1338"/>
      <c r="D4262" s="1339"/>
      <c r="E4262" s="1340"/>
      <c r="F4262" s="1341"/>
      <c r="G4262" s="906"/>
      <c r="H4262" s="907"/>
      <c r="I4262" s="908"/>
      <c r="J4262" s="909"/>
      <c r="K4262" s="902"/>
      <c r="L4262" s="896"/>
      <c r="M4262" s="902"/>
      <c r="N4262" s="900" t="s">
        <v>2309</v>
      </c>
    </row>
    <row r="4263" spans="1:14" s="910" customFormat="1" ht="16.5" hidden="1" customHeight="1">
      <c r="A4263" s="896"/>
      <c r="B4263" s="1329" t="s">
        <v>650</v>
      </c>
      <c r="C4263" s="1330">
        <v>1</v>
      </c>
      <c r="D4263" s="1331" t="s">
        <v>273</v>
      </c>
      <c r="E4263" s="1332">
        <v>1</v>
      </c>
      <c r="F4263" s="1333">
        <v>8.5</v>
      </c>
      <c r="G4263" s="915">
        <v>0</v>
      </c>
      <c r="H4263" s="915">
        <v>0</v>
      </c>
      <c r="I4263" s="916">
        <f>ROUND(IF(AND(F4263:H4263),C4263*E4263*F4263*G4263*H4263,IF(AND(F4263,G4263),C4263*E4263*F4263*G4263,IF(AND(F4263,H4263),C4263*E4263*F4263*H4263,IF(AND(G4263,H4263),C4263*E4263*G4263*H4263,IF(F4263,C4263*E4263*F4263,IF(G4263,C4263*E4263*G4263,IF(H4263,C4263*E4263*H4263,C4263*E4263))))))),2)</f>
        <v>8.5</v>
      </c>
      <c r="J4263" s="909" t="s">
        <v>277</v>
      </c>
      <c r="K4263" s="902"/>
      <c r="L4263" s="896"/>
      <c r="M4263" s="902"/>
      <c r="N4263" s="900" t="s">
        <v>2309</v>
      </c>
    </row>
    <row r="4264" spans="1:14" s="910" customFormat="1" ht="16.5" hidden="1" customHeight="1">
      <c r="A4264" s="896"/>
      <c r="B4264" s="1329"/>
      <c r="C4264" s="1334"/>
      <c r="D4264" s="1335"/>
      <c r="E4264" s="1336"/>
      <c r="F4264" s="1337"/>
      <c r="G4264" s="960"/>
      <c r="H4264" s="960"/>
      <c r="I4264" s="916"/>
      <c r="J4264" s="909"/>
      <c r="K4264" s="902"/>
      <c r="L4264" s="896"/>
      <c r="M4264" s="902"/>
      <c r="N4264" s="900" t="s">
        <v>2309</v>
      </c>
    </row>
    <row r="4265" spans="1:14" ht="15.75" hidden="1">
      <c r="A4265" s="896"/>
      <c r="B4265" s="902"/>
      <c r="C4265" s="917"/>
      <c r="D4265" s="918"/>
      <c r="E4265" s="919"/>
      <c r="F4265" s="920"/>
      <c r="G4265" s="921"/>
      <c r="H4265" s="896"/>
      <c r="I4265" s="916"/>
      <c r="J4265" s="909" t="s">
        <v>277</v>
      </c>
      <c r="K4265" s="922">
        <f>'Ele Data'!I868</f>
        <v>80.180000000000007</v>
      </c>
      <c r="L4265" s="923" t="s">
        <v>2309</v>
      </c>
      <c r="M4265" s="924">
        <f>ROUND(I4265*K4265,0)</f>
        <v>0</v>
      </c>
      <c r="N4265" s="900" t="s">
        <v>2309</v>
      </c>
    </row>
    <row r="4266" spans="1:14" ht="56.25" hidden="1" customHeight="1">
      <c r="A4266" s="896">
        <v>26</v>
      </c>
      <c r="B4266" s="1609" t="s">
        <v>307</v>
      </c>
      <c r="C4266" s="1609"/>
      <c r="D4266" s="1609"/>
      <c r="E4266" s="1609"/>
      <c r="F4266" s="1609"/>
      <c r="G4266" s="1609"/>
      <c r="H4266" s="1609"/>
      <c r="I4266" s="897"/>
      <c r="J4266" s="898"/>
      <c r="K4266" s="896"/>
      <c r="L4266" s="896"/>
      <c r="M4266" s="899"/>
      <c r="N4266" s="900" t="s">
        <v>2309</v>
      </c>
    </row>
    <row r="4267" spans="1:14" s="910" customFormat="1" ht="16.5" hidden="1" customHeight="1">
      <c r="A4267" s="896"/>
      <c r="B4267" s="902" t="s">
        <v>3536</v>
      </c>
      <c r="C4267" s="897"/>
      <c r="D4267" s="1263" t="s">
        <v>3470</v>
      </c>
      <c r="E4267" s="905"/>
      <c r="F4267" s="906"/>
      <c r="G4267" s="906"/>
      <c r="H4267" s="907"/>
      <c r="I4267" s="908"/>
      <c r="J4267" s="909"/>
      <c r="K4267" s="902"/>
      <c r="L4267" s="896"/>
      <c r="M4267" s="902"/>
      <c r="N4267" s="900" t="s">
        <v>2309</v>
      </c>
    </row>
    <row r="4268" spans="1:14" s="910" customFormat="1" ht="16.5" hidden="1" customHeight="1">
      <c r="A4268" s="896"/>
      <c r="B4268" s="911"/>
      <c r="C4268" s="912">
        <v>1</v>
      </c>
      <c r="D4268" s="913" t="s">
        <v>273</v>
      </c>
      <c r="E4268" s="914">
        <v>1</v>
      </c>
      <c r="F4268" s="915">
        <v>90</v>
      </c>
      <c r="G4268" s="915">
        <v>0</v>
      </c>
      <c r="H4268" s="915">
        <v>0</v>
      </c>
      <c r="I4268" s="916">
        <f>ROUND(IF(AND(F4268:H4268),C4268*E4268*F4268*G4268*H4268,IF(AND(F4268,G4268),C4268*E4268*F4268*G4268,IF(AND(F4268,H4268),C4268*E4268*F4268*H4268,IF(AND(G4268,H4268),C4268*E4268*G4268*H4268,IF(F4268,C4268*E4268*F4268,IF(G4268,C4268*E4268*G4268,IF(H4268,C4268*E4268*H4268,C4268*E4268))))))),2)</f>
        <v>90</v>
      </c>
      <c r="J4268" s="909" t="s">
        <v>277</v>
      </c>
      <c r="K4268" s="902"/>
      <c r="L4268" s="896"/>
      <c r="M4268" s="902"/>
      <c r="N4268" s="900" t="s">
        <v>2309</v>
      </c>
    </row>
    <row r="4269" spans="1:14" s="910" customFormat="1" ht="16.5" hidden="1" customHeight="1">
      <c r="A4269" s="896"/>
      <c r="B4269" s="911"/>
      <c r="C4269" s="912"/>
      <c r="D4269" s="913"/>
      <c r="E4269" s="914"/>
      <c r="F4269" s="915"/>
      <c r="G4269" s="915"/>
      <c r="H4269" s="915"/>
      <c r="I4269" s="916"/>
      <c r="J4269" s="909"/>
      <c r="K4269" s="902"/>
      <c r="L4269" s="896"/>
      <c r="M4269" s="902"/>
      <c r="N4269" s="900" t="s">
        <v>2309</v>
      </c>
    </row>
    <row r="4270" spans="1:14" ht="15.75" hidden="1">
      <c r="A4270" s="896"/>
      <c r="B4270" s="902"/>
      <c r="C4270" s="917"/>
      <c r="D4270" s="918"/>
      <c r="E4270" s="919"/>
      <c r="F4270" s="920"/>
      <c r="G4270" s="921"/>
      <c r="H4270" s="896"/>
      <c r="I4270" s="916"/>
      <c r="J4270" s="909" t="s">
        <v>277</v>
      </c>
      <c r="K4270" s="922">
        <f>'Ele Data'!I883</f>
        <v>89.61</v>
      </c>
      <c r="L4270" s="923" t="s">
        <v>2309</v>
      </c>
      <c r="M4270" s="924">
        <f>ROUND(I4270*K4270,0)</f>
        <v>0</v>
      </c>
      <c r="N4270" s="900" t="s">
        <v>2309</v>
      </c>
    </row>
    <row r="4271" spans="1:14" ht="17.25" hidden="1" customHeight="1">
      <c r="A4271" s="896">
        <v>3</v>
      </c>
      <c r="B4271" s="1609" t="s">
        <v>389</v>
      </c>
      <c r="C4271" s="1609"/>
      <c r="D4271" s="1609"/>
      <c r="E4271" s="1609"/>
      <c r="F4271" s="1609"/>
      <c r="G4271" s="1609"/>
      <c r="H4271" s="1609"/>
      <c r="I4271" s="897"/>
      <c r="J4271" s="898"/>
      <c r="K4271" s="896"/>
      <c r="L4271" s="896"/>
      <c r="M4271" s="899"/>
      <c r="N4271" s="900" t="s">
        <v>2309</v>
      </c>
    </row>
    <row r="4272" spans="1:14" s="910" customFormat="1" ht="16.5" hidden="1" customHeight="1">
      <c r="A4272" s="896"/>
      <c r="B4272" s="1274" t="s">
        <v>740</v>
      </c>
      <c r="C4272" s="903"/>
      <c r="D4272" s="904"/>
      <c r="E4272" s="905"/>
      <c r="F4272" s="906"/>
      <c r="G4272" s="906"/>
      <c r="H4272" s="907"/>
      <c r="I4272" s="908"/>
      <c r="J4272" s="909"/>
      <c r="K4272" s="902"/>
      <c r="L4272" s="896"/>
      <c r="M4272" s="902"/>
      <c r="N4272" s="900" t="s">
        <v>2309</v>
      </c>
    </row>
    <row r="4273" spans="1:14" s="910" customFormat="1" ht="16.5" hidden="1" customHeight="1">
      <c r="A4273" s="896"/>
      <c r="B4273" s="956" t="s">
        <v>687</v>
      </c>
      <c r="C4273" s="957"/>
      <c r="D4273" s="958"/>
      <c r="E4273" s="1268"/>
      <c r="F4273" s="960"/>
      <c r="G4273" s="960"/>
      <c r="H4273" s="960"/>
      <c r="I4273" s="916"/>
      <c r="J4273" s="909"/>
      <c r="K4273" s="902"/>
      <c r="L4273" s="896"/>
      <c r="M4273" s="902"/>
      <c r="N4273" s="900" t="s">
        <v>2309</v>
      </c>
    </row>
    <row r="4274" spans="1:14" s="910" customFormat="1" ht="16.5" hidden="1" customHeight="1">
      <c r="A4274" s="896"/>
      <c r="B4274" s="956" t="s">
        <v>659</v>
      </c>
      <c r="C4274" s="957">
        <v>1</v>
      </c>
      <c r="D4274" s="958" t="s">
        <v>273</v>
      </c>
      <c r="E4274" s="1268">
        <v>1</v>
      </c>
      <c r="F4274" s="960">
        <v>4</v>
      </c>
      <c r="G4274" s="960">
        <v>0</v>
      </c>
      <c r="H4274" s="960">
        <v>0</v>
      </c>
      <c r="I4274" s="916">
        <f>ROUND(IF(AND(F4274:H4274),C4274*E4274*F4274*G4274*H4274,IF(AND(F4274,G4274),C4274*E4274*F4274*G4274,IF(AND(F4274,H4274),C4274*E4274*F4274*H4274,IF(AND(G4274,H4274),C4274*E4274*G4274*H4274,IF(F4274,C4274*E4274*F4274,IF(G4274,C4274*E4274*G4274,IF(H4274,C4274*E4274*H4274,C4274*E4274))))))),2)</f>
        <v>4</v>
      </c>
      <c r="J4274" s="909" t="s">
        <v>277</v>
      </c>
      <c r="K4274" s="902"/>
      <c r="L4274" s="896"/>
      <c r="M4274" s="902"/>
      <c r="N4274" s="900" t="s">
        <v>2309</v>
      </c>
    </row>
    <row r="4275" spans="1:14" s="910" customFormat="1" ht="16.5" hidden="1" customHeight="1">
      <c r="A4275" s="896"/>
      <c r="B4275" s="980" t="s">
        <v>688</v>
      </c>
      <c r="C4275" s="957">
        <v>1</v>
      </c>
      <c r="D4275" s="958" t="s">
        <v>273</v>
      </c>
      <c r="E4275" s="1268">
        <v>1</v>
      </c>
      <c r="F4275" s="960">
        <v>1.8</v>
      </c>
      <c r="G4275" s="960">
        <v>0</v>
      </c>
      <c r="H4275" s="960">
        <v>0</v>
      </c>
      <c r="I4275" s="916">
        <f>ROUND(IF(AND(F4275:H4275),C4275*E4275*F4275*G4275*H4275,IF(AND(F4275,G4275),C4275*E4275*F4275*G4275,IF(AND(F4275,H4275),C4275*E4275*F4275*H4275,IF(AND(G4275,H4275),C4275*E4275*G4275*H4275,IF(F4275,C4275*E4275*F4275,IF(G4275,C4275*E4275*G4275,IF(H4275,C4275*E4275*H4275,C4275*E4275))))))),2)</f>
        <v>1.8</v>
      </c>
      <c r="J4275" s="909" t="s">
        <v>277</v>
      </c>
      <c r="K4275" s="902"/>
      <c r="L4275" s="896"/>
      <c r="M4275" s="902"/>
      <c r="N4275" s="900" t="s">
        <v>2309</v>
      </c>
    </row>
    <row r="4276" spans="1:14" s="910" customFormat="1" ht="16.5" hidden="1" customHeight="1">
      <c r="A4276" s="896"/>
      <c r="B4276" s="956" t="s">
        <v>689</v>
      </c>
      <c r="C4276" s="957">
        <v>1</v>
      </c>
      <c r="D4276" s="958" t="s">
        <v>273</v>
      </c>
      <c r="E4276" s="1268">
        <v>1</v>
      </c>
      <c r="F4276" s="960">
        <v>2</v>
      </c>
      <c r="G4276" s="960">
        <v>0</v>
      </c>
      <c r="H4276" s="960">
        <v>0</v>
      </c>
      <c r="I4276" s="916">
        <f>ROUND(IF(AND(F4276:H4276),C4276*E4276*F4276*G4276*H4276,IF(AND(F4276,G4276),C4276*E4276*F4276*G4276,IF(AND(F4276,H4276),C4276*E4276*F4276*H4276,IF(AND(G4276,H4276),C4276*E4276*G4276*H4276,IF(F4276,C4276*E4276*F4276,IF(G4276,C4276*E4276*G4276,IF(H4276,C4276*E4276*H4276,C4276*E4276))))))),2)</f>
        <v>2</v>
      </c>
      <c r="J4276" s="909" t="s">
        <v>277</v>
      </c>
      <c r="K4276" s="902"/>
      <c r="L4276" s="896"/>
      <c r="M4276" s="902"/>
      <c r="N4276" s="900" t="s">
        <v>2309</v>
      </c>
    </row>
    <row r="4277" spans="1:14" s="910" customFormat="1" ht="16.5" hidden="1" customHeight="1">
      <c r="A4277" s="896"/>
      <c r="B4277" s="956"/>
      <c r="C4277" s="957"/>
      <c r="D4277" s="958"/>
      <c r="E4277" s="1268"/>
      <c r="F4277" s="960"/>
      <c r="G4277" s="960"/>
      <c r="H4277" s="960"/>
      <c r="I4277" s="916"/>
      <c r="J4277" s="909"/>
      <c r="K4277" s="902"/>
      <c r="L4277" s="896"/>
      <c r="M4277" s="902"/>
      <c r="N4277" s="900" t="s">
        <v>2309</v>
      </c>
    </row>
    <row r="4278" spans="1:14" ht="15.75" hidden="1">
      <c r="A4278" s="896"/>
      <c r="B4278" s="902"/>
      <c r="C4278" s="917"/>
      <c r="D4278" s="918"/>
      <c r="E4278" s="919"/>
      <c r="F4278" s="920"/>
      <c r="G4278" s="921"/>
      <c r="H4278" s="896"/>
      <c r="I4278" s="916"/>
      <c r="J4278" s="909" t="s">
        <v>277</v>
      </c>
      <c r="K4278" s="922">
        <f>'Ele Data'!I887</f>
        <v>64</v>
      </c>
      <c r="L4278" s="923" t="s">
        <v>2309</v>
      </c>
      <c r="M4278" s="924">
        <f>ROUND(I4278*K4278,0)</f>
        <v>0</v>
      </c>
      <c r="N4278" s="900" t="s">
        <v>2309</v>
      </c>
    </row>
    <row r="4279" spans="1:14" ht="27" hidden="1" customHeight="1">
      <c r="A4279" s="896">
        <v>33</v>
      </c>
      <c r="B4279" s="1609" t="s">
        <v>427</v>
      </c>
      <c r="C4279" s="1609"/>
      <c r="D4279" s="1609"/>
      <c r="E4279" s="1609"/>
      <c r="F4279" s="1609"/>
      <c r="G4279" s="1609"/>
      <c r="H4279" s="1609"/>
      <c r="I4279" s="897"/>
      <c r="J4279" s="898"/>
      <c r="K4279" s="896"/>
      <c r="L4279" s="896"/>
      <c r="M4279" s="899"/>
      <c r="N4279" s="900" t="s">
        <v>2309</v>
      </c>
    </row>
    <row r="4280" spans="1:14" s="910" customFormat="1" ht="16.5" hidden="1" customHeight="1">
      <c r="A4280" s="896"/>
      <c r="B4280" s="902" t="s">
        <v>3275</v>
      </c>
      <c r="C4280" s="903"/>
      <c r="D4280" s="904"/>
      <c r="E4280" s="905"/>
      <c r="F4280" s="906"/>
      <c r="G4280" s="906"/>
      <c r="H4280" s="907"/>
      <c r="I4280" s="908"/>
      <c r="J4280" s="909"/>
      <c r="K4280" s="902"/>
      <c r="L4280" s="896"/>
      <c r="M4280" s="902"/>
      <c r="N4280" s="900" t="s">
        <v>2309</v>
      </c>
    </row>
    <row r="4281" spans="1:14" s="910" customFormat="1" ht="16.5" hidden="1" customHeight="1">
      <c r="A4281" s="896"/>
      <c r="B4281" s="980"/>
      <c r="C4281" s="957">
        <v>1</v>
      </c>
      <c r="D4281" s="958" t="s">
        <v>273</v>
      </c>
      <c r="E4281" s="1268">
        <v>9</v>
      </c>
      <c r="F4281" s="960">
        <v>0</v>
      </c>
      <c r="G4281" s="960">
        <v>0</v>
      </c>
      <c r="H4281" s="960">
        <v>0</v>
      </c>
      <c r="I4281" s="1291">
        <f>ROUND(IF(AND(F4281:H4281),C4281*E4281*F4281*G4281*H4281,IF(AND(F4281,G4281),C4281*E4281*F4281*G4281,IF(AND(F4281,H4281),C4281*E4281*F4281*H4281,IF(AND(G4281,H4281),C4281*E4281*G4281*H4281,IF(F4281,C4281*E4281*F4281,IF(G4281,C4281*E4281*G4281,IF(H4281,C4281*E4281*H4281,C4281*E4281))))))),2)</f>
        <v>9</v>
      </c>
      <c r="J4281" s="909" t="s">
        <v>115</v>
      </c>
      <c r="K4281" s="902"/>
      <c r="L4281" s="896"/>
      <c r="M4281" s="902"/>
      <c r="N4281" s="900" t="s">
        <v>2309</v>
      </c>
    </row>
    <row r="4282" spans="1:14" s="910" customFormat="1" ht="16.5" hidden="1" customHeight="1">
      <c r="A4282" s="896"/>
      <c r="B4282" s="980"/>
      <c r="C4282" s="957"/>
      <c r="D4282" s="958"/>
      <c r="E4282" s="1268"/>
      <c r="F4282" s="960"/>
      <c r="G4282" s="960"/>
      <c r="H4282" s="960"/>
      <c r="I4282" s="1291"/>
      <c r="J4282" s="909"/>
      <c r="K4282" s="902"/>
      <c r="L4282" s="896"/>
      <c r="M4282" s="902"/>
      <c r="N4282" s="900" t="s">
        <v>2309</v>
      </c>
    </row>
    <row r="4283" spans="1:14" ht="15.75" hidden="1">
      <c r="A4283" s="896"/>
      <c r="B4283" s="902"/>
      <c r="C4283" s="917"/>
      <c r="D4283" s="918"/>
      <c r="E4283" s="919"/>
      <c r="F4283" s="920"/>
      <c r="G4283" s="921"/>
      <c r="H4283" s="896"/>
      <c r="I4283" s="1291"/>
      <c r="J4283" s="909" t="s">
        <v>115</v>
      </c>
      <c r="K4283" s="922">
        <f>'Ele Data'!I890</f>
        <v>245</v>
      </c>
      <c r="L4283" s="923" t="s">
        <v>2309</v>
      </c>
      <c r="M4283" s="924">
        <f>ROUND(I4283*K4283,0)</f>
        <v>0</v>
      </c>
      <c r="N4283" s="900" t="s">
        <v>2309</v>
      </c>
    </row>
    <row r="4284" spans="1:14" ht="27" hidden="1" customHeight="1">
      <c r="A4284" s="896">
        <v>34</v>
      </c>
      <c r="B4284" s="1609" t="s">
        <v>610</v>
      </c>
      <c r="C4284" s="1609"/>
      <c r="D4284" s="1609"/>
      <c r="E4284" s="1609"/>
      <c r="F4284" s="1609"/>
      <c r="G4284" s="1609"/>
      <c r="H4284" s="1609"/>
      <c r="I4284" s="897"/>
      <c r="J4284" s="898"/>
      <c r="K4284" s="896"/>
      <c r="L4284" s="896"/>
      <c r="M4284" s="899"/>
      <c r="N4284" s="900" t="s">
        <v>2309</v>
      </c>
    </row>
    <row r="4285" spans="1:14" s="910" customFormat="1" ht="16.5" hidden="1" customHeight="1">
      <c r="A4285" s="896"/>
      <c r="B4285" s="902" t="s">
        <v>3275</v>
      </c>
      <c r="C4285" s="903"/>
      <c r="D4285" s="904"/>
      <c r="E4285" s="905"/>
      <c r="F4285" s="906"/>
      <c r="G4285" s="906"/>
      <c r="H4285" s="907"/>
      <c r="I4285" s="908"/>
      <c r="J4285" s="909"/>
      <c r="K4285" s="902"/>
      <c r="L4285" s="896"/>
      <c r="M4285" s="902"/>
      <c r="N4285" s="900" t="s">
        <v>2309</v>
      </c>
    </row>
    <row r="4286" spans="1:14" s="910" customFormat="1" ht="16.5" hidden="1" customHeight="1">
      <c r="A4286" s="896"/>
      <c r="B4286" s="980"/>
      <c r="C4286" s="957">
        <v>1</v>
      </c>
      <c r="D4286" s="958" t="s">
        <v>273</v>
      </c>
      <c r="E4286" s="1268">
        <v>1</v>
      </c>
      <c r="F4286" s="960">
        <v>0</v>
      </c>
      <c r="G4286" s="960">
        <v>0</v>
      </c>
      <c r="H4286" s="960">
        <v>0</v>
      </c>
      <c r="I4286" s="1291">
        <f>ROUND(IF(AND(F4286:H4286),C4286*E4286*F4286*G4286*H4286,IF(AND(F4286,G4286),C4286*E4286*F4286*G4286,IF(AND(F4286,H4286),C4286*E4286*F4286*H4286,IF(AND(G4286,H4286),C4286*E4286*G4286*H4286,IF(F4286,C4286*E4286*F4286,IF(G4286,C4286*E4286*G4286,IF(H4286,C4286*E4286*H4286,C4286*E4286))))))),2)</f>
        <v>1</v>
      </c>
      <c r="J4286" s="909" t="s">
        <v>115</v>
      </c>
      <c r="K4286" s="902"/>
      <c r="L4286" s="896"/>
      <c r="M4286" s="902"/>
      <c r="N4286" s="900" t="s">
        <v>2309</v>
      </c>
    </row>
    <row r="4287" spans="1:14" s="910" customFormat="1" ht="16.5" hidden="1" customHeight="1">
      <c r="A4287" s="896"/>
      <c r="B4287" s="980"/>
      <c r="C4287" s="957"/>
      <c r="D4287" s="958"/>
      <c r="E4287" s="1268"/>
      <c r="F4287" s="960"/>
      <c r="G4287" s="960"/>
      <c r="H4287" s="960"/>
      <c r="I4287" s="1291"/>
      <c r="J4287" s="909"/>
      <c r="K4287" s="902"/>
      <c r="L4287" s="896"/>
      <c r="M4287" s="902"/>
      <c r="N4287" s="900" t="s">
        <v>2309</v>
      </c>
    </row>
    <row r="4288" spans="1:14" ht="15.75" hidden="1">
      <c r="A4288" s="896"/>
      <c r="B4288" s="902"/>
      <c r="C4288" s="917"/>
      <c r="D4288" s="918"/>
      <c r="E4288" s="919"/>
      <c r="F4288" s="920"/>
      <c r="G4288" s="921"/>
      <c r="H4288" s="896"/>
      <c r="I4288" s="1291"/>
      <c r="J4288" s="909" t="s">
        <v>115</v>
      </c>
      <c r="K4288" s="922">
        <f>'Ele Data'!I893</f>
        <v>203</v>
      </c>
      <c r="L4288" s="923" t="s">
        <v>2309</v>
      </c>
      <c r="M4288" s="924">
        <f>ROUND(I4288*K4288,0)</f>
        <v>0</v>
      </c>
      <c r="N4288" s="900" t="s">
        <v>2309</v>
      </c>
    </row>
    <row r="4289" spans="1:14" ht="27" hidden="1" customHeight="1">
      <c r="A4289" s="896">
        <v>5</v>
      </c>
      <c r="B4289" s="1609" t="s">
        <v>690</v>
      </c>
      <c r="C4289" s="1609"/>
      <c r="D4289" s="1609"/>
      <c r="E4289" s="1609"/>
      <c r="F4289" s="1609"/>
      <c r="G4289" s="1609"/>
      <c r="H4289" s="1609"/>
      <c r="I4289" s="897"/>
      <c r="J4289" s="898"/>
      <c r="K4289" s="896"/>
      <c r="L4289" s="896"/>
      <c r="M4289" s="899"/>
      <c r="N4289" s="900" t="s">
        <v>2309</v>
      </c>
    </row>
    <row r="4290" spans="1:14" s="910" customFormat="1" ht="16.5" hidden="1" customHeight="1">
      <c r="A4290" s="896"/>
      <c r="B4290" s="902" t="s">
        <v>2346</v>
      </c>
      <c r="C4290" s="903"/>
      <c r="D4290" s="904"/>
      <c r="E4290" s="905"/>
      <c r="F4290" s="906"/>
      <c r="G4290" s="906"/>
      <c r="H4290" s="907"/>
      <c r="I4290" s="908"/>
      <c r="J4290" s="909"/>
      <c r="K4290" s="902"/>
      <c r="L4290" s="896"/>
      <c r="M4290" s="902"/>
      <c r="N4290" s="900" t="s">
        <v>2309</v>
      </c>
    </row>
    <row r="4291" spans="1:14" s="910" customFormat="1" ht="16.5" hidden="1" customHeight="1">
      <c r="A4291" s="896"/>
      <c r="B4291" s="980" t="s">
        <v>2080</v>
      </c>
      <c r="C4291" s="957">
        <v>1</v>
      </c>
      <c r="D4291" s="958" t="s">
        <v>273</v>
      </c>
      <c r="E4291" s="1268">
        <v>14</v>
      </c>
      <c r="F4291" s="960">
        <v>0</v>
      </c>
      <c r="G4291" s="960">
        <v>0</v>
      </c>
      <c r="H4291" s="960">
        <v>0</v>
      </c>
      <c r="I4291" s="1291">
        <f>ROUND(IF(AND(F4291:H4291),C4291*E4291*F4291*G4291*H4291,IF(AND(F4291,G4291),C4291*E4291*F4291*G4291,IF(AND(F4291,H4291),C4291*E4291*F4291*H4291,IF(AND(G4291,H4291),C4291*E4291*G4291*H4291,IF(F4291,C4291*E4291*F4291,IF(G4291,C4291*E4291*G4291,IF(H4291,C4291*E4291*H4291,C4291*E4291))))))),2)</f>
        <v>14</v>
      </c>
      <c r="J4291" s="909" t="s">
        <v>115</v>
      </c>
      <c r="K4291" s="902"/>
      <c r="L4291" s="896"/>
      <c r="M4291" s="902"/>
      <c r="N4291" s="900" t="s">
        <v>2309</v>
      </c>
    </row>
    <row r="4292" spans="1:14" s="910" customFormat="1" ht="16.5" hidden="1" customHeight="1">
      <c r="A4292" s="896"/>
      <c r="B4292" s="980"/>
      <c r="C4292" s="957"/>
      <c r="D4292" s="958"/>
      <c r="E4292" s="1268"/>
      <c r="F4292" s="960"/>
      <c r="G4292" s="960"/>
      <c r="H4292" s="960"/>
      <c r="I4292" s="916"/>
      <c r="J4292" s="909"/>
      <c r="K4292" s="902"/>
      <c r="L4292" s="896"/>
      <c r="M4292" s="902"/>
      <c r="N4292" s="900" t="s">
        <v>2309</v>
      </c>
    </row>
    <row r="4293" spans="1:14" ht="15.75" hidden="1">
      <c r="A4293" s="896"/>
      <c r="B4293" s="902"/>
      <c r="C4293" s="917"/>
      <c r="D4293" s="918"/>
      <c r="E4293" s="919"/>
      <c r="F4293" s="920"/>
      <c r="G4293" s="921"/>
      <c r="H4293" s="896"/>
      <c r="I4293" s="1291"/>
      <c r="J4293" s="909" t="s">
        <v>115</v>
      </c>
      <c r="K4293" s="922">
        <f>'Ele Data'!I896</f>
        <v>155</v>
      </c>
      <c r="L4293" s="923" t="s">
        <v>2309</v>
      </c>
      <c r="M4293" s="924">
        <f>ROUND(I4293*K4293,0)</f>
        <v>0</v>
      </c>
      <c r="N4293" s="900" t="s">
        <v>2309</v>
      </c>
    </row>
    <row r="4294" spans="1:14" ht="27" hidden="1" customHeight="1">
      <c r="A4294" s="896">
        <v>4</v>
      </c>
      <c r="B4294" s="1609" t="s">
        <v>1510</v>
      </c>
      <c r="C4294" s="1609"/>
      <c r="D4294" s="1609"/>
      <c r="E4294" s="1609"/>
      <c r="F4294" s="1609"/>
      <c r="G4294" s="1609"/>
      <c r="H4294" s="1609"/>
      <c r="I4294" s="897"/>
      <c r="J4294" s="898"/>
      <c r="K4294" s="896"/>
      <c r="L4294" s="896"/>
      <c r="M4294" s="899"/>
      <c r="N4294" s="900" t="s">
        <v>2309</v>
      </c>
    </row>
    <row r="4295" spans="1:14" s="910" customFormat="1" ht="16.5" hidden="1" customHeight="1">
      <c r="A4295" s="896"/>
      <c r="B4295" s="902" t="s">
        <v>2347</v>
      </c>
      <c r="C4295" s="903"/>
      <c r="D4295" s="904"/>
      <c r="E4295" s="905"/>
      <c r="F4295" s="906"/>
      <c r="G4295" s="906"/>
      <c r="H4295" s="907"/>
      <c r="I4295" s="908"/>
      <c r="J4295" s="909"/>
      <c r="K4295" s="902"/>
      <c r="L4295" s="896"/>
      <c r="M4295" s="902"/>
      <c r="N4295" s="900" t="s">
        <v>2309</v>
      </c>
    </row>
    <row r="4296" spans="1:14" s="910" customFormat="1" ht="16.5" hidden="1" customHeight="1">
      <c r="A4296" s="896"/>
      <c r="B4296" s="980" t="s">
        <v>586</v>
      </c>
      <c r="C4296" s="957">
        <v>1</v>
      </c>
      <c r="D4296" s="958" t="s">
        <v>273</v>
      </c>
      <c r="E4296" s="1268">
        <v>1</v>
      </c>
      <c r="F4296" s="960">
        <v>0</v>
      </c>
      <c r="G4296" s="960">
        <v>0</v>
      </c>
      <c r="H4296" s="960">
        <v>0</v>
      </c>
      <c r="I4296" s="1291">
        <f>ROUND(IF(AND(F4296:H4296),C4296*E4296*F4296*G4296*H4296,IF(AND(F4296,G4296),C4296*E4296*F4296*G4296,IF(AND(F4296,H4296),C4296*E4296*F4296*H4296,IF(AND(G4296,H4296),C4296*E4296*G4296*H4296,IF(F4296,C4296*E4296*F4296,IF(G4296,C4296*E4296*G4296,IF(H4296,C4296*E4296*H4296,C4296*E4296))))))),2)</f>
        <v>1</v>
      </c>
      <c r="J4296" s="909" t="s">
        <v>115</v>
      </c>
      <c r="K4296" s="902"/>
      <c r="L4296" s="896"/>
      <c r="M4296" s="902"/>
      <c r="N4296" s="900" t="s">
        <v>2309</v>
      </c>
    </row>
    <row r="4297" spans="1:14" s="910" customFormat="1" ht="16.5" hidden="1" customHeight="1">
      <c r="A4297" s="896"/>
      <c r="B4297" s="980" t="s">
        <v>1493</v>
      </c>
      <c r="C4297" s="957">
        <v>1</v>
      </c>
      <c r="D4297" s="958" t="s">
        <v>273</v>
      </c>
      <c r="E4297" s="1268">
        <v>1</v>
      </c>
      <c r="F4297" s="960">
        <v>0</v>
      </c>
      <c r="G4297" s="960">
        <v>0</v>
      </c>
      <c r="H4297" s="960">
        <v>0</v>
      </c>
      <c r="I4297" s="1291">
        <f>ROUND(IF(AND(F4297:H4297),C4297*E4297*F4297*G4297*H4297,IF(AND(F4297,G4297),C4297*E4297*F4297*G4297,IF(AND(F4297,H4297),C4297*E4297*F4297*H4297,IF(AND(G4297,H4297),C4297*E4297*G4297*H4297,IF(F4297,C4297*E4297*F4297,IF(G4297,C4297*E4297*G4297,IF(H4297,C4297*E4297*H4297,C4297*E4297))))))),2)</f>
        <v>1</v>
      </c>
      <c r="J4297" s="909" t="s">
        <v>115</v>
      </c>
      <c r="K4297" s="902"/>
      <c r="L4297" s="896"/>
      <c r="M4297" s="902"/>
      <c r="N4297" s="900" t="s">
        <v>2309</v>
      </c>
    </row>
    <row r="4298" spans="1:14" s="910" customFormat="1" ht="16.5" hidden="1" customHeight="1">
      <c r="A4298" s="896"/>
      <c r="B4298" s="980" t="s">
        <v>1492</v>
      </c>
      <c r="C4298" s="957">
        <v>1</v>
      </c>
      <c r="D4298" s="958" t="s">
        <v>273</v>
      </c>
      <c r="E4298" s="1268">
        <v>1</v>
      </c>
      <c r="F4298" s="960">
        <v>0</v>
      </c>
      <c r="G4298" s="960">
        <v>0</v>
      </c>
      <c r="H4298" s="960">
        <v>0</v>
      </c>
      <c r="I4298" s="1291">
        <f>ROUND(IF(AND(F4298:H4298),C4298*E4298*F4298*G4298*H4298,IF(AND(F4298,G4298),C4298*E4298*F4298*G4298,IF(AND(F4298,H4298),C4298*E4298*F4298*H4298,IF(AND(G4298,H4298),C4298*E4298*G4298*H4298,IF(F4298,C4298*E4298*F4298,IF(G4298,C4298*E4298*G4298,IF(H4298,C4298*E4298*H4298,C4298*E4298))))))),2)</f>
        <v>1</v>
      </c>
      <c r="J4298" s="909" t="s">
        <v>115</v>
      </c>
      <c r="K4298" s="902"/>
      <c r="L4298" s="896"/>
      <c r="M4298" s="902"/>
      <c r="N4298" s="900" t="s">
        <v>2309</v>
      </c>
    </row>
    <row r="4299" spans="1:14" s="910" customFormat="1" ht="16.5" hidden="1" customHeight="1">
      <c r="A4299" s="896"/>
      <c r="B4299" s="980" t="s">
        <v>223</v>
      </c>
      <c r="C4299" s="957">
        <v>1</v>
      </c>
      <c r="D4299" s="958" t="s">
        <v>273</v>
      </c>
      <c r="E4299" s="1268">
        <v>2</v>
      </c>
      <c r="F4299" s="960">
        <v>0</v>
      </c>
      <c r="G4299" s="960">
        <v>0</v>
      </c>
      <c r="H4299" s="960">
        <v>0</v>
      </c>
      <c r="I4299" s="1291">
        <f>ROUND(IF(AND(F4299:H4299),C4299*E4299*F4299*G4299*H4299,IF(AND(F4299,G4299),C4299*E4299*F4299*G4299,IF(AND(F4299,H4299),C4299*E4299*F4299*H4299,IF(AND(G4299,H4299),C4299*E4299*G4299*H4299,IF(F4299,C4299*E4299*F4299,IF(G4299,C4299*E4299*G4299,IF(H4299,C4299*E4299*H4299,C4299*E4299))))))),2)</f>
        <v>2</v>
      </c>
      <c r="J4299" s="909" t="s">
        <v>115</v>
      </c>
      <c r="K4299" s="902"/>
      <c r="L4299" s="896"/>
      <c r="M4299" s="902"/>
      <c r="N4299" s="900" t="s">
        <v>2309</v>
      </c>
    </row>
    <row r="4300" spans="1:14" s="910" customFormat="1" ht="16.5" hidden="1" customHeight="1">
      <c r="A4300" s="896"/>
      <c r="B4300" s="980"/>
      <c r="C4300" s="957"/>
      <c r="D4300" s="958"/>
      <c r="E4300" s="1268"/>
      <c r="F4300" s="960"/>
      <c r="G4300" s="960"/>
      <c r="H4300" s="960"/>
      <c r="I4300" s="1291"/>
      <c r="J4300" s="909"/>
      <c r="K4300" s="902"/>
      <c r="L4300" s="896"/>
      <c r="M4300" s="902"/>
      <c r="N4300" s="900" t="s">
        <v>2309</v>
      </c>
    </row>
    <row r="4301" spans="1:14" ht="15.75" hidden="1">
      <c r="A4301" s="896"/>
      <c r="B4301" s="902"/>
      <c r="C4301" s="917"/>
      <c r="D4301" s="918"/>
      <c r="E4301" s="919"/>
      <c r="F4301" s="920"/>
      <c r="G4301" s="921"/>
      <c r="H4301" s="896"/>
      <c r="I4301" s="1291"/>
      <c r="J4301" s="909" t="s">
        <v>115</v>
      </c>
      <c r="K4301" s="922">
        <f>'Ele Data'!I907</f>
        <v>359</v>
      </c>
      <c r="L4301" s="923" t="s">
        <v>2309</v>
      </c>
      <c r="M4301" s="924">
        <f>ROUND(I4301*K4301,0)</f>
        <v>0</v>
      </c>
      <c r="N4301" s="900" t="s">
        <v>2309</v>
      </c>
    </row>
    <row r="4302" spans="1:14" ht="27" hidden="1" customHeight="1">
      <c r="A4302" s="896">
        <v>6</v>
      </c>
      <c r="B4302" s="1609" t="s">
        <v>612</v>
      </c>
      <c r="C4302" s="1609"/>
      <c r="D4302" s="1609"/>
      <c r="E4302" s="1609"/>
      <c r="F4302" s="1609"/>
      <c r="G4302" s="1609"/>
      <c r="H4302" s="1609"/>
      <c r="I4302" s="897"/>
      <c r="J4302" s="898"/>
      <c r="K4302" s="896"/>
      <c r="L4302" s="896"/>
      <c r="M4302" s="899"/>
      <c r="N4302" s="900" t="s">
        <v>2309</v>
      </c>
    </row>
    <row r="4303" spans="1:14" s="910" customFormat="1" ht="16.5" hidden="1" customHeight="1">
      <c r="A4303" s="896"/>
      <c r="B4303" s="980" t="s">
        <v>607</v>
      </c>
      <c r="C4303" s="903"/>
      <c r="D4303" s="904"/>
      <c r="E4303" s="905"/>
      <c r="F4303" s="906"/>
      <c r="G4303" s="906"/>
      <c r="H4303" s="907"/>
      <c r="I4303" s="908"/>
      <c r="J4303" s="909"/>
      <c r="K4303" s="902"/>
      <c r="L4303" s="896"/>
      <c r="M4303" s="902"/>
      <c r="N4303" s="900" t="s">
        <v>2309</v>
      </c>
    </row>
    <row r="4304" spans="1:14" s="910" customFormat="1" ht="16.5" hidden="1" customHeight="1">
      <c r="A4304" s="896"/>
      <c r="B4304" s="980" t="s">
        <v>1216</v>
      </c>
      <c r="C4304" s="957">
        <v>2</v>
      </c>
      <c r="D4304" s="958" t="s">
        <v>273</v>
      </c>
      <c r="E4304" s="1268">
        <v>1</v>
      </c>
      <c r="F4304" s="960">
        <v>0</v>
      </c>
      <c r="G4304" s="960">
        <v>0</v>
      </c>
      <c r="H4304" s="960">
        <v>0</v>
      </c>
      <c r="I4304" s="1291">
        <f>ROUND(IF(AND(F4304:H4304),C4304*E4304*F4304*G4304*H4304,IF(AND(F4304,G4304),C4304*E4304*F4304*G4304,IF(AND(F4304,H4304),C4304*E4304*F4304*H4304,IF(AND(G4304,H4304),C4304*E4304*G4304*H4304,IF(F4304,C4304*E4304*F4304,IF(G4304,C4304*E4304*G4304,IF(H4304,C4304*E4304*H4304,C4304*E4304))))))),2)</f>
        <v>2</v>
      </c>
      <c r="J4304" s="909" t="s">
        <v>115</v>
      </c>
      <c r="K4304" s="902"/>
      <c r="L4304" s="896"/>
      <c r="M4304" s="902"/>
      <c r="N4304" s="900" t="s">
        <v>2309</v>
      </c>
    </row>
    <row r="4305" spans="1:14" s="910" customFormat="1" ht="16.5" hidden="1" customHeight="1">
      <c r="A4305" s="896"/>
      <c r="B4305" s="980"/>
      <c r="C4305" s="957"/>
      <c r="D4305" s="958"/>
      <c r="E4305" s="1268"/>
      <c r="F4305" s="960"/>
      <c r="G4305" s="960"/>
      <c r="H4305" s="960"/>
      <c r="I4305" s="1291"/>
      <c r="J4305" s="909"/>
      <c r="K4305" s="902"/>
      <c r="L4305" s="896"/>
      <c r="M4305" s="902"/>
      <c r="N4305" s="900" t="s">
        <v>2309</v>
      </c>
    </row>
    <row r="4306" spans="1:14" ht="15.75" hidden="1">
      <c r="A4306" s="896"/>
      <c r="B4306" s="902"/>
      <c r="C4306" s="917"/>
      <c r="D4306" s="918"/>
      <c r="E4306" s="919"/>
      <c r="F4306" s="920"/>
      <c r="G4306" s="921"/>
      <c r="H4306" s="896"/>
      <c r="I4306" s="1291"/>
      <c r="J4306" s="909" t="s">
        <v>115</v>
      </c>
      <c r="K4306" s="922">
        <f>'Ele Data'!I903</f>
        <v>400</v>
      </c>
      <c r="L4306" s="923" t="s">
        <v>2309</v>
      </c>
      <c r="M4306" s="924">
        <f>ROUND(I4306*K4306,0)</f>
        <v>0</v>
      </c>
      <c r="N4306" s="900" t="s">
        <v>2309</v>
      </c>
    </row>
    <row r="4307" spans="1:14" ht="27" hidden="1" customHeight="1">
      <c r="A4307" s="896">
        <v>6</v>
      </c>
      <c r="B4307" s="1609" t="s">
        <v>790</v>
      </c>
      <c r="C4307" s="1609"/>
      <c r="D4307" s="1609"/>
      <c r="E4307" s="1609"/>
      <c r="F4307" s="1609"/>
      <c r="G4307" s="1609"/>
      <c r="H4307" s="1609"/>
      <c r="I4307" s="897"/>
      <c r="J4307" s="898"/>
      <c r="K4307" s="896"/>
      <c r="L4307" s="896"/>
      <c r="M4307" s="899"/>
      <c r="N4307" s="900" t="s">
        <v>2309</v>
      </c>
    </row>
    <row r="4308" spans="1:14" s="910" customFormat="1" ht="16.5" hidden="1" customHeight="1">
      <c r="A4308" s="896"/>
      <c r="B4308" s="902" t="s">
        <v>2346</v>
      </c>
      <c r="C4308" s="903"/>
      <c r="D4308" s="904"/>
      <c r="E4308" s="905"/>
      <c r="F4308" s="906"/>
      <c r="G4308" s="906"/>
      <c r="H4308" s="907"/>
      <c r="I4308" s="908"/>
      <c r="J4308" s="909"/>
      <c r="K4308" s="902"/>
      <c r="L4308" s="896"/>
      <c r="M4308" s="902"/>
      <c r="N4308" s="900" t="s">
        <v>2309</v>
      </c>
    </row>
    <row r="4309" spans="1:14" s="910" customFormat="1" ht="16.5" hidden="1" customHeight="1">
      <c r="A4309" s="896"/>
      <c r="B4309" s="980" t="s">
        <v>2080</v>
      </c>
      <c r="C4309" s="957">
        <v>1</v>
      </c>
      <c r="D4309" s="958" t="s">
        <v>273</v>
      </c>
      <c r="E4309" s="1268">
        <v>3</v>
      </c>
      <c r="F4309" s="960">
        <v>0</v>
      </c>
      <c r="G4309" s="960">
        <v>0</v>
      </c>
      <c r="H4309" s="960">
        <v>0</v>
      </c>
      <c r="I4309" s="1291">
        <f>ROUND(IF(AND(F4309:H4309),C4309*E4309*F4309*G4309*H4309,IF(AND(F4309,G4309),C4309*E4309*F4309*G4309,IF(AND(F4309,H4309),C4309*E4309*F4309*H4309,IF(AND(G4309,H4309),C4309*E4309*G4309*H4309,IF(F4309,C4309*E4309*F4309,IF(G4309,C4309*E4309*G4309,IF(H4309,C4309*E4309*H4309,C4309*E4309))))))),2)</f>
        <v>3</v>
      </c>
      <c r="J4309" s="909" t="s">
        <v>115</v>
      </c>
      <c r="K4309" s="902"/>
      <c r="L4309" s="896"/>
      <c r="M4309" s="902"/>
      <c r="N4309" s="900" t="s">
        <v>2309</v>
      </c>
    </row>
    <row r="4310" spans="1:14" s="910" customFormat="1" ht="16.5" hidden="1" customHeight="1">
      <c r="A4310" s="896"/>
      <c r="B4310" s="980"/>
      <c r="C4310" s="957"/>
      <c r="D4310" s="958"/>
      <c r="E4310" s="1268"/>
      <c r="F4310" s="960"/>
      <c r="G4310" s="960"/>
      <c r="H4310" s="960"/>
      <c r="I4310" s="1291"/>
      <c r="J4310" s="909"/>
      <c r="K4310" s="902"/>
      <c r="L4310" s="896"/>
      <c r="M4310" s="902"/>
      <c r="N4310" s="900" t="s">
        <v>2309</v>
      </c>
    </row>
    <row r="4311" spans="1:14" ht="15.75" hidden="1">
      <c r="A4311" s="896"/>
      <c r="B4311" s="902"/>
      <c r="C4311" s="917"/>
      <c r="D4311" s="918"/>
      <c r="E4311" s="919"/>
      <c r="F4311" s="920"/>
      <c r="G4311" s="921"/>
      <c r="H4311" s="896"/>
      <c r="I4311" s="1291"/>
      <c r="J4311" s="909" t="s">
        <v>115</v>
      </c>
      <c r="K4311" s="922">
        <f>'Ele Data'!I899</f>
        <v>114</v>
      </c>
      <c r="L4311" s="923" t="s">
        <v>2309</v>
      </c>
      <c r="M4311" s="924">
        <f>ROUND(I4311*K4311,0)</f>
        <v>0</v>
      </c>
      <c r="N4311" s="900" t="s">
        <v>2309</v>
      </c>
    </row>
    <row r="4312" spans="1:14" ht="27" hidden="1" customHeight="1">
      <c r="A4312" s="896">
        <v>7</v>
      </c>
      <c r="B4312" s="1609" t="s">
        <v>428</v>
      </c>
      <c r="C4312" s="1609"/>
      <c r="D4312" s="1609"/>
      <c r="E4312" s="1609"/>
      <c r="F4312" s="1609"/>
      <c r="G4312" s="1609"/>
      <c r="H4312" s="1609"/>
      <c r="I4312" s="897"/>
      <c r="J4312" s="898"/>
      <c r="K4312" s="896"/>
      <c r="L4312" s="896"/>
      <c r="M4312" s="899"/>
      <c r="N4312" s="900" t="s">
        <v>2309</v>
      </c>
    </row>
    <row r="4313" spans="1:14" s="910" customFormat="1" ht="16.5" hidden="1" customHeight="1">
      <c r="A4313" s="896"/>
      <c r="B4313" s="902" t="s">
        <v>2100</v>
      </c>
      <c r="C4313" s="903"/>
      <c r="D4313" s="904"/>
      <c r="E4313" s="905"/>
      <c r="F4313" s="906"/>
      <c r="G4313" s="906"/>
      <c r="H4313" s="907"/>
      <c r="I4313" s="908"/>
      <c r="J4313" s="909"/>
      <c r="K4313" s="902"/>
      <c r="L4313" s="896"/>
      <c r="M4313" s="902"/>
      <c r="N4313" s="900" t="s">
        <v>2309</v>
      </c>
    </row>
    <row r="4314" spans="1:14" s="910" customFormat="1" ht="16.5" hidden="1" customHeight="1">
      <c r="A4314" s="896"/>
      <c r="B4314" s="980" t="s">
        <v>2080</v>
      </c>
      <c r="C4314" s="957">
        <v>1</v>
      </c>
      <c r="D4314" s="958" t="s">
        <v>273</v>
      </c>
      <c r="E4314" s="1268">
        <v>12</v>
      </c>
      <c r="F4314" s="960">
        <v>0</v>
      </c>
      <c r="G4314" s="960">
        <v>0</v>
      </c>
      <c r="H4314" s="960">
        <v>0</v>
      </c>
      <c r="I4314" s="1291">
        <f>ROUND(IF(AND(F4314:H4314),C4314*E4314*F4314*G4314*H4314,IF(AND(F4314,G4314),C4314*E4314*F4314*G4314,IF(AND(F4314,H4314),C4314*E4314*F4314*H4314,IF(AND(G4314,H4314),C4314*E4314*G4314*H4314,IF(F4314,C4314*E4314*F4314,IF(G4314,C4314*E4314*G4314,IF(H4314,C4314*E4314*H4314,C4314*E4314))))))),2)</f>
        <v>12</v>
      </c>
      <c r="J4314" s="909" t="s">
        <v>115</v>
      </c>
      <c r="K4314" s="902"/>
      <c r="L4314" s="896"/>
      <c r="M4314" s="902"/>
      <c r="N4314" s="900" t="s">
        <v>2309</v>
      </c>
    </row>
    <row r="4315" spans="1:14" s="910" customFormat="1" ht="16.5" hidden="1" customHeight="1">
      <c r="A4315" s="896"/>
      <c r="B4315" s="980"/>
      <c r="C4315" s="957"/>
      <c r="D4315" s="958"/>
      <c r="E4315" s="1268"/>
      <c r="F4315" s="960"/>
      <c r="G4315" s="960"/>
      <c r="H4315" s="960"/>
      <c r="I4315" s="1291"/>
      <c r="J4315" s="909"/>
      <c r="K4315" s="902"/>
      <c r="L4315" s="896"/>
      <c r="M4315" s="902"/>
      <c r="N4315" s="900" t="s">
        <v>2309</v>
      </c>
    </row>
    <row r="4316" spans="1:14" ht="15.75" hidden="1">
      <c r="A4316" s="896"/>
      <c r="B4316" s="902"/>
      <c r="C4316" s="917"/>
      <c r="D4316" s="918"/>
      <c r="E4316" s="919"/>
      <c r="F4316" s="920"/>
      <c r="G4316" s="921"/>
      <c r="H4316" s="896"/>
      <c r="I4316" s="1291"/>
      <c r="J4316" s="909" t="s">
        <v>115</v>
      </c>
      <c r="K4316" s="922">
        <f>'Ele Data'!I910</f>
        <v>68</v>
      </c>
      <c r="L4316" s="923" t="s">
        <v>2309</v>
      </c>
      <c r="M4316" s="924">
        <f>ROUND(I4316*K4316,0)</f>
        <v>0</v>
      </c>
      <c r="N4316" s="900" t="s">
        <v>2309</v>
      </c>
    </row>
    <row r="4317" spans="1:14" ht="64.5" hidden="1" customHeight="1">
      <c r="A4317" s="896">
        <v>35</v>
      </c>
      <c r="B4317" s="1609" t="s">
        <v>692</v>
      </c>
      <c r="C4317" s="1609"/>
      <c r="D4317" s="1609"/>
      <c r="E4317" s="1609"/>
      <c r="F4317" s="1609"/>
      <c r="G4317" s="1609"/>
      <c r="H4317" s="1609"/>
      <c r="I4317" s="897"/>
      <c r="J4317" s="898"/>
      <c r="K4317" s="896"/>
      <c r="L4317" s="896"/>
      <c r="M4317" s="899"/>
      <c r="N4317" s="900" t="s">
        <v>2309</v>
      </c>
    </row>
    <row r="4318" spans="1:14" s="910" customFormat="1" ht="16.5" hidden="1" customHeight="1">
      <c r="A4318" s="896"/>
      <c r="B4318" s="902" t="s">
        <v>3276</v>
      </c>
      <c r="C4318" s="903"/>
      <c r="D4318" s="904"/>
      <c r="E4318" s="905"/>
      <c r="F4318" s="906"/>
      <c r="G4318" s="906"/>
      <c r="H4318" s="907"/>
      <c r="I4318" s="908"/>
      <c r="J4318" s="909"/>
      <c r="K4318" s="902"/>
      <c r="L4318" s="896"/>
      <c r="M4318" s="902"/>
      <c r="N4318" s="900" t="s">
        <v>2309</v>
      </c>
    </row>
    <row r="4319" spans="1:14" s="910" customFormat="1" ht="16.5" hidden="1" customHeight="1">
      <c r="A4319" s="896"/>
      <c r="B4319" s="980" t="s">
        <v>3277</v>
      </c>
      <c r="C4319" s="912">
        <v>1</v>
      </c>
      <c r="D4319" s="913" t="s">
        <v>273</v>
      </c>
      <c r="E4319" s="914">
        <v>7</v>
      </c>
      <c r="F4319" s="915">
        <v>0</v>
      </c>
      <c r="G4319" s="915">
        <v>0</v>
      </c>
      <c r="H4319" s="915">
        <v>0</v>
      </c>
      <c r="I4319" s="1291">
        <f>ROUND(IF(AND(F4319:H4319),C4319*E4319*F4319*G4319*H4319,IF(AND(F4319,G4319),C4319*E4319*F4319*G4319,IF(AND(F4319,H4319),C4319*E4319*F4319*H4319,IF(AND(G4319,H4319),C4319*E4319*G4319*H4319,IF(F4319,C4319*E4319*F4319,IF(G4319,C4319*E4319*G4319,IF(H4319,C4319*E4319*H4319,C4319*E4319))))))),2)</f>
        <v>7</v>
      </c>
      <c r="J4319" s="909" t="s">
        <v>431</v>
      </c>
      <c r="K4319" s="902"/>
      <c r="L4319" s="896"/>
      <c r="M4319" s="902"/>
      <c r="N4319" s="900" t="s">
        <v>2309</v>
      </c>
    </row>
    <row r="4320" spans="1:14" s="910" customFormat="1" ht="16.5" hidden="1" customHeight="1">
      <c r="A4320" s="896"/>
      <c r="B4320" s="980" t="s">
        <v>3278</v>
      </c>
      <c r="C4320" s="912">
        <v>1</v>
      </c>
      <c r="D4320" s="913" t="s">
        <v>273</v>
      </c>
      <c r="E4320" s="914">
        <v>10</v>
      </c>
      <c r="F4320" s="915">
        <v>0</v>
      </c>
      <c r="G4320" s="915">
        <v>0</v>
      </c>
      <c r="H4320" s="915">
        <v>0</v>
      </c>
      <c r="I4320" s="1291">
        <f>ROUND(IF(AND(F4320:H4320),C4320*E4320*F4320*G4320*H4320,IF(AND(F4320,G4320),C4320*E4320*F4320*G4320,IF(AND(F4320,H4320),C4320*E4320*F4320*H4320,IF(AND(G4320,H4320),C4320*E4320*G4320*H4320,IF(F4320,C4320*E4320*F4320,IF(G4320,C4320*E4320*G4320,IF(H4320,C4320*E4320*H4320,C4320*E4320))))))),2)</f>
        <v>10</v>
      </c>
      <c r="J4320" s="909" t="s">
        <v>431</v>
      </c>
      <c r="K4320" s="902"/>
      <c r="L4320" s="896"/>
      <c r="M4320" s="902"/>
      <c r="N4320" s="900" t="s">
        <v>2309</v>
      </c>
    </row>
    <row r="4321" spans="1:14" s="910" customFormat="1" ht="16.5" hidden="1" customHeight="1">
      <c r="A4321" s="896"/>
      <c r="B4321" s="980"/>
      <c r="C4321" s="912"/>
      <c r="D4321" s="913"/>
      <c r="E4321" s="914"/>
      <c r="F4321" s="915"/>
      <c r="G4321" s="915"/>
      <c r="H4321" s="915"/>
      <c r="I4321" s="1291"/>
      <c r="J4321" s="909"/>
      <c r="K4321" s="902"/>
      <c r="L4321" s="896"/>
      <c r="M4321" s="902"/>
      <c r="N4321" s="900" t="s">
        <v>2309</v>
      </c>
    </row>
    <row r="4322" spans="1:14" ht="15.75" hidden="1">
      <c r="A4322" s="896"/>
      <c r="B4322" s="902"/>
      <c r="C4322" s="917"/>
      <c r="D4322" s="918"/>
      <c r="E4322" s="919"/>
      <c r="F4322" s="920"/>
      <c r="G4322" s="921"/>
      <c r="H4322" s="896"/>
      <c r="I4322" s="1291"/>
      <c r="J4322" s="909" t="s">
        <v>431</v>
      </c>
      <c r="K4322" s="922">
        <f>'Ele Data'!I948</f>
        <v>481.67</v>
      </c>
      <c r="L4322" s="923" t="s">
        <v>2309</v>
      </c>
      <c r="M4322" s="924">
        <f>ROUND(I4322*K4322,0)</f>
        <v>0</v>
      </c>
      <c r="N4322" s="900" t="s">
        <v>2309</v>
      </c>
    </row>
    <row r="4323" spans="1:14" ht="67.5" hidden="1" customHeight="1">
      <c r="A4323" s="896">
        <v>34</v>
      </c>
      <c r="B4323" s="1609" t="s">
        <v>693</v>
      </c>
      <c r="C4323" s="1609"/>
      <c r="D4323" s="1609"/>
      <c r="E4323" s="1609"/>
      <c r="F4323" s="1609"/>
      <c r="G4323" s="1609"/>
      <c r="H4323" s="1609"/>
      <c r="I4323" s="897"/>
      <c r="J4323" s="898"/>
      <c r="K4323" s="896"/>
      <c r="L4323" s="896"/>
      <c r="M4323" s="899"/>
      <c r="N4323" s="900" t="s">
        <v>2309</v>
      </c>
    </row>
    <row r="4324" spans="1:14" s="910" customFormat="1" ht="16.5" hidden="1" customHeight="1">
      <c r="A4324" s="896"/>
      <c r="B4324" s="902" t="s">
        <v>3618</v>
      </c>
      <c r="C4324" s="903"/>
      <c r="D4324" s="1280"/>
      <c r="E4324" s="905"/>
      <c r="F4324" s="906"/>
      <c r="G4324" s="906"/>
      <c r="H4324" s="907"/>
      <c r="I4324" s="908"/>
      <c r="J4324" s="909"/>
      <c r="K4324" s="902"/>
      <c r="L4324" s="896"/>
      <c r="M4324" s="902"/>
      <c r="N4324" s="900" t="s">
        <v>2309</v>
      </c>
    </row>
    <row r="4325" spans="1:14" s="910" customFormat="1" ht="16.5" hidden="1" customHeight="1">
      <c r="A4325" s="896"/>
      <c r="B4325" s="980" t="s">
        <v>3620</v>
      </c>
      <c r="C4325" s="957">
        <v>1</v>
      </c>
      <c r="D4325" s="958" t="s">
        <v>273</v>
      </c>
      <c r="E4325" s="1268">
        <v>5</v>
      </c>
      <c r="F4325" s="960">
        <v>0</v>
      </c>
      <c r="G4325" s="960">
        <v>0</v>
      </c>
      <c r="H4325" s="960">
        <v>0</v>
      </c>
      <c r="I4325" s="1291">
        <f>ROUND(IF(AND(F4325:H4325),C4325*E4325*F4325*G4325*H4325,IF(AND(F4325,G4325),C4325*E4325*F4325*G4325,IF(AND(F4325,H4325),C4325*E4325*F4325*H4325,IF(AND(G4325,H4325),C4325*E4325*G4325*H4325,IF(F4325,C4325*E4325*F4325,IF(G4325,C4325*E4325*G4325,IF(H4325,C4325*E4325*H4325,C4325*E4325))))))),2)</f>
        <v>5</v>
      </c>
      <c r="J4325" s="909" t="s">
        <v>431</v>
      </c>
      <c r="K4325" s="902"/>
      <c r="L4325" s="896"/>
      <c r="M4325" s="902"/>
      <c r="N4325" s="900" t="s">
        <v>2309</v>
      </c>
    </row>
    <row r="4326" spans="1:14" s="910" customFormat="1" ht="16.5" hidden="1" customHeight="1">
      <c r="A4326" s="896"/>
      <c r="B4326" s="980"/>
      <c r="C4326" s="957"/>
      <c r="D4326" s="958"/>
      <c r="E4326" s="1268"/>
      <c r="F4326" s="960"/>
      <c r="G4326" s="960"/>
      <c r="H4326" s="960"/>
      <c r="I4326" s="916"/>
      <c r="J4326" s="909"/>
      <c r="K4326" s="902"/>
      <c r="L4326" s="896"/>
      <c r="M4326" s="902"/>
      <c r="N4326" s="900" t="s">
        <v>2309</v>
      </c>
    </row>
    <row r="4327" spans="1:14" ht="15.75" hidden="1">
      <c r="A4327" s="896"/>
      <c r="B4327" s="902"/>
      <c r="C4327" s="917"/>
      <c r="D4327" s="918"/>
      <c r="E4327" s="919"/>
      <c r="F4327" s="920"/>
      <c r="G4327" s="921"/>
      <c r="H4327" s="896"/>
      <c r="I4327" s="1291"/>
      <c r="J4327" s="909" t="s">
        <v>431</v>
      </c>
      <c r="K4327" s="922">
        <f>'Ele Data'!I961</f>
        <v>503.67</v>
      </c>
      <c r="L4327" s="923" t="s">
        <v>2309</v>
      </c>
      <c r="M4327" s="924">
        <f>ROUND(I4327*K4327,0)</f>
        <v>0</v>
      </c>
      <c r="N4327" s="900" t="s">
        <v>2309</v>
      </c>
    </row>
    <row r="4328" spans="1:14" ht="44.25" hidden="1" customHeight="1">
      <c r="A4328" s="896">
        <v>35</v>
      </c>
      <c r="B4328" s="1609" t="s">
        <v>2086</v>
      </c>
      <c r="C4328" s="1609"/>
      <c r="D4328" s="1609"/>
      <c r="E4328" s="1609"/>
      <c r="F4328" s="1609"/>
      <c r="G4328" s="1609"/>
      <c r="H4328" s="1609"/>
      <c r="I4328" s="897"/>
      <c r="J4328" s="898"/>
      <c r="K4328" s="896"/>
      <c r="L4328" s="896"/>
      <c r="M4328" s="899"/>
      <c r="N4328" s="900" t="s">
        <v>2309</v>
      </c>
    </row>
    <row r="4329" spans="1:14" s="910" customFormat="1" ht="16.5" hidden="1" customHeight="1">
      <c r="A4329" s="896"/>
      <c r="B4329" s="902" t="s">
        <v>3618</v>
      </c>
      <c r="C4329" s="903"/>
      <c r="D4329" s="904"/>
      <c r="E4329" s="905"/>
      <c r="F4329" s="906"/>
      <c r="G4329" s="906"/>
      <c r="H4329" s="907"/>
      <c r="I4329" s="908"/>
      <c r="J4329" s="909"/>
      <c r="K4329" s="902"/>
      <c r="L4329" s="896"/>
      <c r="M4329" s="902"/>
      <c r="N4329" s="900" t="s">
        <v>2309</v>
      </c>
    </row>
    <row r="4330" spans="1:14" s="910" customFormat="1" ht="16.5" hidden="1" customHeight="1">
      <c r="A4330" s="896"/>
      <c r="B4330" s="902" t="s">
        <v>2087</v>
      </c>
      <c r="C4330" s="912">
        <v>1</v>
      </c>
      <c r="D4330" s="913" t="s">
        <v>273</v>
      </c>
      <c r="E4330" s="914">
        <v>2</v>
      </c>
      <c r="F4330" s="1289">
        <v>70</v>
      </c>
      <c r="G4330" s="915">
        <v>0</v>
      </c>
      <c r="H4330" s="915">
        <v>0</v>
      </c>
      <c r="I4330" s="916">
        <f>ROUND(IF(AND(F4330:H4330),C4330*E4330*F4330*G4330*H4330,IF(AND(F4330,G4330),C4330*E4330*F4330*G4330,IF(AND(F4330,H4330),C4330*E4330*F4330*H4330,IF(AND(G4330,H4330),C4330*E4330*G4330*H4330,IF(F4330,C4330*E4330*F4330,IF(G4330,C4330*E4330*G4330,IF(H4330,C4330*E4330*H4330,C4330*E4330))))))),2)</f>
        <v>140</v>
      </c>
      <c r="J4330" s="909" t="s">
        <v>277</v>
      </c>
      <c r="K4330" s="902"/>
      <c r="L4330" s="896"/>
      <c r="M4330" s="902"/>
      <c r="N4330" s="900" t="s">
        <v>2309</v>
      </c>
    </row>
    <row r="4331" spans="1:14" s="910" customFormat="1" ht="16.5" hidden="1" customHeight="1">
      <c r="A4331" s="896"/>
      <c r="B4331" s="980"/>
      <c r="C4331" s="957"/>
      <c r="D4331" s="958"/>
      <c r="E4331" s="1268"/>
      <c r="F4331" s="1290"/>
      <c r="G4331" s="960"/>
      <c r="H4331" s="960"/>
      <c r="I4331" s="916"/>
      <c r="J4331" s="909"/>
      <c r="K4331" s="902"/>
      <c r="L4331" s="896"/>
      <c r="M4331" s="902"/>
      <c r="N4331" s="900" t="s">
        <v>2309</v>
      </c>
    </row>
    <row r="4332" spans="1:14" ht="15.75" hidden="1">
      <c r="A4332" s="896"/>
      <c r="B4332" s="902"/>
      <c r="C4332" s="917"/>
      <c r="D4332" s="918"/>
      <c r="E4332" s="919"/>
      <c r="F4332" s="920"/>
      <c r="G4332" s="921"/>
      <c r="H4332" s="896"/>
      <c r="I4332" s="916"/>
      <c r="J4332" s="909" t="s">
        <v>277</v>
      </c>
      <c r="K4332" s="922">
        <f>'Ele Data'!I1006</f>
        <v>23.55</v>
      </c>
      <c r="L4332" s="923" t="s">
        <v>2309</v>
      </c>
      <c r="M4332" s="924">
        <f>ROUND(I4332*K4332,0)</f>
        <v>0</v>
      </c>
      <c r="N4332" s="900" t="s">
        <v>2309</v>
      </c>
    </row>
    <row r="4333" spans="1:14" ht="44.25" hidden="1" customHeight="1">
      <c r="A4333" s="896">
        <v>36</v>
      </c>
      <c r="B4333" s="1609" t="s">
        <v>2255</v>
      </c>
      <c r="C4333" s="1609"/>
      <c r="D4333" s="1609"/>
      <c r="E4333" s="1609"/>
      <c r="F4333" s="1609"/>
      <c r="G4333" s="1609"/>
      <c r="H4333" s="1609"/>
      <c r="I4333" s="897"/>
      <c r="J4333" s="898"/>
      <c r="K4333" s="896"/>
      <c r="L4333" s="896"/>
      <c r="M4333" s="899"/>
      <c r="N4333" s="900" t="s">
        <v>2309</v>
      </c>
    </row>
    <row r="4334" spans="1:14" s="910" customFormat="1" ht="16.5" hidden="1" customHeight="1">
      <c r="A4334" s="896"/>
      <c r="B4334" s="902" t="s">
        <v>3276</v>
      </c>
      <c r="C4334" s="903"/>
      <c r="D4334" s="904"/>
      <c r="E4334" s="905"/>
      <c r="F4334" s="906"/>
      <c r="G4334" s="906"/>
      <c r="H4334" s="907"/>
      <c r="I4334" s="908"/>
      <c r="J4334" s="909"/>
      <c r="K4334" s="902"/>
      <c r="L4334" s="896"/>
      <c r="M4334" s="902"/>
      <c r="N4334" s="900" t="s">
        <v>2309</v>
      </c>
    </row>
    <row r="4335" spans="1:14" s="910" customFormat="1" ht="16.5" hidden="1" customHeight="1">
      <c r="A4335" s="896"/>
      <c r="B4335" s="911" t="s">
        <v>3273</v>
      </c>
      <c r="C4335" s="912">
        <v>1</v>
      </c>
      <c r="D4335" s="913" t="s">
        <v>273</v>
      </c>
      <c r="E4335" s="914">
        <v>1</v>
      </c>
      <c r="F4335" s="915">
        <v>25</v>
      </c>
      <c r="G4335" s="915">
        <v>0</v>
      </c>
      <c r="H4335" s="915">
        <v>0</v>
      </c>
      <c r="I4335" s="916">
        <f>ROUND(IF(AND(F4335:H4335),C4335*E4335*F4335*G4335*H4335,IF(AND(F4335,G4335),C4335*E4335*F4335*G4335,IF(AND(F4335,H4335),C4335*E4335*F4335*H4335,IF(AND(G4335,H4335),C4335*E4335*G4335*H4335,IF(F4335,C4335*E4335*F4335,IF(G4335,C4335*E4335*G4335,IF(H4335,C4335*E4335*H4335,C4335*E4335))))))),2)</f>
        <v>25</v>
      </c>
      <c r="J4335" s="909" t="s">
        <v>277</v>
      </c>
      <c r="K4335" s="902"/>
      <c r="L4335" s="896"/>
      <c r="M4335" s="902"/>
      <c r="N4335" s="900" t="s">
        <v>2309</v>
      </c>
    </row>
    <row r="4336" spans="1:14" s="910" customFormat="1" ht="16.5" hidden="1" customHeight="1">
      <c r="A4336" s="896"/>
      <c r="B4336" s="911" t="s">
        <v>3274</v>
      </c>
      <c r="C4336" s="912">
        <v>1</v>
      </c>
      <c r="D4336" s="913" t="s">
        <v>273</v>
      </c>
      <c r="E4336" s="914">
        <v>1</v>
      </c>
      <c r="F4336" s="915">
        <v>10</v>
      </c>
      <c r="G4336" s="915">
        <v>0</v>
      </c>
      <c r="H4336" s="915">
        <v>0</v>
      </c>
      <c r="I4336" s="916">
        <f>ROUND(IF(AND(F4336:H4336),C4336*E4336*F4336*G4336*H4336,IF(AND(F4336,G4336),C4336*E4336*F4336*G4336,IF(AND(F4336,H4336),C4336*E4336*F4336*H4336,IF(AND(G4336,H4336),C4336*E4336*G4336*H4336,IF(F4336,C4336*E4336*F4336,IF(G4336,C4336*E4336*G4336,IF(H4336,C4336*E4336*H4336,C4336*E4336))))))),2)</f>
        <v>10</v>
      </c>
      <c r="J4336" s="909" t="s">
        <v>277</v>
      </c>
      <c r="K4336" s="902"/>
      <c r="L4336" s="896"/>
      <c r="M4336" s="902"/>
      <c r="N4336" s="900" t="s">
        <v>2309</v>
      </c>
    </row>
    <row r="4337" spans="1:14" s="910" customFormat="1" ht="16.5" hidden="1" customHeight="1">
      <c r="A4337" s="896"/>
      <c r="B4337" s="911" t="s">
        <v>586</v>
      </c>
      <c r="C4337" s="912">
        <v>1</v>
      </c>
      <c r="D4337" s="913" t="s">
        <v>273</v>
      </c>
      <c r="E4337" s="914">
        <v>1</v>
      </c>
      <c r="F4337" s="915">
        <v>10</v>
      </c>
      <c r="G4337" s="915">
        <v>0</v>
      </c>
      <c r="H4337" s="915">
        <v>0</v>
      </c>
      <c r="I4337" s="916">
        <f>ROUND(IF(AND(F4337:H4337),C4337*E4337*F4337*G4337*H4337,IF(AND(F4337,G4337),C4337*E4337*F4337*G4337,IF(AND(F4337,H4337),C4337*E4337*F4337*H4337,IF(AND(G4337,H4337),C4337*E4337*G4337*H4337,IF(F4337,C4337*E4337*F4337,IF(G4337,C4337*E4337*G4337,IF(H4337,C4337*E4337*H4337,C4337*E4337))))))),2)</f>
        <v>10</v>
      </c>
      <c r="J4337" s="909" t="s">
        <v>277</v>
      </c>
      <c r="K4337" s="902"/>
      <c r="L4337" s="896"/>
      <c r="M4337" s="902"/>
      <c r="N4337" s="900" t="s">
        <v>2309</v>
      </c>
    </row>
    <row r="4338" spans="1:14" s="910" customFormat="1" ht="16.5" hidden="1" customHeight="1">
      <c r="A4338" s="896"/>
      <c r="B4338" s="911" t="s">
        <v>1492</v>
      </c>
      <c r="C4338" s="912">
        <v>1</v>
      </c>
      <c r="D4338" s="913" t="s">
        <v>273</v>
      </c>
      <c r="E4338" s="914">
        <v>1</v>
      </c>
      <c r="F4338" s="915">
        <v>10</v>
      </c>
      <c r="G4338" s="915">
        <v>0</v>
      </c>
      <c r="H4338" s="915">
        <v>0</v>
      </c>
      <c r="I4338" s="916">
        <f>ROUND(IF(AND(F4338:H4338),C4338*E4338*F4338*G4338*H4338,IF(AND(F4338,G4338),C4338*E4338*F4338*G4338,IF(AND(F4338,H4338),C4338*E4338*F4338*H4338,IF(AND(G4338,H4338),C4338*E4338*G4338*H4338,IF(F4338,C4338*E4338*F4338,IF(G4338,C4338*E4338*G4338,IF(H4338,C4338*E4338*H4338,C4338*E4338))))))),2)</f>
        <v>10</v>
      </c>
      <c r="J4338" s="909" t="s">
        <v>277</v>
      </c>
      <c r="K4338" s="902"/>
      <c r="L4338" s="896"/>
      <c r="M4338" s="902"/>
      <c r="N4338" s="900" t="s">
        <v>2309</v>
      </c>
    </row>
    <row r="4339" spans="1:14" s="910" customFormat="1" ht="16.5" hidden="1" customHeight="1">
      <c r="A4339" s="896"/>
      <c r="B4339" s="911" t="s">
        <v>578</v>
      </c>
      <c r="C4339" s="912">
        <v>1</v>
      </c>
      <c r="D4339" s="913" t="s">
        <v>273</v>
      </c>
      <c r="E4339" s="914">
        <v>1</v>
      </c>
      <c r="F4339" s="915">
        <v>5</v>
      </c>
      <c r="G4339" s="915">
        <v>0</v>
      </c>
      <c r="H4339" s="915">
        <v>0</v>
      </c>
      <c r="I4339" s="916">
        <f>ROUND(IF(AND(F4339:H4339),C4339*E4339*F4339*G4339*H4339,IF(AND(F4339,G4339),C4339*E4339*F4339*G4339,IF(AND(F4339,H4339),C4339*E4339*F4339*H4339,IF(AND(G4339,H4339),C4339*E4339*G4339*H4339,IF(F4339,C4339*E4339*F4339,IF(G4339,C4339*E4339*G4339,IF(H4339,C4339*E4339*H4339,C4339*E4339))))))),2)</f>
        <v>5</v>
      </c>
      <c r="J4339" s="909" t="s">
        <v>277</v>
      </c>
      <c r="K4339" s="902"/>
      <c r="L4339" s="896"/>
      <c r="M4339" s="902"/>
      <c r="N4339" s="900" t="s">
        <v>2309</v>
      </c>
    </row>
    <row r="4340" spans="1:14" s="910" customFormat="1" ht="16.5" hidden="1" customHeight="1">
      <c r="A4340" s="896"/>
      <c r="B4340" s="980"/>
      <c r="C4340" s="957"/>
      <c r="D4340" s="958"/>
      <c r="E4340" s="1268"/>
      <c r="F4340" s="1290"/>
      <c r="G4340" s="960"/>
      <c r="H4340" s="960"/>
      <c r="I4340" s="916"/>
      <c r="J4340" s="909"/>
      <c r="K4340" s="902"/>
      <c r="L4340" s="896"/>
      <c r="M4340" s="902"/>
      <c r="N4340" s="900" t="s">
        <v>2309</v>
      </c>
    </row>
    <row r="4341" spans="1:14" ht="15.75" hidden="1">
      <c r="A4341" s="896"/>
      <c r="B4341" s="902"/>
      <c r="C4341" s="917"/>
      <c r="D4341" s="918"/>
      <c r="E4341" s="919"/>
      <c r="F4341" s="920"/>
      <c r="G4341" s="921"/>
      <c r="H4341" s="896"/>
      <c r="I4341" s="916"/>
      <c r="J4341" s="909" t="s">
        <v>277</v>
      </c>
      <c r="K4341" s="922">
        <f>'Ele Data'!I998</f>
        <v>79.48</v>
      </c>
      <c r="L4341" s="923" t="s">
        <v>2309</v>
      </c>
      <c r="M4341" s="924">
        <f>ROUND(I4341*K4341,0)</f>
        <v>0</v>
      </c>
      <c r="N4341" s="900" t="s">
        <v>2309</v>
      </c>
    </row>
    <row r="4342" spans="1:14" ht="44.25" hidden="1" customHeight="1">
      <c r="A4342" s="896">
        <v>32</v>
      </c>
      <c r="B4342" s="1609" t="s">
        <v>429</v>
      </c>
      <c r="C4342" s="1609"/>
      <c r="D4342" s="1609"/>
      <c r="E4342" s="1609"/>
      <c r="F4342" s="1609"/>
      <c r="G4342" s="1609"/>
      <c r="H4342" s="1609"/>
      <c r="I4342" s="897"/>
      <c r="J4342" s="898"/>
      <c r="K4342" s="896"/>
      <c r="L4342" s="896"/>
      <c r="M4342" s="899"/>
      <c r="N4342" s="900" t="s">
        <v>2309</v>
      </c>
    </row>
    <row r="4343" spans="1:14" s="910" customFormat="1" ht="16.5" hidden="1" customHeight="1">
      <c r="A4343" s="896"/>
      <c r="B4343" s="902" t="s">
        <v>3585</v>
      </c>
      <c r="C4343" s="903"/>
      <c r="D4343" s="1280" t="s">
        <v>3256</v>
      </c>
      <c r="E4343" s="905"/>
      <c r="F4343" s="906"/>
      <c r="G4343" s="906"/>
      <c r="H4343" s="907"/>
      <c r="I4343" s="908"/>
      <c r="J4343" s="909"/>
      <c r="K4343" s="902"/>
      <c r="L4343" s="896"/>
      <c r="M4343" s="902"/>
      <c r="N4343" s="900" t="s">
        <v>2309</v>
      </c>
    </row>
    <row r="4344" spans="1:14" s="910" customFormat="1" ht="16.5" hidden="1" customHeight="1">
      <c r="A4344" s="896"/>
      <c r="B4344" s="980"/>
      <c r="C4344" s="912">
        <v>1</v>
      </c>
      <c r="D4344" s="913" t="s">
        <v>273</v>
      </c>
      <c r="E4344" s="914">
        <v>1</v>
      </c>
      <c r="F4344" s="1289">
        <v>60</v>
      </c>
      <c r="G4344" s="915">
        <v>0</v>
      </c>
      <c r="H4344" s="915">
        <v>0</v>
      </c>
      <c r="I4344" s="916">
        <f>ROUND(IF(AND(F4344:H4344),C4344*E4344*F4344*G4344*H4344,IF(AND(F4344,G4344),C4344*E4344*F4344*G4344,IF(AND(F4344,H4344),C4344*E4344*F4344*H4344,IF(AND(G4344,H4344),C4344*E4344*G4344*H4344,IF(F4344,C4344*E4344*F4344,IF(G4344,C4344*E4344*G4344,IF(H4344,C4344*E4344*H4344,C4344*E4344))))))),2)</f>
        <v>60</v>
      </c>
      <c r="J4344" s="909" t="s">
        <v>277</v>
      </c>
      <c r="K4344" s="902"/>
      <c r="L4344" s="896"/>
      <c r="M4344" s="902"/>
      <c r="N4344" s="900" t="s">
        <v>2309</v>
      </c>
    </row>
    <row r="4345" spans="1:14" s="910" customFormat="1" ht="16.5" hidden="1" customHeight="1">
      <c r="A4345" s="896"/>
      <c r="B4345" s="980"/>
      <c r="C4345" s="912">
        <v>1</v>
      </c>
      <c r="D4345" s="913" t="s">
        <v>273</v>
      </c>
      <c r="E4345" s="914">
        <v>1</v>
      </c>
      <c r="F4345" s="1289">
        <v>80</v>
      </c>
      <c r="G4345" s="915">
        <v>0</v>
      </c>
      <c r="H4345" s="915">
        <v>0</v>
      </c>
      <c r="I4345" s="916">
        <f>ROUND(IF(AND(F4345:H4345),C4345*E4345*F4345*G4345*H4345,IF(AND(F4345,G4345),C4345*E4345*F4345*G4345,IF(AND(F4345,H4345),C4345*E4345*F4345*H4345,IF(AND(G4345,H4345),C4345*E4345*G4345*H4345,IF(F4345,C4345*E4345*F4345,IF(G4345,C4345*E4345*G4345,IF(H4345,C4345*E4345*H4345,C4345*E4345))))))),2)</f>
        <v>80</v>
      </c>
      <c r="J4345" s="909" t="s">
        <v>277</v>
      </c>
      <c r="K4345" s="902"/>
      <c r="L4345" s="896"/>
      <c r="M4345" s="902"/>
      <c r="N4345" s="900" t="s">
        <v>2309</v>
      </c>
    </row>
    <row r="4346" spans="1:14" s="910" customFormat="1" ht="16.5" hidden="1" customHeight="1">
      <c r="A4346" s="896"/>
      <c r="B4346" s="911"/>
      <c r="C4346" s="957"/>
      <c r="D4346" s="958"/>
      <c r="E4346" s="1268"/>
      <c r="F4346" s="1290"/>
      <c r="G4346" s="960"/>
      <c r="H4346" s="960"/>
      <c r="I4346" s="916"/>
      <c r="J4346" s="909"/>
      <c r="K4346" s="902"/>
      <c r="L4346" s="896"/>
      <c r="M4346" s="902"/>
      <c r="N4346" s="900" t="s">
        <v>2309</v>
      </c>
    </row>
    <row r="4347" spans="1:14" ht="15.75" hidden="1">
      <c r="A4347" s="896"/>
      <c r="B4347" s="902"/>
      <c r="C4347" s="917"/>
      <c r="D4347" s="918"/>
      <c r="E4347" s="919"/>
      <c r="F4347" s="920"/>
      <c r="G4347" s="921"/>
      <c r="H4347" s="896"/>
      <c r="I4347" s="916"/>
      <c r="J4347" s="909" t="s">
        <v>277</v>
      </c>
      <c r="K4347" s="922">
        <f>'Ele Data'!I1016</f>
        <v>83.333500000000001</v>
      </c>
      <c r="L4347" s="923" t="s">
        <v>2309</v>
      </c>
      <c r="M4347" s="924">
        <f>ROUND(I4347*K4347,0)</f>
        <v>0</v>
      </c>
      <c r="N4347" s="900" t="s">
        <v>2309</v>
      </c>
    </row>
    <row r="4348" spans="1:14" ht="44.25" hidden="1" customHeight="1">
      <c r="A4348" s="896">
        <v>10</v>
      </c>
      <c r="B4348" s="1609" t="s">
        <v>430</v>
      </c>
      <c r="C4348" s="1609"/>
      <c r="D4348" s="1609"/>
      <c r="E4348" s="1609"/>
      <c r="F4348" s="1609"/>
      <c r="G4348" s="1609"/>
      <c r="H4348" s="1609"/>
      <c r="I4348" s="897"/>
      <c r="J4348" s="898"/>
      <c r="K4348" s="896"/>
      <c r="L4348" s="896"/>
      <c r="M4348" s="899"/>
      <c r="N4348" s="900" t="s">
        <v>2309</v>
      </c>
    </row>
    <row r="4349" spans="1:14" s="910" customFormat="1" ht="16.5" hidden="1" customHeight="1">
      <c r="A4349" s="896"/>
      <c r="B4349" s="902" t="s">
        <v>3000</v>
      </c>
      <c r="C4349" s="903"/>
      <c r="D4349" s="904"/>
      <c r="E4349" s="905"/>
      <c r="F4349" s="906"/>
      <c r="G4349" s="906"/>
      <c r="H4349" s="907"/>
      <c r="I4349" s="908"/>
      <c r="J4349" s="909"/>
      <c r="K4349" s="902"/>
      <c r="L4349" s="896"/>
      <c r="M4349" s="902"/>
      <c r="N4349" s="900" t="s">
        <v>2309</v>
      </c>
    </row>
    <row r="4350" spans="1:14" s="910" customFormat="1" ht="16.5" hidden="1" customHeight="1">
      <c r="A4350" s="896"/>
      <c r="B4350" s="980"/>
      <c r="C4350" s="957">
        <v>1</v>
      </c>
      <c r="D4350" s="958" t="s">
        <v>273</v>
      </c>
      <c r="E4350" s="1268">
        <v>1</v>
      </c>
      <c r="F4350" s="1290">
        <v>25</v>
      </c>
      <c r="G4350" s="960">
        <v>0</v>
      </c>
      <c r="H4350" s="960">
        <v>0</v>
      </c>
      <c r="I4350" s="916">
        <f>ROUND(IF(AND(F4350:H4350),C4350*E4350*F4350*G4350*H4350,IF(AND(F4350,G4350),C4350*E4350*F4350*G4350,IF(AND(F4350,H4350),C4350*E4350*F4350*H4350,IF(AND(G4350,H4350),C4350*E4350*G4350*H4350,IF(F4350,C4350*E4350*F4350,IF(G4350,C4350*E4350*G4350,IF(H4350,C4350*E4350*H4350,C4350*E4350))))))),2)</f>
        <v>25</v>
      </c>
      <c r="J4350" s="909" t="s">
        <v>277</v>
      </c>
      <c r="K4350" s="902"/>
      <c r="L4350" s="896"/>
      <c r="M4350" s="902"/>
      <c r="N4350" s="900" t="s">
        <v>2309</v>
      </c>
    </row>
    <row r="4351" spans="1:14" s="910" customFormat="1" ht="16.5" hidden="1" customHeight="1">
      <c r="A4351" s="896"/>
      <c r="B4351" s="980"/>
      <c r="C4351" s="957"/>
      <c r="D4351" s="958"/>
      <c r="E4351" s="1268"/>
      <c r="F4351" s="1290"/>
      <c r="G4351" s="960"/>
      <c r="H4351" s="960"/>
      <c r="I4351" s="916"/>
      <c r="J4351" s="909"/>
      <c r="K4351" s="902"/>
      <c r="L4351" s="896"/>
      <c r="M4351" s="902"/>
      <c r="N4351" s="900" t="s">
        <v>2309</v>
      </c>
    </row>
    <row r="4352" spans="1:14" ht="15.75" hidden="1">
      <c r="A4352" s="896"/>
      <c r="B4352" s="902"/>
      <c r="C4352" s="917"/>
      <c r="D4352" s="918"/>
      <c r="E4352" s="919"/>
      <c r="F4352" s="920"/>
      <c r="G4352" s="921"/>
      <c r="H4352" s="896"/>
      <c r="I4352" s="916"/>
      <c r="J4352" s="909" t="s">
        <v>277</v>
      </c>
      <c r="K4352" s="922">
        <f>'Ele Data'!I1026</f>
        <v>126.65</v>
      </c>
      <c r="L4352" s="923" t="s">
        <v>2309</v>
      </c>
      <c r="M4352" s="924">
        <f>ROUND(I4352*K4352,0)</f>
        <v>0</v>
      </c>
      <c r="N4352" s="900" t="s">
        <v>2309</v>
      </c>
    </row>
    <row r="4353" spans="1:14" ht="44.25" hidden="1" customHeight="1">
      <c r="A4353" s="896">
        <v>36</v>
      </c>
      <c r="B4353" s="1609" t="s">
        <v>882</v>
      </c>
      <c r="C4353" s="1609"/>
      <c r="D4353" s="1609"/>
      <c r="E4353" s="1609"/>
      <c r="F4353" s="1609"/>
      <c r="G4353" s="1609"/>
      <c r="H4353" s="1609"/>
      <c r="I4353" s="897"/>
      <c r="J4353" s="898"/>
      <c r="K4353" s="896"/>
      <c r="L4353" s="896"/>
      <c r="M4353" s="899"/>
      <c r="N4353" s="900" t="s">
        <v>2309</v>
      </c>
    </row>
    <row r="4354" spans="1:14" s="910" customFormat="1" ht="16.5" hidden="1" customHeight="1">
      <c r="A4354" s="896"/>
      <c r="B4354" s="902" t="s">
        <v>3618</v>
      </c>
      <c r="C4354" s="903"/>
      <c r="D4354" s="904"/>
      <c r="E4354" s="905"/>
      <c r="F4354" s="906"/>
      <c r="G4354" s="906"/>
      <c r="H4354" s="907"/>
      <c r="I4354" s="908"/>
      <c r="J4354" s="909"/>
      <c r="K4354" s="902"/>
      <c r="L4354" s="896"/>
      <c r="M4354" s="902"/>
      <c r="N4354" s="900" t="s">
        <v>2309</v>
      </c>
    </row>
    <row r="4355" spans="1:14" s="910" customFormat="1" ht="16.5" hidden="1" customHeight="1">
      <c r="A4355" s="896"/>
      <c r="B4355" s="980"/>
      <c r="C4355" s="912">
        <v>1</v>
      </c>
      <c r="D4355" s="913" t="s">
        <v>273</v>
      </c>
      <c r="E4355" s="914">
        <v>1</v>
      </c>
      <c r="F4355" s="1289">
        <v>20</v>
      </c>
      <c r="G4355" s="915">
        <v>0</v>
      </c>
      <c r="H4355" s="915">
        <v>0</v>
      </c>
      <c r="I4355" s="916">
        <f>ROUND(IF(AND(F4355:H4355),C4355*E4355*F4355*G4355*H4355,IF(AND(F4355,G4355),C4355*E4355*F4355*G4355,IF(AND(F4355,H4355),C4355*E4355*F4355*H4355,IF(AND(G4355,H4355),C4355*E4355*G4355*H4355,IF(F4355,C4355*E4355*F4355,IF(G4355,C4355*E4355*G4355,IF(H4355,C4355*E4355*H4355,C4355*E4355))))))),2)</f>
        <v>20</v>
      </c>
      <c r="J4355" s="909" t="s">
        <v>277</v>
      </c>
      <c r="K4355" s="902"/>
      <c r="L4355" s="896"/>
      <c r="M4355" s="902"/>
      <c r="N4355" s="900" t="s">
        <v>2309</v>
      </c>
    </row>
    <row r="4356" spans="1:14" s="910" customFormat="1" ht="16.5" hidden="1" customHeight="1">
      <c r="A4356" s="896"/>
      <c r="B4356" s="980"/>
      <c r="C4356" s="912"/>
      <c r="D4356" s="913"/>
      <c r="E4356" s="914"/>
      <c r="F4356" s="1289"/>
      <c r="G4356" s="915"/>
      <c r="H4356" s="915"/>
      <c r="I4356" s="916"/>
      <c r="J4356" s="909"/>
      <c r="K4356" s="902"/>
      <c r="L4356" s="896"/>
      <c r="M4356" s="902"/>
      <c r="N4356" s="900" t="s">
        <v>2309</v>
      </c>
    </row>
    <row r="4357" spans="1:14" ht="15.75" hidden="1">
      <c r="A4357" s="896"/>
      <c r="B4357" s="902"/>
      <c r="C4357" s="917"/>
      <c r="D4357" s="918"/>
      <c r="E4357" s="919"/>
      <c r="F4357" s="920"/>
      <c r="G4357" s="921"/>
      <c r="H4357" s="896"/>
      <c r="I4357" s="916"/>
      <c r="J4357" s="909" t="s">
        <v>277</v>
      </c>
      <c r="K4357" s="922">
        <f>'Ele Data'!I1037</f>
        <v>64.563000000000002</v>
      </c>
      <c r="L4357" s="923" t="s">
        <v>2309</v>
      </c>
      <c r="M4357" s="924">
        <f>ROUND(I4357*K4357,0)</f>
        <v>0</v>
      </c>
      <c r="N4357" s="900" t="s">
        <v>2309</v>
      </c>
    </row>
    <row r="4358" spans="1:14" ht="22.5" hidden="1" customHeight="1">
      <c r="A4358" s="896">
        <v>37</v>
      </c>
      <c r="B4358" s="1609" t="s">
        <v>437</v>
      </c>
      <c r="C4358" s="1609"/>
      <c r="D4358" s="1609"/>
      <c r="E4358" s="1609"/>
      <c r="F4358" s="1609"/>
      <c r="G4358" s="1609"/>
      <c r="H4358" s="1609"/>
      <c r="I4358" s="897"/>
      <c r="J4358" s="898"/>
      <c r="K4358" s="896"/>
      <c r="L4358" s="896"/>
      <c r="M4358" s="899"/>
      <c r="N4358" s="900" t="s">
        <v>2309</v>
      </c>
    </row>
    <row r="4359" spans="1:14" s="910" customFormat="1" ht="16.5" hidden="1" customHeight="1">
      <c r="A4359" s="896"/>
      <c r="B4359" s="902" t="s">
        <v>3276</v>
      </c>
      <c r="C4359" s="903"/>
      <c r="D4359" s="904"/>
      <c r="E4359" s="905"/>
      <c r="F4359" s="906"/>
      <c r="G4359" s="906"/>
      <c r="H4359" s="907"/>
      <c r="I4359" s="908"/>
      <c r="J4359" s="909"/>
      <c r="K4359" s="902"/>
      <c r="L4359" s="896"/>
      <c r="M4359" s="902"/>
      <c r="N4359" s="900" t="s">
        <v>2309</v>
      </c>
    </row>
    <row r="4360" spans="1:14" s="910" customFormat="1" ht="16.5" hidden="1" customHeight="1">
      <c r="A4360" s="896"/>
      <c r="B4360" s="980"/>
      <c r="C4360" s="957">
        <v>1</v>
      </c>
      <c r="D4360" s="958" t="s">
        <v>273</v>
      </c>
      <c r="E4360" s="1268">
        <v>9</v>
      </c>
      <c r="F4360" s="960">
        <v>0</v>
      </c>
      <c r="G4360" s="960">
        <v>0</v>
      </c>
      <c r="H4360" s="960">
        <v>0</v>
      </c>
      <c r="I4360" s="1291">
        <f>ROUND(IF(AND(F4360:H4360),C4360*E4360*F4360*G4360*H4360,IF(AND(F4360,G4360),C4360*E4360*F4360*G4360,IF(AND(F4360,H4360),C4360*E4360*F4360*H4360,IF(AND(G4360,H4360),C4360*E4360*G4360*H4360,IF(F4360,C4360*E4360*F4360,IF(G4360,C4360*E4360*G4360,IF(H4360,C4360*E4360*H4360,C4360*E4360))))))),2)</f>
        <v>9</v>
      </c>
      <c r="J4360" s="909" t="s">
        <v>115</v>
      </c>
      <c r="K4360" s="902"/>
      <c r="L4360" s="896"/>
      <c r="M4360" s="902"/>
      <c r="N4360" s="900" t="s">
        <v>2309</v>
      </c>
    </row>
    <row r="4361" spans="1:14" s="910" customFormat="1" ht="16.5" hidden="1" customHeight="1">
      <c r="A4361" s="896"/>
      <c r="B4361" s="980"/>
      <c r="C4361" s="957"/>
      <c r="D4361" s="958"/>
      <c r="E4361" s="1268"/>
      <c r="F4361" s="960"/>
      <c r="G4361" s="960"/>
      <c r="H4361" s="960"/>
      <c r="I4361" s="1291"/>
      <c r="J4361" s="909"/>
      <c r="K4361" s="902"/>
      <c r="L4361" s="896"/>
      <c r="M4361" s="902"/>
      <c r="N4361" s="900" t="s">
        <v>2309</v>
      </c>
    </row>
    <row r="4362" spans="1:14" ht="15.75" hidden="1">
      <c r="A4362" s="896"/>
      <c r="B4362" s="902"/>
      <c r="C4362" s="917"/>
      <c r="D4362" s="918"/>
      <c r="E4362" s="919"/>
      <c r="F4362" s="920"/>
      <c r="G4362" s="921"/>
      <c r="H4362" s="896"/>
      <c r="I4362" s="1291"/>
      <c r="J4362" s="909" t="s">
        <v>115</v>
      </c>
      <c r="K4362" s="922">
        <f>'Ele Data'!I913</f>
        <v>209</v>
      </c>
      <c r="L4362" s="923" t="s">
        <v>2309</v>
      </c>
      <c r="M4362" s="924">
        <f>ROUND(I4362*K4362,0)</f>
        <v>0</v>
      </c>
      <c r="N4362" s="900" t="s">
        <v>2309</v>
      </c>
    </row>
    <row r="4363" spans="1:14" ht="22.5" hidden="1" customHeight="1">
      <c r="A4363" s="896">
        <v>38</v>
      </c>
      <c r="B4363" s="1609" t="s">
        <v>615</v>
      </c>
      <c r="C4363" s="1609"/>
      <c r="D4363" s="1609"/>
      <c r="E4363" s="1609"/>
      <c r="F4363" s="1609"/>
      <c r="G4363" s="1609"/>
      <c r="H4363" s="1609"/>
      <c r="I4363" s="897"/>
      <c r="J4363" s="898"/>
      <c r="K4363" s="896"/>
      <c r="L4363" s="896"/>
      <c r="M4363" s="899"/>
      <c r="N4363" s="900" t="s">
        <v>2309</v>
      </c>
    </row>
    <row r="4364" spans="1:14" s="910" customFormat="1" ht="16.5" hidden="1" customHeight="1">
      <c r="A4364" s="896"/>
      <c r="B4364" s="902" t="s">
        <v>3279</v>
      </c>
      <c r="C4364" s="903"/>
      <c r="D4364" s="904"/>
      <c r="E4364" s="905"/>
      <c r="F4364" s="906"/>
      <c r="G4364" s="906"/>
      <c r="H4364" s="907"/>
      <c r="I4364" s="908"/>
      <c r="J4364" s="909"/>
      <c r="K4364" s="902"/>
      <c r="L4364" s="896"/>
      <c r="M4364" s="902"/>
      <c r="N4364" s="900" t="s">
        <v>2309</v>
      </c>
    </row>
    <row r="4365" spans="1:14" s="910" customFormat="1" ht="16.5" hidden="1" customHeight="1">
      <c r="A4365" s="896"/>
      <c r="B4365" s="980"/>
      <c r="C4365" s="957">
        <v>1</v>
      </c>
      <c r="D4365" s="958" t="s">
        <v>273</v>
      </c>
      <c r="E4365" s="1268">
        <v>1</v>
      </c>
      <c r="F4365" s="960">
        <v>0</v>
      </c>
      <c r="G4365" s="960">
        <v>0</v>
      </c>
      <c r="H4365" s="960">
        <v>0</v>
      </c>
      <c r="I4365" s="1291">
        <f>ROUND(IF(AND(F4365:H4365),C4365*E4365*F4365*G4365*H4365,IF(AND(F4365,G4365),C4365*E4365*F4365*G4365,IF(AND(F4365,H4365),C4365*E4365*F4365*H4365,IF(AND(G4365,H4365),C4365*E4365*G4365*H4365,IF(F4365,C4365*E4365*F4365,IF(G4365,C4365*E4365*G4365,IF(H4365,C4365*E4365*H4365,C4365*E4365))))))),2)</f>
        <v>1</v>
      </c>
      <c r="J4365" s="909" t="s">
        <v>115</v>
      </c>
      <c r="K4365" s="902"/>
      <c r="L4365" s="896"/>
      <c r="M4365" s="902"/>
      <c r="N4365" s="900" t="s">
        <v>2309</v>
      </c>
    </row>
    <row r="4366" spans="1:14" s="910" customFormat="1" ht="16.5" hidden="1" customHeight="1">
      <c r="A4366" s="896"/>
      <c r="B4366" s="980"/>
      <c r="C4366" s="957"/>
      <c r="D4366" s="958"/>
      <c r="E4366" s="1268"/>
      <c r="F4366" s="960"/>
      <c r="G4366" s="960"/>
      <c r="H4366" s="960"/>
      <c r="I4366" s="1291"/>
      <c r="J4366" s="909"/>
      <c r="K4366" s="902"/>
      <c r="L4366" s="896"/>
      <c r="M4366" s="902"/>
      <c r="N4366" s="900" t="s">
        <v>2309</v>
      </c>
    </row>
    <row r="4367" spans="1:14" ht="15.75" hidden="1">
      <c r="A4367" s="896"/>
      <c r="B4367" s="902"/>
      <c r="C4367" s="917"/>
      <c r="D4367" s="918"/>
      <c r="E4367" s="919"/>
      <c r="F4367" s="920"/>
      <c r="G4367" s="921"/>
      <c r="H4367" s="896"/>
      <c r="I4367" s="1291"/>
      <c r="J4367" s="909" t="s">
        <v>115</v>
      </c>
      <c r="K4367" s="922">
        <f>'Ele Data'!I916</f>
        <v>171</v>
      </c>
      <c r="L4367" s="923" t="s">
        <v>2309</v>
      </c>
      <c r="M4367" s="924">
        <f>ROUND(I4367*K4367,0)</f>
        <v>0</v>
      </c>
      <c r="N4367" s="900" t="s">
        <v>2309</v>
      </c>
    </row>
    <row r="4368" spans="1:14" ht="22.5" hidden="1" customHeight="1">
      <c r="A4368" s="896">
        <v>13</v>
      </c>
      <c r="B4368" s="1609" t="s">
        <v>694</v>
      </c>
      <c r="C4368" s="1609"/>
      <c r="D4368" s="1609"/>
      <c r="E4368" s="1609"/>
      <c r="F4368" s="1609"/>
      <c r="G4368" s="1609"/>
      <c r="H4368" s="1609"/>
      <c r="I4368" s="897"/>
      <c r="J4368" s="898"/>
      <c r="K4368" s="896"/>
      <c r="L4368" s="896"/>
      <c r="M4368" s="899"/>
      <c r="N4368" s="900" t="s">
        <v>2309</v>
      </c>
    </row>
    <row r="4369" spans="1:14" s="910" customFormat="1" ht="16.5" hidden="1" customHeight="1">
      <c r="A4369" s="896"/>
      <c r="B4369" s="902" t="s">
        <v>2349</v>
      </c>
      <c r="C4369" s="903"/>
      <c r="D4369" s="904"/>
      <c r="E4369" s="905"/>
      <c r="F4369" s="906"/>
      <c r="G4369" s="906"/>
      <c r="H4369" s="907"/>
      <c r="I4369" s="908"/>
      <c r="J4369" s="909"/>
      <c r="K4369" s="902"/>
      <c r="L4369" s="896"/>
      <c r="M4369" s="902"/>
      <c r="N4369" s="900" t="s">
        <v>2309</v>
      </c>
    </row>
    <row r="4370" spans="1:14" s="910" customFormat="1" ht="16.5" hidden="1" customHeight="1">
      <c r="A4370" s="896"/>
      <c r="B4370" s="980" t="s">
        <v>2080</v>
      </c>
      <c r="C4370" s="957">
        <v>1</v>
      </c>
      <c r="D4370" s="958" t="s">
        <v>273</v>
      </c>
      <c r="E4370" s="1268">
        <v>14</v>
      </c>
      <c r="F4370" s="960">
        <v>0</v>
      </c>
      <c r="G4370" s="960">
        <v>0</v>
      </c>
      <c r="H4370" s="960">
        <v>0</v>
      </c>
      <c r="I4370" s="1291">
        <f>ROUND(IF(AND(F4370:H4370),C4370*E4370*F4370*G4370*H4370,IF(AND(F4370,G4370),C4370*E4370*F4370*G4370,IF(AND(F4370,H4370),C4370*E4370*F4370*H4370,IF(AND(G4370,H4370),C4370*E4370*G4370*H4370,IF(F4370,C4370*E4370*F4370,IF(G4370,C4370*E4370*G4370,IF(H4370,C4370*E4370*H4370,C4370*E4370))))))),2)</f>
        <v>14</v>
      </c>
      <c r="J4370" s="909" t="s">
        <v>115</v>
      </c>
      <c r="K4370" s="902"/>
      <c r="L4370" s="896"/>
      <c r="M4370" s="902"/>
      <c r="N4370" s="900" t="s">
        <v>2309</v>
      </c>
    </row>
    <row r="4371" spans="1:14" s="910" customFormat="1" ht="16.5" hidden="1" customHeight="1">
      <c r="A4371" s="896"/>
      <c r="B4371" s="980"/>
      <c r="C4371" s="957"/>
      <c r="D4371" s="958"/>
      <c r="E4371" s="1268"/>
      <c r="F4371" s="960"/>
      <c r="G4371" s="960"/>
      <c r="H4371" s="960"/>
      <c r="I4371" s="916"/>
      <c r="J4371" s="909"/>
      <c r="K4371" s="902"/>
      <c r="L4371" s="896"/>
      <c r="M4371" s="902"/>
      <c r="N4371" s="900" t="s">
        <v>2309</v>
      </c>
    </row>
    <row r="4372" spans="1:14" ht="15.75" hidden="1">
      <c r="A4372" s="896"/>
      <c r="B4372" s="902"/>
      <c r="C4372" s="917"/>
      <c r="D4372" s="918"/>
      <c r="E4372" s="919"/>
      <c r="F4372" s="920"/>
      <c r="G4372" s="921"/>
      <c r="H4372" s="896"/>
      <c r="I4372" s="1291"/>
      <c r="J4372" s="909" t="s">
        <v>115</v>
      </c>
      <c r="K4372" s="922">
        <f>'Ele Data'!I919</f>
        <v>132</v>
      </c>
      <c r="L4372" s="923" t="s">
        <v>2309</v>
      </c>
      <c r="M4372" s="924">
        <f>ROUND(I4372*K4372,0)</f>
        <v>0</v>
      </c>
      <c r="N4372" s="900" t="s">
        <v>2309</v>
      </c>
    </row>
    <row r="4373" spans="1:14" ht="15" hidden="1" customHeight="1">
      <c r="A4373" s="896">
        <v>14</v>
      </c>
      <c r="B4373" s="1609" t="s">
        <v>617</v>
      </c>
      <c r="C4373" s="1609"/>
      <c r="D4373" s="1609"/>
      <c r="E4373" s="1609"/>
      <c r="F4373" s="1609"/>
      <c r="G4373" s="1609"/>
      <c r="H4373" s="1609"/>
      <c r="I4373" s="897"/>
      <c r="J4373" s="898"/>
      <c r="K4373" s="896"/>
      <c r="L4373" s="896"/>
      <c r="M4373" s="899"/>
      <c r="N4373" s="900" t="s">
        <v>2309</v>
      </c>
    </row>
    <row r="4374" spans="1:14" s="910" customFormat="1" ht="16.5" hidden="1" customHeight="1">
      <c r="A4374" s="896"/>
      <c r="B4374" s="980" t="s">
        <v>607</v>
      </c>
      <c r="C4374" s="903"/>
      <c r="D4374" s="904"/>
      <c r="E4374" s="905"/>
      <c r="F4374" s="906"/>
      <c r="G4374" s="906"/>
      <c r="H4374" s="907"/>
      <c r="I4374" s="908"/>
      <c r="J4374" s="909"/>
      <c r="K4374" s="902"/>
      <c r="L4374" s="896"/>
      <c r="M4374" s="902"/>
      <c r="N4374" s="900" t="s">
        <v>2309</v>
      </c>
    </row>
    <row r="4375" spans="1:14" s="910" customFormat="1" ht="16.5" hidden="1" customHeight="1">
      <c r="A4375" s="896"/>
      <c r="B4375" s="980" t="s">
        <v>1216</v>
      </c>
      <c r="C4375" s="957">
        <v>2</v>
      </c>
      <c r="D4375" s="958" t="s">
        <v>273</v>
      </c>
      <c r="E4375" s="1268">
        <v>1</v>
      </c>
      <c r="F4375" s="960">
        <v>0</v>
      </c>
      <c r="G4375" s="960">
        <v>0</v>
      </c>
      <c r="H4375" s="960">
        <v>0</v>
      </c>
      <c r="I4375" s="1291">
        <f>ROUND(IF(AND(F4375:H4375),C4375*E4375*F4375*G4375*H4375,IF(AND(F4375,G4375),C4375*E4375*F4375*G4375,IF(AND(F4375,H4375),C4375*E4375*F4375*H4375,IF(AND(G4375,H4375),C4375*E4375*G4375*H4375,IF(F4375,C4375*E4375*F4375,IF(G4375,C4375*E4375*G4375,IF(H4375,C4375*E4375*H4375,C4375*E4375))))))),2)</f>
        <v>2</v>
      </c>
      <c r="J4375" s="909" t="s">
        <v>115</v>
      </c>
      <c r="K4375" s="902"/>
      <c r="L4375" s="896"/>
      <c r="M4375" s="902"/>
      <c r="N4375" s="900" t="s">
        <v>2309</v>
      </c>
    </row>
    <row r="4376" spans="1:14" s="910" customFormat="1" ht="16.5" hidden="1" customHeight="1">
      <c r="A4376" s="896"/>
      <c r="B4376" s="980"/>
      <c r="C4376" s="957"/>
      <c r="D4376" s="958"/>
      <c r="E4376" s="1268"/>
      <c r="F4376" s="960"/>
      <c r="G4376" s="960"/>
      <c r="H4376" s="960"/>
      <c r="I4376" s="1291"/>
      <c r="J4376" s="909"/>
      <c r="K4376" s="902"/>
      <c r="L4376" s="896"/>
      <c r="M4376" s="902"/>
      <c r="N4376" s="900" t="s">
        <v>2309</v>
      </c>
    </row>
    <row r="4377" spans="1:14" ht="15.75" hidden="1">
      <c r="A4377" s="896"/>
      <c r="B4377" s="902"/>
      <c r="C4377" s="917"/>
      <c r="D4377" s="918"/>
      <c r="E4377" s="919"/>
      <c r="F4377" s="920"/>
      <c r="G4377" s="921"/>
      <c r="H4377" s="896"/>
      <c r="I4377" s="1291"/>
      <c r="J4377" s="909" t="s">
        <v>115</v>
      </c>
      <c r="K4377" s="922">
        <f>'Ele Data'!I926</f>
        <v>341</v>
      </c>
      <c r="L4377" s="923" t="s">
        <v>2309</v>
      </c>
      <c r="M4377" s="924">
        <f>ROUND(I4377*K4377,0)</f>
        <v>0</v>
      </c>
      <c r="N4377" s="900" t="s">
        <v>2309</v>
      </c>
    </row>
    <row r="4378" spans="1:14" ht="22.5" hidden="1" customHeight="1">
      <c r="A4378" s="896">
        <v>14</v>
      </c>
      <c r="B4378" s="1609" t="s">
        <v>792</v>
      </c>
      <c r="C4378" s="1609"/>
      <c r="D4378" s="1609"/>
      <c r="E4378" s="1609"/>
      <c r="F4378" s="1609"/>
      <c r="G4378" s="1609"/>
      <c r="H4378" s="1609"/>
      <c r="I4378" s="897"/>
      <c r="J4378" s="898"/>
      <c r="K4378" s="896"/>
      <c r="L4378" s="896"/>
      <c r="M4378" s="899"/>
      <c r="N4378" s="900" t="s">
        <v>2309</v>
      </c>
    </row>
    <row r="4379" spans="1:14" s="910" customFormat="1" ht="16.5" hidden="1" customHeight="1">
      <c r="A4379" s="896"/>
      <c r="B4379" s="902" t="s">
        <v>2349</v>
      </c>
      <c r="C4379" s="903"/>
      <c r="D4379" s="904"/>
      <c r="E4379" s="905"/>
      <c r="F4379" s="906"/>
      <c r="G4379" s="906"/>
      <c r="H4379" s="907"/>
      <c r="I4379" s="908"/>
      <c r="J4379" s="909"/>
      <c r="K4379" s="902"/>
      <c r="L4379" s="896"/>
      <c r="M4379" s="902"/>
      <c r="N4379" s="900" t="s">
        <v>2309</v>
      </c>
    </row>
    <row r="4380" spans="1:14" s="910" customFormat="1" ht="16.5" hidden="1" customHeight="1">
      <c r="A4380" s="896"/>
      <c r="B4380" s="980" t="s">
        <v>2080</v>
      </c>
      <c r="C4380" s="957">
        <v>1</v>
      </c>
      <c r="D4380" s="958" t="s">
        <v>273</v>
      </c>
      <c r="E4380" s="1268">
        <v>3</v>
      </c>
      <c r="F4380" s="960">
        <v>0</v>
      </c>
      <c r="G4380" s="960">
        <v>0</v>
      </c>
      <c r="H4380" s="960">
        <v>0</v>
      </c>
      <c r="I4380" s="1291">
        <f>ROUND(IF(AND(F4380:H4380),C4380*E4380*F4380*G4380*H4380,IF(AND(F4380,G4380),C4380*E4380*F4380*G4380,IF(AND(F4380,H4380),C4380*E4380*F4380*H4380,IF(AND(G4380,H4380),C4380*E4380*G4380*H4380,IF(F4380,C4380*E4380*F4380,IF(G4380,C4380*E4380*G4380,IF(H4380,C4380*E4380*H4380,C4380*E4380))))))),2)</f>
        <v>3</v>
      </c>
      <c r="J4380" s="909" t="s">
        <v>115</v>
      </c>
      <c r="K4380" s="902"/>
      <c r="L4380" s="896"/>
      <c r="M4380" s="902"/>
      <c r="N4380" s="900" t="s">
        <v>2309</v>
      </c>
    </row>
    <row r="4381" spans="1:14" s="910" customFormat="1" ht="16.5" hidden="1" customHeight="1">
      <c r="A4381" s="896"/>
      <c r="B4381" s="980"/>
      <c r="C4381" s="957"/>
      <c r="D4381" s="958"/>
      <c r="E4381" s="1268"/>
      <c r="F4381" s="960"/>
      <c r="G4381" s="960"/>
      <c r="H4381" s="960"/>
      <c r="I4381" s="1291"/>
      <c r="J4381" s="909"/>
      <c r="K4381" s="902"/>
      <c r="L4381" s="896"/>
      <c r="M4381" s="902"/>
      <c r="N4381" s="900" t="s">
        <v>2309</v>
      </c>
    </row>
    <row r="4382" spans="1:14" ht="15.75" hidden="1">
      <c r="A4382" s="896"/>
      <c r="B4382" s="902"/>
      <c r="C4382" s="917"/>
      <c r="D4382" s="918"/>
      <c r="E4382" s="919"/>
      <c r="F4382" s="920"/>
      <c r="G4382" s="921"/>
      <c r="H4382" s="896"/>
      <c r="I4382" s="1291"/>
      <c r="J4382" s="909" t="s">
        <v>115</v>
      </c>
      <c r="K4382" s="922">
        <f>'Ele Data'!I922</f>
        <v>88</v>
      </c>
      <c r="L4382" s="923" t="s">
        <v>2309</v>
      </c>
      <c r="M4382" s="924">
        <f>ROUND(I4382*K4382,0)</f>
        <v>0</v>
      </c>
      <c r="N4382" s="900" t="s">
        <v>2309</v>
      </c>
    </row>
    <row r="4383" spans="1:14" ht="22.5" hidden="1" customHeight="1">
      <c r="A4383" s="896">
        <v>16</v>
      </c>
      <c r="B4383" s="1609" t="s">
        <v>439</v>
      </c>
      <c r="C4383" s="1609"/>
      <c r="D4383" s="1609"/>
      <c r="E4383" s="1609"/>
      <c r="F4383" s="1609"/>
      <c r="G4383" s="1609"/>
      <c r="H4383" s="1609"/>
      <c r="I4383" s="897"/>
      <c r="J4383" s="898"/>
      <c r="K4383" s="896"/>
      <c r="L4383" s="896"/>
      <c r="M4383" s="899"/>
      <c r="N4383" s="900" t="s">
        <v>2309</v>
      </c>
    </row>
    <row r="4384" spans="1:14" s="910" customFormat="1" ht="16.5" hidden="1" customHeight="1">
      <c r="A4384" s="896"/>
      <c r="B4384" s="902" t="s">
        <v>2100</v>
      </c>
      <c r="C4384" s="903"/>
      <c r="D4384" s="904"/>
      <c r="E4384" s="905"/>
      <c r="F4384" s="906"/>
      <c r="G4384" s="906"/>
      <c r="H4384" s="907"/>
      <c r="I4384" s="908"/>
      <c r="J4384" s="909"/>
      <c r="K4384" s="902"/>
      <c r="L4384" s="896"/>
      <c r="M4384" s="902"/>
      <c r="N4384" s="900" t="s">
        <v>2309</v>
      </c>
    </row>
    <row r="4385" spans="1:14" s="910" customFormat="1" ht="16.5" hidden="1" customHeight="1">
      <c r="A4385" s="896"/>
      <c r="B4385" s="980" t="s">
        <v>2080</v>
      </c>
      <c r="C4385" s="957">
        <v>1</v>
      </c>
      <c r="D4385" s="958" t="s">
        <v>273</v>
      </c>
      <c r="E4385" s="1268">
        <v>12</v>
      </c>
      <c r="F4385" s="960">
        <v>0</v>
      </c>
      <c r="G4385" s="960">
        <v>0</v>
      </c>
      <c r="H4385" s="960">
        <v>0</v>
      </c>
      <c r="I4385" s="1291">
        <f>ROUND(IF(AND(F4385:H4385),C4385*E4385*F4385*G4385*H4385,IF(AND(F4385,G4385),C4385*E4385*F4385*G4385,IF(AND(F4385,H4385),C4385*E4385*F4385*H4385,IF(AND(G4385,H4385),C4385*E4385*G4385*H4385,IF(F4385,C4385*E4385*F4385,IF(G4385,C4385*E4385*G4385,IF(H4385,C4385*E4385*H4385,C4385*E4385))))))),2)</f>
        <v>12</v>
      </c>
      <c r="J4385" s="909" t="s">
        <v>115</v>
      </c>
      <c r="K4385" s="902"/>
      <c r="L4385" s="896"/>
      <c r="M4385" s="902"/>
      <c r="N4385" s="900" t="s">
        <v>2309</v>
      </c>
    </row>
    <row r="4386" spans="1:14" s="910" customFormat="1" ht="16.5" hidden="1" customHeight="1">
      <c r="A4386" s="896"/>
      <c r="B4386" s="980"/>
      <c r="C4386" s="957"/>
      <c r="D4386" s="958"/>
      <c r="E4386" s="1268"/>
      <c r="F4386" s="960"/>
      <c r="G4386" s="960"/>
      <c r="H4386" s="960"/>
      <c r="I4386" s="916"/>
      <c r="J4386" s="909"/>
      <c r="K4386" s="902"/>
      <c r="L4386" s="896"/>
      <c r="M4386" s="902"/>
      <c r="N4386" s="900" t="s">
        <v>2309</v>
      </c>
    </row>
    <row r="4387" spans="1:14" ht="15.75" hidden="1">
      <c r="A4387" s="896"/>
      <c r="B4387" s="902"/>
      <c r="C4387" s="917"/>
      <c r="D4387" s="918"/>
      <c r="E4387" s="919"/>
      <c r="F4387" s="920"/>
      <c r="G4387" s="921"/>
      <c r="H4387" s="896"/>
      <c r="I4387" s="1291"/>
      <c r="J4387" s="909" t="s">
        <v>115</v>
      </c>
      <c r="K4387" s="922">
        <f>'Ele Data'!I929</f>
        <v>66</v>
      </c>
      <c r="L4387" s="923" t="s">
        <v>2309</v>
      </c>
      <c r="M4387" s="924">
        <f>ROUND(I4387*K4387,0)</f>
        <v>0</v>
      </c>
      <c r="N4387" s="900" t="s">
        <v>2309</v>
      </c>
    </row>
    <row r="4388" spans="1:14" ht="43.5" hidden="1" customHeight="1">
      <c r="A4388" s="896">
        <v>17</v>
      </c>
      <c r="B4388" s="1609" t="s">
        <v>1237</v>
      </c>
      <c r="C4388" s="1609"/>
      <c r="D4388" s="1609"/>
      <c r="E4388" s="1609"/>
      <c r="F4388" s="1609"/>
      <c r="G4388" s="1609"/>
      <c r="H4388" s="1609"/>
      <c r="I4388" s="897"/>
      <c r="J4388" s="898"/>
      <c r="K4388" s="896"/>
      <c r="L4388" s="896"/>
      <c r="M4388" s="899"/>
      <c r="N4388" s="900" t="s">
        <v>2309</v>
      </c>
    </row>
    <row r="4389" spans="1:14" s="910" customFormat="1" ht="16.5" hidden="1" customHeight="1">
      <c r="A4389" s="896"/>
      <c r="B4389" s="902" t="s">
        <v>2100</v>
      </c>
      <c r="C4389" s="903"/>
      <c r="D4389" s="904"/>
      <c r="E4389" s="905"/>
      <c r="F4389" s="906"/>
      <c r="G4389" s="906"/>
      <c r="H4389" s="907"/>
      <c r="I4389" s="908"/>
      <c r="J4389" s="909"/>
      <c r="K4389" s="902"/>
      <c r="L4389" s="896"/>
      <c r="M4389" s="902"/>
      <c r="N4389" s="900" t="s">
        <v>2309</v>
      </c>
    </row>
    <row r="4390" spans="1:14" s="910" customFormat="1" ht="16.5" hidden="1" customHeight="1">
      <c r="A4390" s="896"/>
      <c r="B4390" s="980" t="s">
        <v>2187</v>
      </c>
      <c r="C4390" s="912">
        <v>1</v>
      </c>
      <c r="D4390" s="913" t="s">
        <v>273</v>
      </c>
      <c r="E4390" s="914">
        <v>17</v>
      </c>
      <c r="F4390" s="915">
        <v>0</v>
      </c>
      <c r="G4390" s="915">
        <v>0</v>
      </c>
      <c r="H4390" s="915">
        <v>0</v>
      </c>
      <c r="I4390" s="1291">
        <f>ROUND(IF(AND(F4390:H4390),C4390*E4390*F4390*G4390*H4390,IF(AND(F4390,G4390),C4390*E4390*F4390*G4390,IF(AND(F4390,H4390),C4390*E4390*F4390*H4390,IF(AND(G4390,H4390),C4390*E4390*G4390*H4390,IF(F4390,C4390*E4390*F4390,IF(G4390,C4390*E4390*G4390,IF(H4390,C4390*E4390*H4390,C4390*E4390))))))),2)</f>
        <v>17</v>
      </c>
      <c r="J4390" s="909" t="s">
        <v>115</v>
      </c>
      <c r="K4390" s="902"/>
      <c r="L4390" s="896"/>
      <c r="M4390" s="902"/>
      <c r="N4390" s="900" t="s">
        <v>2309</v>
      </c>
    </row>
    <row r="4391" spans="1:14" s="910" customFormat="1" ht="16.5" hidden="1" customHeight="1">
      <c r="A4391" s="896"/>
      <c r="B4391" s="980"/>
      <c r="C4391" s="957"/>
      <c r="D4391" s="958"/>
      <c r="E4391" s="1268"/>
      <c r="F4391" s="960"/>
      <c r="G4391" s="960"/>
      <c r="H4391" s="960"/>
      <c r="I4391" s="916"/>
      <c r="J4391" s="909"/>
      <c r="K4391" s="902"/>
      <c r="L4391" s="896"/>
      <c r="M4391" s="902"/>
      <c r="N4391" s="900" t="s">
        <v>2309</v>
      </c>
    </row>
    <row r="4392" spans="1:14" ht="15.75" hidden="1">
      <c r="A4392" s="896"/>
      <c r="B4392" s="902"/>
      <c r="C4392" s="917"/>
      <c r="D4392" s="918"/>
      <c r="E4392" s="919"/>
      <c r="F4392" s="920"/>
      <c r="G4392" s="921"/>
      <c r="H4392" s="896"/>
      <c r="I4392" s="1291"/>
      <c r="J4392" s="909" t="s">
        <v>115</v>
      </c>
      <c r="K4392" s="922">
        <f>'Ele Data'!I978</f>
        <v>422.5</v>
      </c>
      <c r="L4392" s="923" t="s">
        <v>2309</v>
      </c>
      <c r="M4392" s="924">
        <f>ROUND(I4392*K4392,0)</f>
        <v>0</v>
      </c>
      <c r="N4392" s="900" t="s">
        <v>2309</v>
      </c>
    </row>
    <row r="4393" spans="1:14" ht="43.5" hidden="1" customHeight="1">
      <c r="A4393" s="896">
        <v>39</v>
      </c>
      <c r="B4393" s="1609" t="s">
        <v>432</v>
      </c>
      <c r="C4393" s="1609"/>
      <c r="D4393" s="1609"/>
      <c r="E4393" s="1609"/>
      <c r="F4393" s="1609"/>
      <c r="G4393" s="1609"/>
      <c r="H4393" s="1609"/>
      <c r="I4393" s="897"/>
      <c r="J4393" s="898"/>
      <c r="K4393" s="896"/>
      <c r="L4393" s="896"/>
      <c r="M4393" s="899"/>
      <c r="N4393" s="900" t="s">
        <v>2309</v>
      </c>
    </row>
    <row r="4394" spans="1:14" s="910" customFormat="1" ht="16.5" hidden="1" customHeight="1">
      <c r="A4394" s="896"/>
      <c r="B4394" s="902" t="s">
        <v>3279</v>
      </c>
      <c r="C4394" s="903"/>
      <c r="D4394" s="904"/>
      <c r="E4394" s="905"/>
      <c r="F4394" s="906"/>
      <c r="G4394" s="906"/>
      <c r="H4394" s="907"/>
      <c r="I4394" s="908"/>
      <c r="J4394" s="909"/>
      <c r="K4394" s="902"/>
      <c r="L4394" s="896"/>
      <c r="M4394" s="902"/>
      <c r="N4394" s="900" t="s">
        <v>2309</v>
      </c>
    </row>
    <row r="4395" spans="1:14" s="910" customFormat="1" ht="16.5" hidden="1" customHeight="1">
      <c r="A4395" s="896"/>
      <c r="B4395" s="980"/>
      <c r="C4395" s="912">
        <v>1</v>
      </c>
      <c r="D4395" s="913" t="s">
        <v>273</v>
      </c>
      <c r="E4395" s="914">
        <v>18</v>
      </c>
      <c r="F4395" s="915">
        <v>0</v>
      </c>
      <c r="G4395" s="915">
        <v>0</v>
      </c>
      <c r="H4395" s="915">
        <v>0</v>
      </c>
      <c r="I4395" s="1291">
        <f>ROUND(IF(AND(F4395:H4395),C4395*E4395*F4395*G4395*H4395,IF(AND(F4395,G4395),C4395*E4395*F4395*G4395,IF(AND(F4395,H4395),C4395*E4395*F4395*H4395,IF(AND(G4395,H4395),C4395*E4395*G4395*H4395,IF(F4395,C4395*E4395*F4395,IF(G4395,C4395*E4395*G4395,IF(H4395,C4395*E4395*H4395,C4395*E4395))))))),2)</f>
        <v>18</v>
      </c>
      <c r="J4395" s="909" t="s">
        <v>115</v>
      </c>
      <c r="K4395" s="902"/>
      <c r="L4395" s="896"/>
      <c r="M4395" s="902"/>
      <c r="N4395" s="900" t="s">
        <v>2309</v>
      </c>
    </row>
    <row r="4396" spans="1:14" s="910" customFormat="1" ht="16.5" hidden="1" customHeight="1">
      <c r="A4396" s="896"/>
      <c r="B4396" s="980"/>
      <c r="C4396" s="957"/>
      <c r="D4396" s="958"/>
      <c r="E4396" s="1268"/>
      <c r="F4396" s="960"/>
      <c r="G4396" s="960"/>
      <c r="H4396" s="960"/>
      <c r="I4396" s="1291"/>
      <c r="J4396" s="909"/>
      <c r="K4396" s="902"/>
      <c r="L4396" s="896"/>
      <c r="M4396" s="902"/>
      <c r="N4396" s="900" t="s">
        <v>2309</v>
      </c>
    </row>
    <row r="4397" spans="1:14" ht="15.75" hidden="1">
      <c r="A4397" s="896"/>
      <c r="B4397" s="902"/>
      <c r="C4397" s="917"/>
      <c r="D4397" s="918"/>
      <c r="E4397" s="919"/>
      <c r="F4397" s="920"/>
      <c r="G4397" s="921"/>
      <c r="H4397" s="896"/>
      <c r="I4397" s="1291"/>
      <c r="J4397" s="909" t="s">
        <v>115</v>
      </c>
      <c r="K4397" s="922">
        <f>'Ele Data'!I969</f>
        <v>125.73500000000001</v>
      </c>
      <c r="L4397" s="923" t="s">
        <v>2309</v>
      </c>
      <c r="M4397" s="924">
        <f>ROUND(I4397*K4397,0)</f>
        <v>0</v>
      </c>
      <c r="N4397" s="900" t="s">
        <v>2309</v>
      </c>
    </row>
    <row r="4398" spans="1:14" ht="43.5" hidden="1" customHeight="1">
      <c r="A4398" s="896">
        <v>18</v>
      </c>
      <c r="B4398" s="1609" t="s">
        <v>620</v>
      </c>
      <c r="C4398" s="1609"/>
      <c r="D4398" s="1609"/>
      <c r="E4398" s="1609"/>
      <c r="F4398" s="1609"/>
      <c r="G4398" s="1609"/>
      <c r="H4398" s="1609"/>
      <c r="I4398" s="897"/>
      <c r="J4398" s="898"/>
      <c r="K4398" s="896"/>
      <c r="L4398" s="896"/>
      <c r="M4398" s="899"/>
      <c r="N4398" s="900" t="s">
        <v>2309</v>
      </c>
    </row>
    <row r="4399" spans="1:14" s="910" customFormat="1" ht="16.5" hidden="1" customHeight="1">
      <c r="A4399" s="896"/>
      <c r="B4399" s="980" t="s">
        <v>607</v>
      </c>
      <c r="C4399" s="903"/>
      <c r="D4399" s="904"/>
      <c r="E4399" s="905"/>
      <c r="F4399" s="906"/>
      <c r="G4399" s="906"/>
      <c r="H4399" s="907"/>
      <c r="I4399" s="908"/>
      <c r="J4399" s="909"/>
      <c r="K4399" s="902"/>
      <c r="L4399" s="896"/>
      <c r="M4399" s="902"/>
      <c r="N4399" s="900" t="s">
        <v>2309</v>
      </c>
    </row>
    <row r="4400" spans="1:14" s="910" customFormat="1" ht="16.5" hidden="1" customHeight="1">
      <c r="A4400" s="896"/>
      <c r="B4400" s="980"/>
      <c r="C4400" s="957">
        <v>1</v>
      </c>
      <c r="D4400" s="958" t="s">
        <v>273</v>
      </c>
      <c r="E4400" s="1268">
        <v>4</v>
      </c>
      <c r="F4400" s="960">
        <v>0</v>
      </c>
      <c r="G4400" s="960">
        <v>0</v>
      </c>
      <c r="H4400" s="960">
        <v>0</v>
      </c>
      <c r="I4400" s="1291">
        <f>ROUND(IF(AND(F4400:H4400),C4400*E4400*F4400*G4400*H4400,IF(AND(F4400,G4400),C4400*E4400*F4400*G4400,IF(AND(F4400,H4400),C4400*E4400*F4400*H4400,IF(AND(G4400,H4400),C4400*E4400*G4400*H4400,IF(F4400,C4400*E4400*F4400,IF(G4400,C4400*E4400*G4400,IF(H4400,C4400*E4400*H4400,C4400*E4400))))))),2)</f>
        <v>4</v>
      </c>
      <c r="J4400" s="909" t="s">
        <v>115</v>
      </c>
      <c r="K4400" s="902"/>
      <c r="L4400" s="896"/>
      <c r="M4400" s="902"/>
      <c r="N4400" s="900" t="s">
        <v>2309</v>
      </c>
    </row>
    <row r="4401" spans="1:14" s="910" customFormat="1" ht="16.5" hidden="1" customHeight="1">
      <c r="A4401" s="896"/>
      <c r="B4401" s="980"/>
      <c r="C4401" s="957"/>
      <c r="D4401" s="958"/>
      <c r="E4401" s="1268"/>
      <c r="F4401" s="960"/>
      <c r="G4401" s="960"/>
      <c r="H4401" s="960"/>
      <c r="I4401" s="1291"/>
      <c r="J4401" s="909"/>
      <c r="K4401" s="902"/>
      <c r="L4401" s="896"/>
      <c r="M4401" s="902"/>
      <c r="N4401" s="900" t="s">
        <v>2309</v>
      </c>
    </row>
    <row r="4402" spans="1:14" ht="15.75" hidden="1">
      <c r="A4402" s="896"/>
      <c r="B4402" s="902"/>
      <c r="C4402" s="917"/>
      <c r="D4402" s="918"/>
      <c r="E4402" s="919"/>
      <c r="F4402" s="920"/>
      <c r="G4402" s="921"/>
      <c r="H4402" s="896"/>
      <c r="I4402" s="1291"/>
      <c r="J4402" s="909" t="s">
        <v>115</v>
      </c>
      <c r="K4402" s="922">
        <f>'Ele Data'!I986</f>
        <v>119.73500000000001</v>
      </c>
      <c r="L4402" s="923" t="s">
        <v>2309</v>
      </c>
      <c r="M4402" s="924">
        <f>ROUND(I4402*K4402,0)</f>
        <v>0</v>
      </c>
      <c r="N4402" s="900" t="s">
        <v>2309</v>
      </c>
    </row>
    <row r="4403" spans="1:14" ht="19.5" hidden="1" customHeight="1">
      <c r="A4403" s="896">
        <v>19</v>
      </c>
      <c r="B4403" s="1609" t="s">
        <v>624</v>
      </c>
      <c r="C4403" s="1609"/>
      <c r="D4403" s="1609"/>
      <c r="E4403" s="1609"/>
      <c r="F4403" s="1609"/>
      <c r="G4403" s="1609"/>
      <c r="H4403" s="1609"/>
      <c r="I4403" s="897"/>
      <c r="J4403" s="898"/>
      <c r="K4403" s="896"/>
      <c r="L4403" s="896"/>
      <c r="M4403" s="899"/>
      <c r="N4403" s="900" t="s">
        <v>2309</v>
      </c>
    </row>
    <row r="4404" spans="1:14" s="910" customFormat="1" ht="16.5" hidden="1" customHeight="1">
      <c r="A4404" s="896"/>
      <c r="B4404" s="902" t="s">
        <v>2100</v>
      </c>
      <c r="C4404" s="903"/>
      <c r="D4404" s="904"/>
      <c r="E4404" s="905"/>
      <c r="F4404" s="906"/>
      <c r="G4404" s="906"/>
      <c r="H4404" s="907"/>
      <c r="I4404" s="908"/>
      <c r="J4404" s="909"/>
      <c r="K4404" s="902"/>
      <c r="L4404" s="896"/>
      <c r="M4404" s="902"/>
      <c r="N4404" s="900" t="s">
        <v>2309</v>
      </c>
    </row>
    <row r="4405" spans="1:14" s="910" customFormat="1" ht="16.5" hidden="1" customHeight="1">
      <c r="A4405" s="896"/>
      <c r="B4405" s="980" t="s">
        <v>2080</v>
      </c>
      <c r="C4405" s="957">
        <v>1</v>
      </c>
      <c r="D4405" s="958" t="s">
        <v>273</v>
      </c>
      <c r="E4405" s="1268">
        <v>7</v>
      </c>
      <c r="F4405" s="960">
        <v>0</v>
      </c>
      <c r="G4405" s="960">
        <v>0</v>
      </c>
      <c r="H4405" s="960">
        <v>0</v>
      </c>
      <c r="I4405" s="1291">
        <f>ROUND(IF(AND(F4405:H4405),C4405*E4405*F4405*G4405*H4405,IF(AND(F4405,G4405),C4405*E4405*F4405*G4405,IF(AND(F4405,H4405),C4405*E4405*F4405*H4405,IF(AND(G4405,H4405),C4405*E4405*G4405*H4405,IF(F4405,C4405*E4405*F4405,IF(G4405,C4405*E4405*G4405,IF(H4405,C4405*E4405*H4405,C4405*E4405))))))),2)</f>
        <v>7</v>
      </c>
      <c r="J4405" s="909" t="s">
        <v>115</v>
      </c>
      <c r="K4405" s="902"/>
      <c r="L4405" s="896"/>
      <c r="M4405" s="902"/>
      <c r="N4405" s="900" t="s">
        <v>2309</v>
      </c>
    </row>
    <row r="4406" spans="1:14" s="910" customFormat="1" ht="16.5" hidden="1" customHeight="1">
      <c r="A4406" s="896"/>
      <c r="B4406" s="980"/>
      <c r="C4406" s="957"/>
      <c r="D4406" s="958"/>
      <c r="E4406" s="1268"/>
      <c r="F4406" s="960"/>
      <c r="G4406" s="960"/>
      <c r="H4406" s="960"/>
      <c r="I4406" s="916"/>
      <c r="J4406" s="909"/>
      <c r="K4406" s="902"/>
      <c r="L4406" s="896"/>
      <c r="M4406" s="902"/>
      <c r="N4406" s="900" t="s">
        <v>2309</v>
      </c>
    </row>
    <row r="4407" spans="1:14" ht="15.75" hidden="1">
      <c r="A4407" s="896"/>
      <c r="B4407" s="902"/>
      <c r="C4407" s="917"/>
      <c r="D4407" s="918"/>
      <c r="E4407" s="919"/>
      <c r="F4407" s="920"/>
      <c r="G4407" s="921"/>
      <c r="H4407" s="896"/>
      <c r="I4407" s="1291"/>
      <c r="J4407" s="909" t="s">
        <v>115</v>
      </c>
      <c r="K4407" s="922">
        <f>'Ele Data'!I933</f>
        <v>21</v>
      </c>
      <c r="L4407" s="923" t="s">
        <v>2309</v>
      </c>
      <c r="M4407" s="924">
        <f>ROUND(I4407*K4407,0)</f>
        <v>0</v>
      </c>
      <c r="N4407" s="900" t="s">
        <v>2309</v>
      </c>
    </row>
    <row r="4408" spans="1:14" ht="30" hidden="1" customHeight="1">
      <c r="A4408" s="896">
        <v>40</v>
      </c>
      <c r="B4408" s="1609" t="s">
        <v>1267</v>
      </c>
      <c r="C4408" s="1609"/>
      <c r="D4408" s="1609"/>
      <c r="E4408" s="1609"/>
      <c r="F4408" s="1609"/>
      <c r="G4408" s="1609"/>
      <c r="H4408" s="1609"/>
      <c r="I4408" s="897"/>
      <c r="J4408" s="898"/>
      <c r="K4408" s="896"/>
      <c r="L4408" s="896"/>
      <c r="M4408" s="899"/>
      <c r="N4408" s="900" t="s">
        <v>2309</v>
      </c>
    </row>
    <row r="4409" spans="1:14" s="910" customFormat="1" ht="16.5" hidden="1" customHeight="1">
      <c r="A4409" s="896"/>
      <c r="B4409" s="902" t="s">
        <v>3279</v>
      </c>
      <c r="C4409" s="903"/>
      <c r="D4409" s="904"/>
      <c r="E4409" s="905"/>
      <c r="F4409" s="906"/>
      <c r="G4409" s="906"/>
      <c r="H4409" s="907"/>
      <c r="I4409" s="908"/>
      <c r="J4409" s="909"/>
      <c r="K4409" s="902"/>
      <c r="L4409" s="896"/>
      <c r="M4409" s="902"/>
      <c r="N4409" s="900" t="s">
        <v>2309</v>
      </c>
    </row>
    <row r="4410" spans="1:14" s="910" customFormat="1" ht="16.5" hidden="1" customHeight="1">
      <c r="A4410" s="896"/>
      <c r="B4410" s="980"/>
      <c r="C4410" s="912">
        <v>1</v>
      </c>
      <c r="D4410" s="913" t="s">
        <v>273</v>
      </c>
      <c r="E4410" s="914">
        <v>10</v>
      </c>
      <c r="F4410" s="915">
        <v>0</v>
      </c>
      <c r="G4410" s="915">
        <v>0</v>
      </c>
      <c r="H4410" s="915">
        <v>0</v>
      </c>
      <c r="I4410" s="1291">
        <f>ROUND(IF(AND(F4410:H4410),C4410*E4410*F4410*G4410*H4410,IF(AND(F4410,G4410),C4410*E4410*F4410*G4410,IF(AND(F4410,H4410),C4410*E4410*F4410*H4410,IF(AND(G4410,H4410),C4410*E4410*G4410*H4410,IF(F4410,C4410*E4410*F4410,IF(G4410,C4410*E4410*G4410,IF(H4410,C4410*E4410*H4410,C4410*E4410))))))),2)</f>
        <v>10</v>
      </c>
      <c r="J4410" s="909" t="s">
        <v>115</v>
      </c>
      <c r="K4410" s="902"/>
      <c r="L4410" s="896"/>
      <c r="M4410" s="902"/>
      <c r="N4410" s="900" t="s">
        <v>2309</v>
      </c>
    </row>
    <row r="4411" spans="1:14" s="910" customFormat="1" ht="16.5" hidden="1" customHeight="1">
      <c r="A4411" s="896"/>
      <c r="B4411" s="980"/>
      <c r="C4411" s="957"/>
      <c r="D4411" s="958"/>
      <c r="E4411" s="1268"/>
      <c r="F4411" s="960"/>
      <c r="G4411" s="960"/>
      <c r="H4411" s="960"/>
      <c r="I4411" s="1291"/>
      <c r="J4411" s="909"/>
      <c r="K4411" s="902"/>
      <c r="L4411" s="896"/>
      <c r="M4411" s="902"/>
      <c r="N4411" s="900" t="s">
        <v>2309</v>
      </c>
    </row>
    <row r="4412" spans="1:14" ht="15.75" hidden="1">
      <c r="A4412" s="896"/>
      <c r="B4412" s="902"/>
      <c r="C4412" s="917"/>
      <c r="D4412" s="918"/>
      <c r="E4412" s="919"/>
      <c r="F4412" s="920"/>
      <c r="G4412" s="921"/>
      <c r="H4412" s="896"/>
      <c r="I4412" s="1291"/>
      <c r="J4412" s="909" t="s">
        <v>115</v>
      </c>
      <c r="K4412" s="922">
        <f>'Ele Data'!I1046</f>
        <v>127.25</v>
      </c>
      <c r="L4412" s="923" t="s">
        <v>2309</v>
      </c>
      <c r="M4412" s="924">
        <f>ROUND(I4412*K4412,0)</f>
        <v>0</v>
      </c>
      <c r="N4412" s="900" t="s">
        <v>2309</v>
      </c>
    </row>
    <row r="4413" spans="1:14" ht="43.5" hidden="1" customHeight="1">
      <c r="A4413" s="896">
        <v>37</v>
      </c>
      <c r="B4413" s="1609" t="s">
        <v>2075</v>
      </c>
      <c r="C4413" s="1609"/>
      <c r="D4413" s="1609"/>
      <c r="E4413" s="1609"/>
      <c r="F4413" s="1609"/>
      <c r="G4413" s="1609"/>
      <c r="H4413" s="1609"/>
      <c r="I4413" s="897"/>
      <c r="J4413" s="898"/>
      <c r="K4413" s="896"/>
      <c r="L4413" s="896"/>
      <c r="M4413" s="899"/>
      <c r="N4413" s="900" t="s">
        <v>2309</v>
      </c>
    </row>
    <row r="4414" spans="1:14" s="910" customFormat="1" ht="16.5" hidden="1" customHeight="1">
      <c r="A4414" s="896"/>
      <c r="B4414" s="902" t="s">
        <v>3586</v>
      </c>
      <c r="C4414" s="903"/>
      <c r="D4414" s="1280" t="s">
        <v>3256</v>
      </c>
      <c r="E4414" s="905"/>
      <c r="F4414" s="906"/>
      <c r="G4414" s="906"/>
      <c r="H4414" s="907"/>
      <c r="I4414" s="908"/>
      <c r="J4414" s="909"/>
      <c r="K4414" s="902"/>
      <c r="L4414" s="896"/>
      <c r="M4414" s="902"/>
      <c r="N4414" s="900" t="s">
        <v>2309</v>
      </c>
    </row>
    <row r="4415" spans="1:14" s="910" customFormat="1" ht="16.5" hidden="1" customHeight="1">
      <c r="A4415" s="896"/>
      <c r="B4415" s="980" t="s">
        <v>161</v>
      </c>
      <c r="C4415" s="912">
        <v>1</v>
      </c>
      <c r="D4415" s="913" t="s">
        <v>273</v>
      </c>
      <c r="E4415" s="914">
        <v>7</v>
      </c>
      <c r="F4415" s="915">
        <v>0</v>
      </c>
      <c r="G4415" s="915">
        <v>0</v>
      </c>
      <c r="H4415" s="915">
        <v>0</v>
      </c>
      <c r="I4415" s="1291">
        <f>ROUND(IF(AND(F4415:H4415),C4415*E4415*F4415*G4415*H4415,IF(AND(F4415,G4415),C4415*E4415*F4415*G4415,IF(AND(F4415,H4415),C4415*E4415*F4415*H4415,IF(AND(G4415,H4415),C4415*E4415*G4415*H4415,IF(F4415,C4415*E4415*F4415,IF(G4415,C4415*E4415*G4415,IF(H4415,C4415*E4415*H4415,C4415*E4415))))))),2)</f>
        <v>7</v>
      </c>
      <c r="J4415" s="909" t="s">
        <v>115</v>
      </c>
      <c r="K4415" s="902"/>
      <c r="L4415" s="896"/>
      <c r="M4415" s="902"/>
      <c r="N4415" s="900" t="s">
        <v>2309</v>
      </c>
    </row>
    <row r="4416" spans="1:14" s="910" customFormat="1" ht="16.5" hidden="1" customHeight="1">
      <c r="A4416" s="896"/>
      <c r="B4416" s="980" t="s">
        <v>162</v>
      </c>
      <c r="C4416" s="912">
        <v>1</v>
      </c>
      <c r="D4416" s="913" t="s">
        <v>273</v>
      </c>
      <c r="E4416" s="914">
        <v>3</v>
      </c>
      <c r="F4416" s="915">
        <v>0</v>
      </c>
      <c r="G4416" s="915">
        <v>0</v>
      </c>
      <c r="H4416" s="915">
        <v>0</v>
      </c>
      <c r="I4416" s="1291">
        <f>ROUND(IF(AND(F4416:H4416),C4416*E4416*F4416*G4416*H4416,IF(AND(F4416,G4416),C4416*E4416*F4416*G4416,IF(AND(F4416,H4416),C4416*E4416*F4416*H4416,IF(AND(G4416,H4416),C4416*E4416*G4416*H4416,IF(F4416,C4416*E4416*F4416,IF(G4416,C4416*E4416*G4416,IF(H4416,C4416*E4416*H4416,C4416*E4416))))))),2)</f>
        <v>3</v>
      </c>
      <c r="J4416" s="909" t="s">
        <v>115</v>
      </c>
      <c r="K4416" s="902"/>
      <c r="L4416" s="896"/>
      <c r="M4416" s="902"/>
      <c r="N4416" s="900" t="s">
        <v>2309</v>
      </c>
    </row>
    <row r="4417" spans="1:14" s="910" customFormat="1" ht="16.5" hidden="1" customHeight="1">
      <c r="A4417" s="896"/>
      <c r="B4417" s="980"/>
      <c r="C4417" s="957"/>
      <c r="D4417" s="958"/>
      <c r="E4417" s="1268"/>
      <c r="F4417" s="960"/>
      <c r="G4417" s="960"/>
      <c r="H4417" s="960"/>
      <c r="I4417" s="1291"/>
      <c r="J4417" s="909"/>
      <c r="K4417" s="902"/>
      <c r="L4417" s="896"/>
      <c r="M4417" s="902"/>
      <c r="N4417" s="900" t="s">
        <v>2309</v>
      </c>
    </row>
    <row r="4418" spans="1:14" ht="17.25" hidden="1" customHeight="1">
      <c r="A4418" s="896"/>
      <c r="B4418" s="902"/>
      <c r="C4418" s="917"/>
      <c r="D4418" s="918"/>
      <c r="E4418" s="919"/>
      <c r="F4418" s="920"/>
      <c r="G4418" s="921"/>
      <c r="H4418" s="896"/>
      <c r="I4418" s="1291"/>
      <c r="J4418" s="909" t="s">
        <v>115</v>
      </c>
      <c r="K4418" s="922">
        <f>'Ele Data'!I1058</f>
        <v>3312.1849999999999</v>
      </c>
      <c r="L4418" s="923" t="s">
        <v>2309</v>
      </c>
      <c r="M4418" s="924">
        <f>ROUND(I4418*K4418,0)</f>
        <v>0</v>
      </c>
      <c r="N4418" s="900" t="s">
        <v>2309</v>
      </c>
    </row>
    <row r="4419" spans="1:14" ht="21" hidden="1" customHeight="1">
      <c r="A4419" s="896">
        <v>18</v>
      </c>
      <c r="B4419" s="1609" t="s">
        <v>1571</v>
      </c>
      <c r="C4419" s="1609"/>
      <c r="D4419" s="1609"/>
      <c r="E4419" s="1609"/>
      <c r="F4419" s="1609"/>
      <c r="G4419" s="1609"/>
      <c r="H4419" s="1609"/>
      <c r="I4419" s="897"/>
      <c r="J4419" s="898"/>
      <c r="K4419" s="896"/>
      <c r="L4419" s="896"/>
      <c r="M4419" s="899"/>
      <c r="N4419" s="900" t="s">
        <v>2309</v>
      </c>
    </row>
    <row r="4420" spans="1:14" s="910" customFormat="1" ht="16.5" hidden="1" customHeight="1">
      <c r="A4420" s="896"/>
      <c r="B4420" s="902" t="s">
        <v>2340</v>
      </c>
      <c r="C4420" s="903"/>
      <c r="D4420" s="904"/>
      <c r="E4420" s="905"/>
      <c r="F4420" s="906"/>
      <c r="G4420" s="906"/>
      <c r="H4420" s="907"/>
      <c r="I4420" s="908"/>
      <c r="J4420" s="909"/>
      <c r="K4420" s="902"/>
      <c r="L4420" s="896"/>
      <c r="M4420" s="902"/>
      <c r="N4420" s="900" t="s">
        <v>2309</v>
      </c>
    </row>
    <row r="4421" spans="1:14" s="910" customFormat="1" ht="16.5" hidden="1" customHeight="1">
      <c r="A4421" s="896"/>
      <c r="B4421" s="980"/>
      <c r="C4421" s="912">
        <v>1</v>
      </c>
      <c r="D4421" s="913" t="s">
        <v>273</v>
      </c>
      <c r="E4421" s="914">
        <v>12</v>
      </c>
      <c r="F4421" s="915">
        <v>0</v>
      </c>
      <c r="G4421" s="915">
        <v>0</v>
      </c>
      <c r="H4421" s="915">
        <v>0</v>
      </c>
      <c r="I4421" s="1291">
        <f>ROUND(IF(AND(F4421:H4421),C4421*E4421*F4421*G4421*H4421,IF(AND(F4421,G4421),C4421*E4421*F4421*G4421,IF(AND(F4421,H4421),C4421*E4421*F4421*H4421,IF(AND(G4421,H4421),C4421*E4421*G4421*H4421,IF(F4421,C4421*E4421*F4421,IF(G4421,C4421*E4421*G4421,IF(H4421,C4421*E4421*H4421,C4421*E4421))))))),2)</f>
        <v>12</v>
      </c>
      <c r="J4421" s="909" t="s">
        <v>115</v>
      </c>
      <c r="K4421" s="902"/>
      <c r="L4421" s="896"/>
      <c r="M4421" s="902"/>
      <c r="N4421" s="900" t="s">
        <v>2309</v>
      </c>
    </row>
    <row r="4422" spans="1:14" s="910" customFormat="1" ht="16.5" hidden="1" customHeight="1">
      <c r="A4422" s="896"/>
      <c r="B4422" s="980"/>
      <c r="C4422" s="957"/>
      <c r="D4422" s="958"/>
      <c r="E4422" s="1268"/>
      <c r="F4422" s="960"/>
      <c r="G4422" s="960"/>
      <c r="H4422" s="960"/>
      <c r="I4422" s="916"/>
      <c r="J4422" s="909"/>
      <c r="K4422" s="902"/>
      <c r="L4422" s="896"/>
      <c r="M4422" s="902"/>
      <c r="N4422" s="900" t="s">
        <v>2309</v>
      </c>
    </row>
    <row r="4423" spans="1:14" ht="15.75" hidden="1">
      <c r="A4423" s="896"/>
      <c r="B4423" s="902"/>
      <c r="C4423" s="917"/>
      <c r="D4423" s="918"/>
      <c r="E4423" s="919"/>
      <c r="F4423" s="920"/>
      <c r="G4423" s="921"/>
      <c r="H4423" s="896"/>
      <c r="I4423" s="1291"/>
      <c r="J4423" s="909" t="s">
        <v>115</v>
      </c>
      <c r="K4423" s="922">
        <f>'Ele Data'!I1085</f>
        <v>230.73000000000002</v>
      </c>
      <c r="L4423" s="923" t="s">
        <v>2309</v>
      </c>
      <c r="M4423" s="924">
        <f>ROUND(I4423*K4423,0)</f>
        <v>0</v>
      </c>
      <c r="N4423" s="900" t="s">
        <v>2309</v>
      </c>
    </row>
    <row r="4424" spans="1:14" ht="43.5" hidden="1" customHeight="1">
      <c r="A4424" s="896">
        <v>19</v>
      </c>
      <c r="B4424" s="1609" t="s">
        <v>946</v>
      </c>
      <c r="C4424" s="1609"/>
      <c r="D4424" s="1609"/>
      <c r="E4424" s="1609"/>
      <c r="F4424" s="1609"/>
      <c r="G4424" s="1609"/>
      <c r="H4424" s="1609"/>
      <c r="I4424" s="897"/>
      <c r="J4424" s="898"/>
      <c r="K4424" s="896"/>
      <c r="L4424" s="896"/>
      <c r="M4424" s="899"/>
      <c r="N4424" s="900" t="s">
        <v>2309</v>
      </c>
    </row>
    <row r="4425" spans="1:14" s="910" customFormat="1" ht="16.5" hidden="1" customHeight="1">
      <c r="A4425" s="896"/>
      <c r="B4425" s="902" t="s">
        <v>3001</v>
      </c>
      <c r="C4425" s="903"/>
      <c r="D4425" s="904"/>
      <c r="E4425" s="905"/>
      <c r="F4425" s="906"/>
      <c r="G4425" s="906"/>
      <c r="H4425" s="907"/>
      <c r="I4425" s="908"/>
      <c r="J4425" s="909"/>
      <c r="K4425" s="902"/>
      <c r="L4425" s="896"/>
      <c r="M4425" s="902"/>
      <c r="N4425" s="900" t="s">
        <v>2309</v>
      </c>
    </row>
    <row r="4426" spans="1:14" s="910" customFormat="1" ht="16.5" hidden="1" customHeight="1">
      <c r="A4426" s="896"/>
      <c r="B4426" s="980" t="s">
        <v>2997</v>
      </c>
      <c r="C4426" s="957">
        <v>1</v>
      </c>
      <c r="D4426" s="958" t="s">
        <v>273</v>
      </c>
      <c r="E4426" s="1268">
        <v>1</v>
      </c>
      <c r="F4426" s="960">
        <v>0</v>
      </c>
      <c r="G4426" s="960">
        <v>0</v>
      </c>
      <c r="H4426" s="960">
        <v>0</v>
      </c>
      <c r="I4426" s="1291">
        <f t="shared" ref="I4426:I4433" si="222">ROUND(IF(AND(F4426:H4426),C4426*E4426*F4426*G4426*H4426,IF(AND(F4426,G4426),C4426*E4426*F4426*G4426,IF(AND(F4426,H4426),C4426*E4426*F4426*H4426,IF(AND(G4426,H4426),C4426*E4426*G4426*H4426,IF(F4426,C4426*E4426*F4426,IF(G4426,C4426*E4426*G4426,IF(H4426,C4426*E4426*H4426,C4426*E4426))))))),2)</f>
        <v>1</v>
      </c>
      <c r="J4426" s="909" t="s">
        <v>115</v>
      </c>
      <c r="K4426" s="902"/>
      <c r="L4426" s="896"/>
      <c r="M4426" s="902"/>
      <c r="N4426" s="900" t="s">
        <v>2309</v>
      </c>
    </row>
    <row r="4427" spans="1:14" s="910" customFormat="1" ht="16.5" hidden="1" customHeight="1">
      <c r="A4427" s="896"/>
      <c r="B4427" s="980" t="s">
        <v>2998</v>
      </c>
      <c r="C4427" s="957">
        <v>1</v>
      </c>
      <c r="D4427" s="958" t="s">
        <v>273</v>
      </c>
      <c r="E4427" s="1268">
        <v>1</v>
      </c>
      <c r="F4427" s="960">
        <v>0</v>
      </c>
      <c r="G4427" s="960">
        <v>0</v>
      </c>
      <c r="H4427" s="960">
        <v>0</v>
      </c>
      <c r="I4427" s="1291">
        <f t="shared" si="222"/>
        <v>1</v>
      </c>
      <c r="J4427" s="909" t="s">
        <v>115</v>
      </c>
      <c r="K4427" s="902"/>
      <c r="L4427" s="896"/>
      <c r="M4427" s="902"/>
      <c r="N4427" s="900" t="s">
        <v>2309</v>
      </c>
    </row>
    <row r="4428" spans="1:14" s="910" customFormat="1" ht="16.5" hidden="1" customHeight="1">
      <c r="A4428" s="896"/>
      <c r="B4428" s="980" t="s">
        <v>799</v>
      </c>
      <c r="C4428" s="957">
        <v>1</v>
      </c>
      <c r="D4428" s="958" t="s">
        <v>273</v>
      </c>
      <c r="E4428" s="1268">
        <v>6</v>
      </c>
      <c r="F4428" s="960">
        <v>0</v>
      </c>
      <c r="G4428" s="960">
        <v>0</v>
      </c>
      <c r="H4428" s="960">
        <v>0</v>
      </c>
      <c r="I4428" s="1291">
        <f t="shared" si="222"/>
        <v>6</v>
      </c>
      <c r="J4428" s="909" t="s">
        <v>115</v>
      </c>
      <c r="K4428" s="902"/>
      <c r="L4428" s="896"/>
      <c r="M4428" s="902"/>
      <c r="N4428" s="900" t="s">
        <v>2309</v>
      </c>
    </row>
    <row r="4429" spans="1:14" s="910" customFormat="1" ht="16.5" hidden="1" customHeight="1">
      <c r="A4429" s="896"/>
      <c r="B4429" s="980" t="s">
        <v>2999</v>
      </c>
      <c r="C4429" s="957">
        <v>1</v>
      </c>
      <c r="D4429" s="958" t="s">
        <v>273</v>
      </c>
      <c r="E4429" s="1268">
        <v>1</v>
      </c>
      <c r="F4429" s="960">
        <v>0</v>
      </c>
      <c r="G4429" s="960">
        <v>0</v>
      </c>
      <c r="H4429" s="960">
        <v>0</v>
      </c>
      <c r="I4429" s="1291">
        <f t="shared" si="222"/>
        <v>1</v>
      </c>
      <c r="J4429" s="909" t="s">
        <v>115</v>
      </c>
      <c r="K4429" s="902"/>
      <c r="L4429" s="896"/>
      <c r="M4429" s="902"/>
      <c r="N4429" s="900" t="s">
        <v>2309</v>
      </c>
    </row>
    <row r="4430" spans="1:14" s="910" customFormat="1" ht="16.5" hidden="1" customHeight="1">
      <c r="A4430" s="896"/>
      <c r="B4430" s="980" t="s">
        <v>2356</v>
      </c>
      <c r="C4430" s="957">
        <v>1</v>
      </c>
      <c r="D4430" s="958" t="s">
        <v>273</v>
      </c>
      <c r="E4430" s="1268">
        <v>1</v>
      </c>
      <c r="F4430" s="960">
        <v>0</v>
      </c>
      <c r="G4430" s="960">
        <v>0</v>
      </c>
      <c r="H4430" s="960">
        <v>0</v>
      </c>
      <c r="I4430" s="1291">
        <f t="shared" si="222"/>
        <v>1</v>
      </c>
      <c r="J4430" s="909" t="s">
        <v>115</v>
      </c>
      <c r="K4430" s="902"/>
      <c r="L4430" s="896"/>
      <c r="M4430" s="902"/>
      <c r="N4430" s="900" t="s">
        <v>2309</v>
      </c>
    </row>
    <row r="4431" spans="1:14" s="910" customFormat="1" ht="16.5" hidden="1" customHeight="1">
      <c r="A4431" s="896"/>
      <c r="B4431" s="980" t="s">
        <v>3002</v>
      </c>
      <c r="C4431" s="957">
        <v>1</v>
      </c>
      <c r="D4431" s="958" t="s">
        <v>273</v>
      </c>
      <c r="E4431" s="1268">
        <v>1</v>
      </c>
      <c r="F4431" s="960">
        <v>0</v>
      </c>
      <c r="G4431" s="960">
        <v>0</v>
      </c>
      <c r="H4431" s="960">
        <v>0</v>
      </c>
      <c r="I4431" s="1291">
        <f t="shared" si="222"/>
        <v>1</v>
      </c>
      <c r="J4431" s="909" t="s">
        <v>115</v>
      </c>
      <c r="K4431" s="902"/>
      <c r="L4431" s="896"/>
      <c r="M4431" s="902"/>
      <c r="N4431" s="900" t="s">
        <v>2309</v>
      </c>
    </row>
    <row r="4432" spans="1:14" s="910" customFormat="1" ht="16.5" hidden="1" customHeight="1">
      <c r="A4432" s="896"/>
      <c r="B4432" s="980" t="s">
        <v>223</v>
      </c>
      <c r="C4432" s="957">
        <v>1</v>
      </c>
      <c r="D4432" s="958" t="s">
        <v>273</v>
      </c>
      <c r="E4432" s="1268">
        <v>3</v>
      </c>
      <c r="F4432" s="960">
        <v>0</v>
      </c>
      <c r="G4432" s="960">
        <v>0</v>
      </c>
      <c r="H4432" s="960">
        <v>0</v>
      </c>
      <c r="I4432" s="1291">
        <f t="shared" si="222"/>
        <v>3</v>
      </c>
      <c r="J4432" s="909" t="s">
        <v>115</v>
      </c>
      <c r="K4432" s="902"/>
      <c r="L4432" s="896"/>
      <c r="M4432" s="902"/>
      <c r="N4432" s="900" t="s">
        <v>2309</v>
      </c>
    </row>
    <row r="4433" spans="1:14" s="910" customFormat="1" ht="16.5" hidden="1" customHeight="1">
      <c r="A4433" s="896"/>
      <c r="B4433" s="980" t="s">
        <v>3003</v>
      </c>
      <c r="C4433" s="957">
        <v>1</v>
      </c>
      <c r="D4433" s="958" t="s">
        <v>273</v>
      </c>
      <c r="E4433" s="1268">
        <v>1</v>
      </c>
      <c r="F4433" s="960">
        <v>0</v>
      </c>
      <c r="G4433" s="960">
        <v>0</v>
      </c>
      <c r="H4433" s="960">
        <v>0</v>
      </c>
      <c r="I4433" s="1291">
        <f t="shared" si="222"/>
        <v>1</v>
      </c>
      <c r="J4433" s="909" t="s">
        <v>115</v>
      </c>
      <c r="K4433" s="902"/>
      <c r="L4433" s="896"/>
      <c r="M4433" s="902"/>
      <c r="N4433" s="900" t="s">
        <v>2309</v>
      </c>
    </row>
    <row r="4434" spans="1:14" s="910" customFormat="1" ht="16.5" hidden="1" customHeight="1">
      <c r="A4434" s="896"/>
      <c r="B4434" s="980"/>
      <c r="C4434" s="957"/>
      <c r="D4434" s="958"/>
      <c r="E4434" s="1268"/>
      <c r="F4434" s="960"/>
      <c r="G4434" s="960"/>
      <c r="H4434" s="960"/>
      <c r="I4434" s="1291"/>
      <c r="J4434" s="909"/>
      <c r="K4434" s="902"/>
      <c r="L4434" s="896"/>
      <c r="M4434" s="902"/>
      <c r="N4434" s="900" t="s">
        <v>2309</v>
      </c>
    </row>
    <row r="4435" spans="1:14" ht="15.75" hidden="1">
      <c r="A4435" s="896"/>
      <c r="B4435" s="902"/>
      <c r="C4435" s="917"/>
      <c r="D4435" s="918"/>
      <c r="E4435" s="919"/>
      <c r="F4435" s="920"/>
      <c r="G4435" s="921"/>
      <c r="H4435" s="896"/>
      <c r="I4435" s="1291"/>
      <c r="J4435" s="909" t="s">
        <v>115</v>
      </c>
      <c r="K4435" s="922">
        <f>'Ele Data'!I1062</f>
        <v>2941.12</v>
      </c>
      <c r="L4435" s="923" t="s">
        <v>2309</v>
      </c>
      <c r="M4435" s="924">
        <f>ROUND(I4435*K4435,0)</f>
        <v>0</v>
      </c>
      <c r="N4435" s="900" t="s">
        <v>2309</v>
      </c>
    </row>
    <row r="4436" spans="1:14" ht="30.75" hidden="1" customHeight="1">
      <c r="A4436" s="896">
        <v>20</v>
      </c>
      <c r="B4436" s="1609" t="s">
        <v>947</v>
      </c>
      <c r="C4436" s="1609"/>
      <c r="D4436" s="1609"/>
      <c r="E4436" s="1609"/>
      <c r="F4436" s="1609"/>
      <c r="G4436" s="1609"/>
      <c r="H4436" s="1609"/>
      <c r="I4436" s="1291"/>
      <c r="J4436" s="898"/>
      <c r="K4436" s="896"/>
      <c r="L4436" s="896"/>
      <c r="M4436" s="899"/>
      <c r="N4436" s="900" t="s">
        <v>2309</v>
      </c>
    </row>
    <row r="4437" spans="1:14" s="910" customFormat="1" ht="16.5" hidden="1" customHeight="1">
      <c r="A4437" s="896"/>
      <c r="B4437" s="902" t="s">
        <v>3004</v>
      </c>
      <c r="C4437" s="903"/>
      <c r="D4437" s="904"/>
      <c r="E4437" s="905"/>
      <c r="F4437" s="906"/>
      <c r="G4437" s="906"/>
      <c r="H4437" s="907"/>
      <c r="I4437" s="908"/>
      <c r="J4437" s="909"/>
      <c r="K4437" s="902"/>
      <c r="L4437" s="896"/>
      <c r="M4437" s="902"/>
      <c r="N4437" s="900" t="s">
        <v>2309</v>
      </c>
    </row>
    <row r="4438" spans="1:14" s="910" customFormat="1" ht="16.5" hidden="1" customHeight="1">
      <c r="A4438" s="896"/>
      <c r="B4438" s="980" t="s">
        <v>2997</v>
      </c>
      <c r="C4438" s="957">
        <v>1</v>
      </c>
      <c r="D4438" s="958" t="s">
        <v>273</v>
      </c>
      <c r="E4438" s="1268">
        <v>1</v>
      </c>
      <c r="F4438" s="960">
        <v>0</v>
      </c>
      <c r="G4438" s="960">
        <v>0</v>
      </c>
      <c r="H4438" s="960">
        <v>0</v>
      </c>
      <c r="I4438" s="1291">
        <f t="shared" ref="I4438:I4445" si="223">ROUND(IF(AND(F4438:H4438),C4438*E4438*F4438*G4438*H4438,IF(AND(F4438,G4438),C4438*E4438*F4438*G4438,IF(AND(F4438,H4438),C4438*E4438*F4438*H4438,IF(AND(G4438,H4438),C4438*E4438*G4438*H4438,IF(F4438,C4438*E4438*F4438,IF(G4438,C4438*E4438*G4438,IF(H4438,C4438*E4438*H4438,C4438*E4438))))))),2)</f>
        <v>1</v>
      </c>
      <c r="J4438" s="909" t="s">
        <v>115</v>
      </c>
      <c r="K4438" s="902"/>
      <c r="L4438" s="896"/>
      <c r="M4438" s="902"/>
      <c r="N4438" s="900" t="s">
        <v>2309</v>
      </c>
    </row>
    <row r="4439" spans="1:14" s="910" customFormat="1" ht="16.5" hidden="1" customHeight="1">
      <c r="A4439" s="896"/>
      <c r="B4439" s="980" t="s">
        <v>2998</v>
      </c>
      <c r="C4439" s="957">
        <v>1</v>
      </c>
      <c r="D4439" s="958" t="s">
        <v>273</v>
      </c>
      <c r="E4439" s="1268">
        <v>1</v>
      </c>
      <c r="F4439" s="960">
        <v>0</v>
      </c>
      <c r="G4439" s="960">
        <v>0</v>
      </c>
      <c r="H4439" s="960">
        <v>0</v>
      </c>
      <c r="I4439" s="1291">
        <f t="shared" si="223"/>
        <v>1</v>
      </c>
      <c r="J4439" s="909" t="s">
        <v>115</v>
      </c>
      <c r="K4439" s="902"/>
      <c r="L4439" s="896"/>
      <c r="M4439" s="902"/>
      <c r="N4439" s="900" t="s">
        <v>2309</v>
      </c>
    </row>
    <row r="4440" spans="1:14" s="910" customFormat="1" ht="16.5" hidden="1" customHeight="1">
      <c r="A4440" s="896"/>
      <c r="B4440" s="980" t="s">
        <v>799</v>
      </c>
      <c r="C4440" s="957">
        <v>1</v>
      </c>
      <c r="D4440" s="958" t="s">
        <v>273</v>
      </c>
      <c r="E4440" s="1268">
        <v>6</v>
      </c>
      <c r="F4440" s="960">
        <v>0</v>
      </c>
      <c r="G4440" s="960">
        <v>0</v>
      </c>
      <c r="H4440" s="960">
        <v>0</v>
      </c>
      <c r="I4440" s="1291">
        <f t="shared" si="223"/>
        <v>6</v>
      </c>
      <c r="J4440" s="909" t="s">
        <v>115</v>
      </c>
      <c r="K4440" s="902"/>
      <c r="L4440" s="896"/>
      <c r="M4440" s="902"/>
      <c r="N4440" s="900" t="s">
        <v>2309</v>
      </c>
    </row>
    <row r="4441" spans="1:14" s="910" customFormat="1" ht="16.5" hidden="1" customHeight="1">
      <c r="A4441" s="896"/>
      <c r="B4441" s="980" t="s">
        <v>2999</v>
      </c>
      <c r="C4441" s="957">
        <v>1</v>
      </c>
      <c r="D4441" s="958" t="s">
        <v>273</v>
      </c>
      <c r="E4441" s="1268">
        <v>1</v>
      </c>
      <c r="F4441" s="960">
        <v>0</v>
      </c>
      <c r="G4441" s="960">
        <v>0</v>
      </c>
      <c r="H4441" s="960">
        <v>0</v>
      </c>
      <c r="I4441" s="1291">
        <f t="shared" si="223"/>
        <v>1</v>
      </c>
      <c r="J4441" s="909" t="s">
        <v>115</v>
      </c>
      <c r="K4441" s="902"/>
      <c r="L4441" s="896"/>
      <c r="M4441" s="902"/>
      <c r="N4441" s="900" t="s">
        <v>2309</v>
      </c>
    </row>
    <row r="4442" spans="1:14" s="910" customFormat="1" ht="16.5" hidden="1" customHeight="1">
      <c r="A4442" s="896"/>
      <c r="B4442" s="980" t="s">
        <v>2356</v>
      </c>
      <c r="C4442" s="957">
        <v>1</v>
      </c>
      <c r="D4442" s="958" t="s">
        <v>273</v>
      </c>
      <c r="E4442" s="1268">
        <v>1</v>
      </c>
      <c r="F4442" s="960">
        <v>0</v>
      </c>
      <c r="G4442" s="960">
        <v>0</v>
      </c>
      <c r="H4442" s="960">
        <v>0</v>
      </c>
      <c r="I4442" s="1291">
        <f t="shared" si="223"/>
        <v>1</v>
      </c>
      <c r="J4442" s="909" t="s">
        <v>115</v>
      </c>
      <c r="K4442" s="902"/>
      <c r="L4442" s="896"/>
      <c r="M4442" s="902"/>
      <c r="N4442" s="900" t="s">
        <v>2309</v>
      </c>
    </row>
    <row r="4443" spans="1:14" s="910" customFormat="1" ht="16.5" hidden="1" customHeight="1">
      <c r="A4443" s="896"/>
      <c r="B4443" s="980" t="s">
        <v>3002</v>
      </c>
      <c r="C4443" s="957">
        <v>1</v>
      </c>
      <c r="D4443" s="958" t="s">
        <v>273</v>
      </c>
      <c r="E4443" s="1268">
        <v>1</v>
      </c>
      <c r="F4443" s="960">
        <v>0</v>
      </c>
      <c r="G4443" s="960">
        <v>0</v>
      </c>
      <c r="H4443" s="960">
        <v>0</v>
      </c>
      <c r="I4443" s="1291">
        <f t="shared" si="223"/>
        <v>1</v>
      </c>
      <c r="J4443" s="909" t="s">
        <v>115</v>
      </c>
      <c r="K4443" s="902"/>
      <c r="L4443" s="896"/>
      <c r="M4443" s="902"/>
      <c r="N4443" s="900" t="s">
        <v>2309</v>
      </c>
    </row>
    <row r="4444" spans="1:14" s="910" customFormat="1" ht="16.5" hidden="1" customHeight="1">
      <c r="A4444" s="896"/>
      <c r="B4444" s="980" t="s">
        <v>223</v>
      </c>
      <c r="C4444" s="957">
        <v>1</v>
      </c>
      <c r="D4444" s="958" t="s">
        <v>273</v>
      </c>
      <c r="E4444" s="1268">
        <v>3</v>
      </c>
      <c r="F4444" s="960">
        <v>0</v>
      </c>
      <c r="G4444" s="960">
        <v>0</v>
      </c>
      <c r="H4444" s="960">
        <v>0</v>
      </c>
      <c r="I4444" s="1291">
        <f t="shared" si="223"/>
        <v>3</v>
      </c>
      <c r="J4444" s="909" t="s">
        <v>115</v>
      </c>
      <c r="K4444" s="902"/>
      <c r="L4444" s="896"/>
      <c r="M4444" s="902"/>
      <c r="N4444" s="900" t="s">
        <v>2309</v>
      </c>
    </row>
    <row r="4445" spans="1:14" s="910" customFormat="1" ht="16.5" hidden="1" customHeight="1">
      <c r="A4445" s="896"/>
      <c r="B4445" s="980" t="s">
        <v>3003</v>
      </c>
      <c r="C4445" s="957">
        <v>1</v>
      </c>
      <c r="D4445" s="958" t="s">
        <v>273</v>
      </c>
      <c r="E4445" s="1268">
        <v>1</v>
      </c>
      <c r="F4445" s="960">
        <v>0</v>
      </c>
      <c r="G4445" s="960">
        <v>0</v>
      </c>
      <c r="H4445" s="960">
        <v>0</v>
      </c>
      <c r="I4445" s="1291">
        <f t="shared" si="223"/>
        <v>1</v>
      </c>
      <c r="J4445" s="909" t="s">
        <v>115</v>
      </c>
      <c r="K4445" s="902"/>
      <c r="L4445" s="896"/>
      <c r="M4445" s="902"/>
      <c r="N4445" s="900" t="s">
        <v>2309</v>
      </c>
    </row>
    <row r="4446" spans="1:14" s="910" customFormat="1" ht="16.5" hidden="1" customHeight="1">
      <c r="A4446" s="896"/>
      <c r="B4446" s="980"/>
      <c r="C4446" s="957"/>
      <c r="D4446" s="958"/>
      <c r="E4446" s="1268"/>
      <c r="F4446" s="960"/>
      <c r="G4446" s="960"/>
      <c r="H4446" s="960"/>
      <c r="I4446" s="1291"/>
      <c r="J4446" s="909"/>
      <c r="K4446" s="902"/>
      <c r="L4446" s="896"/>
      <c r="M4446" s="902"/>
      <c r="N4446" s="900" t="s">
        <v>2309</v>
      </c>
    </row>
    <row r="4447" spans="1:14" ht="15.75" hidden="1">
      <c r="A4447" s="896"/>
      <c r="B4447" s="902"/>
      <c r="C4447" s="917"/>
      <c r="D4447" s="918"/>
      <c r="E4447" s="919"/>
      <c r="F4447" s="920"/>
      <c r="G4447" s="921"/>
      <c r="H4447" s="896"/>
      <c r="I4447" s="1291"/>
      <c r="J4447" s="909" t="s">
        <v>115</v>
      </c>
      <c r="K4447" s="922">
        <f>'Ele Data'!I1067</f>
        <v>278</v>
      </c>
      <c r="L4447" s="923" t="s">
        <v>2309</v>
      </c>
      <c r="M4447" s="924">
        <f>ROUND(I4447*K4447,0)</f>
        <v>0</v>
      </c>
      <c r="N4447" s="900" t="s">
        <v>2309</v>
      </c>
    </row>
    <row r="4448" spans="1:14" ht="30.75" hidden="1" customHeight="1">
      <c r="A4448" s="896">
        <v>21</v>
      </c>
      <c r="B4448" s="1609" t="s">
        <v>948</v>
      </c>
      <c r="C4448" s="1609"/>
      <c r="D4448" s="1609"/>
      <c r="E4448" s="1609"/>
      <c r="F4448" s="1609"/>
      <c r="G4448" s="1609"/>
      <c r="H4448" s="1609"/>
      <c r="I4448" s="897"/>
      <c r="J4448" s="898"/>
      <c r="K4448" s="896"/>
      <c r="L4448" s="896"/>
      <c r="M4448" s="899"/>
      <c r="N4448" s="900" t="s">
        <v>2309</v>
      </c>
    </row>
    <row r="4449" spans="1:14" s="910" customFormat="1" ht="16.5" hidden="1" customHeight="1">
      <c r="A4449" s="896"/>
      <c r="B4449" s="902" t="s">
        <v>3005</v>
      </c>
      <c r="C4449" s="903"/>
      <c r="D4449" s="904"/>
      <c r="E4449" s="905"/>
      <c r="F4449" s="906"/>
      <c r="G4449" s="906"/>
      <c r="H4449" s="907"/>
      <c r="I4449" s="908"/>
      <c r="J4449" s="909"/>
      <c r="K4449" s="902"/>
      <c r="L4449" s="896"/>
      <c r="M4449" s="902"/>
      <c r="N4449" s="900" t="s">
        <v>2309</v>
      </c>
    </row>
    <row r="4450" spans="1:14" s="910" customFormat="1" ht="16.5" hidden="1" customHeight="1">
      <c r="A4450" s="896"/>
      <c r="B4450" s="980" t="s">
        <v>2997</v>
      </c>
      <c r="C4450" s="957">
        <v>1</v>
      </c>
      <c r="D4450" s="958" t="s">
        <v>273</v>
      </c>
      <c r="E4450" s="1268">
        <v>1</v>
      </c>
      <c r="F4450" s="960">
        <v>0</v>
      </c>
      <c r="G4450" s="960">
        <v>0</v>
      </c>
      <c r="H4450" s="960">
        <v>0</v>
      </c>
      <c r="I4450" s="1291">
        <f t="shared" ref="I4450:I4457" si="224">ROUND(IF(AND(F4450:H4450),C4450*E4450*F4450*G4450*H4450,IF(AND(F4450,G4450),C4450*E4450*F4450*G4450,IF(AND(F4450,H4450),C4450*E4450*F4450*H4450,IF(AND(G4450,H4450),C4450*E4450*G4450*H4450,IF(F4450,C4450*E4450*F4450,IF(G4450,C4450*E4450*G4450,IF(H4450,C4450*E4450*H4450,C4450*E4450))))))),2)</f>
        <v>1</v>
      </c>
      <c r="J4450" s="909" t="s">
        <v>115</v>
      </c>
      <c r="K4450" s="902"/>
      <c r="L4450" s="896"/>
      <c r="M4450" s="902"/>
      <c r="N4450" s="900" t="s">
        <v>2309</v>
      </c>
    </row>
    <row r="4451" spans="1:14" s="910" customFormat="1" ht="16.5" hidden="1" customHeight="1">
      <c r="A4451" s="896"/>
      <c r="B4451" s="980" t="s">
        <v>2998</v>
      </c>
      <c r="C4451" s="957">
        <v>1</v>
      </c>
      <c r="D4451" s="958" t="s">
        <v>273</v>
      </c>
      <c r="E4451" s="1268">
        <v>1</v>
      </c>
      <c r="F4451" s="960">
        <v>0</v>
      </c>
      <c r="G4451" s="960">
        <v>0</v>
      </c>
      <c r="H4451" s="960">
        <v>0</v>
      </c>
      <c r="I4451" s="1291">
        <f t="shared" si="224"/>
        <v>1</v>
      </c>
      <c r="J4451" s="909" t="s">
        <v>115</v>
      </c>
      <c r="K4451" s="902"/>
      <c r="L4451" s="896"/>
      <c r="M4451" s="902"/>
      <c r="N4451" s="900" t="s">
        <v>2309</v>
      </c>
    </row>
    <row r="4452" spans="1:14" s="910" customFormat="1" ht="16.5" hidden="1" customHeight="1">
      <c r="A4452" s="896"/>
      <c r="B4452" s="980" t="s">
        <v>799</v>
      </c>
      <c r="C4452" s="957">
        <v>1</v>
      </c>
      <c r="D4452" s="958" t="s">
        <v>273</v>
      </c>
      <c r="E4452" s="1268">
        <v>6</v>
      </c>
      <c r="F4452" s="960">
        <v>0</v>
      </c>
      <c r="G4452" s="960">
        <v>0</v>
      </c>
      <c r="H4452" s="960">
        <v>0</v>
      </c>
      <c r="I4452" s="1291">
        <f t="shared" si="224"/>
        <v>6</v>
      </c>
      <c r="J4452" s="909" t="s">
        <v>115</v>
      </c>
      <c r="K4452" s="902"/>
      <c r="L4452" s="896"/>
      <c r="M4452" s="902"/>
      <c r="N4452" s="900" t="s">
        <v>2309</v>
      </c>
    </row>
    <row r="4453" spans="1:14" s="910" customFormat="1" ht="16.5" hidden="1" customHeight="1">
      <c r="A4453" s="896"/>
      <c r="B4453" s="980" t="s">
        <v>2999</v>
      </c>
      <c r="C4453" s="957">
        <v>1</v>
      </c>
      <c r="D4453" s="958" t="s">
        <v>273</v>
      </c>
      <c r="E4453" s="1268">
        <v>1</v>
      </c>
      <c r="F4453" s="960">
        <v>0</v>
      </c>
      <c r="G4453" s="960">
        <v>0</v>
      </c>
      <c r="H4453" s="960">
        <v>0</v>
      </c>
      <c r="I4453" s="1291">
        <f t="shared" si="224"/>
        <v>1</v>
      </c>
      <c r="J4453" s="909" t="s">
        <v>115</v>
      </c>
      <c r="K4453" s="902"/>
      <c r="L4453" s="896"/>
      <c r="M4453" s="902"/>
      <c r="N4453" s="900" t="s">
        <v>2309</v>
      </c>
    </row>
    <row r="4454" spans="1:14" s="910" customFormat="1" ht="16.5" hidden="1" customHeight="1">
      <c r="A4454" s="896"/>
      <c r="B4454" s="980" t="s">
        <v>2356</v>
      </c>
      <c r="C4454" s="957">
        <v>1</v>
      </c>
      <c r="D4454" s="958" t="s">
        <v>273</v>
      </c>
      <c r="E4454" s="1268">
        <v>1</v>
      </c>
      <c r="F4454" s="960">
        <v>0</v>
      </c>
      <c r="G4454" s="960">
        <v>0</v>
      </c>
      <c r="H4454" s="960">
        <v>0</v>
      </c>
      <c r="I4454" s="1291">
        <f t="shared" si="224"/>
        <v>1</v>
      </c>
      <c r="J4454" s="909" t="s">
        <v>115</v>
      </c>
      <c r="K4454" s="902"/>
      <c r="L4454" s="896"/>
      <c r="M4454" s="902"/>
      <c r="N4454" s="900" t="s">
        <v>2309</v>
      </c>
    </row>
    <row r="4455" spans="1:14" s="910" customFormat="1" ht="16.5" hidden="1" customHeight="1">
      <c r="A4455" s="896"/>
      <c r="B4455" s="980" t="s">
        <v>3002</v>
      </c>
      <c r="C4455" s="957">
        <v>1</v>
      </c>
      <c r="D4455" s="958" t="s">
        <v>273</v>
      </c>
      <c r="E4455" s="1268">
        <v>1</v>
      </c>
      <c r="F4455" s="960">
        <v>0</v>
      </c>
      <c r="G4455" s="960">
        <v>0</v>
      </c>
      <c r="H4455" s="960">
        <v>0</v>
      </c>
      <c r="I4455" s="1291">
        <f t="shared" si="224"/>
        <v>1</v>
      </c>
      <c r="J4455" s="909" t="s">
        <v>115</v>
      </c>
      <c r="K4455" s="902"/>
      <c r="L4455" s="896"/>
      <c r="M4455" s="902"/>
      <c r="N4455" s="900" t="s">
        <v>2309</v>
      </c>
    </row>
    <row r="4456" spans="1:14" s="910" customFormat="1" ht="16.5" hidden="1" customHeight="1">
      <c r="A4456" s="896"/>
      <c r="B4456" s="980" t="s">
        <v>223</v>
      </c>
      <c r="C4456" s="957">
        <v>1</v>
      </c>
      <c r="D4456" s="958" t="s">
        <v>273</v>
      </c>
      <c r="E4456" s="1268">
        <v>3</v>
      </c>
      <c r="F4456" s="960">
        <v>0</v>
      </c>
      <c r="G4456" s="960">
        <v>0</v>
      </c>
      <c r="H4456" s="960">
        <v>0</v>
      </c>
      <c r="I4456" s="1291">
        <f t="shared" si="224"/>
        <v>3</v>
      </c>
      <c r="J4456" s="909" t="s">
        <v>115</v>
      </c>
      <c r="K4456" s="902"/>
      <c r="L4456" s="896"/>
      <c r="M4456" s="902"/>
      <c r="N4456" s="900" t="s">
        <v>2309</v>
      </c>
    </row>
    <row r="4457" spans="1:14" s="910" customFormat="1" ht="16.5" hidden="1" customHeight="1">
      <c r="A4457" s="896"/>
      <c r="B4457" s="980" t="s">
        <v>3003</v>
      </c>
      <c r="C4457" s="957">
        <v>1</v>
      </c>
      <c r="D4457" s="958" t="s">
        <v>273</v>
      </c>
      <c r="E4457" s="1268">
        <v>1</v>
      </c>
      <c r="F4457" s="960">
        <v>0</v>
      </c>
      <c r="G4457" s="960">
        <v>0</v>
      </c>
      <c r="H4457" s="960">
        <v>0</v>
      </c>
      <c r="I4457" s="1291">
        <f t="shared" si="224"/>
        <v>1</v>
      </c>
      <c r="J4457" s="909" t="s">
        <v>115</v>
      </c>
      <c r="K4457" s="902"/>
      <c r="L4457" s="896"/>
      <c r="M4457" s="902"/>
      <c r="N4457" s="900" t="s">
        <v>2309</v>
      </c>
    </row>
    <row r="4458" spans="1:14" s="910" customFormat="1" ht="16.5" hidden="1" customHeight="1">
      <c r="A4458" s="896"/>
      <c r="B4458" s="980"/>
      <c r="C4458" s="957"/>
      <c r="D4458" s="958"/>
      <c r="E4458" s="1268"/>
      <c r="F4458" s="960"/>
      <c r="G4458" s="960"/>
      <c r="H4458" s="960"/>
      <c r="I4458" s="1291"/>
      <c r="J4458" s="909"/>
      <c r="K4458" s="902"/>
      <c r="L4458" s="896"/>
      <c r="M4458" s="902"/>
      <c r="N4458" s="900" t="s">
        <v>2309</v>
      </c>
    </row>
    <row r="4459" spans="1:14" ht="15.75" hidden="1">
      <c r="A4459" s="896"/>
      <c r="B4459" s="902"/>
      <c r="C4459" s="917"/>
      <c r="D4459" s="918"/>
      <c r="E4459" s="919"/>
      <c r="F4459" s="920"/>
      <c r="G4459" s="921"/>
      <c r="H4459" s="896"/>
      <c r="I4459" s="1291"/>
      <c r="J4459" s="909" t="s">
        <v>115</v>
      </c>
      <c r="K4459" s="922">
        <f>'Ele Data'!I1074</f>
        <v>163.065</v>
      </c>
      <c r="L4459" s="923" t="s">
        <v>2309</v>
      </c>
      <c r="M4459" s="924">
        <f>ROUND(I4459*K4459,0)</f>
        <v>0</v>
      </c>
      <c r="N4459" s="900" t="s">
        <v>2309</v>
      </c>
    </row>
    <row r="4460" spans="1:14" ht="30.75" hidden="1" customHeight="1">
      <c r="A4460" s="896">
        <v>15</v>
      </c>
      <c r="B4460" s="1609" t="s">
        <v>950</v>
      </c>
      <c r="C4460" s="1609"/>
      <c r="D4460" s="1609"/>
      <c r="E4460" s="1609"/>
      <c r="F4460" s="1609"/>
      <c r="G4460" s="1609"/>
      <c r="H4460" s="1609"/>
      <c r="I4460" s="897"/>
      <c r="J4460" s="898"/>
      <c r="K4460" s="896"/>
      <c r="L4460" s="896"/>
      <c r="M4460" s="899"/>
      <c r="N4460" s="900" t="s">
        <v>2309</v>
      </c>
    </row>
    <row r="4461" spans="1:14" s="910" customFormat="1" ht="16.5" hidden="1" customHeight="1">
      <c r="A4461" s="896"/>
      <c r="B4461" s="902" t="s">
        <v>2350</v>
      </c>
      <c r="C4461" s="903"/>
      <c r="D4461" s="904"/>
      <c r="E4461" s="905"/>
      <c r="F4461" s="906"/>
      <c r="G4461" s="906"/>
      <c r="H4461" s="907"/>
      <c r="I4461" s="908"/>
      <c r="J4461" s="909"/>
      <c r="K4461" s="902"/>
      <c r="L4461" s="896"/>
      <c r="M4461" s="902"/>
      <c r="N4461" s="900" t="s">
        <v>2309</v>
      </c>
    </row>
    <row r="4462" spans="1:14" s="910" customFormat="1" ht="16.5" hidden="1" customHeight="1">
      <c r="A4462" s="896"/>
      <c r="B4462" s="980" t="s">
        <v>660</v>
      </c>
      <c r="C4462" s="957">
        <v>1</v>
      </c>
      <c r="D4462" s="958" t="s">
        <v>273</v>
      </c>
      <c r="E4462" s="1268">
        <v>2</v>
      </c>
      <c r="F4462" s="960">
        <v>0</v>
      </c>
      <c r="G4462" s="960">
        <v>0</v>
      </c>
      <c r="H4462" s="960">
        <v>0</v>
      </c>
      <c r="I4462" s="1291">
        <f>ROUND(IF(AND(F4462:H4462),C4462*E4462*F4462*G4462*H4462,IF(AND(F4462,G4462),C4462*E4462*F4462*G4462,IF(AND(F4462,H4462),C4462*E4462*F4462*H4462,IF(AND(G4462,H4462),C4462*E4462*G4462*H4462,IF(F4462,C4462*E4462*F4462,IF(G4462,C4462*E4462*G4462,IF(H4462,C4462*E4462*H4462,C4462*E4462))))))),2)</f>
        <v>2</v>
      </c>
      <c r="J4462" s="909" t="s">
        <v>115</v>
      </c>
      <c r="K4462" s="902"/>
      <c r="L4462" s="896"/>
      <c r="M4462" s="902"/>
      <c r="N4462" s="900" t="s">
        <v>2309</v>
      </c>
    </row>
    <row r="4463" spans="1:14" s="910" customFormat="1" ht="16.5" hidden="1" customHeight="1">
      <c r="A4463" s="896"/>
      <c r="B4463" s="980" t="s">
        <v>650</v>
      </c>
      <c r="C4463" s="957">
        <v>1</v>
      </c>
      <c r="D4463" s="958" t="s">
        <v>273</v>
      </c>
      <c r="E4463" s="1268">
        <v>1</v>
      </c>
      <c r="F4463" s="960">
        <v>0</v>
      </c>
      <c r="G4463" s="960">
        <v>0</v>
      </c>
      <c r="H4463" s="960">
        <v>0</v>
      </c>
      <c r="I4463" s="1291">
        <f>ROUND(IF(AND(F4463:H4463),C4463*E4463*F4463*G4463*H4463,IF(AND(F4463,G4463),C4463*E4463*F4463*G4463,IF(AND(F4463,H4463),C4463*E4463*F4463*H4463,IF(AND(G4463,H4463),C4463*E4463*G4463*H4463,IF(F4463,C4463*E4463*F4463,IF(G4463,C4463*E4463*G4463,IF(H4463,C4463*E4463*H4463,C4463*E4463))))))),2)</f>
        <v>1</v>
      </c>
      <c r="J4463" s="909" t="s">
        <v>115</v>
      </c>
      <c r="K4463" s="902"/>
      <c r="L4463" s="896"/>
      <c r="M4463" s="902"/>
      <c r="N4463" s="900" t="s">
        <v>2309</v>
      </c>
    </row>
    <row r="4464" spans="1:14" s="910" customFormat="1" ht="16.5" hidden="1" customHeight="1">
      <c r="A4464" s="896"/>
      <c r="B4464" s="980" t="s">
        <v>1170</v>
      </c>
      <c r="C4464" s="957">
        <v>1</v>
      </c>
      <c r="D4464" s="958" t="s">
        <v>273</v>
      </c>
      <c r="E4464" s="1268">
        <v>1</v>
      </c>
      <c r="F4464" s="960">
        <v>0</v>
      </c>
      <c r="G4464" s="960">
        <v>0</v>
      </c>
      <c r="H4464" s="960">
        <v>0</v>
      </c>
      <c r="I4464" s="1291">
        <f>ROUND(IF(AND(F4464:H4464),C4464*E4464*F4464*G4464*H4464,IF(AND(F4464,G4464),C4464*E4464*F4464*G4464,IF(AND(F4464,H4464),C4464*E4464*F4464*H4464,IF(AND(G4464,H4464),C4464*E4464*G4464*H4464,IF(F4464,C4464*E4464*F4464,IF(G4464,C4464*E4464*G4464,IF(H4464,C4464*E4464*H4464,C4464*E4464))))))),2)</f>
        <v>1</v>
      </c>
      <c r="J4464" s="909" t="s">
        <v>115</v>
      </c>
      <c r="K4464" s="902"/>
      <c r="L4464" s="896"/>
      <c r="M4464" s="902"/>
      <c r="N4464" s="900" t="s">
        <v>2309</v>
      </c>
    </row>
    <row r="4465" spans="1:14" s="910" customFormat="1" ht="16.5" hidden="1" customHeight="1">
      <c r="A4465" s="896"/>
      <c r="B4465" s="980"/>
      <c r="C4465" s="957"/>
      <c r="D4465" s="958"/>
      <c r="E4465" s="1268"/>
      <c r="F4465" s="960"/>
      <c r="G4465" s="960"/>
      <c r="H4465" s="960"/>
      <c r="I4465" s="1291"/>
      <c r="J4465" s="909"/>
      <c r="K4465" s="902"/>
      <c r="L4465" s="896"/>
      <c r="M4465" s="902"/>
      <c r="N4465" s="900" t="s">
        <v>2309</v>
      </c>
    </row>
    <row r="4466" spans="1:14" ht="15.75" hidden="1">
      <c r="A4466" s="896"/>
      <c r="B4466" s="902"/>
      <c r="C4466" s="917"/>
      <c r="D4466" s="918"/>
      <c r="E4466" s="919"/>
      <c r="F4466" s="920"/>
      <c r="G4466" s="921"/>
      <c r="H4466" s="896"/>
      <c r="I4466" s="1291"/>
      <c r="J4466" s="909" t="s">
        <v>115</v>
      </c>
      <c r="K4466" s="922">
        <f>'Ele Data'!I1080</f>
        <v>161.5</v>
      </c>
      <c r="L4466" s="923" t="s">
        <v>2309</v>
      </c>
      <c r="M4466" s="924">
        <f>ROUND(I4466*K4466,0)</f>
        <v>0</v>
      </c>
      <c r="N4466" s="900" t="s">
        <v>2309</v>
      </c>
    </row>
    <row r="4467" spans="1:14" ht="41.25" hidden="1" customHeight="1">
      <c r="A4467" s="896">
        <v>41</v>
      </c>
      <c r="B4467" s="1609" t="s">
        <v>442</v>
      </c>
      <c r="C4467" s="1609"/>
      <c r="D4467" s="1609"/>
      <c r="E4467" s="1609"/>
      <c r="F4467" s="1609"/>
      <c r="G4467" s="1609"/>
      <c r="H4467" s="1609"/>
      <c r="I4467" s="897"/>
      <c r="J4467" s="898"/>
      <c r="K4467" s="896"/>
      <c r="L4467" s="896"/>
      <c r="M4467" s="899"/>
      <c r="N4467" s="900" t="s">
        <v>2309</v>
      </c>
    </row>
    <row r="4468" spans="1:14" s="910" customFormat="1" ht="16.5" hidden="1" customHeight="1">
      <c r="A4468" s="896"/>
      <c r="B4468" s="902" t="s">
        <v>3280</v>
      </c>
      <c r="C4468" s="903"/>
      <c r="D4468" s="904"/>
      <c r="E4468" s="905"/>
      <c r="F4468" s="906"/>
      <c r="G4468" s="906"/>
      <c r="H4468" s="907"/>
      <c r="I4468" s="908"/>
      <c r="J4468" s="909"/>
      <c r="K4468" s="902"/>
      <c r="L4468" s="896"/>
      <c r="M4468" s="902"/>
      <c r="N4468" s="900" t="s">
        <v>2309</v>
      </c>
    </row>
    <row r="4469" spans="1:14" s="910" customFormat="1" ht="16.5" hidden="1" customHeight="1">
      <c r="A4469" s="896"/>
      <c r="B4469" s="980"/>
      <c r="C4469" s="912">
        <v>1</v>
      </c>
      <c r="D4469" s="913" t="s">
        <v>273</v>
      </c>
      <c r="E4469" s="914">
        <v>7</v>
      </c>
      <c r="F4469" s="915">
        <v>0</v>
      </c>
      <c r="G4469" s="915">
        <v>0</v>
      </c>
      <c r="H4469" s="915">
        <v>0</v>
      </c>
      <c r="I4469" s="1291">
        <f>ROUND(IF(AND(F4469:H4469),C4469*E4469*F4469*G4469*H4469,IF(AND(F4469,G4469),C4469*E4469*F4469*G4469,IF(AND(F4469,H4469),C4469*E4469*F4469*H4469,IF(AND(G4469,H4469),C4469*E4469*G4469*H4469,IF(F4469,C4469*E4469*F4469,IF(G4469,C4469*E4469*G4469,IF(H4469,C4469*E4469*H4469,C4469*E4469))))))),2)</f>
        <v>7</v>
      </c>
      <c r="J4469" s="909" t="s">
        <v>115</v>
      </c>
      <c r="K4469" s="902"/>
      <c r="L4469" s="896"/>
      <c r="M4469" s="902"/>
      <c r="N4469" s="900" t="s">
        <v>2309</v>
      </c>
    </row>
    <row r="4470" spans="1:14" s="910" customFormat="1" ht="16.5" hidden="1" customHeight="1">
      <c r="A4470" s="896"/>
      <c r="B4470" s="980"/>
      <c r="C4470" s="957"/>
      <c r="D4470" s="958"/>
      <c r="E4470" s="1268"/>
      <c r="F4470" s="960"/>
      <c r="G4470" s="960"/>
      <c r="H4470" s="960"/>
      <c r="I4470" s="1291"/>
      <c r="J4470" s="909"/>
      <c r="K4470" s="902"/>
      <c r="L4470" s="896"/>
      <c r="M4470" s="902"/>
      <c r="N4470" s="900" t="s">
        <v>2309</v>
      </c>
    </row>
    <row r="4471" spans="1:14" ht="15.75" hidden="1">
      <c r="A4471" s="896"/>
      <c r="B4471" s="902"/>
      <c r="C4471" s="917"/>
      <c r="D4471" s="918"/>
      <c r="E4471" s="919"/>
      <c r="F4471" s="920"/>
      <c r="G4471" s="921"/>
      <c r="H4471" s="896"/>
      <c r="I4471" s="1291"/>
      <c r="J4471" s="909" t="s">
        <v>115</v>
      </c>
      <c r="K4471" s="922">
        <f>'Ele Data'!I1093</f>
        <v>406.44</v>
      </c>
      <c r="L4471" s="923" t="s">
        <v>2309</v>
      </c>
      <c r="M4471" s="924">
        <f>ROUND(I4471*K4471,0)</f>
        <v>0</v>
      </c>
      <c r="N4471" s="900" t="s">
        <v>2309</v>
      </c>
    </row>
    <row r="4472" spans="1:14" ht="66.75" hidden="1" customHeight="1">
      <c r="A4472" s="896">
        <v>23</v>
      </c>
      <c r="B4472" s="1609" t="s">
        <v>2090</v>
      </c>
      <c r="C4472" s="1609"/>
      <c r="D4472" s="1609"/>
      <c r="E4472" s="1609"/>
      <c r="F4472" s="1609"/>
      <c r="G4472" s="1609"/>
      <c r="H4472" s="1609"/>
      <c r="I4472" s="897"/>
      <c r="J4472" s="898"/>
      <c r="K4472" s="896"/>
      <c r="L4472" s="896"/>
      <c r="M4472" s="899"/>
      <c r="N4472" s="900" t="s">
        <v>2309</v>
      </c>
    </row>
    <row r="4473" spans="1:14" s="910" customFormat="1" ht="16.5" hidden="1" customHeight="1">
      <c r="A4473" s="896"/>
      <c r="B4473" s="902" t="s">
        <v>3006</v>
      </c>
      <c r="C4473" s="903"/>
      <c r="D4473" s="904"/>
      <c r="E4473" s="905"/>
      <c r="F4473" s="906"/>
      <c r="G4473" s="906"/>
      <c r="H4473" s="907"/>
      <c r="I4473" s="908"/>
      <c r="J4473" s="909"/>
      <c r="K4473" s="902"/>
      <c r="L4473" s="896"/>
      <c r="M4473" s="902"/>
      <c r="N4473" s="900" t="s">
        <v>2309</v>
      </c>
    </row>
    <row r="4474" spans="1:14" s="910" customFormat="1" ht="16.5" hidden="1" customHeight="1">
      <c r="A4474" s="896"/>
      <c r="B4474" s="980"/>
      <c r="C4474" s="957">
        <v>1</v>
      </c>
      <c r="D4474" s="958" t="s">
        <v>273</v>
      </c>
      <c r="E4474" s="1268">
        <v>1</v>
      </c>
      <c r="F4474" s="960">
        <v>0</v>
      </c>
      <c r="G4474" s="960">
        <v>0</v>
      </c>
      <c r="H4474" s="960">
        <v>0</v>
      </c>
      <c r="I4474" s="1291">
        <f>ROUND(IF(AND(F4474:H4474),C4474*E4474*F4474*G4474*H4474,IF(AND(F4474,G4474),C4474*E4474*F4474*G4474,IF(AND(F4474,H4474),C4474*E4474*F4474*H4474,IF(AND(G4474,H4474),C4474*E4474*G4474*H4474,IF(F4474,C4474*E4474*F4474,IF(G4474,C4474*E4474*G4474,IF(H4474,C4474*E4474*H4474,C4474*E4474))))))),2)</f>
        <v>1</v>
      </c>
      <c r="J4474" s="909" t="s">
        <v>115</v>
      </c>
      <c r="K4474" s="902"/>
      <c r="L4474" s="896"/>
      <c r="M4474" s="902"/>
      <c r="N4474" s="900" t="s">
        <v>2309</v>
      </c>
    </row>
    <row r="4475" spans="1:14" s="910" customFormat="1" ht="16.5" hidden="1" customHeight="1">
      <c r="A4475" s="896"/>
      <c r="B4475" s="980"/>
      <c r="C4475" s="957"/>
      <c r="D4475" s="958"/>
      <c r="E4475" s="1268"/>
      <c r="F4475" s="960"/>
      <c r="G4475" s="960"/>
      <c r="H4475" s="960"/>
      <c r="I4475" s="1291"/>
      <c r="J4475" s="909"/>
      <c r="K4475" s="902"/>
      <c r="L4475" s="896"/>
      <c r="M4475" s="902"/>
      <c r="N4475" s="900" t="s">
        <v>2309</v>
      </c>
    </row>
    <row r="4476" spans="1:14" ht="15.75" hidden="1">
      <c r="A4476" s="896"/>
      <c r="B4476" s="902"/>
      <c r="C4476" s="917"/>
      <c r="D4476" s="918"/>
      <c r="E4476" s="919"/>
      <c r="F4476" s="920"/>
      <c r="G4476" s="921"/>
      <c r="H4476" s="896"/>
      <c r="I4476" s="1291"/>
      <c r="J4476" s="909" t="s">
        <v>115</v>
      </c>
      <c r="K4476" s="922">
        <f>'Ele Data'!I1136</f>
        <v>1822</v>
      </c>
      <c r="L4476" s="923" t="s">
        <v>2309</v>
      </c>
      <c r="M4476" s="924">
        <f>ROUND(I4476*K4476,0)</f>
        <v>0</v>
      </c>
      <c r="N4476" s="900" t="s">
        <v>2309</v>
      </c>
    </row>
    <row r="4477" spans="1:14" ht="110.25" hidden="1" customHeight="1">
      <c r="A4477" s="896">
        <v>23</v>
      </c>
      <c r="B4477" s="1609" t="s">
        <v>2254</v>
      </c>
      <c r="C4477" s="1609"/>
      <c r="D4477" s="1609"/>
      <c r="E4477" s="1609"/>
      <c r="F4477" s="1609"/>
      <c r="G4477" s="1609"/>
      <c r="H4477" s="1609"/>
      <c r="I4477" s="897"/>
      <c r="J4477" s="898"/>
      <c r="K4477" s="896"/>
      <c r="L4477" s="896"/>
      <c r="M4477" s="899"/>
      <c r="N4477" s="900" t="s">
        <v>2309</v>
      </c>
    </row>
    <row r="4478" spans="1:14" s="910" customFormat="1" ht="16.5" hidden="1" customHeight="1">
      <c r="A4478" s="896"/>
      <c r="B4478" s="902" t="s">
        <v>2100</v>
      </c>
      <c r="C4478" s="903"/>
      <c r="D4478" s="904"/>
      <c r="E4478" s="905"/>
      <c r="F4478" s="906"/>
      <c r="G4478" s="906"/>
      <c r="H4478" s="907"/>
      <c r="I4478" s="908"/>
      <c r="J4478" s="909"/>
      <c r="K4478" s="902"/>
      <c r="L4478" s="896"/>
      <c r="M4478" s="902"/>
      <c r="N4478" s="900" t="s">
        <v>2309</v>
      </c>
    </row>
    <row r="4479" spans="1:14" s="910" customFormat="1" ht="16.5" hidden="1" customHeight="1">
      <c r="A4479" s="896"/>
      <c r="B4479" s="980"/>
      <c r="C4479" s="957">
        <v>1</v>
      </c>
      <c r="D4479" s="958" t="s">
        <v>273</v>
      </c>
      <c r="E4479" s="1268">
        <v>1</v>
      </c>
      <c r="F4479" s="960">
        <v>0</v>
      </c>
      <c r="G4479" s="960">
        <v>0</v>
      </c>
      <c r="H4479" s="960">
        <v>0</v>
      </c>
      <c r="I4479" s="1291">
        <f>ROUND(IF(AND(F4479:H4479),C4479*E4479*F4479*G4479*H4479,IF(AND(F4479,G4479),C4479*E4479*F4479*G4479,IF(AND(F4479,H4479),C4479*E4479*F4479*H4479,IF(AND(G4479,H4479),C4479*E4479*G4479*H4479,IF(F4479,C4479*E4479*F4479,IF(G4479,C4479*E4479*G4479,IF(H4479,C4479*E4479*H4479,C4479*E4479))))))),2)</f>
        <v>1</v>
      </c>
      <c r="J4479" s="909" t="s">
        <v>115</v>
      </c>
      <c r="K4479" s="902"/>
      <c r="L4479" s="896"/>
      <c r="M4479" s="902"/>
      <c r="N4479" s="900" t="s">
        <v>2309</v>
      </c>
    </row>
    <row r="4480" spans="1:14" s="910" customFormat="1" ht="16.5" hidden="1" customHeight="1">
      <c r="A4480" s="896"/>
      <c r="B4480" s="980"/>
      <c r="C4480" s="957"/>
      <c r="D4480" s="958"/>
      <c r="E4480" s="1268"/>
      <c r="F4480" s="960"/>
      <c r="G4480" s="960"/>
      <c r="H4480" s="960"/>
      <c r="I4480" s="1291"/>
      <c r="J4480" s="909"/>
      <c r="K4480" s="902"/>
      <c r="L4480" s="896"/>
      <c r="M4480" s="902"/>
      <c r="N4480" s="900" t="s">
        <v>2309</v>
      </c>
    </row>
    <row r="4481" spans="1:14" ht="15.75" hidden="1">
      <c r="A4481" s="896"/>
      <c r="B4481" s="902"/>
      <c r="C4481" s="917"/>
      <c r="D4481" s="918"/>
      <c r="E4481" s="919"/>
      <c r="F4481" s="920"/>
      <c r="G4481" s="921"/>
      <c r="H4481" s="896"/>
      <c r="I4481" s="1291"/>
      <c r="J4481" s="909" t="s">
        <v>115</v>
      </c>
      <c r="K4481" s="922">
        <f>'Ele Data'!I1139</f>
        <v>5428</v>
      </c>
      <c r="L4481" s="923" t="s">
        <v>2309</v>
      </c>
      <c r="M4481" s="924">
        <f>ROUND(I4481*K4481,0)</f>
        <v>0</v>
      </c>
      <c r="N4481" s="900" t="s">
        <v>2309</v>
      </c>
    </row>
    <row r="4482" spans="1:14" ht="43.5" hidden="1" customHeight="1">
      <c r="A4482" s="896">
        <v>16</v>
      </c>
      <c r="B4482" s="1609" t="s">
        <v>794</v>
      </c>
      <c r="C4482" s="1609"/>
      <c r="D4482" s="1609"/>
      <c r="E4482" s="1609"/>
      <c r="F4482" s="1609"/>
      <c r="G4482" s="1609"/>
      <c r="H4482" s="1609"/>
      <c r="I4482" s="897"/>
      <c r="J4482" s="898"/>
      <c r="K4482" s="896"/>
      <c r="L4482" s="896"/>
      <c r="M4482" s="899"/>
      <c r="N4482" s="900" t="s">
        <v>2309</v>
      </c>
    </row>
    <row r="4483" spans="1:14" s="910" customFormat="1" ht="16.5" hidden="1" customHeight="1">
      <c r="A4483" s="896"/>
      <c r="B4483" s="980" t="s">
        <v>424</v>
      </c>
      <c r="C4483" s="903"/>
      <c r="D4483" s="904"/>
      <c r="E4483" s="905"/>
      <c r="F4483" s="906"/>
      <c r="G4483" s="906"/>
      <c r="H4483" s="907"/>
      <c r="I4483" s="908"/>
      <c r="J4483" s="909"/>
      <c r="K4483" s="902"/>
      <c r="L4483" s="896"/>
      <c r="M4483" s="902"/>
      <c r="N4483" s="900" t="s">
        <v>2309</v>
      </c>
    </row>
    <row r="4484" spans="1:14" s="910" customFormat="1" ht="16.5" hidden="1" customHeight="1">
      <c r="A4484" s="896"/>
      <c r="B4484" s="980"/>
      <c r="C4484" s="957">
        <v>1</v>
      </c>
      <c r="D4484" s="958" t="s">
        <v>273</v>
      </c>
      <c r="E4484" s="1268">
        <v>1</v>
      </c>
      <c r="F4484" s="960">
        <v>0</v>
      </c>
      <c r="G4484" s="960">
        <v>0</v>
      </c>
      <c r="H4484" s="960">
        <v>0</v>
      </c>
      <c r="I4484" s="1291">
        <f>ROUND(IF(AND(F4484:H4484),C4484*E4484*F4484*G4484*H4484,IF(AND(F4484,G4484),C4484*E4484*F4484*G4484,IF(AND(F4484,H4484),C4484*E4484*F4484*H4484,IF(AND(G4484,H4484),C4484*E4484*G4484*H4484,IF(F4484,C4484*E4484*F4484,IF(G4484,C4484*E4484*G4484,IF(H4484,C4484*E4484*H4484,C4484*E4484))))))),2)</f>
        <v>1</v>
      </c>
      <c r="J4484" s="909" t="s">
        <v>115</v>
      </c>
      <c r="K4484" s="902"/>
      <c r="L4484" s="896"/>
      <c r="M4484" s="902"/>
      <c r="N4484" s="900" t="s">
        <v>2309</v>
      </c>
    </row>
    <row r="4485" spans="1:14" s="910" customFormat="1" ht="16.5" hidden="1" customHeight="1">
      <c r="A4485" s="896"/>
      <c r="B4485" s="980"/>
      <c r="C4485" s="957"/>
      <c r="D4485" s="958"/>
      <c r="E4485" s="1268"/>
      <c r="F4485" s="960"/>
      <c r="G4485" s="960"/>
      <c r="H4485" s="960"/>
      <c r="I4485" s="1291"/>
      <c r="J4485" s="909"/>
      <c r="K4485" s="902"/>
      <c r="L4485" s="896"/>
      <c r="M4485" s="902"/>
      <c r="N4485" s="900" t="s">
        <v>2309</v>
      </c>
    </row>
    <row r="4486" spans="1:14" ht="15.75" hidden="1">
      <c r="A4486" s="896"/>
      <c r="B4486" s="902"/>
      <c r="C4486" s="917"/>
      <c r="D4486" s="918"/>
      <c r="E4486" s="919"/>
      <c r="F4486" s="920"/>
      <c r="G4486" s="921"/>
      <c r="H4486" s="896"/>
      <c r="I4486" s="1291"/>
      <c r="J4486" s="909" t="s">
        <v>115</v>
      </c>
      <c r="K4486" s="922">
        <f>'Ele Data'!I936</f>
        <v>1634</v>
      </c>
      <c r="L4486" s="923" t="s">
        <v>2309</v>
      </c>
      <c r="M4486" s="924">
        <f>ROUND(I4486*K4486,0)</f>
        <v>0</v>
      </c>
      <c r="N4486" s="900" t="s">
        <v>2309</v>
      </c>
    </row>
    <row r="4487" spans="1:14" ht="66" hidden="1" customHeight="1">
      <c r="A4487" s="896">
        <v>42</v>
      </c>
      <c r="B4487" s="1609" t="s">
        <v>698</v>
      </c>
      <c r="C4487" s="1609"/>
      <c r="D4487" s="1609"/>
      <c r="E4487" s="1609"/>
      <c r="F4487" s="1609"/>
      <c r="G4487" s="1609"/>
      <c r="H4487" s="1609"/>
      <c r="I4487" s="897"/>
      <c r="J4487" s="898"/>
      <c r="K4487" s="896"/>
      <c r="L4487" s="896"/>
      <c r="M4487" s="899"/>
      <c r="N4487" s="900" t="s">
        <v>2309</v>
      </c>
    </row>
    <row r="4488" spans="1:14" s="910" customFormat="1" ht="16.5" hidden="1" customHeight="1">
      <c r="A4488" s="896"/>
      <c r="B4488" s="902" t="s">
        <v>3280</v>
      </c>
      <c r="C4488" s="903"/>
      <c r="D4488" s="904"/>
      <c r="E4488" s="905"/>
      <c r="F4488" s="906"/>
      <c r="G4488" s="906"/>
      <c r="H4488" s="907"/>
      <c r="I4488" s="908"/>
      <c r="J4488" s="909"/>
      <c r="K4488" s="902"/>
      <c r="L4488" s="896"/>
      <c r="M4488" s="902"/>
      <c r="N4488" s="900" t="s">
        <v>2309</v>
      </c>
    </row>
    <row r="4489" spans="1:14" s="910" customFormat="1" ht="16.5" hidden="1" customHeight="1">
      <c r="A4489" s="896"/>
      <c r="B4489" s="980"/>
      <c r="C4489" s="957">
        <v>1</v>
      </c>
      <c r="D4489" s="958" t="s">
        <v>273</v>
      </c>
      <c r="E4489" s="1268">
        <v>1</v>
      </c>
      <c r="F4489" s="960">
        <v>0</v>
      </c>
      <c r="G4489" s="960">
        <v>0</v>
      </c>
      <c r="H4489" s="960">
        <v>0</v>
      </c>
      <c r="I4489" s="1291">
        <f>ROUND(IF(AND(F4489:H4489),C4489*E4489*F4489*G4489*H4489,IF(AND(F4489,G4489),C4489*E4489*F4489*G4489,IF(AND(F4489,H4489),C4489*E4489*F4489*H4489,IF(AND(G4489,H4489),C4489*E4489*G4489*H4489,IF(F4489,C4489*E4489*F4489,IF(G4489,C4489*E4489*G4489,IF(H4489,C4489*E4489*H4489,C4489*E4489))))))),2)</f>
        <v>1</v>
      </c>
      <c r="J4489" s="909" t="s">
        <v>115</v>
      </c>
      <c r="K4489" s="902"/>
      <c r="L4489" s="896"/>
      <c r="M4489" s="902"/>
      <c r="N4489" s="900" t="s">
        <v>2309</v>
      </c>
    </row>
    <row r="4490" spans="1:14" s="910" customFormat="1" ht="16.5" hidden="1" customHeight="1">
      <c r="A4490" s="896"/>
      <c r="B4490" s="980"/>
      <c r="C4490" s="957"/>
      <c r="D4490" s="958"/>
      <c r="E4490" s="1268"/>
      <c r="F4490" s="960"/>
      <c r="G4490" s="960"/>
      <c r="H4490" s="960"/>
      <c r="I4490" s="916"/>
      <c r="J4490" s="909"/>
      <c r="K4490" s="902"/>
      <c r="L4490" s="896"/>
      <c r="M4490" s="902"/>
      <c r="N4490" s="900" t="s">
        <v>2309</v>
      </c>
    </row>
    <row r="4491" spans="1:14" ht="15.75" hidden="1">
      <c r="A4491" s="896"/>
      <c r="B4491" s="902"/>
      <c r="C4491" s="917"/>
      <c r="D4491" s="918"/>
      <c r="E4491" s="919"/>
      <c r="F4491" s="920"/>
      <c r="G4491" s="921"/>
      <c r="H4491" s="896"/>
      <c r="I4491" s="1291"/>
      <c r="J4491" s="909" t="s">
        <v>115</v>
      </c>
      <c r="K4491" s="922">
        <f>'Ele Data'!I1104</f>
        <v>3662</v>
      </c>
      <c r="L4491" s="923" t="s">
        <v>2309</v>
      </c>
      <c r="M4491" s="924">
        <f>ROUND(I4491*K4491,0)</f>
        <v>0</v>
      </c>
      <c r="N4491" s="900" t="s">
        <v>2309</v>
      </c>
    </row>
    <row r="4492" spans="1:14" ht="44.25" hidden="1" customHeight="1">
      <c r="A4492" s="896">
        <v>43</v>
      </c>
      <c r="B4492" s="1609" t="s">
        <v>941</v>
      </c>
      <c r="C4492" s="1609"/>
      <c r="D4492" s="1609"/>
      <c r="E4492" s="1609"/>
      <c r="F4492" s="1609"/>
      <c r="G4492" s="1609"/>
      <c r="H4492" s="1609"/>
      <c r="I4492" s="897"/>
      <c r="J4492" s="898"/>
      <c r="K4492" s="896"/>
      <c r="L4492" s="896"/>
      <c r="M4492" s="899"/>
      <c r="N4492" s="900" t="s">
        <v>2309</v>
      </c>
    </row>
    <row r="4493" spans="1:14" s="910" customFormat="1" ht="16.5" hidden="1" customHeight="1">
      <c r="A4493" s="896"/>
      <c r="B4493" s="902" t="s">
        <v>3281</v>
      </c>
      <c r="C4493" s="903"/>
      <c r="D4493" s="904"/>
      <c r="E4493" s="905"/>
      <c r="F4493" s="906"/>
      <c r="G4493" s="906"/>
      <c r="H4493" s="907"/>
      <c r="I4493" s="908"/>
      <c r="J4493" s="909"/>
      <c r="K4493" s="902"/>
      <c r="L4493" s="896"/>
      <c r="M4493" s="902"/>
      <c r="N4493" s="900" t="s">
        <v>2309</v>
      </c>
    </row>
    <row r="4494" spans="1:14" s="910" customFormat="1" ht="16.5" hidden="1" customHeight="1">
      <c r="A4494" s="896"/>
      <c r="B4494" s="980"/>
      <c r="C4494" s="957">
        <v>1</v>
      </c>
      <c r="D4494" s="958" t="s">
        <v>273</v>
      </c>
      <c r="E4494" s="1268">
        <v>1</v>
      </c>
      <c r="F4494" s="960">
        <v>0</v>
      </c>
      <c r="G4494" s="960">
        <v>0</v>
      </c>
      <c r="H4494" s="960">
        <v>0</v>
      </c>
      <c r="I4494" s="1291">
        <f>ROUND(IF(AND(F4494:H4494),C4494*E4494*F4494*G4494*H4494,IF(AND(F4494,G4494),C4494*E4494*F4494*G4494,IF(AND(F4494,H4494),C4494*E4494*F4494*H4494,IF(AND(G4494,H4494),C4494*E4494*G4494*H4494,IF(F4494,C4494*E4494*F4494,IF(G4494,C4494*E4494*G4494,IF(H4494,C4494*E4494*H4494,C4494*E4494))))))),2)</f>
        <v>1</v>
      </c>
      <c r="J4494" s="909" t="s">
        <v>115</v>
      </c>
      <c r="K4494" s="902"/>
      <c r="L4494" s="896"/>
      <c r="M4494" s="902"/>
      <c r="N4494" s="900" t="s">
        <v>2309</v>
      </c>
    </row>
    <row r="4495" spans="1:14" s="910" customFormat="1" ht="16.5" hidden="1" customHeight="1">
      <c r="A4495" s="896"/>
      <c r="B4495" s="980"/>
      <c r="C4495" s="957"/>
      <c r="D4495" s="958"/>
      <c r="E4495" s="1268"/>
      <c r="F4495" s="960"/>
      <c r="G4495" s="960"/>
      <c r="H4495" s="960"/>
      <c r="I4495" s="916"/>
      <c r="J4495" s="909"/>
      <c r="K4495" s="902"/>
      <c r="L4495" s="896"/>
      <c r="M4495" s="902"/>
      <c r="N4495" s="900" t="s">
        <v>2309</v>
      </c>
    </row>
    <row r="4496" spans="1:14" ht="15.75" hidden="1">
      <c r="A4496" s="896"/>
      <c r="B4496" s="902"/>
      <c r="C4496" s="917"/>
      <c r="D4496" s="918"/>
      <c r="E4496" s="919"/>
      <c r="F4496" s="920"/>
      <c r="G4496" s="921"/>
      <c r="H4496" s="896"/>
      <c r="I4496" s="1291"/>
      <c r="J4496" s="909" t="s">
        <v>115</v>
      </c>
      <c r="K4496" s="922">
        <f>'Ele Data'!I1114</f>
        <v>1089.96</v>
      </c>
      <c r="L4496" s="923" t="s">
        <v>2309</v>
      </c>
      <c r="M4496" s="924">
        <f>ROUND(I4496*K4496,0)</f>
        <v>0</v>
      </c>
      <c r="N4496" s="900" t="s">
        <v>2309</v>
      </c>
    </row>
    <row r="4497" spans="1:15" ht="78" hidden="1" customHeight="1">
      <c r="A4497" s="896">
        <v>41</v>
      </c>
      <c r="B4497" s="1609" t="s">
        <v>450</v>
      </c>
      <c r="C4497" s="1609"/>
      <c r="D4497" s="1609"/>
      <c r="E4497" s="1609"/>
      <c r="F4497" s="1609"/>
      <c r="G4497" s="1609"/>
      <c r="H4497" s="1609"/>
      <c r="I4497" s="897"/>
      <c r="J4497" s="898"/>
      <c r="K4497" s="896"/>
      <c r="L4497" s="896"/>
      <c r="M4497" s="899"/>
      <c r="N4497" s="900" t="s">
        <v>2309</v>
      </c>
    </row>
    <row r="4498" spans="1:15" s="910" customFormat="1" ht="16.5" hidden="1" customHeight="1">
      <c r="A4498" s="896"/>
      <c r="B4498" s="902" t="s">
        <v>3586</v>
      </c>
      <c r="C4498" s="903"/>
      <c r="D4498" s="1280" t="s">
        <v>3256</v>
      </c>
      <c r="E4498" s="905"/>
      <c r="F4498" s="906"/>
      <c r="G4498" s="906"/>
      <c r="H4498" s="907"/>
      <c r="I4498" s="908"/>
      <c r="J4498" s="909"/>
      <c r="K4498" s="902"/>
      <c r="L4498" s="896"/>
      <c r="M4498" s="902"/>
      <c r="N4498" s="900" t="s">
        <v>2309</v>
      </c>
    </row>
    <row r="4499" spans="1:15" s="910" customFormat="1" ht="16.5" hidden="1" customHeight="1">
      <c r="A4499" s="896"/>
      <c r="B4499" s="980"/>
      <c r="C4499" s="957">
        <v>1</v>
      </c>
      <c r="D4499" s="958" t="s">
        <v>273</v>
      </c>
      <c r="E4499" s="1268">
        <v>1</v>
      </c>
      <c r="F4499" s="960">
        <v>0</v>
      </c>
      <c r="G4499" s="960">
        <v>0</v>
      </c>
      <c r="H4499" s="960">
        <v>0</v>
      </c>
      <c r="I4499" s="1291">
        <f>ROUND(IF(AND(F4499:H4499),C4499*E4499*F4499*G4499*H4499,IF(AND(F4499,G4499),C4499*E4499*F4499*G4499,IF(AND(F4499,H4499),C4499*E4499*F4499*H4499,IF(AND(G4499,H4499),C4499*E4499*G4499*H4499,IF(F4499,C4499*E4499*F4499,IF(G4499,C4499*E4499*G4499,IF(H4499,C4499*E4499*H4499,C4499*E4499))))))),2)</f>
        <v>1</v>
      </c>
      <c r="J4499" s="909" t="s">
        <v>115</v>
      </c>
      <c r="K4499" s="902"/>
      <c r="L4499" s="896"/>
      <c r="M4499" s="902"/>
      <c r="N4499" s="900" t="s">
        <v>2309</v>
      </c>
    </row>
    <row r="4500" spans="1:15" s="910" customFormat="1" ht="16.5" hidden="1" customHeight="1">
      <c r="A4500" s="896"/>
      <c r="B4500" s="980"/>
      <c r="C4500" s="957"/>
      <c r="D4500" s="958"/>
      <c r="E4500" s="1268"/>
      <c r="F4500" s="960"/>
      <c r="G4500" s="960"/>
      <c r="H4500" s="960"/>
      <c r="I4500" s="1291"/>
      <c r="J4500" s="909"/>
      <c r="K4500" s="902"/>
      <c r="L4500" s="896"/>
      <c r="M4500" s="902"/>
      <c r="N4500" s="900" t="s">
        <v>2309</v>
      </c>
    </row>
    <row r="4501" spans="1:15" ht="15.75" hidden="1">
      <c r="A4501" s="896"/>
      <c r="B4501" s="902"/>
      <c r="C4501" s="917"/>
      <c r="D4501" s="918"/>
      <c r="E4501" s="919"/>
      <c r="F4501" s="920"/>
      <c r="G4501" s="921"/>
      <c r="H4501" s="896"/>
      <c r="I4501" s="1291"/>
      <c r="J4501" s="909" t="s">
        <v>115</v>
      </c>
      <c r="K4501" s="922">
        <f>'Ele Data'!I1133</f>
        <v>4142.4250000000002</v>
      </c>
      <c r="L4501" s="923" t="s">
        <v>2309</v>
      </c>
      <c r="M4501" s="924">
        <f>ROUND(I4501*K4501,0)</f>
        <v>0</v>
      </c>
      <c r="N4501" s="900" t="s">
        <v>2309</v>
      </c>
    </row>
    <row r="4502" spans="1:15" s="1403" customFormat="1" ht="24" customHeight="1">
      <c r="A4502" s="1397">
        <v>31</v>
      </c>
      <c r="B4502" s="1610" t="s">
        <v>1454</v>
      </c>
      <c r="C4502" s="1610"/>
      <c r="D4502" s="1610"/>
      <c r="E4502" s="1610"/>
      <c r="F4502" s="1610"/>
      <c r="G4502" s="1610"/>
      <c r="H4502" s="1610"/>
      <c r="I4502" s="1398"/>
      <c r="J4502" s="1399"/>
      <c r="K4502" s="1397"/>
      <c r="L4502" s="1400"/>
      <c r="M4502" s="1466">
        <f>'Differ- Material'!F120</f>
        <v>64528</v>
      </c>
    </row>
    <row r="4503" spans="1:15" s="1403" customFormat="1" ht="24" customHeight="1">
      <c r="A4503" s="1397">
        <v>32</v>
      </c>
      <c r="B4503" s="1610" t="s">
        <v>2509</v>
      </c>
      <c r="C4503" s="1610"/>
      <c r="D4503" s="1610"/>
      <c r="E4503" s="1610"/>
      <c r="F4503" s="1610"/>
      <c r="G4503" s="1610"/>
      <c r="H4503" s="1610"/>
      <c r="I4503" s="1398"/>
      <c r="J4503" s="1399"/>
      <c r="K4503" s="1397"/>
      <c r="L4503" s="1400"/>
      <c r="M4503" s="1467">
        <f>'Differ- Material'!F89</f>
        <v>-53531</v>
      </c>
    </row>
    <row r="4504" spans="1:15" ht="24" hidden="1" customHeight="1">
      <c r="A4504" s="896">
        <v>35</v>
      </c>
      <c r="B4504" s="1609" t="s">
        <v>2528</v>
      </c>
      <c r="C4504" s="1609"/>
      <c r="D4504" s="1609"/>
      <c r="E4504" s="1609"/>
      <c r="F4504" s="1609"/>
      <c r="G4504" s="1609"/>
      <c r="H4504" s="1609"/>
      <c r="I4504" s="897"/>
      <c r="J4504" s="898"/>
      <c r="K4504" s="896"/>
      <c r="L4504" s="923"/>
      <c r="M4504" s="1342"/>
    </row>
    <row r="4505" spans="1:15">
      <c r="A4505" s="896"/>
      <c r="B4505" s="902"/>
      <c r="C4505" s="917"/>
      <c r="D4505" s="918"/>
      <c r="E4505" s="919"/>
      <c r="F4505" s="920"/>
      <c r="G4505" s="921"/>
      <c r="H4505" s="896"/>
      <c r="I4505" s="961"/>
      <c r="J4505" s="955"/>
      <c r="K4505" s="922"/>
      <c r="L4505" s="923"/>
      <c r="M4505" s="924"/>
    </row>
    <row r="4506" spans="1:15">
      <c r="A4506" s="896"/>
      <c r="B4506" s="1627" t="s">
        <v>535</v>
      </c>
      <c r="C4506" s="1628"/>
      <c r="D4506" s="1628"/>
      <c r="E4506" s="1628"/>
      <c r="F4506" s="1628"/>
      <c r="G4506" s="1628"/>
      <c r="H4506" s="1629"/>
      <c r="I4506" s="916"/>
      <c r="J4506" s="1343"/>
      <c r="K4506" s="922"/>
      <c r="L4506" s="923"/>
      <c r="M4506" s="1344">
        <f>SUM(M8:M4505)</f>
        <v>1718516</v>
      </c>
      <c r="N4506" s="1019"/>
      <c r="O4506" s="1019"/>
    </row>
    <row r="4507" spans="1:15" s="1349" customFormat="1" ht="20.25" customHeight="1">
      <c r="A4507" s="1345">
        <v>33</v>
      </c>
      <c r="B4507" s="1626" t="s">
        <v>2418</v>
      </c>
      <c r="C4507" s="1626"/>
      <c r="D4507" s="1626"/>
      <c r="E4507" s="1626"/>
      <c r="F4507" s="1626"/>
      <c r="G4507" s="1626"/>
      <c r="H4507" s="1626"/>
      <c r="I4507" s="1346">
        <f>M4506-INPUT!G18</f>
        <v>1709574</v>
      </c>
      <c r="J4507" s="1347"/>
      <c r="K4507" s="1345"/>
      <c r="L4507" s="1345"/>
      <c r="M4507" s="1348">
        <f>ROUND(I4507*0.5%,0)</f>
        <v>8548</v>
      </c>
    </row>
    <row r="4508" spans="1:15" s="1349" customFormat="1" ht="20.25" customHeight="1">
      <c r="A4508" s="1345">
        <v>34</v>
      </c>
      <c r="B4508" s="1626" t="s">
        <v>444</v>
      </c>
      <c r="C4508" s="1626"/>
      <c r="D4508" s="1626"/>
      <c r="E4508" s="1626"/>
      <c r="F4508" s="1626"/>
      <c r="G4508" s="1626"/>
      <c r="H4508" s="1626"/>
      <c r="I4508" s="1346"/>
      <c r="J4508" s="1347"/>
      <c r="K4508" s="1345"/>
      <c r="L4508" s="1345"/>
      <c r="M4508" s="1348">
        <f>'SEIG P-A '!H187</f>
        <v>21507</v>
      </c>
    </row>
    <row r="4509" spans="1:15" s="1349" customFormat="1" ht="18" hidden="1" customHeight="1">
      <c r="A4509" s="1345">
        <v>70</v>
      </c>
      <c r="B4509" s="1626" t="s">
        <v>3282</v>
      </c>
      <c r="C4509" s="1626"/>
      <c r="D4509" s="1626"/>
      <c r="E4509" s="1626"/>
      <c r="F4509" s="1626"/>
      <c r="G4509" s="1626"/>
      <c r="H4509" s="1626"/>
      <c r="I4509" s="1346"/>
      <c r="J4509" s="1347"/>
      <c r="K4509" s="1345"/>
      <c r="L4509" s="1345"/>
      <c r="M4509" s="1342"/>
    </row>
    <row r="4510" spans="1:15" s="1349" customFormat="1" ht="20.25" hidden="1" customHeight="1">
      <c r="A4510" s="1345">
        <v>48</v>
      </c>
      <c r="B4510" s="1626" t="s">
        <v>249</v>
      </c>
      <c r="C4510" s="1626"/>
      <c r="D4510" s="1626"/>
      <c r="E4510" s="1626"/>
      <c r="F4510" s="1626"/>
      <c r="G4510" s="1626"/>
      <c r="H4510" s="1626"/>
      <c r="I4510" s="1346"/>
      <c r="J4510" s="1347"/>
      <c r="K4510" s="1345"/>
      <c r="L4510" s="1345"/>
      <c r="M4510" s="1348">
        <v>0</v>
      </c>
    </row>
    <row r="4511" spans="1:15" s="1349" customFormat="1" ht="20.25" customHeight="1">
      <c r="A4511" s="1345">
        <v>35</v>
      </c>
      <c r="B4511" s="1626" t="s">
        <v>292</v>
      </c>
      <c r="C4511" s="1626"/>
      <c r="D4511" s="1626"/>
      <c r="E4511" s="1626"/>
      <c r="F4511" s="1626"/>
      <c r="G4511" s="1626"/>
      <c r="H4511" s="1626"/>
      <c r="I4511" s="1346"/>
      <c r="J4511" s="1347"/>
      <c r="K4511" s="1345"/>
      <c r="L4511" s="1345"/>
      <c r="M4511" s="1348">
        <f>N4511</f>
        <v>1429</v>
      </c>
      <c r="N4511" s="1350">
        <f>N4512-M4506-M4507-M4508-M4509-M4510</f>
        <v>1429</v>
      </c>
    </row>
    <row r="4512" spans="1:15" s="1349" customFormat="1" ht="20.25" customHeight="1">
      <c r="A4512" s="1345"/>
      <c r="B4512" s="1351" t="s">
        <v>3283</v>
      </c>
      <c r="C4512" s="1352"/>
      <c r="D4512" s="1353"/>
      <c r="E4512" s="1354"/>
      <c r="F4512" s="1386"/>
      <c r="G4512" s="1386"/>
      <c r="H4512" s="1386"/>
      <c r="I4512" s="1346"/>
      <c r="J4512" s="1347"/>
      <c r="K4512" s="1345"/>
      <c r="L4512" s="1345"/>
      <c r="M4512" s="1355">
        <f>SUBTOTAL(9,M4506:M4511)</f>
        <v>1750000</v>
      </c>
      <c r="N4512" s="1349">
        <v>1750000</v>
      </c>
    </row>
    <row r="4514" spans="3:13">
      <c r="H4514" s="901"/>
      <c r="I4514" s="901"/>
      <c r="J4514" s="901"/>
      <c r="M4514" s="1019"/>
    </row>
    <row r="4515" spans="3:13">
      <c r="H4515" s="901"/>
      <c r="I4515" s="901"/>
      <c r="J4515" s="901"/>
      <c r="M4515" s="1019"/>
    </row>
    <row r="4516" spans="3:13">
      <c r="H4516" s="950" t="str">
        <f>'lead 19-20'!$H$31</f>
        <v>Deputy Executive Engineer</v>
      </c>
      <c r="I4516" s="1360"/>
      <c r="J4516" s="1360"/>
      <c r="K4516" s="1361"/>
      <c r="L4516" s="1362" t="str">
        <f>'lead 19-20'!$K$31</f>
        <v>Assistant  Engineer</v>
      </c>
    </row>
    <row r="4517" spans="3:13">
      <c r="H4517" s="950" t="str">
        <f>'lead 19-20'!$H$32</f>
        <v>PRI Sub Division</v>
      </c>
      <c r="I4517" s="1360"/>
      <c r="J4517" s="1360"/>
      <c r="K4517" s="1361"/>
      <c r="L4517" s="1362" t="str">
        <f>'lead 19-20'!$K$32</f>
        <v>Mandal Praja parishad</v>
      </c>
    </row>
    <row r="4518" spans="3:13">
      <c r="H4518" s="950" t="str">
        <f>'lead 19-20'!$H$33</f>
        <v>Kanigiri</v>
      </c>
      <c r="I4518" s="964"/>
      <c r="J4518" s="964"/>
      <c r="K4518" s="1255"/>
      <c r="L4518" s="1362" t="str">
        <f>'lead 19-20'!$K$33</f>
        <v>Kanigiri</v>
      </c>
    </row>
    <row r="4524" spans="3:13" s="965" customFormat="1">
      <c r="C4524" s="901"/>
      <c r="E4524" s="1356"/>
      <c r="F4524" s="1357"/>
      <c r="G4524" s="1358"/>
      <c r="H4524" s="964"/>
      <c r="K4524" s="1363"/>
      <c r="L4524" s="1359"/>
    </row>
  </sheetData>
  <autoFilter ref="A6:N4504">
    <filterColumn colId="0">
      <colorFilter dxfId="8"/>
    </filterColumn>
    <filterColumn colId="2" showButton="0"/>
    <filterColumn colId="3" showButton="0"/>
  </autoFilter>
  <mergeCells count="612">
    <mergeCell ref="B2828:H2828"/>
    <mergeCell ref="B2707:H2707"/>
    <mergeCell ref="B2712:H2712"/>
    <mergeCell ref="B2601:H2601"/>
    <mergeCell ref="B2606:H2606"/>
    <mergeCell ref="B2619:H2619"/>
    <mergeCell ref="B2638:H2638"/>
    <mergeCell ref="B2717:H2717"/>
    <mergeCell ref="B2643:H2643"/>
    <mergeCell ref="B2648:H2648"/>
    <mergeCell ref="B2653:H2653"/>
    <mergeCell ref="B2658:H2658"/>
    <mergeCell ref="B2495:H2495"/>
    <mergeCell ref="B2500:H2500"/>
    <mergeCell ref="B2510:H2510"/>
    <mergeCell ref="B2515:H2515"/>
    <mergeCell ref="B2520:H2520"/>
    <mergeCell ref="B2633:H2633"/>
    <mergeCell ref="B2786:H2786"/>
    <mergeCell ref="B2791:H2791"/>
    <mergeCell ref="B2796:H2796"/>
    <mergeCell ref="B2556:H2556"/>
    <mergeCell ref="B2574:H2574"/>
    <mergeCell ref="B2525:H2525"/>
    <mergeCell ref="B2530:H2530"/>
    <mergeCell ref="B2537:H2537"/>
    <mergeCell ref="B2505:H2505"/>
    <mergeCell ref="B2569:H2569"/>
    <mergeCell ref="B2549:H2549"/>
    <mergeCell ref="B2544:H2544"/>
    <mergeCell ref="B2579:H2579"/>
    <mergeCell ref="B2584:H2584"/>
    <mergeCell ref="B2589:H2589"/>
    <mergeCell ref="B2628:H2628"/>
    <mergeCell ref="B2614:H2614"/>
    <mergeCell ref="B2757:H2757"/>
    <mergeCell ref="B2596:H2596"/>
    <mergeCell ref="B2776:H2776"/>
    <mergeCell ref="B2766:H2766"/>
    <mergeCell ref="B2771:H2771"/>
    <mergeCell ref="B2851:H2851"/>
    <mergeCell ref="B2781:H2781"/>
    <mergeCell ref="B2663:H2663"/>
    <mergeCell ref="B2671:H2671"/>
    <mergeCell ref="B2679:H2679"/>
    <mergeCell ref="B2684:H2684"/>
    <mergeCell ref="B2820:H2820"/>
    <mergeCell ref="B2827:H2827"/>
    <mergeCell ref="B2841:H2841"/>
    <mergeCell ref="B2846:H2846"/>
    <mergeCell ref="B2801:H2801"/>
    <mergeCell ref="B2808:H2808"/>
    <mergeCell ref="B2815:H2815"/>
    <mergeCell ref="B2722:H2722"/>
    <mergeCell ref="B2727:H2727"/>
    <mergeCell ref="B2732:H2732"/>
    <mergeCell ref="B2737:H2737"/>
    <mergeCell ref="B2744:H2744"/>
    <mergeCell ref="B2752:H2752"/>
    <mergeCell ref="B2691:H2691"/>
    <mergeCell ref="B2919:H2919"/>
    <mergeCell ref="B2856:H2856"/>
    <mergeCell ref="B2862:H2862"/>
    <mergeCell ref="B2867:H2867"/>
    <mergeCell ref="B2872:H2872"/>
    <mergeCell ref="B2877:H2877"/>
    <mergeCell ref="B2885:H2885"/>
    <mergeCell ref="B2890:H2890"/>
    <mergeCell ref="B2899:H2899"/>
    <mergeCell ref="B2904:H2904"/>
    <mergeCell ref="B2909:H2909"/>
    <mergeCell ref="B2914:H2914"/>
    <mergeCell ref="B2996:H2996"/>
    <mergeCell ref="B2924:H2924"/>
    <mergeCell ref="B2929:H2929"/>
    <mergeCell ref="B2934:H2934"/>
    <mergeCell ref="B2941:H2941"/>
    <mergeCell ref="B2948:H2948"/>
    <mergeCell ref="B2955:H2955"/>
    <mergeCell ref="B2962:H2962"/>
    <mergeCell ref="B2975:H2975"/>
    <mergeCell ref="B2980:H2980"/>
    <mergeCell ref="B2985:H2985"/>
    <mergeCell ref="B2991:H2991"/>
    <mergeCell ref="B3003:H3003"/>
    <mergeCell ref="B3008:H3008"/>
    <mergeCell ref="B3018:H3018"/>
    <mergeCell ref="B3026:H3026"/>
    <mergeCell ref="B3031:H3031"/>
    <mergeCell ref="B3080:H3080"/>
    <mergeCell ref="B3096:H3096"/>
    <mergeCell ref="B3101:H3101"/>
    <mergeCell ref="B3106:H3106"/>
    <mergeCell ref="B3085:H3085"/>
    <mergeCell ref="B3040:H3040"/>
    <mergeCell ref="B3045:H3045"/>
    <mergeCell ref="B3050:H3050"/>
    <mergeCell ref="B3055:H3055"/>
    <mergeCell ref="B3060:H3060"/>
    <mergeCell ref="B3065:H3065"/>
    <mergeCell ref="B3070:H3070"/>
    <mergeCell ref="B3075:H3075"/>
    <mergeCell ref="B3090:H3090"/>
    <mergeCell ref="B3121:H3121"/>
    <mergeCell ref="B3126:H3126"/>
    <mergeCell ref="B3132:H3132"/>
    <mergeCell ref="B3137:H3137"/>
    <mergeCell ref="B3111:H3111"/>
    <mergeCell ref="B3116:H3116"/>
    <mergeCell ref="B3152:H3152"/>
    <mergeCell ref="B3157:H3157"/>
    <mergeCell ref="B3162:H3162"/>
    <mergeCell ref="B3147:H3147"/>
    <mergeCell ref="B3142:H3142"/>
    <mergeCell ref="B3167:H3167"/>
    <mergeCell ref="B3172:H3172"/>
    <mergeCell ref="B3213:H3213"/>
    <mergeCell ref="B3218:H3218"/>
    <mergeCell ref="B3290:H3290"/>
    <mergeCell ref="B3295:H3295"/>
    <mergeCell ref="B3275:H3275"/>
    <mergeCell ref="B3280:H3280"/>
    <mergeCell ref="B3223:H3223"/>
    <mergeCell ref="B3178:H3178"/>
    <mergeCell ref="B3183:H3183"/>
    <mergeCell ref="B3188:H3188"/>
    <mergeCell ref="B3193:H3193"/>
    <mergeCell ref="B3198:H3198"/>
    <mergeCell ref="B3203:H3203"/>
    <mergeCell ref="B3208:H3208"/>
    <mergeCell ref="B3244:H3244"/>
    <mergeCell ref="B3249:H3249"/>
    <mergeCell ref="B3228:H3228"/>
    <mergeCell ref="B3234:H3234"/>
    <mergeCell ref="B3239:H3239"/>
    <mergeCell ref="B3364:H3364"/>
    <mergeCell ref="B3316:H3316"/>
    <mergeCell ref="B3321:H3321"/>
    <mergeCell ref="B3326:H3326"/>
    <mergeCell ref="B3332:H3332"/>
    <mergeCell ref="B3337:H3337"/>
    <mergeCell ref="B3254:H3254"/>
    <mergeCell ref="B3259:H3259"/>
    <mergeCell ref="B3264:H3264"/>
    <mergeCell ref="B3270:H3270"/>
    <mergeCell ref="B3343:H3343"/>
    <mergeCell ref="B3348:H3348"/>
    <mergeCell ref="B3353:H3353"/>
    <mergeCell ref="B3359:H3359"/>
    <mergeCell ref="B3285:H3285"/>
    <mergeCell ref="B3310:H3310"/>
    <mergeCell ref="B3300:H3300"/>
    <mergeCell ref="B3305:H3305"/>
    <mergeCell ref="B3427:H3427"/>
    <mergeCell ref="B3370:H3370"/>
    <mergeCell ref="B3376:H3376"/>
    <mergeCell ref="B3381:H3381"/>
    <mergeCell ref="B3386:H3386"/>
    <mergeCell ref="B3391:H3391"/>
    <mergeCell ref="B3396:H3396"/>
    <mergeCell ref="B3401:H3401"/>
    <mergeCell ref="B3498:H3498"/>
    <mergeCell ref="B3463:H3463"/>
    <mergeCell ref="B3468:H3468"/>
    <mergeCell ref="B3473:H3473"/>
    <mergeCell ref="B3478:H3478"/>
    <mergeCell ref="B3483:H3483"/>
    <mergeCell ref="B3493:H3493"/>
    <mergeCell ref="B3406:H3406"/>
    <mergeCell ref="B3412:H3412"/>
    <mergeCell ref="B3417:H3417"/>
    <mergeCell ref="B3422:H3422"/>
    <mergeCell ref="B3550:H3550"/>
    <mergeCell ref="B3539:H3539"/>
    <mergeCell ref="B3544:H3544"/>
    <mergeCell ref="B3488:H3488"/>
    <mergeCell ref="B3432:H3432"/>
    <mergeCell ref="B3437:H3437"/>
    <mergeCell ref="B3442:H3442"/>
    <mergeCell ref="B3447:H3447"/>
    <mergeCell ref="B3452:H3452"/>
    <mergeCell ref="B3458:H3458"/>
    <mergeCell ref="B3529:H3529"/>
    <mergeCell ref="B3534:H3534"/>
    <mergeCell ref="B3503:H3503"/>
    <mergeCell ref="B3508:H3508"/>
    <mergeCell ref="B3514:H3514"/>
    <mergeCell ref="B3519:H3519"/>
    <mergeCell ref="B3524:H3524"/>
    <mergeCell ref="B3555:H3555"/>
    <mergeCell ref="B3560:H3560"/>
    <mergeCell ref="B3565:H3565"/>
    <mergeCell ref="B3570:H3570"/>
    <mergeCell ref="B3575:H3575"/>
    <mergeCell ref="B3580:H3580"/>
    <mergeCell ref="B3661:H3661"/>
    <mergeCell ref="B3679:H3679"/>
    <mergeCell ref="B3684:H3684"/>
    <mergeCell ref="B3782:H3782"/>
    <mergeCell ref="B3787:H3787"/>
    <mergeCell ref="B3797:H3797"/>
    <mergeCell ref="B3802:H3802"/>
    <mergeCell ref="B3808:H3808"/>
    <mergeCell ref="B3689:H3689"/>
    <mergeCell ref="B3585:H3585"/>
    <mergeCell ref="B3590:H3590"/>
    <mergeCell ref="B3608:H3608"/>
    <mergeCell ref="B3616:H3616"/>
    <mergeCell ref="B3694:H3694"/>
    <mergeCell ref="B3621:H3621"/>
    <mergeCell ref="B3626:H3626"/>
    <mergeCell ref="B3631:H3631"/>
    <mergeCell ref="B3639:H3639"/>
    <mergeCell ref="B3644:H3644"/>
    <mergeCell ref="B3649:H3649"/>
    <mergeCell ref="B3654:H3654"/>
    <mergeCell ref="B3674:H3674"/>
    <mergeCell ref="B3668:H3668"/>
    <mergeCell ref="B3745:H3745"/>
    <mergeCell ref="B3699:H3699"/>
    <mergeCell ref="B3704:H3704"/>
    <mergeCell ref="B3709:H3709"/>
    <mergeCell ref="B3714:H3714"/>
    <mergeCell ref="B3719:H3719"/>
    <mergeCell ref="B3724:H3724"/>
    <mergeCell ref="B3729:H3729"/>
    <mergeCell ref="B3735:H3735"/>
    <mergeCell ref="B3740:H3740"/>
    <mergeCell ref="B4034:H4034"/>
    <mergeCell ref="B4004:H4004"/>
    <mergeCell ref="B4009:H4009"/>
    <mergeCell ref="B4014:H4014"/>
    <mergeCell ref="B4019:H4019"/>
    <mergeCell ref="B4024:H4024"/>
    <mergeCell ref="B4029:H4029"/>
    <mergeCell ref="B3977:H3977"/>
    <mergeCell ref="B3982:H3982"/>
    <mergeCell ref="B3987:H3987"/>
    <mergeCell ref="B3992:H3992"/>
    <mergeCell ref="B3855:H3855"/>
    <mergeCell ref="B3863:H3863"/>
    <mergeCell ref="B3868:H3868"/>
    <mergeCell ref="B3890:H3890"/>
    <mergeCell ref="B3896:H3896"/>
    <mergeCell ref="B3997:H3997"/>
    <mergeCell ref="B3941:H3941"/>
    <mergeCell ref="B3946:H3946"/>
    <mergeCell ref="B3951:H3951"/>
    <mergeCell ref="B3956:H3956"/>
    <mergeCell ref="B3961:H3961"/>
    <mergeCell ref="B3966:H3966"/>
    <mergeCell ref="B3971:H3971"/>
    <mergeCell ref="B3936:H3936"/>
    <mergeCell ref="B3878:H3878"/>
    <mergeCell ref="B3883:H3883"/>
    <mergeCell ref="B3873:H3873"/>
    <mergeCell ref="B3819:H3819"/>
    <mergeCell ref="B3826:H3826"/>
    <mergeCell ref="B3832:H3832"/>
    <mergeCell ref="B3840:H3840"/>
    <mergeCell ref="B3845:H3845"/>
    <mergeCell ref="B3792:H3792"/>
    <mergeCell ref="B3931:H3931"/>
    <mergeCell ref="B3596:H3596"/>
    <mergeCell ref="B3603:H3603"/>
    <mergeCell ref="B3813:H3813"/>
    <mergeCell ref="B3750:H3750"/>
    <mergeCell ref="B3755:H3755"/>
    <mergeCell ref="B3760:H3760"/>
    <mergeCell ref="B3765:H3765"/>
    <mergeCell ref="B3770:H3770"/>
    <mergeCell ref="B3775:H3775"/>
    <mergeCell ref="B3901:H3901"/>
    <mergeCell ref="B3906:H3906"/>
    <mergeCell ref="B3911:H3911"/>
    <mergeCell ref="B3916:H3916"/>
    <mergeCell ref="B3921:H3921"/>
    <mergeCell ref="B3926:H3926"/>
    <mergeCell ref="B3850:H3850"/>
    <mergeCell ref="B4091:H4091"/>
    <mergeCell ref="B4040:H4040"/>
    <mergeCell ref="B4045:H4045"/>
    <mergeCell ref="B4050:H4050"/>
    <mergeCell ref="B4058:H4058"/>
    <mergeCell ref="B4063:H4063"/>
    <mergeCell ref="B4068:H4068"/>
    <mergeCell ref="B4073:H4073"/>
    <mergeCell ref="B4081:H4081"/>
    <mergeCell ref="B4086:H4086"/>
    <mergeCell ref="B4156:H4156"/>
    <mergeCell ref="B4096:H4096"/>
    <mergeCell ref="B4103:H4103"/>
    <mergeCell ref="B4110:H4110"/>
    <mergeCell ref="B4116:H4116"/>
    <mergeCell ref="B4121:H4121"/>
    <mergeCell ref="B4126:H4126"/>
    <mergeCell ref="B4131:H4131"/>
    <mergeCell ref="B4136:H4136"/>
    <mergeCell ref="B4141:H4141"/>
    <mergeCell ref="B4146:H4146"/>
    <mergeCell ref="B4151:H4151"/>
    <mergeCell ref="B4342:H4342"/>
    <mergeCell ref="B4217:H4217"/>
    <mergeCell ref="B4161:H4161"/>
    <mergeCell ref="B4166:H4166"/>
    <mergeCell ref="B4171:H4171"/>
    <mergeCell ref="B4177:H4177"/>
    <mergeCell ref="B4182:H4182"/>
    <mergeCell ref="B4187:H4187"/>
    <mergeCell ref="B4192:H4192"/>
    <mergeCell ref="B4197:H4197"/>
    <mergeCell ref="B4202:H4202"/>
    <mergeCell ref="B4207:H4207"/>
    <mergeCell ref="B4212:H4212"/>
    <mergeCell ref="B4323:H4323"/>
    <mergeCell ref="B4250:H4250"/>
    <mergeCell ref="B4255:H4255"/>
    <mergeCell ref="B4261:H4261"/>
    <mergeCell ref="B4266:H4266"/>
    <mergeCell ref="B4271:H4271"/>
    <mergeCell ref="B4279:H4279"/>
    <mergeCell ref="B4328:H4328"/>
    <mergeCell ref="B4333:H4333"/>
    <mergeCell ref="B4348:H4348"/>
    <mergeCell ref="B4284:H4284"/>
    <mergeCell ref="B4224:H4224"/>
    <mergeCell ref="B4229:H4229"/>
    <mergeCell ref="B4234:H4234"/>
    <mergeCell ref="B4497:H4497"/>
    <mergeCell ref="B4419:H4419"/>
    <mergeCell ref="B4424:H4424"/>
    <mergeCell ref="B4436:H4436"/>
    <mergeCell ref="B4448:H4448"/>
    <mergeCell ref="B4460:H4460"/>
    <mergeCell ref="B4467:H4467"/>
    <mergeCell ref="B4472:H4472"/>
    <mergeCell ref="B4239:H4239"/>
    <mergeCell ref="B4244:H4244"/>
    <mergeCell ref="B4403:H4403"/>
    <mergeCell ref="B4408:H4408"/>
    <mergeCell ref="B4353:H4353"/>
    <mergeCell ref="B4289:H4289"/>
    <mergeCell ref="B4294:H4294"/>
    <mergeCell ref="B4302:H4302"/>
    <mergeCell ref="B4307:H4307"/>
    <mergeCell ref="B4312:H4312"/>
    <mergeCell ref="B4317:H4317"/>
    <mergeCell ref="B4413:H4413"/>
    <mergeCell ref="B4358:H4358"/>
    <mergeCell ref="B4363:H4363"/>
    <mergeCell ref="B4368:H4368"/>
    <mergeCell ref="B4373:H4373"/>
    <mergeCell ref="B4378:H4378"/>
    <mergeCell ref="B4383:H4383"/>
    <mergeCell ref="B4388:H4388"/>
    <mergeCell ref="B4393:H4393"/>
    <mergeCell ref="B4398:H4398"/>
    <mergeCell ref="B4507:H4507"/>
    <mergeCell ref="B4508:H4508"/>
    <mergeCell ref="B4509:H4509"/>
    <mergeCell ref="B4510:H4510"/>
    <mergeCell ref="B4511:H4511"/>
    <mergeCell ref="B4477:H4477"/>
    <mergeCell ref="B4482:H4482"/>
    <mergeCell ref="B4487:H4487"/>
    <mergeCell ref="B4492:H4492"/>
    <mergeCell ref="B4506:H4506"/>
    <mergeCell ref="B4504:H4504"/>
    <mergeCell ref="B4503:H4503"/>
    <mergeCell ref="B4502:H4502"/>
    <mergeCell ref="B2483:H2483"/>
    <mergeCell ref="B2488:H2488"/>
    <mergeCell ref="B2379:H2379"/>
    <mergeCell ref="B2384:H2384"/>
    <mergeCell ref="B2399:H2399"/>
    <mergeCell ref="B2404:H2404"/>
    <mergeCell ref="B2419:H2419"/>
    <mergeCell ref="B2424:H2424"/>
    <mergeCell ref="B2439:H2439"/>
    <mergeCell ref="B2444:H2444"/>
    <mergeCell ref="B2477:H2477"/>
    <mergeCell ref="B2429:H2429"/>
    <mergeCell ref="B2449:H2449"/>
    <mergeCell ref="B2469:H2469"/>
    <mergeCell ref="B2464:H2464"/>
    <mergeCell ref="B2459:H2459"/>
    <mergeCell ref="B2389:H2389"/>
    <mergeCell ref="B2409:H2409"/>
    <mergeCell ref="B2414:H2414"/>
    <mergeCell ref="B2434:H2434"/>
    <mergeCell ref="B2454:H2454"/>
    <mergeCell ref="B1974:H1974"/>
    <mergeCell ref="B2034:H2034"/>
    <mergeCell ref="B2055:H2055"/>
    <mergeCell ref="B2148:H2148"/>
    <mergeCell ref="B2208:H2208"/>
    <mergeCell ref="B2263:H2263"/>
    <mergeCell ref="B2293:H2293"/>
    <mergeCell ref="B2340:H2340"/>
    <mergeCell ref="B2334:H2334"/>
    <mergeCell ref="B2005:H2005"/>
    <mergeCell ref="B2112:H2112"/>
    <mergeCell ref="B2252:H2252"/>
    <mergeCell ref="B2324:H2324"/>
    <mergeCell ref="B21:H21"/>
    <mergeCell ref="B27:H27"/>
    <mergeCell ref="B63:H63"/>
    <mergeCell ref="B57:H57"/>
    <mergeCell ref="B128:H128"/>
    <mergeCell ref="B134:H134"/>
    <mergeCell ref="B165:H165"/>
    <mergeCell ref="B174:H174"/>
    <mergeCell ref="B196:H196"/>
    <mergeCell ref="B190:H190"/>
    <mergeCell ref="B2369:H2369"/>
    <mergeCell ref="B2345:H2345"/>
    <mergeCell ref="B2079:H2079"/>
    <mergeCell ref="B2241:H2241"/>
    <mergeCell ref="B2318:H2318"/>
    <mergeCell ref="B1981:H1981"/>
    <mergeCell ref="B886:H886"/>
    <mergeCell ref="B897:H897"/>
    <mergeCell ref="B951:H951"/>
    <mergeCell ref="B957:H957"/>
    <mergeCell ref="B1068:H1068"/>
    <mergeCell ref="B1464:H1464"/>
    <mergeCell ref="B1483:H1483"/>
    <mergeCell ref="B1843:H1843"/>
    <mergeCell ref="B1871:H1871"/>
    <mergeCell ref="B1953:H1953"/>
    <mergeCell ref="B1517:H1517"/>
    <mergeCell ref="B1524:H1524"/>
    <mergeCell ref="B1557:H1557"/>
    <mergeCell ref="B1564:H1564"/>
    <mergeCell ref="B1626:H1626"/>
    <mergeCell ref="B1633:H1633"/>
    <mergeCell ref="B1682:H1682"/>
    <mergeCell ref="B1505:H1505"/>
    <mergeCell ref="B2374:H2374"/>
    <mergeCell ref="B2394:H2394"/>
    <mergeCell ref="B562:H562"/>
    <mergeCell ref="B587:H587"/>
    <mergeCell ref="B611:H611"/>
    <mergeCell ref="B635:H635"/>
    <mergeCell ref="B663:H663"/>
    <mergeCell ref="B568:H568"/>
    <mergeCell ref="B593:H593"/>
    <mergeCell ref="B617:H617"/>
    <mergeCell ref="B642:H642"/>
    <mergeCell ref="B629:H629"/>
    <mergeCell ref="B649:H649"/>
    <mergeCell ref="B656:H656"/>
    <mergeCell ref="B673:H673"/>
    <mergeCell ref="B768:H768"/>
    <mergeCell ref="B791:H791"/>
    <mergeCell ref="B2357:H2357"/>
    <mergeCell ref="B2363:H2363"/>
    <mergeCell ref="B798:H798"/>
    <mergeCell ref="B804:H804"/>
    <mergeCell ref="B823:H823"/>
    <mergeCell ref="B829:H829"/>
    <mergeCell ref="B816:H816"/>
    <mergeCell ref="B529:H529"/>
    <mergeCell ref="B556:H556"/>
    <mergeCell ref="B551:H551"/>
    <mergeCell ref="B574:H574"/>
    <mergeCell ref="B581:H581"/>
    <mergeCell ref="B599:H599"/>
    <mergeCell ref="B605:H605"/>
    <mergeCell ref="B623:H623"/>
    <mergeCell ref="B2351:H2351"/>
    <mergeCell ref="B835:H835"/>
    <mergeCell ref="B1529:H1529"/>
    <mergeCell ref="B1580:H1580"/>
    <mergeCell ref="B1672:H1672"/>
    <mergeCell ref="B1857:H1857"/>
    <mergeCell ref="B1864:H1864"/>
    <mergeCell ref="B1884:H1884"/>
    <mergeCell ref="B1890:H1890"/>
    <mergeCell ref="B1918:H1918"/>
    <mergeCell ref="B1911:H1911"/>
    <mergeCell ref="B1939:H1939"/>
    <mergeCell ref="B1946:H1946"/>
    <mergeCell ref="B1967:H1967"/>
    <mergeCell ref="B1960:H1960"/>
    <mergeCell ref="B1932:H1932"/>
    <mergeCell ref="B1925:H1925"/>
    <mergeCell ref="B1897:H1897"/>
    <mergeCell ref="B1850:H1850"/>
    <mergeCell ref="B1877:H1877"/>
    <mergeCell ref="B1904:H1904"/>
    <mergeCell ref="B271:H271"/>
    <mergeCell ref="B312:H312"/>
    <mergeCell ref="B305:H305"/>
    <mergeCell ref="B333:H333"/>
    <mergeCell ref="B339:H339"/>
    <mergeCell ref="B319:H319"/>
    <mergeCell ref="B1061:H1061"/>
    <mergeCell ref="B1138:H1138"/>
    <mergeCell ref="B1146:H1146"/>
    <mergeCell ref="B763:H763"/>
    <mergeCell ref="B810:H810"/>
    <mergeCell ref="B354:H354"/>
    <mergeCell ref="B359:H359"/>
    <mergeCell ref="B388:H388"/>
    <mergeCell ref="B400:H400"/>
    <mergeCell ref="B442:H442"/>
    <mergeCell ref="B448:H448"/>
    <mergeCell ref="B685:H685"/>
    <mergeCell ref="B694:H694"/>
    <mergeCell ref="B1689:H1689"/>
    <mergeCell ref="B1744:H1744"/>
    <mergeCell ref="B1736:H1736"/>
    <mergeCell ref="B1778:H1778"/>
    <mergeCell ref="B1785:H1785"/>
    <mergeCell ref="B1806:H1806"/>
    <mergeCell ref="B1813:H1813"/>
    <mergeCell ref="B1831:H1831"/>
    <mergeCell ref="B1837:H1837"/>
    <mergeCell ref="B1826:H1826"/>
    <mergeCell ref="B1707:H1707"/>
    <mergeCell ref="B1762:H1762"/>
    <mergeCell ref="B1792:H1792"/>
    <mergeCell ref="B1725:H1725"/>
    <mergeCell ref="B1769:H1769"/>
    <mergeCell ref="B1799:H1799"/>
    <mergeCell ref="B1820:H1820"/>
    <mergeCell ref="A1:M1"/>
    <mergeCell ref="A2:B2"/>
    <mergeCell ref="C2:M2"/>
    <mergeCell ref="I3:K3"/>
    <mergeCell ref="L3:M3"/>
    <mergeCell ref="A4:A5"/>
    <mergeCell ref="B4:B5"/>
    <mergeCell ref="C4:E5"/>
    <mergeCell ref="F4:H4"/>
    <mergeCell ref="I4:J5"/>
    <mergeCell ref="L4:L5"/>
    <mergeCell ref="K4:K5"/>
    <mergeCell ref="M4:M5"/>
    <mergeCell ref="B1351:H1351"/>
    <mergeCell ref="B1458:H1458"/>
    <mergeCell ref="B1510:H1510"/>
    <mergeCell ref="B1545:H1545"/>
    <mergeCell ref="B1601:H1601"/>
    <mergeCell ref="B1130:H1130"/>
    <mergeCell ref="B1160:H1160"/>
    <mergeCell ref="B1201:H1201"/>
    <mergeCell ref="B1273:H1273"/>
    <mergeCell ref="B1300:H1300"/>
    <mergeCell ref="B1452:H1452"/>
    <mergeCell ref="B1167:H1167"/>
    <mergeCell ref="B1172:H1172"/>
    <mergeCell ref="B1221:H1221"/>
    <mergeCell ref="B1248:H1248"/>
    <mergeCell ref="B1280:H1280"/>
    <mergeCell ref="B1288:H1288"/>
    <mergeCell ref="B1307:H1307"/>
    <mergeCell ref="B1314:H1314"/>
    <mergeCell ref="B1432:H1432"/>
    <mergeCell ref="B1380:H1380"/>
    <mergeCell ref="B1179:H1179"/>
    <mergeCell ref="B1266:H1266"/>
    <mergeCell ref="B1295:H1295"/>
    <mergeCell ref="C6:E6"/>
    <mergeCell ref="B1319:H1319"/>
    <mergeCell ref="B877:H877"/>
    <mergeCell ref="B935:H935"/>
    <mergeCell ref="B1038:H1038"/>
    <mergeCell ref="B1654:H1654"/>
    <mergeCell ref="B15:H15"/>
    <mergeCell ref="B50:H50"/>
    <mergeCell ref="B109:H109"/>
    <mergeCell ref="B156:H156"/>
    <mergeCell ref="B842:H842"/>
    <mergeCell ref="B849:H849"/>
    <mergeCell ref="B856:H856"/>
    <mergeCell ref="B214:H214"/>
    <mergeCell ref="B249:H249"/>
    <mergeCell ref="B294:H294"/>
    <mergeCell ref="B326:H326"/>
    <mergeCell ref="B349:H349"/>
    <mergeCell ref="B377:H377"/>
    <mergeCell ref="B431:H431"/>
    <mergeCell ref="B478:H478"/>
    <mergeCell ref="B863:H863"/>
    <mergeCell ref="B915:H915"/>
    <mergeCell ref="B1011:H1011"/>
    <mergeCell ref="B1122:H1122"/>
    <mergeCell ref="B1154:H1154"/>
    <mergeCell ref="B9:H9"/>
    <mergeCell ref="B33:H33"/>
    <mergeCell ref="B73:H73"/>
    <mergeCell ref="B147:H147"/>
    <mergeCell ref="B183:H183"/>
    <mergeCell ref="B208:H208"/>
    <mergeCell ref="B232:H232"/>
    <mergeCell ref="B277:H277"/>
    <mergeCell ref="B784:H784"/>
    <mergeCell ref="B344:H344"/>
    <mergeCell ref="B364:H364"/>
    <mergeCell ref="B412:H412"/>
    <mergeCell ref="B454:H454"/>
    <mergeCell ref="B537:H537"/>
    <mergeCell ref="B545:H545"/>
    <mergeCell ref="B202:H202"/>
    <mergeCell ref="B220:H220"/>
    <mergeCell ref="B226:H226"/>
    <mergeCell ref="B265:H265"/>
    <mergeCell ref="B779:H779"/>
    <mergeCell ref="B773:H773"/>
    <mergeCell ref="B502:H502"/>
  </mergeCells>
  <printOptions horizontalCentered="1"/>
  <pageMargins left="0.15" right="0.1" top="0.2" bottom="0.23" header="0.25" footer="0.08"/>
  <pageSetup paperSize="9" scale="95" pageOrder="overThenDown" orientation="portrait" r:id="rId1"/>
  <headerFooter alignWithMargins="0"/>
  <rowBreaks count="1" manualBreakCount="1">
    <brk id="4507" max="12" man="1"/>
  </rowBreaks>
</worksheet>
</file>

<file path=xl/worksheets/sheet9.xml><?xml version="1.0" encoding="utf-8"?>
<worksheet xmlns="http://schemas.openxmlformats.org/spreadsheetml/2006/main" xmlns:r="http://schemas.openxmlformats.org/officeDocument/2006/relationships">
  <sheetPr>
    <tabColor rgb="FF00B050"/>
  </sheetPr>
  <dimension ref="A1:O1557"/>
  <sheetViews>
    <sheetView showZeros="0" defaultGridColor="0" view="pageBreakPreview" colorId="22" zoomScale="115" zoomScaleNormal="115" zoomScaleSheetLayoutView="115" workbookViewId="0">
      <selection activeCell="B8" sqref="B8:H8"/>
    </sheetView>
  </sheetViews>
  <sheetFormatPr defaultColWidth="9.140625" defaultRowHeight="12.75"/>
  <cols>
    <col min="1" max="1" width="3.5703125" style="58" customWidth="1"/>
    <col min="2" max="2" width="31.42578125" style="58" customWidth="1"/>
    <col min="3" max="3" width="3.5703125" style="58" customWidth="1"/>
    <col min="4" max="4" width="1.7109375" style="58" customWidth="1"/>
    <col min="5" max="5" width="5.140625" style="589" customWidth="1"/>
    <col min="6" max="6" width="6.7109375" style="590" customWidth="1"/>
    <col min="7" max="7" width="6.140625" style="591" customWidth="1"/>
    <col min="8" max="8" width="7.42578125" style="12" customWidth="1"/>
    <col min="9" max="9" width="8.7109375" style="592" customWidth="1"/>
    <col min="10" max="10" width="5.28515625" style="592" customWidth="1"/>
    <col min="11" max="11" width="8.42578125" style="12" customWidth="1"/>
    <col min="12" max="12" width="8.85546875" style="593" customWidth="1"/>
    <col min="13" max="13" width="10.85546875" style="592" customWidth="1"/>
    <col min="14" max="15" width="10.42578125" style="58" bestFit="1" customWidth="1"/>
    <col min="16" max="16384" width="9.140625" style="58"/>
  </cols>
  <sheetData>
    <row r="1" spans="1:14" ht="26.25" customHeight="1">
      <c r="A1" s="1604" t="s">
        <v>898</v>
      </c>
      <c r="B1" s="1604"/>
      <c r="C1" s="1604"/>
      <c r="D1" s="1604"/>
      <c r="E1" s="1604"/>
      <c r="F1" s="1604"/>
      <c r="G1" s="1604"/>
      <c r="H1" s="1604"/>
      <c r="I1" s="1604"/>
      <c r="J1" s="1604"/>
      <c r="K1" s="1604"/>
      <c r="L1" s="1604"/>
      <c r="M1" s="1604"/>
    </row>
    <row r="2" spans="1:14" ht="42" customHeight="1">
      <c r="A2" s="1605" t="s">
        <v>896</v>
      </c>
      <c r="B2" s="1605"/>
      <c r="C2" s="1606" t="str">
        <f>'lead 19-20'!C2</f>
        <v>Providing Additional Space for Health Staff in Grama Sachivalayam of Baduguleru GP of Kanigiri Mandal</v>
      </c>
      <c r="D2" s="1606"/>
      <c r="E2" s="1606"/>
      <c r="F2" s="1606"/>
      <c r="G2" s="1606"/>
      <c r="H2" s="1606"/>
      <c r="I2" s="1606"/>
      <c r="J2" s="1606"/>
      <c r="K2" s="1606"/>
      <c r="L2" s="1606"/>
      <c r="M2" s="1606"/>
    </row>
    <row r="3" spans="1:14" ht="19.5" customHeight="1">
      <c r="A3" s="1605" t="s">
        <v>897</v>
      </c>
      <c r="B3" s="1605"/>
      <c r="C3" s="1606" t="s">
        <v>496</v>
      </c>
      <c r="D3" s="1606"/>
      <c r="E3" s="1606"/>
      <c r="F3" s="1606"/>
      <c r="G3" s="1606"/>
      <c r="H3" s="1606"/>
      <c r="I3" s="1606"/>
      <c r="J3" s="1606"/>
      <c r="K3" s="1606"/>
      <c r="L3" s="1606"/>
      <c r="M3" s="1606"/>
    </row>
    <row r="4" spans="1:14" ht="15" customHeight="1">
      <c r="A4" s="526"/>
      <c r="B4" s="1637"/>
      <c r="C4" s="1637"/>
      <c r="D4" s="1637"/>
      <c r="E4" s="1637"/>
      <c r="F4" s="1637"/>
      <c r="G4" s="1637"/>
      <c r="H4" s="527"/>
      <c r="I4" s="1602"/>
      <c r="J4" s="1602"/>
      <c r="K4" s="1602"/>
      <c r="L4" s="1603"/>
      <c r="M4" s="1603"/>
    </row>
    <row r="5" spans="1:14" s="528" customFormat="1" ht="12.75" customHeight="1">
      <c r="A5" s="1608" t="s">
        <v>271</v>
      </c>
      <c r="B5" s="1608" t="s">
        <v>272</v>
      </c>
      <c r="C5" s="1608" t="s">
        <v>115</v>
      </c>
      <c r="D5" s="1608"/>
      <c r="E5" s="1608"/>
      <c r="F5" s="1608" t="s">
        <v>123</v>
      </c>
      <c r="G5" s="1608"/>
      <c r="H5" s="1608"/>
      <c r="I5" s="1638" t="s">
        <v>6</v>
      </c>
      <c r="J5" s="1639"/>
      <c r="K5" s="1608" t="s">
        <v>8</v>
      </c>
      <c r="L5" s="1607" t="s">
        <v>9</v>
      </c>
      <c r="M5" s="1608" t="s">
        <v>10</v>
      </c>
    </row>
    <row r="6" spans="1:14" s="528" customFormat="1" ht="21.75" customHeight="1">
      <c r="A6" s="1608"/>
      <c r="B6" s="1608"/>
      <c r="C6" s="1608"/>
      <c r="D6" s="1608"/>
      <c r="E6" s="1608"/>
      <c r="F6" s="529" t="s">
        <v>12</v>
      </c>
      <c r="G6" s="529" t="s">
        <v>13</v>
      </c>
      <c r="H6" s="816" t="s">
        <v>14</v>
      </c>
      <c r="I6" s="1638"/>
      <c r="J6" s="1639"/>
      <c r="K6" s="1608"/>
      <c r="L6" s="1607"/>
      <c r="M6" s="1608"/>
    </row>
    <row r="7" spans="1:14" s="528" customFormat="1" ht="15.75">
      <c r="A7" s="816">
        <v>1</v>
      </c>
      <c r="B7" s="816">
        <v>2</v>
      </c>
      <c r="C7" s="1608">
        <v>3</v>
      </c>
      <c r="D7" s="1608"/>
      <c r="E7" s="1608"/>
      <c r="F7" s="815">
        <v>4</v>
      </c>
      <c r="G7" s="815">
        <v>5</v>
      </c>
      <c r="H7" s="816">
        <v>6</v>
      </c>
      <c r="I7" s="530">
        <v>7</v>
      </c>
      <c r="J7" s="531"/>
      <c r="K7" s="816">
        <v>8</v>
      </c>
      <c r="L7" s="815">
        <v>9</v>
      </c>
      <c r="M7" s="816">
        <v>10</v>
      </c>
    </row>
    <row r="8" spans="1:14" ht="93.75" customHeight="1">
      <c r="A8" s="16">
        <v>1</v>
      </c>
      <c r="B8" s="1633" t="s">
        <v>1570</v>
      </c>
      <c r="C8" s="1633"/>
      <c r="D8" s="1633"/>
      <c r="E8" s="1633"/>
      <c r="F8" s="1633"/>
      <c r="G8" s="1633"/>
      <c r="H8" s="1633"/>
      <c r="I8" s="534"/>
      <c r="J8" s="535"/>
      <c r="K8" s="16"/>
      <c r="L8" s="208"/>
      <c r="M8" s="38"/>
      <c r="N8" s="533" t="s">
        <v>2209</v>
      </c>
    </row>
    <row r="9" spans="1:14" s="541" customFormat="1" ht="16.5" customHeight="1">
      <c r="A9" s="16"/>
      <c r="B9" s="39" t="s">
        <v>3019</v>
      </c>
      <c r="C9" s="534"/>
      <c r="D9" s="858" t="s">
        <v>3259</v>
      </c>
      <c r="E9" s="537"/>
      <c r="F9" s="538"/>
      <c r="G9" s="538"/>
      <c r="H9" s="538"/>
      <c r="I9" s="539"/>
      <c r="J9" s="550"/>
      <c r="K9" s="39"/>
      <c r="L9" s="16"/>
      <c r="M9" s="39"/>
      <c r="N9" s="533" t="s">
        <v>2209</v>
      </c>
    </row>
    <row r="10" spans="1:14" s="541" customFormat="1" ht="16.5" customHeight="1">
      <c r="A10" s="16"/>
      <c r="B10" s="39"/>
      <c r="C10" s="534">
        <v>1</v>
      </c>
      <c r="D10" s="536" t="s">
        <v>273</v>
      </c>
      <c r="E10" s="537">
        <v>2</v>
      </c>
      <c r="F10" s="538">
        <v>0.23</v>
      </c>
      <c r="G10" s="538">
        <v>0.38</v>
      </c>
      <c r="H10" s="538">
        <v>1.2</v>
      </c>
      <c r="I10" s="542">
        <f t="shared" ref="I10:I12" si="0">ROUND(IF(AND(F10:H10),C10*E10*F10*G10*H10,IF(AND(F10,G10),C10*E10*F10*G10,IF(AND(F10,H10),C10*E10*F10*H10,IF(AND(G10,H10),C10*E10*G10*H10,IF(F10,C10*E10*F10,IF(G10,C10*E10*G10,IF(H10,C10*E10*H10,C10*E10))))))),2)</f>
        <v>0.21</v>
      </c>
      <c r="J10" s="550" t="s">
        <v>5</v>
      </c>
      <c r="K10" s="39"/>
      <c r="L10" s="16"/>
      <c r="M10" s="39"/>
      <c r="N10" s="533" t="s">
        <v>2209</v>
      </c>
    </row>
    <row r="11" spans="1:14" s="541" customFormat="1" ht="16.5" customHeight="1">
      <c r="A11" s="16"/>
      <c r="B11" s="39"/>
      <c r="C11" s="534">
        <v>1</v>
      </c>
      <c r="D11" s="536" t="s">
        <v>273</v>
      </c>
      <c r="E11" s="537">
        <v>3</v>
      </c>
      <c r="F11" s="538">
        <v>0.23</v>
      </c>
      <c r="G11" s="538">
        <v>0.38</v>
      </c>
      <c r="H11" s="538">
        <v>2.87</v>
      </c>
      <c r="I11" s="542">
        <f t="shared" si="0"/>
        <v>0.75</v>
      </c>
      <c r="J11" s="550" t="s">
        <v>5</v>
      </c>
      <c r="K11" s="39"/>
      <c r="L11" s="208"/>
      <c r="M11" s="39"/>
      <c r="N11" s="533" t="s">
        <v>2209</v>
      </c>
    </row>
    <row r="12" spans="1:14" s="541" customFormat="1" ht="16.5" customHeight="1">
      <c r="A12" s="16"/>
      <c r="B12" s="39"/>
      <c r="C12" s="534">
        <v>1</v>
      </c>
      <c r="D12" s="536" t="s">
        <v>273</v>
      </c>
      <c r="E12" s="537">
        <v>10</v>
      </c>
      <c r="F12" s="538">
        <v>0.23</v>
      </c>
      <c r="G12" s="538">
        <v>0.38</v>
      </c>
      <c r="H12" s="538">
        <v>2.8</v>
      </c>
      <c r="I12" s="542">
        <f t="shared" si="0"/>
        <v>2.4500000000000002</v>
      </c>
      <c r="J12" s="550" t="s">
        <v>5</v>
      </c>
      <c r="K12" s="39"/>
      <c r="L12" s="208"/>
      <c r="M12" s="39"/>
      <c r="N12" s="533" t="s">
        <v>2209</v>
      </c>
    </row>
    <row r="13" spans="1:14" s="541" customFormat="1" ht="16.5" customHeight="1">
      <c r="A13" s="16"/>
      <c r="B13" s="39" t="s">
        <v>3020</v>
      </c>
      <c r="C13" s="534"/>
      <c r="D13" s="858" t="s">
        <v>3261</v>
      </c>
      <c r="E13" s="537"/>
      <c r="F13" s="538"/>
      <c r="G13" s="538"/>
      <c r="H13" s="538"/>
      <c r="I13" s="539"/>
      <c r="J13" s="550"/>
      <c r="K13" s="39"/>
      <c r="L13" s="16"/>
      <c r="M13" s="39"/>
      <c r="N13" s="533" t="s">
        <v>2209</v>
      </c>
    </row>
    <row r="14" spans="1:14" s="541" customFormat="1" ht="16.5" customHeight="1">
      <c r="A14" s="16"/>
      <c r="B14" s="39"/>
      <c r="C14" s="534">
        <v>1</v>
      </c>
      <c r="D14" s="536" t="s">
        <v>273</v>
      </c>
      <c r="E14" s="537">
        <v>2</v>
      </c>
      <c r="F14" s="538">
        <v>0.23</v>
      </c>
      <c r="G14" s="538">
        <v>0.38</v>
      </c>
      <c r="H14" s="538">
        <v>1.22</v>
      </c>
      <c r="I14" s="542">
        <f t="shared" ref="I14" si="1">ROUND(IF(AND(F14:H14),C14*E14*F14*G14*H14,IF(AND(F14,G14),C14*E14*F14*G14,IF(AND(F14,H14),C14*E14*F14*H14,IF(AND(G14,H14),C14*E14*G14*H14,IF(F14,C14*E14*F14,IF(G14,C14*E14*G14,IF(H14,C14*E14*H14,C14*E14))))))),2)</f>
        <v>0.21</v>
      </c>
      <c r="J14" s="550" t="s">
        <v>5</v>
      </c>
      <c r="K14" s="39"/>
      <c r="L14" s="16"/>
      <c r="M14" s="39"/>
      <c r="N14" s="533" t="s">
        <v>2209</v>
      </c>
    </row>
    <row r="15" spans="1:14" s="541" customFormat="1" ht="16.5" customHeight="1">
      <c r="A15" s="16"/>
      <c r="B15" s="39"/>
      <c r="C15" s="534"/>
      <c r="D15" s="536"/>
      <c r="E15" s="537"/>
      <c r="F15" s="538"/>
      <c r="G15" s="538"/>
      <c r="H15" s="538"/>
      <c r="I15" s="542"/>
      <c r="J15" s="550"/>
      <c r="K15" s="39"/>
      <c r="L15" s="208"/>
      <c r="M15" s="39"/>
      <c r="N15" s="533" t="s">
        <v>2209</v>
      </c>
    </row>
    <row r="16" spans="1:14" ht="15.75">
      <c r="A16" s="16"/>
      <c r="B16" s="39"/>
      <c r="C16" s="551"/>
      <c r="D16" s="552"/>
      <c r="E16" s="537"/>
      <c r="F16" s="538"/>
      <c r="G16" s="40"/>
      <c r="H16" s="16"/>
      <c r="I16" s="549"/>
      <c r="J16" s="550" t="s">
        <v>5</v>
      </c>
      <c r="K16" s="10">
        <f>data!F155</f>
        <v>9806.8100000000013</v>
      </c>
      <c r="L16" s="208" t="s">
        <v>2209</v>
      </c>
      <c r="M16" s="9">
        <f>ROUND(I16*K16,0)</f>
        <v>0</v>
      </c>
      <c r="N16" s="533" t="s">
        <v>2209</v>
      </c>
    </row>
    <row r="17" spans="1:14" ht="93.75" customHeight="1">
      <c r="A17" s="16">
        <v>1</v>
      </c>
      <c r="B17" s="1633" t="s">
        <v>1570</v>
      </c>
      <c r="C17" s="1633"/>
      <c r="D17" s="1633"/>
      <c r="E17" s="1633"/>
      <c r="F17" s="1633"/>
      <c r="G17" s="1633"/>
      <c r="H17" s="1633"/>
      <c r="I17" s="534"/>
      <c r="J17" s="535"/>
      <c r="K17" s="16"/>
      <c r="L17" s="208"/>
      <c r="M17" s="38"/>
      <c r="N17" s="533" t="s">
        <v>2297</v>
      </c>
    </row>
    <row r="18" spans="1:14" s="541" customFormat="1" ht="16.5" customHeight="1">
      <c r="A18" s="16"/>
      <c r="B18" s="39" t="s">
        <v>2828</v>
      </c>
      <c r="C18" s="534"/>
      <c r="D18" s="536"/>
      <c r="E18" s="537"/>
      <c r="F18" s="538"/>
      <c r="G18" s="538"/>
      <c r="H18" s="538"/>
      <c r="I18" s="539"/>
      <c r="J18" s="550"/>
      <c r="K18" s="39"/>
      <c r="L18" s="16"/>
      <c r="M18" s="39"/>
      <c r="N18" s="533" t="s">
        <v>2297</v>
      </c>
    </row>
    <row r="19" spans="1:14" s="541" customFormat="1" ht="16.5" customHeight="1">
      <c r="A19" s="16"/>
      <c r="B19" s="39" t="s">
        <v>1491</v>
      </c>
      <c r="C19" s="534">
        <v>1</v>
      </c>
      <c r="D19" s="536" t="s">
        <v>273</v>
      </c>
      <c r="E19" s="537">
        <v>11</v>
      </c>
      <c r="F19" s="538">
        <v>0.36</v>
      </c>
      <c r="G19" s="538">
        <v>0.48</v>
      </c>
      <c r="H19" s="538">
        <v>0.05</v>
      </c>
      <c r="I19" s="542">
        <f>ROUND(IF(AND(F19:H19),C19*E19*F19*G19*H19,IF(AND(F19,G19),C19*E19*F19*G19,IF(AND(F19,H19),C19*E19*F19*H19,IF(AND(G19,H19),C19*E19*G19*H19,IF(F19,C19*E19*F19,IF(G19,C19*E19*G19,IF(H19,C19*E19*H19,C19*E19))))))),2)</f>
        <v>0.1</v>
      </c>
      <c r="J19" s="550" t="s">
        <v>5</v>
      </c>
      <c r="K19" s="39"/>
      <c r="L19" s="16"/>
      <c r="M19" s="39"/>
      <c r="N19" s="533" t="s">
        <v>2297</v>
      </c>
    </row>
    <row r="20" spans="1:14" s="541" customFormat="1" ht="16.5" customHeight="1">
      <c r="A20" s="16"/>
      <c r="B20" s="544"/>
      <c r="C20" s="545"/>
      <c r="D20" s="546"/>
      <c r="E20" s="547"/>
      <c r="F20" s="548"/>
      <c r="G20" s="548"/>
      <c r="H20" s="548"/>
      <c r="I20" s="549"/>
      <c r="J20" s="550"/>
      <c r="K20" s="39"/>
      <c r="L20" s="208"/>
      <c r="M20" s="39"/>
      <c r="N20" s="533" t="s">
        <v>2297</v>
      </c>
    </row>
    <row r="21" spans="1:14" ht="15.75">
      <c r="A21" s="16"/>
      <c r="B21" s="39"/>
      <c r="C21" s="551"/>
      <c r="D21" s="552"/>
      <c r="E21" s="537"/>
      <c r="F21" s="538"/>
      <c r="G21" s="40"/>
      <c r="H21" s="16"/>
      <c r="I21" s="549"/>
      <c r="J21" s="550" t="s">
        <v>5</v>
      </c>
      <c r="K21" s="10">
        <f>data!F1071</f>
        <v>10177.17</v>
      </c>
      <c r="L21" s="208" t="s">
        <v>2297</v>
      </c>
      <c r="M21" s="9">
        <f>ROUND(I21*K21,0)</f>
        <v>0</v>
      </c>
      <c r="N21" s="533" t="s">
        <v>2297</v>
      </c>
    </row>
    <row r="22" spans="1:14" ht="93.75" customHeight="1">
      <c r="A22" s="16">
        <v>1</v>
      </c>
      <c r="B22" s="1633" t="s">
        <v>1570</v>
      </c>
      <c r="C22" s="1633"/>
      <c r="D22" s="1633"/>
      <c r="E22" s="1633"/>
      <c r="F22" s="1633"/>
      <c r="G22" s="1633"/>
      <c r="H22" s="1633"/>
      <c r="I22" s="534"/>
      <c r="J22" s="535"/>
      <c r="K22" s="16"/>
      <c r="L22" s="208"/>
      <c r="M22" s="38"/>
      <c r="N22" s="533" t="s">
        <v>2308</v>
      </c>
    </row>
    <row r="23" spans="1:14" s="541" customFormat="1" ht="16.5" customHeight="1">
      <c r="A23" s="16"/>
      <c r="B23" s="39" t="s">
        <v>3019</v>
      </c>
      <c r="C23" s="534"/>
      <c r="D23" s="536"/>
      <c r="E23" s="537"/>
      <c r="F23" s="538"/>
      <c r="G23" s="538"/>
      <c r="H23" s="538"/>
      <c r="I23" s="539"/>
      <c r="J23" s="550"/>
      <c r="K23" s="39"/>
      <c r="L23" s="16"/>
      <c r="M23" s="39"/>
      <c r="N23" s="533" t="s">
        <v>2308</v>
      </c>
    </row>
    <row r="24" spans="1:14" s="541" customFormat="1" ht="16.5" customHeight="1">
      <c r="A24" s="16"/>
      <c r="B24" s="39"/>
      <c r="C24" s="534">
        <v>1</v>
      </c>
      <c r="D24" s="536" t="s">
        <v>273</v>
      </c>
      <c r="E24" s="537">
        <v>2</v>
      </c>
      <c r="F24" s="538">
        <v>0.23</v>
      </c>
      <c r="G24" s="538">
        <v>0.38</v>
      </c>
      <c r="H24" s="538">
        <v>1.2</v>
      </c>
      <c r="I24" s="542">
        <f t="shared" ref="I24:I26" si="2">ROUND(IF(AND(F24:H24),C24*E24*F24*G24*H24,IF(AND(F24,G24),C24*E24*F24*G24,IF(AND(F24,H24),C24*E24*F24*H24,IF(AND(G24,H24),C24*E24*G24*H24,IF(F24,C24*E24*F24,IF(G24,C24*E24*G24,IF(H24,C24*E24*H24,C24*E24))))))),2)</f>
        <v>0.21</v>
      </c>
      <c r="J24" s="550" t="s">
        <v>5</v>
      </c>
      <c r="K24" s="39"/>
      <c r="L24" s="16"/>
      <c r="M24" s="39"/>
      <c r="N24" s="533" t="s">
        <v>2308</v>
      </c>
    </row>
    <row r="25" spans="1:14" s="541" customFormat="1" ht="16.5" customHeight="1">
      <c r="A25" s="16"/>
      <c r="B25" s="39"/>
      <c r="C25" s="534">
        <v>1</v>
      </c>
      <c r="D25" s="536" t="s">
        <v>273</v>
      </c>
      <c r="E25" s="537">
        <v>3</v>
      </c>
      <c r="F25" s="538">
        <v>0.23</v>
      </c>
      <c r="G25" s="538">
        <v>0.38</v>
      </c>
      <c r="H25" s="538">
        <v>2.87</v>
      </c>
      <c r="I25" s="542">
        <f t="shared" si="2"/>
        <v>0.75</v>
      </c>
      <c r="J25" s="550" t="s">
        <v>5</v>
      </c>
      <c r="K25" s="39"/>
      <c r="L25" s="16"/>
      <c r="M25" s="39"/>
      <c r="N25" s="533" t="s">
        <v>2308</v>
      </c>
    </row>
    <row r="26" spans="1:14" s="541" customFormat="1" ht="16.5" customHeight="1">
      <c r="A26" s="16"/>
      <c r="B26" s="39"/>
      <c r="C26" s="534">
        <v>1</v>
      </c>
      <c r="D26" s="536" t="s">
        <v>273</v>
      </c>
      <c r="E26" s="537">
        <v>10</v>
      </c>
      <c r="F26" s="538">
        <v>0.23</v>
      </c>
      <c r="G26" s="538">
        <v>0.38</v>
      </c>
      <c r="H26" s="538">
        <v>2.8</v>
      </c>
      <c r="I26" s="542">
        <f t="shared" si="2"/>
        <v>2.4500000000000002</v>
      </c>
      <c r="J26" s="550" t="s">
        <v>5</v>
      </c>
      <c r="K26" s="39"/>
      <c r="L26" s="16"/>
      <c r="M26" s="39"/>
      <c r="N26" s="533" t="s">
        <v>2308</v>
      </c>
    </row>
    <row r="27" spans="1:14" s="541" customFormat="1" ht="16.5" customHeight="1">
      <c r="A27" s="16"/>
      <c r="B27" s="39" t="s">
        <v>3020</v>
      </c>
      <c r="C27" s="534"/>
      <c r="D27" s="536"/>
      <c r="E27" s="537"/>
      <c r="F27" s="538"/>
      <c r="G27" s="538"/>
      <c r="H27" s="538"/>
      <c r="I27" s="539"/>
      <c r="J27" s="550"/>
      <c r="K27" s="39"/>
      <c r="L27" s="16"/>
      <c r="M27" s="39"/>
      <c r="N27" s="533" t="s">
        <v>2308</v>
      </c>
    </row>
    <row r="28" spans="1:14" s="541" customFormat="1" ht="16.5" customHeight="1">
      <c r="A28" s="16"/>
      <c r="B28" s="39"/>
      <c r="C28" s="534">
        <v>1</v>
      </c>
      <c r="D28" s="536" t="s">
        <v>273</v>
      </c>
      <c r="E28" s="537">
        <v>2</v>
      </c>
      <c r="F28" s="538">
        <v>0.23</v>
      </c>
      <c r="G28" s="538">
        <v>0.38</v>
      </c>
      <c r="H28" s="538">
        <v>1.22</v>
      </c>
      <c r="I28" s="542">
        <f t="shared" ref="I28" si="3">ROUND(IF(AND(F28:H28),C28*E28*F28*G28*H28,IF(AND(F28,G28),C28*E28*F28*G28,IF(AND(F28,H28),C28*E28*F28*H28,IF(AND(G28,H28),C28*E28*G28*H28,IF(F28,C28*E28*F28,IF(G28,C28*E28*G28,IF(H28,C28*E28*H28,C28*E28))))))),2)</f>
        <v>0.21</v>
      </c>
      <c r="J28" s="550" t="s">
        <v>5</v>
      </c>
      <c r="K28" s="39"/>
      <c r="L28" s="16"/>
      <c r="M28" s="39"/>
      <c r="N28" s="533" t="s">
        <v>2308</v>
      </c>
    </row>
    <row r="29" spans="1:14" s="541" customFormat="1" ht="16.5" customHeight="1">
      <c r="A29" s="16"/>
      <c r="B29" s="544"/>
      <c r="C29" s="545"/>
      <c r="D29" s="546"/>
      <c r="E29" s="547"/>
      <c r="F29" s="548"/>
      <c r="G29" s="548"/>
      <c r="H29" s="548"/>
      <c r="I29" s="549"/>
      <c r="J29" s="550"/>
      <c r="K29" s="39"/>
      <c r="L29" s="208"/>
      <c r="M29" s="39"/>
      <c r="N29" s="533" t="s">
        <v>2308</v>
      </c>
    </row>
    <row r="30" spans="1:14" ht="15.75">
      <c r="A30" s="16"/>
      <c r="B30" s="39"/>
      <c r="C30" s="551"/>
      <c r="D30" s="552"/>
      <c r="E30" s="537"/>
      <c r="F30" s="538"/>
      <c r="G30" s="40"/>
      <c r="H30" s="16"/>
      <c r="I30" s="549"/>
      <c r="J30" s="550" t="s">
        <v>5</v>
      </c>
      <c r="K30" s="10">
        <f>data!F1988</f>
        <v>10761.36</v>
      </c>
      <c r="L30" s="208" t="s">
        <v>2308</v>
      </c>
      <c r="M30" s="9">
        <f>ROUND(I30*K30,0)</f>
        <v>0</v>
      </c>
      <c r="N30" s="533" t="s">
        <v>2308</v>
      </c>
    </row>
    <row r="31" spans="1:14" ht="93.75" customHeight="1">
      <c r="A31" s="16">
        <v>1</v>
      </c>
      <c r="B31" s="1633" t="s">
        <v>1570</v>
      </c>
      <c r="C31" s="1633"/>
      <c r="D31" s="1633"/>
      <c r="E31" s="1633"/>
      <c r="F31" s="1633"/>
      <c r="G31" s="1633"/>
      <c r="H31" s="1633"/>
      <c r="I31" s="534"/>
      <c r="J31" s="535"/>
      <c r="K31" s="16"/>
      <c r="L31" s="208"/>
      <c r="M31" s="38"/>
      <c r="N31" s="533" t="s">
        <v>2309</v>
      </c>
    </row>
    <row r="32" spans="1:14" s="541" customFormat="1" ht="16.5" customHeight="1">
      <c r="A32" s="16"/>
      <c r="B32" s="39" t="s">
        <v>2828</v>
      </c>
      <c r="C32" s="534"/>
      <c r="D32" s="536"/>
      <c r="E32" s="537"/>
      <c r="F32" s="538"/>
      <c r="G32" s="538"/>
      <c r="H32" s="538"/>
      <c r="I32" s="539"/>
      <c r="J32" s="550"/>
      <c r="K32" s="39"/>
      <c r="L32" s="16"/>
      <c r="M32" s="39"/>
      <c r="N32" s="533" t="s">
        <v>2309</v>
      </c>
    </row>
    <row r="33" spans="1:14" s="541" customFormat="1" ht="16.5" customHeight="1">
      <c r="A33" s="16"/>
      <c r="B33" s="39" t="s">
        <v>1491</v>
      </c>
      <c r="C33" s="534">
        <v>1</v>
      </c>
      <c r="D33" s="536" t="s">
        <v>273</v>
      </c>
      <c r="E33" s="537">
        <v>11</v>
      </c>
      <c r="F33" s="538">
        <v>0.36</v>
      </c>
      <c r="G33" s="538">
        <v>0.48</v>
      </c>
      <c r="H33" s="538">
        <v>0.05</v>
      </c>
      <c r="I33" s="542">
        <f>ROUND(IF(AND(F33:H33),C33*E33*F33*G33*H33,IF(AND(F33,G33),C33*E33*F33*G33,IF(AND(F33,H33),C33*E33*F33*H33,IF(AND(G33,H33),C33*E33*G33*H33,IF(F33,C33*E33*F33,IF(G33,C33*E33*G33,IF(H33,C33*E33*H33,C33*E33))))))),2)</f>
        <v>0.1</v>
      </c>
      <c r="J33" s="550" t="s">
        <v>5</v>
      </c>
      <c r="K33" s="39"/>
      <c r="L33" s="16"/>
      <c r="M33" s="39"/>
      <c r="N33" s="533" t="s">
        <v>2309</v>
      </c>
    </row>
    <row r="34" spans="1:14" s="541" customFormat="1" ht="16.5" customHeight="1">
      <c r="A34" s="16"/>
      <c r="B34" s="544"/>
      <c r="C34" s="545"/>
      <c r="D34" s="546"/>
      <c r="E34" s="547"/>
      <c r="F34" s="548"/>
      <c r="G34" s="548"/>
      <c r="H34" s="548"/>
      <c r="I34" s="549"/>
      <c r="J34" s="550"/>
      <c r="K34" s="39"/>
      <c r="L34" s="208"/>
      <c r="M34" s="39"/>
      <c r="N34" s="533" t="s">
        <v>2309</v>
      </c>
    </row>
    <row r="35" spans="1:14" ht="15.75">
      <c r="A35" s="16"/>
      <c r="B35" s="39"/>
      <c r="C35" s="551"/>
      <c r="D35" s="552"/>
      <c r="E35" s="537"/>
      <c r="F35" s="538"/>
      <c r="G35" s="40"/>
      <c r="H35" s="16"/>
      <c r="I35" s="549"/>
      <c r="J35" s="550" t="s">
        <v>5</v>
      </c>
      <c r="K35" s="10">
        <f>data!F2905</f>
        <v>11192.01</v>
      </c>
      <c r="L35" s="208" t="s">
        <v>2309</v>
      </c>
      <c r="M35" s="9">
        <f>ROUND(I35*K35,0)</f>
        <v>0</v>
      </c>
      <c r="N35" s="533" t="s">
        <v>2309</v>
      </c>
    </row>
    <row r="36" spans="1:14" ht="17.25" customHeight="1">
      <c r="A36" s="16">
        <v>2</v>
      </c>
      <c r="B36" s="1633" t="s">
        <v>303</v>
      </c>
      <c r="C36" s="1633"/>
      <c r="D36" s="1633"/>
      <c r="E36" s="1633"/>
      <c r="F36" s="1633"/>
      <c r="G36" s="1633"/>
      <c r="H36" s="1633"/>
      <c r="I36" s="534"/>
      <c r="J36" s="535"/>
      <c r="K36" s="16"/>
      <c r="L36" s="208"/>
      <c r="M36" s="38"/>
      <c r="N36" s="533" t="s">
        <v>2209</v>
      </c>
    </row>
    <row r="37" spans="1:14" s="541" customFormat="1" ht="16.5" customHeight="1">
      <c r="A37" s="16"/>
      <c r="B37" s="39" t="s">
        <v>3020</v>
      </c>
      <c r="C37" s="534"/>
      <c r="D37" s="858" t="s">
        <v>3261</v>
      </c>
      <c r="E37" s="537"/>
      <c r="F37" s="538"/>
      <c r="G37" s="538"/>
      <c r="H37" s="538"/>
      <c r="I37" s="539"/>
      <c r="J37" s="550"/>
      <c r="K37" s="39"/>
      <c r="L37" s="208"/>
      <c r="M37" s="39"/>
      <c r="N37" s="533" t="s">
        <v>2209</v>
      </c>
    </row>
    <row r="38" spans="1:14" s="541" customFormat="1" ht="16.5" customHeight="1">
      <c r="A38" s="16"/>
      <c r="B38" s="39"/>
      <c r="C38" s="534">
        <v>1</v>
      </c>
      <c r="D38" s="536" t="s">
        <v>273</v>
      </c>
      <c r="E38" s="537">
        <v>1</v>
      </c>
      <c r="F38" s="538">
        <v>2.72</v>
      </c>
      <c r="G38" s="538">
        <v>0.23</v>
      </c>
      <c r="H38" s="538">
        <v>0.3</v>
      </c>
      <c r="I38" s="542">
        <f t="shared" ref="I38:I39" si="4">ROUND(IF(AND(F38:H38),C38*E38*F38*G38*H38,IF(AND(F38,G38),C38*E38*F38*G38,IF(AND(F38,H38),C38*E38*F38*H38,IF(AND(G38,H38),C38*E38*G38*H38,IF(F38,C38*E38*F38,IF(G38,C38*E38*G38,IF(H38,C38*E38*H38,C38*E38))))))),2)</f>
        <v>0.19</v>
      </c>
      <c r="J38" s="550" t="s">
        <v>5</v>
      </c>
      <c r="K38" s="39"/>
      <c r="L38" s="208"/>
      <c r="M38" s="39"/>
      <c r="N38" s="533" t="s">
        <v>2209</v>
      </c>
    </row>
    <row r="39" spans="1:14" s="541" customFormat="1" ht="16.5" customHeight="1">
      <c r="A39" s="16"/>
      <c r="B39" s="39" t="s">
        <v>3054</v>
      </c>
      <c r="C39" s="534">
        <v>1</v>
      </c>
      <c r="D39" s="536" t="s">
        <v>273</v>
      </c>
      <c r="E39" s="537">
        <v>2</v>
      </c>
      <c r="F39" s="538">
        <v>1</v>
      </c>
      <c r="G39" s="538">
        <v>0.23</v>
      </c>
      <c r="H39" s="538">
        <v>0.3</v>
      </c>
      <c r="I39" s="542">
        <f t="shared" si="4"/>
        <v>0.14000000000000001</v>
      </c>
      <c r="J39" s="550" t="s">
        <v>5</v>
      </c>
      <c r="K39" s="39"/>
      <c r="L39" s="208"/>
      <c r="M39" s="39"/>
      <c r="N39" s="533" t="s">
        <v>2209</v>
      </c>
    </row>
    <row r="40" spans="1:14" s="541" customFormat="1" ht="16.5" customHeight="1">
      <c r="A40" s="16"/>
      <c r="B40" s="39" t="s">
        <v>3021</v>
      </c>
      <c r="C40" s="534"/>
      <c r="D40" s="858" t="s">
        <v>3262</v>
      </c>
      <c r="E40" s="537"/>
      <c r="F40" s="538"/>
      <c r="G40" s="538"/>
      <c r="H40" s="538"/>
      <c r="I40" s="539"/>
      <c r="J40" s="550"/>
      <c r="K40" s="39"/>
      <c r="L40" s="208"/>
      <c r="M40" s="39"/>
      <c r="N40" s="533" t="s">
        <v>2209</v>
      </c>
    </row>
    <row r="41" spans="1:14" s="541" customFormat="1" ht="16.5" customHeight="1">
      <c r="A41" s="16"/>
      <c r="B41" s="39" t="s">
        <v>3057</v>
      </c>
      <c r="C41" s="534">
        <v>1</v>
      </c>
      <c r="D41" s="536" t="s">
        <v>273</v>
      </c>
      <c r="E41" s="537">
        <v>1</v>
      </c>
      <c r="F41" s="538">
        <v>3.27</v>
      </c>
      <c r="G41" s="538">
        <v>0.23</v>
      </c>
      <c r="H41" s="538">
        <v>0.3</v>
      </c>
      <c r="I41" s="542">
        <f t="shared" ref="I41:I52" si="5">ROUND(IF(AND(F41:H41),C41*E41*F41*G41*H41,IF(AND(F41,G41),C41*E41*F41*G41,IF(AND(F41,H41),C41*E41*F41*H41,IF(AND(G41,H41),C41*E41*G41*H41,IF(F41,C41*E41*F41,IF(G41,C41*E41*G41,IF(H41,C41*E41*H41,C41*E41))))))),2)</f>
        <v>0.23</v>
      </c>
      <c r="J41" s="550" t="s">
        <v>5</v>
      </c>
      <c r="K41" s="39"/>
      <c r="L41" s="208"/>
      <c r="M41" s="39"/>
      <c r="N41" s="533" t="s">
        <v>2209</v>
      </c>
    </row>
    <row r="42" spans="1:14" s="541" customFormat="1" ht="16.5" customHeight="1">
      <c r="A42" s="16"/>
      <c r="B42" s="39"/>
      <c r="C42" s="534">
        <v>1</v>
      </c>
      <c r="D42" s="536" t="s">
        <v>273</v>
      </c>
      <c r="E42" s="537">
        <v>1</v>
      </c>
      <c r="F42" s="538">
        <v>5.45</v>
      </c>
      <c r="G42" s="538">
        <v>0.23</v>
      </c>
      <c r="H42" s="538">
        <v>0.38</v>
      </c>
      <c r="I42" s="542">
        <f t="shared" si="5"/>
        <v>0.48</v>
      </c>
      <c r="J42" s="550" t="s">
        <v>5</v>
      </c>
      <c r="K42" s="39"/>
      <c r="L42" s="208"/>
      <c r="M42" s="39"/>
      <c r="N42" s="533" t="s">
        <v>2209</v>
      </c>
    </row>
    <row r="43" spans="1:14" s="541" customFormat="1" ht="16.5" customHeight="1">
      <c r="A43" s="16"/>
      <c r="B43" s="39" t="s">
        <v>3058</v>
      </c>
      <c r="C43" s="534">
        <v>1</v>
      </c>
      <c r="D43" s="536" t="s">
        <v>273</v>
      </c>
      <c r="E43" s="537">
        <v>1</v>
      </c>
      <c r="F43" s="538">
        <v>3.27</v>
      </c>
      <c r="G43" s="538">
        <v>0.23</v>
      </c>
      <c r="H43" s="538">
        <v>0.3</v>
      </c>
      <c r="I43" s="542">
        <f t="shared" si="5"/>
        <v>0.23</v>
      </c>
      <c r="J43" s="550" t="s">
        <v>5</v>
      </c>
      <c r="K43" s="39"/>
      <c r="L43" s="208"/>
      <c r="M43" s="39"/>
      <c r="N43" s="533" t="s">
        <v>2209</v>
      </c>
    </row>
    <row r="44" spans="1:14" s="541" customFormat="1" ht="16.5" customHeight="1">
      <c r="A44" s="16"/>
      <c r="B44" s="39"/>
      <c r="C44" s="534">
        <v>1</v>
      </c>
      <c r="D44" s="536" t="s">
        <v>273</v>
      </c>
      <c r="E44" s="537">
        <v>1</v>
      </c>
      <c r="F44" s="538">
        <v>5.45</v>
      </c>
      <c r="G44" s="538">
        <v>0.23</v>
      </c>
      <c r="H44" s="538">
        <v>0.38</v>
      </c>
      <c r="I44" s="542">
        <f t="shared" si="5"/>
        <v>0.48</v>
      </c>
      <c r="J44" s="550" t="s">
        <v>5</v>
      </c>
      <c r="K44" s="39"/>
      <c r="L44" s="208"/>
      <c r="M44" s="39"/>
      <c r="N44" s="533" t="s">
        <v>2209</v>
      </c>
    </row>
    <row r="45" spans="1:14" s="541" customFormat="1" ht="16.5" customHeight="1">
      <c r="A45" s="16"/>
      <c r="B45" s="39" t="s">
        <v>3059</v>
      </c>
      <c r="C45" s="534">
        <v>1</v>
      </c>
      <c r="D45" s="536" t="s">
        <v>273</v>
      </c>
      <c r="E45" s="537">
        <v>1</v>
      </c>
      <c r="F45" s="538">
        <v>3.27</v>
      </c>
      <c r="G45" s="538">
        <v>0.23</v>
      </c>
      <c r="H45" s="538">
        <v>0.3</v>
      </c>
      <c r="I45" s="542">
        <f t="shared" si="5"/>
        <v>0.23</v>
      </c>
      <c r="J45" s="550" t="s">
        <v>5</v>
      </c>
      <c r="K45" s="39"/>
      <c r="L45" s="208"/>
      <c r="M45" s="39"/>
      <c r="N45" s="533" t="s">
        <v>2209</v>
      </c>
    </row>
    <row r="46" spans="1:14" s="541" customFormat="1" ht="16.5" customHeight="1">
      <c r="A46" s="16"/>
      <c r="B46" s="39"/>
      <c r="C46" s="534">
        <v>1</v>
      </c>
      <c r="D46" s="536" t="s">
        <v>273</v>
      </c>
      <c r="E46" s="537">
        <v>1</v>
      </c>
      <c r="F46" s="538">
        <v>5.45</v>
      </c>
      <c r="G46" s="538">
        <v>0.23</v>
      </c>
      <c r="H46" s="538">
        <v>0.38</v>
      </c>
      <c r="I46" s="542">
        <f t="shared" si="5"/>
        <v>0.48</v>
      </c>
      <c r="J46" s="550" t="s">
        <v>5</v>
      </c>
      <c r="K46" s="39"/>
      <c r="L46" s="208"/>
      <c r="M46" s="39"/>
      <c r="N46" s="533" t="s">
        <v>2209</v>
      </c>
    </row>
    <row r="47" spans="1:14" s="541" customFormat="1" ht="16.5" customHeight="1">
      <c r="A47" s="16"/>
      <c r="B47" s="39" t="s">
        <v>2862</v>
      </c>
      <c r="C47" s="534">
        <v>1</v>
      </c>
      <c r="D47" s="536" t="s">
        <v>273</v>
      </c>
      <c r="E47" s="537">
        <v>1</v>
      </c>
      <c r="F47" s="538">
        <v>4.2699999999999996</v>
      </c>
      <c r="G47" s="538">
        <v>0.23</v>
      </c>
      <c r="H47" s="538">
        <v>0.3</v>
      </c>
      <c r="I47" s="542">
        <f t="shared" si="5"/>
        <v>0.28999999999999998</v>
      </c>
      <c r="J47" s="550" t="s">
        <v>5</v>
      </c>
      <c r="K47" s="39"/>
      <c r="L47" s="208"/>
      <c r="M47" s="39"/>
      <c r="N47" s="533" t="s">
        <v>2209</v>
      </c>
    </row>
    <row r="48" spans="1:14" s="541" customFormat="1" ht="16.5" customHeight="1">
      <c r="A48" s="16"/>
      <c r="B48" s="39"/>
      <c r="C48" s="534">
        <v>1</v>
      </c>
      <c r="D48" s="536" t="s">
        <v>273</v>
      </c>
      <c r="E48" s="537">
        <v>1</v>
      </c>
      <c r="F48" s="538">
        <v>5.45</v>
      </c>
      <c r="G48" s="538">
        <v>0.23</v>
      </c>
      <c r="H48" s="538">
        <v>0.38</v>
      </c>
      <c r="I48" s="542">
        <f t="shared" si="5"/>
        <v>0.48</v>
      </c>
      <c r="J48" s="550" t="s">
        <v>5</v>
      </c>
      <c r="K48" s="39"/>
      <c r="L48" s="208"/>
      <c r="M48" s="39"/>
      <c r="N48" s="533" t="s">
        <v>2209</v>
      </c>
    </row>
    <row r="49" spans="1:14" s="541" customFormat="1" ht="16.5" customHeight="1">
      <c r="A49" s="16"/>
      <c r="B49" s="39" t="s">
        <v>2863</v>
      </c>
      <c r="C49" s="534">
        <v>1</v>
      </c>
      <c r="D49" s="536" t="s">
        <v>273</v>
      </c>
      <c r="E49" s="537">
        <v>1</v>
      </c>
      <c r="F49" s="538">
        <v>4.2699999999999996</v>
      </c>
      <c r="G49" s="538">
        <v>0.23</v>
      </c>
      <c r="H49" s="538">
        <v>0.3</v>
      </c>
      <c r="I49" s="542">
        <f t="shared" si="5"/>
        <v>0.28999999999999998</v>
      </c>
      <c r="J49" s="550" t="s">
        <v>5</v>
      </c>
      <c r="K49" s="39"/>
      <c r="L49" s="208"/>
      <c r="M49" s="39"/>
      <c r="N49" s="533" t="s">
        <v>2209</v>
      </c>
    </row>
    <row r="50" spans="1:14" s="541" customFormat="1" ht="16.5" customHeight="1">
      <c r="A50" s="16"/>
      <c r="B50" s="39"/>
      <c r="C50" s="534">
        <v>1</v>
      </c>
      <c r="D50" s="536" t="s">
        <v>273</v>
      </c>
      <c r="E50" s="537">
        <v>1</v>
      </c>
      <c r="F50" s="538">
        <v>5.45</v>
      </c>
      <c r="G50" s="538">
        <v>0.23</v>
      </c>
      <c r="H50" s="538">
        <v>0.38</v>
      </c>
      <c r="I50" s="542">
        <f t="shared" si="5"/>
        <v>0.48</v>
      </c>
      <c r="J50" s="550" t="s">
        <v>5</v>
      </c>
      <c r="K50" s="39"/>
      <c r="L50" s="208"/>
      <c r="M50" s="39"/>
      <c r="N50" s="533" t="s">
        <v>2209</v>
      </c>
    </row>
    <row r="51" spans="1:14" s="541" customFormat="1" ht="16.5" customHeight="1">
      <c r="A51" s="16"/>
      <c r="B51" s="39" t="s">
        <v>2549</v>
      </c>
      <c r="C51" s="534">
        <v>1</v>
      </c>
      <c r="D51" s="536" t="s">
        <v>273</v>
      </c>
      <c r="E51" s="537">
        <v>1</v>
      </c>
      <c r="F51" s="538">
        <v>2.72</v>
      </c>
      <c r="G51" s="538">
        <v>0.23</v>
      </c>
      <c r="H51" s="538">
        <v>0.38</v>
      </c>
      <c r="I51" s="542">
        <f t="shared" si="5"/>
        <v>0.24</v>
      </c>
      <c r="J51" s="550" t="s">
        <v>5</v>
      </c>
      <c r="K51" s="39"/>
      <c r="L51" s="208"/>
      <c r="M51" s="39"/>
      <c r="N51" s="533" t="s">
        <v>2209</v>
      </c>
    </row>
    <row r="52" spans="1:14" s="541" customFormat="1" ht="16.5" customHeight="1">
      <c r="A52" s="16"/>
      <c r="B52" s="39" t="s">
        <v>2548</v>
      </c>
      <c r="C52" s="534">
        <v>1</v>
      </c>
      <c r="D52" s="536" t="s">
        <v>273</v>
      </c>
      <c r="E52" s="537">
        <v>1</v>
      </c>
      <c r="F52" s="538">
        <v>10.42</v>
      </c>
      <c r="G52" s="538">
        <v>0.23</v>
      </c>
      <c r="H52" s="538">
        <v>0.3</v>
      </c>
      <c r="I52" s="542">
        <f t="shared" si="5"/>
        <v>0.72</v>
      </c>
      <c r="J52" s="550" t="s">
        <v>5</v>
      </c>
      <c r="K52" s="39"/>
      <c r="L52" s="208"/>
      <c r="M52" s="39"/>
      <c r="N52" s="533" t="s">
        <v>2209</v>
      </c>
    </row>
    <row r="53" spans="1:14" s="541" customFormat="1" ht="16.5" customHeight="1">
      <c r="A53" s="16"/>
      <c r="B53" s="39" t="s">
        <v>2890</v>
      </c>
      <c r="C53" s="534">
        <v>1</v>
      </c>
      <c r="D53" s="536" t="s">
        <v>273</v>
      </c>
      <c r="E53" s="537">
        <v>5</v>
      </c>
      <c r="F53" s="538">
        <v>0.23</v>
      </c>
      <c r="G53" s="538">
        <v>0.23</v>
      </c>
      <c r="H53" s="538">
        <v>0.3</v>
      </c>
      <c r="I53" s="542">
        <f>-ROUND(IF(AND(F53:H53),C53*E53*F53*G53*H53,IF(AND(F53,G53),C53*E53*F53*G53,IF(AND(F53,H53),C53*E53*F53*H53,IF(AND(G53,H53),C53*E53*G53*H53,IF(F53,C53*E53*F53,IF(G53,C53*E53*G53,IF(H53,C53*E53*H53,C53*E53))))))),2)</f>
        <v>-0.08</v>
      </c>
      <c r="J53" s="550" t="s">
        <v>5</v>
      </c>
      <c r="K53" s="39"/>
      <c r="L53" s="208"/>
      <c r="M53" s="39"/>
      <c r="N53" s="533" t="s">
        <v>2209</v>
      </c>
    </row>
    <row r="54" spans="1:14" s="541" customFormat="1" ht="16.5" customHeight="1">
      <c r="A54" s="16"/>
      <c r="B54" s="39" t="s">
        <v>2864</v>
      </c>
      <c r="C54" s="534">
        <v>1</v>
      </c>
      <c r="D54" s="536" t="s">
        <v>273</v>
      </c>
      <c r="E54" s="537">
        <v>1</v>
      </c>
      <c r="F54" s="538">
        <v>13.37</v>
      </c>
      <c r="G54" s="538">
        <v>0.23</v>
      </c>
      <c r="H54" s="538">
        <v>0.3</v>
      </c>
      <c r="I54" s="542">
        <f t="shared" ref="I54" si="6">ROUND(IF(AND(F54:H54),C54*E54*F54*G54*H54,IF(AND(F54,G54),C54*E54*F54*G54,IF(AND(F54,H54),C54*E54*F54*H54,IF(AND(G54,H54),C54*E54*G54*H54,IF(F54,C54*E54*F54,IF(G54,C54*E54*G54,IF(H54,C54*E54*H54,C54*E54))))))),2)</f>
        <v>0.92</v>
      </c>
      <c r="J54" s="550" t="s">
        <v>5</v>
      </c>
      <c r="K54" s="39"/>
      <c r="L54" s="208"/>
      <c r="M54" s="39"/>
      <c r="N54" s="533" t="s">
        <v>2209</v>
      </c>
    </row>
    <row r="55" spans="1:14" s="541" customFormat="1" ht="16.5" customHeight="1">
      <c r="A55" s="16"/>
      <c r="B55" s="39" t="s">
        <v>2890</v>
      </c>
      <c r="C55" s="534">
        <v>1</v>
      </c>
      <c r="D55" s="536" t="s">
        <v>273</v>
      </c>
      <c r="E55" s="537">
        <v>5</v>
      </c>
      <c r="F55" s="538">
        <v>0.23</v>
      </c>
      <c r="G55" s="538">
        <v>0.23</v>
      </c>
      <c r="H55" s="538">
        <v>0.3</v>
      </c>
      <c r="I55" s="542">
        <f>-ROUND(IF(AND(F55:H55),C55*E55*F55*G55*H55,IF(AND(F55,G55),C55*E55*F55*G55,IF(AND(F55,H55),C55*E55*F55*H55,IF(AND(G55,H55),C55*E55*G55*H55,IF(F55,C55*E55*F55,IF(G55,C55*E55*G55,IF(H55,C55*E55*H55,C55*E55))))))),2)</f>
        <v>-0.08</v>
      </c>
      <c r="J55" s="550" t="s">
        <v>5</v>
      </c>
      <c r="K55" s="39"/>
      <c r="L55" s="208"/>
      <c r="M55" s="39"/>
      <c r="N55" s="533" t="s">
        <v>2209</v>
      </c>
    </row>
    <row r="56" spans="1:14" s="541" customFormat="1" ht="16.5" customHeight="1">
      <c r="A56" s="16"/>
      <c r="B56" s="39" t="s">
        <v>2865</v>
      </c>
      <c r="C56" s="534">
        <v>1</v>
      </c>
      <c r="D56" s="536" t="s">
        <v>273</v>
      </c>
      <c r="E56" s="537">
        <v>1</v>
      </c>
      <c r="F56" s="538">
        <v>13.37</v>
      </c>
      <c r="G56" s="538">
        <v>0.23</v>
      </c>
      <c r="H56" s="538">
        <v>0.3</v>
      </c>
      <c r="I56" s="542">
        <f t="shared" ref="I56" si="7">ROUND(IF(AND(F56:H56),C56*E56*F56*G56*H56,IF(AND(F56,G56),C56*E56*F56*G56,IF(AND(F56,H56),C56*E56*F56*H56,IF(AND(G56,H56),C56*E56*G56*H56,IF(F56,C56*E56*F56,IF(G56,C56*E56*G56,IF(H56,C56*E56*H56,C56*E56))))))),2)</f>
        <v>0.92</v>
      </c>
      <c r="J56" s="550" t="s">
        <v>5</v>
      </c>
      <c r="K56" s="39"/>
      <c r="L56" s="208"/>
      <c r="M56" s="39"/>
      <c r="N56" s="533" t="s">
        <v>2209</v>
      </c>
    </row>
    <row r="57" spans="1:14" s="541" customFormat="1" ht="16.5" customHeight="1">
      <c r="A57" s="16"/>
      <c r="B57" s="39" t="s">
        <v>2890</v>
      </c>
      <c r="C57" s="534">
        <v>1</v>
      </c>
      <c r="D57" s="536" t="s">
        <v>273</v>
      </c>
      <c r="E57" s="537">
        <v>5</v>
      </c>
      <c r="F57" s="538">
        <v>0.23</v>
      </c>
      <c r="G57" s="538">
        <v>0.23</v>
      </c>
      <c r="H57" s="538">
        <v>0.3</v>
      </c>
      <c r="I57" s="542">
        <f>-ROUND(IF(AND(F57:H57),C57*E57*F57*G57*H57,IF(AND(F57,G57),C57*E57*F57*G57,IF(AND(F57,H57),C57*E57*F57*H57,IF(AND(G57,H57),C57*E57*G57*H57,IF(F57,C57*E57*F57,IF(G57,C57*E57*G57,IF(H57,C57*E57*H57,C57*E57))))))),2)</f>
        <v>-0.08</v>
      </c>
      <c r="J57" s="550" t="s">
        <v>5</v>
      </c>
      <c r="K57" s="39"/>
      <c r="L57" s="208"/>
      <c r="M57" s="39"/>
      <c r="N57" s="533" t="s">
        <v>2209</v>
      </c>
    </row>
    <row r="58" spans="1:14" s="541" customFormat="1" ht="16.5" customHeight="1">
      <c r="A58" s="16"/>
      <c r="B58" s="39"/>
      <c r="C58" s="534"/>
      <c r="D58" s="536"/>
      <c r="E58" s="537"/>
      <c r="F58" s="538"/>
      <c r="G58" s="538"/>
      <c r="H58" s="538"/>
      <c r="I58" s="542"/>
      <c r="J58" s="550"/>
      <c r="K58" s="39"/>
      <c r="L58" s="208"/>
      <c r="M58" s="39"/>
      <c r="N58" s="533" t="s">
        <v>2209</v>
      </c>
    </row>
    <row r="59" spans="1:14" ht="15.75">
      <c r="A59" s="16"/>
      <c r="B59" s="39"/>
      <c r="C59" s="551"/>
      <c r="D59" s="552"/>
      <c r="E59" s="537"/>
      <c r="F59" s="538"/>
      <c r="G59" s="40"/>
      <c r="H59" s="16"/>
      <c r="I59" s="549"/>
      <c r="J59" s="550" t="s">
        <v>5</v>
      </c>
      <c r="K59" s="10">
        <f>data!F182</f>
        <v>9468.130000000001</v>
      </c>
      <c r="L59" s="208" t="s">
        <v>2209</v>
      </c>
      <c r="M59" s="9">
        <f>ROUND(I59*K59,0)</f>
        <v>0</v>
      </c>
      <c r="N59" s="533" t="s">
        <v>2209</v>
      </c>
    </row>
    <row r="60" spans="1:14" ht="17.25" customHeight="1">
      <c r="A60" s="16">
        <v>2</v>
      </c>
      <c r="B60" s="1634" t="s">
        <v>303</v>
      </c>
      <c r="C60" s="1635"/>
      <c r="D60" s="1635"/>
      <c r="E60" s="1635"/>
      <c r="F60" s="1635"/>
      <c r="G60" s="1635"/>
      <c r="H60" s="1636"/>
      <c r="I60" s="534"/>
      <c r="J60" s="535"/>
      <c r="K60" s="16"/>
      <c r="L60" s="208"/>
      <c r="M60" s="38"/>
      <c r="N60" s="533" t="s">
        <v>2297</v>
      </c>
    </row>
    <row r="61" spans="1:14" s="541" customFormat="1" ht="16.5" customHeight="1">
      <c r="A61" s="16"/>
      <c r="B61" s="39" t="s">
        <v>2829</v>
      </c>
      <c r="C61" s="534"/>
      <c r="D61" s="536"/>
      <c r="E61" s="537"/>
      <c r="F61" s="538"/>
      <c r="G61" s="538"/>
      <c r="H61" s="538"/>
      <c r="I61" s="539"/>
      <c r="J61" s="550"/>
      <c r="K61" s="39"/>
      <c r="L61" s="208"/>
      <c r="M61" s="39"/>
      <c r="N61" s="533" t="s">
        <v>2297</v>
      </c>
    </row>
    <row r="62" spans="1:14" s="541" customFormat="1" ht="16.5" customHeight="1">
      <c r="A62" s="16"/>
      <c r="B62" s="39" t="s">
        <v>1526</v>
      </c>
      <c r="C62" s="534">
        <v>1</v>
      </c>
      <c r="D62" s="536" t="s">
        <v>273</v>
      </c>
      <c r="E62" s="537">
        <v>1</v>
      </c>
      <c r="F62" s="538">
        <v>2.72</v>
      </c>
      <c r="G62" s="538">
        <v>0.23</v>
      </c>
      <c r="H62" s="538">
        <v>0.3</v>
      </c>
      <c r="I62" s="542">
        <f t="shared" ref="I62:I64" si="8">ROUND(IF(AND(F62:H62),C62*E62*F62*G62*H62,IF(AND(F62,G62),C62*E62*F62*G62,IF(AND(F62,H62),C62*E62*F62*H62,IF(AND(G62,H62),C62*E62*G62*H62,IF(F62,C62*E62*F62,IF(G62,C62*E62*G62,IF(H62,C62*E62*H62,C62*E62))))))),2)</f>
        <v>0.19</v>
      </c>
      <c r="J62" s="550" t="s">
        <v>5</v>
      </c>
      <c r="K62" s="39"/>
      <c r="L62" s="208"/>
      <c r="M62" s="39"/>
      <c r="N62" s="533" t="s">
        <v>2297</v>
      </c>
    </row>
    <row r="63" spans="1:14" s="541" customFormat="1" ht="16.5" customHeight="1">
      <c r="A63" s="16"/>
      <c r="B63" s="39" t="s">
        <v>1527</v>
      </c>
      <c r="C63" s="534">
        <v>1</v>
      </c>
      <c r="D63" s="536" t="s">
        <v>273</v>
      </c>
      <c r="E63" s="537">
        <v>2</v>
      </c>
      <c r="F63" s="538">
        <v>1</v>
      </c>
      <c r="G63" s="538">
        <v>0.23</v>
      </c>
      <c r="H63" s="538">
        <v>0.3</v>
      </c>
      <c r="I63" s="542">
        <f t="shared" si="8"/>
        <v>0.14000000000000001</v>
      </c>
      <c r="J63" s="550" t="s">
        <v>5</v>
      </c>
      <c r="K63" s="39"/>
      <c r="L63" s="208"/>
      <c r="M63" s="39"/>
      <c r="N63" s="533" t="s">
        <v>2297</v>
      </c>
    </row>
    <row r="64" spans="1:14" s="541" customFormat="1" ht="16.5" customHeight="1">
      <c r="A64" s="16"/>
      <c r="B64" s="39" t="s">
        <v>2538</v>
      </c>
      <c r="C64" s="534">
        <v>11</v>
      </c>
      <c r="D64" s="536" t="s">
        <v>273</v>
      </c>
      <c r="E64" s="537">
        <v>0.5</v>
      </c>
      <c r="F64" s="538">
        <v>1.3</v>
      </c>
      <c r="G64" s="538">
        <v>0.3</v>
      </c>
      <c r="H64" s="538">
        <v>0.15</v>
      </c>
      <c r="I64" s="542">
        <f t="shared" si="8"/>
        <v>0.32</v>
      </c>
      <c r="J64" s="550" t="s">
        <v>5</v>
      </c>
      <c r="K64" s="39"/>
      <c r="L64" s="208"/>
      <c r="M64" s="39"/>
      <c r="N64" s="533" t="s">
        <v>2297</v>
      </c>
    </row>
    <row r="65" spans="1:14" s="541" customFormat="1" ht="16.5" customHeight="1">
      <c r="A65" s="16"/>
      <c r="B65" s="39" t="s">
        <v>2830</v>
      </c>
      <c r="C65" s="534"/>
      <c r="D65" s="536"/>
      <c r="E65" s="537"/>
      <c r="F65" s="538"/>
      <c r="G65" s="538"/>
      <c r="H65" s="538"/>
      <c r="I65" s="542"/>
      <c r="J65" s="550"/>
      <c r="K65" s="39"/>
      <c r="L65" s="208"/>
      <c r="M65" s="39"/>
      <c r="N65" s="533" t="s">
        <v>2297</v>
      </c>
    </row>
    <row r="66" spans="1:14" s="541" customFormat="1" ht="16.5" customHeight="1">
      <c r="A66" s="16"/>
      <c r="B66" s="39" t="s">
        <v>2545</v>
      </c>
      <c r="C66" s="534">
        <v>1</v>
      </c>
      <c r="D66" s="536" t="s">
        <v>273</v>
      </c>
      <c r="E66" s="537">
        <v>5</v>
      </c>
      <c r="F66" s="538">
        <v>3.16</v>
      </c>
      <c r="G66" s="538">
        <v>0.23</v>
      </c>
      <c r="H66" s="538">
        <v>0.3</v>
      </c>
      <c r="I66" s="542">
        <f t="shared" ref="I66:I70" si="9">ROUND(IF(AND(F66:H66),C66*E66*F66*G66*H66,IF(AND(F66,G66),C66*E66*F66*G66,IF(AND(F66,H66),C66*E66*F66*H66,IF(AND(G66,H66),C66*E66*G66*H66,IF(F66,C66*E66*F66,IF(G66,C66*E66*G66,IF(H66,C66*E66*H66,C66*E66))))))),2)</f>
        <v>1.0900000000000001</v>
      </c>
      <c r="J66" s="550" t="s">
        <v>5</v>
      </c>
      <c r="K66" s="39"/>
      <c r="L66" s="208"/>
      <c r="M66" s="39"/>
      <c r="N66" s="533" t="s">
        <v>2297</v>
      </c>
    </row>
    <row r="67" spans="1:14" s="541" customFormat="1" ht="16.5" customHeight="1">
      <c r="A67" s="16"/>
      <c r="B67" s="39" t="s">
        <v>2546</v>
      </c>
      <c r="C67" s="534">
        <v>1</v>
      </c>
      <c r="D67" s="536" t="s">
        <v>273</v>
      </c>
      <c r="E67" s="537">
        <v>5</v>
      </c>
      <c r="F67" s="538">
        <v>4.99</v>
      </c>
      <c r="G67" s="538">
        <v>0.23</v>
      </c>
      <c r="H67" s="538">
        <v>0.38</v>
      </c>
      <c r="I67" s="542">
        <f t="shared" si="9"/>
        <v>2.1800000000000002</v>
      </c>
      <c r="J67" s="550" t="s">
        <v>5</v>
      </c>
      <c r="K67" s="39"/>
      <c r="L67" s="208"/>
      <c r="M67" s="39"/>
      <c r="N67" s="533" t="s">
        <v>2297</v>
      </c>
    </row>
    <row r="68" spans="1:14" s="541" customFormat="1" ht="16.5" customHeight="1">
      <c r="A68" s="16"/>
      <c r="B68" s="39" t="s">
        <v>2547</v>
      </c>
      <c r="C68" s="534">
        <v>1</v>
      </c>
      <c r="D68" s="536" t="s">
        <v>273</v>
      </c>
      <c r="E68" s="537">
        <v>2</v>
      </c>
      <c r="F68" s="538">
        <v>12.475</v>
      </c>
      <c r="G68" s="538">
        <v>0.23</v>
      </c>
      <c r="H68" s="538">
        <v>0.3</v>
      </c>
      <c r="I68" s="542">
        <f t="shared" si="9"/>
        <v>1.72</v>
      </c>
      <c r="J68" s="550" t="s">
        <v>5</v>
      </c>
      <c r="K68" s="39"/>
      <c r="L68" s="208"/>
      <c r="M68" s="39"/>
      <c r="N68" s="533" t="s">
        <v>2297</v>
      </c>
    </row>
    <row r="69" spans="1:14" s="541" customFormat="1" ht="16.5" customHeight="1">
      <c r="A69" s="16"/>
      <c r="B69" s="39" t="s">
        <v>2548</v>
      </c>
      <c r="C69" s="534">
        <v>1</v>
      </c>
      <c r="D69" s="536" t="s">
        <v>273</v>
      </c>
      <c r="E69" s="537">
        <v>1</v>
      </c>
      <c r="F69" s="538">
        <v>9.52</v>
      </c>
      <c r="G69" s="538">
        <v>0.23</v>
      </c>
      <c r="H69" s="538">
        <v>0.3</v>
      </c>
      <c r="I69" s="542">
        <f t="shared" si="9"/>
        <v>0.66</v>
      </c>
      <c r="J69" s="550" t="s">
        <v>5</v>
      </c>
      <c r="K69" s="39"/>
      <c r="L69" s="208"/>
      <c r="M69" s="39"/>
      <c r="N69" s="533" t="s">
        <v>2297</v>
      </c>
    </row>
    <row r="70" spans="1:14" s="541" customFormat="1" ht="16.5" customHeight="1">
      <c r="A70" s="16"/>
      <c r="B70" s="39" t="s">
        <v>2549</v>
      </c>
      <c r="C70" s="534">
        <v>1</v>
      </c>
      <c r="D70" s="536" t="s">
        <v>273</v>
      </c>
      <c r="E70" s="537">
        <v>1</v>
      </c>
      <c r="F70" s="538">
        <v>4.95</v>
      </c>
      <c r="G70" s="538">
        <v>0.23</v>
      </c>
      <c r="H70" s="538">
        <v>0.3</v>
      </c>
      <c r="I70" s="542">
        <f t="shared" si="9"/>
        <v>0.34</v>
      </c>
      <c r="J70" s="550" t="s">
        <v>5</v>
      </c>
      <c r="K70" s="39"/>
      <c r="L70" s="208"/>
      <c r="M70" s="39"/>
      <c r="N70" s="533" t="s">
        <v>2297</v>
      </c>
    </row>
    <row r="71" spans="1:14" s="541" customFormat="1" ht="16.5" customHeight="1">
      <c r="A71" s="16"/>
      <c r="B71" s="39" t="s">
        <v>2831</v>
      </c>
      <c r="C71" s="534"/>
      <c r="D71" s="536"/>
      <c r="E71" s="537"/>
      <c r="F71" s="538"/>
      <c r="G71" s="538"/>
      <c r="H71" s="538"/>
      <c r="I71" s="539"/>
      <c r="J71" s="550"/>
      <c r="K71" s="39"/>
      <c r="L71" s="208"/>
      <c r="M71" s="39"/>
      <c r="N71" s="533" t="s">
        <v>2297</v>
      </c>
    </row>
    <row r="72" spans="1:14" s="541" customFormat="1" ht="16.5" customHeight="1">
      <c r="A72" s="16"/>
      <c r="B72" s="39" t="s">
        <v>2538</v>
      </c>
      <c r="C72" s="534">
        <v>11</v>
      </c>
      <c r="D72" s="536" t="s">
        <v>273</v>
      </c>
      <c r="E72" s="537">
        <v>0.5</v>
      </c>
      <c r="F72" s="538">
        <v>1.3</v>
      </c>
      <c r="G72" s="538">
        <v>0.3</v>
      </c>
      <c r="H72" s="538">
        <v>0.15</v>
      </c>
      <c r="I72" s="542">
        <f t="shared" ref="I72" si="10">ROUND(IF(AND(F72:H72),C72*E72*F72*G72*H72,IF(AND(F72,G72),C72*E72*F72*G72,IF(AND(F72,H72),C72*E72*F72*H72,IF(AND(G72,H72),C72*E72*G72*H72,IF(F72,C72*E72*F72,IF(G72,C72*E72*G72,IF(H72,C72*E72*H72,C72*E72))))))),2)</f>
        <v>0.32</v>
      </c>
      <c r="J72" s="550" t="s">
        <v>5</v>
      </c>
      <c r="K72" s="39"/>
      <c r="L72" s="208"/>
      <c r="M72" s="39"/>
      <c r="N72" s="533" t="s">
        <v>2297</v>
      </c>
    </row>
    <row r="73" spans="1:14" s="541" customFormat="1" ht="16.5" customHeight="1">
      <c r="A73" s="16"/>
      <c r="B73" s="544"/>
      <c r="C73" s="545"/>
      <c r="D73" s="546"/>
      <c r="E73" s="547"/>
      <c r="F73" s="548"/>
      <c r="G73" s="548"/>
      <c r="H73" s="548"/>
      <c r="I73" s="549"/>
      <c r="J73" s="550"/>
      <c r="K73" s="39"/>
      <c r="L73" s="208"/>
      <c r="M73" s="39"/>
      <c r="N73" s="533" t="s">
        <v>2297</v>
      </c>
    </row>
    <row r="74" spans="1:14" ht="15.75">
      <c r="A74" s="16"/>
      <c r="B74" s="39"/>
      <c r="C74" s="551"/>
      <c r="D74" s="552"/>
      <c r="E74" s="537"/>
      <c r="F74" s="538"/>
      <c r="G74" s="40"/>
      <c r="H74" s="16"/>
      <c r="I74" s="549"/>
      <c r="J74" s="550" t="s">
        <v>5</v>
      </c>
      <c r="K74" s="10">
        <f>data!F1098</f>
        <v>9694.16</v>
      </c>
      <c r="L74" s="208" t="s">
        <v>2297</v>
      </c>
      <c r="M74" s="9">
        <f>ROUND(I74*K74,0)</f>
        <v>0</v>
      </c>
      <c r="N74" s="533" t="s">
        <v>2297</v>
      </c>
    </row>
    <row r="75" spans="1:14" ht="17.25" customHeight="1">
      <c r="A75" s="16">
        <v>2</v>
      </c>
      <c r="B75" s="1633" t="s">
        <v>303</v>
      </c>
      <c r="C75" s="1633"/>
      <c r="D75" s="1633"/>
      <c r="E75" s="1633"/>
      <c r="F75" s="1633"/>
      <c r="G75" s="1633"/>
      <c r="H75" s="1633"/>
      <c r="I75" s="534"/>
      <c r="J75" s="535"/>
      <c r="K75" s="16"/>
      <c r="L75" s="208"/>
      <c r="M75" s="38"/>
      <c r="N75" s="533" t="s">
        <v>2308</v>
      </c>
    </row>
    <row r="76" spans="1:14" s="541" customFormat="1" ht="16.5" customHeight="1">
      <c r="A76" s="16"/>
      <c r="B76" s="39" t="s">
        <v>3020</v>
      </c>
      <c r="C76" s="534"/>
      <c r="D76" s="536"/>
      <c r="E76" s="537"/>
      <c r="F76" s="538"/>
      <c r="G76" s="538"/>
      <c r="H76" s="538"/>
      <c r="I76" s="539"/>
      <c r="J76" s="550"/>
      <c r="K76" s="39"/>
      <c r="L76" s="208"/>
      <c r="M76" s="39"/>
      <c r="N76" s="533" t="s">
        <v>2308</v>
      </c>
    </row>
    <row r="77" spans="1:14" s="541" customFormat="1" ht="16.5" customHeight="1">
      <c r="A77" s="16"/>
      <c r="B77" s="39"/>
      <c r="C77" s="534">
        <v>1</v>
      </c>
      <c r="D77" s="536" t="s">
        <v>273</v>
      </c>
      <c r="E77" s="537">
        <v>1</v>
      </c>
      <c r="F77" s="538">
        <v>2.72</v>
      </c>
      <c r="G77" s="538">
        <v>0.23</v>
      </c>
      <c r="H77" s="538">
        <v>0.3</v>
      </c>
      <c r="I77" s="542">
        <f t="shared" ref="I77:I78" si="11">ROUND(IF(AND(F77:H77),C77*E77*F77*G77*H77,IF(AND(F77,G77),C77*E77*F77*G77,IF(AND(F77,H77),C77*E77*F77*H77,IF(AND(G77,H77),C77*E77*G77*H77,IF(F77,C77*E77*F77,IF(G77,C77*E77*G77,IF(H77,C77*E77*H77,C77*E77))))))),2)</f>
        <v>0.19</v>
      </c>
      <c r="J77" s="550" t="s">
        <v>5</v>
      </c>
      <c r="K77" s="39"/>
      <c r="L77" s="208"/>
      <c r="M77" s="39"/>
      <c r="N77" s="533" t="s">
        <v>2308</v>
      </c>
    </row>
    <row r="78" spans="1:14" s="541" customFormat="1" ht="16.5" customHeight="1">
      <c r="A78" s="16"/>
      <c r="B78" s="39"/>
      <c r="C78" s="534">
        <v>1</v>
      </c>
      <c r="D78" s="536" t="s">
        <v>273</v>
      </c>
      <c r="E78" s="537">
        <v>2</v>
      </c>
      <c r="F78" s="538">
        <v>1</v>
      </c>
      <c r="G78" s="538">
        <v>0.23</v>
      </c>
      <c r="H78" s="538">
        <v>0.3</v>
      </c>
      <c r="I78" s="542">
        <f t="shared" si="11"/>
        <v>0.14000000000000001</v>
      </c>
      <c r="J78" s="550" t="s">
        <v>5</v>
      </c>
      <c r="K78" s="39"/>
      <c r="L78" s="208"/>
      <c r="M78" s="39"/>
      <c r="N78" s="533" t="s">
        <v>2308</v>
      </c>
    </row>
    <row r="79" spans="1:14" s="541" customFormat="1" ht="16.5" customHeight="1">
      <c r="A79" s="16"/>
      <c r="B79" s="39" t="s">
        <v>3021</v>
      </c>
      <c r="C79" s="534"/>
      <c r="D79" s="536"/>
      <c r="E79" s="537"/>
      <c r="F79" s="538"/>
      <c r="G79" s="538"/>
      <c r="H79" s="538"/>
      <c r="I79" s="539"/>
      <c r="J79" s="550"/>
      <c r="K79" s="39"/>
      <c r="L79" s="208"/>
      <c r="M79" s="39"/>
      <c r="N79" s="533" t="s">
        <v>2308</v>
      </c>
    </row>
    <row r="80" spans="1:14" s="541" customFormat="1" ht="16.5" customHeight="1">
      <c r="A80" s="16"/>
      <c r="B80" s="39"/>
      <c r="C80" s="534">
        <v>1</v>
      </c>
      <c r="D80" s="536" t="s">
        <v>273</v>
      </c>
      <c r="E80" s="537">
        <v>1</v>
      </c>
      <c r="F80" s="538">
        <v>3.27</v>
      </c>
      <c r="G80" s="538">
        <v>0.23</v>
      </c>
      <c r="H80" s="538">
        <v>0.3</v>
      </c>
      <c r="I80" s="542">
        <f t="shared" ref="I80:I91" si="12">ROUND(IF(AND(F80:H80),C80*E80*F80*G80*H80,IF(AND(F80,G80),C80*E80*F80*G80,IF(AND(F80,H80),C80*E80*F80*H80,IF(AND(G80,H80),C80*E80*G80*H80,IF(F80,C80*E80*F80,IF(G80,C80*E80*G80,IF(H80,C80*E80*H80,C80*E80))))))),2)</f>
        <v>0.23</v>
      </c>
      <c r="J80" s="550" t="s">
        <v>5</v>
      </c>
      <c r="K80" s="39"/>
      <c r="L80" s="208"/>
      <c r="M80" s="39"/>
      <c r="N80" s="533" t="s">
        <v>2308</v>
      </c>
    </row>
    <row r="81" spans="1:14" s="541" customFormat="1" ht="16.5" customHeight="1">
      <c r="A81" s="16"/>
      <c r="B81" s="39"/>
      <c r="C81" s="534">
        <v>1</v>
      </c>
      <c r="D81" s="536" t="s">
        <v>273</v>
      </c>
      <c r="E81" s="537">
        <v>1</v>
      </c>
      <c r="F81" s="538">
        <v>5.45</v>
      </c>
      <c r="G81" s="538">
        <v>0.23</v>
      </c>
      <c r="H81" s="538">
        <v>0.38</v>
      </c>
      <c r="I81" s="542">
        <f t="shared" si="12"/>
        <v>0.48</v>
      </c>
      <c r="J81" s="550" t="s">
        <v>5</v>
      </c>
      <c r="K81" s="39"/>
      <c r="L81" s="208"/>
      <c r="M81" s="39"/>
      <c r="N81" s="533" t="s">
        <v>2308</v>
      </c>
    </row>
    <row r="82" spans="1:14" s="541" customFormat="1" ht="16.5" customHeight="1">
      <c r="A82" s="16"/>
      <c r="B82" s="39"/>
      <c r="C82" s="534">
        <v>1</v>
      </c>
      <c r="D82" s="536" t="s">
        <v>273</v>
      </c>
      <c r="E82" s="537">
        <v>1</v>
      </c>
      <c r="F82" s="538">
        <v>3.27</v>
      </c>
      <c r="G82" s="538">
        <v>0.23</v>
      </c>
      <c r="H82" s="538">
        <v>0.3</v>
      </c>
      <c r="I82" s="542">
        <f t="shared" si="12"/>
        <v>0.23</v>
      </c>
      <c r="J82" s="550" t="s">
        <v>5</v>
      </c>
      <c r="K82" s="39"/>
      <c r="L82" s="208"/>
      <c r="M82" s="39"/>
      <c r="N82" s="533" t="s">
        <v>2308</v>
      </c>
    </row>
    <row r="83" spans="1:14" s="541" customFormat="1" ht="16.5" customHeight="1">
      <c r="A83" s="16"/>
      <c r="B83" s="39"/>
      <c r="C83" s="534">
        <v>1</v>
      </c>
      <c r="D83" s="536" t="s">
        <v>273</v>
      </c>
      <c r="E83" s="537">
        <v>1</v>
      </c>
      <c r="F83" s="538">
        <v>5.45</v>
      </c>
      <c r="G83" s="538">
        <v>0.23</v>
      </c>
      <c r="H83" s="538">
        <v>0.38</v>
      </c>
      <c r="I83" s="542">
        <f t="shared" si="12"/>
        <v>0.48</v>
      </c>
      <c r="J83" s="550" t="s">
        <v>5</v>
      </c>
      <c r="K83" s="39"/>
      <c r="L83" s="208"/>
      <c r="M83" s="39"/>
      <c r="N83" s="533" t="s">
        <v>2308</v>
      </c>
    </row>
    <row r="84" spans="1:14" s="541" customFormat="1" ht="16.5" customHeight="1">
      <c r="A84" s="16"/>
      <c r="B84" s="39"/>
      <c r="C84" s="534">
        <v>1</v>
      </c>
      <c r="D84" s="536" t="s">
        <v>273</v>
      </c>
      <c r="E84" s="537">
        <v>1</v>
      </c>
      <c r="F84" s="538">
        <v>3.27</v>
      </c>
      <c r="G84" s="538">
        <v>0.23</v>
      </c>
      <c r="H84" s="538">
        <v>0.3</v>
      </c>
      <c r="I84" s="542">
        <f t="shared" si="12"/>
        <v>0.23</v>
      </c>
      <c r="J84" s="550" t="s">
        <v>5</v>
      </c>
      <c r="K84" s="39"/>
      <c r="L84" s="208"/>
      <c r="M84" s="39"/>
      <c r="N84" s="533" t="s">
        <v>2308</v>
      </c>
    </row>
    <row r="85" spans="1:14" s="541" customFormat="1" ht="16.5" customHeight="1">
      <c r="A85" s="16"/>
      <c r="B85" s="39"/>
      <c r="C85" s="534">
        <v>1</v>
      </c>
      <c r="D85" s="536" t="s">
        <v>273</v>
      </c>
      <c r="E85" s="537">
        <v>1</v>
      </c>
      <c r="F85" s="538">
        <v>5.45</v>
      </c>
      <c r="G85" s="538">
        <v>0.23</v>
      </c>
      <c r="H85" s="538">
        <v>0.38</v>
      </c>
      <c r="I85" s="542">
        <f t="shared" si="12"/>
        <v>0.48</v>
      </c>
      <c r="J85" s="550" t="s">
        <v>5</v>
      </c>
      <c r="K85" s="39"/>
      <c r="L85" s="208"/>
      <c r="M85" s="39"/>
      <c r="N85" s="533" t="s">
        <v>2308</v>
      </c>
    </row>
    <row r="86" spans="1:14" s="541" customFormat="1" ht="16.5" customHeight="1">
      <c r="A86" s="16"/>
      <c r="B86" s="39"/>
      <c r="C86" s="534">
        <v>1</v>
      </c>
      <c r="D86" s="536" t="s">
        <v>273</v>
      </c>
      <c r="E86" s="537">
        <v>1</v>
      </c>
      <c r="F86" s="538">
        <v>4.2699999999999996</v>
      </c>
      <c r="G86" s="538">
        <v>0.23</v>
      </c>
      <c r="H86" s="538">
        <v>0.3</v>
      </c>
      <c r="I86" s="542">
        <f t="shared" si="12"/>
        <v>0.28999999999999998</v>
      </c>
      <c r="J86" s="550" t="s">
        <v>5</v>
      </c>
      <c r="K86" s="39"/>
      <c r="L86" s="208"/>
      <c r="M86" s="39"/>
      <c r="N86" s="533" t="s">
        <v>2308</v>
      </c>
    </row>
    <row r="87" spans="1:14" s="541" customFormat="1" ht="16.5" customHeight="1">
      <c r="A87" s="16"/>
      <c r="B87" s="39"/>
      <c r="C87" s="534">
        <v>1</v>
      </c>
      <c r="D87" s="536" t="s">
        <v>273</v>
      </c>
      <c r="E87" s="537">
        <v>1</v>
      </c>
      <c r="F87" s="538">
        <v>5.45</v>
      </c>
      <c r="G87" s="538">
        <v>0.23</v>
      </c>
      <c r="H87" s="538">
        <v>0.38</v>
      </c>
      <c r="I87" s="542">
        <f t="shared" si="12"/>
        <v>0.48</v>
      </c>
      <c r="J87" s="550" t="s">
        <v>5</v>
      </c>
      <c r="K87" s="39"/>
      <c r="L87" s="208"/>
      <c r="M87" s="39"/>
      <c r="N87" s="533" t="s">
        <v>2308</v>
      </c>
    </row>
    <row r="88" spans="1:14" s="541" customFormat="1" ht="16.5" customHeight="1">
      <c r="A88" s="16"/>
      <c r="B88" s="39"/>
      <c r="C88" s="534">
        <v>1</v>
      </c>
      <c r="D88" s="536" t="s">
        <v>273</v>
      </c>
      <c r="E88" s="537">
        <v>1</v>
      </c>
      <c r="F88" s="538">
        <v>4.2699999999999996</v>
      </c>
      <c r="G88" s="538">
        <v>0.23</v>
      </c>
      <c r="H88" s="538">
        <v>0.3</v>
      </c>
      <c r="I88" s="542">
        <f t="shared" si="12"/>
        <v>0.28999999999999998</v>
      </c>
      <c r="J88" s="550" t="s">
        <v>5</v>
      </c>
      <c r="K88" s="39"/>
      <c r="L88" s="208"/>
      <c r="M88" s="39"/>
      <c r="N88" s="533" t="s">
        <v>2308</v>
      </c>
    </row>
    <row r="89" spans="1:14" s="541" customFormat="1" ht="16.5" customHeight="1">
      <c r="A89" s="16"/>
      <c r="B89" s="39"/>
      <c r="C89" s="534">
        <v>1</v>
      </c>
      <c r="D89" s="536" t="s">
        <v>273</v>
      </c>
      <c r="E89" s="537">
        <v>1</v>
      </c>
      <c r="F89" s="538">
        <v>5.45</v>
      </c>
      <c r="G89" s="538">
        <v>0.23</v>
      </c>
      <c r="H89" s="538">
        <v>0.38</v>
      </c>
      <c r="I89" s="542">
        <f t="shared" si="12"/>
        <v>0.48</v>
      </c>
      <c r="J89" s="550" t="s">
        <v>5</v>
      </c>
      <c r="K89" s="39"/>
      <c r="L89" s="208"/>
      <c r="M89" s="39"/>
      <c r="N89" s="533" t="s">
        <v>2308</v>
      </c>
    </row>
    <row r="90" spans="1:14" s="541" customFormat="1" ht="16.5" customHeight="1">
      <c r="A90" s="16"/>
      <c r="B90" s="39"/>
      <c r="C90" s="534">
        <v>1</v>
      </c>
      <c r="D90" s="536" t="s">
        <v>273</v>
      </c>
      <c r="E90" s="537">
        <v>1</v>
      </c>
      <c r="F90" s="538">
        <v>2.72</v>
      </c>
      <c r="G90" s="538">
        <v>0.23</v>
      </c>
      <c r="H90" s="538">
        <v>0.38</v>
      </c>
      <c r="I90" s="542">
        <f t="shared" si="12"/>
        <v>0.24</v>
      </c>
      <c r="J90" s="550" t="s">
        <v>5</v>
      </c>
      <c r="K90" s="39"/>
      <c r="L90" s="208"/>
      <c r="M90" s="39"/>
      <c r="N90" s="533" t="s">
        <v>2308</v>
      </c>
    </row>
    <row r="91" spans="1:14" s="541" customFormat="1" ht="16.5" customHeight="1">
      <c r="A91" s="16"/>
      <c r="B91" s="39"/>
      <c r="C91" s="534">
        <v>1</v>
      </c>
      <c r="D91" s="536" t="s">
        <v>273</v>
      </c>
      <c r="E91" s="537">
        <v>1</v>
      </c>
      <c r="F91" s="538">
        <v>10.42</v>
      </c>
      <c r="G91" s="538">
        <v>0.23</v>
      </c>
      <c r="H91" s="538">
        <v>0.3</v>
      </c>
      <c r="I91" s="542">
        <f t="shared" si="12"/>
        <v>0.72</v>
      </c>
      <c r="J91" s="550" t="s">
        <v>5</v>
      </c>
      <c r="K91" s="39"/>
      <c r="L91" s="208"/>
      <c r="M91" s="39"/>
      <c r="N91" s="533" t="s">
        <v>2308</v>
      </c>
    </row>
    <row r="92" spans="1:14" s="541" customFormat="1" ht="16.5" customHeight="1">
      <c r="A92" s="16"/>
      <c r="B92" s="39"/>
      <c r="C92" s="534">
        <v>1</v>
      </c>
      <c r="D92" s="536" t="s">
        <v>273</v>
      </c>
      <c r="E92" s="537">
        <v>5</v>
      </c>
      <c r="F92" s="538">
        <v>0.23</v>
      </c>
      <c r="G92" s="538">
        <v>0.23</v>
      </c>
      <c r="H92" s="538">
        <v>0.3</v>
      </c>
      <c r="I92" s="542">
        <f>-ROUND(IF(AND(F92:H92),C92*E92*F92*G92*H92,IF(AND(F92,G92),C92*E92*F92*G92,IF(AND(F92,H92),C92*E92*F92*H92,IF(AND(G92,H92),C92*E92*G92*H92,IF(F92,C92*E92*F92,IF(G92,C92*E92*G92,IF(H92,C92*E92*H92,C92*E92))))))),2)</f>
        <v>-0.08</v>
      </c>
      <c r="J92" s="550" t="s">
        <v>5</v>
      </c>
      <c r="K92" s="39"/>
      <c r="L92" s="208"/>
      <c r="M92" s="39"/>
      <c r="N92" s="533" t="s">
        <v>2308</v>
      </c>
    </row>
    <row r="93" spans="1:14" s="541" customFormat="1" ht="16.5" customHeight="1">
      <c r="A93" s="16"/>
      <c r="B93" s="39"/>
      <c r="C93" s="534">
        <v>1</v>
      </c>
      <c r="D93" s="536" t="s">
        <v>273</v>
      </c>
      <c r="E93" s="537">
        <v>1</v>
      </c>
      <c r="F93" s="538">
        <v>13.37</v>
      </c>
      <c r="G93" s="538">
        <v>0.23</v>
      </c>
      <c r="H93" s="538">
        <v>0.3</v>
      </c>
      <c r="I93" s="542">
        <f t="shared" ref="I93" si="13">ROUND(IF(AND(F93:H93),C93*E93*F93*G93*H93,IF(AND(F93,G93),C93*E93*F93*G93,IF(AND(F93,H93),C93*E93*F93*H93,IF(AND(G93,H93),C93*E93*G93*H93,IF(F93,C93*E93*F93,IF(G93,C93*E93*G93,IF(H93,C93*E93*H93,C93*E93))))))),2)</f>
        <v>0.92</v>
      </c>
      <c r="J93" s="550" t="s">
        <v>5</v>
      </c>
      <c r="K93" s="39"/>
      <c r="L93" s="208"/>
      <c r="M93" s="39"/>
      <c r="N93" s="533" t="s">
        <v>2308</v>
      </c>
    </row>
    <row r="94" spans="1:14" s="541" customFormat="1" ht="16.5" customHeight="1">
      <c r="A94" s="16"/>
      <c r="B94" s="39"/>
      <c r="C94" s="534">
        <v>1</v>
      </c>
      <c r="D94" s="536" t="s">
        <v>273</v>
      </c>
      <c r="E94" s="537">
        <v>5</v>
      </c>
      <c r="F94" s="538">
        <v>0.23</v>
      </c>
      <c r="G94" s="538">
        <v>0.23</v>
      </c>
      <c r="H94" s="538">
        <v>0.3</v>
      </c>
      <c r="I94" s="542">
        <f>-ROUND(IF(AND(F94:H94),C94*E94*F94*G94*H94,IF(AND(F94,G94),C94*E94*F94*G94,IF(AND(F94,H94),C94*E94*F94*H94,IF(AND(G94,H94),C94*E94*G94*H94,IF(F94,C94*E94*F94,IF(G94,C94*E94*G94,IF(H94,C94*E94*H94,C94*E94))))))),2)</f>
        <v>-0.08</v>
      </c>
      <c r="J94" s="550" t="s">
        <v>5</v>
      </c>
      <c r="K94" s="39"/>
      <c r="L94" s="208"/>
      <c r="M94" s="39"/>
      <c r="N94" s="533" t="s">
        <v>2308</v>
      </c>
    </row>
    <row r="95" spans="1:14" s="541" customFormat="1" ht="16.5" customHeight="1">
      <c r="A95" s="16"/>
      <c r="B95" s="39"/>
      <c r="C95" s="534">
        <v>1</v>
      </c>
      <c r="D95" s="536" t="s">
        <v>273</v>
      </c>
      <c r="E95" s="537">
        <v>1</v>
      </c>
      <c r="F95" s="538">
        <v>13.37</v>
      </c>
      <c r="G95" s="538">
        <v>0.23</v>
      </c>
      <c r="H95" s="538">
        <v>0.3</v>
      </c>
      <c r="I95" s="542">
        <f t="shared" ref="I95" si="14">ROUND(IF(AND(F95:H95),C95*E95*F95*G95*H95,IF(AND(F95,G95),C95*E95*F95*G95,IF(AND(F95,H95),C95*E95*F95*H95,IF(AND(G95,H95),C95*E95*G95*H95,IF(F95,C95*E95*F95,IF(G95,C95*E95*G95,IF(H95,C95*E95*H95,C95*E95))))))),2)</f>
        <v>0.92</v>
      </c>
      <c r="J95" s="550" t="s">
        <v>5</v>
      </c>
      <c r="K95" s="39"/>
      <c r="L95" s="208"/>
      <c r="M95" s="39"/>
      <c r="N95" s="533" t="s">
        <v>2308</v>
      </c>
    </row>
    <row r="96" spans="1:14" s="541" customFormat="1" ht="16.5" customHeight="1">
      <c r="A96" s="16"/>
      <c r="B96" s="39"/>
      <c r="C96" s="534">
        <v>1</v>
      </c>
      <c r="D96" s="536" t="s">
        <v>273</v>
      </c>
      <c r="E96" s="537">
        <v>5</v>
      </c>
      <c r="F96" s="538">
        <v>0.23</v>
      </c>
      <c r="G96" s="538">
        <v>0.23</v>
      </c>
      <c r="H96" s="538">
        <v>0.3</v>
      </c>
      <c r="I96" s="542">
        <f>-ROUND(IF(AND(F96:H96),C96*E96*F96*G96*H96,IF(AND(F96,G96),C96*E96*F96*G96,IF(AND(F96,H96),C96*E96*F96*H96,IF(AND(G96,H96),C96*E96*G96*H96,IF(F96,C96*E96*F96,IF(G96,C96*E96*G96,IF(H96,C96*E96*H96,C96*E96))))))),2)</f>
        <v>-0.08</v>
      </c>
      <c r="J96" s="550" t="s">
        <v>5</v>
      </c>
      <c r="K96" s="39"/>
      <c r="L96" s="208"/>
      <c r="M96" s="39"/>
      <c r="N96" s="533" t="s">
        <v>2308</v>
      </c>
    </row>
    <row r="97" spans="1:14" s="541" customFormat="1" ht="16.5" customHeight="1">
      <c r="A97" s="16"/>
      <c r="B97" s="544"/>
      <c r="C97" s="545"/>
      <c r="D97" s="546"/>
      <c r="E97" s="547"/>
      <c r="F97" s="548"/>
      <c r="G97" s="548"/>
      <c r="H97" s="548"/>
      <c r="I97" s="549"/>
      <c r="J97" s="550"/>
      <c r="K97" s="39"/>
      <c r="L97" s="208"/>
      <c r="M97" s="39"/>
      <c r="N97" s="533" t="s">
        <v>2308</v>
      </c>
    </row>
    <row r="98" spans="1:14" ht="15.75">
      <c r="A98" s="16"/>
      <c r="B98" s="39"/>
      <c r="C98" s="551"/>
      <c r="D98" s="552"/>
      <c r="E98" s="537"/>
      <c r="F98" s="538"/>
      <c r="G98" s="40"/>
      <c r="H98" s="16"/>
      <c r="I98" s="549"/>
      <c r="J98" s="550" t="s">
        <v>5</v>
      </c>
      <c r="K98" s="10">
        <f>data!F2015</f>
        <v>10194.73</v>
      </c>
      <c r="L98" s="208" t="s">
        <v>2308</v>
      </c>
      <c r="M98" s="9">
        <f>ROUND(I98*K98,0)</f>
        <v>0</v>
      </c>
      <c r="N98" s="533" t="s">
        <v>2308</v>
      </c>
    </row>
    <row r="99" spans="1:14" ht="17.25" customHeight="1">
      <c r="A99" s="16">
        <v>2</v>
      </c>
      <c r="B99" s="1633" t="s">
        <v>303</v>
      </c>
      <c r="C99" s="1633"/>
      <c r="D99" s="1633"/>
      <c r="E99" s="1633"/>
      <c r="F99" s="1633"/>
      <c r="G99" s="1633"/>
      <c r="H99" s="1633"/>
      <c r="I99" s="534"/>
      <c r="J99" s="535"/>
      <c r="K99" s="16"/>
      <c r="L99" s="208"/>
      <c r="M99" s="38"/>
      <c r="N99" s="533" t="s">
        <v>2309</v>
      </c>
    </row>
    <row r="100" spans="1:14" s="541" customFormat="1" ht="16.5" customHeight="1">
      <c r="A100" s="16"/>
      <c r="B100" s="39" t="s">
        <v>2832</v>
      </c>
      <c r="C100" s="534"/>
      <c r="D100" s="536"/>
      <c r="E100" s="537"/>
      <c r="F100" s="538"/>
      <c r="G100" s="538"/>
      <c r="H100" s="538"/>
      <c r="I100" s="539"/>
      <c r="J100" s="550"/>
      <c r="K100" s="39"/>
      <c r="L100" s="208"/>
      <c r="M100" s="39"/>
      <c r="N100" s="533" t="s">
        <v>2309</v>
      </c>
    </row>
    <row r="101" spans="1:14" s="541" customFormat="1" ht="16.5" customHeight="1">
      <c r="A101" s="16"/>
      <c r="B101" s="39" t="s">
        <v>1526</v>
      </c>
      <c r="C101" s="534">
        <v>1</v>
      </c>
      <c r="D101" s="536" t="s">
        <v>273</v>
      </c>
      <c r="E101" s="537">
        <v>1</v>
      </c>
      <c r="F101" s="538">
        <v>2.65</v>
      </c>
      <c r="G101" s="538">
        <v>0.23</v>
      </c>
      <c r="H101" s="538">
        <v>0.3</v>
      </c>
      <c r="I101" s="542">
        <f>ROUND(IF(AND(F101:H101),C101*E101*F101*G101*H101,IF(AND(F101,G101),C101*E101*F101*G101,IF(AND(F101,H101),C101*E101*F101*H101,IF(AND(G101,H101),C101*E101*G101*H101,IF(F101,C101*E101*F101,IF(G101,C101*E101*G101,IF(H101,C101*E101*H101,C101*E101))))))),2)</f>
        <v>0.18</v>
      </c>
      <c r="J101" s="550" t="s">
        <v>5</v>
      </c>
      <c r="K101" s="39"/>
      <c r="L101" s="208"/>
      <c r="M101" s="39"/>
      <c r="N101" s="533" t="s">
        <v>2309</v>
      </c>
    </row>
    <row r="102" spans="1:14" s="541" customFormat="1" ht="16.5" customHeight="1">
      <c r="A102" s="16"/>
      <c r="B102" s="39" t="s">
        <v>1527</v>
      </c>
      <c r="C102" s="534">
        <v>1</v>
      </c>
      <c r="D102" s="536" t="s">
        <v>273</v>
      </c>
      <c r="E102" s="537">
        <v>2</v>
      </c>
      <c r="F102" s="538">
        <v>1</v>
      </c>
      <c r="G102" s="538">
        <v>0.23</v>
      </c>
      <c r="H102" s="538">
        <v>0.3</v>
      </c>
      <c r="I102" s="542">
        <f>ROUND(IF(AND(F102:H102),C102*E102*F102*G102*H102,IF(AND(F102,G102),C102*E102*F102*G102,IF(AND(F102,H102),C102*E102*F102*H102,IF(AND(G102,H102),C102*E102*G102*H102,IF(F102,C102*E102*F102,IF(G102,C102*E102*G102,IF(H102,C102*E102*H102,C102*E102))))))),2)</f>
        <v>0.14000000000000001</v>
      </c>
      <c r="J102" s="550" t="s">
        <v>5</v>
      </c>
      <c r="K102" s="39"/>
      <c r="L102" s="208"/>
      <c r="M102" s="39"/>
      <c r="N102" s="533" t="s">
        <v>2309</v>
      </c>
    </row>
    <row r="103" spans="1:14" s="541" customFormat="1" ht="16.5" customHeight="1">
      <c r="A103" s="16"/>
      <c r="B103" s="544"/>
      <c r="C103" s="545"/>
      <c r="D103" s="546"/>
      <c r="E103" s="547"/>
      <c r="F103" s="548"/>
      <c r="G103" s="548"/>
      <c r="H103" s="548"/>
      <c r="I103" s="549"/>
      <c r="J103" s="550"/>
      <c r="K103" s="39"/>
      <c r="L103" s="208"/>
      <c r="M103" s="39"/>
      <c r="N103" s="533" t="s">
        <v>2309</v>
      </c>
    </row>
    <row r="104" spans="1:14" ht="15.75">
      <c r="A104" s="16"/>
      <c r="B104" s="39"/>
      <c r="C104" s="551"/>
      <c r="D104" s="552"/>
      <c r="E104" s="537"/>
      <c r="F104" s="538"/>
      <c r="G104" s="40"/>
      <c r="H104" s="16"/>
      <c r="I104" s="549"/>
      <c r="J104" s="550" t="s">
        <v>5</v>
      </c>
      <c r="K104" s="10">
        <f>data!F2932</f>
        <v>10490.18</v>
      </c>
      <c r="L104" s="208" t="s">
        <v>2309</v>
      </c>
      <c r="M104" s="9">
        <f>ROUND(I104*K104,0)</f>
        <v>0</v>
      </c>
      <c r="N104" s="533" t="s">
        <v>2309</v>
      </c>
    </row>
    <row r="105" spans="1:14" ht="17.25" customHeight="1">
      <c r="A105" s="16">
        <v>3</v>
      </c>
      <c r="B105" s="1633" t="s">
        <v>304</v>
      </c>
      <c r="C105" s="1633"/>
      <c r="D105" s="1633"/>
      <c r="E105" s="1633"/>
      <c r="F105" s="1633"/>
      <c r="G105" s="1633"/>
      <c r="H105" s="1633"/>
      <c r="I105" s="534"/>
      <c r="J105" s="535"/>
      <c r="K105" s="16"/>
      <c r="L105" s="208"/>
      <c r="M105" s="38"/>
      <c r="N105" s="533" t="s">
        <v>2209</v>
      </c>
    </row>
    <row r="106" spans="1:14" s="541" customFormat="1" ht="16.5" customHeight="1">
      <c r="A106" s="16"/>
      <c r="B106" s="39" t="s">
        <v>3020</v>
      </c>
      <c r="C106" s="534"/>
      <c r="D106" s="858" t="s">
        <v>3260</v>
      </c>
      <c r="E106" s="537"/>
      <c r="F106" s="538"/>
      <c r="G106" s="538"/>
      <c r="H106" s="538"/>
      <c r="I106" s="539"/>
      <c r="J106" s="550"/>
      <c r="K106" s="39"/>
      <c r="L106" s="16"/>
      <c r="M106" s="39"/>
      <c r="N106" s="533" t="s">
        <v>2209</v>
      </c>
    </row>
    <row r="107" spans="1:14" s="541" customFormat="1" ht="16.5" customHeight="1">
      <c r="A107" s="16"/>
      <c r="B107" s="39" t="s">
        <v>3055</v>
      </c>
      <c r="C107" s="534">
        <v>1</v>
      </c>
      <c r="D107" s="536" t="s">
        <v>273</v>
      </c>
      <c r="E107" s="537">
        <v>1</v>
      </c>
      <c r="F107" s="538">
        <v>3.25</v>
      </c>
      <c r="G107" s="538">
        <v>1.35</v>
      </c>
      <c r="H107" s="538">
        <v>0</v>
      </c>
      <c r="I107" s="542">
        <f t="shared" ref="I107:I108" si="15">ROUND(IF(AND(F107:H107),C107*E107*F107*G107*H107,IF(AND(F107,G107),C107*E107*F107*G107,IF(AND(F107,H107),C107*E107*F107*H107,IF(AND(G107,H107),C107*E107*G107*H107,IF(F107,C107*E107*F107,IF(G107,C107*E107*G107,IF(H107,C107*E107*H107,C107*E107))))))),2)</f>
        <v>4.3899999999999997</v>
      </c>
      <c r="J107" s="550" t="s">
        <v>102</v>
      </c>
      <c r="K107" s="39"/>
      <c r="L107" s="16"/>
      <c r="M107" s="39"/>
      <c r="N107" s="533" t="s">
        <v>2209</v>
      </c>
    </row>
    <row r="108" spans="1:14" s="541" customFormat="1" ht="16.5" customHeight="1">
      <c r="A108" s="16"/>
      <c r="B108" s="39" t="s">
        <v>267</v>
      </c>
      <c r="C108" s="534">
        <v>1</v>
      </c>
      <c r="D108" s="536" t="s">
        <v>273</v>
      </c>
      <c r="E108" s="537">
        <v>1</v>
      </c>
      <c r="F108" s="538">
        <v>3.4</v>
      </c>
      <c r="G108" s="538">
        <v>1.35</v>
      </c>
      <c r="H108" s="538">
        <v>0</v>
      </c>
      <c r="I108" s="542">
        <f t="shared" si="15"/>
        <v>4.59</v>
      </c>
      <c r="J108" s="550" t="s">
        <v>102</v>
      </c>
      <c r="K108" s="39"/>
      <c r="L108" s="16"/>
      <c r="M108" s="39"/>
      <c r="N108" s="533" t="s">
        <v>2209</v>
      </c>
    </row>
    <row r="109" spans="1:14" s="541" customFormat="1" ht="16.5" customHeight="1">
      <c r="A109" s="16"/>
      <c r="B109" s="39" t="s">
        <v>3022</v>
      </c>
      <c r="C109" s="534"/>
      <c r="D109" s="858" t="s">
        <v>3262</v>
      </c>
      <c r="E109" s="858"/>
      <c r="F109" s="538"/>
      <c r="G109" s="538"/>
      <c r="H109" s="538"/>
      <c r="I109" s="539"/>
      <c r="J109" s="550"/>
      <c r="K109" s="39"/>
      <c r="L109" s="16"/>
      <c r="M109" s="39"/>
      <c r="N109" s="533" t="s">
        <v>2209</v>
      </c>
    </row>
    <row r="110" spans="1:14" s="541" customFormat="1" ht="16.5" customHeight="1">
      <c r="A110" s="16"/>
      <c r="B110" s="39" t="s">
        <v>3056</v>
      </c>
      <c r="C110" s="534">
        <v>1</v>
      </c>
      <c r="D110" s="536" t="s">
        <v>273</v>
      </c>
      <c r="E110" s="537">
        <v>1</v>
      </c>
      <c r="F110" s="538">
        <v>3.25</v>
      </c>
      <c r="G110" s="538">
        <v>1.35</v>
      </c>
      <c r="H110" s="538">
        <v>0</v>
      </c>
      <c r="I110" s="542">
        <f t="shared" ref="I110" si="16">ROUND(IF(AND(F110:H110),C110*E110*F110*G110*H110,IF(AND(F110,G110),C110*E110*F110*G110,IF(AND(F110,H110),C110*E110*F110*H110,IF(AND(G110,H110),C110*E110*G110*H110,IF(F110,C110*E110*F110,IF(G110,C110*E110*G110,IF(H110,C110*E110*H110,C110*E110))))))),2)</f>
        <v>4.3899999999999997</v>
      </c>
      <c r="J110" s="550" t="s">
        <v>102</v>
      </c>
      <c r="K110" s="39"/>
      <c r="L110" s="16"/>
      <c r="M110" s="39"/>
      <c r="N110" s="533" t="s">
        <v>2209</v>
      </c>
    </row>
    <row r="111" spans="1:14" s="541" customFormat="1" ht="16.5" customHeight="1">
      <c r="A111" s="16"/>
      <c r="B111" s="544"/>
      <c r="C111" s="545"/>
      <c r="D111" s="546"/>
      <c r="E111" s="547"/>
      <c r="F111" s="548"/>
      <c r="G111" s="548"/>
      <c r="H111" s="548"/>
      <c r="I111" s="549"/>
      <c r="J111" s="550"/>
      <c r="K111" s="39"/>
      <c r="L111" s="208"/>
      <c r="M111" s="39"/>
      <c r="N111" s="533" t="s">
        <v>2209</v>
      </c>
    </row>
    <row r="112" spans="1:14" ht="15.75">
      <c r="A112" s="16"/>
      <c r="B112" s="39"/>
      <c r="C112" s="551"/>
      <c r="D112" s="552"/>
      <c r="E112" s="537"/>
      <c r="F112" s="538"/>
      <c r="G112" s="40"/>
      <c r="H112" s="16"/>
      <c r="I112" s="549"/>
      <c r="J112" s="550" t="s">
        <v>102</v>
      </c>
      <c r="K112" s="10">
        <f>data!F203</f>
        <v>1356.1200000000001</v>
      </c>
      <c r="L112" s="208" t="s">
        <v>2209</v>
      </c>
      <c r="M112" s="9">
        <f>ROUND(I112*K112,0)</f>
        <v>0</v>
      </c>
      <c r="N112" s="533" t="s">
        <v>2209</v>
      </c>
    </row>
    <row r="113" spans="1:14" ht="17.25" customHeight="1">
      <c r="A113" s="16">
        <v>3</v>
      </c>
      <c r="B113" s="1633" t="s">
        <v>304</v>
      </c>
      <c r="C113" s="1633"/>
      <c r="D113" s="1633"/>
      <c r="E113" s="1633"/>
      <c r="F113" s="1633"/>
      <c r="G113" s="1633"/>
      <c r="H113" s="1633"/>
      <c r="I113" s="534"/>
      <c r="J113" s="535"/>
      <c r="K113" s="16"/>
      <c r="L113" s="208"/>
      <c r="M113" s="38"/>
      <c r="N113" s="533" t="s">
        <v>2297</v>
      </c>
    </row>
    <row r="114" spans="1:14" s="541" customFormat="1" ht="16.5" customHeight="1">
      <c r="A114" s="16"/>
      <c r="B114" s="39" t="s">
        <v>2829</v>
      </c>
      <c r="C114" s="534"/>
      <c r="D114" s="536"/>
      <c r="E114" s="537"/>
      <c r="F114" s="538"/>
      <c r="G114" s="538"/>
      <c r="H114" s="538"/>
      <c r="I114" s="539"/>
      <c r="J114" s="550"/>
      <c r="K114" s="39"/>
      <c r="L114" s="16"/>
      <c r="M114" s="39"/>
      <c r="N114" s="533" t="s">
        <v>2297</v>
      </c>
    </row>
    <row r="115" spans="1:14" s="541" customFormat="1" ht="16.5" customHeight="1">
      <c r="A115" s="16"/>
      <c r="B115" s="39" t="s">
        <v>801</v>
      </c>
      <c r="C115" s="534">
        <v>1</v>
      </c>
      <c r="D115" s="536" t="s">
        <v>273</v>
      </c>
      <c r="E115" s="537">
        <v>1</v>
      </c>
      <c r="F115" s="538">
        <v>3.56</v>
      </c>
      <c r="G115" s="538">
        <v>1.3</v>
      </c>
      <c r="H115" s="538">
        <v>0</v>
      </c>
      <c r="I115" s="542">
        <f t="shared" ref="I115:I116" si="17">ROUND(IF(AND(F115:H115),C115*E115*F115*G115*H115,IF(AND(F115,G115),C115*E115*F115*G115,IF(AND(F115,H115),C115*E115*F115*H115,IF(AND(G115,H115),C115*E115*G115*H115,IF(F115,C115*E115*F115,IF(G115,C115*E115*G115,IF(H115,C115*E115*H115,C115*E115))))))),2)</f>
        <v>4.63</v>
      </c>
      <c r="J115" s="550" t="s">
        <v>102</v>
      </c>
      <c r="K115" s="39"/>
      <c r="L115" s="16"/>
      <c r="M115" s="39"/>
      <c r="N115" s="533" t="s">
        <v>2297</v>
      </c>
    </row>
    <row r="116" spans="1:14" s="541" customFormat="1" ht="16.5" customHeight="1">
      <c r="A116" s="16"/>
      <c r="B116" s="39" t="s">
        <v>267</v>
      </c>
      <c r="C116" s="534">
        <v>1</v>
      </c>
      <c r="D116" s="536" t="s">
        <v>273</v>
      </c>
      <c r="E116" s="537">
        <v>1</v>
      </c>
      <c r="F116" s="538">
        <v>3.18</v>
      </c>
      <c r="G116" s="538">
        <v>1.38</v>
      </c>
      <c r="H116" s="538">
        <v>0</v>
      </c>
      <c r="I116" s="542">
        <f t="shared" si="17"/>
        <v>4.3899999999999997</v>
      </c>
      <c r="J116" s="550" t="s">
        <v>102</v>
      </c>
      <c r="K116" s="39"/>
      <c r="L116" s="16"/>
      <c r="M116" s="39"/>
      <c r="N116" s="533" t="s">
        <v>2297</v>
      </c>
    </row>
    <row r="117" spans="1:14" s="541" customFormat="1" ht="16.5" customHeight="1">
      <c r="A117" s="16"/>
      <c r="B117" s="39" t="s">
        <v>2830</v>
      </c>
      <c r="C117" s="534"/>
      <c r="D117" s="536"/>
      <c r="E117" s="537"/>
      <c r="F117" s="538"/>
      <c r="G117" s="538"/>
      <c r="H117" s="538"/>
      <c r="I117" s="542"/>
      <c r="J117" s="550"/>
      <c r="K117" s="39"/>
      <c r="L117" s="16"/>
      <c r="M117" s="39"/>
      <c r="N117" s="533" t="s">
        <v>2297</v>
      </c>
    </row>
    <row r="118" spans="1:14" s="541" customFormat="1" ht="16.5" customHeight="1">
      <c r="A118" s="16"/>
      <c r="B118" s="39" t="s">
        <v>800</v>
      </c>
      <c r="C118" s="534">
        <v>1</v>
      </c>
      <c r="D118" s="536" t="s">
        <v>273</v>
      </c>
      <c r="E118" s="537">
        <v>1</v>
      </c>
      <c r="F118" s="538">
        <v>3.56</v>
      </c>
      <c r="G118" s="538">
        <v>1.3</v>
      </c>
      <c r="H118" s="538">
        <v>0</v>
      </c>
      <c r="I118" s="542">
        <f t="shared" ref="I118" si="18">ROUND(IF(AND(F118:H118),C118*E118*F118*G118*H118,IF(AND(F118,G118),C118*E118*F118*G118,IF(AND(F118,H118),C118*E118*F118*H118,IF(AND(G118,H118),C118*E118*G118*H118,IF(F118,C118*E118*F118,IF(G118,C118*E118*G118,IF(H118,C118*E118*H118,C118*E118))))))),2)</f>
        <v>4.63</v>
      </c>
      <c r="J118" s="550" t="s">
        <v>102</v>
      </c>
      <c r="K118" s="39"/>
      <c r="L118" s="16"/>
      <c r="M118" s="39"/>
      <c r="N118" s="533" t="s">
        <v>2297</v>
      </c>
    </row>
    <row r="119" spans="1:14" s="541" customFormat="1" ht="16.5" customHeight="1">
      <c r="A119" s="16"/>
      <c r="B119" s="544"/>
      <c r="C119" s="545"/>
      <c r="D119" s="546"/>
      <c r="E119" s="547"/>
      <c r="F119" s="548"/>
      <c r="G119" s="548"/>
      <c r="H119" s="548"/>
      <c r="I119" s="549"/>
      <c r="J119" s="550"/>
      <c r="K119" s="39"/>
      <c r="L119" s="208"/>
      <c r="M119" s="39"/>
      <c r="N119" s="533" t="s">
        <v>2297</v>
      </c>
    </row>
    <row r="120" spans="1:14" ht="15.75">
      <c r="A120" s="16"/>
      <c r="B120" s="39"/>
      <c r="C120" s="551"/>
      <c r="D120" s="552"/>
      <c r="E120" s="537"/>
      <c r="F120" s="538"/>
      <c r="G120" s="40"/>
      <c r="H120" s="16"/>
      <c r="I120" s="549"/>
      <c r="J120" s="550" t="s">
        <v>102</v>
      </c>
      <c r="K120" s="10">
        <f>data!F1119</f>
        <v>1399.27</v>
      </c>
      <c r="L120" s="208" t="s">
        <v>2297</v>
      </c>
      <c r="M120" s="9">
        <f>ROUND(I120*K120,0)</f>
        <v>0</v>
      </c>
      <c r="N120" s="533" t="s">
        <v>2297</v>
      </c>
    </row>
    <row r="121" spans="1:14" ht="17.25" customHeight="1">
      <c r="A121" s="16">
        <v>3</v>
      </c>
      <c r="B121" s="1633" t="s">
        <v>304</v>
      </c>
      <c r="C121" s="1633"/>
      <c r="D121" s="1633"/>
      <c r="E121" s="1633"/>
      <c r="F121" s="1633"/>
      <c r="G121" s="1633"/>
      <c r="H121" s="1633"/>
      <c r="I121" s="534"/>
      <c r="J121" s="535"/>
      <c r="K121" s="16"/>
      <c r="L121" s="208"/>
      <c r="M121" s="38"/>
      <c r="N121" s="533" t="s">
        <v>2308</v>
      </c>
    </row>
    <row r="122" spans="1:14" s="541" customFormat="1" ht="16.5" customHeight="1">
      <c r="A122" s="16"/>
      <c r="B122" s="39" t="s">
        <v>3020</v>
      </c>
      <c r="C122" s="534"/>
      <c r="D122" s="536"/>
      <c r="E122" s="537"/>
      <c r="F122" s="538"/>
      <c r="G122" s="538"/>
      <c r="H122" s="538"/>
      <c r="I122" s="539"/>
      <c r="J122" s="550"/>
      <c r="K122" s="39"/>
      <c r="L122" s="16"/>
      <c r="M122" s="39"/>
      <c r="N122" s="533" t="s">
        <v>2308</v>
      </c>
    </row>
    <row r="123" spans="1:14" s="541" customFormat="1" ht="16.5" customHeight="1">
      <c r="A123" s="16"/>
      <c r="B123" s="39"/>
      <c r="C123" s="534">
        <v>1</v>
      </c>
      <c r="D123" s="536" t="s">
        <v>273</v>
      </c>
      <c r="E123" s="537">
        <v>1</v>
      </c>
      <c r="F123" s="538">
        <v>3.25</v>
      </c>
      <c r="G123" s="538">
        <v>1.35</v>
      </c>
      <c r="H123" s="538">
        <v>0</v>
      </c>
      <c r="I123" s="542">
        <f t="shared" ref="I123:I124" si="19">ROUND(IF(AND(F123:H123),C123*E123*F123*G123*H123,IF(AND(F123,G123),C123*E123*F123*G123,IF(AND(F123,H123),C123*E123*F123*H123,IF(AND(G123,H123),C123*E123*G123*H123,IF(F123,C123*E123*F123,IF(G123,C123*E123*G123,IF(H123,C123*E123*H123,C123*E123))))))),2)</f>
        <v>4.3899999999999997</v>
      </c>
      <c r="J123" s="550" t="s">
        <v>102</v>
      </c>
      <c r="K123" s="39"/>
      <c r="L123" s="16"/>
      <c r="M123" s="39"/>
      <c r="N123" s="533" t="s">
        <v>2308</v>
      </c>
    </row>
    <row r="124" spans="1:14" s="541" customFormat="1" ht="16.5" customHeight="1">
      <c r="A124" s="16"/>
      <c r="B124" s="39"/>
      <c r="C124" s="534">
        <v>1</v>
      </c>
      <c r="D124" s="536" t="s">
        <v>273</v>
      </c>
      <c r="E124" s="537">
        <v>1</v>
      </c>
      <c r="F124" s="538">
        <v>3.4</v>
      </c>
      <c r="G124" s="538">
        <v>1.35</v>
      </c>
      <c r="H124" s="538">
        <v>0</v>
      </c>
      <c r="I124" s="542">
        <f t="shared" si="19"/>
        <v>4.59</v>
      </c>
      <c r="J124" s="550" t="s">
        <v>102</v>
      </c>
      <c r="K124" s="39"/>
      <c r="L124" s="16"/>
      <c r="M124" s="39"/>
      <c r="N124" s="533" t="s">
        <v>2308</v>
      </c>
    </row>
    <row r="125" spans="1:14" s="541" customFormat="1" ht="16.5" customHeight="1">
      <c r="A125" s="16"/>
      <c r="B125" s="39" t="s">
        <v>3022</v>
      </c>
      <c r="C125" s="534"/>
      <c r="D125" s="536"/>
      <c r="E125" s="537"/>
      <c r="F125" s="538"/>
      <c r="G125" s="538"/>
      <c r="H125" s="538"/>
      <c r="I125" s="539"/>
      <c r="J125" s="550"/>
      <c r="K125" s="39"/>
      <c r="L125" s="16"/>
      <c r="M125" s="39"/>
      <c r="N125" s="533" t="s">
        <v>2308</v>
      </c>
    </row>
    <row r="126" spans="1:14" s="541" customFormat="1" ht="16.5" customHeight="1">
      <c r="A126" s="16"/>
      <c r="B126" s="39"/>
      <c r="C126" s="534">
        <v>1</v>
      </c>
      <c r="D126" s="536" t="s">
        <v>273</v>
      </c>
      <c r="E126" s="537">
        <v>1</v>
      </c>
      <c r="F126" s="538">
        <v>3.25</v>
      </c>
      <c r="G126" s="538">
        <v>1.35</v>
      </c>
      <c r="H126" s="538">
        <v>0</v>
      </c>
      <c r="I126" s="542">
        <f t="shared" ref="I126" si="20">ROUND(IF(AND(F126:H126),C126*E126*F126*G126*H126,IF(AND(F126,G126),C126*E126*F126*G126,IF(AND(F126,H126),C126*E126*F126*H126,IF(AND(G126,H126),C126*E126*G126*H126,IF(F126,C126*E126*F126,IF(G126,C126*E126*G126,IF(H126,C126*E126*H126,C126*E126))))))),2)</f>
        <v>4.3899999999999997</v>
      </c>
      <c r="J126" s="550" t="s">
        <v>102</v>
      </c>
      <c r="K126" s="39"/>
      <c r="L126" s="16"/>
      <c r="M126" s="39"/>
      <c r="N126" s="533" t="s">
        <v>2308</v>
      </c>
    </row>
    <row r="127" spans="1:14" s="541" customFormat="1" ht="16.5" customHeight="1">
      <c r="A127" s="16"/>
      <c r="B127" s="544"/>
      <c r="C127" s="545"/>
      <c r="D127" s="546"/>
      <c r="E127" s="547"/>
      <c r="F127" s="548"/>
      <c r="G127" s="548"/>
      <c r="H127" s="548"/>
      <c r="I127" s="549"/>
      <c r="J127" s="550"/>
      <c r="K127" s="39"/>
      <c r="L127" s="208"/>
      <c r="M127" s="39"/>
      <c r="N127" s="533" t="s">
        <v>2308</v>
      </c>
    </row>
    <row r="128" spans="1:14" ht="15.75">
      <c r="A128" s="16"/>
      <c r="B128" s="39"/>
      <c r="C128" s="551"/>
      <c r="D128" s="552"/>
      <c r="E128" s="537"/>
      <c r="F128" s="538"/>
      <c r="G128" s="40"/>
      <c r="H128" s="16"/>
      <c r="I128" s="549"/>
      <c r="J128" s="550" t="s">
        <v>102</v>
      </c>
      <c r="K128" s="10">
        <f>data!F2036</f>
        <v>1486.3000000000002</v>
      </c>
      <c r="L128" s="208" t="s">
        <v>2308</v>
      </c>
      <c r="M128" s="9">
        <f>ROUND(I128*K128,0)</f>
        <v>0</v>
      </c>
      <c r="N128" s="533" t="s">
        <v>2308</v>
      </c>
    </row>
    <row r="129" spans="1:14" ht="17.25" customHeight="1">
      <c r="A129" s="16">
        <v>3</v>
      </c>
      <c r="B129" s="1633" t="s">
        <v>304</v>
      </c>
      <c r="C129" s="1633"/>
      <c r="D129" s="1633"/>
      <c r="E129" s="1633"/>
      <c r="F129" s="1633"/>
      <c r="G129" s="1633"/>
      <c r="H129" s="1633"/>
      <c r="I129" s="534"/>
      <c r="J129" s="535"/>
      <c r="K129" s="16"/>
      <c r="L129" s="208"/>
      <c r="M129" s="38"/>
      <c r="N129" s="533" t="s">
        <v>2309</v>
      </c>
    </row>
    <row r="130" spans="1:14" s="541" customFormat="1" ht="16.5" customHeight="1">
      <c r="A130" s="16"/>
      <c r="B130" s="39" t="s">
        <v>2832</v>
      </c>
      <c r="C130" s="534"/>
      <c r="D130" s="536"/>
      <c r="E130" s="537"/>
      <c r="F130" s="538"/>
      <c r="G130" s="538"/>
      <c r="H130" s="538"/>
      <c r="I130" s="539"/>
      <c r="J130" s="550"/>
      <c r="K130" s="39"/>
      <c r="L130" s="16"/>
      <c r="M130" s="39"/>
      <c r="N130" s="533" t="s">
        <v>2309</v>
      </c>
    </row>
    <row r="131" spans="1:14" s="541" customFormat="1" ht="16.5" customHeight="1">
      <c r="A131" s="16"/>
      <c r="B131" s="39" t="s">
        <v>1623</v>
      </c>
      <c r="C131" s="534">
        <v>1</v>
      </c>
      <c r="D131" s="536" t="s">
        <v>273</v>
      </c>
      <c r="E131" s="537">
        <v>1</v>
      </c>
      <c r="F131" s="538">
        <v>3.2</v>
      </c>
      <c r="G131" s="538">
        <v>1.22</v>
      </c>
      <c r="H131" s="538">
        <v>0</v>
      </c>
      <c r="I131" s="542">
        <f>ROUND(IF(AND(F131:H131),C131*E131*F131*G131*H131,IF(AND(F131,G131),C131*E131*F131*G131,IF(AND(F131,H131),C131*E131*F131*H131,IF(AND(G131,H131),C131*E131*G131*H131,IF(F131,C131*E131*F131,IF(G131,C131*E131*G131,IF(H131,C131*E131*H131,C131*E131))))))),2)</f>
        <v>3.9</v>
      </c>
      <c r="J131" s="550" t="s">
        <v>102</v>
      </c>
      <c r="K131" s="39"/>
      <c r="L131" s="16"/>
      <c r="M131" s="39"/>
      <c r="N131" s="533" t="s">
        <v>2309</v>
      </c>
    </row>
    <row r="132" spans="1:14" s="541" customFormat="1" ht="16.5" customHeight="1">
      <c r="A132" s="16"/>
      <c r="B132" s="544"/>
      <c r="C132" s="545"/>
      <c r="D132" s="546"/>
      <c r="E132" s="547"/>
      <c r="F132" s="548"/>
      <c r="G132" s="548"/>
      <c r="H132" s="548"/>
      <c r="I132" s="549"/>
      <c r="J132" s="550"/>
      <c r="K132" s="39"/>
      <c r="L132" s="208"/>
      <c r="M132" s="39"/>
      <c r="N132" s="533" t="s">
        <v>2309</v>
      </c>
    </row>
    <row r="133" spans="1:14" ht="15.75">
      <c r="A133" s="16"/>
      <c r="B133" s="39"/>
      <c r="C133" s="551"/>
      <c r="D133" s="552"/>
      <c r="E133" s="537"/>
      <c r="F133" s="538"/>
      <c r="G133" s="40"/>
      <c r="H133" s="16"/>
      <c r="I133" s="549"/>
      <c r="J133" s="550" t="s">
        <v>102</v>
      </c>
      <c r="K133" s="10">
        <f>data!F2953</f>
        <v>1538.77</v>
      </c>
      <c r="L133" s="208" t="s">
        <v>2309</v>
      </c>
      <c r="M133" s="9">
        <f>ROUND(I133*K133,0)</f>
        <v>0</v>
      </c>
      <c r="N133" s="533" t="s">
        <v>2309</v>
      </c>
    </row>
    <row r="134" spans="1:14" ht="17.25" customHeight="1">
      <c r="A134" s="16">
        <v>4</v>
      </c>
      <c r="B134" s="1634" t="s">
        <v>305</v>
      </c>
      <c r="C134" s="1635"/>
      <c r="D134" s="1635"/>
      <c r="E134" s="1635"/>
      <c r="F134" s="1635"/>
      <c r="G134" s="1635"/>
      <c r="H134" s="1636"/>
      <c r="I134" s="534"/>
      <c r="J134" s="535"/>
      <c r="K134" s="16"/>
      <c r="L134" s="208"/>
      <c r="M134" s="38"/>
      <c r="N134" s="533" t="s">
        <v>2209</v>
      </c>
    </row>
    <row r="135" spans="1:14" s="541" customFormat="1" ht="16.5" customHeight="1">
      <c r="A135" s="16"/>
      <c r="B135" s="39" t="s">
        <v>3021</v>
      </c>
      <c r="C135" s="534"/>
      <c r="D135" s="858" t="s">
        <v>3262</v>
      </c>
      <c r="E135" s="537"/>
      <c r="F135" s="538"/>
      <c r="G135" s="538"/>
      <c r="H135" s="538"/>
      <c r="I135" s="539"/>
      <c r="J135" s="550"/>
      <c r="K135" s="39"/>
      <c r="L135" s="16"/>
      <c r="M135" s="39"/>
      <c r="N135" s="533" t="s">
        <v>2209</v>
      </c>
    </row>
    <row r="136" spans="1:14" s="541" customFormat="1" ht="16.5" customHeight="1">
      <c r="A136" s="16"/>
      <c r="B136" s="39"/>
      <c r="C136" s="534">
        <v>1</v>
      </c>
      <c r="D136" s="536" t="s">
        <v>273</v>
      </c>
      <c r="E136" s="537">
        <v>1</v>
      </c>
      <c r="F136" s="538">
        <v>9.4499999999999993</v>
      </c>
      <c r="G136" s="538">
        <v>10.45</v>
      </c>
      <c r="H136" s="538">
        <v>0</v>
      </c>
      <c r="I136" s="542">
        <f t="shared" ref="I136:I138" si="21">ROUND(IF(AND(F136:H136),C136*E136*F136*G136*H136,IF(AND(F136,G136),C136*E136*F136*G136,IF(AND(F136,H136),C136*E136*F136*H136,IF(AND(G136,H136),C136*E136*G136*H136,IF(F136,C136*E136*F136,IF(G136,C136*E136*G136,IF(H136,C136*E136*H136,C136*E136))))))),2)</f>
        <v>98.75</v>
      </c>
      <c r="J136" s="550" t="s">
        <v>102</v>
      </c>
      <c r="K136" s="39"/>
      <c r="L136" s="16"/>
      <c r="M136" s="39"/>
      <c r="N136" s="533" t="s">
        <v>2209</v>
      </c>
    </row>
    <row r="137" spans="1:14" s="541" customFormat="1" ht="16.5" customHeight="1">
      <c r="A137" s="16"/>
      <c r="B137" s="39"/>
      <c r="C137" s="534">
        <v>1</v>
      </c>
      <c r="D137" s="536" t="s">
        <v>273</v>
      </c>
      <c r="E137" s="537">
        <v>1</v>
      </c>
      <c r="F137" s="538">
        <v>5.6</v>
      </c>
      <c r="G137" s="538">
        <v>3.6</v>
      </c>
      <c r="H137" s="538">
        <v>0</v>
      </c>
      <c r="I137" s="542">
        <f t="shared" si="21"/>
        <v>20.16</v>
      </c>
      <c r="J137" s="550" t="s">
        <v>102</v>
      </c>
      <c r="K137" s="39"/>
      <c r="L137" s="16"/>
      <c r="M137" s="39"/>
      <c r="N137" s="533" t="s">
        <v>2209</v>
      </c>
    </row>
    <row r="138" spans="1:14" s="541" customFormat="1" ht="16.5" customHeight="1">
      <c r="A138" s="16"/>
      <c r="B138" s="39"/>
      <c r="C138" s="534">
        <v>1</v>
      </c>
      <c r="D138" s="536" t="s">
        <v>273</v>
      </c>
      <c r="E138" s="537">
        <v>1</v>
      </c>
      <c r="F138" s="538">
        <v>4.3</v>
      </c>
      <c r="G138" s="538">
        <v>0.3</v>
      </c>
      <c r="H138" s="538">
        <v>0</v>
      </c>
      <c r="I138" s="542">
        <f t="shared" si="21"/>
        <v>1.29</v>
      </c>
      <c r="J138" s="550" t="s">
        <v>102</v>
      </c>
      <c r="K138" s="39"/>
      <c r="L138" s="16"/>
      <c r="M138" s="39"/>
      <c r="N138" s="533" t="s">
        <v>2209</v>
      </c>
    </row>
    <row r="139" spans="1:14" s="541" customFormat="1" ht="16.5" customHeight="1">
      <c r="A139" s="16"/>
      <c r="B139" s="569"/>
      <c r="C139" s="570"/>
      <c r="D139" s="555"/>
      <c r="E139" s="571"/>
      <c r="F139" s="572"/>
      <c r="G139" s="572"/>
      <c r="H139" s="573"/>
      <c r="I139" s="557"/>
      <c r="J139" s="550"/>
      <c r="K139" s="39"/>
      <c r="L139" s="208"/>
      <c r="M139" s="39"/>
      <c r="N139" s="533" t="s">
        <v>2209</v>
      </c>
    </row>
    <row r="140" spans="1:14" ht="15.75">
      <c r="A140" s="16"/>
      <c r="B140" s="39"/>
      <c r="C140" s="551"/>
      <c r="D140" s="552"/>
      <c r="E140" s="537"/>
      <c r="F140" s="538"/>
      <c r="G140" s="40"/>
      <c r="H140" s="16"/>
      <c r="I140" s="549"/>
      <c r="J140" s="550" t="s">
        <v>102</v>
      </c>
      <c r="K140" s="10">
        <f>data!F196</f>
        <v>1231.97</v>
      </c>
      <c r="L140" s="208" t="s">
        <v>2209</v>
      </c>
      <c r="M140" s="9">
        <f>ROUND(I140*K140,0)</f>
        <v>0</v>
      </c>
      <c r="N140" s="533" t="s">
        <v>2209</v>
      </c>
    </row>
    <row r="141" spans="1:14" ht="17.25" customHeight="1">
      <c r="A141" s="16">
        <v>4</v>
      </c>
      <c r="B141" s="1633" t="s">
        <v>305</v>
      </c>
      <c r="C141" s="1633"/>
      <c r="D141" s="1633"/>
      <c r="E141" s="1633"/>
      <c r="F141" s="1633"/>
      <c r="G141" s="1633"/>
      <c r="H141" s="1633"/>
      <c r="I141" s="534"/>
      <c r="J141" s="535"/>
      <c r="K141" s="16"/>
      <c r="L141" s="208"/>
      <c r="M141" s="38"/>
      <c r="N141" s="533" t="s">
        <v>2297</v>
      </c>
    </row>
    <row r="142" spans="1:14" s="541" customFormat="1" ht="16.5" customHeight="1">
      <c r="A142" s="16"/>
      <c r="B142" s="39" t="s">
        <v>2830</v>
      </c>
      <c r="C142" s="534"/>
      <c r="D142" s="536"/>
      <c r="E142" s="537"/>
      <c r="F142" s="538"/>
      <c r="G142" s="538"/>
      <c r="H142" s="538"/>
      <c r="I142" s="539"/>
      <c r="J142" s="550"/>
      <c r="K142" s="39"/>
      <c r="L142" s="16"/>
      <c r="M142" s="39"/>
      <c r="N142" s="533" t="s">
        <v>2297</v>
      </c>
    </row>
    <row r="143" spans="1:14" s="541" customFormat="1" ht="16.5" customHeight="1">
      <c r="A143" s="16"/>
      <c r="B143" s="39"/>
      <c r="C143" s="534">
        <v>1</v>
      </c>
      <c r="D143" s="536" t="s">
        <v>273</v>
      </c>
      <c r="E143" s="537">
        <v>1</v>
      </c>
      <c r="F143" s="538">
        <v>13.25</v>
      </c>
      <c r="G143" s="538">
        <v>9.65</v>
      </c>
      <c r="H143" s="538">
        <v>0</v>
      </c>
      <c r="I143" s="542">
        <f t="shared" ref="I143" si="22">ROUND(IF(AND(F143:H143),C143*E143*F143*G143*H143,IF(AND(F143,G143),C143*E143*F143*G143,IF(AND(F143,H143),C143*E143*F143*H143,IF(AND(G143,H143),C143*E143*G143*H143,IF(F143,C143*E143*F143,IF(G143,C143*E143*G143,IF(H143,C143*E143*H143,C143*E143))))))),2)</f>
        <v>127.86</v>
      </c>
      <c r="J143" s="550" t="s">
        <v>102</v>
      </c>
      <c r="K143" s="39"/>
      <c r="L143" s="16"/>
      <c r="M143" s="39"/>
      <c r="N143" s="533" t="s">
        <v>2297</v>
      </c>
    </row>
    <row r="144" spans="1:14" s="541" customFormat="1" ht="16.5" customHeight="1">
      <c r="A144" s="16"/>
      <c r="B144" s="39" t="s">
        <v>2550</v>
      </c>
      <c r="C144" s="534">
        <v>1</v>
      </c>
      <c r="D144" s="536" t="s">
        <v>273</v>
      </c>
      <c r="E144" s="537">
        <v>1</v>
      </c>
      <c r="F144" s="538">
        <v>2.72</v>
      </c>
      <c r="G144" s="538">
        <v>3.77</v>
      </c>
      <c r="H144" s="538">
        <v>0</v>
      </c>
      <c r="I144" s="542">
        <f>-ROUND(IF(AND(F144:H144),C144*E144*F144*G144*H144,IF(AND(F144,G144),C144*E144*F144*G144,IF(AND(F144,H144),C144*E144*F144*H144,IF(AND(G144,H144),C144*E144*G144*H144,IF(F144,C144*E144*F144,IF(G144,C144*E144*G144,IF(H144,C144*E144*H144,C144*E144))))))),2)</f>
        <v>-10.25</v>
      </c>
      <c r="J144" s="550" t="s">
        <v>102</v>
      </c>
      <c r="K144" s="39"/>
      <c r="L144" s="16"/>
      <c r="M144" s="39"/>
      <c r="N144" s="533" t="s">
        <v>2297</v>
      </c>
    </row>
    <row r="145" spans="1:14" s="541" customFormat="1" ht="16.5" customHeight="1">
      <c r="A145" s="16"/>
      <c r="B145" s="569"/>
      <c r="C145" s="570"/>
      <c r="D145" s="555"/>
      <c r="E145" s="571"/>
      <c r="F145" s="572"/>
      <c r="G145" s="572"/>
      <c r="H145" s="573"/>
      <c r="I145" s="557"/>
      <c r="J145" s="550"/>
      <c r="K145" s="39"/>
      <c r="L145" s="208"/>
      <c r="M145" s="39"/>
      <c r="N145" s="533" t="s">
        <v>2297</v>
      </c>
    </row>
    <row r="146" spans="1:14" ht="15.75">
      <c r="A146" s="16"/>
      <c r="B146" s="39"/>
      <c r="C146" s="551"/>
      <c r="D146" s="552"/>
      <c r="E146" s="537"/>
      <c r="F146" s="538"/>
      <c r="G146" s="40"/>
      <c r="H146" s="16"/>
      <c r="I146" s="549"/>
      <c r="J146" s="550" t="s">
        <v>102</v>
      </c>
      <c r="K146" s="10">
        <f>data!F1112</f>
        <v>1269.73</v>
      </c>
      <c r="L146" s="208" t="s">
        <v>2297</v>
      </c>
      <c r="M146" s="9">
        <f>ROUND(I146*K146,0)</f>
        <v>0</v>
      </c>
      <c r="N146" s="533" t="s">
        <v>2297</v>
      </c>
    </row>
    <row r="147" spans="1:14" ht="17.25" customHeight="1">
      <c r="A147" s="16">
        <v>4</v>
      </c>
      <c r="B147" s="1633" t="s">
        <v>305</v>
      </c>
      <c r="C147" s="1633"/>
      <c r="D147" s="1633"/>
      <c r="E147" s="1633"/>
      <c r="F147" s="1633"/>
      <c r="G147" s="1633"/>
      <c r="H147" s="1633"/>
      <c r="I147" s="534"/>
      <c r="J147" s="535"/>
      <c r="K147" s="16"/>
      <c r="L147" s="208"/>
      <c r="M147" s="38"/>
      <c r="N147" s="533" t="s">
        <v>2308</v>
      </c>
    </row>
    <row r="148" spans="1:14" s="541" customFormat="1" ht="16.5" customHeight="1">
      <c r="A148" s="16"/>
      <c r="B148" s="39" t="s">
        <v>3021</v>
      </c>
      <c r="C148" s="534"/>
      <c r="D148" s="536"/>
      <c r="E148" s="537"/>
      <c r="F148" s="538"/>
      <c r="G148" s="538"/>
      <c r="H148" s="538"/>
      <c r="I148" s="539"/>
      <c r="J148" s="550"/>
      <c r="K148" s="39"/>
      <c r="L148" s="16"/>
      <c r="M148" s="39"/>
      <c r="N148" s="533" t="s">
        <v>2308</v>
      </c>
    </row>
    <row r="149" spans="1:14" s="541" customFormat="1" ht="16.5" customHeight="1">
      <c r="A149" s="16"/>
      <c r="B149" s="39"/>
      <c r="C149" s="534">
        <v>1</v>
      </c>
      <c r="D149" s="536" t="s">
        <v>273</v>
      </c>
      <c r="E149" s="537">
        <v>1</v>
      </c>
      <c r="F149" s="538">
        <v>9.4499999999999993</v>
      </c>
      <c r="G149" s="538">
        <v>10.45</v>
      </c>
      <c r="H149" s="538">
        <v>0</v>
      </c>
      <c r="I149" s="542">
        <f t="shared" ref="I149:I151" si="23">ROUND(IF(AND(F149:H149),C149*E149*F149*G149*H149,IF(AND(F149,G149),C149*E149*F149*G149,IF(AND(F149,H149),C149*E149*F149*H149,IF(AND(G149,H149),C149*E149*G149*H149,IF(F149,C149*E149*F149,IF(G149,C149*E149*G149,IF(H149,C149*E149*H149,C149*E149))))))),2)</f>
        <v>98.75</v>
      </c>
      <c r="J149" s="550" t="s">
        <v>102</v>
      </c>
      <c r="K149" s="39"/>
      <c r="L149" s="16"/>
      <c r="M149" s="39"/>
      <c r="N149" s="533" t="s">
        <v>2308</v>
      </c>
    </row>
    <row r="150" spans="1:14" s="541" customFormat="1" ht="16.5" customHeight="1">
      <c r="A150" s="16"/>
      <c r="B150" s="39"/>
      <c r="C150" s="534">
        <v>1</v>
      </c>
      <c r="D150" s="536" t="s">
        <v>273</v>
      </c>
      <c r="E150" s="537">
        <v>1</v>
      </c>
      <c r="F150" s="538">
        <v>5.6</v>
      </c>
      <c r="G150" s="538">
        <v>3.6</v>
      </c>
      <c r="H150" s="538">
        <v>0</v>
      </c>
      <c r="I150" s="542">
        <f t="shared" si="23"/>
        <v>20.16</v>
      </c>
      <c r="J150" s="550" t="s">
        <v>102</v>
      </c>
      <c r="K150" s="39"/>
      <c r="L150" s="16"/>
      <c r="M150" s="39"/>
      <c r="N150" s="533" t="s">
        <v>2308</v>
      </c>
    </row>
    <row r="151" spans="1:14" s="541" customFormat="1" ht="16.5" customHeight="1">
      <c r="A151" s="16"/>
      <c r="B151" s="39"/>
      <c r="C151" s="534">
        <v>1</v>
      </c>
      <c r="D151" s="536" t="s">
        <v>273</v>
      </c>
      <c r="E151" s="537">
        <v>1</v>
      </c>
      <c r="F151" s="538">
        <v>4.3</v>
      </c>
      <c r="G151" s="538">
        <v>0.3</v>
      </c>
      <c r="H151" s="538">
        <v>0</v>
      </c>
      <c r="I151" s="542">
        <f t="shared" si="23"/>
        <v>1.29</v>
      </c>
      <c r="J151" s="550" t="s">
        <v>102</v>
      </c>
      <c r="K151" s="39"/>
      <c r="L151" s="16"/>
      <c r="M151" s="39"/>
      <c r="N151" s="533" t="s">
        <v>2308</v>
      </c>
    </row>
    <row r="152" spans="1:14" s="541" customFormat="1" ht="16.5" customHeight="1">
      <c r="A152" s="16"/>
      <c r="B152" s="569"/>
      <c r="C152" s="570"/>
      <c r="D152" s="555"/>
      <c r="E152" s="571"/>
      <c r="F152" s="572"/>
      <c r="G152" s="572"/>
      <c r="H152" s="573"/>
      <c r="I152" s="557"/>
      <c r="J152" s="550"/>
      <c r="K152" s="39"/>
      <c r="L152" s="208"/>
      <c r="M152" s="39"/>
      <c r="N152" s="533" t="s">
        <v>2308</v>
      </c>
    </row>
    <row r="153" spans="1:14" ht="15.75">
      <c r="A153" s="16"/>
      <c r="B153" s="39"/>
      <c r="C153" s="551"/>
      <c r="D153" s="552"/>
      <c r="E153" s="537"/>
      <c r="F153" s="538"/>
      <c r="G153" s="40"/>
      <c r="H153" s="16"/>
      <c r="I153" s="549"/>
      <c r="J153" s="550" t="s">
        <v>102</v>
      </c>
      <c r="K153" s="10">
        <f>data!F2029</f>
        <v>1350.5700000000002</v>
      </c>
      <c r="L153" s="208" t="s">
        <v>2308</v>
      </c>
      <c r="M153" s="9">
        <f>ROUND(I153*K153,0)</f>
        <v>0</v>
      </c>
      <c r="N153" s="533" t="s">
        <v>2308</v>
      </c>
    </row>
    <row r="154" spans="1:14" ht="17.25" customHeight="1">
      <c r="A154" s="16">
        <v>4</v>
      </c>
      <c r="B154" s="1633" t="s">
        <v>305</v>
      </c>
      <c r="C154" s="1633"/>
      <c r="D154" s="1633"/>
      <c r="E154" s="1633"/>
      <c r="F154" s="1633"/>
      <c r="G154" s="1633"/>
      <c r="H154" s="1633"/>
      <c r="I154" s="534"/>
      <c r="J154" s="535"/>
      <c r="K154" s="16"/>
      <c r="L154" s="208"/>
      <c r="M154" s="38"/>
      <c r="N154" s="533" t="s">
        <v>2309</v>
      </c>
    </row>
    <row r="155" spans="1:14" s="541" customFormat="1" ht="16.5" customHeight="1">
      <c r="A155" s="16"/>
      <c r="B155" s="39" t="s">
        <v>2833</v>
      </c>
      <c r="C155" s="534"/>
      <c r="D155" s="536"/>
      <c r="E155" s="537"/>
      <c r="F155" s="538"/>
      <c r="G155" s="538"/>
      <c r="H155" s="538"/>
      <c r="I155" s="539"/>
      <c r="J155" s="550"/>
      <c r="K155" s="39"/>
      <c r="L155" s="16"/>
      <c r="M155" s="39"/>
      <c r="N155" s="533" t="s">
        <v>2309</v>
      </c>
    </row>
    <row r="156" spans="1:14" s="541" customFormat="1" ht="16.5" customHeight="1">
      <c r="A156" s="16"/>
      <c r="B156" s="39"/>
      <c r="C156" s="534">
        <v>1</v>
      </c>
      <c r="D156" s="536" t="s">
        <v>273</v>
      </c>
      <c r="E156" s="537">
        <v>1</v>
      </c>
      <c r="F156" s="538">
        <v>16.100000000000001</v>
      </c>
      <c r="G156" s="538">
        <v>10.15</v>
      </c>
      <c r="H156" s="538">
        <v>0</v>
      </c>
      <c r="I156" s="542">
        <f>ROUND(IF(AND(F156:H156),C156*E156*F156*G156*H156,IF(AND(F156,G156),C156*E156*F156*G156,IF(AND(F156,H156),C156*E156*F156*H156,IF(AND(G156,H156),C156*E156*G156*H156,IF(F156,C156*E156*F156,IF(G156,C156*E156*G156,IF(H156,C156*E156*H156,C156*E156))))))),2)</f>
        <v>163.41999999999999</v>
      </c>
      <c r="J156" s="550" t="s">
        <v>102</v>
      </c>
      <c r="K156" s="39"/>
      <c r="L156" s="16"/>
      <c r="M156" s="39"/>
      <c r="N156" s="533" t="s">
        <v>2309</v>
      </c>
    </row>
    <row r="157" spans="1:14" s="541" customFormat="1" ht="16.5" customHeight="1">
      <c r="A157" s="16"/>
      <c r="B157" s="39" t="s">
        <v>1525</v>
      </c>
      <c r="C157" s="534">
        <v>1</v>
      </c>
      <c r="D157" s="536" t="s">
        <v>273</v>
      </c>
      <c r="E157" s="537">
        <v>1</v>
      </c>
      <c r="F157" s="538">
        <v>3.87</v>
      </c>
      <c r="G157" s="538">
        <v>2.65</v>
      </c>
      <c r="H157" s="538">
        <v>0</v>
      </c>
      <c r="I157" s="542">
        <f>-ROUND(IF(AND(F157:H157),C157*E157*F157*G157*H157,IF(AND(F157,G157),C157*E157*F157*G157,IF(AND(F157,H157),C157*E157*F157*H157,IF(AND(G157,H157),C157*E157*G157*H157,IF(F157,C157*E157*F157,IF(G157,C157*E157*G157,IF(H157,C157*E157*H157,C157*E157))))))),2)</f>
        <v>-10.26</v>
      </c>
      <c r="J157" s="550" t="s">
        <v>102</v>
      </c>
      <c r="K157" s="39"/>
      <c r="L157" s="16"/>
      <c r="M157" s="39"/>
      <c r="N157" s="533" t="s">
        <v>2309</v>
      </c>
    </row>
    <row r="158" spans="1:14" s="541" customFormat="1" ht="16.5" customHeight="1">
      <c r="A158" s="16"/>
      <c r="B158" s="569"/>
      <c r="C158" s="570"/>
      <c r="D158" s="555"/>
      <c r="E158" s="571"/>
      <c r="F158" s="572"/>
      <c r="G158" s="572"/>
      <c r="H158" s="573"/>
      <c r="I158" s="557"/>
      <c r="J158" s="550"/>
      <c r="K158" s="39"/>
      <c r="L158" s="208"/>
      <c r="M158" s="39"/>
      <c r="N158" s="533" t="s">
        <v>2309</v>
      </c>
    </row>
    <row r="159" spans="1:14" ht="15.75">
      <c r="A159" s="16"/>
      <c r="B159" s="39"/>
      <c r="C159" s="551"/>
      <c r="D159" s="552"/>
      <c r="E159" s="537"/>
      <c r="F159" s="538"/>
      <c r="G159" s="40"/>
      <c r="H159" s="16"/>
      <c r="I159" s="549"/>
      <c r="J159" s="550" t="s">
        <v>102</v>
      </c>
      <c r="K159" s="10">
        <f>data!F2946</f>
        <v>1395.89</v>
      </c>
      <c r="L159" s="208" t="s">
        <v>2309</v>
      </c>
      <c r="M159" s="9">
        <f>ROUND(I159*K159,0)</f>
        <v>0</v>
      </c>
      <c r="N159" s="533" t="s">
        <v>2309</v>
      </c>
    </row>
    <row r="160" spans="1:14" ht="17.25" customHeight="1">
      <c r="A160" s="16">
        <v>13</v>
      </c>
      <c r="B160" s="1633" t="s">
        <v>582</v>
      </c>
      <c r="C160" s="1633"/>
      <c r="D160" s="1633"/>
      <c r="E160" s="1633"/>
      <c r="F160" s="1633"/>
      <c r="G160" s="1633"/>
      <c r="H160" s="1633"/>
      <c r="I160" s="534"/>
      <c r="J160" s="535"/>
      <c r="K160" s="16"/>
      <c r="L160" s="208"/>
      <c r="M160" s="38"/>
      <c r="N160" s="533" t="s">
        <v>2209</v>
      </c>
    </row>
    <row r="161" spans="1:14" s="541" customFormat="1" ht="16.5" customHeight="1">
      <c r="A161" s="16"/>
      <c r="B161" s="39" t="s">
        <v>2834</v>
      </c>
      <c r="C161" s="534"/>
      <c r="D161" s="536"/>
      <c r="E161" s="537"/>
      <c r="F161" s="538"/>
      <c r="G161" s="538"/>
      <c r="H161" s="538"/>
      <c r="I161" s="539"/>
      <c r="J161" s="550"/>
      <c r="K161" s="39"/>
      <c r="L161" s="208"/>
      <c r="M161" s="39"/>
      <c r="N161" s="533" t="s">
        <v>2209</v>
      </c>
    </row>
    <row r="162" spans="1:14" s="541" customFormat="1" ht="16.5" customHeight="1">
      <c r="A162" s="16"/>
      <c r="B162" s="39" t="s">
        <v>1240</v>
      </c>
      <c r="C162" s="534">
        <v>1</v>
      </c>
      <c r="D162" s="536" t="s">
        <v>273</v>
      </c>
      <c r="E162" s="537">
        <v>1</v>
      </c>
      <c r="F162" s="538">
        <v>3.95</v>
      </c>
      <c r="G162" s="538">
        <v>2.1</v>
      </c>
      <c r="H162" s="538">
        <v>0</v>
      </c>
      <c r="I162" s="542">
        <f>ROUND(IF(AND(F162:H162),C162*E162*F162*G162*H162,IF(AND(F162,G162),C162*E162*F162*G162,IF(AND(F162,H162),C162*E162*F162*H162,IF(AND(G162,H162),C162*E162*G162*H162,IF(F162,C162*E162*F162,IF(G162,C162*E162*G162,IF(H162,C162*E162*H162,C162*E162))))))),2)</f>
        <v>8.3000000000000007</v>
      </c>
      <c r="J162" s="550" t="s">
        <v>102</v>
      </c>
      <c r="K162" s="39"/>
      <c r="L162" s="208"/>
      <c r="M162" s="39"/>
      <c r="N162" s="533" t="s">
        <v>2209</v>
      </c>
    </row>
    <row r="163" spans="1:14" s="541" customFormat="1" ht="16.5" customHeight="1">
      <c r="A163" s="16"/>
      <c r="B163" s="569"/>
      <c r="C163" s="570"/>
      <c r="D163" s="555"/>
      <c r="E163" s="571"/>
      <c r="F163" s="572"/>
      <c r="G163" s="572"/>
      <c r="H163" s="573"/>
      <c r="I163" s="557"/>
      <c r="J163" s="550"/>
      <c r="K163" s="39"/>
      <c r="L163" s="208"/>
      <c r="M163" s="39"/>
      <c r="N163" s="533" t="s">
        <v>2209</v>
      </c>
    </row>
    <row r="164" spans="1:14" ht="15.75">
      <c r="A164" s="16"/>
      <c r="B164" s="39"/>
      <c r="C164" s="551"/>
      <c r="D164" s="552"/>
      <c r="E164" s="537"/>
      <c r="F164" s="538"/>
      <c r="G164" s="40"/>
      <c r="H164" s="16"/>
      <c r="I164" s="549"/>
      <c r="J164" s="550" t="s">
        <v>102</v>
      </c>
      <c r="K164" s="10">
        <f>data!F189</f>
        <v>1107.81</v>
      </c>
      <c r="L164" s="208" t="s">
        <v>2209</v>
      </c>
      <c r="M164" s="9">
        <f>ROUND(I164*K164,0)</f>
        <v>0</v>
      </c>
      <c r="N164" s="533" t="s">
        <v>2209</v>
      </c>
    </row>
    <row r="165" spans="1:14" ht="17.25" customHeight="1">
      <c r="A165" s="16">
        <v>13</v>
      </c>
      <c r="B165" s="1633" t="s">
        <v>582</v>
      </c>
      <c r="C165" s="1633"/>
      <c r="D165" s="1633"/>
      <c r="E165" s="1633"/>
      <c r="F165" s="1633"/>
      <c r="G165" s="1633"/>
      <c r="H165" s="1633"/>
      <c r="I165" s="534"/>
      <c r="J165" s="535"/>
      <c r="K165" s="16"/>
      <c r="L165" s="208"/>
      <c r="M165" s="38"/>
      <c r="N165" s="533" t="s">
        <v>2297</v>
      </c>
    </row>
    <row r="166" spans="1:14" s="541" customFormat="1" ht="16.5" customHeight="1">
      <c r="A166" s="16"/>
      <c r="B166" s="39" t="s">
        <v>2834</v>
      </c>
      <c r="C166" s="534"/>
      <c r="D166" s="536"/>
      <c r="E166" s="537"/>
      <c r="F166" s="538"/>
      <c r="G166" s="538"/>
      <c r="H166" s="538"/>
      <c r="I166" s="539"/>
      <c r="J166" s="550"/>
      <c r="K166" s="39"/>
      <c r="L166" s="208"/>
      <c r="M166" s="39"/>
      <c r="N166" s="533" t="s">
        <v>2297</v>
      </c>
    </row>
    <row r="167" spans="1:14" s="541" customFormat="1" ht="16.5" customHeight="1">
      <c r="A167" s="16"/>
      <c r="B167" s="39" t="s">
        <v>1240</v>
      </c>
      <c r="C167" s="534">
        <v>1</v>
      </c>
      <c r="D167" s="536" t="s">
        <v>273</v>
      </c>
      <c r="E167" s="537">
        <v>1</v>
      </c>
      <c r="F167" s="538">
        <v>3.95</v>
      </c>
      <c r="G167" s="538">
        <v>2.1</v>
      </c>
      <c r="H167" s="538">
        <v>0</v>
      </c>
      <c r="I167" s="542">
        <f>ROUND(IF(AND(F167:H167),C167*E167*F167*G167*H167,IF(AND(F167,G167),C167*E167*F167*G167,IF(AND(F167,H167),C167*E167*F167*H167,IF(AND(G167,H167),C167*E167*G167*H167,IF(F167,C167*E167*F167,IF(G167,C167*E167*G167,IF(H167,C167*E167*H167,C167*E167))))))),2)</f>
        <v>8.3000000000000007</v>
      </c>
      <c r="J167" s="550" t="s">
        <v>102</v>
      </c>
      <c r="K167" s="39"/>
      <c r="L167" s="208"/>
      <c r="M167" s="39"/>
      <c r="N167" s="533" t="s">
        <v>2297</v>
      </c>
    </row>
    <row r="168" spans="1:14" s="541" customFormat="1" ht="16.5" customHeight="1">
      <c r="A168" s="16"/>
      <c r="B168" s="569"/>
      <c r="C168" s="570"/>
      <c r="D168" s="555"/>
      <c r="E168" s="571"/>
      <c r="F168" s="572"/>
      <c r="G168" s="572"/>
      <c r="H168" s="573"/>
      <c r="I168" s="557"/>
      <c r="J168" s="550"/>
      <c r="K168" s="39"/>
      <c r="L168" s="208"/>
      <c r="M168" s="39"/>
      <c r="N168" s="533" t="s">
        <v>2297</v>
      </c>
    </row>
    <row r="169" spans="1:14" ht="15.75">
      <c r="A169" s="16"/>
      <c r="B169" s="39"/>
      <c r="C169" s="551"/>
      <c r="D169" s="552"/>
      <c r="E169" s="537"/>
      <c r="F169" s="538"/>
      <c r="G169" s="40"/>
      <c r="H169" s="16"/>
      <c r="I169" s="549"/>
      <c r="J169" s="550" t="s">
        <v>102</v>
      </c>
      <c r="K169" s="10">
        <f>data!F1105</f>
        <v>1140.19</v>
      </c>
      <c r="L169" s="208" t="s">
        <v>2297</v>
      </c>
      <c r="M169" s="9">
        <f>ROUND(I169*K169,0)</f>
        <v>0</v>
      </c>
      <c r="N169" s="533" t="s">
        <v>2297</v>
      </c>
    </row>
    <row r="170" spans="1:14" ht="17.25" customHeight="1">
      <c r="A170" s="16">
        <v>13</v>
      </c>
      <c r="B170" s="1633" t="s">
        <v>582</v>
      </c>
      <c r="C170" s="1633"/>
      <c r="D170" s="1633"/>
      <c r="E170" s="1633"/>
      <c r="F170" s="1633"/>
      <c r="G170" s="1633"/>
      <c r="H170" s="1633"/>
      <c r="I170" s="534"/>
      <c r="J170" s="535"/>
      <c r="K170" s="16"/>
      <c r="L170" s="208"/>
      <c r="M170" s="38"/>
      <c r="N170" s="533" t="s">
        <v>2308</v>
      </c>
    </row>
    <row r="171" spans="1:14" s="541" customFormat="1" ht="16.5" customHeight="1">
      <c r="A171" s="16"/>
      <c r="B171" s="39" t="s">
        <v>2834</v>
      </c>
      <c r="C171" s="534"/>
      <c r="D171" s="536"/>
      <c r="E171" s="537"/>
      <c r="F171" s="538"/>
      <c r="G171" s="538"/>
      <c r="H171" s="538"/>
      <c r="I171" s="539"/>
      <c r="J171" s="550"/>
      <c r="K171" s="39"/>
      <c r="L171" s="208"/>
      <c r="M171" s="39"/>
      <c r="N171" s="533" t="s">
        <v>2308</v>
      </c>
    </row>
    <row r="172" spans="1:14" s="541" customFormat="1" ht="16.5" customHeight="1">
      <c r="A172" s="16"/>
      <c r="B172" s="39" t="s">
        <v>1240</v>
      </c>
      <c r="C172" s="534">
        <v>1</v>
      </c>
      <c r="D172" s="536" t="s">
        <v>273</v>
      </c>
      <c r="E172" s="537">
        <v>1</v>
      </c>
      <c r="F172" s="538">
        <v>3.95</v>
      </c>
      <c r="G172" s="538">
        <v>2.1</v>
      </c>
      <c r="H172" s="538">
        <v>0</v>
      </c>
      <c r="I172" s="542">
        <f>ROUND(IF(AND(F172:H172),C172*E172*F172*G172*H172,IF(AND(F172,G172),C172*E172*F172*G172,IF(AND(F172,H172),C172*E172*F172*H172,IF(AND(G172,H172),C172*E172*G172*H172,IF(F172,C172*E172*F172,IF(G172,C172*E172*G172,IF(H172,C172*E172*H172,C172*E172))))))),2)</f>
        <v>8.3000000000000007</v>
      </c>
      <c r="J172" s="550" t="s">
        <v>102</v>
      </c>
      <c r="K172" s="39"/>
      <c r="L172" s="208"/>
      <c r="M172" s="39"/>
      <c r="N172" s="533" t="s">
        <v>2308</v>
      </c>
    </row>
    <row r="173" spans="1:14" s="541" customFormat="1" ht="16.5" customHeight="1">
      <c r="A173" s="16"/>
      <c r="B173" s="569"/>
      <c r="C173" s="570"/>
      <c r="D173" s="555"/>
      <c r="E173" s="571"/>
      <c r="F173" s="572"/>
      <c r="G173" s="572"/>
      <c r="H173" s="573"/>
      <c r="I173" s="557"/>
      <c r="J173" s="550"/>
      <c r="K173" s="39"/>
      <c r="L173" s="208"/>
      <c r="M173" s="39"/>
      <c r="N173" s="533" t="s">
        <v>2308</v>
      </c>
    </row>
    <row r="174" spans="1:14" ht="15.75">
      <c r="A174" s="16"/>
      <c r="B174" s="39"/>
      <c r="C174" s="551"/>
      <c r="D174" s="552"/>
      <c r="E174" s="537"/>
      <c r="F174" s="538"/>
      <c r="G174" s="40"/>
      <c r="H174" s="16"/>
      <c r="I174" s="549"/>
      <c r="J174" s="550" t="s">
        <v>102</v>
      </c>
      <c r="K174" s="10">
        <f>data!F2022</f>
        <v>1214.83</v>
      </c>
      <c r="L174" s="208" t="s">
        <v>2308</v>
      </c>
      <c r="M174" s="9">
        <f>ROUND(I174*K174,0)</f>
        <v>0</v>
      </c>
      <c r="N174" s="533" t="s">
        <v>2308</v>
      </c>
    </row>
    <row r="175" spans="1:14" ht="17.25" customHeight="1">
      <c r="A175" s="16">
        <v>13</v>
      </c>
      <c r="B175" s="1633" t="s">
        <v>582</v>
      </c>
      <c r="C175" s="1633"/>
      <c r="D175" s="1633"/>
      <c r="E175" s="1633"/>
      <c r="F175" s="1633"/>
      <c r="G175" s="1633"/>
      <c r="H175" s="1633"/>
      <c r="I175" s="534"/>
      <c r="J175" s="535"/>
      <c r="K175" s="16"/>
      <c r="L175" s="208"/>
      <c r="M175" s="38"/>
      <c r="N175" s="533" t="s">
        <v>2309</v>
      </c>
    </row>
    <row r="176" spans="1:14" s="541" customFormat="1" ht="16.5" customHeight="1">
      <c r="A176" s="16"/>
      <c r="B176" s="39" t="s">
        <v>2834</v>
      </c>
      <c r="C176" s="534"/>
      <c r="D176" s="536"/>
      <c r="E176" s="537"/>
      <c r="F176" s="538"/>
      <c r="G176" s="538"/>
      <c r="H176" s="538"/>
      <c r="I176" s="539"/>
      <c r="J176" s="550"/>
      <c r="K176" s="39"/>
      <c r="L176" s="208"/>
      <c r="M176" s="39"/>
      <c r="N176" s="533" t="s">
        <v>2309</v>
      </c>
    </row>
    <row r="177" spans="1:14" s="541" customFormat="1" ht="16.5" customHeight="1">
      <c r="A177" s="16"/>
      <c r="B177" s="39" t="s">
        <v>1240</v>
      </c>
      <c r="C177" s="534">
        <v>1</v>
      </c>
      <c r="D177" s="536" t="s">
        <v>273</v>
      </c>
      <c r="E177" s="537">
        <v>1</v>
      </c>
      <c r="F177" s="538">
        <v>3.95</v>
      </c>
      <c r="G177" s="538">
        <v>2.1</v>
      </c>
      <c r="H177" s="538">
        <v>0</v>
      </c>
      <c r="I177" s="542">
        <f>ROUND(IF(AND(F177:H177),C177*E177*F177*G177*H177,IF(AND(F177,G177),C177*E177*F177*G177,IF(AND(F177,H177),C177*E177*F177*H177,IF(AND(G177,H177),C177*E177*G177*H177,IF(F177,C177*E177*F177,IF(G177,C177*E177*G177,IF(H177,C177*E177*H177,C177*E177))))))),2)</f>
        <v>8.3000000000000007</v>
      </c>
      <c r="J177" s="550" t="s">
        <v>102</v>
      </c>
      <c r="K177" s="39"/>
      <c r="L177" s="208"/>
      <c r="M177" s="39"/>
      <c r="N177" s="533" t="s">
        <v>2309</v>
      </c>
    </row>
    <row r="178" spans="1:14" s="541" customFormat="1" ht="16.5" customHeight="1">
      <c r="A178" s="16"/>
      <c r="B178" s="569"/>
      <c r="C178" s="570"/>
      <c r="D178" s="555"/>
      <c r="E178" s="571"/>
      <c r="F178" s="572"/>
      <c r="G178" s="572"/>
      <c r="H178" s="573"/>
      <c r="I178" s="557"/>
      <c r="J178" s="550"/>
      <c r="K178" s="39"/>
      <c r="L178" s="208"/>
      <c r="M178" s="39"/>
      <c r="N178" s="533" t="s">
        <v>2309</v>
      </c>
    </row>
    <row r="179" spans="1:14" ht="15.75">
      <c r="A179" s="16"/>
      <c r="B179" s="39"/>
      <c r="C179" s="551"/>
      <c r="D179" s="552"/>
      <c r="E179" s="537"/>
      <c r="F179" s="538"/>
      <c r="G179" s="40"/>
      <c r="H179" s="16"/>
      <c r="I179" s="549"/>
      <c r="J179" s="550" t="s">
        <v>102</v>
      </c>
      <c r="K179" s="10">
        <f>data!F2939</f>
        <v>1253.01</v>
      </c>
      <c r="L179" s="208" t="s">
        <v>2309</v>
      </c>
      <c r="M179" s="9">
        <f>ROUND(I179*K179,0)</f>
        <v>0</v>
      </c>
      <c r="N179" s="533" t="s">
        <v>2309</v>
      </c>
    </row>
    <row r="180" spans="1:14" ht="18.75" customHeight="1">
      <c r="A180" s="16">
        <v>16</v>
      </c>
      <c r="B180" s="1633" t="s">
        <v>1314</v>
      </c>
      <c r="C180" s="1633"/>
      <c r="D180" s="1633"/>
      <c r="E180" s="1633"/>
      <c r="F180" s="1633"/>
      <c r="G180" s="1633"/>
      <c r="H180" s="1633"/>
      <c r="I180" s="534"/>
      <c r="J180" s="535"/>
      <c r="K180" s="16"/>
      <c r="L180" s="208"/>
      <c r="M180" s="38"/>
      <c r="N180" s="533" t="s">
        <v>2209</v>
      </c>
    </row>
    <row r="181" spans="1:14" s="541" customFormat="1" ht="16.5" customHeight="1">
      <c r="A181" s="16"/>
      <c r="B181" s="39" t="s">
        <v>2792</v>
      </c>
      <c r="C181" s="534"/>
      <c r="D181" s="536"/>
      <c r="E181" s="537"/>
      <c r="F181" s="538"/>
      <c r="G181" s="538"/>
      <c r="H181" s="538"/>
      <c r="I181" s="539"/>
      <c r="J181" s="550"/>
      <c r="K181" s="39"/>
      <c r="L181" s="208"/>
      <c r="M181" s="39"/>
      <c r="N181" s="533" t="s">
        <v>2209</v>
      </c>
    </row>
    <row r="182" spans="1:14" s="541" customFormat="1" ht="16.5" customHeight="1">
      <c r="A182" s="16"/>
      <c r="B182" s="39" t="s">
        <v>1229</v>
      </c>
      <c r="C182" s="534">
        <v>1</v>
      </c>
      <c r="D182" s="536" t="s">
        <v>273</v>
      </c>
      <c r="E182" s="537">
        <v>5</v>
      </c>
      <c r="F182" s="538">
        <v>1.52</v>
      </c>
      <c r="G182" s="538">
        <v>0.23</v>
      </c>
      <c r="H182" s="538">
        <v>0</v>
      </c>
      <c r="I182" s="542">
        <f>ROUND(IF(AND(F182:H182),C182*E182*F182*G182*H182,IF(AND(F182,G182),C182*E182*F182*G182,IF(AND(F182,H182),C182*E182*F182*H182,IF(AND(G182,H182),C182*E182*G182*H182,IF(F182,C182*E182*F182,IF(G182,C182*E182*G182,IF(H182,C182*E182*H182,C182*E182))))))),2)</f>
        <v>1.75</v>
      </c>
      <c r="J182" s="550" t="s">
        <v>102</v>
      </c>
      <c r="K182" s="39"/>
      <c r="L182" s="208"/>
      <c r="M182" s="39"/>
      <c r="N182" s="533" t="s">
        <v>2209</v>
      </c>
    </row>
    <row r="183" spans="1:14" s="541" customFormat="1" ht="16.5" customHeight="1">
      <c r="A183" s="16"/>
      <c r="B183" s="39" t="s">
        <v>1242</v>
      </c>
      <c r="C183" s="534">
        <v>1</v>
      </c>
      <c r="D183" s="536" t="s">
        <v>273</v>
      </c>
      <c r="E183" s="537">
        <v>1</v>
      </c>
      <c r="F183" s="538">
        <v>1.4</v>
      </c>
      <c r="G183" s="538">
        <v>1.4</v>
      </c>
      <c r="H183" s="538">
        <v>0</v>
      </c>
      <c r="I183" s="542">
        <f>ROUND(IF(AND(F183:H183),C183*E183*F183*G183*H183,IF(AND(F183,G183),C183*E183*F183*G183,IF(AND(F183,H183),C183*E183*F183*H183,IF(AND(G183,H183),C183*E183*G183*H183,IF(F183,C183*E183*F183,IF(G183,C183*E183*G183,IF(H183,C183*E183*H183,C183*E183))))))),2)</f>
        <v>1.96</v>
      </c>
      <c r="J183" s="550" t="s">
        <v>102</v>
      </c>
      <c r="K183" s="39"/>
      <c r="L183" s="208"/>
      <c r="M183" s="39"/>
      <c r="N183" s="533" t="s">
        <v>2209</v>
      </c>
    </row>
    <row r="184" spans="1:14" s="541" customFormat="1" ht="16.5" customHeight="1">
      <c r="A184" s="16"/>
      <c r="B184" s="544"/>
      <c r="C184" s="545"/>
      <c r="D184" s="546"/>
      <c r="E184" s="547"/>
      <c r="F184" s="548"/>
      <c r="G184" s="548"/>
      <c r="H184" s="548"/>
      <c r="I184" s="549"/>
      <c r="J184" s="550"/>
      <c r="K184" s="39"/>
      <c r="L184" s="208"/>
      <c r="M184" s="39"/>
      <c r="N184" s="533" t="s">
        <v>2209</v>
      </c>
    </row>
    <row r="185" spans="1:14" ht="15.75">
      <c r="A185" s="16"/>
      <c r="B185" s="39"/>
      <c r="C185" s="551"/>
      <c r="D185" s="552"/>
      <c r="E185" s="537"/>
      <c r="F185" s="538"/>
      <c r="G185" s="40"/>
      <c r="H185" s="16"/>
      <c r="I185" s="549"/>
      <c r="J185" s="550" t="s">
        <v>102</v>
      </c>
      <c r="K185" s="10">
        <f>data!F245</f>
        <v>608.34999999999991</v>
      </c>
      <c r="L185" s="208" t="s">
        <v>2209</v>
      </c>
      <c r="M185" s="9">
        <f>ROUND(I185*K185,0)</f>
        <v>0</v>
      </c>
      <c r="N185" s="533" t="s">
        <v>2209</v>
      </c>
    </row>
    <row r="186" spans="1:14" ht="18.75" customHeight="1">
      <c r="A186" s="16">
        <v>16</v>
      </c>
      <c r="B186" s="1633" t="s">
        <v>1314</v>
      </c>
      <c r="C186" s="1633"/>
      <c r="D186" s="1633"/>
      <c r="E186" s="1633"/>
      <c r="F186" s="1633"/>
      <c r="G186" s="1633"/>
      <c r="H186" s="1633"/>
      <c r="I186" s="534"/>
      <c r="J186" s="535"/>
      <c r="K186" s="16"/>
      <c r="L186" s="208"/>
      <c r="M186" s="38"/>
      <c r="N186" s="533" t="s">
        <v>2297</v>
      </c>
    </row>
    <row r="187" spans="1:14" s="541" customFormat="1" ht="16.5" customHeight="1">
      <c r="A187" s="16"/>
      <c r="B187" s="39" t="s">
        <v>2792</v>
      </c>
      <c r="C187" s="534"/>
      <c r="D187" s="536"/>
      <c r="E187" s="537"/>
      <c r="F187" s="538"/>
      <c r="G187" s="538"/>
      <c r="H187" s="538"/>
      <c r="I187" s="539"/>
      <c r="J187" s="550"/>
      <c r="K187" s="39"/>
      <c r="L187" s="208"/>
      <c r="M187" s="39"/>
      <c r="N187" s="533" t="s">
        <v>2297</v>
      </c>
    </row>
    <row r="188" spans="1:14" s="541" customFormat="1" ht="16.5" customHeight="1">
      <c r="A188" s="16"/>
      <c r="B188" s="39" t="s">
        <v>1229</v>
      </c>
      <c r="C188" s="534">
        <v>1</v>
      </c>
      <c r="D188" s="536" t="s">
        <v>273</v>
      </c>
      <c r="E188" s="537">
        <v>5</v>
      </c>
      <c r="F188" s="538">
        <v>1.52</v>
      </c>
      <c r="G188" s="538">
        <v>0.23</v>
      </c>
      <c r="H188" s="538">
        <v>0</v>
      </c>
      <c r="I188" s="542">
        <f>ROUND(IF(AND(F188:H188),C188*E188*F188*G188*H188,IF(AND(F188,G188),C188*E188*F188*G188,IF(AND(F188,H188),C188*E188*F188*H188,IF(AND(G188,H188),C188*E188*G188*H188,IF(F188,C188*E188*F188,IF(G188,C188*E188*G188,IF(H188,C188*E188*H188,C188*E188))))))),2)</f>
        <v>1.75</v>
      </c>
      <c r="J188" s="550" t="s">
        <v>102</v>
      </c>
      <c r="K188" s="39"/>
      <c r="L188" s="208"/>
      <c r="M188" s="39"/>
      <c r="N188" s="533" t="s">
        <v>2297</v>
      </c>
    </row>
    <row r="189" spans="1:14" s="541" customFormat="1" ht="16.5" customHeight="1">
      <c r="A189" s="16"/>
      <c r="B189" s="39" t="s">
        <v>1242</v>
      </c>
      <c r="C189" s="534">
        <v>1</v>
      </c>
      <c r="D189" s="536" t="s">
        <v>273</v>
      </c>
      <c r="E189" s="537">
        <v>1</v>
      </c>
      <c r="F189" s="538">
        <v>1.4</v>
      </c>
      <c r="G189" s="538">
        <v>1.4</v>
      </c>
      <c r="H189" s="538">
        <v>0</v>
      </c>
      <c r="I189" s="542">
        <f>ROUND(IF(AND(F189:H189),C189*E189*F189*G189*H189,IF(AND(F189,G189),C189*E189*F189*G189,IF(AND(F189,H189),C189*E189*F189*H189,IF(AND(G189,H189),C189*E189*G189*H189,IF(F189,C189*E189*F189,IF(G189,C189*E189*G189,IF(H189,C189*E189*H189,C189*E189))))))),2)</f>
        <v>1.96</v>
      </c>
      <c r="J189" s="550" t="s">
        <v>102</v>
      </c>
      <c r="K189" s="39"/>
      <c r="L189" s="208"/>
      <c r="M189" s="39"/>
      <c r="N189" s="533" t="s">
        <v>2297</v>
      </c>
    </row>
    <row r="190" spans="1:14" s="541" customFormat="1" ht="16.5" customHeight="1">
      <c r="A190" s="16"/>
      <c r="B190" s="544"/>
      <c r="C190" s="545"/>
      <c r="D190" s="546"/>
      <c r="E190" s="547"/>
      <c r="F190" s="548"/>
      <c r="G190" s="548"/>
      <c r="H190" s="548"/>
      <c r="I190" s="549"/>
      <c r="J190" s="550"/>
      <c r="K190" s="39"/>
      <c r="L190" s="208"/>
      <c r="M190" s="39"/>
      <c r="N190" s="533" t="s">
        <v>2297</v>
      </c>
    </row>
    <row r="191" spans="1:14" ht="15.75">
      <c r="A191" s="16"/>
      <c r="B191" s="39"/>
      <c r="C191" s="551"/>
      <c r="D191" s="552"/>
      <c r="E191" s="537"/>
      <c r="F191" s="538"/>
      <c r="G191" s="40"/>
      <c r="H191" s="16"/>
      <c r="I191" s="549"/>
      <c r="J191" s="550" t="s">
        <v>102</v>
      </c>
      <c r="K191" s="10">
        <f>data!F1161</f>
        <v>629.79</v>
      </c>
      <c r="L191" s="208" t="s">
        <v>2297</v>
      </c>
      <c r="M191" s="9">
        <f>ROUND(I191*K191,0)</f>
        <v>0</v>
      </c>
      <c r="N191" s="533" t="s">
        <v>2297</v>
      </c>
    </row>
    <row r="192" spans="1:14" ht="18.75" customHeight="1">
      <c r="A192" s="16">
        <v>16</v>
      </c>
      <c r="B192" s="1633" t="s">
        <v>1314</v>
      </c>
      <c r="C192" s="1633"/>
      <c r="D192" s="1633"/>
      <c r="E192" s="1633"/>
      <c r="F192" s="1633"/>
      <c r="G192" s="1633"/>
      <c r="H192" s="1633"/>
      <c r="I192" s="534"/>
      <c r="J192" s="535"/>
      <c r="K192" s="16"/>
      <c r="L192" s="208"/>
      <c r="M192" s="38"/>
      <c r="N192" s="533" t="s">
        <v>2308</v>
      </c>
    </row>
    <row r="193" spans="1:14" s="541" customFormat="1" ht="16.5" customHeight="1">
      <c r="A193" s="16"/>
      <c r="B193" s="39" t="s">
        <v>2792</v>
      </c>
      <c r="C193" s="534"/>
      <c r="D193" s="536"/>
      <c r="E193" s="537"/>
      <c r="F193" s="538"/>
      <c r="G193" s="538"/>
      <c r="H193" s="538"/>
      <c r="I193" s="539"/>
      <c r="J193" s="550"/>
      <c r="K193" s="39"/>
      <c r="L193" s="208"/>
      <c r="M193" s="39"/>
      <c r="N193" s="533" t="s">
        <v>2308</v>
      </c>
    </row>
    <row r="194" spans="1:14" s="541" customFormat="1" ht="16.5" customHeight="1">
      <c r="A194" s="16"/>
      <c r="B194" s="39" t="s">
        <v>1229</v>
      </c>
      <c r="C194" s="534">
        <v>1</v>
      </c>
      <c r="D194" s="536" t="s">
        <v>273</v>
      </c>
      <c r="E194" s="537">
        <v>5</v>
      </c>
      <c r="F194" s="538">
        <v>1.52</v>
      </c>
      <c r="G194" s="538">
        <v>0.23</v>
      </c>
      <c r="H194" s="538">
        <v>0</v>
      </c>
      <c r="I194" s="542">
        <f>ROUND(IF(AND(F194:H194),C194*E194*F194*G194*H194,IF(AND(F194,G194),C194*E194*F194*G194,IF(AND(F194,H194),C194*E194*F194*H194,IF(AND(G194,H194),C194*E194*G194*H194,IF(F194,C194*E194*F194,IF(G194,C194*E194*G194,IF(H194,C194*E194*H194,C194*E194))))))),2)</f>
        <v>1.75</v>
      </c>
      <c r="J194" s="550" t="s">
        <v>102</v>
      </c>
      <c r="K194" s="39"/>
      <c r="L194" s="208"/>
      <c r="M194" s="39"/>
      <c r="N194" s="533" t="s">
        <v>2308</v>
      </c>
    </row>
    <row r="195" spans="1:14" s="541" customFormat="1" ht="16.5" customHeight="1">
      <c r="A195" s="16"/>
      <c r="B195" s="39" t="s">
        <v>1242</v>
      </c>
      <c r="C195" s="534">
        <v>1</v>
      </c>
      <c r="D195" s="536" t="s">
        <v>273</v>
      </c>
      <c r="E195" s="537">
        <v>1</v>
      </c>
      <c r="F195" s="538">
        <v>1.4</v>
      </c>
      <c r="G195" s="538">
        <v>1.4</v>
      </c>
      <c r="H195" s="538">
        <v>0</v>
      </c>
      <c r="I195" s="542">
        <f>ROUND(IF(AND(F195:H195),C195*E195*F195*G195*H195,IF(AND(F195,G195),C195*E195*F195*G195,IF(AND(F195,H195),C195*E195*F195*H195,IF(AND(G195,H195),C195*E195*G195*H195,IF(F195,C195*E195*F195,IF(G195,C195*E195*G195,IF(H195,C195*E195*H195,C195*E195))))))),2)</f>
        <v>1.96</v>
      </c>
      <c r="J195" s="550" t="s">
        <v>102</v>
      </c>
      <c r="K195" s="39"/>
      <c r="L195" s="208"/>
      <c r="M195" s="39"/>
      <c r="N195" s="533" t="s">
        <v>2308</v>
      </c>
    </row>
    <row r="196" spans="1:14" s="541" customFormat="1" ht="16.5" customHeight="1">
      <c r="A196" s="16"/>
      <c r="B196" s="544"/>
      <c r="C196" s="545"/>
      <c r="D196" s="546"/>
      <c r="E196" s="547"/>
      <c r="F196" s="548"/>
      <c r="G196" s="548"/>
      <c r="H196" s="548"/>
      <c r="I196" s="549"/>
      <c r="J196" s="550"/>
      <c r="K196" s="39"/>
      <c r="L196" s="208"/>
      <c r="M196" s="39"/>
      <c r="N196" s="533" t="s">
        <v>2308</v>
      </c>
    </row>
    <row r="197" spans="1:14" ht="15.75">
      <c r="A197" s="16"/>
      <c r="B197" s="39"/>
      <c r="C197" s="551"/>
      <c r="D197" s="552"/>
      <c r="E197" s="537"/>
      <c r="F197" s="538"/>
      <c r="G197" s="40"/>
      <c r="H197" s="16"/>
      <c r="I197" s="549"/>
      <c r="J197" s="550" t="s">
        <v>102</v>
      </c>
      <c r="K197" s="10">
        <f>data!F2078</f>
        <v>670.91</v>
      </c>
      <c r="L197" s="208" t="s">
        <v>2308</v>
      </c>
      <c r="M197" s="9">
        <f>ROUND(I197*K197,0)</f>
        <v>0</v>
      </c>
      <c r="N197" s="533" t="s">
        <v>2308</v>
      </c>
    </row>
    <row r="198" spans="1:14" ht="18.75" customHeight="1">
      <c r="A198" s="16">
        <v>16</v>
      </c>
      <c r="B198" s="1633" t="s">
        <v>1314</v>
      </c>
      <c r="C198" s="1633"/>
      <c r="D198" s="1633"/>
      <c r="E198" s="1633"/>
      <c r="F198" s="1633"/>
      <c r="G198" s="1633"/>
      <c r="H198" s="1633"/>
      <c r="I198" s="534"/>
      <c r="J198" s="535"/>
      <c r="K198" s="16"/>
      <c r="L198" s="208"/>
      <c r="M198" s="38"/>
      <c r="N198" s="533" t="s">
        <v>2309</v>
      </c>
    </row>
    <row r="199" spans="1:14" s="541" customFormat="1" ht="16.5" customHeight="1">
      <c r="A199" s="16"/>
      <c r="B199" s="39" t="s">
        <v>2792</v>
      </c>
      <c r="C199" s="534"/>
      <c r="D199" s="536"/>
      <c r="E199" s="537"/>
      <c r="F199" s="538"/>
      <c r="G199" s="538"/>
      <c r="H199" s="538"/>
      <c r="I199" s="539"/>
      <c r="J199" s="550"/>
      <c r="K199" s="39"/>
      <c r="L199" s="208"/>
      <c r="M199" s="39"/>
      <c r="N199" s="533" t="s">
        <v>2309</v>
      </c>
    </row>
    <row r="200" spans="1:14" s="541" customFormat="1" ht="16.5" customHeight="1">
      <c r="A200" s="16"/>
      <c r="B200" s="39" t="s">
        <v>1229</v>
      </c>
      <c r="C200" s="534">
        <v>1</v>
      </c>
      <c r="D200" s="536" t="s">
        <v>273</v>
      </c>
      <c r="E200" s="537">
        <v>5</v>
      </c>
      <c r="F200" s="538">
        <v>1.52</v>
      </c>
      <c r="G200" s="538">
        <v>0.23</v>
      </c>
      <c r="H200" s="538">
        <v>0</v>
      </c>
      <c r="I200" s="542">
        <f>ROUND(IF(AND(F200:H200),C200*E200*F200*G200*H200,IF(AND(F200,G200),C200*E200*F200*G200,IF(AND(F200,H200),C200*E200*F200*H200,IF(AND(G200,H200),C200*E200*G200*H200,IF(F200,C200*E200*F200,IF(G200,C200*E200*G200,IF(H200,C200*E200*H200,C200*E200))))))),2)</f>
        <v>1.75</v>
      </c>
      <c r="J200" s="550" t="s">
        <v>102</v>
      </c>
      <c r="K200" s="39"/>
      <c r="L200" s="208"/>
      <c r="M200" s="39"/>
      <c r="N200" s="533" t="s">
        <v>2309</v>
      </c>
    </row>
    <row r="201" spans="1:14" s="541" customFormat="1" ht="16.5" customHeight="1">
      <c r="A201" s="16"/>
      <c r="B201" s="39" t="s">
        <v>1242</v>
      </c>
      <c r="C201" s="534">
        <v>1</v>
      </c>
      <c r="D201" s="536" t="s">
        <v>273</v>
      </c>
      <c r="E201" s="537">
        <v>1</v>
      </c>
      <c r="F201" s="538">
        <v>1.4</v>
      </c>
      <c r="G201" s="538">
        <v>1.4</v>
      </c>
      <c r="H201" s="538">
        <v>0</v>
      </c>
      <c r="I201" s="542">
        <f>ROUND(IF(AND(F201:H201),C201*E201*F201*G201*H201,IF(AND(F201,G201),C201*E201*F201*G201,IF(AND(F201,H201),C201*E201*F201*H201,IF(AND(G201,H201),C201*E201*G201*H201,IF(F201,C201*E201*F201,IF(G201,C201*E201*G201,IF(H201,C201*E201*H201,C201*E201))))))),2)</f>
        <v>1.96</v>
      </c>
      <c r="J201" s="550" t="s">
        <v>102</v>
      </c>
      <c r="K201" s="39"/>
      <c r="L201" s="208"/>
      <c r="M201" s="39"/>
      <c r="N201" s="533" t="s">
        <v>2309</v>
      </c>
    </row>
    <row r="202" spans="1:14" s="541" customFormat="1" ht="16.5" customHeight="1">
      <c r="A202" s="16"/>
      <c r="B202" s="544"/>
      <c r="C202" s="545"/>
      <c r="D202" s="546"/>
      <c r="E202" s="547"/>
      <c r="F202" s="548"/>
      <c r="G202" s="548"/>
      <c r="H202" s="548"/>
      <c r="I202" s="549"/>
      <c r="J202" s="550"/>
      <c r="K202" s="39"/>
      <c r="L202" s="208"/>
      <c r="M202" s="39"/>
      <c r="N202" s="533" t="s">
        <v>2309</v>
      </c>
    </row>
    <row r="203" spans="1:14" ht="15.75">
      <c r="A203" s="16"/>
      <c r="B203" s="39"/>
      <c r="C203" s="551"/>
      <c r="D203" s="552"/>
      <c r="E203" s="537"/>
      <c r="F203" s="538"/>
      <c r="G203" s="40"/>
      <c r="H203" s="16"/>
      <c r="I203" s="549"/>
      <c r="J203" s="550" t="s">
        <v>102</v>
      </c>
      <c r="K203" s="10">
        <f>data!F2995</f>
        <v>694.54</v>
      </c>
      <c r="L203" s="208" t="s">
        <v>2309</v>
      </c>
      <c r="M203" s="9">
        <f>ROUND(I203*K203,0)</f>
        <v>0</v>
      </c>
      <c r="N203" s="533" t="s">
        <v>2309</v>
      </c>
    </row>
    <row r="204" spans="1:14" ht="18.75" customHeight="1">
      <c r="A204" s="16">
        <v>16</v>
      </c>
      <c r="B204" s="1633" t="s">
        <v>1316</v>
      </c>
      <c r="C204" s="1633"/>
      <c r="D204" s="1633"/>
      <c r="E204" s="1633"/>
      <c r="F204" s="1633"/>
      <c r="G204" s="1633"/>
      <c r="H204" s="1633"/>
      <c r="I204" s="534"/>
      <c r="J204" s="535"/>
      <c r="K204" s="16"/>
      <c r="L204" s="208"/>
      <c r="M204" s="38"/>
      <c r="N204" s="533" t="s">
        <v>2209</v>
      </c>
    </row>
    <row r="205" spans="1:14" s="541" customFormat="1" ht="16.5" customHeight="1">
      <c r="A205" s="16"/>
      <c r="B205" s="39" t="s">
        <v>2792</v>
      </c>
      <c r="C205" s="534"/>
      <c r="D205" s="536"/>
      <c r="E205" s="537"/>
      <c r="F205" s="538"/>
      <c r="G205" s="538"/>
      <c r="H205" s="538"/>
      <c r="I205" s="539"/>
      <c r="J205" s="550"/>
      <c r="K205" s="39"/>
      <c r="L205" s="208"/>
      <c r="M205" s="39"/>
      <c r="N205" s="533" t="s">
        <v>2209</v>
      </c>
    </row>
    <row r="206" spans="1:14" s="541" customFormat="1" ht="16.5" customHeight="1">
      <c r="A206" s="16"/>
      <c r="B206" s="39" t="s">
        <v>1229</v>
      </c>
      <c r="C206" s="534">
        <v>1</v>
      </c>
      <c r="D206" s="536" t="s">
        <v>273</v>
      </c>
      <c r="E206" s="537">
        <v>5</v>
      </c>
      <c r="F206" s="538">
        <v>1.52</v>
      </c>
      <c r="G206" s="538">
        <v>0.23</v>
      </c>
      <c r="H206" s="538">
        <v>0</v>
      </c>
      <c r="I206" s="542">
        <f>ROUND(IF(AND(F206:H206),C206*E206*F206*G206*H206,IF(AND(F206,G206),C206*E206*F206*G206,IF(AND(F206,H206),C206*E206*F206*H206,IF(AND(G206,H206),C206*E206*G206*H206,IF(F206,C206*E206*F206,IF(G206,C206*E206*G206,IF(H206,C206*E206*H206,C206*E206))))))),2)</f>
        <v>1.75</v>
      </c>
      <c r="J206" s="550" t="s">
        <v>102</v>
      </c>
      <c r="K206" s="39"/>
      <c r="L206" s="208"/>
      <c r="M206" s="39"/>
      <c r="N206" s="533" t="s">
        <v>2209</v>
      </c>
    </row>
    <row r="207" spans="1:14" s="541" customFormat="1" ht="16.5" customHeight="1">
      <c r="A207" s="16"/>
      <c r="B207" s="39"/>
      <c r="C207" s="534">
        <v>1</v>
      </c>
      <c r="D207" s="536" t="s">
        <v>273</v>
      </c>
      <c r="E207" s="537">
        <v>4</v>
      </c>
      <c r="F207" s="538">
        <v>1.83</v>
      </c>
      <c r="G207" s="538">
        <v>0.23</v>
      </c>
      <c r="H207" s="538">
        <v>0</v>
      </c>
      <c r="I207" s="542">
        <f>ROUND(IF(AND(F207:H207),C207*E207*F207*G207*H207,IF(AND(F207,G207),C207*E207*F207*G207,IF(AND(F207,H207),C207*E207*F207*H207,IF(AND(G207,H207),C207*E207*G207*H207,IF(F207,C207*E207*F207,IF(G207,C207*E207*G207,IF(H207,C207*E207*H207,C207*E207))))))),2)</f>
        <v>1.68</v>
      </c>
      <c r="J207" s="550" t="s">
        <v>102</v>
      </c>
      <c r="K207" s="39"/>
      <c r="L207" s="208"/>
      <c r="M207" s="39"/>
      <c r="N207" s="533" t="s">
        <v>2209</v>
      </c>
    </row>
    <row r="208" spans="1:14" s="541" customFormat="1" ht="16.5" customHeight="1">
      <c r="A208" s="16"/>
      <c r="B208" s="544"/>
      <c r="C208" s="545"/>
      <c r="D208" s="546"/>
      <c r="E208" s="547"/>
      <c r="F208" s="548"/>
      <c r="G208" s="548"/>
      <c r="H208" s="548"/>
      <c r="I208" s="549"/>
      <c r="J208" s="550"/>
      <c r="K208" s="39"/>
      <c r="L208" s="208"/>
      <c r="M208" s="39"/>
      <c r="N208" s="533" t="s">
        <v>2209</v>
      </c>
    </row>
    <row r="209" spans="1:14" ht="15.75">
      <c r="A209" s="16"/>
      <c r="B209" s="39"/>
      <c r="C209" s="551"/>
      <c r="D209" s="552"/>
      <c r="E209" s="537"/>
      <c r="F209" s="538"/>
      <c r="G209" s="40"/>
      <c r="H209" s="16"/>
      <c r="I209" s="549"/>
      <c r="J209" s="550" t="s">
        <v>102</v>
      </c>
      <c r="K209" s="10">
        <f>data!F252</f>
        <v>485.58</v>
      </c>
      <c r="L209" s="208" t="s">
        <v>2209</v>
      </c>
      <c r="M209" s="9">
        <f>ROUND(I209*K209,0)</f>
        <v>0</v>
      </c>
      <c r="N209" s="533" t="s">
        <v>2209</v>
      </c>
    </row>
    <row r="210" spans="1:14" ht="18.75" customHeight="1">
      <c r="A210" s="16">
        <v>16</v>
      </c>
      <c r="B210" s="1633" t="s">
        <v>1316</v>
      </c>
      <c r="C210" s="1633"/>
      <c r="D210" s="1633"/>
      <c r="E210" s="1633"/>
      <c r="F210" s="1633"/>
      <c r="G210" s="1633"/>
      <c r="H210" s="1633"/>
      <c r="I210" s="534"/>
      <c r="J210" s="535"/>
      <c r="K210" s="16"/>
      <c r="L210" s="208"/>
      <c r="M210" s="38"/>
      <c r="N210" s="533" t="s">
        <v>2297</v>
      </c>
    </row>
    <row r="211" spans="1:14" s="541" customFormat="1" ht="16.5" customHeight="1">
      <c r="A211" s="16"/>
      <c r="B211" s="39" t="s">
        <v>2792</v>
      </c>
      <c r="C211" s="534"/>
      <c r="D211" s="536"/>
      <c r="E211" s="537"/>
      <c r="F211" s="538"/>
      <c r="G211" s="538"/>
      <c r="H211" s="538"/>
      <c r="I211" s="539"/>
      <c r="J211" s="550"/>
      <c r="K211" s="39"/>
      <c r="L211" s="208"/>
      <c r="M211" s="39"/>
      <c r="N211" s="533" t="s">
        <v>2297</v>
      </c>
    </row>
    <row r="212" spans="1:14" s="541" customFormat="1" ht="16.5" customHeight="1">
      <c r="A212" s="16"/>
      <c r="B212" s="39" t="s">
        <v>1229</v>
      </c>
      <c r="C212" s="534">
        <v>1</v>
      </c>
      <c r="D212" s="536" t="s">
        <v>273</v>
      </c>
      <c r="E212" s="537">
        <v>5</v>
      </c>
      <c r="F212" s="538">
        <v>1.52</v>
      </c>
      <c r="G212" s="538">
        <v>0.23</v>
      </c>
      <c r="H212" s="538">
        <v>0</v>
      </c>
      <c r="I212" s="542">
        <f>ROUND(IF(AND(F212:H212),C212*E212*F212*G212*H212,IF(AND(F212,G212),C212*E212*F212*G212,IF(AND(F212,H212),C212*E212*F212*H212,IF(AND(G212,H212),C212*E212*G212*H212,IF(F212,C212*E212*F212,IF(G212,C212*E212*G212,IF(H212,C212*E212*H212,C212*E212))))))),2)</f>
        <v>1.75</v>
      </c>
      <c r="J212" s="550" t="s">
        <v>102</v>
      </c>
      <c r="K212" s="39"/>
      <c r="L212" s="208"/>
      <c r="M212" s="39"/>
      <c r="N212" s="533" t="s">
        <v>2297</v>
      </c>
    </row>
    <row r="213" spans="1:14" s="541" customFormat="1" ht="16.5" customHeight="1">
      <c r="A213" s="16"/>
      <c r="B213" s="39"/>
      <c r="C213" s="534">
        <v>1</v>
      </c>
      <c r="D213" s="536" t="s">
        <v>273</v>
      </c>
      <c r="E213" s="537">
        <v>4</v>
      </c>
      <c r="F213" s="538">
        <v>1.83</v>
      </c>
      <c r="G213" s="538">
        <v>0.23</v>
      </c>
      <c r="H213" s="538">
        <v>0</v>
      </c>
      <c r="I213" s="542">
        <f>ROUND(IF(AND(F213:H213),C213*E213*F213*G213*H213,IF(AND(F213,G213),C213*E213*F213*G213,IF(AND(F213,H213),C213*E213*F213*H213,IF(AND(G213,H213),C213*E213*G213*H213,IF(F213,C213*E213*F213,IF(G213,C213*E213*G213,IF(H213,C213*E213*H213,C213*E213))))))),2)</f>
        <v>1.68</v>
      </c>
      <c r="J213" s="550" t="s">
        <v>102</v>
      </c>
      <c r="K213" s="39"/>
      <c r="L213" s="208"/>
      <c r="M213" s="39"/>
      <c r="N213" s="533" t="s">
        <v>2297</v>
      </c>
    </row>
    <row r="214" spans="1:14" s="541" customFormat="1" ht="16.5" customHeight="1">
      <c r="A214" s="16"/>
      <c r="B214" s="544"/>
      <c r="C214" s="545"/>
      <c r="D214" s="546"/>
      <c r="E214" s="547"/>
      <c r="F214" s="548"/>
      <c r="G214" s="548"/>
      <c r="H214" s="548"/>
      <c r="I214" s="549"/>
      <c r="J214" s="550"/>
      <c r="K214" s="39"/>
      <c r="L214" s="208"/>
      <c r="M214" s="39"/>
      <c r="N214" s="533" t="s">
        <v>2297</v>
      </c>
    </row>
    <row r="215" spans="1:14" ht="15.75">
      <c r="A215" s="16"/>
      <c r="B215" s="39"/>
      <c r="C215" s="551"/>
      <c r="D215" s="552"/>
      <c r="E215" s="537"/>
      <c r="F215" s="538"/>
      <c r="G215" s="40"/>
      <c r="H215" s="16"/>
      <c r="I215" s="549"/>
      <c r="J215" s="550" t="s">
        <v>102</v>
      </c>
      <c r="K215" s="10">
        <f>data!F1168</f>
        <v>501.74</v>
      </c>
      <c r="L215" s="208" t="s">
        <v>2297</v>
      </c>
      <c r="M215" s="9">
        <f>ROUND(I215*K215,0)</f>
        <v>0</v>
      </c>
      <c r="N215" s="533" t="s">
        <v>2297</v>
      </c>
    </row>
    <row r="216" spans="1:14" ht="18.75" customHeight="1">
      <c r="A216" s="16">
        <v>16</v>
      </c>
      <c r="B216" s="1633" t="s">
        <v>1316</v>
      </c>
      <c r="C216" s="1633"/>
      <c r="D216" s="1633"/>
      <c r="E216" s="1633"/>
      <c r="F216" s="1633"/>
      <c r="G216" s="1633"/>
      <c r="H216" s="1633"/>
      <c r="I216" s="534"/>
      <c r="J216" s="535"/>
      <c r="K216" s="16"/>
      <c r="L216" s="208"/>
      <c r="M216" s="38"/>
      <c r="N216" s="533" t="s">
        <v>2308</v>
      </c>
    </row>
    <row r="217" spans="1:14" s="541" customFormat="1" ht="16.5" customHeight="1">
      <c r="A217" s="16"/>
      <c r="B217" s="39" t="s">
        <v>2792</v>
      </c>
      <c r="C217" s="534"/>
      <c r="D217" s="536"/>
      <c r="E217" s="537"/>
      <c r="F217" s="538"/>
      <c r="G217" s="538"/>
      <c r="H217" s="538"/>
      <c r="I217" s="539"/>
      <c r="J217" s="550"/>
      <c r="K217" s="39"/>
      <c r="L217" s="208"/>
      <c r="M217" s="39"/>
      <c r="N217" s="533" t="s">
        <v>2308</v>
      </c>
    </row>
    <row r="218" spans="1:14" s="541" customFormat="1" ht="16.5" customHeight="1">
      <c r="A218" s="16"/>
      <c r="B218" s="39" t="s">
        <v>1229</v>
      </c>
      <c r="C218" s="534">
        <v>1</v>
      </c>
      <c r="D218" s="536" t="s">
        <v>273</v>
      </c>
      <c r="E218" s="537">
        <v>5</v>
      </c>
      <c r="F218" s="538">
        <v>1.52</v>
      </c>
      <c r="G218" s="538">
        <v>0.23</v>
      </c>
      <c r="H218" s="538">
        <v>0</v>
      </c>
      <c r="I218" s="542">
        <f>ROUND(IF(AND(F218:H218),C218*E218*F218*G218*H218,IF(AND(F218,G218),C218*E218*F218*G218,IF(AND(F218,H218),C218*E218*F218*H218,IF(AND(G218,H218),C218*E218*G218*H218,IF(F218,C218*E218*F218,IF(G218,C218*E218*G218,IF(H218,C218*E218*H218,C218*E218))))))),2)</f>
        <v>1.75</v>
      </c>
      <c r="J218" s="550" t="s">
        <v>102</v>
      </c>
      <c r="K218" s="39"/>
      <c r="L218" s="208"/>
      <c r="M218" s="39"/>
      <c r="N218" s="533" t="s">
        <v>2308</v>
      </c>
    </row>
    <row r="219" spans="1:14" s="541" customFormat="1" ht="16.5" customHeight="1">
      <c r="A219" s="16"/>
      <c r="B219" s="39"/>
      <c r="C219" s="534">
        <v>1</v>
      </c>
      <c r="D219" s="536" t="s">
        <v>273</v>
      </c>
      <c r="E219" s="537">
        <v>4</v>
      </c>
      <c r="F219" s="538">
        <v>1.83</v>
      </c>
      <c r="G219" s="538">
        <v>0.23</v>
      </c>
      <c r="H219" s="538">
        <v>0</v>
      </c>
      <c r="I219" s="542">
        <f>ROUND(IF(AND(F219:H219),C219*E219*F219*G219*H219,IF(AND(F219,G219),C219*E219*F219*G219,IF(AND(F219,H219),C219*E219*F219*H219,IF(AND(G219,H219),C219*E219*G219*H219,IF(F219,C219*E219*F219,IF(G219,C219*E219*G219,IF(H219,C219*E219*H219,C219*E219))))))),2)</f>
        <v>1.68</v>
      </c>
      <c r="J219" s="550" t="s">
        <v>102</v>
      </c>
      <c r="K219" s="39"/>
      <c r="L219" s="208"/>
      <c r="M219" s="39"/>
      <c r="N219" s="533" t="s">
        <v>2308</v>
      </c>
    </row>
    <row r="220" spans="1:14" s="541" customFormat="1" ht="16.5" customHeight="1">
      <c r="A220" s="16"/>
      <c r="B220" s="544"/>
      <c r="C220" s="545"/>
      <c r="D220" s="546"/>
      <c r="E220" s="547"/>
      <c r="F220" s="548"/>
      <c r="G220" s="548"/>
      <c r="H220" s="548"/>
      <c r="I220" s="549"/>
      <c r="J220" s="550"/>
      <c r="K220" s="39"/>
      <c r="L220" s="208"/>
      <c r="M220" s="39"/>
      <c r="N220" s="533" t="s">
        <v>2308</v>
      </c>
    </row>
    <row r="221" spans="1:14" ht="15.75">
      <c r="A221" s="16"/>
      <c r="B221" s="39"/>
      <c r="C221" s="551"/>
      <c r="D221" s="552"/>
      <c r="E221" s="537"/>
      <c r="F221" s="538"/>
      <c r="G221" s="40"/>
      <c r="H221" s="16"/>
      <c r="I221" s="549"/>
      <c r="J221" s="550" t="s">
        <v>102</v>
      </c>
      <c r="K221" s="10">
        <f>data!F2085</f>
        <v>536.78</v>
      </c>
      <c r="L221" s="208" t="s">
        <v>2308</v>
      </c>
      <c r="M221" s="9">
        <f>ROUND(I221*K221,0)</f>
        <v>0</v>
      </c>
      <c r="N221" s="533" t="s">
        <v>2308</v>
      </c>
    </row>
    <row r="222" spans="1:14" ht="18.75" customHeight="1">
      <c r="A222" s="16">
        <v>16</v>
      </c>
      <c r="B222" s="1633" t="s">
        <v>1316</v>
      </c>
      <c r="C222" s="1633"/>
      <c r="D222" s="1633"/>
      <c r="E222" s="1633"/>
      <c r="F222" s="1633"/>
      <c r="G222" s="1633"/>
      <c r="H222" s="1633"/>
      <c r="I222" s="534"/>
      <c r="J222" s="535"/>
      <c r="K222" s="16"/>
      <c r="L222" s="208"/>
      <c r="M222" s="38"/>
      <c r="N222" s="533" t="s">
        <v>2309</v>
      </c>
    </row>
    <row r="223" spans="1:14" s="541" customFormat="1" ht="16.5" customHeight="1">
      <c r="A223" s="16"/>
      <c r="B223" s="39" t="s">
        <v>2792</v>
      </c>
      <c r="C223" s="534"/>
      <c r="D223" s="536"/>
      <c r="E223" s="537"/>
      <c r="F223" s="538"/>
      <c r="G223" s="538"/>
      <c r="H223" s="538"/>
      <c r="I223" s="539"/>
      <c r="J223" s="550"/>
      <c r="K223" s="39"/>
      <c r="L223" s="208"/>
      <c r="M223" s="39"/>
      <c r="N223" s="533" t="s">
        <v>2309</v>
      </c>
    </row>
    <row r="224" spans="1:14" s="541" customFormat="1" ht="16.5" customHeight="1">
      <c r="A224" s="16"/>
      <c r="B224" s="39" t="s">
        <v>1229</v>
      </c>
      <c r="C224" s="534">
        <v>1</v>
      </c>
      <c r="D224" s="536" t="s">
        <v>273</v>
      </c>
      <c r="E224" s="537">
        <v>5</v>
      </c>
      <c r="F224" s="538">
        <v>1.52</v>
      </c>
      <c r="G224" s="538">
        <v>0.23</v>
      </c>
      <c r="H224" s="538">
        <v>0</v>
      </c>
      <c r="I224" s="542">
        <f>ROUND(IF(AND(F224:H224),C224*E224*F224*G224*H224,IF(AND(F224,G224),C224*E224*F224*G224,IF(AND(F224,H224),C224*E224*F224*H224,IF(AND(G224,H224),C224*E224*G224*H224,IF(F224,C224*E224*F224,IF(G224,C224*E224*G224,IF(H224,C224*E224*H224,C224*E224))))))),2)</f>
        <v>1.75</v>
      </c>
      <c r="J224" s="550" t="s">
        <v>102</v>
      </c>
      <c r="K224" s="39"/>
      <c r="L224" s="208"/>
      <c r="M224" s="39"/>
      <c r="N224" s="533" t="s">
        <v>2309</v>
      </c>
    </row>
    <row r="225" spans="1:14" s="541" customFormat="1" ht="16.5" customHeight="1">
      <c r="A225" s="16"/>
      <c r="B225" s="39"/>
      <c r="C225" s="534">
        <v>1</v>
      </c>
      <c r="D225" s="536" t="s">
        <v>273</v>
      </c>
      <c r="E225" s="537">
        <v>4</v>
      </c>
      <c r="F225" s="538">
        <v>1.83</v>
      </c>
      <c r="G225" s="538">
        <v>0.23</v>
      </c>
      <c r="H225" s="538">
        <v>0</v>
      </c>
      <c r="I225" s="542">
        <f>ROUND(IF(AND(F225:H225),C225*E225*F225*G225*H225,IF(AND(F225,G225),C225*E225*F225*G225,IF(AND(F225,H225),C225*E225*F225*H225,IF(AND(G225,H225),C225*E225*G225*H225,IF(F225,C225*E225*F225,IF(G225,C225*E225*G225,IF(H225,C225*E225*H225,C225*E225))))))),2)</f>
        <v>1.68</v>
      </c>
      <c r="J225" s="550" t="s">
        <v>102</v>
      </c>
      <c r="K225" s="39"/>
      <c r="L225" s="208"/>
      <c r="M225" s="39"/>
      <c r="N225" s="533" t="s">
        <v>2309</v>
      </c>
    </row>
    <row r="226" spans="1:14" s="541" customFormat="1" ht="16.5" customHeight="1">
      <c r="A226" s="16"/>
      <c r="B226" s="544"/>
      <c r="C226" s="545"/>
      <c r="D226" s="546"/>
      <c r="E226" s="547"/>
      <c r="F226" s="548"/>
      <c r="G226" s="548"/>
      <c r="H226" s="548"/>
      <c r="I226" s="549"/>
      <c r="J226" s="550"/>
      <c r="K226" s="39"/>
      <c r="L226" s="208"/>
      <c r="M226" s="39"/>
      <c r="N226" s="533" t="s">
        <v>2309</v>
      </c>
    </row>
    <row r="227" spans="1:14" ht="15.75">
      <c r="A227" s="16"/>
      <c r="B227" s="39"/>
      <c r="C227" s="551"/>
      <c r="D227" s="552"/>
      <c r="E227" s="537"/>
      <c r="F227" s="538"/>
      <c r="G227" s="40"/>
      <c r="H227" s="16"/>
      <c r="I227" s="549"/>
      <c r="J227" s="550" t="s">
        <v>102</v>
      </c>
      <c r="K227" s="10">
        <f>data!F3002</f>
        <v>553.39</v>
      </c>
      <c r="L227" s="208" t="s">
        <v>2309</v>
      </c>
      <c r="M227" s="9">
        <f>ROUND(I227*K227,0)</f>
        <v>0</v>
      </c>
      <c r="N227" s="533" t="s">
        <v>2309</v>
      </c>
    </row>
    <row r="228" spans="1:14" ht="89.25" customHeight="1">
      <c r="A228" s="16">
        <v>5</v>
      </c>
      <c r="B228" s="1633" t="s">
        <v>2057</v>
      </c>
      <c r="C228" s="1633"/>
      <c r="D228" s="1633"/>
      <c r="E228" s="1633"/>
      <c r="F228" s="1633"/>
      <c r="G228" s="1633"/>
      <c r="H228" s="1633"/>
      <c r="I228" s="534"/>
      <c r="J228" s="535"/>
      <c r="K228" s="16"/>
      <c r="L228" s="208"/>
      <c r="M228" s="38"/>
      <c r="N228" s="533" t="s">
        <v>2209</v>
      </c>
    </row>
    <row r="229" spans="1:14" s="541" customFormat="1" ht="16.5" customHeight="1">
      <c r="A229" s="16"/>
      <c r="B229" s="39" t="s">
        <v>3023</v>
      </c>
      <c r="C229" s="534"/>
      <c r="D229" s="858" t="s">
        <v>3267</v>
      </c>
      <c r="E229" s="537"/>
      <c r="F229" s="538"/>
      <c r="G229" s="538"/>
      <c r="H229" s="538"/>
      <c r="I229" s="539"/>
      <c r="J229" s="550"/>
      <c r="K229" s="39"/>
      <c r="L229" s="208"/>
      <c r="M229" s="39"/>
      <c r="N229" s="533" t="s">
        <v>2209</v>
      </c>
    </row>
    <row r="230" spans="1:14" s="541" customFormat="1" ht="16.5" customHeight="1">
      <c r="A230" s="16"/>
      <c r="B230" s="39" t="s">
        <v>3066</v>
      </c>
      <c r="C230" s="534">
        <v>1</v>
      </c>
      <c r="D230" s="536" t="s">
        <v>273</v>
      </c>
      <c r="E230" s="537">
        <v>1</v>
      </c>
      <c r="F230" s="538">
        <v>4.99</v>
      </c>
      <c r="G230" s="538">
        <v>0.23</v>
      </c>
      <c r="H230" s="538">
        <v>0.15</v>
      </c>
      <c r="I230" s="542">
        <f t="shared" ref="I230:I236" si="24">ROUND(IF(AND(F230:H230),C230*E230*F230*G230*H230,IF(AND(F230,G230),C230*E230*F230*G230,IF(AND(F230,H230),C230*E230*F230*H230,IF(AND(G230,H230),C230*E230*G230*H230,IF(F230,C230*E230*F230,IF(G230,C230*E230*G230,IF(H230,C230*E230*H230,C230*E230))))))),2)</f>
        <v>0.17</v>
      </c>
      <c r="J230" s="550" t="s">
        <v>5</v>
      </c>
      <c r="K230" s="39"/>
      <c r="L230" s="208"/>
      <c r="M230" s="39"/>
      <c r="N230" s="533" t="s">
        <v>2209</v>
      </c>
    </row>
    <row r="231" spans="1:14" s="541" customFormat="1" ht="16.5" customHeight="1">
      <c r="A231" s="16"/>
      <c r="B231" s="39" t="s">
        <v>3067</v>
      </c>
      <c r="C231" s="534">
        <v>1</v>
      </c>
      <c r="D231" s="536" t="s">
        <v>273</v>
      </c>
      <c r="E231" s="537">
        <v>1</v>
      </c>
      <c r="F231" s="538">
        <v>3.12</v>
      </c>
      <c r="G231" s="538">
        <v>0.23</v>
      </c>
      <c r="H231" s="538">
        <v>0.15</v>
      </c>
      <c r="I231" s="542">
        <f t="shared" si="24"/>
        <v>0.11</v>
      </c>
      <c r="J231" s="550" t="s">
        <v>5</v>
      </c>
      <c r="K231" s="39"/>
      <c r="L231" s="208"/>
      <c r="M231" s="39"/>
      <c r="N231" s="533" t="s">
        <v>2209</v>
      </c>
    </row>
    <row r="232" spans="1:14" s="541" customFormat="1" ht="16.5" customHeight="1">
      <c r="A232" s="16"/>
      <c r="B232" s="39"/>
      <c r="C232" s="534">
        <v>1</v>
      </c>
      <c r="D232" s="536" t="s">
        <v>273</v>
      </c>
      <c r="E232" s="537">
        <v>1</v>
      </c>
      <c r="F232" s="538">
        <v>3.16</v>
      </c>
      <c r="G232" s="538">
        <v>0.23</v>
      </c>
      <c r="H232" s="538">
        <v>0.15</v>
      </c>
      <c r="I232" s="542">
        <f t="shared" si="24"/>
        <v>0.11</v>
      </c>
      <c r="J232" s="550" t="s">
        <v>5</v>
      </c>
      <c r="K232" s="39"/>
      <c r="L232" s="208"/>
      <c r="M232" s="39"/>
      <c r="N232" s="533" t="s">
        <v>2209</v>
      </c>
    </row>
    <row r="233" spans="1:14" s="541" customFormat="1" ht="16.5" customHeight="1">
      <c r="A233" s="16"/>
      <c r="B233" s="39" t="s">
        <v>3068</v>
      </c>
      <c r="C233" s="534">
        <v>1</v>
      </c>
      <c r="D233" s="536" t="s">
        <v>273</v>
      </c>
      <c r="E233" s="537">
        <v>1</v>
      </c>
      <c r="F233" s="538">
        <v>2.72</v>
      </c>
      <c r="G233" s="538">
        <v>0.23</v>
      </c>
      <c r="H233" s="538">
        <v>0.15</v>
      </c>
      <c r="I233" s="542">
        <f t="shared" si="24"/>
        <v>0.09</v>
      </c>
      <c r="J233" s="550" t="s">
        <v>5</v>
      </c>
      <c r="K233" s="39"/>
      <c r="L233" s="208"/>
      <c r="M233" s="39"/>
      <c r="N233" s="533" t="s">
        <v>2209</v>
      </c>
    </row>
    <row r="234" spans="1:14" s="541" customFormat="1" ht="16.5" customHeight="1">
      <c r="A234" s="16"/>
      <c r="B234" s="39"/>
      <c r="C234" s="534">
        <v>1</v>
      </c>
      <c r="D234" s="536" t="s">
        <v>273</v>
      </c>
      <c r="E234" s="537">
        <v>2</v>
      </c>
      <c r="F234" s="538">
        <v>2.59</v>
      </c>
      <c r="G234" s="538">
        <v>0.23</v>
      </c>
      <c r="H234" s="538">
        <v>0.15</v>
      </c>
      <c r="I234" s="542">
        <f t="shared" si="24"/>
        <v>0.18</v>
      </c>
      <c r="J234" s="550" t="s">
        <v>5</v>
      </c>
      <c r="K234" s="39"/>
      <c r="L234" s="208"/>
      <c r="M234" s="39"/>
      <c r="N234" s="533" t="s">
        <v>2209</v>
      </c>
    </row>
    <row r="235" spans="1:14" s="541" customFormat="1" ht="16.5" customHeight="1">
      <c r="A235" s="16"/>
      <c r="B235" s="39"/>
      <c r="C235" s="534">
        <v>1</v>
      </c>
      <c r="D235" s="536" t="s">
        <v>273</v>
      </c>
      <c r="E235" s="537">
        <v>2</v>
      </c>
      <c r="F235" s="538">
        <v>2.78</v>
      </c>
      <c r="G235" s="538">
        <v>0.23</v>
      </c>
      <c r="H235" s="538">
        <v>0.15</v>
      </c>
      <c r="I235" s="542">
        <f t="shared" si="24"/>
        <v>0.19</v>
      </c>
      <c r="J235" s="550" t="s">
        <v>5</v>
      </c>
      <c r="K235" s="39"/>
      <c r="L235" s="208"/>
      <c r="M235" s="39"/>
      <c r="N235" s="533" t="s">
        <v>2209</v>
      </c>
    </row>
    <row r="236" spans="1:14" s="541" customFormat="1" ht="16.5" customHeight="1">
      <c r="A236" s="16"/>
      <c r="B236" s="39"/>
      <c r="C236" s="534">
        <v>1</v>
      </c>
      <c r="D236" s="536" t="s">
        <v>273</v>
      </c>
      <c r="E236" s="537">
        <v>1</v>
      </c>
      <c r="F236" s="538">
        <v>3.23</v>
      </c>
      <c r="G236" s="538">
        <v>0.23</v>
      </c>
      <c r="H236" s="538">
        <v>0.15</v>
      </c>
      <c r="I236" s="542">
        <f t="shared" si="24"/>
        <v>0.11</v>
      </c>
      <c r="J236" s="550" t="s">
        <v>5</v>
      </c>
      <c r="K236" s="39"/>
      <c r="L236" s="208"/>
      <c r="M236" s="39"/>
      <c r="N236" s="533" t="s">
        <v>2209</v>
      </c>
    </row>
    <row r="237" spans="1:14" s="541" customFormat="1" ht="16.5" customHeight="1">
      <c r="A237" s="16"/>
      <c r="B237" s="544"/>
      <c r="C237" s="545"/>
      <c r="D237" s="546"/>
      <c r="E237" s="547"/>
      <c r="F237" s="538"/>
      <c r="G237" s="538"/>
      <c r="H237" s="538"/>
      <c r="I237" s="549"/>
      <c r="J237" s="550"/>
      <c r="K237" s="39"/>
      <c r="L237" s="208"/>
      <c r="M237" s="39"/>
      <c r="N237" s="533" t="s">
        <v>2209</v>
      </c>
    </row>
    <row r="238" spans="1:14" ht="15.75">
      <c r="A238" s="16"/>
      <c r="B238" s="39"/>
      <c r="C238" s="551"/>
      <c r="D238" s="552"/>
      <c r="E238" s="537"/>
      <c r="F238" s="538"/>
      <c r="G238" s="40"/>
      <c r="H238" s="16"/>
      <c r="I238" s="549"/>
      <c r="J238" s="550" t="s">
        <v>5</v>
      </c>
      <c r="K238" s="10">
        <f>data!F161</f>
        <v>9842.01</v>
      </c>
      <c r="L238" s="208" t="s">
        <v>2209</v>
      </c>
      <c r="M238" s="9">
        <f>ROUND(I238*K238,0)</f>
        <v>0</v>
      </c>
      <c r="N238" s="533" t="s">
        <v>2209</v>
      </c>
    </row>
    <row r="239" spans="1:14" ht="89.25" customHeight="1">
      <c r="A239" s="16">
        <v>5</v>
      </c>
      <c r="B239" s="1633" t="s">
        <v>2057</v>
      </c>
      <c r="C239" s="1633"/>
      <c r="D239" s="1633"/>
      <c r="E239" s="1633"/>
      <c r="F239" s="1633"/>
      <c r="G239" s="1633"/>
      <c r="H239" s="1633"/>
      <c r="I239" s="534"/>
      <c r="J239" s="535"/>
      <c r="K239" s="16"/>
      <c r="L239" s="208"/>
      <c r="M239" s="38"/>
      <c r="N239" s="533" t="s">
        <v>2297</v>
      </c>
    </row>
    <row r="240" spans="1:14" s="541" customFormat="1" ht="16.5" customHeight="1">
      <c r="A240" s="16"/>
      <c r="B240" s="207" t="s">
        <v>2803</v>
      </c>
      <c r="C240" s="534"/>
      <c r="D240" s="536"/>
      <c r="E240" s="537"/>
      <c r="F240" s="538"/>
      <c r="G240" s="538"/>
      <c r="H240" s="538"/>
      <c r="I240" s="539"/>
      <c r="J240" s="550"/>
      <c r="K240" s="39"/>
      <c r="L240" s="208"/>
      <c r="M240" s="39"/>
      <c r="N240" s="533" t="s">
        <v>2297</v>
      </c>
    </row>
    <row r="241" spans="1:14" s="541" customFormat="1" ht="16.5" customHeight="1">
      <c r="A241" s="16"/>
      <c r="B241" s="39" t="s">
        <v>2889</v>
      </c>
      <c r="C241" s="534">
        <v>1</v>
      </c>
      <c r="D241" s="536" t="s">
        <v>273</v>
      </c>
      <c r="E241" s="537">
        <v>1</v>
      </c>
      <c r="F241" s="538">
        <v>9.06</v>
      </c>
      <c r="G241" s="538">
        <v>0.23</v>
      </c>
      <c r="H241" s="538">
        <v>0.15</v>
      </c>
      <c r="I241" s="542">
        <f>ROUND(IF(AND(F241:H241),C241*E241*F241*G241*H241,IF(AND(F241,G241),C241*E241*F241*G241,IF(AND(F241,H241),C241*E241*F241*H241,IF(AND(G241,H241),C241*E241*G241*H241,IF(F241,C241*E241*F241,IF(G241,C241*E241*G241,IF(H241,C241*E241*H241,C241*E241))))))),2)</f>
        <v>0.31</v>
      </c>
      <c r="J241" s="550" t="s">
        <v>5</v>
      </c>
      <c r="K241" s="39"/>
      <c r="L241" s="208"/>
      <c r="M241" s="39"/>
      <c r="N241" s="533" t="s">
        <v>2297</v>
      </c>
    </row>
    <row r="242" spans="1:14" s="541" customFormat="1" ht="16.5" customHeight="1">
      <c r="A242" s="16"/>
      <c r="B242" s="39" t="s">
        <v>2890</v>
      </c>
      <c r="C242" s="534">
        <v>1</v>
      </c>
      <c r="D242" s="536" t="s">
        <v>273</v>
      </c>
      <c r="E242" s="537">
        <v>2</v>
      </c>
      <c r="F242" s="538">
        <v>0.23</v>
      </c>
      <c r="G242" s="538">
        <v>0.23</v>
      </c>
      <c r="H242" s="538">
        <v>0.15</v>
      </c>
      <c r="I242" s="542">
        <f>-ROUND(IF(AND(F242:H242),C242*E242*F242*G242*H242,IF(AND(F242,G242),C242*E242*F242*G242,IF(AND(F242,H242),C242*E242*F242*H242,IF(AND(G242,H242),C242*E242*G242*H242,IF(F242,C242*E242*F242,IF(G242,C242*E242*G242,IF(H242,C242*E242*H242,C242*E242))))))),2)</f>
        <v>-0.02</v>
      </c>
      <c r="J242" s="550" t="s">
        <v>5</v>
      </c>
      <c r="K242" s="39"/>
      <c r="L242" s="208"/>
      <c r="M242" s="39"/>
      <c r="N242" s="533" t="s">
        <v>2297</v>
      </c>
    </row>
    <row r="243" spans="1:14" s="541" customFormat="1" ht="16.5" customHeight="1">
      <c r="A243" s="16"/>
      <c r="B243" s="39" t="s">
        <v>2891</v>
      </c>
      <c r="C243" s="534">
        <v>1</v>
      </c>
      <c r="D243" s="536" t="s">
        <v>273</v>
      </c>
      <c r="E243" s="537">
        <v>1</v>
      </c>
      <c r="F243" s="538">
        <v>8.08</v>
      </c>
      <c r="G243" s="538">
        <v>0.23</v>
      </c>
      <c r="H243" s="538">
        <v>0.15</v>
      </c>
      <c r="I243" s="542">
        <f t="shared" ref="I243:I255" si="25">ROUND(IF(AND(F243:H243),C243*E243*F243*G243*H243,IF(AND(F243,G243),C243*E243*F243*G243,IF(AND(F243,H243),C243*E243*F243*H243,IF(AND(G243,H243),C243*E243*G243*H243,IF(F243,C243*E243*F243,IF(G243,C243*E243*G243,IF(H243,C243*E243*H243,C243*E243))))))),2)</f>
        <v>0.28000000000000003</v>
      </c>
      <c r="J243" s="550" t="s">
        <v>5</v>
      </c>
      <c r="K243" s="39"/>
      <c r="L243" s="208"/>
      <c r="M243" s="39"/>
      <c r="N243" s="533" t="s">
        <v>2297</v>
      </c>
    </row>
    <row r="244" spans="1:14" s="541" customFormat="1" ht="16.5" customHeight="1">
      <c r="A244" s="16"/>
      <c r="B244" s="39" t="s">
        <v>2890</v>
      </c>
      <c r="C244" s="534">
        <v>1</v>
      </c>
      <c r="D244" s="536" t="s">
        <v>273</v>
      </c>
      <c r="E244" s="537">
        <v>1</v>
      </c>
      <c r="F244" s="538">
        <v>0.38</v>
      </c>
      <c r="G244" s="538">
        <v>0.23</v>
      </c>
      <c r="H244" s="538">
        <v>0.15</v>
      </c>
      <c r="I244" s="542">
        <f>-ROUND(IF(AND(F244:H244),C244*E244*F244*G244*H244,IF(AND(F244,G244),C244*E244*F244*G244,IF(AND(F244,H244),C244*E244*F244*H244,IF(AND(G244,H244),C244*E244*G244*H244,IF(F244,C244*E244*F244,IF(G244,C244*E244*G244,IF(H244,C244*E244*H244,C244*E244))))))),2)</f>
        <v>-0.01</v>
      </c>
      <c r="J244" s="550" t="s">
        <v>5</v>
      </c>
      <c r="K244" s="39"/>
      <c r="L244" s="208"/>
      <c r="M244" s="39"/>
      <c r="N244" s="533" t="s">
        <v>2297</v>
      </c>
    </row>
    <row r="245" spans="1:14" s="541" customFormat="1" ht="16.5" customHeight="1">
      <c r="A245" s="16"/>
      <c r="B245" s="39" t="s">
        <v>2892</v>
      </c>
      <c r="C245" s="534">
        <v>1</v>
      </c>
      <c r="D245" s="536" t="s">
        <v>273</v>
      </c>
      <c r="E245" s="537">
        <v>1</v>
      </c>
      <c r="F245" s="538">
        <v>8.91</v>
      </c>
      <c r="G245" s="538">
        <v>0.23</v>
      </c>
      <c r="H245" s="538">
        <v>0.15</v>
      </c>
      <c r="I245" s="542">
        <f t="shared" si="25"/>
        <v>0.31</v>
      </c>
      <c r="J245" s="550" t="s">
        <v>5</v>
      </c>
      <c r="K245" s="39"/>
      <c r="L245" s="208"/>
      <c r="M245" s="39"/>
      <c r="N245" s="533" t="s">
        <v>2297</v>
      </c>
    </row>
    <row r="246" spans="1:14" s="541" customFormat="1" ht="16.5" customHeight="1">
      <c r="A246" s="16"/>
      <c r="B246" s="39" t="s">
        <v>2890</v>
      </c>
      <c r="C246" s="534">
        <v>1</v>
      </c>
      <c r="D246" s="536" t="s">
        <v>273</v>
      </c>
      <c r="E246" s="537">
        <v>1</v>
      </c>
      <c r="F246" s="538">
        <v>0.23</v>
      </c>
      <c r="G246" s="538">
        <v>0.23</v>
      </c>
      <c r="H246" s="538">
        <v>0.15</v>
      </c>
      <c r="I246" s="542">
        <f>-ROUND(IF(AND(F246:H246),C246*E246*F246*G246*H246,IF(AND(F246,G246),C246*E246*F246*G246,IF(AND(F246,H246),C246*E246*F246*H246,IF(AND(G246,H246),C246*E246*G246*H246,IF(F246,C246*E246*F246,IF(G246,C246*E246*G246,IF(H246,C246*E246*H246,C246*E246))))))),2)</f>
        <v>-0.01</v>
      </c>
      <c r="J246" s="550" t="s">
        <v>5</v>
      </c>
      <c r="K246" s="39"/>
      <c r="L246" s="208"/>
      <c r="M246" s="39"/>
      <c r="N246" s="533" t="s">
        <v>2297</v>
      </c>
    </row>
    <row r="247" spans="1:14" s="541" customFormat="1" ht="16.5" customHeight="1">
      <c r="A247" s="16"/>
      <c r="B247" s="39"/>
      <c r="C247" s="534">
        <v>1</v>
      </c>
      <c r="D247" s="536" t="s">
        <v>273</v>
      </c>
      <c r="E247" s="537">
        <v>1</v>
      </c>
      <c r="F247" s="538">
        <v>0.38</v>
      </c>
      <c r="G247" s="538">
        <v>0.23</v>
      </c>
      <c r="H247" s="538">
        <v>0.15</v>
      </c>
      <c r="I247" s="542">
        <f>-ROUND(IF(AND(F247:H247),C247*E247*F247*G247*H247,IF(AND(F247,G247),C247*E247*F247*G247,IF(AND(F247,H247),C247*E247*F247*H247,IF(AND(G247,H247),C247*E247*G247*H247,IF(F247,C247*E247*F247,IF(G247,C247*E247*G247,IF(H247,C247*E247*H247,C247*E247))))))),2)</f>
        <v>-0.01</v>
      </c>
      <c r="J247" s="550" t="s">
        <v>5</v>
      </c>
      <c r="K247" s="39"/>
      <c r="L247" s="208"/>
      <c r="M247" s="39"/>
      <c r="N247" s="533" t="s">
        <v>2297</v>
      </c>
    </row>
    <row r="248" spans="1:14" s="541" customFormat="1" ht="16.5" customHeight="1">
      <c r="A248" s="16"/>
      <c r="B248" s="39" t="s">
        <v>2877</v>
      </c>
      <c r="C248" s="534">
        <v>1</v>
      </c>
      <c r="D248" s="536" t="s">
        <v>273</v>
      </c>
      <c r="E248" s="537">
        <v>1</v>
      </c>
      <c r="F248" s="538">
        <v>2.86</v>
      </c>
      <c r="G248" s="538">
        <v>0.23</v>
      </c>
      <c r="H248" s="538">
        <v>0.15</v>
      </c>
      <c r="I248" s="542">
        <f t="shared" si="25"/>
        <v>0.1</v>
      </c>
      <c r="J248" s="550" t="s">
        <v>5</v>
      </c>
      <c r="K248" s="39"/>
      <c r="L248" s="208"/>
      <c r="M248" s="39"/>
      <c r="N248" s="533" t="s">
        <v>2297</v>
      </c>
    </row>
    <row r="249" spans="1:14" s="541" customFormat="1" ht="16.5" customHeight="1">
      <c r="A249" s="16"/>
      <c r="B249" s="39" t="s">
        <v>2893</v>
      </c>
      <c r="C249" s="534">
        <v>1</v>
      </c>
      <c r="D249" s="536" t="s">
        <v>273</v>
      </c>
      <c r="E249" s="537">
        <v>3</v>
      </c>
      <c r="F249" s="538">
        <v>2.86</v>
      </c>
      <c r="G249" s="538">
        <v>0.115</v>
      </c>
      <c r="H249" s="538">
        <v>0.15</v>
      </c>
      <c r="I249" s="542">
        <f t="shared" si="25"/>
        <v>0.15</v>
      </c>
      <c r="J249" s="550" t="s">
        <v>5</v>
      </c>
      <c r="K249" s="39"/>
      <c r="L249" s="208"/>
      <c r="M249" s="39"/>
      <c r="N249" s="533" t="s">
        <v>2297</v>
      </c>
    </row>
    <row r="250" spans="1:14" s="541" customFormat="1" ht="16.5" customHeight="1">
      <c r="A250" s="16"/>
      <c r="B250" s="39" t="s">
        <v>2894</v>
      </c>
      <c r="C250" s="534">
        <v>1</v>
      </c>
      <c r="D250" s="536" t="s">
        <v>273</v>
      </c>
      <c r="E250" s="537">
        <v>1</v>
      </c>
      <c r="F250" s="538">
        <v>4.84</v>
      </c>
      <c r="G250" s="538">
        <v>0.115</v>
      </c>
      <c r="H250" s="538">
        <v>0.15</v>
      </c>
      <c r="I250" s="542">
        <f t="shared" si="25"/>
        <v>0.08</v>
      </c>
      <c r="J250" s="550" t="s">
        <v>5</v>
      </c>
      <c r="K250" s="39"/>
      <c r="L250" s="208"/>
      <c r="M250" s="39"/>
      <c r="N250" s="533" t="s">
        <v>2297</v>
      </c>
    </row>
    <row r="251" spans="1:14" s="541" customFormat="1" ht="16.5" customHeight="1">
      <c r="A251" s="16"/>
      <c r="B251" s="39" t="s">
        <v>2895</v>
      </c>
      <c r="C251" s="534">
        <v>1</v>
      </c>
      <c r="D251" s="536" t="s">
        <v>273</v>
      </c>
      <c r="E251" s="537">
        <v>1</v>
      </c>
      <c r="F251" s="538">
        <v>2.6</v>
      </c>
      <c r="G251" s="538">
        <v>0.115</v>
      </c>
      <c r="H251" s="538">
        <v>0.15</v>
      </c>
      <c r="I251" s="542">
        <f t="shared" si="25"/>
        <v>0.04</v>
      </c>
      <c r="J251" s="550" t="s">
        <v>5</v>
      </c>
      <c r="K251" s="39"/>
      <c r="L251" s="208"/>
      <c r="M251" s="39"/>
      <c r="N251" s="533" t="s">
        <v>2297</v>
      </c>
    </row>
    <row r="252" spans="1:14" s="541" customFormat="1" ht="16.5" customHeight="1">
      <c r="A252" s="16"/>
      <c r="B252" s="39" t="s">
        <v>2896</v>
      </c>
      <c r="C252" s="534">
        <v>1</v>
      </c>
      <c r="D252" s="536" t="s">
        <v>273</v>
      </c>
      <c r="E252" s="537">
        <v>1</v>
      </c>
      <c r="F252" s="538">
        <v>2.78</v>
      </c>
      <c r="G252" s="538">
        <v>0.115</v>
      </c>
      <c r="H252" s="538">
        <v>0.15</v>
      </c>
      <c r="I252" s="542">
        <f t="shared" si="25"/>
        <v>0.05</v>
      </c>
      <c r="J252" s="550" t="s">
        <v>5</v>
      </c>
      <c r="K252" s="39"/>
      <c r="L252" s="208"/>
      <c r="M252" s="39"/>
      <c r="N252" s="533" t="s">
        <v>2297</v>
      </c>
    </row>
    <row r="253" spans="1:14" s="541" customFormat="1" ht="16.5" customHeight="1">
      <c r="A253" s="16"/>
      <c r="B253" s="39" t="s">
        <v>2897</v>
      </c>
      <c r="C253" s="534">
        <v>1</v>
      </c>
      <c r="D253" s="536" t="s">
        <v>273</v>
      </c>
      <c r="E253" s="537">
        <v>1</v>
      </c>
      <c r="F253" s="538">
        <v>3.24</v>
      </c>
      <c r="G253" s="538">
        <v>0.115</v>
      </c>
      <c r="H253" s="538">
        <v>0.15</v>
      </c>
      <c r="I253" s="542">
        <f t="shared" si="25"/>
        <v>0.06</v>
      </c>
      <c r="J253" s="550" t="s">
        <v>5</v>
      </c>
      <c r="K253" s="39"/>
      <c r="L253" s="208"/>
      <c r="M253" s="39"/>
      <c r="N253" s="533" t="s">
        <v>2297</v>
      </c>
    </row>
    <row r="254" spans="1:14" s="541" customFormat="1" ht="16.5" customHeight="1">
      <c r="A254" s="16"/>
      <c r="B254" s="39" t="s">
        <v>2883</v>
      </c>
      <c r="C254" s="534">
        <v>1</v>
      </c>
      <c r="D254" s="536" t="s">
        <v>273</v>
      </c>
      <c r="E254" s="537">
        <v>1</v>
      </c>
      <c r="F254" s="538">
        <v>8.93</v>
      </c>
      <c r="G254" s="538">
        <v>0.115</v>
      </c>
      <c r="H254" s="538">
        <v>0.15</v>
      </c>
      <c r="I254" s="542">
        <f t="shared" si="25"/>
        <v>0.15</v>
      </c>
      <c r="J254" s="550" t="s">
        <v>5</v>
      </c>
      <c r="K254" s="39"/>
      <c r="L254" s="208"/>
      <c r="M254" s="39"/>
      <c r="N254" s="533" t="s">
        <v>2297</v>
      </c>
    </row>
    <row r="255" spans="1:14" s="541" customFormat="1" ht="16.5" customHeight="1">
      <c r="A255" s="16"/>
      <c r="B255" s="39" t="s">
        <v>2886</v>
      </c>
      <c r="C255" s="534">
        <v>1</v>
      </c>
      <c r="D255" s="536" t="s">
        <v>273</v>
      </c>
      <c r="E255" s="537">
        <v>2</v>
      </c>
      <c r="F255" s="538">
        <v>3.02</v>
      </c>
      <c r="G255" s="538">
        <v>0.115</v>
      </c>
      <c r="H255" s="538">
        <v>0.15</v>
      </c>
      <c r="I255" s="542">
        <f t="shared" si="25"/>
        <v>0.1</v>
      </c>
      <c r="J255" s="550" t="s">
        <v>5</v>
      </c>
      <c r="K255" s="39"/>
      <c r="L255" s="208"/>
      <c r="M255" s="39"/>
      <c r="N255" s="533" t="s">
        <v>2297</v>
      </c>
    </row>
    <row r="256" spans="1:14" s="541" customFormat="1" ht="16.5" customHeight="1">
      <c r="A256" s="16"/>
      <c r="B256" s="39" t="s">
        <v>2898</v>
      </c>
      <c r="C256" s="534">
        <v>1</v>
      </c>
      <c r="D256" s="536" t="s">
        <v>273</v>
      </c>
      <c r="E256" s="537">
        <v>1</v>
      </c>
      <c r="F256" s="538">
        <v>1.62</v>
      </c>
      <c r="G256" s="538">
        <v>0.115</v>
      </c>
      <c r="H256" s="538">
        <v>0.15</v>
      </c>
      <c r="I256" s="542">
        <f t="shared" ref="I256" si="26">ROUND(IF(AND(F256:H256),C256*E256*F256*G256*H256,IF(AND(F256,G256),C256*E256*F256*G256,IF(AND(F256,H256),C256*E256*F256*H256,IF(AND(G256,H256),C256*E256*G256*H256,IF(F256,C256*E256*F256,IF(G256,C256*E256*G256,IF(H256,C256*E256*H256,C256*E256))))))),2)</f>
        <v>0.03</v>
      </c>
      <c r="J256" s="550" t="s">
        <v>5</v>
      </c>
      <c r="K256" s="39"/>
      <c r="L256" s="208"/>
      <c r="M256" s="39"/>
      <c r="N256" s="533" t="s">
        <v>2297</v>
      </c>
    </row>
    <row r="257" spans="1:14" s="541" customFormat="1" ht="16.5" customHeight="1">
      <c r="A257" s="16"/>
      <c r="B257" s="39"/>
      <c r="C257" s="534">
        <v>1</v>
      </c>
      <c r="D257" s="536" t="s">
        <v>273</v>
      </c>
      <c r="E257" s="537">
        <v>1</v>
      </c>
      <c r="F257" s="538">
        <v>1.55</v>
      </c>
      <c r="G257" s="538">
        <v>0.115</v>
      </c>
      <c r="H257" s="538">
        <v>0.15</v>
      </c>
      <c r="I257" s="542">
        <f t="shared" ref="I257" si="27">ROUND(IF(AND(F257:H257),C257*E257*F257*G257*H257,IF(AND(F257,G257),C257*E257*F257*G257,IF(AND(F257,H257),C257*E257*F257*H257,IF(AND(G257,H257),C257*E257*G257*H257,IF(F257,C257*E257*F257,IF(G257,C257*E257*G257,IF(H257,C257*E257*H257,C257*E257))))))),2)</f>
        <v>0.03</v>
      </c>
      <c r="J257" s="550" t="s">
        <v>5</v>
      </c>
      <c r="K257" s="39"/>
      <c r="L257" s="208"/>
      <c r="M257" s="39"/>
      <c r="N257" s="533" t="s">
        <v>2297</v>
      </c>
    </row>
    <row r="258" spans="1:14" s="541" customFormat="1" ht="16.5" customHeight="1">
      <c r="A258" s="16"/>
      <c r="B258" s="544"/>
      <c r="C258" s="545"/>
      <c r="D258" s="546"/>
      <c r="E258" s="547"/>
      <c r="F258" s="538"/>
      <c r="G258" s="538"/>
      <c r="H258" s="538"/>
      <c r="I258" s="549"/>
      <c r="J258" s="550"/>
      <c r="K258" s="39"/>
      <c r="L258" s="208"/>
      <c r="M258" s="39"/>
      <c r="N258" s="533" t="s">
        <v>2297</v>
      </c>
    </row>
    <row r="259" spans="1:14" ht="15.75">
      <c r="A259" s="16"/>
      <c r="B259" s="39"/>
      <c r="C259" s="551"/>
      <c r="D259" s="552"/>
      <c r="E259" s="537"/>
      <c r="F259" s="538"/>
      <c r="G259" s="40"/>
      <c r="H259" s="16"/>
      <c r="I259" s="549"/>
      <c r="J259" s="550" t="s">
        <v>5</v>
      </c>
      <c r="K259" s="10">
        <f>data!F1077</f>
        <v>10212.370000000001</v>
      </c>
      <c r="L259" s="208" t="s">
        <v>2297</v>
      </c>
      <c r="M259" s="9">
        <f>ROUND(I259*K259,0)</f>
        <v>0</v>
      </c>
      <c r="N259" s="533" t="s">
        <v>2297</v>
      </c>
    </row>
    <row r="260" spans="1:14" ht="89.25" customHeight="1">
      <c r="A260" s="16">
        <v>7</v>
      </c>
      <c r="B260" s="1633" t="s">
        <v>2057</v>
      </c>
      <c r="C260" s="1633"/>
      <c r="D260" s="1633"/>
      <c r="E260" s="1633"/>
      <c r="F260" s="1633"/>
      <c r="G260" s="1633"/>
      <c r="H260" s="1633"/>
      <c r="I260" s="534"/>
      <c r="J260" s="535"/>
      <c r="K260" s="16"/>
      <c r="L260" s="208"/>
      <c r="M260" s="38"/>
      <c r="N260" s="533" t="s">
        <v>2308</v>
      </c>
    </row>
    <row r="261" spans="1:14" s="541" customFormat="1" ht="16.5" customHeight="1">
      <c r="A261" s="16"/>
      <c r="B261" s="39" t="s">
        <v>3023</v>
      </c>
      <c r="C261" s="534"/>
      <c r="D261" s="536"/>
      <c r="E261" s="537"/>
      <c r="F261" s="538"/>
      <c r="G261" s="538"/>
      <c r="H261" s="538"/>
      <c r="I261" s="539"/>
      <c r="J261" s="550"/>
      <c r="K261" s="39"/>
      <c r="L261" s="208"/>
      <c r="M261" s="39"/>
      <c r="N261" s="533" t="s">
        <v>2308</v>
      </c>
    </row>
    <row r="262" spans="1:14" s="541" customFormat="1" ht="16.5" customHeight="1">
      <c r="A262" s="16"/>
      <c r="B262" s="39"/>
      <c r="C262" s="534">
        <v>1</v>
      </c>
      <c r="D262" s="536" t="s">
        <v>273</v>
      </c>
      <c r="E262" s="537">
        <v>1</v>
      </c>
      <c r="F262" s="538">
        <v>4.99</v>
      </c>
      <c r="G262" s="538">
        <v>0.23</v>
      </c>
      <c r="H262" s="538">
        <v>0.15</v>
      </c>
      <c r="I262" s="542">
        <f t="shared" ref="I262:I268" si="28">ROUND(IF(AND(F262:H262),C262*E262*F262*G262*H262,IF(AND(F262,G262),C262*E262*F262*G262,IF(AND(F262,H262),C262*E262*F262*H262,IF(AND(G262,H262),C262*E262*G262*H262,IF(F262,C262*E262*F262,IF(G262,C262*E262*G262,IF(H262,C262*E262*H262,C262*E262))))))),2)</f>
        <v>0.17</v>
      </c>
      <c r="J262" s="550" t="s">
        <v>5</v>
      </c>
      <c r="K262" s="39"/>
      <c r="L262" s="208"/>
      <c r="M262" s="39"/>
      <c r="N262" s="533" t="s">
        <v>2308</v>
      </c>
    </row>
    <row r="263" spans="1:14" s="541" customFormat="1" ht="16.5" customHeight="1">
      <c r="A263" s="16"/>
      <c r="B263" s="39"/>
      <c r="C263" s="534">
        <v>1</v>
      </c>
      <c r="D263" s="536" t="s">
        <v>273</v>
      </c>
      <c r="E263" s="537">
        <v>1</v>
      </c>
      <c r="F263" s="538">
        <v>3.12</v>
      </c>
      <c r="G263" s="538">
        <v>0.23</v>
      </c>
      <c r="H263" s="538">
        <v>0.15</v>
      </c>
      <c r="I263" s="542">
        <f t="shared" si="28"/>
        <v>0.11</v>
      </c>
      <c r="J263" s="550" t="s">
        <v>5</v>
      </c>
      <c r="K263" s="39"/>
      <c r="L263" s="208"/>
      <c r="M263" s="39"/>
      <c r="N263" s="533" t="s">
        <v>2308</v>
      </c>
    </row>
    <row r="264" spans="1:14" s="541" customFormat="1" ht="16.5" customHeight="1">
      <c r="A264" s="16"/>
      <c r="B264" s="39"/>
      <c r="C264" s="534">
        <v>1</v>
      </c>
      <c r="D264" s="536" t="s">
        <v>273</v>
      </c>
      <c r="E264" s="537">
        <v>1</v>
      </c>
      <c r="F264" s="538">
        <v>3.16</v>
      </c>
      <c r="G264" s="538">
        <v>0.23</v>
      </c>
      <c r="H264" s="538">
        <v>0.15</v>
      </c>
      <c r="I264" s="542">
        <f t="shared" si="28"/>
        <v>0.11</v>
      </c>
      <c r="J264" s="550" t="s">
        <v>5</v>
      </c>
      <c r="K264" s="39"/>
      <c r="L264" s="208"/>
      <c r="M264" s="39"/>
      <c r="N264" s="533" t="s">
        <v>2308</v>
      </c>
    </row>
    <row r="265" spans="1:14" s="541" customFormat="1" ht="16.5" customHeight="1">
      <c r="A265" s="16"/>
      <c r="B265" s="39"/>
      <c r="C265" s="534">
        <v>1</v>
      </c>
      <c r="D265" s="536" t="s">
        <v>273</v>
      </c>
      <c r="E265" s="537">
        <v>1</v>
      </c>
      <c r="F265" s="538">
        <v>2.72</v>
      </c>
      <c r="G265" s="538">
        <v>0.23</v>
      </c>
      <c r="H265" s="538">
        <v>0.15</v>
      </c>
      <c r="I265" s="542">
        <f t="shared" si="28"/>
        <v>0.09</v>
      </c>
      <c r="J265" s="550" t="s">
        <v>5</v>
      </c>
      <c r="K265" s="39"/>
      <c r="L265" s="208"/>
      <c r="M265" s="39"/>
      <c r="N265" s="533" t="s">
        <v>2308</v>
      </c>
    </row>
    <row r="266" spans="1:14" s="541" customFormat="1" ht="16.5" customHeight="1">
      <c r="A266" s="16"/>
      <c r="B266" s="39"/>
      <c r="C266" s="534">
        <v>1</v>
      </c>
      <c r="D266" s="536" t="s">
        <v>273</v>
      </c>
      <c r="E266" s="537">
        <v>2</v>
      </c>
      <c r="F266" s="538">
        <v>2.59</v>
      </c>
      <c r="G266" s="538">
        <v>0.23</v>
      </c>
      <c r="H266" s="538">
        <v>0.15</v>
      </c>
      <c r="I266" s="542">
        <f t="shared" si="28"/>
        <v>0.18</v>
      </c>
      <c r="J266" s="550" t="s">
        <v>5</v>
      </c>
      <c r="K266" s="39"/>
      <c r="L266" s="208"/>
      <c r="M266" s="39"/>
      <c r="N266" s="533" t="s">
        <v>2308</v>
      </c>
    </row>
    <row r="267" spans="1:14" s="541" customFormat="1" ht="16.5" customHeight="1">
      <c r="A267" s="16"/>
      <c r="B267" s="39"/>
      <c r="C267" s="534">
        <v>1</v>
      </c>
      <c r="D267" s="536" t="s">
        <v>273</v>
      </c>
      <c r="E267" s="537">
        <v>2</v>
      </c>
      <c r="F267" s="538">
        <v>2.78</v>
      </c>
      <c r="G267" s="538">
        <v>0.23</v>
      </c>
      <c r="H267" s="538">
        <v>0.15</v>
      </c>
      <c r="I267" s="542">
        <f t="shared" si="28"/>
        <v>0.19</v>
      </c>
      <c r="J267" s="550" t="s">
        <v>5</v>
      </c>
      <c r="K267" s="39"/>
      <c r="L267" s="208"/>
      <c r="M267" s="39"/>
      <c r="N267" s="533" t="s">
        <v>2308</v>
      </c>
    </row>
    <row r="268" spans="1:14" s="541" customFormat="1" ht="16.5" customHeight="1">
      <c r="A268" s="16"/>
      <c r="B268" s="39"/>
      <c r="C268" s="534">
        <v>1</v>
      </c>
      <c r="D268" s="536" t="s">
        <v>273</v>
      </c>
      <c r="E268" s="537">
        <v>1</v>
      </c>
      <c r="F268" s="538">
        <v>3.23</v>
      </c>
      <c r="G268" s="538">
        <v>0.23</v>
      </c>
      <c r="H268" s="538">
        <v>0.15</v>
      </c>
      <c r="I268" s="542">
        <f t="shared" si="28"/>
        <v>0.11</v>
      </c>
      <c r="J268" s="550" t="s">
        <v>5</v>
      </c>
      <c r="K268" s="39"/>
      <c r="L268" s="208"/>
      <c r="M268" s="39"/>
      <c r="N268" s="533" t="s">
        <v>2308</v>
      </c>
    </row>
    <row r="269" spans="1:14" s="541" customFormat="1" ht="16.5" customHeight="1">
      <c r="A269" s="16"/>
      <c r="B269" s="544"/>
      <c r="C269" s="545"/>
      <c r="D269" s="546"/>
      <c r="E269" s="547"/>
      <c r="F269" s="538"/>
      <c r="G269" s="538"/>
      <c r="H269" s="538"/>
      <c r="I269" s="549"/>
      <c r="J269" s="550"/>
      <c r="K269" s="39"/>
      <c r="L269" s="208"/>
      <c r="M269" s="39"/>
      <c r="N269" s="533" t="s">
        <v>2308</v>
      </c>
    </row>
    <row r="270" spans="1:14" ht="15.75">
      <c r="A270" s="16"/>
      <c r="B270" s="39"/>
      <c r="C270" s="551"/>
      <c r="D270" s="552"/>
      <c r="E270" s="537"/>
      <c r="F270" s="538"/>
      <c r="G270" s="40"/>
      <c r="H270" s="16"/>
      <c r="I270" s="549"/>
      <c r="J270" s="550" t="s">
        <v>5</v>
      </c>
      <c r="K270" s="10">
        <f>data!F1994</f>
        <v>10781.86</v>
      </c>
      <c r="L270" s="208" t="s">
        <v>2308</v>
      </c>
      <c r="M270" s="9">
        <f>ROUND(I270*K270,0)</f>
        <v>0</v>
      </c>
      <c r="N270" s="533" t="s">
        <v>2308</v>
      </c>
    </row>
    <row r="271" spans="1:14" ht="89.25" customHeight="1">
      <c r="A271" s="16">
        <v>7</v>
      </c>
      <c r="B271" s="1633" t="s">
        <v>2057</v>
      </c>
      <c r="C271" s="1633"/>
      <c r="D271" s="1633"/>
      <c r="E271" s="1633"/>
      <c r="F271" s="1633"/>
      <c r="G271" s="1633"/>
      <c r="H271" s="1633"/>
      <c r="I271" s="534"/>
      <c r="J271" s="535"/>
      <c r="K271" s="16"/>
      <c r="L271" s="208"/>
      <c r="M271" s="38"/>
      <c r="N271" s="533" t="s">
        <v>2309</v>
      </c>
    </row>
    <row r="272" spans="1:14" s="541" customFormat="1" ht="16.5" customHeight="1">
      <c r="A272" s="16"/>
      <c r="B272" s="39" t="s">
        <v>2801</v>
      </c>
      <c r="C272" s="534"/>
      <c r="D272" s="536"/>
      <c r="E272" s="537"/>
      <c r="F272" s="538"/>
      <c r="G272" s="538"/>
      <c r="H272" s="538"/>
      <c r="I272" s="539"/>
      <c r="J272" s="550"/>
      <c r="K272" s="39"/>
      <c r="L272" s="208"/>
      <c r="M272" s="39"/>
      <c r="N272" s="533" t="s">
        <v>2309</v>
      </c>
    </row>
    <row r="273" spans="1:14" s="541" customFormat="1" ht="16.5" customHeight="1">
      <c r="A273" s="16"/>
      <c r="B273" s="39"/>
      <c r="C273" s="534">
        <v>1</v>
      </c>
      <c r="D273" s="536" t="s">
        <v>273</v>
      </c>
      <c r="E273" s="537">
        <v>2</v>
      </c>
      <c r="F273" s="538">
        <v>2.8</v>
      </c>
      <c r="G273" s="538">
        <v>0.23</v>
      </c>
      <c r="H273" s="538">
        <v>0.15</v>
      </c>
      <c r="I273" s="574">
        <f>ROUND(IF(AND(F273:H273),C273*E273*F273*G273*H273,IF(AND(F273,G273),C273*E273*F273*G273,IF(AND(F273,H273),C273*E273*F273*H273,IF(AND(G273,H273),C273*E273*G273*H273,IF(F273,C273*E273*F273,IF(G273,C273*E273*G273,IF(H273,C273*E273*H273,C273*E273))))))),2)</f>
        <v>0.19</v>
      </c>
      <c r="J273" s="550" t="s">
        <v>5</v>
      </c>
      <c r="K273" s="39"/>
      <c r="L273" s="208"/>
      <c r="M273" s="39"/>
      <c r="N273" s="533" t="s">
        <v>2309</v>
      </c>
    </row>
    <row r="274" spans="1:14" s="541" customFormat="1" ht="16.5" customHeight="1">
      <c r="A274" s="16"/>
      <c r="B274" s="39"/>
      <c r="C274" s="534">
        <v>1</v>
      </c>
      <c r="D274" s="536" t="s">
        <v>273</v>
      </c>
      <c r="E274" s="537">
        <v>2</v>
      </c>
      <c r="F274" s="538">
        <v>2.8</v>
      </c>
      <c r="G274" s="538">
        <v>0.23</v>
      </c>
      <c r="H274" s="538">
        <v>0.15</v>
      </c>
      <c r="I274" s="574">
        <f>ROUND(IF(AND(F274:H274),C274*E274*F274*G274*H274,IF(AND(F274,G274),C274*E274*F274*G274,IF(AND(F274,H274),C274*E274*F274*H274,IF(AND(G274,H274),C274*E274*G274*H274,IF(F274,C274*E274*F274,IF(G274,C274*E274*G274,IF(H274,C274*E274*H274,C274*E274))))))),2)</f>
        <v>0.19</v>
      </c>
      <c r="J274" s="550" t="s">
        <v>5</v>
      </c>
      <c r="K274" s="39"/>
      <c r="L274" s="208"/>
      <c r="M274" s="39"/>
      <c r="N274" s="533" t="s">
        <v>2309</v>
      </c>
    </row>
    <row r="275" spans="1:14" s="541" customFormat="1" ht="16.5" customHeight="1">
      <c r="A275" s="16"/>
      <c r="B275" s="544"/>
      <c r="C275" s="545"/>
      <c r="D275" s="546"/>
      <c r="E275" s="547"/>
      <c r="F275" s="538"/>
      <c r="G275" s="538"/>
      <c r="H275" s="538"/>
      <c r="I275" s="549"/>
      <c r="J275" s="550"/>
      <c r="K275" s="39"/>
      <c r="L275" s="208"/>
      <c r="M275" s="39"/>
      <c r="N275" s="533" t="s">
        <v>2309</v>
      </c>
    </row>
    <row r="276" spans="1:14" ht="15.75">
      <c r="A276" s="16"/>
      <c r="B276" s="39"/>
      <c r="C276" s="551"/>
      <c r="D276" s="552"/>
      <c r="E276" s="537"/>
      <c r="F276" s="538"/>
      <c r="G276" s="40"/>
      <c r="H276" s="16"/>
      <c r="I276" s="549"/>
      <c r="J276" s="550" t="s">
        <v>5</v>
      </c>
      <c r="K276" s="10">
        <f>data!F2911</f>
        <v>11212.51</v>
      </c>
      <c r="L276" s="208" t="s">
        <v>2309</v>
      </c>
      <c r="M276" s="9">
        <f>ROUND(I276*K276,0)</f>
        <v>0</v>
      </c>
      <c r="N276" s="533" t="s">
        <v>2309</v>
      </c>
    </row>
    <row r="277" spans="1:14" ht="17.25" customHeight="1">
      <c r="A277" s="16">
        <v>6</v>
      </c>
      <c r="B277" s="1633" t="s">
        <v>648</v>
      </c>
      <c r="C277" s="1633"/>
      <c r="D277" s="1633"/>
      <c r="E277" s="1633"/>
      <c r="F277" s="1633"/>
      <c r="G277" s="1633"/>
      <c r="H277" s="1633"/>
      <c r="I277" s="534"/>
      <c r="J277" s="535"/>
      <c r="K277" s="16"/>
      <c r="L277" s="208"/>
      <c r="M277" s="38"/>
      <c r="N277" s="533" t="s">
        <v>2209</v>
      </c>
    </row>
    <row r="278" spans="1:14" s="541" customFormat="1" ht="16.5" customHeight="1">
      <c r="A278" s="16"/>
      <c r="B278" s="39" t="s">
        <v>3024</v>
      </c>
      <c r="C278" s="534"/>
      <c r="D278" s="858" t="s">
        <v>3267</v>
      </c>
      <c r="E278" s="537"/>
      <c r="F278" s="538"/>
      <c r="G278" s="538"/>
      <c r="H278" s="538"/>
      <c r="I278" s="539"/>
      <c r="J278" s="550"/>
      <c r="K278" s="39"/>
      <c r="L278" s="208"/>
      <c r="M278" s="39"/>
      <c r="N278" s="533" t="s">
        <v>2209</v>
      </c>
    </row>
    <row r="279" spans="1:14" s="541" customFormat="1" ht="16.5" customHeight="1">
      <c r="A279" s="16"/>
      <c r="B279" s="39" t="s">
        <v>584</v>
      </c>
      <c r="C279" s="534">
        <v>1</v>
      </c>
      <c r="D279" s="536" t="s">
        <v>273</v>
      </c>
      <c r="E279" s="537">
        <v>6</v>
      </c>
      <c r="F279" s="538">
        <v>1.8</v>
      </c>
      <c r="G279" s="538">
        <v>0</v>
      </c>
      <c r="H279" s="538">
        <v>0</v>
      </c>
      <c r="I279" s="542">
        <f t="shared" ref="I279:I280" si="29">ROUND(IF(AND(F279:H279),C279*E279*F279*G279*H279,IF(AND(F279,G279),C279*E279*F279*G279,IF(AND(F279,H279),C279*E279*F279*H279,IF(AND(G279,H279),C279*E279*G279*H279,IF(F279,C279*E279*F279,IF(G279,C279*E279*G279,IF(H279,C279*E279*H279,C279*E279))))))),2)</f>
        <v>10.8</v>
      </c>
      <c r="J279" s="550" t="s">
        <v>277</v>
      </c>
      <c r="K279" s="39"/>
      <c r="L279" s="208"/>
      <c r="M279" s="39"/>
      <c r="N279" s="533" t="s">
        <v>2209</v>
      </c>
    </row>
    <row r="280" spans="1:14" s="541" customFormat="1" ht="16.5" customHeight="1">
      <c r="A280" s="16"/>
      <c r="B280" s="39" t="s">
        <v>1544</v>
      </c>
      <c r="C280" s="534">
        <v>1</v>
      </c>
      <c r="D280" s="536" t="s">
        <v>273</v>
      </c>
      <c r="E280" s="537">
        <v>1</v>
      </c>
      <c r="F280" s="538">
        <v>8.3800000000000008</v>
      </c>
      <c r="G280" s="538">
        <v>0</v>
      </c>
      <c r="H280" s="538">
        <v>0</v>
      </c>
      <c r="I280" s="542">
        <f t="shared" si="29"/>
        <v>8.3800000000000008</v>
      </c>
      <c r="J280" s="550" t="s">
        <v>277</v>
      </c>
      <c r="K280" s="39"/>
      <c r="L280" s="208"/>
      <c r="M280" s="39"/>
      <c r="N280" s="533" t="s">
        <v>2209</v>
      </c>
    </row>
    <row r="281" spans="1:14" s="541" customFormat="1" ht="15.75">
      <c r="A281" s="16"/>
      <c r="B281" s="544"/>
      <c r="C281" s="545"/>
      <c r="D281" s="546"/>
      <c r="E281" s="547"/>
      <c r="F281" s="548"/>
      <c r="G281" s="548"/>
      <c r="H281" s="548"/>
      <c r="I281" s="549"/>
      <c r="J281" s="550"/>
      <c r="K281" s="39"/>
      <c r="L281" s="208"/>
      <c r="M281" s="39"/>
      <c r="N281" s="533" t="s">
        <v>2209</v>
      </c>
    </row>
    <row r="282" spans="1:14" ht="15.75">
      <c r="A282" s="16"/>
      <c r="B282" s="39"/>
      <c r="C282" s="551"/>
      <c r="D282" s="552"/>
      <c r="E282" s="537"/>
      <c r="F282" s="538"/>
      <c r="G282" s="40"/>
      <c r="H282" s="16"/>
      <c r="I282" s="549"/>
      <c r="J282" s="550" t="s">
        <v>277</v>
      </c>
      <c r="K282" s="10">
        <f>data!F224</f>
        <v>568.34999999999991</v>
      </c>
      <c r="L282" s="208" t="s">
        <v>2209</v>
      </c>
      <c r="M282" s="9">
        <f>ROUND(I282*K282,0)</f>
        <v>0</v>
      </c>
      <c r="N282" s="533" t="s">
        <v>2209</v>
      </c>
    </row>
    <row r="283" spans="1:14" ht="17.25" customHeight="1">
      <c r="A283" s="16">
        <v>6</v>
      </c>
      <c r="B283" s="1633" t="s">
        <v>648</v>
      </c>
      <c r="C283" s="1633"/>
      <c r="D283" s="1633"/>
      <c r="E283" s="1633"/>
      <c r="F283" s="1633"/>
      <c r="G283" s="1633"/>
      <c r="H283" s="1633"/>
      <c r="I283" s="534"/>
      <c r="J283" s="535"/>
      <c r="K283" s="16"/>
      <c r="L283" s="208"/>
      <c r="M283" s="38"/>
      <c r="N283" s="533" t="s">
        <v>2297</v>
      </c>
    </row>
    <row r="284" spans="1:14" s="541" customFormat="1" ht="16.5" customHeight="1">
      <c r="A284" s="16"/>
      <c r="B284" s="207" t="s">
        <v>2835</v>
      </c>
      <c r="C284" s="534"/>
      <c r="D284" s="536"/>
      <c r="E284" s="537"/>
      <c r="F284" s="538"/>
      <c r="G284" s="538"/>
      <c r="H284" s="538"/>
      <c r="I284" s="539"/>
      <c r="J284" s="550"/>
      <c r="K284" s="39"/>
      <c r="L284" s="208"/>
      <c r="M284" s="39"/>
      <c r="N284" s="533" t="s">
        <v>2297</v>
      </c>
    </row>
    <row r="285" spans="1:14" s="541" customFormat="1" ht="16.5" customHeight="1">
      <c r="A285" s="16"/>
      <c r="B285" s="39"/>
      <c r="C285" s="534">
        <v>1</v>
      </c>
      <c r="D285" s="536" t="s">
        <v>273</v>
      </c>
      <c r="E285" s="537">
        <v>7</v>
      </c>
      <c r="F285" s="538">
        <v>1.65</v>
      </c>
      <c r="G285" s="538">
        <v>0</v>
      </c>
      <c r="H285" s="538">
        <v>0</v>
      </c>
      <c r="I285" s="542">
        <f>ROUND(IF(AND(F285:H285),C285*E285*F285*G285*H285,IF(AND(F285,G285),C285*E285*F285*G285,IF(AND(F285,H285),C285*E285*F285*H285,IF(AND(G285,H285),C285*E285*G285*H285,IF(F285,C285*E285*F285,IF(G285,C285*E285*G285,IF(H285,C285*E285*H285,C285*E285))))))),2)</f>
        <v>11.55</v>
      </c>
      <c r="J285" s="550" t="s">
        <v>277</v>
      </c>
      <c r="K285" s="39"/>
      <c r="L285" s="208"/>
      <c r="M285" s="39"/>
      <c r="N285" s="533" t="s">
        <v>2297</v>
      </c>
    </row>
    <row r="286" spans="1:14" s="541" customFormat="1" ht="16.5" customHeight="1">
      <c r="A286" s="16"/>
      <c r="B286" s="39"/>
      <c r="C286" s="534">
        <v>1</v>
      </c>
      <c r="D286" s="536" t="s">
        <v>273</v>
      </c>
      <c r="E286" s="537">
        <v>1</v>
      </c>
      <c r="F286" s="538">
        <v>1.05</v>
      </c>
      <c r="G286" s="538">
        <v>0</v>
      </c>
      <c r="H286" s="538">
        <v>0</v>
      </c>
      <c r="I286" s="542">
        <f>ROUND(IF(AND(F286:H286),C286*E286*F286*G286*H286,IF(AND(F286,G286),C286*E286*F286*G286,IF(AND(F286,H286),C286*E286*F286*H286,IF(AND(G286,H286),C286*E286*G286*H286,IF(F286,C286*E286*F286,IF(G286,C286*E286*G286,IF(H286,C286*E286*H286,C286*E286))))))),2)</f>
        <v>1.05</v>
      </c>
      <c r="J286" s="550" t="s">
        <v>277</v>
      </c>
      <c r="K286" s="39"/>
      <c r="L286" s="208"/>
      <c r="M286" s="39"/>
      <c r="N286" s="533" t="s">
        <v>2297</v>
      </c>
    </row>
    <row r="287" spans="1:14" s="541" customFormat="1" ht="15.75">
      <c r="A287" s="16"/>
      <c r="B287" s="544"/>
      <c r="C287" s="545"/>
      <c r="D287" s="546"/>
      <c r="E287" s="547"/>
      <c r="F287" s="548"/>
      <c r="G287" s="548"/>
      <c r="H287" s="548"/>
      <c r="I287" s="549"/>
      <c r="J287" s="550"/>
      <c r="K287" s="39"/>
      <c r="L287" s="208"/>
      <c r="M287" s="39"/>
      <c r="N287" s="533" t="s">
        <v>2297</v>
      </c>
    </row>
    <row r="288" spans="1:14" ht="15.75">
      <c r="A288" s="16"/>
      <c r="B288" s="39"/>
      <c r="C288" s="551"/>
      <c r="D288" s="552"/>
      <c r="E288" s="537"/>
      <c r="F288" s="538"/>
      <c r="G288" s="40"/>
      <c r="H288" s="16"/>
      <c r="I288" s="549"/>
      <c r="J288" s="550" t="s">
        <v>277</v>
      </c>
      <c r="K288" s="10">
        <f>data!F1140</f>
        <v>582.93999999999994</v>
      </c>
      <c r="L288" s="208" t="s">
        <v>2297</v>
      </c>
      <c r="M288" s="9">
        <f>ROUND(I288*K288,0)</f>
        <v>0</v>
      </c>
      <c r="N288" s="533" t="s">
        <v>2297</v>
      </c>
    </row>
    <row r="289" spans="1:14" ht="17.25" customHeight="1">
      <c r="A289" s="16">
        <v>8</v>
      </c>
      <c r="B289" s="1633" t="s">
        <v>648</v>
      </c>
      <c r="C289" s="1633"/>
      <c r="D289" s="1633"/>
      <c r="E289" s="1633"/>
      <c r="F289" s="1633"/>
      <c r="G289" s="1633"/>
      <c r="H289" s="1633"/>
      <c r="I289" s="534"/>
      <c r="J289" s="535"/>
      <c r="K289" s="16"/>
      <c r="L289" s="208"/>
      <c r="M289" s="38"/>
      <c r="N289" s="533" t="s">
        <v>2308</v>
      </c>
    </row>
    <row r="290" spans="1:14" s="541" customFormat="1" ht="16.5" customHeight="1">
      <c r="A290" s="16"/>
      <c r="B290" s="39" t="s">
        <v>3024</v>
      </c>
      <c r="C290" s="534"/>
      <c r="D290" s="536"/>
      <c r="E290" s="537"/>
      <c r="F290" s="538"/>
      <c r="G290" s="538"/>
      <c r="H290" s="538"/>
      <c r="I290" s="539"/>
      <c r="J290" s="550"/>
      <c r="K290" s="39"/>
      <c r="L290" s="208"/>
      <c r="M290" s="39"/>
      <c r="N290" s="533" t="s">
        <v>2308</v>
      </c>
    </row>
    <row r="291" spans="1:14" s="541" customFormat="1" ht="16.5" customHeight="1">
      <c r="A291" s="16"/>
      <c r="B291" s="39"/>
      <c r="C291" s="534">
        <v>1</v>
      </c>
      <c r="D291" s="536" t="s">
        <v>273</v>
      </c>
      <c r="E291" s="537">
        <v>5</v>
      </c>
      <c r="F291" s="538">
        <v>1.8</v>
      </c>
      <c r="G291" s="538">
        <v>0</v>
      </c>
      <c r="H291" s="538">
        <v>0</v>
      </c>
      <c r="I291" s="542">
        <f t="shared" ref="I291:I293" si="30">ROUND(IF(AND(F291:H291),C291*E291*F291*G291*H291,IF(AND(F291,G291),C291*E291*F291*G291,IF(AND(F291,H291),C291*E291*F291*H291,IF(AND(G291,H291),C291*E291*G291*H291,IF(F291,C291*E291*F291,IF(G291,C291*E291*G291,IF(H291,C291*E291*H291,C291*E291))))))),2)</f>
        <v>9</v>
      </c>
      <c r="J291" s="550" t="s">
        <v>277</v>
      </c>
      <c r="K291" s="39"/>
      <c r="L291" s="208"/>
      <c r="M291" s="39"/>
      <c r="N291" s="533" t="s">
        <v>2308</v>
      </c>
    </row>
    <row r="292" spans="1:14" s="541" customFormat="1" ht="16.5" customHeight="1">
      <c r="A292" s="16"/>
      <c r="B292" s="39"/>
      <c r="C292" s="534">
        <v>1</v>
      </c>
      <c r="D292" s="536" t="s">
        <v>273</v>
      </c>
      <c r="E292" s="537">
        <v>6</v>
      </c>
      <c r="F292" s="538">
        <v>1.8</v>
      </c>
      <c r="G292" s="538">
        <v>0</v>
      </c>
      <c r="H292" s="538">
        <v>0</v>
      </c>
      <c r="I292" s="542">
        <f t="shared" si="30"/>
        <v>10.8</v>
      </c>
      <c r="J292" s="550" t="s">
        <v>277</v>
      </c>
      <c r="K292" s="39"/>
      <c r="L292" s="208"/>
      <c r="M292" s="39"/>
      <c r="N292" s="533" t="s">
        <v>2308</v>
      </c>
    </row>
    <row r="293" spans="1:14" s="541" customFormat="1" ht="16.5" customHeight="1">
      <c r="A293" s="16"/>
      <c r="B293" s="39"/>
      <c r="C293" s="534">
        <v>1</v>
      </c>
      <c r="D293" s="536" t="s">
        <v>273</v>
      </c>
      <c r="E293" s="537">
        <v>1</v>
      </c>
      <c r="F293" s="538">
        <v>8.3800000000000008</v>
      </c>
      <c r="G293" s="538">
        <v>0</v>
      </c>
      <c r="H293" s="538">
        <v>0</v>
      </c>
      <c r="I293" s="542">
        <f t="shared" si="30"/>
        <v>8.3800000000000008</v>
      </c>
      <c r="J293" s="550" t="s">
        <v>277</v>
      </c>
      <c r="K293" s="39"/>
      <c r="L293" s="208"/>
      <c r="M293" s="39"/>
      <c r="N293" s="533" t="s">
        <v>2308</v>
      </c>
    </row>
    <row r="294" spans="1:14" s="541" customFormat="1" ht="15.75">
      <c r="A294" s="16"/>
      <c r="B294" s="544"/>
      <c r="C294" s="545"/>
      <c r="D294" s="546"/>
      <c r="E294" s="547"/>
      <c r="F294" s="548"/>
      <c r="G294" s="548"/>
      <c r="H294" s="548"/>
      <c r="I294" s="549"/>
      <c r="J294" s="550"/>
      <c r="K294" s="39"/>
      <c r="L294" s="208"/>
      <c r="M294" s="39"/>
      <c r="N294" s="533" t="s">
        <v>2308</v>
      </c>
    </row>
    <row r="295" spans="1:14" ht="15.75">
      <c r="A295" s="16"/>
      <c r="B295" s="39"/>
      <c r="C295" s="551"/>
      <c r="D295" s="552"/>
      <c r="E295" s="537"/>
      <c r="F295" s="538"/>
      <c r="G295" s="40"/>
      <c r="H295" s="16"/>
      <c r="I295" s="549"/>
      <c r="J295" s="550" t="s">
        <v>277</v>
      </c>
      <c r="K295" s="10">
        <f>data!F2057</f>
        <v>613.88</v>
      </c>
      <c r="L295" s="208" t="s">
        <v>2308</v>
      </c>
      <c r="M295" s="9">
        <f>ROUND(I295*K295,0)</f>
        <v>0</v>
      </c>
      <c r="N295" s="533" t="s">
        <v>2308</v>
      </c>
    </row>
    <row r="296" spans="1:14" ht="17.25" customHeight="1">
      <c r="A296" s="16">
        <v>8</v>
      </c>
      <c r="B296" s="1633" t="s">
        <v>648</v>
      </c>
      <c r="C296" s="1633"/>
      <c r="D296" s="1633"/>
      <c r="E296" s="1633"/>
      <c r="F296" s="1633"/>
      <c r="G296" s="1633"/>
      <c r="H296" s="1633"/>
      <c r="I296" s="534"/>
      <c r="J296" s="535"/>
      <c r="K296" s="16"/>
      <c r="L296" s="208"/>
      <c r="M296" s="38"/>
      <c r="N296" s="533" t="s">
        <v>2309</v>
      </c>
    </row>
    <row r="297" spans="1:14" s="541" customFormat="1" ht="16.5" customHeight="1">
      <c r="A297" s="16"/>
      <c r="B297" s="39" t="s">
        <v>2836</v>
      </c>
      <c r="C297" s="534"/>
      <c r="D297" s="536"/>
      <c r="E297" s="537"/>
      <c r="F297" s="538"/>
      <c r="G297" s="538"/>
      <c r="H297" s="538"/>
      <c r="I297" s="539"/>
      <c r="J297" s="550"/>
      <c r="K297" s="39"/>
      <c r="L297" s="208"/>
      <c r="M297" s="39"/>
      <c r="N297" s="533" t="s">
        <v>2309</v>
      </c>
    </row>
    <row r="298" spans="1:14" s="541" customFormat="1" ht="16.5" customHeight="1">
      <c r="A298" s="16"/>
      <c r="B298" s="39"/>
      <c r="C298" s="534">
        <v>1</v>
      </c>
      <c r="D298" s="536" t="s">
        <v>273</v>
      </c>
      <c r="E298" s="537">
        <v>7</v>
      </c>
      <c r="F298" s="538">
        <v>1.8</v>
      </c>
      <c r="G298" s="538">
        <v>0</v>
      </c>
      <c r="H298" s="538">
        <v>0</v>
      </c>
      <c r="I298" s="542">
        <f>ROUND(IF(AND(F298:H298),C298*E298*F298*G298*H298,IF(AND(F298,G298),C298*E298*F298*G298,IF(AND(F298,H298),C298*E298*F298*H298,IF(AND(G298,H298),C298*E298*G298*H298,IF(F298,C298*E298*F298,IF(G298,C298*E298*G298,IF(H298,C298*E298*H298,C298*E298))))))),2)</f>
        <v>12.6</v>
      </c>
      <c r="J298" s="550" t="s">
        <v>277</v>
      </c>
      <c r="K298" s="39"/>
      <c r="L298" s="208"/>
      <c r="M298" s="39"/>
      <c r="N298" s="533" t="s">
        <v>2309</v>
      </c>
    </row>
    <row r="299" spans="1:14" s="541" customFormat="1" ht="16.5" customHeight="1">
      <c r="A299" s="16"/>
      <c r="B299" s="39"/>
      <c r="C299" s="534">
        <v>1</v>
      </c>
      <c r="D299" s="536" t="s">
        <v>273</v>
      </c>
      <c r="E299" s="537">
        <v>1</v>
      </c>
      <c r="F299" s="538">
        <v>3</v>
      </c>
      <c r="G299" s="538">
        <v>0</v>
      </c>
      <c r="H299" s="538">
        <v>0</v>
      </c>
      <c r="I299" s="542">
        <f>ROUND(IF(AND(F299:H299),C299*E299*F299*G299*H299,IF(AND(F299,G299),C299*E299*F299*G299,IF(AND(F299,H299),C299*E299*F299*H299,IF(AND(G299,H299),C299*E299*G299*H299,IF(F299,C299*E299*F299,IF(G299,C299*E299*G299,IF(H299,C299*E299*H299,C299*E299))))))),2)</f>
        <v>3</v>
      </c>
      <c r="J299" s="550" t="s">
        <v>277</v>
      </c>
      <c r="K299" s="39"/>
      <c r="L299" s="208"/>
      <c r="M299" s="39"/>
      <c r="N299" s="533" t="s">
        <v>2309</v>
      </c>
    </row>
    <row r="300" spans="1:14" s="541" customFormat="1" ht="15.75">
      <c r="A300" s="16"/>
      <c r="B300" s="544"/>
      <c r="C300" s="545"/>
      <c r="D300" s="546"/>
      <c r="E300" s="547"/>
      <c r="F300" s="548"/>
      <c r="G300" s="548"/>
      <c r="H300" s="548"/>
      <c r="I300" s="549"/>
      <c r="J300" s="550"/>
      <c r="K300" s="39"/>
      <c r="L300" s="208"/>
      <c r="M300" s="39"/>
      <c r="N300" s="533" t="s">
        <v>2309</v>
      </c>
    </row>
    <row r="301" spans="1:14" ht="15.75">
      <c r="A301" s="16"/>
      <c r="B301" s="39"/>
      <c r="C301" s="551"/>
      <c r="D301" s="552"/>
      <c r="E301" s="537"/>
      <c r="F301" s="538"/>
      <c r="G301" s="40"/>
      <c r="H301" s="16"/>
      <c r="I301" s="549"/>
      <c r="J301" s="550" t="s">
        <v>277</v>
      </c>
      <c r="K301" s="10">
        <f>data!F2974</f>
        <v>630.35</v>
      </c>
      <c r="L301" s="208" t="s">
        <v>2309</v>
      </c>
      <c r="M301" s="9">
        <f>ROUND(I301*K301,0)</f>
        <v>0</v>
      </c>
      <c r="N301" s="533" t="s">
        <v>2309</v>
      </c>
    </row>
    <row r="302" spans="1:14" ht="64.5" customHeight="1">
      <c r="A302" s="16">
        <v>7</v>
      </c>
      <c r="B302" s="1633" t="s">
        <v>151</v>
      </c>
      <c r="C302" s="1633"/>
      <c r="D302" s="1633"/>
      <c r="E302" s="1633"/>
      <c r="F302" s="1633"/>
      <c r="G302" s="1633"/>
      <c r="H302" s="1633"/>
      <c r="I302" s="534"/>
      <c r="J302" s="535"/>
      <c r="K302" s="16"/>
      <c r="L302" s="208"/>
      <c r="M302" s="38"/>
      <c r="N302" s="533" t="s">
        <v>2209</v>
      </c>
    </row>
    <row r="303" spans="1:14" s="541" customFormat="1" ht="16.5" customHeight="1">
      <c r="A303" s="16"/>
      <c r="B303" s="39" t="s">
        <v>2837</v>
      </c>
      <c r="C303" s="534"/>
      <c r="D303" s="536"/>
      <c r="E303" s="537"/>
      <c r="F303" s="538"/>
      <c r="G303" s="538"/>
      <c r="H303" s="538"/>
      <c r="I303" s="539"/>
      <c r="J303" s="550"/>
      <c r="K303" s="39"/>
      <c r="L303" s="16"/>
      <c r="M303" s="39"/>
      <c r="N303" s="533" t="s">
        <v>2209</v>
      </c>
    </row>
    <row r="304" spans="1:14" s="541" customFormat="1" ht="16.5" customHeight="1">
      <c r="A304" s="16"/>
      <c r="B304" s="39"/>
      <c r="C304" s="534">
        <v>1</v>
      </c>
      <c r="D304" s="536" t="s">
        <v>273</v>
      </c>
      <c r="E304" s="537">
        <v>1</v>
      </c>
      <c r="F304" s="538">
        <v>13.25</v>
      </c>
      <c r="G304" s="538">
        <v>9.65</v>
      </c>
      <c r="H304" s="538">
        <v>0</v>
      </c>
      <c r="I304" s="542">
        <f t="shared" ref="I304" si="31">ROUND(IF(AND(F304:H304),C304*E304*F304*G304*H304,IF(AND(F304,G304),C304*E304*F304*G304,IF(AND(F304,H304),C304*E304*F304*H304,IF(AND(G304,H304),C304*E304*G304*H304,IF(F304,C304*E304*F304,IF(G304,C304*E304*G304,IF(H304,C304*E304*H304,C304*E304))))))),2)</f>
        <v>127.86</v>
      </c>
      <c r="J304" s="550" t="s">
        <v>102</v>
      </c>
      <c r="K304" s="39"/>
      <c r="L304" s="16"/>
      <c r="M304" s="39"/>
      <c r="N304" s="533" t="s">
        <v>2209</v>
      </c>
    </row>
    <row r="305" spans="1:14" s="541" customFormat="1" ht="16.5" customHeight="1">
      <c r="A305" s="16"/>
      <c r="B305" s="39" t="s">
        <v>2550</v>
      </c>
      <c r="C305" s="534">
        <v>1</v>
      </c>
      <c r="D305" s="536" t="s">
        <v>273</v>
      </c>
      <c r="E305" s="537">
        <v>1</v>
      </c>
      <c r="F305" s="538">
        <v>2.72</v>
      </c>
      <c r="G305" s="538">
        <v>3.77</v>
      </c>
      <c r="H305" s="538">
        <v>0</v>
      </c>
      <c r="I305" s="542">
        <f>-ROUND(IF(AND(F305:H305),C305*E305*F305*G305*H305,IF(AND(F305,G305),C305*E305*F305*G305,IF(AND(F305,H305),C305*E305*F305*H305,IF(AND(G305,H305),C305*E305*G305*H305,IF(F305,C305*E305*F305,IF(G305,C305*E305*G305,IF(H305,C305*E305*H305,C305*E305))))))),2)</f>
        <v>-10.25</v>
      </c>
      <c r="J305" s="550" t="s">
        <v>102</v>
      </c>
      <c r="K305" s="39"/>
      <c r="L305" s="16"/>
      <c r="M305" s="39"/>
      <c r="N305" s="533" t="s">
        <v>2209</v>
      </c>
    </row>
    <row r="306" spans="1:14" s="541" customFormat="1" ht="16.5" customHeight="1">
      <c r="A306" s="16"/>
      <c r="B306" s="544"/>
      <c r="C306" s="545"/>
      <c r="D306" s="546"/>
      <c r="E306" s="547"/>
      <c r="F306" s="548"/>
      <c r="G306" s="548"/>
      <c r="H306" s="548"/>
      <c r="I306" s="549"/>
      <c r="J306" s="550"/>
      <c r="K306" s="39"/>
      <c r="L306" s="208"/>
      <c r="M306" s="39"/>
      <c r="N306" s="533" t="s">
        <v>2209</v>
      </c>
    </row>
    <row r="307" spans="1:14" ht="15.75">
      <c r="A307" s="16"/>
      <c r="B307" s="39"/>
      <c r="C307" s="551"/>
      <c r="D307" s="552"/>
      <c r="E307" s="537"/>
      <c r="F307" s="538"/>
      <c r="G307" s="40"/>
      <c r="H307" s="16"/>
      <c r="I307" s="549"/>
      <c r="J307" s="550" t="s">
        <v>102</v>
      </c>
      <c r="K307" s="10">
        <f>data!F568</f>
        <v>278.81</v>
      </c>
      <c r="L307" s="208" t="s">
        <v>2209</v>
      </c>
      <c r="M307" s="9">
        <f>ROUND(I307*K307,0)</f>
        <v>0</v>
      </c>
      <c r="N307" s="533" t="s">
        <v>2209</v>
      </c>
    </row>
    <row r="308" spans="1:14" ht="64.5" customHeight="1">
      <c r="A308" s="16">
        <v>7</v>
      </c>
      <c r="B308" s="1633" t="s">
        <v>151</v>
      </c>
      <c r="C308" s="1633"/>
      <c r="D308" s="1633"/>
      <c r="E308" s="1633"/>
      <c r="F308" s="1633"/>
      <c r="G308" s="1633"/>
      <c r="H308" s="1633"/>
      <c r="I308" s="534"/>
      <c r="J308" s="535"/>
      <c r="K308" s="16"/>
      <c r="L308" s="208"/>
      <c r="M308" s="38"/>
      <c r="N308" s="533" t="s">
        <v>2297</v>
      </c>
    </row>
    <row r="309" spans="1:14" s="541" customFormat="1" ht="16.5" customHeight="1">
      <c r="A309" s="16"/>
      <c r="B309" s="39" t="s">
        <v>2907</v>
      </c>
      <c r="C309" s="534"/>
      <c r="D309" s="536"/>
      <c r="E309" s="537"/>
      <c r="F309" s="538"/>
      <c r="G309" s="538"/>
      <c r="H309" s="538"/>
      <c r="I309" s="539"/>
      <c r="J309" s="550"/>
      <c r="K309" s="39"/>
      <c r="L309" s="16"/>
      <c r="M309" s="39"/>
      <c r="N309" s="533" t="s">
        <v>2297</v>
      </c>
    </row>
    <row r="310" spans="1:14" s="541" customFormat="1" ht="16.5" customHeight="1">
      <c r="A310" s="16"/>
      <c r="B310" s="39"/>
      <c r="C310" s="534">
        <v>1</v>
      </c>
      <c r="D310" s="536" t="s">
        <v>273</v>
      </c>
      <c r="E310" s="537">
        <v>1</v>
      </c>
      <c r="F310" s="538">
        <v>13.28</v>
      </c>
      <c r="G310" s="538">
        <v>9.8699999999999992</v>
      </c>
      <c r="H310" s="538">
        <v>0</v>
      </c>
      <c r="I310" s="542">
        <f t="shared" ref="I310" si="32">ROUND(IF(AND(F310:H310),C310*E310*F310*G310*H310,IF(AND(F310,G310),C310*E310*F310*G310,IF(AND(F310,H310),C310*E310*F310*H310,IF(AND(G310,H310),C310*E310*G310*H310,IF(F310,C310*E310*F310,IF(G310,C310*E310*G310,IF(H310,C310*E310*H310,C310*E310))))))),2)</f>
        <v>131.07</v>
      </c>
      <c r="J310" s="550" t="s">
        <v>102</v>
      </c>
      <c r="K310" s="39"/>
      <c r="L310" s="16"/>
      <c r="M310" s="39"/>
      <c r="N310" s="533" t="s">
        <v>2297</v>
      </c>
    </row>
    <row r="311" spans="1:14" s="541" customFormat="1" ht="16.5" customHeight="1">
      <c r="A311" s="16"/>
      <c r="B311" s="39" t="s">
        <v>2539</v>
      </c>
      <c r="C311" s="534">
        <v>1</v>
      </c>
      <c r="D311" s="536" t="s">
        <v>273</v>
      </c>
      <c r="E311" s="537">
        <v>1</v>
      </c>
      <c r="F311" s="538">
        <v>3.18</v>
      </c>
      <c r="G311" s="538">
        <v>3.92</v>
      </c>
      <c r="H311" s="538">
        <v>0</v>
      </c>
      <c r="I311" s="542">
        <f>-ROUND(IF(AND(F311:H311),C311*E311*F311*G311*H311,IF(AND(F311,G311),C311*E311*F311*G311,IF(AND(F311,H311),C311*E311*F311*H311,IF(AND(G311,H311),C311*E311*G311*H311,IF(F311,C311*E311*F311,IF(G311,C311*E311*G311,IF(H311,C311*E311*H311,C311*E311))))))),2)</f>
        <v>-12.47</v>
      </c>
      <c r="J311" s="550" t="s">
        <v>102</v>
      </c>
      <c r="K311" s="39"/>
      <c r="L311" s="16"/>
      <c r="M311" s="39"/>
      <c r="N311" s="533" t="s">
        <v>2297</v>
      </c>
    </row>
    <row r="312" spans="1:14" s="541" customFormat="1" ht="16.5" customHeight="1">
      <c r="A312" s="16"/>
      <c r="B312" s="39" t="s">
        <v>2866</v>
      </c>
      <c r="C312" s="534">
        <v>1</v>
      </c>
      <c r="D312" s="536" t="s">
        <v>273</v>
      </c>
      <c r="E312" s="537">
        <v>1</v>
      </c>
      <c r="F312" s="538">
        <v>6.17</v>
      </c>
      <c r="G312" s="538">
        <v>0.88</v>
      </c>
      <c r="H312" s="538">
        <v>0</v>
      </c>
      <c r="I312" s="542">
        <f t="shared" ref="I312" si="33">ROUND(IF(AND(F312:H312),C312*E312*F312*G312*H312,IF(AND(F312,G312),C312*E312*F312*G312,IF(AND(F312,H312),C312*E312*F312*H312,IF(AND(G312,H312),C312*E312*G312*H312,IF(F312,C312*E312*F312,IF(G312,C312*E312*G312,IF(H312,C312*E312*H312,C312*E312))))))),2)</f>
        <v>5.43</v>
      </c>
      <c r="J312" s="550" t="s">
        <v>102</v>
      </c>
      <c r="K312" s="39"/>
      <c r="L312" s="16"/>
      <c r="M312" s="39"/>
      <c r="N312" s="533" t="s">
        <v>2297</v>
      </c>
    </row>
    <row r="313" spans="1:14" s="541" customFormat="1" ht="16.5" customHeight="1">
      <c r="A313" s="16"/>
      <c r="B313" s="544"/>
      <c r="C313" s="545"/>
      <c r="D313" s="546"/>
      <c r="E313" s="547"/>
      <c r="F313" s="548"/>
      <c r="G313" s="548"/>
      <c r="H313" s="548"/>
      <c r="I313" s="549"/>
      <c r="J313" s="550"/>
      <c r="K313" s="39"/>
      <c r="L313" s="208"/>
      <c r="M313" s="39"/>
      <c r="N313" s="533" t="s">
        <v>2297</v>
      </c>
    </row>
    <row r="314" spans="1:14" ht="15.75">
      <c r="A314" s="16"/>
      <c r="B314" s="39"/>
      <c r="C314" s="551"/>
      <c r="D314" s="552"/>
      <c r="E314" s="537"/>
      <c r="F314" s="538"/>
      <c r="G314" s="40"/>
      <c r="H314" s="16"/>
      <c r="I314" s="549"/>
      <c r="J314" s="550" t="s">
        <v>102</v>
      </c>
      <c r="K314" s="10">
        <f>data!F1485</f>
        <v>300.63</v>
      </c>
      <c r="L314" s="208" t="s">
        <v>2297</v>
      </c>
      <c r="M314" s="9">
        <f>ROUND(I314*K314,0)</f>
        <v>0</v>
      </c>
      <c r="N314" s="533" t="s">
        <v>2297</v>
      </c>
    </row>
    <row r="315" spans="1:14" ht="64.5" customHeight="1">
      <c r="A315" s="16">
        <v>7</v>
      </c>
      <c r="B315" s="1633" t="s">
        <v>151</v>
      </c>
      <c r="C315" s="1633"/>
      <c r="D315" s="1633"/>
      <c r="E315" s="1633"/>
      <c r="F315" s="1633"/>
      <c r="G315" s="1633"/>
      <c r="H315" s="1633"/>
      <c r="I315" s="534"/>
      <c r="J315" s="535"/>
      <c r="K315" s="16"/>
      <c r="L315" s="208"/>
      <c r="M315" s="38"/>
      <c r="N315" s="533" t="s">
        <v>2308</v>
      </c>
    </row>
    <row r="316" spans="1:14" s="541" customFormat="1" ht="16.5" customHeight="1">
      <c r="A316" s="16"/>
      <c r="B316" s="39" t="s">
        <v>2838</v>
      </c>
      <c r="C316" s="534"/>
      <c r="D316" s="536"/>
      <c r="E316" s="537"/>
      <c r="F316" s="538"/>
      <c r="G316" s="538"/>
      <c r="H316" s="538"/>
      <c r="I316" s="539"/>
      <c r="J316" s="550"/>
      <c r="K316" s="39"/>
      <c r="L316" s="16"/>
      <c r="M316" s="39"/>
      <c r="N316" s="533" t="s">
        <v>2308</v>
      </c>
    </row>
    <row r="317" spans="1:14" s="541" customFormat="1" ht="16.5" customHeight="1">
      <c r="A317" s="16"/>
      <c r="B317" s="39" t="s">
        <v>1624</v>
      </c>
      <c r="C317" s="534">
        <v>1</v>
      </c>
      <c r="D317" s="536" t="s">
        <v>273</v>
      </c>
      <c r="E317" s="537">
        <v>1</v>
      </c>
      <c r="F317" s="538">
        <v>10.45</v>
      </c>
      <c r="G317" s="538">
        <v>8.85</v>
      </c>
      <c r="H317" s="538">
        <v>0</v>
      </c>
      <c r="I317" s="542">
        <f>ROUND(IF(AND(F317:H317),C317*E317*F317*G317*H317,IF(AND(F317,G317),C317*E317*F317*G317,IF(AND(F317,H317),C317*E317*F317*H317,IF(AND(G317,H317),C317*E317*G317*H317,IF(F317,C317*E317*F317,IF(G317,C317*E317*G317,IF(H317,C317*E317*H317,C317*E317))))))),2)</f>
        <v>92.48</v>
      </c>
      <c r="J317" s="550" t="s">
        <v>102</v>
      </c>
      <c r="K317" s="39"/>
      <c r="L317" s="16"/>
      <c r="M317" s="39"/>
      <c r="N317" s="533" t="s">
        <v>2308</v>
      </c>
    </row>
    <row r="318" spans="1:14" s="541" customFormat="1" ht="16.5" customHeight="1">
      <c r="A318" s="16"/>
      <c r="B318" s="39"/>
      <c r="C318" s="534">
        <v>1</v>
      </c>
      <c r="D318" s="536" t="s">
        <v>273</v>
      </c>
      <c r="E318" s="537">
        <v>1</v>
      </c>
      <c r="F318" s="538">
        <v>5.5</v>
      </c>
      <c r="G318" s="538">
        <v>5.5</v>
      </c>
      <c r="H318" s="538">
        <v>0</v>
      </c>
      <c r="I318" s="542">
        <f>ROUND(IF(AND(F318:H318),C318*E318*F318*G318*H318,IF(AND(F318,G318),C318*E318*F318*G318,IF(AND(F318,H318),C318*E318*F318*H318,IF(AND(G318,H318),C318*E318*G318*H318,IF(F318,C318*E318*F318,IF(G318,C318*E318*G318,IF(H318,C318*E318*H318,C318*E318))))))),2)</f>
        <v>30.25</v>
      </c>
      <c r="J318" s="550" t="s">
        <v>102</v>
      </c>
      <c r="K318" s="39"/>
      <c r="L318" s="16"/>
      <c r="M318" s="39"/>
      <c r="N318" s="533" t="s">
        <v>2308</v>
      </c>
    </row>
    <row r="319" spans="1:14" s="541" customFormat="1" ht="16.5" customHeight="1">
      <c r="A319" s="16"/>
      <c r="B319" s="544"/>
      <c r="C319" s="545"/>
      <c r="D319" s="546"/>
      <c r="E319" s="547"/>
      <c r="F319" s="548"/>
      <c r="G319" s="548"/>
      <c r="H319" s="548"/>
      <c r="I319" s="549"/>
      <c r="J319" s="550"/>
      <c r="K319" s="39"/>
      <c r="L319" s="208"/>
      <c r="M319" s="39"/>
      <c r="N319" s="533" t="s">
        <v>2308</v>
      </c>
    </row>
    <row r="320" spans="1:14" ht="15.75">
      <c r="A320" s="16"/>
      <c r="B320" s="39"/>
      <c r="C320" s="551"/>
      <c r="D320" s="552"/>
      <c r="E320" s="537"/>
      <c r="F320" s="538"/>
      <c r="G320" s="40"/>
      <c r="H320" s="16"/>
      <c r="I320" s="549"/>
      <c r="J320" s="550" t="s">
        <v>102</v>
      </c>
      <c r="K320" s="10">
        <f>data!F2402</f>
        <v>319.08</v>
      </c>
      <c r="L320" s="208" t="s">
        <v>2308</v>
      </c>
      <c r="M320" s="9">
        <f>ROUND(I320*K320,0)</f>
        <v>0</v>
      </c>
      <c r="N320" s="533" t="s">
        <v>2308</v>
      </c>
    </row>
    <row r="321" spans="1:14" ht="64.5" customHeight="1">
      <c r="A321" s="16">
        <v>7</v>
      </c>
      <c r="B321" s="1633" t="s">
        <v>151</v>
      </c>
      <c r="C321" s="1633"/>
      <c r="D321" s="1633"/>
      <c r="E321" s="1633"/>
      <c r="F321" s="1633"/>
      <c r="G321" s="1633"/>
      <c r="H321" s="1633"/>
      <c r="I321" s="534"/>
      <c r="J321" s="535"/>
      <c r="K321" s="16"/>
      <c r="L321" s="208"/>
      <c r="M321" s="38"/>
      <c r="N321" s="533" t="s">
        <v>2309</v>
      </c>
    </row>
    <row r="322" spans="1:14" s="541" customFormat="1" ht="16.5" customHeight="1">
      <c r="A322" s="16"/>
      <c r="B322" s="39" t="s">
        <v>2838</v>
      </c>
      <c r="C322" s="534"/>
      <c r="D322" s="536"/>
      <c r="E322" s="537"/>
      <c r="F322" s="538"/>
      <c r="G322" s="538"/>
      <c r="H322" s="538"/>
      <c r="I322" s="539"/>
      <c r="J322" s="550"/>
      <c r="K322" s="39"/>
      <c r="L322" s="16"/>
      <c r="M322" s="39"/>
      <c r="N322" s="533" t="s">
        <v>2309</v>
      </c>
    </row>
    <row r="323" spans="1:14" s="541" customFormat="1" ht="16.5" customHeight="1">
      <c r="A323" s="16"/>
      <c r="B323" s="39" t="s">
        <v>1624</v>
      </c>
      <c r="C323" s="534">
        <v>1</v>
      </c>
      <c r="D323" s="536" t="s">
        <v>273</v>
      </c>
      <c r="E323" s="537">
        <v>1</v>
      </c>
      <c r="F323" s="538">
        <v>10.45</v>
      </c>
      <c r="G323" s="538">
        <v>8.85</v>
      </c>
      <c r="H323" s="538">
        <v>0</v>
      </c>
      <c r="I323" s="542">
        <f>ROUND(IF(AND(F323:H323),C323*E323*F323*G323*H323,IF(AND(F323,G323),C323*E323*F323*G323,IF(AND(F323,H323),C323*E323*F323*H323,IF(AND(G323,H323),C323*E323*G323*H323,IF(F323,C323*E323*F323,IF(G323,C323*E323*G323,IF(H323,C323*E323*H323,C323*E323))))))),2)</f>
        <v>92.48</v>
      </c>
      <c r="J323" s="550" t="s">
        <v>102</v>
      </c>
      <c r="K323" s="39"/>
      <c r="L323" s="16"/>
      <c r="M323" s="39"/>
      <c r="N323" s="533" t="s">
        <v>2309</v>
      </c>
    </row>
    <row r="324" spans="1:14" s="541" customFormat="1" ht="16.5" customHeight="1">
      <c r="A324" s="16"/>
      <c r="B324" s="39"/>
      <c r="C324" s="534">
        <v>1</v>
      </c>
      <c r="D324" s="536" t="s">
        <v>273</v>
      </c>
      <c r="E324" s="537">
        <v>1</v>
      </c>
      <c r="F324" s="538">
        <v>5.5</v>
      </c>
      <c r="G324" s="538">
        <v>5.5</v>
      </c>
      <c r="H324" s="538">
        <v>0</v>
      </c>
      <c r="I324" s="542">
        <f>ROUND(IF(AND(F324:H324),C324*E324*F324*G324*H324,IF(AND(F324,G324),C324*E324*F324*G324,IF(AND(F324,H324),C324*E324*F324*H324,IF(AND(G324,H324),C324*E324*G324*H324,IF(F324,C324*E324*F324,IF(G324,C324*E324*G324,IF(H324,C324*E324*H324,C324*E324))))))),2)</f>
        <v>30.25</v>
      </c>
      <c r="J324" s="550" t="s">
        <v>102</v>
      </c>
      <c r="K324" s="39"/>
      <c r="L324" s="16"/>
      <c r="M324" s="39"/>
      <c r="N324" s="533" t="s">
        <v>2309</v>
      </c>
    </row>
    <row r="325" spans="1:14" s="541" customFormat="1" ht="16.5" customHeight="1">
      <c r="A325" s="16"/>
      <c r="B325" s="544"/>
      <c r="C325" s="545"/>
      <c r="D325" s="546"/>
      <c r="E325" s="547"/>
      <c r="F325" s="548"/>
      <c r="G325" s="548"/>
      <c r="H325" s="548"/>
      <c r="I325" s="549"/>
      <c r="J325" s="550"/>
      <c r="K325" s="39"/>
      <c r="L325" s="208"/>
      <c r="M325" s="39"/>
      <c r="N325" s="533" t="s">
        <v>2309</v>
      </c>
    </row>
    <row r="326" spans="1:14" ht="15.75">
      <c r="A326" s="16"/>
      <c r="B326" s="39"/>
      <c r="C326" s="551"/>
      <c r="D326" s="552"/>
      <c r="E326" s="537"/>
      <c r="F326" s="538"/>
      <c r="G326" s="40"/>
      <c r="H326" s="16"/>
      <c r="I326" s="549"/>
      <c r="J326" s="550" t="s">
        <v>102</v>
      </c>
      <c r="K326" s="10">
        <f>data!F3319</f>
        <v>339.16</v>
      </c>
      <c r="L326" s="208" t="s">
        <v>2309</v>
      </c>
      <c r="M326" s="9">
        <f>ROUND(I326*K326,0)</f>
        <v>0</v>
      </c>
      <c r="N326" s="533" t="s">
        <v>2309</v>
      </c>
    </row>
    <row r="327" spans="1:14" ht="64.5" customHeight="1">
      <c r="A327" s="16">
        <v>13</v>
      </c>
      <c r="B327" s="1633" t="s">
        <v>1313</v>
      </c>
      <c r="C327" s="1633"/>
      <c r="D327" s="1633"/>
      <c r="E327" s="1633"/>
      <c r="F327" s="1633"/>
      <c r="G327" s="1633"/>
      <c r="H327" s="1633"/>
      <c r="I327" s="534"/>
      <c r="J327" s="535"/>
      <c r="K327" s="16"/>
      <c r="L327" s="208"/>
      <c r="M327" s="38"/>
      <c r="N327" s="533" t="s">
        <v>2209</v>
      </c>
    </row>
    <row r="328" spans="1:14" s="541" customFormat="1" ht="16.5" customHeight="1">
      <c r="A328" s="16"/>
      <c r="B328" s="39" t="s">
        <v>2839</v>
      </c>
      <c r="C328" s="534"/>
      <c r="D328" s="536"/>
      <c r="E328" s="537"/>
      <c r="F328" s="538"/>
      <c r="G328" s="538"/>
      <c r="H328" s="538"/>
      <c r="I328" s="539"/>
      <c r="J328" s="550"/>
      <c r="K328" s="39"/>
      <c r="L328" s="208"/>
      <c r="M328" s="39"/>
      <c r="N328" s="533" t="s">
        <v>2209</v>
      </c>
    </row>
    <row r="329" spans="1:14" s="541" customFormat="1" ht="16.5" customHeight="1">
      <c r="A329" s="16"/>
      <c r="B329" s="39"/>
      <c r="C329" s="534">
        <v>1</v>
      </c>
      <c r="D329" s="536" t="s">
        <v>273</v>
      </c>
      <c r="E329" s="537">
        <v>1</v>
      </c>
      <c r="F329" s="538">
        <v>10.45</v>
      </c>
      <c r="G329" s="538">
        <v>12</v>
      </c>
      <c r="H329" s="538">
        <v>0</v>
      </c>
      <c r="I329" s="542">
        <f>ROUND(IF(AND(F329:H329),C329*E329*F329*G329*H329,IF(AND(F329,G329),C329*E329*F329*G329,IF(AND(F329,H329),C329*E329*F329*H329,IF(AND(G329,H329),C329*E329*G329*H329,IF(F329,C329*E329*F329,IF(G329,C329*E329*G329,IF(H329,C329*E329*H329,C329*E329))))))),2)</f>
        <v>125.4</v>
      </c>
      <c r="J329" s="550" t="s">
        <v>102</v>
      </c>
      <c r="K329" s="39"/>
      <c r="L329" s="208"/>
      <c r="M329" s="39"/>
      <c r="N329" s="533" t="s">
        <v>2209</v>
      </c>
    </row>
    <row r="330" spans="1:14" s="541" customFormat="1" ht="16.5" customHeight="1">
      <c r="A330" s="16"/>
      <c r="B330" s="39"/>
      <c r="C330" s="534">
        <v>1</v>
      </c>
      <c r="D330" s="536" t="s">
        <v>273</v>
      </c>
      <c r="E330" s="537">
        <v>1</v>
      </c>
      <c r="F330" s="538">
        <v>3.52</v>
      </c>
      <c r="G330" s="538">
        <v>0.92</v>
      </c>
      <c r="H330" s="538">
        <v>0</v>
      </c>
      <c r="I330" s="542">
        <f>ROUND(IF(AND(F330:H330),C330*E330*F330*G330*H330,IF(AND(F330,G330),C330*E330*F330*G330,IF(AND(F330,H330),C330*E330*F330*H330,IF(AND(G330,H330),C330*E330*G330*H330,IF(F330,C330*E330*F330,IF(G330,C330*E330*G330,IF(H330,C330*E330*H330,C330*E330))))))),2)</f>
        <v>3.24</v>
      </c>
      <c r="J330" s="550" t="s">
        <v>102</v>
      </c>
      <c r="K330" s="39"/>
      <c r="L330" s="208"/>
      <c r="M330" s="39"/>
      <c r="N330" s="533" t="s">
        <v>2209</v>
      </c>
    </row>
    <row r="331" spans="1:14" s="541" customFormat="1" ht="16.5" customHeight="1">
      <c r="A331" s="16"/>
      <c r="B331" s="544"/>
      <c r="C331" s="545"/>
      <c r="D331" s="546"/>
      <c r="E331" s="547"/>
      <c r="F331" s="548"/>
      <c r="G331" s="548"/>
      <c r="H331" s="548"/>
      <c r="I331" s="549"/>
      <c r="J331" s="550"/>
      <c r="K331" s="39"/>
      <c r="L331" s="208"/>
      <c r="M331" s="39"/>
      <c r="N331" s="533" t="s">
        <v>2209</v>
      </c>
    </row>
    <row r="332" spans="1:14" ht="15.75">
      <c r="A332" s="16"/>
      <c r="B332" s="39"/>
      <c r="C332" s="551"/>
      <c r="D332" s="552"/>
      <c r="E332" s="537"/>
      <c r="F332" s="538"/>
      <c r="G332" s="40"/>
      <c r="H332" s="16"/>
      <c r="I332" s="549"/>
      <c r="J332" s="550" t="s">
        <v>102</v>
      </c>
      <c r="K332" s="10">
        <f>data!F583</f>
        <v>356.32</v>
      </c>
      <c r="L332" s="208" t="s">
        <v>2209</v>
      </c>
      <c r="M332" s="9">
        <f>ROUND(I332*K332,0)</f>
        <v>0</v>
      </c>
      <c r="N332" s="533" t="s">
        <v>2209</v>
      </c>
    </row>
    <row r="333" spans="1:14" ht="64.5" customHeight="1">
      <c r="A333" s="16">
        <v>13</v>
      </c>
      <c r="B333" s="1633" t="s">
        <v>1313</v>
      </c>
      <c r="C333" s="1633"/>
      <c r="D333" s="1633"/>
      <c r="E333" s="1633"/>
      <c r="F333" s="1633"/>
      <c r="G333" s="1633"/>
      <c r="H333" s="1633"/>
      <c r="I333" s="534"/>
      <c r="J333" s="535"/>
      <c r="K333" s="16"/>
      <c r="L333" s="208"/>
      <c r="M333" s="38"/>
      <c r="N333" s="533" t="s">
        <v>2297</v>
      </c>
    </row>
    <row r="334" spans="1:14" s="541" customFormat="1" ht="16.5" customHeight="1">
      <c r="A334" s="16"/>
      <c r="B334" s="39" t="s">
        <v>2839</v>
      </c>
      <c r="C334" s="534"/>
      <c r="D334" s="536"/>
      <c r="E334" s="537"/>
      <c r="F334" s="538"/>
      <c r="G334" s="538"/>
      <c r="H334" s="538"/>
      <c r="I334" s="539"/>
      <c r="J334" s="550"/>
      <c r="K334" s="39"/>
      <c r="L334" s="208"/>
      <c r="M334" s="39"/>
      <c r="N334" s="533" t="s">
        <v>2297</v>
      </c>
    </row>
    <row r="335" spans="1:14" s="541" customFormat="1" ht="16.5" customHeight="1">
      <c r="A335" s="16"/>
      <c r="B335" s="39"/>
      <c r="C335" s="534">
        <v>1</v>
      </c>
      <c r="D335" s="536" t="s">
        <v>273</v>
      </c>
      <c r="E335" s="537">
        <v>1</v>
      </c>
      <c r="F335" s="538">
        <v>10.45</v>
      </c>
      <c r="G335" s="538">
        <v>12</v>
      </c>
      <c r="H335" s="538">
        <v>0</v>
      </c>
      <c r="I335" s="542">
        <f>ROUND(IF(AND(F335:H335),C335*E335*F335*G335*H335,IF(AND(F335,G335),C335*E335*F335*G335,IF(AND(F335,H335),C335*E335*F335*H335,IF(AND(G335,H335),C335*E335*G335*H335,IF(F335,C335*E335*F335,IF(G335,C335*E335*G335,IF(H335,C335*E335*H335,C335*E335))))))),2)</f>
        <v>125.4</v>
      </c>
      <c r="J335" s="550" t="s">
        <v>102</v>
      </c>
      <c r="K335" s="39"/>
      <c r="L335" s="208"/>
      <c r="M335" s="39"/>
      <c r="N335" s="533" t="s">
        <v>2297</v>
      </c>
    </row>
    <row r="336" spans="1:14" s="541" customFormat="1" ht="16.5" customHeight="1">
      <c r="A336" s="16"/>
      <c r="B336" s="39"/>
      <c r="C336" s="534">
        <v>1</v>
      </c>
      <c r="D336" s="536" t="s">
        <v>273</v>
      </c>
      <c r="E336" s="537">
        <v>1</v>
      </c>
      <c r="F336" s="538">
        <v>3.52</v>
      </c>
      <c r="G336" s="538">
        <v>0.92</v>
      </c>
      <c r="H336" s="538">
        <v>0</v>
      </c>
      <c r="I336" s="542">
        <f>ROUND(IF(AND(F336:H336),C336*E336*F336*G336*H336,IF(AND(F336,G336),C336*E336*F336*G336,IF(AND(F336,H336),C336*E336*F336*H336,IF(AND(G336,H336),C336*E336*G336*H336,IF(F336,C336*E336*F336,IF(G336,C336*E336*G336,IF(H336,C336*E336*H336,C336*E336))))))),2)</f>
        <v>3.24</v>
      </c>
      <c r="J336" s="550" t="s">
        <v>102</v>
      </c>
      <c r="K336" s="39"/>
      <c r="L336" s="208"/>
      <c r="M336" s="39"/>
      <c r="N336" s="533" t="s">
        <v>2297</v>
      </c>
    </row>
    <row r="337" spans="1:14" s="541" customFormat="1" ht="16.5" customHeight="1">
      <c r="A337" s="16"/>
      <c r="B337" s="544"/>
      <c r="C337" s="545"/>
      <c r="D337" s="546"/>
      <c r="E337" s="547"/>
      <c r="F337" s="548"/>
      <c r="G337" s="548"/>
      <c r="H337" s="548"/>
      <c r="I337" s="549"/>
      <c r="J337" s="550"/>
      <c r="K337" s="39"/>
      <c r="L337" s="208"/>
      <c r="M337" s="39"/>
      <c r="N337" s="533" t="s">
        <v>2297</v>
      </c>
    </row>
    <row r="338" spans="1:14" ht="15.75">
      <c r="A338" s="16"/>
      <c r="B338" s="39"/>
      <c r="C338" s="551"/>
      <c r="D338" s="552"/>
      <c r="E338" s="537"/>
      <c r="F338" s="538"/>
      <c r="G338" s="40"/>
      <c r="H338" s="16"/>
      <c r="I338" s="549"/>
      <c r="J338" s="550" t="s">
        <v>102</v>
      </c>
      <c r="K338" s="10">
        <f>data!F1500</f>
        <v>385.97</v>
      </c>
      <c r="L338" s="208" t="s">
        <v>2297</v>
      </c>
      <c r="M338" s="9">
        <f>ROUND(I338*K338,0)</f>
        <v>0</v>
      </c>
      <c r="N338" s="533" t="s">
        <v>2297</v>
      </c>
    </row>
    <row r="339" spans="1:14" ht="64.5" customHeight="1">
      <c r="A339" s="16">
        <v>13</v>
      </c>
      <c r="B339" s="1633" t="s">
        <v>1313</v>
      </c>
      <c r="C339" s="1633"/>
      <c r="D339" s="1633"/>
      <c r="E339" s="1633"/>
      <c r="F339" s="1633"/>
      <c r="G339" s="1633"/>
      <c r="H339" s="1633"/>
      <c r="I339" s="534"/>
      <c r="J339" s="535"/>
      <c r="K339" s="16"/>
      <c r="L339" s="208"/>
      <c r="M339" s="38"/>
      <c r="N339" s="533" t="s">
        <v>2308</v>
      </c>
    </row>
    <row r="340" spans="1:14" s="541" customFormat="1" ht="16.5" customHeight="1">
      <c r="A340" s="16"/>
      <c r="B340" s="39" t="s">
        <v>2839</v>
      </c>
      <c r="C340" s="534"/>
      <c r="D340" s="536"/>
      <c r="E340" s="537"/>
      <c r="F340" s="538"/>
      <c r="G340" s="538"/>
      <c r="H340" s="538"/>
      <c r="I340" s="539"/>
      <c r="J340" s="550"/>
      <c r="K340" s="39"/>
      <c r="L340" s="208"/>
      <c r="M340" s="39"/>
      <c r="N340" s="533" t="s">
        <v>2308</v>
      </c>
    </row>
    <row r="341" spans="1:14" s="541" customFormat="1" ht="16.5" customHeight="1">
      <c r="A341" s="16"/>
      <c r="B341" s="39"/>
      <c r="C341" s="534">
        <v>1</v>
      </c>
      <c r="D341" s="536" t="s">
        <v>273</v>
      </c>
      <c r="E341" s="537">
        <v>1</v>
      </c>
      <c r="F341" s="538">
        <v>10.45</v>
      </c>
      <c r="G341" s="538">
        <v>12</v>
      </c>
      <c r="H341" s="538">
        <v>0</v>
      </c>
      <c r="I341" s="542">
        <f>ROUND(IF(AND(F341:H341),C341*E341*F341*G341*H341,IF(AND(F341,G341),C341*E341*F341*G341,IF(AND(F341,H341),C341*E341*F341*H341,IF(AND(G341,H341),C341*E341*G341*H341,IF(F341,C341*E341*F341,IF(G341,C341*E341*G341,IF(H341,C341*E341*H341,C341*E341))))))),2)</f>
        <v>125.4</v>
      </c>
      <c r="J341" s="550" t="s">
        <v>102</v>
      </c>
      <c r="K341" s="39"/>
      <c r="L341" s="208"/>
      <c r="M341" s="39"/>
      <c r="N341" s="533" t="s">
        <v>2308</v>
      </c>
    </row>
    <row r="342" spans="1:14" s="541" customFormat="1" ht="16.5" customHeight="1">
      <c r="A342" s="16"/>
      <c r="B342" s="39"/>
      <c r="C342" s="534">
        <v>1</v>
      </c>
      <c r="D342" s="536" t="s">
        <v>273</v>
      </c>
      <c r="E342" s="537">
        <v>1</v>
      </c>
      <c r="F342" s="538">
        <v>3.52</v>
      </c>
      <c r="G342" s="538">
        <v>0.92</v>
      </c>
      <c r="H342" s="538">
        <v>0</v>
      </c>
      <c r="I342" s="542">
        <f>ROUND(IF(AND(F342:H342),C342*E342*F342*G342*H342,IF(AND(F342,G342),C342*E342*F342*G342,IF(AND(F342,H342),C342*E342*F342*H342,IF(AND(G342,H342),C342*E342*G342*H342,IF(F342,C342*E342*F342,IF(G342,C342*E342*G342,IF(H342,C342*E342*H342,C342*E342))))))),2)</f>
        <v>3.24</v>
      </c>
      <c r="J342" s="550" t="s">
        <v>102</v>
      </c>
      <c r="K342" s="39"/>
      <c r="L342" s="208"/>
      <c r="M342" s="39"/>
      <c r="N342" s="533" t="s">
        <v>2308</v>
      </c>
    </row>
    <row r="343" spans="1:14" s="541" customFormat="1" ht="16.5" customHeight="1">
      <c r="A343" s="16"/>
      <c r="B343" s="544"/>
      <c r="C343" s="545"/>
      <c r="D343" s="546"/>
      <c r="E343" s="547"/>
      <c r="F343" s="548"/>
      <c r="G343" s="548"/>
      <c r="H343" s="548"/>
      <c r="I343" s="549"/>
      <c r="J343" s="550"/>
      <c r="K343" s="39"/>
      <c r="L343" s="208"/>
      <c r="M343" s="39"/>
      <c r="N343" s="533" t="s">
        <v>2308</v>
      </c>
    </row>
    <row r="344" spans="1:14" ht="15.75">
      <c r="A344" s="16"/>
      <c r="B344" s="39"/>
      <c r="C344" s="551"/>
      <c r="D344" s="552"/>
      <c r="E344" s="537"/>
      <c r="F344" s="538"/>
      <c r="G344" s="40"/>
      <c r="H344" s="16"/>
      <c r="I344" s="549"/>
      <c r="J344" s="550" t="s">
        <v>102</v>
      </c>
      <c r="K344" s="10">
        <f>data!F2417</f>
        <v>410.82</v>
      </c>
      <c r="L344" s="208" t="s">
        <v>2308</v>
      </c>
      <c r="M344" s="9">
        <f>ROUND(I344*K344,0)</f>
        <v>0</v>
      </c>
      <c r="N344" s="533" t="s">
        <v>2308</v>
      </c>
    </row>
    <row r="345" spans="1:14" ht="64.5" customHeight="1">
      <c r="A345" s="16">
        <v>13</v>
      </c>
      <c r="B345" s="1633" t="s">
        <v>1313</v>
      </c>
      <c r="C345" s="1633"/>
      <c r="D345" s="1633"/>
      <c r="E345" s="1633"/>
      <c r="F345" s="1633"/>
      <c r="G345" s="1633"/>
      <c r="H345" s="1633"/>
      <c r="I345" s="534"/>
      <c r="J345" s="535"/>
      <c r="K345" s="16"/>
      <c r="L345" s="208"/>
      <c r="M345" s="38"/>
      <c r="N345" s="533" t="s">
        <v>2309</v>
      </c>
    </row>
    <row r="346" spans="1:14" s="541" customFormat="1" ht="16.5" customHeight="1">
      <c r="A346" s="16"/>
      <c r="B346" s="39" t="s">
        <v>2839</v>
      </c>
      <c r="C346" s="534"/>
      <c r="D346" s="536"/>
      <c r="E346" s="537"/>
      <c r="F346" s="538"/>
      <c r="G346" s="538"/>
      <c r="H346" s="538"/>
      <c r="I346" s="539"/>
      <c r="J346" s="550"/>
      <c r="K346" s="39"/>
      <c r="L346" s="208"/>
      <c r="M346" s="39"/>
      <c r="N346" s="533" t="s">
        <v>2309</v>
      </c>
    </row>
    <row r="347" spans="1:14" s="541" customFormat="1" ht="16.5" customHeight="1">
      <c r="A347" s="16"/>
      <c r="B347" s="39"/>
      <c r="C347" s="534">
        <v>1</v>
      </c>
      <c r="D347" s="536" t="s">
        <v>273</v>
      </c>
      <c r="E347" s="537">
        <v>1</v>
      </c>
      <c r="F347" s="538">
        <v>10.45</v>
      </c>
      <c r="G347" s="538">
        <v>12</v>
      </c>
      <c r="H347" s="538">
        <v>0</v>
      </c>
      <c r="I347" s="542">
        <f>ROUND(IF(AND(F347:H347),C347*E347*F347*G347*H347,IF(AND(F347,G347),C347*E347*F347*G347,IF(AND(F347,H347),C347*E347*F347*H347,IF(AND(G347,H347),C347*E347*G347*H347,IF(F347,C347*E347*F347,IF(G347,C347*E347*G347,IF(H347,C347*E347*H347,C347*E347))))))),2)</f>
        <v>125.4</v>
      </c>
      <c r="J347" s="550" t="s">
        <v>102</v>
      </c>
      <c r="K347" s="39"/>
      <c r="L347" s="208"/>
      <c r="M347" s="39"/>
      <c r="N347" s="533" t="s">
        <v>2309</v>
      </c>
    </row>
    <row r="348" spans="1:14" s="541" customFormat="1" ht="16.5" customHeight="1">
      <c r="A348" s="16"/>
      <c r="B348" s="39"/>
      <c r="C348" s="534">
        <v>1</v>
      </c>
      <c r="D348" s="536" t="s">
        <v>273</v>
      </c>
      <c r="E348" s="537">
        <v>1</v>
      </c>
      <c r="F348" s="538">
        <v>3.52</v>
      </c>
      <c r="G348" s="538">
        <v>0.92</v>
      </c>
      <c r="H348" s="538">
        <v>0</v>
      </c>
      <c r="I348" s="542">
        <f>ROUND(IF(AND(F348:H348),C348*E348*F348*G348*H348,IF(AND(F348,G348),C348*E348*F348*G348,IF(AND(F348,H348),C348*E348*F348*H348,IF(AND(G348,H348),C348*E348*G348*H348,IF(F348,C348*E348*F348,IF(G348,C348*E348*G348,IF(H348,C348*E348*H348,C348*E348))))))),2)</f>
        <v>3.24</v>
      </c>
      <c r="J348" s="550" t="s">
        <v>102</v>
      </c>
      <c r="K348" s="39"/>
      <c r="L348" s="208"/>
      <c r="M348" s="39"/>
      <c r="N348" s="533" t="s">
        <v>2309</v>
      </c>
    </row>
    <row r="349" spans="1:14" s="541" customFormat="1" ht="16.5" customHeight="1">
      <c r="A349" s="16"/>
      <c r="B349" s="544"/>
      <c r="C349" s="545"/>
      <c r="D349" s="546"/>
      <c r="E349" s="547"/>
      <c r="F349" s="548"/>
      <c r="G349" s="548"/>
      <c r="H349" s="548"/>
      <c r="I349" s="549"/>
      <c r="J349" s="550"/>
      <c r="K349" s="39"/>
      <c r="L349" s="208"/>
      <c r="M349" s="39"/>
      <c r="N349" s="533" t="s">
        <v>2309</v>
      </c>
    </row>
    <row r="350" spans="1:14" ht="15.75">
      <c r="A350" s="16"/>
      <c r="B350" s="39"/>
      <c r="C350" s="551"/>
      <c r="D350" s="552"/>
      <c r="E350" s="537"/>
      <c r="F350" s="538"/>
      <c r="G350" s="40"/>
      <c r="H350" s="16"/>
      <c r="I350" s="549"/>
      <c r="J350" s="550" t="s">
        <v>102</v>
      </c>
      <c r="K350" s="10">
        <f>data!F3334</f>
        <v>438.06</v>
      </c>
      <c r="L350" s="208" t="s">
        <v>2309</v>
      </c>
      <c r="M350" s="9">
        <f>ROUND(I350*K350,0)</f>
        <v>0</v>
      </c>
      <c r="N350" s="533" t="s">
        <v>2309</v>
      </c>
    </row>
    <row r="351" spans="1:14" ht="69.75" customHeight="1">
      <c r="A351" s="16">
        <v>15</v>
      </c>
      <c r="B351" s="1633" t="s">
        <v>306</v>
      </c>
      <c r="C351" s="1633"/>
      <c r="D351" s="1633"/>
      <c r="E351" s="1633"/>
      <c r="F351" s="1633"/>
      <c r="G351" s="1633"/>
      <c r="H351" s="1633"/>
      <c r="I351" s="534"/>
      <c r="J351" s="535"/>
      <c r="K351" s="16"/>
      <c r="L351" s="208"/>
      <c r="M351" s="38"/>
      <c r="N351" s="533" t="s">
        <v>2209</v>
      </c>
    </row>
    <row r="352" spans="1:14" s="541" customFormat="1" ht="16.5" customHeight="1">
      <c r="A352" s="16"/>
      <c r="B352" s="39" t="s">
        <v>2840</v>
      </c>
      <c r="C352" s="534"/>
      <c r="D352" s="536"/>
      <c r="E352" s="537"/>
      <c r="F352" s="538"/>
      <c r="G352" s="538"/>
      <c r="H352" s="538"/>
      <c r="I352" s="539"/>
      <c r="J352" s="550"/>
      <c r="K352" s="39"/>
      <c r="L352" s="16"/>
      <c r="M352" s="39"/>
      <c r="N352" s="533" t="s">
        <v>2209</v>
      </c>
    </row>
    <row r="353" spans="1:14" s="541" customFormat="1" ht="16.5" customHeight="1">
      <c r="A353" s="16"/>
      <c r="B353" s="39" t="s">
        <v>1245</v>
      </c>
      <c r="C353" s="534">
        <v>1</v>
      </c>
      <c r="D353" s="536" t="s">
        <v>273</v>
      </c>
      <c r="E353" s="537">
        <v>1</v>
      </c>
      <c r="F353" s="538">
        <v>2.89</v>
      </c>
      <c r="G353" s="538">
        <v>0.23</v>
      </c>
      <c r="H353" s="538">
        <v>1.38</v>
      </c>
      <c r="I353" s="542">
        <f>ROUND(IF(AND(F353:H353),C353*E353*F353*G353*H353,IF(AND(F353,G353),C353*E353*F353*G353,IF(AND(F353,H353),C353*E353*F353*H353,IF(AND(G353,H353),C353*E353*G353*H353,IF(F353,C353*E353*F353,IF(G353,C353*E353*G353,IF(H353,C353*E353*H353,C353*E353))))))),2)</f>
        <v>0.92</v>
      </c>
      <c r="J353" s="550" t="s">
        <v>5</v>
      </c>
      <c r="K353" s="39"/>
      <c r="L353" s="16"/>
      <c r="M353" s="39"/>
      <c r="N353" s="533" t="s">
        <v>2209</v>
      </c>
    </row>
    <row r="354" spans="1:14" s="541" customFormat="1" ht="16.5" customHeight="1">
      <c r="A354" s="16"/>
      <c r="B354" s="39" t="s">
        <v>814</v>
      </c>
      <c r="C354" s="534">
        <v>1</v>
      </c>
      <c r="D354" s="536" t="s">
        <v>273</v>
      </c>
      <c r="E354" s="537">
        <v>1</v>
      </c>
      <c r="F354" s="538">
        <v>12.47</v>
      </c>
      <c r="G354" s="538">
        <v>0.23</v>
      </c>
      <c r="H354" s="538">
        <v>1.38</v>
      </c>
      <c r="I354" s="542">
        <f>ROUND(IF(AND(F354:H354),C354*E354*F354*G354*H354,IF(AND(F354,G354),C354*E354*F354*G354,IF(AND(F354,H354),C354*E354*F354*H354,IF(AND(G354,H354),C354*E354*G354*H354,IF(F354,C354*E354*F354,IF(G354,C354*E354*G354,IF(H354,C354*E354*H354,C354*E354))))))),2)</f>
        <v>3.96</v>
      </c>
      <c r="J354" s="550" t="s">
        <v>5</v>
      </c>
      <c r="K354" s="39"/>
      <c r="L354" s="16"/>
      <c r="M354" s="39"/>
      <c r="N354" s="533" t="s">
        <v>2209</v>
      </c>
    </row>
    <row r="355" spans="1:14" s="541" customFormat="1" ht="16.5" customHeight="1">
      <c r="A355" s="16"/>
      <c r="B355" s="544"/>
      <c r="C355" s="545"/>
      <c r="D355" s="546"/>
      <c r="E355" s="547"/>
      <c r="F355" s="548"/>
      <c r="G355" s="548"/>
      <c r="H355" s="548"/>
      <c r="I355" s="549"/>
      <c r="J355" s="550"/>
      <c r="K355" s="39"/>
      <c r="L355" s="208"/>
      <c r="M355" s="39"/>
      <c r="N355" s="533" t="s">
        <v>2209</v>
      </c>
    </row>
    <row r="356" spans="1:14" ht="15.75">
      <c r="A356" s="16"/>
      <c r="B356" s="39"/>
      <c r="C356" s="551"/>
      <c r="D356" s="552"/>
      <c r="E356" s="537"/>
      <c r="F356" s="538"/>
      <c r="G356" s="40"/>
      <c r="H356" s="16"/>
      <c r="I356" s="549"/>
      <c r="J356" s="550" t="s">
        <v>5</v>
      </c>
      <c r="K356" s="10">
        <f>data!F393</f>
        <v>5904.8700000000008</v>
      </c>
      <c r="L356" s="208" t="s">
        <v>2209</v>
      </c>
      <c r="M356" s="9">
        <f>ROUND(I356*K356,0)</f>
        <v>0</v>
      </c>
      <c r="N356" s="533" t="s">
        <v>2209</v>
      </c>
    </row>
    <row r="357" spans="1:14" ht="69.75" customHeight="1">
      <c r="A357" s="16">
        <v>15</v>
      </c>
      <c r="B357" s="1633" t="s">
        <v>306</v>
      </c>
      <c r="C357" s="1633"/>
      <c r="D357" s="1633"/>
      <c r="E357" s="1633"/>
      <c r="F357" s="1633"/>
      <c r="G357" s="1633"/>
      <c r="H357" s="1633"/>
      <c r="I357" s="534"/>
      <c r="J357" s="535"/>
      <c r="K357" s="16"/>
      <c r="L357" s="208"/>
      <c r="M357" s="38"/>
      <c r="N357" s="533" t="s">
        <v>2297</v>
      </c>
    </row>
    <row r="358" spans="1:14" s="541" customFormat="1" ht="16.5" customHeight="1">
      <c r="A358" s="16"/>
      <c r="B358" s="39" t="s">
        <v>2840</v>
      </c>
      <c r="C358" s="534"/>
      <c r="D358" s="536"/>
      <c r="E358" s="537"/>
      <c r="F358" s="538"/>
      <c r="G358" s="538"/>
      <c r="H358" s="538"/>
      <c r="I358" s="539"/>
      <c r="J358" s="550"/>
      <c r="K358" s="39"/>
      <c r="L358" s="16"/>
      <c r="M358" s="39"/>
      <c r="N358" s="533" t="s">
        <v>2297</v>
      </c>
    </row>
    <row r="359" spans="1:14" s="541" customFormat="1" ht="16.5" customHeight="1">
      <c r="A359" s="16"/>
      <c r="B359" s="39" t="s">
        <v>1245</v>
      </c>
      <c r="C359" s="534">
        <v>1</v>
      </c>
      <c r="D359" s="536" t="s">
        <v>273</v>
      </c>
      <c r="E359" s="537">
        <v>1</v>
      </c>
      <c r="F359" s="538">
        <v>2.89</v>
      </c>
      <c r="G359" s="538">
        <v>0.23</v>
      </c>
      <c r="H359" s="538">
        <v>1.38</v>
      </c>
      <c r="I359" s="542">
        <f>ROUND(IF(AND(F359:H359),C359*E359*F359*G359*H359,IF(AND(F359,G359),C359*E359*F359*G359,IF(AND(F359,H359),C359*E359*F359*H359,IF(AND(G359,H359),C359*E359*G359*H359,IF(F359,C359*E359*F359,IF(G359,C359*E359*G359,IF(H359,C359*E359*H359,C359*E359))))))),2)</f>
        <v>0.92</v>
      </c>
      <c r="J359" s="550" t="s">
        <v>5</v>
      </c>
      <c r="K359" s="39"/>
      <c r="L359" s="16"/>
      <c r="M359" s="39"/>
      <c r="N359" s="533" t="s">
        <v>2297</v>
      </c>
    </row>
    <row r="360" spans="1:14" s="541" customFormat="1" ht="16.5" customHeight="1">
      <c r="A360" s="16"/>
      <c r="B360" s="39" t="s">
        <v>814</v>
      </c>
      <c r="C360" s="534">
        <v>1</v>
      </c>
      <c r="D360" s="536" t="s">
        <v>273</v>
      </c>
      <c r="E360" s="537">
        <v>1</v>
      </c>
      <c r="F360" s="538">
        <v>12.47</v>
      </c>
      <c r="G360" s="538">
        <v>0.23</v>
      </c>
      <c r="H360" s="538">
        <v>1.38</v>
      </c>
      <c r="I360" s="542">
        <f>ROUND(IF(AND(F360:H360),C360*E360*F360*G360*H360,IF(AND(F360,G360),C360*E360*F360*G360,IF(AND(F360,H360),C360*E360*F360*H360,IF(AND(G360,H360),C360*E360*G360*H360,IF(F360,C360*E360*F360,IF(G360,C360*E360*G360,IF(H360,C360*E360*H360,C360*E360))))))),2)</f>
        <v>3.96</v>
      </c>
      <c r="J360" s="550" t="s">
        <v>5</v>
      </c>
      <c r="K360" s="39"/>
      <c r="L360" s="16"/>
      <c r="M360" s="39"/>
      <c r="N360" s="533" t="s">
        <v>2297</v>
      </c>
    </row>
    <row r="361" spans="1:14" s="541" customFormat="1" ht="16.5" customHeight="1">
      <c r="A361" s="16"/>
      <c r="B361" s="544"/>
      <c r="C361" s="545"/>
      <c r="D361" s="546"/>
      <c r="E361" s="547"/>
      <c r="F361" s="548"/>
      <c r="G361" s="548"/>
      <c r="H361" s="548"/>
      <c r="I361" s="549"/>
      <c r="J361" s="550"/>
      <c r="K361" s="39"/>
      <c r="L361" s="208"/>
      <c r="M361" s="39"/>
      <c r="N361" s="533" t="s">
        <v>2297</v>
      </c>
    </row>
    <row r="362" spans="1:14" ht="15.75">
      <c r="A362" s="16"/>
      <c r="B362" s="39"/>
      <c r="C362" s="551"/>
      <c r="D362" s="552"/>
      <c r="E362" s="537"/>
      <c r="F362" s="538"/>
      <c r="G362" s="40"/>
      <c r="H362" s="16"/>
      <c r="I362" s="549"/>
      <c r="J362" s="550" t="s">
        <v>5</v>
      </c>
      <c r="K362" s="10">
        <f>data!F1310</f>
        <v>6078.69</v>
      </c>
      <c r="L362" s="208" t="s">
        <v>2297</v>
      </c>
      <c r="M362" s="9">
        <f>ROUND(I362*K362,0)</f>
        <v>0</v>
      </c>
      <c r="N362" s="533" t="s">
        <v>2297</v>
      </c>
    </row>
    <row r="363" spans="1:14" ht="69.75" customHeight="1">
      <c r="A363" s="16">
        <v>15</v>
      </c>
      <c r="B363" s="1633" t="s">
        <v>306</v>
      </c>
      <c r="C363" s="1633"/>
      <c r="D363" s="1633"/>
      <c r="E363" s="1633"/>
      <c r="F363" s="1633"/>
      <c r="G363" s="1633"/>
      <c r="H363" s="1633"/>
      <c r="I363" s="534"/>
      <c r="J363" s="535"/>
      <c r="K363" s="16"/>
      <c r="L363" s="208"/>
      <c r="M363" s="38"/>
      <c r="N363" s="533" t="s">
        <v>2308</v>
      </c>
    </row>
    <row r="364" spans="1:14" s="541" customFormat="1" ht="16.5" customHeight="1">
      <c r="A364" s="16"/>
      <c r="B364" s="39" t="s">
        <v>2840</v>
      </c>
      <c r="C364" s="534"/>
      <c r="D364" s="536"/>
      <c r="E364" s="537"/>
      <c r="F364" s="538"/>
      <c r="G364" s="538"/>
      <c r="H364" s="538"/>
      <c r="I364" s="539"/>
      <c r="J364" s="550"/>
      <c r="K364" s="39"/>
      <c r="L364" s="16"/>
      <c r="M364" s="39"/>
      <c r="N364" s="533" t="s">
        <v>2308</v>
      </c>
    </row>
    <row r="365" spans="1:14" s="541" customFormat="1" ht="16.5" customHeight="1">
      <c r="A365" s="16"/>
      <c r="B365" s="39" t="s">
        <v>1245</v>
      </c>
      <c r="C365" s="534">
        <v>1</v>
      </c>
      <c r="D365" s="536" t="s">
        <v>273</v>
      </c>
      <c r="E365" s="537">
        <v>1</v>
      </c>
      <c r="F365" s="538">
        <v>2.89</v>
      </c>
      <c r="G365" s="538">
        <v>0.23</v>
      </c>
      <c r="H365" s="538">
        <v>1.38</v>
      </c>
      <c r="I365" s="542">
        <f>ROUND(IF(AND(F365:H365),C365*E365*F365*G365*H365,IF(AND(F365,G365),C365*E365*F365*G365,IF(AND(F365,H365),C365*E365*F365*H365,IF(AND(G365,H365),C365*E365*G365*H365,IF(F365,C365*E365*F365,IF(G365,C365*E365*G365,IF(H365,C365*E365*H365,C365*E365))))))),2)</f>
        <v>0.92</v>
      </c>
      <c r="J365" s="550" t="s">
        <v>5</v>
      </c>
      <c r="K365" s="39"/>
      <c r="L365" s="16"/>
      <c r="M365" s="39"/>
      <c r="N365" s="533" t="s">
        <v>2308</v>
      </c>
    </row>
    <row r="366" spans="1:14" s="541" customFormat="1" ht="16.5" customHeight="1">
      <c r="A366" s="16"/>
      <c r="B366" s="39" t="s">
        <v>814</v>
      </c>
      <c r="C366" s="534">
        <v>1</v>
      </c>
      <c r="D366" s="536" t="s">
        <v>273</v>
      </c>
      <c r="E366" s="537">
        <v>1</v>
      </c>
      <c r="F366" s="538">
        <v>12.47</v>
      </c>
      <c r="G366" s="538">
        <v>0.23</v>
      </c>
      <c r="H366" s="538">
        <v>1.38</v>
      </c>
      <c r="I366" s="542">
        <f>ROUND(IF(AND(F366:H366),C366*E366*F366*G366*H366,IF(AND(F366,G366),C366*E366*F366*G366,IF(AND(F366,H366),C366*E366*F366*H366,IF(AND(G366,H366),C366*E366*G366*H366,IF(F366,C366*E366*F366,IF(G366,C366*E366*G366,IF(H366,C366*E366*H366,C366*E366))))))),2)</f>
        <v>3.96</v>
      </c>
      <c r="J366" s="550" t="s">
        <v>5</v>
      </c>
      <c r="K366" s="39"/>
      <c r="L366" s="16"/>
      <c r="M366" s="39"/>
      <c r="N366" s="533" t="s">
        <v>2308</v>
      </c>
    </row>
    <row r="367" spans="1:14" s="541" customFormat="1" ht="16.5" customHeight="1">
      <c r="A367" s="16"/>
      <c r="B367" s="544"/>
      <c r="C367" s="545"/>
      <c r="D367" s="546"/>
      <c r="E367" s="547"/>
      <c r="F367" s="548"/>
      <c r="G367" s="548"/>
      <c r="H367" s="548"/>
      <c r="I367" s="549"/>
      <c r="J367" s="550"/>
      <c r="K367" s="39"/>
      <c r="L367" s="208"/>
      <c r="M367" s="39"/>
      <c r="N367" s="533" t="s">
        <v>2308</v>
      </c>
    </row>
    <row r="368" spans="1:14" ht="15.75">
      <c r="A368" s="16"/>
      <c r="B368" s="39"/>
      <c r="C368" s="551"/>
      <c r="D368" s="552"/>
      <c r="E368" s="537"/>
      <c r="F368" s="538"/>
      <c r="G368" s="40"/>
      <c r="H368" s="16"/>
      <c r="I368" s="549"/>
      <c r="J368" s="550" t="s">
        <v>5</v>
      </c>
      <c r="K368" s="10">
        <f>data!F2227</f>
        <v>6501.9000000000005</v>
      </c>
      <c r="L368" s="208" t="s">
        <v>2308</v>
      </c>
      <c r="M368" s="9">
        <f>ROUND(I368*K368,0)</f>
        <v>0</v>
      </c>
      <c r="N368" s="533" t="s">
        <v>2308</v>
      </c>
    </row>
    <row r="369" spans="1:14" ht="69.75" customHeight="1">
      <c r="A369" s="16">
        <v>15</v>
      </c>
      <c r="B369" s="1633" t="s">
        <v>306</v>
      </c>
      <c r="C369" s="1633"/>
      <c r="D369" s="1633"/>
      <c r="E369" s="1633"/>
      <c r="F369" s="1633"/>
      <c r="G369" s="1633"/>
      <c r="H369" s="1633"/>
      <c r="I369" s="534"/>
      <c r="J369" s="535"/>
      <c r="K369" s="16"/>
      <c r="L369" s="208"/>
      <c r="M369" s="38"/>
      <c r="N369" s="533" t="s">
        <v>2309</v>
      </c>
    </row>
    <row r="370" spans="1:14" s="541" customFormat="1" ht="16.5" customHeight="1">
      <c r="A370" s="16"/>
      <c r="B370" s="39" t="s">
        <v>2840</v>
      </c>
      <c r="C370" s="534"/>
      <c r="D370" s="536"/>
      <c r="E370" s="537"/>
      <c r="F370" s="538"/>
      <c r="G370" s="538"/>
      <c r="H370" s="538"/>
      <c r="I370" s="539"/>
      <c r="J370" s="550"/>
      <c r="K370" s="39"/>
      <c r="L370" s="16"/>
      <c r="M370" s="39"/>
      <c r="N370" s="533" t="s">
        <v>2309</v>
      </c>
    </row>
    <row r="371" spans="1:14" s="541" customFormat="1" ht="16.5" customHeight="1">
      <c r="A371" s="16"/>
      <c r="B371" s="39" t="s">
        <v>1245</v>
      </c>
      <c r="C371" s="534">
        <v>1</v>
      </c>
      <c r="D371" s="536" t="s">
        <v>273</v>
      </c>
      <c r="E371" s="537">
        <v>1</v>
      </c>
      <c r="F371" s="538">
        <v>2.89</v>
      </c>
      <c r="G371" s="538">
        <v>0.23</v>
      </c>
      <c r="H371" s="538">
        <v>1.38</v>
      </c>
      <c r="I371" s="542">
        <f>ROUND(IF(AND(F371:H371),C371*E371*F371*G371*H371,IF(AND(F371,G371),C371*E371*F371*G371,IF(AND(F371,H371),C371*E371*F371*H371,IF(AND(G371,H371),C371*E371*G371*H371,IF(F371,C371*E371*F371,IF(G371,C371*E371*G371,IF(H371,C371*E371*H371,C371*E371))))))),2)</f>
        <v>0.92</v>
      </c>
      <c r="J371" s="550" t="s">
        <v>5</v>
      </c>
      <c r="K371" s="39"/>
      <c r="L371" s="16"/>
      <c r="M371" s="39"/>
      <c r="N371" s="533" t="s">
        <v>2309</v>
      </c>
    </row>
    <row r="372" spans="1:14" s="541" customFormat="1" ht="16.5" customHeight="1">
      <c r="A372" s="16"/>
      <c r="B372" s="39" t="s">
        <v>814</v>
      </c>
      <c r="C372" s="534">
        <v>1</v>
      </c>
      <c r="D372" s="536" t="s">
        <v>273</v>
      </c>
      <c r="E372" s="537">
        <v>1</v>
      </c>
      <c r="F372" s="538">
        <v>12.47</v>
      </c>
      <c r="G372" s="538">
        <v>0.23</v>
      </c>
      <c r="H372" s="538">
        <v>1.38</v>
      </c>
      <c r="I372" s="542">
        <f>ROUND(IF(AND(F372:H372),C372*E372*F372*G372*H372,IF(AND(F372,G372),C372*E372*F372*G372,IF(AND(F372,H372),C372*E372*F372*H372,IF(AND(G372,H372),C372*E372*G372*H372,IF(F372,C372*E372*F372,IF(G372,C372*E372*G372,IF(H372,C372*E372*H372,C372*E372))))))),2)</f>
        <v>3.96</v>
      </c>
      <c r="J372" s="550" t="s">
        <v>5</v>
      </c>
      <c r="K372" s="39"/>
      <c r="L372" s="16"/>
      <c r="M372" s="39"/>
      <c r="N372" s="533" t="s">
        <v>2309</v>
      </c>
    </row>
    <row r="373" spans="1:14" s="541" customFormat="1" ht="16.5" customHeight="1">
      <c r="A373" s="16"/>
      <c r="B373" s="544"/>
      <c r="C373" s="545"/>
      <c r="D373" s="546"/>
      <c r="E373" s="547"/>
      <c r="F373" s="548"/>
      <c r="G373" s="548"/>
      <c r="H373" s="548"/>
      <c r="I373" s="549"/>
      <c r="J373" s="550"/>
      <c r="K373" s="39"/>
      <c r="L373" s="208"/>
      <c r="M373" s="39"/>
      <c r="N373" s="533" t="s">
        <v>2309</v>
      </c>
    </row>
    <row r="374" spans="1:14" ht="15.75">
      <c r="A374" s="16"/>
      <c r="B374" s="39"/>
      <c r="C374" s="551"/>
      <c r="D374" s="552"/>
      <c r="E374" s="537"/>
      <c r="F374" s="538"/>
      <c r="G374" s="40"/>
      <c r="H374" s="16"/>
      <c r="I374" s="549"/>
      <c r="J374" s="550" t="s">
        <v>5</v>
      </c>
      <c r="K374" s="10">
        <f>data!F3144</f>
        <v>7227.5599999999995</v>
      </c>
      <c r="L374" s="208" t="s">
        <v>2309</v>
      </c>
      <c r="M374" s="9">
        <f>ROUND(I374*K374,0)</f>
        <v>0</v>
      </c>
      <c r="N374" s="533" t="s">
        <v>2309</v>
      </c>
    </row>
    <row r="375" spans="1:14" ht="69.75" customHeight="1">
      <c r="A375" s="16">
        <v>7</v>
      </c>
      <c r="B375" s="1633" t="s">
        <v>649</v>
      </c>
      <c r="C375" s="1633"/>
      <c r="D375" s="1633"/>
      <c r="E375" s="1633"/>
      <c r="F375" s="1633"/>
      <c r="G375" s="1633"/>
      <c r="H375" s="1633"/>
      <c r="I375" s="534"/>
      <c r="J375" s="535"/>
      <c r="K375" s="16"/>
      <c r="L375" s="208"/>
      <c r="M375" s="38"/>
      <c r="N375" s="533" t="s">
        <v>2209</v>
      </c>
    </row>
    <row r="376" spans="1:14" s="541" customFormat="1" ht="16.5" customHeight="1">
      <c r="A376" s="16"/>
      <c r="B376" s="39" t="s">
        <v>3025</v>
      </c>
      <c r="C376" s="534"/>
      <c r="D376" s="858" t="s">
        <v>3266</v>
      </c>
      <c r="E376" s="537"/>
      <c r="F376" s="538"/>
      <c r="G376" s="538"/>
      <c r="H376" s="538"/>
      <c r="I376" s="539"/>
      <c r="J376" s="550"/>
      <c r="K376" s="39"/>
      <c r="L376" s="208"/>
      <c r="M376" s="39"/>
      <c r="N376" s="533" t="s">
        <v>2209</v>
      </c>
    </row>
    <row r="377" spans="1:14" s="541" customFormat="1" ht="16.5" customHeight="1">
      <c r="A377" s="16"/>
      <c r="B377" s="39" t="s">
        <v>2129</v>
      </c>
      <c r="C377" s="534">
        <v>1</v>
      </c>
      <c r="D377" s="536" t="s">
        <v>273</v>
      </c>
      <c r="E377" s="537">
        <v>1</v>
      </c>
      <c r="F377" s="538">
        <v>9.2899999999999991</v>
      </c>
      <c r="G377" s="538">
        <v>0.23</v>
      </c>
      <c r="H377" s="538">
        <v>2.1</v>
      </c>
      <c r="I377" s="542">
        <f t="shared" ref="I377:I380" si="34">ROUND(IF(AND(F377:H377),C377*E377*F377*G377*H377,IF(AND(F377,G377),C377*E377*F377*G377,IF(AND(F377,H377),C377*E377*F377*H377,IF(AND(G377,H377),C377*E377*G377*H377,IF(F377,C377*E377*F377,IF(G377,C377*E377*G377,IF(H377,C377*E377*H377,C377*E377))))))),2)</f>
        <v>4.49</v>
      </c>
      <c r="J377" s="550" t="s">
        <v>5</v>
      </c>
      <c r="K377" s="39"/>
      <c r="L377" s="208"/>
      <c r="M377" s="39"/>
      <c r="N377" s="533" t="s">
        <v>2209</v>
      </c>
    </row>
    <row r="378" spans="1:14" s="541" customFormat="1" ht="16.5" customHeight="1">
      <c r="A378" s="16"/>
      <c r="B378" s="39"/>
      <c r="C378" s="534">
        <v>1</v>
      </c>
      <c r="D378" s="536" t="s">
        <v>273</v>
      </c>
      <c r="E378" s="537">
        <v>1</v>
      </c>
      <c r="F378" s="538">
        <v>12.47</v>
      </c>
      <c r="G378" s="538">
        <v>0.23</v>
      </c>
      <c r="H378" s="538">
        <v>2.1</v>
      </c>
      <c r="I378" s="542">
        <f t="shared" si="34"/>
        <v>6.02</v>
      </c>
      <c r="J378" s="550" t="s">
        <v>5</v>
      </c>
      <c r="K378" s="39"/>
      <c r="L378" s="208"/>
      <c r="M378" s="39"/>
      <c r="N378" s="533" t="s">
        <v>2209</v>
      </c>
    </row>
    <row r="379" spans="1:14" s="541" customFormat="1" ht="16.5" customHeight="1">
      <c r="A379" s="16"/>
      <c r="B379" s="39" t="s">
        <v>3051</v>
      </c>
      <c r="C379" s="534">
        <v>1</v>
      </c>
      <c r="D379" s="536" t="s">
        <v>273</v>
      </c>
      <c r="E379" s="537">
        <v>1</v>
      </c>
      <c r="F379" s="538">
        <v>8.3800000000000008</v>
      </c>
      <c r="G379" s="538">
        <v>0.23</v>
      </c>
      <c r="H379" s="538">
        <v>2.1</v>
      </c>
      <c r="I379" s="542">
        <f t="shared" si="34"/>
        <v>4.05</v>
      </c>
      <c r="J379" s="550" t="s">
        <v>5</v>
      </c>
      <c r="K379" s="39"/>
      <c r="L379" s="208"/>
      <c r="M379" s="39"/>
      <c r="N379" s="533" t="s">
        <v>2209</v>
      </c>
    </row>
    <row r="380" spans="1:14" s="541" customFormat="1" ht="16.5" customHeight="1">
      <c r="A380" s="16"/>
      <c r="B380" s="39" t="s">
        <v>1544</v>
      </c>
      <c r="C380" s="534">
        <v>1</v>
      </c>
      <c r="D380" s="536" t="s">
        <v>273</v>
      </c>
      <c r="E380" s="537">
        <v>1</v>
      </c>
      <c r="F380" s="538">
        <v>8.3800000000000008</v>
      </c>
      <c r="G380" s="538">
        <v>0.23</v>
      </c>
      <c r="H380" s="538">
        <v>2.1</v>
      </c>
      <c r="I380" s="542">
        <f t="shared" si="34"/>
        <v>4.05</v>
      </c>
      <c r="J380" s="550" t="s">
        <v>5</v>
      </c>
      <c r="K380" s="39"/>
      <c r="L380" s="208"/>
      <c r="M380" s="39"/>
      <c r="N380" s="533" t="s">
        <v>2209</v>
      </c>
    </row>
    <row r="381" spans="1:14" s="541" customFormat="1" ht="16.5" customHeight="1">
      <c r="A381" s="16"/>
      <c r="B381" s="39" t="s">
        <v>579</v>
      </c>
      <c r="C381" s="534">
        <v>1</v>
      </c>
      <c r="D381" s="536" t="s">
        <v>273</v>
      </c>
      <c r="E381" s="537">
        <v>1</v>
      </c>
      <c r="F381" s="538">
        <v>1.2</v>
      </c>
      <c r="G381" s="538">
        <v>0.23</v>
      </c>
      <c r="H381" s="538">
        <v>2.1</v>
      </c>
      <c r="I381" s="542">
        <f>-ROUND(IF(AND(F381:H381),C381*E381*F381*G381*H381,IF(AND(F381,G381),C381*E381*F381*G381,IF(AND(F381,H381),C381*E381*F381*H381,IF(AND(G381,H381),C381*E381*G381*H381,IF(F381,C381*E381*F381,IF(G381,C381*E381*G381,IF(H381,C381*E381*H381,C381*E381))))))),2)</f>
        <v>-0.57999999999999996</v>
      </c>
      <c r="J381" s="550" t="s">
        <v>5</v>
      </c>
      <c r="K381" s="39"/>
      <c r="L381" s="208"/>
      <c r="M381" s="39"/>
      <c r="N381" s="533" t="s">
        <v>2209</v>
      </c>
    </row>
    <row r="382" spans="1:14" s="541" customFormat="1" ht="16.5" customHeight="1">
      <c r="A382" s="16"/>
      <c r="B382" s="39" t="s">
        <v>2354</v>
      </c>
      <c r="C382" s="534">
        <v>1</v>
      </c>
      <c r="D382" s="536" t="s">
        <v>273</v>
      </c>
      <c r="E382" s="537">
        <v>7</v>
      </c>
      <c r="F382" s="538">
        <v>1.5</v>
      </c>
      <c r="G382" s="538">
        <v>0.23</v>
      </c>
      <c r="H382" s="538">
        <v>1.35</v>
      </c>
      <c r="I382" s="542">
        <f>-ROUND(IF(AND(F382:H382),C382*E382*F382*G382*H382,IF(AND(F382,G382),C382*E382*F382*G382,IF(AND(F382,H382),C382*E382*F382*H382,IF(AND(G382,H382),C382*E382*G382*H382,IF(F382,C382*E382*F382,IF(G382,C382*E382*G382,IF(H382,C382*E382*H382,C382*E382))))))),2)</f>
        <v>-3.26</v>
      </c>
      <c r="J382" s="550" t="s">
        <v>5</v>
      </c>
      <c r="K382" s="39"/>
      <c r="L382" s="208"/>
      <c r="M382" s="39"/>
      <c r="N382" s="533" t="s">
        <v>2209</v>
      </c>
    </row>
    <row r="383" spans="1:14" s="541" customFormat="1" ht="16.5" customHeight="1">
      <c r="A383" s="16"/>
      <c r="B383" s="39" t="s">
        <v>579</v>
      </c>
      <c r="C383" s="534">
        <v>1</v>
      </c>
      <c r="D383" s="536" t="s">
        <v>273</v>
      </c>
      <c r="E383" s="537">
        <v>1</v>
      </c>
      <c r="F383" s="538">
        <v>1.2</v>
      </c>
      <c r="G383" s="538">
        <v>0.23</v>
      </c>
      <c r="H383" s="538">
        <v>2.1</v>
      </c>
      <c r="I383" s="542">
        <f>-ROUND(IF(AND(F383:H383),C383*E383*F383*G383*H383,IF(AND(F383,G383),C383*E383*F383*G383,IF(AND(F383,H383),C383*E383*F383*H383,IF(AND(G383,H383),C383*E383*G383*H383,IF(F383,C383*E383*F383,IF(G383,C383*E383*G383,IF(H383,C383*E383*H383,C383*E383))))))),2)</f>
        <v>-0.57999999999999996</v>
      </c>
      <c r="J383" s="550" t="s">
        <v>5</v>
      </c>
      <c r="K383" s="39"/>
      <c r="L383" s="208"/>
      <c r="M383" s="39"/>
      <c r="N383" s="533" t="s">
        <v>2209</v>
      </c>
    </row>
    <row r="384" spans="1:14" s="541" customFormat="1" ht="16.5" customHeight="1">
      <c r="A384" s="16"/>
      <c r="B384" s="39" t="s">
        <v>579</v>
      </c>
      <c r="C384" s="534">
        <v>1</v>
      </c>
      <c r="D384" s="536" t="s">
        <v>273</v>
      </c>
      <c r="E384" s="537">
        <v>2</v>
      </c>
      <c r="F384" s="538">
        <v>0.75</v>
      </c>
      <c r="G384" s="538">
        <v>0.23</v>
      </c>
      <c r="H384" s="538">
        <v>2.1</v>
      </c>
      <c r="I384" s="542">
        <f>-ROUND(IF(AND(F384:H384),C384*E384*F384*G384*H384,IF(AND(F384,G384),C384*E384*F384*G384,IF(AND(F384,H384),C384*E384*F384*H384,IF(AND(G384,H384),C384*E384*G384*H384,IF(F384,C384*E384*F384,IF(G384,C384*E384*G384,IF(H384,C384*E384*H384,C384*E384))))))),2)</f>
        <v>-0.72</v>
      </c>
      <c r="J384" s="550" t="s">
        <v>5</v>
      </c>
      <c r="K384" s="39"/>
      <c r="L384" s="208"/>
      <c r="M384" s="39"/>
      <c r="N384" s="533" t="s">
        <v>2209</v>
      </c>
    </row>
    <row r="385" spans="1:14" s="541" customFormat="1" ht="16.5" customHeight="1">
      <c r="A385" s="16"/>
      <c r="B385" s="39" t="s">
        <v>3026</v>
      </c>
      <c r="C385" s="534"/>
      <c r="D385" s="858" t="s">
        <v>3267</v>
      </c>
      <c r="E385" s="537"/>
      <c r="F385" s="538"/>
      <c r="G385" s="538"/>
      <c r="H385" s="538"/>
      <c r="I385" s="539"/>
      <c r="J385" s="550"/>
      <c r="K385" s="39"/>
      <c r="L385" s="208"/>
      <c r="M385" s="39"/>
      <c r="N385" s="533" t="s">
        <v>2209</v>
      </c>
    </row>
    <row r="386" spans="1:14" s="541" customFormat="1" ht="16.5" customHeight="1">
      <c r="A386" s="16"/>
      <c r="B386" s="39" t="s">
        <v>2129</v>
      </c>
      <c r="C386" s="534">
        <v>1</v>
      </c>
      <c r="D386" s="536" t="s">
        <v>273</v>
      </c>
      <c r="E386" s="537">
        <v>1</v>
      </c>
      <c r="F386" s="538">
        <v>9.2899999999999991</v>
      </c>
      <c r="G386" s="538">
        <v>0.23</v>
      </c>
      <c r="H386" s="538">
        <v>0.62</v>
      </c>
      <c r="I386" s="542">
        <f t="shared" ref="I386:I389" si="35">ROUND(IF(AND(F386:H386),C386*E386*F386*G386*H386,IF(AND(F386,G386),C386*E386*F386*G386,IF(AND(F386,H386),C386*E386*F386*H386,IF(AND(G386,H386),C386*E386*G386*H386,IF(F386,C386*E386*F386,IF(G386,C386*E386*G386,IF(H386,C386*E386*H386,C386*E386))))))),2)</f>
        <v>1.32</v>
      </c>
      <c r="J386" s="550" t="s">
        <v>5</v>
      </c>
      <c r="K386" s="39"/>
      <c r="L386" s="208"/>
      <c r="M386" s="39"/>
      <c r="N386" s="533" t="s">
        <v>2209</v>
      </c>
    </row>
    <row r="387" spans="1:14" s="541" customFormat="1" ht="16.5" customHeight="1">
      <c r="A387" s="16"/>
      <c r="B387" s="39"/>
      <c r="C387" s="534">
        <v>1</v>
      </c>
      <c r="D387" s="536" t="s">
        <v>273</v>
      </c>
      <c r="E387" s="537">
        <v>1</v>
      </c>
      <c r="F387" s="538">
        <v>12.47</v>
      </c>
      <c r="G387" s="538">
        <v>0.23</v>
      </c>
      <c r="H387" s="538">
        <v>0.62</v>
      </c>
      <c r="I387" s="542">
        <f t="shared" si="35"/>
        <v>1.78</v>
      </c>
      <c r="J387" s="550" t="s">
        <v>5</v>
      </c>
      <c r="K387" s="39"/>
      <c r="L387" s="208"/>
      <c r="M387" s="39"/>
      <c r="N387" s="533" t="s">
        <v>2209</v>
      </c>
    </row>
    <row r="388" spans="1:14" s="541" customFormat="1" ht="16.5" customHeight="1">
      <c r="A388" s="16"/>
      <c r="B388" s="39" t="s">
        <v>3051</v>
      </c>
      <c r="C388" s="534">
        <v>1</v>
      </c>
      <c r="D388" s="536" t="s">
        <v>273</v>
      </c>
      <c r="E388" s="537">
        <v>2</v>
      </c>
      <c r="F388" s="538">
        <v>4.99</v>
      </c>
      <c r="G388" s="538">
        <v>0.23</v>
      </c>
      <c r="H388" s="538">
        <v>0.55000000000000004</v>
      </c>
      <c r="I388" s="542">
        <f t="shared" si="35"/>
        <v>1.26</v>
      </c>
      <c r="J388" s="550" t="s">
        <v>5</v>
      </c>
      <c r="K388" s="39"/>
      <c r="L388" s="208"/>
      <c r="M388" s="39"/>
      <c r="N388" s="533" t="s">
        <v>2209</v>
      </c>
    </row>
    <row r="389" spans="1:14" s="541" customFormat="1" ht="16.5" customHeight="1">
      <c r="A389" s="16"/>
      <c r="B389" s="39" t="s">
        <v>1544</v>
      </c>
      <c r="C389" s="534">
        <v>1</v>
      </c>
      <c r="D389" s="536" t="s">
        <v>273</v>
      </c>
      <c r="E389" s="537">
        <v>2</v>
      </c>
      <c r="F389" s="538">
        <v>3.16</v>
      </c>
      <c r="G389" s="538">
        <v>0.23</v>
      </c>
      <c r="H389" s="538">
        <v>0.7</v>
      </c>
      <c r="I389" s="542">
        <f t="shared" si="35"/>
        <v>1.02</v>
      </c>
      <c r="J389" s="550" t="s">
        <v>5</v>
      </c>
      <c r="K389" s="39"/>
      <c r="L389" s="208"/>
      <c r="M389" s="39"/>
      <c r="N389" s="533" t="s">
        <v>2209</v>
      </c>
    </row>
    <row r="390" spans="1:14" s="541" customFormat="1" ht="16.5" customHeight="1">
      <c r="A390" s="16"/>
      <c r="B390" s="39" t="s">
        <v>281</v>
      </c>
      <c r="C390" s="534">
        <v>1</v>
      </c>
      <c r="D390" s="536" t="s">
        <v>273</v>
      </c>
      <c r="E390" s="537">
        <v>1</v>
      </c>
      <c r="F390" s="538">
        <v>0.23</v>
      </c>
      <c r="G390" s="538">
        <v>0.38</v>
      </c>
      <c r="H390" s="538">
        <v>0.62</v>
      </c>
      <c r="I390" s="542">
        <f t="shared" ref="I390" si="36">-ROUND(IF(AND(F390:H390),C390*E390*F390*G390*H390,IF(AND(F390,G390),C390*E390*F390*G390,IF(AND(F390,H390),C390*E390*F390*H390,IF(AND(G390,H390),C390*E390*G390*H390,IF(F390,C390*E390*F390,IF(G390,C390*E390*G390,IF(H390,C390*E390*H390,C390*E390))))))),2)</f>
        <v>-0.05</v>
      </c>
      <c r="J390" s="550" t="s">
        <v>5</v>
      </c>
      <c r="K390" s="39"/>
      <c r="L390" s="208"/>
      <c r="M390" s="39"/>
      <c r="N390" s="533" t="s">
        <v>2209</v>
      </c>
    </row>
    <row r="391" spans="1:14" s="541" customFormat="1" ht="16.5" customHeight="1">
      <c r="A391" s="16"/>
      <c r="B391" s="39" t="s">
        <v>581</v>
      </c>
      <c r="C391" s="534">
        <v>1</v>
      </c>
      <c r="D391" s="536" t="s">
        <v>273</v>
      </c>
      <c r="E391" s="537">
        <v>12</v>
      </c>
      <c r="F391" s="538">
        <v>0.6</v>
      </c>
      <c r="G391" s="538">
        <v>0.23</v>
      </c>
      <c r="H391" s="538">
        <v>0.3</v>
      </c>
      <c r="I391" s="542">
        <f>-ROUND(IF(AND(F391:H391),C391*E391*F391*G391*H391,IF(AND(F391,G391),C391*E391*F391*G391,IF(AND(F391,H391),C391*E391*F391*H391,IF(AND(G391,H391),C391*E391*G391*H391,IF(F391,C391*E391*F391,IF(G391,C391*E391*G391,IF(H391,C391*E391*H391,C391*E391))))))),2)</f>
        <v>-0.5</v>
      </c>
      <c r="J391" s="550" t="s">
        <v>5</v>
      </c>
      <c r="K391" s="39"/>
      <c r="L391" s="208"/>
      <c r="M391" s="39"/>
      <c r="N391" s="533" t="s">
        <v>2209</v>
      </c>
    </row>
    <row r="392" spans="1:14" s="541" customFormat="1" ht="16.5" customHeight="1">
      <c r="A392" s="16"/>
      <c r="B392" s="39" t="s">
        <v>3014</v>
      </c>
      <c r="C392" s="534"/>
      <c r="D392" s="858" t="s">
        <v>3248</v>
      </c>
      <c r="E392" s="537"/>
      <c r="F392" s="538"/>
      <c r="G392" s="538"/>
      <c r="H392" s="538"/>
      <c r="I392" s="539"/>
      <c r="J392" s="550"/>
      <c r="K392" s="39"/>
      <c r="L392" s="208"/>
      <c r="M392" s="39"/>
      <c r="N392" s="533" t="s">
        <v>2209</v>
      </c>
    </row>
    <row r="393" spans="1:14" s="541" customFormat="1" ht="16.5" customHeight="1">
      <c r="A393" s="16"/>
      <c r="B393" s="39" t="s">
        <v>2981</v>
      </c>
      <c r="C393" s="534">
        <v>1</v>
      </c>
      <c r="D393" s="536" t="s">
        <v>273</v>
      </c>
      <c r="E393" s="537">
        <v>1</v>
      </c>
      <c r="F393" s="538">
        <v>2.68</v>
      </c>
      <c r="G393" s="538">
        <v>0.23</v>
      </c>
      <c r="H393" s="538">
        <v>1.2</v>
      </c>
      <c r="I393" s="542">
        <f t="shared" ref="I393" si="37">ROUND(IF(AND(F393:H393),C393*E393*F393*G393*H393,IF(AND(F393,G393),C393*E393*F393*G393,IF(AND(F393,H393),C393*E393*F393*H393,IF(AND(G393,H393),C393*E393*G393*H393,IF(F393,C393*E393*F393,IF(G393,C393*E393*G393,IF(H393,C393*E393*H393,C393*E393))))))),2)</f>
        <v>0.74</v>
      </c>
      <c r="J393" s="550" t="s">
        <v>5</v>
      </c>
      <c r="K393" s="39"/>
      <c r="L393" s="208"/>
      <c r="M393" s="39"/>
      <c r="N393" s="533" t="s">
        <v>2209</v>
      </c>
    </row>
    <row r="394" spans="1:14" s="541" customFormat="1" ht="16.5" customHeight="1">
      <c r="A394" s="16"/>
      <c r="B394" s="39" t="s">
        <v>1533</v>
      </c>
      <c r="C394" s="534">
        <v>1</v>
      </c>
      <c r="D394" s="536" t="s">
        <v>273</v>
      </c>
      <c r="E394" s="537">
        <v>1</v>
      </c>
      <c r="F394" s="538">
        <v>1.2</v>
      </c>
      <c r="G394" s="538">
        <v>0.23</v>
      </c>
      <c r="H394" s="538">
        <v>1.1000000000000001</v>
      </c>
      <c r="I394" s="542">
        <f>-ROUND(IF(AND(F394:H394),C394*E394*F394*G394*H394,IF(AND(F394,G394),C394*E394*F394*G394,IF(AND(F394,H394),C394*E394*F394*H394,IF(AND(G394,H394),C394*E394*G394*H394,IF(F394,C394*E394*F394,IF(G394,C394*E394*G394,IF(H394,C394*E394*H394,C394*E394))))))),2)</f>
        <v>-0.3</v>
      </c>
      <c r="J394" s="550" t="s">
        <v>5</v>
      </c>
      <c r="K394" s="39"/>
      <c r="L394" s="208"/>
      <c r="M394" s="39"/>
      <c r="N394" s="533" t="s">
        <v>2209</v>
      </c>
    </row>
    <row r="395" spans="1:14" s="541" customFormat="1" ht="16.5" customHeight="1">
      <c r="A395" s="16"/>
      <c r="B395" s="544"/>
      <c r="C395" s="545"/>
      <c r="D395" s="546"/>
      <c r="E395" s="547"/>
      <c r="F395" s="548"/>
      <c r="G395" s="548"/>
      <c r="H395" s="548"/>
      <c r="I395" s="549"/>
      <c r="J395" s="550"/>
      <c r="K395" s="39"/>
      <c r="L395" s="208"/>
      <c r="M395" s="39"/>
      <c r="N395" s="533" t="s">
        <v>2209</v>
      </c>
    </row>
    <row r="396" spans="1:14" ht="15.75">
      <c r="A396" s="16"/>
      <c r="B396" s="39"/>
      <c r="C396" s="551"/>
      <c r="D396" s="552"/>
      <c r="E396" s="537"/>
      <c r="F396" s="538"/>
      <c r="G396" s="40"/>
      <c r="H396" s="16"/>
      <c r="I396" s="549"/>
      <c r="J396" s="550" t="s">
        <v>5</v>
      </c>
      <c r="K396" s="10">
        <f>data!F376</f>
        <v>5961.27</v>
      </c>
      <c r="L396" s="208" t="s">
        <v>2209</v>
      </c>
      <c r="M396" s="9">
        <f>ROUND(I396*K396,0)</f>
        <v>0</v>
      </c>
      <c r="N396" s="533" t="s">
        <v>2209</v>
      </c>
    </row>
    <row r="397" spans="1:14" ht="69.75" customHeight="1">
      <c r="A397" s="16">
        <v>8</v>
      </c>
      <c r="B397" s="1633" t="s">
        <v>649</v>
      </c>
      <c r="C397" s="1633"/>
      <c r="D397" s="1633"/>
      <c r="E397" s="1633"/>
      <c r="F397" s="1633"/>
      <c r="G397" s="1633"/>
      <c r="H397" s="1633"/>
      <c r="I397" s="534"/>
      <c r="J397" s="535"/>
      <c r="K397" s="16"/>
      <c r="L397" s="208"/>
      <c r="M397" s="38"/>
      <c r="N397" s="533" t="s">
        <v>2297</v>
      </c>
    </row>
    <row r="398" spans="1:14" s="541" customFormat="1" ht="16.5" customHeight="1">
      <c r="A398" s="16"/>
      <c r="B398" s="39" t="s">
        <v>2801</v>
      </c>
      <c r="C398" s="534"/>
      <c r="D398" s="536"/>
      <c r="E398" s="537"/>
      <c r="F398" s="538"/>
      <c r="G398" s="538"/>
      <c r="H398" s="538"/>
      <c r="I398" s="539"/>
      <c r="J398" s="550"/>
      <c r="K398" s="39"/>
      <c r="L398" s="208"/>
      <c r="M398" s="39"/>
      <c r="N398" s="533" t="s">
        <v>2297</v>
      </c>
    </row>
    <row r="399" spans="1:14" s="541" customFormat="1" ht="16.5" customHeight="1">
      <c r="A399" s="16"/>
      <c r="B399" s="39" t="s">
        <v>2871</v>
      </c>
      <c r="C399" s="534">
        <v>1</v>
      </c>
      <c r="D399" s="536" t="s">
        <v>273</v>
      </c>
      <c r="E399" s="537">
        <v>1</v>
      </c>
      <c r="F399" s="538">
        <v>8.91</v>
      </c>
      <c r="G399" s="538">
        <v>0.23</v>
      </c>
      <c r="H399" s="538">
        <v>2.1</v>
      </c>
      <c r="I399" s="542">
        <f t="shared" ref="I399" si="38">ROUND(IF(AND(F399:H399),C399*E399*F399*G399*H399,IF(AND(F399,G399),C399*E399*F399*G399,IF(AND(F399,H399),C399*E399*F399*H399,IF(AND(G399,H399),C399*E399*G399*H399,IF(F399,C399*E399*F399,IF(G399,C399*E399*G399,IF(H399,C399*E399*H399,C399*E399))))))),2)</f>
        <v>4.3</v>
      </c>
      <c r="J399" s="550" t="s">
        <v>5</v>
      </c>
      <c r="K399" s="39"/>
      <c r="L399" s="208"/>
      <c r="M399" s="39"/>
      <c r="N399" s="533" t="s">
        <v>2297</v>
      </c>
    </row>
    <row r="400" spans="1:14" s="541" customFormat="1" ht="16.5" customHeight="1">
      <c r="A400" s="16"/>
      <c r="B400" s="39" t="s">
        <v>2870</v>
      </c>
      <c r="C400" s="534">
        <v>1</v>
      </c>
      <c r="D400" s="536" t="s">
        <v>273</v>
      </c>
      <c r="E400" s="537">
        <v>1</v>
      </c>
      <c r="F400" s="538">
        <v>0.38</v>
      </c>
      <c r="G400" s="538">
        <v>0.23</v>
      </c>
      <c r="H400" s="538">
        <v>2.1</v>
      </c>
      <c r="I400" s="542">
        <f>-ROUND(IF(AND(F400:H400),C400*E400*F400*G400*H400,IF(AND(F400,G400),C400*E400*F400*G400,IF(AND(F400,H400),C400*E400*F400*H400,IF(AND(G400,H400),C400*E400*G400*H400,IF(F400,C400*E400*F400,IF(G400,C400*E400*G400,IF(H400,C400*E400*H400,C400*E400))))))),2)</f>
        <v>-0.18</v>
      </c>
      <c r="J400" s="550" t="s">
        <v>5</v>
      </c>
      <c r="K400" s="39"/>
      <c r="L400" s="208"/>
      <c r="M400" s="39"/>
      <c r="N400" s="533" t="s">
        <v>2297</v>
      </c>
    </row>
    <row r="401" spans="1:14" s="541" customFormat="1" ht="16.5" customHeight="1">
      <c r="A401" s="16"/>
      <c r="B401" s="39" t="s">
        <v>2870</v>
      </c>
      <c r="C401" s="534">
        <v>1</v>
      </c>
      <c r="D401" s="536" t="s">
        <v>273</v>
      </c>
      <c r="E401" s="537">
        <v>1</v>
      </c>
      <c r="F401" s="538">
        <v>0.23</v>
      </c>
      <c r="G401" s="538">
        <v>0.23</v>
      </c>
      <c r="H401" s="538">
        <v>2.1</v>
      </c>
      <c r="I401" s="542">
        <f>-ROUND(IF(AND(F401:H401),C401*E401*F401*G401*H401,IF(AND(F401,G401),C401*E401*F401*G401,IF(AND(F401,H401),C401*E401*F401*H401,IF(AND(G401,H401),C401*E401*G401*H401,IF(F401,C401*E401*F401,IF(G401,C401*E401*G401,IF(H401,C401*E401*H401,C401*E401))))))),2)</f>
        <v>-0.11</v>
      </c>
      <c r="J401" s="550" t="s">
        <v>5</v>
      </c>
      <c r="K401" s="39"/>
      <c r="L401" s="208"/>
      <c r="M401" s="39"/>
      <c r="N401" s="533" t="s">
        <v>2297</v>
      </c>
    </row>
    <row r="402" spans="1:14" s="541" customFormat="1" ht="16.5" customHeight="1">
      <c r="A402" s="16"/>
      <c r="B402" s="39" t="s">
        <v>2354</v>
      </c>
      <c r="C402" s="534">
        <v>1</v>
      </c>
      <c r="D402" s="536" t="s">
        <v>273</v>
      </c>
      <c r="E402" s="537">
        <v>2</v>
      </c>
      <c r="F402" s="538">
        <v>1.4</v>
      </c>
      <c r="G402" s="538">
        <v>0.23</v>
      </c>
      <c r="H402" s="538">
        <v>1.45</v>
      </c>
      <c r="I402" s="542">
        <f>-ROUND(IF(AND(F402:H402),C402*E402*F402*G402*H402,IF(AND(F402,G402),C402*E402*F402*G402,IF(AND(F402,H402),C402*E402*F402*H402,IF(AND(G402,H402),C402*E402*G402*H402,IF(F402,C402*E402*F402,IF(G402,C402*E402*G402,IF(H402,C402*E402*H402,C402*E402))))))),2)</f>
        <v>-0.93</v>
      </c>
      <c r="J402" s="550" t="s">
        <v>5</v>
      </c>
      <c r="K402" s="39"/>
      <c r="L402" s="208"/>
      <c r="M402" s="39"/>
      <c r="N402" s="533" t="s">
        <v>2297</v>
      </c>
    </row>
    <row r="403" spans="1:14" s="541" customFormat="1" ht="16.5" customHeight="1">
      <c r="A403" s="16"/>
      <c r="B403" s="39" t="s">
        <v>579</v>
      </c>
      <c r="C403" s="534">
        <v>1</v>
      </c>
      <c r="D403" s="536" t="s">
        <v>273</v>
      </c>
      <c r="E403" s="537">
        <v>1</v>
      </c>
      <c r="F403" s="538">
        <v>0.75</v>
      </c>
      <c r="G403" s="538">
        <v>0.23</v>
      </c>
      <c r="H403" s="538">
        <v>2.1</v>
      </c>
      <c r="I403" s="542">
        <f>-ROUND(IF(AND(F403:H403),C403*E403*F403*G403*H403,IF(AND(F403,G403),C403*E403*F403*G403,IF(AND(F403,H403),C403*E403*F403*H403,IF(AND(G403,H403),C403*E403*G403*H403,IF(F403,C403*E403*F403,IF(G403,C403*E403*G403,IF(H403,C403*E403*H403,C403*E403))))))),2)</f>
        <v>-0.36</v>
      </c>
      <c r="J403" s="550" t="s">
        <v>5</v>
      </c>
      <c r="K403" s="39"/>
      <c r="L403" s="208"/>
      <c r="M403" s="39"/>
      <c r="N403" s="533" t="s">
        <v>2297</v>
      </c>
    </row>
    <row r="404" spans="1:14" s="541" customFormat="1" ht="16.5" customHeight="1">
      <c r="A404" s="16"/>
      <c r="B404" s="39" t="s">
        <v>2872</v>
      </c>
      <c r="C404" s="534">
        <v>1</v>
      </c>
      <c r="D404" s="536" t="s">
        <v>273</v>
      </c>
      <c r="E404" s="537">
        <v>1</v>
      </c>
      <c r="F404" s="538">
        <v>8.08</v>
      </c>
      <c r="G404" s="538">
        <v>0.23</v>
      </c>
      <c r="H404" s="538">
        <v>2.1</v>
      </c>
      <c r="I404" s="542">
        <f t="shared" ref="I404:I411" si="39">ROUND(IF(AND(F404:H404),C404*E404*F404*G404*H404,IF(AND(F404,G404),C404*E404*F404*G404,IF(AND(F404,H404),C404*E404*F404*H404,IF(AND(G404,H404),C404*E404*G404*H404,IF(F404,C404*E404*F404,IF(G404,C404*E404*G404,IF(H404,C404*E404*H404,C404*E404))))))),2)</f>
        <v>3.9</v>
      </c>
      <c r="J404" s="550" t="s">
        <v>5</v>
      </c>
      <c r="K404" s="39"/>
      <c r="L404" s="208"/>
      <c r="M404" s="39"/>
      <c r="N404" s="533" t="s">
        <v>2297</v>
      </c>
    </row>
    <row r="405" spans="1:14" s="541" customFormat="1" ht="16.5" customHeight="1">
      <c r="A405" s="16"/>
      <c r="B405" s="39" t="s">
        <v>281</v>
      </c>
      <c r="C405" s="534">
        <v>1</v>
      </c>
      <c r="D405" s="536" t="s">
        <v>273</v>
      </c>
      <c r="E405" s="537">
        <v>1</v>
      </c>
      <c r="F405" s="538">
        <v>0.38</v>
      </c>
      <c r="G405" s="538">
        <v>0.23</v>
      </c>
      <c r="H405" s="538">
        <v>2.1</v>
      </c>
      <c r="I405" s="542">
        <f>-ROUND(IF(AND(F405:H405),C405*E405*F405*G405*H405,IF(AND(F405,G405),C405*E405*F405*G405,IF(AND(F405,H405),C405*E405*F405*H405,IF(AND(G405,H405),C405*E405*G405*H405,IF(F405,C405*E405*F405,IF(G405,C405*E405*G405,IF(H405,C405*E405*H405,C405*E405))))))),2)</f>
        <v>-0.18</v>
      </c>
      <c r="J405" s="550" t="s">
        <v>5</v>
      </c>
      <c r="K405" s="39"/>
      <c r="L405" s="208"/>
      <c r="M405" s="39"/>
      <c r="N405" s="533" t="s">
        <v>2297</v>
      </c>
    </row>
    <row r="406" spans="1:14" s="541" customFormat="1" ht="16.5" customHeight="1">
      <c r="A406" s="16"/>
      <c r="B406" s="39" t="s">
        <v>2354</v>
      </c>
      <c r="C406" s="534">
        <v>1</v>
      </c>
      <c r="D406" s="536" t="s">
        <v>273</v>
      </c>
      <c r="E406" s="537">
        <v>2</v>
      </c>
      <c r="F406" s="538">
        <v>1.4</v>
      </c>
      <c r="G406" s="538">
        <v>0.23</v>
      </c>
      <c r="H406" s="538">
        <v>1.45</v>
      </c>
      <c r="I406" s="542">
        <f>-ROUND(IF(AND(F406:H406),C406*E406*F406*G406*H406,IF(AND(F406,G406),C406*E406*F406*G406,IF(AND(F406,H406),C406*E406*F406*H406,IF(AND(G406,H406),C406*E406*G406*H406,IF(F406,C406*E406*F406,IF(G406,C406*E406*G406,IF(H406,C406*E406*H406,C406*E406))))))),2)</f>
        <v>-0.93</v>
      </c>
      <c r="J406" s="550" t="s">
        <v>5</v>
      </c>
      <c r="K406" s="39"/>
      <c r="L406" s="208"/>
      <c r="M406" s="39"/>
      <c r="N406" s="533" t="s">
        <v>2297</v>
      </c>
    </row>
    <row r="407" spans="1:14" s="541" customFormat="1" ht="16.5" customHeight="1">
      <c r="A407" s="16"/>
      <c r="B407" s="39" t="s">
        <v>2873</v>
      </c>
      <c r="C407" s="534">
        <v>1</v>
      </c>
      <c r="D407" s="536" t="s">
        <v>273</v>
      </c>
      <c r="E407" s="537">
        <v>1</v>
      </c>
      <c r="F407" s="538">
        <v>9.06</v>
      </c>
      <c r="G407" s="538">
        <v>0.23</v>
      </c>
      <c r="H407" s="538">
        <v>2.1</v>
      </c>
      <c r="I407" s="542">
        <f t="shared" si="39"/>
        <v>4.38</v>
      </c>
      <c r="J407" s="550" t="s">
        <v>5</v>
      </c>
      <c r="K407" s="39"/>
      <c r="L407" s="208"/>
      <c r="M407" s="39"/>
      <c r="N407" s="533" t="s">
        <v>2297</v>
      </c>
    </row>
    <row r="408" spans="1:14" s="541" customFormat="1" ht="16.5" customHeight="1">
      <c r="A408" s="16"/>
      <c r="B408" s="39" t="s">
        <v>281</v>
      </c>
      <c r="C408" s="534">
        <v>1</v>
      </c>
      <c r="D408" s="536" t="s">
        <v>273</v>
      </c>
      <c r="E408" s="537">
        <v>2</v>
      </c>
      <c r="F408" s="538">
        <v>0.23</v>
      </c>
      <c r="G408" s="538">
        <v>0.23</v>
      </c>
      <c r="H408" s="538">
        <v>2.1</v>
      </c>
      <c r="I408" s="542">
        <f>-ROUND(IF(AND(F408:H408),C408*E408*F408*G408*H408,IF(AND(F408,G408),C408*E408*F408*G408,IF(AND(F408,H408),C408*E408*F408*H408,IF(AND(G408,H408),C408*E408*G408*H408,IF(F408,C408*E408*F408,IF(G408,C408*E408*G408,IF(H408,C408*E408*H408,C408*E408))))))),2)</f>
        <v>-0.22</v>
      </c>
      <c r="J408" s="550" t="s">
        <v>5</v>
      </c>
      <c r="K408" s="39"/>
      <c r="L408" s="208"/>
      <c r="M408" s="39"/>
      <c r="N408" s="533" t="s">
        <v>2297</v>
      </c>
    </row>
    <row r="409" spans="1:14" s="541" customFormat="1" ht="16.5" customHeight="1">
      <c r="A409" s="16"/>
      <c r="B409" s="39" t="s">
        <v>2354</v>
      </c>
      <c r="C409" s="534">
        <v>1</v>
      </c>
      <c r="D409" s="536" t="s">
        <v>273</v>
      </c>
      <c r="E409" s="537">
        <v>3</v>
      </c>
      <c r="F409" s="538">
        <v>1.4</v>
      </c>
      <c r="G409" s="538">
        <v>0.23</v>
      </c>
      <c r="H409" s="538">
        <v>1.45</v>
      </c>
      <c r="I409" s="542">
        <f>-ROUND(IF(AND(F409:H409),C409*E409*F409*G409*H409,IF(AND(F409,G409),C409*E409*F409*G409,IF(AND(F409,H409),C409*E409*F409*H409,IF(AND(G409,H409),C409*E409*G409*H409,IF(F409,C409*E409*F409,IF(G409,C409*E409*G409,IF(H409,C409*E409*H409,C409*E409))))))),2)</f>
        <v>-1.4</v>
      </c>
      <c r="J409" s="550" t="s">
        <v>5</v>
      </c>
      <c r="K409" s="39"/>
      <c r="L409" s="208"/>
      <c r="M409" s="39"/>
      <c r="N409" s="533" t="s">
        <v>2297</v>
      </c>
    </row>
    <row r="410" spans="1:14" s="541" customFormat="1" ht="16.5" customHeight="1">
      <c r="A410" s="16"/>
      <c r="B410" s="39" t="s">
        <v>2874</v>
      </c>
      <c r="C410" s="534">
        <v>1</v>
      </c>
      <c r="D410" s="536" t="s">
        <v>273</v>
      </c>
      <c r="E410" s="537">
        <v>2</v>
      </c>
      <c r="F410" s="538">
        <v>1</v>
      </c>
      <c r="G410" s="538">
        <v>0.23</v>
      </c>
      <c r="H410" s="538">
        <v>1.2</v>
      </c>
      <c r="I410" s="542">
        <f t="shared" si="39"/>
        <v>0.55000000000000004</v>
      </c>
      <c r="J410" s="550" t="s">
        <v>5</v>
      </c>
      <c r="K410" s="39"/>
      <c r="L410" s="208"/>
      <c r="M410" s="39"/>
      <c r="N410" s="533" t="s">
        <v>2297</v>
      </c>
    </row>
    <row r="411" spans="1:14" s="541" customFormat="1" ht="16.5" customHeight="1">
      <c r="A411" s="16"/>
      <c r="B411" s="39" t="s">
        <v>2875</v>
      </c>
      <c r="C411" s="534">
        <v>1</v>
      </c>
      <c r="D411" s="536" t="s">
        <v>273</v>
      </c>
      <c r="E411" s="537">
        <v>1</v>
      </c>
      <c r="F411" s="538">
        <v>2.72</v>
      </c>
      <c r="G411" s="538">
        <v>0.23</v>
      </c>
      <c r="H411" s="538">
        <v>1.5</v>
      </c>
      <c r="I411" s="542">
        <f t="shared" si="39"/>
        <v>0.94</v>
      </c>
      <c r="J411" s="550" t="s">
        <v>5</v>
      </c>
      <c r="K411" s="39"/>
      <c r="L411" s="208"/>
      <c r="M411" s="39"/>
      <c r="N411" s="533" t="s">
        <v>2297</v>
      </c>
    </row>
    <row r="412" spans="1:14" s="541" customFormat="1" ht="16.5" customHeight="1">
      <c r="A412" s="16"/>
      <c r="B412" s="39" t="s">
        <v>2876</v>
      </c>
      <c r="C412" s="534">
        <v>1</v>
      </c>
      <c r="D412" s="536" t="s">
        <v>273</v>
      </c>
      <c r="E412" s="537">
        <v>1</v>
      </c>
      <c r="F412" s="538">
        <v>1.27</v>
      </c>
      <c r="G412" s="538">
        <v>0.23</v>
      </c>
      <c r="H412" s="538">
        <v>1.5</v>
      </c>
      <c r="I412" s="542">
        <f>-ROUND(IF(AND(F412:H412),C412*E412*F412*G412*H412,IF(AND(F412,G412),C412*E412*F412*G412,IF(AND(F412,H412),C412*E412*F412*H412,IF(AND(G412,H412),C412*E412*G412*H412,IF(F412,C412*E412*F412,IF(G412,C412*E412*G412,IF(H412,C412*E412*H412,C412*E412))))))),2)</f>
        <v>-0.44</v>
      </c>
      <c r="J412" s="550" t="s">
        <v>5</v>
      </c>
      <c r="K412" s="39"/>
      <c r="L412" s="208"/>
      <c r="M412" s="39"/>
      <c r="N412" s="533" t="s">
        <v>2297</v>
      </c>
    </row>
    <row r="413" spans="1:14" s="541" customFormat="1" ht="16.5" customHeight="1">
      <c r="A413" s="16"/>
      <c r="B413" s="39" t="s">
        <v>2877</v>
      </c>
      <c r="C413" s="534">
        <v>1</v>
      </c>
      <c r="D413" s="536" t="s">
        <v>273</v>
      </c>
      <c r="E413" s="537">
        <v>1</v>
      </c>
      <c r="F413" s="538">
        <v>2.86</v>
      </c>
      <c r="G413" s="538">
        <v>0.23</v>
      </c>
      <c r="H413" s="538">
        <v>2.1</v>
      </c>
      <c r="I413" s="542">
        <f t="shared" ref="I413:I415" si="40">ROUND(IF(AND(F413:H413),C413*E413*F413*G413*H413,IF(AND(F413,G413),C413*E413*F413*G413,IF(AND(F413,H413),C413*E413*F413*H413,IF(AND(G413,H413),C413*E413*G413*H413,IF(F413,C413*E413*F413,IF(G413,C413*E413*G413,IF(H413,C413*E413*H413,C413*E413))))))),2)</f>
        <v>1.38</v>
      </c>
      <c r="J413" s="550" t="s">
        <v>5</v>
      </c>
      <c r="K413" s="39"/>
      <c r="L413" s="208"/>
      <c r="M413" s="39"/>
      <c r="N413" s="533" t="s">
        <v>2297</v>
      </c>
    </row>
    <row r="414" spans="1:14" s="541" customFormat="1" ht="16.5" customHeight="1">
      <c r="A414" s="16"/>
      <c r="B414" s="39" t="s">
        <v>2878</v>
      </c>
      <c r="C414" s="534">
        <v>1</v>
      </c>
      <c r="D414" s="536" t="s">
        <v>273</v>
      </c>
      <c r="E414" s="537">
        <v>1</v>
      </c>
      <c r="F414" s="538">
        <v>4.84</v>
      </c>
      <c r="G414" s="538">
        <v>0.23</v>
      </c>
      <c r="H414" s="538">
        <v>0.9</v>
      </c>
      <c r="I414" s="542">
        <f t="shared" si="40"/>
        <v>1</v>
      </c>
      <c r="J414" s="550" t="s">
        <v>5</v>
      </c>
      <c r="K414" s="39"/>
      <c r="L414" s="208"/>
      <c r="M414" s="39"/>
      <c r="N414" s="533" t="s">
        <v>2297</v>
      </c>
    </row>
    <row r="415" spans="1:14" s="541" customFormat="1" ht="16.5" customHeight="1">
      <c r="A415" s="16"/>
      <c r="B415" s="39" t="s">
        <v>2879</v>
      </c>
      <c r="C415" s="534">
        <v>1</v>
      </c>
      <c r="D415" s="536" t="s">
        <v>273</v>
      </c>
      <c r="E415" s="537">
        <v>1</v>
      </c>
      <c r="F415" s="538">
        <v>2.72</v>
      </c>
      <c r="G415" s="538">
        <v>0.23</v>
      </c>
      <c r="H415" s="538">
        <v>0.9</v>
      </c>
      <c r="I415" s="542">
        <f t="shared" si="40"/>
        <v>0.56000000000000005</v>
      </c>
      <c r="J415" s="550" t="s">
        <v>5</v>
      </c>
      <c r="K415" s="39"/>
      <c r="L415" s="208"/>
      <c r="M415" s="39"/>
      <c r="N415" s="533" t="s">
        <v>2297</v>
      </c>
    </row>
    <row r="416" spans="1:14" s="541" customFormat="1" ht="16.5" customHeight="1">
      <c r="A416" s="16"/>
      <c r="B416" s="39" t="s">
        <v>2880</v>
      </c>
      <c r="C416" s="534">
        <v>1</v>
      </c>
      <c r="D416" s="536" t="s">
        <v>273</v>
      </c>
      <c r="E416" s="537">
        <v>1</v>
      </c>
      <c r="F416" s="538">
        <v>1.2</v>
      </c>
      <c r="G416" s="538">
        <v>0.23</v>
      </c>
      <c r="H416" s="538">
        <v>0.9</v>
      </c>
      <c r="I416" s="542">
        <f>-ROUND(IF(AND(F416:H416),C416*E416*F416*G416*H416,IF(AND(F416,G416),C416*E416*F416*G416,IF(AND(F416,H416),C416*E416*F416*H416,IF(AND(G416,H416),C416*E416*G416*H416,IF(F416,C416*E416*F416,IF(G416,C416*E416*G416,IF(H416,C416*E416*H416,C416*E416))))))),2)</f>
        <v>-0.25</v>
      </c>
      <c r="J416" s="550" t="s">
        <v>5</v>
      </c>
      <c r="K416" s="39"/>
      <c r="L416" s="208"/>
      <c r="M416" s="39"/>
      <c r="N416" s="533" t="s">
        <v>2297</v>
      </c>
    </row>
    <row r="417" spans="1:14" s="541" customFormat="1" ht="16.5" customHeight="1">
      <c r="A417" s="16"/>
      <c r="B417" s="39" t="s">
        <v>2901</v>
      </c>
      <c r="C417" s="534"/>
      <c r="D417" s="536"/>
      <c r="E417" s="537"/>
      <c r="F417" s="538"/>
      <c r="G417" s="538"/>
      <c r="H417" s="538"/>
      <c r="I417" s="539"/>
      <c r="J417" s="550"/>
      <c r="K417" s="39"/>
      <c r="L417" s="208"/>
      <c r="M417" s="39"/>
      <c r="N417" s="533" t="s">
        <v>2297</v>
      </c>
    </row>
    <row r="418" spans="1:14" s="541" customFormat="1" ht="16.5" customHeight="1">
      <c r="A418" s="16"/>
      <c r="B418" s="39" t="s">
        <v>2875</v>
      </c>
      <c r="C418" s="534">
        <v>1</v>
      </c>
      <c r="D418" s="536" t="s">
        <v>273</v>
      </c>
      <c r="E418" s="537">
        <v>1</v>
      </c>
      <c r="F418" s="538">
        <v>2.72</v>
      </c>
      <c r="G418" s="538">
        <v>0.23</v>
      </c>
      <c r="H418" s="538">
        <v>1.2250000000000001</v>
      </c>
      <c r="I418" s="542">
        <f t="shared" ref="I418" si="41">ROUND(IF(AND(F418:H418),C418*E418*F418*G418*H418,IF(AND(F418,G418),C418*E418*F418*G418,IF(AND(F418,H418),C418*E418*F418*H418,IF(AND(G418,H418),C418*E418*G418*H418,IF(F418,C418*E418*F418,IF(G418,C418*E418*G418,IF(H418,C418*E418*H418,C418*E418))))))),2)</f>
        <v>0.77</v>
      </c>
      <c r="J418" s="550" t="s">
        <v>5</v>
      </c>
      <c r="K418" s="39"/>
      <c r="L418" s="208"/>
      <c r="M418" s="39"/>
      <c r="N418" s="533" t="s">
        <v>2297</v>
      </c>
    </row>
    <row r="419" spans="1:14" s="541" customFormat="1" ht="16.5" customHeight="1">
      <c r="A419" s="16"/>
      <c r="B419" s="39" t="s">
        <v>2874</v>
      </c>
      <c r="C419" s="534">
        <v>1</v>
      </c>
      <c r="D419" s="536" t="s">
        <v>273</v>
      </c>
      <c r="E419" s="537">
        <v>2</v>
      </c>
      <c r="F419" s="538">
        <v>1</v>
      </c>
      <c r="G419" s="538">
        <v>0.23</v>
      </c>
      <c r="H419" s="538">
        <v>1.2250000000000001</v>
      </c>
      <c r="I419" s="542">
        <f t="shared" ref="I419:I428" si="42">ROUND(IF(AND(F419:H419),C419*E419*F419*G419*H419,IF(AND(F419,G419),C419*E419*F419*G419,IF(AND(F419,H419),C419*E419*F419*H419,IF(AND(G419,H419),C419*E419*G419*H419,IF(F419,C419*E419*F419,IF(G419,C419*E419*G419,IF(H419,C419*E419*H419,C419*E419))))))),2)</f>
        <v>0.56000000000000005</v>
      </c>
      <c r="J419" s="550" t="s">
        <v>5</v>
      </c>
      <c r="K419" s="39"/>
      <c r="L419" s="208"/>
      <c r="M419" s="39"/>
      <c r="N419" s="533" t="s">
        <v>2297</v>
      </c>
    </row>
    <row r="420" spans="1:14" s="541" customFormat="1" ht="16.5" customHeight="1">
      <c r="A420" s="16"/>
      <c r="B420" s="39" t="s">
        <v>2876</v>
      </c>
      <c r="C420" s="534">
        <v>1</v>
      </c>
      <c r="D420" s="536" t="s">
        <v>273</v>
      </c>
      <c r="E420" s="537">
        <v>1</v>
      </c>
      <c r="F420" s="538">
        <v>1.27</v>
      </c>
      <c r="G420" s="538">
        <v>0.23</v>
      </c>
      <c r="H420" s="538">
        <v>1.2</v>
      </c>
      <c r="I420" s="542">
        <f>-ROUND(IF(AND(F420:H420),C420*E420*F420*G420*H420,IF(AND(F420,G420),C420*E420*F420*G420,IF(AND(F420,H420),C420*E420*F420*H420,IF(AND(G420,H420),C420*E420*G420*H420,IF(F420,C420*E420*F420,IF(G420,C420*E420*G420,IF(H420,C420*E420*H420,C420*E420))))))),2)</f>
        <v>-0.35</v>
      </c>
      <c r="J420" s="550" t="s">
        <v>5</v>
      </c>
      <c r="K420" s="39"/>
      <c r="L420" s="208"/>
      <c r="M420" s="39"/>
      <c r="N420" s="533" t="s">
        <v>2297</v>
      </c>
    </row>
    <row r="421" spans="1:14" s="541" customFormat="1" ht="16.5" customHeight="1">
      <c r="A421" s="16"/>
      <c r="B421" s="39" t="s">
        <v>2889</v>
      </c>
      <c r="C421" s="534">
        <v>1</v>
      </c>
      <c r="D421" s="536" t="s">
        <v>273</v>
      </c>
      <c r="E421" s="537">
        <v>1</v>
      </c>
      <c r="F421" s="538">
        <v>9.06</v>
      </c>
      <c r="G421" s="538">
        <v>0.23</v>
      </c>
      <c r="H421" s="538">
        <v>0.625</v>
      </c>
      <c r="I421" s="542">
        <f t="shared" si="42"/>
        <v>1.3</v>
      </c>
      <c r="J421" s="550" t="s">
        <v>5</v>
      </c>
      <c r="K421" s="39"/>
      <c r="L421" s="208"/>
      <c r="M421" s="39"/>
      <c r="N421" s="533" t="s">
        <v>2297</v>
      </c>
    </row>
    <row r="422" spans="1:14" s="541" customFormat="1" ht="16.5" customHeight="1">
      <c r="A422" s="16"/>
      <c r="B422" s="39" t="s">
        <v>281</v>
      </c>
      <c r="C422" s="534">
        <v>1</v>
      </c>
      <c r="D422" s="536" t="s">
        <v>273</v>
      </c>
      <c r="E422" s="537">
        <v>2</v>
      </c>
      <c r="F422" s="538">
        <v>0.23</v>
      </c>
      <c r="G422" s="538">
        <v>0.23</v>
      </c>
      <c r="H422" s="538">
        <v>0.625</v>
      </c>
      <c r="I422" s="542">
        <f>-ROUND(IF(AND(F422:H422),C422*E422*F422*G422*H422,IF(AND(F422,G422),C422*E422*F422*G422,IF(AND(F422,H422),C422*E422*F422*H422,IF(AND(G422,H422),C422*E422*G422*H422,IF(F422,C422*E422*F422,IF(G422,C422*E422*G422,IF(H422,C422*E422*H422,C422*E422))))))),2)</f>
        <v>-7.0000000000000007E-2</v>
      </c>
      <c r="J422" s="550" t="s">
        <v>5</v>
      </c>
      <c r="K422" s="39"/>
      <c r="L422" s="208"/>
      <c r="M422" s="39"/>
      <c r="N422" s="533" t="s">
        <v>2297</v>
      </c>
    </row>
    <row r="423" spans="1:14" s="541" customFormat="1" ht="16.5" customHeight="1">
      <c r="A423" s="16"/>
      <c r="B423" s="39" t="s">
        <v>2899</v>
      </c>
      <c r="C423" s="534">
        <v>1</v>
      </c>
      <c r="D423" s="536" t="s">
        <v>273</v>
      </c>
      <c r="E423" s="537">
        <v>1</v>
      </c>
      <c r="F423" s="538">
        <v>2.86</v>
      </c>
      <c r="G423" s="538">
        <v>0.23</v>
      </c>
      <c r="H423" s="538">
        <v>0.625</v>
      </c>
      <c r="I423" s="542">
        <f t="shared" si="42"/>
        <v>0.41</v>
      </c>
      <c r="J423" s="550" t="s">
        <v>5</v>
      </c>
      <c r="K423" s="39"/>
      <c r="L423" s="208"/>
      <c r="M423" s="39"/>
      <c r="N423" s="533" t="s">
        <v>2297</v>
      </c>
    </row>
    <row r="424" spans="1:14" s="541" customFormat="1" ht="16.5" customHeight="1">
      <c r="A424" s="16"/>
      <c r="B424" s="39" t="s">
        <v>2900</v>
      </c>
      <c r="C424" s="534">
        <v>1</v>
      </c>
      <c r="D424" s="536" t="s">
        <v>273</v>
      </c>
      <c r="E424" s="537">
        <v>1</v>
      </c>
      <c r="F424" s="538">
        <v>4.84</v>
      </c>
      <c r="G424" s="538">
        <v>0.23</v>
      </c>
      <c r="H424" s="538">
        <v>0.54500000000000004</v>
      </c>
      <c r="I424" s="542">
        <f t="shared" si="42"/>
        <v>0.61</v>
      </c>
      <c r="J424" s="550" t="s">
        <v>5</v>
      </c>
      <c r="K424" s="39"/>
      <c r="L424" s="208"/>
      <c r="M424" s="39"/>
      <c r="N424" s="533" t="s">
        <v>2297</v>
      </c>
    </row>
    <row r="425" spans="1:14" s="541" customFormat="1" ht="16.5" customHeight="1">
      <c r="A425" s="16"/>
      <c r="B425" s="39" t="s">
        <v>2892</v>
      </c>
      <c r="C425" s="534">
        <v>1</v>
      </c>
      <c r="D425" s="536" t="s">
        <v>273</v>
      </c>
      <c r="E425" s="537">
        <v>1</v>
      </c>
      <c r="F425" s="538">
        <v>8.91</v>
      </c>
      <c r="G425" s="538">
        <v>0.23</v>
      </c>
      <c r="H425" s="538">
        <v>0.625</v>
      </c>
      <c r="I425" s="542">
        <f t="shared" si="42"/>
        <v>1.28</v>
      </c>
      <c r="J425" s="550" t="s">
        <v>5</v>
      </c>
      <c r="K425" s="39"/>
      <c r="L425" s="208"/>
      <c r="M425" s="39"/>
      <c r="N425" s="533" t="s">
        <v>2297</v>
      </c>
    </row>
    <row r="426" spans="1:14" s="541" customFormat="1" ht="16.5" customHeight="1">
      <c r="A426" s="16"/>
      <c r="B426" s="39" t="s">
        <v>281</v>
      </c>
      <c r="C426" s="534">
        <v>1</v>
      </c>
      <c r="D426" s="536" t="s">
        <v>273</v>
      </c>
      <c r="E426" s="537">
        <v>1</v>
      </c>
      <c r="F426" s="538">
        <v>0.23</v>
      </c>
      <c r="G426" s="538">
        <v>0.23</v>
      </c>
      <c r="H426" s="538">
        <v>0.625</v>
      </c>
      <c r="I426" s="542">
        <f>-ROUND(IF(AND(F426:H426),C426*E426*F426*G426*H426,IF(AND(F426,G426),C426*E426*F426*G426,IF(AND(F426,H426),C426*E426*F426*H426,IF(AND(G426,H426),C426*E426*G426*H426,IF(F426,C426*E426*F426,IF(G426,C426*E426*G426,IF(H426,C426*E426*H426,C426*E426))))))),2)</f>
        <v>-0.03</v>
      </c>
      <c r="J426" s="550" t="s">
        <v>5</v>
      </c>
      <c r="K426" s="39"/>
      <c r="L426" s="208"/>
      <c r="M426" s="39"/>
      <c r="N426" s="533" t="s">
        <v>2297</v>
      </c>
    </row>
    <row r="427" spans="1:14" s="541" customFormat="1" ht="16.5" customHeight="1">
      <c r="A427" s="16"/>
      <c r="B427" s="39"/>
      <c r="C427" s="534">
        <v>1</v>
      </c>
      <c r="D427" s="536" t="s">
        <v>273</v>
      </c>
      <c r="E427" s="537">
        <v>1</v>
      </c>
      <c r="F427" s="538">
        <v>0.38</v>
      </c>
      <c r="G427" s="538">
        <v>0.23</v>
      </c>
      <c r="H427" s="538">
        <v>0.625</v>
      </c>
      <c r="I427" s="542">
        <f>-ROUND(IF(AND(F427:H427),C427*E427*F427*G427*H427,IF(AND(F427,G427),C427*E427*F427*G427,IF(AND(F427,H427),C427*E427*F427*H427,IF(AND(G427,H427),C427*E427*G427*H427,IF(F427,C427*E427*F427,IF(G427,C427*E427*G427,IF(H427,C427*E427*H427,C427*E427))))))),2)</f>
        <v>-0.05</v>
      </c>
      <c r="J427" s="550" t="s">
        <v>5</v>
      </c>
      <c r="K427" s="39"/>
      <c r="L427" s="208"/>
      <c r="M427" s="39"/>
      <c r="N427" s="533" t="s">
        <v>2297</v>
      </c>
    </row>
    <row r="428" spans="1:14" s="541" customFormat="1" ht="16.5" customHeight="1">
      <c r="A428" s="16"/>
      <c r="B428" s="39" t="s">
        <v>2877</v>
      </c>
      <c r="C428" s="534">
        <v>1</v>
      </c>
      <c r="D428" s="536" t="s">
        <v>273</v>
      </c>
      <c r="E428" s="537">
        <v>1</v>
      </c>
      <c r="F428" s="538">
        <v>2.86</v>
      </c>
      <c r="G428" s="538">
        <v>0.23</v>
      </c>
      <c r="H428" s="538">
        <v>0.625</v>
      </c>
      <c r="I428" s="542">
        <f t="shared" si="42"/>
        <v>0.41</v>
      </c>
      <c r="J428" s="550" t="s">
        <v>5</v>
      </c>
      <c r="K428" s="39"/>
      <c r="L428" s="208"/>
      <c r="M428" s="39"/>
      <c r="N428" s="533" t="s">
        <v>2297</v>
      </c>
    </row>
    <row r="429" spans="1:14" s="541" customFormat="1" ht="16.5" customHeight="1">
      <c r="A429" s="16"/>
      <c r="B429" s="39" t="s">
        <v>581</v>
      </c>
      <c r="C429" s="534">
        <v>1</v>
      </c>
      <c r="D429" s="536" t="s">
        <v>273</v>
      </c>
      <c r="E429" s="537">
        <v>6</v>
      </c>
      <c r="F429" s="538">
        <v>0.6</v>
      </c>
      <c r="G429" s="538">
        <v>0.23</v>
      </c>
      <c r="H429" s="538">
        <v>0.3</v>
      </c>
      <c r="I429" s="542">
        <f>-ROUND(IF(AND(F429:H429),C429*E429*F429*G429*H429,IF(AND(F429,G429),C429*E429*F429*G429,IF(AND(F429,H429),C429*E429*F429*H429,IF(AND(G429,H429),C429*E429*G429*H429,IF(F429,C429*E429*F429,IF(G429,C429*E429*G429,IF(H429,C429*E429*H429,C429*E429))))))),2)</f>
        <v>-0.25</v>
      </c>
      <c r="J429" s="550" t="s">
        <v>5</v>
      </c>
      <c r="K429" s="39"/>
      <c r="L429" s="208"/>
      <c r="M429" s="39"/>
      <c r="N429" s="533" t="s">
        <v>2297</v>
      </c>
    </row>
    <row r="430" spans="1:14" s="541" customFormat="1" ht="16.5" customHeight="1">
      <c r="A430" s="16"/>
      <c r="B430" s="39" t="s">
        <v>2902</v>
      </c>
      <c r="C430" s="534">
        <v>1</v>
      </c>
      <c r="D430" s="536" t="s">
        <v>273</v>
      </c>
      <c r="E430" s="537">
        <v>3</v>
      </c>
      <c r="F430" s="538">
        <v>0.3</v>
      </c>
      <c r="G430" s="538">
        <v>0.23</v>
      </c>
      <c r="H430" s="538">
        <v>0.3</v>
      </c>
      <c r="I430" s="542">
        <f>-ROUND(IF(AND(F430:H430),C430*E430*F430*G430*H430,IF(AND(F430,G430),C430*E430*F430*G430,IF(AND(F430,H430),C430*E430*F430*H430,IF(AND(G430,H430),C430*E430*G430*H430,IF(F430,C430*E430*F430,IF(G430,C430*E430*G430,IF(H430,C430*E430*H430,C430*E430))))))),2)</f>
        <v>-0.06</v>
      </c>
      <c r="J430" s="550" t="s">
        <v>5</v>
      </c>
      <c r="K430" s="39"/>
      <c r="L430" s="208"/>
      <c r="M430" s="39"/>
      <c r="N430" s="533" t="s">
        <v>2297</v>
      </c>
    </row>
    <row r="431" spans="1:14" s="541" customFormat="1" ht="16.5" customHeight="1">
      <c r="A431" s="16"/>
      <c r="B431" s="39" t="s">
        <v>2901</v>
      </c>
      <c r="C431" s="534"/>
      <c r="D431" s="536"/>
      <c r="E431" s="537"/>
      <c r="F431" s="538"/>
      <c r="G431" s="538"/>
      <c r="H431" s="538"/>
      <c r="I431" s="542"/>
      <c r="J431" s="550"/>
      <c r="K431" s="39"/>
      <c r="L431" s="208"/>
      <c r="M431" s="39"/>
      <c r="N431" s="533" t="s">
        <v>2297</v>
      </c>
    </row>
    <row r="432" spans="1:14" s="541" customFormat="1" ht="16.5" customHeight="1">
      <c r="A432" s="16"/>
      <c r="B432" s="39" t="s">
        <v>801</v>
      </c>
      <c r="C432" s="534">
        <v>0.5</v>
      </c>
      <c r="D432" s="536" t="s">
        <v>273</v>
      </c>
      <c r="E432" s="537">
        <v>11</v>
      </c>
      <c r="F432" s="538">
        <v>1.3</v>
      </c>
      <c r="G432" s="538">
        <v>0.3</v>
      </c>
      <c r="H432" s="538">
        <v>0.15</v>
      </c>
      <c r="I432" s="542">
        <f>ROUND(IF(AND(F432:H432),C432*E432*F432*G432*H432,IF(AND(F432,G432),C432*E432*F432*G432,IF(AND(F432,H432),C432*E432*F432*H432,IF(AND(G432,H432),C432*E432*G432*H432,IF(F432,C432*E432*F432,IF(G432,C432*E432*G432,IF(H432,C432*E432*H432,C432*E432))))))),2)</f>
        <v>0.32</v>
      </c>
      <c r="J432" s="550" t="s">
        <v>5</v>
      </c>
      <c r="K432" s="39"/>
      <c r="L432" s="208"/>
      <c r="M432" s="39"/>
      <c r="N432" s="533" t="s">
        <v>2297</v>
      </c>
    </row>
    <row r="433" spans="1:14" s="541" customFormat="1" ht="16.5" customHeight="1">
      <c r="A433" s="16"/>
      <c r="B433" s="39" t="s">
        <v>800</v>
      </c>
      <c r="C433" s="534">
        <v>0.5</v>
      </c>
      <c r="D433" s="536" t="s">
        <v>273</v>
      </c>
      <c r="E433" s="537">
        <v>10</v>
      </c>
      <c r="F433" s="538">
        <v>1.3</v>
      </c>
      <c r="G433" s="538">
        <v>0.3</v>
      </c>
      <c r="H433" s="538">
        <v>0.15</v>
      </c>
      <c r="I433" s="542">
        <f>ROUND(IF(AND(F433:H433),C433*E433*F433*G433*H433,IF(AND(F433,G433),C433*E433*F433*G433,IF(AND(F433,H433),C433*E433*F433*H433,IF(AND(G433,H433),C433*E433*G433*H433,IF(F433,C433*E433*F433,IF(G433,C433*E433*G433,IF(H433,C433*E433*H433,C433*E433))))))),2)</f>
        <v>0.28999999999999998</v>
      </c>
      <c r="J433" s="550" t="s">
        <v>5</v>
      </c>
      <c r="K433" s="39"/>
      <c r="L433" s="208"/>
      <c r="M433" s="39"/>
      <c r="N433" s="533" t="s">
        <v>2297</v>
      </c>
    </row>
    <row r="434" spans="1:14" s="541" customFormat="1" ht="16.5" customHeight="1">
      <c r="A434" s="16"/>
      <c r="B434" s="544"/>
      <c r="C434" s="545"/>
      <c r="D434" s="546"/>
      <c r="E434" s="547"/>
      <c r="F434" s="548"/>
      <c r="G434" s="548"/>
      <c r="H434" s="548"/>
      <c r="I434" s="549"/>
      <c r="J434" s="550"/>
      <c r="K434" s="39"/>
      <c r="L434" s="208"/>
      <c r="M434" s="39"/>
      <c r="N434" s="533" t="s">
        <v>2297</v>
      </c>
    </row>
    <row r="435" spans="1:14" ht="15.75">
      <c r="A435" s="16"/>
      <c r="B435" s="39"/>
      <c r="C435" s="551"/>
      <c r="D435" s="552"/>
      <c r="E435" s="537"/>
      <c r="F435" s="538"/>
      <c r="G435" s="40"/>
      <c r="H435" s="16"/>
      <c r="I435" s="549"/>
      <c r="J435" s="550" t="s">
        <v>5</v>
      </c>
      <c r="K435" s="10">
        <f>data!F1293</f>
        <v>6135.0899999999992</v>
      </c>
      <c r="L435" s="208" t="s">
        <v>2297</v>
      </c>
      <c r="M435" s="9">
        <f>ROUND(I435*K435,0)</f>
        <v>0</v>
      </c>
      <c r="N435" s="533" t="s">
        <v>2297</v>
      </c>
    </row>
    <row r="436" spans="1:14" ht="69.75" customHeight="1">
      <c r="A436" s="16">
        <v>9</v>
      </c>
      <c r="B436" s="1633" t="s">
        <v>649</v>
      </c>
      <c r="C436" s="1633"/>
      <c r="D436" s="1633"/>
      <c r="E436" s="1633"/>
      <c r="F436" s="1633"/>
      <c r="G436" s="1633"/>
      <c r="H436" s="1633"/>
      <c r="I436" s="534"/>
      <c r="J436" s="535"/>
      <c r="K436" s="16"/>
      <c r="L436" s="208"/>
      <c r="M436" s="38"/>
      <c r="N436" s="533" t="s">
        <v>2308</v>
      </c>
    </row>
    <row r="437" spans="1:14" s="541" customFormat="1" ht="16.5" customHeight="1">
      <c r="A437" s="16"/>
      <c r="B437" s="39" t="s">
        <v>3025</v>
      </c>
      <c r="C437" s="534"/>
      <c r="D437" s="536"/>
      <c r="E437" s="537"/>
      <c r="F437" s="538"/>
      <c r="G437" s="538"/>
      <c r="H437" s="538"/>
      <c r="I437" s="539"/>
      <c r="J437" s="550"/>
      <c r="K437" s="39"/>
      <c r="L437" s="208"/>
      <c r="M437" s="39"/>
      <c r="N437" s="533" t="s">
        <v>2308</v>
      </c>
    </row>
    <row r="438" spans="1:14" s="541" customFormat="1" ht="16.5" customHeight="1">
      <c r="A438" s="16"/>
      <c r="B438" s="39"/>
      <c r="C438" s="534">
        <v>1</v>
      </c>
      <c r="D438" s="536" t="s">
        <v>273</v>
      </c>
      <c r="E438" s="537">
        <v>1</v>
      </c>
      <c r="F438" s="538">
        <v>9.2899999999999991</v>
      </c>
      <c r="G438" s="538">
        <v>0.23</v>
      </c>
      <c r="H438" s="538">
        <v>2.1</v>
      </c>
      <c r="I438" s="542">
        <f t="shared" ref="I438:I441" si="43">ROUND(IF(AND(F438:H438),C438*E438*F438*G438*H438,IF(AND(F438,G438),C438*E438*F438*G438,IF(AND(F438,H438),C438*E438*F438*H438,IF(AND(G438,H438),C438*E438*G438*H438,IF(F438,C438*E438*F438,IF(G438,C438*E438*G438,IF(H438,C438*E438*H438,C438*E438))))))),2)</f>
        <v>4.49</v>
      </c>
      <c r="J438" s="550" t="s">
        <v>5</v>
      </c>
      <c r="K438" s="39"/>
      <c r="L438" s="208"/>
      <c r="M438" s="39"/>
      <c r="N438" s="533" t="s">
        <v>2308</v>
      </c>
    </row>
    <row r="439" spans="1:14" s="541" customFormat="1" ht="16.5" customHeight="1">
      <c r="A439" s="16"/>
      <c r="B439" s="39"/>
      <c r="C439" s="534">
        <v>1</v>
      </c>
      <c r="D439" s="536" t="s">
        <v>273</v>
      </c>
      <c r="E439" s="537">
        <v>1</v>
      </c>
      <c r="F439" s="538">
        <v>12.47</v>
      </c>
      <c r="G439" s="538">
        <v>0.23</v>
      </c>
      <c r="H439" s="538">
        <v>2.1</v>
      </c>
      <c r="I439" s="542">
        <f t="shared" si="43"/>
        <v>6.02</v>
      </c>
      <c r="J439" s="550" t="s">
        <v>5</v>
      </c>
      <c r="K439" s="39"/>
      <c r="L439" s="208"/>
      <c r="M439" s="39"/>
      <c r="N439" s="533" t="s">
        <v>2308</v>
      </c>
    </row>
    <row r="440" spans="1:14" s="541" customFormat="1" ht="16.5" customHeight="1">
      <c r="A440" s="16"/>
      <c r="B440" s="39"/>
      <c r="C440" s="534">
        <v>1</v>
      </c>
      <c r="D440" s="536" t="s">
        <v>273</v>
      </c>
      <c r="E440" s="537">
        <v>1</v>
      </c>
      <c r="F440" s="538">
        <v>8.3800000000000008</v>
      </c>
      <c r="G440" s="538">
        <v>0.23</v>
      </c>
      <c r="H440" s="538">
        <v>2.1</v>
      </c>
      <c r="I440" s="542">
        <f t="shared" si="43"/>
        <v>4.05</v>
      </c>
      <c r="J440" s="550" t="s">
        <v>5</v>
      </c>
      <c r="K440" s="39"/>
      <c r="L440" s="208"/>
      <c r="M440" s="39"/>
      <c r="N440" s="533" t="s">
        <v>2308</v>
      </c>
    </row>
    <row r="441" spans="1:14" s="541" customFormat="1" ht="16.5" customHeight="1">
      <c r="A441" s="16"/>
      <c r="B441" s="39"/>
      <c r="C441" s="534">
        <v>1</v>
      </c>
      <c r="D441" s="536" t="s">
        <v>273</v>
      </c>
      <c r="E441" s="537">
        <v>1</v>
      </c>
      <c r="F441" s="538">
        <v>8.3800000000000008</v>
      </c>
      <c r="G441" s="538">
        <v>0.23</v>
      </c>
      <c r="H441" s="538">
        <v>2.1</v>
      </c>
      <c r="I441" s="542">
        <f t="shared" si="43"/>
        <v>4.05</v>
      </c>
      <c r="J441" s="550" t="s">
        <v>5</v>
      </c>
      <c r="K441" s="39"/>
      <c r="L441" s="208"/>
      <c r="M441" s="39"/>
      <c r="N441" s="533" t="s">
        <v>2308</v>
      </c>
    </row>
    <row r="442" spans="1:14" s="541" customFormat="1" ht="16.5" customHeight="1">
      <c r="A442" s="16"/>
      <c r="B442" s="39"/>
      <c r="C442" s="534">
        <v>1</v>
      </c>
      <c r="D442" s="536" t="s">
        <v>273</v>
      </c>
      <c r="E442" s="537">
        <v>1</v>
      </c>
      <c r="F442" s="538">
        <v>1.2</v>
      </c>
      <c r="G442" s="538">
        <v>0.23</v>
      </c>
      <c r="H442" s="538">
        <v>2.1</v>
      </c>
      <c r="I442" s="542">
        <f>-ROUND(IF(AND(F442:H442),C442*E442*F442*G442*H442,IF(AND(F442,G442),C442*E442*F442*G442,IF(AND(F442,H442),C442*E442*F442*H442,IF(AND(G442,H442),C442*E442*G442*H442,IF(F442,C442*E442*F442,IF(G442,C442*E442*G442,IF(H442,C442*E442*H442,C442*E442))))))),2)</f>
        <v>-0.57999999999999996</v>
      </c>
      <c r="J442" s="550" t="s">
        <v>5</v>
      </c>
      <c r="K442" s="39"/>
      <c r="L442" s="208"/>
      <c r="M442" s="39"/>
      <c r="N442" s="533" t="s">
        <v>2308</v>
      </c>
    </row>
    <row r="443" spans="1:14" s="541" customFormat="1" ht="16.5" customHeight="1">
      <c r="A443" s="16"/>
      <c r="B443" s="39"/>
      <c r="C443" s="534">
        <v>1</v>
      </c>
      <c r="D443" s="536" t="s">
        <v>273</v>
      </c>
      <c r="E443" s="537">
        <v>7</v>
      </c>
      <c r="F443" s="538">
        <v>1.5</v>
      </c>
      <c r="G443" s="538">
        <v>0.23</v>
      </c>
      <c r="H443" s="538">
        <v>1.35</v>
      </c>
      <c r="I443" s="542">
        <f>-ROUND(IF(AND(F443:H443),C443*E443*F443*G443*H443,IF(AND(F443,G443),C443*E443*F443*G443,IF(AND(F443,H443),C443*E443*F443*H443,IF(AND(G443,H443),C443*E443*G443*H443,IF(F443,C443*E443*F443,IF(G443,C443*E443*G443,IF(H443,C443*E443*H443,C443*E443))))))),2)</f>
        <v>-3.26</v>
      </c>
      <c r="J443" s="550" t="s">
        <v>5</v>
      </c>
      <c r="K443" s="39"/>
      <c r="L443" s="208"/>
      <c r="M443" s="39"/>
      <c r="N443" s="533" t="s">
        <v>2308</v>
      </c>
    </row>
    <row r="444" spans="1:14" s="541" customFormat="1" ht="16.5" customHeight="1">
      <c r="A444" s="16"/>
      <c r="B444" s="39"/>
      <c r="C444" s="534">
        <v>1</v>
      </c>
      <c r="D444" s="536" t="s">
        <v>273</v>
      </c>
      <c r="E444" s="537">
        <v>1</v>
      </c>
      <c r="F444" s="538">
        <v>1.2</v>
      </c>
      <c r="G444" s="538">
        <v>0.23</v>
      </c>
      <c r="H444" s="538">
        <v>2.1</v>
      </c>
      <c r="I444" s="542">
        <f>-ROUND(IF(AND(F444:H444),C444*E444*F444*G444*H444,IF(AND(F444,G444),C444*E444*F444*G444,IF(AND(F444,H444),C444*E444*F444*H444,IF(AND(G444,H444),C444*E444*G444*H444,IF(F444,C444*E444*F444,IF(G444,C444*E444*G444,IF(H444,C444*E444*H444,C444*E444))))))),2)</f>
        <v>-0.57999999999999996</v>
      </c>
      <c r="J444" s="550" t="s">
        <v>5</v>
      </c>
      <c r="K444" s="39"/>
      <c r="L444" s="208"/>
      <c r="M444" s="39"/>
      <c r="N444" s="533" t="s">
        <v>2308</v>
      </c>
    </row>
    <row r="445" spans="1:14" s="541" customFormat="1" ht="16.5" customHeight="1">
      <c r="A445" s="16"/>
      <c r="B445" s="39"/>
      <c r="C445" s="534">
        <v>1</v>
      </c>
      <c r="D445" s="536" t="s">
        <v>273</v>
      </c>
      <c r="E445" s="537">
        <v>2</v>
      </c>
      <c r="F445" s="538">
        <v>0.75</v>
      </c>
      <c r="G445" s="538">
        <v>0.23</v>
      </c>
      <c r="H445" s="538">
        <v>2.1</v>
      </c>
      <c r="I445" s="542">
        <f>-ROUND(IF(AND(F445:H445),C445*E445*F445*G445*H445,IF(AND(F445,G445),C445*E445*F445*G445,IF(AND(F445,H445),C445*E445*F445*H445,IF(AND(G445,H445),C445*E445*G445*H445,IF(F445,C445*E445*F445,IF(G445,C445*E445*G445,IF(H445,C445*E445*H445,C445*E445))))))),2)</f>
        <v>-0.72</v>
      </c>
      <c r="J445" s="550" t="s">
        <v>5</v>
      </c>
      <c r="K445" s="39"/>
      <c r="L445" s="208"/>
      <c r="M445" s="39"/>
      <c r="N445" s="533" t="s">
        <v>2308</v>
      </c>
    </row>
    <row r="446" spans="1:14" s="541" customFormat="1" ht="16.5" customHeight="1">
      <c r="A446" s="16"/>
      <c r="B446" s="39" t="s">
        <v>3026</v>
      </c>
      <c r="C446" s="534"/>
      <c r="D446" s="536"/>
      <c r="E446" s="537"/>
      <c r="F446" s="538"/>
      <c r="G446" s="538"/>
      <c r="H446" s="538"/>
      <c r="I446" s="539"/>
      <c r="J446" s="550"/>
      <c r="K446" s="39"/>
      <c r="L446" s="208"/>
      <c r="M446" s="39"/>
      <c r="N446" s="533" t="s">
        <v>2308</v>
      </c>
    </row>
    <row r="447" spans="1:14" s="541" customFormat="1" ht="16.5" customHeight="1">
      <c r="A447" s="16"/>
      <c r="B447" s="39"/>
      <c r="C447" s="534">
        <v>1</v>
      </c>
      <c r="D447" s="536" t="s">
        <v>273</v>
      </c>
      <c r="E447" s="537">
        <v>1</v>
      </c>
      <c r="F447" s="538">
        <v>9.2899999999999991</v>
      </c>
      <c r="G447" s="538">
        <v>0.23</v>
      </c>
      <c r="H447" s="538">
        <v>0.62</v>
      </c>
      <c r="I447" s="542">
        <f t="shared" ref="I447:I450" si="44">ROUND(IF(AND(F447:H447),C447*E447*F447*G447*H447,IF(AND(F447,G447),C447*E447*F447*G447,IF(AND(F447,H447),C447*E447*F447*H447,IF(AND(G447,H447),C447*E447*G447*H447,IF(F447,C447*E447*F447,IF(G447,C447*E447*G447,IF(H447,C447*E447*H447,C447*E447))))))),2)</f>
        <v>1.32</v>
      </c>
      <c r="J447" s="550" t="s">
        <v>5</v>
      </c>
      <c r="K447" s="39"/>
      <c r="L447" s="208"/>
      <c r="M447" s="39"/>
      <c r="N447" s="533" t="s">
        <v>2308</v>
      </c>
    </row>
    <row r="448" spans="1:14" s="541" customFormat="1" ht="16.5" customHeight="1">
      <c r="A448" s="16"/>
      <c r="B448" s="39"/>
      <c r="C448" s="534">
        <v>1</v>
      </c>
      <c r="D448" s="536" t="s">
        <v>273</v>
      </c>
      <c r="E448" s="537">
        <v>1</v>
      </c>
      <c r="F448" s="538">
        <v>12.47</v>
      </c>
      <c r="G448" s="538">
        <v>0.23</v>
      </c>
      <c r="H448" s="538">
        <v>0.62</v>
      </c>
      <c r="I448" s="542">
        <f t="shared" si="44"/>
        <v>1.78</v>
      </c>
      <c r="J448" s="550" t="s">
        <v>5</v>
      </c>
      <c r="K448" s="39"/>
      <c r="L448" s="208"/>
      <c r="M448" s="39"/>
      <c r="N448" s="533" t="s">
        <v>2308</v>
      </c>
    </row>
    <row r="449" spans="1:14" s="541" customFormat="1" ht="16.5" customHeight="1">
      <c r="A449" s="16"/>
      <c r="B449" s="39"/>
      <c r="C449" s="534">
        <v>1</v>
      </c>
      <c r="D449" s="536" t="s">
        <v>273</v>
      </c>
      <c r="E449" s="537">
        <v>2</v>
      </c>
      <c r="F449" s="538">
        <v>4.99</v>
      </c>
      <c r="G449" s="538">
        <v>0.23</v>
      </c>
      <c r="H449" s="538">
        <v>0.55000000000000004</v>
      </c>
      <c r="I449" s="542">
        <f t="shared" si="44"/>
        <v>1.26</v>
      </c>
      <c r="J449" s="550" t="s">
        <v>5</v>
      </c>
      <c r="K449" s="39"/>
      <c r="L449" s="208"/>
      <c r="M449" s="39"/>
      <c r="N449" s="533" t="s">
        <v>2308</v>
      </c>
    </row>
    <row r="450" spans="1:14" s="541" customFormat="1" ht="16.5" customHeight="1">
      <c r="A450" s="16"/>
      <c r="B450" s="39"/>
      <c r="C450" s="534">
        <v>1</v>
      </c>
      <c r="D450" s="536" t="s">
        <v>273</v>
      </c>
      <c r="E450" s="537">
        <v>2</v>
      </c>
      <c r="F450" s="538">
        <v>3.16</v>
      </c>
      <c r="G450" s="538">
        <v>0.23</v>
      </c>
      <c r="H450" s="538">
        <v>0.7</v>
      </c>
      <c r="I450" s="542">
        <f t="shared" si="44"/>
        <v>1.02</v>
      </c>
      <c r="J450" s="550" t="s">
        <v>5</v>
      </c>
      <c r="K450" s="39"/>
      <c r="L450" s="208"/>
      <c r="M450" s="39"/>
      <c r="N450" s="533" t="s">
        <v>2308</v>
      </c>
    </row>
    <row r="451" spans="1:14" s="541" customFormat="1" ht="16.5" customHeight="1">
      <c r="A451" s="16"/>
      <c r="B451" s="39"/>
      <c r="C451" s="534">
        <v>1</v>
      </c>
      <c r="D451" s="536" t="s">
        <v>273</v>
      </c>
      <c r="E451" s="537">
        <v>1</v>
      </c>
      <c r="F451" s="538">
        <v>0.23</v>
      </c>
      <c r="G451" s="538">
        <v>0.38</v>
      </c>
      <c r="H451" s="538">
        <v>0.62</v>
      </c>
      <c r="I451" s="542">
        <f t="shared" ref="I451" si="45">-ROUND(IF(AND(F451:H451),C451*E451*F451*G451*H451,IF(AND(F451,G451),C451*E451*F451*G451,IF(AND(F451,H451),C451*E451*F451*H451,IF(AND(G451,H451),C451*E451*G451*H451,IF(F451,C451*E451*F451,IF(G451,C451*E451*G451,IF(H451,C451*E451*H451,C451*E451))))))),2)</f>
        <v>-0.05</v>
      </c>
      <c r="J451" s="550" t="s">
        <v>5</v>
      </c>
      <c r="K451" s="39"/>
      <c r="L451" s="208"/>
      <c r="M451" s="39"/>
      <c r="N451" s="533" t="s">
        <v>2308</v>
      </c>
    </row>
    <row r="452" spans="1:14" s="541" customFormat="1" ht="16.5" customHeight="1">
      <c r="A452" s="16"/>
      <c r="B452" s="39"/>
      <c r="C452" s="534">
        <v>1</v>
      </c>
      <c r="D452" s="536" t="s">
        <v>273</v>
      </c>
      <c r="E452" s="537">
        <v>12</v>
      </c>
      <c r="F452" s="538">
        <v>0.6</v>
      </c>
      <c r="G452" s="538">
        <v>0.23</v>
      </c>
      <c r="H452" s="538">
        <v>0.3</v>
      </c>
      <c r="I452" s="542">
        <f>-ROUND(IF(AND(F452:H452),C452*E452*F452*G452*H452,IF(AND(F452,G452),C452*E452*F452*G452,IF(AND(F452,H452),C452*E452*F452*H452,IF(AND(G452,H452),C452*E452*G452*H452,IF(F452,C452*E452*F452,IF(G452,C452*E452*G452,IF(H452,C452*E452*H452,C452*E452))))))),2)</f>
        <v>-0.5</v>
      </c>
      <c r="J452" s="550" t="s">
        <v>5</v>
      </c>
      <c r="K452" s="39"/>
      <c r="L452" s="208"/>
      <c r="M452" s="39"/>
      <c r="N452" s="533" t="s">
        <v>2308</v>
      </c>
    </row>
    <row r="453" spans="1:14" s="541" customFormat="1" ht="16.5" customHeight="1">
      <c r="A453" s="16"/>
      <c r="B453" s="544"/>
      <c r="C453" s="545"/>
      <c r="D453" s="546"/>
      <c r="E453" s="547"/>
      <c r="F453" s="548"/>
      <c r="G453" s="548"/>
      <c r="H453" s="548"/>
      <c r="I453" s="549"/>
      <c r="J453" s="550"/>
      <c r="K453" s="39"/>
      <c r="L453" s="208"/>
      <c r="M453" s="39"/>
      <c r="N453" s="533" t="s">
        <v>2308</v>
      </c>
    </row>
    <row r="454" spans="1:14" ht="15.75">
      <c r="A454" s="16"/>
      <c r="B454" s="39"/>
      <c r="C454" s="551"/>
      <c r="D454" s="552"/>
      <c r="E454" s="537"/>
      <c r="F454" s="538"/>
      <c r="G454" s="40"/>
      <c r="H454" s="16"/>
      <c r="I454" s="549"/>
      <c r="J454" s="550" t="s">
        <v>5</v>
      </c>
      <c r="K454" s="10">
        <f>data!F2210</f>
        <v>6558.3</v>
      </c>
      <c r="L454" s="208" t="s">
        <v>2308</v>
      </c>
      <c r="M454" s="9">
        <f>ROUND(I454*K454,0)</f>
        <v>0</v>
      </c>
      <c r="N454" s="533" t="s">
        <v>2308</v>
      </c>
    </row>
    <row r="455" spans="1:14" ht="69.75" customHeight="1">
      <c r="A455" s="16">
        <v>9</v>
      </c>
      <c r="B455" s="1633" t="s">
        <v>649</v>
      </c>
      <c r="C455" s="1633"/>
      <c r="D455" s="1633"/>
      <c r="E455" s="1633"/>
      <c r="F455" s="1633"/>
      <c r="G455" s="1633"/>
      <c r="H455" s="1633"/>
      <c r="I455" s="534"/>
      <c r="J455" s="535"/>
      <c r="K455" s="16"/>
      <c r="L455" s="208"/>
      <c r="M455" s="38"/>
      <c r="N455" s="533" t="s">
        <v>2309</v>
      </c>
    </row>
    <row r="456" spans="1:14" s="541" customFormat="1" ht="16.5" customHeight="1">
      <c r="A456" s="16"/>
      <c r="B456" s="39" t="s">
        <v>3014</v>
      </c>
      <c r="C456" s="534"/>
      <c r="D456" s="536"/>
      <c r="E456" s="537"/>
      <c r="F456" s="538"/>
      <c r="G456" s="538"/>
      <c r="H456" s="538"/>
      <c r="I456" s="539"/>
      <c r="J456" s="550"/>
      <c r="K456" s="39"/>
      <c r="L456" s="208"/>
      <c r="M456" s="39"/>
      <c r="N456" s="533" t="s">
        <v>2309</v>
      </c>
    </row>
    <row r="457" spans="1:14" s="541" customFormat="1" ht="16.5" customHeight="1">
      <c r="A457" s="16"/>
      <c r="B457" s="39"/>
      <c r="C457" s="534">
        <v>1</v>
      </c>
      <c r="D457" s="536" t="s">
        <v>273</v>
      </c>
      <c r="E457" s="537">
        <v>1</v>
      </c>
      <c r="F457" s="538">
        <v>2.68</v>
      </c>
      <c r="G457" s="538">
        <v>0.23</v>
      </c>
      <c r="H457" s="538">
        <v>1.2</v>
      </c>
      <c r="I457" s="542">
        <f t="shared" ref="I457" si="46">ROUND(IF(AND(F457:H457),C457*E457*F457*G457*H457,IF(AND(F457,G457),C457*E457*F457*G457,IF(AND(F457,H457),C457*E457*F457*H457,IF(AND(G457,H457),C457*E457*G457*H457,IF(F457,C457*E457*F457,IF(G457,C457*E457*G457,IF(H457,C457*E457*H457,C457*E457))))))),2)</f>
        <v>0.74</v>
      </c>
      <c r="J457" s="550" t="s">
        <v>5</v>
      </c>
      <c r="K457" s="39"/>
      <c r="L457" s="208"/>
      <c r="M457" s="39"/>
      <c r="N457" s="533" t="s">
        <v>2309</v>
      </c>
    </row>
    <row r="458" spans="1:14" s="541" customFormat="1" ht="16.5" customHeight="1">
      <c r="A458" s="16"/>
      <c r="B458" s="39"/>
      <c r="C458" s="534">
        <v>1</v>
      </c>
      <c r="D458" s="536" t="s">
        <v>273</v>
      </c>
      <c r="E458" s="537">
        <v>1</v>
      </c>
      <c r="F458" s="538">
        <v>1.2</v>
      </c>
      <c r="G458" s="538">
        <v>0.23</v>
      </c>
      <c r="H458" s="538">
        <v>1.1000000000000001</v>
      </c>
      <c r="I458" s="542">
        <f>-ROUND(IF(AND(F458:H458),C458*E458*F458*G458*H458,IF(AND(F458,G458),C458*E458*F458*G458,IF(AND(F458,H458),C458*E458*F458*H458,IF(AND(G458,H458),C458*E458*G458*H458,IF(F458,C458*E458*F458,IF(G458,C458*E458*G458,IF(H458,C458*E458*H458,C458*E458))))))),2)</f>
        <v>-0.3</v>
      </c>
      <c r="J458" s="550" t="s">
        <v>5</v>
      </c>
      <c r="K458" s="39"/>
      <c r="L458" s="208"/>
      <c r="M458" s="39"/>
      <c r="N458" s="533" t="s">
        <v>2309</v>
      </c>
    </row>
    <row r="459" spans="1:14" s="541" customFormat="1" ht="16.5" customHeight="1">
      <c r="A459" s="16"/>
      <c r="B459" s="544"/>
      <c r="C459" s="545"/>
      <c r="D459" s="546"/>
      <c r="E459" s="547"/>
      <c r="F459" s="548"/>
      <c r="G459" s="548"/>
      <c r="H459" s="548"/>
      <c r="I459" s="549"/>
      <c r="J459" s="550"/>
      <c r="K459" s="39"/>
      <c r="L459" s="208"/>
      <c r="M459" s="39"/>
      <c r="N459" s="533" t="s">
        <v>2309</v>
      </c>
    </row>
    <row r="460" spans="1:14" ht="15.75">
      <c r="A460" s="16"/>
      <c r="B460" s="39"/>
      <c r="C460" s="551"/>
      <c r="D460" s="552"/>
      <c r="E460" s="537"/>
      <c r="F460" s="538"/>
      <c r="G460" s="40"/>
      <c r="H460" s="16"/>
      <c r="I460" s="549"/>
      <c r="J460" s="550" t="s">
        <v>5</v>
      </c>
      <c r="K460" s="10">
        <f>data!F3127</f>
        <v>7283.96</v>
      </c>
      <c r="L460" s="208" t="s">
        <v>2309</v>
      </c>
      <c r="M460" s="9">
        <f>ROUND(I460*K460,0)</f>
        <v>0</v>
      </c>
      <c r="N460" s="533" t="s">
        <v>2309</v>
      </c>
    </row>
    <row r="461" spans="1:14" ht="132.75" customHeight="1">
      <c r="A461" s="16">
        <v>8</v>
      </c>
      <c r="B461" s="1633" t="s">
        <v>901</v>
      </c>
      <c r="C461" s="1633"/>
      <c r="D461" s="1633"/>
      <c r="E461" s="1633"/>
      <c r="F461" s="1633"/>
      <c r="G461" s="1633"/>
      <c r="H461" s="1633"/>
      <c r="I461" s="534"/>
      <c r="J461" s="535"/>
      <c r="K461" s="16"/>
      <c r="L461" s="208"/>
      <c r="M461" s="38"/>
      <c r="N461" s="533" t="s">
        <v>2209</v>
      </c>
    </row>
    <row r="462" spans="1:14" s="541" customFormat="1" ht="16.5" customHeight="1">
      <c r="A462" s="16"/>
      <c r="B462" s="39" t="s">
        <v>3027</v>
      </c>
      <c r="C462" s="534"/>
      <c r="D462" s="858" t="s">
        <v>3266</v>
      </c>
      <c r="E462" s="537"/>
      <c r="F462" s="538"/>
      <c r="G462" s="538"/>
      <c r="H462" s="538"/>
      <c r="I462" s="539"/>
      <c r="J462" s="820"/>
      <c r="K462" s="39"/>
      <c r="L462" s="208"/>
      <c r="M462" s="39"/>
      <c r="N462" s="533" t="s">
        <v>2209</v>
      </c>
    </row>
    <row r="463" spans="1:14" s="541" customFormat="1" ht="16.5" customHeight="1">
      <c r="A463" s="16"/>
      <c r="B463" s="39" t="s">
        <v>3060</v>
      </c>
      <c r="C463" s="534">
        <v>1</v>
      </c>
      <c r="D463" s="536" t="s">
        <v>273</v>
      </c>
      <c r="E463" s="537">
        <v>1</v>
      </c>
      <c r="F463" s="538">
        <v>12</v>
      </c>
      <c r="G463" s="538">
        <v>0</v>
      </c>
      <c r="H463" s="538">
        <v>2.1</v>
      </c>
      <c r="I463" s="542">
        <f t="shared" ref="I463:I469" si="47">ROUND(IF(AND(F463:H463),C463*E463*F463*G463*H463,IF(AND(F463,G463),C463*E463*F463*G463,IF(AND(F463,H463),C463*E463*F463*H463,IF(AND(G463,H463),C463*E463*G463*H463,IF(F463,C463*E463*F463,IF(G463,C463*E463*G463,IF(H463,C463*E463*H463,C463*E463))))))),2)</f>
        <v>25.2</v>
      </c>
      <c r="J463" s="543" t="s">
        <v>102</v>
      </c>
      <c r="K463" s="39"/>
      <c r="L463" s="208"/>
      <c r="M463" s="39"/>
      <c r="N463" s="533" t="s">
        <v>2209</v>
      </c>
    </row>
    <row r="464" spans="1:14" s="541" customFormat="1" ht="16.5" customHeight="1">
      <c r="A464" s="16"/>
      <c r="B464" s="39"/>
      <c r="C464" s="534">
        <v>1</v>
      </c>
      <c r="D464" s="536" t="s">
        <v>273</v>
      </c>
      <c r="E464" s="537">
        <v>1</v>
      </c>
      <c r="F464" s="538">
        <v>9.06</v>
      </c>
      <c r="G464" s="538">
        <v>0</v>
      </c>
      <c r="H464" s="538">
        <v>2.1</v>
      </c>
      <c r="I464" s="542">
        <f t="shared" si="47"/>
        <v>19.03</v>
      </c>
      <c r="J464" s="543" t="s">
        <v>102</v>
      </c>
      <c r="K464" s="39"/>
      <c r="L464" s="208"/>
      <c r="M464" s="39"/>
      <c r="N464" s="533" t="s">
        <v>2209</v>
      </c>
    </row>
    <row r="465" spans="1:14" s="541" customFormat="1" ht="16.5" customHeight="1">
      <c r="A465" s="16"/>
      <c r="B465" s="39" t="s">
        <v>3061</v>
      </c>
      <c r="C465" s="534">
        <v>1</v>
      </c>
      <c r="D465" s="536" t="s">
        <v>273</v>
      </c>
      <c r="E465" s="537">
        <v>3</v>
      </c>
      <c r="F465" s="538">
        <v>2.86</v>
      </c>
      <c r="G465" s="538">
        <v>0</v>
      </c>
      <c r="H465" s="538">
        <v>2.1</v>
      </c>
      <c r="I465" s="542">
        <f t="shared" si="47"/>
        <v>18.02</v>
      </c>
      <c r="J465" s="543" t="s">
        <v>102</v>
      </c>
      <c r="K465" s="39"/>
      <c r="L465" s="208"/>
      <c r="M465" s="39"/>
      <c r="N465" s="533" t="s">
        <v>2209</v>
      </c>
    </row>
    <row r="466" spans="1:14" s="541" customFormat="1" ht="16.5" customHeight="1">
      <c r="A466" s="16"/>
      <c r="B466" s="39" t="s">
        <v>3062</v>
      </c>
      <c r="C466" s="534">
        <v>1</v>
      </c>
      <c r="D466" s="536" t="s">
        <v>273</v>
      </c>
      <c r="E466" s="537">
        <v>1</v>
      </c>
      <c r="F466" s="538">
        <v>3.12</v>
      </c>
      <c r="G466" s="538">
        <v>0</v>
      </c>
      <c r="H466" s="538">
        <v>2.1</v>
      </c>
      <c r="I466" s="542">
        <f t="shared" si="47"/>
        <v>6.55</v>
      </c>
      <c r="J466" s="543" t="s">
        <v>102</v>
      </c>
      <c r="K466" s="39"/>
      <c r="L466" s="208"/>
      <c r="M466" s="39"/>
      <c r="N466" s="533" t="s">
        <v>2209</v>
      </c>
    </row>
    <row r="467" spans="1:14" s="541" customFormat="1" ht="16.5" customHeight="1">
      <c r="A467" s="16"/>
      <c r="B467" s="39" t="s">
        <v>3063</v>
      </c>
      <c r="C467" s="534">
        <v>1</v>
      </c>
      <c r="D467" s="536" t="s">
        <v>273</v>
      </c>
      <c r="E467" s="537">
        <v>1</v>
      </c>
      <c r="F467" s="538">
        <v>3.3</v>
      </c>
      <c r="G467" s="538">
        <v>0</v>
      </c>
      <c r="H467" s="538">
        <v>2.1</v>
      </c>
      <c r="I467" s="542">
        <f t="shared" si="47"/>
        <v>6.93</v>
      </c>
      <c r="J467" s="543" t="s">
        <v>102</v>
      </c>
      <c r="K467" s="39"/>
      <c r="L467" s="208"/>
      <c r="M467" s="39"/>
      <c r="N467" s="533" t="s">
        <v>2209</v>
      </c>
    </row>
    <row r="468" spans="1:14" s="541" customFormat="1" ht="16.5" customHeight="1">
      <c r="A468" s="16"/>
      <c r="B468" s="39"/>
      <c r="C468" s="534">
        <v>1</v>
      </c>
      <c r="D468" s="536" t="s">
        <v>273</v>
      </c>
      <c r="E468" s="537">
        <v>2</v>
      </c>
      <c r="F468" s="538">
        <v>1.5</v>
      </c>
      <c r="G468" s="538">
        <v>0</v>
      </c>
      <c r="H468" s="538">
        <v>2.1</v>
      </c>
      <c r="I468" s="542">
        <f t="shared" si="47"/>
        <v>6.3</v>
      </c>
      <c r="J468" s="543" t="s">
        <v>102</v>
      </c>
      <c r="K468" s="39"/>
      <c r="L468" s="208"/>
      <c r="M468" s="39"/>
      <c r="N468" s="533" t="s">
        <v>2209</v>
      </c>
    </row>
    <row r="469" spans="1:14" s="541" customFormat="1" ht="16.5" customHeight="1">
      <c r="A469" s="16"/>
      <c r="B469" s="39" t="s">
        <v>3064</v>
      </c>
      <c r="C469" s="534">
        <v>1</v>
      </c>
      <c r="D469" s="536" t="s">
        <v>273</v>
      </c>
      <c r="E469" s="537">
        <v>1</v>
      </c>
      <c r="F469" s="538">
        <v>10.53</v>
      </c>
      <c r="G469" s="538">
        <v>0</v>
      </c>
      <c r="H469" s="538">
        <v>0.9</v>
      </c>
      <c r="I469" s="542">
        <f t="shared" si="47"/>
        <v>9.48</v>
      </c>
      <c r="J469" s="543" t="s">
        <v>102</v>
      </c>
      <c r="K469" s="39"/>
      <c r="L469" s="208"/>
      <c r="M469" s="39"/>
      <c r="N469" s="533" t="s">
        <v>2209</v>
      </c>
    </row>
    <row r="470" spans="1:14" s="541" customFormat="1" ht="16.5" customHeight="1">
      <c r="A470" s="16"/>
      <c r="B470" s="39" t="s">
        <v>579</v>
      </c>
      <c r="C470" s="534">
        <v>1</v>
      </c>
      <c r="D470" s="536" t="s">
        <v>273</v>
      </c>
      <c r="E470" s="537">
        <v>4</v>
      </c>
      <c r="F470" s="538">
        <v>1.2</v>
      </c>
      <c r="G470" s="538">
        <v>0</v>
      </c>
      <c r="H470" s="538">
        <v>2.1</v>
      </c>
      <c r="I470" s="542">
        <f>-ROUND(IF(AND(F470:H470),C470*E470*F470*G470*H470,IF(AND(F470,G470),C470*E470*F470*G470,IF(AND(F470,H470),C470*E470*F470*H470,IF(AND(G470,H470),C470*E470*G470*H470,IF(F470,C470*E470*F470,IF(G470,C470*E470*G470,IF(H470,C470*E470*H470,C470*E470))))))),2)</f>
        <v>-10.08</v>
      </c>
      <c r="J470" s="543" t="s">
        <v>102</v>
      </c>
      <c r="K470" s="39"/>
      <c r="L470" s="208"/>
      <c r="M470" s="39"/>
      <c r="N470" s="533" t="s">
        <v>2209</v>
      </c>
    </row>
    <row r="471" spans="1:14" s="541" customFormat="1" ht="16.5" customHeight="1">
      <c r="A471" s="16"/>
      <c r="B471" s="39" t="s">
        <v>579</v>
      </c>
      <c r="C471" s="534">
        <v>1</v>
      </c>
      <c r="D471" s="536" t="s">
        <v>273</v>
      </c>
      <c r="E471" s="537">
        <v>3</v>
      </c>
      <c r="F471" s="538">
        <v>1.05</v>
      </c>
      <c r="G471" s="538">
        <v>0</v>
      </c>
      <c r="H471" s="538">
        <v>2.1</v>
      </c>
      <c r="I471" s="542">
        <f>-ROUND(IF(AND(F471:H471),C471*E471*F471*G471*H471,IF(AND(F471,G471),C471*E471*F471*G471,IF(AND(F471,H471),C471*E471*F471*H471,IF(AND(G471,H471),C471*E471*G471*H471,IF(F471,C471*E471*F471,IF(G471,C471*E471*G471,IF(H471,C471*E471*H471,C471*E471))))))),2)</f>
        <v>-6.62</v>
      </c>
      <c r="J471" s="543" t="s">
        <v>102</v>
      </c>
      <c r="K471" s="39"/>
      <c r="L471" s="208"/>
      <c r="M471" s="39"/>
      <c r="N471" s="533" t="s">
        <v>2209</v>
      </c>
    </row>
    <row r="472" spans="1:14" s="541" customFormat="1" ht="16.5" customHeight="1">
      <c r="A472" s="16"/>
      <c r="B472" s="39" t="s">
        <v>3065</v>
      </c>
      <c r="C472" s="534">
        <v>1</v>
      </c>
      <c r="D472" s="536" t="s">
        <v>273</v>
      </c>
      <c r="E472" s="537">
        <v>3</v>
      </c>
      <c r="F472" s="538">
        <v>0.75</v>
      </c>
      <c r="G472" s="538">
        <v>0</v>
      </c>
      <c r="H472" s="538">
        <v>2.1</v>
      </c>
      <c r="I472" s="542">
        <f>-ROUND(IF(AND(F472:H472),C472*E472*F472*G472*H472,IF(AND(F472,G472),C472*E472*F472*G472,IF(AND(F472,H472),C472*E472*F472*H472,IF(AND(G472,H472),C472*E472*G472*H472,IF(F472,C472*E472*F472,IF(G472,C472*E472*G472,IF(H472,C472*E472*H472,C472*E472))))))),2)</f>
        <v>-4.7300000000000004</v>
      </c>
      <c r="J472" s="543" t="s">
        <v>102</v>
      </c>
      <c r="K472" s="39"/>
      <c r="L472" s="208"/>
      <c r="M472" s="39"/>
      <c r="N472" s="533" t="s">
        <v>2209</v>
      </c>
    </row>
    <row r="473" spans="1:14" s="541" customFormat="1" ht="16.5" customHeight="1">
      <c r="A473" s="16"/>
      <c r="B473" s="39" t="s">
        <v>3028</v>
      </c>
      <c r="C473" s="534"/>
      <c r="D473" s="858" t="s">
        <v>3267</v>
      </c>
      <c r="E473" s="537"/>
      <c r="F473" s="538"/>
      <c r="G473" s="538"/>
      <c r="H473" s="538"/>
      <c r="I473" s="539"/>
      <c r="J473" s="820"/>
      <c r="K473" s="39"/>
      <c r="L473" s="208"/>
      <c r="M473" s="39"/>
      <c r="N473" s="533" t="s">
        <v>2209</v>
      </c>
    </row>
    <row r="474" spans="1:14" s="541" customFormat="1" ht="16.5" customHeight="1">
      <c r="A474" s="16"/>
      <c r="B474" s="39" t="s">
        <v>3060</v>
      </c>
      <c r="C474" s="534">
        <v>1</v>
      </c>
      <c r="D474" s="536" t="s">
        <v>273</v>
      </c>
      <c r="E474" s="537">
        <v>1</v>
      </c>
      <c r="F474" s="538">
        <v>12</v>
      </c>
      <c r="G474" s="538">
        <v>0</v>
      </c>
      <c r="H474" s="538">
        <v>0.62</v>
      </c>
      <c r="I474" s="542">
        <f t="shared" ref="I474:I479" si="48">ROUND(IF(AND(F474:H474),C474*E474*F474*G474*H474,IF(AND(F474,G474),C474*E474*F474*G474,IF(AND(F474,H474),C474*E474*F474*H474,IF(AND(G474,H474),C474*E474*G474*H474,IF(F474,C474*E474*F474,IF(G474,C474*E474*G474,IF(H474,C474*E474*H474,C474*E474))))))),2)</f>
        <v>7.44</v>
      </c>
      <c r="J474" s="543" t="s">
        <v>102</v>
      </c>
      <c r="K474" s="39"/>
      <c r="L474" s="208"/>
      <c r="M474" s="39"/>
      <c r="N474" s="533" t="s">
        <v>2209</v>
      </c>
    </row>
    <row r="475" spans="1:14" s="541" customFormat="1" ht="16.5" customHeight="1">
      <c r="A475" s="16"/>
      <c r="B475" s="39"/>
      <c r="C475" s="534">
        <v>1</v>
      </c>
      <c r="D475" s="536" t="s">
        <v>273</v>
      </c>
      <c r="E475" s="537">
        <v>1</v>
      </c>
      <c r="F475" s="538">
        <v>9.06</v>
      </c>
      <c r="G475" s="538">
        <v>0</v>
      </c>
      <c r="H475" s="538">
        <v>0.62</v>
      </c>
      <c r="I475" s="542">
        <f t="shared" si="48"/>
        <v>5.62</v>
      </c>
      <c r="J475" s="543" t="s">
        <v>102</v>
      </c>
      <c r="K475" s="39"/>
      <c r="L475" s="208"/>
      <c r="M475" s="39"/>
      <c r="N475" s="533" t="s">
        <v>2209</v>
      </c>
    </row>
    <row r="476" spans="1:14" s="541" customFormat="1" ht="16.5" customHeight="1">
      <c r="A476" s="16"/>
      <c r="B476" s="39" t="s">
        <v>3061</v>
      </c>
      <c r="C476" s="534">
        <v>1</v>
      </c>
      <c r="D476" s="536" t="s">
        <v>273</v>
      </c>
      <c r="E476" s="537">
        <v>3</v>
      </c>
      <c r="F476" s="538">
        <v>2.86</v>
      </c>
      <c r="G476" s="538">
        <v>0</v>
      </c>
      <c r="H476" s="538">
        <v>0.77</v>
      </c>
      <c r="I476" s="542">
        <f t="shared" si="48"/>
        <v>6.61</v>
      </c>
      <c r="J476" s="543" t="s">
        <v>102</v>
      </c>
      <c r="K476" s="39"/>
      <c r="L476" s="208"/>
      <c r="M476" s="39"/>
      <c r="N476" s="533" t="s">
        <v>2209</v>
      </c>
    </row>
    <row r="477" spans="1:14" s="541" customFormat="1" ht="16.5" customHeight="1">
      <c r="A477" s="16"/>
      <c r="B477" s="39" t="s">
        <v>3062</v>
      </c>
      <c r="C477" s="534">
        <v>1</v>
      </c>
      <c r="D477" s="536" t="s">
        <v>273</v>
      </c>
      <c r="E477" s="537">
        <v>1</v>
      </c>
      <c r="F477" s="538">
        <v>3.12</v>
      </c>
      <c r="G477" s="538">
        <v>0</v>
      </c>
      <c r="H477" s="538">
        <v>0.7</v>
      </c>
      <c r="I477" s="542">
        <f t="shared" si="48"/>
        <v>2.1800000000000002</v>
      </c>
      <c r="J477" s="543" t="s">
        <v>102</v>
      </c>
      <c r="K477" s="39"/>
      <c r="L477" s="208"/>
      <c r="M477" s="39"/>
      <c r="N477" s="533" t="s">
        <v>2209</v>
      </c>
    </row>
    <row r="478" spans="1:14" s="541" customFormat="1" ht="16.5" customHeight="1">
      <c r="A478" s="16"/>
      <c r="B478" s="39" t="s">
        <v>3063</v>
      </c>
      <c r="C478" s="534">
        <v>1</v>
      </c>
      <c r="D478" s="536" t="s">
        <v>273</v>
      </c>
      <c r="E478" s="537">
        <v>1</v>
      </c>
      <c r="F478" s="538">
        <v>3.3</v>
      </c>
      <c r="G478" s="538">
        <v>0</v>
      </c>
      <c r="H478" s="538">
        <v>0.9</v>
      </c>
      <c r="I478" s="542">
        <f t="shared" si="48"/>
        <v>2.97</v>
      </c>
      <c r="J478" s="543" t="s">
        <v>102</v>
      </c>
      <c r="K478" s="39"/>
      <c r="L478" s="208"/>
      <c r="M478" s="39"/>
      <c r="N478" s="533" t="s">
        <v>2209</v>
      </c>
    </row>
    <row r="479" spans="1:14" s="541" customFormat="1" ht="16.5" customHeight="1">
      <c r="A479" s="16"/>
      <c r="B479" s="39"/>
      <c r="C479" s="534">
        <v>1</v>
      </c>
      <c r="D479" s="536" t="s">
        <v>273</v>
      </c>
      <c r="E479" s="537">
        <v>2</v>
      </c>
      <c r="F479" s="538">
        <v>1.5</v>
      </c>
      <c r="G479" s="538">
        <v>0</v>
      </c>
      <c r="H479" s="538">
        <v>0.6</v>
      </c>
      <c r="I479" s="542">
        <f t="shared" si="48"/>
        <v>1.8</v>
      </c>
      <c r="J479" s="543" t="s">
        <v>102</v>
      </c>
      <c r="K479" s="39"/>
      <c r="L479" s="208"/>
      <c r="M479" s="39"/>
      <c r="N479" s="533" t="s">
        <v>2209</v>
      </c>
    </row>
    <row r="480" spans="1:14" s="541" customFormat="1" ht="16.5" customHeight="1">
      <c r="A480" s="16"/>
      <c r="B480" s="39" t="s">
        <v>3015</v>
      </c>
      <c r="C480" s="534"/>
      <c r="D480" s="858" t="s">
        <v>3248</v>
      </c>
      <c r="E480" s="537"/>
      <c r="F480" s="538"/>
      <c r="G480" s="538"/>
      <c r="H480" s="538"/>
      <c r="I480" s="539"/>
      <c r="J480" s="550"/>
      <c r="K480" s="39"/>
      <c r="L480" s="208"/>
      <c r="M480" s="39"/>
      <c r="N480" s="533" t="s">
        <v>2209</v>
      </c>
    </row>
    <row r="481" spans="1:14" s="541" customFormat="1" ht="16.5" customHeight="1">
      <c r="A481" s="16"/>
      <c r="B481" s="39" t="s">
        <v>3070</v>
      </c>
      <c r="C481" s="534">
        <v>1</v>
      </c>
      <c r="D481" s="536" t="s">
        <v>273</v>
      </c>
      <c r="E481" s="537">
        <v>1</v>
      </c>
      <c r="F481" s="538">
        <v>2.68</v>
      </c>
      <c r="G481" s="538">
        <v>0</v>
      </c>
      <c r="H481" s="538">
        <v>1.2</v>
      </c>
      <c r="I481" s="542">
        <f t="shared" ref="I481:I485" si="49">ROUND(IF(AND(F481:H481),C481*E481*F481*G481*H481,IF(AND(F481,G481),C481*E481*F481*G481,IF(AND(F481,H481),C481*E481*F481*H481,IF(AND(G481,H481),C481*E481*G481*H481,IF(F481,C481*E481*F481,IF(G481,C481*E481*G481,IF(H481,C481*E481*H481,C481*E481))))))),2)</f>
        <v>3.22</v>
      </c>
      <c r="J481" s="550" t="s">
        <v>102</v>
      </c>
      <c r="K481" s="39"/>
      <c r="L481" s="208"/>
      <c r="M481" s="39"/>
      <c r="N481" s="533" t="s">
        <v>2209</v>
      </c>
    </row>
    <row r="482" spans="1:14" s="541" customFormat="1" ht="16.5" customHeight="1">
      <c r="A482" s="16"/>
      <c r="B482" s="39" t="s">
        <v>3068</v>
      </c>
      <c r="C482" s="534">
        <v>1</v>
      </c>
      <c r="D482" s="536" t="s">
        <v>273</v>
      </c>
      <c r="E482" s="537">
        <v>2</v>
      </c>
      <c r="F482" s="538">
        <v>0.85</v>
      </c>
      <c r="G482" s="538">
        <v>0</v>
      </c>
      <c r="H482" s="538">
        <v>1.2</v>
      </c>
      <c r="I482" s="542">
        <f t="shared" si="49"/>
        <v>2.04</v>
      </c>
      <c r="J482" s="550" t="s">
        <v>102</v>
      </c>
      <c r="K482" s="39"/>
      <c r="L482" s="208"/>
      <c r="M482" s="39"/>
      <c r="N482" s="533" t="s">
        <v>2209</v>
      </c>
    </row>
    <row r="483" spans="1:14" s="541" customFormat="1" ht="16.5" customHeight="1">
      <c r="A483" s="16"/>
      <c r="B483" s="39" t="s">
        <v>2981</v>
      </c>
      <c r="C483" s="534">
        <v>1</v>
      </c>
      <c r="D483" s="536" t="s">
        <v>273</v>
      </c>
      <c r="E483" s="537">
        <v>2</v>
      </c>
      <c r="F483" s="538">
        <v>0.85</v>
      </c>
      <c r="G483" s="538">
        <v>0</v>
      </c>
      <c r="H483" s="538">
        <v>1.2</v>
      </c>
      <c r="I483" s="542">
        <f t="shared" si="49"/>
        <v>2.04</v>
      </c>
      <c r="J483" s="550" t="s">
        <v>102</v>
      </c>
      <c r="K483" s="39"/>
      <c r="L483" s="208"/>
      <c r="M483" s="39"/>
      <c r="N483" s="533" t="s">
        <v>2209</v>
      </c>
    </row>
    <row r="484" spans="1:14" s="541" customFormat="1" ht="16.5" customHeight="1">
      <c r="A484" s="16"/>
      <c r="B484" s="39" t="s">
        <v>3071</v>
      </c>
      <c r="C484" s="534">
        <v>1</v>
      </c>
      <c r="D484" s="536" t="s">
        <v>273</v>
      </c>
      <c r="E484" s="537">
        <v>1</v>
      </c>
      <c r="F484" s="538">
        <v>5.5</v>
      </c>
      <c r="G484" s="538">
        <v>0</v>
      </c>
      <c r="H484" s="538">
        <v>0.9</v>
      </c>
      <c r="I484" s="542">
        <f t="shared" si="49"/>
        <v>4.95</v>
      </c>
      <c r="J484" s="550" t="s">
        <v>102</v>
      </c>
      <c r="K484" s="39"/>
      <c r="L484" s="208"/>
      <c r="M484" s="39"/>
      <c r="N484" s="533" t="s">
        <v>2209</v>
      </c>
    </row>
    <row r="485" spans="1:14" s="541" customFormat="1" ht="16.5" customHeight="1">
      <c r="A485" s="16"/>
      <c r="B485" s="39" t="s">
        <v>3068</v>
      </c>
      <c r="C485" s="534">
        <v>1</v>
      </c>
      <c r="D485" s="536" t="s">
        <v>273</v>
      </c>
      <c r="E485" s="537">
        <v>2</v>
      </c>
      <c r="F485" s="538">
        <v>2.5</v>
      </c>
      <c r="G485" s="538">
        <v>0</v>
      </c>
      <c r="H485" s="538">
        <v>0.9</v>
      </c>
      <c r="I485" s="542">
        <f t="shared" si="49"/>
        <v>4.5</v>
      </c>
      <c r="J485" s="550" t="s">
        <v>102</v>
      </c>
      <c r="K485" s="39"/>
      <c r="L485" s="208"/>
      <c r="M485" s="39"/>
      <c r="N485" s="533" t="s">
        <v>2209</v>
      </c>
    </row>
    <row r="486" spans="1:14" s="541" customFormat="1" ht="16.5" customHeight="1">
      <c r="A486" s="16"/>
      <c r="B486" s="39"/>
      <c r="C486" s="534"/>
      <c r="D486" s="536"/>
      <c r="E486" s="537"/>
      <c r="F486" s="538"/>
      <c r="G486" s="538"/>
      <c r="H486" s="538"/>
      <c r="I486" s="542"/>
      <c r="J486" s="550"/>
      <c r="K486" s="39"/>
      <c r="L486" s="208"/>
      <c r="M486" s="39"/>
      <c r="N486" s="533" t="s">
        <v>2209</v>
      </c>
    </row>
    <row r="487" spans="1:14" ht="15.75">
      <c r="A487" s="16"/>
      <c r="B487" s="39"/>
      <c r="C487" s="551"/>
      <c r="D487" s="552"/>
      <c r="E487" s="537"/>
      <c r="F487" s="538"/>
      <c r="G487" s="40"/>
      <c r="H487" s="16"/>
      <c r="I487" s="549"/>
      <c r="J487" s="550" t="s">
        <v>102</v>
      </c>
      <c r="K487" s="10">
        <f>data!F411</f>
        <v>767.73</v>
      </c>
      <c r="L487" s="208" t="s">
        <v>2209</v>
      </c>
      <c r="M487" s="9">
        <f>ROUND(I487*K487/1,0)</f>
        <v>0</v>
      </c>
      <c r="N487" s="533" t="s">
        <v>2209</v>
      </c>
    </row>
    <row r="488" spans="1:14" ht="132.75" customHeight="1">
      <c r="A488" s="16">
        <v>9</v>
      </c>
      <c r="B488" s="1633" t="s">
        <v>901</v>
      </c>
      <c r="C488" s="1633"/>
      <c r="D488" s="1633"/>
      <c r="E488" s="1633"/>
      <c r="F488" s="1633"/>
      <c r="G488" s="1633"/>
      <c r="H488" s="1633"/>
      <c r="I488" s="534"/>
      <c r="J488" s="535"/>
      <c r="K488" s="16"/>
      <c r="L488" s="208"/>
      <c r="M488" s="38"/>
      <c r="N488" s="533" t="s">
        <v>2297</v>
      </c>
    </row>
    <row r="489" spans="1:14" s="541" customFormat="1" ht="16.5" customHeight="1">
      <c r="A489" s="16"/>
      <c r="B489" s="39" t="s">
        <v>2808</v>
      </c>
      <c r="C489" s="534"/>
      <c r="D489" s="536"/>
      <c r="E489" s="537"/>
      <c r="F489" s="538"/>
      <c r="G489" s="538"/>
      <c r="H489" s="538"/>
      <c r="I489" s="539"/>
      <c r="J489" s="550"/>
      <c r="K489" s="39"/>
      <c r="L489" s="208"/>
      <c r="M489" s="39"/>
      <c r="N489" s="533" t="s">
        <v>2297</v>
      </c>
    </row>
    <row r="490" spans="1:14" s="541" customFormat="1" ht="16.5" customHeight="1">
      <c r="A490" s="16"/>
      <c r="B490" s="39" t="s">
        <v>2881</v>
      </c>
      <c r="C490" s="534">
        <v>1</v>
      </c>
      <c r="D490" s="536" t="s">
        <v>273</v>
      </c>
      <c r="E490" s="537">
        <v>1</v>
      </c>
      <c r="F490" s="538">
        <v>8.23</v>
      </c>
      <c r="G490" s="538">
        <v>0</v>
      </c>
      <c r="H490" s="538">
        <v>2.1</v>
      </c>
      <c r="I490" s="542">
        <f t="shared" ref="I490" si="50">ROUND(IF(AND(F490:H490),C490*E490*F490*G490*H490,IF(AND(F490,G490),C490*E490*F490*G490,IF(AND(F490,H490),C490*E490*F490*H490,IF(AND(G490,H490),C490*E490*G490*H490,IF(F490,C490*E490*F490,IF(G490,C490*E490*G490,IF(H490,C490*E490*H490,C490*E490))))))),2)</f>
        <v>17.28</v>
      </c>
      <c r="J490" s="550" t="s">
        <v>102</v>
      </c>
      <c r="K490" s="39"/>
      <c r="L490" s="208"/>
      <c r="M490" s="39"/>
      <c r="N490" s="533" t="s">
        <v>2297</v>
      </c>
    </row>
    <row r="491" spans="1:14" s="541" customFormat="1" ht="16.5" customHeight="1">
      <c r="A491" s="16"/>
      <c r="B491" s="39" t="s">
        <v>281</v>
      </c>
      <c r="C491" s="534">
        <v>1</v>
      </c>
      <c r="D491" s="536" t="s">
        <v>273</v>
      </c>
      <c r="E491" s="537">
        <v>1</v>
      </c>
      <c r="F491" s="538">
        <v>0.38</v>
      </c>
      <c r="G491" s="538">
        <v>0</v>
      </c>
      <c r="H491" s="538">
        <v>2.1</v>
      </c>
      <c r="I491" s="542">
        <f>-ROUND(IF(AND(F491:H491),C491*E491*F491*G491*H491,IF(AND(F491,G491),C491*E491*F491*G491,IF(AND(F491,H491),C491*E491*F491*H491,IF(AND(G491,H491),C491*E491*G491*H491,IF(F491,C491*E491*F491,IF(G491,C491*E491*G491,IF(H491,C491*E491*H491,C491*E491))))))),2)</f>
        <v>-0.8</v>
      </c>
      <c r="J491" s="550" t="s">
        <v>102</v>
      </c>
      <c r="K491" s="39"/>
      <c r="L491" s="208"/>
      <c r="M491" s="39"/>
      <c r="N491" s="533" t="s">
        <v>2297</v>
      </c>
    </row>
    <row r="492" spans="1:14" s="541" customFormat="1" ht="16.5" customHeight="1">
      <c r="A492" s="16"/>
      <c r="B492" s="39" t="s">
        <v>2718</v>
      </c>
      <c r="C492" s="534">
        <v>1</v>
      </c>
      <c r="D492" s="536" t="s">
        <v>273</v>
      </c>
      <c r="E492" s="537">
        <v>1</v>
      </c>
      <c r="F492" s="538">
        <v>1.2</v>
      </c>
      <c r="G492" s="538">
        <v>0</v>
      </c>
      <c r="H492" s="538">
        <v>2.1</v>
      </c>
      <c r="I492" s="542">
        <f>-ROUND(IF(AND(F492:H492),C492*E492*F492*G492*H492,IF(AND(F492,G492),C492*E492*F492*G492,IF(AND(F492,H492),C492*E492*F492*H492,IF(AND(G492,H492),C492*E492*G492*H492,IF(F492,C492*E492*F492,IF(G492,C492*E492*G492,IF(H492,C492*E492*H492,C492*E492))))))),2)</f>
        <v>-2.52</v>
      </c>
      <c r="J492" s="550" t="s">
        <v>102</v>
      </c>
      <c r="K492" s="39"/>
      <c r="L492" s="208"/>
      <c r="M492" s="39"/>
      <c r="N492" s="533" t="s">
        <v>2297</v>
      </c>
    </row>
    <row r="493" spans="1:14" s="541" customFormat="1" ht="16.5" customHeight="1">
      <c r="A493" s="16"/>
      <c r="B493" s="39" t="s">
        <v>2718</v>
      </c>
      <c r="C493" s="534">
        <v>1</v>
      </c>
      <c r="D493" s="536" t="s">
        <v>273</v>
      </c>
      <c r="E493" s="537">
        <v>1</v>
      </c>
      <c r="F493" s="538">
        <v>1</v>
      </c>
      <c r="G493" s="538">
        <v>0</v>
      </c>
      <c r="H493" s="538">
        <v>2.1</v>
      </c>
      <c r="I493" s="542">
        <f>-ROUND(IF(AND(F493:H493),C493*E493*F493*G493*H493,IF(AND(F493,G493),C493*E493*F493*G493,IF(AND(F493,H493),C493*E493*F493*H493,IF(AND(G493,H493),C493*E493*G493*H493,IF(F493,C493*E493*F493,IF(G493,C493*E493*G493,IF(H493,C493*E493*H493,C493*E493))))))),2)</f>
        <v>-2.1</v>
      </c>
      <c r="J493" s="550" t="s">
        <v>102</v>
      </c>
      <c r="K493" s="39"/>
      <c r="L493" s="208"/>
      <c r="M493" s="39"/>
      <c r="N493" s="533" t="s">
        <v>2297</v>
      </c>
    </row>
    <row r="494" spans="1:14" s="541" customFormat="1" ht="16.5" customHeight="1">
      <c r="A494" s="16"/>
      <c r="B494" s="39" t="s">
        <v>2882</v>
      </c>
      <c r="C494" s="534">
        <v>1</v>
      </c>
      <c r="D494" s="536" t="s">
        <v>273</v>
      </c>
      <c r="E494" s="537">
        <v>2</v>
      </c>
      <c r="F494" s="538">
        <v>2.84</v>
      </c>
      <c r="G494" s="538">
        <v>0</v>
      </c>
      <c r="H494" s="538">
        <v>2.1</v>
      </c>
      <c r="I494" s="542">
        <f t="shared" ref="I494:I505" si="51">ROUND(IF(AND(F494:H494),C494*E494*F494*G494*H494,IF(AND(F494,G494),C494*E494*F494*G494,IF(AND(F494,H494),C494*E494*F494*H494,IF(AND(G494,H494),C494*E494*G494*H494,IF(F494,C494*E494*F494,IF(G494,C494*E494*G494,IF(H494,C494*E494*H494,C494*E494))))))),2)</f>
        <v>11.93</v>
      </c>
      <c r="J494" s="550" t="s">
        <v>102</v>
      </c>
      <c r="K494" s="39"/>
      <c r="L494" s="208"/>
      <c r="M494" s="39"/>
      <c r="N494" s="533" t="s">
        <v>2297</v>
      </c>
    </row>
    <row r="495" spans="1:14" s="541" customFormat="1" ht="16.5" customHeight="1">
      <c r="A495" s="16"/>
      <c r="B495" s="39" t="s">
        <v>2883</v>
      </c>
      <c r="C495" s="534">
        <v>1</v>
      </c>
      <c r="D495" s="536" t="s">
        <v>273</v>
      </c>
      <c r="E495" s="537">
        <v>1</v>
      </c>
      <c r="F495" s="538">
        <v>8.93</v>
      </c>
      <c r="G495" s="538">
        <v>0</v>
      </c>
      <c r="H495" s="538">
        <v>2.1</v>
      </c>
      <c r="I495" s="542">
        <f t="shared" ref="I495:I501" si="52">ROUND(IF(AND(F495:H495),C495*E495*F495*G495*H495,IF(AND(F495,G495),C495*E495*F495*G495,IF(AND(F495,H495),C495*E495*F495*H495,IF(AND(G495,H495),C495*E495*G495*H495,IF(F495,C495*E495*F495,IF(G495,C495*E495*G495,IF(H495,C495*E495*H495,C495*E495))))))),2)</f>
        <v>18.75</v>
      </c>
      <c r="J495" s="550" t="s">
        <v>102</v>
      </c>
      <c r="K495" s="39"/>
      <c r="L495" s="208"/>
      <c r="M495" s="39"/>
      <c r="N495" s="533" t="s">
        <v>2297</v>
      </c>
    </row>
    <row r="496" spans="1:14" s="541" customFormat="1" ht="16.5" customHeight="1">
      <c r="A496" s="16"/>
      <c r="B496" s="39" t="s">
        <v>281</v>
      </c>
      <c r="C496" s="534">
        <v>1</v>
      </c>
      <c r="D496" s="536" t="s">
        <v>273</v>
      </c>
      <c r="E496" s="537">
        <v>2</v>
      </c>
      <c r="F496" s="538">
        <v>0.23</v>
      </c>
      <c r="G496" s="538">
        <v>0</v>
      </c>
      <c r="H496" s="538">
        <v>2.1</v>
      </c>
      <c r="I496" s="542">
        <f>-ROUND(IF(AND(F496:H496),C496*E496*F496*G496*H496,IF(AND(F496,G496),C496*E496*F496*G496,IF(AND(F496,H496),C496*E496*F496*H496,IF(AND(G496,H496),C496*E496*G496*H496,IF(F496,C496*E496*F496,IF(G496,C496*E496*G496,IF(H496,C496*E496*H496,C496*E496))))))),2)</f>
        <v>-0.97</v>
      </c>
      <c r="J496" s="550" t="s">
        <v>102</v>
      </c>
      <c r="K496" s="39"/>
      <c r="L496" s="208"/>
      <c r="M496" s="39"/>
      <c r="N496" s="533" t="s">
        <v>2297</v>
      </c>
    </row>
    <row r="497" spans="1:14" s="541" customFormat="1" ht="16.5" customHeight="1">
      <c r="A497" s="16"/>
      <c r="B497" s="39" t="s">
        <v>2718</v>
      </c>
      <c r="C497" s="534">
        <v>1</v>
      </c>
      <c r="D497" s="536" t="s">
        <v>273</v>
      </c>
      <c r="E497" s="537">
        <v>3</v>
      </c>
      <c r="F497" s="538">
        <v>1</v>
      </c>
      <c r="G497" s="538">
        <v>0</v>
      </c>
      <c r="H497" s="538">
        <v>2.1</v>
      </c>
      <c r="I497" s="542">
        <f>-ROUND(IF(AND(F497:H497),C497*E497*F497*G497*H497,IF(AND(F497,G497),C497*E497*F497*G497,IF(AND(F497,H497),C497*E497*F497*H497,IF(AND(G497,H497),C497*E497*G497*H497,IF(F497,C497*E497*F497,IF(G497,C497*E497*G497,IF(H497,C497*E497*H497,C497*E497))))))),2)</f>
        <v>-6.3</v>
      </c>
      <c r="J497" s="550" t="s">
        <v>102</v>
      </c>
      <c r="K497" s="39"/>
      <c r="L497" s="208"/>
      <c r="M497" s="39"/>
      <c r="N497" s="533" t="s">
        <v>2297</v>
      </c>
    </row>
    <row r="498" spans="1:14" s="541" customFormat="1" ht="16.5" customHeight="1">
      <c r="A498" s="16"/>
      <c r="B498" s="39" t="s">
        <v>2884</v>
      </c>
      <c r="C498" s="534">
        <v>1</v>
      </c>
      <c r="D498" s="536" t="s">
        <v>273</v>
      </c>
      <c r="E498" s="537">
        <v>1</v>
      </c>
      <c r="F498" s="538">
        <v>8.93</v>
      </c>
      <c r="G498" s="538">
        <v>0</v>
      </c>
      <c r="H498" s="538">
        <v>2.1</v>
      </c>
      <c r="I498" s="542">
        <f t="shared" si="52"/>
        <v>18.75</v>
      </c>
      <c r="J498" s="550" t="s">
        <v>102</v>
      </c>
      <c r="K498" s="39"/>
      <c r="L498" s="208"/>
      <c r="M498" s="39"/>
      <c r="N498" s="533" t="s">
        <v>2297</v>
      </c>
    </row>
    <row r="499" spans="1:14" s="541" customFormat="1" ht="16.5" customHeight="1">
      <c r="A499" s="16"/>
      <c r="B499" s="39" t="s">
        <v>579</v>
      </c>
      <c r="C499" s="534">
        <v>1</v>
      </c>
      <c r="D499" s="536" t="s">
        <v>273</v>
      </c>
      <c r="E499" s="537">
        <v>1</v>
      </c>
      <c r="F499" s="538">
        <v>1</v>
      </c>
      <c r="G499" s="538">
        <v>0</v>
      </c>
      <c r="H499" s="538">
        <v>2.1</v>
      </c>
      <c r="I499" s="542">
        <f>-ROUND(IF(AND(F499:H499),C499*E499*F499*G499*H499,IF(AND(F499,G499),C499*E499*F499*G499,IF(AND(F499,H499),C499*E499*F499*H499,IF(AND(G499,H499),C499*E499*G499*H499,IF(F499,C499*E499*F499,IF(G499,C499*E499*G499,IF(H499,C499*E499*H499,C499*E499))))))),2)</f>
        <v>-2.1</v>
      </c>
      <c r="J499" s="550" t="s">
        <v>102</v>
      </c>
      <c r="K499" s="39"/>
      <c r="L499" s="208"/>
      <c r="M499" s="39"/>
      <c r="N499" s="533" t="s">
        <v>2297</v>
      </c>
    </row>
    <row r="500" spans="1:14" s="541" customFormat="1" ht="16.5" customHeight="1">
      <c r="A500" s="16"/>
      <c r="B500" s="39" t="s">
        <v>2885</v>
      </c>
      <c r="C500" s="534">
        <v>1</v>
      </c>
      <c r="D500" s="536" t="s">
        <v>273</v>
      </c>
      <c r="E500" s="537">
        <v>2</v>
      </c>
      <c r="F500" s="538">
        <v>0.75</v>
      </c>
      <c r="G500" s="538">
        <v>0</v>
      </c>
      <c r="H500" s="538">
        <v>2.1</v>
      </c>
      <c r="I500" s="542">
        <f>-ROUND(IF(AND(F500:H500),C500*E500*F500*G500*H500,IF(AND(F500,G500),C500*E500*F500*G500,IF(AND(F500,H500),C500*E500*F500*H500,IF(AND(G500,H500),C500*E500*G500*H500,IF(F500,C500*E500*F500,IF(G500,C500*E500*G500,IF(H500,C500*E500*H500,C500*E500))))))),2)</f>
        <v>-3.15</v>
      </c>
      <c r="J500" s="550" t="s">
        <v>102</v>
      </c>
      <c r="K500" s="39"/>
      <c r="L500" s="208"/>
      <c r="M500" s="39"/>
      <c r="N500" s="533" t="s">
        <v>2297</v>
      </c>
    </row>
    <row r="501" spans="1:14" s="541" customFormat="1" ht="16.5" customHeight="1">
      <c r="A501" s="16"/>
      <c r="B501" s="39" t="s">
        <v>2886</v>
      </c>
      <c r="C501" s="534">
        <v>1</v>
      </c>
      <c r="D501" s="536" t="s">
        <v>273</v>
      </c>
      <c r="E501" s="537">
        <v>1</v>
      </c>
      <c r="F501" s="538">
        <v>3.02</v>
      </c>
      <c r="G501" s="538">
        <v>0</v>
      </c>
      <c r="H501" s="538">
        <v>2.1</v>
      </c>
      <c r="I501" s="542">
        <f t="shared" si="52"/>
        <v>6.34</v>
      </c>
      <c r="J501" s="550" t="s">
        <v>102</v>
      </c>
      <c r="K501" s="39"/>
      <c r="L501" s="208"/>
      <c r="M501" s="39"/>
      <c r="N501" s="533" t="s">
        <v>2297</v>
      </c>
    </row>
    <row r="502" spans="1:14" s="541" customFormat="1" ht="16.5" customHeight="1">
      <c r="A502" s="16"/>
      <c r="B502" s="39" t="s">
        <v>2887</v>
      </c>
      <c r="C502" s="534">
        <v>1</v>
      </c>
      <c r="D502" s="536" t="s">
        <v>273</v>
      </c>
      <c r="E502" s="537">
        <v>1</v>
      </c>
      <c r="F502" s="538">
        <v>3.02</v>
      </c>
      <c r="G502" s="538">
        <v>0</v>
      </c>
      <c r="H502" s="538">
        <v>2.1</v>
      </c>
      <c r="I502" s="542">
        <f t="shared" si="51"/>
        <v>6.34</v>
      </c>
      <c r="J502" s="550" t="s">
        <v>102</v>
      </c>
      <c r="K502" s="39"/>
      <c r="L502" s="208"/>
      <c r="M502" s="39"/>
      <c r="N502" s="533" t="s">
        <v>2297</v>
      </c>
    </row>
    <row r="503" spans="1:14" s="541" customFormat="1" ht="16.5" customHeight="1">
      <c r="A503" s="16"/>
      <c r="B503" s="39" t="s">
        <v>579</v>
      </c>
      <c r="C503" s="534">
        <v>1</v>
      </c>
      <c r="D503" s="536" t="s">
        <v>273</v>
      </c>
      <c r="E503" s="537">
        <v>1</v>
      </c>
      <c r="F503" s="538">
        <v>0.75</v>
      </c>
      <c r="G503" s="538">
        <v>0</v>
      </c>
      <c r="H503" s="538">
        <v>2.1</v>
      </c>
      <c r="I503" s="542">
        <f>-ROUND(IF(AND(F503:H503),C503*E503*F503*G503*H503,IF(AND(F503,G503),C503*E503*F503*G503,IF(AND(F503,H503),C503*E503*F503*H503,IF(AND(G503,H503),C503*E503*G503*H503,IF(F503,C503*E503*F503,IF(G503,C503*E503*G503,IF(H503,C503*E503*H503,C503*E503))))))),2)</f>
        <v>-1.58</v>
      </c>
      <c r="J503" s="550" t="s">
        <v>102</v>
      </c>
      <c r="K503" s="39"/>
      <c r="L503" s="208"/>
      <c r="M503" s="39"/>
      <c r="N503" s="533" t="s">
        <v>2297</v>
      </c>
    </row>
    <row r="504" spans="1:14" s="541" customFormat="1" ht="16.5" customHeight="1">
      <c r="A504" s="16"/>
      <c r="B504" s="39" t="s">
        <v>2888</v>
      </c>
      <c r="C504" s="534">
        <v>1</v>
      </c>
      <c r="D504" s="536" t="s">
        <v>273</v>
      </c>
      <c r="E504" s="537">
        <v>1</v>
      </c>
      <c r="F504" s="538">
        <v>1.62</v>
      </c>
      <c r="G504" s="538">
        <v>0</v>
      </c>
      <c r="H504" s="538">
        <v>2.1</v>
      </c>
      <c r="I504" s="542">
        <f t="shared" si="51"/>
        <v>3.4</v>
      </c>
      <c r="J504" s="550" t="s">
        <v>102</v>
      </c>
      <c r="K504" s="39"/>
      <c r="L504" s="208"/>
      <c r="M504" s="39"/>
      <c r="N504" s="533" t="s">
        <v>2297</v>
      </c>
    </row>
    <row r="505" spans="1:14" s="541" customFormat="1" ht="16.5" customHeight="1">
      <c r="A505" s="16"/>
      <c r="B505" s="39"/>
      <c r="C505" s="534">
        <v>1</v>
      </c>
      <c r="D505" s="536" t="s">
        <v>273</v>
      </c>
      <c r="E505" s="537">
        <v>1</v>
      </c>
      <c r="F505" s="538">
        <v>1.55</v>
      </c>
      <c r="G505" s="538">
        <v>0</v>
      </c>
      <c r="H505" s="538">
        <v>2.1</v>
      </c>
      <c r="I505" s="542">
        <f t="shared" si="51"/>
        <v>3.26</v>
      </c>
      <c r="J505" s="550" t="s">
        <v>102</v>
      </c>
      <c r="K505" s="39"/>
      <c r="L505" s="208"/>
      <c r="M505" s="39"/>
      <c r="N505" s="533" t="s">
        <v>2297</v>
      </c>
    </row>
    <row r="506" spans="1:14" s="541" customFormat="1" ht="16.5" customHeight="1">
      <c r="A506" s="16"/>
      <c r="B506" s="39" t="s">
        <v>2844</v>
      </c>
      <c r="C506" s="534"/>
      <c r="D506" s="536"/>
      <c r="E506" s="537"/>
      <c r="F506" s="538"/>
      <c r="G506" s="538"/>
      <c r="H506" s="538"/>
      <c r="I506" s="539"/>
      <c r="J506" s="550"/>
      <c r="K506" s="39"/>
      <c r="L506" s="208"/>
      <c r="M506" s="39"/>
      <c r="N506" s="533" t="s">
        <v>2297</v>
      </c>
    </row>
    <row r="507" spans="1:14" s="541" customFormat="1" ht="16.5" customHeight="1">
      <c r="A507" s="16"/>
      <c r="B507" s="39" t="s">
        <v>2552</v>
      </c>
      <c r="C507" s="534">
        <v>1</v>
      </c>
      <c r="D507" s="536" t="s">
        <v>273</v>
      </c>
      <c r="E507" s="537">
        <v>3</v>
      </c>
      <c r="F507" s="538">
        <v>2.86</v>
      </c>
      <c r="G507" s="538">
        <v>0</v>
      </c>
      <c r="H507" s="538">
        <v>0.625</v>
      </c>
      <c r="I507" s="542">
        <f>ROUND(IF(AND(F507:H507),C507*E507*F507*G507*H507,IF(AND(F507,G507),C507*E507*F507*G507,IF(AND(F507,H507),C507*E507*F507*H507,IF(AND(G507,H507),C507*E507*G507*H507,IF(F507,C507*E507*F507,IF(G507,C507*E507*G507,IF(H507,C507*E507*H507,C507*E507))))))),2)</f>
        <v>5.36</v>
      </c>
      <c r="J507" s="550" t="s">
        <v>102</v>
      </c>
      <c r="K507" s="39"/>
      <c r="L507" s="208"/>
      <c r="M507" s="39"/>
      <c r="N507" s="533" t="s">
        <v>2297</v>
      </c>
    </row>
    <row r="508" spans="1:14" s="541" customFormat="1" ht="16.5" customHeight="1">
      <c r="A508" s="16"/>
      <c r="B508" s="39" t="s">
        <v>2903</v>
      </c>
      <c r="C508" s="534">
        <v>1</v>
      </c>
      <c r="D508" s="536" t="s">
        <v>273</v>
      </c>
      <c r="E508" s="537">
        <v>1</v>
      </c>
      <c r="F508" s="538">
        <v>4.99</v>
      </c>
      <c r="G508" s="538">
        <v>0</v>
      </c>
      <c r="H508" s="538">
        <v>0.54500000000000004</v>
      </c>
      <c r="I508" s="542">
        <f t="shared" ref="I508:I518" si="53">ROUND(IF(AND(F508:H508),C508*E508*F508*G508*H508,IF(AND(F508,G508),C508*E508*F508*G508,IF(AND(F508,H508),C508*E508*F508*H508,IF(AND(G508,H508),C508*E508*G508*H508,IF(F508,C508*E508*F508,IF(G508,C508*E508*G508,IF(H508,C508*E508*H508,C508*E508))))))),2)</f>
        <v>2.72</v>
      </c>
      <c r="J508" s="550" t="s">
        <v>102</v>
      </c>
      <c r="K508" s="39"/>
      <c r="L508" s="208"/>
      <c r="M508" s="39"/>
      <c r="N508" s="533" t="s">
        <v>2297</v>
      </c>
    </row>
    <row r="509" spans="1:14" s="541" customFormat="1" ht="16.5" customHeight="1">
      <c r="A509" s="16"/>
      <c r="B509" s="39" t="s">
        <v>2551</v>
      </c>
      <c r="C509" s="534">
        <v>1</v>
      </c>
      <c r="D509" s="536" t="s">
        <v>273</v>
      </c>
      <c r="E509" s="537">
        <v>1</v>
      </c>
      <c r="F509" s="538">
        <v>8.93</v>
      </c>
      <c r="G509" s="538">
        <v>0</v>
      </c>
      <c r="H509" s="538">
        <v>0.625</v>
      </c>
      <c r="I509" s="542">
        <f t="shared" si="53"/>
        <v>5.58</v>
      </c>
      <c r="J509" s="550" t="s">
        <v>102</v>
      </c>
      <c r="K509" s="39"/>
      <c r="L509" s="208"/>
      <c r="M509" s="39"/>
      <c r="N509" s="533" t="s">
        <v>2297</v>
      </c>
    </row>
    <row r="510" spans="1:14" s="541" customFormat="1" ht="16.5" customHeight="1">
      <c r="A510" s="16"/>
      <c r="B510" s="39" t="s">
        <v>2890</v>
      </c>
      <c r="C510" s="534">
        <v>1</v>
      </c>
      <c r="D510" s="536" t="s">
        <v>273</v>
      </c>
      <c r="E510" s="537">
        <v>2</v>
      </c>
      <c r="F510" s="538">
        <v>0.23</v>
      </c>
      <c r="G510" s="538">
        <v>0</v>
      </c>
      <c r="H510" s="538">
        <v>0.625</v>
      </c>
      <c r="I510" s="542">
        <f>-ROUND(IF(AND(F510:H510),C510*E510*F510*G510*H510,IF(AND(F510,G510),C510*E510*F510*G510,IF(AND(F510,H510),C510*E510*F510*H510,IF(AND(G510,H510),C510*E510*G510*H510,IF(F510,C510*E510*F510,IF(G510,C510*E510*G510,IF(H510,C510*E510*H510,C510*E510))))))),2)</f>
        <v>-0.28999999999999998</v>
      </c>
      <c r="J510" s="550" t="s">
        <v>102</v>
      </c>
      <c r="K510" s="39"/>
      <c r="L510" s="208"/>
      <c r="M510" s="39"/>
      <c r="N510" s="533" t="s">
        <v>2297</v>
      </c>
    </row>
    <row r="511" spans="1:14" s="541" customFormat="1" ht="16.5" customHeight="1">
      <c r="A511" s="16"/>
      <c r="B511" s="39" t="s">
        <v>2551</v>
      </c>
      <c r="C511" s="534">
        <v>1</v>
      </c>
      <c r="D511" s="536" t="s">
        <v>273</v>
      </c>
      <c r="E511" s="537">
        <v>1</v>
      </c>
      <c r="F511" s="538">
        <v>8.93</v>
      </c>
      <c r="G511" s="538">
        <v>0</v>
      </c>
      <c r="H511" s="538">
        <v>0.92500000000000004</v>
      </c>
      <c r="I511" s="542">
        <f t="shared" si="53"/>
        <v>8.26</v>
      </c>
      <c r="J511" s="550" t="s">
        <v>102</v>
      </c>
      <c r="K511" s="39"/>
      <c r="L511" s="208"/>
      <c r="M511" s="39"/>
      <c r="N511" s="533" t="s">
        <v>2297</v>
      </c>
    </row>
    <row r="512" spans="1:14" s="541" customFormat="1" ht="16.5" customHeight="1">
      <c r="A512" s="16"/>
      <c r="B512" s="39" t="s">
        <v>2904</v>
      </c>
      <c r="C512" s="534">
        <v>1</v>
      </c>
      <c r="D512" s="536" t="s">
        <v>273</v>
      </c>
      <c r="E512" s="537">
        <v>2</v>
      </c>
      <c r="F512" s="538">
        <v>0.23</v>
      </c>
      <c r="G512" s="538">
        <v>0</v>
      </c>
      <c r="H512" s="538">
        <v>0.38</v>
      </c>
      <c r="I512" s="542">
        <f>-ROUND(IF(AND(F512:H512),C512*E512*F512*G512*H512,IF(AND(F512,G512),C512*E512*F512*G512,IF(AND(F512,H512),C512*E512*F512*H512,IF(AND(G512,H512),C512*E512*G512*H512,IF(F512,C512*E512*F512,IF(G512,C512*E512*G512,IF(H512,C512*E512*H512,C512*E512))))))),2)</f>
        <v>-0.17</v>
      </c>
      <c r="J512" s="550" t="s">
        <v>102</v>
      </c>
      <c r="K512" s="39"/>
      <c r="L512" s="208"/>
      <c r="M512" s="39"/>
      <c r="N512" s="533" t="s">
        <v>2297</v>
      </c>
    </row>
    <row r="513" spans="1:14" s="541" customFormat="1" ht="16.5" customHeight="1">
      <c r="A513" s="16"/>
      <c r="B513" s="39" t="s">
        <v>2540</v>
      </c>
      <c r="C513" s="534">
        <v>1</v>
      </c>
      <c r="D513" s="536" t="s">
        <v>273</v>
      </c>
      <c r="E513" s="537">
        <v>1</v>
      </c>
      <c r="F513" s="538">
        <v>3.02</v>
      </c>
      <c r="G513" s="538">
        <v>0</v>
      </c>
      <c r="H513" s="538">
        <v>0.54500000000000004</v>
      </c>
      <c r="I513" s="542">
        <f t="shared" si="53"/>
        <v>1.65</v>
      </c>
      <c r="J513" s="550" t="s">
        <v>102</v>
      </c>
      <c r="K513" s="39"/>
      <c r="L513" s="208"/>
      <c r="M513" s="39"/>
      <c r="N513" s="533" t="s">
        <v>2297</v>
      </c>
    </row>
    <row r="514" spans="1:14" s="541" customFormat="1" ht="16.5" customHeight="1">
      <c r="A514" s="16"/>
      <c r="B514" s="39" t="s">
        <v>2905</v>
      </c>
      <c r="C514" s="534">
        <v>1</v>
      </c>
      <c r="D514" s="536" t="s">
        <v>273</v>
      </c>
      <c r="E514" s="537">
        <v>1</v>
      </c>
      <c r="F514" s="538">
        <v>3.02</v>
      </c>
      <c r="G514" s="538">
        <v>0</v>
      </c>
      <c r="H514" s="538">
        <v>0.92500000000000004</v>
      </c>
      <c r="I514" s="542">
        <f t="shared" si="53"/>
        <v>2.79</v>
      </c>
      <c r="J514" s="550" t="s">
        <v>102</v>
      </c>
      <c r="K514" s="39"/>
      <c r="L514" s="208"/>
      <c r="M514" s="39"/>
      <c r="N514" s="533" t="s">
        <v>2297</v>
      </c>
    </row>
    <row r="515" spans="1:14" s="541" customFormat="1" ht="16.5" customHeight="1">
      <c r="A515" s="16"/>
      <c r="B515" s="39" t="s">
        <v>2130</v>
      </c>
      <c r="C515" s="534">
        <v>1</v>
      </c>
      <c r="D515" s="536" t="s">
        <v>273</v>
      </c>
      <c r="E515" s="537">
        <v>1</v>
      </c>
      <c r="F515" s="538">
        <v>1.62</v>
      </c>
      <c r="G515" s="538">
        <v>0</v>
      </c>
      <c r="H515" s="538">
        <v>0.92500000000000004</v>
      </c>
      <c r="I515" s="542">
        <f t="shared" si="53"/>
        <v>1.5</v>
      </c>
      <c r="J515" s="550" t="s">
        <v>102</v>
      </c>
      <c r="K515" s="39"/>
      <c r="L515" s="208"/>
      <c r="M515" s="39"/>
      <c r="N515" s="533" t="s">
        <v>2297</v>
      </c>
    </row>
    <row r="516" spans="1:14" s="541" customFormat="1" ht="16.5" customHeight="1">
      <c r="A516" s="16"/>
      <c r="B516" s="39"/>
      <c r="C516" s="534">
        <v>1</v>
      </c>
      <c r="D516" s="536" t="s">
        <v>273</v>
      </c>
      <c r="E516" s="537">
        <v>1</v>
      </c>
      <c r="F516" s="538">
        <v>1.55</v>
      </c>
      <c r="G516" s="538">
        <v>0</v>
      </c>
      <c r="H516" s="538">
        <v>0.92500000000000004</v>
      </c>
      <c r="I516" s="542">
        <f t="shared" si="53"/>
        <v>1.43</v>
      </c>
      <c r="J516" s="550" t="s">
        <v>102</v>
      </c>
      <c r="K516" s="39"/>
      <c r="L516" s="208"/>
      <c r="M516" s="39"/>
      <c r="N516" s="533" t="s">
        <v>2297</v>
      </c>
    </row>
    <row r="517" spans="1:14" s="541" customFormat="1" ht="16.5" customHeight="1">
      <c r="A517" s="16"/>
      <c r="B517" s="39" t="s">
        <v>1490</v>
      </c>
      <c r="C517" s="534">
        <v>1</v>
      </c>
      <c r="D517" s="536" t="s">
        <v>273</v>
      </c>
      <c r="E517" s="537">
        <v>1</v>
      </c>
      <c r="F517" s="538">
        <v>10.3</v>
      </c>
      <c r="G517" s="538">
        <v>0</v>
      </c>
      <c r="H517" s="538">
        <v>0.6</v>
      </c>
      <c r="I517" s="542">
        <f t="shared" si="53"/>
        <v>6.18</v>
      </c>
      <c r="J517" s="550" t="s">
        <v>102</v>
      </c>
      <c r="K517" s="39"/>
      <c r="L517" s="208"/>
      <c r="M517" s="39"/>
      <c r="N517" s="533" t="s">
        <v>2297</v>
      </c>
    </row>
    <row r="518" spans="1:14" s="541" customFormat="1" ht="16.5" customHeight="1">
      <c r="A518" s="16"/>
      <c r="B518" s="39"/>
      <c r="C518" s="534">
        <v>1</v>
      </c>
      <c r="D518" s="536" t="s">
        <v>273</v>
      </c>
      <c r="E518" s="537">
        <v>1</v>
      </c>
      <c r="F518" s="538">
        <v>24</v>
      </c>
      <c r="G518" s="538">
        <v>0</v>
      </c>
      <c r="H518" s="538">
        <v>0.9</v>
      </c>
      <c r="I518" s="542">
        <f t="shared" si="53"/>
        <v>21.6</v>
      </c>
      <c r="J518" s="550" t="s">
        <v>102</v>
      </c>
      <c r="K518" s="39"/>
      <c r="L518" s="208"/>
      <c r="M518" s="39"/>
      <c r="N518" s="533" t="s">
        <v>2297</v>
      </c>
    </row>
    <row r="519" spans="1:14" s="541" customFormat="1" ht="16.5" customHeight="1">
      <c r="A519" s="16"/>
      <c r="B519" s="39"/>
      <c r="C519" s="534"/>
      <c r="D519" s="536"/>
      <c r="E519" s="537"/>
      <c r="F519" s="538"/>
      <c r="G519" s="538"/>
      <c r="H519" s="538"/>
      <c r="I519" s="542"/>
      <c r="J519" s="550"/>
      <c r="K519" s="39"/>
      <c r="L519" s="208"/>
      <c r="M519" s="39"/>
      <c r="N519" s="533" t="s">
        <v>2297</v>
      </c>
    </row>
    <row r="520" spans="1:14" ht="15.75">
      <c r="A520" s="16"/>
      <c r="B520" s="39"/>
      <c r="C520" s="551"/>
      <c r="D520" s="552"/>
      <c r="E520" s="537"/>
      <c r="F520" s="538"/>
      <c r="G520" s="40"/>
      <c r="H520" s="16"/>
      <c r="I520" s="549"/>
      <c r="J520" s="550" t="s">
        <v>102</v>
      </c>
      <c r="K520" s="10">
        <f>data!F1328</f>
        <v>791.59</v>
      </c>
      <c r="L520" s="208" t="s">
        <v>2297</v>
      </c>
      <c r="M520" s="9">
        <f>ROUND(I520*K520/1,0)</f>
        <v>0</v>
      </c>
      <c r="N520" s="533" t="s">
        <v>2297</v>
      </c>
    </row>
    <row r="521" spans="1:14" ht="132.75" customHeight="1">
      <c r="A521" s="16">
        <v>10</v>
      </c>
      <c r="B521" s="1633" t="s">
        <v>901</v>
      </c>
      <c r="C521" s="1633"/>
      <c r="D521" s="1633"/>
      <c r="E521" s="1633"/>
      <c r="F521" s="1633"/>
      <c r="G521" s="1633"/>
      <c r="H521" s="1633"/>
      <c r="I521" s="534"/>
      <c r="J521" s="535"/>
      <c r="K521" s="16"/>
      <c r="L521" s="208"/>
      <c r="M521" s="38"/>
      <c r="N521" s="533" t="s">
        <v>2308</v>
      </c>
    </row>
    <row r="522" spans="1:14" s="541" customFormat="1" ht="16.5" customHeight="1">
      <c r="A522" s="16"/>
      <c r="B522" s="39" t="s">
        <v>3027</v>
      </c>
      <c r="C522" s="534"/>
      <c r="D522" s="536"/>
      <c r="E522" s="537"/>
      <c r="F522" s="538"/>
      <c r="G522" s="538"/>
      <c r="H522" s="538"/>
      <c r="I522" s="539"/>
      <c r="J522" s="820"/>
      <c r="K522" s="39"/>
      <c r="L522" s="208"/>
      <c r="M522" s="39"/>
      <c r="N522" s="533" t="s">
        <v>2308</v>
      </c>
    </row>
    <row r="523" spans="1:14" s="541" customFormat="1" ht="16.5" customHeight="1">
      <c r="A523" s="16"/>
      <c r="B523" s="39"/>
      <c r="C523" s="534">
        <v>1</v>
      </c>
      <c r="D523" s="536" t="s">
        <v>273</v>
      </c>
      <c r="E523" s="537">
        <v>1</v>
      </c>
      <c r="F523" s="538">
        <v>12</v>
      </c>
      <c r="G523" s="538">
        <v>0</v>
      </c>
      <c r="H523" s="538">
        <v>2.1</v>
      </c>
      <c r="I523" s="542">
        <f t="shared" ref="I523:I529" si="54">ROUND(IF(AND(F523:H523),C523*E523*F523*G523*H523,IF(AND(F523,G523),C523*E523*F523*G523,IF(AND(F523,H523),C523*E523*F523*H523,IF(AND(G523,H523),C523*E523*G523*H523,IF(F523,C523*E523*F523,IF(G523,C523*E523*G523,IF(H523,C523*E523*H523,C523*E523))))))),2)</f>
        <v>25.2</v>
      </c>
      <c r="J523" s="543" t="s">
        <v>102</v>
      </c>
      <c r="K523" s="39"/>
      <c r="L523" s="208"/>
      <c r="M523" s="39"/>
      <c r="N523" s="533" t="s">
        <v>2308</v>
      </c>
    </row>
    <row r="524" spans="1:14" s="541" customFormat="1" ht="16.5" customHeight="1">
      <c r="A524" s="16"/>
      <c r="B524" s="39"/>
      <c r="C524" s="534">
        <v>1</v>
      </c>
      <c r="D524" s="536" t="s">
        <v>273</v>
      </c>
      <c r="E524" s="537">
        <v>1</v>
      </c>
      <c r="F524" s="538">
        <v>9.06</v>
      </c>
      <c r="G524" s="538">
        <v>0</v>
      </c>
      <c r="H524" s="538">
        <v>2.1</v>
      </c>
      <c r="I524" s="542">
        <f t="shared" si="54"/>
        <v>19.03</v>
      </c>
      <c r="J524" s="543" t="s">
        <v>102</v>
      </c>
      <c r="K524" s="39"/>
      <c r="L524" s="208"/>
      <c r="M524" s="39"/>
      <c r="N524" s="533" t="s">
        <v>2308</v>
      </c>
    </row>
    <row r="525" spans="1:14" s="541" customFormat="1" ht="16.5" customHeight="1">
      <c r="A525" s="16"/>
      <c r="B525" s="39"/>
      <c r="C525" s="534">
        <v>1</v>
      </c>
      <c r="D525" s="536" t="s">
        <v>273</v>
      </c>
      <c r="E525" s="537">
        <v>3</v>
      </c>
      <c r="F525" s="538">
        <v>2.86</v>
      </c>
      <c r="G525" s="538">
        <v>0</v>
      </c>
      <c r="H525" s="538">
        <v>2.1</v>
      </c>
      <c r="I525" s="542">
        <f t="shared" si="54"/>
        <v>18.02</v>
      </c>
      <c r="J525" s="543" t="s">
        <v>102</v>
      </c>
      <c r="K525" s="39"/>
      <c r="L525" s="208"/>
      <c r="M525" s="39"/>
      <c r="N525" s="533" t="s">
        <v>2308</v>
      </c>
    </row>
    <row r="526" spans="1:14" s="541" customFormat="1" ht="16.5" customHeight="1">
      <c r="A526" s="16"/>
      <c r="B526" s="39"/>
      <c r="C526" s="534">
        <v>1</v>
      </c>
      <c r="D526" s="536" t="s">
        <v>273</v>
      </c>
      <c r="E526" s="537">
        <v>1</v>
      </c>
      <c r="F526" s="538">
        <v>3.12</v>
      </c>
      <c r="G526" s="538">
        <v>0</v>
      </c>
      <c r="H526" s="538">
        <v>2.1</v>
      </c>
      <c r="I526" s="542">
        <f t="shared" si="54"/>
        <v>6.55</v>
      </c>
      <c r="J526" s="543" t="s">
        <v>102</v>
      </c>
      <c r="K526" s="39"/>
      <c r="L526" s="208"/>
      <c r="M526" s="39"/>
      <c r="N526" s="533" t="s">
        <v>2308</v>
      </c>
    </row>
    <row r="527" spans="1:14" s="541" customFormat="1" ht="16.5" customHeight="1">
      <c r="A527" s="16"/>
      <c r="B527" s="39"/>
      <c r="C527" s="534">
        <v>1</v>
      </c>
      <c r="D527" s="536" t="s">
        <v>273</v>
      </c>
      <c r="E527" s="537">
        <v>1</v>
      </c>
      <c r="F527" s="538">
        <v>3.3</v>
      </c>
      <c r="G527" s="538">
        <v>0</v>
      </c>
      <c r="H527" s="538">
        <v>2.1</v>
      </c>
      <c r="I527" s="542">
        <f t="shared" si="54"/>
        <v>6.93</v>
      </c>
      <c r="J527" s="543" t="s">
        <v>102</v>
      </c>
      <c r="K527" s="39"/>
      <c r="L527" s="208"/>
      <c r="M527" s="39"/>
      <c r="N527" s="533" t="s">
        <v>2308</v>
      </c>
    </row>
    <row r="528" spans="1:14" s="541" customFormat="1" ht="16.5" customHeight="1">
      <c r="A528" s="16"/>
      <c r="B528" s="39"/>
      <c r="C528" s="534">
        <v>1</v>
      </c>
      <c r="D528" s="536" t="s">
        <v>273</v>
      </c>
      <c r="E528" s="537">
        <v>2</v>
      </c>
      <c r="F528" s="538">
        <v>1.5</v>
      </c>
      <c r="G528" s="538">
        <v>0</v>
      </c>
      <c r="H528" s="538">
        <v>2.1</v>
      </c>
      <c r="I528" s="542">
        <f t="shared" si="54"/>
        <v>6.3</v>
      </c>
      <c r="J528" s="543" t="s">
        <v>102</v>
      </c>
      <c r="K528" s="39"/>
      <c r="L528" s="208"/>
      <c r="M528" s="39"/>
      <c r="N528" s="533" t="s">
        <v>2308</v>
      </c>
    </row>
    <row r="529" spans="1:14" s="541" customFormat="1" ht="16.5" customHeight="1">
      <c r="A529" s="16"/>
      <c r="B529" s="39"/>
      <c r="C529" s="534">
        <v>1</v>
      </c>
      <c r="D529" s="536" t="s">
        <v>273</v>
      </c>
      <c r="E529" s="537">
        <v>1</v>
      </c>
      <c r="F529" s="538">
        <v>10.53</v>
      </c>
      <c r="G529" s="538">
        <v>0</v>
      </c>
      <c r="H529" s="538">
        <v>0.9</v>
      </c>
      <c r="I529" s="542">
        <f t="shared" si="54"/>
        <v>9.48</v>
      </c>
      <c r="J529" s="543" t="s">
        <v>102</v>
      </c>
      <c r="K529" s="39"/>
      <c r="L529" s="208"/>
      <c r="M529" s="39"/>
      <c r="N529" s="533" t="s">
        <v>2308</v>
      </c>
    </row>
    <row r="530" spans="1:14" s="541" customFormat="1" ht="16.5" customHeight="1">
      <c r="A530" s="16"/>
      <c r="B530" s="39"/>
      <c r="C530" s="534">
        <v>1</v>
      </c>
      <c r="D530" s="536" t="s">
        <v>273</v>
      </c>
      <c r="E530" s="537">
        <v>4</v>
      </c>
      <c r="F530" s="538">
        <v>1.2</v>
      </c>
      <c r="G530" s="538">
        <v>0</v>
      </c>
      <c r="H530" s="538">
        <v>2.1</v>
      </c>
      <c r="I530" s="542">
        <f>-ROUND(IF(AND(F530:H530),C530*E530*F530*G530*H530,IF(AND(F530,G530),C530*E530*F530*G530,IF(AND(F530,H530),C530*E530*F530*H530,IF(AND(G530,H530),C530*E530*G530*H530,IF(F530,C530*E530*F530,IF(G530,C530*E530*G530,IF(H530,C530*E530*H530,C530*E530))))))),2)</f>
        <v>-10.08</v>
      </c>
      <c r="J530" s="543" t="s">
        <v>102</v>
      </c>
      <c r="K530" s="39"/>
      <c r="L530" s="208"/>
      <c r="M530" s="39"/>
      <c r="N530" s="533" t="s">
        <v>2308</v>
      </c>
    </row>
    <row r="531" spans="1:14" s="541" customFormat="1" ht="16.5" customHeight="1">
      <c r="A531" s="16"/>
      <c r="B531" s="39"/>
      <c r="C531" s="534">
        <v>1</v>
      </c>
      <c r="D531" s="536" t="s">
        <v>273</v>
      </c>
      <c r="E531" s="537">
        <v>3</v>
      </c>
      <c r="F531" s="538">
        <v>1.05</v>
      </c>
      <c r="G531" s="538">
        <v>0</v>
      </c>
      <c r="H531" s="538">
        <v>2.1</v>
      </c>
      <c r="I531" s="542">
        <f>-ROUND(IF(AND(F531:H531),C531*E531*F531*G531*H531,IF(AND(F531,G531),C531*E531*F531*G531,IF(AND(F531,H531),C531*E531*F531*H531,IF(AND(G531,H531),C531*E531*G531*H531,IF(F531,C531*E531*F531,IF(G531,C531*E531*G531,IF(H531,C531*E531*H531,C531*E531))))))),2)</f>
        <v>-6.62</v>
      </c>
      <c r="J531" s="543" t="s">
        <v>102</v>
      </c>
      <c r="K531" s="39"/>
      <c r="L531" s="208"/>
      <c r="M531" s="39"/>
      <c r="N531" s="533" t="s">
        <v>2308</v>
      </c>
    </row>
    <row r="532" spans="1:14" s="541" customFormat="1" ht="16.5" customHeight="1">
      <c r="A532" s="16"/>
      <c r="B532" s="39"/>
      <c r="C532" s="534">
        <v>1</v>
      </c>
      <c r="D532" s="536" t="s">
        <v>273</v>
      </c>
      <c r="E532" s="537">
        <v>3</v>
      </c>
      <c r="F532" s="538">
        <v>0.75</v>
      </c>
      <c r="G532" s="538">
        <v>0</v>
      </c>
      <c r="H532" s="538">
        <v>2.1</v>
      </c>
      <c r="I532" s="542">
        <f>-ROUND(IF(AND(F532:H532),C532*E532*F532*G532*H532,IF(AND(F532,G532),C532*E532*F532*G532,IF(AND(F532,H532),C532*E532*F532*H532,IF(AND(G532,H532),C532*E532*G532*H532,IF(F532,C532*E532*F532,IF(G532,C532*E532*G532,IF(H532,C532*E532*H532,C532*E532))))))),2)</f>
        <v>-4.7300000000000004</v>
      </c>
      <c r="J532" s="543" t="s">
        <v>102</v>
      </c>
      <c r="K532" s="39"/>
      <c r="L532" s="208"/>
      <c r="M532" s="39"/>
      <c r="N532" s="533" t="s">
        <v>2308</v>
      </c>
    </row>
    <row r="533" spans="1:14" s="541" customFormat="1" ht="16.5" customHeight="1">
      <c r="A533" s="16"/>
      <c r="B533" s="39" t="s">
        <v>3028</v>
      </c>
      <c r="C533" s="534"/>
      <c r="D533" s="536"/>
      <c r="E533" s="537"/>
      <c r="F533" s="538"/>
      <c r="G533" s="538"/>
      <c r="H533" s="538"/>
      <c r="I533" s="539"/>
      <c r="J533" s="820"/>
      <c r="K533" s="39"/>
      <c r="L533" s="208"/>
      <c r="M533" s="39"/>
      <c r="N533" s="533" t="s">
        <v>2308</v>
      </c>
    </row>
    <row r="534" spans="1:14" s="541" customFormat="1" ht="16.5" customHeight="1">
      <c r="A534" s="16"/>
      <c r="B534" s="39"/>
      <c r="C534" s="534">
        <v>1</v>
      </c>
      <c r="D534" s="536" t="s">
        <v>273</v>
      </c>
      <c r="E534" s="537">
        <v>1</v>
      </c>
      <c r="F534" s="538">
        <v>12</v>
      </c>
      <c r="G534" s="538">
        <v>0</v>
      </c>
      <c r="H534" s="538">
        <v>0.62</v>
      </c>
      <c r="I534" s="542">
        <f t="shared" ref="I534:I539" si="55">ROUND(IF(AND(F534:H534),C534*E534*F534*G534*H534,IF(AND(F534,G534),C534*E534*F534*G534,IF(AND(F534,H534),C534*E534*F534*H534,IF(AND(G534,H534),C534*E534*G534*H534,IF(F534,C534*E534*F534,IF(G534,C534*E534*G534,IF(H534,C534*E534*H534,C534*E534))))))),2)</f>
        <v>7.44</v>
      </c>
      <c r="J534" s="543" t="s">
        <v>102</v>
      </c>
      <c r="K534" s="39"/>
      <c r="L534" s="208"/>
      <c r="M534" s="39"/>
      <c r="N534" s="533" t="s">
        <v>2308</v>
      </c>
    </row>
    <row r="535" spans="1:14" s="541" customFormat="1" ht="16.5" customHeight="1">
      <c r="A535" s="16"/>
      <c r="B535" s="39"/>
      <c r="C535" s="534">
        <v>1</v>
      </c>
      <c r="D535" s="536" t="s">
        <v>273</v>
      </c>
      <c r="E535" s="537">
        <v>1</v>
      </c>
      <c r="F535" s="538">
        <v>9.06</v>
      </c>
      <c r="G535" s="538">
        <v>0</v>
      </c>
      <c r="H535" s="538">
        <v>0.62</v>
      </c>
      <c r="I535" s="542">
        <f t="shared" si="55"/>
        <v>5.62</v>
      </c>
      <c r="J535" s="543" t="s">
        <v>102</v>
      </c>
      <c r="K535" s="39"/>
      <c r="L535" s="208"/>
      <c r="M535" s="39"/>
      <c r="N535" s="533" t="s">
        <v>2308</v>
      </c>
    </row>
    <row r="536" spans="1:14" s="541" customFormat="1" ht="16.5" customHeight="1">
      <c r="A536" s="16"/>
      <c r="B536" s="39"/>
      <c r="C536" s="534">
        <v>1</v>
      </c>
      <c r="D536" s="536" t="s">
        <v>273</v>
      </c>
      <c r="E536" s="537">
        <v>3</v>
      </c>
      <c r="F536" s="538">
        <v>2.86</v>
      </c>
      <c r="G536" s="538">
        <v>0</v>
      </c>
      <c r="H536" s="538">
        <v>0.77</v>
      </c>
      <c r="I536" s="542">
        <f t="shared" si="55"/>
        <v>6.61</v>
      </c>
      <c r="J536" s="543" t="s">
        <v>102</v>
      </c>
      <c r="K536" s="39"/>
      <c r="L536" s="208"/>
      <c r="M536" s="39"/>
      <c r="N536" s="533" t="s">
        <v>2308</v>
      </c>
    </row>
    <row r="537" spans="1:14" s="541" customFormat="1" ht="16.5" customHeight="1">
      <c r="A537" s="16"/>
      <c r="B537" s="39"/>
      <c r="C537" s="534">
        <v>1</v>
      </c>
      <c r="D537" s="536" t="s">
        <v>273</v>
      </c>
      <c r="E537" s="537">
        <v>1</v>
      </c>
      <c r="F537" s="538">
        <v>3.12</v>
      </c>
      <c r="G537" s="538">
        <v>0</v>
      </c>
      <c r="H537" s="538">
        <v>0.7</v>
      </c>
      <c r="I537" s="542">
        <f t="shared" si="55"/>
        <v>2.1800000000000002</v>
      </c>
      <c r="J537" s="543" t="s">
        <v>102</v>
      </c>
      <c r="K537" s="39"/>
      <c r="L537" s="208"/>
      <c r="M537" s="39"/>
      <c r="N537" s="533" t="s">
        <v>2308</v>
      </c>
    </row>
    <row r="538" spans="1:14" s="541" customFormat="1" ht="16.5" customHeight="1">
      <c r="A538" s="16"/>
      <c r="B538" s="39"/>
      <c r="C538" s="534">
        <v>1</v>
      </c>
      <c r="D538" s="536" t="s">
        <v>273</v>
      </c>
      <c r="E538" s="537">
        <v>1</v>
      </c>
      <c r="F538" s="538">
        <v>3.3</v>
      </c>
      <c r="G538" s="538">
        <v>0</v>
      </c>
      <c r="H538" s="538">
        <v>0.9</v>
      </c>
      <c r="I538" s="542">
        <f t="shared" si="55"/>
        <v>2.97</v>
      </c>
      <c r="J538" s="543" t="s">
        <v>102</v>
      </c>
      <c r="K538" s="39"/>
      <c r="L538" s="208"/>
      <c r="M538" s="39"/>
      <c r="N538" s="533" t="s">
        <v>2308</v>
      </c>
    </row>
    <row r="539" spans="1:14" s="541" customFormat="1" ht="16.5" customHeight="1">
      <c r="A539" s="16"/>
      <c r="B539" s="39"/>
      <c r="C539" s="534">
        <v>1</v>
      </c>
      <c r="D539" s="536" t="s">
        <v>273</v>
      </c>
      <c r="E539" s="537">
        <v>2</v>
      </c>
      <c r="F539" s="538">
        <v>1.5</v>
      </c>
      <c r="G539" s="538">
        <v>0</v>
      </c>
      <c r="H539" s="538">
        <v>0.6</v>
      </c>
      <c r="I539" s="542">
        <f t="shared" si="55"/>
        <v>1.8</v>
      </c>
      <c r="J539" s="543" t="s">
        <v>102</v>
      </c>
      <c r="K539" s="39"/>
      <c r="L539" s="208"/>
      <c r="M539" s="39"/>
      <c r="N539" s="533" t="s">
        <v>2308</v>
      </c>
    </row>
    <row r="540" spans="1:14" s="541" customFormat="1" ht="16.5" customHeight="1">
      <c r="A540" s="16"/>
      <c r="B540" s="39"/>
      <c r="C540" s="534"/>
      <c r="D540" s="536"/>
      <c r="E540" s="537"/>
      <c r="F540" s="538"/>
      <c r="G540" s="538"/>
      <c r="H540" s="538"/>
      <c r="I540" s="542"/>
      <c r="J540" s="550"/>
      <c r="K540" s="39"/>
      <c r="L540" s="208"/>
      <c r="M540" s="39"/>
      <c r="N540" s="533" t="s">
        <v>2308</v>
      </c>
    </row>
    <row r="541" spans="1:14" ht="15.75">
      <c r="A541" s="16"/>
      <c r="B541" s="39"/>
      <c r="C541" s="551"/>
      <c r="D541" s="552"/>
      <c r="E541" s="537"/>
      <c r="F541" s="538"/>
      <c r="G541" s="40"/>
      <c r="H541" s="16"/>
      <c r="I541" s="549"/>
      <c r="J541" s="550" t="s">
        <v>102</v>
      </c>
      <c r="K541" s="10">
        <f>data!F2245</f>
        <v>845.07</v>
      </c>
      <c r="L541" s="208" t="s">
        <v>2308</v>
      </c>
      <c r="M541" s="9">
        <f>ROUND(I541*K541/1,0)</f>
        <v>0</v>
      </c>
      <c r="N541" s="533" t="s">
        <v>2308</v>
      </c>
    </row>
    <row r="542" spans="1:14" ht="132.75" customHeight="1">
      <c r="A542" s="16">
        <v>10</v>
      </c>
      <c r="B542" s="1633" t="s">
        <v>901</v>
      </c>
      <c r="C542" s="1633"/>
      <c r="D542" s="1633"/>
      <c r="E542" s="1633"/>
      <c r="F542" s="1633"/>
      <c r="G542" s="1633"/>
      <c r="H542" s="1633"/>
      <c r="I542" s="534"/>
      <c r="J542" s="535"/>
      <c r="K542" s="16"/>
      <c r="L542" s="208"/>
      <c r="M542" s="38"/>
      <c r="N542" s="533" t="s">
        <v>2309</v>
      </c>
    </row>
    <row r="543" spans="1:14" s="541" customFormat="1" ht="16.5" customHeight="1">
      <c r="A543" s="16"/>
      <c r="B543" s="39" t="s">
        <v>3015</v>
      </c>
      <c r="C543" s="534"/>
      <c r="D543" s="536"/>
      <c r="E543" s="537"/>
      <c r="F543" s="538"/>
      <c r="G543" s="538"/>
      <c r="H543" s="538"/>
      <c r="I543" s="539"/>
      <c r="J543" s="550"/>
      <c r="K543" s="39"/>
      <c r="L543" s="208"/>
      <c r="M543" s="39"/>
      <c r="N543" s="533" t="s">
        <v>2309</v>
      </c>
    </row>
    <row r="544" spans="1:14" s="541" customFormat="1" ht="16.5" customHeight="1">
      <c r="A544" s="16"/>
      <c r="B544" s="39"/>
      <c r="C544" s="534">
        <v>1</v>
      </c>
      <c r="D544" s="536" t="s">
        <v>273</v>
      </c>
      <c r="E544" s="537">
        <v>1</v>
      </c>
      <c r="F544" s="538">
        <v>2.68</v>
      </c>
      <c r="G544" s="538">
        <v>0</v>
      </c>
      <c r="H544" s="538">
        <v>1.2</v>
      </c>
      <c r="I544" s="542">
        <f t="shared" ref="I544:I548" si="56">ROUND(IF(AND(F544:H544),C544*E544*F544*G544*H544,IF(AND(F544,G544),C544*E544*F544*G544,IF(AND(F544,H544),C544*E544*F544*H544,IF(AND(G544,H544),C544*E544*G544*H544,IF(F544,C544*E544*F544,IF(G544,C544*E544*G544,IF(H544,C544*E544*H544,C544*E544))))))),2)</f>
        <v>3.22</v>
      </c>
      <c r="J544" s="550" t="s">
        <v>102</v>
      </c>
      <c r="K544" s="39"/>
      <c r="L544" s="208"/>
      <c r="M544" s="39"/>
      <c r="N544" s="533" t="s">
        <v>2309</v>
      </c>
    </row>
    <row r="545" spans="1:14" s="541" customFormat="1" ht="16.5" customHeight="1">
      <c r="A545" s="16"/>
      <c r="B545" s="39"/>
      <c r="C545" s="534">
        <v>1</v>
      </c>
      <c r="D545" s="536" t="s">
        <v>273</v>
      </c>
      <c r="E545" s="537">
        <v>2</v>
      </c>
      <c r="F545" s="538">
        <v>0.85</v>
      </c>
      <c r="G545" s="538">
        <v>0</v>
      </c>
      <c r="H545" s="538">
        <v>1.2</v>
      </c>
      <c r="I545" s="542">
        <f t="shared" si="56"/>
        <v>2.04</v>
      </c>
      <c r="J545" s="550" t="s">
        <v>102</v>
      </c>
      <c r="K545" s="39"/>
      <c r="L545" s="208"/>
      <c r="M545" s="39"/>
      <c r="N545" s="533" t="s">
        <v>2309</v>
      </c>
    </row>
    <row r="546" spans="1:14" s="541" customFormat="1" ht="16.5" customHeight="1">
      <c r="A546" s="16"/>
      <c r="B546" s="39"/>
      <c r="C546" s="534">
        <v>1</v>
      </c>
      <c r="D546" s="536" t="s">
        <v>273</v>
      </c>
      <c r="E546" s="537">
        <v>2</v>
      </c>
      <c r="F546" s="538">
        <v>0.85</v>
      </c>
      <c r="G546" s="538">
        <v>0</v>
      </c>
      <c r="H546" s="538">
        <v>1.2</v>
      </c>
      <c r="I546" s="542">
        <f t="shared" si="56"/>
        <v>2.04</v>
      </c>
      <c r="J546" s="550" t="s">
        <v>102</v>
      </c>
      <c r="K546" s="39"/>
      <c r="L546" s="208"/>
      <c r="M546" s="39"/>
      <c r="N546" s="533" t="s">
        <v>2309</v>
      </c>
    </row>
    <row r="547" spans="1:14" s="541" customFormat="1" ht="16.5" customHeight="1">
      <c r="A547" s="16"/>
      <c r="B547" s="39"/>
      <c r="C547" s="534">
        <v>1</v>
      </c>
      <c r="D547" s="536" t="s">
        <v>273</v>
      </c>
      <c r="E547" s="537">
        <v>1</v>
      </c>
      <c r="F547" s="538">
        <v>5.5</v>
      </c>
      <c r="G547" s="538">
        <v>0</v>
      </c>
      <c r="H547" s="538">
        <v>0.9</v>
      </c>
      <c r="I547" s="542">
        <f t="shared" si="56"/>
        <v>4.95</v>
      </c>
      <c r="J547" s="550" t="s">
        <v>102</v>
      </c>
      <c r="K547" s="39"/>
      <c r="L547" s="208"/>
      <c r="M547" s="39"/>
      <c r="N547" s="533" t="s">
        <v>2309</v>
      </c>
    </row>
    <row r="548" spans="1:14" s="541" customFormat="1" ht="16.5" customHeight="1">
      <c r="A548" s="16"/>
      <c r="B548" s="39"/>
      <c r="C548" s="534">
        <v>1</v>
      </c>
      <c r="D548" s="536" t="s">
        <v>273</v>
      </c>
      <c r="E548" s="537">
        <v>2</v>
      </c>
      <c r="F548" s="538">
        <v>2.5</v>
      </c>
      <c r="G548" s="538">
        <v>0</v>
      </c>
      <c r="H548" s="538">
        <v>0.9</v>
      </c>
      <c r="I548" s="542">
        <f t="shared" si="56"/>
        <v>4.5</v>
      </c>
      <c r="J548" s="550" t="s">
        <v>102</v>
      </c>
      <c r="K548" s="39"/>
      <c r="L548" s="208"/>
      <c r="M548" s="39"/>
      <c r="N548" s="533" t="s">
        <v>2309</v>
      </c>
    </row>
    <row r="549" spans="1:14" s="541" customFormat="1" ht="16.5" customHeight="1">
      <c r="A549" s="16"/>
      <c r="B549" s="39"/>
      <c r="C549" s="534"/>
      <c r="D549" s="536"/>
      <c r="E549" s="537"/>
      <c r="F549" s="538"/>
      <c r="G549" s="538"/>
      <c r="H549" s="538"/>
      <c r="I549" s="542"/>
      <c r="J549" s="550"/>
      <c r="K549" s="39"/>
      <c r="L549" s="208"/>
      <c r="M549" s="39"/>
      <c r="N549" s="533" t="s">
        <v>2309</v>
      </c>
    </row>
    <row r="550" spans="1:14" ht="15.75">
      <c r="A550" s="16"/>
      <c r="B550" s="39"/>
      <c r="C550" s="551"/>
      <c r="D550" s="552"/>
      <c r="E550" s="537"/>
      <c r="F550" s="538"/>
      <c r="G550" s="40"/>
      <c r="H550" s="16"/>
      <c r="I550" s="549"/>
      <c r="J550" s="550" t="s">
        <v>102</v>
      </c>
      <c r="K550" s="10">
        <f>data!F3162</f>
        <v>929.28</v>
      </c>
      <c r="L550" s="208" t="s">
        <v>2309</v>
      </c>
      <c r="M550" s="9">
        <f>ROUND(I550*K550/1,0)</f>
        <v>0</v>
      </c>
      <c r="N550" s="533" t="s">
        <v>2309</v>
      </c>
    </row>
    <row r="551" spans="1:14" ht="79.5" customHeight="1">
      <c r="A551" s="16">
        <v>20</v>
      </c>
      <c r="B551" s="1633" t="s">
        <v>1200</v>
      </c>
      <c r="C551" s="1633"/>
      <c r="D551" s="1633"/>
      <c r="E551" s="1633"/>
      <c r="F551" s="1633"/>
      <c r="G551" s="1633"/>
      <c r="H551" s="1633"/>
      <c r="I551" s="534"/>
      <c r="J551" s="535"/>
      <c r="K551" s="16"/>
      <c r="L551" s="208"/>
      <c r="M551" s="38"/>
      <c r="N551" s="533" t="s">
        <v>2209</v>
      </c>
    </row>
    <row r="552" spans="1:14" s="541" customFormat="1" ht="16.5" customHeight="1">
      <c r="A552" s="16"/>
      <c r="B552" s="39" t="s">
        <v>2791</v>
      </c>
      <c r="C552" s="534"/>
      <c r="D552" s="536"/>
      <c r="E552" s="537"/>
      <c r="F552" s="538"/>
      <c r="G552" s="538"/>
      <c r="H552" s="538"/>
      <c r="I552" s="539"/>
      <c r="J552" s="550"/>
      <c r="K552" s="39"/>
      <c r="L552" s="208"/>
      <c r="M552" s="39"/>
      <c r="N552" s="533" t="s">
        <v>2209</v>
      </c>
    </row>
    <row r="553" spans="1:14" s="541" customFormat="1" ht="16.5" customHeight="1">
      <c r="A553" s="16"/>
      <c r="B553" s="39" t="s">
        <v>1241</v>
      </c>
      <c r="C553" s="534">
        <v>1</v>
      </c>
      <c r="D553" s="536" t="s">
        <v>273</v>
      </c>
      <c r="E553" s="537">
        <v>2</v>
      </c>
      <c r="F553" s="538">
        <v>0.75</v>
      </c>
      <c r="G553" s="538">
        <v>0.15</v>
      </c>
      <c r="H553" s="538">
        <v>1.05</v>
      </c>
      <c r="I553" s="542">
        <f t="shared" ref="I553:I555" si="57">ROUND(IF(AND(F553:H553),C553*E553*F553*G553*H553,IF(AND(F553,G553),C553*E553*F553*G553,IF(AND(F553,H553),C553*E553*F553*H553,IF(AND(G553,H553),C553*E553*G553*H553,IF(F553,C553*E553*F553,IF(G553,C553*E553*G553,IF(H553,C553*E553*H553,C553*E553))))))),2)</f>
        <v>0.24</v>
      </c>
      <c r="J553" s="550" t="s">
        <v>5</v>
      </c>
      <c r="K553" s="39"/>
      <c r="L553" s="208"/>
      <c r="M553" s="39"/>
      <c r="N553" s="533" t="s">
        <v>2209</v>
      </c>
    </row>
    <row r="554" spans="1:14" s="541" customFormat="1" ht="16.5" customHeight="1">
      <c r="A554" s="16"/>
      <c r="B554" s="39"/>
      <c r="C554" s="534">
        <v>1</v>
      </c>
      <c r="D554" s="536" t="s">
        <v>273</v>
      </c>
      <c r="E554" s="537">
        <v>1</v>
      </c>
      <c r="F554" s="538">
        <v>2.65</v>
      </c>
      <c r="G554" s="538">
        <v>0.15</v>
      </c>
      <c r="H554" s="538">
        <v>1.2</v>
      </c>
      <c r="I554" s="542">
        <f t="shared" si="57"/>
        <v>0.48</v>
      </c>
      <c r="J554" s="550" t="s">
        <v>5</v>
      </c>
      <c r="K554" s="39"/>
      <c r="L554" s="208"/>
      <c r="M554" s="39"/>
      <c r="N554" s="533" t="s">
        <v>2209</v>
      </c>
    </row>
    <row r="555" spans="1:14" s="541" customFormat="1" ht="16.5" customHeight="1">
      <c r="A555" s="16"/>
      <c r="B555" s="39"/>
      <c r="C555" s="534">
        <v>1</v>
      </c>
      <c r="D555" s="536" t="s">
        <v>273</v>
      </c>
      <c r="E555" s="537">
        <v>1</v>
      </c>
      <c r="F555" s="538">
        <v>2.85</v>
      </c>
      <c r="G555" s="538">
        <v>0.15</v>
      </c>
      <c r="H555" s="538">
        <v>1.2</v>
      </c>
      <c r="I555" s="542">
        <f t="shared" si="57"/>
        <v>0.51</v>
      </c>
      <c r="J555" s="550" t="s">
        <v>5</v>
      </c>
      <c r="K555" s="39"/>
      <c r="L555" s="208"/>
      <c r="M555" s="39"/>
      <c r="N555" s="533" t="s">
        <v>2209</v>
      </c>
    </row>
    <row r="556" spans="1:14" s="541" customFormat="1" ht="16.5" customHeight="1">
      <c r="A556" s="16"/>
      <c r="B556" s="544"/>
      <c r="C556" s="545"/>
      <c r="D556" s="546"/>
      <c r="E556" s="547"/>
      <c r="F556" s="548"/>
      <c r="G556" s="548"/>
      <c r="H556" s="548"/>
      <c r="I556" s="549"/>
      <c r="J556" s="550"/>
      <c r="K556" s="39"/>
      <c r="L556" s="208"/>
      <c r="M556" s="39"/>
      <c r="N556" s="533" t="s">
        <v>2209</v>
      </c>
    </row>
    <row r="557" spans="1:14" ht="15.75">
      <c r="A557" s="16"/>
      <c r="B557" s="39"/>
      <c r="C557" s="551"/>
      <c r="D557" s="552"/>
      <c r="E557" s="537"/>
      <c r="F557" s="538"/>
      <c r="G557" s="40"/>
      <c r="H557" s="16"/>
      <c r="I557" s="549"/>
      <c r="J557" s="550" t="s">
        <v>5</v>
      </c>
      <c r="K557" s="10">
        <f>data!F428</f>
        <v>5604.44</v>
      </c>
      <c r="L557" s="208" t="s">
        <v>2209</v>
      </c>
      <c r="M557" s="9">
        <f>ROUND(I557*K557,0)</f>
        <v>0</v>
      </c>
      <c r="N557" s="533" t="s">
        <v>2209</v>
      </c>
    </row>
    <row r="558" spans="1:14" ht="79.5" customHeight="1">
      <c r="A558" s="16">
        <v>20</v>
      </c>
      <c r="B558" s="1633" t="s">
        <v>1200</v>
      </c>
      <c r="C558" s="1633"/>
      <c r="D558" s="1633"/>
      <c r="E558" s="1633"/>
      <c r="F558" s="1633"/>
      <c r="G558" s="1633"/>
      <c r="H558" s="1633"/>
      <c r="I558" s="534"/>
      <c r="J558" s="535"/>
      <c r="K558" s="16"/>
      <c r="L558" s="208"/>
      <c r="M558" s="38"/>
      <c r="N558" s="533" t="s">
        <v>2297</v>
      </c>
    </row>
    <row r="559" spans="1:14" s="541" customFormat="1" ht="16.5" customHeight="1">
      <c r="A559" s="16"/>
      <c r="B559" s="39" t="s">
        <v>2791</v>
      </c>
      <c r="C559" s="534"/>
      <c r="D559" s="536"/>
      <c r="E559" s="537"/>
      <c r="F559" s="538"/>
      <c r="G559" s="538"/>
      <c r="H559" s="538"/>
      <c r="I559" s="539"/>
      <c r="J559" s="550"/>
      <c r="K559" s="39"/>
      <c r="L559" s="208"/>
      <c r="M559" s="39"/>
      <c r="N559" s="533" t="s">
        <v>2297</v>
      </c>
    </row>
    <row r="560" spans="1:14" s="541" customFormat="1" ht="16.5" customHeight="1">
      <c r="A560" s="16"/>
      <c r="B560" s="39" t="s">
        <v>1241</v>
      </c>
      <c r="C560" s="534">
        <v>1</v>
      </c>
      <c r="D560" s="536" t="s">
        <v>273</v>
      </c>
      <c r="E560" s="537">
        <v>2</v>
      </c>
      <c r="F560" s="538">
        <v>0.75</v>
      </c>
      <c r="G560" s="538">
        <v>0.15</v>
      </c>
      <c r="H560" s="538">
        <v>1.05</v>
      </c>
      <c r="I560" s="542">
        <f>ROUND(IF(AND(F560:H560),C560*E560*F560*G560*H560,IF(AND(F560,G560),C560*E560*F560*G560,IF(AND(F560,H560),C560*E560*F560*H560,IF(AND(G560,H560),C560*E560*G560*H560,IF(F560,C560*E560*F560,IF(G560,C560*E560*G560,IF(H560,C560*E560*H560,C560*E560))))))),2)</f>
        <v>0.24</v>
      </c>
      <c r="J560" s="550" t="s">
        <v>5</v>
      </c>
      <c r="K560" s="39"/>
      <c r="L560" s="208"/>
      <c r="M560" s="39"/>
      <c r="N560" s="533" t="s">
        <v>2297</v>
      </c>
    </row>
    <row r="561" spans="1:14" s="541" customFormat="1" ht="16.5" customHeight="1">
      <c r="A561" s="16"/>
      <c r="B561" s="39"/>
      <c r="C561" s="534">
        <v>1</v>
      </c>
      <c r="D561" s="536" t="s">
        <v>273</v>
      </c>
      <c r="E561" s="537">
        <v>1</v>
      </c>
      <c r="F561" s="538">
        <v>2.65</v>
      </c>
      <c r="G561" s="538">
        <v>0.15</v>
      </c>
      <c r="H561" s="538">
        <v>1.2</v>
      </c>
      <c r="I561" s="542">
        <f>ROUND(IF(AND(F561:H561),C561*E561*F561*G561*H561,IF(AND(F561,G561),C561*E561*F561*G561,IF(AND(F561,H561),C561*E561*F561*H561,IF(AND(G561,H561),C561*E561*G561*H561,IF(F561,C561*E561*F561,IF(G561,C561*E561*G561,IF(H561,C561*E561*H561,C561*E561))))))),2)</f>
        <v>0.48</v>
      </c>
      <c r="J561" s="550" t="s">
        <v>5</v>
      </c>
      <c r="K561" s="39"/>
      <c r="L561" s="208"/>
      <c r="M561" s="39"/>
      <c r="N561" s="533" t="s">
        <v>2297</v>
      </c>
    </row>
    <row r="562" spans="1:14" s="541" customFormat="1" ht="16.5" customHeight="1">
      <c r="A562" s="16"/>
      <c r="B562" s="39"/>
      <c r="C562" s="534">
        <v>1</v>
      </c>
      <c r="D562" s="536" t="s">
        <v>273</v>
      </c>
      <c r="E562" s="537">
        <v>1</v>
      </c>
      <c r="F562" s="538">
        <v>2.85</v>
      </c>
      <c r="G562" s="538">
        <v>0.15</v>
      </c>
      <c r="H562" s="538">
        <v>1.2</v>
      </c>
      <c r="I562" s="542">
        <f>ROUND(IF(AND(F562:H562),C562*E562*F562*G562*H562,IF(AND(F562,G562),C562*E562*F562*G562,IF(AND(F562,H562),C562*E562*F562*H562,IF(AND(G562,H562),C562*E562*G562*H562,IF(F562,C562*E562*F562,IF(G562,C562*E562*G562,IF(H562,C562*E562*H562,C562*E562))))))),2)</f>
        <v>0.51</v>
      </c>
      <c r="J562" s="550" t="s">
        <v>5</v>
      </c>
      <c r="K562" s="39"/>
      <c r="L562" s="208"/>
      <c r="M562" s="39"/>
      <c r="N562" s="533" t="s">
        <v>2297</v>
      </c>
    </row>
    <row r="563" spans="1:14" s="541" customFormat="1" ht="16.5" customHeight="1">
      <c r="A563" s="16"/>
      <c r="B563" s="544"/>
      <c r="C563" s="545"/>
      <c r="D563" s="546"/>
      <c r="E563" s="547"/>
      <c r="F563" s="548"/>
      <c r="G563" s="548"/>
      <c r="H563" s="548"/>
      <c r="I563" s="549"/>
      <c r="J563" s="550"/>
      <c r="K563" s="39"/>
      <c r="L563" s="208"/>
      <c r="M563" s="39"/>
      <c r="N563" s="533" t="s">
        <v>2297</v>
      </c>
    </row>
    <row r="564" spans="1:14" ht="15.75">
      <c r="A564" s="16"/>
      <c r="B564" s="39"/>
      <c r="C564" s="551"/>
      <c r="D564" s="552"/>
      <c r="E564" s="537"/>
      <c r="F564" s="538"/>
      <c r="G564" s="40"/>
      <c r="H564" s="16"/>
      <c r="I564" s="549"/>
      <c r="J564" s="550" t="s">
        <v>5</v>
      </c>
      <c r="K564" s="10">
        <f>data!F1345</f>
        <v>5800.61</v>
      </c>
      <c r="L564" s="208" t="s">
        <v>2297</v>
      </c>
      <c r="M564" s="9">
        <f>ROUND(I564*K564,0)</f>
        <v>0</v>
      </c>
      <c r="N564" s="533" t="s">
        <v>2297</v>
      </c>
    </row>
    <row r="565" spans="1:14" ht="79.5" customHeight="1">
      <c r="A565" s="16">
        <v>20</v>
      </c>
      <c r="B565" s="1633" t="s">
        <v>1200</v>
      </c>
      <c r="C565" s="1633"/>
      <c r="D565" s="1633"/>
      <c r="E565" s="1633"/>
      <c r="F565" s="1633"/>
      <c r="G565" s="1633"/>
      <c r="H565" s="1633"/>
      <c r="I565" s="534"/>
      <c r="J565" s="535"/>
      <c r="K565" s="16"/>
      <c r="L565" s="208"/>
      <c r="M565" s="38"/>
      <c r="N565" s="533" t="s">
        <v>2308</v>
      </c>
    </row>
    <row r="566" spans="1:14" s="541" customFormat="1" ht="16.5" customHeight="1">
      <c r="A566" s="16"/>
      <c r="B566" s="39" t="s">
        <v>2791</v>
      </c>
      <c r="C566" s="534"/>
      <c r="D566" s="536"/>
      <c r="E566" s="537"/>
      <c r="F566" s="538"/>
      <c r="G566" s="538"/>
      <c r="H566" s="538"/>
      <c r="I566" s="539"/>
      <c r="J566" s="550"/>
      <c r="K566" s="39"/>
      <c r="L566" s="208"/>
      <c r="M566" s="39"/>
      <c r="N566" s="533" t="s">
        <v>2308</v>
      </c>
    </row>
    <row r="567" spans="1:14" s="541" customFormat="1" ht="16.5" customHeight="1">
      <c r="A567" s="16"/>
      <c r="B567" s="39" t="s">
        <v>1241</v>
      </c>
      <c r="C567" s="534">
        <v>1</v>
      </c>
      <c r="D567" s="536" t="s">
        <v>273</v>
      </c>
      <c r="E567" s="537">
        <v>2</v>
      </c>
      <c r="F567" s="538">
        <v>0.75</v>
      </c>
      <c r="G567" s="538">
        <v>0.15</v>
      </c>
      <c r="H567" s="538">
        <v>1.05</v>
      </c>
      <c r="I567" s="542">
        <f>ROUND(IF(AND(F567:H567),C567*E567*F567*G567*H567,IF(AND(F567,G567),C567*E567*F567*G567,IF(AND(F567,H567),C567*E567*F567*H567,IF(AND(G567,H567),C567*E567*G567*H567,IF(F567,C567*E567*F567,IF(G567,C567*E567*G567,IF(H567,C567*E567*H567,C567*E567))))))),2)</f>
        <v>0.24</v>
      </c>
      <c r="J567" s="550" t="s">
        <v>5</v>
      </c>
      <c r="K567" s="39"/>
      <c r="L567" s="208"/>
      <c r="M567" s="39"/>
      <c r="N567" s="533" t="s">
        <v>2308</v>
      </c>
    </row>
    <row r="568" spans="1:14" s="541" customFormat="1" ht="16.5" customHeight="1">
      <c r="A568" s="16"/>
      <c r="B568" s="39"/>
      <c r="C568" s="534">
        <v>1</v>
      </c>
      <c r="D568" s="536" t="s">
        <v>273</v>
      </c>
      <c r="E568" s="537">
        <v>1</v>
      </c>
      <c r="F568" s="538">
        <v>2.65</v>
      </c>
      <c r="G568" s="538">
        <v>0.15</v>
      </c>
      <c r="H568" s="538">
        <v>1.2</v>
      </c>
      <c r="I568" s="542">
        <f>ROUND(IF(AND(F568:H568),C568*E568*F568*G568*H568,IF(AND(F568,G568),C568*E568*F568*G568,IF(AND(F568,H568),C568*E568*F568*H568,IF(AND(G568,H568),C568*E568*G568*H568,IF(F568,C568*E568*F568,IF(G568,C568*E568*G568,IF(H568,C568*E568*H568,C568*E568))))))),2)</f>
        <v>0.48</v>
      </c>
      <c r="J568" s="550" t="s">
        <v>5</v>
      </c>
      <c r="K568" s="39"/>
      <c r="L568" s="208"/>
      <c r="M568" s="39"/>
      <c r="N568" s="533" t="s">
        <v>2308</v>
      </c>
    </row>
    <row r="569" spans="1:14" s="541" customFormat="1" ht="16.5" customHeight="1">
      <c r="A569" s="16"/>
      <c r="B569" s="39"/>
      <c r="C569" s="534">
        <v>1</v>
      </c>
      <c r="D569" s="536" t="s">
        <v>273</v>
      </c>
      <c r="E569" s="537">
        <v>1</v>
      </c>
      <c r="F569" s="538">
        <v>2.85</v>
      </c>
      <c r="G569" s="538">
        <v>0.15</v>
      </c>
      <c r="H569" s="538">
        <v>1.2</v>
      </c>
      <c r="I569" s="542">
        <f>ROUND(IF(AND(F569:H569),C569*E569*F569*G569*H569,IF(AND(F569,G569),C569*E569*F569*G569,IF(AND(F569,H569),C569*E569*F569*H569,IF(AND(G569,H569),C569*E569*G569*H569,IF(F569,C569*E569*F569,IF(G569,C569*E569*G569,IF(H569,C569*E569*H569,C569*E569))))))),2)</f>
        <v>0.51</v>
      </c>
      <c r="J569" s="550" t="s">
        <v>5</v>
      </c>
      <c r="K569" s="39"/>
      <c r="L569" s="208"/>
      <c r="M569" s="39"/>
      <c r="N569" s="533" t="s">
        <v>2308</v>
      </c>
    </row>
    <row r="570" spans="1:14" s="541" customFormat="1" ht="16.5" customHeight="1">
      <c r="A570" s="16"/>
      <c r="B570" s="544"/>
      <c r="C570" s="545"/>
      <c r="D570" s="546"/>
      <c r="E570" s="547"/>
      <c r="F570" s="548"/>
      <c r="G570" s="548"/>
      <c r="H570" s="548"/>
      <c r="I570" s="549"/>
      <c r="J570" s="550"/>
      <c r="K570" s="39"/>
      <c r="L570" s="208"/>
      <c r="M570" s="39"/>
      <c r="N570" s="533" t="s">
        <v>2308</v>
      </c>
    </row>
    <row r="571" spans="1:14" ht="15.75">
      <c r="A571" s="16"/>
      <c r="B571" s="39"/>
      <c r="C571" s="551"/>
      <c r="D571" s="552"/>
      <c r="E571" s="537"/>
      <c r="F571" s="538"/>
      <c r="G571" s="40"/>
      <c r="H571" s="16"/>
      <c r="I571" s="549"/>
      <c r="J571" s="550" t="s">
        <v>5</v>
      </c>
      <c r="K571" s="10">
        <f>data!F2262</f>
        <v>6321.16</v>
      </c>
      <c r="L571" s="208" t="s">
        <v>2308</v>
      </c>
      <c r="M571" s="9">
        <f>ROUND(I571*K571,0)</f>
        <v>0</v>
      </c>
      <c r="N571" s="533" t="s">
        <v>2308</v>
      </c>
    </row>
    <row r="572" spans="1:14" ht="79.5" customHeight="1">
      <c r="A572" s="16">
        <v>20</v>
      </c>
      <c r="B572" s="1633" t="s">
        <v>1200</v>
      </c>
      <c r="C572" s="1633"/>
      <c r="D572" s="1633"/>
      <c r="E572" s="1633"/>
      <c r="F572" s="1633"/>
      <c r="G572" s="1633"/>
      <c r="H572" s="1633"/>
      <c r="I572" s="534"/>
      <c r="J572" s="535"/>
      <c r="K572" s="16"/>
      <c r="L572" s="208"/>
      <c r="M572" s="38"/>
      <c r="N572" s="533" t="s">
        <v>2309</v>
      </c>
    </row>
    <row r="573" spans="1:14" s="541" customFormat="1" ht="16.5" customHeight="1">
      <c r="A573" s="16"/>
      <c r="B573" s="39" t="s">
        <v>2791</v>
      </c>
      <c r="C573" s="534"/>
      <c r="D573" s="536"/>
      <c r="E573" s="537"/>
      <c r="F573" s="538"/>
      <c r="G573" s="538"/>
      <c r="H573" s="538"/>
      <c r="I573" s="539"/>
      <c r="J573" s="550"/>
      <c r="K573" s="39"/>
      <c r="L573" s="208"/>
      <c r="M573" s="39"/>
      <c r="N573" s="533" t="s">
        <v>2309</v>
      </c>
    </row>
    <row r="574" spans="1:14" s="541" customFormat="1" ht="16.5" customHeight="1">
      <c r="A574" s="16"/>
      <c r="B574" s="39" t="s">
        <v>1241</v>
      </c>
      <c r="C574" s="534">
        <v>1</v>
      </c>
      <c r="D574" s="536" t="s">
        <v>273</v>
      </c>
      <c r="E574" s="537">
        <v>2</v>
      </c>
      <c r="F574" s="538">
        <v>0.75</v>
      </c>
      <c r="G574" s="538">
        <v>0.15</v>
      </c>
      <c r="H574" s="538">
        <v>1.05</v>
      </c>
      <c r="I574" s="542">
        <f>ROUND(IF(AND(F574:H574),C574*E574*F574*G574*H574,IF(AND(F574,G574),C574*E574*F574*G574,IF(AND(F574,H574),C574*E574*F574*H574,IF(AND(G574,H574),C574*E574*G574*H574,IF(F574,C574*E574*F574,IF(G574,C574*E574*G574,IF(H574,C574*E574*H574,C574*E574))))))),2)</f>
        <v>0.24</v>
      </c>
      <c r="J574" s="550" t="s">
        <v>5</v>
      </c>
      <c r="K574" s="39"/>
      <c r="L574" s="208"/>
      <c r="M574" s="39"/>
      <c r="N574" s="533" t="s">
        <v>2309</v>
      </c>
    </row>
    <row r="575" spans="1:14" s="541" customFormat="1" ht="16.5" customHeight="1">
      <c r="A575" s="16"/>
      <c r="B575" s="39"/>
      <c r="C575" s="534">
        <v>1</v>
      </c>
      <c r="D575" s="536" t="s">
        <v>273</v>
      </c>
      <c r="E575" s="537">
        <v>1</v>
      </c>
      <c r="F575" s="538">
        <v>2.65</v>
      </c>
      <c r="G575" s="538">
        <v>0.15</v>
      </c>
      <c r="H575" s="538">
        <v>1.2</v>
      </c>
      <c r="I575" s="542">
        <f>ROUND(IF(AND(F575:H575),C575*E575*F575*G575*H575,IF(AND(F575,G575),C575*E575*F575*G575,IF(AND(F575,H575),C575*E575*F575*H575,IF(AND(G575,H575),C575*E575*G575*H575,IF(F575,C575*E575*F575,IF(G575,C575*E575*G575,IF(H575,C575*E575*H575,C575*E575))))))),2)</f>
        <v>0.48</v>
      </c>
      <c r="J575" s="550" t="s">
        <v>5</v>
      </c>
      <c r="K575" s="39"/>
      <c r="L575" s="208"/>
      <c r="M575" s="39"/>
      <c r="N575" s="533" t="s">
        <v>2309</v>
      </c>
    </row>
    <row r="576" spans="1:14" s="541" customFormat="1" ht="16.5" customHeight="1">
      <c r="A576" s="16"/>
      <c r="B576" s="39"/>
      <c r="C576" s="534">
        <v>1</v>
      </c>
      <c r="D576" s="536" t="s">
        <v>273</v>
      </c>
      <c r="E576" s="537">
        <v>1</v>
      </c>
      <c r="F576" s="538">
        <v>2.85</v>
      </c>
      <c r="G576" s="538">
        <v>0.15</v>
      </c>
      <c r="H576" s="538">
        <v>1.2</v>
      </c>
      <c r="I576" s="542">
        <f>ROUND(IF(AND(F576:H576),C576*E576*F576*G576*H576,IF(AND(F576,G576),C576*E576*F576*G576,IF(AND(F576,H576),C576*E576*F576*H576,IF(AND(G576,H576),C576*E576*G576*H576,IF(F576,C576*E576*F576,IF(G576,C576*E576*G576,IF(H576,C576*E576*H576,C576*E576))))))),2)</f>
        <v>0.51</v>
      </c>
      <c r="J576" s="550" t="s">
        <v>5</v>
      </c>
      <c r="K576" s="39"/>
      <c r="L576" s="208"/>
      <c r="M576" s="39"/>
      <c r="N576" s="533" t="s">
        <v>2309</v>
      </c>
    </row>
    <row r="577" spans="1:14" s="541" customFormat="1" ht="16.5" customHeight="1">
      <c r="A577" s="16"/>
      <c r="B577" s="544"/>
      <c r="C577" s="545"/>
      <c r="D577" s="546"/>
      <c r="E577" s="547"/>
      <c r="F577" s="548"/>
      <c r="G577" s="548"/>
      <c r="H577" s="548"/>
      <c r="I577" s="549"/>
      <c r="J577" s="550"/>
      <c r="K577" s="39"/>
      <c r="L577" s="208"/>
      <c r="M577" s="39"/>
      <c r="N577" s="533" t="s">
        <v>2309</v>
      </c>
    </row>
    <row r="578" spans="1:14" ht="15.75">
      <c r="A578" s="16"/>
      <c r="B578" s="39"/>
      <c r="C578" s="551"/>
      <c r="D578" s="552"/>
      <c r="E578" s="537"/>
      <c r="F578" s="538"/>
      <c r="G578" s="40"/>
      <c r="H578" s="16"/>
      <c r="I578" s="549"/>
      <c r="J578" s="550" t="s">
        <v>5</v>
      </c>
      <c r="K578" s="10">
        <f>data!F3179</f>
        <v>6718.55</v>
      </c>
      <c r="L578" s="208" t="s">
        <v>2309</v>
      </c>
      <c r="M578" s="9">
        <f>ROUND(I578*K578,0)</f>
        <v>0</v>
      </c>
      <c r="N578" s="533" t="s">
        <v>2309</v>
      </c>
    </row>
    <row r="579" spans="1:14" ht="103.5" customHeight="1">
      <c r="A579" s="16">
        <v>19</v>
      </c>
      <c r="B579" s="1633" t="s">
        <v>1171</v>
      </c>
      <c r="C579" s="1633"/>
      <c r="D579" s="1633"/>
      <c r="E579" s="1633"/>
      <c r="F579" s="1633"/>
      <c r="G579" s="1633"/>
      <c r="H579" s="1633"/>
      <c r="I579" s="534"/>
      <c r="J579" s="535"/>
      <c r="K579" s="16"/>
      <c r="L579" s="208"/>
      <c r="M579" s="38"/>
      <c r="N579" s="533" t="s">
        <v>2209</v>
      </c>
    </row>
    <row r="580" spans="1:14" s="541" customFormat="1" ht="16.5" customHeight="1">
      <c r="A580" s="16"/>
      <c r="B580" s="39" t="s">
        <v>2795</v>
      </c>
      <c r="C580" s="534"/>
      <c r="D580" s="536"/>
      <c r="E580" s="537"/>
      <c r="F580" s="538"/>
      <c r="G580" s="538"/>
      <c r="H580" s="538"/>
      <c r="I580" s="539"/>
      <c r="J580" s="550"/>
      <c r="K580" s="39"/>
      <c r="L580" s="208"/>
      <c r="M580" s="39"/>
      <c r="N580" s="533" t="s">
        <v>2209</v>
      </c>
    </row>
    <row r="581" spans="1:14" s="541" customFormat="1" ht="16.5" customHeight="1">
      <c r="A581" s="16"/>
      <c r="B581" s="39"/>
      <c r="C581" s="534">
        <v>1</v>
      </c>
      <c r="D581" s="536" t="s">
        <v>273</v>
      </c>
      <c r="E581" s="537">
        <v>2</v>
      </c>
      <c r="F581" s="538">
        <v>2.0499999999999998</v>
      </c>
      <c r="G581" s="538">
        <v>1.7</v>
      </c>
      <c r="H581" s="538">
        <v>0</v>
      </c>
      <c r="I581" s="542">
        <f>ROUND(IF(AND(F581:H581),C581*E581*F581*G581*H581,IF(AND(F581,G581),C581*E581*F581*G581,IF(AND(F581,H581),C581*E581*F581*H581,IF(AND(G581,H581),C581*E581*G581*H581,IF(F581,C581*E581*F581,IF(G581,C581*E581*G581,IF(H581,C581*E581*H581,C581*E581))))))),2)</f>
        <v>6.97</v>
      </c>
      <c r="J581" s="550" t="s">
        <v>102</v>
      </c>
      <c r="K581" s="39"/>
      <c r="L581" s="208"/>
      <c r="M581" s="39"/>
      <c r="N581" s="533" t="s">
        <v>2209</v>
      </c>
    </row>
    <row r="582" spans="1:14" s="541" customFormat="1" ht="16.5" customHeight="1">
      <c r="A582" s="16"/>
      <c r="B582" s="39"/>
      <c r="C582" s="534">
        <v>1</v>
      </c>
      <c r="D582" s="536" t="s">
        <v>273</v>
      </c>
      <c r="E582" s="537">
        <v>2</v>
      </c>
      <c r="F582" s="538">
        <v>3.6</v>
      </c>
      <c r="G582" s="538">
        <v>0.95</v>
      </c>
      <c r="H582" s="538">
        <v>0</v>
      </c>
      <c r="I582" s="542">
        <f>ROUND(IF(AND(F582:H582),C582*E582*F582*G582*H582,IF(AND(F582,G582),C582*E582*F582*G582,IF(AND(F582,H582),C582*E582*F582*H582,IF(AND(G582,H582),C582*E582*G582*H582,IF(F582,C582*E582*F582,IF(G582,C582*E582*G582,IF(H582,C582*E582*H582,C582*E582))))))),2)</f>
        <v>6.84</v>
      </c>
      <c r="J582" s="550" t="s">
        <v>102</v>
      </c>
      <c r="K582" s="39"/>
      <c r="L582" s="208"/>
      <c r="M582" s="39"/>
      <c r="N582" s="533" t="s">
        <v>2209</v>
      </c>
    </row>
    <row r="583" spans="1:14" s="541" customFormat="1" ht="16.5" customHeight="1">
      <c r="A583" s="16"/>
      <c r="B583" s="39"/>
      <c r="C583" s="534"/>
      <c r="D583" s="536"/>
      <c r="E583" s="537"/>
      <c r="F583" s="538"/>
      <c r="G583" s="538"/>
      <c r="H583" s="538"/>
      <c r="I583" s="542"/>
      <c r="J583" s="550"/>
      <c r="K583" s="39"/>
      <c r="L583" s="208"/>
      <c r="M583" s="39"/>
      <c r="N583" s="533" t="s">
        <v>2209</v>
      </c>
    </row>
    <row r="584" spans="1:14" ht="15.75">
      <c r="A584" s="16"/>
      <c r="B584" s="39"/>
      <c r="C584" s="551"/>
      <c r="D584" s="552"/>
      <c r="E584" s="537"/>
      <c r="F584" s="538"/>
      <c r="G584" s="40"/>
      <c r="H584" s="16"/>
      <c r="I584" s="549"/>
      <c r="J584" s="550" t="s">
        <v>102</v>
      </c>
      <c r="K584" s="10">
        <f>data!F553</f>
        <v>1906.95</v>
      </c>
      <c r="L584" s="208" t="s">
        <v>2209</v>
      </c>
      <c r="M584" s="9">
        <f>ROUND(I584*K584/1,0)</f>
        <v>0</v>
      </c>
      <c r="N584" s="533" t="s">
        <v>2209</v>
      </c>
    </row>
    <row r="585" spans="1:14" ht="103.5" customHeight="1">
      <c r="A585" s="16">
        <v>19</v>
      </c>
      <c r="B585" s="1633" t="s">
        <v>1171</v>
      </c>
      <c r="C585" s="1633"/>
      <c r="D585" s="1633"/>
      <c r="E585" s="1633"/>
      <c r="F585" s="1633"/>
      <c r="G585" s="1633"/>
      <c r="H585" s="1633"/>
      <c r="I585" s="534"/>
      <c r="J585" s="535"/>
      <c r="K585" s="16"/>
      <c r="L585" s="208"/>
      <c r="M585" s="38"/>
      <c r="N585" s="533" t="s">
        <v>2297</v>
      </c>
    </row>
    <row r="586" spans="1:14" s="541" customFormat="1" ht="16.5" customHeight="1">
      <c r="A586" s="16"/>
      <c r="B586" s="39" t="s">
        <v>2795</v>
      </c>
      <c r="C586" s="534"/>
      <c r="D586" s="536"/>
      <c r="E586" s="537"/>
      <c r="F586" s="538"/>
      <c r="G586" s="538"/>
      <c r="H586" s="538"/>
      <c r="I586" s="539"/>
      <c r="J586" s="550"/>
      <c r="K586" s="39"/>
      <c r="L586" s="208"/>
      <c r="M586" s="39"/>
      <c r="N586" s="533" t="s">
        <v>2297</v>
      </c>
    </row>
    <row r="587" spans="1:14" s="541" customFormat="1" ht="16.5" customHeight="1">
      <c r="A587" s="16"/>
      <c r="B587" s="39"/>
      <c r="C587" s="534">
        <v>1</v>
      </c>
      <c r="D587" s="536" t="s">
        <v>273</v>
      </c>
      <c r="E587" s="537">
        <v>2</v>
      </c>
      <c r="F587" s="538">
        <v>2.0499999999999998</v>
      </c>
      <c r="G587" s="538">
        <v>1.7</v>
      </c>
      <c r="H587" s="538">
        <v>0</v>
      </c>
      <c r="I587" s="542">
        <f>ROUND(IF(AND(F587:H587),C587*E587*F587*G587*H587,IF(AND(F587,G587),C587*E587*F587*G587,IF(AND(F587,H587),C587*E587*F587*H587,IF(AND(G587,H587),C587*E587*G587*H587,IF(F587,C587*E587*F587,IF(G587,C587*E587*G587,IF(H587,C587*E587*H587,C587*E587))))))),2)</f>
        <v>6.97</v>
      </c>
      <c r="J587" s="550" t="s">
        <v>102</v>
      </c>
      <c r="K587" s="39"/>
      <c r="L587" s="208"/>
      <c r="M587" s="39"/>
      <c r="N587" s="533" t="s">
        <v>2297</v>
      </c>
    </row>
    <row r="588" spans="1:14" s="541" customFormat="1" ht="16.5" customHeight="1">
      <c r="A588" s="16"/>
      <c r="B588" s="39"/>
      <c r="C588" s="534">
        <v>1</v>
      </c>
      <c r="D588" s="536" t="s">
        <v>273</v>
      </c>
      <c r="E588" s="537">
        <v>2</v>
      </c>
      <c r="F588" s="538">
        <v>3.6</v>
      </c>
      <c r="G588" s="538">
        <v>0.95</v>
      </c>
      <c r="H588" s="538">
        <v>0</v>
      </c>
      <c r="I588" s="542">
        <f>ROUND(IF(AND(F588:H588),C588*E588*F588*G588*H588,IF(AND(F588,G588),C588*E588*F588*G588,IF(AND(F588,H588),C588*E588*F588*H588,IF(AND(G588,H588),C588*E588*G588*H588,IF(F588,C588*E588*F588,IF(G588,C588*E588*G588,IF(H588,C588*E588*H588,C588*E588))))))),2)</f>
        <v>6.84</v>
      </c>
      <c r="J588" s="550" t="s">
        <v>102</v>
      </c>
      <c r="K588" s="39"/>
      <c r="L588" s="208"/>
      <c r="M588" s="39"/>
      <c r="N588" s="533" t="s">
        <v>2297</v>
      </c>
    </row>
    <row r="589" spans="1:14" s="541" customFormat="1" ht="16.5" customHeight="1">
      <c r="A589" s="16"/>
      <c r="B589" s="39"/>
      <c r="C589" s="534"/>
      <c r="D589" s="536"/>
      <c r="E589" s="537"/>
      <c r="F589" s="538"/>
      <c r="G589" s="538"/>
      <c r="H589" s="538"/>
      <c r="I589" s="542"/>
      <c r="J589" s="550"/>
      <c r="K589" s="39"/>
      <c r="L589" s="208"/>
      <c r="M589" s="39"/>
      <c r="N589" s="533" t="s">
        <v>2297</v>
      </c>
    </row>
    <row r="590" spans="1:14" ht="15.75">
      <c r="A590" s="16"/>
      <c r="B590" s="39"/>
      <c r="C590" s="551"/>
      <c r="D590" s="552"/>
      <c r="E590" s="537"/>
      <c r="F590" s="538"/>
      <c r="G590" s="40"/>
      <c r="H590" s="16"/>
      <c r="I590" s="549"/>
      <c r="J590" s="550" t="s">
        <v>102</v>
      </c>
      <c r="K590" s="10">
        <f>data!F1470</f>
        <v>2066.33</v>
      </c>
      <c r="L590" s="208" t="s">
        <v>2297</v>
      </c>
      <c r="M590" s="9">
        <f>ROUND(I590*K590/1,0)</f>
        <v>0</v>
      </c>
      <c r="N590" s="533" t="s">
        <v>2297</v>
      </c>
    </row>
    <row r="591" spans="1:14" ht="103.5" customHeight="1">
      <c r="A591" s="16">
        <v>19</v>
      </c>
      <c r="B591" s="1633" t="s">
        <v>1171</v>
      </c>
      <c r="C591" s="1633"/>
      <c r="D591" s="1633"/>
      <c r="E591" s="1633"/>
      <c r="F591" s="1633"/>
      <c r="G591" s="1633"/>
      <c r="H591" s="1633"/>
      <c r="I591" s="534"/>
      <c r="J591" s="535"/>
      <c r="K591" s="16"/>
      <c r="L591" s="208"/>
      <c r="M591" s="38"/>
      <c r="N591" s="533" t="s">
        <v>2308</v>
      </c>
    </row>
    <row r="592" spans="1:14" s="541" customFormat="1" ht="16.5" customHeight="1">
      <c r="A592" s="16"/>
      <c r="B592" s="39" t="s">
        <v>2795</v>
      </c>
      <c r="C592" s="534"/>
      <c r="D592" s="536"/>
      <c r="E592" s="537"/>
      <c r="F592" s="538"/>
      <c r="G592" s="538"/>
      <c r="H592" s="538"/>
      <c r="I592" s="539"/>
      <c r="J592" s="550"/>
      <c r="K592" s="39"/>
      <c r="L592" s="208"/>
      <c r="M592" s="39"/>
      <c r="N592" s="533" t="s">
        <v>2308</v>
      </c>
    </row>
    <row r="593" spans="1:14" s="541" customFormat="1" ht="16.5" customHeight="1">
      <c r="A593" s="16"/>
      <c r="B593" s="39"/>
      <c r="C593" s="534">
        <v>1</v>
      </c>
      <c r="D593" s="536" t="s">
        <v>273</v>
      </c>
      <c r="E593" s="537">
        <v>2</v>
      </c>
      <c r="F593" s="538">
        <v>2.0499999999999998</v>
      </c>
      <c r="G593" s="538">
        <v>1.7</v>
      </c>
      <c r="H593" s="538">
        <v>0</v>
      </c>
      <c r="I593" s="542">
        <f>ROUND(IF(AND(F593:H593),C593*E593*F593*G593*H593,IF(AND(F593,G593),C593*E593*F593*G593,IF(AND(F593,H593),C593*E593*F593*H593,IF(AND(G593,H593),C593*E593*G593*H593,IF(F593,C593*E593*F593,IF(G593,C593*E593*G593,IF(H593,C593*E593*H593,C593*E593))))))),2)</f>
        <v>6.97</v>
      </c>
      <c r="J593" s="550" t="s">
        <v>102</v>
      </c>
      <c r="K593" s="39"/>
      <c r="L593" s="208"/>
      <c r="M593" s="39"/>
      <c r="N593" s="533" t="s">
        <v>2308</v>
      </c>
    </row>
    <row r="594" spans="1:14" s="541" customFormat="1" ht="16.5" customHeight="1">
      <c r="A594" s="16"/>
      <c r="B594" s="39"/>
      <c r="C594" s="534">
        <v>1</v>
      </c>
      <c r="D594" s="536" t="s">
        <v>273</v>
      </c>
      <c r="E594" s="537">
        <v>2</v>
      </c>
      <c r="F594" s="538">
        <v>3.6</v>
      </c>
      <c r="G594" s="538">
        <v>0.95</v>
      </c>
      <c r="H594" s="538">
        <v>0</v>
      </c>
      <c r="I594" s="542">
        <f>ROUND(IF(AND(F594:H594),C594*E594*F594*G594*H594,IF(AND(F594,G594),C594*E594*F594*G594,IF(AND(F594,H594),C594*E594*F594*H594,IF(AND(G594,H594),C594*E594*G594*H594,IF(F594,C594*E594*F594,IF(G594,C594*E594*G594,IF(H594,C594*E594*H594,C594*E594))))))),2)</f>
        <v>6.84</v>
      </c>
      <c r="J594" s="550" t="s">
        <v>102</v>
      </c>
      <c r="K594" s="39"/>
      <c r="L594" s="208"/>
      <c r="M594" s="39"/>
      <c r="N594" s="533" t="s">
        <v>2308</v>
      </c>
    </row>
    <row r="595" spans="1:14" s="541" customFormat="1" ht="16.5" customHeight="1">
      <c r="A595" s="16"/>
      <c r="B595" s="39"/>
      <c r="C595" s="534"/>
      <c r="D595" s="536"/>
      <c r="E595" s="537"/>
      <c r="F595" s="538"/>
      <c r="G595" s="538"/>
      <c r="H595" s="538"/>
      <c r="I595" s="542"/>
      <c r="J595" s="550"/>
      <c r="K595" s="39"/>
      <c r="L595" s="208"/>
      <c r="M595" s="39"/>
      <c r="N595" s="533" t="s">
        <v>2308</v>
      </c>
    </row>
    <row r="596" spans="1:14" ht="15.75">
      <c r="A596" s="16"/>
      <c r="B596" s="39"/>
      <c r="C596" s="551"/>
      <c r="D596" s="552"/>
      <c r="E596" s="537"/>
      <c r="F596" s="538"/>
      <c r="G596" s="40"/>
      <c r="H596" s="16"/>
      <c r="I596" s="549"/>
      <c r="J596" s="550" t="s">
        <v>102</v>
      </c>
      <c r="K596" s="10">
        <f>data!F2387</f>
        <v>2199.0300000000002</v>
      </c>
      <c r="L596" s="208" t="s">
        <v>2308</v>
      </c>
      <c r="M596" s="9">
        <f>ROUND(I596*K596/1,0)</f>
        <v>0</v>
      </c>
      <c r="N596" s="533" t="s">
        <v>2308</v>
      </c>
    </row>
    <row r="597" spans="1:14" ht="103.5" customHeight="1">
      <c r="A597" s="16">
        <v>19</v>
      </c>
      <c r="B597" s="1633" t="s">
        <v>1171</v>
      </c>
      <c r="C597" s="1633"/>
      <c r="D597" s="1633"/>
      <c r="E597" s="1633"/>
      <c r="F597" s="1633"/>
      <c r="G597" s="1633"/>
      <c r="H597" s="1633"/>
      <c r="I597" s="534"/>
      <c r="J597" s="535"/>
      <c r="K597" s="16"/>
      <c r="L597" s="208"/>
      <c r="M597" s="38"/>
      <c r="N597" s="533" t="s">
        <v>2309</v>
      </c>
    </row>
    <row r="598" spans="1:14" s="541" customFormat="1" ht="16.5" customHeight="1">
      <c r="A598" s="16"/>
      <c r="B598" s="39" t="s">
        <v>2795</v>
      </c>
      <c r="C598" s="534"/>
      <c r="D598" s="536"/>
      <c r="E598" s="537"/>
      <c r="F598" s="538"/>
      <c r="G598" s="538"/>
      <c r="H598" s="538"/>
      <c r="I598" s="539"/>
      <c r="J598" s="550"/>
      <c r="K598" s="39"/>
      <c r="L598" s="208"/>
      <c r="M598" s="39"/>
      <c r="N598" s="533" t="s">
        <v>2309</v>
      </c>
    </row>
    <row r="599" spans="1:14" s="541" customFormat="1" ht="16.5" customHeight="1">
      <c r="A599" s="16"/>
      <c r="B599" s="39"/>
      <c r="C599" s="534">
        <v>1</v>
      </c>
      <c r="D599" s="536" t="s">
        <v>273</v>
      </c>
      <c r="E599" s="537">
        <v>2</v>
      </c>
      <c r="F599" s="538">
        <v>2.0499999999999998</v>
      </c>
      <c r="G599" s="538">
        <v>1.7</v>
      </c>
      <c r="H599" s="538">
        <v>0</v>
      </c>
      <c r="I599" s="542">
        <f>ROUND(IF(AND(F599:H599),C599*E599*F599*G599*H599,IF(AND(F599,G599),C599*E599*F599*G599,IF(AND(F599,H599),C599*E599*F599*H599,IF(AND(G599,H599),C599*E599*G599*H599,IF(F599,C599*E599*F599,IF(G599,C599*E599*G599,IF(H599,C599*E599*H599,C599*E599))))))),2)</f>
        <v>6.97</v>
      </c>
      <c r="J599" s="550" t="s">
        <v>102</v>
      </c>
      <c r="K599" s="39"/>
      <c r="L599" s="208"/>
      <c r="M599" s="39"/>
      <c r="N599" s="533" t="s">
        <v>2309</v>
      </c>
    </row>
    <row r="600" spans="1:14" s="541" customFormat="1" ht="16.5" customHeight="1">
      <c r="A600" s="16"/>
      <c r="B600" s="39"/>
      <c r="C600" s="534">
        <v>1</v>
      </c>
      <c r="D600" s="536" t="s">
        <v>273</v>
      </c>
      <c r="E600" s="537">
        <v>2</v>
      </c>
      <c r="F600" s="538">
        <v>3.6</v>
      </c>
      <c r="G600" s="538">
        <v>0.95</v>
      </c>
      <c r="H600" s="538">
        <v>0</v>
      </c>
      <c r="I600" s="542">
        <f>ROUND(IF(AND(F600:H600),C600*E600*F600*G600*H600,IF(AND(F600,G600),C600*E600*F600*G600,IF(AND(F600,H600),C600*E600*F600*H600,IF(AND(G600,H600),C600*E600*G600*H600,IF(F600,C600*E600*F600,IF(G600,C600*E600*G600,IF(H600,C600*E600*H600,C600*E600))))))),2)</f>
        <v>6.84</v>
      </c>
      <c r="J600" s="550" t="s">
        <v>102</v>
      </c>
      <c r="K600" s="39"/>
      <c r="L600" s="208"/>
      <c r="M600" s="39"/>
      <c r="N600" s="533" t="s">
        <v>2309</v>
      </c>
    </row>
    <row r="601" spans="1:14" s="541" customFormat="1" ht="16.5" customHeight="1">
      <c r="A601" s="16"/>
      <c r="B601" s="39"/>
      <c r="C601" s="534"/>
      <c r="D601" s="536"/>
      <c r="E601" s="537"/>
      <c r="F601" s="538"/>
      <c r="G601" s="538"/>
      <c r="H601" s="538"/>
      <c r="I601" s="542"/>
      <c r="J601" s="550"/>
      <c r="K601" s="39"/>
      <c r="L601" s="208"/>
      <c r="M601" s="39"/>
      <c r="N601" s="533" t="s">
        <v>2309</v>
      </c>
    </row>
    <row r="602" spans="1:14" ht="15.75">
      <c r="A602" s="16"/>
      <c r="B602" s="39"/>
      <c r="C602" s="551"/>
      <c r="D602" s="552"/>
      <c r="E602" s="537"/>
      <c r="F602" s="538"/>
      <c r="G602" s="40"/>
      <c r="H602" s="16"/>
      <c r="I602" s="549"/>
      <c r="J602" s="550" t="s">
        <v>102</v>
      </c>
      <c r="K602" s="10">
        <f>data!F3304</f>
        <v>2346.34</v>
      </c>
      <c r="L602" s="208" t="s">
        <v>2309</v>
      </c>
      <c r="M602" s="9">
        <f>ROUND(I602*K602/1,0)</f>
        <v>0</v>
      </c>
      <c r="N602" s="533" t="s">
        <v>2309</v>
      </c>
    </row>
    <row r="603" spans="1:14" ht="54.75" customHeight="1">
      <c r="A603" s="16">
        <v>9</v>
      </c>
      <c r="B603" s="1633" t="s">
        <v>125</v>
      </c>
      <c r="C603" s="1633"/>
      <c r="D603" s="1633"/>
      <c r="E603" s="1633"/>
      <c r="F603" s="1633"/>
      <c r="G603" s="1633"/>
      <c r="H603" s="1633"/>
      <c r="I603" s="534"/>
      <c r="J603" s="535"/>
      <c r="K603" s="16"/>
      <c r="L603" s="208"/>
      <c r="M603" s="38"/>
      <c r="N603" s="533" t="s">
        <v>2209</v>
      </c>
    </row>
    <row r="604" spans="1:14" s="541" customFormat="1" ht="16.5" customHeight="1">
      <c r="A604" s="16"/>
      <c r="B604" s="39" t="s">
        <v>3029</v>
      </c>
      <c r="C604" s="534"/>
      <c r="D604" s="858" t="s">
        <v>3251</v>
      </c>
      <c r="E604" s="537"/>
      <c r="F604" s="538"/>
      <c r="G604" s="538"/>
      <c r="H604" s="538"/>
      <c r="I604" s="539"/>
      <c r="J604" s="550"/>
      <c r="K604" s="39"/>
      <c r="L604" s="208"/>
      <c r="M604" s="39"/>
      <c r="N604" s="533" t="s">
        <v>2209</v>
      </c>
    </row>
    <row r="605" spans="1:14" s="541" customFormat="1" ht="16.5" customHeight="1">
      <c r="A605" s="16"/>
      <c r="B605" s="39" t="s">
        <v>2356</v>
      </c>
      <c r="C605" s="534">
        <v>1</v>
      </c>
      <c r="D605" s="536" t="s">
        <v>273</v>
      </c>
      <c r="E605" s="537">
        <v>1</v>
      </c>
      <c r="F605" s="538">
        <v>3.35</v>
      </c>
      <c r="G605" s="538">
        <v>2.4900000000000002</v>
      </c>
      <c r="H605" s="538">
        <v>0</v>
      </c>
      <c r="I605" s="542">
        <f t="shared" ref="I605:I619" si="58">ROUND(IF(AND(F605:H605),C605*E605*F605*G605*H605,IF(AND(F605,G605),C605*E605*F605*G605,IF(AND(F605,H605),C605*E605*F605*H605,IF(AND(G605,H605),C605*E605*G605*H605,IF(F605,C605*E605*F605,IF(G605,C605*E605*G605,IF(H605,C605*E605*H605,C605*E605))))))),2)</f>
        <v>8.34</v>
      </c>
      <c r="J605" s="550" t="s">
        <v>102</v>
      </c>
      <c r="K605" s="39"/>
      <c r="L605" s="208"/>
      <c r="M605" s="39"/>
      <c r="N605" s="533" t="s">
        <v>2209</v>
      </c>
    </row>
    <row r="606" spans="1:14" s="541" customFormat="1" ht="16.5" customHeight="1">
      <c r="A606" s="16"/>
      <c r="B606" s="39" t="s">
        <v>1620</v>
      </c>
      <c r="C606" s="534">
        <v>1</v>
      </c>
      <c r="D606" s="536" t="s">
        <v>273</v>
      </c>
      <c r="E606" s="537">
        <v>1</v>
      </c>
      <c r="F606" s="538">
        <v>3.35</v>
      </c>
      <c r="G606" s="538">
        <v>2.88</v>
      </c>
      <c r="H606" s="538">
        <v>0</v>
      </c>
      <c r="I606" s="542">
        <f t="shared" si="58"/>
        <v>9.65</v>
      </c>
      <c r="J606" s="550" t="s">
        <v>102</v>
      </c>
      <c r="K606" s="39"/>
      <c r="L606" s="208"/>
      <c r="M606" s="39"/>
      <c r="N606" s="533" t="s">
        <v>2209</v>
      </c>
    </row>
    <row r="607" spans="1:14" s="541" customFormat="1" ht="16.5" customHeight="1">
      <c r="A607" s="16"/>
      <c r="B607" s="39" t="s">
        <v>587</v>
      </c>
      <c r="C607" s="534">
        <v>1</v>
      </c>
      <c r="D607" s="536" t="s">
        <v>273</v>
      </c>
      <c r="E607" s="537">
        <v>1</v>
      </c>
      <c r="F607" s="538">
        <v>3.35</v>
      </c>
      <c r="G607" s="538">
        <v>3.12</v>
      </c>
      <c r="H607" s="538">
        <v>0</v>
      </c>
      <c r="I607" s="542">
        <f t="shared" si="58"/>
        <v>10.45</v>
      </c>
      <c r="J607" s="550" t="s">
        <v>102</v>
      </c>
      <c r="K607" s="39"/>
      <c r="L607" s="208"/>
      <c r="M607" s="39"/>
      <c r="N607" s="533" t="s">
        <v>2209</v>
      </c>
    </row>
    <row r="608" spans="1:14" s="541" customFormat="1" ht="16.5" customHeight="1">
      <c r="A608" s="16"/>
      <c r="B608" s="39" t="s">
        <v>586</v>
      </c>
      <c r="C608" s="534">
        <v>1</v>
      </c>
      <c r="D608" s="536" t="s">
        <v>273</v>
      </c>
      <c r="E608" s="537">
        <v>1</v>
      </c>
      <c r="F608" s="538">
        <v>11.93</v>
      </c>
      <c r="G608" s="538">
        <v>1.8</v>
      </c>
      <c r="H608" s="538">
        <v>0</v>
      </c>
      <c r="I608" s="542">
        <f t="shared" si="58"/>
        <v>21.47</v>
      </c>
      <c r="J608" s="550" t="s">
        <v>102</v>
      </c>
      <c r="K608" s="39"/>
      <c r="L608" s="208"/>
      <c r="M608" s="39"/>
      <c r="N608" s="533" t="s">
        <v>2209</v>
      </c>
    </row>
    <row r="609" spans="1:14" s="541" customFormat="1" ht="16.5" customHeight="1">
      <c r="A609" s="16"/>
      <c r="B609" s="39" t="s">
        <v>3075</v>
      </c>
      <c r="C609" s="534">
        <v>1</v>
      </c>
      <c r="D609" s="536" t="s">
        <v>273</v>
      </c>
      <c r="E609" s="537">
        <v>1</v>
      </c>
      <c r="F609" s="538">
        <v>3.3</v>
      </c>
      <c r="G609" s="538">
        <v>1.4</v>
      </c>
      <c r="H609" s="538">
        <v>0</v>
      </c>
      <c r="I609" s="542">
        <f t="shared" si="58"/>
        <v>4.62</v>
      </c>
      <c r="J609" s="550" t="s">
        <v>102</v>
      </c>
      <c r="K609" s="39"/>
      <c r="L609" s="208"/>
      <c r="M609" s="39"/>
      <c r="N609" s="533" t="s">
        <v>2209</v>
      </c>
    </row>
    <row r="610" spans="1:14" s="541" customFormat="1" ht="16.5" customHeight="1">
      <c r="A610" s="16"/>
      <c r="B610" s="39"/>
      <c r="C610" s="534">
        <v>1</v>
      </c>
      <c r="D610" s="536" t="s">
        <v>273</v>
      </c>
      <c r="E610" s="537">
        <v>1</v>
      </c>
      <c r="F610" s="538">
        <v>1.45</v>
      </c>
      <c r="G610" s="538">
        <v>1.5</v>
      </c>
      <c r="H610" s="538">
        <v>0</v>
      </c>
      <c r="I610" s="542">
        <f t="shared" si="58"/>
        <v>2.1800000000000002</v>
      </c>
      <c r="J610" s="550" t="s">
        <v>102</v>
      </c>
      <c r="K610" s="39"/>
      <c r="L610" s="208"/>
      <c r="M610" s="39"/>
      <c r="N610" s="533" t="s">
        <v>2209</v>
      </c>
    </row>
    <row r="611" spans="1:14" s="541" customFormat="1" ht="16.5" customHeight="1">
      <c r="A611" s="16"/>
      <c r="B611" s="39"/>
      <c r="C611" s="534">
        <v>1</v>
      </c>
      <c r="D611" s="536" t="s">
        <v>273</v>
      </c>
      <c r="E611" s="537">
        <v>1</v>
      </c>
      <c r="F611" s="538">
        <v>1.45</v>
      </c>
      <c r="G611" s="538">
        <v>1.5</v>
      </c>
      <c r="H611" s="538">
        <v>0</v>
      </c>
      <c r="I611" s="542">
        <f t="shared" si="58"/>
        <v>2.1800000000000002</v>
      </c>
      <c r="J611" s="550" t="s">
        <v>102</v>
      </c>
      <c r="K611" s="39"/>
      <c r="L611" s="208"/>
      <c r="M611" s="39"/>
      <c r="N611" s="533" t="s">
        <v>2209</v>
      </c>
    </row>
    <row r="612" spans="1:14" s="541" customFormat="1" ht="16.5" customHeight="1">
      <c r="A612" s="16"/>
      <c r="B612" s="39" t="s">
        <v>3076</v>
      </c>
      <c r="C612" s="534">
        <v>1</v>
      </c>
      <c r="D612" s="536" t="s">
        <v>273</v>
      </c>
      <c r="E612" s="537">
        <v>1</v>
      </c>
      <c r="F612" s="538">
        <v>4.9800000000000004</v>
      </c>
      <c r="G612" s="538">
        <v>8.6</v>
      </c>
      <c r="H612" s="538">
        <v>0</v>
      </c>
      <c r="I612" s="542">
        <f t="shared" si="58"/>
        <v>42.83</v>
      </c>
      <c r="J612" s="550" t="s">
        <v>102</v>
      </c>
      <c r="K612" s="39"/>
      <c r="L612" s="208"/>
      <c r="M612" s="39"/>
      <c r="N612" s="533" t="s">
        <v>2209</v>
      </c>
    </row>
    <row r="613" spans="1:14" s="541" customFormat="1" ht="16.5" customHeight="1">
      <c r="A613" s="16"/>
      <c r="B613" s="39" t="s">
        <v>3077</v>
      </c>
      <c r="C613" s="534">
        <v>1</v>
      </c>
      <c r="D613" s="536" t="s">
        <v>273</v>
      </c>
      <c r="E613" s="537">
        <v>1</v>
      </c>
      <c r="F613" s="538">
        <v>5.45</v>
      </c>
      <c r="G613" s="538">
        <v>0.6</v>
      </c>
      <c r="H613" s="538">
        <v>0</v>
      </c>
      <c r="I613" s="542">
        <f t="shared" si="58"/>
        <v>3.27</v>
      </c>
      <c r="J613" s="550" t="s">
        <v>102</v>
      </c>
      <c r="K613" s="39"/>
      <c r="L613" s="208"/>
      <c r="M613" s="39"/>
      <c r="N613" s="533" t="s">
        <v>2209</v>
      </c>
    </row>
    <row r="614" spans="1:14" s="541" customFormat="1" ht="16.5" customHeight="1">
      <c r="A614" s="16"/>
      <c r="B614" s="39" t="s">
        <v>3078</v>
      </c>
      <c r="C614" s="534">
        <v>1</v>
      </c>
      <c r="D614" s="536" t="s">
        <v>273</v>
      </c>
      <c r="E614" s="537">
        <v>1</v>
      </c>
      <c r="F614" s="538">
        <v>8.8000000000000007</v>
      </c>
      <c r="G614" s="538">
        <v>0.9</v>
      </c>
      <c r="H614" s="538">
        <v>0</v>
      </c>
      <c r="I614" s="542">
        <f t="shared" si="58"/>
        <v>7.92</v>
      </c>
      <c r="J614" s="550" t="s">
        <v>102</v>
      </c>
      <c r="K614" s="39"/>
      <c r="L614" s="208"/>
      <c r="M614" s="39"/>
      <c r="N614" s="533" t="s">
        <v>2209</v>
      </c>
    </row>
    <row r="615" spans="1:14" s="541" customFormat="1" ht="16.5" customHeight="1">
      <c r="A615" s="16"/>
      <c r="B615" s="39" t="s">
        <v>2925</v>
      </c>
      <c r="C615" s="534">
        <v>1</v>
      </c>
      <c r="D615" s="536" t="s">
        <v>273</v>
      </c>
      <c r="E615" s="537">
        <v>1</v>
      </c>
      <c r="F615" s="538">
        <v>12</v>
      </c>
      <c r="G615" s="538">
        <v>0</v>
      </c>
      <c r="H615" s="538">
        <v>0.3</v>
      </c>
      <c r="I615" s="542">
        <f t="shared" si="58"/>
        <v>3.6</v>
      </c>
      <c r="J615" s="550" t="s">
        <v>102</v>
      </c>
      <c r="K615" s="39"/>
      <c r="L615" s="208"/>
      <c r="M615" s="39"/>
      <c r="N615" s="533" t="s">
        <v>2209</v>
      </c>
    </row>
    <row r="616" spans="1:14" s="541" customFormat="1" ht="16.5" customHeight="1">
      <c r="A616" s="16"/>
      <c r="B616" s="39"/>
      <c r="C616" s="534">
        <v>1</v>
      </c>
      <c r="D616" s="536" t="s">
        <v>273</v>
      </c>
      <c r="E616" s="537">
        <v>1</v>
      </c>
      <c r="F616" s="538">
        <v>9.25</v>
      </c>
      <c r="G616" s="538">
        <v>0.3</v>
      </c>
      <c r="H616" s="538">
        <v>0</v>
      </c>
      <c r="I616" s="542">
        <f t="shared" si="58"/>
        <v>2.78</v>
      </c>
      <c r="J616" s="550" t="s">
        <v>102</v>
      </c>
      <c r="K616" s="39"/>
      <c r="L616" s="208"/>
      <c r="M616" s="39"/>
      <c r="N616" s="533" t="s">
        <v>2209</v>
      </c>
    </row>
    <row r="617" spans="1:14" s="541" customFormat="1" ht="16.5" customHeight="1">
      <c r="A617" s="16"/>
      <c r="B617" s="39" t="s">
        <v>2367</v>
      </c>
      <c r="C617" s="534">
        <v>1</v>
      </c>
      <c r="D617" s="536" t="s">
        <v>273</v>
      </c>
      <c r="E617" s="537">
        <v>6</v>
      </c>
      <c r="F617" s="538">
        <v>1.8</v>
      </c>
      <c r="G617" s="538">
        <v>0.6</v>
      </c>
      <c r="H617" s="538">
        <v>0</v>
      </c>
      <c r="I617" s="542">
        <f t="shared" si="58"/>
        <v>6.48</v>
      </c>
      <c r="J617" s="550" t="s">
        <v>102</v>
      </c>
      <c r="K617" s="39"/>
      <c r="L617" s="208"/>
      <c r="M617" s="39"/>
      <c r="N617" s="533" t="s">
        <v>2209</v>
      </c>
    </row>
    <row r="618" spans="1:14" s="541" customFormat="1" ht="16.5" customHeight="1">
      <c r="A618" s="16"/>
      <c r="B618" s="39"/>
      <c r="C618" s="534">
        <v>1</v>
      </c>
      <c r="D618" s="536" t="s">
        <v>273</v>
      </c>
      <c r="E618" s="537">
        <v>1</v>
      </c>
      <c r="F618" s="538">
        <v>5.2</v>
      </c>
      <c r="G618" s="538">
        <v>0.6</v>
      </c>
      <c r="H618" s="538">
        <v>0</v>
      </c>
      <c r="I618" s="542">
        <f t="shared" si="58"/>
        <v>3.12</v>
      </c>
      <c r="J618" s="550" t="s">
        <v>102</v>
      </c>
      <c r="K618" s="39"/>
      <c r="L618" s="208"/>
      <c r="M618" s="39"/>
      <c r="N618" s="533" t="s">
        <v>2209</v>
      </c>
    </row>
    <row r="619" spans="1:14" s="541" customFormat="1" ht="16.5" customHeight="1">
      <c r="A619" s="16"/>
      <c r="B619" s="39" t="s">
        <v>3079</v>
      </c>
      <c r="C619" s="534">
        <v>2</v>
      </c>
      <c r="D619" s="536" t="s">
        <v>273</v>
      </c>
      <c r="E619" s="537">
        <v>2</v>
      </c>
      <c r="F619" s="538">
        <v>1.8</v>
      </c>
      <c r="G619" s="538">
        <v>0</v>
      </c>
      <c r="H619" s="538">
        <v>0.38</v>
      </c>
      <c r="I619" s="542">
        <f t="shared" si="58"/>
        <v>2.74</v>
      </c>
      <c r="J619" s="550" t="s">
        <v>102</v>
      </c>
      <c r="K619" s="39"/>
      <c r="L619" s="208"/>
      <c r="M619" s="39"/>
      <c r="N619" s="533" t="s">
        <v>2209</v>
      </c>
    </row>
    <row r="620" spans="1:14" s="541" customFormat="1" ht="16.5" customHeight="1">
      <c r="A620" s="16"/>
      <c r="B620" s="544"/>
      <c r="C620" s="545"/>
      <c r="D620" s="546"/>
      <c r="E620" s="547"/>
      <c r="F620" s="548"/>
      <c r="G620" s="548"/>
      <c r="H620" s="548"/>
      <c r="I620" s="549"/>
      <c r="J620" s="550"/>
      <c r="K620" s="39"/>
      <c r="L620" s="208"/>
      <c r="M620" s="39"/>
      <c r="N620" s="533" t="s">
        <v>2209</v>
      </c>
    </row>
    <row r="621" spans="1:14" ht="15.75">
      <c r="A621" s="16"/>
      <c r="B621" s="39"/>
      <c r="C621" s="551"/>
      <c r="D621" s="552"/>
      <c r="E621" s="537"/>
      <c r="F621" s="538"/>
      <c r="G621" s="40"/>
      <c r="H621" s="16"/>
      <c r="I621" s="549"/>
      <c r="J621" s="550" t="s">
        <v>102</v>
      </c>
      <c r="K621" s="10">
        <f>data!F444</f>
        <v>292.7</v>
      </c>
      <c r="L621" s="208" t="s">
        <v>2209</v>
      </c>
      <c r="M621" s="9">
        <f>ROUND(I621*K621,0)</f>
        <v>0</v>
      </c>
      <c r="N621" s="533" t="s">
        <v>2209</v>
      </c>
    </row>
    <row r="622" spans="1:14" ht="54.75" customHeight="1">
      <c r="A622" s="16">
        <v>10</v>
      </c>
      <c r="B622" s="1633" t="s">
        <v>125</v>
      </c>
      <c r="C622" s="1633"/>
      <c r="D622" s="1633"/>
      <c r="E622" s="1633"/>
      <c r="F622" s="1633"/>
      <c r="G622" s="1633"/>
      <c r="H622" s="1633"/>
      <c r="I622" s="534"/>
      <c r="J622" s="535"/>
      <c r="K622" s="16"/>
      <c r="L622" s="208"/>
      <c r="M622" s="38"/>
      <c r="N622" s="533" t="s">
        <v>2297</v>
      </c>
    </row>
    <row r="623" spans="1:14" s="541" customFormat="1" ht="16.5" customHeight="1">
      <c r="A623" s="16"/>
      <c r="B623" s="39" t="s">
        <v>2843</v>
      </c>
      <c r="C623" s="534"/>
      <c r="D623" s="536"/>
      <c r="E623" s="537"/>
      <c r="F623" s="538"/>
      <c r="G623" s="538"/>
      <c r="H623" s="538"/>
      <c r="I623" s="539"/>
      <c r="J623" s="550"/>
      <c r="K623" s="39"/>
      <c r="L623" s="208"/>
      <c r="M623" s="39"/>
      <c r="N623" s="533" t="s">
        <v>2297</v>
      </c>
    </row>
    <row r="624" spans="1:14" s="541" customFormat="1" ht="16.5" customHeight="1">
      <c r="A624" s="16"/>
      <c r="B624" s="39" t="s">
        <v>223</v>
      </c>
      <c r="C624" s="534">
        <v>1</v>
      </c>
      <c r="D624" s="536" t="s">
        <v>273</v>
      </c>
      <c r="E624" s="537">
        <v>1</v>
      </c>
      <c r="F624" s="538">
        <v>5.7</v>
      </c>
      <c r="G624" s="538">
        <v>3.04</v>
      </c>
      <c r="H624" s="538">
        <v>0</v>
      </c>
      <c r="I624" s="542">
        <f t="shared" ref="I624" si="59">ROUND(IF(AND(F624:H624),C624*E624*F624*G624*H624,IF(AND(F624,G624),C624*E624*F624*G624,IF(AND(F624,H624),C624*E624*F624*H624,IF(AND(G624,H624),C624*E624*G624*H624,IF(F624,C624*E624*F624,IF(G624,C624*E624*G624,IF(H624,C624*E624*H624,C624*E624))))))),2)</f>
        <v>17.329999999999998</v>
      </c>
      <c r="J624" s="550" t="s">
        <v>102</v>
      </c>
      <c r="K624" s="39"/>
      <c r="L624" s="208"/>
      <c r="M624" s="39"/>
      <c r="N624" s="533" t="s">
        <v>2297</v>
      </c>
    </row>
    <row r="625" spans="1:14" s="541" customFormat="1" ht="16.5" customHeight="1">
      <c r="A625" s="16"/>
      <c r="B625" s="39" t="s">
        <v>586</v>
      </c>
      <c r="C625" s="534">
        <v>1</v>
      </c>
      <c r="D625" s="536" t="s">
        <v>273</v>
      </c>
      <c r="E625" s="537">
        <v>1</v>
      </c>
      <c r="F625" s="538">
        <v>9.0399999999999991</v>
      </c>
      <c r="G625" s="538">
        <v>1.8</v>
      </c>
      <c r="H625" s="538">
        <v>0</v>
      </c>
      <c r="I625" s="542">
        <f t="shared" ref="I625:I647" si="60">ROUND(IF(AND(F625:H625),C625*E625*F625*G625*H625,IF(AND(F625,G625),C625*E625*F625*G625,IF(AND(F625,H625),C625*E625*F625*H625,IF(AND(G625,H625),C625*E625*G625*H625,IF(F625,C625*E625*F625,IF(G625,C625*E625*G625,IF(H625,C625*E625*H625,C625*E625))))))),2)</f>
        <v>16.27</v>
      </c>
      <c r="J625" s="550" t="s">
        <v>102</v>
      </c>
      <c r="K625" s="39"/>
      <c r="L625" s="208"/>
      <c r="M625" s="39"/>
      <c r="N625" s="533" t="s">
        <v>2297</v>
      </c>
    </row>
    <row r="626" spans="1:14" s="541" customFormat="1" ht="16.5" customHeight="1">
      <c r="A626" s="16"/>
      <c r="B626" s="39" t="s">
        <v>587</v>
      </c>
      <c r="C626" s="534">
        <v>1</v>
      </c>
      <c r="D626" s="536" t="s">
        <v>273</v>
      </c>
      <c r="E626" s="537">
        <v>1</v>
      </c>
      <c r="F626" s="538">
        <v>3.3</v>
      </c>
      <c r="G626" s="538">
        <v>3.25</v>
      </c>
      <c r="H626" s="538">
        <v>0</v>
      </c>
      <c r="I626" s="542">
        <f t="shared" si="60"/>
        <v>10.73</v>
      </c>
      <c r="J626" s="550" t="s">
        <v>102</v>
      </c>
      <c r="K626" s="39"/>
      <c r="L626" s="208"/>
      <c r="M626" s="39"/>
      <c r="N626" s="533" t="s">
        <v>2297</v>
      </c>
    </row>
    <row r="627" spans="1:14" s="541" customFormat="1" ht="16.5" customHeight="1">
      <c r="A627" s="16"/>
      <c r="B627" s="39" t="s">
        <v>1620</v>
      </c>
      <c r="C627" s="534">
        <v>1</v>
      </c>
      <c r="D627" s="536" t="s">
        <v>273</v>
      </c>
      <c r="E627" s="537">
        <v>1</v>
      </c>
      <c r="F627" s="538">
        <v>2.7</v>
      </c>
      <c r="G627" s="538">
        <v>3.25</v>
      </c>
      <c r="H627" s="538">
        <v>0</v>
      </c>
      <c r="I627" s="542">
        <f t="shared" si="60"/>
        <v>8.7799999999999994</v>
      </c>
      <c r="J627" s="550" t="s">
        <v>102</v>
      </c>
      <c r="K627" s="39"/>
      <c r="L627" s="208"/>
      <c r="M627" s="39"/>
      <c r="N627" s="533" t="s">
        <v>2297</v>
      </c>
    </row>
    <row r="628" spans="1:14" s="541" customFormat="1" ht="16.5" customHeight="1">
      <c r="A628" s="16"/>
      <c r="B628" s="39" t="s">
        <v>2356</v>
      </c>
      <c r="C628" s="534">
        <v>1</v>
      </c>
      <c r="D628" s="536" t="s">
        <v>273</v>
      </c>
      <c r="E628" s="537">
        <v>1</v>
      </c>
      <c r="F628" s="538">
        <v>2.75</v>
      </c>
      <c r="G628" s="538">
        <v>3.25</v>
      </c>
      <c r="H628" s="538">
        <v>0</v>
      </c>
      <c r="I628" s="542">
        <f t="shared" ref="I628:I635" si="61">ROUND(IF(AND(F628:H628),C628*E628*F628*G628*H628,IF(AND(F628,G628),C628*E628*F628*G628,IF(AND(F628,H628),C628*E628*F628*H628,IF(AND(G628,H628),C628*E628*G628*H628,IF(F628,C628*E628*F628,IF(G628,C628*E628*G628,IF(H628,C628*E628*H628,C628*E628))))))),2)</f>
        <v>8.94</v>
      </c>
      <c r="J628" s="550" t="s">
        <v>102</v>
      </c>
      <c r="K628" s="39"/>
      <c r="L628" s="208"/>
      <c r="M628" s="39"/>
      <c r="N628" s="533" t="s">
        <v>2297</v>
      </c>
    </row>
    <row r="629" spans="1:14" s="541" customFormat="1" ht="16.5" customHeight="1">
      <c r="A629" s="16"/>
      <c r="B629" s="39" t="s">
        <v>2912</v>
      </c>
      <c r="C629" s="534">
        <v>1</v>
      </c>
      <c r="D629" s="536" t="s">
        <v>273</v>
      </c>
      <c r="E629" s="537">
        <v>1</v>
      </c>
      <c r="F629" s="538">
        <v>1.56</v>
      </c>
      <c r="G629" s="538">
        <v>1.45</v>
      </c>
      <c r="H629" s="538">
        <v>0</v>
      </c>
      <c r="I629" s="542">
        <f t="shared" si="61"/>
        <v>2.2599999999999998</v>
      </c>
      <c r="J629" s="550" t="s">
        <v>102</v>
      </c>
      <c r="K629" s="39"/>
      <c r="L629" s="208"/>
      <c r="M629" s="39"/>
      <c r="N629" s="533" t="s">
        <v>2297</v>
      </c>
    </row>
    <row r="630" spans="1:14" s="541" customFormat="1" ht="16.5" customHeight="1">
      <c r="A630" s="16"/>
      <c r="B630" s="39" t="s">
        <v>659</v>
      </c>
      <c r="C630" s="534">
        <v>1</v>
      </c>
      <c r="D630" s="536" t="s">
        <v>273</v>
      </c>
      <c r="E630" s="537">
        <v>1</v>
      </c>
      <c r="F630" s="538">
        <v>1.62</v>
      </c>
      <c r="G630" s="538">
        <v>1.45</v>
      </c>
      <c r="H630" s="538">
        <v>0</v>
      </c>
      <c r="I630" s="542">
        <f t="shared" si="61"/>
        <v>2.35</v>
      </c>
      <c r="J630" s="550" t="s">
        <v>102</v>
      </c>
      <c r="K630" s="39"/>
      <c r="L630" s="208"/>
      <c r="M630" s="39"/>
      <c r="N630" s="533" t="s">
        <v>2297</v>
      </c>
    </row>
    <row r="631" spans="1:14" s="541" customFormat="1" ht="16.5" customHeight="1">
      <c r="A631" s="16"/>
      <c r="B631" s="39" t="s">
        <v>2913</v>
      </c>
      <c r="C631" s="534">
        <v>1</v>
      </c>
      <c r="D631" s="536" t="s">
        <v>273</v>
      </c>
      <c r="E631" s="537">
        <v>1</v>
      </c>
      <c r="F631" s="538">
        <v>1.62</v>
      </c>
      <c r="G631" s="538">
        <v>1.45</v>
      </c>
      <c r="H631" s="538">
        <v>0</v>
      </c>
      <c r="I631" s="542">
        <f t="shared" si="61"/>
        <v>2.35</v>
      </c>
      <c r="J631" s="550" t="s">
        <v>102</v>
      </c>
      <c r="K631" s="39"/>
      <c r="L631" s="208"/>
      <c r="M631" s="39"/>
      <c r="N631" s="533" t="s">
        <v>2297</v>
      </c>
    </row>
    <row r="632" spans="1:14" s="541" customFormat="1" ht="16.5" customHeight="1">
      <c r="A632" s="16"/>
      <c r="B632" s="39"/>
      <c r="C632" s="534">
        <v>1</v>
      </c>
      <c r="D632" s="536" t="s">
        <v>273</v>
      </c>
      <c r="E632" s="537">
        <v>1</v>
      </c>
      <c r="F632" s="538">
        <v>1.56</v>
      </c>
      <c r="G632" s="538">
        <v>1.45</v>
      </c>
      <c r="H632" s="538">
        <v>0</v>
      </c>
      <c r="I632" s="542">
        <f t="shared" si="61"/>
        <v>2.2599999999999998</v>
      </c>
      <c r="J632" s="550" t="s">
        <v>102</v>
      </c>
      <c r="K632" s="39"/>
      <c r="L632" s="208"/>
      <c r="M632" s="39"/>
      <c r="N632" s="533" t="s">
        <v>2297</v>
      </c>
    </row>
    <row r="633" spans="1:14" s="541" customFormat="1" ht="16.5" customHeight="1">
      <c r="A633" s="16"/>
      <c r="B633" s="39" t="s">
        <v>2914</v>
      </c>
      <c r="C633" s="534">
        <v>1</v>
      </c>
      <c r="D633" s="536" t="s">
        <v>273</v>
      </c>
      <c r="E633" s="537">
        <v>1</v>
      </c>
      <c r="F633" s="538">
        <v>4.95</v>
      </c>
      <c r="G633" s="538">
        <v>2.72</v>
      </c>
      <c r="H633" s="538">
        <v>0</v>
      </c>
      <c r="I633" s="542">
        <f t="shared" si="61"/>
        <v>13.46</v>
      </c>
      <c r="J633" s="550" t="s">
        <v>102</v>
      </c>
      <c r="K633" s="39"/>
      <c r="L633" s="208"/>
      <c r="M633" s="39"/>
      <c r="N633" s="533" t="s">
        <v>2297</v>
      </c>
    </row>
    <row r="634" spans="1:14" s="541" customFormat="1" ht="16.5" customHeight="1">
      <c r="A634" s="16"/>
      <c r="B634" s="39" t="s">
        <v>2915</v>
      </c>
      <c r="C634" s="534">
        <v>2</v>
      </c>
      <c r="D634" s="536" t="s">
        <v>273</v>
      </c>
      <c r="E634" s="537">
        <v>2</v>
      </c>
      <c r="F634" s="538">
        <v>1.8</v>
      </c>
      <c r="G634" s="538">
        <v>0</v>
      </c>
      <c r="H634" s="538">
        <v>0.38</v>
      </c>
      <c r="I634" s="542">
        <f t="shared" si="61"/>
        <v>2.74</v>
      </c>
      <c r="J634" s="550" t="s">
        <v>102</v>
      </c>
      <c r="K634" s="39"/>
      <c r="L634" s="208"/>
      <c r="M634" s="39"/>
      <c r="N634" s="533" t="s">
        <v>2297</v>
      </c>
    </row>
    <row r="635" spans="1:14" s="541" customFormat="1" ht="16.5" customHeight="1">
      <c r="A635" s="16"/>
      <c r="B635" s="39" t="s">
        <v>2916</v>
      </c>
      <c r="C635" s="534">
        <v>1</v>
      </c>
      <c r="D635" s="536" t="s">
        <v>273</v>
      </c>
      <c r="E635" s="537">
        <v>2</v>
      </c>
      <c r="F635" s="538">
        <v>3.04</v>
      </c>
      <c r="G635" s="538">
        <v>0</v>
      </c>
      <c r="H635" s="538">
        <v>0.38</v>
      </c>
      <c r="I635" s="542">
        <f t="shared" si="61"/>
        <v>2.31</v>
      </c>
      <c r="J635" s="550" t="s">
        <v>102</v>
      </c>
      <c r="K635" s="39"/>
      <c r="L635" s="208"/>
      <c r="M635" s="39"/>
      <c r="N635" s="533" t="s">
        <v>2297</v>
      </c>
    </row>
    <row r="636" spans="1:14" s="541" customFormat="1" ht="16.5" customHeight="1">
      <c r="A636" s="16"/>
      <c r="B636" s="39" t="s">
        <v>2917</v>
      </c>
      <c r="C636" s="534">
        <v>1</v>
      </c>
      <c r="D636" s="536" t="s">
        <v>273</v>
      </c>
      <c r="E636" s="537">
        <v>2</v>
      </c>
      <c r="F636" s="538">
        <v>2.72</v>
      </c>
      <c r="G636" s="538">
        <v>0</v>
      </c>
      <c r="H636" s="538">
        <v>0.3</v>
      </c>
      <c r="I636" s="542">
        <f t="shared" si="60"/>
        <v>1.63</v>
      </c>
      <c r="J636" s="550" t="s">
        <v>102</v>
      </c>
      <c r="K636" s="39"/>
      <c r="L636" s="208"/>
      <c r="M636" s="39"/>
      <c r="N636" s="533" t="s">
        <v>2297</v>
      </c>
    </row>
    <row r="637" spans="1:14" s="541" customFormat="1" ht="16.5" customHeight="1">
      <c r="A637" s="16"/>
      <c r="B637" s="39" t="s">
        <v>2918</v>
      </c>
      <c r="C637" s="534">
        <v>1</v>
      </c>
      <c r="D637" s="536" t="s">
        <v>273</v>
      </c>
      <c r="E637" s="537">
        <v>1</v>
      </c>
      <c r="F637" s="538">
        <v>3.5</v>
      </c>
      <c r="G637" s="538">
        <v>1.3</v>
      </c>
      <c r="H637" s="538">
        <v>0</v>
      </c>
      <c r="I637" s="542">
        <f t="shared" si="60"/>
        <v>4.55</v>
      </c>
      <c r="J637" s="550" t="s">
        <v>102</v>
      </c>
      <c r="K637" s="39"/>
      <c r="L637" s="208"/>
      <c r="M637" s="39"/>
      <c r="N637" s="533" t="s">
        <v>2297</v>
      </c>
    </row>
    <row r="638" spans="1:14" s="541" customFormat="1" ht="16.5" customHeight="1">
      <c r="A638" s="16"/>
      <c r="B638" s="39" t="s">
        <v>2919</v>
      </c>
      <c r="C638" s="534">
        <v>1</v>
      </c>
      <c r="D638" s="536" t="s">
        <v>273</v>
      </c>
      <c r="E638" s="537">
        <v>2</v>
      </c>
      <c r="F638" s="538">
        <v>2.72</v>
      </c>
      <c r="G638" s="538">
        <v>0</v>
      </c>
      <c r="H638" s="538">
        <v>0.3</v>
      </c>
      <c r="I638" s="542">
        <f t="shared" si="60"/>
        <v>1.63</v>
      </c>
      <c r="J638" s="550" t="s">
        <v>102</v>
      </c>
      <c r="K638" s="39"/>
      <c r="L638" s="208"/>
      <c r="M638" s="39"/>
      <c r="N638" s="533" t="s">
        <v>2297</v>
      </c>
    </row>
    <row r="639" spans="1:14" s="541" customFormat="1" ht="16.5" customHeight="1">
      <c r="A639" s="16"/>
      <c r="B639" s="39" t="s">
        <v>2541</v>
      </c>
      <c r="C639" s="534">
        <v>1</v>
      </c>
      <c r="D639" s="536" t="s">
        <v>273</v>
      </c>
      <c r="E639" s="537">
        <v>1</v>
      </c>
      <c r="F639" s="538">
        <v>3.18</v>
      </c>
      <c r="G639" s="538">
        <v>1</v>
      </c>
      <c r="H639" s="538">
        <v>0</v>
      </c>
      <c r="I639" s="542">
        <f t="shared" si="60"/>
        <v>3.18</v>
      </c>
      <c r="J639" s="550" t="s">
        <v>102</v>
      </c>
      <c r="K639" s="39"/>
      <c r="L639" s="208"/>
      <c r="M639" s="39"/>
      <c r="N639" s="533" t="s">
        <v>2297</v>
      </c>
    </row>
    <row r="640" spans="1:14" s="541" customFormat="1" ht="16.5" customHeight="1">
      <c r="A640" s="16"/>
      <c r="B640" s="39" t="s">
        <v>2908</v>
      </c>
      <c r="C640" s="534">
        <v>1</v>
      </c>
      <c r="D640" s="536" t="s">
        <v>273</v>
      </c>
      <c r="E640" s="537">
        <v>1</v>
      </c>
      <c r="F640" s="538">
        <v>3.5</v>
      </c>
      <c r="G640" s="538">
        <v>1.3</v>
      </c>
      <c r="H640" s="538">
        <v>0</v>
      </c>
      <c r="I640" s="542">
        <f t="shared" si="60"/>
        <v>4.55</v>
      </c>
      <c r="J640" s="550" t="s">
        <v>102</v>
      </c>
      <c r="K640" s="39"/>
      <c r="L640" s="208"/>
      <c r="M640" s="39"/>
      <c r="N640" s="533" t="s">
        <v>2297</v>
      </c>
    </row>
    <row r="641" spans="1:14" s="541" customFormat="1" ht="16.5" customHeight="1">
      <c r="A641" s="16"/>
      <c r="B641" s="39" t="s">
        <v>2920</v>
      </c>
      <c r="C641" s="534">
        <v>1</v>
      </c>
      <c r="D641" s="536" t="s">
        <v>273</v>
      </c>
      <c r="E641" s="537">
        <v>1</v>
      </c>
      <c r="F641" s="538">
        <v>13.47</v>
      </c>
      <c r="G641" s="538">
        <v>1</v>
      </c>
      <c r="H641" s="538">
        <v>0</v>
      </c>
      <c r="I641" s="542">
        <f t="shared" si="60"/>
        <v>13.47</v>
      </c>
      <c r="J641" s="550" t="s">
        <v>102</v>
      </c>
      <c r="K641" s="39"/>
      <c r="L641" s="208"/>
      <c r="M641" s="39"/>
      <c r="N641" s="533" t="s">
        <v>2297</v>
      </c>
    </row>
    <row r="642" spans="1:14" s="541" customFormat="1" ht="16.5" customHeight="1">
      <c r="A642" s="16"/>
      <c r="B642" s="39" t="s">
        <v>2909</v>
      </c>
      <c r="C642" s="534">
        <v>5</v>
      </c>
      <c r="D642" s="536" t="s">
        <v>273</v>
      </c>
      <c r="E642" s="537">
        <v>2</v>
      </c>
      <c r="F642" s="538">
        <v>1</v>
      </c>
      <c r="G642" s="538">
        <v>0</v>
      </c>
      <c r="H642" s="538">
        <v>0.38</v>
      </c>
      <c r="I642" s="542">
        <f t="shared" si="60"/>
        <v>3.8</v>
      </c>
      <c r="J642" s="550" t="s">
        <v>102</v>
      </c>
      <c r="K642" s="39"/>
      <c r="L642" s="208"/>
      <c r="M642" s="39"/>
      <c r="N642" s="533" t="s">
        <v>2297</v>
      </c>
    </row>
    <row r="643" spans="1:14" s="541" customFormat="1" ht="16.5" customHeight="1">
      <c r="A643" s="16"/>
      <c r="B643" s="39" t="s">
        <v>2921</v>
      </c>
      <c r="C643" s="534">
        <v>1</v>
      </c>
      <c r="D643" s="536" t="s">
        <v>273</v>
      </c>
      <c r="E643" s="537">
        <v>1</v>
      </c>
      <c r="F643" s="538">
        <v>8.84</v>
      </c>
      <c r="G643" s="538">
        <v>1</v>
      </c>
      <c r="H643" s="538">
        <v>0</v>
      </c>
      <c r="I643" s="542">
        <f t="shared" si="60"/>
        <v>8.84</v>
      </c>
      <c r="J643" s="550" t="s">
        <v>102</v>
      </c>
      <c r="K643" s="39"/>
      <c r="L643" s="208"/>
      <c r="M643" s="39"/>
      <c r="N643" s="533" t="s">
        <v>2297</v>
      </c>
    </row>
    <row r="644" spans="1:14" s="541" customFormat="1" ht="16.5" customHeight="1">
      <c r="A644" s="16"/>
      <c r="B644" s="39" t="s">
        <v>2910</v>
      </c>
      <c r="C644" s="534">
        <v>3</v>
      </c>
      <c r="D644" s="536" t="s">
        <v>273</v>
      </c>
      <c r="E644" s="537">
        <v>2</v>
      </c>
      <c r="F644" s="538">
        <v>1</v>
      </c>
      <c r="G644" s="538">
        <v>0</v>
      </c>
      <c r="H644" s="538">
        <v>0.3</v>
      </c>
      <c r="I644" s="542">
        <f t="shared" si="60"/>
        <v>1.8</v>
      </c>
      <c r="J644" s="550" t="s">
        <v>102</v>
      </c>
      <c r="K644" s="39"/>
      <c r="L644" s="208"/>
      <c r="M644" s="39"/>
      <c r="N644" s="533" t="s">
        <v>2297</v>
      </c>
    </row>
    <row r="645" spans="1:14" s="541" customFormat="1" ht="16.5" customHeight="1">
      <c r="A645" s="16"/>
      <c r="B645" s="39" t="s">
        <v>2911</v>
      </c>
      <c r="C645" s="534">
        <v>1</v>
      </c>
      <c r="D645" s="536" t="s">
        <v>273</v>
      </c>
      <c r="E645" s="537">
        <v>1</v>
      </c>
      <c r="F645" s="538">
        <v>9.2899999999999991</v>
      </c>
      <c r="G645" s="538">
        <v>0.3</v>
      </c>
      <c r="H645" s="538">
        <v>0</v>
      </c>
      <c r="I645" s="542">
        <f t="shared" si="60"/>
        <v>2.79</v>
      </c>
      <c r="J645" s="550" t="s">
        <v>102</v>
      </c>
      <c r="K645" s="39"/>
      <c r="L645" s="208"/>
      <c r="M645" s="39"/>
      <c r="N645" s="533" t="s">
        <v>2297</v>
      </c>
    </row>
    <row r="646" spans="1:14" s="541" customFormat="1" ht="16.5" customHeight="1">
      <c r="A646" s="16"/>
      <c r="B646" s="39" t="s">
        <v>2922</v>
      </c>
      <c r="C646" s="534">
        <v>1</v>
      </c>
      <c r="D646" s="536" t="s">
        <v>273</v>
      </c>
      <c r="E646" s="537">
        <v>1</v>
      </c>
      <c r="F646" s="538">
        <v>6.4</v>
      </c>
      <c r="G646" s="538">
        <v>1</v>
      </c>
      <c r="H646" s="538">
        <v>0</v>
      </c>
      <c r="I646" s="542">
        <f t="shared" si="60"/>
        <v>6.4</v>
      </c>
      <c r="J646" s="550" t="s">
        <v>102</v>
      </c>
      <c r="K646" s="39"/>
      <c r="L646" s="208"/>
      <c r="M646" s="39"/>
      <c r="N646" s="533" t="s">
        <v>2297</v>
      </c>
    </row>
    <row r="647" spans="1:14" s="541" customFormat="1" ht="16.5" customHeight="1">
      <c r="A647" s="16"/>
      <c r="B647" s="39" t="s">
        <v>2923</v>
      </c>
      <c r="C647" s="534">
        <v>2</v>
      </c>
      <c r="D647" s="536" t="s">
        <v>273</v>
      </c>
      <c r="E647" s="537">
        <v>2</v>
      </c>
      <c r="F647" s="538">
        <v>1</v>
      </c>
      <c r="G647" s="538">
        <v>0</v>
      </c>
      <c r="H647" s="538">
        <v>0.3</v>
      </c>
      <c r="I647" s="542">
        <f t="shared" si="60"/>
        <v>1.2</v>
      </c>
      <c r="J647" s="550" t="s">
        <v>102</v>
      </c>
      <c r="K647" s="39"/>
      <c r="L647" s="208"/>
      <c r="M647" s="39"/>
      <c r="N647" s="533" t="s">
        <v>2297</v>
      </c>
    </row>
    <row r="648" spans="1:14" s="541" customFormat="1" ht="16.5" customHeight="1">
      <c r="A648" s="16"/>
      <c r="B648" s="39" t="s">
        <v>2814</v>
      </c>
      <c r="C648" s="534"/>
      <c r="D648" s="536"/>
      <c r="E648" s="537"/>
      <c r="F648" s="538"/>
      <c r="G648" s="538"/>
      <c r="H648" s="538"/>
      <c r="I648" s="539"/>
      <c r="J648" s="550"/>
      <c r="K648" s="39"/>
      <c r="L648" s="208"/>
      <c r="M648" s="39"/>
      <c r="N648" s="533" t="s">
        <v>2297</v>
      </c>
    </row>
    <row r="649" spans="1:14" s="541" customFormat="1" ht="16.5" customHeight="1">
      <c r="A649" s="16"/>
      <c r="B649" s="39" t="s">
        <v>2927</v>
      </c>
      <c r="C649" s="534">
        <v>7</v>
      </c>
      <c r="D649" s="536" t="s">
        <v>273</v>
      </c>
      <c r="E649" s="537">
        <v>2</v>
      </c>
      <c r="F649" s="538">
        <v>1.65</v>
      </c>
      <c r="G649" s="538">
        <v>0.6</v>
      </c>
      <c r="H649" s="538">
        <v>0</v>
      </c>
      <c r="I649" s="542">
        <f t="shared" ref="I649" si="62">ROUND(IF(AND(F649:H649),C649*E649*F649*G649*H649,IF(AND(F649,G649),C649*E649*F649*G649,IF(AND(F649,H649),C649*E649*F649*H649,IF(AND(G649,H649),C649*E649*G649*H649,IF(F649,C649*E649*F649,IF(G649,C649*E649*G649,IF(H649,C649*E649*H649,C649*E649))))))),2)</f>
        <v>13.86</v>
      </c>
      <c r="J649" s="550" t="s">
        <v>102</v>
      </c>
      <c r="K649" s="39"/>
      <c r="L649" s="208"/>
      <c r="M649" s="39"/>
      <c r="N649" s="533" t="s">
        <v>2297</v>
      </c>
    </row>
    <row r="650" spans="1:14" s="541" customFormat="1" ht="16.5" customHeight="1">
      <c r="A650" s="16"/>
      <c r="B650" s="39" t="s">
        <v>2927</v>
      </c>
      <c r="C650" s="534">
        <v>1</v>
      </c>
      <c r="D650" s="536" t="s">
        <v>273</v>
      </c>
      <c r="E650" s="537">
        <v>2</v>
      </c>
      <c r="F650" s="538">
        <v>1.05</v>
      </c>
      <c r="G650" s="538">
        <v>0.6</v>
      </c>
      <c r="H650" s="538">
        <v>0</v>
      </c>
      <c r="I650" s="542">
        <f t="shared" ref="I650" si="63">ROUND(IF(AND(F650:H650),C650*E650*F650*G650*H650,IF(AND(F650,G650),C650*E650*F650*G650,IF(AND(F650,H650),C650*E650*F650*H650,IF(AND(G650,H650),C650*E650*G650*H650,IF(F650,C650*E650*F650,IF(G650,C650*E650*G650,IF(H650,C650*E650*H650,C650*E650))))))),2)</f>
        <v>1.26</v>
      </c>
      <c r="J650" s="550" t="s">
        <v>102</v>
      </c>
      <c r="K650" s="39"/>
      <c r="L650" s="208"/>
      <c r="M650" s="39"/>
      <c r="N650" s="533" t="s">
        <v>2297</v>
      </c>
    </row>
    <row r="651" spans="1:14" s="541" customFormat="1" ht="16.5" customHeight="1">
      <c r="A651" s="16"/>
      <c r="B651" s="544"/>
      <c r="C651" s="545"/>
      <c r="D651" s="546"/>
      <c r="E651" s="547"/>
      <c r="F651" s="548"/>
      <c r="G651" s="548"/>
      <c r="H651" s="548"/>
      <c r="I651" s="549"/>
      <c r="J651" s="550"/>
      <c r="K651" s="39"/>
      <c r="L651" s="208"/>
      <c r="M651" s="39"/>
      <c r="N651" s="533" t="s">
        <v>2297</v>
      </c>
    </row>
    <row r="652" spans="1:14" ht="15.75">
      <c r="A652" s="16"/>
      <c r="B652" s="39"/>
      <c r="C652" s="551"/>
      <c r="D652" s="552"/>
      <c r="E652" s="537"/>
      <c r="F652" s="538"/>
      <c r="G652" s="40"/>
      <c r="H652" s="16"/>
      <c r="I652" s="549"/>
      <c r="J652" s="550" t="s">
        <v>102</v>
      </c>
      <c r="K652" s="10">
        <f>data!F1361</f>
        <v>313.52</v>
      </c>
      <c r="L652" s="208" t="s">
        <v>2297</v>
      </c>
      <c r="M652" s="9">
        <f>ROUND(I652*K652,0)</f>
        <v>0</v>
      </c>
      <c r="N652" s="533" t="s">
        <v>2297</v>
      </c>
    </row>
    <row r="653" spans="1:14" ht="54.75" customHeight="1">
      <c r="A653" s="16">
        <v>11</v>
      </c>
      <c r="B653" s="1633" t="s">
        <v>125</v>
      </c>
      <c r="C653" s="1633"/>
      <c r="D653" s="1633"/>
      <c r="E653" s="1633"/>
      <c r="F653" s="1633"/>
      <c r="G653" s="1633"/>
      <c r="H653" s="1633"/>
      <c r="I653" s="534"/>
      <c r="J653" s="535"/>
      <c r="K653" s="16"/>
      <c r="L653" s="208"/>
      <c r="M653" s="38"/>
      <c r="N653" s="533" t="s">
        <v>2308</v>
      </c>
    </row>
    <row r="654" spans="1:14" s="541" customFormat="1" ht="16.5" customHeight="1">
      <c r="A654" s="16"/>
      <c r="B654" s="39" t="s">
        <v>2797</v>
      </c>
      <c r="C654" s="534"/>
      <c r="D654" s="536"/>
      <c r="E654" s="537"/>
      <c r="F654" s="538"/>
      <c r="G654" s="538"/>
      <c r="H654" s="538"/>
      <c r="I654" s="539"/>
      <c r="J654" s="550"/>
      <c r="K654" s="39"/>
      <c r="L654" s="208"/>
      <c r="M654" s="39"/>
      <c r="N654" s="533" t="s">
        <v>2308</v>
      </c>
    </row>
    <row r="655" spans="1:14" s="541" customFormat="1" ht="16.5" customHeight="1">
      <c r="A655" s="16"/>
      <c r="B655" s="39" t="s">
        <v>587</v>
      </c>
      <c r="C655" s="534">
        <v>1</v>
      </c>
      <c r="D655" s="536" t="s">
        <v>273</v>
      </c>
      <c r="E655" s="537">
        <v>1</v>
      </c>
      <c r="F655" s="538">
        <v>3.35</v>
      </c>
      <c r="G655" s="538">
        <v>0</v>
      </c>
      <c r="H655" s="538">
        <v>3.04</v>
      </c>
      <c r="I655" s="574">
        <f>ROUND(IF(AND(F655:H655),C655*E655*F655*G655*H655,IF(AND(F655,G655),C655*E655*F655*G655,IF(AND(F655,H655),C655*E655*F655*H655,IF(AND(G655,H655),C655*E655*G655*H655,IF(F655,C655*E655*F655,IF(G655,C655*E655*G655,IF(H655,C655*E655*H655,C655*E655))))))),2)</f>
        <v>10.18</v>
      </c>
      <c r="J655" s="550" t="s">
        <v>102</v>
      </c>
      <c r="K655" s="39"/>
      <c r="L655" s="208"/>
      <c r="M655" s="39"/>
      <c r="N655" s="533" t="s">
        <v>2308</v>
      </c>
    </row>
    <row r="656" spans="1:14" s="541" customFormat="1" ht="16.5" customHeight="1">
      <c r="A656" s="16"/>
      <c r="B656" s="39" t="s">
        <v>1169</v>
      </c>
      <c r="C656" s="534">
        <v>1</v>
      </c>
      <c r="D656" s="536" t="s">
        <v>273</v>
      </c>
      <c r="E656" s="537">
        <v>1</v>
      </c>
      <c r="F656" s="538">
        <v>2.75</v>
      </c>
      <c r="G656" s="538">
        <v>2.34</v>
      </c>
      <c r="H656" s="538">
        <v>0</v>
      </c>
      <c r="I656" s="574">
        <f>ROUND(IF(AND(F656:H656),C656*E656*F656*G656*H656,IF(AND(F656,G656),C656*E656*F656*G656,IF(AND(F656,H656),C656*E656*F656*H656,IF(AND(G656,H656),C656*E656*G656*H656,IF(F656,C656*E656*F656,IF(G656,C656*E656*G656,IF(H656,C656*E656*H656,C656*E656))))))),2)</f>
        <v>6.44</v>
      </c>
      <c r="J656" s="550" t="s">
        <v>102</v>
      </c>
      <c r="K656" s="39"/>
      <c r="L656" s="208"/>
      <c r="M656" s="39"/>
      <c r="N656" s="533" t="s">
        <v>2308</v>
      </c>
    </row>
    <row r="657" spans="1:14" s="541" customFormat="1" ht="16.5" customHeight="1">
      <c r="A657" s="16"/>
      <c r="B657" s="39"/>
      <c r="C657" s="534">
        <v>1</v>
      </c>
      <c r="D657" s="536" t="s">
        <v>273</v>
      </c>
      <c r="E657" s="537">
        <v>2</v>
      </c>
      <c r="F657" s="538">
        <v>2.7</v>
      </c>
      <c r="G657" s="538">
        <v>0.3</v>
      </c>
      <c r="H657" s="538">
        <v>0</v>
      </c>
      <c r="I657" s="574">
        <f>ROUND(IF(AND(F657:H657),C657*E657*F657*G657*H657,IF(AND(F657,G657),C657*E657*F657*G657,IF(AND(F657,H657),C657*E657*F657*H657,IF(AND(G657,H657),C657*E657*G657*H657,IF(F657,C657*E657*F657,IF(G657,C657*E657*G657,IF(H657,C657*E657*H657,C657*E657))))))),2)</f>
        <v>1.62</v>
      </c>
      <c r="J657" s="550" t="s">
        <v>102</v>
      </c>
      <c r="K657" s="39"/>
      <c r="L657" s="208"/>
      <c r="M657" s="39"/>
      <c r="N657" s="533" t="s">
        <v>2308</v>
      </c>
    </row>
    <row r="658" spans="1:14" s="541" customFormat="1" ht="16.5" customHeight="1">
      <c r="A658" s="16"/>
      <c r="B658" s="544"/>
      <c r="C658" s="545"/>
      <c r="D658" s="546"/>
      <c r="E658" s="547"/>
      <c r="F658" s="548"/>
      <c r="G658" s="548"/>
      <c r="H658" s="548"/>
      <c r="I658" s="549"/>
      <c r="J658" s="550"/>
      <c r="K658" s="39"/>
      <c r="L658" s="208"/>
      <c r="M658" s="39"/>
      <c r="N658" s="533" t="s">
        <v>2308</v>
      </c>
    </row>
    <row r="659" spans="1:14" ht="15.75">
      <c r="A659" s="16"/>
      <c r="B659" s="39"/>
      <c r="C659" s="551"/>
      <c r="D659" s="552"/>
      <c r="E659" s="537"/>
      <c r="F659" s="538"/>
      <c r="G659" s="40"/>
      <c r="H659" s="16"/>
      <c r="I659" s="549"/>
      <c r="J659" s="550" t="s">
        <v>102</v>
      </c>
      <c r="K659" s="10">
        <f>data!F2278</f>
        <v>332.3</v>
      </c>
      <c r="L659" s="208" t="s">
        <v>2308</v>
      </c>
      <c r="M659" s="9">
        <f>ROUND(I659*K659,0)</f>
        <v>0</v>
      </c>
      <c r="N659" s="533" t="s">
        <v>2308</v>
      </c>
    </row>
    <row r="660" spans="1:14" ht="54.75" customHeight="1">
      <c r="A660" s="16">
        <v>11</v>
      </c>
      <c r="B660" s="1633" t="s">
        <v>125</v>
      </c>
      <c r="C660" s="1633"/>
      <c r="D660" s="1633"/>
      <c r="E660" s="1633"/>
      <c r="F660" s="1633"/>
      <c r="G660" s="1633"/>
      <c r="H660" s="1633"/>
      <c r="I660" s="534"/>
      <c r="J660" s="535"/>
      <c r="K660" s="16"/>
      <c r="L660" s="208"/>
      <c r="M660" s="38"/>
      <c r="N660" s="533" t="s">
        <v>2309</v>
      </c>
    </row>
    <row r="661" spans="1:14" s="541" customFormat="1" ht="16.5" customHeight="1">
      <c r="A661" s="16"/>
      <c r="B661" s="39" t="s">
        <v>3029</v>
      </c>
      <c r="C661" s="534"/>
      <c r="D661" s="536"/>
      <c r="E661" s="537"/>
      <c r="F661" s="538"/>
      <c r="G661" s="538"/>
      <c r="H661" s="538"/>
      <c r="I661" s="539"/>
      <c r="J661" s="550"/>
      <c r="K661" s="39"/>
      <c r="L661" s="208"/>
      <c r="M661" s="39"/>
      <c r="N661" s="533" t="s">
        <v>2309</v>
      </c>
    </row>
    <row r="662" spans="1:14" s="541" customFormat="1" ht="16.5" customHeight="1">
      <c r="A662" s="16"/>
      <c r="B662" s="39"/>
      <c r="C662" s="534">
        <v>1</v>
      </c>
      <c r="D662" s="536" t="s">
        <v>273</v>
      </c>
      <c r="E662" s="537">
        <v>1</v>
      </c>
      <c r="F662" s="538">
        <v>3.35</v>
      </c>
      <c r="G662" s="538">
        <v>2.4900000000000002</v>
      </c>
      <c r="H662" s="538">
        <v>0</v>
      </c>
      <c r="I662" s="542">
        <f t="shared" ref="I662:I676" si="64">ROUND(IF(AND(F662:H662),C662*E662*F662*G662*H662,IF(AND(F662,G662),C662*E662*F662*G662,IF(AND(F662,H662),C662*E662*F662*H662,IF(AND(G662,H662),C662*E662*G662*H662,IF(F662,C662*E662*F662,IF(G662,C662*E662*G662,IF(H662,C662*E662*H662,C662*E662))))))),2)</f>
        <v>8.34</v>
      </c>
      <c r="J662" s="550" t="s">
        <v>102</v>
      </c>
      <c r="K662" s="39"/>
      <c r="L662" s="208"/>
      <c r="M662" s="39"/>
      <c r="N662" s="533" t="s">
        <v>2309</v>
      </c>
    </row>
    <row r="663" spans="1:14" s="541" customFormat="1" ht="16.5" customHeight="1">
      <c r="A663" s="16"/>
      <c r="B663" s="39"/>
      <c r="C663" s="534">
        <v>1</v>
      </c>
      <c r="D663" s="536" t="s">
        <v>273</v>
      </c>
      <c r="E663" s="537">
        <v>1</v>
      </c>
      <c r="F663" s="538">
        <v>3.35</v>
      </c>
      <c r="G663" s="538">
        <v>2.88</v>
      </c>
      <c r="H663" s="538">
        <v>0</v>
      </c>
      <c r="I663" s="542">
        <f t="shared" si="64"/>
        <v>9.65</v>
      </c>
      <c r="J663" s="550" t="s">
        <v>102</v>
      </c>
      <c r="K663" s="39"/>
      <c r="L663" s="208"/>
      <c r="M663" s="39"/>
      <c r="N663" s="533" t="s">
        <v>2309</v>
      </c>
    </row>
    <row r="664" spans="1:14" s="541" customFormat="1" ht="16.5" customHeight="1">
      <c r="A664" s="16"/>
      <c r="B664" s="39"/>
      <c r="C664" s="534">
        <v>1</v>
      </c>
      <c r="D664" s="536" t="s">
        <v>273</v>
      </c>
      <c r="E664" s="537">
        <v>1</v>
      </c>
      <c r="F664" s="538">
        <v>3.35</v>
      </c>
      <c r="G664" s="538">
        <v>3.12</v>
      </c>
      <c r="H664" s="538">
        <v>0</v>
      </c>
      <c r="I664" s="542">
        <f t="shared" si="64"/>
        <v>10.45</v>
      </c>
      <c r="J664" s="550" t="s">
        <v>102</v>
      </c>
      <c r="K664" s="39"/>
      <c r="L664" s="208"/>
      <c r="M664" s="39"/>
      <c r="N664" s="533" t="s">
        <v>2309</v>
      </c>
    </row>
    <row r="665" spans="1:14" s="541" customFormat="1" ht="16.5" customHeight="1">
      <c r="A665" s="16"/>
      <c r="B665" s="39"/>
      <c r="C665" s="534">
        <v>1</v>
      </c>
      <c r="D665" s="536" t="s">
        <v>273</v>
      </c>
      <c r="E665" s="537">
        <v>1</v>
      </c>
      <c r="F665" s="538">
        <v>11.93</v>
      </c>
      <c r="G665" s="538">
        <v>1.8</v>
      </c>
      <c r="H665" s="538">
        <v>0</v>
      </c>
      <c r="I665" s="542">
        <f t="shared" si="64"/>
        <v>21.47</v>
      </c>
      <c r="J665" s="550" t="s">
        <v>102</v>
      </c>
      <c r="K665" s="39"/>
      <c r="L665" s="208"/>
      <c r="M665" s="39"/>
      <c r="N665" s="533" t="s">
        <v>2309</v>
      </c>
    </row>
    <row r="666" spans="1:14" s="541" customFormat="1" ht="16.5" customHeight="1">
      <c r="A666" s="16"/>
      <c r="B666" s="39"/>
      <c r="C666" s="534">
        <v>1</v>
      </c>
      <c r="D666" s="536" t="s">
        <v>273</v>
      </c>
      <c r="E666" s="537">
        <v>1</v>
      </c>
      <c r="F666" s="538">
        <v>3.3</v>
      </c>
      <c r="G666" s="538">
        <v>1.4</v>
      </c>
      <c r="H666" s="538">
        <v>0</v>
      </c>
      <c r="I666" s="542">
        <f t="shared" si="64"/>
        <v>4.62</v>
      </c>
      <c r="J666" s="550" t="s">
        <v>102</v>
      </c>
      <c r="K666" s="39"/>
      <c r="L666" s="208"/>
      <c r="M666" s="39"/>
      <c r="N666" s="533" t="s">
        <v>2309</v>
      </c>
    </row>
    <row r="667" spans="1:14" s="541" customFormat="1" ht="16.5" customHeight="1">
      <c r="A667" s="16"/>
      <c r="B667" s="39"/>
      <c r="C667" s="534">
        <v>1</v>
      </c>
      <c r="D667" s="536" t="s">
        <v>273</v>
      </c>
      <c r="E667" s="537">
        <v>1</v>
      </c>
      <c r="F667" s="538">
        <v>1.45</v>
      </c>
      <c r="G667" s="538">
        <v>1.5</v>
      </c>
      <c r="H667" s="538">
        <v>0</v>
      </c>
      <c r="I667" s="542">
        <f t="shared" si="64"/>
        <v>2.1800000000000002</v>
      </c>
      <c r="J667" s="550" t="s">
        <v>102</v>
      </c>
      <c r="K667" s="39"/>
      <c r="L667" s="208"/>
      <c r="M667" s="39"/>
      <c r="N667" s="533" t="s">
        <v>2309</v>
      </c>
    </row>
    <row r="668" spans="1:14" s="541" customFormat="1" ht="16.5" customHeight="1">
      <c r="A668" s="16"/>
      <c r="B668" s="39"/>
      <c r="C668" s="534">
        <v>1</v>
      </c>
      <c r="D668" s="536" t="s">
        <v>273</v>
      </c>
      <c r="E668" s="537">
        <v>1</v>
      </c>
      <c r="F668" s="538">
        <v>1.45</v>
      </c>
      <c r="G668" s="538">
        <v>1.5</v>
      </c>
      <c r="H668" s="538">
        <v>0</v>
      </c>
      <c r="I668" s="542">
        <f t="shared" si="64"/>
        <v>2.1800000000000002</v>
      </c>
      <c r="J668" s="550" t="s">
        <v>102</v>
      </c>
      <c r="K668" s="39"/>
      <c r="L668" s="208"/>
      <c r="M668" s="39"/>
      <c r="N668" s="533" t="s">
        <v>2309</v>
      </c>
    </row>
    <row r="669" spans="1:14" s="541" customFormat="1" ht="16.5" customHeight="1">
      <c r="A669" s="16"/>
      <c r="B669" s="39"/>
      <c r="C669" s="534">
        <v>1</v>
      </c>
      <c r="D669" s="536" t="s">
        <v>273</v>
      </c>
      <c r="E669" s="537">
        <v>1</v>
      </c>
      <c r="F669" s="538">
        <v>4.9800000000000004</v>
      </c>
      <c r="G669" s="538">
        <v>8.6</v>
      </c>
      <c r="H669" s="538">
        <v>0</v>
      </c>
      <c r="I669" s="542">
        <f t="shared" si="64"/>
        <v>42.83</v>
      </c>
      <c r="J669" s="550" t="s">
        <v>102</v>
      </c>
      <c r="K669" s="39"/>
      <c r="L669" s="208"/>
      <c r="M669" s="39"/>
      <c r="N669" s="533" t="s">
        <v>2309</v>
      </c>
    </row>
    <row r="670" spans="1:14" s="541" customFormat="1" ht="16.5" customHeight="1">
      <c r="A670" s="16"/>
      <c r="B670" s="39"/>
      <c r="C670" s="534">
        <v>1</v>
      </c>
      <c r="D670" s="536" t="s">
        <v>273</v>
      </c>
      <c r="E670" s="537">
        <v>1</v>
      </c>
      <c r="F670" s="538">
        <v>5.45</v>
      </c>
      <c r="G670" s="538">
        <v>0.6</v>
      </c>
      <c r="H670" s="538">
        <v>0</v>
      </c>
      <c r="I670" s="542">
        <f t="shared" si="64"/>
        <v>3.27</v>
      </c>
      <c r="J670" s="550" t="s">
        <v>102</v>
      </c>
      <c r="K670" s="39"/>
      <c r="L670" s="208"/>
      <c r="M670" s="39"/>
      <c r="N670" s="533" t="s">
        <v>2309</v>
      </c>
    </row>
    <row r="671" spans="1:14" s="541" customFormat="1" ht="16.5" customHeight="1">
      <c r="A671" s="16"/>
      <c r="B671" s="39"/>
      <c r="C671" s="534">
        <v>1</v>
      </c>
      <c r="D671" s="536" t="s">
        <v>273</v>
      </c>
      <c r="E671" s="537">
        <v>1</v>
      </c>
      <c r="F671" s="538">
        <v>8.8000000000000007</v>
      </c>
      <c r="G671" s="538">
        <v>0.9</v>
      </c>
      <c r="H671" s="538">
        <v>0</v>
      </c>
      <c r="I671" s="542">
        <f t="shared" si="64"/>
        <v>7.92</v>
      </c>
      <c r="J671" s="550" t="s">
        <v>102</v>
      </c>
      <c r="K671" s="39"/>
      <c r="L671" s="208"/>
      <c r="M671" s="39"/>
      <c r="N671" s="533" t="s">
        <v>2309</v>
      </c>
    </row>
    <row r="672" spans="1:14" s="541" customFormat="1" ht="16.5" customHeight="1">
      <c r="A672" s="16"/>
      <c r="B672" s="39"/>
      <c r="C672" s="534">
        <v>1</v>
      </c>
      <c r="D672" s="536" t="s">
        <v>273</v>
      </c>
      <c r="E672" s="537">
        <v>1</v>
      </c>
      <c r="F672" s="538">
        <v>12</v>
      </c>
      <c r="G672" s="538">
        <v>0</v>
      </c>
      <c r="H672" s="538">
        <v>0.3</v>
      </c>
      <c r="I672" s="542">
        <f t="shared" si="64"/>
        <v>3.6</v>
      </c>
      <c r="J672" s="550" t="s">
        <v>102</v>
      </c>
      <c r="K672" s="39"/>
      <c r="L672" s="208"/>
      <c r="M672" s="39"/>
      <c r="N672" s="533" t="s">
        <v>2309</v>
      </c>
    </row>
    <row r="673" spans="1:14" s="541" customFormat="1" ht="16.5" customHeight="1">
      <c r="A673" s="16"/>
      <c r="B673" s="39"/>
      <c r="C673" s="534">
        <v>1</v>
      </c>
      <c r="D673" s="536" t="s">
        <v>273</v>
      </c>
      <c r="E673" s="537">
        <v>1</v>
      </c>
      <c r="F673" s="538">
        <v>9.25</v>
      </c>
      <c r="G673" s="538">
        <v>0.3</v>
      </c>
      <c r="H673" s="538">
        <v>0</v>
      </c>
      <c r="I673" s="542">
        <f t="shared" si="64"/>
        <v>2.78</v>
      </c>
      <c r="J673" s="550" t="s">
        <v>102</v>
      </c>
      <c r="K673" s="39"/>
      <c r="L673" s="208"/>
      <c r="M673" s="39"/>
      <c r="N673" s="533" t="s">
        <v>2309</v>
      </c>
    </row>
    <row r="674" spans="1:14" s="541" customFormat="1" ht="16.5" customHeight="1">
      <c r="A674" s="16"/>
      <c r="B674" s="39"/>
      <c r="C674" s="534">
        <v>1</v>
      </c>
      <c r="D674" s="536" t="s">
        <v>273</v>
      </c>
      <c r="E674" s="537">
        <v>6</v>
      </c>
      <c r="F674" s="538">
        <v>1.8</v>
      </c>
      <c r="G674" s="538">
        <v>0.6</v>
      </c>
      <c r="H674" s="538">
        <v>0</v>
      </c>
      <c r="I674" s="542">
        <f t="shared" si="64"/>
        <v>6.48</v>
      </c>
      <c r="J674" s="550" t="s">
        <v>102</v>
      </c>
      <c r="K674" s="39"/>
      <c r="L674" s="208"/>
      <c r="M674" s="39"/>
      <c r="N674" s="533" t="s">
        <v>2309</v>
      </c>
    </row>
    <row r="675" spans="1:14" s="541" customFormat="1" ht="16.5" customHeight="1">
      <c r="A675" s="16"/>
      <c r="B675" s="39"/>
      <c r="C675" s="534">
        <v>1</v>
      </c>
      <c r="D675" s="536" t="s">
        <v>273</v>
      </c>
      <c r="E675" s="537">
        <v>1</v>
      </c>
      <c r="F675" s="538">
        <v>5.2</v>
      </c>
      <c r="G675" s="538">
        <v>0.6</v>
      </c>
      <c r="H675" s="538">
        <v>0</v>
      </c>
      <c r="I675" s="542">
        <f t="shared" si="64"/>
        <v>3.12</v>
      </c>
      <c r="J675" s="550" t="s">
        <v>102</v>
      </c>
      <c r="K675" s="39"/>
      <c r="L675" s="208"/>
      <c r="M675" s="39"/>
      <c r="N675" s="533" t="s">
        <v>2309</v>
      </c>
    </row>
    <row r="676" spans="1:14" s="541" customFormat="1" ht="16.5" customHeight="1">
      <c r="A676" s="16"/>
      <c r="B676" s="39"/>
      <c r="C676" s="534">
        <v>2</v>
      </c>
      <c r="D676" s="536" t="s">
        <v>273</v>
      </c>
      <c r="E676" s="537">
        <v>2</v>
      </c>
      <c r="F676" s="538">
        <v>1.8</v>
      </c>
      <c r="G676" s="538">
        <v>0</v>
      </c>
      <c r="H676" s="538">
        <v>0.38</v>
      </c>
      <c r="I676" s="542">
        <f t="shared" si="64"/>
        <v>2.74</v>
      </c>
      <c r="J676" s="550" t="s">
        <v>102</v>
      </c>
      <c r="K676" s="39"/>
      <c r="L676" s="208"/>
      <c r="M676" s="39"/>
      <c r="N676" s="533" t="s">
        <v>2309</v>
      </c>
    </row>
    <row r="677" spans="1:14" s="541" customFormat="1" ht="16.5" customHeight="1">
      <c r="A677" s="16"/>
      <c r="B677" s="544"/>
      <c r="C677" s="545"/>
      <c r="D677" s="546"/>
      <c r="E677" s="547"/>
      <c r="F677" s="548"/>
      <c r="G677" s="548"/>
      <c r="H677" s="548"/>
      <c r="I677" s="549"/>
      <c r="J677" s="550"/>
      <c r="K677" s="39"/>
      <c r="L677" s="208"/>
      <c r="M677" s="39"/>
      <c r="N677" s="533" t="s">
        <v>2309</v>
      </c>
    </row>
    <row r="678" spans="1:14" ht="15.75">
      <c r="A678" s="16"/>
      <c r="B678" s="39"/>
      <c r="C678" s="551"/>
      <c r="D678" s="552"/>
      <c r="E678" s="537"/>
      <c r="F678" s="538"/>
      <c r="G678" s="40"/>
      <c r="H678" s="16"/>
      <c r="I678" s="549"/>
      <c r="J678" s="550" t="s">
        <v>102</v>
      </c>
      <c r="K678" s="10">
        <f>data!F3195</f>
        <v>351.17</v>
      </c>
      <c r="L678" s="208" t="s">
        <v>2309</v>
      </c>
      <c r="M678" s="9">
        <f>ROUND(I678*K678,0)</f>
        <v>0</v>
      </c>
      <c r="N678" s="533" t="s">
        <v>2309</v>
      </c>
    </row>
    <row r="679" spans="1:14" ht="42" customHeight="1">
      <c r="A679" s="16">
        <v>12</v>
      </c>
      <c r="B679" s="1633" t="s">
        <v>126</v>
      </c>
      <c r="C679" s="1633"/>
      <c r="D679" s="1633"/>
      <c r="E679" s="1633"/>
      <c r="F679" s="1633"/>
      <c r="G679" s="1633"/>
      <c r="H679" s="1633"/>
      <c r="I679" s="534"/>
      <c r="J679" s="535"/>
      <c r="K679" s="16"/>
      <c r="L679" s="208"/>
      <c r="M679" s="38"/>
      <c r="N679" s="533" t="s">
        <v>2209</v>
      </c>
    </row>
    <row r="680" spans="1:14" s="541" customFormat="1" ht="16.5" customHeight="1">
      <c r="A680" s="16"/>
      <c r="B680" s="39" t="s">
        <v>2809</v>
      </c>
      <c r="C680" s="563"/>
      <c r="D680" s="564"/>
      <c r="E680" s="565"/>
      <c r="F680" s="566"/>
      <c r="G680" s="566"/>
      <c r="H680" s="567"/>
      <c r="I680" s="568"/>
      <c r="J680" s="550"/>
      <c r="K680" s="39"/>
      <c r="L680" s="208"/>
      <c r="M680" s="39"/>
      <c r="N680" s="533" t="s">
        <v>2209</v>
      </c>
    </row>
    <row r="681" spans="1:14" s="541" customFormat="1" ht="16.5" customHeight="1">
      <c r="A681" s="16"/>
      <c r="B681" s="39" t="s">
        <v>2157</v>
      </c>
      <c r="C681" s="534">
        <v>1</v>
      </c>
      <c r="D681" s="536" t="s">
        <v>273</v>
      </c>
      <c r="E681" s="537">
        <v>1</v>
      </c>
      <c r="F681" s="538">
        <v>13.16</v>
      </c>
      <c r="G681" s="538">
        <v>0</v>
      </c>
      <c r="H681" s="538">
        <v>3.1</v>
      </c>
      <c r="I681" s="574">
        <f t="shared" ref="I681:I683" si="65">ROUND(IF(AND(F681:H681),C681*E681*F681*G681*H681,IF(AND(F681,G681),C681*E681*F681*G681,IF(AND(F681,H681),C681*E681*F681*H681,IF(AND(G681,H681),C681*E681*G681*H681,IF(F681,C681*E681*F681,IF(G681,C681*E681*G681,IF(H681,C681*E681*H681,C681*E681))))))),2)</f>
        <v>40.799999999999997</v>
      </c>
      <c r="J681" s="550" t="s">
        <v>102</v>
      </c>
      <c r="K681" s="39"/>
      <c r="L681" s="208"/>
      <c r="M681" s="39"/>
      <c r="N681" s="533" t="s">
        <v>2209</v>
      </c>
    </row>
    <row r="682" spans="1:14" s="541" customFormat="1" ht="16.5" customHeight="1">
      <c r="A682" s="16"/>
      <c r="B682" s="39" t="s">
        <v>1620</v>
      </c>
      <c r="C682" s="534">
        <v>1</v>
      </c>
      <c r="D682" s="536" t="s">
        <v>273</v>
      </c>
      <c r="E682" s="537">
        <v>1</v>
      </c>
      <c r="F682" s="538">
        <v>12.64</v>
      </c>
      <c r="G682" s="538">
        <v>0</v>
      </c>
      <c r="H682" s="538">
        <v>3.1</v>
      </c>
      <c r="I682" s="574">
        <f t="shared" si="65"/>
        <v>39.18</v>
      </c>
      <c r="J682" s="550" t="s">
        <v>102</v>
      </c>
      <c r="K682" s="39"/>
      <c r="L682" s="208"/>
      <c r="M682" s="39"/>
      <c r="N682" s="533" t="s">
        <v>2209</v>
      </c>
    </row>
    <row r="683" spans="1:14" s="541" customFormat="1" ht="16.5" customHeight="1">
      <c r="A683" s="16"/>
      <c r="B683" s="39" t="s">
        <v>1169</v>
      </c>
      <c r="C683" s="534">
        <v>1</v>
      </c>
      <c r="D683" s="536" t="s">
        <v>273</v>
      </c>
      <c r="E683" s="537">
        <v>1</v>
      </c>
      <c r="F683" s="538">
        <v>11.86</v>
      </c>
      <c r="G683" s="538">
        <v>0</v>
      </c>
      <c r="H683" s="538">
        <v>3.1</v>
      </c>
      <c r="I683" s="574">
        <f t="shared" si="65"/>
        <v>36.770000000000003</v>
      </c>
      <c r="J683" s="550" t="s">
        <v>102</v>
      </c>
      <c r="K683" s="39"/>
      <c r="L683" s="208"/>
      <c r="M683" s="39"/>
      <c r="N683" s="533" t="s">
        <v>2209</v>
      </c>
    </row>
    <row r="684" spans="1:14" s="541" customFormat="1" ht="16.5" customHeight="1">
      <c r="A684" s="16"/>
      <c r="B684" s="39" t="s">
        <v>2180</v>
      </c>
      <c r="C684" s="534">
        <v>1</v>
      </c>
      <c r="D684" s="536" t="s">
        <v>273</v>
      </c>
      <c r="E684" s="537">
        <v>1</v>
      </c>
      <c r="F684" s="538">
        <v>2.95</v>
      </c>
      <c r="G684" s="538">
        <v>0</v>
      </c>
      <c r="H684" s="538">
        <v>0.15</v>
      </c>
      <c r="I684" s="574">
        <f t="shared" ref="I684" si="66">-ROUND(IF(AND(F684:H684),C684*E684*F684*G684*H684,IF(AND(F684,G684),C684*E684*F684*G684,IF(AND(F684,H684),C684*E684*F684*H684,IF(AND(G684,H684),C684*E684*G684*H684,IF(F684,C684*E684*F684,IF(G684,C684*E684*G684,IF(H684,C684*E684*H684,C684*E684))))))),2)</f>
        <v>-0.44</v>
      </c>
      <c r="J684" s="550" t="s">
        <v>102</v>
      </c>
      <c r="K684" s="39"/>
      <c r="L684" s="208"/>
      <c r="M684" s="39"/>
      <c r="N684" s="533" t="s">
        <v>2209</v>
      </c>
    </row>
    <row r="685" spans="1:14" s="541" customFormat="1" ht="16.5" customHeight="1">
      <c r="A685" s="16"/>
      <c r="B685" s="544"/>
      <c r="C685" s="545"/>
      <c r="D685" s="546"/>
      <c r="E685" s="547"/>
      <c r="F685" s="548"/>
      <c r="G685" s="548"/>
      <c r="H685" s="548"/>
      <c r="I685" s="549"/>
      <c r="J685" s="550"/>
      <c r="K685" s="39"/>
      <c r="L685" s="208"/>
      <c r="M685" s="39"/>
      <c r="N685" s="533" t="s">
        <v>2209</v>
      </c>
    </row>
    <row r="686" spans="1:14" ht="15.75">
      <c r="A686" s="16"/>
      <c r="B686" s="39"/>
      <c r="C686" s="551"/>
      <c r="D686" s="552"/>
      <c r="E686" s="537"/>
      <c r="F686" s="538"/>
      <c r="G686" s="40"/>
      <c r="H686" s="16"/>
      <c r="I686" s="549"/>
      <c r="J686" s="550" t="s">
        <v>102</v>
      </c>
      <c r="K686" s="10">
        <f>data!F460</f>
        <v>265.42</v>
      </c>
      <c r="L686" s="208" t="s">
        <v>2209</v>
      </c>
      <c r="M686" s="9">
        <f>ROUND(I686*K686,0)</f>
        <v>0</v>
      </c>
      <c r="N686" s="533" t="s">
        <v>2209</v>
      </c>
    </row>
    <row r="687" spans="1:14" ht="42" customHeight="1">
      <c r="A687" s="16">
        <v>12</v>
      </c>
      <c r="B687" s="1633" t="s">
        <v>126</v>
      </c>
      <c r="C687" s="1633"/>
      <c r="D687" s="1633"/>
      <c r="E687" s="1633"/>
      <c r="F687" s="1633"/>
      <c r="G687" s="1633"/>
      <c r="H687" s="1633"/>
      <c r="I687" s="534"/>
      <c r="J687" s="535"/>
      <c r="K687" s="16"/>
      <c r="L687" s="208"/>
      <c r="M687" s="38"/>
      <c r="N687" s="533" t="s">
        <v>2297</v>
      </c>
    </row>
    <row r="688" spans="1:14" s="541" customFormat="1" ht="16.5" customHeight="1">
      <c r="A688" s="16"/>
      <c r="B688" s="39" t="s">
        <v>2809</v>
      </c>
      <c r="C688" s="563"/>
      <c r="D688" s="564"/>
      <c r="E688" s="565"/>
      <c r="F688" s="566"/>
      <c r="G688" s="566"/>
      <c r="H688" s="567"/>
      <c r="I688" s="568"/>
      <c r="J688" s="550"/>
      <c r="K688" s="39"/>
      <c r="L688" s="208"/>
      <c r="M688" s="39"/>
      <c r="N688" s="533" t="s">
        <v>2297</v>
      </c>
    </row>
    <row r="689" spans="1:14" s="541" customFormat="1" ht="16.5" customHeight="1">
      <c r="A689" s="16"/>
      <c r="B689" s="39" t="s">
        <v>2157</v>
      </c>
      <c r="C689" s="534">
        <v>1</v>
      </c>
      <c r="D689" s="536" t="s">
        <v>273</v>
      </c>
      <c r="E689" s="537">
        <v>1</v>
      </c>
      <c r="F689" s="538">
        <v>13.16</v>
      </c>
      <c r="G689" s="538">
        <v>0</v>
      </c>
      <c r="H689" s="538">
        <v>3.1</v>
      </c>
      <c r="I689" s="574">
        <f>ROUND(IF(AND(F689:H689),C689*E689*F689*G689*H689,IF(AND(F689,G689),C689*E689*F689*G689,IF(AND(F689,H689),C689*E689*F689*H689,IF(AND(G689,H689),C689*E689*G689*H689,IF(F689,C689*E689*F689,IF(G689,C689*E689*G689,IF(H689,C689*E689*H689,C689*E689))))))),2)</f>
        <v>40.799999999999997</v>
      </c>
      <c r="J689" s="550" t="s">
        <v>102</v>
      </c>
      <c r="K689" s="39"/>
      <c r="L689" s="208"/>
      <c r="M689" s="39"/>
      <c r="N689" s="533" t="s">
        <v>2297</v>
      </c>
    </row>
    <row r="690" spans="1:14" s="541" customFormat="1" ht="16.5" customHeight="1">
      <c r="A690" s="16"/>
      <c r="B690" s="39" t="s">
        <v>1620</v>
      </c>
      <c r="C690" s="534">
        <v>1</v>
      </c>
      <c r="D690" s="536" t="s">
        <v>273</v>
      </c>
      <c r="E690" s="537">
        <v>1</v>
      </c>
      <c r="F690" s="538">
        <v>12.64</v>
      </c>
      <c r="G690" s="538">
        <v>0</v>
      </c>
      <c r="H690" s="538">
        <v>3.1</v>
      </c>
      <c r="I690" s="574">
        <f>ROUND(IF(AND(F690:H690),C690*E690*F690*G690*H690,IF(AND(F690,G690),C690*E690*F690*G690,IF(AND(F690,H690),C690*E690*F690*H690,IF(AND(G690,H690),C690*E690*G690*H690,IF(F690,C690*E690*F690,IF(G690,C690*E690*G690,IF(H690,C690*E690*H690,C690*E690))))))),2)</f>
        <v>39.18</v>
      </c>
      <c r="J690" s="550" t="s">
        <v>102</v>
      </c>
      <c r="K690" s="39"/>
      <c r="L690" s="208"/>
      <c r="M690" s="39"/>
      <c r="N690" s="533" t="s">
        <v>2297</v>
      </c>
    </row>
    <row r="691" spans="1:14" s="541" customFormat="1" ht="16.5" customHeight="1">
      <c r="A691" s="16"/>
      <c r="B691" s="39" t="s">
        <v>1169</v>
      </c>
      <c r="C691" s="534">
        <v>1</v>
      </c>
      <c r="D691" s="536" t="s">
        <v>273</v>
      </c>
      <c r="E691" s="537">
        <v>1</v>
      </c>
      <c r="F691" s="538">
        <v>11.86</v>
      </c>
      <c r="G691" s="538">
        <v>0</v>
      </c>
      <c r="H691" s="538">
        <v>3.1</v>
      </c>
      <c r="I691" s="574">
        <f>ROUND(IF(AND(F691:H691),C691*E691*F691*G691*H691,IF(AND(F691,G691),C691*E691*F691*G691,IF(AND(F691,H691),C691*E691*F691*H691,IF(AND(G691,H691),C691*E691*G691*H691,IF(F691,C691*E691*F691,IF(G691,C691*E691*G691,IF(H691,C691*E691*H691,C691*E691))))))),2)</f>
        <v>36.770000000000003</v>
      </c>
      <c r="J691" s="550" t="s">
        <v>102</v>
      </c>
      <c r="K691" s="39"/>
      <c r="L691" s="208"/>
      <c r="M691" s="39"/>
      <c r="N691" s="533" t="s">
        <v>2297</v>
      </c>
    </row>
    <row r="692" spans="1:14" s="541" customFormat="1" ht="16.5" customHeight="1">
      <c r="A692" s="16"/>
      <c r="B692" s="39" t="s">
        <v>2180</v>
      </c>
      <c r="C692" s="534">
        <v>1</v>
      </c>
      <c r="D692" s="536" t="s">
        <v>273</v>
      </c>
      <c r="E692" s="537">
        <v>1</v>
      </c>
      <c r="F692" s="538">
        <v>2.95</v>
      </c>
      <c r="G692" s="538">
        <v>0</v>
      </c>
      <c r="H692" s="538">
        <v>0.15</v>
      </c>
      <c r="I692" s="574">
        <f>-ROUND(IF(AND(F692:H692),C692*E692*F692*G692*H692,IF(AND(F692,G692),C692*E692*F692*G692,IF(AND(F692,H692),C692*E692*F692*H692,IF(AND(G692,H692),C692*E692*G692*H692,IF(F692,C692*E692*F692,IF(G692,C692*E692*G692,IF(H692,C692*E692*H692,C692*E692))))))),2)</f>
        <v>-0.44</v>
      </c>
      <c r="J692" s="550" t="s">
        <v>102</v>
      </c>
      <c r="K692" s="39"/>
      <c r="L692" s="208"/>
      <c r="M692" s="39"/>
      <c r="N692" s="533" t="s">
        <v>2297</v>
      </c>
    </row>
    <row r="693" spans="1:14" s="541" customFormat="1" ht="16.5" customHeight="1">
      <c r="A693" s="16"/>
      <c r="B693" s="544"/>
      <c r="C693" s="545"/>
      <c r="D693" s="546"/>
      <c r="E693" s="547"/>
      <c r="F693" s="548"/>
      <c r="G693" s="548"/>
      <c r="H693" s="548"/>
      <c r="I693" s="549"/>
      <c r="J693" s="550"/>
      <c r="K693" s="39"/>
      <c r="L693" s="208"/>
      <c r="M693" s="39"/>
      <c r="N693" s="533" t="s">
        <v>2297</v>
      </c>
    </row>
    <row r="694" spans="1:14" ht="15.75">
      <c r="A694" s="16"/>
      <c r="B694" s="39"/>
      <c r="C694" s="551"/>
      <c r="D694" s="552"/>
      <c r="E694" s="537"/>
      <c r="F694" s="538"/>
      <c r="G694" s="40"/>
      <c r="H694" s="16"/>
      <c r="I694" s="549"/>
      <c r="J694" s="550" t="s">
        <v>102</v>
      </c>
      <c r="K694" s="10">
        <f>data!F1377</f>
        <v>286.25</v>
      </c>
      <c r="L694" s="208" t="s">
        <v>2297</v>
      </c>
      <c r="M694" s="9">
        <f>ROUND(I694*K694,0)</f>
        <v>0</v>
      </c>
      <c r="N694" s="533" t="s">
        <v>2297</v>
      </c>
    </row>
    <row r="695" spans="1:14" ht="42" customHeight="1">
      <c r="A695" s="16">
        <v>12</v>
      </c>
      <c r="B695" s="1633" t="s">
        <v>126</v>
      </c>
      <c r="C695" s="1633"/>
      <c r="D695" s="1633"/>
      <c r="E695" s="1633"/>
      <c r="F695" s="1633"/>
      <c r="G695" s="1633"/>
      <c r="H695" s="1633"/>
      <c r="I695" s="534"/>
      <c r="J695" s="535"/>
      <c r="K695" s="16"/>
      <c r="L695" s="208"/>
      <c r="M695" s="38"/>
      <c r="N695" s="533" t="s">
        <v>2308</v>
      </c>
    </row>
    <row r="696" spans="1:14" s="541" customFormat="1" ht="16.5" customHeight="1">
      <c r="A696" s="16"/>
      <c r="B696" s="39" t="s">
        <v>2809</v>
      </c>
      <c r="C696" s="563"/>
      <c r="D696" s="564"/>
      <c r="E696" s="565"/>
      <c r="F696" s="566"/>
      <c r="G696" s="566"/>
      <c r="H696" s="567"/>
      <c r="I696" s="568"/>
      <c r="J696" s="550"/>
      <c r="K696" s="39"/>
      <c r="L696" s="208"/>
      <c r="M696" s="39"/>
      <c r="N696" s="533" t="s">
        <v>2308</v>
      </c>
    </row>
    <row r="697" spans="1:14" s="541" customFormat="1" ht="16.5" customHeight="1">
      <c r="A697" s="16"/>
      <c r="B697" s="39" t="s">
        <v>2157</v>
      </c>
      <c r="C697" s="534">
        <v>1</v>
      </c>
      <c r="D697" s="536" t="s">
        <v>273</v>
      </c>
      <c r="E697" s="537">
        <v>1</v>
      </c>
      <c r="F697" s="538">
        <v>13.16</v>
      </c>
      <c r="G697" s="538">
        <v>0</v>
      </c>
      <c r="H697" s="538">
        <v>3.1</v>
      </c>
      <c r="I697" s="574">
        <f>ROUND(IF(AND(F697:H697),C697*E697*F697*G697*H697,IF(AND(F697,G697),C697*E697*F697*G697,IF(AND(F697,H697),C697*E697*F697*H697,IF(AND(G697,H697),C697*E697*G697*H697,IF(F697,C697*E697*F697,IF(G697,C697*E697*G697,IF(H697,C697*E697*H697,C697*E697))))))),2)</f>
        <v>40.799999999999997</v>
      </c>
      <c r="J697" s="550" t="s">
        <v>102</v>
      </c>
      <c r="K697" s="39"/>
      <c r="L697" s="208"/>
      <c r="M697" s="39"/>
      <c r="N697" s="533" t="s">
        <v>2308</v>
      </c>
    </row>
    <row r="698" spans="1:14" s="541" customFormat="1" ht="16.5" customHeight="1">
      <c r="A698" s="16"/>
      <c r="B698" s="39" t="s">
        <v>1620</v>
      </c>
      <c r="C698" s="534">
        <v>1</v>
      </c>
      <c r="D698" s="536" t="s">
        <v>273</v>
      </c>
      <c r="E698" s="537">
        <v>1</v>
      </c>
      <c r="F698" s="538">
        <v>12.64</v>
      </c>
      <c r="G698" s="538">
        <v>0</v>
      </c>
      <c r="H698" s="538">
        <v>3.1</v>
      </c>
      <c r="I698" s="574">
        <f>ROUND(IF(AND(F698:H698),C698*E698*F698*G698*H698,IF(AND(F698,G698),C698*E698*F698*G698,IF(AND(F698,H698),C698*E698*F698*H698,IF(AND(G698,H698),C698*E698*G698*H698,IF(F698,C698*E698*F698,IF(G698,C698*E698*G698,IF(H698,C698*E698*H698,C698*E698))))))),2)</f>
        <v>39.18</v>
      </c>
      <c r="J698" s="550" t="s">
        <v>102</v>
      </c>
      <c r="K698" s="39"/>
      <c r="L698" s="208"/>
      <c r="M698" s="39"/>
      <c r="N698" s="533" t="s">
        <v>2308</v>
      </c>
    </row>
    <row r="699" spans="1:14" s="541" customFormat="1" ht="16.5" customHeight="1">
      <c r="A699" s="16"/>
      <c r="B699" s="39" t="s">
        <v>1169</v>
      </c>
      <c r="C699" s="534">
        <v>1</v>
      </c>
      <c r="D699" s="536" t="s">
        <v>273</v>
      </c>
      <c r="E699" s="537">
        <v>1</v>
      </c>
      <c r="F699" s="538">
        <v>11.86</v>
      </c>
      <c r="G699" s="538">
        <v>0</v>
      </c>
      <c r="H699" s="538">
        <v>3.1</v>
      </c>
      <c r="I699" s="574">
        <f>ROUND(IF(AND(F699:H699),C699*E699*F699*G699*H699,IF(AND(F699,G699),C699*E699*F699*G699,IF(AND(F699,H699),C699*E699*F699*H699,IF(AND(G699,H699),C699*E699*G699*H699,IF(F699,C699*E699*F699,IF(G699,C699*E699*G699,IF(H699,C699*E699*H699,C699*E699))))))),2)</f>
        <v>36.770000000000003</v>
      </c>
      <c r="J699" s="550" t="s">
        <v>102</v>
      </c>
      <c r="K699" s="39"/>
      <c r="L699" s="208"/>
      <c r="M699" s="39"/>
      <c r="N699" s="533" t="s">
        <v>2308</v>
      </c>
    </row>
    <row r="700" spans="1:14" s="541" customFormat="1" ht="16.5" customHeight="1">
      <c r="A700" s="16"/>
      <c r="B700" s="39" t="s">
        <v>2180</v>
      </c>
      <c r="C700" s="534">
        <v>1</v>
      </c>
      <c r="D700" s="536" t="s">
        <v>273</v>
      </c>
      <c r="E700" s="537">
        <v>1</v>
      </c>
      <c r="F700" s="538">
        <v>2.95</v>
      </c>
      <c r="G700" s="538">
        <v>0</v>
      </c>
      <c r="H700" s="538">
        <v>0.15</v>
      </c>
      <c r="I700" s="574">
        <f>-ROUND(IF(AND(F700:H700),C700*E700*F700*G700*H700,IF(AND(F700,G700),C700*E700*F700*G700,IF(AND(F700,H700),C700*E700*F700*H700,IF(AND(G700,H700),C700*E700*G700*H700,IF(F700,C700*E700*F700,IF(G700,C700*E700*G700,IF(H700,C700*E700*H700,C700*E700))))))),2)</f>
        <v>-0.44</v>
      </c>
      <c r="J700" s="550" t="s">
        <v>102</v>
      </c>
      <c r="K700" s="39"/>
      <c r="L700" s="208"/>
      <c r="M700" s="39"/>
      <c r="N700" s="533" t="s">
        <v>2308</v>
      </c>
    </row>
    <row r="701" spans="1:14" s="541" customFormat="1" ht="16.5" customHeight="1">
      <c r="A701" s="16"/>
      <c r="B701" s="544"/>
      <c r="C701" s="545"/>
      <c r="D701" s="546"/>
      <c r="E701" s="547"/>
      <c r="F701" s="548"/>
      <c r="G701" s="548"/>
      <c r="H701" s="548"/>
      <c r="I701" s="549"/>
      <c r="J701" s="550"/>
      <c r="K701" s="39"/>
      <c r="L701" s="208"/>
      <c r="M701" s="39"/>
      <c r="N701" s="533" t="s">
        <v>2308</v>
      </c>
    </row>
    <row r="702" spans="1:14" ht="15.75">
      <c r="A702" s="16"/>
      <c r="B702" s="39"/>
      <c r="C702" s="551"/>
      <c r="D702" s="552"/>
      <c r="E702" s="537"/>
      <c r="F702" s="538"/>
      <c r="G702" s="40"/>
      <c r="H702" s="16"/>
      <c r="I702" s="549"/>
      <c r="J702" s="550" t="s">
        <v>102</v>
      </c>
      <c r="K702" s="10">
        <f>data!F2294</f>
        <v>304.16000000000003</v>
      </c>
      <c r="L702" s="208" t="s">
        <v>2308</v>
      </c>
      <c r="M702" s="9">
        <f>ROUND(I702*K702,0)</f>
        <v>0</v>
      </c>
      <c r="N702" s="533" t="s">
        <v>2308</v>
      </c>
    </row>
    <row r="703" spans="1:14" ht="42" customHeight="1">
      <c r="A703" s="16">
        <v>12</v>
      </c>
      <c r="B703" s="1633" t="s">
        <v>126</v>
      </c>
      <c r="C703" s="1633"/>
      <c r="D703" s="1633"/>
      <c r="E703" s="1633"/>
      <c r="F703" s="1633"/>
      <c r="G703" s="1633"/>
      <c r="H703" s="1633"/>
      <c r="I703" s="534"/>
      <c r="J703" s="535"/>
      <c r="K703" s="16"/>
      <c r="L703" s="208"/>
      <c r="M703" s="38"/>
      <c r="N703" s="533" t="s">
        <v>2309</v>
      </c>
    </row>
    <row r="704" spans="1:14" s="541" customFormat="1" ht="16.5" customHeight="1">
      <c r="A704" s="16"/>
      <c r="B704" s="39" t="s">
        <v>2809</v>
      </c>
      <c r="C704" s="563"/>
      <c r="D704" s="564"/>
      <c r="E704" s="565"/>
      <c r="F704" s="566"/>
      <c r="G704" s="566"/>
      <c r="H704" s="567"/>
      <c r="I704" s="568"/>
      <c r="J704" s="550"/>
      <c r="K704" s="39"/>
      <c r="L704" s="208"/>
      <c r="M704" s="39"/>
      <c r="N704" s="533" t="s">
        <v>2309</v>
      </c>
    </row>
    <row r="705" spans="1:14" s="541" customFormat="1" ht="16.5" customHeight="1">
      <c r="A705" s="16"/>
      <c r="B705" s="39" t="s">
        <v>2157</v>
      </c>
      <c r="C705" s="534">
        <v>1</v>
      </c>
      <c r="D705" s="536" t="s">
        <v>273</v>
      </c>
      <c r="E705" s="537">
        <v>1</v>
      </c>
      <c r="F705" s="538">
        <v>13.16</v>
      </c>
      <c r="G705" s="538">
        <v>0</v>
      </c>
      <c r="H705" s="538">
        <v>3.1</v>
      </c>
      <c r="I705" s="574">
        <f>ROUND(IF(AND(F705:H705),C705*E705*F705*G705*H705,IF(AND(F705,G705),C705*E705*F705*G705,IF(AND(F705,H705),C705*E705*F705*H705,IF(AND(G705,H705),C705*E705*G705*H705,IF(F705,C705*E705*F705,IF(G705,C705*E705*G705,IF(H705,C705*E705*H705,C705*E705))))))),2)</f>
        <v>40.799999999999997</v>
      </c>
      <c r="J705" s="550" t="s">
        <v>102</v>
      </c>
      <c r="K705" s="39"/>
      <c r="L705" s="208"/>
      <c r="M705" s="39"/>
      <c r="N705" s="533" t="s">
        <v>2309</v>
      </c>
    </row>
    <row r="706" spans="1:14" s="541" customFormat="1" ht="16.5" customHeight="1">
      <c r="A706" s="16"/>
      <c r="B706" s="39" t="s">
        <v>1620</v>
      </c>
      <c r="C706" s="534">
        <v>1</v>
      </c>
      <c r="D706" s="536" t="s">
        <v>273</v>
      </c>
      <c r="E706" s="537">
        <v>1</v>
      </c>
      <c r="F706" s="538">
        <v>12.64</v>
      </c>
      <c r="G706" s="538">
        <v>0</v>
      </c>
      <c r="H706" s="538">
        <v>3.1</v>
      </c>
      <c r="I706" s="574">
        <f>ROUND(IF(AND(F706:H706),C706*E706*F706*G706*H706,IF(AND(F706,G706),C706*E706*F706*G706,IF(AND(F706,H706),C706*E706*F706*H706,IF(AND(G706,H706),C706*E706*G706*H706,IF(F706,C706*E706*F706,IF(G706,C706*E706*G706,IF(H706,C706*E706*H706,C706*E706))))))),2)</f>
        <v>39.18</v>
      </c>
      <c r="J706" s="550" t="s">
        <v>102</v>
      </c>
      <c r="K706" s="39"/>
      <c r="L706" s="208"/>
      <c r="M706" s="39"/>
      <c r="N706" s="533" t="s">
        <v>2309</v>
      </c>
    </row>
    <row r="707" spans="1:14" s="541" customFormat="1" ht="16.5" customHeight="1">
      <c r="A707" s="16"/>
      <c r="B707" s="39" t="s">
        <v>1169</v>
      </c>
      <c r="C707" s="534">
        <v>1</v>
      </c>
      <c r="D707" s="536" t="s">
        <v>273</v>
      </c>
      <c r="E707" s="537">
        <v>1</v>
      </c>
      <c r="F707" s="538">
        <v>11.86</v>
      </c>
      <c r="G707" s="538">
        <v>0</v>
      </c>
      <c r="H707" s="538">
        <v>3.1</v>
      </c>
      <c r="I707" s="574">
        <f>ROUND(IF(AND(F707:H707),C707*E707*F707*G707*H707,IF(AND(F707,G707),C707*E707*F707*G707,IF(AND(F707,H707),C707*E707*F707*H707,IF(AND(G707,H707),C707*E707*G707*H707,IF(F707,C707*E707*F707,IF(G707,C707*E707*G707,IF(H707,C707*E707*H707,C707*E707))))))),2)</f>
        <v>36.770000000000003</v>
      </c>
      <c r="J707" s="550" t="s">
        <v>102</v>
      </c>
      <c r="K707" s="39"/>
      <c r="L707" s="208"/>
      <c r="M707" s="39"/>
      <c r="N707" s="533" t="s">
        <v>2309</v>
      </c>
    </row>
    <row r="708" spans="1:14" s="541" customFormat="1" ht="16.5" customHeight="1">
      <c r="A708" s="16"/>
      <c r="B708" s="39" t="s">
        <v>2180</v>
      </c>
      <c r="C708" s="534">
        <v>1</v>
      </c>
      <c r="D708" s="536" t="s">
        <v>273</v>
      </c>
      <c r="E708" s="537">
        <v>1</v>
      </c>
      <c r="F708" s="538">
        <v>2.95</v>
      </c>
      <c r="G708" s="538">
        <v>0</v>
      </c>
      <c r="H708" s="538">
        <v>0.15</v>
      </c>
      <c r="I708" s="574">
        <f>-ROUND(IF(AND(F708:H708),C708*E708*F708*G708*H708,IF(AND(F708,G708),C708*E708*F708*G708,IF(AND(F708,H708),C708*E708*F708*H708,IF(AND(G708,H708),C708*E708*G708*H708,IF(F708,C708*E708*F708,IF(G708,C708*E708*G708,IF(H708,C708*E708*H708,C708*E708))))))),2)</f>
        <v>-0.44</v>
      </c>
      <c r="J708" s="550" t="s">
        <v>102</v>
      </c>
      <c r="K708" s="39"/>
      <c r="L708" s="208"/>
      <c r="M708" s="39"/>
      <c r="N708" s="533" t="s">
        <v>2309</v>
      </c>
    </row>
    <row r="709" spans="1:14" s="541" customFormat="1" ht="16.5" customHeight="1">
      <c r="A709" s="16"/>
      <c r="B709" s="544"/>
      <c r="C709" s="545"/>
      <c r="D709" s="546"/>
      <c r="E709" s="547"/>
      <c r="F709" s="548"/>
      <c r="G709" s="548"/>
      <c r="H709" s="548"/>
      <c r="I709" s="549"/>
      <c r="J709" s="550"/>
      <c r="K709" s="39"/>
      <c r="L709" s="208"/>
      <c r="M709" s="39"/>
      <c r="N709" s="533" t="s">
        <v>2309</v>
      </c>
    </row>
    <row r="710" spans="1:14" ht="15.75">
      <c r="A710" s="16"/>
      <c r="B710" s="39"/>
      <c r="C710" s="551"/>
      <c r="D710" s="552"/>
      <c r="E710" s="537"/>
      <c r="F710" s="538"/>
      <c r="G710" s="40"/>
      <c r="H710" s="16"/>
      <c r="I710" s="549"/>
      <c r="J710" s="550" t="s">
        <v>102</v>
      </c>
      <c r="K710" s="10">
        <f>data!F3211</f>
        <v>323.04000000000002</v>
      </c>
      <c r="L710" s="208" t="s">
        <v>2309</v>
      </c>
      <c r="M710" s="9">
        <f>ROUND(I710*K710,0)</f>
        <v>0</v>
      </c>
      <c r="N710" s="533" t="s">
        <v>2309</v>
      </c>
    </row>
    <row r="711" spans="1:14" ht="52.5" customHeight="1">
      <c r="A711" s="16">
        <v>13</v>
      </c>
      <c r="B711" s="1633" t="s">
        <v>593</v>
      </c>
      <c r="C711" s="1633"/>
      <c r="D711" s="1633"/>
      <c r="E711" s="1633"/>
      <c r="F711" s="1633"/>
      <c r="G711" s="1633"/>
      <c r="H711" s="1633"/>
      <c r="I711" s="534"/>
      <c r="J711" s="535"/>
      <c r="K711" s="16"/>
      <c r="L711" s="208"/>
      <c r="M711" s="38"/>
      <c r="N711" s="533" t="s">
        <v>2209</v>
      </c>
    </row>
    <row r="712" spans="1:14" s="541" customFormat="1" ht="16.5" customHeight="1">
      <c r="A712" s="16"/>
      <c r="B712" s="39" t="s">
        <v>2813</v>
      </c>
      <c r="C712" s="563"/>
      <c r="D712" s="564"/>
      <c r="E712" s="565"/>
      <c r="F712" s="566"/>
      <c r="G712" s="566"/>
      <c r="H712" s="567"/>
      <c r="I712" s="568"/>
      <c r="J712" s="550"/>
      <c r="K712" s="39"/>
      <c r="L712" s="208"/>
      <c r="M712" s="39"/>
      <c r="N712" s="533" t="s">
        <v>2209</v>
      </c>
    </row>
    <row r="713" spans="1:14" s="541" customFormat="1" ht="15.75">
      <c r="A713" s="16"/>
      <c r="B713" s="39" t="s">
        <v>2160</v>
      </c>
      <c r="C713" s="534">
        <v>1</v>
      </c>
      <c r="D713" s="536" t="s">
        <v>273</v>
      </c>
      <c r="E713" s="537">
        <v>1</v>
      </c>
      <c r="F713" s="538">
        <v>12.475</v>
      </c>
      <c r="G713" s="538">
        <v>0</v>
      </c>
      <c r="H713" s="538">
        <v>3.1</v>
      </c>
      <c r="I713" s="542">
        <f t="shared" ref="I713" si="67">ROUND(IF(AND(F713:H713),C713*E713*F713*G713*H713,IF(AND(F713,G713),C713*E713*F713*G713,IF(AND(F713,H713),C713*E713*F713*H713,IF(AND(G713,H713),C713*E713*G713*H713,IF(F713,C713*E713*F713,IF(G713,C713*E713*G713,IF(H713,C713*E713*H713,C713*E713))))))),2)</f>
        <v>38.67</v>
      </c>
      <c r="J713" s="550" t="s">
        <v>102</v>
      </c>
      <c r="K713" s="39"/>
      <c r="L713" s="208"/>
      <c r="M713" s="39"/>
      <c r="N713" s="533" t="s">
        <v>2209</v>
      </c>
    </row>
    <row r="714" spans="1:14" s="541" customFormat="1" ht="15.75">
      <c r="A714" s="16"/>
      <c r="B714" s="39" t="s">
        <v>1544</v>
      </c>
      <c r="C714" s="534">
        <v>1</v>
      </c>
      <c r="D714" s="536" t="s">
        <v>273</v>
      </c>
      <c r="E714" s="537">
        <v>1</v>
      </c>
      <c r="F714" s="538">
        <v>8.84</v>
      </c>
      <c r="G714" s="538">
        <v>0</v>
      </c>
      <c r="H714" s="538">
        <v>3.1</v>
      </c>
      <c r="I714" s="542">
        <f>ROUND(IF(AND(F714:H714),C714*E714*F714*G714*H714,IF(AND(F714,G714),C714*E714*F714*G714,IF(AND(F714,H714),C714*E714*F714*H714,IF(AND(G714,H714),C714*E714*G714*H714,IF(F714,C714*E714*F714,IF(G714,C714*E714*G714,IF(H714,C714*E714*H714,C714*E714))))))),2)</f>
        <v>27.4</v>
      </c>
      <c r="J714" s="550" t="s">
        <v>102</v>
      </c>
      <c r="K714" s="39"/>
      <c r="L714" s="208"/>
      <c r="M714" s="39"/>
      <c r="N714" s="533" t="s">
        <v>2209</v>
      </c>
    </row>
    <row r="715" spans="1:14" s="541" customFormat="1" ht="15.75">
      <c r="A715" s="16"/>
      <c r="B715" s="39" t="s">
        <v>2161</v>
      </c>
      <c r="C715" s="534">
        <v>1</v>
      </c>
      <c r="D715" s="536" t="s">
        <v>273</v>
      </c>
      <c r="E715" s="537">
        <v>6</v>
      </c>
      <c r="F715" s="538">
        <v>1.5</v>
      </c>
      <c r="G715" s="538">
        <v>0</v>
      </c>
      <c r="H715" s="538">
        <v>1.5</v>
      </c>
      <c r="I715" s="542">
        <f>-ROUND(IF(AND(F715:H715),C715*E715*F715*G715*H715,IF(AND(F715,G715),C715*E715*F715*G715,IF(AND(F715,H715),C715*E715*F715*H715,IF(AND(G715,H715),C715*E715*G715*H715,IF(F715,C715*E715*F715,IF(G715,C715*E715*G715,IF(H715,C715*E715*H715,C715*E715))))))),2)</f>
        <v>-13.5</v>
      </c>
      <c r="J715" s="550" t="s">
        <v>102</v>
      </c>
      <c r="K715" s="39"/>
      <c r="L715" s="208"/>
      <c r="M715" s="39"/>
      <c r="N715" s="533" t="s">
        <v>2209</v>
      </c>
    </row>
    <row r="716" spans="1:14" s="541" customFormat="1" ht="15.75">
      <c r="A716" s="16"/>
      <c r="B716" s="39" t="s">
        <v>2134</v>
      </c>
      <c r="C716" s="534">
        <v>1</v>
      </c>
      <c r="D716" s="536" t="s">
        <v>273</v>
      </c>
      <c r="E716" s="537">
        <v>10</v>
      </c>
      <c r="F716" s="538">
        <v>0.6</v>
      </c>
      <c r="G716" s="538">
        <v>0</v>
      </c>
      <c r="H716" s="538">
        <v>0.45</v>
      </c>
      <c r="I716" s="542">
        <f t="shared" ref="I716" si="68">-ROUND(IF(AND(F716:H716),C716*E716*F716*G716*H716,IF(AND(F716,G716),C716*E716*F716*G716,IF(AND(F716,H716),C716*E716*F716*H716,IF(AND(G716,H716),C716*E716*G716*H716,IF(F716,C716*E716*F716,IF(G716,C716*E716*G716,IF(H716,C716*E716*H716,C716*E716))))))),2)</f>
        <v>-2.7</v>
      </c>
      <c r="J716" s="550" t="s">
        <v>102</v>
      </c>
      <c r="K716" s="39"/>
      <c r="L716" s="208"/>
      <c r="M716" s="39"/>
      <c r="N716" s="533" t="s">
        <v>2209</v>
      </c>
    </row>
    <row r="717" spans="1:14" s="541" customFormat="1" ht="16.5" customHeight="1">
      <c r="A717" s="16"/>
      <c r="B717" s="544"/>
      <c r="C717" s="545"/>
      <c r="D717" s="546"/>
      <c r="E717" s="547"/>
      <c r="F717" s="548"/>
      <c r="G717" s="548"/>
      <c r="H717" s="548"/>
      <c r="I717" s="549"/>
      <c r="J717" s="550"/>
      <c r="K717" s="39"/>
      <c r="L717" s="208"/>
      <c r="M717" s="39"/>
      <c r="N717" s="533" t="s">
        <v>2209</v>
      </c>
    </row>
    <row r="718" spans="1:14" ht="15.75">
      <c r="A718" s="16"/>
      <c r="B718" s="39"/>
      <c r="C718" s="551"/>
      <c r="D718" s="552"/>
      <c r="E718" s="537"/>
      <c r="F718" s="538"/>
      <c r="G718" s="40"/>
      <c r="H718" s="16"/>
      <c r="I718" s="549"/>
      <c r="J718" s="550" t="s">
        <v>102</v>
      </c>
      <c r="K718" s="10">
        <f>data!F476</f>
        <v>283.27999999999997</v>
      </c>
      <c r="L718" s="208" t="s">
        <v>2209</v>
      </c>
      <c r="M718" s="9">
        <f>ROUND(I718*K718,0)</f>
        <v>0</v>
      </c>
      <c r="N718" s="533" t="s">
        <v>2209</v>
      </c>
    </row>
    <row r="719" spans="1:14" ht="52.5" customHeight="1">
      <c r="A719" s="16">
        <v>13</v>
      </c>
      <c r="B719" s="1633" t="s">
        <v>593</v>
      </c>
      <c r="C719" s="1633"/>
      <c r="D719" s="1633"/>
      <c r="E719" s="1633"/>
      <c r="F719" s="1633"/>
      <c r="G719" s="1633"/>
      <c r="H719" s="1633"/>
      <c r="I719" s="534"/>
      <c r="J719" s="535"/>
      <c r="K719" s="16"/>
      <c r="L719" s="208"/>
      <c r="M719" s="38"/>
      <c r="N719" s="533" t="s">
        <v>2297</v>
      </c>
    </row>
    <row r="720" spans="1:14" s="541" customFormat="1" ht="16.5" customHeight="1">
      <c r="A720" s="16"/>
      <c r="B720" s="39" t="s">
        <v>2813</v>
      </c>
      <c r="C720" s="563"/>
      <c r="D720" s="564"/>
      <c r="E720" s="565"/>
      <c r="F720" s="566"/>
      <c r="G720" s="566"/>
      <c r="H720" s="567"/>
      <c r="I720" s="568"/>
      <c r="J720" s="550"/>
      <c r="K720" s="39"/>
      <c r="L720" s="208"/>
      <c r="M720" s="39"/>
      <c r="N720" s="533" t="s">
        <v>2297</v>
      </c>
    </row>
    <row r="721" spans="1:14" s="541" customFormat="1" ht="15.75">
      <c r="A721" s="16"/>
      <c r="B721" s="39" t="s">
        <v>2160</v>
      </c>
      <c r="C721" s="534">
        <v>1</v>
      </c>
      <c r="D721" s="536" t="s">
        <v>273</v>
      </c>
      <c r="E721" s="537">
        <v>1</v>
      </c>
      <c r="F721" s="538">
        <v>12.475</v>
      </c>
      <c r="G721" s="538">
        <v>0</v>
      </c>
      <c r="H721" s="538">
        <v>3.1</v>
      </c>
      <c r="I721" s="542">
        <f>ROUND(IF(AND(F721:H721),C721*E721*F721*G721*H721,IF(AND(F721,G721),C721*E721*F721*G721,IF(AND(F721,H721),C721*E721*F721*H721,IF(AND(G721,H721),C721*E721*G721*H721,IF(F721,C721*E721*F721,IF(G721,C721*E721*G721,IF(H721,C721*E721*H721,C721*E721))))))),2)</f>
        <v>38.67</v>
      </c>
      <c r="J721" s="550" t="s">
        <v>102</v>
      </c>
      <c r="K721" s="39"/>
      <c r="L721" s="208"/>
      <c r="M721" s="39"/>
      <c r="N721" s="533" t="s">
        <v>2297</v>
      </c>
    </row>
    <row r="722" spans="1:14" s="541" customFormat="1" ht="15.75">
      <c r="A722" s="16"/>
      <c r="B722" s="39" t="s">
        <v>1544</v>
      </c>
      <c r="C722" s="534">
        <v>1</v>
      </c>
      <c r="D722" s="536" t="s">
        <v>273</v>
      </c>
      <c r="E722" s="537">
        <v>1</v>
      </c>
      <c r="F722" s="538">
        <v>8.84</v>
      </c>
      <c r="G722" s="538">
        <v>0</v>
      </c>
      <c r="H722" s="538">
        <v>3.1</v>
      </c>
      <c r="I722" s="542">
        <f>ROUND(IF(AND(F722:H722),C722*E722*F722*G722*H722,IF(AND(F722,G722),C722*E722*F722*G722,IF(AND(F722,H722),C722*E722*F722*H722,IF(AND(G722,H722),C722*E722*G722*H722,IF(F722,C722*E722*F722,IF(G722,C722*E722*G722,IF(H722,C722*E722*H722,C722*E722))))))),2)</f>
        <v>27.4</v>
      </c>
      <c r="J722" s="550" t="s">
        <v>102</v>
      </c>
      <c r="K722" s="39"/>
      <c r="L722" s="208"/>
      <c r="M722" s="39"/>
      <c r="N722" s="533" t="s">
        <v>2297</v>
      </c>
    </row>
    <row r="723" spans="1:14" s="541" customFormat="1" ht="15.75">
      <c r="A723" s="16"/>
      <c r="B723" s="39" t="s">
        <v>2161</v>
      </c>
      <c r="C723" s="534">
        <v>1</v>
      </c>
      <c r="D723" s="536" t="s">
        <v>273</v>
      </c>
      <c r="E723" s="537">
        <v>6</v>
      </c>
      <c r="F723" s="538">
        <v>1.5</v>
      </c>
      <c r="G723" s="538">
        <v>0</v>
      </c>
      <c r="H723" s="538">
        <v>1.5</v>
      </c>
      <c r="I723" s="542">
        <f>-ROUND(IF(AND(F723:H723),C723*E723*F723*G723*H723,IF(AND(F723,G723),C723*E723*F723*G723,IF(AND(F723,H723),C723*E723*F723*H723,IF(AND(G723,H723),C723*E723*G723*H723,IF(F723,C723*E723*F723,IF(G723,C723*E723*G723,IF(H723,C723*E723*H723,C723*E723))))))),2)</f>
        <v>-13.5</v>
      </c>
      <c r="J723" s="550" t="s">
        <v>102</v>
      </c>
      <c r="K723" s="39"/>
      <c r="L723" s="208"/>
      <c r="M723" s="39"/>
      <c r="N723" s="533" t="s">
        <v>2297</v>
      </c>
    </row>
    <row r="724" spans="1:14" s="541" customFormat="1" ht="15.75">
      <c r="A724" s="16"/>
      <c r="B724" s="39" t="s">
        <v>2134</v>
      </c>
      <c r="C724" s="534">
        <v>1</v>
      </c>
      <c r="D724" s="536" t="s">
        <v>273</v>
      </c>
      <c r="E724" s="537">
        <v>10</v>
      </c>
      <c r="F724" s="538">
        <v>0.6</v>
      </c>
      <c r="G724" s="538">
        <v>0</v>
      </c>
      <c r="H724" s="538">
        <v>0.45</v>
      </c>
      <c r="I724" s="542">
        <f>-ROUND(IF(AND(F724:H724),C724*E724*F724*G724*H724,IF(AND(F724,G724),C724*E724*F724*G724,IF(AND(F724,H724),C724*E724*F724*H724,IF(AND(G724,H724),C724*E724*G724*H724,IF(F724,C724*E724*F724,IF(G724,C724*E724*G724,IF(H724,C724*E724*H724,C724*E724))))))),2)</f>
        <v>-2.7</v>
      </c>
      <c r="J724" s="550" t="s">
        <v>102</v>
      </c>
      <c r="K724" s="39"/>
      <c r="L724" s="208"/>
      <c r="M724" s="39"/>
      <c r="N724" s="533" t="s">
        <v>2297</v>
      </c>
    </row>
    <row r="725" spans="1:14" s="541" customFormat="1" ht="16.5" customHeight="1">
      <c r="A725" s="16"/>
      <c r="B725" s="544"/>
      <c r="C725" s="545"/>
      <c r="D725" s="546"/>
      <c r="E725" s="547"/>
      <c r="F725" s="548"/>
      <c r="G725" s="548"/>
      <c r="H725" s="548"/>
      <c r="I725" s="549"/>
      <c r="J725" s="550"/>
      <c r="K725" s="39"/>
      <c r="L725" s="208"/>
      <c r="M725" s="39"/>
      <c r="N725" s="533" t="s">
        <v>2297</v>
      </c>
    </row>
    <row r="726" spans="1:14" ht="15.75">
      <c r="A726" s="16"/>
      <c r="B726" s="39"/>
      <c r="C726" s="551"/>
      <c r="D726" s="552"/>
      <c r="E726" s="537"/>
      <c r="F726" s="538"/>
      <c r="G726" s="40"/>
      <c r="H726" s="16"/>
      <c r="I726" s="549"/>
      <c r="J726" s="550" t="s">
        <v>102</v>
      </c>
      <c r="K726" s="10">
        <f>data!F1393</f>
        <v>304.66000000000003</v>
      </c>
      <c r="L726" s="208" t="s">
        <v>2297</v>
      </c>
      <c r="M726" s="9">
        <f>ROUND(I726*K726,0)</f>
        <v>0</v>
      </c>
      <c r="N726" s="533" t="s">
        <v>2297</v>
      </c>
    </row>
    <row r="727" spans="1:14" ht="52.5" customHeight="1">
      <c r="A727" s="16">
        <v>13</v>
      </c>
      <c r="B727" s="1633" t="s">
        <v>593</v>
      </c>
      <c r="C727" s="1633"/>
      <c r="D727" s="1633"/>
      <c r="E727" s="1633"/>
      <c r="F727" s="1633"/>
      <c r="G727" s="1633"/>
      <c r="H727" s="1633"/>
      <c r="I727" s="534"/>
      <c r="J727" s="535"/>
      <c r="K727" s="16"/>
      <c r="L727" s="208"/>
      <c r="M727" s="38"/>
      <c r="N727" s="533" t="s">
        <v>2308</v>
      </c>
    </row>
    <row r="728" spans="1:14" s="541" customFormat="1" ht="16.5" customHeight="1">
      <c r="A728" s="16"/>
      <c r="B728" s="39" t="s">
        <v>2813</v>
      </c>
      <c r="C728" s="563"/>
      <c r="D728" s="564"/>
      <c r="E728" s="565"/>
      <c r="F728" s="566"/>
      <c r="G728" s="566"/>
      <c r="H728" s="567"/>
      <c r="I728" s="568"/>
      <c r="J728" s="550"/>
      <c r="K728" s="39"/>
      <c r="L728" s="208"/>
      <c r="M728" s="39"/>
      <c r="N728" s="533" t="s">
        <v>2308</v>
      </c>
    </row>
    <row r="729" spans="1:14" s="541" customFormat="1" ht="15.75">
      <c r="A729" s="16"/>
      <c r="B729" s="39" t="s">
        <v>2160</v>
      </c>
      <c r="C729" s="534">
        <v>1</v>
      </c>
      <c r="D729" s="536" t="s">
        <v>273</v>
      </c>
      <c r="E729" s="537">
        <v>1</v>
      </c>
      <c r="F729" s="538">
        <v>12.475</v>
      </c>
      <c r="G729" s="538">
        <v>0</v>
      </c>
      <c r="H729" s="538">
        <v>3.1</v>
      </c>
      <c r="I729" s="542">
        <f>ROUND(IF(AND(F729:H729),C729*E729*F729*G729*H729,IF(AND(F729,G729),C729*E729*F729*G729,IF(AND(F729,H729),C729*E729*F729*H729,IF(AND(G729,H729),C729*E729*G729*H729,IF(F729,C729*E729*F729,IF(G729,C729*E729*G729,IF(H729,C729*E729*H729,C729*E729))))))),2)</f>
        <v>38.67</v>
      </c>
      <c r="J729" s="550" t="s">
        <v>102</v>
      </c>
      <c r="K729" s="39"/>
      <c r="L729" s="208"/>
      <c r="M729" s="39"/>
      <c r="N729" s="533" t="s">
        <v>2308</v>
      </c>
    </row>
    <row r="730" spans="1:14" s="541" customFormat="1" ht="15.75">
      <c r="A730" s="16"/>
      <c r="B730" s="39" t="s">
        <v>1544</v>
      </c>
      <c r="C730" s="534">
        <v>1</v>
      </c>
      <c r="D730" s="536" t="s">
        <v>273</v>
      </c>
      <c r="E730" s="537">
        <v>1</v>
      </c>
      <c r="F730" s="538">
        <v>8.84</v>
      </c>
      <c r="G730" s="538">
        <v>0</v>
      </c>
      <c r="H730" s="538">
        <v>3.1</v>
      </c>
      <c r="I730" s="542">
        <f>ROUND(IF(AND(F730:H730),C730*E730*F730*G730*H730,IF(AND(F730,G730),C730*E730*F730*G730,IF(AND(F730,H730),C730*E730*F730*H730,IF(AND(G730,H730),C730*E730*G730*H730,IF(F730,C730*E730*F730,IF(G730,C730*E730*G730,IF(H730,C730*E730*H730,C730*E730))))))),2)</f>
        <v>27.4</v>
      </c>
      <c r="J730" s="550" t="s">
        <v>102</v>
      </c>
      <c r="K730" s="39"/>
      <c r="L730" s="208"/>
      <c r="M730" s="39"/>
      <c r="N730" s="533" t="s">
        <v>2308</v>
      </c>
    </row>
    <row r="731" spans="1:14" s="541" customFormat="1" ht="15.75">
      <c r="A731" s="16"/>
      <c r="B731" s="39" t="s">
        <v>2161</v>
      </c>
      <c r="C731" s="534">
        <v>1</v>
      </c>
      <c r="D731" s="536" t="s">
        <v>273</v>
      </c>
      <c r="E731" s="537">
        <v>6</v>
      </c>
      <c r="F731" s="538">
        <v>1.5</v>
      </c>
      <c r="G731" s="538">
        <v>0</v>
      </c>
      <c r="H731" s="538">
        <v>1.5</v>
      </c>
      <c r="I731" s="542">
        <f>-ROUND(IF(AND(F731:H731),C731*E731*F731*G731*H731,IF(AND(F731,G731),C731*E731*F731*G731,IF(AND(F731,H731),C731*E731*F731*H731,IF(AND(G731,H731),C731*E731*G731*H731,IF(F731,C731*E731*F731,IF(G731,C731*E731*G731,IF(H731,C731*E731*H731,C731*E731))))))),2)</f>
        <v>-13.5</v>
      </c>
      <c r="J731" s="550" t="s">
        <v>102</v>
      </c>
      <c r="K731" s="39"/>
      <c r="L731" s="208"/>
      <c r="M731" s="39"/>
      <c r="N731" s="533" t="s">
        <v>2308</v>
      </c>
    </row>
    <row r="732" spans="1:14" s="541" customFormat="1" ht="15.75">
      <c r="A732" s="16"/>
      <c r="B732" s="39" t="s">
        <v>2134</v>
      </c>
      <c r="C732" s="534">
        <v>1</v>
      </c>
      <c r="D732" s="536" t="s">
        <v>273</v>
      </c>
      <c r="E732" s="537">
        <v>10</v>
      </c>
      <c r="F732" s="538">
        <v>0.6</v>
      </c>
      <c r="G732" s="538">
        <v>0</v>
      </c>
      <c r="H732" s="538">
        <v>0.45</v>
      </c>
      <c r="I732" s="542">
        <f>-ROUND(IF(AND(F732:H732),C732*E732*F732*G732*H732,IF(AND(F732,G732),C732*E732*F732*G732,IF(AND(F732,H732),C732*E732*F732*H732,IF(AND(G732,H732),C732*E732*G732*H732,IF(F732,C732*E732*F732,IF(G732,C732*E732*G732,IF(H732,C732*E732*H732,C732*E732))))))),2)</f>
        <v>-2.7</v>
      </c>
      <c r="J732" s="550" t="s">
        <v>102</v>
      </c>
      <c r="K732" s="39"/>
      <c r="L732" s="208"/>
      <c r="M732" s="39"/>
      <c r="N732" s="533" t="s">
        <v>2308</v>
      </c>
    </row>
    <row r="733" spans="1:14" s="541" customFormat="1" ht="16.5" customHeight="1">
      <c r="A733" s="16"/>
      <c r="B733" s="544"/>
      <c r="C733" s="545"/>
      <c r="D733" s="546"/>
      <c r="E733" s="547"/>
      <c r="F733" s="548"/>
      <c r="G733" s="548"/>
      <c r="H733" s="548"/>
      <c r="I733" s="549"/>
      <c r="J733" s="550"/>
      <c r="K733" s="39"/>
      <c r="L733" s="208"/>
      <c r="M733" s="39"/>
      <c r="N733" s="533" t="s">
        <v>2308</v>
      </c>
    </row>
    <row r="734" spans="1:14" ht="15.75">
      <c r="A734" s="16"/>
      <c r="B734" s="39"/>
      <c r="C734" s="551"/>
      <c r="D734" s="552"/>
      <c r="E734" s="537"/>
      <c r="F734" s="538"/>
      <c r="G734" s="40"/>
      <c r="H734" s="16"/>
      <c r="I734" s="549"/>
      <c r="J734" s="550" t="s">
        <v>102</v>
      </c>
      <c r="K734" s="10">
        <f>data!F2310</f>
        <v>323.85000000000002</v>
      </c>
      <c r="L734" s="208" t="s">
        <v>2308</v>
      </c>
      <c r="M734" s="9">
        <f>ROUND(I734*K734,0)</f>
        <v>0</v>
      </c>
      <c r="N734" s="533" t="s">
        <v>2308</v>
      </c>
    </row>
    <row r="735" spans="1:14" ht="52.5" customHeight="1">
      <c r="A735" s="16">
        <v>13</v>
      </c>
      <c r="B735" s="1633" t="s">
        <v>593</v>
      </c>
      <c r="C735" s="1633"/>
      <c r="D735" s="1633"/>
      <c r="E735" s="1633"/>
      <c r="F735" s="1633"/>
      <c r="G735" s="1633"/>
      <c r="H735" s="1633"/>
      <c r="I735" s="534"/>
      <c r="J735" s="535"/>
      <c r="K735" s="16"/>
      <c r="L735" s="208"/>
      <c r="M735" s="38"/>
      <c r="N735" s="533" t="s">
        <v>2309</v>
      </c>
    </row>
    <row r="736" spans="1:14" s="541" customFormat="1" ht="16.5" customHeight="1">
      <c r="A736" s="16"/>
      <c r="B736" s="39" t="s">
        <v>2813</v>
      </c>
      <c r="C736" s="563"/>
      <c r="D736" s="564"/>
      <c r="E736" s="565"/>
      <c r="F736" s="566"/>
      <c r="G736" s="566"/>
      <c r="H736" s="567"/>
      <c r="I736" s="568"/>
      <c r="J736" s="550"/>
      <c r="K736" s="39"/>
      <c r="L736" s="208"/>
      <c r="M736" s="39"/>
      <c r="N736" s="533" t="s">
        <v>2309</v>
      </c>
    </row>
    <row r="737" spans="1:14" s="541" customFormat="1" ht="15.75">
      <c r="A737" s="16"/>
      <c r="B737" s="39" t="s">
        <v>2160</v>
      </c>
      <c r="C737" s="534">
        <v>1</v>
      </c>
      <c r="D737" s="536" t="s">
        <v>273</v>
      </c>
      <c r="E737" s="537">
        <v>1</v>
      </c>
      <c r="F737" s="538">
        <v>12.475</v>
      </c>
      <c r="G737" s="538">
        <v>0</v>
      </c>
      <c r="H737" s="538">
        <v>3.1</v>
      </c>
      <c r="I737" s="542">
        <f>ROUND(IF(AND(F737:H737),C737*E737*F737*G737*H737,IF(AND(F737,G737),C737*E737*F737*G737,IF(AND(F737,H737),C737*E737*F737*H737,IF(AND(G737,H737),C737*E737*G737*H737,IF(F737,C737*E737*F737,IF(G737,C737*E737*G737,IF(H737,C737*E737*H737,C737*E737))))))),2)</f>
        <v>38.67</v>
      </c>
      <c r="J737" s="550" t="s">
        <v>102</v>
      </c>
      <c r="K737" s="39"/>
      <c r="L737" s="208"/>
      <c r="M737" s="39"/>
      <c r="N737" s="533" t="s">
        <v>2309</v>
      </c>
    </row>
    <row r="738" spans="1:14" s="541" customFormat="1" ht="15.75">
      <c r="A738" s="16"/>
      <c r="B738" s="39" t="s">
        <v>1544</v>
      </c>
      <c r="C738" s="534">
        <v>1</v>
      </c>
      <c r="D738" s="536" t="s">
        <v>273</v>
      </c>
      <c r="E738" s="537">
        <v>1</v>
      </c>
      <c r="F738" s="538">
        <v>8.84</v>
      </c>
      <c r="G738" s="538">
        <v>0</v>
      </c>
      <c r="H738" s="538">
        <v>3.1</v>
      </c>
      <c r="I738" s="542">
        <f>ROUND(IF(AND(F738:H738),C738*E738*F738*G738*H738,IF(AND(F738,G738),C738*E738*F738*G738,IF(AND(F738,H738),C738*E738*F738*H738,IF(AND(G738,H738),C738*E738*G738*H738,IF(F738,C738*E738*F738,IF(G738,C738*E738*G738,IF(H738,C738*E738*H738,C738*E738))))))),2)</f>
        <v>27.4</v>
      </c>
      <c r="J738" s="550" t="s">
        <v>102</v>
      </c>
      <c r="K738" s="39"/>
      <c r="L738" s="208"/>
      <c r="M738" s="39"/>
      <c r="N738" s="533" t="s">
        <v>2309</v>
      </c>
    </row>
    <row r="739" spans="1:14" s="541" customFormat="1" ht="15.75">
      <c r="A739" s="16"/>
      <c r="B739" s="39" t="s">
        <v>2161</v>
      </c>
      <c r="C739" s="534">
        <v>1</v>
      </c>
      <c r="D739" s="536" t="s">
        <v>273</v>
      </c>
      <c r="E739" s="537">
        <v>6</v>
      </c>
      <c r="F739" s="538">
        <v>1.5</v>
      </c>
      <c r="G739" s="538">
        <v>0</v>
      </c>
      <c r="H739" s="538">
        <v>1.5</v>
      </c>
      <c r="I739" s="542">
        <f>-ROUND(IF(AND(F739:H739),C739*E739*F739*G739*H739,IF(AND(F739,G739),C739*E739*F739*G739,IF(AND(F739,H739),C739*E739*F739*H739,IF(AND(G739,H739),C739*E739*G739*H739,IF(F739,C739*E739*F739,IF(G739,C739*E739*G739,IF(H739,C739*E739*H739,C739*E739))))))),2)</f>
        <v>-13.5</v>
      </c>
      <c r="J739" s="550" t="s">
        <v>102</v>
      </c>
      <c r="K739" s="39"/>
      <c r="L739" s="208"/>
      <c r="M739" s="39"/>
      <c r="N739" s="533" t="s">
        <v>2309</v>
      </c>
    </row>
    <row r="740" spans="1:14" s="541" customFormat="1" ht="15.75">
      <c r="A740" s="16"/>
      <c r="B740" s="39" t="s">
        <v>2134</v>
      </c>
      <c r="C740" s="534">
        <v>1</v>
      </c>
      <c r="D740" s="536" t="s">
        <v>273</v>
      </c>
      <c r="E740" s="537">
        <v>10</v>
      </c>
      <c r="F740" s="538">
        <v>0.6</v>
      </c>
      <c r="G740" s="538">
        <v>0</v>
      </c>
      <c r="H740" s="538">
        <v>0.45</v>
      </c>
      <c r="I740" s="542">
        <f>-ROUND(IF(AND(F740:H740),C740*E740*F740*G740*H740,IF(AND(F740,G740),C740*E740*F740*G740,IF(AND(F740,H740),C740*E740*F740*H740,IF(AND(G740,H740),C740*E740*G740*H740,IF(F740,C740*E740*F740,IF(G740,C740*E740*G740,IF(H740,C740*E740*H740,C740*E740))))))),2)</f>
        <v>-2.7</v>
      </c>
      <c r="J740" s="550" t="s">
        <v>102</v>
      </c>
      <c r="K740" s="39"/>
      <c r="L740" s="208"/>
      <c r="M740" s="39"/>
      <c r="N740" s="533" t="s">
        <v>2309</v>
      </c>
    </row>
    <row r="741" spans="1:14" s="541" customFormat="1" ht="16.5" customHeight="1">
      <c r="A741" s="16"/>
      <c r="B741" s="544"/>
      <c r="C741" s="545"/>
      <c r="D741" s="546"/>
      <c r="E741" s="547"/>
      <c r="F741" s="548"/>
      <c r="G741" s="548"/>
      <c r="H741" s="548"/>
      <c r="I741" s="549"/>
      <c r="J741" s="550"/>
      <c r="K741" s="39"/>
      <c r="L741" s="208"/>
      <c r="M741" s="39"/>
      <c r="N741" s="533" t="s">
        <v>2309</v>
      </c>
    </row>
    <row r="742" spans="1:14" ht="15.75">
      <c r="A742" s="16"/>
      <c r="B742" s="39"/>
      <c r="C742" s="551"/>
      <c r="D742" s="552"/>
      <c r="E742" s="537"/>
      <c r="F742" s="538"/>
      <c r="G742" s="40"/>
      <c r="H742" s="16"/>
      <c r="I742" s="549"/>
      <c r="J742" s="550" t="s">
        <v>102</v>
      </c>
      <c r="K742" s="10">
        <f>data!F3227</f>
        <v>343.23</v>
      </c>
      <c r="L742" s="208" t="s">
        <v>2309</v>
      </c>
      <c r="M742" s="9">
        <f>ROUND(I742*K742,0)</f>
        <v>0</v>
      </c>
      <c r="N742" s="533" t="s">
        <v>2309</v>
      </c>
    </row>
    <row r="743" spans="1:14" ht="71.25" customHeight="1">
      <c r="A743" s="16">
        <v>10</v>
      </c>
      <c r="B743" s="1633" t="s">
        <v>808</v>
      </c>
      <c r="C743" s="1633"/>
      <c r="D743" s="1633"/>
      <c r="E743" s="1633"/>
      <c r="F743" s="1633"/>
      <c r="G743" s="1633"/>
      <c r="H743" s="1633"/>
      <c r="I743" s="534"/>
      <c r="J743" s="535"/>
      <c r="K743" s="16"/>
      <c r="L743" s="208"/>
      <c r="M743" s="38"/>
      <c r="N743" s="533" t="s">
        <v>2209</v>
      </c>
    </row>
    <row r="744" spans="1:14" s="541" customFormat="1" ht="16.5" customHeight="1">
      <c r="A744" s="16"/>
      <c r="B744" s="39" t="s">
        <v>3030</v>
      </c>
      <c r="C744" s="534"/>
      <c r="D744" s="858" t="s">
        <v>3251</v>
      </c>
      <c r="E744" s="537"/>
      <c r="F744" s="538"/>
      <c r="G744" s="538"/>
      <c r="H744" s="538"/>
      <c r="I744" s="539"/>
      <c r="J744" s="550"/>
      <c r="K744" s="39"/>
      <c r="L744" s="208"/>
      <c r="M744" s="39"/>
      <c r="N744" s="533" t="s">
        <v>2209</v>
      </c>
    </row>
    <row r="745" spans="1:14" s="541" customFormat="1" ht="16.5" customHeight="1">
      <c r="A745" s="16"/>
      <c r="B745" s="39" t="s">
        <v>2356</v>
      </c>
      <c r="C745" s="534">
        <v>1</v>
      </c>
      <c r="D745" s="536" t="s">
        <v>273</v>
      </c>
      <c r="E745" s="537">
        <v>1</v>
      </c>
      <c r="F745" s="538">
        <v>11.68</v>
      </c>
      <c r="G745" s="538">
        <v>0</v>
      </c>
      <c r="H745" s="538">
        <v>3.1</v>
      </c>
      <c r="I745" s="542">
        <f t="shared" ref="I745:I759" si="69">ROUND(IF(AND(F745:H745),C745*E745*F745*G745*H745,IF(AND(F745,G745),C745*E745*F745*G745,IF(AND(F745,H745),C745*E745*F745*H745,IF(AND(G745,H745),C745*E745*G745*H745,IF(F745,C745*E745*F745,IF(G745,C745*E745*G745,IF(H745,C745*E745*H745,C745*E745))))))),2)</f>
        <v>36.21</v>
      </c>
      <c r="J745" s="550" t="s">
        <v>102</v>
      </c>
      <c r="K745" s="39"/>
      <c r="L745" s="208"/>
      <c r="M745" s="39"/>
      <c r="N745" s="533" t="s">
        <v>2209</v>
      </c>
    </row>
    <row r="746" spans="1:14" s="541" customFormat="1" ht="16.5" customHeight="1">
      <c r="A746" s="16"/>
      <c r="B746" s="39" t="s">
        <v>1620</v>
      </c>
      <c r="C746" s="534">
        <v>1</v>
      </c>
      <c r="D746" s="536" t="s">
        <v>273</v>
      </c>
      <c r="E746" s="537">
        <v>1</v>
      </c>
      <c r="F746" s="538">
        <v>12.26</v>
      </c>
      <c r="G746" s="538">
        <v>0</v>
      </c>
      <c r="H746" s="538">
        <v>3.1</v>
      </c>
      <c r="I746" s="542">
        <f t="shared" si="69"/>
        <v>38.01</v>
      </c>
      <c r="J746" s="550" t="s">
        <v>102</v>
      </c>
      <c r="K746" s="39"/>
      <c r="L746" s="208"/>
      <c r="M746" s="39"/>
      <c r="N746" s="533" t="s">
        <v>2209</v>
      </c>
    </row>
    <row r="747" spans="1:14" s="541" customFormat="1" ht="16.5" customHeight="1">
      <c r="A747" s="16"/>
      <c r="B747" s="39" t="s">
        <v>587</v>
      </c>
      <c r="C747" s="534">
        <v>1</v>
      </c>
      <c r="D747" s="536" t="s">
        <v>273</v>
      </c>
      <c r="E747" s="537">
        <v>1</v>
      </c>
      <c r="F747" s="538">
        <v>12.74</v>
      </c>
      <c r="G747" s="538">
        <v>0</v>
      </c>
      <c r="H747" s="538">
        <v>3.1</v>
      </c>
      <c r="I747" s="542">
        <f t="shared" si="69"/>
        <v>39.49</v>
      </c>
      <c r="J747" s="550" t="s">
        <v>102</v>
      </c>
      <c r="K747" s="39"/>
      <c r="L747" s="208"/>
      <c r="M747" s="39"/>
      <c r="N747" s="533" t="s">
        <v>2209</v>
      </c>
    </row>
    <row r="748" spans="1:14" s="541" customFormat="1" ht="16.5" customHeight="1">
      <c r="A748" s="16"/>
      <c r="B748" s="39" t="s">
        <v>3082</v>
      </c>
      <c r="C748" s="534">
        <v>1</v>
      </c>
      <c r="D748" s="536" t="s">
        <v>273</v>
      </c>
      <c r="E748" s="537">
        <v>1</v>
      </c>
      <c r="F748" s="538">
        <v>11.93</v>
      </c>
      <c r="G748" s="538">
        <v>0</v>
      </c>
      <c r="H748" s="538">
        <v>3.1</v>
      </c>
      <c r="I748" s="542">
        <f t="shared" si="69"/>
        <v>36.979999999999997</v>
      </c>
      <c r="J748" s="550" t="s">
        <v>102</v>
      </c>
      <c r="K748" s="39"/>
      <c r="L748" s="208"/>
      <c r="M748" s="39"/>
      <c r="N748" s="533" t="s">
        <v>2209</v>
      </c>
    </row>
    <row r="749" spans="1:14" s="541" customFormat="1" ht="16.5" customHeight="1">
      <c r="A749" s="16"/>
      <c r="B749" s="39"/>
      <c r="C749" s="534">
        <v>1</v>
      </c>
      <c r="D749" s="536" t="s">
        <v>273</v>
      </c>
      <c r="E749" s="537">
        <v>1</v>
      </c>
      <c r="F749" s="538">
        <v>9.42</v>
      </c>
      <c r="G749" s="538">
        <v>0</v>
      </c>
      <c r="H749" s="538">
        <v>3.1</v>
      </c>
      <c r="I749" s="542">
        <f t="shared" si="69"/>
        <v>29.2</v>
      </c>
      <c r="J749" s="550" t="s">
        <v>102</v>
      </c>
      <c r="K749" s="39"/>
      <c r="L749" s="208"/>
      <c r="M749" s="39"/>
      <c r="N749" s="533" t="s">
        <v>2209</v>
      </c>
    </row>
    <row r="750" spans="1:14" s="541" customFormat="1" ht="16.5" customHeight="1">
      <c r="A750" s="16"/>
      <c r="B750" s="39" t="s">
        <v>3083</v>
      </c>
      <c r="C750" s="534">
        <v>1</v>
      </c>
      <c r="D750" s="536" t="s">
        <v>273</v>
      </c>
      <c r="E750" s="537">
        <v>2</v>
      </c>
      <c r="F750" s="538">
        <v>1.8</v>
      </c>
      <c r="G750" s="538">
        <v>0</v>
      </c>
      <c r="H750" s="538">
        <v>3.1</v>
      </c>
      <c r="I750" s="542">
        <f t="shared" si="69"/>
        <v>11.16</v>
      </c>
      <c r="J750" s="550" t="s">
        <v>102</v>
      </c>
      <c r="K750" s="39"/>
      <c r="L750" s="208"/>
      <c r="M750" s="39"/>
      <c r="N750" s="533" t="s">
        <v>2209</v>
      </c>
    </row>
    <row r="751" spans="1:14" s="541" customFormat="1" ht="16.5" customHeight="1">
      <c r="A751" s="16"/>
      <c r="B751" s="39" t="s">
        <v>3084</v>
      </c>
      <c r="C751" s="534">
        <v>1</v>
      </c>
      <c r="D751" s="536" t="s">
        <v>273</v>
      </c>
      <c r="E751" s="537">
        <v>1</v>
      </c>
      <c r="F751" s="538">
        <v>22.92</v>
      </c>
      <c r="G751" s="538">
        <v>0</v>
      </c>
      <c r="H751" s="538">
        <v>3.1</v>
      </c>
      <c r="I751" s="542">
        <f t="shared" si="69"/>
        <v>71.05</v>
      </c>
      <c r="J751" s="550" t="s">
        <v>102</v>
      </c>
      <c r="K751" s="39"/>
      <c r="L751" s="208"/>
      <c r="M751" s="39"/>
      <c r="N751" s="533" t="s">
        <v>2209</v>
      </c>
    </row>
    <row r="752" spans="1:14" s="541" customFormat="1" ht="16.5" customHeight="1">
      <c r="A752" s="16"/>
      <c r="B752" s="39" t="s">
        <v>2553</v>
      </c>
      <c r="C752" s="534">
        <v>1</v>
      </c>
      <c r="D752" s="536" t="s">
        <v>273</v>
      </c>
      <c r="E752" s="537">
        <v>1</v>
      </c>
      <c r="F752" s="538">
        <v>9.4600000000000009</v>
      </c>
      <c r="G752" s="538">
        <v>0</v>
      </c>
      <c r="H752" s="538">
        <v>1</v>
      </c>
      <c r="I752" s="542">
        <f t="shared" si="69"/>
        <v>9.4600000000000009</v>
      </c>
      <c r="J752" s="550" t="s">
        <v>102</v>
      </c>
      <c r="K752" s="39"/>
      <c r="L752" s="208"/>
      <c r="M752" s="39"/>
      <c r="N752" s="533" t="s">
        <v>2209</v>
      </c>
    </row>
    <row r="753" spans="1:14" s="541" customFormat="1" ht="16.5" customHeight="1">
      <c r="A753" s="16"/>
      <c r="B753" s="39" t="s">
        <v>659</v>
      </c>
      <c r="C753" s="534">
        <v>1</v>
      </c>
      <c r="D753" s="536" t="s">
        <v>273</v>
      </c>
      <c r="E753" s="537">
        <v>1</v>
      </c>
      <c r="F753" s="538">
        <v>6.06</v>
      </c>
      <c r="G753" s="538">
        <v>0</v>
      </c>
      <c r="H753" s="538">
        <v>1</v>
      </c>
      <c r="I753" s="542">
        <f t="shared" si="69"/>
        <v>6.06</v>
      </c>
      <c r="J753" s="550" t="s">
        <v>102</v>
      </c>
      <c r="K753" s="39"/>
      <c r="L753" s="208"/>
      <c r="M753" s="39"/>
      <c r="N753" s="533" t="s">
        <v>2209</v>
      </c>
    </row>
    <row r="754" spans="1:14" s="541" customFormat="1" ht="16.5" customHeight="1">
      <c r="A754" s="16"/>
      <c r="B754" s="39" t="s">
        <v>689</v>
      </c>
      <c r="C754" s="534">
        <v>1</v>
      </c>
      <c r="D754" s="536" t="s">
        <v>273</v>
      </c>
      <c r="E754" s="537">
        <v>1</v>
      </c>
      <c r="F754" s="538">
        <v>6.06</v>
      </c>
      <c r="G754" s="538">
        <v>0</v>
      </c>
      <c r="H754" s="538">
        <v>1</v>
      </c>
      <c r="I754" s="542">
        <f t="shared" si="69"/>
        <v>6.06</v>
      </c>
      <c r="J754" s="550" t="s">
        <v>102</v>
      </c>
      <c r="K754" s="39"/>
      <c r="L754" s="208"/>
      <c r="M754" s="39"/>
      <c r="N754" s="533" t="s">
        <v>2209</v>
      </c>
    </row>
    <row r="755" spans="1:14" s="541" customFormat="1" ht="16.5" customHeight="1">
      <c r="A755" s="16"/>
      <c r="B755" s="39" t="s">
        <v>3085</v>
      </c>
      <c r="C755" s="534">
        <v>1</v>
      </c>
      <c r="D755" s="536" t="s">
        <v>273</v>
      </c>
      <c r="E755" s="537">
        <v>1</v>
      </c>
      <c r="F755" s="538">
        <v>10.7</v>
      </c>
      <c r="G755" s="538">
        <v>0</v>
      </c>
      <c r="H755" s="538">
        <v>1.6</v>
      </c>
      <c r="I755" s="542">
        <f t="shared" si="69"/>
        <v>17.12</v>
      </c>
      <c r="J755" s="550" t="s">
        <v>102</v>
      </c>
      <c r="K755" s="39"/>
      <c r="L755" s="208"/>
      <c r="M755" s="39"/>
      <c r="N755" s="533" t="s">
        <v>2209</v>
      </c>
    </row>
    <row r="756" spans="1:14" s="541" customFormat="1" ht="16.5" customHeight="1">
      <c r="A756" s="16"/>
      <c r="B756" s="39" t="s">
        <v>3086</v>
      </c>
      <c r="C756" s="534">
        <v>1</v>
      </c>
      <c r="D756" s="536" t="s">
        <v>273</v>
      </c>
      <c r="E756" s="537">
        <v>1</v>
      </c>
      <c r="F756" s="538">
        <v>2.68</v>
      </c>
      <c r="G756" s="538">
        <v>0</v>
      </c>
      <c r="H756" s="538">
        <v>1.2</v>
      </c>
      <c r="I756" s="542">
        <f t="shared" si="69"/>
        <v>3.22</v>
      </c>
      <c r="J756" s="550" t="s">
        <v>102</v>
      </c>
      <c r="K756" s="39"/>
      <c r="L756" s="208"/>
      <c r="M756" s="39"/>
      <c r="N756" s="533" t="s">
        <v>2209</v>
      </c>
    </row>
    <row r="757" spans="1:14" s="541" customFormat="1" ht="16.5" customHeight="1">
      <c r="A757" s="16"/>
      <c r="B757" s="39" t="s">
        <v>3087</v>
      </c>
      <c r="C757" s="534">
        <v>1</v>
      </c>
      <c r="D757" s="536" t="s">
        <v>273</v>
      </c>
      <c r="E757" s="537">
        <v>1</v>
      </c>
      <c r="F757" s="538">
        <v>0.85</v>
      </c>
      <c r="G757" s="538">
        <v>0</v>
      </c>
      <c r="H757" s="538">
        <v>1.2</v>
      </c>
      <c r="I757" s="542">
        <f t="shared" si="69"/>
        <v>1.02</v>
      </c>
      <c r="J757" s="550" t="s">
        <v>102</v>
      </c>
      <c r="K757" s="39"/>
      <c r="L757" s="208"/>
      <c r="M757" s="39"/>
      <c r="N757" s="533" t="s">
        <v>2209</v>
      </c>
    </row>
    <row r="758" spans="1:14" s="541" customFormat="1" ht="16.5" customHeight="1">
      <c r="A758" s="16"/>
      <c r="B758" s="39" t="s">
        <v>3069</v>
      </c>
      <c r="C758" s="534">
        <v>1</v>
      </c>
      <c r="D758" s="536" t="s">
        <v>273</v>
      </c>
      <c r="E758" s="537">
        <v>1</v>
      </c>
      <c r="F758" s="538">
        <v>2.68</v>
      </c>
      <c r="G758" s="538">
        <v>0</v>
      </c>
      <c r="H758" s="538">
        <v>1.2</v>
      </c>
      <c r="I758" s="542">
        <f t="shared" si="69"/>
        <v>3.22</v>
      </c>
      <c r="J758" s="550" t="s">
        <v>102</v>
      </c>
      <c r="K758" s="39"/>
      <c r="L758" s="208"/>
      <c r="M758" s="39"/>
      <c r="N758" s="533" t="s">
        <v>2209</v>
      </c>
    </row>
    <row r="759" spans="1:14" s="541" customFormat="1" ht="16.5" customHeight="1">
      <c r="A759" s="16"/>
      <c r="B759" s="39" t="s">
        <v>3068</v>
      </c>
      <c r="C759" s="534">
        <v>1</v>
      </c>
      <c r="D759" s="536" t="s">
        <v>273</v>
      </c>
      <c r="E759" s="537">
        <v>2</v>
      </c>
      <c r="F759" s="538">
        <v>0.85</v>
      </c>
      <c r="G759" s="538">
        <v>0</v>
      </c>
      <c r="H759" s="538">
        <v>1.2</v>
      </c>
      <c r="I759" s="542">
        <f t="shared" si="69"/>
        <v>2.04</v>
      </c>
      <c r="J759" s="550" t="s">
        <v>102</v>
      </c>
      <c r="K759" s="39"/>
      <c r="L759" s="208"/>
      <c r="M759" s="39"/>
      <c r="N759" s="533" t="s">
        <v>2209</v>
      </c>
    </row>
    <row r="760" spans="1:14" s="541" customFormat="1" ht="16.5" customHeight="1">
      <c r="A760" s="16"/>
      <c r="B760" s="39" t="s">
        <v>1533</v>
      </c>
      <c r="C760" s="534">
        <v>1</v>
      </c>
      <c r="D760" s="536" t="s">
        <v>273</v>
      </c>
      <c r="E760" s="537">
        <v>1</v>
      </c>
      <c r="F760" s="538">
        <v>1.2</v>
      </c>
      <c r="G760" s="538">
        <v>0</v>
      </c>
      <c r="H760" s="538">
        <v>1.1000000000000001</v>
      </c>
      <c r="I760" s="542">
        <f>-ROUND(IF(AND(F760:H760),C760*E760*F760*G760*H760,IF(AND(F760,G760),C760*E760*F760*G760,IF(AND(F760,H760),C760*E760*F760*H760,IF(AND(G760,H760),C760*E760*G760*H760,IF(F760,C760*E760*F760,IF(G760,C760*E760*G760,IF(H760,C760*E760*H760,C760*E760))))))),2)</f>
        <v>-1.32</v>
      </c>
      <c r="J760" s="550" t="s">
        <v>102</v>
      </c>
      <c r="K760" s="39"/>
      <c r="L760" s="208"/>
      <c r="M760" s="39"/>
      <c r="N760" s="533" t="s">
        <v>2209</v>
      </c>
    </row>
    <row r="761" spans="1:14" s="541" customFormat="1" ht="16.5" customHeight="1">
      <c r="A761" s="16"/>
      <c r="B761" s="39" t="s">
        <v>3088</v>
      </c>
      <c r="C761" s="534">
        <v>1</v>
      </c>
      <c r="D761" s="536" t="s">
        <v>273</v>
      </c>
      <c r="E761" s="537">
        <v>1</v>
      </c>
      <c r="F761" s="538">
        <v>5.27</v>
      </c>
      <c r="G761" s="538">
        <v>0</v>
      </c>
      <c r="H761" s="538">
        <v>1.9</v>
      </c>
      <c r="I761" s="542">
        <f t="shared" ref="I761:I762" si="70">ROUND(IF(AND(F761:H761),C761*E761*F761*G761*H761,IF(AND(F761,G761),C761*E761*F761*G761,IF(AND(F761,H761),C761*E761*F761*H761,IF(AND(G761,H761),C761*E761*G761*H761,IF(F761,C761*E761*F761,IF(G761,C761*E761*G761,IF(H761,C761*E761*H761,C761*E761))))))),2)</f>
        <v>10.01</v>
      </c>
      <c r="J761" s="550" t="s">
        <v>102</v>
      </c>
      <c r="K761" s="39"/>
      <c r="L761" s="208"/>
      <c r="M761" s="39"/>
      <c r="N761" s="533" t="s">
        <v>2209</v>
      </c>
    </row>
    <row r="762" spans="1:14" s="541" customFormat="1" ht="16.5" customHeight="1">
      <c r="A762" s="16"/>
      <c r="B762" s="39"/>
      <c r="C762" s="534">
        <v>1</v>
      </c>
      <c r="D762" s="536" t="s">
        <v>273</v>
      </c>
      <c r="E762" s="537">
        <v>2</v>
      </c>
      <c r="F762" s="538">
        <v>2.5</v>
      </c>
      <c r="G762" s="538">
        <v>0</v>
      </c>
      <c r="H762" s="538">
        <v>1.9</v>
      </c>
      <c r="I762" s="542">
        <f t="shared" si="70"/>
        <v>9.5</v>
      </c>
      <c r="J762" s="550" t="s">
        <v>102</v>
      </c>
      <c r="K762" s="39"/>
      <c r="L762" s="208"/>
      <c r="M762" s="39"/>
      <c r="N762" s="533" t="s">
        <v>2209</v>
      </c>
    </row>
    <row r="763" spans="1:14" s="541" customFormat="1" ht="16.5" customHeight="1">
      <c r="A763" s="16"/>
      <c r="B763" s="39" t="s">
        <v>579</v>
      </c>
      <c r="C763" s="534">
        <v>1</v>
      </c>
      <c r="D763" s="536" t="s">
        <v>273</v>
      </c>
      <c r="E763" s="537">
        <v>2</v>
      </c>
      <c r="F763" s="538">
        <v>1.2</v>
      </c>
      <c r="G763" s="538">
        <v>0</v>
      </c>
      <c r="H763" s="538">
        <v>2.1</v>
      </c>
      <c r="I763" s="542">
        <f t="shared" ref="I763:I768" si="71">-ROUND(IF(AND(F763:H763),C763*E763*F763*G763*H763,IF(AND(F763,G763),C763*E763*F763*G763,IF(AND(F763,H763),C763*E763*F763*H763,IF(AND(G763,H763),C763*E763*G763*H763,IF(F763,C763*E763*F763,IF(G763,C763*E763*G763,IF(H763,C763*E763*H763,C763*E763))))))),2)</f>
        <v>-5.04</v>
      </c>
      <c r="J763" s="550" t="s">
        <v>102</v>
      </c>
      <c r="K763" s="39"/>
      <c r="L763" s="208"/>
      <c r="M763" s="39"/>
      <c r="N763" s="533" t="s">
        <v>2209</v>
      </c>
    </row>
    <row r="764" spans="1:14" s="541" customFormat="1" ht="16.5" customHeight="1">
      <c r="A764" s="16"/>
      <c r="B764" s="39" t="s">
        <v>579</v>
      </c>
      <c r="C764" s="534">
        <v>2</v>
      </c>
      <c r="D764" s="536" t="s">
        <v>273</v>
      </c>
      <c r="E764" s="537">
        <v>4</v>
      </c>
      <c r="F764" s="538">
        <v>1.05</v>
      </c>
      <c r="G764" s="538">
        <v>0</v>
      </c>
      <c r="H764" s="538">
        <v>2.1</v>
      </c>
      <c r="I764" s="542">
        <f t="shared" si="71"/>
        <v>-17.64</v>
      </c>
      <c r="J764" s="550" t="s">
        <v>102</v>
      </c>
      <c r="K764" s="39"/>
      <c r="L764" s="208"/>
      <c r="M764" s="39"/>
      <c r="N764" s="533" t="s">
        <v>2209</v>
      </c>
    </row>
    <row r="765" spans="1:14" s="541" customFormat="1" ht="16.5" customHeight="1">
      <c r="A765" s="16"/>
      <c r="B765" s="39" t="s">
        <v>579</v>
      </c>
      <c r="C765" s="534">
        <v>1</v>
      </c>
      <c r="D765" s="536" t="s">
        <v>273</v>
      </c>
      <c r="E765" s="537">
        <v>3</v>
      </c>
      <c r="F765" s="538">
        <v>0.75</v>
      </c>
      <c r="G765" s="538">
        <v>0</v>
      </c>
      <c r="H765" s="538">
        <v>2.1</v>
      </c>
      <c r="I765" s="542">
        <f t="shared" si="71"/>
        <v>-4.7300000000000004</v>
      </c>
      <c r="J765" s="550" t="s">
        <v>102</v>
      </c>
      <c r="K765" s="39"/>
      <c r="L765" s="208"/>
      <c r="M765" s="39"/>
      <c r="N765" s="533" t="s">
        <v>2209</v>
      </c>
    </row>
    <row r="766" spans="1:14" s="541" customFormat="1" ht="16.5" customHeight="1">
      <c r="A766" s="16"/>
      <c r="B766" s="39" t="s">
        <v>579</v>
      </c>
      <c r="C766" s="534">
        <v>1</v>
      </c>
      <c r="D766" s="536" t="s">
        <v>273</v>
      </c>
      <c r="E766" s="537">
        <v>2</v>
      </c>
      <c r="F766" s="538">
        <v>1.2</v>
      </c>
      <c r="G766" s="538">
        <v>0</v>
      </c>
      <c r="H766" s="538">
        <v>2.1</v>
      </c>
      <c r="I766" s="542">
        <f t="shared" si="71"/>
        <v>-5.04</v>
      </c>
      <c r="J766" s="550" t="s">
        <v>102</v>
      </c>
      <c r="K766" s="39"/>
      <c r="L766" s="208"/>
      <c r="M766" s="39"/>
      <c r="N766" s="533" t="s">
        <v>2209</v>
      </c>
    </row>
    <row r="767" spans="1:14" s="541" customFormat="1" ht="16.5" customHeight="1">
      <c r="A767" s="16"/>
      <c r="B767" s="39" t="s">
        <v>2354</v>
      </c>
      <c r="C767" s="534">
        <v>1</v>
      </c>
      <c r="D767" s="536" t="s">
        <v>273</v>
      </c>
      <c r="E767" s="537">
        <v>7</v>
      </c>
      <c r="F767" s="538">
        <v>1.5</v>
      </c>
      <c r="G767" s="538">
        <v>0</v>
      </c>
      <c r="H767" s="538">
        <v>1.35</v>
      </c>
      <c r="I767" s="542">
        <f t="shared" si="71"/>
        <v>-14.18</v>
      </c>
      <c r="J767" s="550" t="s">
        <v>102</v>
      </c>
      <c r="K767" s="39"/>
      <c r="L767" s="208"/>
      <c r="M767" s="39"/>
      <c r="N767" s="533" t="s">
        <v>2209</v>
      </c>
    </row>
    <row r="768" spans="1:14" s="541" customFormat="1" ht="16.5" customHeight="1">
      <c r="A768" s="16"/>
      <c r="B768" s="39" t="s">
        <v>2134</v>
      </c>
      <c r="C768" s="534">
        <v>1</v>
      </c>
      <c r="D768" s="536" t="s">
        <v>273</v>
      </c>
      <c r="E768" s="537">
        <v>12</v>
      </c>
      <c r="F768" s="538">
        <v>0.6</v>
      </c>
      <c r="G768" s="538">
        <v>0</v>
      </c>
      <c r="H768" s="538">
        <v>0.3</v>
      </c>
      <c r="I768" s="542">
        <f t="shared" si="71"/>
        <v>-2.16</v>
      </c>
      <c r="J768" s="550" t="s">
        <v>102</v>
      </c>
      <c r="K768" s="39"/>
      <c r="L768" s="208"/>
      <c r="M768" s="39"/>
      <c r="N768" s="533" t="s">
        <v>2209</v>
      </c>
    </row>
    <row r="769" spans="1:14" s="541" customFormat="1" ht="16.5" customHeight="1">
      <c r="A769" s="16"/>
      <c r="B769" s="544"/>
      <c r="C769" s="545"/>
      <c r="D769" s="546"/>
      <c r="E769" s="547"/>
      <c r="F769" s="548"/>
      <c r="G769" s="548"/>
      <c r="H769" s="548"/>
      <c r="I769" s="549"/>
      <c r="J769" s="550"/>
      <c r="K769" s="39"/>
      <c r="L769" s="208"/>
      <c r="M769" s="39"/>
      <c r="N769" s="533" t="s">
        <v>2209</v>
      </c>
    </row>
    <row r="770" spans="1:14" ht="15.75">
      <c r="A770" s="16"/>
      <c r="B770" s="39"/>
      <c r="C770" s="551"/>
      <c r="D770" s="552"/>
      <c r="E770" s="537"/>
      <c r="F770" s="538"/>
      <c r="G770" s="40"/>
      <c r="H770" s="16"/>
      <c r="I770" s="549"/>
      <c r="J770" s="550" t="s">
        <v>102</v>
      </c>
      <c r="K770" s="10">
        <f>data!F512</f>
        <v>348.66</v>
      </c>
      <c r="L770" s="208" t="s">
        <v>2209</v>
      </c>
      <c r="M770" s="9">
        <f>ROUND(I770*K770,0)</f>
        <v>0</v>
      </c>
      <c r="N770" s="533" t="s">
        <v>2209</v>
      </c>
    </row>
    <row r="771" spans="1:14" ht="71.25" customHeight="1">
      <c r="A771" s="16">
        <v>11</v>
      </c>
      <c r="B771" s="1633" t="s">
        <v>808</v>
      </c>
      <c r="C771" s="1633"/>
      <c r="D771" s="1633"/>
      <c r="E771" s="1633"/>
      <c r="F771" s="1633"/>
      <c r="G771" s="1633"/>
      <c r="H771" s="1633"/>
      <c r="I771" s="534"/>
      <c r="J771" s="535"/>
      <c r="K771" s="16"/>
      <c r="L771" s="208"/>
      <c r="M771" s="38"/>
      <c r="N771" s="533" t="s">
        <v>2297</v>
      </c>
    </row>
    <row r="772" spans="1:14" s="541" customFormat="1" ht="16.5" customHeight="1">
      <c r="A772" s="16"/>
      <c r="B772" s="39" t="s">
        <v>2929</v>
      </c>
      <c r="C772" s="534"/>
      <c r="D772" s="536"/>
      <c r="E772" s="537"/>
      <c r="F772" s="538"/>
      <c r="G772" s="538"/>
      <c r="H772" s="538"/>
      <c r="I772" s="539"/>
      <c r="J772" s="550"/>
      <c r="K772" s="39"/>
      <c r="L772" s="208"/>
      <c r="M772" s="39"/>
      <c r="N772" s="533" t="s">
        <v>2297</v>
      </c>
    </row>
    <row r="773" spans="1:14" s="541" customFormat="1" ht="16.5" customHeight="1">
      <c r="A773" s="16"/>
      <c r="B773" s="39" t="s">
        <v>223</v>
      </c>
      <c r="C773" s="534">
        <v>1</v>
      </c>
      <c r="D773" s="536" t="s">
        <v>273</v>
      </c>
      <c r="E773" s="537">
        <v>1</v>
      </c>
      <c r="F773" s="538">
        <v>17.399999999999999</v>
      </c>
      <c r="G773" s="538">
        <v>0</v>
      </c>
      <c r="H773" s="538">
        <v>3.1749999999999998</v>
      </c>
      <c r="I773" s="542">
        <f t="shared" ref="I773" si="72">ROUND(IF(AND(F773:H773),C773*E773*F773*G773*H773,IF(AND(F773,G773),C773*E773*F773*G773,IF(AND(F773,H773),C773*E773*F773*H773,IF(AND(G773,H773),C773*E773*G773*H773,IF(F773,C773*E773*F773,IF(G773,C773*E773*G773,IF(H773,C773*E773*H773,C773*E773))))))),2)</f>
        <v>55.25</v>
      </c>
      <c r="J773" s="550" t="s">
        <v>102</v>
      </c>
      <c r="K773" s="39"/>
      <c r="L773" s="208"/>
      <c r="M773" s="39"/>
      <c r="N773" s="533" t="s">
        <v>2297</v>
      </c>
    </row>
    <row r="774" spans="1:14" s="541" customFormat="1" ht="16.5" customHeight="1">
      <c r="A774" s="16"/>
      <c r="B774" s="39" t="s">
        <v>579</v>
      </c>
      <c r="C774" s="534">
        <v>1</v>
      </c>
      <c r="D774" s="536" t="s">
        <v>273</v>
      </c>
      <c r="E774" s="537">
        <v>2</v>
      </c>
      <c r="F774" s="538">
        <v>1</v>
      </c>
      <c r="G774" s="538">
        <v>0</v>
      </c>
      <c r="H774" s="538">
        <v>2.1</v>
      </c>
      <c r="I774" s="542">
        <f>-ROUND(IF(AND(F774:H774),C774*E774*F774*G774*H774,IF(AND(F774,G774),C774*E774*F774*G774,IF(AND(F774,H774),C774*E774*F774*H774,IF(AND(G774,H774),C774*E774*G774*H774,IF(F774,C774*E774*F774,IF(G774,C774*E774*G774,IF(H774,C774*E774*H774,C774*E774))))))),2)</f>
        <v>-4.2</v>
      </c>
      <c r="J774" s="550" t="s">
        <v>102</v>
      </c>
      <c r="K774" s="39"/>
      <c r="L774" s="208"/>
      <c r="M774" s="39"/>
      <c r="N774" s="533" t="s">
        <v>2297</v>
      </c>
    </row>
    <row r="775" spans="1:14" s="541" customFormat="1" ht="16.5" customHeight="1">
      <c r="A775" s="16"/>
      <c r="B775" s="39" t="s">
        <v>2354</v>
      </c>
      <c r="C775" s="534">
        <v>1</v>
      </c>
      <c r="D775" s="536" t="s">
        <v>273</v>
      </c>
      <c r="E775" s="537">
        <v>2</v>
      </c>
      <c r="F775" s="538">
        <v>1.4</v>
      </c>
      <c r="G775" s="538">
        <v>0</v>
      </c>
      <c r="H775" s="538">
        <v>1.45</v>
      </c>
      <c r="I775" s="542">
        <f>-ROUND(IF(AND(F775:H775),C775*E775*F775*G775*H775,IF(AND(F775,G775),C775*E775*F775*G775,IF(AND(F775,H775),C775*E775*F775*H775,IF(AND(G775,H775),C775*E775*G775*H775,IF(F775,C775*E775*F775,IF(G775,C775*E775*G775,IF(H775,C775*E775*H775,C775*E775))))))),2)</f>
        <v>-4.0599999999999996</v>
      </c>
      <c r="J775" s="550" t="s">
        <v>102</v>
      </c>
      <c r="K775" s="39"/>
      <c r="L775" s="208"/>
      <c r="M775" s="39"/>
      <c r="N775" s="533" t="s">
        <v>2297</v>
      </c>
    </row>
    <row r="776" spans="1:14" s="541" customFormat="1" ht="16.5" customHeight="1">
      <c r="A776" s="16"/>
      <c r="B776" s="39" t="s">
        <v>2134</v>
      </c>
      <c r="C776" s="534">
        <v>1</v>
      </c>
      <c r="D776" s="536" t="s">
        <v>273</v>
      </c>
      <c r="E776" s="537">
        <v>2</v>
      </c>
      <c r="F776" s="538">
        <v>0.6</v>
      </c>
      <c r="G776" s="538">
        <v>0</v>
      </c>
      <c r="H776" s="538">
        <v>0.3</v>
      </c>
      <c r="I776" s="542">
        <f>-ROUND(IF(AND(F776:H776),C776*E776*F776*G776*H776,IF(AND(F776,G776),C776*E776*F776*G776,IF(AND(F776,H776),C776*E776*F776*H776,IF(AND(G776,H776),C776*E776*G776*H776,IF(F776,C776*E776*F776,IF(G776,C776*E776*G776,IF(H776,C776*E776*H776,C776*E776))))))),2)</f>
        <v>-0.36</v>
      </c>
      <c r="J776" s="550" t="s">
        <v>102</v>
      </c>
      <c r="K776" s="39"/>
      <c r="L776" s="208"/>
      <c r="M776" s="39"/>
      <c r="N776" s="533" t="s">
        <v>2297</v>
      </c>
    </row>
    <row r="777" spans="1:14" s="541" customFormat="1" ht="16.5" customHeight="1">
      <c r="A777" s="16"/>
      <c r="B777" s="39" t="s">
        <v>2930</v>
      </c>
      <c r="C777" s="534">
        <v>1</v>
      </c>
      <c r="D777" s="536" t="s">
        <v>273</v>
      </c>
      <c r="E777" s="537">
        <v>1</v>
      </c>
      <c r="F777" s="538">
        <v>21.6</v>
      </c>
      <c r="G777" s="538">
        <v>0</v>
      </c>
      <c r="H777" s="538">
        <v>3.1749999999999998</v>
      </c>
      <c r="I777" s="542">
        <f t="shared" ref="I777:I805" si="73">ROUND(IF(AND(F777:H777),C777*E777*F777*G777*H777,IF(AND(F777,G777),C777*E777*F777*G777,IF(AND(F777,H777),C777*E777*F777*H777,IF(AND(G777,H777),C777*E777*G777*H777,IF(F777,C777*E777*F777,IF(G777,C777*E777*G777,IF(H777,C777*E777*H777,C777*E777))))))),2)</f>
        <v>68.58</v>
      </c>
      <c r="J777" s="550" t="s">
        <v>102</v>
      </c>
      <c r="K777" s="39"/>
      <c r="L777" s="208"/>
      <c r="M777" s="39"/>
      <c r="N777" s="533" t="s">
        <v>2297</v>
      </c>
    </row>
    <row r="778" spans="1:14" s="541" customFormat="1" ht="16.5" customHeight="1">
      <c r="A778" s="16"/>
      <c r="B778" s="39" t="s">
        <v>579</v>
      </c>
      <c r="C778" s="534">
        <v>1</v>
      </c>
      <c r="D778" s="536" t="s">
        <v>273</v>
      </c>
      <c r="E778" s="537">
        <v>1</v>
      </c>
      <c r="F778" s="538">
        <v>1.2</v>
      </c>
      <c r="G778" s="538">
        <v>0</v>
      </c>
      <c r="H778" s="538">
        <v>2.1</v>
      </c>
      <c r="I778" s="542">
        <f>-ROUND(IF(AND(F778:H778),C778*E778*F778*G778*H778,IF(AND(F778,G778),C778*E778*F778*G778,IF(AND(F778,H778),C778*E778*F778*H778,IF(AND(G778,H778),C778*E778*G778*H778,IF(F778,C778*E778*F778,IF(G778,C778*E778*G778,IF(H778,C778*E778*H778,C778*E778))))))),2)</f>
        <v>-2.52</v>
      </c>
      <c r="J778" s="550" t="s">
        <v>102</v>
      </c>
      <c r="K778" s="39"/>
      <c r="L778" s="208"/>
      <c r="M778" s="39"/>
      <c r="N778" s="533" t="s">
        <v>2297</v>
      </c>
    </row>
    <row r="779" spans="1:14" s="541" customFormat="1" ht="16.5" customHeight="1">
      <c r="A779" s="16"/>
      <c r="B779" s="39" t="s">
        <v>579</v>
      </c>
      <c r="C779" s="534">
        <v>1</v>
      </c>
      <c r="D779" s="536" t="s">
        <v>273</v>
      </c>
      <c r="E779" s="537">
        <v>4</v>
      </c>
      <c r="F779" s="538">
        <v>1</v>
      </c>
      <c r="G779" s="538">
        <v>0</v>
      </c>
      <c r="H779" s="538">
        <v>2.1</v>
      </c>
      <c r="I779" s="542">
        <f>-ROUND(IF(AND(F779:H779),C779*E779*F779*G779*H779,IF(AND(F779,G779),C779*E779*F779*G779,IF(AND(F779,H779),C779*E779*F779*H779,IF(AND(G779,H779),C779*E779*G779*H779,IF(F779,C779*E779*F779,IF(G779,C779*E779*G779,IF(H779,C779*E779*H779,C779*E779))))))),2)</f>
        <v>-8.4</v>
      </c>
      <c r="J779" s="550" t="s">
        <v>102</v>
      </c>
      <c r="K779" s="39"/>
      <c r="L779" s="208"/>
      <c r="M779" s="39"/>
      <c r="N779" s="533" t="s">
        <v>2297</v>
      </c>
    </row>
    <row r="780" spans="1:14" s="541" customFormat="1" ht="16.5" customHeight="1">
      <c r="A780" s="16"/>
      <c r="B780" s="39" t="s">
        <v>579</v>
      </c>
      <c r="C780" s="534">
        <v>1</v>
      </c>
      <c r="D780" s="536" t="s">
        <v>273</v>
      </c>
      <c r="E780" s="537">
        <v>2</v>
      </c>
      <c r="F780" s="538">
        <v>0.75</v>
      </c>
      <c r="G780" s="538">
        <v>0</v>
      </c>
      <c r="H780" s="538">
        <v>2.1</v>
      </c>
      <c r="I780" s="542">
        <f>-ROUND(IF(AND(F780:H780),C780*E780*F780*G780*H780,IF(AND(F780,G780),C780*E780*F780*G780,IF(AND(F780,H780),C780*E780*F780*H780,IF(AND(G780,H780),C780*E780*G780*H780,IF(F780,C780*E780*F780,IF(G780,C780*E780*G780,IF(H780,C780*E780*H780,C780*E780))))))),2)</f>
        <v>-3.15</v>
      </c>
      <c r="J780" s="550" t="s">
        <v>102</v>
      </c>
      <c r="K780" s="39"/>
      <c r="L780" s="208"/>
      <c r="M780" s="39"/>
      <c r="N780" s="533" t="s">
        <v>2297</v>
      </c>
    </row>
    <row r="781" spans="1:14" s="541" customFormat="1" ht="16.5" customHeight="1">
      <c r="A781" s="16"/>
      <c r="B781" s="39" t="s">
        <v>2354</v>
      </c>
      <c r="C781" s="534">
        <v>1</v>
      </c>
      <c r="D781" s="536" t="s">
        <v>273</v>
      </c>
      <c r="E781" s="537">
        <v>1</v>
      </c>
      <c r="F781" s="538">
        <v>1.4</v>
      </c>
      <c r="G781" s="538">
        <v>0</v>
      </c>
      <c r="H781" s="538">
        <v>1.45</v>
      </c>
      <c r="I781" s="542">
        <f>-ROUND(IF(AND(F781:H781),C781*E781*F781*G781*H781,IF(AND(F781,G781),C781*E781*F781*G781,IF(AND(F781,H781),C781*E781*F781*H781,IF(AND(G781,H781),C781*E781*G781*H781,IF(F781,C781*E781*F781,IF(G781,C781*E781*G781,IF(H781,C781*E781*H781,C781*E781))))))),2)</f>
        <v>-2.0299999999999998</v>
      </c>
      <c r="J781" s="550" t="s">
        <v>102</v>
      </c>
      <c r="K781" s="39"/>
      <c r="L781" s="208"/>
      <c r="M781" s="39"/>
      <c r="N781" s="533" t="s">
        <v>2297</v>
      </c>
    </row>
    <row r="782" spans="1:14" s="541" customFormat="1" ht="16.5" customHeight="1">
      <c r="A782" s="16"/>
      <c r="B782" s="39" t="s">
        <v>2134</v>
      </c>
      <c r="C782" s="534">
        <v>1</v>
      </c>
      <c r="D782" s="536" t="s">
        <v>273</v>
      </c>
      <c r="E782" s="537">
        <v>1</v>
      </c>
      <c r="F782" s="538">
        <v>0.6</v>
      </c>
      <c r="G782" s="538">
        <v>0</v>
      </c>
      <c r="H782" s="538">
        <v>0.3</v>
      </c>
      <c r="I782" s="542">
        <f>-ROUND(IF(AND(F782:H782),C782*E782*F782*G782*H782,IF(AND(F782,G782),C782*E782*F782*G782,IF(AND(F782,H782),C782*E782*F782*H782,IF(AND(G782,H782),C782*E782*G782*H782,IF(F782,C782*E782*F782,IF(G782,C782*E782*G782,IF(H782,C782*E782*H782,C782*E782))))))),2)</f>
        <v>-0.18</v>
      </c>
      <c r="J782" s="550" t="s">
        <v>102</v>
      </c>
      <c r="K782" s="39"/>
      <c r="L782" s="208"/>
      <c r="M782" s="39"/>
      <c r="N782" s="533" t="s">
        <v>2297</v>
      </c>
    </row>
    <row r="783" spans="1:14" s="541" customFormat="1" ht="16.5" customHeight="1">
      <c r="A783" s="16"/>
      <c r="B783" s="39" t="s">
        <v>2931</v>
      </c>
      <c r="C783" s="534">
        <v>1</v>
      </c>
      <c r="D783" s="536" t="s">
        <v>273</v>
      </c>
      <c r="E783" s="537">
        <v>1</v>
      </c>
      <c r="F783" s="538">
        <v>13.1</v>
      </c>
      <c r="G783" s="538">
        <v>0</v>
      </c>
      <c r="H783" s="538">
        <v>3.1749999999999998</v>
      </c>
      <c r="I783" s="542">
        <f t="shared" ref="I783:I787" si="74">ROUND(IF(AND(F783:H783),C783*E783*F783*G783*H783,IF(AND(F783,G783),C783*E783*F783*G783,IF(AND(F783,H783),C783*E783*F783*H783,IF(AND(G783,H783),C783*E783*G783*H783,IF(F783,C783*E783*F783,IF(G783,C783*E783*G783,IF(H783,C783*E783*H783,C783*E783))))))),2)</f>
        <v>41.59</v>
      </c>
      <c r="J783" s="550" t="s">
        <v>102</v>
      </c>
      <c r="K783" s="39"/>
      <c r="L783" s="208"/>
      <c r="M783" s="39"/>
      <c r="N783" s="533" t="s">
        <v>2297</v>
      </c>
    </row>
    <row r="784" spans="1:14" s="541" customFormat="1" ht="16.5" customHeight="1">
      <c r="A784" s="16"/>
      <c r="B784" s="39" t="s">
        <v>579</v>
      </c>
      <c r="C784" s="534">
        <v>1</v>
      </c>
      <c r="D784" s="536" t="s">
        <v>273</v>
      </c>
      <c r="E784" s="537">
        <v>1</v>
      </c>
      <c r="F784" s="538">
        <v>1</v>
      </c>
      <c r="G784" s="538">
        <v>0</v>
      </c>
      <c r="H784" s="538">
        <v>2.1</v>
      </c>
      <c r="I784" s="542">
        <f>-ROUND(IF(AND(F784:H784),C784*E784*F784*G784*H784,IF(AND(F784,G784),C784*E784*F784*G784,IF(AND(F784,H784),C784*E784*F784*H784,IF(AND(G784,H784),C784*E784*G784*H784,IF(F784,C784*E784*F784,IF(G784,C784*E784*G784,IF(H784,C784*E784*H784,C784*E784))))))),2)</f>
        <v>-2.1</v>
      </c>
      <c r="J784" s="550" t="s">
        <v>102</v>
      </c>
      <c r="K784" s="39"/>
      <c r="L784" s="208"/>
      <c r="M784" s="39"/>
      <c r="N784" s="533" t="s">
        <v>2297</v>
      </c>
    </row>
    <row r="785" spans="1:14" s="541" customFormat="1" ht="16.5" customHeight="1">
      <c r="A785" s="16"/>
      <c r="B785" s="39" t="s">
        <v>2354</v>
      </c>
      <c r="C785" s="534">
        <v>1</v>
      </c>
      <c r="D785" s="536" t="s">
        <v>273</v>
      </c>
      <c r="E785" s="537">
        <v>2</v>
      </c>
      <c r="F785" s="538">
        <v>1.4</v>
      </c>
      <c r="G785" s="538">
        <v>0</v>
      </c>
      <c r="H785" s="538">
        <v>1.45</v>
      </c>
      <c r="I785" s="542">
        <f>-ROUND(IF(AND(F785:H785),C785*E785*F785*G785*H785,IF(AND(F785,G785),C785*E785*F785*G785,IF(AND(F785,H785),C785*E785*F785*H785,IF(AND(G785,H785),C785*E785*G785*H785,IF(F785,C785*E785*F785,IF(G785,C785*E785*G785,IF(H785,C785*E785*H785,C785*E785))))))),2)</f>
        <v>-4.0599999999999996</v>
      </c>
      <c r="J785" s="550" t="s">
        <v>102</v>
      </c>
      <c r="K785" s="39"/>
      <c r="L785" s="208"/>
      <c r="M785" s="39"/>
      <c r="N785" s="533" t="s">
        <v>2297</v>
      </c>
    </row>
    <row r="786" spans="1:14" s="541" customFormat="1" ht="16.5" customHeight="1">
      <c r="A786" s="16"/>
      <c r="B786" s="39" t="s">
        <v>2134</v>
      </c>
      <c r="C786" s="534">
        <v>1</v>
      </c>
      <c r="D786" s="536" t="s">
        <v>273</v>
      </c>
      <c r="E786" s="537">
        <v>1</v>
      </c>
      <c r="F786" s="538">
        <v>0.6</v>
      </c>
      <c r="G786" s="538">
        <v>0</v>
      </c>
      <c r="H786" s="538">
        <v>0.3</v>
      </c>
      <c r="I786" s="542">
        <f>-ROUND(IF(AND(F786:H786),C786*E786*F786*G786*H786,IF(AND(F786,G786),C786*E786*F786*G786,IF(AND(F786,H786),C786*E786*F786*H786,IF(AND(G786,H786),C786*E786*G786*H786,IF(F786,C786*E786*F786,IF(G786,C786*E786*G786,IF(H786,C786*E786*H786,C786*E786))))))),2)</f>
        <v>-0.18</v>
      </c>
      <c r="J786" s="550" t="s">
        <v>102</v>
      </c>
      <c r="K786" s="39"/>
      <c r="L786" s="208"/>
      <c r="M786" s="39"/>
      <c r="N786" s="533" t="s">
        <v>2297</v>
      </c>
    </row>
    <row r="787" spans="1:14" s="541" customFormat="1" ht="16.5" customHeight="1">
      <c r="A787" s="16"/>
      <c r="B787" s="39" t="s">
        <v>2932</v>
      </c>
      <c r="C787" s="534">
        <v>1</v>
      </c>
      <c r="D787" s="536" t="s">
        <v>273</v>
      </c>
      <c r="E787" s="537">
        <v>1</v>
      </c>
      <c r="F787" s="538">
        <v>11.9</v>
      </c>
      <c r="G787" s="538">
        <v>0</v>
      </c>
      <c r="H787" s="538">
        <v>3.1749999999999998</v>
      </c>
      <c r="I787" s="542">
        <f t="shared" si="74"/>
        <v>37.78</v>
      </c>
      <c r="J787" s="550" t="s">
        <v>102</v>
      </c>
      <c r="K787" s="39"/>
      <c r="L787" s="208"/>
      <c r="M787" s="39"/>
      <c r="N787" s="533" t="s">
        <v>2297</v>
      </c>
    </row>
    <row r="788" spans="1:14" s="541" customFormat="1" ht="16.5" customHeight="1">
      <c r="A788" s="16"/>
      <c r="B788" s="39" t="s">
        <v>579</v>
      </c>
      <c r="C788" s="534">
        <v>1</v>
      </c>
      <c r="D788" s="536" t="s">
        <v>273</v>
      </c>
      <c r="E788" s="537">
        <v>1</v>
      </c>
      <c r="F788" s="538">
        <v>1</v>
      </c>
      <c r="G788" s="538">
        <v>0</v>
      </c>
      <c r="H788" s="538">
        <v>2.1</v>
      </c>
      <c r="I788" s="542">
        <f>-ROUND(IF(AND(F788:H788),C788*E788*F788*G788*H788,IF(AND(F788,G788),C788*E788*F788*G788,IF(AND(F788,H788),C788*E788*F788*H788,IF(AND(G788,H788),C788*E788*G788*H788,IF(F788,C788*E788*F788,IF(G788,C788*E788*G788,IF(H788,C788*E788*H788,C788*E788))))))),2)</f>
        <v>-2.1</v>
      </c>
      <c r="J788" s="550" t="s">
        <v>102</v>
      </c>
      <c r="K788" s="39"/>
      <c r="L788" s="208"/>
      <c r="M788" s="39"/>
      <c r="N788" s="533" t="s">
        <v>2297</v>
      </c>
    </row>
    <row r="789" spans="1:14" s="541" customFormat="1" ht="16.5" customHeight="1">
      <c r="A789" s="16"/>
      <c r="B789" s="39" t="s">
        <v>2354</v>
      </c>
      <c r="C789" s="534">
        <v>1</v>
      </c>
      <c r="D789" s="536" t="s">
        <v>273</v>
      </c>
      <c r="E789" s="537">
        <v>1</v>
      </c>
      <c r="F789" s="538">
        <v>1.4</v>
      </c>
      <c r="G789" s="538">
        <v>0</v>
      </c>
      <c r="H789" s="538">
        <v>1.45</v>
      </c>
      <c r="I789" s="542">
        <f>-ROUND(IF(AND(F789:H789),C789*E789*F789*G789*H789,IF(AND(F789,G789),C789*E789*F789*G789,IF(AND(F789,H789),C789*E789*F789*H789,IF(AND(G789,H789),C789*E789*G789*H789,IF(F789,C789*E789*F789,IF(G789,C789*E789*G789,IF(H789,C789*E789*H789,C789*E789))))))),2)</f>
        <v>-2.0299999999999998</v>
      </c>
      <c r="J789" s="550" t="s">
        <v>102</v>
      </c>
      <c r="K789" s="39"/>
      <c r="L789" s="208"/>
      <c r="M789" s="39"/>
      <c r="N789" s="533" t="s">
        <v>2297</v>
      </c>
    </row>
    <row r="790" spans="1:14" s="541" customFormat="1" ht="16.5" customHeight="1">
      <c r="A790" s="16"/>
      <c r="B790" s="39" t="s">
        <v>2134</v>
      </c>
      <c r="C790" s="534">
        <v>1</v>
      </c>
      <c r="D790" s="536" t="s">
        <v>273</v>
      </c>
      <c r="E790" s="537">
        <v>1</v>
      </c>
      <c r="F790" s="538">
        <v>0.6</v>
      </c>
      <c r="G790" s="538">
        <v>0</v>
      </c>
      <c r="H790" s="538">
        <v>0.3</v>
      </c>
      <c r="I790" s="542">
        <f>-ROUND(IF(AND(F790:H790),C790*E790*F790*G790*H790,IF(AND(F790,G790),C790*E790*F790*G790,IF(AND(F790,H790),C790*E790*F790*H790,IF(AND(G790,H790),C790*E790*G790*H790,IF(F790,C790*E790*F790,IF(G790,C790*E790*G790,IF(H790,C790*E790*H790,C790*E790))))))),2)</f>
        <v>-0.18</v>
      </c>
      <c r="J790" s="550" t="s">
        <v>102</v>
      </c>
      <c r="K790" s="39"/>
      <c r="L790" s="208"/>
      <c r="M790" s="39"/>
      <c r="N790" s="533" t="s">
        <v>2297</v>
      </c>
    </row>
    <row r="791" spans="1:14" s="541" customFormat="1" ht="16.5" customHeight="1">
      <c r="A791" s="16"/>
      <c r="B791" s="39" t="s">
        <v>2933</v>
      </c>
      <c r="C791" s="534">
        <v>1</v>
      </c>
      <c r="D791" s="536" t="s">
        <v>273</v>
      </c>
      <c r="E791" s="537">
        <v>1</v>
      </c>
      <c r="F791" s="538">
        <v>12</v>
      </c>
      <c r="G791" s="538">
        <v>0</v>
      </c>
      <c r="H791" s="538">
        <v>3.1749999999999998</v>
      </c>
      <c r="I791" s="542">
        <f t="shared" si="73"/>
        <v>38.1</v>
      </c>
      <c r="J791" s="550" t="s">
        <v>102</v>
      </c>
      <c r="K791" s="39"/>
      <c r="L791" s="208"/>
      <c r="M791" s="39"/>
      <c r="N791" s="533" t="s">
        <v>2297</v>
      </c>
    </row>
    <row r="792" spans="1:14" s="541" customFormat="1" ht="16.5" customHeight="1">
      <c r="A792" s="16"/>
      <c r="B792" s="39" t="s">
        <v>579</v>
      </c>
      <c r="C792" s="534">
        <v>1</v>
      </c>
      <c r="D792" s="536" t="s">
        <v>273</v>
      </c>
      <c r="E792" s="537">
        <v>1</v>
      </c>
      <c r="F792" s="538">
        <v>1</v>
      </c>
      <c r="G792" s="538">
        <v>0</v>
      </c>
      <c r="H792" s="538">
        <v>2.1</v>
      </c>
      <c r="I792" s="542">
        <f>-ROUND(IF(AND(F792:H792),C792*E792*F792*G792*H792,IF(AND(F792,G792),C792*E792*F792*G792,IF(AND(F792,H792),C792*E792*F792*H792,IF(AND(G792,H792),C792*E792*G792*H792,IF(F792,C792*E792*F792,IF(G792,C792*E792*G792,IF(H792,C792*E792*H792,C792*E792))))))),2)</f>
        <v>-2.1</v>
      </c>
      <c r="J792" s="550" t="s">
        <v>102</v>
      </c>
      <c r="K792" s="39"/>
      <c r="L792" s="208"/>
      <c r="M792" s="39"/>
      <c r="N792" s="533" t="s">
        <v>2297</v>
      </c>
    </row>
    <row r="793" spans="1:14" s="541" customFormat="1" ht="16.5" customHeight="1">
      <c r="A793" s="16"/>
      <c r="B793" s="39" t="s">
        <v>2354</v>
      </c>
      <c r="C793" s="534">
        <v>1</v>
      </c>
      <c r="D793" s="536" t="s">
        <v>273</v>
      </c>
      <c r="E793" s="537">
        <v>1</v>
      </c>
      <c r="F793" s="538">
        <v>1.4</v>
      </c>
      <c r="G793" s="538">
        <v>0</v>
      </c>
      <c r="H793" s="538">
        <v>1.45</v>
      </c>
      <c r="I793" s="542">
        <f>-ROUND(IF(AND(F793:H793),C793*E793*F793*G793*H793,IF(AND(F793,G793),C793*E793*F793*G793,IF(AND(F793,H793),C793*E793*F793*H793,IF(AND(G793,H793),C793*E793*G793*H793,IF(F793,C793*E793*F793,IF(G793,C793*E793*G793,IF(H793,C793*E793*H793,C793*E793))))))),2)</f>
        <v>-2.0299999999999998</v>
      </c>
      <c r="J793" s="550" t="s">
        <v>102</v>
      </c>
      <c r="K793" s="39"/>
      <c r="L793" s="208"/>
      <c r="M793" s="39"/>
      <c r="N793" s="533" t="s">
        <v>2297</v>
      </c>
    </row>
    <row r="794" spans="1:14" s="541" customFormat="1" ht="16.5" customHeight="1">
      <c r="A794" s="16"/>
      <c r="B794" s="39" t="s">
        <v>2134</v>
      </c>
      <c r="C794" s="534">
        <v>1</v>
      </c>
      <c r="D794" s="536" t="s">
        <v>273</v>
      </c>
      <c r="E794" s="537">
        <v>1</v>
      </c>
      <c r="F794" s="538">
        <v>0.6</v>
      </c>
      <c r="G794" s="538">
        <v>0</v>
      </c>
      <c r="H794" s="538">
        <v>0.3</v>
      </c>
      <c r="I794" s="542">
        <f>-ROUND(IF(AND(F794:H794),C794*E794*F794*G794*H794,IF(AND(F794,G794),C794*E794*F794*G794,IF(AND(F794,H794),C794*E794*F794*H794,IF(AND(G794,H794),C794*E794*G794*H794,IF(F794,C794*E794*F794,IF(G794,C794*E794*G794,IF(H794,C794*E794*H794,C794*E794))))))),2)</f>
        <v>-0.18</v>
      </c>
      <c r="J794" s="550" t="s">
        <v>102</v>
      </c>
      <c r="K794" s="39"/>
      <c r="L794" s="208"/>
      <c r="M794" s="39"/>
      <c r="N794" s="533" t="s">
        <v>2297</v>
      </c>
    </row>
    <row r="795" spans="1:14" s="541" customFormat="1" ht="16.5" customHeight="1">
      <c r="A795" s="16"/>
      <c r="B795" s="39" t="s">
        <v>2912</v>
      </c>
      <c r="C795" s="534">
        <v>1</v>
      </c>
      <c r="D795" s="536" t="s">
        <v>273</v>
      </c>
      <c r="E795" s="537">
        <v>1</v>
      </c>
      <c r="F795" s="538">
        <v>6.02</v>
      </c>
      <c r="G795" s="538">
        <v>0</v>
      </c>
      <c r="H795" s="538">
        <v>3.1749999999999998</v>
      </c>
      <c r="I795" s="542">
        <f t="shared" si="73"/>
        <v>19.11</v>
      </c>
      <c r="J795" s="550" t="s">
        <v>102</v>
      </c>
      <c r="K795" s="39"/>
      <c r="L795" s="208"/>
      <c r="M795" s="39"/>
      <c r="N795" s="533" t="s">
        <v>2297</v>
      </c>
    </row>
    <row r="796" spans="1:14" s="541" customFormat="1" ht="16.5" customHeight="1">
      <c r="A796" s="16"/>
      <c r="B796" s="39" t="s">
        <v>659</v>
      </c>
      <c r="C796" s="534">
        <v>1</v>
      </c>
      <c r="D796" s="536" t="s">
        <v>273</v>
      </c>
      <c r="E796" s="537">
        <v>1</v>
      </c>
      <c r="F796" s="538">
        <v>6.14</v>
      </c>
      <c r="G796" s="538">
        <v>0</v>
      </c>
      <c r="H796" s="538">
        <v>3.1749999999999998</v>
      </c>
      <c r="I796" s="542">
        <f t="shared" si="73"/>
        <v>19.489999999999998</v>
      </c>
      <c r="J796" s="550" t="s">
        <v>102</v>
      </c>
      <c r="K796" s="39"/>
      <c r="L796" s="208"/>
      <c r="M796" s="39"/>
      <c r="N796" s="533" t="s">
        <v>2297</v>
      </c>
    </row>
    <row r="797" spans="1:14" s="541" customFormat="1" ht="16.5" customHeight="1">
      <c r="A797" s="16"/>
      <c r="B797" s="39" t="s">
        <v>2913</v>
      </c>
      <c r="C797" s="534">
        <v>1</v>
      </c>
      <c r="D797" s="536" t="s">
        <v>273</v>
      </c>
      <c r="E797" s="537">
        <v>1</v>
      </c>
      <c r="F797" s="538">
        <v>6.14</v>
      </c>
      <c r="G797" s="538">
        <v>0</v>
      </c>
      <c r="H797" s="538">
        <v>3.1749999999999998</v>
      </c>
      <c r="I797" s="542">
        <f t="shared" si="73"/>
        <v>19.489999999999998</v>
      </c>
      <c r="J797" s="550" t="s">
        <v>102</v>
      </c>
      <c r="K797" s="39"/>
      <c r="L797" s="208"/>
      <c r="M797" s="39"/>
      <c r="N797" s="533" t="s">
        <v>2297</v>
      </c>
    </row>
    <row r="798" spans="1:14" s="541" customFormat="1" ht="16.5" customHeight="1">
      <c r="A798" s="16"/>
      <c r="B798" s="39"/>
      <c r="C798" s="534">
        <v>1</v>
      </c>
      <c r="D798" s="536" t="s">
        <v>273</v>
      </c>
      <c r="E798" s="537">
        <v>1</v>
      </c>
      <c r="F798" s="538">
        <v>6.02</v>
      </c>
      <c r="G798" s="538">
        <v>0</v>
      </c>
      <c r="H798" s="538">
        <v>3.1749999999999998</v>
      </c>
      <c r="I798" s="542">
        <f t="shared" si="73"/>
        <v>19.11</v>
      </c>
      <c r="J798" s="550" t="s">
        <v>102</v>
      </c>
      <c r="K798" s="39"/>
      <c r="L798" s="208"/>
      <c r="M798" s="39"/>
      <c r="N798" s="533" t="s">
        <v>2297</v>
      </c>
    </row>
    <row r="799" spans="1:14" s="541" customFormat="1" ht="16.5" customHeight="1">
      <c r="A799" s="16"/>
      <c r="B799" s="39" t="s">
        <v>579</v>
      </c>
      <c r="C799" s="534">
        <v>1</v>
      </c>
      <c r="D799" s="536" t="s">
        <v>273</v>
      </c>
      <c r="E799" s="537">
        <v>4</v>
      </c>
      <c r="F799" s="538">
        <v>0.75</v>
      </c>
      <c r="G799" s="538">
        <v>0</v>
      </c>
      <c r="H799" s="538">
        <v>2.1</v>
      </c>
      <c r="I799" s="542">
        <f>-ROUND(IF(AND(F799:H799),C799*E799*F799*G799*H799,IF(AND(F799,G799),C799*E799*F799*G799,IF(AND(F799,H799),C799*E799*F799*H799,IF(AND(G799,H799),C799*E799*G799*H799,IF(F799,C799*E799*F799,IF(G799,C799*E799*G799,IF(H799,C799*E799*H799,C799*E799))))))),2)</f>
        <v>-6.3</v>
      </c>
      <c r="J799" s="550" t="s">
        <v>102</v>
      </c>
      <c r="K799" s="39"/>
      <c r="L799" s="208"/>
      <c r="M799" s="39"/>
      <c r="N799" s="533" t="s">
        <v>2297</v>
      </c>
    </row>
    <row r="800" spans="1:14" s="541" customFormat="1" ht="16.5" customHeight="1">
      <c r="A800" s="16"/>
      <c r="B800" s="39" t="s">
        <v>2134</v>
      </c>
      <c r="C800" s="534">
        <v>1</v>
      </c>
      <c r="D800" s="536" t="s">
        <v>273</v>
      </c>
      <c r="E800" s="537">
        <v>3</v>
      </c>
      <c r="F800" s="538">
        <v>0.3</v>
      </c>
      <c r="G800" s="538">
        <v>0</v>
      </c>
      <c r="H800" s="538">
        <v>0.3</v>
      </c>
      <c r="I800" s="542">
        <f>-ROUND(IF(AND(F800:H800),C800*E800*F800*G800*H800,IF(AND(F800,G800),C800*E800*F800*G800,IF(AND(F800,H800),C800*E800*F800*H800,IF(AND(G800,H800),C800*E800*G800*H800,IF(F800,C800*E800*F800,IF(G800,C800*E800*G800,IF(H800,C800*E800*H800,C800*E800))))))),2)</f>
        <v>-0.27</v>
      </c>
      <c r="J800" s="550" t="s">
        <v>102</v>
      </c>
      <c r="K800" s="39"/>
      <c r="L800" s="208"/>
      <c r="M800" s="39"/>
      <c r="N800" s="533" t="s">
        <v>2297</v>
      </c>
    </row>
    <row r="801" spans="1:14" s="541" customFormat="1" ht="16.5" customHeight="1">
      <c r="A801" s="16"/>
      <c r="B801" s="39" t="s">
        <v>2934</v>
      </c>
      <c r="C801" s="534">
        <v>1</v>
      </c>
      <c r="D801" s="536" t="s">
        <v>273</v>
      </c>
      <c r="E801" s="537">
        <v>1</v>
      </c>
      <c r="F801" s="538">
        <v>8.3000000000000007</v>
      </c>
      <c r="G801" s="538">
        <v>0</v>
      </c>
      <c r="H801" s="538">
        <v>3.1749999999999998</v>
      </c>
      <c r="I801" s="542">
        <f t="shared" si="73"/>
        <v>26.35</v>
      </c>
      <c r="J801" s="550" t="s">
        <v>102</v>
      </c>
      <c r="K801" s="39"/>
      <c r="L801" s="208"/>
      <c r="M801" s="39"/>
      <c r="N801" s="533" t="s">
        <v>2297</v>
      </c>
    </row>
    <row r="802" spans="1:14" s="541" customFormat="1" ht="16.5" customHeight="1">
      <c r="A802" s="16"/>
      <c r="B802" s="39" t="s">
        <v>579</v>
      </c>
      <c r="C802" s="534">
        <v>1</v>
      </c>
      <c r="D802" s="536" t="s">
        <v>273</v>
      </c>
      <c r="E802" s="537">
        <v>2</v>
      </c>
      <c r="F802" s="538">
        <v>1.2</v>
      </c>
      <c r="G802" s="538">
        <v>0</v>
      </c>
      <c r="H802" s="538">
        <v>2.1</v>
      </c>
      <c r="I802" s="542">
        <f>-ROUND(IF(AND(F802:H802),C802*E802*F802*G802*H802,IF(AND(F802,G802),C802*E802*F802*G802,IF(AND(F802,H802),C802*E802*F802*H802,IF(AND(G802,H802),C802*E802*G802*H802,IF(F802,C802*E802*F802,IF(G802,C802*E802*G802,IF(H802,C802*E802*H802,C802*E802))))))),2)</f>
        <v>-5.04</v>
      </c>
      <c r="J802" s="550" t="s">
        <v>102</v>
      </c>
      <c r="K802" s="39"/>
      <c r="L802" s="208"/>
      <c r="M802" s="39"/>
      <c r="N802" s="533" t="s">
        <v>2297</v>
      </c>
    </row>
    <row r="803" spans="1:14" s="541" customFormat="1" ht="16.5" customHeight="1">
      <c r="A803" s="16"/>
      <c r="B803" s="39" t="s">
        <v>2877</v>
      </c>
      <c r="C803" s="534">
        <v>1</v>
      </c>
      <c r="D803" s="536" t="s">
        <v>273</v>
      </c>
      <c r="E803" s="537">
        <v>1</v>
      </c>
      <c r="F803" s="538">
        <v>3.62</v>
      </c>
      <c r="G803" s="538">
        <v>0</v>
      </c>
      <c r="H803" s="538">
        <v>3.1749999999999998</v>
      </c>
      <c r="I803" s="542">
        <f t="shared" si="73"/>
        <v>11.49</v>
      </c>
      <c r="J803" s="550" t="s">
        <v>102</v>
      </c>
      <c r="K803" s="39"/>
      <c r="L803" s="208"/>
      <c r="M803" s="39"/>
      <c r="N803" s="533" t="s">
        <v>2297</v>
      </c>
    </row>
    <row r="804" spans="1:14" s="541" customFormat="1" ht="16.5" customHeight="1">
      <c r="A804" s="16"/>
      <c r="B804" s="39" t="s">
        <v>2935</v>
      </c>
      <c r="C804" s="534">
        <v>1</v>
      </c>
      <c r="D804" s="536" t="s">
        <v>273</v>
      </c>
      <c r="E804" s="537">
        <v>1</v>
      </c>
      <c r="F804" s="538">
        <v>4.83</v>
      </c>
      <c r="G804" s="538">
        <v>0</v>
      </c>
      <c r="H804" s="538">
        <v>0.9</v>
      </c>
      <c r="I804" s="542">
        <f t="shared" si="73"/>
        <v>4.3499999999999996</v>
      </c>
      <c r="J804" s="550" t="s">
        <v>102</v>
      </c>
      <c r="K804" s="39"/>
      <c r="L804" s="208"/>
      <c r="M804" s="39"/>
      <c r="N804" s="533" t="s">
        <v>2297</v>
      </c>
    </row>
    <row r="805" spans="1:14" s="541" customFormat="1" ht="16.5" customHeight="1">
      <c r="A805" s="16"/>
      <c r="B805" s="39"/>
      <c r="C805" s="534">
        <v>1</v>
      </c>
      <c r="D805" s="536" t="s">
        <v>273</v>
      </c>
      <c r="E805" s="537">
        <v>1</v>
      </c>
      <c r="F805" s="538">
        <v>2.66</v>
      </c>
      <c r="G805" s="538">
        <v>0</v>
      </c>
      <c r="H805" s="538">
        <v>0.9</v>
      </c>
      <c r="I805" s="542">
        <f t="shared" si="73"/>
        <v>2.39</v>
      </c>
      <c r="J805" s="550" t="s">
        <v>102</v>
      </c>
      <c r="K805" s="39"/>
      <c r="L805" s="208"/>
      <c r="M805" s="39"/>
      <c r="N805" s="533" t="s">
        <v>2297</v>
      </c>
    </row>
    <row r="806" spans="1:14" s="541" customFormat="1" ht="16.5" customHeight="1">
      <c r="A806" s="16"/>
      <c r="B806" s="39" t="s">
        <v>579</v>
      </c>
      <c r="C806" s="534">
        <v>1</v>
      </c>
      <c r="D806" s="536" t="s">
        <v>273</v>
      </c>
      <c r="E806" s="537">
        <v>1</v>
      </c>
      <c r="F806" s="538">
        <v>1.2</v>
      </c>
      <c r="G806" s="538">
        <v>0</v>
      </c>
      <c r="H806" s="538">
        <v>0.9</v>
      </c>
      <c r="I806" s="542">
        <f>-ROUND(IF(AND(F806:H806),C806*E806*F806*G806*H806,IF(AND(F806,G806),C806*E806*F806*G806,IF(AND(F806,H806),C806*E806*F806*H806,IF(AND(G806,H806),C806*E806*G806*H806,IF(F806,C806*E806*F806,IF(G806,C806*E806*G806,IF(H806,C806*E806*H806,C806*E806))))))),2)</f>
        <v>-1.08</v>
      </c>
      <c r="J806" s="550" t="s">
        <v>102</v>
      </c>
      <c r="K806" s="39"/>
      <c r="L806" s="208"/>
      <c r="M806" s="39"/>
      <c r="N806" s="533" t="s">
        <v>2297</v>
      </c>
    </row>
    <row r="807" spans="1:14" s="541" customFormat="1" ht="16.5" customHeight="1">
      <c r="A807" s="16"/>
      <c r="B807" s="39" t="s">
        <v>2936</v>
      </c>
      <c r="C807" s="534">
        <v>1</v>
      </c>
      <c r="D807" s="536" t="s">
        <v>273</v>
      </c>
      <c r="E807" s="537">
        <v>1</v>
      </c>
      <c r="F807" s="538">
        <v>2.72</v>
      </c>
      <c r="G807" s="538">
        <v>0</v>
      </c>
      <c r="H807" s="538">
        <v>1.5</v>
      </c>
      <c r="I807" s="542">
        <f t="shared" ref="I807" si="75">ROUND(IF(AND(F807:H807),C807*E807*F807*G807*H807,IF(AND(F807,G807),C807*E807*F807*G807,IF(AND(F807,H807),C807*E807*F807*H807,IF(AND(G807,H807),C807*E807*G807*H807,IF(F807,C807*E807*F807,IF(G807,C807*E807*G807,IF(H807,C807*E807*H807,C807*E807))))))),2)</f>
        <v>4.08</v>
      </c>
      <c r="J807" s="550" t="s">
        <v>102</v>
      </c>
      <c r="K807" s="39"/>
      <c r="L807" s="208"/>
      <c r="M807" s="39"/>
      <c r="N807" s="533" t="s">
        <v>2297</v>
      </c>
    </row>
    <row r="808" spans="1:14" s="541" customFormat="1" ht="16.5" customHeight="1">
      <c r="A808" s="16"/>
      <c r="B808" s="39" t="s">
        <v>2937</v>
      </c>
      <c r="C808" s="534">
        <v>1</v>
      </c>
      <c r="D808" s="536" t="s">
        <v>273</v>
      </c>
      <c r="E808" s="537">
        <v>1</v>
      </c>
      <c r="F808" s="538">
        <v>1.27</v>
      </c>
      <c r="G808" s="538">
        <v>0</v>
      </c>
      <c r="H808" s="538">
        <v>1.5</v>
      </c>
      <c r="I808" s="542">
        <f>-ROUND(IF(AND(F808:H808),C808*E808*F808*G808*H808,IF(AND(F808,G808),C808*E808*F808*G808,IF(AND(F808,H808),C808*E808*F808*H808,IF(AND(G808,H808),C808*E808*G808*H808,IF(F808,C808*E808*F808,IF(G808,C808*E808*G808,IF(H808,C808*E808*H808,C808*E808))))))),2)</f>
        <v>-1.91</v>
      </c>
      <c r="J808" s="550" t="s">
        <v>102</v>
      </c>
      <c r="K808" s="39"/>
      <c r="L808" s="208"/>
      <c r="M808" s="39"/>
      <c r="N808" s="533" t="s">
        <v>2297</v>
      </c>
    </row>
    <row r="809" spans="1:14" s="541" customFormat="1" ht="16.5" customHeight="1">
      <c r="A809" s="16"/>
      <c r="B809" s="39" t="s">
        <v>2874</v>
      </c>
      <c r="C809" s="534">
        <v>1</v>
      </c>
      <c r="D809" s="536" t="s">
        <v>273</v>
      </c>
      <c r="E809" s="537">
        <v>2</v>
      </c>
      <c r="F809" s="538">
        <v>0.77</v>
      </c>
      <c r="G809" s="538">
        <v>0</v>
      </c>
      <c r="H809" s="538">
        <v>1.2</v>
      </c>
      <c r="I809" s="542">
        <f t="shared" ref="I809:I811" si="76">ROUND(IF(AND(F809:H809),C809*E809*F809*G809*H809,IF(AND(F809,G809),C809*E809*F809*G809,IF(AND(F809,H809),C809*E809*F809*H809,IF(AND(G809,H809),C809*E809*G809*H809,IF(F809,C809*E809*F809,IF(G809,C809*E809*G809,IF(H809,C809*E809*H809,C809*E809))))))),2)</f>
        <v>1.85</v>
      </c>
      <c r="J809" s="550" t="s">
        <v>102</v>
      </c>
      <c r="K809" s="39"/>
      <c r="L809" s="208"/>
      <c r="M809" s="39"/>
      <c r="N809" s="533" t="s">
        <v>2297</v>
      </c>
    </row>
    <row r="810" spans="1:14" s="541" customFormat="1" ht="16.5" customHeight="1">
      <c r="A810" s="16"/>
      <c r="B810" s="39" t="s">
        <v>2938</v>
      </c>
      <c r="C810" s="534">
        <v>1</v>
      </c>
      <c r="D810" s="536" t="s">
        <v>273</v>
      </c>
      <c r="E810" s="537">
        <v>1</v>
      </c>
      <c r="F810" s="538">
        <v>2.72</v>
      </c>
      <c r="G810" s="538">
        <v>0</v>
      </c>
      <c r="H810" s="538">
        <v>1.65</v>
      </c>
      <c r="I810" s="542">
        <f t="shared" si="76"/>
        <v>4.49</v>
      </c>
      <c r="J810" s="550" t="s">
        <v>102</v>
      </c>
      <c r="K810" s="39"/>
      <c r="L810" s="208"/>
      <c r="M810" s="39"/>
      <c r="N810" s="533" t="s">
        <v>2297</v>
      </c>
    </row>
    <row r="811" spans="1:14" s="541" customFormat="1" ht="16.5" customHeight="1">
      <c r="A811" s="16"/>
      <c r="B811" s="39" t="s">
        <v>2874</v>
      </c>
      <c r="C811" s="534">
        <v>1</v>
      </c>
      <c r="D811" s="536" t="s">
        <v>273</v>
      </c>
      <c r="E811" s="537">
        <v>2</v>
      </c>
      <c r="F811" s="538">
        <v>0.77</v>
      </c>
      <c r="G811" s="538">
        <v>0</v>
      </c>
      <c r="H811" s="538">
        <v>1.65</v>
      </c>
      <c r="I811" s="542">
        <f t="shared" si="76"/>
        <v>2.54</v>
      </c>
      <c r="J811" s="550" t="s">
        <v>102</v>
      </c>
      <c r="K811" s="39"/>
      <c r="L811" s="208"/>
      <c r="M811" s="39"/>
      <c r="N811" s="533" t="s">
        <v>2297</v>
      </c>
    </row>
    <row r="812" spans="1:14" s="541" customFormat="1" ht="16.5" customHeight="1">
      <c r="A812" s="16"/>
      <c r="B812" s="39" t="s">
        <v>2937</v>
      </c>
      <c r="C812" s="534">
        <v>1</v>
      </c>
      <c r="D812" s="536" t="s">
        <v>273</v>
      </c>
      <c r="E812" s="537">
        <v>1</v>
      </c>
      <c r="F812" s="538">
        <v>1.27</v>
      </c>
      <c r="G812" s="538">
        <v>0</v>
      </c>
      <c r="H812" s="538">
        <v>1.2</v>
      </c>
      <c r="I812" s="542">
        <f>-ROUND(IF(AND(F812:H812),C812*E812*F812*G812*H812,IF(AND(F812,G812),C812*E812*F812*G812,IF(AND(F812,H812),C812*E812*F812*H812,IF(AND(G812,H812),C812*E812*G812*H812,IF(F812,C812*E812*F812,IF(G812,C812*E812*G812,IF(H812,C812*E812*H812,C812*E812))))))),2)</f>
        <v>-1.52</v>
      </c>
      <c r="J812" s="550" t="s">
        <v>102</v>
      </c>
      <c r="K812" s="39"/>
      <c r="L812" s="208"/>
      <c r="M812" s="39"/>
      <c r="N812" s="533" t="s">
        <v>2297</v>
      </c>
    </row>
    <row r="813" spans="1:14" s="541" customFormat="1" ht="16.5" customHeight="1">
      <c r="A813" s="16"/>
      <c r="B813" s="39" t="s">
        <v>2939</v>
      </c>
      <c r="C813" s="534">
        <v>1</v>
      </c>
      <c r="D813" s="536" t="s">
        <v>273</v>
      </c>
      <c r="E813" s="537">
        <v>3</v>
      </c>
      <c r="F813" s="538">
        <v>5.4</v>
      </c>
      <c r="G813" s="538">
        <v>0.115</v>
      </c>
      <c r="H813" s="538">
        <v>0</v>
      </c>
      <c r="I813" s="542">
        <f t="shared" ref="I813:I817" si="77">ROUND(IF(AND(F813:H813),C813*E813*F813*G813*H813,IF(AND(F813,G813),C813*E813*F813*G813,IF(AND(F813,H813),C813*E813*F813*H813,IF(AND(G813,H813),C813*E813*G813*H813,IF(F813,C813*E813*F813,IF(G813,C813*E813*G813,IF(H813,C813*E813*H813,C813*E813))))))),2)</f>
        <v>1.86</v>
      </c>
      <c r="J813" s="550" t="s">
        <v>102</v>
      </c>
      <c r="K813" s="39"/>
      <c r="L813" s="208"/>
      <c r="M813" s="39"/>
      <c r="N813" s="533" t="s">
        <v>2297</v>
      </c>
    </row>
    <row r="814" spans="1:14" s="541" customFormat="1" ht="16.5" customHeight="1">
      <c r="A814" s="16"/>
      <c r="B814" s="39"/>
      <c r="C814" s="534">
        <v>1</v>
      </c>
      <c r="D814" s="536" t="s">
        <v>273</v>
      </c>
      <c r="E814" s="537">
        <v>3</v>
      </c>
      <c r="F814" s="538">
        <v>5.2</v>
      </c>
      <c r="G814" s="538">
        <v>0.115</v>
      </c>
      <c r="H814" s="538">
        <v>0</v>
      </c>
      <c r="I814" s="542">
        <f t="shared" si="77"/>
        <v>1.79</v>
      </c>
      <c r="J814" s="550" t="s">
        <v>102</v>
      </c>
      <c r="K814" s="39"/>
      <c r="L814" s="208"/>
      <c r="M814" s="39"/>
      <c r="N814" s="533" t="s">
        <v>2297</v>
      </c>
    </row>
    <row r="815" spans="1:14" s="541" customFormat="1" ht="16.5" customHeight="1">
      <c r="A815" s="16"/>
      <c r="B815" s="39" t="s">
        <v>2940</v>
      </c>
      <c r="C815" s="534">
        <v>1</v>
      </c>
      <c r="D815" s="536" t="s">
        <v>273</v>
      </c>
      <c r="E815" s="537">
        <v>3</v>
      </c>
      <c r="F815" s="538">
        <v>4.95</v>
      </c>
      <c r="G815" s="538">
        <v>0.115</v>
      </c>
      <c r="H815" s="538">
        <v>0</v>
      </c>
      <c r="I815" s="542">
        <f t="shared" si="77"/>
        <v>1.71</v>
      </c>
      <c r="J815" s="550" t="s">
        <v>102</v>
      </c>
      <c r="K815" s="39"/>
      <c r="L815" s="208"/>
      <c r="M815" s="39"/>
      <c r="N815" s="533" t="s">
        <v>2297</v>
      </c>
    </row>
    <row r="816" spans="1:14" s="541" customFormat="1" ht="16.5" customHeight="1">
      <c r="A816" s="16"/>
      <c r="B816" s="39"/>
      <c r="C816" s="534">
        <v>1</v>
      </c>
      <c r="D816" s="536" t="s">
        <v>273</v>
      </c>
      <c r="E816" s="537">
        <v>1</v>
      </c>
      <c r="F816" s="538">
        <v>4.95</v>
      </c>
      <c r="G816" s="538">
        <v>0.23</v>
      </c>
      <c r="H816" s="538">
        <v>0</v>
      </c>
      <c r="I816" s="542">
        <f t="shared" si="77"/>
        <v>1.1399999999999999</v>
      </c>
      <c r="J816" s="550" t="s">
        <v>102</v>
      </c>
      <c r="K816" s="39"/>
      <c r="L816" s="208"/>
      <c r="M816" s="39"/>
      <c r="N816" s="533" t="s">
        <v>2297</v>
      </c>
    </row>
    <row r="817" spans="1:14" s="541" customFormat="1" ht="16.5" customHeight="1">
      <c r="A817" s="16"/>
      <c r="B817" s="39" t="s">
        <v>2941</v>
      </c>
      <c r="C817" s="534">
        <v>1</v>
      </c>
      <c r="D817" s="536" t="s">
        <v>273</v>
      </c>
      <c r="E817" s="537">
        <v>7</v>
      </c>
      <c r="F817" s="538">
        <v>5.7</v>
      </c>
      <c r="G817" s="538">
        <v>0.23</v>
      </c>
      <c r="H817" s="538">
        <v>0</v>
      </c>
      <c r="I817" s="542">
        <f t="shared" si="77"/>
        <v>9.18</v>
      </c>
      <c r="J817" s="550" t="s">
        <v>102</v>
      </c>
      <c r="K817" s="39"/>
      <c r="L817" s="208"/>
      <c r="M817" s="39"/>
      <c r="N817" s="533" t="s">
        <v>2297</v>
      </c>
    </row>
    <row r="818" spans="1:14" s="541" customFormat="1" ht="16.5" customHeight="1">
      <c r="A818" s="16"/>
      <c r="B818" s="39" t="s">
        <v>2733</v>
      </c>
      <c r="C818" s="534">
        <v>1</v>
      </c>
      <c r="D818" s="536" t="s">
        <v>273</v>
      </c>
      <c r="E818" s="537">
        <v>6</v>
      </c>
      <c r="F818" s="538">
        <v>1.8</v>
      </c>
      <c r="G818" s="538">
        <v>0.23</v>
      </c>
      <c r="H818" s="538">
        <v>0</v>
      </c>
      <c r="I818" s="542">
        <f t="shared" ref="I818" si="78">ROUND(IF(AND(F818:H818),C818*E818*F818*G818*H818,IF(AND(F818,G818),C818*E818*F818*G818,IF(AND(F818,H818),C818*E818*F818*H818,IF(AND(G818,H818),C818*E818*G818*H818,IF(F818,C818*E818*F818,IF(G818,C818*E818*G818,IF(H818,C818*E818*H818,C818*E818))))))),2)</f>
        <v>2.48</v>
      </c>
      <c r="J818" s="550" t="s">
        <v>102</v>
      </c>
      <c r="K818" s="39"/>
      <c r="L818" s="208"/>
      <c r="M818" s="39"/>
      <c r="N818" s="533" t="s">
        <v>2297</v>
      </c>
    </row>
    <row r="819" spans="1:14" s="541" customFormat="1" ht="16.5" customHeight="1">
      <c r="A819" s="16"/>
      <c r="B819" s="39" t="s">
        <v>2942</v>
      </c>
      <c r="C819" s="534">
        <v>1</v>
      </c>
      <c r="D819" s="536" t="s">
        <v>273</v>
      </c>
      <c r="E819" s="537">
        <v>3</v>
      </c>
      <c r="F819" s="538">
        <v>1.2</v>
      </c>
      <c r="G819" s="538">
        <v>0.23</v>
      </c>
      <c r="H819" s="538">
        <v>0</v>
      </c>
      <c r="I819" s="542">
        <f t="shared" ref="I819" si="79">ROUND(IF(AND(F819:H819),C819*E819*F819*G819*H819,IF(AND(F819,G819),C819*E819*F819*G819,IF(AND(F819,H819),C819*E819*F819*H819,IF(AND(G819,H819),C819*E819*G819*H819,IF(F819,C819*E819*F819,IF(G819,C819*E819*G819,IF(H819,C819*E819*H819,C819*E819))))))),2)</f>
        <v>0.83</v>
      </c>
      <c r="J819" s="550" t="s">
        <v>102</v>
      </c>
      <c r="K819" s="39"/>
      <c r="L819" s="208"/>
      <c r="M819" s="39"/>
      <c r="N819" s="533" t="s">
        <v>2297</v>
      </c>
    </row>
    <row r="820" spans="1:14" s="541" customFormat="1" ht="16.5" customHeight="1">
      <c r="A820" s="16"/>
      <c r="B820" s="39" t="s">
        <v>2943</v>
      </c>
      <c r="C820" s="534">
        <v>1</v>
      </c>
      <c r="D820" s="536" t="s">
        <v>273</v>
      </c>
      <c r="E820" s="537">
        <v>1</v>
      </c>
      <c r="F820" s="538">
        <v>5.5</v>
      </c>
      <c r="G820" s="538">
        <v>0.23</v>
      </c>
      <c r="H820" s="538">
        <v>0</v>
      </c>
      <c r="I820" s="542">
        <f t="shared" ref="I820" si="80">ROUND(IF(AND(F820:H820),C820*E820*F820*G820*H820,IF(AND(F820,G820),C820*E820*F820*G820,IF(AND(F820,H820),C820*E820*F820*H820,IF(AND(G820,H820),C820*E820*G820*H820,IF(F820,C820*E820*F820,IF(G820,C820*E820*G820,IF(H820,C820*E820*H820,C820*E820))))))),2)</f>
        <v>1.27</v>
      </c>
      <c r="J820" s="550" t="s">
        <v>102</v>
      </c>
      <c r="K820" s="39"/>
      <c r="L820" s="208"/>
      <c r="M820" s="39"/>
      <c r="N820" s="533" t="s">
        <v>2297</v>
      </c>
    </row>
    <row r="821" spans="1:14" s="541" customFormat="1" ht="16.5" customHeight="1">
      <c r="A821" s="16"/>
      <c r="B821" s="39"/>
      <c r="C821" s="534">
        <v>1</v>
      </c>
      <c r="D821" s="536" t="s">
        <v>273</v>
      </c>
      <c r="E821" s="537">
        <v>1</v>
      </c>
      <c r="F821" s="538">
        <v>4.9000000000000004</v>
      </c>
      <c r="G821" s="538">
        <v>0.23</v>
      </c>
      <c r="H821" s="538">
        <v>0</v>
      </c>
      <c r="I821" s="542">
        <f t="shared" ref="I821" si="81">ROUND(IF(AND(F821:H821),C821*E821*F821*G821*H821,IF(AND(F821,G821),C821*E821*F821*G821,IF(AND(F821,H821),C821*E821*F821*H821,IF(AND(G821,H821),C821*E821*G821*H821,IF(F821,C821*E821*F821,IF(G821,C821*E821*G821,IF(H821,C821*E821*H821,C821*E821))))))),2)</f>
        <v>1.1299999999999999</v>
      </c>
      <c r="J821" s="550" t="s">
        <v>102</v>
      </c>
      <c r="K821" s="39"/>
      <c r="L821" s="208"/>
      <c r="M821" s="39"/>
      <c r="N821" s="533" t="s">
        <v>2297</v>
      </c>
    </row>
    <row r="822" spans="1:14" s="541" customFormat="1" ht="16.5" customHeight="1">
      <c r="A822" s="16"/>
      <c r="B822" s="544"/>
      <c r="C822" s="545"/>
      <c r="D822" s="546"/>
      <c r="E822" s="547"/>
      <c r="F822" s="548"/>
      <c r="G822" s="538"/>
      <c r="H822" s="548"/>
      <c r="I822" s="549"/>
      <c r="J822" s="550"/>
      <c r="K822" s="39"/>
      <c r="L822" s="208"/>
      <c r="M822" s="39"/>
      <c r="N822" s="533" t="s">
        <v>2297</v>
      </c>
    </row>
    <row r="823" spans="1:14" ht="15.75">
      <c r="A823" s="16"/>
      <c r="B823" s="39"/>
      <c r="C823" s="551"/>
      <c r="D823" s="552"/>
      <c r="E823" s="537"/>
      <c r="F823" s="538"/>
      <c r="G823" s="40"/>
      <c r="H823" s="16"/>
      <c r="I823" s="549"/>
      <c r="J823" s="550" t="s">
        <v>102</v>
      </c>
      <c r="K823" s="10">
        <f>data!F1429</f>
        <v>376.98</v>
      </c>
      <c r="L823" s="208" t="s">
        <v>2297</v>
      </c>
      <c r="M823" s="9">
        <f>ROUND(I823*K823,0)</f>
        <v>0</v>
      </c>
      <c r="N823" s="533" t="s">
        <v>2297</v>
      </c>
    </row>
    <row r="824" spans="1:14" ht="71.25" customHeight="1">
      <c r="A824" s="16">
        <v>12</v>
      </c>
      <c r="B824" s="1633" t="s">
        <v>808</v>
      </c>
      <c r="C824" s="1633"/>
      <c r="D824" s="1633"/>
      <c r="E824" s="1633"/>
      <c r="F824" s="1633"/>
      <c r="G824" s="1633"/>
      <c r="H824" s="1633"/>
      <c r="I824" s="534"/>
      <c r="J824" s="535"/>
      <c r="K824" s="16"/>
      <c r="L824" s="208"/>
      <c r="M824" s="38"/>
      <c r="N824" s="533" t="s">
        <v>2308</v>
      </c>
    </row>
    <row r="825" spans="1:14" s="541" customFormat="1" ht="16.5" customHeight="1">
      <c r="A825" s="16"/>
      <c r="B825" s="39" t="s">
        <v>2845</v>
      </c>
      <c r="C825" s="534"/>
      <c r="D825" s="536"/>
      <c r="E825" s="537"/>
      <c r="F825" s="538"/>
      <c r="G825" s="538"/>
      <c r="H825" s="538"/>
      <c r="I825" s="539"/>
      <c r="J825" s="550"/>
      <c r="K825" s="39"/>
      <c r="L825" s="208"/>
      <c r="M825" s="39"/>
      <c r="N825" s="533" t="s">
        <v>2308</v>
      </c>
    </row>
    <row r="826" spans="1:14" s="541" customFormat="1" ht="16.5" customHeight="1">
      <c r="A826" s="16"/>
      <c r="B826" s="39" t="s">
        <v>2194</v>
      </c>
      <c r="C826" s="534">
        <v>1</v>
      </c>
      <c r="D826" s="536" t="s">
        <v>273</v>
      </c>
      <c r="E826" s="537">
        <v>1</v>
      </c>
      <c r="F826" s="538">
        <v>13.38</v>
      </c>
      <c r="G826" s="538">
        <v>0</v>
      </c>
      <c r="H826" s="538">
        <v>3.12</v>
      </c>
      <c r="I826" s="574">
        <f>ROUND(IF(AND(F826:H826),C826*E826*F826*G826*H826,IF(AND(F826,G826),C826*E826*F826*G826,IF(AND(F826,H826),C826*E826*F826*H826,IF(AND(G826,H826),C826*E826*G826*H826,IF(F826,C826*E826*F826,IF(G826,C826*E826*G826,IF(H826,C826*E826*H826,C826*E826))))))),2)</f>
        <v>41.75</v>
      </c>
      <c r="J826" s="550" t="s">
        <v>102</v>
      </c>
      <c r="K826" s="39"/>
      <c r="L826" s="208"/>
      <c r="M826" s="39"/>
      <c r="N826" s="533" t="s">
        <v>2308</v>
      </c>
    </row>
    <row r="827" spans="1:14" s="541" customFormat="1" ht="16.5" customHeight="1">
      <c r="A827" s="16"/>
      <c r="B827" s="39" t="s">
        <v>1540</v>
      </c>
      <c r="C827" s="534">
        <v>1</v>
      </c>
      <c r="D827" s="536" t="s">
        <v>273</v>
      </c>
      <c r="E827" s="537">
        <v>1</v>
      </c>
      <c r="F827" s="538">
        <v>1.5</v>
      </c>
      <c r="G827" s="538">
        <v>0</v>
      </c>
      <c r="H827" s="538">
        <v>1.35</v>
      </c>
      <c r="I827" s="574">
        <f>-ROUND(IF(AND(F827:H827),C827*E827*F827*G827*H827,IF(AND(F827,G827),C827*E827*F827*G827,IF(AND(F827,H827),C827*E827*F827*H827,IF(AND(G827,H827),C827*E827*G827*H827,IF(F827,C827*E827*F827,IF(G827,C827*E827*G827,IF(H827,C827*E827*H827,C827*E827))))))),2)</f>
        <v>-2.0299999999999998</v>
      </c>
      <c r="J827" s="550" t="s">
        <v>102</v>
      </c>
      <c r="K827" s="39"/>
      <c r="L827" s="208"/>
      <c r="M827" s="39"/>
      <c r="N827" s="533" t="s">
        <v>2308</v>
      </c>
    </row>
    <row r="828" spans="1:14" s="541" customFormat="1" ht="16.5" customHeight="1">
      <c r="A828" s="16"/>
      <c r="B828" s="39" t="s">
        <v>802</v>
      </c>
      <c r="C828" s="534">
        <v>1</v>
      </c>
      <c r="D828" s="536" t="s">
        <v>273</v>
      </c>
      <c r="E828" s="537">
        <v>1</v>
      </c>
      <c r="F828" s="538">
        <v>2.7</v>
      </c>
      <c r="G828" s="538">
        <v>0</v>
      </c>
      <c r="H828" s="538">
        <v>0.15</v>
      </c>
      <c r="I828" s="574">
        <f>-ROUND(IF(AND(F828:H828),C828*E828*F828*G828*H828,IF(AND(F828,G828),C828*E828*F828*G828,IF(AND(F828,H828),C828*E828*F828*H828,IF(AND(G828,H828),C828*E828*G828*H828,IF(F828,C828*E828*F828,IF(G828,C828*E828*G828,IF(H828,C828*E828*H828,C828*E828))))))),2)</f>
        <v>-0.41</v>
      </c>
      <c r="J828" s="550" t="s">
        <v>102</v>
      </c>
      <c r="K828" s="39"/>
      <c r="L828" s="208"/>
      <c r="M828" s="39"/>
      <c r="N828" s="533" t="s">
        <v>2308</v>
      </c>
    </row>
    <row r="829" spans="1:14" s="541" customFormat="1" ht="16.5" customHeight="1">
      <c r="A829" s="16"/>
      <c r="B829" s="544"/>
      <c r="C829" s="545"/>
      <c r="D829" s="546"/>
      <c r="E829" s="547"/>
      <c r="F829" s="548"/>
      <c r="G829" s="548"/>
      <c r="H829" s="548"/>
      <c r="I829" s="549"/>
      <c r="J829" s="550"/>
      <c r="K829" s="39"/>
      <c r="L829" s="208"/>
      <c r="M829" s="39"/>
      <c r="N829" s="533" t="s">
        <v>2308</v>
      </c>
    </row>
    <row r="830" spans="1:14" ht="15.75">
      <c r="A830" s="16"/>
      <c r="B830" s="39"/>
      <c r="C830" s="551"/>
      <c r="D830" s="552"/>
      <c r="E830" s="537"/>
      <c r="F830" s="538"/>
      <c r="G830" s="40"/>
      <c r="H830" s="16"/>
      <c r="I830" s="549"/>
      <c r="J830" s="550" t="s">
        <v>102</v>
      </c>
      <c r="K830" s="10">
        <f>data!F2346</f>
        <v>400.13</v>
      </c>
      <c r="L830" s="208" t="s">
        <v>2308</v>
      </c>
      <c r="M830" s="9">
        <f>ROUND(I830*K830,0)</f>
        <v>0</v>
      </c>
      <c r="N830" s="533" t="s">
        <v>2308</v>
      </c>
    </row>
    <row r="831" spans="1:14" ht="71.25" customHeight="1">
      <c r="A831" s="16">
        <v>12</v>
      </c>
      <c r="B831" s="1633" t="s">
        <v>808</v>
      </c>
      <c r="C831" s="1633"/>
      <c r="D831" s="1633"/>
      <c r="E831" s="1633"/>
      <c r="F831" s="1633"/>
      <c r="G831" s="1633"/>
      <c r="H831" s="1633"/>
      <c r="I831" s="534"/>
      <c r="J831" s="535"/>
      <c r="K831" s="16"/>
      <c r="L831" s="208"/>
      <c r="M831" s="38"/>
      <c r="N831" s="533" t="s">
        <v>2309</v>
      </c>
    </row>
    <row r="832" spans="1:14" s="541" customFormat="1" ht="16.5" customHeight="1">
      <c r="A832" s="16"/>
      <c r="B832" s="39" t="s">
        <v>3030</v>
      </c>
      <c r="C832" s="534"/>
      <c r="D832" s="536"/>
      <c r="E832" s="537"/>
      <c r="F832" s="538"/>
      <c r="G832" s="538"/>
      <c r="H832" s="538"/>
      <c r="I832" s="539"/>
      <c r="J832" s="550"/>
      <c r="K832" s="39"/>
      <c r="L832" s="208"/>
      <c r="M832" s="39"/>
      <c r="N832" s="533" t="s">
        <v>2309</v>
      </c>
    </row>
    <row r="833" spans="1:14" s="541" customFormat="1" ht="16.5" customHeight="1">
      <c r="A833" s="16"/>
      <c r="B833" s="39"/>
      <c r="C833" s="534">
        <v>1</v>
      </c>
      <c r="D833" s="536" t="s">
        <v>273</v>
      </c>
      <c r="E833" s="537">
        <v>1</v>
      </c>
      <c r="F833" s="538">
        <v>11.68</v>
      </c>
      <c r="G833" s="538">
        <v>0</v>
      </c>
      <c r="H833" s="538">
        <v>3.1</v>
      </c>
      <c r="I833" s="542">
        <f t="shared" ref="I833:I850" si="82">ROUND(IF(AND(F833:H833),C833*E833*F833*G833*H833,IF(AND(F833,G833),C833*E833*F833*G833,IF(AND(F833,H833),C833*E833*F833*H833,IF(AND(G833,H833),C833*E833*G833*H833,IF(F833,C833*E833*F833,IF(G833,C833*E833*G833,IF(H833,C833*E833*H833,C833*E833))))))),2)</f>
        <v>36.21</v>
      </c>
      <c r="J833" s="550" t="s">
        <v>102</v>
      </c>
      <c r="K833" s="39"/>
      <c r="L833" s="208"/>
      <c r="M833" s="39"/>
      <c r="N833" s="533" t="s">
        <v>2309</v>
      </c>
    </row>
    <row r="834" spans="1:14" s="541" customFormat="1" ht="16.5" customHeight="1">
      <c r="A834" s="16"/>
      <c r="B834" s="39"/>
      <c r="C834" s="534">
        <v>1</v>
      </c>
      <c r="D834" s="536" t="s">
        <v>273</v>
      </c>
      <c r="E834" s="537">
        <v>1</v>
      </c>
      <c r="F834" s="538">
        <v>12.26</v>
      </c>
      <c r="G834" s="538">
        <v>0</v>
      </c>
      <c r="H834" s="538">
        <v>3.1</v>
      </c>
      <c r="I834" s="542">
        <f t="shared" si="82"/>
        <v>38.01</v>
      </c>
      <c r="J834" s="550" t="s">
        <v>102</v>
      </c>
      <c r="K834" s="39"/>
      <c r="L834" s="208"/>
      <c r="M834" s="39"/>
      <c r="N834" s="533" t="s">
        <v>2309</v>
      </c>
    </row>
    <row r="835" spans="1:14" s="541" customFormat="1" ht="16.5" customHeight="1">
      <c r="A835" s="16"/>
      <c r="B835" s="39"/>
      <c r="C835" s="534">
        <v>1</v>
      </c>
      <c r="D835" s="536" t="s">
        <v>273</v>
      </c>
      <c r="E835" s="537">
        <v>1</v>
      </c>
      <c r="F835" s="538">
        <v>12.74</v>
      </c>
      <c r="G835" s="538">
        <v>0</v>
      </c>
      <c r="H835" s="538">
        <v>3.1</v>
      </c>
      <c r="I835" s="542">
        <f t="shared" si="82"/>
        <v>39.49</v>
      </c>
      <c r="J835" s="550" t="s">
        <v>102</v>
      </c>
      <c r="K835" s="39"/>
      <c r="L835" s="208"/>
      <c r="M835" s="39"/>
      <c r="N835" s="533" t="s">
        <v>2309</v>
      </c>
    </row>
    <row r="836" spans="1:14" s="541" customFormat="1" ht="16.5" customHeight="1">
      <c r="A836" s="16"/>
      <c r="B836" s="39"/>
      <c r="C836" s="534">
        <v>1</v>
      </c>
      <c r="D836" s="536" t="s">
        <v>273</v>
      </c>
      <c r="E836" s="537">
        <v>1</v>
      </c>
      <c r="F836" s="538">
        <v>11.93</v>
      </c>
      <c r="G836" s="538">
        <v>0</v>
      </c>
      <c r="H836" s="538">
        <v>3.1</v>
      </c>
      <c r="I836" s="542">
        <f t="shared" si="82"/>
        <v>36.979999999999997</v>
      </c>
      <c r="J836" s="550" t="s">
        <v>102</v>
      </c>
      <c r="K836" s="39"/>
      <c r="L836" s="208"/>
      <c r="M836" s="39"/>
      <c r="N836" s="533" t="s">
        <v>2309</v>
      </c>
    </row>
    <row r="837" spans="1:14" s="541" customFormat="1" ht="16.5" customHeight="1">
      <c r="A837" s="16"/>
      <c r="B837" s="39"/>
      <c r="C837" s="534">
        <v>1</v>
      </c>
      <c r="D837" s="536" t="s">
        <v>273</v>
      </c>
      <c r="E837" s="537">
        <v>1</v>
      </c>
      <c r="F837" s="538">
        <v>9.42</v>
      </c>
      <c r="G837" s="538">
        <v>0</v>
      </c>
      <c r="H837" s="538">
        <v>3.1</v>
      </c>
      <c r="I837" s="542">
        <f t="shared" si="82"/>
        <v>29.2</v>
      </c>
      <c r="J837" s="550" t="s">
        <v>102</v>
      </c>
      <c r="K837" s="39"/>
      <c r="L837" s="208"/>
      <c r="M837" s="39"/>
      <c r="N837" s="533" t="s">
        <v>2309</v>
      </c>
    </row>
    <row r="838" spans="1:14" s="541" customFormat="1" ht="16.5" customHeight="1">
      <c r="A838" s="16"/>
      <c r="B838" s="39"/>
      <c r="C838" s="534">
        <v>1</v>
      </c>
      <c r="D838" s="536" t="s">
        <v>273</v>
      </c>
      <c r="E838" s="537">
        <v>2</v>
      </c>
      <c r="F838" s="538">
        <v>1.8</v>
      </c>
      <c r="G838" s="538">
        <v>0</v>
      </c>
      <c r="H838" s="538">
        <v>3.1</v>
      </c>
      <c r="I838" s="542">
        <f t="shared" si="82"/>
        <v>11.16</v>
      </c>
      <c r="J838" s="550" t="s">
        <v>102</v>
      </c>
      <c r="K838" s="39"/>
      <c r="L838" s="208"/>
      <c r="M838" s="39"/>
      <c r="N838" s="533" t="s">
        <v>2309</v>
      </c>
    </row>
    <row r="839" spans="1:14" s="541" customFormat="1" ht="16.5" customHeight="1">
      <c r="A839" s="16"/>
      <c r="B839" s="39"/>
      <c r="C839" s="534">
        <v>1</v>
      </c>
      <c r="D839" s="536" t="s">
        <v>273</v>
      </c>
      <c r="E839" s="537">
        <v>1</v>
      </c>
      <c r="F839" s="538">
        <v>22.92</v>
      </c>
      <c r="G839" s="538">
        <v>0</v>
      </c>
      <c r="H839" s="538">
        <v>3.1</v>
      </c>
      <c r="I839" s="542">
        <f t="shared" si="82"/>
        <v>71.05</v>
      </c>
      <c r="J839" s="550" t="s">
        <v>102</v>
      </c>
      <c r="K839" s="39"/>
      <c r="L839" s="208"/>
      <c r="M839" s="39"/>
      <c r="N839" s="533" t="s">
        <v>2309</v>
      </c>
    </row>
    <row r="840" spans="1:14" s="541" customFormat="1" ht="16.5" customHeight="1">
      <c r="A840" s="16"/>
      <c r="B840" s="39"/>
      <c r="C840" s="534">
        <v>1</v>
      </c>
      <c r="D840" s="536" t="s">
        <v>273</v>
      </c>
      <c r="E840" s="537">
        <v>1</v>
      </c>
      <c r="F840" s="538">
        <v>9.4600000000000009</v>
      </c>
      <c r="G840" s="538">
        <v>0</v>
      </c>
      <c r="H840" s="538">
        <v>1</v>
      </c>
      <c r="I840" s="542">
        <f t="shared" si="82"/>
        <v>9.4600000000000009</v>
      </c>
      <c r="J840" s="550" t="s">
        <v>102</v>
      </c>
      <c r="K840" s="39"/>
      <c r="L840" s="208"/>
      <c r="M840" s="39"/>
      <c r="N840" s="533" t="s">
        <v>2309</v>
      </c>
    </row>
    <row r="841" spans="1:14" s="541" customFormat="1" ht="16.5" customHeight="1">
      <c r="A841" s="16"/>
      <c r="B841" s="39"/>
      <c r="C841" s="534">
        <v>1</v>
      </c>
      <c r="D841" s="536" t="s">
        <v>273</v>
      </c>
      <c r="E841" s="537">
        <v>1</v>
      </c>
      <c r="F841" s="538">
        <v>6.06</v>
      </c>
      <c r="G841" s="538">
        <v>0</v>
      </c>
      <c r="H841" s="538">
        <v>1</v>
      </c>
      <c r="I841" s="542">
        <f t="shared" si="82"/>
        <v>6.06</v>
      </c>
      <c r="J841" s="550" t="s">
        <v>102</v>
      </c>
      <c r="K841" s="39"/>
      <c r="L841" s="208"/>
      <c r="M841" s="39"/>
      <c r="N841" s="533" t="s">
        <v>2309</v>
      </c>
    </row>
    <row r="842" spans="1:14" s="541" customFormat="1" ht="16.5" customHeight="1">
      <c r="A842" s="16"/>
      <c r="B842" s="39"/>
      <c r="C842" s="534">
        <v>1</v>
      </c>
      <c r="D842" s="536" t="s">
        <v>273</v>
      </c>
      <c r="E842" s="537">
        <v>1</v>
      </c>
      <c r="F842" s="538">
        <v>6.06</v>
      </c>
      <c r="G842" s="538">
        <v>0</v>
      </c>
      <c r="H842" s="538">
        <v>1</v>
      </c>
      <c r="I842" s="542">
        <f t="shared" si="82"/>
        <v>6.06</v>
      </c>
      <c r="J842" s="550" t="s">
        <v>102</v>
      </c>
      <c r="K842" s="39"/>
      <c r="L842" s="208"/>
      <c r="M842" s="39"/>
      <c r="N842" s="533" t="s">
        <v>2309</v>
      </c>
    </row>
    <row r="843" spans="1:14" s="541" customFormat="1" ht="16.5" customHeight="1">
      <c r="A843" s="16"/>
      <c r="B843" s="39"/>
      <c r="C843" s="534">
        <v>1</v>
      </c>
      <c r="D843" s="536" t="s">
        <v>273</v>
      </c>
      <c r="E843" s="537">
        <v>1</v>
      </c>
      <c r="F843" s="538">
        <v>10.7</v>
      </c>
      <c r="G843" s="538">
        <v>0</v>
      </c>
      <c r="H843" s="538">
        <v>1.6</v>
      </c>
      <c r="I843" s="542">
        <f t="shared" si="82"/>
        <v>17.12</v>
      </c>
      <c r="J843" s="550" t="s">
        <v>102</v>
      </c>
      <c r="K843" s="39"/>
      <c r="L843" s="208"/>
      <c r="M843" s="39"/>
      <c r="N843" s="533" t="s">
        <v>2309</v>
      </c>
    </row>
    <row r="844" spans="1:14" s="541" customFormat="1" ht="16.5" customHeight="1">
      <c r="A844" s="16"/>
      <c r="B844" s="39"/>
      <c r="C844" s="534">
        <v>1</v>
      </c>
      <c r="D844" s="536" t="s">
        <v>273</v>
      </c>
      <c r="E844" s="537">
        <v>1</v>
      </c>
      <c r="F844" s="538">
        <v>2.68</v>
      </c>
      <c r="G844" s="538">
        <v>0</v>
      </c>
      <c r="H844" s="538">
        <v>1.2</v>
      </c>
      <c r="I844" s="542">
        <f t="shared" si="82"/>
        <v>3.22</v>
      </c>
      <c r="J844" s="550" t="s">
        <v>102</v>
      </c>
      <c r="K844" s="39"/>
      <c r="L844" s="208"/>
      <c r="M844" s="39"/>
      <c r="N844" s="533" t="s">
        <v>2309</v>
      </c>
    </row>
    <row r="845" spans="1:14" s="541" customFormat="1" ht="16.5" customHeight="1">
      <c r="A845" s="16"/>
      <c r="B845" s="39"/>
      <c r="C845" s="534">
        <v>1</v>
      </c>
      <c r="D845" s="536" t="s">
        <v>273</v>
      </c>
      <c r="E845" s="537">
        <v>1</v>
      </c>
      <c r="F845" s="538">
        <v>0.85</v>
      </c>
      <c r="G845" s="538">
        <v>0</v>
      </c>
      <c r="H845" s="538">
        <v>1.2</v>
      </c>
      <c r="I845" s="542">
        <f t="shared" si="82"/>
        <v>1.02</v>
      </c>
      <c r="J845" s="550" t="s">
        <v>102</v>
      </c>
      <c r="K845" s="39"/>
      <c r="L845" s="208"/>
      <c r="M845" s="39"/>
      <c r="N845" s="533" t="s">
        <v>2309</v>
      </c>
    </row>
    <row r="846" spans="1:14" s="541" customFormat="1" ht="16.5" customHeight="1">
      <c r="A846" s="16"/>
      <c r="B846" s="39"/>
      <c r="C846" s="534">
        <v>1</v>
      </c>
      <c r="D846" s="536" t="s">
        <v>273</v>
      </c>
      <c r="E846" s="537">
        <v>1</v>
      </c>
      <c r="F846" s="538">
        <v>2.68</v>
      </c>
      <c r="G846" s="538">
        <v>0</v>
      </c>
      <c r="H846" s="538">
        <v>1.2</v>
      </c>
      <c r="I846" s="542">
        <f t="shared" si="82"/>
        <v>3.22</v>
      </c>
      <c r="J846" s="550" t="s">
        <v>102</v>
      </c>
      <c r="K846" s="39"/>
      <c r="L846" s="208"/>
      <c r="M846" s="39"/>
      <c r="N846" s="533" t="s">
        <v>2309</v>
      </c>
    </row>
    <row r="847" spans="1:14" s="541" customFormat="1" ht="16.5" customHeight="1">
      <c r="A847" s="16"/>
      <c r="B847" s="39"/>
      <c r="C847" s="534">
        <v>1</v>
      </c>
      <c r="D847" s="536" t="s">
        <v>273</v>
      </c>
      <c r="E847" s="537">
        <v>2</v>
      </c>
      <c r="F847" s="538">
        <v>0.85</v>
      </c>
      <c r="G847" s="538">
        <v>0</v>
      </c>
      <c r="H847" s="538">
        <v>1.2</v>
      </c>
      <c r="I847" s="542">
        <f t="shared" si="82"/>
        <v>2.04</v>
      </c>
      <c r="J847" s="550" t="s">
        <v>102</v>
      </c>
      <c r="K847" s="39"/>
      <c r="L847" s="208"/>
      <c r="M847" s="39"/>
      <c r="N847" s="533" t="s">
        <v>2309</v>
      </c>
    </row>
    <row r="848" spans="1:14" s="541" customFormat="1" ht="16.5" customHeight="1">
      <c r="A848" s="16"/>
      <c r="B848" s="39"/>
      <c r="C848" s="534">
        <v>1</v>
      </c>
      <c r="D848" s="536" t="s">
        <v>273</v>
      </c>
      <c r="E848" s="537">
        <v>1</v>
      </c>
      <c r="F848" s="538">
        <v>1.2</v>
      </c>
      <c r="G848" s="538">
        <v>0</v>
      </c>
      <c r="H848" s="538">
        <v>1.1000000000000001</v>
      </c>
      <c r="I848" s="542">
        <f>-ROUND(IF(AND(F848:H848),C848*E848*F848*G848*H848,IF(AND(F848,G848),C848*E848*F848*G848,IF(AND(F848,H848),C848*E848*F848*H848,IF(AND(G848,H848),C848*E848*G848*H848,IF(F848,C848*E848*F848,IF(G848,C848*E848*G848,IF(H848,C848*E848*H848,C848*E848))))))),2)</f>
        <v>-1.32</v>
      </c>
      <c r="J848" s="550" t="s">
        <v>102</v>
      </c>
      <c r="K848" s="39"/>
      <c r="L848" s="208"/>
      <c r="M848" s="39"/>
      <c r="N848" s="533" t="s">
        <v>2309</v>
      </c>
    </row>
    <row r="849" spans="1:14" s="541" customFormat="1" ht="16.5" customHeight="1">
      <c r="A849" s="16"/>
      <c r="B849" s="39"/>
      <c r="C849" s="534">
        <v>1</v>
      </c>
      <c r="D849" s="536" t="s">
        <v>273</v>
      </c>
      <c r="E849" s="537">
        <v>1</v>
      </c>
      <c r="F849" s="538">
        <v>5.27</v>
      </c>
      <c r="G849" s="538">
        <v>0</v>
      </c>
      <c r="H849" s="538">
        <v>1.9</v>
      </c>
      <c r="I849" s="542">
        <f t="shared" si="82"/>
        <v>10.01</v>
      </c>
      <c r="J849" s="550" t="s">
        <v>102</v>
      </c>
      <c r="K849" s="39"/>
      <c r="L849" s="208"/>
      <c r="M849" s="39"/>
      <c r="N849" s="533" t="s">
        <v>2309</v>
      </c>
    </row>
    <row r="850" spans="1:14" s="541" customFormat="1" ht="16.5" customHeight="1">
      <c r="A850" s="16"/>
      <c r="B850" s="39"/>
      <c r="C850" s="534">
        <v>1</v>
      </c>
      <c r="D850" s="536" t="s">
        <v>273</v>
      </c>
      <c r="E850" s="537">
        <v>2</v>
      </c>
      <c r="F850" s="538">
        <v>2.5</v>
      </c>
      <c r="G850" s="538">
        <v>0</v>
      </c>
      <c r="H850" s="538">
        <v>1.9</v>
      </c>
      <c r="I850" s="542">
        <f t="shared" si="82"/>
        <v>9.5</v>
      </c>
      <c r="J850" s="550" t="s">
        <v>102</v>
      </c>
      <c r="K850" s="39"/>
      <c r="L850" s="208"/>
      <c r="M850" s="39"/>
      <c r="N850" s="533" t="s">
        <v>2309</v>
      </c>
    </row>
    <row r="851" spans="1:14" s="541" customFormat="1" ht="16.5" customHeight="1">
      <c r="A851" s="16"/>
      <c r="B851" s="39"/>
      <c r="C851" s="534">
        <v>1</v>
      </c>
      <c r="D851" s="536" t="s">
        <v>273</v>
      </c>
      <c r="E851" s="537">
        <v>2</v>
      </c>
      <c r="F851" s="538">
        <v>1.2</v>
      </c>
      <c r="G851" s="538">
        <v>0</v>
      </c>
      <c r="H851" s="538">
        <v>2.1</v>
      </c>
      <c r="I851" s="542">
        <f t="shared" ref="I851:I856" si="83">-ROUND(IF(AND(F851:H851),C851*E851*F851*G851*H851,IF(AND(F851,G851),C851*E851*F851*G851,IF(AND(F851,H851),C851*E851*F851*H851,IF(AND(G851,H851),C851*E851*G851*H851,IF(F851,C851*E851*F851,IF(G851,C851*E851*G851,IF(H851,C851*E851*H851,C851*E851))))))),2)</f>
        <v>-5.04</v>
      </c>
      <c r="J851" s="550" t="s">
        <v>102</v>
      </c>
      <c r="K851" s="39"/>
      <c r="L851" s="208"/>
      <c r="M851" s="39"/>
      <c r="N851" s="533" t="s">
        <v>2309</v>
      </c>
    </row>
    <row r="852" spans="1:14" s="541" customFormat="1" ht="16.5" customHeight="1">
      <c r="A852" s="16"/>
      <c r="B852" s="39"/>
      <c r="C852" s="534">
        <v>2</v>
      </c>
      <c r="D852" s="536" t="s">
        <v>273</v>
      </c>
      <c r="E852" s="537">
        <v>4</v>
      </c>
      <c r="F852" s="538">
        <v>1.05</v>
      </c>
      <c r="G852" s="538">
        <v>0</v>
      </c>
      <c r="H852" s="538">
        <v>2.1</v>
      </c>
      <c r="I852" s="542">
        <f t="shared" si="83"/>
        <v>-17.64</v>
      </c>
      <c r="J852" s="550" t="s">
        <v>102</v>
      </c>
      <c r="K852" s="39"/>
      <c r="L852" s="208"/>
      <c r="M852" s="39"/>
      <c r="N852" s="533" t="s">
        <v>2309</v>
      </c>
    </row>
    <row r="853" spans="1:14" s="541" customFormat="1" ht="16.5" customHeight="1">
      <c r="A853" s="16"/>
      <c r="B853" s="39"/>
      <c r="C853" s="534">
        <v>1</v>
      </c>
      <c r="D853" s="536" t="s">
        <v>273</v>
      </c>
      <c r="E853" s="537">
        <v>3</v>
      </c>
      <c r="F853" s="538">
        <v>0.75</v>
      </c>
      <c r="G853" s="538">
        <v>0</v>
      </c>
      <c r="H853" s="538">
        <v>2.1</v>
      </c>
      <c r="I853" s="542">
        <f t="shared" si="83"/>
        <v>-4.7300000000000004</v>
      </c>
      <c r="J853" s="550" t="s">
        <v>102</v>
      </c>
      <c r="K853" s="39"/>
      <c r="L853" s="208"/>
      <c r="M853" s="39"/>
      <c r="N853" s="533" t="s">
        <v>2309</v>
      </c>
    </row>
    <row r="854" spans="1:14" s="541" customFormat="1" ht="16.5" customHeight="1">
      <c r="A854" s="16"/>
      <c r="B854" s="39"/>
      <c r="C854" s="534">
        <v>1</v>
      </c>
      <c r="D854" s="536" t="s">
        <v>273</v>
      </c>
      <c r="E854" s="537">
        <v>2</v>
      </c>
      <c r="F854" s="538">
        <v>1.2</v>
      </c>
      <c r="G854" s="538">
        <v>0</v>
      </c>
      <c r="H854" s="538">
        <v>2.1</v>
      </c>
      <c r="I854" s="542">
        <f t="shared" si="83"/>
        <v>-5.04</v>
      </c>
      <c r="J854" s="550" t="s">
        <v>102</v>
      </c>
      <c r="K854" s="39"/>
      <c r="L854" s="208"/>
      <c r="M854" s="39"/>
      <c r="N854" s="533" t="s">
        <v>2309</v>
      </c>
    </row>
    <row r="855" spans="1:14" s="541" customFormat="1" ht="16.5" customHeight="1">
      <c r="A855" s="16"/>
      <c r="B855" s="39"/>
      <c r="C855" s="534">
        <v>1</v>
      </c>
      <c r="D855" s="536" t="s">
        <v>273</v>
      </c>
      <c r="E855" s="537">
        <v>7</v>
      </c>
      <c r="F855" s="538">
        <v>1.5</v>
      </c>
      <c r="G855" s="538">
        <v>0</v>
      </c>
      <c r="H855" s="538">
        <v>1.35</v>
      </c>
      <c r="I855" s="542">
        <f t="shared" si="83"/>
        <v>-14.18</v>
      </c>
      <c r="J855" s="550" t="s">
        <v>102</v>
      </c>
      <c r="K855" s="39"/>
      <c r="L855" s="208"/>
      <c r="M855" s="39"/>
      <c r="N855" s="533" t="s">
        <v>2309</v>
      </c>
    </row>
    <row r="856" spans="1:14" s="541" customFormat="1" ht="16.5" customHeight="1">
      <c r="A856" s="16"/>
      <c r="B856" s="39"/>
      <c r="C856" s="534">
        <v>1</v>
      </c>
      <c r="D856" s="536" t="s">
        <v>273</v>
      </c>
      <c r="E856" s="537">
        <v>12</v>
      </c>
      <c r="F856" s="538">
        <v>0.6</v>
      </c>
      <c r="G856" s="538">
        <v>0</v>
      </c>
      <c r="H856" s="538">
        <v>0.3</v>
      </c>
      <c r="I856" s="542">
        <f t="shared" si="83"/>
        <v>-2.16</v>
      </c>
      <c r="J856" s="550" t="s">
        <v>102</v>
      </c>
      <c r="K856" s="39"/>
      <c r="L856" s="208"/>
      <c r="M856" s="39"/>
      <c r="N856" s="533" t="s">
        <v>2309</v>
      </c>
    </row>
    <row r="857" spans="1:14" s="541" customFormat="1" ht="16.5" customHeight="1">
      <c r="A857" s="16"/>
      <c r="B857" s="544"/>
      <c r="C857" s="545"/>
      <c r="D857" s="546"/>
      <c r="E857" s="547"/>
      <c r="F857" s="548"/>
      <c r="G857" s="548"/>
      <c r="H857" s="548"/>
      <c r="I857" s="549"/>
      <c r="J857" s="550"/>
      <c r="K857" s="39"/>
      <c r="L857" s="208"/>
      <c r="M857" s="39"/>
      <c r="N857" s="533" t="s">
        <v>2309</v>
      </c>
    </row>
    <row r="858" spans="1:14" ht="15.75">
      <c r="A858" s="16"/>
      <c r="B858" s="39"/>
      <c r="C858" s="551"/>
      <c r="D858" s="552"/>
      <c r="E858" s="537"/>
      <c r="F858" s="538"/>
      <c r="G858" s="40"/>
      <c r="H858" s="16"/>
      <c r="I858" s="549"/>
      <c r="J858" s="550" t="s">
        <v>102</v>
      </c>
      <c r="K858" s="10">
        <f>data!F3263</f>
        <v>425.82</v>
      </c>
      <c r="L858" s="208" t="s">
        <v>2309</v>
      </c>
      <c r="M858" s="9">
        <f>ROUND(I858*K858,0)</f>
        <v>0</v>
      </c>
      <c r="N858" s="533" t="s">
        <v>2309</v>
      </c>
    </row>
    <row r="859" spans="1:14" ht="71.25" customHeight="1">
      <c r="A859" s="16">
        <v>11</v>
      </c>
      <c r="B859" s="1633" t="s">
        <v>316</v>
      </c>
      <c r="C859" s="1633"/>
      <c r="D859" s="1633"/>
      <c r="E859" s="1633"/>
      <c r="F859" s="1633"/>
      <c r="G859" s="1633"/>
      <c r="H859" s="1633"/>
      <c r="I859" s="534"/>
      <c r="J859" s="535"/>
      <c r="K859" s="16"/>
      <c r="L859" s="208"/>
      <c r="M859" s="38"/>
      <c r="N859" s="533" t="s">
        <v>2209</v>
      </c>
    </row>
    <row r="860" spans="1:14" s="541" customFormat="1" ht="15.75">
      <c r="A860" s="16"/>
      <c r="B860" s="39" t="s">
        <v>3016</v>
      </c>
      <c r="C860" s="534"/>
      <c r="D860" s="858" t="s">
        <v>3251</v>
      </c>
      <c r="E860" s="537"/>
      <c r="F860" s="538"/>
      <c r="G860" s="538"/>
      <c r="H860" s="538"/>
      <c r="I860" s="539"/>
      <c r="J860" s="550"/>
      <c r="K860" s="39"/>
      <c r="L860" s="208"/>
      <c r="M860" s="39"/>
      <c r="N860" s="533" t="s">
        <v>2209</v>
      </c>
    </row>
    <row r="861" spans="1:14" s="541" customFormat="1" ht="15.75">
      <c r="A861" s="16"/>
      <c r="B861" s="39" t="s">
        <v>3089</v>
      </c>
      <c r="C861" s="534">
        <v>1</v>
      </c>
      <c r="D861" s="536" t="s">
        <v>273</v>
      </c>
      <c r="E861" s="537">
        <v>2</v>
      </c>
      <c r="F861" s="538">
        <v>12.47</v>
      </c>
      <c r="G861" s="538">
        <v>0</v>
      </c>
      <c r="H861" s="538">
        <v>3.2</v>
      </c>
      <c r="I861" s="542">
        <f t="shared" ref="I861:I863" si="84">ROUND(IF(AND(F861:H861),C861*E861*F861*G861*H861,IF(AND(F861,G861),C861*E861*F861*G861,IF(AND(F861,H861),C861*E861*F861*H861,IF(AND(G861,H861),C861*E861*G861*H861,IF(F861,C861*E861*F861,IF(G861,C861*E861*G861,IF(H861,C861*E861*H861,C861*E861))))))),2)</f>
        <v>79.81</v>
      </c>
      <c r="J861" s="550" t="s">
        <v>102</v>
      </c>
      <c r="K861" s="39"/>
      <c r="L861" s="208"/>
      <c r="M861" s="39"/>
      <c r="N861" s="533" t="s">
        <v>2209</v>
      </c>
    </row>
    <row r="862" spans="1:14" s="541" customFormat="1" ht="15.75">
      <c r="A862" s="16"/>
      <c r="B862" s="39" t="s">
        <v>3090</v>
      </c>
      <c r="C862" s="534">
        <v>1</v>
      </c>
      <c r="D862" s="536" t="s">
        <v>273</v>
      </c>
      <c r="E862" s="537">
        <v>1</v>
      </c>
      <c r="F862" s="538">
        <v>8.84</v>
      </c>
      <c r="G862" s="538">
        <v>0</v>
      </c>
      <c r="H862" s="538">
        <v>3.2</v>
      </c>
      <c r="I862" s="542">
        <f t="shared" si="84"/>
        <v>28.29</v>
      </c>
      <c r="J862" s="550" t="s">
        <v>102</v>
      </c>
      <c r="K862" s="39"/>
      <c r="L862" s="208"/>
      <c r="M862" s="39"/>
      <c r="N862" s="533" t="s">
        <v>2209</v>
      </c>
    </row>
    <row r="863" spans="1:14" s="541" customFormat="1" ht="15.75">
      <c r="A863" s="16"/>
      <c r="B863" s="39" t="s">
        <v>3091</v>
      </c>
      <c r="C863" s="534">
        <v>1</v>
      </c>
      <c r="D863" s="536" t="s">
        <v>273</v>
      </c>
      <c r="E863" s="537">
        <v>1</v>
      </c>
      <c r="F863" s="538">
        <v>8.84</v>
      </c>
      <c r="G863" s="538">
        <v>0</v>
      </c>
      <c r="H863" s="538">
        <v>3.2</v>
      </c>
      <c r="I863" s="542">
        <f t="shared" si="84"/>
        <v>28.29</v>
      </c>
      <c r="J863" s="550" t="s">
        <v>102</v>
      </c>
      <c r="K863" s="39"/>
      <c r="L863" s="208"/>
      <c r="M863" s="39"/>
      <c r="N863" s="533" t="s">
        <v>2209</v>
      </c>
    </row>
    <row r="864" spans="1:14" s="541" customFormat="1" ht="15.75">
      <c r="A864" s="16"/>
      <c r="B864" s="544"/>
      <c r="C864" s="545"/>
      <c r="D864" s="546"/>
      <c r="E864" s="547"/>
      <c r="F864" s="548"/>
      <c r="G864" s="548"/>
      <c r="H864" s="548"/>
      <c r="I864" s="549"/>
      <c r="J864" s="550"/>
      <c r="K864" s="39"/>
      <c r="L864" s="208"/>
      <c r="M864" s="39"/>
      <c r="N864" s="533" t="s">
        <v>2209</v>
      </c>
    </row>
    <row r="865" spans="1:14" ht="15.75">
      <c r="A865" s="16"/>
      <c r="B865" s="39"/>
      <c r="C865" s="551"/>
      <c r="D865" s="552"/>
      <c r="E865" s="537"/>
      <c r="F865" s="538"/>
      <c r="G865" s="40"/>
      <c r="H865" s="16"/>
      <c r="I865" s="549"/>
      <c r="J865" s="550" t="s">
        <v>102</v>
      </c>
      <c r="K865" s="10">
        <f>data!F532</f>
        <v>362.01</v>
      </c>
      <c r="L865" s="208" t="s">
        <v>2209</v>
      </c>
      <c r="M865" s="9">
        <f>ROUND(I865*K865,0)</f>
        <v>0</v>
      </c>
      <c r="N865" s="533" t="s">
        <v>2209</v>
      </c>
    </row>
    <row r="866" spans="1:14" ht="71.25" customHeight="1">
      <c r="A866" s="16">
        <v>12</v>
      </c>
      <c r="B866" s="1633" t="s">
        <v>316</v>
      </c>
      <c r="C866" s="1633"/>
      <c r="D866" s="1633"/>
      <c r="E866" s="1633"/>
      <c r="F866" s="1633"/>
      <c r="G866" s="1633"/>
      <c r="H866" s="1633"/>
      <c r="I866" s="534"/>
      <c r="J866" s="535"/>
      <c r="K866" s="16"/>
      <c r="L866" s="208"/>
      <c r="M866" s="38"/>
      <c r="N866" s="533" t="s">
        <v>2297</v>
      </c>
    </row>
    <row r="867" spans="1:14" s="541" customFormat="1" ht="15.75">
      <c r="A867" s="16"/>
      <c r="B867" s="39" t="s">
        <v>2949</v>
      </c>
      <c r="C867" s="534"/>
      <c r="D867" s="536"/>
      <c r="E867" s="537"/>
      <c r="F867" s="538"/>
      <c r="G867" s="538"/>
      <c r="H867" s="538"/>
      <c r="I867" s="539"/>
      <c r="J867" s="550"/>
      <c r="K867" s="39"/>
      <c r="L867" s="208"/>
      <c r="M867" s="39"/>
      <c r="N867" s="533" t="s">
        <v>2297</v>
      </c>
    </row>
    <row r="868" spans="1:14" s="541" customFormat="1" ht="15.75">
      <c r="A868" s="16"/>
      <c r="B868" s="39" t="s">
        <v>2950</v>
      </c>
      <c r="C868" s="534">
        <v>1</v>
      </c>
      <c r="D868" s="536" t="s">
        <v>273</v>
      </c>
      <c r="E868" s="537">
        <v>1</v>
      </c>
      <c r="F868" s="538">
        <v>8.84</v>
      </c>
      <c r="G868" s="538">
        <v>0</v>
      </c>
      <c r="H868" s="538">
        <v>3.1749999999999998</v>
      </c>
      <c r="I868" s="542">
        <f t="shared" ref="I868" si="85">ROUND(IF(AND(F868:H868),C868*E868*F868*G868*H868,IF(AND(F868,G868),C868*E868*F868*G868,IF(AND(F868,H868),C868*E868*F868*H868,IF(AND(G868,H868),C868*E868*G868*H868,IF(F868,C868*E868*F868,IF(G868,C868*E868*G868,IF(H868,C868*E868*H868,C868*E868))))))),2)</f>
        <v>28.07</v>
      </c>
      <c r="J868" s="550" t="s">
        <v>102</v>
      </c>
      <c r="K868" s="39"/>
      <c r="L868" s="208"/>
      <c r="M868" s="39"/>
      <c r="N868" s="533" t="s">
        <v>2297</v>
      </c>
    </row>
    <row r="869" spans="1:14" s="541" customFormat="1" ht="15.75">
      <c r="A869" s="16"/>
      <c r="B869" s="39" t="s">
        <v>817</v>
      </c>
      <c r="C869" s="534">
        <v>1</v>
      </c>
      <c r="D869" s="536" t="s">
        <v>273</v>
      </c>
      <c r="E869" s="537">
        <v>1</v>
      </c>
      <c r="F869" s="538">
        <v>9.52</v>
      </c>
      <c r="G869" s="538">
        <v>0</v>
      </c>
      <c r="H869" s="538">
        <v>3.1749999999999998</v>
      </c>
      <c r="I869" s="542">
        <f t="shared" ref="I869:I885" si="86">ROUND(IF(AND(F869:H869),C869*E869*F869*G869*H869,IF(AND(F869,G869),C869*E869*F869*G869,IF(AND(F869,H869),C869*E869*F869*H869,IF(AND(G869,H869),C869*E869*G869*H869,IF(F869,C869*E869*F869,IF(G869,C869*E869*G869,IF(H869,C869*E869*H869,C869*E869))))))),2)</f>
        <v>30.23</v>
      </c>
      <c r="J869" s="550" t="s">
        <v>102</v>
      </c>
      <c r="K869" s="39"/>
      <c r="L869" s="208"/>
      <c r="M869" s="39"/>
      <c r="N869" s="533" t="s">
        <v>2297</v>
      </c>
    </row>
    <row r="870" spans="1:14" s="541" customFormat="1" ht="15.75">
      <c r="A870" s="16"/>
      <c r="B870" s="39" t="s">
        <v>2951</v>
      </c>
      <c r="C870" s="534">
        <v>1</v>
      </c>
      <c r="D870" s="536" t="s">
        <v>273</v>
      </c>
      <c r="E870" s="537">
        <v>1</v>
      </c>
      <c r="F870" s="538">
        <v>2.66</v>
      </c>
      <c r="G870" s="538">
        <v>0</v>
      </c>
      <c r="H870" s="538">
        <v>0.9</v>
      </c>
      <c r="I870" s="542">
        <f t="shared" si="86"/>
        <v>2.39</v>
      </c>
      <c r="J870" s="550" t="s">
        <v>102</v>
      </c>
      <c r="K870" s="39"/>
      <c r="L870" s="208"/>
      <c r="M870" s="39"/>
      <c r="N870" s="533" t="s">
        <v>2297</v>
      </c>
    </row>
    <row r="871" spans="1:14" s="541" customFormat="1" ht="15.75">
      <c r="A871" s="16"/>
      <c r="B871" s="39"/>
      <c r="C871" s="534">
        <v>1</v>
      </c>
      <c r="D871" s="536" t="s">
        <v>273</v>
      </c>
      <c r="E871" s="537">
        <v>1</v>
      </c>
      <c r="F871" s="538">
        <v>4.83</v>
      </c>
      <c r="G871" s="538">
        <v>0</v>
      </c>
      <c r="H871" s="538">
        <v>0.9</v>
      </c>
      <c r="I871" s="542">
        <f t="shared" si="86"/>
        <v>4.3499999999999996</v>
      </c>
      <c r="J871" s="550" t="s">
        <v>102</v>
      </c>
      <c r="K871" s="39"/>
      <c r="L871" s="208"/>
      <c r="M871" s="39"/>
      <c r="N871" s="533" t="s">
        <v>2297</v>
      </c>
    </row>
    <row r="872" spans="1:14" s="541" customFormat="1" ht="15.75">
      <c r="A872" s="16"/>
      <c r="B872" s="39" t="s">
        <v>579</v>
      </c>
      <c r="C872" s="534">
        <v>1</v>
      </c>
      <c r="D872" s="536" t="s">
        <v>273</v>
      </c>
      <c r="E872" s="537">
        <v>1</v>
      </c>
      <c r="F872" s="538">
        <v>1.2</v>
      </c>
      <c r="G872" s="538">
        <v>0</v>
      </c>
      <c r="H872" s="538">
        <v>0.9</v>
      </c>
      <c r="I872" s="542">
        <f>-ROUND(IF(AND(F872:H872),C872*E872*F872*G872*H872,IF(AND(F872,G872),C872*E872*F872*G872,IF(AND(F872,H872),C872*E872*F872*H872,IF(AND(G872,H872),C872*E872*G872*H872,IF(F872,C872*E872*F872,IF(G872,C872*E872*G872,IF(H872,C872*E872*H872,C872*E872))))))),2)</f>
        <v>-1.08</v>
      </c>
      <c r="J872" s="550" t="s">
        <v>102</v>
      </c>
      <c r="K872" s="39"/>
      <c r="L872" s="208"/>
      <c r="M872" s="39"/>
      <c r="N872" s="533" t="s">
        <v>2297</v>
      </c>
    </row>
    <row r="873" spans="1:14" s="541" customFormat="1" ht="15.75">
      <c r="A873" s="16"/>
      <c r="B873" s="39" t="s">
        <v>814</v>
      </c>
      <c r="C873" s="534">
        <v>1</v>
      </c>
      <c r="D873" s="536" t="s">
        <v>273</v>
      </c>
      <c r="E873" s="537">
        <v>1</v>
      </c>
      <c r="F873" s="538">
        <v>3.62</v>
      </c>
      <c r="G873" s="538">
        <v>0</v>
      </c>
      <c r="H873" s="538">
        <v>3.1749999999999998</v>
      </c>
      <c r="I873" s="542">
        <f t="shared" si="86"/>
        <v>11.49</v>
      </c>
      <c r="J873" s="550" t="s">
        <v>102</v>
      </c>
      <c r="K873" s="39"/>
      <c r="L873" s="208"/>
      <c r="M873" s="39"/>
      <c r="N873" s="533" t="s">
        <v>2297</v>
      </c>
    </row>
    <row r="874" spans="1:14" s="541" customFormat="1" ht="15.75">
      <c r="A874" s="16"/>
      <c r="B874" s="39" t="s">
        <v>2948</v>
      </c>
      <c r="C874" s="534">
        <v>1</v>
      </c>
      <c r="D874" s="536" t="s">
        <v>273</v>
      </c>
      <c r="E874" s="537">
        <v>1</v>
      </c>
      <c r="F874" s="538">
        <v>9.52</v>
      </c>
      <c r="G874" s="538">
        <v>0</v>
      </c>
      <c r="H874" s="538">
        <v>3.1749999999999998</v>
      </c>
      <c r="I874" s="542">
        <f t="shared" ref="I874:I882" si="87">ROUND(IF(AND(F874:H874),C874*E874*F874*G874*H874,IF(AND(F874,G874),C874*E874*F874*G874,IF(AND(F874,H874),C874*E874*F874*H874,IF(AND(G874,H874),C874*E874*G874*H874,IF(F874,C874*E874*F874,IF(G874,C874*E874*G874,IF(H874,C874*E874*H874,C874*E874))))))),2)</f>
        <v>30.23</v>
      </c>
      <c r="J874" s="550" t="s">
        <v>102</v>
      </c>
      <c r="K874" s="39"/>
      <c r="L874" s="208"/>
      <c r="M874" s="39"/>
      <c r="N874" s="533" t="s">
        <v>2297</v>
      </c>
    </row>
    <row r="875" spans="1:14" s="541" customFormat="1" ht="15.75">
      <c r="A875" s="16"/>
      <c r="B875" s="39" t="s">
        <v>2952</v>
      </c>
      <c r="C875" s="534">
        <v>1</v>
      </c>
      <c r="D875" s="536" t="s">
        <v>273</v>
      </c>
      <c r="E875" s="537">
        <v>1</v>
      </c>
      <c r="F875" s="538">
        <v>5.18</v>
      </c>
      <c r="G875" s="538">
        <v>0</v>
      </c>
      <c r="H875" s="538">
        <v>3.3</v>
      </c>
      <c r="I875" s="542">
        <f t="shared" si="87"/>
        <v>17.09</v>
      </c>
      <c r="J875" s="550" t="s">
        <v>102</v>
      </c>
      <c r="K875" s="39"/>
      <c r="L875" s="208"/>
      <c r="M875" s="39"/>
      <c r="N875" s="533" t="s">
        <v>2297</v>
      </c>
    </row>
    <row r="876" spans="1:14" s="541" customFormat="1" ht="15.75">
      <c r="A876" s="16"/>
      <c r="B876" s="39" t="s">
        <v>579</v>
      </c>
      <c r="C876" s="534">
        <v>1</v>
      </c>
      <c r="D876" s="536" t="s">
        <v>273</v>
      </c>
      <c r="E876" s="537">
        <v>1</v>
      </c>
      <c r="F876" s="538">
        <v>0.75</v>
      </c>
      <c r="G876" s="538">
        <v>0</v>
      </c>
      <c r="H876" s="538">
        <v>2.1</v>
      </c>
      <c r="I876" s="542">
        <f t="shared" ref="I876:I881" si="88">-ROUND(IF(AND(F876:H876),C876*E876*F876*G876*H876,IF(AND(F876,G876),C876*E876*F876*G876,IF(AND(F876,H876),C876*E876*F876*H876,IF(AND(G876,H876),C876*E876*G876*H876,IF(F876,C876*E876*F876,IF(G876,C876*E876*G876,IF(H876,C876*E876*H876,C876*E876))))))),2)</f>
        <v>-1.58</v>
      </c>
      <c r="J876" s="550" t="s">
        <v>102</v>
      </c>
      <c r="K876" s="39"/>
      <c r="L876" s="208"/>
      <c r="M876" s="39"/>
      <c r="N876" s="533" t="s">
        <v>2297</v>
      </c>
    </row>
    <row r="877" spans="1:14" s="541" customFormat="1" ht="15.75">
      <c r="A877" s="16"/>
      <c r="B877" s="39" t="s">
        <v>2354</v>
      </c>
      <c r="C877" s="534">
        <v>1</v>
      </c>
      <c r="D877" s="536" t="s">
        <v>273</v>
      </c>
      <c r="E877" s="537">
        <v>7</v>
      </c>
      <c r="F877" s="538">
        <v>1.4</v>
      </c>
      <c r="G877" s="538">
        <v>0</v>
      </c>
      <c r="H877" s="538">
        <v>1.45</v>
      </c>
      <c r="I877" s="542">
        <f t="shared" si="88"/>
        <v>-14.21</v>
      </c>
      <c r="J877" s="550" t="s">
        <v>102</v>
      </c>
      <c r="K877" s="39"/>
      <c r="L877" s="208"/>
      <c r="M877" s="39"/>
      <c r="N877" s="533" t="s">
        <v>2297</v>
      </c>
    </row>
    <row r="878" spans="1:14" s="541" customFormat="1" ht="15.75">
      <c r="A878" s="16"/>
      <c r="B878" s="39" t="s">
        <v>2134</v>
      </c>
      <c r="C878" s="534">
        <v>1</v>
      </c>
      <c r="D878" s="536" t="s">
        <v>273</v>
      </c>
      <c r="E878" s="537">
        <v>6</v>
      </c>
      <c r="F878" s="538">
        <v>0.6</v>
      </c>
      <c r="G878" s="538">
        <v>0</v>
      </c>
      <c r="H878" s="538">
        <v>0.3</v>
      </c>
      <c r="I878" s="542">
        <f t="shared" si="88"/>
        <v>-1.08</v>
      </c>
      <c r="J878" s="550" t="s">
        <v>102</v>
      </c>
      <c r="K878" s="39"/>
      <c r="L878" s="208"/>
      <c r="M878" s="39"/>
      <c r="N878" s="533" t="s">
        <v>2297</v>
      </c>
    </row>
    <row r="879" spans="1:14" s="541" customFormat="1" ht="15.75">
      <c r="A879" s="16"/>
      <c r="B879" s="39" t="s">
        <v>2134</v>
      </c>
      <c r="C879" s="534">
        <v>1</v>
      </c>
      <c r="D879" s="536" t="s">
        <v>273</v>
      </c>
      <c r="E879" s="537">
        <v>3</v>
      </c>
      <c r="F879" s="538">
        <v>0.3</v>
      </c>
      <c r="G879" s="538">
        <v>0</v>
      </c>
      <c r="H879" s="538">
        <v>0.3</v>
      </c>
      <c r="I879" s="542">
        <f t="shared" si="88"/>
        <v>-0.27</v>
      </c>
      <c r="J879" s="550" t="s">
        <v>102</v>
      </c>
      <c r="K879" s="39"/>
      <c r="L879" s="208"/>
      <c r="M879" s="39"/>
      <c r="N879" s="533" t="s">
        <v>2297</v>
      </c>
    </row>
    <row r="880" spans="1:14" s="541" customFormat="1" ht="15.75">
      <c r="A880" s="16"/>
      <c r="B880" s="39" t="s">
        <v>2953</v>
      </c>
      <c r="C880" s="534">
        <v>1</v>
      </c>
      <c r="D880" s="536" t="s">
        <v>273</v>
      </c>
      <c r="E880" s="537">
        <v>1</v>
      </c>
      <c r="F880" s="538">
        <v>1.27</v>
      </c>
      <c r="G880" s="538">
        <v>0</v>
      </c>
      <c r="H880" s="538">
        <v>1.5</v>
      </c>
      <c r="I880" s="542">
        <f t="shared" si="88"/>
        <v>-1.91</v>
      </c>
      <c r="J880" s="550" t="s">
        <v>102</v>
      </c>
      <c r="K880" s="39"/>
      <c r="L880" s="208"/>
      <c r="M880" s="39"/>
      <c r="N880" s="533" t="s">
        <v>2297</v>
      </c>
    </row>
    <row r="881" spans="1:14" s="541" customFormat="1" ht="15.75">
      <c r="A881" s="16"/>
      <c r="B881" s="39"/>
      <c r="C881" s="534">
        <v>1</v>
      </c>
      <c r="D881" s="536" t="s">
        <v>273</v>
      </c>
      <c r="E881" s="537">
        <v>1</v>
      </c>
      <c r="F881" s="538">
        <v>1.27</v>
      </c>
      <c r="G881" s="538">
        <v>0</v>
      </c>
      <c r="H881" s="538">
        <v>1.2</v>
      </c>
      <c r="I881" s="542">
        <f t="shared" si="88"/>
        <v>-1.52</v>
      </c>
      <c r="J881" s="550" t="s">
        <v>102</v>
      </c>
      <c r="K881" s="39"/>
      <c r="L881" s="208"/>
      <c r="M881" s="39"/>
      <c r="N881" s="533" t="s">
        <v>2297</v>
      </c>
    </row>
    <row r="882" spans="1:14" s="541" customFormat="1" ht="15.75">
      <c r="A882" s="16"/>
      <c r="B882" s="39" t="s">
        <v>2926</v>
      </c>
      <c r="C882" s="534">
        <v>1</v>
      </c>
      <c r="D882" s="536" t="s">
        <v>273</v>
      </c>
      <c r="E882" s="537">
        <v>1</v>
      </c>
      <c r="F882" s="538">
        <v>7.05</v>
      </c>
      <c r="G882" s="538">
        <v>0</v>
      </c>
      <c r="H882" s="538">
        <v>0.125</v>
      </c>
      <c r="I882" s="542">
        <f t="shared" si="87"/>
        <v>0.88</v>
      </c>
      <c r="J882" s="550" t="s">
        <v>102</v>
      </c>
      <c r="K882" s="39"/>
      <c r="L882" s="208"/>
      <c r="M882" s="39"/>
      <c r="N882" s="533" t="s">
        <v>2297</v>
      </c>
    </row>
    <row r="883" spans="1:14" s="541" customFormat="1" ht="15.75">
      <c r="A883" s="16"/>
      <c r="B883" s="39"/>
      <c r="C883" s="534">
        <v>1</v>
      </c>
      <c r="D883" s="536" t="s">
        <v>273</v>
      </c>
      <c r="E883" s="537">
        <v>1</v>
      </c>
      <c r="F883" s="538">
        <v>10.14</v>
      </c>
      <c r="G883" s="538">
        <v>0</v>
      </c>
      <c r="H883" s="538">
        <v>0.125</v>
      </c>
      <c r="I883" s="542">
        <f t="shared" si="86"/>
        <v>1.27</v>
      </c>
      <c r="J883" s="550" t="s">
        <v>102</v>
      </c>
      <c r="K883" s="39"/>
      <c r="L883" s="208"/>
      <c r="M883" s="39"/>
      <c r="N883" s="533" t="s">
        <v>2297</v>
      </c>
    </row>
    <row r="884" spans="1:14" s="541" customFormat="1" ht="15.75">
      <c r="A884" s="16"/>
      <c r="B884" s="39"/>
      <c r="C884" s="534">
        <v>1</v>
      </c>
      <c r="D884" s="536" t="s">
        <v>273</v>
      </c>
      <c r="E884" s="537">
        <v>1</v>
      </c>
      <c r="F884" s="538">
        <v>14.52</v>
      </c>
      <c r="G884" s="538">
        <v>0</v>
      </c>
      <c r="H884" s="538">
        <v>0.125</v>
      </c>
      <c r="I884" s="542">
        <f t="shared" si="86"/>
        <v>1.82</v>
      </c>
      <c r="J884" s="550" t="s">
        <v>102</v>
      </c>
      <c r="K884" s="39"/>
      <c r="L884" s="208"/>
      <c r="M884" s="39"/>
      <c r="N884" s="533" t="s">
        <v>2297</v>
      </c>
    </row>
    <row r="885" spans="1:14" s="541" customFormat="1" ht="15.75">
      <c r="A885" s="16"/>
      <c r="B885" s="39"/>
      <c r="C885" s="534">
        <v>1</v>
      </c>
      <c r="D885" s="536" t="s">
        <v>273</v>
      </c>
      <c r="E885" s="537">
        <v>1</v>
      </c>
      <c r="F885" s="538">
        <v>10.29</v>
      </c>
      <c r="G885" s="538">
        <v>0</v>
      </c>
      <c r="H885" s="538">
        <v>0.125</v>
      </c>
      <c r="I885" s="542">
        <f t="shared" si="86"/>
        <v>1.29</v>
      </c>
      <c r="J885" s="550" t="s">
        <v>102</v>
      </c>
      <c r="K885" s="39"/>
      <c r="L885" s="208"/>
      <c r="M885" s="39"/>
      <c r="N885" s="533" t="s">
        <v>2297</v>
      </c>
    </row>
    <row r="886" spans="1:14" s="541" customFormat="1" ht="15.75">
      <c r="A886" s="16"/>
      <c r="B886" s="39" t="s">
        <v>2954</v>
      </c>
      <c r="C886" s="534"/>
      <c r="D886" s="536"/>
      <c r="E886" s="537"/>
      <c r="F886" s="538"/>
      <c r="G886" s="538"/>
      <c r="H886" s="538"/>
      <c r="I886" s="539"/>
      <c r="J886" s="550"/>
      <c r="K886" s="39"/>
      <c r="L886" s="208"/>
      <c r="M886" s="39"/>
      <c r="N886" s="533" t="s">
        <v>2297</v>
      </c>
    </row>
    <row r="887" spans="1:14" s="541" customFormat="1" ht="15.75">
      <c r="A887" s="16"/>
      <c r="B887" s="39" t="s">
        <v>1490</v>
      </c>
      <c r="C887" s="534">
        <v>1</v>
      </c>
      <c r="D887" s="536" t="s">
        <v>273</v>
      </c>
      <c r="E887" s="537">
        <v>2</v>
      </c>
      <c r="F887" s="538">
        <v>10.3</v>
      </c>
      <c r="G887" s="538">
        <v>0</v>
      </c>
      <c r="H887" s="538">
        <v>0.6</v>
      </c>
      <c r="I887" s="542">
        <f t="shared" ref="I887:I888" si="89">ROUND(IF(AND(F887:H887),C887*E887*F887*G887*H887,IF(AND(F887,G887),C887*E887*F887*G887,IF(AND(F887,H887),C887*E887*F887*H887,IF(AND(G887,H887),C887*E887*G887*H887,IF(F887,C887*E887*F887,IF(G887,C887*E887*G887,IF(H887,C887*E887*H887,C887*E887))))))),2)</f>
        <v>12.36</v>
      </c>
      <c r="J887" s="550" t="s">
        <v>102</v>
      </c>
      <c r="K887" s="39"/>
      <c r="L887" s="208"/>
      <c r="M887" s="39"/>
      <c r="N887" s="533" t="s">
        <v>2297</v>
      </c>
    </row>
    <row r="888" spans="1:14" s="541" customFormat="1" ht="15.75">
      <c r="A888" s="16"/>
      <c r="B888" s="39"/>
      <c r="C888" s="534">
        <v>1</v>
      </c>
      <c r="D888" s="536" t="s">
        <v>273</v>
      </c>
      <c r="E888" s="537">
        <v>2</v>
      </c>
      <c r="F888" s="538">
        <v>24</v>
      </c>
      <c r="G888" s="538">
        <v>0</v>
      </c>
      <c r="H888" s="538">
        <v>0.9</v>
      </c>
      <c r="I888" s="542">
        <f t="shared" si="89"/>
        <v>43.2</v>
      </c>
      <c r="J888" s="550" t="s">
        <v>102</v>
      </c>
      <c r="K888" s="39"/>
      <c r="L888" s="208"/>
      <c r="M888" s="39"/>
      <c r="N888" s="533" t="s">
        <v>2297</v>
      </c>
    </row>
    <row r="889" spans="1:14" s="541" customFormat="1" ht="15.75">
      <c r="A889" s="16"/>
      <c r="B889" s="544"/>
      <c r="C889" s="545"/>
      <c r="D889" s="546"/>
      <c r="E889" s="547"/>
      <c r="F889" s="548"/>
      <c r="G889" s="548"/>
      <c r="H889" s="548"/>
      <c r="I889" s="549"/>
      <c r="J889" s="550"/>
      <c r="K889" s="39"/>
      <c r="L889" s="208"/>
      <c r="M889" s="39"/>
      <c r="N889" s="533" t="s">
        <v>2297</v>
      </c>
    </row>
    <row r="890" spans="1:14" ht="15.75">
      <c r="A890" s="16"/>
      <c r="B890" s="39"/>
      <c r="C890" s="551"/>
      <c r="D890" s="552"/>
      <c r="E890" s="537"/>
      <c r="F890" s="538"/>
      <c r="G890" s="40"/>
      <c r="H890" s="16"/>
      <c r="I890" s="549"/>
      <c r="J890" s="550" t="s">
        <v>102</v>
      </c>
      <c r="K890" s="10">
        <f>data!F1449</f>
        <v>390.9</v>
      </c>
      <c r="L890" s="208" t="s">
        <v>2297</v>
      </c>
      <c r="M890" s="9">
        <f>ROUND(I890*K890,0)</f>
        <v>0</v>
      </c>
      <c r="N890" s="533" t="s">
        <v>2297</v>
      </c>
    </row>
    <row r="891" spans="1:14" ht="71.25" customHeight="1">
      <c r="A891" s="16">
        <v>13</v>
      </c>
      <c r="B891" s="1633" t="s">
        <v>316</v>
      </c>
      <c r="C891" s="1633"/>
      <c r="D891" s="1633"/>
      <c r="E891" s="1633"/>
      <c r="F891" s="1633"/>
      <c r="G891" s="1633"/>
      <c r="H891" s="1633"/>
      <c r="I891" s="534"/>
      <c r="J891" s="535"/>
      <c r="K891" s="16"/>
      <c r="L891" s="208"/>
      <c r="M891" s="38"/>
      <c r="N891" s="533" t="s">
        <v>2308</v>
      </c>
    </row>
    <row r="892" spans="1:14" s="541" customFormat="1" ht="15.75">
      <c r="A892" s="16"/>
      <c r="B892" s="39" t="s">
        <v>2824</v>
      </c>
      <c r="C892" s="534"/>
      <c r="D892" s="536"/>
      <c r="E892" s="537"/>
      <c r="F892" s="538"/>
      <c r="G892" s="538"/>
      <c r="H892" s="538"/>
      <c r="I892" s="539"/>
      <c r="J892" s="550"/>
      <c r="K892" s="39"/>
      <c r="L892" s="208"/>
      <c r="M892" s="39"/>
      <c r="N892" s="533" t="s">
        <v>2308</v>
      </c>
    </row>
    <row r="893" spans="1:14" s="541" customFormat="1" ht="15.75">
      <c r="A893" s="16"/>
      <c r="B893" s="39" t="s">
        <v>2160</v>
      </c>
      <c r="C893" s="534">
        <v>1</v>
      </c>
      <c r="D893" s="536" t="s">
        <v>273</v>
      </c>
      <c r="E893" s="537">
        <v>1</v>
      </c>
      <c r="F893" s="538">
        <v>12.48</v>
      </c>
      <c r="G893" s="538">
        <v>0</v>
      </c>
      <c r="H893" s="538">
        <v>3.12</v>
      </c>
      <c r="I893" s="542">
        <f>ROUND(IF(AND(F893:H893),C893*E893*F893*G893*H893,IF(AND(F893,G893),C893*E893*F893*G893,IF(AND(F893,H893),C893*E893*F893*H893,IF(AND(G893,H893),C893*E893*G893*H893,IF(F893,C893*E893*F893,IF(G893,C893*E893*G893,IF(H893,C893*E893*H893,C893*E893))))))),2)</f>
        <v>38.94</v>
      </c>
      <c r="J893" s="550" t="s">
        <v>102</v>
      </c>
      <c r="K893" s="39"/>
      <c r="L893" s="208"/>
      <c r="M893" s="39"/>
      <c r="N893" s="533" t="s">
        <v>2308</v>
      </c>
    </row>
    <row r="894" spans="1:14" s="541" customFormat="1" ht="15.75">
      <c r="A894" s="16"/>
      <c r="B894" s="39" t="s">
        <v>579</v>
      </c>
      <c r="C894" s="534">
        <v>1</v>
      </c>
      <c r="D894" s="536" t="s">
        <v>273</v>
      </c>
      <c r="E894" s="537">
        <v>1</v>
      </c>
      <c r="F894" s="538">
        <v>1.2</v>
      </c>
      <c r="G894" s="538">
        <v>0</v>
      </c>
      <c r="H894" s="538">
        <v>2.13</v>
      </c>
      <c r="I894" s="542">
        <f>-ROUND(IF(AND(F894:H894),C894*E894*F894*G894*H894,IF(AND(F894,G894),C894*E894*F894*G894,IF(AND(F894,H894),C894*E894*F894*H894,IF(AND(G894,H894),C894*E894*G894*H894,IF(F894,C894*E894*F894,IF(G894,C894*E894*G894,IF(H894,C894*E894*H894,C894*E894))))))),2)</f>
        <v>-2.56</v>
      </c>
      <c r="J894" s="550" t="s">
        <v>102</v>
      </c>
      <c r="K894" s="39"/>
      <c r="L894" s="208"/>
      <c r="M894" s="39"/>
      <c r="N894" s="533" t="s">
        <v>2308</v>
      </c>
    </row>
    <row r="895" spans="1:14" s="541" customFormat="1" ht="15.75">
      <c r="A895" s="16"/>
      <c r="B895" s="39" t="s">
        <v>2197</v>
      </c>
      <c r="C895" s="534">
        <v>1</v>
      </c>
      <c r="D895" s="536" t="s">
        <v>273</v>
      </c>
      <c r="E895" s="537">
        <v>2</v>
      </c>
      <c r="F895" s="538">
        <v>0.68</v>
      </c>
      <c r="G895" s="538">
        <v>0</v>
      </c>
      <c r="H895" s="538">
        <v>1.88</v>
      </c>
      <c r="I895" s="542">
        <f>-ROUND(IF(AND(F895:H895),C895*E895*F895*G895*H895,IF(AND(F895,G895),C895*E895*F895*G895,IF(AND(F895,H895),C895*E895*F895*H895,IF(AND(G895,H895),C895*E895*G895*H895,IF(F895,C895*E895*F895,IF(G895,C895*E895*G895,IF(H895,C895*E895*H895,C895*E895))))))),2)</f>
        <v>-2.56</v>
      </c>
      <c r="J895" s="550" t="s">
        <v>102</v>
      </c>
      <c r="K895" s="39"/>
      <c r="L895" s="208"/>
      <c r="M895" s="39"/>
      <c r="N895" s="533" t="s">
        <v>2308</v>
      </c>
    </row>
    <row r="896" spans="1:14" s="541" customFormat="1" ht="15.75">
      <c r="A896" s="16"/>
      <c r="B896" s="544"/>
      <c r="C896" s="545"/>
      <c r="D896" s="546"/>
      <c r="E896" s="547"/>
      <c r="F896" s="548"/>
      <c r="G896" s="548"/>
      <c r="H896" s="548"/>
      <c r="I896" s="549"/>
      <c r="J896" s="550"/>
      <c r="K896" s="39"/>
      <c r="L896" s="208"/>
      <c r="M896" s="39"/>
      <c r="N896" s="533" t="s">
        <v>2308</v>
      </c>
    </row>
    <row r="897" spans="1:14" ht="15.75">
      <c r="A897" s="16"/>
      <c r="B897" s="39"/>
      <c r="C897" s="551"/>
      <c r="D897" s="552"/>
      <c r="E897" s="537"/>
      <c r="F897" s="538"/>
      <c r="G897" s="40"/>
      <c r="H897" s="16"/>
      <c r="I897" s="549"/>
      <c r="J897" s="550" t="s">
        <v>102</v>
      </c>
      <c r="K897" s="10">
        <f>data!F2366</f>
        <v>415.44</v>
      </c>
      <c r="L897" s="208" t="s">
        <v>2308</v>
      </c>
      <c r="M897" s="9">
        <f>ROUND(I897*K897,0)</f>
        <v>0</v>
      </c>
      <c r="N897" s="533" t="s">
        <v>2308</v>
      </c>
    </row>
    <row r="898" spans="1:14" ht="71.25" customHeight="1">
      <c r="A898" s="16">
        <v>11</v>
      </c>
      <c r="B898" s="1633" t="s">
        <v>316</v>
      </c>
      <c r="C898" s="1633"/>
      <c r="D898" s="1633"/>
      <c r="E898" s="1633"/>
      <c r="F898" s="1633"/>
      <c r="G898" s="1633"/>
      <c r="H898" s="1633"/>
      <c r="I898" s="534"/>
      <c r="J898" s="535"/>
      <c r="K898" s="16"/>
      <c r="L898" s="208"/>
      <c r="M898" s="38"/>
      <c r="N898" s="533" t="s">
        <v>2309</v>
      </c>
    </row>
    <row r="899" spans="1:14" s="541" customFormat="1" ht="15.75">
      <c r="A899" s="16"/>
      <c r="B899" s="39" t="s">
        <v>3016</v>
      </c>
      <c r="C899" s="534"/>
      <c r="D899" s="858" t="s">
        <v>3251</v>
      </c>
      <c r="E899" s="537"/>
      <c r="F899" s="538"/>
      <c r="G899" s="538"/>
      <c r="H899" s="538"/>
      <c r="I899" s="539"/>
      <c r="J899" s="550"/>
      <c r="K899" s="39"/>
      <c r="L899" s="208"/>
      <c r="M899" s="39"/>
      <c r="N899" s="533" t="s">
        <v>2309</v>
      </c>
    </row>
    <row r="900" spans="1:14" s="541" customFormat="1" ht="15.75">
      <c r="A900" s="16"/>
      <c r="B900" s="39" t="s">
        <v>3089</v>
      </c>
      <c r="C900" s="534">
        <v>1</v>
      </c>
      <c r="D900" s="536" t="s">
        <v>273</v>
      </c>
      <c r="E900" s="537">
        <v>2</v>
      </c>
      <c r="F900" s="538">
        <v>12.47</v>
      </c>
      <c r="G900" s="538">
        <v>0</v>
      </c>
      <c r="H900" s="538">
        <v>3.2</v>
      </c>
      <c r="I900" s="542">
        <f t="shared" ref="I900:I902" si="90">ROUND(IF(AND(F900:H900),C900*E900*F900*G900*H900,IF(AND(F900,G900),C900*E900*F900*G900,IF(AND(F900,H900),C900*E900*F900*H900,IF(AND(G900,H900),C900*E900*G900*H900,IF(F900,C900*E900*F900,IF(G900,C900*E900*G900,IF(H900,C900*E900*H900,C900*E900))))))),2)</f>
        <v>79.81</v>
      </c>
      <c r="J900" s="550" t="s">
        <v>102</v>
      </c>
      <c r="K900" s="39"/>
      <c r="L900" s="208"/>
      <c r="M900" s="39"/>
      <c r="N900" s="533" t="s">
        <v>2309</v>
      </c>
    </row>
    <row r="901" spans="1:14" s="541" customFormat="1" ht="15.75">
      <c r="A901" s="16"/>
      <c r="B901" s="39" t="s">
        <v>3090</v>
      </c>
      <c r="C901" s="534">
        <v>1</v>
      </c>
      <c r="D901" s="536" t="s">
        <v>273</v>
      </c>
      <c r="E901" s="537">
        <v>1</v>
      </c>
      <c r="F901" s="538">
        <v>8.84</v>
      </c>
      <c r="G901" s="538">
        <v>0</v>
      </c>
      <c r="H901" s="538">
        <v>3.2</v>
      </c>
      <c r="I901" s="542">
        <f t="shared" si="90"/>
        <v>28.29</v>
      </c>
      <c r="J901" s="550" t="s">
        <v>102</v>
      </c>
      <c r="K901" s="39"/>
      <c r="L901" s="208"/>
      <c r="M901" s="39"/>
      <c r="N901" s="533" t="s">
        <v>2309</v>
      </c>
    </row>
    <row r="902" spans="1:14" s="541" customFormat="1" ht="15.75">
      <c r="A902" s="16"/>
      <c r="B902" s="39" t="s">
        <v>3091</v>
      </c>
      <c r="C902" s="534">
        <v>1</v>
      </c>
      <c r="D902" s="536" t="s">
        <v>273</v>
      </c>
      <c r="E902" s="537">
        <v>1</v>
      </c>
      <c r="F902" s="538">
        <v>8.84</v>
      </c>
      <c r="G902" s="538">
        <v>0</v>
      </c>
      <c r="H902" s="538">
        <v>3.2</v>
      </c>
      <c r="I902" s="542">
        <f t="shared" si="90"/>
        <v>28.29</v>
      </c>
      <c r="J902" s="550" t="s">
        <v>102</v>
      </c>
      <c r="K902" s="39"/>
      <c r="L902" s="208"/>
      <c r="M902" s="39"/>
      <c r="N902" s="533" t="s">
        <v>2309</v>
      </c>
    </row>
    <row r="903" spans="1:14" s="541" customFormat="1" ht="15.75">
      <c r="A903" s="16"/>
      <c r="B903" s="544"/>
      <c r="C903" s="545"/>
      <c r="D903" s="546"/>
      <c r="E903" s="547"/>
      <c r="F903" s="548"/>
      <c r="G903" s="548"/>
      <c r="H903" s="548"/>
      <c r="I903" s="549"/>
      <c r="J903" s="550"/>
      <c r="K903" s="39"/>
      <c r="L903" s="208"/>
      <c r="M903" s="39"/>
      <c r="N903" s="533" t="s">
        <v>2309</v>
      </c>
    </row>
    <row r="904" spans="1:14" ht="15.75">
      <c r="A904" s="16"/>
      <c r="B904" s="39"/>
      <c r="C904" s="551"/>
      <c r="D904" s="552"/>
      <c r="E904" s="537"/>
      <c r="F904" s="538"/>
      <c r="G904" s="40"/>
      <c r="H904" s="16"/>
      <c r="I904" s="549"/>
      <c r="J904" s="550" t="s">
        <v>102</v>
      </c>
      <c r="K904" s="10">
        <f>data!F3283</f>
        <v>441.63</v>
      </c>
      <c r="L904" s="208" t="s">
        <v>2309</v>
      </c>
      <c r="M904" s="9">
        <f>ROUND(I904*K904,0)</f>
        <v>0</v>
      </c>
      <c r="N904" s="533" t="s">
        <v>2309</v>
      </c>
    </row>
    <row r="905" spans="1:14" ht="92.25" customHeight="1">
      <c r="A905" s="16">
        <v>12</v>
      </c>
      <c r="B905" s="1633" t="s">
        <v>2058</v>
      </c>
      <c r="C905" s="1633"/>
      <c r="D905" s="1633"/>
      <c r="E905" s="1633"/>
      <c r="F905" s="1633"/>
      <c r="G905" s="1633"/>
      <c r="H905" s="1633"/>
      <c r="I905" s="534"/>
      <c r="J905" s="535"/>
      <c r="K905" s="16"/>
      <c r="L905" s="208"/>
      <c r="M905" s="38"/>
      <c r="N905" s="533" t="s">
        <v>2209</v>
      </c>
    </row>
    <row r="906" spans="1:14" s="541" customFormat="1" ht="16.5" customHeight="1">
      <c r="A906" s="16"/>
      <c r="B906" s="39" t="s">
        <v>2815</v>
      </c>
      <c r="C906" s="563"/>
      <c r="D906" s="564"/>
      <c r="E906" s="565"/>
      <c r="F906" s="566"/>
      <c r="G906" s="566"/>
      <c r="H906" s="567"/>
      <c r="I906" s="568"/>
      <c r="J906" s="550"/>
      <c r="K906" s="39"/>
      <c r="L906" s="208"/>
      <c r="M906" s="39"/>
      <c r="N906" s="533" t="s">
        <v>2209</v>
      </c>
    </row>
    <row r="907" spans="1:14" s="541" customFormat="1" ht="16.5" customHeight="1">
      <c r="A907" s="16"/>
      <c r="B907" s="544" t="s">
        <v>1625</v>
      </c>
      <c r="C907" s="545">
        <v>10</v>
      </c>
      <c r="D907" s="546" t="s">
        <v>273</v>
      </c>
      <c r="E907" s="576">
        <v>0.5</v>
      </c>
      <c r="F907" s="548">
        <v>1.2</v>
      </c>
      <c r="G907" s="548">
        <v>0.17</v>
      </c>
      <c r="H907" s="548">
        <v>0.12</v>
      </c>
      <c r="I907" s="549">
        <f>ROUND(IF(AND(F907:H907),C907*E907*F907*G907*H907,IF(AND(F907,G907),C907*E907*F907*G907,IF(AND(F907,H907),C907*E907*F907*H907,IF(AND(G907,H907),C907*E907*G907*H907,IF(F907,C907*E907*F907,IF(G907,C907*E907*G907,IF(H907,C907*E907*H907,C907*E907))))))),2)</f>
        <v>0.12</v>
      </c>
      <c r="J907" s="550" t="s">
        <v>5</v>
      </c>
      <c r="K907" s="39"/>
      <c r="L907" s="208"/>
      <c r="M907" s="39"/>
      <c r="N907" s="533" t="s">
        <v>2209</v>
      </c>
    </row>
    <row r="908" spans="1:14" s="541" customFormat="1" ht="16.5" customHeight="1">
      <c r="A908" s="16"/>
      <c r="B908" s="544"/>
      <c r="C908" s="545">
        <v>1</v>
      </c>
      <c r="D908" s="546" t="s">
        <v>273</v>
      </c>
      <c r="E908" s="547">
        <v>1</v>
      </c>
      <c r="F908" s="548">
        <v>1.2</v>
      </c>
      <c r="G908" s="548">
        <v>0.45</v>
      </c>
      <c r="H908" s="548">
        <v>0.12</v>
      </c>
      <c r="I908" s="549">
        <f>ROUND(IF(AND(F908:H908),C908*E908*F908*G908*H908,IF(AND(F908,G908),C908*E908*F908*G908,IF(AND(F908,H908),C908*E908*F908*H908,IF(AND(G908,H908),C908*E908*G908*H908,IF(F908,C908*E908*F908,IF(G908,C908*E908*G908,IF(H908,C908*E908*H908,C908*E908))))))),2)</f>
        <v>0.06</v>
      </c>
      <c r="J908" s="550" t="s">
        <v>5</v>
      </c>
      <c r="K908" s="39"/>
      <c r="L908" s="208"/>
      <c r="M908" s="39"/>
      <c r="N908" s="533" t="s">
        <v>2209</v>
      </c>
    </row>
    <row r="909" spans="1:14" s="541" customFormat="1" ht="16.5" customHeight="1">
      <c r="A909" s="16"/>
      <c r="B909" s="544" t="s">
        <v>1626</v>
      </c>
      <c r="C909" s="545">
        <v>11</v>
      </c>
      <c r="D909" s="546" t="s">
        <v>273</v>
      </c>
      <c r="E909" s="576">
        <v>0.5</v>
      </c>
      <c r="F909" s="548">
        <v>1.2</v>
      </c>
      <c r="G909" s="548">
        <v>0.17</v>
      </c>
      <c r="H909" s="548">
        <v>0.12</v>
      </c>
      <c r="I909" s="549">
        <f>ROUND(IF(AND(F909:H909),C909*E909*F909*G909*H909,IF(AND(F909,G909),C909*E909*F909*G909,IF(AND(F909,H909),C909*E909*F909*H909,IF(AND(G909,H909),C909*E909*G909*H909,IF(F909,C909*E909*F909,IF(G909,C909*E909*G909,IF(H909,C909*E909*H909,C909*E909))))))),2)</f>
        <v>0.13</v>
      </c>
      <c r="J909" s="550" t="s">
        <v>5</v>
      </c>
      <c r="K909" s="39"/>
      <c r="L909" s="208"/>
      <c r="M909" s="39"/>
      <c r="N909" s="533" t="s">
        <v>2209</v>
      </c>
    </row>
    <row r="910" spans="1:14" s="541" customFormat="1" ht="16.5" customHeight="1">
      <c r="A910" s="16"/>
      <c r="B910" s="544"/>
      <c r="C910" s="545"/>
      <c r="D910" s="546"/>
      <c r="E910" s="576"/>
      <c r="F910" s="548"/>
      <c r="G910" s="548"/>
      <c r="H910" s="548"/>
      <c r="I910" s="549"/>
      <c r="J910" s="550"/>
      <c r="K910" s="39"/>
      <c r="L910" s="208"/>
      <c r="M910" s="39"/>
      <c r="N910" s="533" t="s">
        <v>2209</v>
      </c>
    </row>
    <row r="911" spans="1:14" ht="15.75">
      <c r="A911" s="16"/>
      <c r="B911" s="39"/>
      <c r="C911" s="551"/>
      <c r="D911" s="552"/>
      <c r="E911" s="537"/>
      <c r="F911" s="538"/>
      <c r="G911" s="40"/>
      <c r="H911" s="16"/>
      <c r="I911" s="549"/>
      <c r="J911" s="550" t="s">
        <v>5</v>
      </c>
      <c r="K911" s="10">
        <f>data!F272</f>
        <v>5049.2099999999991</v>
      </c>
      <c r="L911" s="208" t="s">
        <v>2209</v>
      </c>
      <c r="M911" s="9">
        <f>ROUND(I911*K911,0)</f>
        <v>0</v>
      </c>
      <c r="N911" s="533" t="s">
        <v>2209</v>
      </c>
    </row>
    <row r="912" spans="1:14" ht="92.25" customHeight="1">
      <c r="A912" s="16">
        <v>12</v>
      </c>
      <c r="B912" s="1633" t="s">
        <v>2058</v>
      </c>
      <c r="C912" s="1633"/>
      <c r="D912" s="1633"/>
      <c r="E912" s="1633"/>
      <c r="F912" s="1633"/>
      <c r="G912" s="1633"/>
      <c r="H912" s="1633"/>
      <c r="I912" s="534"/>
      <c r="J912" s="535"/>
      <c r="K912" s="16"/>
      <c r="L912" s="208"/>
      <c r="M912" s="38"/>
      <c r="N912" s="533" t="s">
        <v>2297</v>
      </c>
    </row>
    <row r="913" spans="1:14" s="541" customFormat="1" ht="16.5" customHeight="1">
      <c r="A913" s="16"/>
      <c r="B913" s="39" t="s">
        <v>2815</v>
      </c>
      <c r="C913" s="563"/>
      <c r="D913" s="564"/>
      <c r="E913" s="565"/>
      <c r="F913" s="566"/>
      <c r="G913" s="566"/>
      <c r="H913" s="567"/>
      <c r="I913" s="568"/>
      <c r="J913" s="550"/>
      <c r="K913" s="39"/>
      <c r="L913" s="208"/>
      <c r="M913" s="39"/>
      <c r="N913" s="533" t="s">
        <v>2297</v>
      </c>
    </row>
    <row r="914" spans="1:14" s="541" customFormat="1" ht="16.5" customHeight="1">
      <c r="A914" s="16"/>
      <c r="B914" s="544" t="s">
        <v>1625</v>
      </c>
      <c r="C914" s="545">
        <v>10</v>
      </c>
      <c r="D914" s="546" t="s">
        <v>273</v>
      </c>
      <c r="E914" s="576">
        <v>0.5</v>
      </c>
      <c r="F914" s="548">
        <v>1.2</v>
      </c>
      <c r="G914" s="548">
        <v>0.17</v>
      </c>
      <c r="H914" s="548">
        <v>0.12</v>
      </c>
      <c r="I914" s="549">
        <f>ROUND(IF(AND(F914:H914),C914*E914*F914*G914*H914,IF(AND(F914,G914),C914*E914*F914*G914,IF(AND(F914,H914),C914*E914*F914*H914,IF(AND(G914,H914),C914*E914*G914*H914,IF(F914,C914*E914*F914,IF(G914,C914*E914*G914,IF(H914,C914*E914*H914,C914*E914))))))),2)</f>
        <v>0.12</v>
      </c>
      <c r="J914" s="550" t="s">
        <v>5</v>
      </c>
      <c r="K914" s="39"/>
      <c r="L914" s="208"/>
      <c r="M914" s="39"/>
      <c r="N914" s="533" t="s">
        <v>2297</v>
      </c>
    </row>
    <row r="915" spans="1:14" s="541" customFormat="1" ht="16.5" customHeight="1">
      <c r="A915" s="16"/>
      <c r="B915" s="544"/>
      <c r="C915" s="545">
        <v>1</v>
      </c>
      <c r="D915" s="546" t="s">
        <v>273</v>
      </c>
      <c r="E915" s="547">
        <v>1</v>
      </c>
      <c r="F915" s="548">
        <v>1.2</v>
      </c>
      <c r="G915" s="548">
        <v>0.45</v>
      </c>
      <c r="H915" s="548">
        <v>0.12</v>
      </c>
      <c r="I915" s="549">
        <f>ROUND(IF(AND(F915:H915),C915*E915*F915*G915*H915,IF(AND(F915,G915),C915*E915*F915*G915,IF(AND(F915,H915),C915*E915*F915*H915,IF(AND(G915,H915),C915*E915*G915*H915,IF(F915,C915*E915*F915,IF(G915,C915*E915*G915,IF(H915,C915*E915*H915,C915*E915))))))),2)</f>
        <v>0.06</v>
      </c>
      <c r="J915" s="550" t="s">
        <v>5</v>
      </c>
      <c r="K915" s="39"/>
      <c r="L915" s="208"/>
      <c r="M915" s="39"/>
      <c r="N915" s="533" t="s">
        <v>2297</v>
      </c>
    </row>
    <row r="916" spans="1:14" s="541" customFormat="1" ht="16.5" customHeight="1">
      <c r="A916" s="16"/>
      <c r="B916" s="544" t="s">
        <v>1626</v>
      </c>
      <c r="C916" s="545">
        <v>11</v>
      </c>
      <c r="D916" s="546" t="s">
        <v>273</v>
      </c>
      <c r="E916" s="576">
        <v>0.5</v>
      </c>
      <c r="F916" s="548">
        <v>1.2</v>
      </c>
      <c r="G916" s="548">
        <v>0.17</v>
      </c>
      <c r="H916" s="548">
        <v>0.12</v>
      </c>
      <c r="I916" s="549">
        <f>ROUND(IF(AND(F916:H916),C916*E916*F916*G916*H916,IF(AND(F916,G916),C916*E916*F916*G916,IF(AND(F916,H916),C916*E916*F916*H916,IF(AND(G916,H916),C916*E916*G916*H916,IF(F916,C916*E916*F916,IF(G916,C916*E916*G916,IF(H916,C916*E916*H916,C916*E916))))))),2)</f>
        <v>0.13</v>
      </c>
      <c r="J916" s="550" t="s">
        <v>5</v>
      </c>
      <c r="K916" s="39"/>
      <c r="L916" s="208"/>
      <c r="M916" s="39"/>
      <c r="N916" s="533" t="s">
        <v>2297</v>
      </c>
    </row>
    <row r="917" spans="1:14" s="541" customFormat="1" ht="16.5" customHeight="1">
      <c r="A917" s="16"/>
      <c r="B917" s="544"/>
      <c r="C917" s="545"/>
      <c r="D917" s="546"/>
      <c r="E917" s="576"/>
      <c r="F917" s="548"/>
      <c r="G917" s="548"/>
      <c r="H917" s="548"/>
      <c r="I917" s="549"/>
      <c r="J917" s="550"/>
      <c r="K917" s="39"/>
      <c r="L917" s="208"/>
      <c r="M917" s="39"/>
      <c r="N917" s="533" t="s">
        <v>2297</v>
      </c>
    </row>
    <row r="918" spans="1:14" ht="15.75">
      <c r="A918" s="16"/>
      <c r="B918" s="39"/>
      <c r="C918" s="551"/>
      <c r="D918" s="552"/>
      <c r="E918" s="537"/>
      <c r="F918" s="538"/>
      <c r="G918" s="40"/>
      <c r="H918" s="16"/>
      <c r="I918" s="549"/>
      <c r="J918" s="550" t="s">
        <v>5</v>
      </c>
      <c r="K918" s="10">
        <f>data!F1188</f>
        <v>5224.6200000000008</v>
      </c>
      <c r="L918" s="208" t="s">
        <v>2297</v>
      </c>
      <c r="M918" s="9">
        <f>ROUND(I918*K918,0)</f>
        <v>0</v>
      </c>
      <c r="N918" s="533" t="s">
        <v>2297</v>
      </c>
    </row>
    <row r="919" spans="1:14" ht="92.25" customHeight="1">
      <c r="A919" s="16">
        <v>12</v>
      </c>
      <c r="B919" s="1633" t="s">
        <v>2058</v>
      </c>
      <c r="C919" s="1633"/>
      <c r="D919" s="1633"/>
      <c r="E919" s="1633"/>
      <c r="F919" s="1633"/>
      <c r="G919" s="1633"/>
      <c r="H919" s="1633"/>
      <c r="I919" s="534"/>
      <c r="J919" s="535"/>
      <c r="K919" s="16"/>
      <c r="L919" s="208"/>
      <c r="M919" s="38"/>
      <c r="N919" s="533" t="s">
        <v>2308</v>
      </c>
    </row>
    <row r="920" spans="1:14" s="541" customFormat="1" ht="16.5" customHeight="1">
      <c r="A920" s="16"/>
      <c r="B920" s="39" t="s">
        <v>2815</v>
      </c>
      <c r="C920" s="563"/>
      <c r="D920" s="564"/>
      <c r="E920" s="565"/>
      <c r="F920" s="566"/>
      <c r="G920" s="566"/>
      <c r="H920" s="567"/>
      <c r="I920" s="568"/>
      <c r="J920" s="550"/>
      <c r="K920" s="39"/>
      <c r="L920" s="208"/>
      <c r="M920" s="39"/>
      <c r="N920" s="533" t="s">
        <v>2308</v>
      </c>
    </row>
    <row r="921" spans="1:14" s="541" customFormat="1" ht="16.5" customHeight="1">
      <c r="A921" s="16"/>
      <c r="B921" s="544" t="s">
        <v>1625</v>
      </c>
      <c r="C921" s="545">
        <v>10</v>
      </c>
      <c r="D921" s="546" t="s">
        <v>273</v>
      </c>
      <c r="E921" s="576">
        <v>0.5</v>
      </c>
      <c r="F921" s="548">
        <v>1.2</v>
      </c>
      <c r="G921" s="548">
        <v>0.17</v>
      </c>
      <c r="H921" s="548">
        <v>0.12</v>
      </c>
      <c r="I921" s="549">
        <f>ROUND(IF(AND(F921:H921),C921*E921*F921*G921*H921,IF(AND(F921,G921),C921*E921*F921*G921,IF(AND(F921,H921),C921*E921*F921*H921,IF(AND(G921,H921),C921*E921*G921*H921,IF(F921,C921*E921*F921,IF(G921,C921*E921*G921,IF(H921,C921*E921*H921,C921*E921))))))),2)</f>
        <v>0.12</v>
      </c>
      <c r="J921" s="550" t="s">
        <v>5</v>
      </c>
      <c r="K921" s="39"/>
      <c r="L921" s="208"/>
      <c r="M921" s="39"/>
      <c r="N921" s="533" t="s">
        <v>2308</v>
      </c>
    </row>
    <row r="922" spans="1:14" s="541" customFormat="1" ht="16.5" customHeight="1">
      <c r="A922" s="16"/>
      <c r="B922" s="544"/>
      <c r="C922" s="545">
        <v>1</v>
      </c>
      <c r="D922" s="546" t="s">
        <v>273</v>
      </c>
      <c r="E922" s="547">
        <v>1</v>
      </c>
      <c r="F922" s="548">
        <v>1.2</v>
      </c>
      <c r="G922" s="548">
        <v>0.45</v>
      </c>
      <c r="H922" s="548">
        <v>0.12</v>
      </c>
      <c r="I922" s="549">
        <f>ROUND(IF(AND(F922:H922),C922*E922*F922*G922*H922,IF(AND(F922,G922),C922*E922*F922*G922,IF(AND(F922,H922),C922*E922*F922*H922,IF(AND(G922,H922),C922*E922*G922*H922,IF(F922,C922*E922*F922,IF(G922,C922*E922*G922,IF(H922,C922*E922*H922,C922*E922))))))),2)</f>
        <v>0.06</v>
      </c>
      <c r="J922" s="550" t="s">
        <v>5</v>
      </c>
      <c r="K922" s="39"/>
      <c r="L922" s="208"/>
      <c r="M922" s="39"/>
      <c r="N922" s="533" t="s">
        <v>2308</v>
      </c>
    </row>
    <row r="923" spans="1:14" s="541" customFormat="1" ht="16.5" customHeight="1">
      <c r="A923" s="16"/>
      <c r="B923" s="544" t="s">
        <v>1626</v>
      </c>
      <c r="C923" s="545">
        <v>11</v>
      </c>
      <c r="D923" s="546" t="s">
        <v>273</v>
      </c>
      <c r="E923" s="576">
        <v>0.5</v>
      </c>
      <c r="F923" s="548">
        <v>1.2</v>
      </c>
      <c r="G923" s="548">
        <v>0.17</v>
      </c>
      <c r="H923" s="548">
        <v>0.12</v>
      </c>
      <c r="I923" s="549">
        <f>ROUND(IF(AND(F923:H923),C923*E923*F923*G923*H923,IF(AND(F923,G923),C923*E923*F923*G923,IF(AND(F923,H923),C923*E923*F923*H923,IF(AND(G923,H923),C923*E923*G923*H923,IF(F923,C923*E923*F923,IF(G923,C923*E923*G923,IF(H923,C923*E923*H923,C923*E923))))))),2)</f>
        <v>0.13</v>
      </c>
      <c r="J923" s="550" t="s">
        <v>5</v>
      </c>
      <c r="K923" s="39"/>
      <c r="L923" s="208"/>
      <c r="M923" s="39"/>
      <c r="N923" s="533" t="s">
        <v>2308</v>
      </c>
    </row>
    <row r="924" spans="1:14" s="541" customFormat="1" ht="16.5" customHeight="1">
      <c r="A924" s="16"/>
      <c r="B924" s="544"/>
      <c r="C924" s="545"/>
      <c r="D924" s="546"/>
      <c r="E924" s="576"/>
      <c r="F924" s="548"/>
      <c r="G924" s="548"/>
      <c r="H924" s="548"/>
      <c r="I924" s="549"/>
      <c r="J924" s="550"/>
      <c r="K924" s="39"/>
      <c r="L924" s="208"/>
      <c r="M924" s="39"/>
      <c r="N924" s="533" t="s">
        <v>2308</v>
      </c>
    </row>
    <row r="925" spans="1:14" ht="15.75">
      <c r="A925" s="16"/>
      <c r="B925" s="39"/>
      <c r="C925" s="551"/>
      <c r="D925" s="552"/>
      <c r="E925" s="537"/>
      <c r="F925" s="538"/>
      <c r="G925" s="40"/>
      <c r="H925" s="16"/>
      <c r="I925" s="549"/>
      <c r="J925" s="550" t="s">
        <v>5</v>
      </c>
      <c r="K925" s="10">
        <f>data!F2105</f>
        <v>5464.2000000000007</v>
      </c>
      <c r="L925" s="208" t="s">
        <v>2308</v>
      </c>
      <c r="M925" s="9">
        <f>ROUND(I925*K925,0)</f>
        <v>0</v>
      </c>
      <c r="N925" s="533" t="s">
        <v>2308</v>
      </c>
    </row>
    <row r="926" spans="1:14" ht="92.25" customHeight="1">
      <c r="A926" s="16">
        <v>12</v>
      </c>
      <c r="B926" s="1633" t="s">
        <v>2058</v>
      </c>
      <c r="C926" s="1633"/>
      <c r="D926" s="1633"/>
      <c r="E926" s="1633"/>
      <c r="F926" s="1633"/>
      <c r="G926" s="1633"/>
      <c r="H926" s="1633"/>
      <c r="I926" s="534"/>
      <c r="J926" s="535"/>
      <c r="K926" s="16"/>
      <c r="L926" s="208"/>
      <c r="M926" s="38"/>
      <c r="N926" s="533" t="s">
        <v>2309</v>
      </c>
    </row>
    <row r="927" spans="1:14" s="541" customFormat="1" ht="16.5" customHeight="1">
      <c r="A927" s="16"/>
      <c r="B927" s="39" t="s">
        <v>2815</v>
      </c>
      <c r="C927" s="563"/>
      <c r="D927" s="564"/>
      <c r="E927" s="565"/>
      <c r="F927" s="566"/>
      <c r="G927" s="566"/>
      <c r="H927" s="567"/>
      <c r="I927" s="568"/>
      <c r="J927" s="550"/>
      <c r="K927" s="39"/>
      <c r="L927" s="208"/>
      <c r="M927" s="39"/>
      <c r="N927" s="533" t="s">
        <v>2309</v>
      </c>
    </row>
    <row r="928" spans="1:14" s="541" customFormat="1" ht="16.5" customHeight="1">
      <c r="A928" s="16"/>
      <c r="B928" s="544" t="s">
        <v>1625</v>
      </c>
      <c r="C928" s="545">
        <v>10</v>
      </c>
      <c r="D928" s="546" t="s">
        <v>273</v>
      </c>
      <c r="E928" s="576">
        <v>0.5</v>
      </c>
      <c r="F928" s="548">
        <v>1.2</v>
      </c>
      <c r="G928" s="548">
        <v>0.17</v>
      </c>
      <c r="H928" s="548">
        <v>0.12</v>
      </c>
      <c r="I928" s="549">
        <f>ROUND(IF(AND(F928:H928),C928*E928*F928*G928*H928,IF(AND(F928,G928),C928*E928*F928*G928,IF(AND(F928,H928),C928*E928*F928*H928,IF(AND(G928,H928),C928*E928*G928*H928,IF(F928,C928*E928*F928,IF(G928,C928*E928*G928,IF(H928,C928*E928*H928,C928*E928))))))),2)</f>
        <v>0.12</v>
      </c>
      <c r="J928" s="550" t="s">
        <v>5</v>
      </c>
      <c r="K928" s="39"/>
      <c r="L928" s="208"/>
      <c r="M928" s="39"/>
      <c r="N928" s="533" t="s">
        <v>2309</v>
      </c>
    </row>
    <row r="929" spans="1:14" s="541" customFormat="1" ht="16.5" customHeight="1">
      <c r="A929" s="16"/>
      <c r="B929" s="544"/>
      <c r="C929" s="545">
        <v>1</v>
      </c>
      <c r="D929" s="546" t="s">
        <v>273</v>
      </c>
      <c r="E929" s="547">
        <v>1</v>
      </c>
      <c r="F929" s="548">
        <v>1.2</v>
      </c>
      <c r="G929" s="548">
        <v>0.45</v>
      </c>
      <c r="H929" s="548">
        <v>0.12</v>
      </c>
      <c r="I929" s="549">
        <f>ROUND(IF(AND(F929:H929),C929*E929*F929*G929*H929,IF(AND(F929,G929),C929*E929*F929*G929,IF(AND(F929,H929),C929*E929*F929*H929,IF(AND(G929,H929),C929*E929*G929*H929,IF(F929,C929*E929*F929,IF(G929,C929*E929*G929,IF(H929,C929*E929*H929,C929*E929))))))),2)</f>
        <v>0.06</v>
      </c>
      <c r="J929" s="550" t="s">
        <v>5</v>
      </c>
      <c r="K929" s="39"/>
      <c r="L929" s="208"/>
      <c r="M929" s="39"/>
      <c r="N929" s="533" t="s">
        <v>2309</v>
      </c>
    </row>
    <row r="930" spans="1:14" s="541" customFormat="1" ht="16.5" customHeight="1">
      <c r="A930" s="16"/>
      <c r="B930" s="544" t="s">
        <v>1626</v>
      </c>
      <c r="C930" s="545">
        <v>11</v>
      </c>
      <c r="D930" s="546" t="s">
        <v>273</v>
      </c>
      <c r="E930" s="576">
        <v>0.5</v>
      </c>
      <c r="F930" s="548">
        <v>1.2</v>
      </c>
      <c r="G930" s="548">
        <v>0.17</v>
      </c>
      <c r="H930" s="548">
        <v>0.12</v>
      </c>
      <c r="I930" s="549">
        <f>ROUND(IF(AND(F930:H930),C930*E930*F930*G930*H930,IF(AND(F930,G930),C930*E930*F930*G930,IF(AND(F930,H930),C930*E930*F930*H930,IF(AND(G930,H930),C930*E930*G930*H930,IF(F930,C930*E930*F930,IF(G930,C930*E930*G930,IF(H930,C930*E930*H930,C930*E930))))))),2)</f>
        <v>0.13</v>
      </c>
      <c r="J930" s="550" t="s">
        <v>5</v>
      </c>
      <c r="K930" s="39"/>
      <c r="L930" s="208"/>
      <c r="M930" s="39"/>
      <c r="N930" s="533" t="s">
        <v>2309</v>
      </c>
    </row>
    <row r="931" spans="1:14" s="541" customFormat="1" ht="16.5" customHeight="1">
      <c r="A931" s="16"/>
      <c r="B931" s="544"/>
      <c r="C931" s="545"/>
      <c r="D931" s="546"/>
      <c r="E931" s="576"/>
      <c r="F931" s="548"/>
      <c r="G931" s="548"/>
      <c r="H931" s="548"/>
      <c r="I931" s="549"/>
      <c r="J931" s="550"/>
      <c r="K931" s="39"/>
      <c r="L931" s="208"/>
      <c r="M931" s="39"/>
      <c r="N931" s="533" t="s">
        <v>2309</v>
      </c>
    </row>
    <row r="932" spans="1:14" ht="15.75">
      <c r="A932" s="16"/>
      <c r="B932" s="39"/>
      <c r="C932" s="551"/>
      <c r="D932" s="552"/>
      <c r="E932" s="537"/>
      <c r="F932" s="538"/>
      <c r="G932" s="40"/>
      <c r="H932" s="16"/>
      <c r="I932" s="549"/>
      <c r="J932" s="550" t="s">
        <v>5</v>
      </c>
      <c r="K932" s="10">
        <f>data!F3022</f>
        <v>5722.81</v>
      </c>
      <c r="L932" s="208" t="s">
        <v>2309</v>
      </c>
      <c r="M932" s="9">
        <f>ROUND(I932*K932,0)</f>
        <v>0</v>
      </c>
      <c r="N932" s="533" t="s">
        <v>2309</v>
      </c>
    </row>
    <row r="933" spans="1:14" ht="106.5" customHeight="1">
      <c r="A933" s="16">
        <v>14</v>
      </c>
      <c r="B933" s="1633" t="s">
        <v>212</v>
      </c>
      <c r="C933" s="1633"/>
      <c r="D933" s="1633"/>
      <c r="E933" s="1633"/>
      <c r="F933" s="1633"/>
      <c r="G933" s="1633"/>
      <c r="H933" s="1633"/>
      <c r="I933" s="534"/>
      <c r="J933" s="535"/>
      <c r="K933" s="16"/>
      <c r="L933" s="208"/>
      <c r="M933" s="38"/>
      <c r="N933" s="533" t="s">
        <v>2209</v>
      </c>
    </row>
    <row r="934" spans="1:14" s="541" customFormat="1" ht="16.5" customHeight="1">
      <c r="A934" s="16"/>
      <c r="B934" s="39" t="s">
        <v>2807</v>
      </c>
      <c r="C934" s="563"/>
      <c r="D934" s="564"/>
      <c r="E934" s="565"/>
      <c r="F934" s="566"/>
      <c r="G934" s="566"/>
      <c r="H934" s="567"/>
      <c r="I934" s="568"/>
      <c r="J934" s="550"/>
      <c r="K934" s="39"/>
      <c r="L934" s="208"/>
      <c r="M934" s="39"/>
      <c r="N934" s="533" t="s">
        <v>2209</v>
      </c>
    </row>
    <row r="935" spans="1:14" s="541" customFormat="1" ht="16.5" customHeight="1">
      <c r="A935" s="16"/>
      <c r="B935" s="577" t="s">
        <v>587</v>
      </c>
      <c r="C935" s="578">
        <v>1</v>
      </c>
      <c r="D935" s="579" t="s">
        <v>273</v>
      </c>
      <c r="E935" s="580">
        <v>1</v>
      </c>
      <c r="F935" s="581">
        <v>3.35</v>
      </c>
      <c r="G935" s="581">
        <v>3.34</v>
      </c>
      <c r="H935" s="581">
        <v>0</v>
      </c>
      <c r="I935" s="549">
        <f t="shared" ref="I935" si="91">ROUND(IF(AND(F935:H935),C935*E935*F935*G935*H935,IF(AND(F935,G935),C935*E935*F935*G935,IF(AND(F935,H935),C935*E935*F935*H935,IF(AND(G935,H935),C935*E935*G935*H935,IF(F935,C935*E935*F935,IF(G935,C935*E935*G935,IF(H935,C935*E935*H935,C935*E935))))))),2)</f>
        <v>11.19</v>
      </c>
      <c r="J935" s="550" t="s">
        <v>102</v>
      </c>
      <c r="K935" s="39"/>
      <c r="L935" s="208"/>
      <c r="M935" s="39"/>
      <c r="N935" s="533" t="s">
        <v>2209</v>
      </c>
    </row>
    <row r="936" spans="1:14" s="541" customFormat="1" ht="16.5" customHeight="1">
      <c r="A936" s="16"/>
      <c r="B936" s="577" t="s">
        <v>1169</v>
      </c>
      <c r="C936" s="578">
        <v>1</v>
      </c>
      <c r="D936" s="579" t="s">
        <v>273</v>
      </c>
      <c r="E936" s="580">
        <v>1</v>
      </c>
      <c r="F936" s="581">
        <v>2.75</v>
      </c>
      <c r="G936" s="581">
        <v>3.34</v>
      </c>
      <c r="H936" s="581">
        <v>0</v>
      </c>
      <c r="I936" s="549">
        <f t="shared" ref="I936:I937" si="92">ROUND(IF(AND(F936:H936),C936*E936*F936*G936*H936,IF(AND(F936,G936),C936*E936*F936*G936,IF(AND(F936,H936),C936*E936*F936*H936,IF(AND(G936,H936),C936*E936*G936*H936,IF(F936,C936*E936*F936,IF(G936,C936*E936*G936,IF(H936,C936*E936*H936,C936*E936))))))),2)</f>
        <v>9.19</v>
      </c>
      <c r="J936" s="550" t="s">
        <v>102</v>
      </c>
      <c r="K936" s="39"/>
      <c r="L936" s="208"/>
      <c r="M936" s="39"/>
      <c r="N936" s="533" t="s">
        <v>2209</v>
      </c>
    </row>
    <row r="937" spans="1:14" s="541" customFormat="1" ht="16.5" customHeight="1">
      <c r="A937" s="16"/>
      <c r="B937" s="577" t="s">
        <v>2199</v>
      </c>
      <c r="C937" s="578">
        <v>1</v>
      </c>
      <c r="D937" s="579" t="s">
        <v>273</v>
      </c>
      <c r="E937" s="580">
        <v>1</v>
      </c>
      <c r="F937" s="581">
        <v>2.78</v>
      </c>
      <c r="G937" s="581">
        <v>3.33</v>
      </c>
      <c r="H937" s="581">
        <v>0</v>
      </c>
      <c r="I937" s="549">
        <f t="shared" si="92"/>
        <v>9.26</v>
      </c>
      <c r="J937" s="550" t="s">
        <v>102</v>
      </c>
      <c r="K937" s="39"/>
      <c r="L937" s="208"/>
      <c r="M937" s="39"/>
      <c r="N937" s="533" t="s">
        <v>2209</v>
      </c>
    </row>
    <row r="938" spans="1:14" s="541" customFormat="1" ht="16.5" customHeight="1">
      <c r="A938" s="16"/>
      <c r="B938" s="544"/>
      <c r="C938" s="545"/>
      <c r="D938" s="546"/>
      <c r="E938" s="547"/>
      <c r="F938" s="548"/>
      <c r="G938" s="548"/>
      <c r="H938" s="548"/>
      <c r="I938" s="549"/>
      <c r="J938" s="550"/>
      <c r="K938" s="39"/>
      <c r="L938" s="208"/>
      <c r="M938" s="39"/>
      <c r="N938" s="533" t="s">
        <v>2209</v>
      </c>
    </row>
    <row r="939" spans="1:14" ht="15.75">
      <c r="A939" s="16"/>
      <c r="B939" s="39"/>
      <c r="C939" s="551"/>
      <c r="D939" s="552"/>
      <c r="E939" s="537"/>
      <c r="F939" s="538"/>
      <c r="G939" s="40"/>
      <c r="H939" s="16"/>
      <c r="I939" s="549"/>
      <c r="J939" s="550" t="s">
        <v>102</v>
      </c>
      <c r="K939" s="10">
        <f>data!F680</f>
        <v>1020.01</v>
      </c>
      <c r="L939" s="208" t="s">
        <v>2209</v>
      </c>
      <c r="M939" s="9">
        <f>ROUND(I939*K939,0)</f>
        <v>0</v>
      </c>
      <c r="N939" s="533" t="s">
        <v>2209</v>
      </c>
    </row>
    <row r="940" spans="1:14" ht="106.5" customHeight="1">
      <c r="A940" s="16">
        <v>13</v>
      </c>
      <c r="B940" s="1633" t="s">
        <v>212</v>
      </c>
      <c r="C940" s="1633"/>
      <c r="D940" s="1633"/>
      <c r="E940" s="1633"/>
      <c r="F940" s="1633"/>
      <c r="G940" s="1633"/>
      <c r="H940" s="1633"/>
      <c r="I940" s="534"/>
      <c r="J940" s="535"/>
      <c r="K940" s="16"/>
      <c r="L940" s="208"/>
      <c r="M940" s="38"/>
      <c r="N940" s="533" t="s">
        <v>2297</v>
      </c>
    </row>
    <row r="941" spans="1:14" s="541" customFormat="1" ht="16.5" customHeight="1">
      <c r="A941" s="16"/>
      <c r="B941" s="39" t="s">
        <v>2960</v>
      </c>
      <c r="C941" s="563"/>
      <c r="D941" s="564"/>
      <c r="E941" s="565"/>
      <c r="F941" s="566"/>
      <c r="G941" s="566"/>
      <c r="H941" s="567"/>
      <c r="I941" s="568"/>
      <c r="J941" s="550"/>
      <c r="K941" s="39"/>
      <c r="L941" s="208"/>
      <c r="M941" s="39"/>
      <c r="N941" s="533" t="s">
        <v>2297</v>
      </c>
    </row>
    <row r="942" spans="1:14" s="541" customFormat="1" ht="16.5" customHeight="1">
      <c r="A942" s="16"/>
      <c r="B942" s="577" t="s">
        <v>223</v>
      </c>
      <c r="C942" s="578">
        <v>1</v>
      </c>
      <c r="D942" s="579" t="s">
        <v>273</v>
      </c>
      <c r="E942" s="580">
        <v>1</v>
      </c>
      <c r="F942" s="581">
        <v>5.6</v>
      </c>
      <c r="G942" s="581">
        <v>3</v>
      </c>
      <c r="H942" s="581">
        <v>0</v>
      </c>
      <c r="I942" s="549">
        <f t="shared" ref="I942" si="93">ROUND(IF(AND(F942:H942),C942*E942*F942*G942*H942,IF(AND(F942,G942),C942*E942*F942*G942,IF(AND(F942,H942),C942*E942*F942*H942,IF(AND(G942,H942),C942*E942*G942*H942,IF(F942,C942*E942*F942,IF(G942,C942*E942*G942,IF(H942,C942*E942*H942,C942*E942))))))),2)</f>
        <v>16.8</v>
      </c>
      <c r="J942" s="550" t="s">
        <v>102</v>
      </c>
      <c r="K942" s="39"/>
      <c r="L942" s="208"/>
      <c r="M942" s="39"/>
      <c r="N942" s="533" t="s">
        <v>2297</v>
      </c>
    </row>
    <row r="943" spans="1:14" s="541" customFormat="1" ht="16.5" customHeight="1">
      <c r="A943" s="16"/>
      <c r="B943" s="577" t="s">
        <v>586</v>
      </c>
      <c r="C943" s="578">
        <v>1</v>
      </c>
      <c r="D943" s="579" t="s">
        <v>273</v>
      </c>
      <c r="E943" s="580">
        <v>1</v>
      </c>
      <c r="F943" s="581">
        <v>8.9</v>
      </c>
      <c r="G943" s="581">
        <v>1.7</v>
      </c>
      <c r="H943" s="581">
        <v>0</v>
      </c>
      <c r="I943" s="549">
        <f t="shared" ref="I943:I947" si="94">ROUND(IF(AND(F943:H943),C943*E943*F943*G943*H943,IF(AND(F943,G943),C943*E943*F943*G943,IF(AND(F943,H943),C943*E943*F943*H943,IF(AND(G943,H943),C943*E943*G943*H943,IF(F943,C943*E943*F943,IF(G943,C943*E943*G943,IF(H943,C943*E943*H943,C943*E943))))))),2)</f>
        <v>15.13</v>
      </c>
      <c r="J943" s="550" t="s">
        <v>102</v>
      </c>
      <c r="K943" s="39"/>
      <c r="L943" s="208"/>
      <c r="M943" s="39"/>
      <c r="N943" s="533" t="s">
        <v>2297</v>
      </c>
    </row>
    <row r="944" spans="1:14" s="541" customFormat="1" ht="16.5" customHeight="1">
      <c r="A944" s="16"/>
      <c r="B944" s="577" t="s">
        <v>587</v>
      </c>
      <c r="C944" s="578">
        <v>1</v>
      </c>
      <c r="D944" s="579" t="s">
        <v>273</v>
      </c>
      <c r="E944" s="580">
        <v>1</v>
      </c>
      <c r="F944" s="581">
        <v>3.2</v>
      </c>
      <c r="G944" s="581">
        <v>3.3</v>
      </c>
      <c r="H944" s="581">
        <v>0</v>
      </c>
      <c r="I944" s="549">
        <f t="shared" si="94"/>
        <v>10.56</v>
      </c>
      <c r="J944" s="550" t="s">
        <v>102</v>
      </c>
      <c r="K944" s="39"/>
      <c r="L944" s="208"/>
      <c r="M944" s="39"/>
      <c r="N944" s="533" t="s">
        <v>2297</v>
      </c>
    </row>
    <row r="945" spans="1:14" s="541" customFormat="1" ht="16.5" customHeight="1">
      <c r="A945" s="16"/>
      <c r="B945" s="577" t="s">
        <v>2723</v>
      </c>
      <c r="C945" s="578">
        <v>1</v>
      </c>
      <c r="D945" s="579" t="s">
        <v>273</v>
      </c>
      <c r="E945" s="580">
        <v>1</v>
      </c>
      <c r="F945" s="581">
        <v>3.2</v>
      </c>
      <c r="G945" s="581">
        <v>2.7</v>
      </c>
      <c r="H945" s="581">
        <v>0</v>
      </c>
      <c r="I945" s="549">
        <f t="shared" si="94"/>
        <v>8.64</v>
      </c>
      <c r="J945" s="550" t="s">
        <v>102</v>
      </c>
      <c r="K945" s="39"/>
      <c r="L945" s="208"/>
      <c r="M945" s="39"/>
      <c r="N945" s="533" t="s">
        <v>2297</v>
      </c>
    </row>
    <row r="946" spans="1:14" s="541" customFormat="1" ht="16.5" customHeight="1">
      <c r="A946" s="16"/>
      <c r="B946" s="577" t="s">
        <v>2961</v>
      </c>
      <c r="C946" s="578">
        <v>1</v>
      </c>
      <c r="D946" s="579" t="s">
        <v>273</v>
      </c>
      <c r="E946" s="580">
        <v>1</v>
      </c>
      <c r="F946" s="581">
        <v>3.2</v>
      </c>
      <c r="G946" s="581">
        <v>2.7</v>
      </c>
      <c r="H946" s="581">
        <v>0</v>
      </c>
      <c r="I946" s="549">
        <f t="shared" si="94"/>
        <v>8.64</v>
      </c>
      <c r="J946" s="550" t="s">
        <v>102</v>
      </c>
      <c r="K946" s="39"/>
      <c r="L946" s="208"/>
      <c r="M946" s="39"/>
      <c r="N946" s="533" t="s">
        <v>2297</v>
      </c>
    </row>
    <row r="947" spans="1:14" s="541" customFormat="1" ht="16.5" customHeight="1">
      <c r="A947" s="16"/>
      <c r="B947" s="577" t="s">
        <v>2962</v>
      </c>
      <c r="C947" s="578">
        <v>1</v>
      </c>
      <c r="D947" s="579" t="s">
        <v>273</v>
      </c>
      <c r="E947" s="580">
        <v>1</v>
      </c>
      <c r="F947" s="581">
        <v>4.9000000000000004</v>
      </c>
      <c r="G947" s="581">
        <v>2.6</v>
      </c>
      <c r="H947" s="581">
        <v>0</v>
      </c>
      <c r="I947" s="549">
        <f t="shared" si="94"/>
        <v>12.74</v>
      </c>
      <c r="J947" s="550" t="s">
        <v>102</v>
      </c>
      <c r="K947" s="39"/>
      <c r="L947" s="208"/>
      <c r="M947" s="39"/>
      <c r="N947" s="533" t="s">
        <v>2297</v>
      </c>
    </row>
    <row r="948" spans="1:14" s="541" customFormat="1" ht="16.5" customHeight="1">
      <c r="A948" s="16"/>
      <c r="B948" s="544"/>
      <c r="C948" s="545"/>
      <c r="D948" s="546"/>
      <c r="E948" s="547"/>
      <c r="F948" s="548"/>
      <c r="G948" s="548"/>
      <c r="H948" s="548"/>
      <c r="I948" s="549"/>
      <c r="J948" s="550"/>
      <c r="K948" s="39"/>
      <c r="L948" s="208"/>
      <c r="M948" s="39"/>
      <c r="N948" s="533" t="s">
        <v>2297</v>
      </c>
    </row>
    <row r="949" spans="1:14" ht="15.75">
      <c r="A949" s="16"/>
      <c r="B949" s="39"/>
      <c r="C949" s="551"/>
      <c r="D949" s="552"/>
      <c r="E949" s="537"/>
      <c r="F949" s="538"/>
      <c r="G949" s="40"/>
      <c r="H949" s="16"/>
      <c r="I949" s="549"/>
      <c r="J949" s="550" t="s">
        <v>102</v>
      </c>
      <c r="K949" s="10">
        <f>data!F1597</f>
        <v>1051.0899999999999</v>
      </c>
      <c r="L949" s="208" t="s">
        <v>2297</v>
      </c>
      <c r="M949" s="9">
        <f>ROUND(I949*K949,0)</f>
        <v>0</v>
      </c>
      <c r="N949" s="533" t="s">
        <v>2297</v>
      </c>
    </row>
    <row r="950" spans="1:14" ht="106.5" customHeight="1">
      <c r="A950" s="16">
        <v>14</v>
      </c>
      <c r="B950" s="1633" t="s">
        <v>212</v>
      </c>
      <c r="C950" s="1633"/>
      <c r="D950" s="1633"/>
      <c r="E950" s="1633"/>
      <c r="F950" s="1633"/>
      <c r="G950" s="1633"/>
      <c r="H950" s="1633"/>
      <c r="I950" s="534"/>
      <c r="J950" s="535"/>
      <c r="K950" s="16"/>
      <c r="L950" s="208"/>
      <c r="M950" s="38"/>
      <c r="N950" s="533" t="s">
        <v>2308</v>
      </c>
    </row>
    <row r="951" spans="1:14" s="541" customFormat="1" ht="16.5" customHeight="1">
      <c r="A951" s="16"/>
      <c r="B951" s="39" t="s">
        <v>2807</v>
      </c>
      <c r="C951" s="563"/>
      <c r="D951" s="564"/>
      <c r="E951" s="565"/>
      <c r="F951" s="566"/>
      <c r="G951" s="566"/>
      <c r="H951" s="567"/>
      <c r="I951" s="568"/>
      <c r="J951" s="550"/>
      <c r="K951" s="39"/>
      <c r="L951" s="208"/>
      <c r="M951" s="39"/>
      <c r="N951" s="533" t="s">
        <v>2308</v>
      </c>
    </row>
    <row r="952" spans="1:14" s="541" customFormat="1" ht="16.5" customHeight="1">
      <c r="A952" s="16"/>
      <c r="B952" s="577" t="s">
        <v>587</v>
      </c>
      <c r="C952" s="578">
        <v>1</v>
      </c>
      <c r="D952" s="579" t="s">
        <v>273</v>
      </c>
      <c r="E952" s="580">
        <v>1</v>
      </c>
      <c r="F952" s="581">
        <v>3.35</v>
      </c>
      <c r="G952" s="581">
        <v>3.34</v>
      </c>
      <c r="H952" s="581">
        <v>0</v>
      </c>
      <c r="I952" s="549">
        <f>ROUND(IF(AND(F952:H952),C952*E952*F952*G952*H952,IF(AND(F952,G952),C952*E952*F952*G952,IF(AND(F952,H952),C952*E952*F952*H952,IF(AND(G952,H952),C952*E952*G952*H952,IF(F952,C952*E952*F952,IF(G952,C952*E952*G952,IF(H952,C952*E952*H952,C952*E952))))))),2)</f>
        <v>11.19</v>
      </c>
      <c r="J952" s="550" t="s">
        <v>102</v>
      </c>
      <c r="K952" s="39"/>
      <c r="L952" s="208"/>
      <c r="M952" s="39"/>
      <c r="N952" s="533" t="s">
        <v>2308</v>
      </c>
    </row>
    <row r="953" spans="1:14" s="541" customFormat="1" ht="16.5" customHeight="1">
      <c r="A953" s="16"/>
      <c r="B953" s="577" t="s">
        <v>1169</v>
      </c>
      <c r="C953" s="578">
        <v>1</v>
      </c>
      <c r="D953" s="579" t="s">
        <v>273</v>
      </c>
      <c r="E953" s="580">
        <v>1</v>
      </c>
      <c r="F953" s="581">
        <v>2.75</v>
      </c>
      <c r="G953" s="581">
        <v>3.34</v>
      </c>
      <c r="H953" s="581">
        <v>0</v>
      </c>
      <c r="I953" s="549">
        <f>ROUND(IF(AND(F953:H953),C953*E953*F953*G953*H953,IF(AND(F953,G953),C953*E953*F953*G953,IF(AND(F953,H953),C953*E953*F953*H953,IF(AND(G953,H953),C953*E953*G953*H953,IF(F953,C953*E953*F953,IF(G953,C953*E953*G953,IF(H953,C953*E953*H953,C953*E953))))))),2)</f>
        <v>9.19</v>
      </c>
      <c r="J953" s="550" t="s">
        <v>102</v>
      </c>
      <c r="K953" s="39"/>
      <c r="L953" s="208"/>
      <c r="M953" s="39"/>
      <c r="N953" s="533" t="s">
        <v>2308</v>
      </c>
    </row>
    <row r="954" spans="1:14" s="541" customFormat="1" ht="16.5" customHeight="1">
      <c r="A954" s="16"/>
      <c r="B954" s="577" t="s">
        <v>2199</v>
      </c>
      <c r="C954" s="578">
        <v>1</v>
      </c>
      <c r="D954" s="579" t="s">
        <v>273</v>
      </c>
      <c r="E954" s="580">
        <v>1</v>
      </c>
      <c r="F954" s="581">
        <v>2.78</v>
      </c>
      <c r="G954" s="581">
        <v>3.33</v>
      </c>
      <c r="H954" s="581">
        <v>0</v>
      </c>
      <c r="I954" s="549">
        <f>ROUND(IF(AND(F954:H954),C954*E954*F954*G954*H954,IF(AND(F954,G954),C954*E954*F954*G954,IF(AND(F954,H954),C954*E954*F954*H954,IF(AND(G954,H954),C954*E954*G954*H954,IF(F954,C954*E954*F954,IF(G954,C954*E954*G954,IF(H954,C954*E954*H954,C954*E954))))))),2)</f>
        <v>9.26</v>
      </c>
      <c r="J954" s="550" t="s">
        <v>102</v>
      </c>
      <c r="K954" s="39"/>
      <c r="L954" s="208"/>
      <c r="M954" s="39"/>
      <c r="N954" s="533" t="s">
        <v>2308</v>
      </c>
    </row>
    <row r="955" spans="1:14" s="541" customFormat="1" ht="16.5" customHeight="1">
      <c r="A955" s="16"/>
      <c r="B955" s="544"/>
      <c r="C955" s="545"/>
      <c r="D955" s="546"/>
      <c r="E955" s="547"/>
      <c r="F955" s="548"/>
      <c r="G955" s="548"/>
      <c r="H955" s="548"/>
      <c r="I955" s="549"/>
      <c r="J955" s="550"/>
      <c r="K955" s="39"/>
      <c r="L955" s="208"/>
      <c r="M955" s="39"/>
      <c r="N955" s="533" t="s">
        <v>2308</v>
      </c>
    </row>
    <row r="956" spans="1:14" ht="15.75">
      <c r="A956" s="16"/>
      <c r="B956" s="39"/>
      <c r="C956" s="551"/>
      <c r="D956" s="552"/>
      <c r="E956" s="537"/>
      <c r="F956" s="538"/>
      <c r="G956" s="40"/>
      <c r="H956" s="16"/>
      <c r="I956" s="549"/>
      <c r="J956" s="550" t="s">
        <v>102</v>
      </c>
      <c r="K956" s="10">
        <f>data!F2514</f>
        <v>1074.81</v>
      </c>
      <c r="L956" s="208" t="s">
        <v>2308</v>
      </c>
      <c r="M956" s="9">
        <f>ROUND(I956*K956,0)</f>
        <v>0</v>
      </c>
      <c r="N956" s="533" t="s">
        <v>2308</v>
      </c>
    </row>
    <row r="957" spans="1:14" ht="106.5" customHeight="1">
      <c r="A957" s="16">
        <v>14</v>
      </c>
      <c r="B957" s="1633" t="s">
        <v>212</v>
      </c>
      <c r="C957" s="1633"/>
      <c r="D957" s="1633"/>
      <c r="E957" s="1633"/>
      <c r="F957" s="1633"/>
      <c r="G957" s="1633"/>
      <c r="H957" s="1633"/>
      <c r="I957" s="534"/>
      <c r="J957" s="535"/>
      <c r="K957" s="16"/>
      <c r="L957" s="208"/>
      <c r="M957" s="38"/>
      <c r="N957" s="533" t="s">
        <v>2309</v>
      </c>
    </row>
    <row r="958" spans="1:14" s="541" customFormat="1" ht="16.5" customHeight="1">
      <c r="A958" s="16"/>
      <c r="B958" s="39" t="s">
        <v>2807</v>
      </c>
      <c r="C958" s="563"/>
      <c r="D958" s="564"/>
      <c r="E958" s="565"/>
      <c r="F958" s="566"/>
      <c r="G958" s="566"/>
      <c r="H958" s="567"/>
      <c r="I958" s="568"/>
      <c r="J958" s="550"/>
      <c r="K958" s="39"/>
      <c r="L958" s="208"/>
      <c r="M958" s="39"/>
      <c r="N958" s="533" t="s">
        <v>2309</v>
      </c>
    </row>
    <row r="959" spans="1:14" s="541" customFormat="1" ht="16.5" customHeight="1">
      <c r="A959" s="16"/>
      <c r="B959" s="577" t="s">
        <v>587</v>
      </c>
      <c r="C959" s="578">
        <v>1</v>
      </c>
      <c r="D959" s="579" t="s">
        <v>273</v>
      </c>
      <c r="E959" s="580">
        <v>1</v>
      </c>
      <c r="F959" s="581">
        <v>3.35</v>
      </c>
      <c r="G959" s="581">
        <v>3.34</v>
      </c>
      <c r="H959" s="581">
        <v>0</v>
      </c>
      <c r="I959" s="549">
        <f>ROUND(IF(AND(F959:H959),C959*E959*F959*G959*H959,IF(AND(F959,G959),C959*E959*F959*G959,IF(AND(F959,H959),C959*E959*F959*H959,IF(AND(G959,H959),C959*E959*G959*H959,IF(F959,C959*E959*F959,IF(G959,C959*E959*G959,IF(H959,C959*E959*H959,C959*E959))))))),2)</f>
        <v>11.19</v>
      </c>
      <c r="J959" s="550" t="s">
        <v>102</v>
      </c>
      <c r="K959" s="39"/>
      <c r="L959" s="208"/>
      <c r="M959" s="39"/>
      <c r="N959" s="533" t="s">
        <v>2309</v>
      </c>
    </row>
    <row r="960" spans="1:14" s="541" customFormat="1" ht="16.5" customHeight="1">
      <c r="A960" s="16"/>
      <c r="B960" s="577" t="s">
        <v>1169</v>
      </c>
      <c r="C960" s="578">
        <v>1</v>
      </c>
      <c r="D960" s="579" t="s">
        <v>273</v>
      </c>
      <c r="E960" s="580">
        <v>1</v>
      </c>
      <c r="F960" s="581">
        <v>2.75</v>
      </c>
      <c r="G960" s="581">
        <v>3.34</v>
      </c>
      <c r="H960" s="581">
        <v>0</v>
      </c>
      <c r="I960" s="549">
        <f>ROUND(IF(AND(F960:H960),C960*E960*F960*G960*H960,IF(AND(F960,G960),C960*E960*F960*G960,IF(AND(F960,H960),C960*E960*F960*H960,IF(AND(G960,H960),C960*E960*G960*H960,IF(F960,C960*E960*F960,IF(G960,C960*E960*G960,IF(H960,C960*E960*H960,C960*E960))))))),2)</f>
        <v>9.19</v>
      </c>
      <c r="J960" s="550" t="s">
        <v>102</v>
      </c>
      <c r="K960" s="39"/>
      <c r="L960" s="208"/>
      <c r="M960" s="39"/>
      <c r="N960" s="533" t="s">
        <v>2309</v>
      </c>
    </row>
    <row r="961" spans="1:14" s="541" customFormat="1" ht="16.5" customHeight="1">
      <c r="A961" s="16"/>
      <c r="B961" s="577" t="s">
        <v>2199</v>
      </c>
      <c r="C961" s="578">
        <v>1</v>
      </c>
      <c r="D961" s="579" t="s">
        <v>273</v>
      </c>
      <c r="E961" s="580">
        <v>1</v>
      </c>
      <c r="F961" s="581">
        <v>2.78</v>
      </c>
      <c r="G961" s="581">
        <v>3.33</v>
      </c>
      <c r="H961" s="581">
        <v>0</v>
      </c>
      <c r="I961" s="549">
        <f>ROUND(IF(AND(F961:H961),C961*E961*F961*G961*H961,IF(AND(F961,G961),C961*E961*F961*G961,IF(AND(F961,H961),C961*E961*F961*H961,IF(AND(G961,H961),C961*E961*G961*H961,IF(F961,C961*E961*F961,IF(G961,C961*E961*G961,IF(H961,C961*E961*H961,C961*E961))))))),2)</f>
        <v>9.26</v>
      </c>
      <c r="J961" s="550" t="s">
        <v>102</v>
      </c>
      <c r="K961" s="39"/>
      <c r="L961" s="208"/>
      <c r="M961" s="39"/>
      <c r="N961" s="533" t="s">
        <v>2309</v>
      </c>
    </row>
    <row r="962" spans="1:14" s="541" customFormat="1" ht="16.5" customHeight="1">
      <c r="A962" s="16"/>
      <c r="B962" s="544"/>
      <c r="C962" s="545"/>
      <c r="D962" s="546"/>
      <c r="E962" s="547"/>
      <c r="F962" s="548"/>
      <c r="G962" s="548"/>
      <c r="H962" s="548"/>
      <c r="I962" s="549"/>
      <c r="J962" s="550"/>
      <c r="K962" s="39"/>
      <c r="L962" s="208"/>
      <c r="M962" s="39"/>
      <c r="N962" s="533" t="s">
        <v>2309</v>
      </c>
    </row>
    <row r="963" spans="1:14" ht="15.75">
      <c r="A963" s="16"/>
      <c r="B963" s="39"/>
      <c r="C963" s="551"/>
      <c r="D963" s="552"/>
      <c r="E963" s="537"/>
      <c r="F963" s="538"/>
      <c r="G963" s="40"/>
      <c r="H963" s="16"/>
      <c r="I963" s="549"/>
      <c r="J963" s="550" t="s">
        <v>102</v>
      </c>
      <c r="K963" s="10">
        <f>data!F3431</f>
        <v>1103.3900000000001</v>
      </c>
      <c r="L963" s="208" t="s">
        <v>2309</v>
      </c>
      <c r="M963" s="9">
        <f>ROUND(I963*K963,0)</f>
        <v>0</v>
      </c>
      <c r="N963" s="533" t="s">
        <v>2309</v>
      </c>
    </row>
    <row r="964" spans="1:14" ht="79.5" customHeight="1">
      <c r="A964" s="16">
        <v>15</v>
      </c>
      <c r="B964" s="1633" t="s">
        <v>213</v>
      </c>
      <c r="C964" s="1633"/>
      <c r="D964" s="1633"/>
      <c r="E964" s="1633"/>
      <c r="F964" s="1633"/>
      <c r="G964" s="1633"/>
      <c r="H964" s="1633"/>
      <c r="I964" s="534"/>
      <c r="J964" s="535"/>
      <c r="K964" s="16"/>
      <c r="L964" s="208"/>
      <c r="M964" s="38"/>
      <c r="N964" s="533" t="s">
        <v>2209</v>
      </c>
    </row>
    <row r="965" spans="1:14" s="541" customFormat="1" ht="16.5" customHeight="1">
      <c r="A965" s="16"/>
      <c r="B965" s="39" t="s">
        <v>2816</v>
      </c>
      <c r="C965" s="563"/>
      <c r="D965" s="564"/>
      <c r="E965" s="565"/>
      <c r="F965" s="566"/>
      <c r="G965" s="566"/>
      <c r="H965" s="567"/>
      <c r="I965" s="568"/>
      <c r="J965" s="550"/>
      <c r="K965" s="39"/>
      <c r="L965" s="208"/>
      <c r="M965" s="39"/>
      <c r="N965" s="533" t="s">
        <v>2209</v>
      </c>
    </row>
    <row r="966" spans="1:14" s="541" customFormat="1" ht="16.5" customHeight="1">
      <c r="A966" s="16"/>
      <c r="B966" s="577" t="s">
        <v>587</v>
      </c>
      <c r="C966" s="578">
        <v>1</v>
      </c>
      <c r="D966" s="579" t="s">
        <v>273</v>
      </c>
      <c r="E966" s="580">
        <v>1</v>
      </c>
      <c r="F966" s="581">
        <v>12.33</v>
      </c>
      <c r="G966" s="581">
        <v>0</v>
      </c>
      <c r="H966" s="581">
        <v>0.1</v>
      </c>
      <c r="I966" s="549">
        <f t="shared" ref="I966" si="95">ROUND(IF(AND(F966:H966),C966*E966*F966*G966*H966,IF(AND(F966,G966),C966*E966*F966*G966,IF(AND(F966,H966),C966*E966*F966*H966,IF(AND(G966,H966),C966*E966*G966*H966,IF(F966,C966*E966*F966,IF(G966,C966*E966*G966,IF(H966,C966*E966*H966,C966*E966))))))),2)</f>
        <v>1.23</v>
      </c>
      <c r="J966" s="550" t="s">
        <v>102</v>
      </c>
      <c r="K966" s="39"/>
      <c r="L966" s="208"/>
      <c r="M966" s="39"/>
      <c r="N966" s="533" t="s">
        <v>2209</v>
      </c>
    </row>
    <row r="967" spans="1:14" s="541" customFormat="1" ht="16.5" customHeight="1">
      <c r="A967" s="16"/>
      <c r="B967" s="577" t="s">
        <v>1169</v>
      </c>
      <c r="C967" s="578">
        <v>1</v>
      </c>
      <c r="D967" s="579" t="s">
        <v>273</v>
      </c>
      <c r="E967" s="580">
        <v>1</v>
      </c>
      <c r="F967" s="581">
        <v>11.33</v>
      </c>
      <c r="G967" s="581">
        <v>0</v>
      </c>
      <c r="H967" s="581">
        <v>0.1</v>
      </c>
      <c r="I967" s="549">
        <f t="shared" ref="I967:I968" si="96">ROUND(IF(AND(F967:H967),C967*E967*F967*G967*H967,IF(AND(F967,G967),C967*E967*F967*G967,IF(AND(F967,H967),C967*E967*F967*H967,IF(AND(G967,H967),C967*E967*G967*H967,IF(F967,C967*E967*F967,IF(G967,C967*E967*G967,IF(H967,C967*E967*H967,C967*E967))))))),2)</f>
        <v>1.1299999999999999</v>
      </c>
      <c r="J967" s="550" t="s">
        <v>102</v>
      </c>
      <c r="K967" s="39"/>
      <c r="L967" s="208"/>
      <c r="M967" s="39"/>
      <c r="N967" s="533" t="s">
        <v>2209</v>
      </c>
    </row>
    <row r="968" spans="1:14" s="541" customFormat="1" ht="16.5" customHeight="1">
      <c r="A968" s="16"/>
      <c r="B968" s="577" t="s">
        <v>658</v>
      </c>
      <c r="C968" s="578">
        <v>1</v>
      </c>
      <c r="D968" s="579" t="s">
        <v>273</v>
      </c>
      <c r="E968" s="580">
        <v>1</v>
      </c>
      <c r="F968" s="581">
        <v>14.8</v>
      </c>
      <c r="G968" s="581">
        <v>0</v>
      </c>
      <c r="H968" s="581">
        <v>0.1</v>
      </c>
      <c r="I968" s="549">
        <f t="shared" si="96"/>
        <v>1.48</v>
      </c>
      <c r="J968" s="550" t="s">
        <v>102</v>
      </c>
      <c r="K968" s="39"/>
      <c r="L968" s="208"/>
      <c r="M968" s="39"/>
      <c r="N968" s="533" t="s">
        <v>2209</v>
      </c>
    </row>
    <row r="969" spans="1:14" s="541" customFormat="1" ht="16.5" customHeight="1">
      <c r="A969" s="16"/>
      <c r="B969" s="544"/>
      <c r="C969" s="545"/>
      <c r="D969" s="546"/>
      <c r="E969" s="547"/>
      <c r="F969" s="548"/>
      <c r="G969" s="548"/>
      <c r="H969" s="548"/>
      <c r="I969" s="549"/>
      <c r="J969" s="550"/>
      <c r="K969" s="39"/>
      <c r="L969" s="208"/>
      <c r="M969" s="39"/>
      <c r="N969" s="533" t="s">
        <v>2209</v>
      </c>
    </row>
    <row r="970" spans="1:14" ht="15.75">
      <c r="A970" s="16"/>
      <c r="B970" s="39"/>
      <c r="C970" s="551"/>
      <c r="D970" s="552"/>
      <c r="E970" s="537"/>
      <c r="F970" s="538"/>
      <c r="G970" s="40"/>
      <c r="H970" s="16"/>
      <c r="I970" s="549"/>
      <c r="J970" s="550" t="s">
        <v>102</v>
      </c>
      <c r="K970" s="10">
        <f>data!F698</f>
        <v>1015.94</v>
      </c>
      <c r="L970" s="208" t="s">
        <v>2209</v>
      </c>
      <c r="M970" s="9">
        <f>ROUND(I970*K970,0)</f>
        <v>0</v>
      </c>
      <c r="N970" s="533" t="s">
        <v>2209</v>
      </c>
    </row>
    <row r="971" spans="1:14" ht="79.5" customHeight="1">
      <c r="A971" s="16">
        <v>14</v>
      </c>
      <c r="B971" s="1633" t="s">
        <v>213</v>
      </c>
      <c r="C971" s="1633"/>
      <c r="D971" s="1633"/>
      <c r="E971" s="1633"/>
      <c r="F971" s="1633"/>
      <c r="G971" s="1633"/>
      <c r="H971" s="1633"/>
      <c r="I971" s="534"/>
      <c r="J971" s="535"/>
      <c r="K971" s="16"/>
      <c r="L971" s="208"/>
      <c r="M971" s="38"/>
      <c r="N971" s="533" t="s">
        <v>2297</v>
      </c>
    </row>
    <row r="972" spans="1:14" s="541" customFormat="1" ht="16.5" customHeight="1">
      <c r="A972" s="16"/>
      <c r="B972" s="39" t="s">
        <v>2963</v>
      </c>
      <c r="C972" s="563"/>
      <c r="D972" s="564"/>
      <c r="E972" s="565"/>
      <c r="F972" s="566"/>
      <c r="G972" s="566"/>
      <c r="H972" s="567"/>
      <c r="I972" s="568"/>
      <c r="J972" s="550"/>
      <c r="K972" s="39"/>
      <c r="L972" s="208"/>
      <c r="M972" s="39"/>
      <c r="N972" s="533" t="s">
        <v>2297</v>
      </c>
    </row>
    <row r="973" spans="1:14" s="541" customFormat="1" ht="16.5" customHeight="1">
      <c r="A973" s="16"/>
      <c r="B973" s="577" t="s">
        <v>223</v>
      </c>
      <c r="C973" s="578">
        <v>1</v>
      </c>
      <c r="D973" s="579" t="s">
        <v>273</v>
      </c>
      <c r="E973" s="580">
        <v>1</v>
      </c>
      <c r="F973" s="581">
        <v>17.2</v>
      </c>
      <c r="G973" s="581">
        <v>0</v>
      </c>
      <c r="H973" s="581">
        <v>0.1</v>
      </c>
      <c r="I973" s="549">
        <f t="shared" ref="I973" si="97">ROUND(IF(AND(F973:H973),C973*E973*F973*G973*H973,IF(AND(F973,G973),C973*E973*F973*G973,IF(AND(F973,H973),C973*E973*F973*H973,IF(AND(G973,H973),C973*E973*G973*H973,IF(F973,C973*E973*F973,IF(G973,C973*E973*G973,IF(H973,C973*E973*H973,C973*E973))))))),2)</f>
        <v>1.72</v>
      </c>
      <c r="J973" s="550" t="s">
        <v>102</v>
      </c>
      <c r="K973" s="39"/>
      <c r="L973" s="208"/>
      <c r="M973" s="39"/>
      <c r="N973" s="533" t="s">
        <v>2297</v>
      </c>
    </row>
    <row r="974" spans="1:14" s="541" customFormat="1" ht="16.5" customHeight="1">
      <c r="A974" s="16"/>
      <c r="B974" s="577" t="s">
        <v>579</v>
      </c>
      <c r="C974" s="578">
        <v>1</v>
      </c>
      <c r="D974" s="579" t="s">
        <v>273</v>
      </c>
      <c r="E974" s="580">
        <v>2</v>
      </c>
      <c r="F974" s="581">
        <v>1.2</v>
      </c>
      <c r="G974" s="581">
        <v>0</v>
      </c>
      <c r="H974" s="581">
        <v>0.1</v>
      </c>
      <c r="I974" s="549">
        <f>-ROUND(IF(AND(F974:H974),C974*E974*F974*G974*H974,IF(AND(F974,G974),C974*E974*F974*G974,IF(AND(F974,H974),C974*E974*F974*H974,IF(AND(G974,H974),C974*E974*G974*H974,IF(F974,C974*E974*F974,IF(G974,C974*E974*G974,IF(H974,C974*E974*H974,C974*E974))))))),2)</f>
        <v>-0.24</v>
      </c>
      <c r="J974" s="550" t="s">
        <v>102</v>
      </c>
      <c r="K974" s="39"/>
      <c r="L974" s="208"/>
      <c r="M974" s="39"/>
      <c r="N974" s="533" t="s">
        <v>2297</v>
      </c>
    </row>
    <row r="975" spans="1:14" s="541" customFormat="1" ht="16.5" customHeight="1">
      <c r="A975" s="16"/>
      <c r="B975" s="577" t="s">
        <v>587</v>
      </c>
      <c r="C975" s="578">
        <v>1</v>
      </c>
      <c r="D975" s="579" t="s">
        <v>273</v>
      </c>
      <c r="E975" s="580">
        <v>1</v>
      </c>
      <c r="F975" s="581">
        <v>13</v>
      </c>
      <c r="G975" s="581">
        <v>0</v>
      </c>
      <c r="H975" s="581">
        <v>0.1</v>
      </c>
      <c r="I975" s="549">
        <f t="shared" ref="I975:I983" si="98">ROUND(IF(AND(F975:H975),C975*E975*F975*G975*H975,IF(AND(F975,G975),C975*E975*F975*G975,IF(AND(F975,H975),C975*E975*F975*H975,IF(AND(G975,H975),C975*E975*G975*H975,IF(F975,C975*E975*F975,IF(G975,C975*E975*G975,IF(H975,C975*E975*H975,C975*E975))))))),2)</f>
        <v>1.3</v>
      </c>
      <c r="J975" s="550" t="s">
        <v>102</v>
      </c>
      <c r="K975" s="39"/>
      <c r="L975" s="208"/>
      <c r="M975" s="39"/>
      <c r="N975" s="533" t="s">
        <v>2297</v>
      </c>
    </row>
    <row r="976" spans="1:14" s="541" customFormat="1" ht="16.5" customHeight="1">
      <c r="A976" s="16"/>
      <c r="B976" s="577" t="s">
        <v>2723</v>
      </c>
      <c r="C976" s="578">
        <v>1</v>
      </c>
      <c r="D976" s="579" t="s">
        <v>273</v>
      </c>
      <c r="E976" s="580">
        <v>1</v>
      </c>
      <c r="F976" s="581">
        <v>11.8</v>
      </c>
      <c r="G976" s="581">
        <v>0</v>
      </c>
      <c r="H976" s="581">
        <v>0.1</v>
      </c>
      <c r="I976" s="549">
        <f t="shared" si="98"/>
        <v>1.18</v>
      </c>
      <c r="J976" s="550" t="s">
        <v>102</v>
      </c>
      <c r="K976" s="39"/>
      <c r="L976" s="208"/>
      <c r="M976" s="39"/>
      <c r="N976" s="533" t="s">
        <v>2297</v>
      </c>
    </row>
    <row r="977" spans="1:14" s="541" customFormat="1" ht="16.5" customHeight="1">
      <c r="A977" s="16"/>
      <c r="B977" s="577" t="s">
        <v>2356</v>
      </c>
      <c r="C977" s="578">
        <v>1</v>
      </c>
      <c r="D977" s="579" t="s">
        <v>273</v>
      </c>
      <c r="E977" s="580">
        <v>1</v>
      </c>
      <c r="F977" s="581">
        <v>11.8</v>
      </c>
      <c r="G977" s="581">
        <v>0</v>
      </c>
      <c r="H977" s="581">
        <v>0.1</v>
      </c>
      <c r="I977" s="549">
        <f t="shared" si="98"/>
        <v>1.18</v>
      </c>
      <c r="J977" s="550" t="s">
        <v>102</v>
      </c>
      <c r="K977" s="39"/>
      <c r="L977" s="208"/>
      <c r="M977" s="39"/>
      <c r="N977" s="533" t="s">
        <v>2297</v>
      </c>
    </row>
    <row r="978" spans="1:14" s="541" customFormat="1" ht="16.5" customHeight="1">
      <c r="A978" s="16"/>
      <c r="B978" s="577" t="s">
        <v>579</v>
      </c>
      <c r="C978" s="578">
        <v>1</v>
      </c>
      <c r="D978" s="579" t="s">
        <v>273</v>
      </c>
      <c r="E978" s="580">
        <v>3</v>
      </c>
      <c r="F978" s="581">
        <v>1.05</v>
      </c>
      <c r="G978" s="581">
        <v>0</v>
      </c>
      <c r="H978" s="581">
        <v>0.1</v>
      </c>
      <c r="I978" s="549">
        <f>-ROUND(IF(AND(F978:H978),C978*E978*F978*G978*H978,IF(AND(F978,G978),C978*E978*F978*G978,IF(AND(F978,H978),C978*E978*F978*H978,IF(AND(G978,H978),C978*E978*G978*H978,IF(F978,C978*E978*F978,IF(G978,C978*E978*G978,IF(H978,C978*E978*H978,C978*E978))))))),2)</f>
        <v>-0.32</v>
      </c>
      <c r="J978" s="550" t="s">
        <v>102</v>
      </c>
      <c r="K978" s="39"/>
      <c r="L978" s="208"/>
      <c r="M978" s="39"/>
      <c r="N978" s="533" t="s">
        <v>2297</v>
      </c>
    </row>
    <row r="979" spans="1:14" s="541" customFormat="1" ht="16.5" customHeight="1">
      <c r="A979" s="16"/>
      <c r="B979" s="577" t="s">
        <v>2962</v>
      </c>
      <c r="C979" s="578">
        <v>1</v>
      </c>
      <c r="D979" s="579" t="s">
        <v>273</v>
      </c>
      <c r="E979" s="580">
        <v>1</v>
      </c>
      <c r="F979" s="581">
        <v>15</v>
      </c>
      <c r="G979" s="581">
        <v>0</v>
      </c>
      <c r="H979" s="581">
        <v>0.1</v>
      </c>
      <c r="I979" s="549">
        <f t="shared" si="98"/>
        <v>1.5</v>
      </c>
      <c r="J979" s="550" t="s">
        <v>102</v>
      </c>
      <c r="K979" s="39"/>
      <c r="L979" s="208"/>
      <c r="M979" s="39"/>
      <c r="N979" s="533" t="s">
        <v>2297</v>
      </c>
    </row>
    <row r="980" spans="1:14" s="541" customFormat="1" ht="16.5" customHeight="1">
      <c r="A980" s="16"/>
      <c r="B980" s="577" t="s">
        <v>579</v>
      </c>
      <c r="C980" s="578">
        <v>1</v>
      </c>
      <c r="D980" s="579" t="s">
        <v>273</v>
      </c>
      <c r="E980" s="580">
        <v>2</v>
      </c>
      <c r="F980" s="581">
        <v>1.3</v>
      </c>
      <c r="G980" s="581">
        <v>0</v>
      </c>
      <c r="H980" s="581">
        <v>0.1</v>
      </c>
      <c r="I980" s="549">
        <f>-ROUND(IF(AND(F980:H980),C980*E980*F980*G980*H980,IF(AND(F980,G980),C980*E980*F980*G980,IF(AND(F980,H980),C980*E980*F980*H980,IF(AND(G980,H980),C980*E980*G980*H980,IF(F980,C980*E980*F980,IF(G980,C980*E980*G980,IF(H980,C980*E980*H980,C980*E980))))))),2)</f>
        <v>-0.26</v>
      </c>
      <c r="J980" s="550" t="s">
        <v>102</v>
      </c>
      <c r="K980" s="39"/>
      <c r="L980" s="208"/>
      <c r="M980" s="39"/>
      <c r="N980" s="533" t="s">
        <v>2297</v>
      </c>
    </row>
    <row r="981" spans="1:14" s="541" customFormat="1" ht="16.5" customHeight="1">
      <c r="A981" s="16"/>
      <c r="B981" s="577" t="s">
        <v>579</v>
      </c>
      <c r="C981" s="578">
        <v>1</v>
      </c>
      <c r="D981" s="579" t="s">
        <v>273</v>
      </c>
      <c r="E981" s="580">
        <v>1</v>
      </c>
      <c r="F981" s="581">
        <v>1.05</v>
      </c>
      <c r="G981" s="581">
        <v>0</v>
      </c>
      <c r="H981" s="581">
        <v>0.1</v>
      </c>
      <c r="I981" s="549">
        <f>-ROUND(IF(AND(F981:H981),C981*E981*F981*G981*H981,IF(AND(F981,G981),C981*E981*F981*G981,IF(AND(F981,H981),C981*E981*F981*H981,IF(AND(G981,H981),C981*E981*G981*H981,IF(F981,C981*E981*F981,IF(G981,C981*E981*G981,IF(H981,C981*E981*H981,C981*E981))))))),2)</f>
        <v>-0.11</v>
      </c>
      <c r="J981" s="550" t="s">
        <v>102</v>
      </c>
      <c r="K981" s="39"/>
      <c r="L981" s="208"/>
      <c r="M981" s="39"/>
      <c r="N981" s="533" t="s">
        <v>2297</v>
      </c>
    </row>
    <row r="982" spans="1:14" s="541" customFormat="1" ht="16.5" customHeight="1">
      <c r="A982" s="16"/>
      <c r="B982" s="577" t="s">
        <v>802</v>
      </c>
      <c r="C982" s="578">
        <v>1</v>
      </c>
      <c r="D982" s="579" t="s">
        <v>273</v>
      </c>
      <c r="E982" s="580">
        <v>1</v>
      </c>
      <c r="F982" s="581">
        <v>2.6</v>
      </c>
      <c r="G982" s="581">
        <v>0</v>
      </c>
      <c r="H982" s="581">
        <v>0.1</v>
      </c>
      <c r="I982" s="549">
        <f>-ROUND(IF(AND(F982:H982),C982*E982*F982*G982*H982,IF(AND(F982,G982),C982*E982*F982*G982,IF(AND(F982,H982),C982*E982*F982*H982,IF(AND(G982,H982),C982*E982*G982*H982,IF(F982,C982*E982*F982,IF(G982,C982*E982*G982,IF(H982,C982*E982*H982,C982*E982))))))),2)</f>
        <v>-0.26</v>
      </c>
      <c r="J982" s="550" t="s">
        <v>102</v>
      </c>
      <c r="K982" s="39"/>
      <c r="L982" s="208"/>
      <c r="M982" s="39"/>
      <c r="N982" s="533" t="s">
        <v>2297</v>
      </c>
    </row>
    <row r="983" spans="1:14" s="541" customFormat="1" ht="16.5" customHeight="1">
      <c r="A983" s="16"/>
      <c r="B983" s="577" t="s">
        <v>2930</v>
      </c>
      <c r="C983" s="578">
        <v>1</v>
      </c>
      <c r="D983" s="579" t="s">
        <v>273</v>
      </c>
      <c r="E983" s="580">
        <v>1</v>
      </c>
      <c r="F983" s="581">
        <v>21.2</v>
      </c>
      <c r="G983" s="581">
        <v>0</v>
      </c>
      <c r="H983" s="581">
        <v>0.1</v>
      </c>
      <c r="I983" s="549">
        <f t="shared" si="98"/>
        <v>2.12</v>
      </c>
      <c r="J983" s="550" t="s">
        <v>102</v>
      </c>
      <c r="K983" s="39"/>
      <c r="L983" s="208"/>
      <c r="M983" s="39"/>
      <c r="N983" s="533" t="s">
        <v>2297</v>
      </c>
    </row>
    <row r="984" spans="1:14" s="541" customFormat="1" ht="16.5" customHeight="1">
      <c r="A984" s="16"/>
      <c r="B984" s="577" t="s">
        <v>579</v>
      </c>
      <c r="C984" s="578">
        <v>1</v>
      </c>
      <c r="D984" s="579" t="s">
        <v>273</v>
      </c>
      <c r="E984" s="580">
        <v>3</v>
      </c>
      <c r="F984" s="581">
        <v>1.05</v>
      </c>
      <c r="G984" s="581">
        <v>0</v>
      </c>
      <c r="H984" s="581">
        <v>0.1</v>
      </c>
      <c r="I984" s="549">
        <f>-ROUND(IF(AND(F984:H984),C984*E984*F984*G984*H984,IF(AND(F984,G984),C984*E984*F984*G984,IF(AND(F984,H984),C984*E984*F984*H984,IF(AND(G984,H984),C984*E984*G984*H984,IF(F984,C984*E984*F984,IF(G984,C984*E984*G984,IF(H984,C984*E984*H984,C984*E984))))))),2)</f>
        <v>-0.32</v>
      </c>
      <c r="J984" s="550" t="s">
        <v>102</v>
      </c>
      <c r="K984" s="39"/>
      <c r="L984" s="208"/>
      <c r="M984" s="39"/>
      <c r="N984" s="533" t="s">
        <v>2297</v>
      </c>
    </row>
    <row r="985" spans="1:14" s="541" customFormat="1" ht="16.5" customHeight="1">
      <c r="A985" s="16"/>
      <c r="B985" s="577" t="s">
        <v>579</v>
      </c>
      <c r="C985" s="578">
        <v>1</v>
      </c>
      <c r="D985" s="579" t="s">
        <v>273</v>
      </c>
      <c r="E985" s="580">
        <v>1</v>
      </c>
      <c r="F985" s="581">
        <v>1.3</v>
      </c>
      <c r="G985" s="581">
        <v>0</v>
      </c>
      <c r="H985" s="581">
        <v>0.1</v>
      </c>
      <c r="I985" s="549">
        <f>-ROUND(IF(AND(F985:H985),C985*E985*F985*G985*H985,IF(AND(F985,G985),C985*E985*F985*G985,IF(AND(F985,H985),C985*E985*F985*H985,IF(AND(G985,H985),C985*E985*G985*H985,IF(F985,C985*E985*F985,IF(G985,C985*E985*G985,IF(H985,C985*E985*H985,C985*E985))))))),2)</f>
        <v>-0.13</v>
      </c>
      <c r="J985" s="550" t="s">
        <v>102</v>
      </c>
      <c r="K985" s="39"/>
      <c r="L985" s="208"/>
      <c r="M985" s="39"/>
      <c r="N985" s="533" t="s">
        <v>2297</v>
      </c>
    </row>
    <row r="986" spans="1:14" s="541" customFormat="1" ht="16.5" customHeight="1">
      <c r="A986" s="16"/>
      <c r="B986" s="577" t="s">
        <v>579</v>
      </c>
      <c r="C986" s="578">
        <v>1</v>
      </c>
      <c r="D986" s="579" t="s">
        <v>273</v>
      </c>
      <c r="E986" s="580">
        <v>1</v>
      </c>
      <c r="F986" s="581">
        <v>1.2</v>
      </c>
      <c r="G986" s="581">
        <v>0</v>
      </c>
      <c r="H986" s="581">
        <v>0.1</v>
      </c>
      <c r="I986" s="549">
        <f>-ROUND(IF(AND(F986:H986),C986*E986*F986*G986*H986,IF(AND(F986,G986),C986*E986*F986*G986,IF(AND(F986,H986),C986*E986*F986*H986,IF(AND(G986,H986),C986*E986*G986*H986,IF(F986,C986*E986*F986,IF(G986,C986*E986*G986,IF(H986,C986*E986*H986,C986*E986))))))),2)</f>
        <v>-0.12</v>
      </c>
      <c r="J986" s="550" t="s">
        <v>102</v>
      </c>
      <c r="K986" s="39"/>
      <c r="L986" s="208"/>
      <c r="M986" s="39"/>
      <c r="N986" s="533" t="s">
        <v>2297</v>
      </c>
    </row>
    <row r="987" spans="1:14" s="541" customFormat="1" ht="16.5" customHeight="1">
      <c r="A987" s="16"/>
      <c r="B987" s="544"/>
      <c r="C987" s="545"/>
      <c r="D987" s="546"/>
      <c r="E987" s="547"/>
      <c r="F987" s="548"/>
      <c r="G987" s="548"/>
      <c r="H987" s="548"/>
      <c r="I987" s="549"/>
      <c r="J987" s="550"/>
      <c r="K987" s="39"/>
      <c r="L987" s="208"/>
      <c r="M987" s="39"/>
      <c r="N987" s="533" t="s">
        <v>2297</v>
      </c>
    </row>
    <row r="988" spans="1:14" ht="15.75">
      <c r="A988" s="16"/>
      <c r="B988" s="39"/>
      <c r="C988" s="551"/>
      <c r="D988" s="552"/>
      <c r="E988" s="537"/>
      <c r="F988" s="538"/>
      <c r="G988" s="40"/>
      <c r="H988" s="16"/>
      <c r="I988" s="549"/>
      <c r="J988" s="550" t="s">
        <v>102</v>
      </c>
      <c r="K988" s="10">
        <f>data!F1615</f>
        <v>1046.76</v>
      </c>
      <c r="L988" s="208" t="s">
        <v>2297</v>
      </c>
      <c r="M988" s="9">
        <f>ROUND(I988*K988,0)</f>
        <v>0</v>
      </c>
      <c r="N988" s="533" t="s">
        <v>2297</v>
      </c>
    </row>
    <row r="989" spans="1:14" ht="79.5" customHeight="1">
      <c r="A989" s="16">
        <v>15</v>
      </c>
      <c r="B989" s="1633" t="s">
        <v>213</v>
      </c>
      <c r="C989" s="1633"/>
      <c r="D989" s="1633"/>
      <c r="E989" s="1633"/>
      <c r="F989" s="1633"/>
      <c r="G989" s="1633"/>
      <c r="H989" s="1633"/>
      <c r="I989" s="534"/>
      <c r="J989" s="535"/>
      <c r="K989" s="16"/>
      <c r="L989" s="208"/>
      <c r="M989" s="38"/>
      <c r="N989" s="533" t="s">
        <v>2308</v>
      </c>
    </row>
    <row r="990" spans="1:14" s="541" customFormat="1" ht="16.5" customHeight="1">
      <c r="A990" s="16"/>
      <c r="B990" s="39" t="s">
        <v>2816</v>
      </c>
      <c r="C990" s="563"/>
      <c r="D990" s="564"/>
      <c r="E990" s="565"/>
      <c r="F990" s="566"/>
      <c r="G990" s="566"/>
      <c r="H990" s="567"/>
      <c r="I990" s="568"/>
      <c r="J990" s="550"/>
      <c r="K990" s="39"/>
      <c r="L990" s="208"/>
      <c r="M990" s="39"/>
      <c r="N990" s="533" t="s">
        <v>2308</v>
      </c>
    </row>
    <row r="991" spans="1:14" s="541" customFormat="1" ht="16.5" customHeight="1">
      <c r="A991" s="16"/>
      <c r="B991" s="577" t="s">
        <v>587</v>
      </c>
      <c r="C991" s="578">
        <v>1</v>
      </c>
      <c r="D991" s="579" t="s">
        <v>273</v>
      </c>
      <c r="E991" s="580">
        <v>1</v>
      </c>
      <c r="F991" s="581">
        <v>12.33</v>
      </c>
      <c r="G991" s="581">
        <v>0</v>
      </c>
      <c r="H991" s="581">
        <v>0.1</v>
      </c>
      <c r="I991" s="549">
        <f>ROUND(IF(AND(F991:H991),C991*E991*F991*G991*H991,IF(AND(F991,G991),C991*E991*F991*G991,IF(AND(F991,H991),C991*E991*F991*H991,IF(AND(G991,H991),C991*E991*G991*H991,IF(F991,C991*E991*F991,IF(G991,C991*E991*G991,IF(H991,C991*E991*H991,C991*E991))))))),2)</f>
        <v>1.23</v>
      </c>
      <c r="J991" s="550" t="s">
        <v>102</v>
      </c>
      <c r="K991" s="39"/>
      <c r="L991" s="208"/>
      <c r="M991" s="39"/>
      <c r="N991" s="533" t="s">
        <v>2308</v>
      </c>
    </row>
    <row r="992" spans="1:14" s="541" customFormat="1" ht="16.5" customHeight="1">
      <c r="A992" s="16"/>
      <c r="B992" s="577" t="s">
        <v>1169</v>
      </c>
      <c r="C992" s="578">
        <v>1</v>
      </c>
      <c r="D992" s="579" t="s">
        <v>273</v>
      </c>
      <c r="E992" s="580">
        <v>1</v>
      </c>
      <c r="F992" s="581">
        <v>11.33</v>
      </c>
      <c r="G992" s="581">
        <v>0</v>
      </c>
      <c r="H992" s="581">
        <v>0.1</v>
      </c>
      <c r="I992" s="549">
        <f>ROUND(IF(AND(F992:H992),C992*E992*F992*G992*H992,IF(AND(F992,G992),C992*E992*F992*G992,IF(AND(F992,H992),C992*E992*F992*H992,IF(AND(G992,H992),C992*E992*G992*H992,IF(F992,C992*E992*F992,IF(G992,C992*E992*G992,IF(H992,C992*E992*H992,C992*E992))))))),2)</f>
        <v>1.1299999999999999</v>
      </c>
      <c r="J992" s="550" t="s">
        <v>102</v>
      </c>
      <c r="K992" s="39"/>
      <c r="L992" s="208"/>
      <c r="M992" s="39"/>
      <c r="N992" s="533" t="s">
        <v>2308</v>
      </c>
    </row>
    <row r="993" spans="1:14" s="541" customFormat="1" ht="16.5" customHeight="1">
      <c r="A993" s="16"/>
      <c r="B993" s="577" t="s">
        <v>658</v>
      </c>
      <c r="C993" s="578">
        <v>1</v>
      </c>
      <c r="D993" s="579" t="s">
        <v>273</v>
      </c>
      <c r="E993" s="580">
        <v>1</v>
      </c>
      <c r="F993" s="581">
        <v>14.8</v>
      </c>
      <c r="G993" s="581">
        <v>0</v>
      </c>
      <c r="H993" s="581">
        <v>0.1</v>
      </c>
      <c r="I993" s="549">
        <f>ROUND(IF(AND(F993:H993),C993*E993*F993*G993*H993,IF(AND(F993,G993),C993*E993*F993*G993,IF(AND(F993,H993),C993*E993*F993*H993,IF(AND(G993,H993),C993*E993*G993*H993,IF(F993,C993*E993*F993,IF(G993,C993*E993*G993,IF(H993,C993*E993*H993,C993*E993))))))),2)</f>
        <v>1.48</v>
      </c>
      <c r="J993" s="550" t="s">
        <v>102</v>
      </c>
      <c r="K993" s="39"/>
      <c r="L993" s="208"/>
      <c r="M993" s="39"/>
      <c r="N993" s="533" t="s">
        <v>2308</v>
      </c>
    </row>
    <row r="994" spans="1:14" s="541" customFormat="1" ht="16.5" customHeight="1">
      <c r="A994" s="16"/>
      <c r="B994" s="544"/>
      <c r="C994" s="545"/>
      <c r="D994" s="546"/>
      <c r="E994" s="547"/>
      <c r="F994" s="548"/>
      <c r="G994" s="548"/>
      <c r="H994" s="548"/>
      <c r="I994" s="549"/>
      <c r="J994" s="550"/>
      <c r="K994" s="39"/>
      <c r="L994" s="208"/>
      <c r="M994" s="39"/>
      <c r="N994" s="533" t="s">
        <v>2308</v>
      </c>
    </row>
    <row r="995" spans="1:14" ht="15.75">
      <c r="A995" s="16"/>
      <c r="B995" s="39"/>
      <c r="C995" s="551"/>
      <c r="D995" s="552"/>
      <c r="E995" s="537"/>
      <c r="F995" s="538"/>
      <c r="G995" s="40"/>
      <c r="H995" s="16"/>
      <c r="I995" s="549"/>
      <c r="J995" s="550" t="s">
        <v>102</v>
      </c>
      <c r="K995" s="10">
        <f>data!F2532</f>
        <v>1069.8699999999999</v>
      </c>
      <c r="L995" s="208" t="s">
        <v>2308</v>
      </c>
      <c r="M995" s="9">
        <f>ROUND(I995*K995,0)</f>
        <v>0</v>
      </c>
      <c r="N995" s="533" t="s">
        <v>2308</v>
      </c>
    </row>
    <row r="996" spans="1:14" ht="79.5" customHeight="1">
      <c r="A996" s="16">
        <v>15</v>
      </c>
      <c r="B996" s="1633" t="s">
        <v>213</v>
      </c>
      <c r="C996" s="1633"/>
      <c r="D996" s="1633"/>
      <c r="E996" s="1633"/>
      <c r="F996" s="1633"/>
      <c r="G996" s="1633"/>
      <c r="H996" s="1633"/>
      <c r="I996" s="534"/>
      <c r="J996" s="535"/>
      <c r="K996" s="16"/>
      <c r="L996" s="208"/>
      <c r="M996" s="38"/>
      <c r="N996" s="533" t="s">
        <v>2309</v>
      </c>
    </row>
    <row r="997" spans="1:14" s="541" customFormat="1" ht="16.5" customHeight="1">
      <c r="A997" s="16"/>
      <c r="B997" s="39" t="s">
        <v>2816</v>
      </c>
      <c r="C997" s="563"/>
      <c r="D997" s="564"/>
      <c r="E997" s="565"/>
      <c r="F997" s="566"/>
      <c r="G997" s="566"/>
      <c r="H997" s="567"/>
      <c r="I997" s="568"/>
      <c r="J997" s="550"/>
      <c r="K997" s="39"/>
      <c r="L997" s="208"/>
      <c r="M997" s="39"/>
      <c r="N997" s="533" t="s">
        <v>2309</v>
      </c>
    </row>
    <row r="998" spans="1:14" s="541" customFormat="1" ht="16.5" customHeight="1">
      <c r="A998" s="16"/>
      <c r="B998" s="577" t="s">
        <v>587</v>
      </c>
      <c r="C998" s="578">
        <v>1</v>
      </c>
      <c r="D998" s="579" t="s">
        <v>273</v>
      </c>
      <c r="E998" s="580">
        <v>1</v>
      </c>
      <c r="F998" s="581">
        <v>12.33</v>
      </c>
      <c r="G998" s="581">
        <v>0</v>
      </c>
      <c r="H998" s="581">
        <v>0.1</v>
      </c>
      <c r="I998" s="549">
        <f>ROUND(IF(AND(F998:H998),C998*E998*F998*G998*H998,IF(AND(F998,G998),C998*E998*F998*G998,IF(AND(F998,H998),C998*E998*F998*H998,IF(AND(G998,H998),C998*E998*G998*H998,IF(F998,C998*E998*F998,IF(G998,C998*E998*G998,IF(H998,C998*E998*H998,C998*E998))))))),2)</f>
        <v>1.23</v>
      </c>
      <c r="J998" s="550" t="s">
        <v>102</v>
      </c>
      <c r="K998" s="39"/>
      <c r="L998" s="208"/>
      <c r="M998" s="39"/>
      <c r="N998" s="533" t="s">
        <v>2309</v>
      </c>
    </row>
    <row r="999" spans="1:14" s="541" customFormat="1" ht="16.5" customHeight="1">
      <c r="A999" s="16"/>
      <c r="B999" s="577" t="s">
        <v>1169</v>
      </c>
      <c r="C999" s="578">
        <v>1</v>
      </c>
      <c r="D999" s="579" t="s">
        <v>273</v>
      </c>
      <c r="E999" s="580">
        <v>1</v>
      </c>
      <c r="F999" s="581">
        <v>11.33</v>
      </c>
      <c r="G999" s="581">
        <v>0</v>
      </c>
      <c r="H999" s="581">
        <v>0.1</v>
      </c>
      <c r="I999" s="549">
        <f>ROUND(IF(AND(F999:H999),C999*E999*F999*G999*H999,IF(AND(F999,G999),C999*E999*F999*G999,IF(AND(F999,H999),C999*E999*F999*H999,IF(AND(G999,H999),C999*E999*G999*H999,IF(F999,C999*E999*F999,IF(G999,C999*E999*G999,IF(H999,C999*E999*H999,C999*E999))))))),2)</f>
        <v>1.1299999999999999</v>
      </c>
      <c r="J999" s="550" t="s">
        <v>102</v>
      </c>
      <c r="K999" s="39"/>
      <c r="L999" s="208"/>
      <c r="M999" s="39"/>
      <c r="N999" s="533" t="s">
        <v>2309</v>
      </c>
    </row>
    <row r="1000" spans="1:14" s="541" customFormat="1" ht="16.5" customHeight="1">
      <c r="A1000" s="16"/>
      <c r="B1000" s="577" t="s">
        <v>658</v>
      </c>
      <c r="C1000" s="578">
        <v>1</v>
      </c>
      <c r="D1000" s="579" t="s">
        <v>273</v>
      </c>
      <c r="E1000" s="580">
        <v>1</v>
      </c>
      <c r="F1000" s="581">
        <v>14.8</v>
      </c>
      <c r="G1000" s="581">
        <v>0</v>
      </c>
      <c r="H1000" s="581">
        <v>0.1</v>
      </c>
      <c r="I1000" s="549">
        <f>ROUND(IF(AND(F1000:H1000),C1000*E1000*F1000*G1000*H1000,IF(AND(F1000,G1000),C1000*E1000*F1000*G1000,IF(AND(F1000,H1000),C1000*E1000*F1000*H1000,IF(AND(G1000,H1000),C1000*E1000*G1000*H1000,IF(F1000,C1000*E1000*F1000,IF(G1000,C1000*E1000*G1000,IF(H1000,C1000*E1000*H1000,C1000*E1000))))))),2)</f>
        <v>1.48</v>
      </c>
      <c r="J1000" s="550" t="s">
        <v>102</v>
      </c>
      <c r="K1000" s="39"/>
      <c r="L1000" s="208"/>
      <c r="M1000" s="39"/>
      <c r="N1000" s="533" t="s">
        <v>2309</v>
      </c>
    </row>
    <row r="1001" spans="1:14" s="541" customFormat="1" ht="16.5" customHeight="1">
      <c r="A1001" s="16"/>
      <c r="B1001" s="544"/>
      <c r="C1001" s="545"/>
      <c r="D1001" s="546"/>
      <c r="E1001" s="547"/>
      <c r="F1001" s="548"/>
      <c r="G1001" s="548"/>
      <c r="H1001" s="548"/>
      <c r="I1001" s="549"/>
      <c r="J1001" s="550"/>
      <c r="K1001" s="39"/>
      <c r="L1001" s="208"/>
      <c r="M1001" s="39"/>
      <c r="N1001" s="533" t="s">
        <v>2309</v>
      </c>
    </row>
    <row r="1002" spans="1:14" ht="15.75">
      <c r="A1002" s="16"/>
      <c r="B1002" s="39"/>
      <c r="C1002" s="551"/>
      <c r="D1002" s="552"/>
      <c r="E1002" s="537"/>
      <c r="F1002" s="538"/>
      <c r="G1002" s="40"/>
      <c r="H1002" s="16"/>
      <c r="I1002" s="549"/>
      <c r="J1002" s="550" t="s">
        <v>102</v>
      </c>
      <c r="K1002" s="10">
        <f>data!F3449</f>
        <v>1098.05</v>
      </c>
      <c r="L1002" s="208" t="s">
        <v>2309</v>
      </c>
      <c r="M1002" s="9">
        <f>ROUND(I1002*K1002,0)</f>
        <v>0</v>
      </c>
      <c r="N1002" s="533" t="s">
        <v>2309</v>
      </c>
    </row>
    <row r="1003" spans="1:14" ht="108" customHeight="1">
      <c r="A1003" s="16">
        <v>16</v>
      </c>
      <c r="B1003" s="1633" t="s">
        <v>665</v>
      </c>
      <c r="C1003" s="1633"/>
      <c r="D1003" s="1633"/>
      <c r="E1003" s="1633"/>
      <c r="F1003" s="1633"/>
      <c r="G1003" s="1633"/>
      <c r="H1003" s="1633"/>
      <c r="I1003" s="534"/>
      <c r="J1003" s="535"/>
      <c r="K1003" s="16"/>
      <c r="L1003" s="208"/>
      <c r="M1003" s="38"/>
      <c r="N1003" s="533" t="s">
        <v>2209</v>
      </c>
    </row>
    <row r="1004" spans="1:14" s="541" customFormat="1" ht="16.5" customHeight="1">
      <c r="A1004" s="16"/>
      <c r="B1004" s="39" t="s">
        <v>2817</v>
      </c>
      <c r="C1004" s="563"/>
      <c r="D1004" s="564"/>
      <c r="E1004" s="565"/>
      <c r="F1004" s="566"/>
      <c r="G1004" s="566"/>
      <c r="H1004" s="567"/>
      <c r="I1004" s="568"/>
      <c r="J1004" s="550"/>
      <c r="K1004" s="39"/>
      <c r="L1004" s="208"/>
      <c r="M1004" s="39"/>
      <c r="N1004" s="533" t="s">
        <v>2209</v>
      </c>
    </row>
    <row r="1005" spans="1:14" s="541" customFormat="1" ht="16.5" customHeight="1">
      <c r="A1005" s="16"/>
      <c r="B1005" s="577" t="s">
        <v>2162</v>
      </c>
      <c r="C1005" s="578">
        <v>1</v>
      </c>
      <c r="D1005" s="579" t="s">
        <v>273</v>
      </c>
      <c r="E1005" s="580">
        <v>11</v>
      </c>
      <c r="F1005" s="581">
        <v>1.35</v>
      </c>
      <c r="G1005" s="581">
        <v>0.3</v>
      </c>
      <c r="H1005" s="581">
        <v>0</v>
      </c>
      <c r="I1005" s="549">
        <f t="shared" ref="I1005:I1007" si="99">ROUND(IF(AND(F1005:H1005),C1005*E1005*F1005*G1005*H1005,IF(AND(F1005,G1005),C1005*E1005*F1005*G1005,IF(AND(F1005,H1005),C1005*E1005*F1005*H1005,IF(AND(G1005,H1005),C1005*E1005*G1005*H1005,IF(F1005,C1005*E1005*F1005,IF(G1005,C1005*E1005*G1005,IF(H1005,C1005*E1005*H1005,C1005*E1005))))))),2)</f>
        <v>4.46</v>
      </c>
      <c r="J1005" s="550" t="s">
        <v>102</v>
      </c>
      <c r="K1005" s="39"/>
      <c r="L1005" s="208"/>
      <c r="M1005" s="39"/>
      <c r="N1005" s="533" t="s">
        <v>2209</v>
      </c>
    </row>
    <row r="1006" spans="1:14" s="541" customFormat="1" ht="16.5" customHeight="1">
      <c r="A1006" s="16"/>
      <c r="B1006" s="577"/>
      <c r="C1006" s="578">
        <v>1</v>
      </c>
      <c r="D1006" s="579" t="s">
        <v>273</v>
      </c>
      <c r="E1006" s="580">
        <v>1</v>
      </c>
      <c r="F1006" s="581">
        <v>1.3</v>
      </c>
      <c r="G1006" s="581">
        <v>0.3</v>
      </c>
      <c r="H1006" s="581">
        <v>0</v>
      </c>
      <c r="I1006" s="549">
        <f t="shared" si="99"/>
        <v>0.39</v>
      </c>
      <c r="J1006" s="550" t="s">
        <v>102</v>
      </c>
      <c r="K1006" s="39"/>
      <c r="L1006" s="208"/>
      <c r="M1006" s="39"/>
      <c r="N1006" s="533" t="s">
        <v>2209</v>
      </c>
    </row>
    <row r="1007" spans="1:14" s="541" customFormat="1" ht="16.5" customHeight="1">
      <c r="A1007" s="16"/>
      <c r="B1007" s="577" t="s">
        <v>2163</v>
      </c>
      <c r="C1007" s="578">
        <v>1</v>
      </c>
      <c r="D1007" s="579" t="s">
        <v>273</v>
      </c>
      <c r="E1007" s="580">
        <v>11</v>
      </c>
      <c r="F1007" s="581">
        <v>1.32</v>
      </c>
      <c r="G1007" s="581">
        <v>0.3</v>
      </c>
      <c r="H1007" s="581">
        <v>0</v>
      </c>
      <c r="I1007" s="549">
        <f t="shared" si="99"/>
        <v>4.3600000000000003</v>
      </c>
      <c r="J1007" s="550" t="s">
        <v>102</v>
      </c>
      <c r="K1007" s="39"/>
      <c r="L1007" s="208"/>
      <c r="M1007" s="39"/>
      <c r="N1007" s="533" t="s">
        <v>2209</v>
      </c>
    </row>
    <row r="1008" spans="1:14" s="541" customFormat="1" ht="16.5" customHeight="1">
      <c r="A1008" s="16"/>
      <c r="B1008" s="577"/>
      <c r="C1008" s="578"/>
      <c r="D1008" s="579"/>
      <c r="E1008" s="580"/>
      <c r="F1008" s="581"/>
      <c r="G1008" s="581"/>
      <c r="H1008" s="581"/>
      <c r="I1008" s="549"/>
      <c r="J1008" s="550"/>
      <c r="K1008" s="39"/>
      <c r="L1008" s="208"/>
      <c r="M1008" s="39"/>
      <c r="N1008" s="533" t="s">
        <v>2209</v>
      </c>
    </row>
    <row r="1009" spans="1:14" ht="15.75">
      <c r="A1009" s="16"/>
      <c r="B1009" s="39"/>
      <c r="C1009" s="551"/>
      <c r="D1009" s="552"/>
      <c r="E1009" s="537"/>
      <c r="F1009" s="538"/>
      <c r="G1009" s="40"/>
      <c r="H1009" s="16"/>
      <c r="I1009" s="549"/>
      <c r="J1009" s="550" t="s">
        <v>102</v>
      </c>
      <c r="K1009" s="10">
        <f>data!F602</f>
        <v>2881.3</v>
      </c>
      <c r="L1009" s="208" t="s">
        <v>2209</v>
      </c>
      <c r="M1009" s="9">
        <f>ROUND(I1009*K1009,0)</f>
        <v>0</v>
      </c>
      <c r="N1009" s="533" t="s">
        <v>2209</v>
      </c>
    </row>
    <row r="1010" spans="1:14" ht="108" customHeight="1">
      <c r="A1010" s="16">
        <v>15</v>
      </c>
      <c r="B1010" s="1633" t="s">
        <v>665</v>
      </c>
      <c r="C1010" s="1633"/>
      <c r="D1010" s="1633"/>
      <c r="E1010" s="1633"/>
      <c r="F1010" s="1633"/>
      <c r="G1010" s="1633"/>
      <c r="H1010" s="1633"/>
      <c r="I1010" s="534"/>
      <c r="J1010" s="535"/>
      <c r="K1010" s="16"/>
      <c r="L1010" s="208"/>
      <c r="M1010" s="38"/>
      <c r="N1010" s="533" t="s">
        <v>2297</v>
      </c>
    </row>
    <row r="1011" spans="1:14" s="541" customFormat="1" ht="16.5" customHeight="1">
      <c r="A1011" s="16"/>
      <c r="B1011" s="39" t="s">
        <v>2730</v>
      </c>
      <c r="C1011" s="563"/>
      <c r="D1011" s="564"/>
      <c r="E1011" s="565"/>
      <c r="F1011" s="566"/>
      <c r="G1011" s="566"/>
      <c r="H1011" s="567"/>
      <c r="I1011" s="568"/>
      <c r="J1011" s="550"/>
      <c r="K1011" s="39"/>
      <c r="L1011" s="208"/>
      <c r="M1011" s="39"/>
      <c r="N1011" s="533" t="s">
        <v>2297</v>
      </c>
    </row>
    <row r="1012" spans="1:14" s="541" customFormat="1" ht="16.5" customHeight="1">
      <c r="A1012" s="16"/>
      <c r="B1012" s="577" t="s">
        <v>2728</v>
      </c>
      <c r="C1012" s="578">
        <v>1</v>
      </c>
      <c r="D1012" s="579" t="s">
        <v>273</v>
      </c>
      <c r="E1012" s="580">
        <v>11</v>
      </c>
      <c r="F1012" s="581">
        <v>1.3</v>
      </c>
      <c r="G1012" s="581">
        <v>0.3</v>
      </c>
      <c r="H1012" s="581">
        <v>0</v>
      </c>
      <c r="I1012" s="549">
        <f t="shared" ref="I1012:I1015" si="100">ROUND(IF(AND(F1012:H1012),C1012*E1012*F1012*G1012*H1012,IF(AND(F1012,G1012),C1012*E1012*F1012*G1012,IF(AND(F1012,H1012),C1012*E1012*F1012*H1012,IF(AND(G1012,H1012),C1012*E1012*G1012*H1012,IF(F1012,C1012*E1012*F1012,IF(G1012,C1012*E1012*G1012,IF(H1012,C1012*E1012*H1012,C1012*E1012))))))),2)</f>
        <v>4.29</v>
      </c>
      <c r="J1012" s="550" t="s">
        <v>102</v>
      </c>
      <c r="K1012" s="39"/>
      <c r="L1012" s="208"/>
      <c r="M1012" s="39"/>
      <c r="N1012" s="533" t="s">
        <v>2297</v>
      </c>
    </row>
    <row r="1013" spans="1:14" s="541" customFormat="1" ht="16.5" customHeight="1">
      <c r="A1013" s="16"/>
      <c r="B1013" s="577"/>
      <c r="C1013" s="578">
        <v>1</v>
      </c>
      <c r="D1013" s="579" t="s">
        <v>273</v>
      </c>
      <c r="E1013" s="580">
        <v>1</v>
      </c>
      <c r="F1013" s="581">
        <v>1.3</v>
      </c>
      <c r="G1013" s="581">
        <v>0.37</v>
      </c>
      <c r="H1013" s="581">
        <v>0</v>
      </c>
      <c r="I1013" s="549">
        <f t="shared" si="100"/>
        <v>0.48</v>
      </c>
      <c r="J1013" s="550" t="s">
        <v>102</v>
      </c>
      <c r="K1013" s="39"/>
      <c r="L1013" s="208"/>
      <c r="M1013" s="39"/>
      <c r="N1013" s="533" t="s">
        <v>2297</v>
      </c>
    </row>
    <row r="1014" spans="1:14" s="541" customFormat="1" ht="16.5" customHeight="1">
      <c r="A1014" s="16"/>
      <c r="B1014" s="577" t="s">
        <v>2725</v>
      </c>
      <c r="C1014" s="578">
        <v>1</v>
      </c>
      <c r="D1014" s="579" t="s">
        <v>273</v>
      </c>
      <c r="E1014" s="580">
        <v>1</v>
      </c>
      <c r="F1014" s="581">
        <v>2.95</v>
      </c>
      <c r="G1014" s="581">
        <v>0.86</v>
      </c>
      <c r="H1014" s="581">
        <v>0</v>
      </c>
      <c r="I1014" s="549">
        <f t="shared" ref="I1014" si="101">ROUND(IF(AND(F1014:H1014),C1014*E1014*F1014*G1014*H1014,IF(AND(F1014,G1014),C1014*E1014*F1014*G1014,IF(AND(F1014,H1014),C1014*E1014*F1014*H1014,IF(AND(G1014,H1014),C1014*E1014*G1014*H1014,IF(F1014,C1014*E1014*F1014,IF(G1014,C1014*E1014*G1014,IF(H1014,C1014*E1014*H1014,C1014*E1014))))))),2)</f>
        <v>2.54</v>
      </c>
      <c r="J1014" s="550" t="s">
        <v>102</v>
      </c>
      <c r="K1014" s="39"/>
      <c r="L1014" s="208"/>
      <c r="M1014" s="39"/>
      <c r="N1014" s="533" t="s">
        <v>2297</v>
      </c>
    </row>
    <row r="1015" spans="1:14" s="541" customFormat="1" ht="16.5" customHeight="1">
      <c r="A1015" s="16"/>
      <c r="B1015" s="577" t="s">
        <v>2729</v>
      </c>
      <c r="C1015" s="578">
        <v>1</v>
      </c>
      <c r="D1015" s="579" t="s">
        <v>273</v>
      </c>
      <c r="E1015" s="580">
        <v>11</v>
      </c>
      <c r="F1015" s="581">
        <v>1.3</v>
      </c>
      <c r="G1015" s="581">
        <v>0.3</v>
      </c>
      <c r="H1015" s="581">
        <v>0</v>
      </c>
      <c r="I1015" s="549">
        <f t="shared" si="100"/>
        <v>4.29</v>
      </c>
      <c r="J1015" s="550" t="s">
        <v>102</v>
      </c>
      <c r="K1015" s="39"/>
      <c r="L1015" s="208"/>
      <c r="M1015" s="39"/>
      <c r="N1015" s="533" t="s">
        <v>2297</v>
      </c>
    </row>
    <row r="1016" spans="1:14" s="541" customFormat="1" ht="16.5" customHeight="1">
      <c r="A1016" s="16"/>
      <c r="B1016" s="577"/>
      <c r="C1016" s="578"/>
      <c r="D1016" s="579"/>
      <c r="E1016" s="580"/>
      <c r="F1016" s="581"/>
      <c r="G1016" s="581"/>
      <c r="H1016" s="581"/>
      <c r="I1016" s="549"/>
      <c r="J1016" s="550"/>
      <c r="K1016" s="39"/>
      <c r="L1016" s="208"/>
      <c r="M1016" s="39"/>
      <c r="N1016" s="533" t="s">
        <v>2297</v>
      </c>
    </row>
    <row r="1017" spans="1:14" ht="15.75">
      <c r="A1017" s="16"/>
      <c r="B1017" s="39"/>
      <c r="C1017" s="551"/>
      <c r="D1017" s="552"/>
      <c r="E1017" s="537"/>
      <c r="F1017" s="538"/>
      <c r="G1017" s="40"/>
      <c r="H1017" s="16"/>
      <c r="I1017" s="549"/>
      <c r="J1017" s="550" t="s">
        <v>102</v>
      </c>
      <c r="K1017" s="10">
        <f>data!F1519</f>
        <v>2944.91</v>
      </c>
      <c r="L1017" s="208" t="s">
        <v>2297</v>
      </c>
      <c r="M1017" s="9">
        <f>ROUND(I1017*K1017,0)</f>
        <v>0</v>
      </c>
      <c r="N1017" s="533" t="s">
        <v>2297</v>
      </c>
    </row>
    <row r="1018" spans="1:14" ht="108" customHeight="1">
      <c r="A1018" s="16">
        <v>16</v>
      </c>
      <c r="B1018" s="1633" t="s">
        <v>665</v>
      </c>
      <c r="C1018" s="1633"/>
      <c r="D1018" s="1633"/>
      <c r="E1018" s="1633"/>
      <c r="F1018" s="1633"/>
      <c r="G1018" s="1633"/>
      <c r="H1018" s="1633"/>
      <c r="I1018" s="534"/>
      <c r="J1018" s="535"/>
      <c r="K1018" s="16"/>
      <c r="L1018" s="208"/>
      <c r="M1018" s="38"/>
      <c r="N1018" s="533" t="s">
        <v>2308</v>
      </c>
    </row>
    <row r="1019" spans="1:14" s="541" customFormat="1" ht="16.5" customHeight="1">
      <c r="A1019" s="16"/>
      <c r="B1019" s="39" t="s">
        <v>2817</v>
      </c>
      <c r="C1019" s="563"/>
      <c r="D1019" s="564"/>
      <c r="E1019" s="565"/>
      <c r="F1019" s="566"/>
      <c r="G1019" s="566"/>
      <c r="H1019" s="567"/>
      <c r="I1019" s="568"/>
      <c r="J1019" s="550"/>
      <c r="K1019" s="39"/>
      <c r="L1019" s="208"/>
      <c r="M1019" s="39"/>
      <c r="N1019" s="533" t="s">
        <v>2308</v>
      </c>
    </row>
    <row r="1020" spans="1:14" s="541" customFormat="1" ht="16.5" customHeight="1">
      <c r="A1020" s="16"/>
      <c r="B1020" s="577" t="s">
        <v>2162</v>
      </c>
      <c r="C1020" s="578">
        <v>1</v>
      </c>
      <c r="D1020" s="579" t="s">
        <v>273</v>
      </c>
      <c r="E1020" s="580">
        <v>11</v>
      </c>
      <c r="F1020" s="581">
        <v>1.35</v>
      </c>
      <c r="G1020" s="581">
        <v>0.3</v>
      </c>
      <c r="H1020" s="581">
        <v>0</v>
      </c>
      <c r="I1020" s="549">
        <f>ROUND(IF(AND(F1020:H1020),C1020*E1020*F1020*G1020*H1020,IF(AND(F1020,G1020),C1020*E1020*F1020*G1020,IF(AND(F1020,H1020),C1020*E1020*F1020*H1020,IF(AND(G1020,H1020),C1020*E1020*G1020*H1020,IF(F1020,C1020*E1020*F1020,IF(G1020,C1020*E1020*G1020,IF(H1020,C1020*E1020*H1020,C1020*E1020))))))),2)</f>
        <v>4.46</v>
      </c>
      <c r="J1020" s="550" t="s">
        <v>102</v>
      </c>
      <c r="K1020" s="39"/>
      <c r="L1020" s="208"/>
      <c r="M1020" s="39"/>
      <c r="N1020" s="533" t="s">
        <v>2308</v>
      </c>
    </row>
    <row r="1021" spans="1:14" s="541" customFormat="1" ht="16.5" customHeight="1">
      <c r="A1021" s="16"/>
      <c r="B1021" s="577"/>
      <c r="C1021" s="578">
        <v>1</v>
      </c>
      <c r="D1021" s="579" t="s">
        <v>273</v>
      </c>
      <c r="E1021" s="580">
        <v>1</v>
      </c>
      <c r="F1021" s="581">
        <v>1.3</v>
      </c>
      <c r="G1021" s="581">
        <v>0.3</v>
      </c>
      <c r="H1021" s="581">
        <v>0</v>
      </c>
      <c r="I1021" s="549">
        <f>ROUND(IF(AND(F1021:H1021),C1021*E1021*F1021*G1021*H1021,IF(AND(F1021,G1021),C1021*E1021*F1021*G1021,IF(AND(F1021,H1021),C1021*E1021*F1021*H1021,IF(AND(G1021,H1021),C1021*E1021*G1021*H1021,IF(F1021,C1021*E1021*F1021,IF(G1021,C1021*E1021*G1021,IF(H1021,C1021*E1021*H1021,C1021*E1021))))))),2)</f>
        <v>0.39</v>
      </c>
      <c r="J1021" s="550" t="s">
        <v>102</v>
      </c>
      <c r="K1021" s="39"/>
      <c r="L1021" s="208"/>
      <c r="M1021" s="39"/>
      <c r="N1021" s="533" t="s">
        <v>2308</v>
      </c>
    </row>
    <row r="1022" spans="1:14" s="541" customFormat="1" ht="16.5" customHeight="1">
      <c r="A1022" s="16"/>
      <c r="B1022" s="577" t="s">
        <v>2163</v>
      </c>
      <c r="C1022" s="578">
        <v>1</v>
      </c>
      <c r="D1022" s="579" t="s">
        <v>273</v>
      </c>
      <c r="E1022" s="580">
        <v>11</v>
      </c>
      <c r="F1022" s="581">
        <v>1.32</v>
      </c>
      <c r="G1022" s="581">
        <v>0.3</v>
      </c>
      <c r="H1022" s="581">
        <v>0</v>
      </c>
      <c r="I1022" s="549">
        <f>ROUND(IF(AND(F1022:H1022),C1022*E1022*F1022*G1022*H1022,IF(AND(F1022,G1022),C1022*E1022*F1022*G1022,IF(AND(F1022,H1022),C1022*E1022*F1022*H1022,IF(AND(G1022,H1022),C1022*E1022*G1022*H1022,IF(F1022,C1022*E1022*F1022,IF(G1022,C1022*E1022*G1022,IF(H1022,C1022*E1022*H1022,C1022*E1022))))))),2)</f>
        <v>4.3600000000000003</v>
      </c>
      <c r="J1022" s="550" t="s">
        <v>102</v>
      </c>
      <c r="K1022" s="39"/>
      <c r="L1022" s="208"/>
      <c r="M1022" s="39"/>
      <c r="N1022" s="533" t="s">
        <v>2308</v>
      </c>
    </row>
    <row r="1023" spans="1:14" s="541" customFormat="1" ht="16.5" customHeight="1">
      <c r="A1023" s="16"/>
      <c r="B1023" s="577"/>
      <c r="C1023" s="578"/>
      <c r="D1023" s="579"/>
      <c r="E1023" s="580"/>
      <c r="F1023" s="581"/>
      <c r="G1023" s="581"/>
      <c r="H1023" s="581"/>
      <c r="I1023" s="549"/>
      <c r="J1023" s="550"/>
      <c r="K1023" s="39"/>
      <c r="L1023" s="208"/>
      <c r="M1023" s="39"/>
      <c r="N1023" s="533" t="s">
        <v>2308</v>
      </c>
    </row>
    <row r="1024" spans="1:14" ht="15.75">
      <c r="A1024" s="16"/>
      <c r="B1024" s="39"/>
      <c r="C1024" s="551"/>
      <c r="D1024" s="552"/>
      <c r="E1024" s="537"/>
      <c r="F1024" s="538"/>
      <c r="G1024" s="40"/>
      <c r="H1024" s="16"/>
      <c r="I1024" s="549"/>
      <c r="J1024" s="550" t="s">
        <v>102</v>
      </c>
      <c r="K1024" s="10">
        <f>data!F2436</f>
        <v>3004.62</v>
      </c>
      <c r="L1024" s="208" t="s">
        <v>2308</v>
      </c>
      <c r="M1024" s="9">
        <f>ROUND(I1024*K1024,0)</f>
        <v>0</v>
      </c>
      <c r="N1024" s="533" t="s">
        <v>2308</v>
      </c>
    </row>
    <row r="1025" spans="1:14" ht="108" customHeight="1">
      <c r="A1025" s="16">
        <v>12</v>
      </c>
      <c r="B1025" s="1633" t="s">
        <v>665</v>
      </c>
      <c r="C1025" s="1633"/>
      <c r="D1025" s="1633"/>
      <c r="E1025" s="1633"/>
      <c r="F1025" s="1633"/>
      <c r="G1025" s="1633"/>
      <c r="H1025" s="1633"/>
      <c r="I1025" s="534"/>
      <c r="J1025" s="535"/>
      <c r="K1025" s="16"/>
      <c r="L1025" s="208"/>
      <c r="M1025" s="38"/>
      <c r="N1025" s="533" t="s">
        <v>2309</v>
      </c>
    </row>
    <row r="1026" spans="1:14" s="541" customFormat="1" ht="16.5" customHeight="1">
      <c r="A1026" s="16"/>
      <c r="B1026" s="39" t="s">
        <v>3031</v>
      </c>
      <c r="C1026" s="563"/>
      <c r="D1026" s="858" t="s">
        <v>3252</v>
      </c>
      <c r="E1026" s="565"/>
      <c r="F1026" s="566"/>
      <c r="G1026" s="566"/>
      <c r="H1026" s="567"/>
      <c r="I1026" s="568"/>
      <c r="J1026" s="550"/>
      <c r="K1026" s="39"/>
      <c r="L1026" s="208"/>
      <c r="M1026" s="39"/>
      <c r="N1026" s="533" t="s">
        <v>2309</v>
      </c>
    </row>
    <row r="1027" spans="1:14" s="541" customFormat="1" ht="16.5" customHeight="1">
      <c r="A1027" s="16"/>
      <c r="B1027" s="577" t="s">
        <v>2356</v>
      </c>
      <c r="C1027" s="578">
        <v>1</v>
      </c>
      <c r="D1027" s="579" t="s">
        <v>273</v>
      </c>
      <c r="E1027" s="580">
        <v>1</v>
      </c>
      <c r="F1027" s="581">
        <v>3.35</v>
      </c>
      <c r="G1027" s="581">
        <v>2.4900000000000002</v>
      </c>
      <c r="H1027" s="581">
        <v>0</v>
      </c>
      <c r="I1027" s="549">
        <f t="shared" ref="I1027:I1039" si="102">ROUND(IF(AND(F1027:H1027),C1027*E1027*F1027*G1027*H1027,IF(AND(F1027,G1027),C1027*E1027*F1027*G1027,IF(AND(F1027,H1027),C1027*E1027*F1027*H1027,IF(AND(G1027,H1027),C1027*E1027*G1027*H1027,IF(F1027,C1027*E1027*F1027,IF(G1027,C1027*E1027*G1027,IF(H1027,C1027*E1027*H1027,C1027*E1027))))))),2)</f>
        <v>8.34</v>
      </c>
      <c r="J1027" s="550" t="s">
        <v>102</v>
      </c>
      <c r="K1027" s="39"/>
      <c r="L1027" s="208"/>
      <c r="M1027" s="39"/>
      <c r="N1027" s="533" t="s">
        <v>2309</v>
      </c>
    </row>
    <row r="1028" spans="1:14" s="541" customFormat="1" ht="16.5" customHeight="1">
      <c r="A1028" s="16"/>
      <c r="B1028" s="577" t="s">
        <v>2723</v>
      </c>
      <c r="C1028" s="578">
        <v>1</v>
      </c>
      <c r="D1028" s="579" t="s">
        <v>273</v>
      </c>
      <c r="E1028" s="580">
        <v>1</v>
      </c>
      <c r="F1028" s="581">
        <v>3.35</v>
      </c>
      <c r="G1028" s="581">
        <v>2.88</v>
      </c>
      <c r="H1028" s="581">
        <v>0</v>
      </c>
      <c r="I1028" s="549">
        <f t="shared" si="102"/>
        <v>9.65</v>
      </c>
      <c r="J1028" s="550" t="s">
        <v>102</v>
      </c>
      <c r="K1028" s="39"/>
      <c r="L1028" s="208"/>
      <c r="M1028" s="39"/>
      <c r="N1028" s="533" t="s">
        <v>2309</v>
      </c>
    </row>
    <row r="1029" spans="1:14" s="541" customFormat="1" ht="16.5" customHeight="1">
      <c r="A1029" s="16"/>
      <c r="B1029" s="577" t="s">
        <v>587</v>
      </c>
      <c r="C1029" s="578">
        <v>1</v>
      </c>
      <c r="D1029" s="579" t="s">
        <v>273</v>
      </c>
      <c r="E1029" s="580">
        <v>1</v>
      </c>
      <c r="F1029" s="581">
        <v>3.35</v>
      </c>
      <c r="G1029" s="581">
        <v>3.12</v>
      </c>
      <c r="H1029" s="581">
        <v>0</v>
      </c>
      <c r="I1029" s="549">
        <f t="shared" si="102"/>
        <v>10.45</v>
      </c>
      <c r="J1029" s="550" t="s">
        <v>102</v>
      </c>
      <c r="K1029" s="39"/>
      <c r="L1029" s="208"/>
      <c r="M1029" s="39"/>
      <c r="N1029" s="533" t="s">
        <v>2309</v>
      </c>
    </row>
    <row r="1030" spans="1:14" s="541" customFormat="1" ht="16.5" customHeight="1">
      <c r="A1030" s="16"/>
      <c r="B1030" s="577" t="s">
        <v>3098</v>
      </c>
      <c r="C1030" s="578">
        <v>1</v>
      </c>
      <c r="D1030" s="579" t="s">
        <v>273</v>
      </c>
      <c r="E1030" s="580">
        <v>1</v>
      </c>
      <c r="F1030" s="581">
        <v>1.8</v>
      </c>
      <c r="G1030" s="581">
        <v>11.93</v>
      </c>
      <c r="H1030" s="581">
        <v>0</v>
      </c>
      <c r="I1030" s="549">
        <f t="shared" si="102"/>
        <v>21.47</v>
      </c>
      <c r="J1030" s="550" t="s">
        <v>102</v>
      </c>
      <c r="K1030" s="39"/>
      <c r="L1030" s="208"/>
      <c r="M1030" s="39"/>
      <c r="N1030" s="533" t="s">
        <v>2309</v>
      </c>
    </row>
    <row r="1031" spans="1:14" s="541" customFormat="1" ht="16.5" customHeight="1">
      <c r="A1031" s="16"/>
      <c r="B1031" s="577" t="s">
        <v>223</v>
      </c>
      <c r="C1031" s="578">
        <v>1</v>
      </c>
      <c r="D1031" s="579" t="s">
        <v>273</v>
      </c>
      <c r="E1031" s="580">
        <v>1</v>
      </c>
      <c r="F1031" s="581">
        <v>3</v>
      </c>
      <c r="G1031" s="581">
        <v>8.4499999999999993</v>
      </c>
      <c r="H1031" s="581">
        <v>0</v>
      </c>
      <c r="I1031" s="549">
        <f t="shared" si="102"/>
        <v>25.35</v>
      </c>
      <c r="J1031" s="550" t="s">
        <v>102</v>
      </c>
      <c r="K1031" s="39"/>
      <c r="L1031" s="208"/>
      <c r="M1031" s="39"/>
      <c r="N1031" s="533" t="s">
        <v>2309</v>
      </c>
    </row>
    <row r="1032" spans="1:14" s="541" customFormat="1" ht="16.5" customHeight="1">
      <c r="A1032" s="16"/>
      <c r="B1032" s="577" t="s">
        <v>3100</v>
      </c>
      <c r="C1032" s="578">
        <v>1</v>
      </c>
      <c r="D1032" s="579" t="s">
        <v>273</v>
      </c>
      <c r="E1032" s="580">
        <v>1</v>
      </c>
      <c r="F1032" s="581">
        <v>5.25</v>
      </c>
      <c r="G1032" s="581">
        <v>2.5</v>
      </c>
      <c r="H1032" s="581">
        <v>0</v>
      </c>
      <c r="I1032" s="549">
        <f t="shared" si="102"/>
        <v>13.13</v>
      </c>
      <c r="J1032" s="550" t="s">
        <v>102</v>
      </c>
      <c r="K1032" s="39"/>
      <c r="L1032" s="208"/>
      <c r="M1032" s="39"/>
      <c r="N1032" s="533" t="s">
        <v>2309</v>
      </c>
    </row>
    <row r="1033" spans="1:14" s="541" customFormat="1" ht="16.5" customHeight="1">
      <c r="A1033" s="16"/>
      <c r="B1033" s="577" t="s">
        <v>3099</v>
      </c>
      <c r="C1033" s="578">
        <v>1</v>
      </c>
      <c r="D1033" s="579" t="s">
        <v>273</v>
      </c>
      <c r="E1033" s="580">
        <v>1</v>
      </c>
      <c r="F1033" s="581">
        <v>9.15</v>
      </c>
      <c r="G1033" s="581">
        <v>0.75</v>
      </c>
      <c r="H1033" s="581">
        <v>0</v>
      </c>
      <c r="I1033" s="549">
        <f t="shared" si="102"/>
        <v>6.86</v>
      </c>
      <c r="J1033" s="550" t="s">
        <v>102</v>
      </c>
      <c r="K1033" s="39"/>
      <c r="L1033" s="208"/>
      <c r="M1033" s="39"/>
      <c r="N1033" s="533" t="s">
        <v>2309</v>
      </c>
    </row>
    <row r="1034" spans="1:14" s="541" customFormat="1" ht="16.5" customHeight="1">
      <c r="A1034" s="16"/>
      <c r="B1034" s="577" t="s">
        <v>3101</v>
      </c>
      <c r="C1034" s="578">
        <v>1</v>
      </c>
      <c r="D1034" s="579" t="s">
        <v>273</v>
      </c>
      <c r="E1034" s="580">
        <v>9</v>
      </c>
      <c r="F1034" s="581">
        <v>1.25</v>
      </c>
      <c r="G1034" s="581">
        <v>0.3</v>
      </c>
      <c r="H1034" s="581">
        <v>0</v>
      </c>
      <c r="I1034" s="549">
        <f t="shared" si="102"/>
        <v>3.38</v>
      </c>
      <c r="J1034" s="550" t="s">
        <v>102</v>
      </c>
      <c r="K1034" s="39"/>
      <c r="L1034" s="208"/>
      <c r="M1034" s="39"/>
      <c r="N1034" s="533" t="s">
        <v>2309</v>
      </c>
    </row>
    <row r="1035" spans="1:14" s="541" customFormat="1" ht="16.5" customHeight="1">
      <c r="A1035" s="16"/>
      <c r="B1035" s="577"/>
      <c r="C1035" s="578">
        <v>1</v>
      </c>
      <c r="D1035" s="579" t="s">
        <v>273</v>
      </c>
      <c r="E1035" s="580">
        <v>1</v>
      </c>
      <c r="F1035" s="581">
        <v>1.25</v>
      </c>
      <c r="G1035" s="581">
        <v>0.45</v>
      </c>
      <c r="H1035" s="581">
        <v>0</v>
      </c>
      <c r="I1035" s="549">
        <f t="shared" si="102"/>
        <v>0.56000000000000005</v>
      </c>
      <c r="J1035" s="550" t="s">
        <v>102</v>
      </c>
      <c r="K1035" s="39"/>
      <c r="L1035" s="208"/>
      <c r="M1035" s="39"/>
      <c r="N1035" s="533" t="s">
        <v>2309</v>
      </c>
    </row>
    <row r="1036" spans="1:14" s="541" customFormat="1" ht="16.5" customHeight="1">
      <c r="A1036" s="16"/>
      <c r="B1036" s="577" t="s">
        <v>2725</v>
      </c>
      <c r="C1036" s="578">
        <v>1</v>
      </c>
      <c r="D1036" s="579" t="s">
        <v>273</v>
      </c>
      <c r="E1036" s="580">
        <v>1</v>
      </c>
      <c r="F1036" s="581">
        <v>2.95</v>
      </c>
      <c r="G1036" s="581">
        <v>1.25</v>
      </c>
      <c r="H1036" s="581">
        <v>0</v>
      </c>
      <c r="I1036" s="549">
        <f t="shared" si="102"/>
        <v>3.69</v>
      </c>
      <c r="J1036" s="550" t="s">
        <v>102</v>
      </c>
      <c r="K1036" s="39"/>
      <c r="L1036" s="208"/>
      <c r="M1036" s="39"/>
      <c r="N1036" s="533" t="s">
        <v>2309</v>
      </c>
    </row>
    <row r="1037" spans="1:14" s="541" customFormat="1" ht="16.5" customHeight="1">
      <c r="A1037" s="16"/>
      <c r="B1037" s="577" t="s">
        <v>1610</v>
      </c>
      <c r="C1037" s="578">
        <v>1</v>
      </c>
      <c r="D1037" s="579" t="s">
        <v>273</v>
      </c>
      <c r="E1037" s="580">
        <v>1</v>
      </c>
      <c r="F1037" s="581">
        <v>0.1</v>
      </c>
      <c r="G1037" s="581">
        <v>0.38</v>
      </c>
      <c r="H1037" s="581">
        <v>0</v>
      </c>
      <c r="I1037" s="549">
        <f>-ROUND(IF(AND(F1037:H1037),C1037*E1037*F1037*G1037*H1037,IF(AND(F1037,G1037),C1037*E1037*F1037*G1037,IF(AND(F1037,H1037),C1037*E1037*F1037*H1037,IF(AND(G1037,H1037),C1037*E1037*G1037*H1037,IF(F1037,C1037*E1037*F1037,IF(G1037,C1037*E1037*G1037,IF(H1037,C1037*E1037*H1037,C1037*E1037))))))),2)</f>
        <v>-0.04</v>
      </c>
      <c r="J1037" s="550" t="s">
        <v>102</v>
      </c>
      <c r="K1037" s="39"/>
      <c r="L1037" s="208"/>
      <c r="M1037" s="39"/>
      <c r="N1037" s="533" t="s">
        <v>2309</v>
      </c>
    </row>
    <row r="1038" spans="1:14" s="541" customFormat="1" ht="16.5" customHeight="1">
      <c r="A1038" s="16"/>
      <c r="B1038" s="577" t="s">
        <v>3102</v>
      </c>
      <c r="C1038" s="578">
        <v>1</v>
      </c>
      <c r="D1038" s="579" t="s">
        <v>273</v>
      </c>
      <c r="E1038" s="580">
        <v>8</v>
      </c>
      <c r="F1038" s="581">
        <v>1.2</v>
      </c>
      <c r="G1038" s="581">
        <v>0.3</v>
      </c>
      <c r="H1038" s="581">
        <v>0</v>
      </c>
      <c r="I1038" s="549">
        <f t="shared" si="102"/>
        <v>2.88</v>
      </c>
      <c r="J1038" s="550" t="s">
        <v>102</v>
      </c>
      <c r="K1038" s="39"/>
      <c r="L1038" s="208"/>
      <c r="M1038" s="39"/>
      <c r="N1038" s="533" t="s">
        <v>2309</v>
      </c>
    </row>
    <row r="1039" spans="1:14" s="541" customFormat="1" ht="16.5" customHeight="1">
      <c r="A1039" s="16"/>
      <c r="B1039" s="577"/>
      <c r="C1039" s="578">
        <v>1</v>
      </c>
      <c r="D1039" s="579" t="s">
        <v>273</v>
      </c>
      <c r="E1039" s="580">
        <v>1</v>
      </c>
      <c r="F1039" s="581">
        <v>1.2</v>
      </c>
      <c r="G1039" s="581">
        <v>0.45</v>
      </c>
      <c r="H1039" s="581">
        <v>0</v>
      </c>
      <c r="I1039" s="549">
        <f t="shared" si="102"/>
        <v>0.54</v>
      </c>
      <c r="J1039" s="550" t="s">
        <v>102</v>
      </c>
      <c r="K1039" s="39"/>
      <c r="L1039" s="208"/>
      <c r="M1039" s="39"/>
      <c r="N1039" s="533" t="s">
        <v>2309</v>
      </c>
    </row>
    <row r="1040" spans="1:14" s="541" customFormat="1" ht="16.5" customHeight="1">
      <c r="A1040" s="16"/>
      <c r="B1040" s="577"/>
      <c r="C1040" s="578"/>
      <c r="D1040" s="579"/>
      <c r="E1040" s="580"/>
      <c r="F1040" s="581"/>
      <c r="G1040" s="581"/>
      <c r="H1040" s="581"/>
      <c r="I1040" s="549"/>
      <c r="J1040" s="550"/>
      <c r="K1040" s="39"/>
      <c r="L1040" s="208"/>
      <c r="M1040" s="39"/>
      <c r="N1040" s="533" t="s">
        <v>2309</v>
      </c>
    </row>
    <row r="1041" spans="1:14" ht="15.75">
      <c r="A1041" s="16"/>
      <c r="B1041" s="39"/>
      <c r="C1041" s="551"/>
      <c r="D1041" s="552"/>
      <c r="E1041" s="537"/>
      <c r="F1041" s="538"/>
      <c r="G1041" s="40"/>
      <c r="H1041" s="16"/>
      <c r="I1041" s="549"/>
      <c r="J1041" s="550" t="s">
        <v>102</v>
      </c>
      <c r="K1041" s="10">
        <f>data!F3353</f>
        <v>3181.62</v>
      </c>
      <c r="L1041" s="208" t="s">
        <v>2309</v>
      </c>
      <c r="M1041" s="9">
        <f>ROUND(I1041*K1041,0)</f>
        <v>0</v>
      </c>
      <c r="N1041" s="533" t="s">
        <v>2309</v>
      </c>
    </row>
    <row r="1042" spans="1:14" ht="93.75" customHeight="1">
      <c r="A1042" s="16">
        <v>17</v>
      </c>
      <c r="B1042" s="1633" t="s">
        <v>671</v>
      </c>
      <c r="C1042" s="1633"/>
      <c r="D1042" s="1633"/>
      <c r="E1042" s="1633"/>
      <c r="F1042" s="1633"/>
      <c r="G1042" s="1633"/>
      <c r="H1042" s="1633"/>
      <c r="I1042" s="534"/>
      <c r="J1042" s="535"/>
      <c r="K1042" s="16"/>
      <c r="L1042" s="208"/>
      <c r="M1042" s="38"/>
      <c r="N1042" s="533" t="s">
        <v>2209</v>
      </c>
    </row>
    <row r="1043" spans="1:14" s="541" customFormat="1" ht="16.5" customHeight="1">
      <c r="A1043" s="16"/>
      <c r="B1043" s="39" t="s">
        <v>2818</v>
      </c>
      <c r="C1043" s="563"/>
      <c r="D1043" s="564"/>
      <c r="E1043" s="565"/>
      <c r="F1043" s="566"/>
      <c r="G1043" s="566"/>
      <c r="H1043" s="567"/>
      <c r="I1043" s="568"/>
      <c r="J1043" s="550"/>
      <c r="K1043" s="39"/>
      <c r="L1043" s="16"/>
      <c r="M1043" s="39"/>
      <c r="N1043" s="533" t="s">
        <v>2209</v>
      </c>
    </row>
    <row r="1044" spans="1:14" s="541" customFormat="1" ht="16.5" customHeight="1">
      <c r="A1044" s="16"/>
      <c r="B1044" s="544" t="s">
        <v>2164</v>
      </c>
      <c r="C1044" s="545">
        <v>1</v>
      </c>
      <c r="D1044" s="546" t="s">
        <v>273</v>
      </c>
      <c r="E1044" s="547">
        <v>11</v>
      </c>
      <c r="F1044" s="548">
        <v>1.35</v>
      </c>
      <c r="G1044" s="548">
        <v>0.15</v>
      </c>
      <c r="H1044" s="548">
        <v>0</v>
      </c>
      <c r="I1044" s="549">
        <f>ROUND(IF(AND(F1044:H1044),C1044*E1044*F1044*G1044*H1044,IF(AND(F1044,G1044),C1044*E1044*F1044*G1044,IF(AND(F1044,H1044),C1044*E1044*F1044*H1044,IF(AND(G1044,H1044),C1044*E1044*G1044*H1044,IF(F1044,C1044*E1044*F1044,IF(G1044,C1044*E1044*G1044,IF(H1044,C1044*E1044*H1044,C1044*E1044))))))),2)</f>
        <v>2.23</v>
      </c>
      <c r="J1044" s="550" t="s">
        <v>102</v>
      </c>
      <c r="K1044" s="39"/>
      <c r="L1044" s="16"/>
      <c r="M1044" s="39"/>
      <c r="N1044" s="533" t="s">
        <v>2209</v>
      </c>
    </row>
    <row r="1045" spans="1:14" s="541" customFormat="1" ht="16.5" customHeight="1">
      <c r="A1045" s="16"/>
      <c r="B1045" s="544"/>
      <c r="C1045" s="545">
        <v>1</v>
      </c>
      <c r="D1045" s="546" t="s">
        <v>273</v>
      </c>
      <c r="E1045" s="547">
        <v>11</v>
      </c>
      <c r="F1045" s="548">
        <v>1.32</v>
      </c>
      <c r="G1045" s="548">
        <v>0.15</v>
      </c>
      <c r="H1045" s="548">
        <v>0</v>
      </c>
      <c r="I1045" s="549">
        <f>ROUND(IF(AND(F1045:H1045),C1045*E1045*F1045*G1045*H1045,IF(AND(F1045,G1045),C1045*E1045*F1045*G1045,IF(AND(F1045,H1045),C1045*E1045*F1045*H1045,IF(AND(G1045,H1045),C1045*E1045*G1045*H1045,IF(F1045,C1045*E1045*F1045,IF(G1045,C1045*E1045*G1045,IF(H1045,C1045*E1045*H1045,C1045*E1045))))))),2)</f>
        <v>2.1800000000000002</v>
      </c>
      <c r="J1045" s="550" t="s">
        <v>102</v>
      </c>
      <c r="K1045" s="39"/>
      <c r="L1045" s="16"/>
      <c r="M1045" s="39"/>
      <c r="N1045" s="533" t="s">
        <v>2209</v>
      </c>
    </row>
    <row r="1046" spans="1:14" s="541" customFormat="1" ht="16.5" customHeight="1">
      <c r="A1046" s="16"/>
      <c r="B1046" s="544" t="s">
        <v>800</v>
      </c>
      <c r="C1046" s="545">
        <v>1</v>
      </c>
      <c r="D1046" s="546" t="s">
        <v>273</v>
      </c>
      <c r="E1046" s="547">
        <v>11</v>
      </c>
      <c r="F1046" s="548">
        <v>0.4</v>
      </c>
      <c r="G1046" s="548">
        <v>0</v>
      </c>
      <c r="H1046" s="548">
        <v>0.14000000000000001</v>
      </c>
      <c r="I1046" s="549">
        <f>ROUND(IF(AND(F1046:H1046),C1046*E1046*F1046*G1046*H1046,IF(AND(F1046,G1046),C1046*E1046*F1046*G1046,IF(AND(F1046,H1046),C1046*E1046*F1046*H1046,IF(AND(G1046,H1046),C1046*E1046*G1046*H1046,IF(F1046,C1046*E1046*F1046,IF(G1046,C1046*E1046*G1046,IF(H1046,C1046*E1046*H1046,C1046*E1046))))))),2)</f>
        <v>0.62</v>
      </c>
      <c r="J1046" s="550" t="s">
        <v>102</v>
      </c>
      <c r="K1046" s="39"/>
      <c r="L1046" s="16"/>
      <c r="M1046" s="39"/>
      <c r="N1046" s="533" t="s">
        <v>2209</v>
      </c>
    </row>
    <row r="1047" spans="1:14" s="541" customFormat="1" ht="16.5" customHeight="1">
      <c r="A1047" s="16"/>
      <c r="B1047" s="544"/>
      <c r="C1047" s="545"/>
      <c r="D1047" s="546"/>
      <c r="E1047" s="547"/>
      <c r="F1047" s="548"/>
      <c r="G1047" s="548"/>
      <c r="H1047" s="548"/>
      <c r="I1047" s="549"/>
      <c r="J1047" s="550"/>
      <c r="K1047" s="39"/>
      <c r="L1047" s="208"/>
      <c r="M1047" s="39"/>
      <c r="N1047" s="533" t="s">
        <v>2209</v>
      </c>
    </row>
    <row r="1048" spans="1:14" ht="15.75">
      <c r="A1048" s="16"/>
      <c r="B1048" s="39"/>
      <c r="C1048" s="551"/>
      <c r="D1048" s="552"/>
      <c r="E1048" s="537"/>
      <c r="F1048" s="538"/>
      <c r="G1048" s="40"/>
      <c r="H1048" s="16"/>
      <c r="I1048" s="549"/>
      <c r="J1048" s="550" t="s">
        <v>102</v>
      </c>
      <c r="K1048" s="10">
        <f>data!F621</f>
        <v>2704.03</v>
      </c>
      <c r="L1048" s="208" t="s">
        <v>2209</v>
      </c>
      <c r="M1048" s="9">
        <f>ROUND(I1048*K1048,0)</f>
        <v>0</v>
      </c>
      <c r="N1048" s="533" t="s">
        <v>2209</v>
      </c>
    </row>
    <row r="1049" spans="1:14" ht="93.75" customHeight="1">
      <c r="A1049" s="16">
        <v>16</v>
      </c>
      <c r="B1049" s="1633" t="s">
        <v>671</v>
      </c>
      <c r="C1049" s="1633"/>
      <c r="D1049" s="1633"/>
      <c r="E1049" s="1633"/>
      <c r="F1049" s="1633"/>
      <c r="G1049" s="1633"/>
      <c r="H1049" s="1633"/>
      <c r="I1049" s="534"/>
      <c r="J1049" s="535"/>
      <c r="K1049" s="16"/>
      <c r="L1049" s="208"/>
      <c r="M1049" s="38"/>
      <c r="N1049" s="533" t="s">
        <v>2297</v>
      </c>
    </row>
    <row r="1050" spans="1:14" s="541" customFormat="1" ht="16.5" customHeight="1">
      <c r="A1050" s="16"/>
      <c r="B1050" s="39" t="s">
        <v>2542</v>
      </c>
      <c r="C1050" s="563"/>
      <c r="D1050" s="564"/>
      <c r="E1050" s="565"/>
      <c r="F1050" s="566"/>
      <c r="G1050" s="566"/>
      <c r="H1050" s="567"/>
      <c r="I1050" s="568"/>
      <c r="J1050" s="550"/>
      <c r="K1050" s="39"/>
      <c r="L1050" s="16"/>
      <c r="M1050" s="39"/>
      <c r="N1050" s="533" t="s">
        <v>2297</v>
      </c>
    </row>
    <row r="1051" spans="1:14" s="541" customFormat="1" ht="16.5" customHeight="1">
      <c r="A1051" s="16"/>
      <c r="B1051" s="544" t="s">
        <v>2164</v>
      </c>
      <c r="C1051" s="545">
        <v>1</v>
      </c>
      <c r="D1051" s="546" t="s">
        <v>273</v>
      </c>
      <c r="E1051" s="547">
        <v>11</v>
      </c>
      <c r="F1051" s="548">
        <v>1.35</v>
      </c>
      <c r="G1051" s="548">
        <v>0.15</v>
      </c>
      <c r="H1051" s="548">
        <v>0</v>
      </c>
      <c r="I1051" s="549">
        <f>ROUND(IF(AND(F1051:H1051),C1051*E1051*F1051*G1051*H1051,IF(AND(F1051,G1051),C1051*E1051*F1051*G1051,IF(AND(F1051,H1051),C1051*E1051*F1051*H1051,IF(AND(G1051,H1051),C1051*E1051*G1051*H1051,IF(F1051,C1051*E1051*F1051,IF(G1051,C1051*E1051*G1051,IF(H1051,C1051*E1051*H1051,C1051*E1051))))))),2)</f>
        <v>2.23</v>
      </c>
      <c r="J1051" s="550" t="s">
        <v>102</v>
      </c>
      <c r="K1051" s="39"/>
      <c r="L1051" s="16"/>
      <c r="M1051" s="39"/>
      <c r="N1051" s="533" t="s">
        <v>2297</v>
      </c>
    </row>
    <row r="1052" spans="1:14" s="541" customFormat="1" ht="16.5" customHeight="1">
      <c r="A1052" s="16"/>
      <c r="B1052" s="544"/>
      <c r="C1052" s="545">
        <v>1</v>
      </c>
      <c r="D1052" s="546" t="s">
        <v>273</v>
      </c>
      <c r="E1052" s="547">
        <v>11</v>
      </c>
      <c r="F1052" s="548">
        <v>1.32</v>
      </c>
      <c r="G1052" s="548">
        <v>0.15</v>
      </c>
      <c r="H1052" s="548">
        <v>0</v>
      </c>
      <c r="I1052" s="549">
        <f>ROUND(IF(AND(F1052:H1052),C1052*E1052*F1052*G1052*H1052,IF(AND(F1052,G1052),C1052*E1052*F1052*G1052,IF(AND(F1052,H1052),C1052*E1052*F1052*H1052,IF(AND(G1052,H1052),C1052*E1052*G1052*H1052,IF(F1052,C1052*E1052*F1052,IF(G1052,C1052*E1052*G1052,IF(H1052,C1052*E1052*H1052,C1052*E1052))))))),2)</f>
        <v>2.1800000000000002</v>
      </c>
      <c r="J1052" s="550" t="s">
        <v>102</v>
      </c>
      <c r="K1052" s="39"/>
      <c r="L1052" s="16"/>
      <c r="M1052" s="39"/>
      <c r="N1052" s="533" t="s">
        <v>2297</v>
      </c>
    </row>
    <row r="1053" spans="1:14" s="541" customFormat="1" ht="16.5" customHeight="1">
      <c r="A1053" s="16"/>
      <c r="B1053" s="39" t="s">
        <v>2543</v>
      </c>
      <c r="C1053" s="563"/>
      <c r="D1053" s="564"/>
      <c r="E1053" s="565"/>
      <c r="F1053" s="566"/>
      <c r="G1053" s="566"/>
      <c r="H1053" s="567"/>
      <c r="I1053" s="568"/>
      <c r="J1053" s="550"/>
      <c r="K1053" s="39"/>
      <c r="L1053" s="16"/>
      <c r="M1053" s="39"/>
      <c r="N1053" s="533" t="s">
        <v>2297</v>
      </c>
    </row>
    <row r="1054" spans="1:14" s="541" customFormat="1" ht="16.5" customHeight="1">
      <c r="A1054" s="16"/>
      <c r="B1054" s="544" t="s">
        <v>801</v>
      </c>
      <c r="C1054" s="545">
        <v>1</v>
      </c>
      <c r="D1054" s="546" t="s">
        <v>273</v>
      </c>
      <c r="E1054" s="547">
        <v>11</v>
      </c>
      <c r="F1054" s="548">
        <v>0.4</v>
      </c>
      <c r="G1054" s="548">
        <v>0</v>
      </c>
      <c r="H1054" s="548">
        <v>0.14000000000000001</v>
      </c>
      <c r="I1054" s="549">
        <f>ROUND(IF(AND(F1054:H1054),C1054*E1054*F1054*G1054*H1054,IF(AND(F1054,G1054),C1054*E1054*F1054*G1054,IF(AND(F1054,H1054),C1054*E1054*F1054*H1054,IF(AND(G1054,H1054),C1054*E1054*G1054*H1054,IF(F1054,C1054*E1054*F1054,IF(G1054,C1054*E1054*G1054,IF(H1054,C1054*E1054*H1054,C1054*E1054))))))),2)</f>
        <v>0.62</v>
      </c>
      <c r="J1054" s="550" t="s">
        <v>102</v>
      </c>
      <c r="K1054" s="39"/>
      <c r="L1054" s="16"/>
      <c r="M1054" s="39"/>
      <c r="N1054" s="533" t="s">
        <v>2297</v>
      </c>
    </row>
    <row r="1055" spans="1:14" s="541" customFormat="1" ht="16.5" customHeight="1">
      <c r="A1055" s="16"/>
      <c r="B1055" s="544" t="s">
        <v>800</v>
      </c>
      <c r="C1055" s="545">
        <v>1</v>
      </c>
      <c r="D1055" s="546" t="s">
        <v>273</v>
      </c>
      <c r="E1055" s="547">
        <v>11</v>
      </c>
      <c r="F1055" s="548">
        <v>0.4</v>
      </c>
      <c r="G1055" s="548">
        <v>0</v>
      </c>
      <c r="H1055" s="548">
        <v>0.14000000000000001</v>
      </c>
      <c r="I1055" s="549">
        <f>ROUND(IF(AND(F1055:H1055),C1055*E1055*F1055*G1055*H1055,IF(AND(F1055,G1055),C1055*E1055*F1055*G1055,IF(AND(F1055,H1055),C1055*E1055*F1055*H1055,IF(AND(G1055,H1055),C1055*E1055*G1055*H1055,IF(F1055,C1055*E1055*F1055,IF(G1055,C1055*E1055*G1055,IF(H1055,C1055*E1055*H1055,C1055*E1055))))))),2)</f>
        <v>0.62</v>
      </c>
      <c r="J1055" s="550" t="s">
        <v>102</v>
      </c>
      <c r="K1055" s="39"/>
      <c r="L1055" s="16"/>
      <c r="M1055" s="39"/>
      <c r="N1055" s="533" t="s">
        <v>2297</v>
      </c>
    </row>
    <row r="1056" spans="1:14" s="541" customFormat="1" ht="16.5" customHeight="1">
      <c r="A1056" s="16"/>
      <c r="B1056" s="544"/>
      <c r="C1056" s="545"/>
      <c r="D1056" s="546"/>
      <c r="E1056" s="547"/>
      <c r="F1056" s="548"/>
      <c r="G1056" s="548"/>
      <c r="H1056" s="548"/>
      <c r="I1056" s="549"/>
      <c r="J1056" s="550"/>
      <c r="K1056" s="39"/>
      <c r="L1056" s="208"/>
      <c r="M1056" s="39"/>
      <c r="N1056" s="533" t="s">
        <v>2297</v>
      </c>
    </row>
    <row r="1057" spans="1:14" ht="15.75">
      <c r="A1057" s="16"/>
      <c r="B1057" s="39"/>
      <c r="C1057" s="551"/>
      <c r="D1057" s="552"/>
      <c r="E1057" s="537"/>
      <c r="F1057" s="538"/>
      <c r="G1057" s="40"/>
      <c r="H1057" s="16"/>
      <c r="I1057" s="549"/>
      <c r="J1057" s="550" t="s">
        <v>102</v>
      </c>
      <c r="K1057" s="10">
        <f>data!F1538</f>
        <v>2747.8</v>
      </c>
      <c r="L1057" s="208" t="s">
        <v>2297</v>
      </c>
      <c r="M1057" s="9">
        <f>ROUND(I1057*K1057,0)</f>
        <v>0</v>
      </c>
      <c r="N1057" s="533" t="s">
        <v>2297</v>
      </c>
    </row>
    <row r="1058" spans="1:14" ht="93.75" customHeight="1">
      <c r="A1058" s="16">
        <v>17</v>
      </c>
      <c r="B1058" s="1633" t="s">
        <v>671</v>
      </c>
      <c r="C1058" s="1633"/>
      <c r="D1058" s="1633"/>
      <c r="E1058" s="1633"/>
      <c r="F1058" s="1633"/>
      <c r="G1058" s="1633"/>
      <c r="H1058" s="1633"/>
      <c r="I1058" s="534"/>
      <c r="J1058" s="535"/>
      <c r="K1058" s="16"/>
      <c r="L1058" s="208"/>
      <c r="M1058" s="38"/>
      <c r="N1058" s="533" t="s">
        <v>2308</v>
      </c>
    </row>
    <row r="1059" spans="1:14" s="541" customFormat="1" ht="16.5" customHeight="1">
      <c r="A1059" s="16"/>
      <c r="B1059" s="39" t="s">
        <v>2818</v>
      </c>
      <c r="C1059" s="563"/>
      <c r="D1059" s="564"/>
      <c r="E1059" s="565"/>
      <c r="F1059" s="566"/>
      <c r="G1059" s="566"/>
      <c r="H1059" s="567"/>
      <c r="I1059" s="568"/>
      <c r="J1059" s="550"/>
      <c r="K1059" s="39"/>
      <c r="L1059" s="16"/>
      <c r="M1059" s="39"/>
      <c r="N1059" s="533" t="s">
        <v>2308</v>
      </c>
    </row>
    <row r="1060" spans="1:14" s="541" customFormat="1" ht="16.5" customHeight="1">
      <c r="A1060" s="16"/>
      <c r="B1060" s="544" t="s">
        <v>2164</v>
      </c>
      <c r="C1060" s="545">
        <v>1</v>
      </c>
      <c r="D1060" s="546" t="s">
        <v>273</v>
      </c>
      <c r="E1060" s="547">
        <v>11</v>
      </c>
      <c r="F1060" s="548">
        <v>1.35</v>
      </c>
      <c r="G1060" s="548">
        <v>0.15</v>
      </c>
      <c r="H1060" s="548">
        <v>0</v>
      </c>
      <c r="I1060" s="549">
        <f>ROUND(IF(AND(F1060:H1060),C1060*E1060*F1060*G1060*H1060,IF(AND(F1060,G1060),C1060*E1060*F1060*G1060,IF(AND(F1060,H1060),C1060*E1060*F1060*H1060,IF(AND(G1060,H1060),C1060*E1060*G1060*H1060,IF(F1060,C1060*E1060*F1060,IF(G1060,C1060*E1060*G1060,IF(H1060,C1060*E1060*H1060,C1060*E1060))))))),2)</f>
        <v>2.23</v>
      </c>
      <c r="J1060" s="550" t="s">
        <v>102</v>
      </c>
      <c r="K1060" s="39"/>
      <c r="L1060" s="16"/>
      <c r="M1060" s="39"/>
      <c r="N1060" s="533" t="s">
        <v>2308</v>
      </c>
    </row>
    <row r="1061" spans="1:14" s="541" customFormat="1" ht="16.5" customHeight="1">
      <c r="A1061" s="16"/>
      <c r="B1061" s="544"/>
      <c r="C1061" s="545">
        <v>1</v>
      </c>
      <c r="D1061" s="546" t="s">
        <v>273</v>
      </c>
      <c r="E1061" s="547">
        <v>11</v>
      </c>
      <c r="F1061" s="548">
        <v>1.32</v>
      </c>
      <c r="G1061" s="548">
        <v>0.15</v>
      </c>
      <c r="H1061" s="548">
        <v>0</v>
      </c>
      <c r="I1061" s="549">
        <f>ROUND(IF(AND(F1061:H1061),C1061*E1061*F1061*G1061*H1061,IF(AND(F1061,G1061),C1061*E1061*F1061*G1061,IF(AND(F1061,H1061),C1061*E1061*F1061*H1061,IF(AND(G1061,H1061),C1061*E1061*G1061*H1061,IF(F1061,C1061*E1061*F1061,IF(G1061,C1061*E1061*G1061,IF(H1061,C1061*E1061*H1061,C1061*E1061))))))),2)</f>
        <v>2.1800000000000002</v>
      </c>
      <c r="J1061" s="550" t="s">
        <v>102</v>
      </c>
      <c r="K1061" s="39"/>
      <c r="L1061" s="16"/>
      <c r="M1061" s="39"/>
      <c r="N1061" s="533" t="s">
        <v>2308</v>
      </c>
    </row>
    <row r="1062" spans="1:14" s="541" customFormat="1" ht="16.5" customHeight="1">
      <c r="A1062" s="16"/>
      <c r="B1062" s="544" t="s">
        <v>800</v>
      </c>
      <c r="C1062" s="545">
        <v>1</v>
      </c>
      <c r="D1062" s="546" t="s">
        <v>273</v>
      </c>
      <c r="E1062" s="547">
        <v>11</v>
      </c>
      <c r="F1062" s="548">
        <v>0.4</v>
      </c>
      <c r="G1062" s="548">
        <v>0</v>
      </c>
      <c r="H1062" s="548">
        <v>0.14000000000000001</v>
      </c>
      <c r="I1062" s="549">
        <f>ROUND(IF(AND(F1062:H1062),C1062*E1062*F1062*G1062*H1062,IF(AND(F1062,G1062),C1062*E1062*F1062*G1062,IF(AND(F1062,H1062),C1062*E1062*F1062*H1062,IF(AND(G1062,H1062),C1062*E1062*G1062*H1062,IF(F1062,C1062*E1062*F1062,IF(G1062,C1062*E1062*G1062,IF(H1062,C1062*E1062*H1062,C1062*E1062))))))),2)</f>
        <v>0.62</v>
      </c>
      <c r="J1062" s="550" t="s">
        <v>102</v>
      </c>
      <c r="K1062" s="39"/>
      <c r="L1062" s="16"/>
      <c r="M1062" s="39"/>
      <c r="N1062" s="533" t="s">
        <v>2308</v>
      </c>
    </row>
    <row r="1063" spans="1:14" s="541" customFormat="1" ht="16.5" customHeight="1">
      <c r="A1063" s="16"/>
      <c r="B1063" s="544"/>
      <c r="C1063" s="545"/>
      <c r="D1063" s="546"/>
      <c r="E1063" s="547"/>
      <c r="F1063" s="548"/>
      <c r="G1063" s="548"/>
      <c r="H1063" s="548"/>
      <c r="I1063" s="549"/>
      <c r="J1063" s="550"/>
      <c r="K1063" s="39"/>
      <c r="L1063" s="208"/>
      <c r="M1063" s="39"/>
      <c r="N1063" s="533" t="s">
        <v>2308</v>
      </c>
    </row>
    <row r="1064" spans="1:14" ht="15.75">
      <c r="A1064" s="16"/>
      <c r="B1064" s="39"/>
      <c r="C1064" s="551"/>
      <c r="D1064" s="552"/>
      <c r="E1064" s="537"/>
      <c r="F1064" s="538"/>
      <c r="G1064" s="40"/>
      <c r="H1064" s="16"/>
      <c r="I1064" s="549"/>
      <c r="J1064" s="550" t="s">
        <v>102</v>
      </c>
      <c r="K1064" s="10">
        <f>data!F2455</f>
        <v>2789.27</v>
      </c>
      <c r="L1064" s="208" t="s">
        <v>2308</v>
      </c>
      <c r="M1064" s="9">
        <f>ROUND(I1064*K1064,0)</f>
        <v>0</v>
      </c>
      <c r="N1064" s="533" t="s">
        <v>2308</v>
      </c>
    </row>
    <row r="1065" spans="1:14" ht="93.75" customHeight="1">
      <c r="A1065" s="16">
        <v>13</v>
      </c>
      <c r="B1065" s="1633" t="s">
        <v>671</v>
      </c>
      <c r="C1065" s="1633"/>
      <c r="D1065" s="1633"/>
      <c r="E1065" s="1633"/>
      <c r="F1065" s="1633"/>
      <c r="G1065" s="1633"/>
      <c r="H1065" s="1633"/>
      <c r="I1065" s="534"/>
      <c r="J1065" s="535"/>
      <c r="K1065" s="16"/>
      <c r="L1065" s="208"/>
      <c r="M1065" s="38"/>
      <c r="N1065" s="533" t="s">
        <v>2309</v>
      </c>
    </row>
    <row r="1066" spans="1:14" s="541" customFormat="1" ht="16.5" customHeight="1">
      <c r="A1066" s="16"/>
      <c r="B1066" s="39" t="s">
        <v>3032</v>
      </c>
      <c r="C1066" s="563"/>
      <c r="D1066" s="858" t="s">
        <v>3252</v>
      </c>
      <c r="E1066" s="565"/>
      <c r="F1066" s="566"/>
      <c r="G1066" s="566"/>
      <c r="H1066" s="567"/>
      <c r="I1066" s="568"/>
      <c r="J1066" s="550"/>
      <c r="K1066" s="39"/>
      <c r="L1066" s="16"/>
      <c r="M1066" s="39"/>
      <c r="N1066" s="533" t="s">
        <v>2309</v>
      </c>
    </row>
    <row r="1067" spans="1:14" s="541" customFormat="1" ht="16.5" customHeight="1">
      <c r="A1067" s="16"/>
      <c r="B1067" s="577" t="s">
        <v>2356</v>
      </c>
      <c r="C1067" s="578">
        <v>1</v>
      </c>
      <c r="D1067" s="579" t="s">
        <v>273</v>
      </c>
      <c r="E1067" s="580">
        <v>1</v>
      </c>
      <c r="F1067" s="581">
        <v>11.68</v>
      </c>
      <c r="G1067" s="581">
        <v>0</v>
      </c>
      <c r="H1067" s="581">
        <v>0.1</v>
      </c>
      <c r="I1067" s="549">
        <f t="shared" ref="I1067:I1076" si="103">ROUND(IF(AND(F1067:H1067),C1067*E1067*F1067*G1067*H1067,IF(AND(F1067,G1067),C1067*E1067*F1067*G1067,IF(AND(F1067,H1067),C1067*E1067*F1067*H1067,IF(AND(G1067,H1067),C1067*E1067*G1067*H1067,IF(F1067,C1067*E1067*F1067,IF(G1067,C1067*E1067*G1067,IF(H1067,C1067*E1067*H1067,C1067*E1067))))))),2)</f>
        <v>1.17</v>
      </c>
      <c r="J1067" s="550" t="s">
        <v>102</v>
      </c>
      <c r="K1067" s="39"/>
      <c r="L1067" s="16"/>
      <c r="M1067" s="39"/>
      <c r="N1067" s="533" t="s">
        <v>2309</v>
      </c>
    </row>
    <row r="1068" spans="1:14" s="541" customFormat="1" ht="16.5" customHeight="1">
      <c r="A1068" s="16"/>
      <c r="B1068" s="577" t="s">
        <v>2723</v>
      </c>
      <c r="C1068" s="578">
        <v>1</v>
      </c>
      <c r="D1068" s="579" t="s">
        <v>273</v>
      </c>
      <c r="E1068" s="580">
        <v>1</v>
      </c>
      <c r="F1068" s="581">
        <v>12.26</v>
      </c>
      <c r="G1068" s="581">
        <v>0</v>
      </c>
      <c r="H1068" s="581">
        <v>0.1</v>
      </c>
      <c r="I1068" s="549">
        <f t="shared" si="103"/>
        <v>1.23</v>
      </c>
      <c r="J1068" s="550" t="s">
        <v>102</v>
      </c>
      <c r="K1068" s="39"/>
      <c r="L1068" s="16"/>
      <c r="M1068" s="39"/>
      <c r="N1068" s="533" t="s">
        <v>2309</v>
      </c>
    </row>
    <row r="1069" spans="1:14" s="541" customFormat="1" ht="16.5" customHeight="1">
      <c r="A1069" s="16"/>
      <c r="B1069" s="577" t="s">
        <v>587</v>
      </c>
      <c r="C1069" s="578">
        <v>1</v>
      </c>
      <c r="D1069" s="579" t="s">
        <v>273</v>
      </c>
      <c r="E1069" s="580">
        <v>1</v>
      </c>
      <c r="F1069" s="581">
        <v>12.74</v>
      </c>
      <c r="G1069" s="581">
        <v>0</v>
      </c>
      <c r="H1069" s="581">
        <v>0.1</v>
      </c>
      <c r="I1069" s="549">
        <f t="shared" si="103"/>
        <v>1.27</v>
      </c>
      <c r="J1069" s="550" t="s">
        <v>102</v>
      </c>
      <c r="K1069" s="39"/>
      <c r="L1069" s="16"/>
      <c r="M1069" s="39"/>
      <c r="N1069" s="533" t="s">
        <v>2309</v>
      </c>
    </row>
    <row r="1070" spans="1:14" s="541" customFormat="1" ht="16.5" customHeight="1">
      <c r="A1070" s="16"/>
      <c r="B1070" s="577" t="s">
        <v>586</v>
      </c>
      <c r="C1070" s="578">
        <v>1</v>
      </c>
      <c r="D1070" s="579" t="s">
        <v>273</v>
      </c>
      <c r="E1070" s="580">
        <v>1</v>
      </c>
      <c r="F1070" s="581">
        <v>11.93</v>
      </c>
      <c r="G1070" s="581">
        <v>0</v>
      </c>
      <c r="H1070" s="581">
        <v>0.1</v>
      </c>
      <c r="I1070" s="549">
        <f t="shared" si="103"/>
        <v>1.19</v>
      </c>
      <c r="J1070" s="550" t="s">
        <v>102</v>
      </c>
      <c r="K1070" s="39"/>
      <c r="L1070" s="16"/>
      <c r="M1070" s="39"/>
      <c r="N1070" s="533" t="s">
        <v>2309</v>
      </c>
    </row>
    <row r="1071" spans="1:14" s="541" customFormat="1" ht="16.5" customHeight="1">
      <c r="A1071" s="16"/>
      <c r="B1071" s="577"/>
      <c r="C1071" s="578">
        <v>1</v>
      </c>
      <c r="D1071" s="579" t="s">
        <v>273</v>
      </c>
      <c r="E1071" s="580">
        <v>1</v>
      </c>
      <c r="F1071" s="581">
        <v>9.42</v>
      </c>
      <c r="G1071" s="581">
        <v>0</v>
      </c>
      <c r="H1071" s="581">
        <v>0.1</v>
      </c>
      <c r="I1071" s="549">
        <f t="shared" si="103"/>
        <v>0.94</v>
      </c>
      <c r="J1071" s="550" t="s">
        <v>102</v>
      </c>
      <c r="K1071" s="39"/>
      <c r="L1071" s="16"/>
      <c r="M1071" s="39"/>
      <c r="N1071" s="533" t="s">
        <v>2309</v>
      </c>
    </row>
    <row r="1072" spans="1:14" s="541" customFormat="1" ht="16.5" customHeight="1">
      <c r="A1072" s="16"/>
      <c r="B1072" s="577" t="s">
        <v>223</v>
      </c>
      <c r="C1072" s="578">
        <v>1</v>
      </c>
      <c r="D1072" s="579" t="s">
        <v>273</v>
      </c>
      <c r="E1072" s="580">
        <v>1</v>
      </c>
      <c r="F1072" s="581">
        <v>22.92</v>
      </c>
      <c r="G1072" s="581">
        <v>0</v>
      </c>
      <c r="H1072" s="581">
        <v>0.1</v>
      </c>
      <c r="I1072" s="549">
        <f t="shared" si="103"/>
        <v>2.29</v>
      </c>
      <c r="J1072" s="550" t="s">
        <v>102</v>
      </c>
      <c r="K1072" s="39"/>
      <c r="L1072" s="16"/>
      <c r="M1072" s="39"/>
      <c r="N1072" s="533" t="s">
        <v>2309</v>
      </c>
    </row>
    <row r="1073" spans="1:14" s="541" customFormat="1" ht="16.5" customHeight="1">
      <c r="A1073" s="16"/>
      <c r="B1073" s="577" t="s">
        <v>1245</v>
      </c>
      <c r="C1073" s="578">
        <v>1</v>
      </c>
      <c r="D1073" s="579" t="s">
        <v>273</v>
      </c>
      <c r="E1073" s="580">
        <v>2</v>
      </c>
      <c r="F1073" s="581">
        <v>5.25</v>
      </c>
      <c r="G1073" s="581">
        <v>0</v>
      </c>
      <c r="H1073" s="581">
        <v>0.1</v>
      </c>
      <c r="I1073" s="549">
        <f t="shared" si="103"/>
        <v>1.05</v>
      </c>
      <c r="J1073" s="550" t="s">
        <v>102</v>
      </c>
      <c r="K1073" s="39"/>
      <c r="L1073" s="16"/>
      <c r="M1073" s="39"/>
      <c r="N1073" s="533" t="s">
        <v>2309</v>
      </c>
    </row>
    <row r="1074" spans="1:14" s="541" customFormat="1" ht="16.5" customHeight="1">
      <c r="A1074" s="16"/>
      <c r="B1074" s="577"/>
      <c r="C1074" s="578">
        <v>1</v>
      </c>
      <c r="D1074" s="579" t="s">
        <v>273</v>
      </c>
      <c r="E1074" s="580">
        <v>2</v>
      </c>
      <c r="F1074" s="581">
        <v>2.5</v>
      </c>
      <c r="G1074" s="581">
        <v>0</v>
      </c>
      <c r="H1074" s="581">
        <v>0.1</v>
      </c>
      <c r="I1074" s="549">
        <f t="shared" si="103"/>
        <v>0.5</v>
      </c>
      <c r="J1074" s="550" t="s">
        <v>102</v>
      </c>
      <c r="K1074" s="39"/>
      <c r="L1074" s="16"/>
      <c r="M1074" s="39"/>
      <c r="N1074" s="533" t="s">
        <v>2309</v>
      </c>
    </row>
    <row r="1075" spans="1:14" s="541" customFormat="1" ht="16.5" customHeight="1">
      <c r="A1075" s="16"/>
      <c r="B1075" s="577" t="s">
        <v>1544</v>
      </c>
      <c r="C1075" s="578">
        <v>1</v>
      </c>
      <c r="D1075" s="579" t="s">
        <v>273</v>
      </c>
      <c r="E1075" s="580">
        <v>2</v>
      </c>
      <c r="F1075" s="581">
        <v>9.15</v>
      </c>
      <c r="G1075" s="581">
        <v>0</v>
      </c>
      <c r="H1075" s="581">
        <v>0.1</v>
      </c>
      <c r="I1075" s="549">
        <f t="shared" si="103"/>
        <v>1.83</v>
      </c>
      <c r="J1075" s="550" t="s">
        <v>102</v>
      </c>
      <c r="K1075" s="39"/>
      <c r="L1075" s="16"/>
      <c r="M1075" s="39"/>
      <c r="N1075" s="533" t="s">
        <v>2309</v>
      </c>
    </row>
    <row r="1076" spans="1:14" s="541" customFormat="1" ht="16.5" customHeight="1">
      <c r="A1076" s="16"/>
      <c r="B1076" s="577"/>
      <c r="C1076" s="578">
        <v>1</v>
      </c>
      <c r="D1076" s="579" t="s">
        <v>273</v>
      </c>
      <c r="E1076" s="580">
        <v>2</v>
      </c>
      <c r="F1076" s="581">
        <v>0.75</v>
      </c>
      <c r="G1076" s="581">
        <v>0</v>
      </c>
      <c r="H1076" s="581">
        <v>0.1</v>
      </c>
      <c r="I1076" s="549">
        <f t="shared" si="103"/>
        <v>0.15</v>
      </c>
      <c r="J1076" s="550" t="s">
        <v>102</v>
      </c>
      <c r="K1076" s="39"/>
      <c r="L1076" s="16"/>
      <c r="M1076" s="39"/>
      <c r="N1076" s="533" t="s">
        <v>2309</v>
      </c>
    </row>
    <row r="1077" spans="1:14" s="541" customFormat="1" ht="16.5" customHeight="1">
      <c r="A1077" s="16"/>
      <c r="B1077" s="577" t="s">
        <v>579</v>
      </c>
      <c r="C1077" s="578">
        <v>2</v>
      </c>
      <c r="D1077" s="579" t="s">
        <v>273</v>
      </c>
      <c r="E1077" s="580">
        <v>3</v>
      </c>
      <c r="F1077" s="581">
        <v>1.2</v>
      </c>
      <c r="G1077" s="581">
        <v>0</v>
      </c>
      <c r="H1077" s="581">
        <v>0.1</v>
      </c>
      <c r="I1077" s="549">
        <f>-ROUND(IF(AND(F1077:H1077),C1077*E1077*F1077*G1077*H1077,IF(AND(F1077,G1077),C1077*E1077*F1077*G1077,IF(AND(F1077,H1077),C1077*E1077*F1077*H1077,IF(AND(G1077,H1077),C1077*E1077*G1077*H1077,IF(F1077,C1077*E1077*F1077,IF(G1077,C1077*E1077*G1077,IF(H1077,C1077*E1077*H1077,C1077*E1077))))))),2)</f>
        <v>-0.72</v>
      </c>
      <c r="J1077" s="550" t="s">
        <v>102</v>
      </c>
      <c r="K1077" s="39"/>
      <c r="L1077" s="16"/>
      <c r="M1077" s="39"/>
      <c r="N1077" s="533" t="s">
        <v>2309</v>
      </c>
    </row>
    <row r="1078" spans="1:14" s="541" customFormat="1" ht="16.5" customHeight="1">
      <c r="A1078" s="16"/>
      <c r="B1078" s="577" t="s">
        <v>579</v>
      </c>
      <c r="C1078" s="578">
        <v>2</v>
      </c>
      <c r="D1078" s="579" t="s">
        <v>273</v>
      </c>
      <c r="E1078" s="580">
        <v>4</v>
      </c>
      <c r="F1078" s="581">
        <v>1.05</v>
      </c>
      <c r="G1078" s="581">
        <v>0</v>
      </c>
      <c r="H1078" s="581">
        <v>0.1</v>
      </c>
      <c r="I1078" s="549">
        <f>-ROUND(IF(AND(F1078:H1078),C1078*E1078*F1078*G1078*H1078,IF(AND(F1078,G1078),C1078*E1078*F1078*G1078,IF(AND(F1078,H1078),C1078*E1078*F1078*H1078,IF(AND(G1078,H1078),C1078*E1078*G1078*H1078,IF(F1078,C1078*E1078*F1078,IF(G1078,C1078*E1078*G1078,IF(H1078,C1078*E1078*H1078,C1078*E1078))))))),2)</f>
        <v>-0.84</v>
      </c>
      <c r="J1078" s="550" t="s">
        <v>102</v>
      </c>
      <c r="K1078" s="39"/>
      <c r="L1078" s="16"/>
      <c r="M1078" s="39"/>
      <c r="N1078" s="533" t="s">
        <v>2309</v>
      </c>
    </row>
    <row r="1079" spans="1:14" s="541" customFormat="1" ht="16.5" customHeight="1">
      <c r="A1079" s="16"/>
      <c r="B1079" s="577" t="s">
        <v>579</v>
      </c>
      <c r="C1079" s="578">
        <v>1</v>
      </c>
      <c r="D1079" s="579" t="s">
        <v>273</v>
      </c>
      <c r="E1079" s="580">
        <v>3</v>
      </c>
      <c r="F1079" s="581">
        <v>0.75</v>
      </c>
      <c r="G1079" s="581">
        <v>0</v>
      </c>
      <c r="H1079" s="581">
        <v>0.1</v>
      </c>
      <c r="I1079" s="549">
        <f>-ROUND(IF(AND(F1079:H1079),C1079*E1079*F1079*G1079*H1079,IF(AND(F1079,G1079),C1079*E1079*F1079*G1079,IF(AND(F1079,H1079),C1079*E1079*F1079*H1079,IF(AND(G1079,H1079),C1079*E1079*G1079*H1079,IF(F1079,C1079*E1079*F1079,IF(G1079,C1079*E1079*G1079,IF(H1079,C1079*E1079*H1079,C1079*E1079))))))),2)</f>
        <v>-0.23</v>
      </c>
      <c r="J1079" s="550" t="s">
        <v>102</v>
      </c>
      <c r="K1079" s="39"/>
      <c r="L1079" s="16"/>
      <c r="M1079" s="39"/>
      <c r="N1079" s="533" t="s">
        <v>2309</v>
      </c>
    </row>
    <row r="1080" spans="1:14" s="541" customFormat="1" ht="16.5" customHeight="1">
      <c r="A1080" s="16"/>
      <c r="B1080" s="544"/>
      <c r="C1080" s="545"/>
      <c r="D1080" s="546"/>
      <c r="E1080" s="547"/>
      <c r="F1080" s="548"/>
      <c r="G1080" s="548"/>
      <c r="H1080" s="548"/>
      <c r="I1080" s="549"/>
      <c r="J1080" s="550"/>
      <c r="K1080" s="39"/>
      <c r="L1080" s="208"/>
      <c r="M1080" s="39"/>
      <c r="N1080" s="533" t="s">
        <v>2309</v>
      </c>
    </row>
    <row r="1081" spans="1:14" ht="15.75">
      <c r="A1081" s="16"/>
      <c r="B1081" s="39"/>
      <c r="C1081" s="551"/>
      <c r="D1081" s="552"/>
      <c r="E1081" s="537"/>
      <c r="F1081" s="538"/>
      <c r="G1081" s="40"/>
      <c r="H1081" s="16"/>
      <c r="I1081" s="549"/>
      <c r="J1081" s="550" t="s">
        <v>102</v>
      </c>
      <c r="K1081" s="10">
        <f>data!F3372</f>
        <v>2950.54</v>
      </c>
      <c r="L1081" s="208" t="s">
        <v>2309</v>
      </c>
      <c r="M1081" s="9">
        <f>ROUND(I1081*K1081,0)</f>
        <v>0</v>
      </c>
      <c r="N1081" s="533" t="s">
        <v>2309</v>
      </c>
    </row>
    <row r="1082" spans="1:14" ht="90" customHeight="1">
      <c r="A1082" s="16">
        <v>26</v>
      </c>
      <c r="B1082" s="1633" t="s">
        <v>672</v>
      </c>
      <c r="C1082" s="1633"/>
      <c r="D1082" s="1633"/>
      <c r="E1082" s="1633"/>
      <c r="F1082" s="1633"/>
      <c r="G1082" s="1633"/>
      <c r="H1082" s="1633"/>
      <c r="I1082" s="534"/>
      <c r="J1082" s="535"/>
      <c r="K1082" s="16"/>
      <c r="L1082" s="208"/>
      <c r="M1082" s="38"/>
      <c r="N1082" s="533" t="s">
        <v>2209</v>
      </c>
    </row>
    <row r="1083" spans="1:14" s="541" customFormat="1" ht="16.5" customHeight="1">
      <c r="A1083" s="16"/>
      <c r="B1083" s="39" t="s">
        <v>2797</v>
      </c>
      <c r="C1083" s="563"/>
      <c r="D1083" s="564"/>
      <c r="E1083" s="565"/>
      <c r="F1083" s="566"/>
      <c r="G1083" s="566"/>
      <c r="H1083" s="567"/>
      <c r="I1083" s="568"/>
      <c r="J1083" s="550"/>
      <c r="K1083" s="39"/>
      <c r="L1083" s="208"/>
      <c r="M1083" s="39"/>
      <c r="N1083" s="533" t="s">
        <v>2209</v>
      </c>
    </row>
    <row r="1084" spans="1:14" s="541" customFormat="1" ht="16.5" customHeight="1">
      <c r="A1084" s="16"/>
      <c r="B1084" s="544" t="s">
        <v>578</v>
      </c>
      <c r="C1084" s="545">
        <v>1</v>
      </c>
      <c r="D1084" s="546" t="s">
        <v>273</v>
      </c>
      <c r="E1084" s="547">
        <v>1</v>
      </c>
      <c r="F1084" s="548">
        <v>9.8699999999999992</v>
      </c>
      <c r="G1084" s="548">
        <v>1.83</v>
      </c>
      <c r="H1084" s="548">
        <v>0</v>
      </c>
      <c r="I1084" s="549">
        <f t="shared" ref="I1084:I1087" si="104">ROUND(IF(AND(F1084:H1084),C1084*E1084*F1084*G1084*H1084,IF(AND(F1084,G1084),C1084*E1084*F1084*G1084,IF(AND(F1084,H1084),C1084*E1084*F1084*H1084,IF(AND(G1084,H1084),C1084*E1084*G1084*H1084,IF(F1084,C1084*E1084*F1084,IF(G1084,C1084*E1084*G1084,IF(H1084,C1084*E1084*H1084,C1084*E1084))))))),2)</f>
        <v>18.059999999999999</v>
      </c>
      <c r="J1084" s="550" t="s">
        <v>102</v>
      </c>
      <c r="K1084" s="39"/>
      <c r="L1084" s="208"/>
      <c r="M1084" s="39"/>
      <c r="N1084" s="533" t="s">
        <v>2209</v>
      </c>
    </row>
    <row r="1085" spans="1:14" s="541" customFormat="1" ht="16.5" customHeight="1">
      <c r="A1085" s="16"/>
      <c r="B1085" s="544" t="s">
        <v>654</v>
      </c>
      <c r="C1085" s="545">
        <v>1</v>
      </c>
      <c r="D1085" s="546" t="s">
        <v>273</v>
      </c>
      <c r="E1085" s="547">
        <v>1</v>
      </c>
      <c r="F1085" s="548">
        <v>2.83</v>
      </c>
      <c r="G1085" s="548">
        <v>1.55</v>
      </c>
      <c r="H1085" s="548">
        <v>0</v>
      </c>
      <c r="I1085" s="549">
        <f t="shared" si="104"/>
        <v>4.3899999999999997</v>
      </c>
      <c r="J1085" s="550" t="s">
        <v>102</v>
      </c>
      <c r="K1085" s="39"/>
      <c r="L1085" s="208"/>
      <c r="M1085" s="39"/>
      <c r="N1085" s="533" t="s">
        <v>2209</v>
      </c>
    </row>
    <row r="1086" spans="1:14" s="541" customFormat="1" ht="16.5" customHeight="1">
      <c r="A1086" s="16"/>
      <c r="B1086" s="544"/>
      <c r="C1086" s="545">
        <v>1</v>
      </c>
      <c r="D1086" s="546" t="s">
        <v>273</v>
      </c>
      <c r="E1086" s="547">
        <v>1</v>
      </c>
      <c r="F1086" s="548">
        <v>2.65</v>
      </c>
      <c r="G1086" s="548">
        <v>0.53</v>
      </c>
      <c r="H1086" s="548">
        <v>0</v>
      </c>
      <c r="I1086" s="549">
        <f t="shared" si="104"/>
        <v>1.4</v>
      </c>
      <c r="J1086" s="550" t="s">
        <v>102</v>
      </c>
      <c r="K1086" s="39"/>
      <c r="L1086" s="208"/>
      <c r="M1086" s="39"/>
      <c r="N1086" s="533" t="s">
        <v>2209</v>
      </c>
    </row>
    <row r="1087" spans="1:14" s="541" customFormat="1" ht="16.5" customHeight="1">
      <c r="A1087" s="16"/>
      <c r="B1087" s="544" t="s">
        <v>1250</v>
      </c>
      <c r="C1087" s="545">
        <v>1</v>
      </c>
      <c r="D1087" s="546" t="s">
        <v>273</v>
      </c>
      <c r="E1087" s="547">
        <v>21</v>
      </c>
      <c r="F1087" s="548">
        <v>1.28</v>
      </c>
      <c r="G1087" s="548">
        <v>0.3</v>
      </c>
      <c r="H1087" s="548">
        <v>0</v>
      </c>
      <c r="I1087" s="549">
        <f t="shared" si="104"/>
        <v>8.06</v>
      </c>
      <c r="J1087" s="550" t="s">
        <v>102</v>
      </c>
      <c r="K1087" s="39"/>
      <c r="L1087" s="208"/>
      <c r="M1087" s="39"/>
      <c r="N1087" s="533" t="s">
        <v>2209</v>
      </c>
    </row>
    <row r="1088" spans="1:14" s="541" customFormat="1" ht="16.5" customHeight="1">
      <c r="A1088" s="16"/>
      <c r="B1088" s="544"/>
      <c r="C1088" s="545"/>
      <c r="D1088" s="546"/>
      <c r="E1088" s="547"/>
      <c r="F1088" s="548"/>
      <c r="G1088" s="548"/>
      <c r="H1088" s="548"/>
      <c r="I1088" s="549"/>
      <c r="J1088" s="550"/>
      <c r="K1088" s="39"/>
      <c r="L1088" s="208"/>
      <c r="M1088" s="39"/>
      <c r="N1088" s="533" t="s">
        <v>2209</v>
      </c>
    </row>
    <row r="1089" spans="1:14" ht="15.75">
      <c r="A1089" s="16"/>
      <c r="B1089" s="39"/>
      <c r="C1089" s="551"/>
      <c r="D1089" s="552"/>
      <c r="E1089" s="537"/>
      <c r="F1089" s="538"/>
      <c r="G1089" s="40"/>
      <c r="H1089" s="16"/>
      <c r="I1089" s="549"/>
      <c r="J1089" s="550" t="s">
        <v>102</v>
      </c>
      <c r="K1089" s="10">
        <f>data!F642</f>
        <v>633.27</v>
      </c>
      <c r="L1089" s="208" t="s">
        <v>2209</v>
      </c>
      <c r="M1089" s="9">
        <f>ROUND(I1089*K1089,0)</f>
        <v>0</v>
      </c>
      <c r="N1089" s="533" t="s">
        <v>2209</v>
      </c>
    </row>
    <row r="1090" spans="1:14" ht="90" customHeight="1">
      <c r="A1090" s="16">
        <v>26</v>
      </c>
      <c r="B1090" s="1633" t="s">
        <v>672</v>
      </c>
      <c r="C1090" s="1633"/>
      <c r="D1090" s="1633"/>
      <c r="E1090" s="1633"/>
      <c r="F1090" s="1633"/>
      <c r="G1090" s="1633"/>
      <c r="H1090" s="1633"/>
      <c r="I1090" s="534"/>
      <c r="J1090" s="535"/>
      <c r="K1090" s="16"/>
      <c r="L1090" s="208"/>
      <c r="M1090" s="38"/>
      <c r="N1090" s="533" t="s">
        <v>2297</v>
      </c>
    </row>
    <row r="1091" spans="1:14" s="541" customFormat="1" ht="16.5" customHeight="1">
      <c r="A1091" s="16"/>
      <c r="B1091" s="39" t="s">
        <v>2964</v>
      </c>
      <c r="C1091" s="563"/>
      <c r="D1091" s="564"/>
      <c r="E1091" s="565"/>
      <c r="F1091" s="566"/>
      <c r="G1091" s="566"/>
      <c r="H1091" s="567"/>
      <c r="I1091" s="568"/>
      <c r="J1091" s="550"/>
      <c r="K1091" s="39"/>
      <c r="L1091" s="208"/>
      <c r="M1091" s="39"/>
      <c r="N1091" s="533" t="s">
        <v>2297</v>
      </c>
    </row>
    <row r="1092" spans="1:14" s="541" customFormat="1" ht="16.5" customHeight="1">
      <c r="A1092" s="16"/>
      <c r="B1092" s="544" t="s">
        <v>2965</v>
      </c>
      <c r="C1092" s="545">
        <v>1</v>
      </c>
      <c r="D1092" s="546" t="s">
        <v>273</v>
      </c>
      <c r="E1092" s="547">
        <v>1</v>
      </c>
      <c r="F1092" s="548">
        <v>6.2</v>
      </c>
      <c r="G1092" s="548">
        <v>1.9</v>
      </c>
      <c r="H1092" s="548">
        <v>0</v>
      </c>
      <c r="I1092" s="549">
        <f>ROUND(IF(AND(F1092:H1092),C1092*E1092*F1092*G1092*H1092,IF(AND(F1092,G1092),C1092*E1092*F1092*G1092,IF(AND(F1092,H1092),C1092*E1092*F1092*H1092,IF(AND(G1092,H1092),C1092*E1092*G1092*H1092,IF(F1092,C1092*E1092*F1092,IF(G1092,C1092*E1092*G1092,IF(H1092,C1092*E1092*H1092,C1092*E1092))))))),2)</f>
        <v>11.78</v>
      </c>
      <c r="J1092" s="550" t="s">
        <v>102</v>
      </c>
      <c r="K1092" s="39"/>
      <c r="L1092" s="208"/>
      <c r="M1092" s="39"/>
      <c r="N1092" s="533" t="s">
        <v>2297</v>
      </c>
    </row>
    <row r="1093" spans="1:14" s="541" customFormat="1" ht="16.5" customHeight="1">
      <c r="A1093" s="16"/>
      <c r="B1093" s="544" t="s">
        <v>817</v>
      </c>
      <c r="C1093" s="545">
        <v>1</v>
      </c>
      <c r="D1093" s="546" t="s">
        <v>273</v>
      </c>
      <c r="E1093" s="547">
        <v>1</v>
      </c>
      <c r="F1093" s="548">
        <v>13.3</v>
      </c>
      <c r="G1093" s="548">
        <v>0.85</v>
      </c>
      <c r="H1093" s="548">
        <v>0</v>
      </c>
      <c r="I1093" s="549">
        <f t="shared" ref="I1093:I1098" si="105">ROUND(IF(AND(F1093:H1093),C1093*E1093*F1093*G1093*H1093,IF(AND(F1093,G1093),C1093*E1093*F1093*G1093,IF(AND(F1093,H1093),C1093*E1093*F1093*H1093,IF(AND(G1093,H1093),C1093*E1093*G1093*H1093,IF(F1093,C1093*E1093*F1093,IF(G1093,C1093*E1093*G1093,IF(H1093,C1093*E1093*H1093,C1093*E1093))))))),2)</f>
        <v>11.31</v>
      </c>
      <c r="J1093" s="550" t="s">
        <v>102</v>
      </c>
      <c r="K1093" s="39"/>
      <c r="L1093" s="208"/>
      <c r="M1093" s="39"/>
      <c r="N1093" s="533" t="s">
        <v>2297</v>
      </c>
    </row>
    <row r="1094" spans="1:14" s="541" customFormat="1" ht="16.5" customHeight="1">
      <c r="A1094" s="16"/>
      <c r="B1094" s="544" t="s">
        <v>816</v>
      </c>
      <c r="C1094" s="545">
        <v>1</v>
      </c>
      <c r="D1094" s="546" t="s">
        <v>273</v>
      </c>
      <c r="E1094" s="547">
        <v>1</v>
      </c>
      <c r="F1094" s="548">
        <v>8.6999999999999993</v>
      </c>
      <c r="G1094" s="548">
        <v>0.85</v>
      </c>
      <c r="H1094" s="548">
        <v>0</v>
      </c>
      <c r="I1094" s="549">
        <f t="shared" si="105"/>
        <v>7.4</v>
      </c>
      <c r="J1094" s="550" t="s">
        <v>102</v>
      </c>
      <c r="K1094" s="39"/>
      <c r="L1094" s="208"/>
      <c r="M1094" s="39"/>
      <c r="N1094" s="533" t="s">
        <v>2297</v>
      </c>
    </row>
    <row r="1095" spans="1:14" s="541" customFormat="1" ht="16.5" customHeight="1">
      <c r="A1095" s="16"/>
      <c r="B1095" s="544" t="s">
        <v>2966</v>
      </c>
      <c r="C1095" s="545">
        <v>1</v>
      </c>
      <c r="D1095" s="546" t="s">
        <v>273</v>
      </c>
      <c r="E1095" s="547">
        <v>10</v>
      </c>
      <c r="F1095" s="548">
        <v>0.23</v>
      </c>
      <c r="G1095" s="548">
        <v>0.115</v>
      </c>
      <c r="H1095" s="548">
        <v>0</v>
      </c>
      <c r="I1095" s="549">
        <f>-ROUND(IF(AND(F1095:H1095),C1095*E1095*F1095*G1095*H1095,IF(AND(F1095,G1095),C1095*E1095*F1095*G1095,IF(AND(F1095,H1095),C1095*E1095*F1095*H1095,IF(AND(G1095,H1095),C1095*E1095*G1095*H1095,IF(F1095,C1095*E1095*F1095,IF(G1095,C1095*E1095*G1095,IF(H1095,C1095*E1095*H1095,C1095*E1095))))))),2)</f>
        <v>-0.26</v>
      </c>
      <c r="J1095" s="550" t="s">
        <v>102</v>
      </c>
      <c r="K1095" s="39"/>
      <c r="L1095" s="208"/>
      <c r="M1095" s="39"/>
      <c r="N1095" s="533" t="s">
        <v>2297</v>
      </c>
    </row>
    <row r="1096" spans="1:14" s="541" customFormat="1" ht="16.5" customHeight="1">
      <c r="A1096" s="16"/>
      <c r="B1096" s="544" t="s">
        <v>2728</v>
      </c>
      <c r="C1096" s="545">
        <v>1</v>
      </c>
      <c r="D1096" s="546" t="s">
        <v>273</v>
      </c>
      <c r="E1096" s="547">
        <v>11</v>
      </c>
      <c r="F1096" s="548">
        <v>1.3</v>
      </c>
      <c r="G1096" s="548">
        <v>0.3</v>
      </c>
      <c r="H1096" s="548">
        <v>0</v>
      </c>
      <c r="I1096" s="549">
        <f t="shared" si="105"/>
        <v>4.29</v>
      </c>
      <c r="J1096" s="550" t="s">
        <v>102</v>
      </c>
      <c r="K1096" s="39"/>
      <c r="L1096" s="208"/>
      <c r="M1096" s="39"/>
      <c r="N1096" s="533" t="s">
        <v>2297</v>
      </c>
    </row>
    <row r="1097" spans="1:14" s="541" customFormat="1" ht="16.5" customHeight="1">
      <c r="A1097" s="16"/>
      <c r="B1097" s="544" t="s">
        <v>1248</v>
      </c>
      <c r="C1097" s="545">
        <v>1</v>
      </c>
      <c r="D1097" s="546" t="s">
        <v>273</v>
      </c>
      <c r="E1097" s="547">
        <v>1</v>
      </c>
      <c r="F1097" s="548">
        <v>2.6</v>
      </c>
      <c r="G1097" s="548">
        <v>1</v>
      </c>
      <c r="H1097" s="548">
        <v>0</v>
      </c>
      <c r="I1097" s="549">
        <f t="shared" si="105"/>
        <v>2.6</v>
      </c>
      <c r="J1097" s="550" t="s">
        <v>102</v>
      </c>
      <c r="K1097" s="39"/>
      <c r="L1097" s="208"/>
      <c r="M1097" s="39"/>
      <c r="N1097" s="533" t="s">
        <v>2297</v>
      </c>
    </row>
    <row r="1098" spans="1:14" s="541" customFormat="1" ht="16.5" customHeight="1">
      <c r="A1098" s="16"/>
      <c r="B1098" s="544" t="s">
        <v>2729</v>
      </c>
      <c r="C1098" s="545">
        <v>1</v>
      </c>
      <c r="D1098" s="546" t="s">
        <v>273</v>
      </c>
      <c r="E1098" s="547">
        <v>10</v>
      </c>
      <c r="F1098" s="548">
        <v>1.3</v>
      </c>
      <c r="G1098" s="548">
        <v>0.3</v>
      </c>
      <c r="H1098" s="548">
        <v>0</v>
      </c>
      <c r="I1098" s="549">
        <f t="shared" si="105"/>
        <v>3.9</v>
      </c>
      <c r="J1098" s="550" t="s">
        <v>102</v>
      </c>
      <c r="K1098" s="39"/>
      <c r="L1098" s="208"/>
      <c r="M1098" s="39"/>
      <c r="N1098" s="533" t="s">
        <v>2297</v>
      </c>
    </row>
    <row r="1099" spans="1:14" s="541" customFormat="1" ht="16.5" customHeight="1">
      <c r="A1099" s="16"/>
      <c r="B1099" s="544"/>
      <c r="C1099" s="545"/>
      <c r="D1099" s="546"/>
      <c r="E1099" s="547"/>
      <c r="F1099" s="548"/>
      <c r="G1099" s="548"/>
      <c r="H1099" s="548"/>
      <c r="I1099" s="549"/>
      <c r="J1099" s="550"/>
      <c r="K1099" s="39"/>
      <c r="L1099" s="208"/>
      <c r="M1099" s="39"/>
      <c r="N1099" s="533" t="s">
        <v>2297</v>
      </c>
    </row>
    <row r="1100" spans="1:14" ht="15.75">
      <c r="A1100" s="16"/>
      <c r="B1100" s="39"/>
      <c r="C1100" s="551"/>
      <c r="D1100" s="552"/>
      <c r="E1100" s="537"/>
      <c r="F1100" s="538"/>
      <c r="G1100" s="40"/>
      <c r="H1100" s="16"/>
      <c r="I1100" s="549"/>
      <c r="J1100" s="550" t="s">
        <v>102</v>
      </c>
      <c r="K1100" s="10">
        <f>data!F1559</f>
        <v>677.99</v>
      </c>
      <c r="L1100" s="208" t="s">
        <v>2297</v>
      </c>
      <c r="M1100" s="9">
        <f>ROUND(I1100*K1100,0)</f>
        <v>0</v>
      </c>
      <c r="N1100" s="533" t="s">
        <v>2297</v>
      </c>
    </row>
    <row r="1101" spans="1:14" ht="90" customHeight="1">
      <c r="A1101" s="16">
        <v>26</v>
      </c>
      <c r="B1101" s="1633" t="s">
        <v>672</v>
      </c>
      <c r="C1101" s="1633"/>
      <c r="D1101" s="1633"/>
      <c r="E1101" s="1633"/>
      <c r="F1101" s="1633"/>
      <c r="G1101" s="1633"/>
      <c r="H1101" s="1633"/>
      <c r="I1101" s="534"/>
      <c r="J1101" s="535"/>
      <c r="K1101" s="16"/>
      <c r="L1101" s="208"/>
      <c r="M1101" s="38"/>
      <c r="N1101" s="533" t="s">
        <v>2308</v>
      </c>
    </row>
    <row r="1102" spans="1:14" s="541" customFormat="1" ht="16.5" customHeight="1">
      <c r="A1102" s="16"/>
      <c r="B1102" s="39" t="s">
        <v>2797</v>
      </c>
      <c r="C1102" s="563"/>
      <c r="D1102" s="564"/>
      <c r="E1102" s="565"/>
      <c r="F1102" s="566"/>
      <c r="G1102" s="566"/>
      <c r="H1102" s="567"/>
      <c r="I1102" s="568"/>
      <c r="J1102" s="550"/>
      <c r="K1102" s="39"/>
      <c r="L1102" s="208"/>
      <c r="M1102" s="39"/>
      <c r="N1102" s="533" t="s">
        <v>2308</v>
      </c>
    </row>
    <row r="1103" spans="1:14" s="541" customFormat="1" ht="16.5" customHeight="1">
      <c r="A1103" s="16"/>
      <c r="B1103" s="544" t="s">
        <v>578</v>
      </c>
      <c r="C1103" s="545">
        <v>1</v>
      </c>
      <c r="D1103" s="546" t="s">
        <v>273</v>
      </c>
      <c r="E1103" s="547">
        <v>1</v>
      </c>
      <c r="F1103" s="548">
        <v>9.8699999999999992</v>
      </c>
      <c r="G1103" s="548">
        <v>1.83</v>
      </c>
      <c r="H1103" s="548">
        <v>0</v>
      </c>
      <c r="I1103" s="549">
        <f>ROUND(IF(AND(F1103:H1103),C1103*E1103*F1103*G1103*H1103,IF(AND(F1103,G1103),C1103*E1103*F1103*G1103,IF(AND(F1103,H1103),C1103*E1103*F1103*H1103,IF(AND(G1103,H1103),C1103*E1103*G1103*H1103,IF(F1103,C1103*E1103*F1103,IF(G1103,C1103*E1103*G1103,IF(H1103,C1103*E1103*H1103,C1103*E1103))))))),2)</f>
        <v>18.059999999999999</v>
      </c>
      <c r="J1103" s="550" t="s">
        <v>102</v>
      </c>
      <c r="K1103" s="39"/>
      <c r="L1103" s="208"/>
      <c r="M1103" s="39"/>
      <c r="N1103" s="533" t="s">
        <v>2308</v>
      </c>
    </row>
    <row r="1104" spans="1:14" s="541" customFormat="1" ht="16.5" customHeight="1">
      <c r="A1104" s="16"/>
      <c r="B1104" s="544" t="s">
        <v>654</v>
      </c>
      <c r="C1104" s="545">
        <v>1</v>
      </c>
      <c r="D1104" s="546" t="s">
        <v>273</v>
      </c>
      <c r="E1104" s="547">
        <v>1</v>
      </c>
      <c r="F1104" s="548">
        <v>2.83</v>
      </c>
      <c r="G1104" s="548">
        <v>1.55</v>
      </c>
      <c r="H1104" s="548">
        <v>0</v>
      </c>
      <c r="I1104" s="549">
        <f>ROUND(IF(AND(F1104:H1104),C1104*E1104*F1104*G1104*H1104,IF(AND(F1104,G1104),C1104*E1104*F1104*G1104,IF(AND(F1104,H1104),C1104*E1104*F1104*H1104,IF(AND(G1104,H1104),C1104*E1104*G1104*H1104,IF(F1104,C1104*E1104*F1104,IF(G1104,C1104*E1104*G1104,IF(H1104,C1104*E1104*H1104,C1104*E1104))))))),2)</f>
        <v>4.3899999999999997</v>
      </c>
      <c r="J1104" s="550" t="s">
        <v>102</v>
      </c>
      <c r="K1104" s="39"/>
      <c r="L1104" s="208"/>
      <c r="M1104" s="39"/>
      <c r="N1104" s="533" t="s">
        <v>2308</v>
      </c>
    </row>
    <row r="1105" spans="1:14" s="541" customFormat="1" ht="16.5" customHeight="1">
      <c r="A1105" s="16"/>
      <c r="B1105" s="544"/>
      <c r="C1105" s="545">
        <v>1</v>
      </c>
      <c r="D1105" s="546" t="s">
        <v>273</v>
      </c>
      <c r="E1105" s="547">
        <v>1</v>
      </c>
      <c r="F1105" s="548">
        <v>2.65</v>
      </c>
      <c r="G1105" s="548">
        <v>0.53</v>
      </c>
      <c r="H1105" s="548">
        <v>0</v>
      </c>
      <c r="I1105" s="549">
        <f>ROUND(IF(AND(F1105:H1105),C1105*E1105*F1105*G1105*H1105,IF(AND(F1105,G1105),C1105*E1105*F1105*G1105,IF(AND(F1105,H1105),C1105*E1105*F1105*H1105,IF(AND(G1105,H1105),C1105*E1105*G1105*H1105,IF(F1105,C1105*E1105*F1105,IF(G1105,C1105*E1105*G1105,IF(H1105,C1105*E1105*H1105,C1105*E1105))))))),2)</f>
        <v>1.4</v>
      </c>
      <c r="J1105" s="550" t="s">
        <v>102</v>
      </c>
      <c r="K1105" s="39"/>
      <c r="L1105" s="208"/>
      <c r="M1105" s="39"/>
      <c r="N1105" s="533" t="s">
        <v>2308</v>
      </c>
    </row>
    <row r="1106" spans="1:14" s="541" customFormat="1" ht="16.5" customHeight="1">
      <c r="A1106" s="16"/>
      <c r="B1106" s="544" t="s">
        <v>1250</v>
      </c>
      <c r="C1106" s="545">
        <v>1</v>
      </c>
      <c r="D1106" s="546" t="s">
        <v>273</v>
      </c>
      <c r="E1106" s="547">
        <v>21</v>
      </c>
      <c r="F1106" s="548">
        <v>1.28</v>
      </c>
      <c r="G1106" s="548">
        <v>0.3</v>
      </c>
      <c r="H1106" s="548">
        <v>0</v>
      </c>
      <c r="I1106" s="549">
        <f>ROUND(IF(AND(F1106:H1106),C1106*E1106*F1106*G1106*H1106,IF(AND(F1106,G1106),C1106*E1106*F1106*G1106,IF(AND(F1106,H1106),C1106*E1106*F1106*H1106,IF(AND(G1106,H1106),C1106*E1106*G1106*H1106,IF(F1106,C1106*E1106*F1106,IF(G1106,C1106*E1106*G1106,IF(H1106,C1106*E1106*H1106,C1106*E1106))))))),2)</f>
        <v>8.06</v>
      </c>
      <c r="J1106" s="550" t="s">
        <v>102</v>
      </c>
      <c r="K1106" s="39"/>
      <c r="L1106" s="208"/>
      <c r="M1106" s="39"/>
      <c r="N1106" s="533" t="s">
        <v>2308</v>
      </c>
    </row>
    <row r="1107" spans="1:14" s="541" customFormat="1" ht="16.5" customHeight="1">
      <c r="A1107" s="16"/>
      <c r="B1107" s="544"/>
      <c r="C1107" s="545"/>
      <c r="D1107" s="546"/>
      <c r="E1107" s="547"/>
      <c r="F1107" s="548"/>
      <c r="G1107" s="548"/>
      <c r="H1107" s="548"/>
      <c r="I1107" s="549"/>
      <c r="J1107" s="550"/>
      <c r="K1107" s="39"/>
      <c r="L1107" s="208"/>
      <c r="M1107" s="39"/>
      <c r="N1107" s="533" t="s">
        <v>2308</v>
      </c>
    </row>
    <row r="1108" spans="1:14" ht="15.75">
      <c r="A1108" s="16"/>
      <c r="B1108" s="39"/>
      <c r="C1108" s="551"/>
      <c r="D1108" s="552"/>
      <c r="E1108" s="537"/>
      <c r="F1108" s="538"/>
      <c r="G1108" s="40"/>
      <c r="H1108" s="16"/>
      <c r="I1108" s="549"/>
      <c r="J1108" s="550" t="s">
        <v>102</v>
      </c>
      <c r="K1108" s="10">
        <f>data!F2476</f>
        <v>686.13</v>
      </c>
      <c r="L1108" s="208" t="s">
        <v>2308</v>
      </c>
      <c r="M1108" s="9">
        <f>ROUND(I1108*K1108,0)</f>
        <v>0</v>
      </c>
      <c r="N1108" s="533" t="s">
        <v>2308</v>
      </c>
    </row>
    <row r="1109" spans="1:14" ht="90" customHeight="1">
      <c r="A1109" s="16">
        <v>26</v>
      </c>
      <c r="B1109" s="1633" t="s">
        <v>672</v>
      </c>
      <c r="C1109" s="1633"/>
      <c r="D1109" s="1633"/>
      <c r="E1109" s="1633"/>
      <c r="F1109" s="1633"/>
      <c r="G1109" s="1633"/>
      <c r="H1109" s="1633"/>
      <c r="I1109" s="534"/>
      <c r="J1109" s="535"/>
      <c r="K1109" s="16"/>
      <c r="L1109" s="208"/>
      <c r="M1109" s="38"/>
      <c r="N1109" s="533" t="s">
        <v>2309</v>
      </c>
    </row>
    <row r="1110" spans="1:14" s="541" customFormat="1" ht="16.5" customHeight="1">
      <c r="A1110" s="16"/>
      <c r="B1110" s="39" t="s">
        <v>2797</v>
      </c>
      <c r="C1110" s="563"/>
      <c r="D1110" s="564"/>
      <c r="E1110" s="565"/>
      <c r="F1110" s="566"/>
      <c r="G1110" s="566"/>
      <c r="H1110" s="567"/>
      <c r="I1110" s="568"/>
      <c r="J1110" s="550"/>
      <c r="K1110" s="39"/>
      <c r="L1110" s="208"/>
      <c r="M1110" s="39"/>
      <c r="N1110" s="533" t="s">
        <v>2309</v>
      </c>
    </row>
    <row r="1111" spans="1:14" s="541" customFormat="1" ht="16.5" customHeight="1">
      <c r="A1111" s="16"/>
      <c r="B1111" s="544" t="s">
        <v>578</v>
      </c>
      <c r="C1111" s="545">
        <v>1</v>
      </c>
      <c r="D1111" s="546" t="s">
        <v>273</v>
      </c>
      <c r="E1111" s="547">
        <v>1</v>
      </c>
      <c r="F1111" s="548">
        <v>9.8699999999999992</v>
      </c>
      <c r="G1111" s="548">
        <v>1.83</v>
      </c>
      <c r="H1111" s="548">
        <v>0</v>
      </c>
      <c r="I1111" s="549">
        <f>ROUND(IF(AND(F1111:H1111),C1111*E1111*F1111*G1111*H1111,IF(AND(F1111,G1111),C1111*E1111*F1111*G1111,IF(AND(F1111,H1111),C1111*E1111*F1111*H1111,IF(AND(G1111,H1111),C1111*E1111*G1111*H1111,IF(F1111,C1111*E1111*F1111,IF(G1111,C1111*E1111*G1111,IF(H1111,C1111*E1111*H1111,C1111*E1111))))))),2)</f>
        <v>18.059999999999999</v>
      </c>
      <c r="J1111" s="550" t="s">
        <v>102</v>
      </c>
      <c r="K1111" s="39"/>
      <c r="L1111" s="208"/>
      <c r="M1111" s="39"/>
      <c r="N1111" s="533" t="s">
        <v>2309</v>
      </c>
    </row>
    <row r="1112" spans="1:14" s="541" customFormat="1" ht="16.5" customHeight="1">
      <c r="A1112" s="16"/>
      <c r="B1112" s="544" t="s">
        <v>654</v>
      </c>
      <c r="C1112" s="545">
        <v>1</v>
      </c>
      <c r="D1112" s="546" t="s">
        <v>273</v>
      </c>
      <c r="E1112" s="547">
        <v>1</v>
      </c>
      <c r="F1112" s="548">
        <v>2.83</v>
      </c>
      <c r="G1112" s="548">
        <v>1.55</v>
      </c>
      <c r="H1112" s="548">
        <v>0</v>
      </c>
      <c r="I1112" s="549">
        <f>ROUND(IF(AND(F1112:H1112),C1112*E1112*F1112*G1112*H1112,IF(AND(F1112,G1112),C1112*E1112*F1112*G1112,IF(AND(F1112,H1112),C1112*E1112*F1112*H1112,IF(AND(G1112,H1112),C1112*E1112*G1112*H1112,IF(F1112,C1112*E1112*F1112,IF(G1112,C1112*E1112*G1112,IF(H1112,C1112*E1112*H1112,C1112*E1112))))))),2)</f>
        <v>4.3899999999999997</v>
      </c>
      <c r="J1112" s="550" t="s">
        <v>102</v>
      </c>
      <c r="K1112" s="39"/>
      <c r="L1112" s="208"/>
      <c r="M1112" s="39"/>
      <c r="N1112" s="533" t="s">
        <v>2309</v>
      </c>
    </row>
    <row r="1113" spans="1:14" s="541" customFormat="1" ht="16.5" customHeight="1">
      <c r="A1113" s="16"/>
      <c r="B1113" s="544"/>
      <c r="C1113" s="545">
        <v>1</v>
      </c>
      <c r="D1113" s="546" t="s">
        <v>273</v>
      </c>
      <c r="E1113" s="547">
        <v>1</v>
      </c>
      <c r="F1113" s="548">
        <v>2.65</v>
      </c>
      <c r="G1113" s="548">
        <v>0.53</v>
      </c>
      <c r="H1113" s="548">
        <v>0</v>
      </c>
      <c r="I1113" s="549">
        <f>ROUND(IF(AND(F1113:H1113),C1113*E1113*F1113*G1113*H1113,IF(AND(F1113,G1113),C1113*E1113*F1113*G1113,IF(AND(F1113,H1113),C1113*E1113*F1113*H1113,IF(AND(G1113,H1113),C1113*E1113*G1113*H1113,IF(F1113,C1113*E1113*F1113,IF(G1113,C1113*E1113*G1113,IF(H1113,C1113*E1113*H1113,C1113*E1113))))))),2)</f>
        <v>1.4</v>
      </c>
      <c r="J1113" s="550" t="s">
        <v>102</v>
      </c>
      <c r="K1113" s="39"/>
      <c r="L1113" s="208"/>
      <c r="M1113" s="39"/>
      <c r="N1113" s="533" t="s">
        <v>2309</v>
      </c>
    </row>
    <row r="1114" spans="1:14" s="541" customFormat="1" ht="16.5" customHeight="1">
      <c r="A1114" s="16"/>
      <c r="B1114" s="544" t="s">
        <v>1250</v>
      </c>
      <c r="C1114" s="545">
        <v>1</v>
      </c>
      <c r="D1114" s="546" t="s">
        <v>273</v>
      </c>
      <c r="E1114" s="547">
        <v>21</v>
      </c>
      <c r="F1114" s="548">
        <v>1.28</v>
      </c>
      <c r="G1114" s="548">
        <v>0.3</v>
      </c>
      <c r="H1114" s="548">
        <v>0</v>
      </c>
      <c r="I1114" s="549">
        <f>ROUND(IF(AND(F1114:H1114),C1114*E1114*F1114*G1114*H1114,IF(AND(F1114,G1114),C1114*E1114*F1114*G1114,IF(AND(F1114,H1114),C1114*E1114*F1114*H1114,IF(AND(G1114,H1114),C1114*E1114*G1114*H1114,IF(F1114,C1114*E1114*F1114,IF(G1114,C1114*E1114*G1114,IF(H1114,C1114*E1114*H1114,C1114*E1114))))))),2)</f>
        <v>8.06</v>
      </c>
      <c r="J1114" s="550" t="s">
        <v>102</v>
      </c>
      <c r="K1114" s="39"/>
      <c r="L1114" s="208"/>
      <c r="M1114" s="39"/>
      <c r="N1114" s="533" t="s">
        <v>2309</v>
      </c>
    </row>
    <row r="1115" spans="1:14" s="541" customFormat="1" ht="16.5" customHeight="1">
      <c r="A1115" s="16"/>
      <c r="B1115" s="544"/>
      <c r="C1115" s="545"/>
      <c r="D1115" s="546"/>
      <c r="E1115" s="547"/>
      <c r="F1115" s="548"/>
      <c r="G1115" s="548"/>
      <c r="H1115" s="548"/>
      <c r="I1115" s="549"/>
      <c r="J1115" s="550"/>
      <c r="K1115" s="39"/>
      <c r="L1115" s="208"/>
      <c r="M1115" s="39"/>
      <c r="N1115" s="533" t="s">
        <v>2309</v>
      </c>
    </row>
    <row r="1116" spans="1:14" ht="15.75">
      <c r="A1116" s="16"/>
      <c r="B1116" s="39"/>
      <c r="C1116" s="551"/>
      <c r="D1116" s="552"/>
      <c r="E1116" s="537"/>
      <c r="F1116" s="538"/>
      <c r="G1116" s="40"/>
      <c r="H1116" s="16"/>
      <c r="I1116" s="549"/>
      <c r="J1116" s="550" t="s">
        <v>102</v>
      </c>
      <c r="K1116" s="10">
        <f>data!F3393</f>
        <v>780.73</v>
      </c>
      <c r="L1116" s="208" t="s">
        <v>2309</v>
      </c>
      <c r="M1116" s="9">
        <f>ROUND(I1116*K1116,0)</f>
        <v>0</v>
      </c>
      <c r="N1116" s="533" t="s">
        <v>2309</v>
      </c>
    </row>
    <row r="1117" spans="1:14" ht="96" customHeight="1">
      <c r="A1117" s="16">
        <v>27</v>
      </c>
      <c r="B1117" s="1633" t="s">
        <v>678</v>
      </c>
      <c r="C1117" s="1633"/>
      <c r="D1117" s="1633"/>
      <c r="E1117" s="1633"/>
      <c r="F1117" s="1633"/>
      <c r="G1117" s="1633"/>
      <c r="H1117" s="1633"/>
      <c r="I1117" s="534"/>
      <c r="J1117" s="535"/>
      <c r="K1117" s="16"/>
      <c r="L1117" s="208"/>
      <c r="M1117" s="38"/>
      <c r="N1117" s="533" t="s">
        <v>2209</v>
      </c>
    </row>
    <row r="1118" spans="1:14" s="541" customFormat="1" ht="16.5" customHeight="1">
      <c r="A1118" s="16"/>
      <c r="B1118" s="39" t="s">
        <v>2819</v>
      </c>
      <c r="C1118" s="563"/>
      <c r="D1118" s="564"/>
      <c r="E1118" s="565"/>
      <c r="F1118" s="566"/>
      <c r="G1118" s="566"/>
      <c r="H1118" s="567"/>
      <c r="I1118" s="568"/>
      <c r="J1118" s="550"/>
      <c r="K1118" s="39"/>
      <c r="L1118" s="208"/>
      <c r="M1118" s="39"/>
      <c r="N1118" s="533" t="s">
        <v>2209</v>
      </c>
    </row>
    <row r="1119" spans="1:14" s="541" customFormat="1" ht="16.5" customHeight="1">
      <c r="A1119" s="16"/>
      <c r="B1119" s="544" t="s">
        <v>1248</v>
      </c>
      <c r="C1119" s="545">
        <v>1</v>
      </c>
      <c r="D1119" s="546" t="s">
        <v>273</v>
      </c>
      <c r="E1119" s="547">
        <v>2</v>
      </c>
      <c r="F1119" s="548">
        <v>5.25</v>
      </c>
      <c r="G1119" s="548">
        <v>0</v>
      </c>
      <c r="H1119" s="548">
        <v>0.1</v>
      </c>
      <c r="I1119" s="549">
        <f t="shared" ref="I1119:I1121" si="106">ROUND(IF(AND(F1119:H1119),C1119*E1119*F1119*G1119*H1119,IF(AND(F1119,G1119),C1119*E1119*F1119*G1119,IF(AND(F1119,H1119),C1119*E1119*F1119*H1119,IF(AND(G1119,H1119),C1119*E1119*G1119*H1119,IF(F1119,C1119*E1119*F1119,IF(G1119,C1119*E1119*G1119,IF(H1119,C1119*E1119*H1119,C1119*E1119))))))),2)</f>
        <v>1.05</v>
      </c>
      <c r="J1119" s="550" t="s">
        <v>102</v>
      </c>
      <c r="K1119" s="39"/>
      <c r="L1119" s="208"/>
      <c r="M1119" s="39"/>
      <c r="N1119" s="533" t="s">
        <v>2209</v>
      </c>
    </row>
    <row r="1120" spans="1:14" s="541" customFormat="1" ht="16.5" customHeight="1">
      <c r="A1120" s="16"/>
      <c r="B1120" s="544" t="s">
        <v>578</v>
      </c>
      <c r="C1120" s="545">
        <v>1</v>
      </c>
      <c r="D1120" s="546" t="s">
        <v>273</v>
      </c>
      <c r="E1120" s="547">
        <v>1</v>
      </c>
      <c r="F1120" s="548">
        <v>9.8699999999999992</v>
      </c>
      <c r="G1120" s="548">
        <v>0</v>
      </c>
      <c r="H1120" s="548">
        <v>0.1</v>
      </c>
      <c r="I1120" s="549">
        <f t="shared" si="106"/>
        <v>0.99</v>
      </c>
      <c r="J1120" s="550" t="s">
        <v>102</v>
      </c>
      <c r="K1120" s="39"/>
      <c r="L1120" s="208"/>
      <c r="M1120" s="39"/>
      <c r="N1120" s="533" t="s">
        <v>2209</v>
      </c>
    </row>
    <row r="1121" spans="1:14" s="541" customFormat="1" ht="16.5" customHeight="1">
      <c r="A1121" s="16"/>
      <c r="B1121" s="544" t="s">
        <v>1251</v>
      </c>
      <c r="C1121" s="545">
        <v>1</v>
      </c>
      <c r="D1121" s="546" t="s">
        <v>273</v>
      </c>
      <c r="E1121" s="547">
        <v>5</v>
      </c>
      <c r="F1121" s="548">
        <v>2.72</v>
      </c>
      <c r="G1121" s="548">
        <v>0</v>
      </c>
      <c r="H1121" s="548">
        <v>0.17</v>
      </c>
      <c r="I1121" s="549">
        <f t="shared" si="106"/>
        <v>2.31</v>
      </c>
      <c r="J1121" s="550" t="s">
        <v>102</v>
      </c>
      <c r="K1121" s="39"/>
      <c r="L1121" s="208"/>
      <c r="M1121" s="39"/>
      <c r="N1121" s="533" t="s">
        <v>2209</v>
      </c>
    </row>
    <row r="1122" spans="1:14" s="541" customFormat="1" ht="16.5" customHeight="1">
      <c r="A1122" s="16"/>
      <c r="B1122" s="544"/>
      <c r="C1122" s="545"/>
      <c r="D1122" s="546"/>
      <c r="E1122" s="547"/>
      <c r="F1122" s="548"/>
      <c r="G1122" s="548"/>
      <c r="H1122" s="548"/>
      <c r="I1122" s="549"/>
      <c r="J1122" s="550"/>
      <c r="K1122" s="39"/>
      <c r="L1122" s="208"/>
      <c r="M1122" s="39"/>
      <c r="N1122" s="533" t="s">
        <v>2209</v>
      </c>
    </row>
    <row r="1123" spans="1:14" ht="15.75">
      <c r="A1123" s="16"/>
      <c r="B1123" s="39"/>
      <c r="C1123" s="551"/>
      <c r="D1123" s="552"/>
      <c r="E1123" s="537"/>
      <c r="F1123" s="538"/>
      <c r="G1123" s="40"/>
      <c r="H1123" s="16"/>
      <c r="I1123" s="549"/>
      <c r="J1123" s="550" t="s">
        <v>102</v>
      </c>
      <c r="K1123" s="10">
        <f>data!F660</f>
        <v>652.64</v>
      </c>
      <c r="L1123" s="208" t="s">
        <v>2209</v>
      </c>
      <c r="M1123" s="9">
        <f>ROUND(I1123*K1123,0)</f>
        <v>0</v>
      </c>
      <c r="N1123" s="533" t="s">
        <v>2209</v>
      </c>
    </row>
    <row r="1124" spans="1:14" ht="96" customHeight="1">
      <c r="A1124" s="16">
        <v>27</v>
      </c>
      <c r="B1124" s="1633" t="s">
        <v>678</v>
      </c>
      <c r="C1124" s="1633"/>
      <c r="D1124" s="1633"/>
      <c r="E1124" s="1633"/>
      <c r="F1124" s="1633"/>
      <c r="G1124" s="1633"/>
      <c r="H1124" s="1633"/>
      <c r="I1124" s="534"/>
      <c r="J1124" s="535"/>
      <c r="K1124" s="16"/>
      <c r="L1124" s="208"/>
      <c r="M1124" s="38"/>
      <c r="N1124" s="533" t="s">
        <v>2297</v>
      </c>
    </row>
    <row r="1125" spans="1:14" s="541" customFormat="1" ht="16.5" customHeight="1">
      <c r="A1125" s="16"/>
      <c r="B1125" s="39" t="s">
        <v>2967</v>
      </c>
      <c r="C1125" s="563"/>
      <c r="D1125" s="564"/>
      <c r="E1125" s="565"/>
      <c r="F1125" s="566"/>
      <c r="G1125" s="566"/>
      <c r="H1125" s="567"/>
      <c r="I1125" s="568"/>
      <c r="J1125" s="550"/>
      <c r="K1125" s="39"/>
      <c r="L1125" s="208"/>
      <c r="M1125" s="39"/>
      <c r="N1125" s="533" t="s">
        <v>2297</v>
      </c>
    </row>
    <row r="1126" spans="1:14" s="541" customFormat="1" ht="16.5" customHeight="1">
      <c r="A1126" s="16"/>
      <c r="B1126" s="544" t="s">
        <v>2965</v>
      </c>
      <c r="C1126" s="545">
        <v>1</v>
      </c>
      <c r="D1126" s="546" t="s">
        <v>273</v>
      </c>
      <c r="E1126" s="547">
        <v>1</v>
      </c>
      <c r="F1126" s="548">
        <v>15.6</v>
      </c>
      <c r="G1126" s="548">
        <v>0</v>
      </c>
      <c r="H1126" s="548">
        <v>0.1</v>
      </c>
      <c r="I1126" s="549">
        <f>ROUND(IF(AND(F1126:H1126),C1126*E1126*F1126*G1126*H1126,IF(AND(F1126,G1126),C1126*E1126*F1126*G1126,IF(AND(F1126,H1126),C1126*E1126*F1126*H1126,IF(AND(G1126,H1126),C1126*E1126*G1126*H1126,IF(F1126,C1126*E1126*F1126,IF(G1126,C1126*E1126*G1126,IF(H1126,C1126*E1126*H1126,C1126*E1126))))))),2)</f>
        <v>1.56</v>
      </c>
      <c r="J1126" s="550" t="s">
        <v>102</v>
      </c>
      <c r="K1126" s="39"/>
      <c r="L1126" s="208"/>
      <c r="M1126" s="39"/>
      <c r="N1126" s="533" t="s">
        <v>2297</v>
      </c>
    </row>
    <row r="1127" spans="1:14" s="541" customFormat="1" ht="16.5" customHeight="1">
      <c r="A1127" s="16"/>
      <c r="B1127" s="544" t="s">
        <v>579</v>
      </c>
      <c r="C1127" s="545">
        <v>1</v>
      </c>
      <c r="D1127" s="546" t="s">
        <v>273</v>
      </c>
      <c r="E1127" s="547">
        <v>1</v>
      </c>
      <c r="F1127" s="548">
        <v>1.2</v>
      </c>
      <c r="G1127" s="548">
        <v>0</v>
      </c>
      <c r="H1127" s="548">
        <v>0.1</v>
      </c>
      <c r="I1127" s="549">
        <f>-ROUND(IF(AND(F1127:H1127),C1127*E1127*F1127*G1127*H1127,IF(AND(F1127,G1127),C1127*E1127*F1127*G1127,IF(AND(F1127,H1127),C1127*E1127*F1127*H1127,IF(AND(G1127,H1127),C1127*E1127*G1127*H1127,IF(F1127,C1127*E1127*F1127,IF(G1127,C1127*E1127*G1127,IF(H1127,C1127*E1127*H1127,C1127*E1127))))))),2)</f>
        <v>-0.12</v>
      </c>
      <c r="J1127" s="550" t="s">
        <v>102</v>
      </c>
      <c r="K1127" s="39"/>
      <c r="L1127" s="208"/>
      <c r="M1127" s="39"/>
      <c r="N1127" s="533" t="s">
        <v>2297</v>
      </c>
    </row>
    <row r="1128" spans="1:14" s="541" customFormat="1" ht="16.5" customHeight="1">
      <c r="A1128" s="16"/>
      <c r="B1128" s="544" t="s">
        <v>2937</v>
      </c>
      <c r="C1128" s="545">
        <v>1</v>
      </c>
      <c r="D1128" s="546" t="s">
        <v>273</v>
      </c>
      <c r="E1128" s="547">
        <v>1</v>
      </c>
      <c r="F1128" s="548">
        <v>0.9</v>
      </c>
      <c r="G1128" s="548">
        <v>0</v>
      </c>
      <c r="H1128" s="548">
        <v>0.1</v>
      </c>
      <c r="I1128" s="549">
        <f>-ROUND(IF(AND(F1128:H1128),C1128*E1128*F1128*G1128*H1128,IF(AND(F1128,G1128),C1128*E1128*F1128*G1128,IF(AND(F1128,H1128),C1128*E1128*F1128*H1128,IF(AND(G1128,H1128),C1128*E1128*G1128*H1128,IF(F1128,C1128*E1128*F1128,IF(G1128,C1128*E1128*G1128,IF(H1128,C1128*E1128*H1128,C1128*E1128))))))),2)</f>
        <v>-0.09</v>
      </c>
      <c r="J1128" s="550" t="s">
        <v>102</v>
      </c>
      <c r="K1128" s="39"/>
      <c r="L1128" s="208"/>
      <c r="M1128" s="39"/>
      <c r="N1128" s="533" t="s">
        <v>2297</v>
      </c>
    </row>
    <row r="1129" spans="1:14" s="541" customFormat="1" ht="16.5" customHeight="1">
      <c r="A1129" s="16"/>
      <c r="B1129" s="544" t="s">
        <v>2968</v>
      </c>
      <c r="C1129" s="545">
        <v>1</v>
      </c>
      <c r="D1129" s="546" t="s">
        <v>273</v>
      </c>
      <c r="E1129" s="547">
        <v>2</v>
      </c>
      <c r="F1129" s="548">
        <v>13.3</v>
      </c>
      <c r="G1129" s="548">
        <v>0</v>
      </c>
      <c r="H1129" s="548">
        <v>0.1</v>
      </c>
      <c r="I1129" s="549">
        <f t="shared" ref="I1129:I1131" si="107">ROUND(IF(AND(F1129:H1129),C1129*E1129*F1129*G1129*H1129,IF(AND(F1129,G1129),C1129*E1129*F1129*G1129,IF(AND(F1129,H1129),C1129*E1129*F1129*H1129,IF(AND(G1129,H1129),C1129*E1129*G1129*H1129,IF(F1129,C1129*E1129*F1129,IF(G1129,C1129*E1129*G1129,IF(H1129,C1129*E1129*H1129,C1129*E1129))))))),2)</f>
        <v>2.66</v>
      </c>
      <c r="J1129" s="550" t="s">
        <v>102</v>
      </c>
      <c r="K1129" s="39"/>
      <c r="L1129" s="208"/>
      <c r="M1129" s="39"/>
      <c r="N1129" s="533" t="s">
        <v>2297</v>
      </c>
    </row>
    <row r="1130" spans="1:14" s="541" customFormat="1" ht="16.5" customHeight="1">
      <c r="A1130" s="16"/>
      <c r="B1130" s="544" t="s">
        <v>2969</v>
      </c>
      <c r="C1130" s="545">
        <v>1</v>
      </c>
      <c r="D1130" s="546" t="s">
        <v>273</v>
      </c>
      <c r="E1130" s="547">
        <v>2</v>
      </c>
      <c r="F1130" s="548">
        <v>8.6999999999999993</v>
      </c>
      <c r="G1130" s="548">
        <v>0</v>
      </c>
      <c r="H1130" s="548">
        <v>0.1</v>
      </c>
      <c r="I1130" s="549">
        <f t="shared" si="107"/>
        <v>1.74</v>
      </c>
      <c r="J1130" s="550" t="s">
        <v>102</v>
      </c>
      <c r="K1130" s="39"/>
      <c r="L1130" s="208"/>
      <c r="M1130" s="39"/>
      <c r="N1130" s="533" t="s">
        <v>2297</v>
      </c>
    </row>
    <row r="1131" spans="1:14" s="541" customFormat="1" ht="16.5" customHeight="1">
      <c r="A1131" s="16"/>
      <c r="B1131" s="544" t="s">
        <v>2728</v>
      </c>
      <c r="C1131" s="545">
        <v>1</v>
      </c>
      <c r="D1131" s="546" t="s">
        <v>273</v>
      </c>
      <c r="E1131" s="547">
        <v>11</v>
      </c>
      <c r="F1131" s="548">
        <v>1.3</v>
      </c>
      <c r="G1131" s="548">
        <v>0</v>
      </c>
      <c r="H1131" s="548">
        <v>0.15</v>
      </c>
      <c r="I1131" s="549">
        <f t="shared" si="107"/>
        <v>2.15</v>
      </c>
      <c r="J1131" s="550" t="s">
        <v>102</v>
      </c>
      <c r="K1131" s="39"/>
      <c r="L1131" s="208"/>
      <c r="M1131" s="39"/>
      <c r="N1131" s="533" t="s">
        <v>2297</v>
      </c>
    </row>
    <row r="1132" spans="1:14" s="541" customFormat="1" ht="16.5" customHeight="1">
      <c r="A1132" s="16"/>
      <c r="B1132" s="544" t="s">
        <v>2729</v>
      </c>
      <c r="C1132" s="545">
        <v>1</v>
      </c>
      <c r="D1132" s="546" t="s">
        <v>273</v>
      </c>
      <c r="E1132" s="547">
        <v>10</v>
      </c>
      <c r="F1132" s="548">
        <v>1.3</v>
      </c>
      <c r="G1132" s="548">
        <v>0</v>
      </c>
      <c r="H1132" s="548">
        <v>0.15</v>
      </c>
      <c r="I1132" s="549">
        <f t="shared" ref="I1132" si="108">ROUND(IF(AND(F1132:H1132),C1132*E1132*F1132*G1132*H1132,IF(AND(F1132,G1132),C1132*E1132*F1132*G1132,IF(AND(F1132,H1132),C1132*E1132*F1132*H1132,IF(AND(G1132,H1132),C1132*E1132*G1132*H1132,IF(F1132,C1132*E1132*F1132,IF(G1132,C1132*E1132*G1132,IF(H1132,C1132*E1132*H1132,C1132*E1132))))))),2)</f>
        <v>1.95</v>
      </c>
      <c r="J1132" s="550" t="s">
        <v>102</v>
      </c>
      <c r="K1132" s="39"/>
      <c r="L1132" s="208"/>
      <c r="M1132" s="39"/>
      <c r="N1132" s="533" t="s">
        <v>2297</v>
      </c>
    </row>
    <row r="1133" spans="1:14" s="541" customFormat="1" ht="16.5" customHeight="1">
      <c r="A1133" s="16"/>
      <c r="B1133" s="544"/>
      <c r="C1133" s="545"/>
      <c r="D1133" s="546"/>
      <c r="E1133" s="547"/>
      <c r="F1133" s="548"/>
      <c r="G1133" s="548"/>
      <c r="H1133" s="548"/>
      <c r="I1133" s="549"/>
      <c r="J1133" s="550"/>
      <c r="K1133" s="39"/>
      <c r="L1133" s="208"/>
      <c r="M1133" s="39"/>
      <c r="N1133" s="533" t="s">
        <v>2297</v>
      </c>
    </row>
    <row r="1134" spans="1:14" ht="15.75">
      <c r="A1134" s="16"/>
      <c r="B1134" s="39"/>
      <c r="C1134" s="551"/>
      <c r="D1134" s="552"/>
      <c r="E1134" s="537"/>
      <c r="F1134" s="538"/>
      <c r="G1134" s="40"/>
      <c r="H1134" s="16"/>
      <c r="I1134" s="549"/>
      <c r="J1134" s="550" t="s">
        <v>102</v>
      </c>
      <c r="K1134" s="10">
        <f>data!F1577</f>
        <v>683.46</v>
      </c>
      <c r="L1134" s="208" t="s">
        <v>2297</v>
      </c>
      <c r="M1134" s="9">
        <f>ROUND(I1134*K1134,0)</f>
        <v>0</v>
      </c>
      <c r="N1134" s="533" t="s">
        <v>2297</v>
      </c>
    </row>
    <row r="1135" spans="1:14" ht="96" customHeight="1">
      <c r="A1135" s="16">
        <v>27</v>
      </c>
      <c r="B1135" s="1633" t="s">
        <v>678</v>
      </c>
      <c r="C1135" s="1633"/>
      <c r="D1135" s="1633"/>
      <c r="E1135" s="1633"/>
      <c r="F1135" s="1633"/>
      <c r="G1135" s="1633"/>
      <c r="H1135" s="1633"/>
      <c r="I1135" s="534"/>
      <c r="J1135" s="535"/>
      <c r="K1135" s="16"/>
      <c r="L1135" s="208"/>
      <c r="M1135" s="38"/>
      <c r="N1135" s="533" t="s">
        <v>2308</v>
      </c>
    </row>
    <row r="1136" spans="1:14" s="541" customFormat="1" ht="16.5" customHeight="1">
      <c r="A1136" s="16"/>
      <c r="B1136" s="39" t="s">
        <v>2819</v>
      </c>
      <c r="C1136" s="563"/>
      <c r="D1136" s="564"/>
      <c r="E1136" s="565"/>
      <c r="F1136" s="566"/>
      <c r="G1136" s="566"/>
      <c r="H1136" s="567"/>
      <c r="I1136" s="568"/>
      <c r="J1136" s="550"/>
      <c r="K1136" s="39"/>
      <c r="L1136" s="208"/>
      <c r="M1136" s="39"/>
      <c r="N1136" s="533" t="s">
        <v>2308</v>
      </c>
    </row>
    <row r="1137" spans="1:14" s="541" customFormat="1" ht="16.5" customHeight="1">
      <c r="A1137" s="16"/>
      <c r="B1137" s="544" t="s">
        <v>1248</v>
      </c>
      <c r="C1137" s="545">
        <v>1</v>
      </c>
      <c r="D1137" s="546" t="s">
        <v>273</v>
      </c>
      <c r="E1137" s="547">
        <v>2</v>
      </c>
      <c r="F1137" s="548">
        <v>5.25</v>
      </c>
      <c r="G1137" s="548">
        <v>0</v>
      </c>
      <c r="H1137" s="548">
        <v>0.1</v>
      </c>
      <c r="I1137" s="549">
        <f>ROUND(IF(AND(F1137:H1137),C1137*E1137*F1137*G1137*H1137,IF(AND(F1137,G1137),C1137*E1137*F1137*G1137,IF(AND(F1137,H1137),C1137*E1137*F1137*H1137,IF(AND(G1137,H1137),C1137*E1137*G1137*H1137,IF(F1137,C1137*E1137*F1137,IF(G1137,C1137*E1137*G1137,IF(H1137,C1137*E1137*H1137,C1137*E1137))))))),2)</f>
        <v>1.05</v>
      </c>
      <c r="J1137" s="550" t="s">
        <v>102</v>
      </c>
      <c r="K1137" s="39"/>
      <c r="L1137" s="208"/>
      <c r="M1137" s="39"/>
      <c r="N1137" s="533" t="s">
        <v>2308</v>
      </c>
    </row>
    <row r="1138" spans="1:14" s="541" customFormat="1" ht="16.5" customHeight="1">
      <c r="A1138" s="16"/>
      <c r="B1138" s="544" t="s">
        <v>578</v>
      </c>
      <c r="C1138" s="545">
        <v>1</v>
      </c>
      <c r="D1138" s="546" t="s">
        <v>273</v>
      </c>
      <c r="E1138" s="547">
        <v>1</v>
      </c>
      <c r="F1138" s="548">
        <v>9.8699999999999992</v>
      </c>
      <c r="G1138" s="548">
        <v>0</v>
      </c>
      <c r="H1138" s="548">
        <v>0.1</v>
      </c>
      <c r="I1138" s="549">
        <f>ROUND(IF(AND(F1138:H1138),C1138*E1138*F1138*G1138*H1138,IF(AND(F1138,G1138),C1138*E1138*F1138*G1138,IF(AND(F1138,H1138),C1138*E1138*F1138*H1138,IF(AND(G1138,H1138),C1138*E1138*G1138*H1138,IF(F1138,C1138*E1138*F1138,IF(G1138,C1138*E1138*G1138,IF(H1138,C1138*E1138*H1138,C1138*E1138))))))),2)</f>
        <v>0.99</v>
      </c>
      <c r="J1138" s="550" t="s">
        <v>102</v>
      </c>
      <c r="K1138" s="39"/>
      <c r="L1138" s="208"/>
      <c r="M1138" s="39"/>
      <c r="N1138" s="533" t="s">
        <v>2308</v>
      </c>
    </row>
    <row r="1139" spans="1:14" s="541" customFormat="1" ht="16.5" customHeight="1">
      <c r="A1139" s="16"/>
      <c r="B1139" s="544" t="s">
        <v>1251</v>
      </c>
      <c r="C1139" s="545">
        <v>1</v>
      </c>
      <c r="D1139" s="546" t="s">
        <v>273</v>
      </c>
      <c r="E1139" s="547">
        <v>5</v>
      </c>
      <c r="F1139" s="548">
        <v>2.72</v>
      </c>
      <c r="G1139" s="548">
        <v>0</v>
      </c>
      <c r="H1139" s="548">
        <v>0.17</v>
      </c>
      <c r="I1139" s="549">
        <f>ROUND(IF(AND(F1139:H1139),C1139*E1139*F1139*G1139*H1139,IF(AND(F1139,G1139),C1139*E1139*F1139*G1139,IF(AND(F1139,H1139),C1139*E1139*F1139*H1139,IF(AND(G1139,H1139),C1139*E1139*G1139*H1139,IF(F1139,C1139*E1139*F1139,IF(G1139,C1139*E1139*G1139,IF(H1139,C1139*E1139*H1139,C1139*E1139))))))),2)</f>
        <v>2.31</v>
      </c>
      <c r="J1139" s="550" t="s">
        <v>102</v>
      </c>
      <c r="K1139" s="39"/>
      <c r="L1139" s="208"/>
      <c r="M1139" s="39"/>
      <c r="N1139" s="533" t="s">
        <v>2308</v>
      </c>
    </row>
    <row r="1140" spans="1:14" s="541" customFormat="1" ht="16.5" customHeight="1">
      <c r="A1140" s="16"/>
      <c r="B1140" s="544"/>
      <c r="C1140" s="545"/>
      <c r="D1140" s="546"/>
      <c r="E1140" s="547"/>
      <c r="F1140" s="548"/>
      <c r="G1140" s="548"/>
      <c r="H1140" s="548"/>
      <c r="I1140" s="549"/>
      <c r="J1140" s="550"/>
      <c r="K1140" s="39"/>
      <c r="L1140" s="208"/>
      <c r="M1140" s="39"/>
      <c r="N1140" s="533" t="s">
        <v>2308</v>
      </c>
    </row>
    <row r="1141" spans="1:14" ht="15.75">
      <c r="A1141" s="16"/>
      <c r="B1141" s="39"/>
      <c r="C1141" s="551"/>
      <c r="D1141" s="552"/>
      <c r="E1141" s="537"/>
      <c r="F1141" s="538"/>
      <c r="G1141" s="40"/>
      <c r="H1141" s="16"/>
      <c r="I1141" s="549"/>
      <c r="J1141" s="550" t="s">
        <v>102</v>
      </c>
      <c r="K1141" s="10">
        <f>data!F2494</f>
        <v>706.57</v>
      </c>
      <c r="L1141" s="208" t="s">
        <v>2308</v>
      </c>
      <c r="M1141" s="9">
        <f>ROUND(I1141*K1141,0)</f>
        <v>0</v>
      </c>
      <c r="N1141" s="533" t="s">
        <v>2308</v>
      </c>
    </row>
    <row r="1142" spans="1:14" ht="96" customHeight="1">
      <c r="A1142" s="16">
        <v>27</v>
      </c>
      <c r="B1142" s="1633" t="s">
        <v>678</v>
      </c>
      <c r="C1142" s="1633"/>
      <c r="D1142" s="1633"/>
      <c r="E1142" s="1633"/>
      <c r="F1142" s="1633"/>
      <c r="G1142" s="1633"/>
      <c r="H1142" s="1633"/>
      <c r="I1142" s="534"/>
      <c r="J1142" s="535"/>
      <c r="K1142" s="16"/>
      <c r="L1142" s="208"/>
      <c r="M1142" s="38"/>
      <c r="N1142" s="533" t="s">
        <v>2309</v>
      </c>
    </row>
    <row r="1143" spans="1:14" s="541" customFormat="1" ht="16.5" customHeight="1">
      <c r="A1143" s="16"/>
      <c r="B1143" s="39" t="s">
        <v>2819</v>
      </c>
      <c r="C1143" s="563"/>
      <c r="D1143" s="564"/>
      <c r="E1143" s="565"/>
      <c r="F1143" s="566"/>
      <c r="G1143" s="566"/>
      <c r="H1143" s="567"/>
      <c r="I1143" s="568"/>
      <c r="J1143" s="550"/>
      <c r="K1143" s="39"/>
      <c r="L1143" s="208"/>
      <c r="M1143" s="39"/>
      <c r="N1143" s="533" t="s">
        <v>2309</v>
      </c>
    </row>
    <row r="1144" spans="1:14" s="541" customFormat="1" ht="16.5" customHeight="1">
      <c r="A1144" s="16"/>
      <c r="B1144" s="544" t="s">
        <v>1248</v>
      </c>
      <c r="C1144" s="545">
        <v>1</v>
      </c>
      <c r="D1144" s="546" t="s">
        <v>273</v>
      </c>
      <c r="E1144" s="547">
        <v>2</v>
      </c>
      <c r="F1144" s="548">
        <v>5.25</v>
      </c>
      <c r="G1144" s="548">
        <v>0</v>
      </c>
      <c r="H1144" s="548">
        <v>0.1</v>
      </c>
      <c r="I1144" s="549">
        <f>ROUND(IF(AND(F1144:H1144),C1144*E1144*F1144*G1144*H1144,IF(AND(F1144,G1144),C1144*E1144*F1144*G1144,IF(AND(F1144,H1144),C1144*E1144*F1144*H1144,IF(AND(G1144,H1144),C1144*E1144*G1144*H1144,IF(F1144,C1144*E1144*F1144,IF(G1144,C1144*E1144*G1144,IF(H1144,C1144*E1144*H1144,C1144*E1144))))))),2)</f>
        <v>1.05</v>
      </c>
      <c r="J1144" s="550" t="s">
        <v>102</v>
      </c>
      <c r="K1144" s="39"/>
      <c r="L1144" s="208"/>
      <c r="M1144" s="39"/>
      <c r="N1144" s="533" t="s">
        <v>2309</v>
      </c>
    </row>
    <row r="1145" spans="1:14" s="541" customFormat="1" ht="16.5" customHeight="1">
      <c r="A1145" s="16"/>
      <c r="B1145" s="544" t="s">
        <v>578</v>
      </c>
      <c r="C1145" s="545">
        <v>1</v>
      </c>
      <c r="D1145" s="546" t="s">
        <v>273</v>
      </c>
      <c r="E1145" s="547">
        <v>1</v>
      </c>
      <c r="F1145" s="548">
        <v>9.8699999999999992</v>
      </c>
      <c r="G1145" s="548">
        <v>0</v>
      </c>
      <c r="H1145" s="548">
        <v>0.1</v>
      </c>
      <c r="I1145" s="549">
        <f>ROUND(IF(AND(F1145:H1145),C1145*E1145*F1145*G1145*H1145,IF(AND(F1145,G1145),C1145*E1145*F1145*G1145,IF(AND(F1145,H1145),C1145*E1145*F1145*H1145,IF(AND(G1145,H1145),C1145*E1145*G1145*H1145,IF(F1145,C1145*E1145*F1145,IF(G1145,C1145*E1145*G1145,IF(H1145,C1145*E1145*H1145,C1145*E1145))))))),2)</f>
        <v>0.99</v>
      </c>
      <c r="J1145" s="550" t="s">
        <v>102</v>
      </c>
      <c r="K1145" s="39"/>
      <c r="L1145" s="208"/>
      <c r="M1145" s="39"/>
      <c r="N1145" s="533" t="s">
        <v>2309</v>
      </c>
    </row>
    <row r="1146" spans="1:14" s="541" customFormat="1" ht="16.5" customHeight="1">
      <c r="A1146" s="16"/>
      <c r="B1146" s="544" t="s">
        <v>1251</v>
      </c>
      <c r="C1146" s="545">
        <v>1</v>
      </c>
      <c r="D1146" s="546" t="s">
        <v>273</v>
      </c>
      <c r="E1146" s="547">
        <v>5</v>
      </c>
      <c r="F1146" s="548">
        <v>2.72</v>
      </c>
      <c r="G1146" s="548">
        <v>0</v>
      </c>
      <c r="H1146" s="548">
        <v>0.17</v>
      </c>
      <c r="I1146" s="549">
        <f>ROUND(IF(AND(F1146:H1146),C1146*E1146*F1146*G1146*H1146,IF(AND(F1146,G1146),C1146*E1146*F1146*G1146,IF(AND(F1146,H1146),C1146*E1146*F1146*H1146,IF(AND(G1146,H1146),C1146*E1146*G1146*H1146,IF(F1146,C1146*E1146*F1146,IF(G1146,C1146*E1146*G1146,IF(H1146,C1146*E1146*H1146,C1146*E1146))))))),2)</f>
        <v>2.31</v>
      </c>
      <c r="J1146" s="550" t="s">
        <v>102</v>
      </c>
      <c r="K1146" s="39"/>
      <c r="L1146" s="208"/>
      <c r="M1146" s="39"/>
      <c r="N1146" s="533" t="s">
        <v>2309</v>
      </c>
    </row>
    <row r="1147" spans="1:14" s="541" customFormat="1" ht="16.5" customHeight="1">
      <c r="A1147" s="16"/>
      <c r="B1147" s="544"/>
      <c r="C1147" s="545"/>
      <c r="D1147" s="546"/>
      <c r="E1147" s="547"/>
      <c r="F1147" s="548"/>
      <c r="G1147" s="548"/>
      <c r="H1147" s="548"/>
      <c r="I1147" s="549"/>
      <c r="J1147" s="550"/>
      <c r="K1147" s="39"/>
      <c r="L1147" s="208"/>
      <c r="M1147" s="39"/>
      <c r="N1147" s="533" t="s">
        <v>2309</v>
      </c>
    </row>
    <row r="1148" spans="1:14" ht="15.75">
      <c r="A1148" s="16"/>
      <c r="B1148" s="39"/>
      <c r="C1148" s="551"/>
      <c r="D1148" s="552"/>
      <c r="E1148" s="537"/>
      <c r="F1148" s="538"/>
      <c r="G1148" s="40"/>
      <c r="H1148" s="16"/>
      <c r="I1148" s="549"/>
      <c r="J1148" s="550" t="s">
        <v>102</v>
      </c>
      <c r="K1148" s="10">
        <f>data!F3411</f>
        <v>786.2</v>
      </c>
      <c r="L1148" s="208" t="s">
        <v>2309</v>
      </c>
      <c r="M1148" s="9">
        <f>ROUND(I1148*K1148,0)</f>
        <v>0</v>
      </c>
      <c r="N1148" s="533" t="s">
        <v>2309</v>
      </c>
    </row>
    <row r="1149" spans="1:14" ht="94.5" customHeight="1">
      <c r="A1149" s="16">
        <v>17</v>
      </c>
      <c r="B1149" s="1633" t="s">
        <v>211</v>
      </c>
      <c r="C1149" s="1633"/>
      <c r="D1149" s="1633"/>
      <c r="E1149" s="1633"/>
      <c r="F1149" s="1633"/>
      <c r="G1149" s="1633"/>
      <c r="H1149" s="1633"/>
      <c r="I1149" s="534"/>
      <c r="J1149" s="535"/>
      <c r="K1149" s="16"/>
      <c r="L1149" s="208"/>
      <c r="M1149" s="38"/>
      <c r="N1149" s="533" t="s">
        <v>2209</v>
      </c>
    </row>
    <row r="1150" spans="1:14" s="541" customFormat="1" ht="16.5" customHeight="1">
      <c r="A1150" s="16"/>
      <c r="B1150" s="39" t="s">
        <v>2799</v>
      </c>
      <c r="C1150" s="563"/>
      <c r="D1150" s="564"/>
      <c r="E1150" s="565"/>
      <c r="F1150" s="566"/>
      <c r="G1150" s="566"/>
      <c r="H1150" s="567"/>
      <c r="I1150" s="568"/>
      <c r="J1150" s="550"/>
      <c r="K1150" s="39"/>
      <c r="L1150" s="208"/>
      <c r="M1150" s="39"/>
      <c r="N1150" s="533" t="s">
        <v>2209</v>
      </c>
    </row>
    <row r="1151" spans="1:14" s="541" customFormat="1" ht="16.5" customHeight="1">
      <c r="A1151" s="16"/>
      <c r="B1151" s="577" t="s">
        <v>654</v>
      </c>
      <c r="C1151" s="578">
        <v>1</v>
      </c>
      <c r="D1151" s="579" t="s">
        <v>273</v>
      </c>
      <c r="E1151" s="580">
        <v>1</v>
      </c>
      <c r="F1151" s="581">
        <v>4.1500000000000004</v>
      </c>
      <c r="G1151" s="581">
        <v>2.4</v>
      </c>
      <c r="H1151" s="581">
        <v>0</v>
      </c>
      <c r="I1151" s="549">
        <f t="shared" ref="I1151" si="109">ROUND(IF(AND(F1151:H1151),C1151*E1151*F1151*G1151*H1151,IF(AND(F1151,G1151),C1151*E1151*F1151*G1151,IF(AND(F1151,H1151),C1151*E1151*F1151*H1151,IF(AND(G1151,H1151),C1151*E1151*G1151*H1151,IF(F1151,C1151*E1151*F1151,IF(G1151,C1151*E1151*G1151,IF(H1151,C1151*E1151*H1151,C1151*E1151))))))),2)</f>
        <v>9.9600000000000009</v>
      </c>
      <c r="J1151" s="550" t="s">
        <v>102</v>
      </c>
      <c r="K1151" s="39"/>
      <c r="L1151" s="208"/>
      <c r="M1151" s="39"/>
      <c r="N1151" s="533" t="s">
        <v>2209</v>
      </c>
    </row>
    <row r="1152" spans="1:14" s="541" customFormat="1" ht="16.5" customHeight="1">
      <c r="A1152" s="16"/>
      <c r="B1152" s="577" t="s">
        <v>578</v>
      </c>
      <c r="C1152" s="578">
        <v>1</v>
      </c>
      <c r="D1152" s="579" t="s">
        <v>273</v>
      </c>
      <c r="E1152" s="580">
        <v>1</v>
      </c>
      <c r="F1152" s="581">
        <v>5.7</v>
      </c>
      <c r="G1152" s="581">
        <v>2.4</v>
      </c>
      <c r="H1152" s="581">
        <v>0</v>
      </c>
      <c r="I1152" s="549">
        <f t="shared" ref="I1152:I1153" si="110">ROUND(IF(AND(F1152:H1152),C1152*E1152*F1152*G1152*H1152,IF(AND(F1152,G1152),C1152*E1152*F1152*G1152,IF(AND(F1152,H1152),C1152*E1152*F1152*H1152,IF(AND(G1152,H1152),C1152*E1152*G1152*H1152,IF(F1152,C1152*E1152*F1152,IF(G1152,C1152*E1152*G1152,IF(H1152,C1152*E1152*H1152,C1152*E1152))))))),2)</f>
        <v>13.68</v>
      </c>
      <c r="J1152" s="550" t="s">
        <v>102</v>
      </c>
      <c r="K1152" s="39"/>
      <c r="L1152" s="208"/>
      <c r="M1152" s="39"/>
      <c r="N1152" s="533" t="s">
        <v>2209</v>
      </c>
    </row>
    <row r="1153" spans="1:14" s="541" customFormat="1" ht="16.5" customHeight="1">
      <c r="A1153" s="16"/>
      <c r="B1153" s="577" t="s">
        <v>1544</v>
      </c>
      <c r="C1153" s="578">
        <v>1</v>
      </c>
      <c r="D1153" s="579" t="s">
        <v>273</v>
      </c>
      <c r="E1153" s="580">
        <v>1</v>
      </c>
      <c r="F1153" s="581">
        <v>0.7</v>
      </c>
      <c r="G1153" s="581">
        <v>9.4</v>
      </c>
      <c r="H1153" s="581">
        <v>0</v>
      </c>
      <c r="I1153" s="549">
        <f t="shared" si="110"/>
        <v>6.58</v>
      </c>
      <c r="J1153" s="550" t="s">
        <v>102</v>
      </c>
      <c r="K1153" s="39"/>
      <c r="L1153" s="208"/>
      <c r="M1153" s="39"/>
      <c r="N1153" s="533" t="s">
        <v>2209</v>
      </c>
    </row>
    <row r="1154" spans="1:14" s="541" customFormat="1" ht="16.5" customHeight="1">
      <c r="A1154" s="16"/>
      <c r="B1154" s="544"/>
      <c r="C1154" s="545"/>
      <c r="D1154" s="546"/>
      <c r="E1154" s="547"/>
      <c r="F1154" s="548"/>
      <c r="G1154" s="548"/>
      <c r="H1154" s="548"/>
      <c r="I1154" s="549"/>
      <c r="J1154" s="550"/>
      <c r="K1154" s="39"/>
      <c r="L1154" s="208"/>
      <c r="M1154" s="39"/>
      <c r="N1154" s="533" t="s">
        <v>2209</v>
      </c>
    </row>
    <row r="1155" spans="1:14" ht="15.75">
      <c r="A1155" s="16"/>
      <c r="B1155" s="39"/>
      <c r="C1155" s="551"/>
      <c r="D1155" s="552"/>
      <c r="E1155" s="537"/>
      <c r="F1155" s="538"/>
      <c r="G1155" s="40"/>
      <c r="H1155" s="16"/>
      <c r="I1155" s="549"/>
      <c r="J1155" s="550" t="s">
        <v>102</v>
      </c>
      <c r="K1155" s="10">
        <f>data!F716</f>
        <v>755.74</v>
      </c>
      <c r="L1155" s="208" t="s">
        <v>2209</v>
      </c>
      <c r="M1155" s="9">
        <f>ROUND(I1155*K1155,0)</f>
        <v>0</v>
      </c>
      <c r="N1155" s="533" t="s">
        <v>2209</v>
      </c>
    </row>
    <row r="1156" spans="1:14" ht="94.5" customHeight="1">
      <c r="A1156" s="16">
        <v>16</v>
      </c>
      <c r="B1156" s="1633" t="s">
        <v>211</v>
      </c>
      <c r="C1156" s="1633"/>
      <c r="D1156" s="1633"/>
      <c r="E1156" s="1633"/>
      <c r="F1156" s="1633"/>
      <c r="G1156" s="1633"/>
      <c r="H1156" s="1633"/>
      <c r="I1156" s="534"/>
      <c r="J1156" s="535"/>
      <c r="K1156" s="16"/>
      <c r="L1156" s="208"/>
      <c r="M1156" s="38"/>
      <c r="N1156" s="533" t="s">
        <v>2297</v>
      </c>
    </row>
    <row r="1157" spans="1:14" s="541" customFormat="1" ht="16.5" customHeight="1">
      <c r="A1157" s="16"/>
      <c r="B1157" s="39" t="s">
        <v>2726</v>
      </c>
      <c r="C1157" s="563"/>
      <c r="D1157" s="564"/>
      <c r="E1157" s="565"/>
      <c r="F1157" s="566"/>
      <c r="G1157" s="566"/>
      <c r="H1157" s="567"/>
      <c r="I1157" s="568"/>
      <c r="J1157" s="550"/>
      <c r="K1157" s="39"/>
      <c r="L1157" s="208"/>
      <c r="M1157" s="39"/>
      <c r="N1157" s="533" t="s">
        <v>2297</v>
      </c>
    </row>
    <row r="1158" spans="1:14" s="541" customFormat="1" ht="16.5" customHeight="1">
      <c r="A1158" s="16"/>
      <c r="B1158" s="577" t="s">
        <v>2553</v>
      </c>
      <c r="C1158" s="578">
        <v>1</v>
      </c>
      <c r="D1158" s="579" t="s">
        <v>273</v>
      </c>
      <c r="E1158" s="580">
        <v>1</v>
      </c>
      <c r="F1158" s="581">
        <v>1.74</v>
      </c>
      <c r="G1158" s="581">
        <v>1.41</v>
      </c>
      <c r="H1158" s="581">
        <v>0</v>
      </c>
      <c r="I1158" s="549">
        <f t="shared" ref="I1158:I1161" si="111">ROUND(IF(AND(F1158:H1158),C1158*E1158*F1158*G1158*H1158,IF(AND(F1158,G1158),C1158*E1158*F1158*G1158,IF(AND(F1158,H1158),C1158*E1158*F1158*H1158,IF(AND(G1158,H1158),C1158*E1158*G1158*H1158,IF(F1158,C1158*E1158*F1158,IF(G1158,C1158*E1158*G1158,IF(H1158,C1158*E1158*H1158,C1158*E1158))))))),2)</f>
        <v>2.4500000000000002</v>
      </c>
      <c r="J1158" s="550" t="s">
        <v>102</v>
      </c>
      <c r="K1158" s="39"/>
      <c r="L1158" s="208"/>
      <c r="M1158" s="39"/>
      <c r="N1158" s="533" t="s">
        <v>2297</v>
      </c>
    </row>
    <row r="1159" spans="1:14" s="541" customFormat="1" ht="16.5" customHeight="1">
      <c r="A1159" s="16"/>
      <c r="B1159" s="577"/>
      <c r="C1159" s="578">
        <v>1</v>
      </c>
      <c r="D1159" s="579" t="s">
        <v>273</v>
      </c>
      <c r="E1159" s="580">
        <v>1</v>
      </c>
      <c r="F1159" s="581">
        <v>1.41</v>
      </c>
      <c r="G1159" s="581">
        <v>1.41</v>
      </c>
      <c r="H1159" s="581">
        <v>0</v>
      </c>
      <c r="I1159" s="549">
        <f t="shared" si="111"/>
        <v>1.99</v>
      </c>
      <c r="J1159" s="550" t="s">
        <v>102</v>
      </c>
      <c r="K1159" s="39"/>
      <c r="L1159" s="208"/>
      <c r="M1159" s="39"/>
      <c r="N1159" s="533" t="s">
        <v>2297</v>
      </c>
    </row>
    <row r="1160" spans="1:14" s="541" customFormat="1" ht="16.5" customHeight="1">
      <c r="A1160" s="16"/>
      <c r="B1160" s="577" t="s">
        <v>659</v>
      </c>
      <c r="C1160" s="578">
        <v>1</v>
      </c>
      <c r="D1160" s="579" t="s">
        <v>273</v>
      </c>
      <c r="E1160" s="580">
        <v>1</v>
      </c>
      <c r="F1160" s="581">
        <v>1.72</v>
      </c>
      <c r="G1160" s="581">
        <v>1.4</v>
      </c>
      <c r="H1160" s="581">
        <v>0</v>
      </c>
      <c r="I1160" s="549">
        <f t="shared" si="111"/>
        <v>2.41</v>
      </c>
      <c r="J1160" s="550" t="s">
        <v>102</v>
      </c>
      <c r="K1160" s="39"/>
      <c r="L1160" s="208"/>
      <c r="M1160" s="39"/>
      <c r="N1160" s="533" t="s">
        <v>2297</v>
      </c>
    </row>
    <row r="1161" spans="1:14" s="541" customFormat="1" ht="16.5" customHeight="1">
      <c r="A1161" s="16"/>
      <c r="B1161" s="577" t="s">
        <v>689</v>
      </c>
      <c r="C1161" s="578">
        <v>1</v>
      </c>
      <c r="D1161" s="579" t="s">
        <v>273</v>
      </c>
      <c r="E1161" s="580">
        <v>1</v>
      </c>
      <c r="F1161" s="581">
        <v>1.41</v>
      </c>
      <c r="G1161" s="581">
        <v>1.4</v>
      </c>
      <c r="H1161" s="581">
        <v>0</v>
      </c>
      <c r="I1161" s="549">
        <f t="shared" si="111"/>
        <v>1.97</v>
      </c>
      <c r="J1161" s="550" t="s">
        <v>102</v>
      </c>
      <c r="K1161" s="39"/>
      <c r="L1161" s="208"/>
      <c r="M1161" s="39"/>
      <c r="N1161" s="533" t="s">
        <v>2297</v>
      </c>
    </row>
    <row r="1162" spans="1:14" s="541" customFormat="1" ht="16.5" customHeight="1">
      <c r="A1162" s="16"/>
      <c r="B1162" s="544"/>
      <c r="C1162" s="545"/>
      <c r="D1162" s="546"/>
      <c r="E1162" s="547"/>
      <c r="F1162" s="548"/>
      <c r="G1162" s="548"/>
      <c r="H1162" s="548"/>
      <c r="I1162" s="549"/>
      <c r="J1162" s="550"/>
      <c r="K1162" s="39"/>
      <c r="L1162" s="208"/>
      <c r="M1162" s="39"/>
      <c r="N1162" s="533" t="s">
        <v>2297</v>
      </c>
    </row>
    <row r="1163" spans="1:14" ht="15.75">
      <c r="A1163" s="16"/>
      <c r="B1163" s="39"/>
      <c r="C1163" s="551"/>
      <c r="D1163" s="552"/>
      <c r="E1163" s="537"/>
      <c r="F1163" s="538"/>
      <c r="G1163" s="40"/>
      <c r="H1163" s="16"/>
      <c r="I1163" s="549"/>
      <c r="J1163" s="550" t="s">
        <v>102</v>
      </c>
      <c r="K1163" s="10">
        <f>data!F1633</f>
        <v>786.57</v>
      </c>
      <c r="L1163" s="208" t="s">
        <v>2297</v>
      </c>
      <c r="M1163" s="9">
        <f>ROUND(I1163*K1163,0)</f>
        <v>0</v>
      </c>
      <c r="N1163" s="533" t="s">
        <v>2297</v>
      </c>
    </row>
    <row r="1164" spans="1:14" ht="94.5" customHeight="1">
      <c r="A1164" s="16">
        <v>17</v>
      </c>
      <c r="B1164" s="1633" t="s">
        <v>211</v>
      </c>
      <c r="C1164" s="1633"/>
      <c r="D1164" s="1633"/>
      <c r="E1164" s="1633"/>
      <c r="F1164" s="1633"/>
      <c r="G1164" s="1633"/>
      <c r="H1164" s="1633"/>
      <c r="I1164" s="534"/>
      <c r="J1164" s="535"/>
      <c r="K1164" s="16"/>
      <c r="L1164" s="208"/>
      <c r="M1164" s="38"/>
      <c r="N1164" s="533" t="s">
        <v>2308</v>
      </c>
    </row>
    <row r="1165" spans="1:14" s="541" customFormat="1" ht="16.5" customHeight="1">
      <c r="A1165" s="16"/>
      <c r="B1165" s="39" t="s">
        <v>2799</v>
      </c>
      <c r="C1165" s="563"/>
      <c r="D1165" s="564"/>
      <c r="E1165" s="565"/>
      <c r="F1165" s="566"/>
      <c r="G1165" s="566"/>
      <c r="H1165" s="567"/>
      <c r="I1165" s="568"/>
      <c r="J1165" s="550"/>
      <c r="K1165" s="39"/>
      <c r="L1165" s="208"/>
      <c r="M1165" s="39"/>
      <c r="N1165" s="533" t="s">
        <v>2308</v>
      </c>
    </row>
    <row r="1166" spans="1:14" s="541" customFormat="1" ht="16.5" customHeight="1">
      <c r="A1166" s="16"/>
      <c r="B1166" s="577" t="s">
        <v>654</v>
      </c>
      <c r="C1166" s="578">
        <v>1</v>
      </c>
      <c r="D1166" s="579" t="s">
        <v>273</v>
      </c>
      <c r="E1166" s="580">
        <v>1</v>
      </c>
      <c r="F1166" s="581">
        <v>4.1500000000000004</v>
      </c>
      <c r="G1166" s="581">
        <v>2.4</v>
      </c>
      <c r="H1166" s="581">
        <v>0</v>
      </c>
      <c r="I1166" s="549">
        <f>ROUND(IF(AND(F1166:H1166),C1166*E1166*F1166*G1166*H1166,IF(AND(F1166,G1166),C1166*E1166*F1166*G1166,IF(AND(F1166,H1166),C1166*E1166*F1166*H1166,IF(AND(G1166,H1166),C1166*E1166*G1166*H1166,IF(F1166,C1166*E1166*F1166,IF(G1166,C1166*E1166*G1166,IF(H1166,C1166*E1166*H1166,C1166*E1166))))))),2)</f>
        <v>9.9600000000000009</v>
      </c>
      <c r="J1166" s="550" t="s">
        <v>102</v>
      </c>
      <c r="K1166" s="39"/>
      <c r="L1166" s="208"/>
      <c r="M1166" s="39"/>
      <c r="N1166" s="533" t="s">
        <v>2308</v>
      </c>
    </row>
    <row r="1167" spans="1:14" s="541" customFormat="1" ht="16.5" customHeight="1">
      <c r="A1167" s="16"/>
      <c r="B1167" s="577" t="s">
        <v>578</v>
      </c>
      <c r="C1167" s="578">
        <v>1</v>
      </c>
      <c r="D1167" s="579" t="s">
        <v>273</v>
      </c>
      <c r="E1167" s="580">
        <v>1</v>
      </c>
      <c r="F1167" s="581">
        <v>5.7</v>
      </c>
      <c r="G1167" s="581">
        <v>2.4</v>
      </c>
      <c r="H1167" s="581">
        <v>0</v>
      </c>
      <c r="I1167" s="549">
        <f>ROUND(IF(AND(F1167:H1167),C1167*E1167*F1167*G1167*H1167,IF(AND(F1167,G1167),C1167*E1167*F1167*G1167,IF(AND(F1167,H1167),C1167*E1167*F1167*H1167,IF(AND(G1167,H1167),C1167*E1167*G1167*H1167,IF(F1167,C1167*E1167*F1167,IF(G1167,C1167*E1167*G1167,IF(H1167,C1167*E1167*H1167,C1167*E1167))))))),2)</f>
        <v>13.68</v>
      </c>
      <c r="J1167" s="550" t="s">
        <v>102</v>
      </c>
      <c r="K1167" s="39"/>
      <c r="L1167" s="208"/>
      <c r="M1167" s="39"/>
      <c r="N1167" s="533" t="s">
        <v>2308</v>
      </c>
    </row>
    <row r="1168" spans="1:14" s="541" customFormat="1" ht="16.5" customHeight="1">
      <c r="A1168" s="16"/>
      <c r="B1168" s="577" t="s">
        <v>1544</v>
      </c>
      <c r="C1168" s="578">
        <v>1</v>
      </c>
      <c r="D1168" s="579" t="s">
        <v>273</v>
      </c>
      <c r="E1168" s="580">
        <v>1</v>
      </c>
      <c r="F1168" s="581">
        <v>0.7</v>
      </c>
      <c r="G1168" s="581">
        <v>9.4</v>
      </c>
      <c r="H1168" s="581">
        <v>0</v>
      </c>
      <c r="I1168" s="549">
        <f>ROUND(IF(AND(F1168:H1168),C1168*E1168*F1168*G1168*H1168,IF(AND(F1168,G1168),C1168*E1168*F1168*G1168,IF(AND(F1168,H1168),C1168*E1168*F1168*H1168,IF(AND(G1168,H1168),C1168*E1168*G1168*H1168,IF(F1168,C1168*E1168*F1168,IF(G1168,C1168*E1168*G1168,IF(H1168,C1168*E1168*H1168,C1168*E1168))))))),2)</f>
        <v>6.58</v>
      </c>
      <c r="J1168" s="550" t="s">
        <v>102</v>
      </c>
      <c r="K1168" s="39"/>
      <c r="L1168" s="208"/>
      <c r="M1168" s="39"/>
      <c r="N1168" s="533" t="s">
        <v>2308</v>
      </c>
    </row>
    <row r="1169" spans="1:14" s="541" customFormat="1" ht="16.5" customHeight="1">
      <c r="A1169" s="16"/>
      <c r="B1169" s="544"/>
      <c r="C1169" s="545"/>
      <c r="D1169" s="546"/>
      <c r="E1169" s="547"/>
      <c r="F1169" s="548"/>
      <c r="G1169" s="548"/>
      <c r="H1169" s="548"/>
      <c r="I1169" s="549"/>
      <c r="J1169" s="550"/>
      <c r="K1169" s="39"/>
      <c r="L1169" s="208"/>
      <c r="M1169" s="39"/>
      <c r="N1169" s="533" t="s">
        <v>2308</v>
      </c>
    </row>
    <row r="1170" spans="1:14" ht="15.75">
      <c r="A1170" s="16"/>
      <c r="B1170" s="39"/>
      <c r="C1170" s="551"/>
      <c r="D1170" s="552"/>
      <c r="E1170" s="537"/>
      <c r="F1170" s="538"/>
      <c r="G1170" s="40"/>
      <c r="H1170" s="16"/>
      <c r="I1170" s="549"/>
      <c r="J1170" s="550" t="s">
        <v>102</v>
      </c>
      <c r="K1170" s="10">
        <f>data!F2550</f>
        <v>809.68</v>
      </c>
      <c r="L1170" s="208" t="s">
        <v>2308</v>
      </c>
      <c r="M1170" s="9">
        <f>ROUND(I1170*K1170,0)</f>
        <v>0</v>
      </c>
      <c r="N1170" s="533" t="s">
        <v>2308</v>
      </c>
    </row>
    <row r="1171" spans="1:14" ht="94.5" customHeight="1">
      <c r="A1171" s="16">
        <v>17</v>
      </c>
      <c r="B1171" s="1633" t="s">
        <v>211</v>
      </c>
      <c r="C1171" s="1633"/>
      <c r="D1171" s="1633"/>
      <c r="E1171" s="1633"/>
      <c r="F1171" s="1633"/>
      <c r="G1171" s="1633"/>
      <c r="H1171" s="1633"/>
      <c r="I1171" s="534"/>
      <c r="J1171" s="535"/>
      <c r="K1171" s="16"/>
      <c r="L1171" s="208"/>
      <c r="M1171" s="38"/>
      <c r="N1171" s="533" t="s">
        <v>2309</v>
      </c>
    </row>
    <row r="1172" spans="1:14" s="541" customFormat="1" ht="16.5" customHeight="1">
      <c r="A1172" s="16"/>
      <c r="B1172" s="39" t="s">
        <v>2992</v>
      </c>
      <c r="C1172" s="563"/>
      <c r="D1172" s="564"/>
      <c r="E1172" s="565"/>
      <c r="F1172" s="566"/>
      <c r="G1172" s="566"/>
      <c r="H1172" s="567"/>
      <c r="I1172" s="568"/>
      <c r="J1172" s="550"/>
      <c r="K1172" s="39"/>
      <c r="L1172" s="208"/>
      <c r="M1172" s="39"/>
      <c r="N1172" s="533" t="s">
        <v>2309</v>
      </c>
    </row>
    <row r="1173" spans="1:14" s="541" customFormat="1" ht="16.5" customHeight="1">
      <c r="A1173" s="16"/>
      <c r="B1173" s="577" t="s">
        <v>2993</v>
      </c>
      <c r="C1173" s="578">
        <v>1</v>
      </c>
      <c r="D1173" s="579" t="s">
        <v>273</v>
      </c>
      <c r="E1173" s="580">
        <v>4</v>
      </c>
      <c r="F1173" s="581">
        <v>1.55</v>
      </c>
      <c r="G1173" s="581">
        <v>1.4</v>
      </c>
      <c r="H1173" s="581">
        <v>0</v>
      </c>
      <c r="I1173" s="549">
        <f>ROUND(IF(AND(F1173:H1173),C1173*E1173*F1173*G1173*H1173,IF(AND(F1173,G1173),C1173*E1173*F1173*G1173,IF(AND(F1173,H1173),C1173*E1173*F1173*H1173,IF(AND(G1173,H1173),C1173*E1173*G1173*H1173,IF(F1173,C1173*E1173*F1173,IF(G1173,C1173*E1173*G1173,IF(H1173,C1173*E1173*H1173,C1173*E1173))))))),2)</f>
        <v>8.68</v>
      </c>
      <c r="J1173" s="550" t="s">
        <v>102</v>
      </c>
      <c r="K1173" s="39"/>
      <c r="L1173" s="208"/>
      <c r="M1173" s="39"/>
      <c r="N1173" s="533" t="s">
        <v>2309</v>
      </c>
    </row>
    <row r="1174" spans="1:14" s="541" customFormat="1" ht="16.5" customHeight="1">
      <c r="A1174" s="16"/>
      <c r="B1174" s="544"/>
      <c r="C1174" s="545"/>
      <c r="D1174" s="546"/>
      <c r="E1174" s="547"/>
      <c r="F1174" s="548"/>
      <c r="G1174" s="548"/>
      <c r="H1174" s="548"/>
      <c r="I1174" s="549"/>
      <c r="J1174" s="550"/>
      <c r="K1174" s="39"/>
      <c r="L1174" s="208"/>
      <c r="M1174" s="39"/>
      <c r="N1174" s="533" t="s">
        <v>2309</v>
      </c>
    </row>
    <row r="1175" spans="1:14" ht="15.75">
      <c r="A1175" s="16"/>
      <c r="B1175" s="39"/>
      <c r="C1175" s="551"/>
      <c r="D1175" s="552"/>
      <c r="E1175" s="537"/>
      <c r="F1175" s="538"/>
      <c r="G1175" s="40"/>
      <c r="H1175" s="16"/>
      <c r="I1175" s="549"/>
      <c r="J1175" s="550" t="s">
        <v>102</v>
      </c>
      <c r="K1175" s="10">
        <f>data!F3467</f>
        <v>837.86</v>
      </c>
      <c r="L1175" s="208" t="s">
        <v>2309</v>
      </c>
      <c r="M1175" s="9">
        <f>ROUND(I1175*K1175,0)</f>
        <v>0</v>
      </c>
      <c r="N1175" s="533" t="s">
        <v>2309</v>
      </c>
    </row>
    <row r="1176" spans="1:14" ht="94.5" customHeight="1">
      <c r="A1176" s="16">
        <v>18</v>
      </c>
      <c r="B1176" s="1633" t="s">
        <v>214</v>
      </c>
      <c r="C1176" s="1633"/>
      <c r="D1176" s="1633"/>
      <c r="E1176" s="1633"/>
      <c r="F1176" s="1633"/>
      <c r="G1176" s="1633"/>
      <c r="H1176" s="1633"/>
      <c r="I1176" s="534"/>
      <c r="J1176" s="535"/>
      <c r="K1176" s="16"/>
      <c r="L1176" s="208"/>
      <c r="M1176" s="38"/>
      <c r="N1176" s="533" t="s">
        <v>2209</v>
      </c>
    </row>
    <row r="1177" spans="1:14" s="541" customFormat="1" ht="15.75">
      <c r="A1177" s="16"/>
      <c r="B1177" s="39" t="s">
        <v>2992</v>
      </c>
      <c r="C1177" s="563"/>
      <c r="D1177" s="564"/>
      <c r="E1177" s="565"/>
      <c r="F1177" s="566"/>
      <c r="G1177" s="566"/>
      <c r="H1177" s="567"/>
      <c r="I1177" s="568"/>
      <c r="J1177" s="550"/>
      <c r="K1177" s="39"/>
      <c r="L1177" s="208"/>
      <c r="M1177" s="39"/>
      <c r="N1177" s="533" t="s">
        <v>2209</v>
      </c>
    </row>
    <row r="1178" spans="1:14" s="541" customFormat="1" ht="15.75">
      <c r="A1178" s="16"/>
      <c r="B1178" s="577" t="s">
        <v>689</v>
      </c>
      <c r="C1178" s="578">
        <v>1</v>
      </c>
      <c r="D1178" s="579" t="s">
        <v>273</v>
      </c>
      <c r="E1178" s="580">
        <v>1</v>
      </c>
      <c r="F1178" s="581">
        <v>6.12</v>
      </c>
      <c r="G1178" s="581">
        <v>1.95</v>
      </c>
      <c r="H1178" s="581">
        <v>0</v>
      </c>
      <c r="I1178" s="549">
        <f t="shared" ref="I1178" si="112">ROUND(IF(AND(F1178:H1178),C1178*E1178*F1178*G1178*H1178,IF(AND(F1178,G1178),C1178*E1178*F1178*G1178,IF(AND(F1178,H1178),C1178*E1178*F1178*H1178,IF(AND(G1178,H1178),C1178*E1178*G1178*H1178,IF(F1178,C1178*E1178*F1178,IF(G1178,C1178*E1178*G1178,IF(H1178,C1178*E1178*H1178,C1178*E1178))))))),2)</f>
        <v>11.93</v>
      </c>
      <c r="J1178" s="550" t="s">
        <v>102</v>
      </c>
      <c r="K1178" s="39"/>
      <c r="L1178" s="208"/>
      <c r="M1178" s="39"/>
      <c r="N1178" s="533" t="s">
        <v>2209</v>
      </c>
    </row>
    <row r="1179" spans="1:14" s="541" customFormat="1" ht="15.75">
      <c r="A1179" s="16"/>
      <c r="B1179" s="577" t="s">
        <v>659</v>
      </c>
      <c r="C1179" s="578">
        <v>1</v>
      </c>
      <c r="D1179" s="579" t="s">
        <v>273</v>
      </c>
      <c r="E1179" s="580">
        <v>1</v>
      </c>
      <c r="F1179" s="581">
        <v>6.06</v>
      </c>
      <c r="G1179" s="581">
        <v>1.95</v>
      </c>
      <c r="H1179" s="581">
        <v>0</v>
      </c>
      <c r="I1179" s="549">
        <f t="shared" ref="I1179" si="113">ROUND(IF(AND(F1179:H1179),C1179*E1179*F1179*G1179*H1179,IF(AND(F1179,G1179),C1179*E1179*F1179*G1179,IF(AND(F1179,H1179),C1179*E1179*F1179*H1179,IF(AND(G1179,H1179),C1179*E1179*G1179*H1179,IF(F1179,C1179*E1179*F1179,IF(G1179,C1179*E1179*G1179,IF(H1179,C1179*E1179*H1179,C1179*E1179))))))),2)</f>
        <v>11.82</v>
      </c>
      <c r="J1179" s="550" t="s">
        <v>102</v>
      </c>
      <c r="K1179" s="39"/>
      <c r="L1179" s="208"/>
      <c r="M1179" s="39"/>
      <c r="N1179" s="533" t="s">
        <v>2209</v>
      </c>
    </row>
    <row r="1180" spans="1:14" s="541" customFormat="1" ht="15.75">
      <c r="A1180" s="16"/>
      <c r="B1180" s="577"/>
      <c r="C1180" s="578">
        <v>3</v>
      </c>
      <c r="D1180" s="579" t="s">
        <v>273</v>
      </c>
      <c r="E1180" s="580">
        <v>1</v>
      </c>
      <c r="F1180" s="581">
        <v>0.7</v>
      </c>
      <c r="G1180" s="581">
        <v>1.92</v>
      </c>
      <c r="H1180" s="581">
        <v>0</v>
      </c>
      <c r="I1180" s="549">
        <f>-ROUND(IF(AND(F1180:H1180),C1180*E1180*F1180*G1180*H1180,IF(AND(F1180,G1180),C1180*E1180*F1180*G1180,IF(AND(F1180,H1180),C1180*E1180*F1180*H1180,IF(AND(G1180,H1180),C1180*E1180*G1180*H1180,IF(F1180,C1180*E1180*F1180,IF(G1180,C1180*E1180*G1180,IF(H1180,C1180*E1180*H1180,C1180*E1180))))))),2)</f>
        <v>-4.03</v>
      </c>
      <c r="J1180" s="550" t="s">
        <v>102</v>
      </c>
      <c r="K1180" s="39"/>
      <c r="L1180" s="208"/>
      <c r="M1180" s="39"/>
      <c r="N1180" s="533" t="s">
        <v>2209</v>
      </c>
    </row>
    <row r="1181" spans="1:14" s="541" customFormat="1" ht="15.75">
      <c r="A1181" s="16"/>
      <c r="B1181" s="544"/>
      <c r="C1181" s="545"/>
      <c r="D1181" s="546"/>
      <c r="E1181" s="547"/>
      <c r="F1181" s="548"/>
      <c r="G1181" s="548"/>
      <c r="H1181" s="548"/>
      <c r="I1181" s="549"/>
      <c r="J1181" s="550"/>
      <c r="K1181" s="39"/>
      <c r="L1181" s="208"/>
      <c r="M1181" s="39"/>
      <c r="N1181" s="533" t="s">
        <v>2209</v>
      </c>
    </row>
    <row r="1182" spans="1:14" ht="15.75">
      <c r="A1182" s="16"/>
      <c r="B1182" s="39"/>
      <c r="C1182" s="551"/>
      <c r="D1182" s="552"/>
      <c r="E1182" s="537"/>
      <c r="F1182" s="538"/>
      <c r="G1182" s="40"/>
      <c r="H1182" s="16"/>
      <c r="I1182" s="549"/>
      <c r="J1182" s="550" t="s">
        <v>102</v>
      </c>
      <c r="K1182" s="10">
        <f>data!F733</f>
        <v>494.82</v>
      </c>
      <c r="L1182" s="208" t="s">
        <v>2209</v>
      </c>
      <c r="M1182" s="9">
        <f>ROUND(I1182*K1182,0)</f>
        <v>0</v>
      </c>
      <c r="N1182" s="533" t="s">
        <v>2209</v>
      </c>
    </row>
    <row r="1183" spans="1:14" ht="94.5" customHeight="1">
      <c r="A1183" s="16">
        <v>17</v>
      </c>
      <c r="B1183" s="1633" t="s">
        <v>214</v>
      </c>
      <c r="C1183" s="1633"/>
      <c r="D1183" s="1633"/>
      <c r="E1183" s="1633"/>
      <c r="F1183" s="1633"/>
      <c r="G1183" s="1633"/>
      <c r="H1183" s="1633"/>
      <c r="I1183" s="534"/>
      <c r="J1183" s="535"/>
      <c r="K1183" s="16"/>
      <c r="L1183" s="208"/>
      <c r="M1183" s="38"/>
      <c r="N1183" s="533" t="s">
        <v>2297</v>
      </c>
    </row>
    <row r="1184" spans="1:14" s="541" customFormat="1" ht="15.75">
      <c r="A1184" s="16"/>
      <c r="B1184" s="39" t="s">
        <v>2731</v>
      </c>
      <c r="C1184" s="563"/>
      <c r="D1184" s="564"/>
      <c r="E1184" s="565"/>
      <c r="F1184" s="566"/>
      <c r="G1184" s="566"/>
      <c r="H1184" s="567"/>
      <c r="I1184" s="568"/>
      <c r="J1184" s="550"/>
      <c r="K1184" s="39"/>
      <c r="L1184" s="208"/>
      <c r="M1184" s="39"/>
      <c r="N1184" s="533" t="s">
        <v>2297</v>
      </c>
    </row>
    <row r="1185" spans="1:14" s="541" customFormat="1" ht="15.75">
      <c r="A1185" s="16"/>
      <c r="B1185" s="577" t="s">
        <v>2553</v>
      </c>
      <c r="C1185" s="578">
        <v>1</v>
      </c>
      <c r="D1185" s="579" t="s">
        <v>273</v>
      </c>
      <c r="E1185" s="580">
        <v>1</v>
      </c>
      <c r="F1185" s="581">
        <v>5.2</v>
      </c>
      <c r="G1185" s="581">
        <v>0</v>
      </c>
      <c r="H1185" s="581">
        <v>2.0699999999999998</v>
      </c>
      <c r="I1185" s="549">
        <f t="shared" ref="I1185:I1188" si="114">ROUND(IF(AND(F1185:H1185),C1185*E1185*F1185*G1185*H1185,IF(AND(F1185,G1185),C1185*E1185*F1185*G1185,IF(AND(F1185,H1185),C1185*E1185*F1185*H1185,IF(AND(G1185,H1185),C1185*E1185*G1185*H1185,IF(F1185,C1185*E1185*F1185,IF(G1185,C1185*E1185*G1185,IF(H1185,C1185*E1185*H1185,C1185*E1185))))))),2)</f>
        <v>10.76</v>
      </c>
      <c r="J1185" s="550" t="s">
        <v>102</v>
      </c>
      <c r="K1185" s="39"/>
      <c r="L1185" s="208"/>
      <c r="M1185" s="39"/>
      <c r="N1185" s="533" t="s">
        <v>2297</v>
      </c>
    </row>
    <row r="1186" spans="1:14" s="541" customFormat="1" ht="15.75">
      <c r="A1186" s="16"/>
      <c r="B1186" s="577"/>
      <c r="C1186" s="578">
        <v>1</v>
      </c>
      <c r="D1186" s="579" t="s">
        <v>273</v>
      </c>
      <c r="E1186" s="580">
        <v>1</v>
      </c>
      <c r="F1186" s="581">
        <v>5.19</v>
      </c>
      <c r="G1186" s="581">
        <v>0</v>
      </c>
      <c r="H1186" s="581">
        <v>2.0699999999999998</v>
      </c>
      <c r="I1186" s="549">
        <f t="shared" si="114"/>
        <v>10.74</v>
      </c>
      <c r="J1186" s="550" t="s">
        <v>102</v>
      </c>
      <c r="K1186" s="39"/>
      <c r="L1186" s="208"/>
      <c r="M1186" s="39"/>
      <c r="N1186" s="533" t="s">
        <v>2297</v>
      </c>
    </row>
    <row r="1187" spans="1:14" s="541" customFormat="1" ht="15.75">
      <c r="A1187" s="16"/>
      <c r="B1187" s="577" t="s">
        <v>659</v>
      </c>
      <c r="C1187" s="578">
        <v>1</v>
      </c>
      <c r="D1187" s="579" t="s">
        <v>273</v>
      </c>
      <c r="E1187" s="580">
        <v>1</v>
      </c>
      <c r="F1187" s="581">
        <v>5.82</v>
      </c>
      <c r="G1187" s="581">
        <v>0</v>
      </c>
      <c r="H1187" s="581">
        <v>2.0699999999999998</v>
      </c>
      <c r="I1187" s="549">
        <f t="shared" si="114"/>
        <v>12.05</v>
      </c>
      <c r="J1187" s="550" t="s">
        <v>102</v>
      </c>
      <c r="K1187" s="39"/>
      <c r="L1187" s="208"/>
      <c r="M1187" s="39"/>
      <c r="N1187" s="533" t="s">
        <v>2297</v>
      </c>
    </row>
    <row r="1188" spans="1:14" s="541" customFormat="1" ht="15.75">
      <c r="A1188" s="16"/>
      <c r="B1188" s="577" t="s">
        <v>689</v>
      </c>
      <c r="C1188" s="578">
        <v>1</v>
      </c>
      <c r="D1188" s="579" t="s">
        <v>273</v>
      </c>
      <c r="E1188" s="580">
        <v>1</v>
      </c>
      <c r="F1188" s="581">
        <v>5.09</v>
      </c>
      <c r="G1188" s="581">
        <v>0</v>
      </c>
      <c r="H1188" s="581">
        <v>2.0699999999999998</v>
      </c>
      <c r="I1188" s="549">
        <f t="shared" si="114"/>
        <v>10.54</v>
      </c>
      <c r="J1188" s="550" t="s">
        <v>102</v>
      </c>
      <c r="K1188" s="39"/>
      <c r="L1188" s="208"/>
      <c r="M1188" s="39"/>
      <c r="N1188" s="533" t="s">
        <v>2297</v>
      </c>
    </row>
    <row r="1189" spans="1:14" s="541" customFormat="1" ht="15.75">
      <c r="A1189" s="16"/>
      <c r="B1189" s="544"/>
      <c r="C1189" s="545"/>
      <c r="D1189" s="546"/>
      <c r="E1189" s="547"/>
      <c r="F1189" s="548"/>
      <c r="G1189" s="548"/>
      <c r="H1189" s="548"/>
      <c r="I1189" s="549"/>
      <c r="J1189" s="550"/>
      <c r="K1189" s="39"/>
      <c r="L1189" s="208"/>
      <c r="M1189" s="39"/>
      <c r="N1189" s="533" t="s">
        <v>2297</v>
      </c>
    </row>
    <row r="1190" spans="1:14" ht="15.75">
      <c r="A1190" s="16"/>
      <c r="B1190" s="39"/>
      <c r="C1190" s="551"/>
      <c r="D1190" s="552"/>
      <c r="E1190" s="537"/>
      <c r="F1190" s="538"/>
      <c r="G1190" s="40"/>
      <c r="H1190" s="16"/>
      <c r="I1190" s="549"/>
      <c r="J1190" s="550" t="s">
        <v>102</v>
      </c>
      <c r="K1190" s="10">
        <f>data!F1650</f>
        <v>504.13</v>
      </c>
      <c r="L1190" s="208" t="s">
        <v>2297</v>
      </c>
      <c r="M1190" s="9">
        <f>ROUND(I1190*K1190,0)</f>
        <v>0</v>
      </c>
      <c r="N1190" s="533" t="s">
        <v>2297</v>
      </c>
    </row>
    <row r="1191" spans="1:14" ht="94.5" customHeight="1">
      <c r="A1191" s="16">
        <v>18</v>
      </c>
      <c r="B1191" s="1633" t="s">
        <v>214</v>
      </c>
      <c r="C1191" s="1633"/>
      <c r="D1191" s="1633"/>
      <c r="E1191" s="1633"/>
      <c r="F1191" s="1633"/>
      <c r="G1191" s="1633"/>
      <c r="H1191" s="1633"/>
      <c r="I1191" s="534"/>
      <c r="J1191" s="535"/>
      <c r="K1191" s="16"/>
      <c r="L1191" s="208"/>
      <c r="M1191" s="38"/>
      <c r="N1191" s="533" t="s">
        <v>2308</v>
      </c>
    </row>
    <row r="1192" spans="1:14" s="541" customFormat="1" ht="15.75">
      <c r="A1192" s="16"/>
      <c r="B1192" s="39" t="s">
        <v>2846</v>
      </c>
      <c r="C1192" s="563"/>
      <c r="D1192" s="564"/>
      <c r="E1192" s="565"/>
      <c r="F1192" s="566"/>
      <c r="G1192" s="566"/>
      <c r="H1192" s="567"/>
      <c r="I1192" s="568"/>
      <c r="J1192" s="550"/>
      <c r="K1192" s="39"/>
      <c r="L1192" s="208"/>
      <c r="M1192" s="39"/>
      <c r="N1192" s="533" t="s">
        <v>2308</v>
      </c>
    </row>
    <row r="1193" spans="1:14" s="541" customFormat="1" ht="15.75">
      <c r="A1193" s="16"/>
      <c r="B1193" s="577" t="s">
        <v>689</v>
      </c>
      <c r="C1193" s="578">
        <v>1</v>
      </c>
      <c r="D1193" s="579" t="s">
        <v>273</v>
      </c>
      <c r="E1193" s="580">
        <v>1</v>
      </c>
      <c r="F1193" s="581">
        <v>6.12</v>
      </c>
      <c r="G1193" s="581">
        <v>1.95</v>
      </c>
      <c r="H1193" s="581">
        <v>0</v>
      </c>
      <c r="I1193" s="549">
        <f>ROUND(IF(AND(F1193:H1193),C1193*E1193*F1193*G1193*H1193,IF(AND(F1193,G1193),C1193*E1193*F1193*G1193,IF(AND(F1193,H1193),C1193*E1193*F1193*H1193,IF(AND(G1193,H1193),C1193*E1193*G1193*H1193,IF(F1193,C1193*E1193*F1193,IF(G1193,C1193*E1193*G1193,IF(H1193,C1193*E1193*H1193,C1193*E1193))))))),2)</f>
        <v>11.93</v>
      </c>
      <c r="J1193" s="550" t="s">
        <v>102</v>
      </c>
      <c r="K1193" s="39"/>
      <c r="L1193" s="208"/>
      <c r="M1193" s="39"/>
      <c r="N1193" s="533" t="s">
        <v>2308</v>
      </c>
    </row>
    <row r="1194" spans="1:14" s="541" customFormat="1" ht="15.75">
      <c r="A1194" s="16"/>
      <c r="B1194" s="577" t="s">
        <v>659</v>
      </c>
      <c r="C1194" s="578">
        <v>1</v>
      </c>
      <c r="D1194" s="579" t="s">
        <v>273</v>
      </c>
      <c r="E1194" s="580">
        <v>1</v>
      </c>
      <c r="F1194" s="581">
        <v>6.06</v>
      </c>
      <c r="G1194" s="581">
        <v>1.95</v>
      </c>
      <c r="H1194" s="581">
        <v>0</v>
      </c>
      <c r="I1194" s="549">
        <f>ROUND(IF(AND(F1194:H1194),C1194*E1194*F1194*G1194*H1194,IF(AND(F1194,G1194),C1194*E1194*F1194*G1194,IF(AND(F1194,H1194),C1194*E1194*F1194*H1194,IF(AND(G1194,H1194),C1194*E1194*G1194*H1194,IF(F1194,C1194*E1194*F1194,IF(G1194,C1194*E1194*G1194,IF(H1194,C1194*E1194*H1194,C1194*E1194))))))),2)</f>
        <v>11.82</v>
      </c>
      <c r="J1194" s="550" t="s">
        <v>102</v>
      </c>
      <c r="K1194" s="39"/>
      <c r="L1194" s="208"/>
      <c r="M1194" s="39"/>
      <c r="N1194" s="533" t="s">
        <v>2308</v>
      </c>
    </row>
    <row r="1195" spans="1:14" s="541" customFormat="1" ht="15.75">
      <c r="A1195" s="16"/>
      <c r="B1195" s="577"/>
      <c r="C1195" s="578">
        <v>3</v>
      </c>
      <c r="D1195" s="579" t="s">
        <v>273</v>
      </c>
      <c r="E1195" s="580">
        <v>1</v>
      </c>
      <c r="F1195" s="581">
        <v>0.7</v>
      </c>
      <c r="G1195" s="581">
        <v>1.92</v>
      </c>
      <c r="H1195" s="581">
        <v>0</v>
      </c>
      <c r="I1195" s="549">
        <f>-ROUND(IF(AND(F1195:H1195),C1195*E1195*F1195*G1195*H1195,IF(AND(F1195,G1195),C1195*E1195*F1195*G1195,IF(AND(F1195,H1195),C1195*E1195*F1195*H1195,IF(AND(G1195,H1195),C1195*E1195*G1195*H1195,IF(F1195,C1195*E1195*F1195,IF(G1195,C1195*E1195*G1195,IF(H1195,C1195*E1195*H1195,C1195*E1195))))))),2)</f>
        <v>-4.03</v>
      </c>
      <c r="J1195" s="550" t="s">
        <v>102</v>
      </c>
      <c r="K1195" s="39"/>
      <c r="L1195" s="208"/>
      <c r="M1195" s="39"/>
      <c r="N1195" s="533" t="s">
        <v>2308</v>
      </c>
    </row>
    <row r="1196" spans="1:14" s="541" customFormat="1" ht="15.75">
      <c r="A1196" s="16"/>
      <c r="B1196" s="544"/>
      <c r="C1196" s="545"/>
      <c r="D1196" s="546"/>
      <c r="E1196" s="547"/>
      <c r="F1196" s="548"/>
      <c r="G1196" s="548"/>
      <c r="H1196" s="548"/>
      <c r="I1196" s="549"/>
      <c r="J1196" s="550"/>
      <c r="K1196" s="39"/>
      <c r="L1196" s="208"/>
      <c r="M1196" s="39"/>
      <c r="N1196" s="533" t="s">
        <v>2308</v>
      </c>
    </row>
    <row r="1197" spans="1:14" ht="15.75">
      <c r="A1197" s="16"/>
      <c r="B1197" s="39"/>
      <c r="C1197" s="551"/>
      <c r="D1197" s="552"/>
      <c r="E1197" s="537"/>
      <c r="F1197" s="538"/>
      <c r="G1197" s="40"/>
      <c r="H1197" s="16"/>
      <c r="I1197" s="549"/>
      <c r="J1197" s="550" t="s">
        <v>102</v>
      </c>
      <c r="K1197" s="10">
        <f>data!F2567</f>
        <v>512.09</v>
      </c>
      <c r="L1197" s="208" t="s">
        <v>2308</v>
      </c>
      <c r="M1197" s="9">
        <f>ROUND(I1197*K1197,0)</f>
        <v>0</v>
      </c>
      <c r="N1197" s="533" t="s">
        <v>2308</v>
      </c>
    </row>
    <row r="1198" spans="1:14" ht="94.5" customHeight="1">
      <c r="A1198" s="16">
        <v>18</v>
      </c>
      <c r="B1198" s="1633" t="s">
        <v>214</v>
      </c>
      <c r="C1198" s="1633"/>
      <c r="D1198" s="1633"/>
      <c r="E1198" s="1633"/>
      <c r="F1198" s="1633"/>
      <c r="G1198" s="1633"/>
      <c r="H1198" s="1633"/>
      <c r="I1198" s="534"/>
      <c r="J1198" s="535"/>
      <c r="K1198" s="16"/>
      <c r="L1198" s="208"/>
      <c r="M1198" s="38"/>
      <c r="N1198" s="533" t="s">
        <v>2309</v>
      </c>
    </row>
    <row r="1199" spans="1:14" s="541" customFormat="1" ht="15.75">
      <c r="A1199" s="16"/>
      <c r="B1199" s="39" t="s">
        <v>2994</v>
      </c>
      <c r="C1199" s="563"/>
      <c r="D1199" s="564"/>
      <c r="E1199" s="565"/>
      <c r="F1199" s="566"/>
      <c r="G1199" s="566"/>
      <c r="H1199" s="567"/>
      <c r="I1199" s="568"/>
      <c r="J1199" s="550"/>
      <c r="K1199" s="39"/>
      <c r="L1199" s="208"/>
      <c r="M1199" s="39"/>
      <c r="N1199" s="533" t="s">
        <v>2309</v>
      </c>
    </row>
    <row r="1200" spans="1:14" s="541" customFormat="1" ht="15.75">
      <c r="A1200" s="16"/>
      <c r="B1200" s="577" t="s">
        <v>659</v>
      </c>
      <c r="C1200" s="578">
        <v>1</v>
      </c>
      <c r="D1200" s="579" t="s">
        <v>273</v>
      </c>
      <c r="E1200" s="580">
        <v>1</v>
      </c>
      <c r="F1200" s="581">
        <v>5.9</v>
      </c>
      <c r="G1200" s="581">
        <v>0</v>
      </c>
      <c r="H1200" s="581">
        <v>1.95</v>
      </c>
      <c r="I1200" s="549">
        <f>ROUND(IF(AND(F1200:H1200),C1200*E1200*F1200*G1200*H1200,IF(AND(F1200,G1200),C1200*E1200*F1200*G1200,IF(AND(F1200,H1200),C1200*E1200*F1200*H1200,IF(AND(G1200,H1200),C1200*E1200*G1200*H1200,IF(F1200,C1200*E1200*F1200,IF(G1200,C1200*E1200*G1200,IF(H1200,C1200*E1200*H1200,C1200*E1200))))))),2)</f>
        <v>11.51</v>
      </c>
      <c r="J1200" s="550" t="s">
        <v>102</v>
      </c>
      <c r="K1200" s="39"/>
      <c r="L1200" s="208"/>
      <c r="M1200" s="39"/>
      <c r="N1200" s="533" t="s">
        <v>2309</v>
      </c>
    </row>
    <row r="1201" spans="1:14" s="541" customFormat="1" ht="15.75">
      <c r="A1201" s="16"/>
      <c r="B1201" s="577" t="s">
        <v>579</v>
      </c>
      <c r="C1201" s="578">
        <v>1</v>
      </c>
      <c r="D1201" s="579" t="s">
        <v>273</v>
      </c>
      <c r="E1201" s="580">
        <v>1</v>
      </c>
      <c r="F1201" s="581">
        <v>0.75</v>
      </c>
      <c r="G1201" s="581">
        <v>0</v>
      </c>
      <c r="H1201" s="581">
        <v>1.95</v>
      </c>
      <c r="I1201" s="549">
        <f>-ROUND(IF(AND(F1201:H1201),C1201*E1201*F1201*G1201*H1201,IF(AND(F1201,G1201),C1201*E1201*F1201*G1201,IF(AND(F1201,H1201),C1201*E1201*F1201*H1201,IF(AND(G1201,H1201),C1201*E1201*G1201*H1201,IF(F1201,C1201*E1201*F1201,IF(G1201,C1201*E1201*G1201,IF(H1201,C1201*E1201*H1201,C1201*E1201))))))),2)</f>
        <v>-1.46</v>
      </c>
      <c r="J1201" s="550" t="s">
        <v>102</v>
      </c>
      <c r="K1201" s="39"/>
      <c r="L1201" s="208"/>
      <c r="M1201" s="39"/>
      <c r="N1201" s="533" t="s">
        <v>2309</v>
      </c>
    </row>
    <row r="1202" spans="1:14" s="541" customFormat="1" ht="15.75">
      <c r="A1202" s="16"/>
      <c r="B1202" s="577" t="s">
        <v>2995</v>
      </c>
      <c r="C1202" s="578">
        <v>1</v>
      </c>
      <c r="D1202" s="579" t="s">
        <v>273</v>
      </c>
      <c r="E1202" s="580">
        <v>1</v>
      </c>
      <c r="F1202" s="581">
        <v>5.9</v>
      </c>
      <c r="G1202" s="581">
        <v>0</v>
      </c>
      <c r="H1202" s="581">
        <v>1.95</v>
      </c>
      <c r="I1202" s="549">
        <f t="shared" ref="I1202:I1205" si="115">ROUND(IF(AND(F1202:H1202),C1202*E1202*F1202*G1202*H1202,IF(AND(F1202,G1202),C1202*E1202*F1202*G1202,IF(AND(F1202,H1202),C1202*E1202*F1202*H1202,IF(AND(G1202,H1202),C1202*E1202*G1202*H1202,IF(F1202,C1202*E1202*F1202,IF(G1202,C1202*E1202*G1202,IF(H1202,C1202*E1202*H1202,C1202*E1202))))))),2)</f>
        <v>11.51</v>
      </c>
      <c r="J1202" s="550" t="s">
        <v>102</v>
      </c>
      <c r="K1202" s="39"/>
      <c r="L1202" s="208"/>
      <c r="M1202" s="39"/>
      <c r="N1202" s="533" t="s">
        <v>2309</v>
      </c>
    </row>
    <row r="1203" spans="1:14" s="541" customFormat="1" ht="15.75">
      <c r="A1203" s="16"/>
      <c r="B1203" s="577" t="s">
        <v>579</v>
      </c>
      <c r="C1203" s="578">
        <v>1</v>
      </c>
      <c r="D1203" s="579" t="s">
        <v>273</v>
      </c>
      <c r="E1203" s="580">
        <v>1</v>
      </c>
      <c r="F1203" s="581">
        <v>0.75</v>
      </c>
      <c r="G1203" s="581">
        <v>0</v>
      </c>
      <c r="H1203" s="581">
        <v>1.95</v>
      </c>
      <c r="I1203" s="549">
        <f>-ROUND(IF(AND(F1203:H1203),C1203*E1203*F1203*G1203*H1203,IF(AND(F1203,G1203),C1203*E1203*F1203*G1203,IF(AND(F1203,H1203),C1203*E1203*F1203*H1203,IF(AND(G1203,H1203),C1203*E1203*G1203*H1203,IF(F1203,C1203*E1203*F1203,IF(G1203,C1203*E1203*G1203,IF(H1203,C1203*E1203*H1203,C1203*E1203))))))),2)</f>
        <v>-1.46</v>
      </c>
      <c r="J1203" s="550" t="s">
        <v>102</v>
      </c>
      <c r="K1203" s="39"/>
      <c r="L1203" s="208"/>
      <c r="M1203" s="39"/>
      <c r="N1203" s="533" t="s">
        <v>2309</v>
      </c>
    </row>
    <row r="1204" spans="1:14" s="541" customFormat="1" ht="15.75">
      <c r="A1204" s="16"/>
      <c r="B1204" s="577" t="s">
        <v>2134</v>
      </c>
      <c r="C1204" s="578">
        <v>1</v>
      </c>
      <c r="D1204" s="579" t="s">
        <v>273</v>
      </c>
      <c r="E1204" s="580">
        <v>1</v>
      </c>
      <c r="F1204" s="581">
        <v>0.6</v>
      </c>
      <c r="G1204" s="581">
        <v>0</v>
      </c>
      <c r="H1204" s="581">
        <v>0.3</v>
      </c>
      <c r="I1204" s="549">
        <f>-ROUND(IF(AND(F1204:H1204),C1204*E1204*F1204*G1204*H1204,IF(AND(F1204,G1204),C1204*E1204*F1204*G1204,IF(AND(F1204,H1204),C1204*E1204*F1204*H1204,IF(AND(G1204,H1204),C1204*E1204*G1204*H1204,IF(F1204,C1204*E1204*F1204,IF(G1204,C1204*E1204*G1204,IF(H1204,C1204*E1204*H1204,C1204*E1204))))))),2)</f>
        <v>-0.18</v>
      </c>
      <c r="J1204" s="550" t="s">
        <v>102</v>
      </c>
      <c r="K1204" s="39"/>
      <c r="L1204" s="208"/>
      <c r="M1204" s="39"/>
      <c r="N1204" s="533" t="s">
        <v>2309</v>
      </c>
    </row>
    <row r="1205" spans="1:14" s="541" customFormat="1" ht="15.75">
      <c r="A1205" s="16"/>
      <c r="B1205" s="577" t="s">
        <v>2996</v>
      </c>
      <c r="C1205" s="578">
        <v>1</v>
      </c>
      <c r="D1205" s="579" t="s">
        <v>273</v>
      </c>
      <c r="E1205" s="580">
        <v>2</v>
      </c>
      <c r="F1205" s="581">
        <v>5.9</v>
      </c>
      <c r="G1205" s="581">
        <v>0</v>
      </c>
      <c r="H1205" s="581">
        <v>1.95</v>
      </c>
      <c r="I1205" s="549">
        <f t="shared" si="115"/>
        <v>23.01</v>
      </c>
      <c r="J1205" s="550" t="s">
        <v>102</v>
      </c>
      <c r="K1205" s="39"/>
      <c r="L1205" s="208"/>
      <c r="M1205" s="39"/>
      <c r="N1205" s="533" t="s">
        <v>2309</v>
      </c>
    </row>
    <row r="1206" spans="1:14" s="541" customFormat="1" ht="15.75">
      <c r="A1206" s="16"/>
      <c r="B1206" s="577" t="s">
        <v>579</v>
      </c>
      <c r="C1206" s="578">
        <v>1</v>
      </c>
      <c r="D1206" s="579" t="s">
        <v>273</v>
      </c>
      <c r="E1206" s="580">
        <v>2</v>
      </c>
      <c r="F1206" s="581">
        <v>0.75</v>
      </c>
      <c r="G1206" s="581">
        <v>0</v>
      </c>
      <c r="H1206" s="581">
        <v>1.95</v>
      </c>
      <c r="I1206" s="549">
        <f>-ROUND(IF(AND(F1206:H1206),C1206*E1206*F1206*G1206*H1206,IF(AND(F1206,G1206),C1206*E1206*F1206*G1206,IF(AND(F1206,H1206),C1206*E1206*F1206*H1206,IF(AND(G1206,H1206),C1206*E1206*G1206*H1206,IF(F1206,C1206*E1206*F1206,IF(G1206,C1206*E1206*G1206,IF(H1206,C1206*E1206*H1206,C1206*E1206))))))),2)</f>
        <v>-2.93</v>
      </c>
      <c r="J1206" s="550" t="s">
        <v>102</v>
      </c>
      <c r="K1206" s="39"/>
      <c r="L1206" s="208"/>
      <c r="M1206" s="39"/>
      <c r="N1206" s="533" t="s">
        <v>2309</v>
      </c>
    </row>
    <row r="1207" spans="1:14" s="541" customFormat="1" ht="15.75">
      <c r="A1207" s="16"/>
      <c r="B1207" s="577" t="s">
        <v>2134</v>
      </c>
      <c r="C1207" s="578">
        <v>1</v>
      </c>
      <c r="D1207" s="579" t="s">
        <v>273</v>
      </c>
      <c r="E1207" s="580">
        <v>2</v>
      </c>
      <c r="F1207" s="581">
        <v>0.6</v>
      </c>
      <c r="G1207" s="581">
        <v>0</v>
      </c>
      <c r="H1207" s="581">
        <v>0.3</v>
      </c>
      <c r="I1207" s="549">
        <f>-ROUND(IF(AND(F1207:H1207),C1207*E1207*F1207*G1207*H1207,IF(AND(F1207,G1207),C1207*E1207*F1207*G1207,IF(AND(F1207,H1207),C1207*E1207*F1207*H1207,IF(AND(G1207,H1207),C1207*E1207*G1207*H1207,IF(F1207,C1207*E1207*F1207,IF(G1207,C1207*E1207*G1207,IF(H1207,C1207*E1207*H1207,C1207*E1207))))))),2)</f>
        <v>-0.36</v>
      </c>
      <c r="J1207" s="550" t="s">
        <v>102</v>
      </c>
      <c r="K1207" s="39"/>
      <c r="L1207" s="208"/>
      <c r="M1207" s="39"/>
      <c r="N1207" s="533" t="s">
        <v>2309</v>
      </c>
    </row>
    <row r="1208" spans="1:14" s="541" customFormat="1" ht="15.75">
      <c r="A1208" s="16"/>
      <c r="B1208" s="544"/>
      <c r="C1208" s="545"/>
      <c r="D1208" s="546"/>
      <c r="E1208" s="547"/>
      <c r="F1208" s="548"/>
      <c r="G1208" s="548"/>
      <c r="H1208" s="548"/>
      <c r="I1208" s="549"/>
      <c r="J1208" s="550"/>
      <c r="K1208" s="39"/>
      <c r="L1208" s="208"/>
      <c r="M1208" s="39"/>
      <c r="N1208" s="533" t="s">
        <v>2309</v>
      </c>
    </row>
    <row r="1209" spans="1:14" ht="15.75">
      <c r="A1209" s="16"/>
      <c r="B1209" s="39"/>
      <c r="C1209" s="551"/>
      <c r="D1209" s="552"/>
      <c r="E1209" s="537"/>
      <c r="F1209" s="538"/>
      <c r="G1209" s="40"/>
      <c r="H1209" s="16"/>
      <c r="I1209" s="549"/>
      <c r="J1209" s="550" t="s">
        <v>102</v>
      </c>
      <c r="K1209" s="10">
        <f>data!F3484</f>
        <v>527.21</v>
      </c>
      <c r="L1209" s="208" t="s">
        <v>2309</v>
      </c>
      <c r="M1209" s="9">
        <f>ROUND(I1209*K1209,0)</f>
        <v>0</v>
      </c>
      <c r="N1209" s="533" t="s">
        <v>2309</v>
      </c>
    </row>
    <row r="1210" spans="1:14" ht="81.75" customHeight="1">
      <c r="A1210" s="16">
        <v>27</v>
      </c>
      <c r="B1210" s="1633" t="s">
        <v>1202</v>
      </c>
      <c r="C1210" s="1633"/>
      <c r="D1210" s="1633"/>
      <c r="E1210" s="1633"/>
      <c r="F1210" s="1633"/>
      <c r="G1210" s="1633"/>
      <c r="H1210" s="1633"/>
      <c r="I1210" s="534"/>
      <c r="J1210" s="535"/>
      <c r="K1210" s="16"/>
      <c r="L1210" s="208"/>
      <c r="M1210" s="38"/>
      <c r="N1210" s="533" t="s">
        <v>2209</v>
      </c>
    </row>
    <row r="1211" spans="1:14" s="541" customFormat="1" ht="16.5" customHeight="1">
      <c r="A1211" s="16"/>
      <c r="B1211" s="598" t="s">
        <v>2847</v>
      </c>
      <c r="C1211" s="563"/>
      <c r="D1211" s="564"/>
      <c r="E1211" s="565"/>
      <c r="F1211" s="566"/>
      <c r="G1211" s="566"/>
      <c r="H1211" s="567"/>
      <c r="I1211" s="568"/>
      <c r="J1211" s="575"/>
      <c r="K1211" s="39"/>
      <c r="L1211" s="208"/>
      <c r="M1211" s="39"/>
      <c r="N1211" s="533" t="s">
        <v>2209</v>
      </c>
    </row>
    <row r="1212" spans="1:14" s="541" customFormat="1" ht="16.5" customHeight="1">
      <c r="A1212" s="16"/>
      <c r="B1212" s="553" t="s">
        <v>1188</v>
      </c>
      <c r="C1212" s="554">
        <v>2</v>
      </c>
      <c r="D1212" s="555" t="s">
        <v>273</v>
      </c>
      <c r="E1212" s="221">
        <v>0.5</v>
      </c>
      <c r="F1212" s="556">
        <v>0.96</v>
      </c>
      <c r="G1212" s="556">
        <v>1</v>
      </c>
      <c r="H1212" s="556">
        <v>0</v>
      </c>
      <c r="I1212" s="557">
        <f>ROUND(IF(AND(F1212:H1212),C1212*E1212*F1212*G1212*H1212,IF(AND(F1212,G1212),C1212*E1212*F1212*G1212,IF(AND(F1212,H1212),C1212*E1212*F1212*H1212,IF(AND(G1212,H1212),C1212*E1212*G1212*H1212,IF(F1212,C1212*E1212*F1212,IF(G1212,C1212*E1212*G1212,IF(H1212,C1212*E1212*H1212,C1212*E1212))))))),2)</f>
        <v>0.96</v>
      </c>
      <c r="J1212" s="575" t="s">
        <v>102</v>
      </c>
      <c r="K1212" s="39"/>
      <c r="L1212" s="208"/>
      <c r="M1212" s="39"/>
      <c r="N1212" s="533" t="s">
        <v>2209</v>
      </c>
    </row>
    <row r="1213" spans="1:14" s="541" customFormat="1" ht="16.5" customHeight="1">
      <c r="A1213" s="16"/>
      <c r="B1213" s="553"/>
      <c r="C1213" s="554">
        <v>1</v>
      </c>
      <c r="D1213" s="555" t="s">
        <v>273</v>
      </c>
      <c r="E1213" s="221">
        <v>2</v>
      </c>
      <c r="F1213" s="556">
        <v>3.6</v>
      </c>
      <c r="G1213" s="556">
        <v>1.1299999999999999</v>
      </c>
      <c r="H1213" s="556">
        <v>0</v>
      </c>
      <c r="I1213" s="557">
        <f>ROUND(IF(AND(F1213:H1213),C1213*E1213*F1213*G1213*H1213,IF(AND(F1213,G1213),C1213*E1213*F1213*G1213,IF(AND(F1213,H1213),C1213*E1213*F1213*H1213,IF(AND(G1213,H1213),C1213*E1213*G1213*H1213,IF(F1213,C1213*E1213*F1213,IF(G1213,C1213*E1213*G1213,IF(H1213,C1213*E1213*H1213,C1213*E1213))))))),2)</f>
        <v>8.14</v>
      </c>
      <c r="J1213" s="575" t="s">
        <v>102</v>
      </c>
      <c r="K1213" s="39"/>
      <c r="L1213" s="208"/>
      <c r="M1213" s="39"/>
      <c r="N1213" s="533" t="s">
        <v>2209</v>
      </c>
    </row>
    <row r="1214" spans="1:14" s="541" customFormat="1" ht="16.5" customHeight="1">
      <c r="A1214" s="16"/>
      <c r="B1214" s="553"/>
      <c r="C1214" s="554">
        <v>1</v>
      </c>
      <c r="D1214" s="555" t="s">
        <v>273</v>
      </c>
      <c r="E1214" s="221">
        <v>2</v>
      </c>
      <c r="F1214" s="556">
        <v>1.96</v>
      </c>
      <c r="G1214" s="556">
        <v>1</v>
      </c>
      <c r="H1214" s="556">
        <v>0</v>
      </c>
      <c r="I1214" s="557">
        <f>ROUND(IF(AND(F1214:H1214),C1214*E1214*F1214*G1214*H1214,IF(AND(F1214,G1214),C1214*E1214*F1214*G1214,IF(AND(F1214,H1214),C1214*E1214*F1214*H1214,IF(AND(G1214,H1214),C1214*E1214*G1214*H1214,IF(F1214,C1214*E1214*F1214,IF(G1214,C1214*E1214*G1214,IF(H1214,C1214*E1214*H1214,C1214*E1214))))))),2)</f>
        <v>3.92</v>
      </c>
      <c r="J1214" s="575" t="s">
        <v>102</v>
      </c>
      <c r="K1214" s="39"/>
      <c r="L1214" s="208"/>
      <c r="M1214" s="39"/>
      <c r="N1214" s="533" t="s">
        <v>2209</v>
      </c>
    </row>
    <row r="1215" spans="1:14" s="541" customFormat="1" ht="16.5" customHeight="1">
      <c r="A1215" s="16"/>
      <c r="B1215" s="553"/>
      <c r="C1215" s="554">
        <v>1</v>
      </c>
      <c r="D1215" s="555" t="s">
        <v>273</v>
      </c>
      <c r="E1215" s="221">
        <v>2</v>
      </c>
      <c r="F1215" s="556">
        <v>1.33</v>
      </c>
      <c r="G1215" s="556">
        <v>1.1000000000000001</v>
      </c>
      <c r="H1215" s="556">
        <v>0</v>
      </c>
      <c r="I1215" s="557">
        <f>ROUND(IF(AND(F1215:H1215),C1215*E1215*F1215*G1215*H1215,IF(AND(F1215,G1215),C1215*E1215*F1215*G1215,IF(AND(F1215,H1215),C1215*E1215*F1215*H1215,IF(AND(G1215,H1215),C1215*E1215*G1215*H1215,IF(F1215,C1215*E1215*F1215,IF(G1215,C1215*E1215*G1215,IF(H1215,C1215*E1215*H1215,C1215*E1215))))))),2)</f>
        <v>2.93</v>
      </c>
      <c r="J1215" s="575" t="s">
        <v>102</v>
      </c>
      <c r="K1215" s="39"/>
      <c r="L1215" s="208"/>
      <c r="M1215" s="39"/>
      <c r="N1215" s="533" t="s">
        <v>2209</v>
      </c>
    </row>
    <row r="1216" spans="1:14" s="541" customFormat="1" ht="16.5" customHeight="1">
      <c r="A1216" s="16"/>
      <c r="B1216" s="544"/>
      <c r="C1216" s="545"/>
      <c r="D1216" s="546"/>
      <c r="E1216" s="547"/>
      <c r="F1216" s="548"/>
      <c r="G1216" s="548"/>
      <c r="H1216" s="548"/>
      <c r="I1216" s="549"/>
      <c r="J1216" s="575"/>
      <c r="K1216" s="39"/>
      <c r="L1216" s="208"/>
      <c r="M1216" s="39"/>
      <c r="N1216" s="533" t="s">
        <v>2209</v>
      </c>
    </row>
    <row r="1217" spans="1:14" ht="15.75">
      <c r="A1217" s="16"/>
      <c r="B1217" s="39"/>
      <c r="C1217" s="551"/>
      <c r="D1217" s="552"/>
      <c r="E1217" s="537"/>
      <c r="F1217" s="538"/>
      <c r="G1217" s="40"/>
      <c r="H1217" s="16"/>
      <c r="I1217" s="549"/>
      <c r="J1217" s="575" t="s">
        <v>102</v>
      </c>
      <c r="K1217" s="10">
        <f>data!F761</f>
        <v>944.79</v>
      </c>
      <c r="L1217" s="208" t="s">
        <v>2209</v>
      </c>
      <c r="M1217" s="9">
        <f>ROUND(I1217*K1217,0)</f>
        <v>0</v>
      </c>
      <c r="N1217" s="533" t="s">
        <v>2209</v>
      </c>
    </row>
    <row r="1218" spans="1:14" ht="81.75" customHeight="1">
      <c r="A1218" s="16">
        <v>27</v>
      </c>
      <c r="B1218" s="1633" t="s">
        <v>1202</v>
      </c>
      <c r="C1218" s="1633"/>
      <c r="D1218" s="1633"/>
      <c r="E1218" s="1633"/>
      <c r="F1218" s="1633"/>
      <c r="G1218" s="1633"/>
      <c r="H1218" s="1633"/>
      <c r="I1218" s="534"/>
      <c r="J1218" s="535"/>
      <c r="K1218" s="16"/>
      <c r="L1218" s="208"/>
      <c r="M1218" s="38"/>
      <c r="N1218" s="533" t="s">
        <v>2297</v>
      </c>
    </row>
    <row r="1219" spans="1:14" s="541" customFormat="1" ht="16.5" customHeight="1">
      <c r="A1219" s="16"/>
      <c r="B1219" s="598" t="s">
        <v>2847</v>
      </c>
      <c r="C1219" s="563"/>
      <c r="D1219" s="564"/>
      <c r="E1219" s="565"/>
      <c r="F1219" s="566"/>
      <c r="G1219" s="566"/>
      <c r="H1219" s="567"/>
      <c r="I1219" s="568"/>
      <c r="J1219" s="575"/>
      <c r="K1219" s="39"/>
      <c r="L1219" s="208"/>
      <c r="M1219" s="39"/>
      <c r="N1219" s="533" t="s">
        <v>2297</v>
      </c>
    </row>
    <row r="1220" spans="1:14" s="541" customFormat="1" ht="16.5" customHeight="1">
      <c r="A1220" s="16"/>
      <c r="B1220" s="553" t="s">
        <v>1188</v>
      </c>
      <c r="C1220" s="554">
        <v>2</v>
      </c>
      <c r="D1220" s="555" t="s">
        <v>273</v>
      </c>
      <c r="E1220" s="221">
        <v>0.5</v>
      </c>
      <c r="F1220" s="556">
        <v>0.96</v>
      </c>
      <c r="G1220" s="556">
        <v>1</v>
      </c>
      <c r="H1220" s="556">
        <v>0</v>
      </c>
      <c r="I1220" s="557">
        <f>ROUND(IF(AND(F1220:H1220),C1220*E1220*F1220*G1220*H1220,IF(AND(F1220,G1220),C1220*E1220*F1220*G1220,IF(AND(F1220,H1220),C1220*E1220*F1220*H1220,IF(AND(G1220,H1220),C1220*E1220*G1220*H1220,IF(F1220,C1220*E1220*F1220,IF(G1220,C1220*E1220*G1220,IF(H1220,C1220*E1220*H1220,C1220*E1220))))))),2)</f>
        <v>0.96</v>
      </c>
      <c r="J1220" s="575" t="s">
        <v>102</v>
      </c>
      <c r="K1220" s="39"/>
      <c r="L1220" s="208"/>
      <c r="M1220" s="39"/>
      <c r="N1220" s="533" t="s">
        <v>2297</v>
      </c>
    </row>
    <row r="1221" spans="1:14" s="541" customFormat="1" ht="16.5" customHeight="1">
      <c r="A1221" s="16"/>
      <c r="B1221" s="553"/>
      <c r="C1221" s="554">
        <v>1</v>
      </c>
      <c r="D1221" s="555" t="s">
        <v>273</v>
      </c>
      <c r="E1221" s="221">
        <v>2</v>
      </c>
      <c r="F1221" s="556">
        <v>3.6</v>
      </c>
      <c r="G1221" s="556">
        <v>1.1299999999999999</v>
      </c>
      <c r="H1221" s="556">
        <v>0</v>
      </c>
      <c r="I1221" s="557">
        <f>ROUND(IF(AND(F1221:H1221),C1221*E1221*F1221*G1221*H1221,IF(AND(F1221,G1221),C1221*E1221*F1221*G1221,IF(AND(F1221,H1221),C1221*E1221*F1221*H1221,IF(AND(G1221,H1221),C1221*E1221*G1221*H1221,IF(F1221,C1221*E1221*F1221,IF(G1221,C1221*E1221*G1221,IF(H1221,C1221*E1221*H1221,C1221*E1221))))))),2)</f>
        <v>8.14</v>
      </c>
      <c r="J1221" s="575" t="s">
        <v>102</v>
      </c>
      <c r="K1221" s="39"/>
      <c r="L1221" s="208"/>
      <c r="M1221" s="39"/>
      <c r="N1221" s="533" t="s">
        <v>2297</v>
      </c>
    </row>
    <row r="1222" spans="1:14" s="541" customFormat="1" ht="16.5" customHeight="1">
      <c r="A1222" s="16"/>
      <c r="B1222" s="553"/>
      <c r="C1222" s="554">
        <v>1</v>
      </c>
      <c r="D1222" s="555" t="s">
        <v>273</v>
      </c>
      <c r="E1222" s="221">
        <v>2</v>
      </c>
      <c r="F1222" s="556">
        <v>1.96</v>
      </c>
      <c r="G1222" s="556">
        <v>1</v>
      </c>
      <c r="H1222" s="556">
        <v>0</v>
      </c>
      <c r="I1222" s="557">
        <f>ROUND(IF(AND(F1222:H1222),C1222*E1222*F1222*G1222*H1222,IF(AND(F1222,G1222),C1222*E1222*F1222*G1222,IF(AND(F1222,H1222),C1222*E1222*F1222*H1222,IF(AND(G1222,H1222),C1222*E1222*G1222*H1222,IF(F1222,C1222*E1222*F1222,IF(G1222,C1222*E1222*G1222,IF(H1222,C1222*E1222*H1222,C1222*E1222))))))),2)</f>
        <v>3.92</v>
      </c>
      <c r="J1222" s="575" t="s">
        <v>102</v>
      </c>
      <c r="K1222" s="39"/>
      <c r="L1222" s="208"/>
      <c r="M1222" s="39"/>
      <c r="N1222" s="533" t="s">
        <v>2297</v>
      </c>
    </row>
    <row r="1223" spans="1:14" s="541" customFormat="1" ht="16.5" customHeight="1">
      <c r="A1223" s="16"/>
      <c r="B1223" s="553"/>
      <c r="C1223" s="554">
        <v>1</v>
      </c>
      <c r="D1223" s="555" t="s">
        <v>273</v>
      </c>
      <c r="E1223" s="221">
        <v>2</v>
      </c>
      <c r="F1223" s="556">
        <v>1.33</v>
      </c>
      <c r="G1223" s="556">
        <v>1.1000000000000001</v>
      </c>
      <c r="H1223" s="556">
        <v>0</v>
      </c>
      <c r="I1223" s="557">
        <f>ROUND(IF(AND(F1223:H1223),C1223*E1223*F1223*G1223*H1223,IF(AND(F1223,G1223),C1223*E1223*F1223*G1223,IF(AND(F1223,H1223),C1223*E1223*F1223*H1223,IF(AND(G1223,H1223),C1223*E1223*G1223*H1223,IF(F1223,C1223*E1223*F1223,IF(G1223,C1223*E1223*G1223,IF(H1223,C1223*E1223*H1223,C1223*E1223))))))),2)</f>
        <v>2.93</v>
      </c>
      <c r="J1223" s="575" t="s">
        <v>102</v>
      </c>
      <c r="K1223" s="39"/>
      <c r="L1223" s="208"/>
      <c r="M1223" s="39"/>
      <c r="N1223" s="533" t="s">
        <v>2297</v>
      </c>
    </row>
    <row r="1224" spans="1:14" s="541" customFormat="1" ht="16.5" customHeight="1">
      <c r="A1224" s="16"/>
      <c r="B1224" s="544"/>
      <c r="C1224" s="545"/>
      <c r="D1224" s="546"/>
      <c r="E1224" s="547"/>
      <c r="F1224" s="548"/>
      <c r="G1224" s="548"/>
      <c r="H1224" s="548"/>
      <c r="I1224" s="549"/>
      <c r="J1224" s="575"/>
      <c r="K1224" s="39"/>
      <c r="L1224" s="208"/>
      <c r="M1224" s="39"/>
      <c r="N1224" s="533" t="s">
        <v>2297</v>
      </c>
    </row>
    <row r="1225" spans="1:14" ht="15.75">
      <c r="A1225" s="16"/>
      <c r="B1225" s="39"/>
      <c r="C1225" s="551"/>
      <c r="D1225" s="552"/>
      <c r="E1225" s="537"/>
      <c r="F1225" s="538"/>
      <c r="G1225" s="40"/>
      <c r="H1225" s="16"/>
      <c r="I1225" s="549"/>
      <c r="J1225" s="575" t="s">
        <v>102</v>
      </c>
      <c r="K1225" s="10">
        <f>data!F1678</f>
        <v>986.93</v>
      </c>
      <c r="L1225" s="208" t="s">
        <v>2297</v>
      </c>
      <c r="M1225" s="9">
        <f>ROUND(I1225*K1225,0)</f>
        <v>0</v>
      </c>
      <c r="N1225" s="533" t="s">
        <v>2297</v>
      </c>
    </row>
    <row r="1226" spans="1:14" ht="81.75" customHeight="1">
      <c r="A1226" s="16">
        <v>27</v>
      </c>
      <c r="B1226" s="1633" t="s">
        <v>1202</v>
      </c>
      <c r="C1226" s="1633"/>
      <c r="D1226" s="1633"/>
      <c r="E1226" s="1633"/>
      <c r="F1226" s="1633"/>
      <c r="G1226" s="1633"/>
      <c r="H1226" s="1633"/>
      <c r="I1226" s="534"/>
      <c r="J1226" s="535"/>
      <c r="K1226" s="16"/>
      <c r="L1226" s="208"/>
      <c r="M1226" s="38"/>
      <c r="N1226" s="533" t="s">
        <v>2308</v>
      </c>
    </row>
    <row r="1227" spans="1:14" s="541" customFormat="1" ht="16.5" customHeight="1">
      <c r="A1227" s="16"/>
      <c r="B1227" s="598" t="s">
        <v>2847</v>
      </c>
      <c r="C1227" s="563"/>
      <c r="D1227" s="564"/>
      <c r="E1227" s="565"/>
      <c r="F1227" s="566"/>
      <c r="G1227" s="566"/>
      <c r="H1227" s="567"/>
      <c r="I1227" s="568"/>
      <c r="J1227" s="575"/>
      <c r="K1227" s="39"/>
      <c r="L1227" s="208"/>
      <c r="M1227" s="39"/>
      <c r="N1227" s="533" t="s">
        <v>2308</v>
      </c>
    </row>
    <row r="1228" spans="1:14" s="541" customFormat="1" ht="16.5" customHeight="1">
      <c r="A1228" s="16"/>
      <c r="B1228" s="553" t="s">
        <v>1188</v>
      </c>
      <c r="C1228" s="554">
        <v>2</v>
      </c>
      <c r="D1228" s="555" t="s">
        <v>273</v>
      </c>
      <c r="E1228" s="221">
        <v>0.5</v>
      </c>
      <c r="F1228" s="556">
        <v>0.96</v>
      </c>
      <c r="G1228" s="556">
        <v>1</v>
      </c>
      <c r="H1228" s="556">
        <v>0</v>
      </c>
      <c r="I1228" s="557">
        <f>ROUND(IF(AND(F1228:H1228),C1228*E1228*F1228*G1228*H1228,IF(AND(F1228,G1228),C1228*E1228*F1228*G1228,IF(AND(F1228,H1228),C1228*E1228*F1228*H1228,IF(AND(G1228,H1228),C1228*E1228*G1228*H1228,IF(F1228,C1228*E1228*F1228,IF(G1228,C1228*E1228*G1228,IF(H1228,C1228*E1228*H1228,C1228*E1228))))))),2)</f>
        <v>0.96</v>
      </c>
      <c r="J1228" s="575" t="s">
        <v>102</v>
      </c>
      <c r="K1228" s="39"/>
      <c r="L1228" s="208"/>
      <c r="M1228" s="39"/>
      <c r="N1228" s="533" t="s">
        <v>2308</v>
      </c>
    </row>
    <row r="1229" spans="1:14" s="541" customFormat="1" ht="16.5" customHeight="1">
      <c r="A1229" s="16"/>
      <c r="B1229" s="553"/>
      <c r="C1229" s="554">
        <v>1</v>
      </c>
      <c r="D1229" s="555" t="s">
        <v>273</v>
      </c>
      <c r="E1229" s="221">
        <v>2</v>
      </c>
      <c r="F1229" s="556">
        <v>3.6</v>
      </c>
      <c r="G1229" s="556">
        <v>1.1299999999999999</v>
      </c>
      <c r="H1229" s="556">
        <v>0</v>
      </c>
      <c r="I1229" s="557">
        <f>ROUND(IF(AND(F1229:H1229),C1229*E1229*F1229*G1229*H1229,IF(AND(F1229,G1229),C1229*E1229*F1229*G1229,IF(AND(F1229,H1229),C1229*E1229*F1229*H1229,IF(AND(G1229,H1229),C1229*E1229*G1229*H1229,IF(F1229,C1229*E1229*F1229,IF(G1229,C1229*E1229*G1229,IF(H1229,C1229*E1229*H1229,C1229*E1229))))))),2)</f>
        <v>8.14</v>
      </c>
      <c r="J1229" s="575" t="s">
        <v>102</v>
      </c>
      <c r="K1229" s="39"/>
      <c r="L1229" s="208"/>
      <c r="M1229" s="39"/>
      <c r="N1229" s="533" t="s">
        <v>2308</v>
      </c>
    </row>
    <row r="1230" spans="1:14" s="541" customFormat="1" ht="16.5" customHeight="1">
      <c r="A1230" s="16"/>
      <c r="B1230" s="553"/>
      <c r="C1230" s="554">
        <v>1</v>
      </c>
      <c r="D1230" s="555" t="s">
        <v>273</v>
      </c>
      <c r="E1230" s="221">
        <v>2</v>
      </c>
      <c r="F1230" s="556">
        <v>1.96</v>
      </c>
      <c r="G1230" s="556">
        <v>1</v>
      </c>
      <c r="H1230" s="556">
        <v>0</v>
      </c>
      <c r="I1230" s="557">
        <f>ROUND(IF(AND(F1230:H1230),C1230*E1230*F1230*G1230*H1230,IF(AND(F1230,G1230),C1230*E1230*F1230*G1230,IF(AND(F1230,H1230),C1230*E1230*F1230*H1230,IF(AND(G1230,H1230),C1230*E1230*G1230*H1230,IF(F1230,C1230*E1230*F1230,IF(G1230,C1230*E1230*G1230,IF(H1230,C1230*E1230*H1230,C1230*E1230))))))),2)</f>
        <v>3.92</v>
      </c>
      <c r="J1230" s="575" t="s">
        <v>102</v>
      </c>
      <c r="K1230" s="39"/>
      <c r="L1230" s="208"/>
      <c r="M1230" s="39"/>
      <c r="N1230" s="533" t="s">
        <v>2308</v>
      </c>
    </row>
    <row r="1231" spans="1:14" s="541" customFormat="1" ht="16.5" customHeight="1">
      <c r="A1231" s="16"/>
      <c r="B1231" s="553"/>
      <c r="C1231" s="554">
        <v>1</v>
      </c>
      <c r="D1231" s="555" t="s">
        <v>273</v>
      </c>
      <c r="E1231" s="221">
        <v>2</v>
      </c>
      <c r="F1231" s="556">
        <v>1.33</v>
      </c>
      <c r="G1231" s="556">
        <v>1.1000000000000001</v>
      </c>
      <c r="H1231" s="556">
        <v>0</v>
      </c>
      <c r="I1231" s="557">
        <f>ROUND(IF(AND(F1231:H1231),C1231*E1231*F1231*G1231*H1231,IF(AND(F1231,G1231),C1231*E1231*F1231*G1231,IF(AND(F1231,H1231),C1231*E1231*F1231*H1231,IF(AND(G1231,H1231),C1231*E1231*G1231*H1231,IF(F1231,C1231*E1231*F1231,IF(G1231,C1231*E1231*G1231,IF(H1231,C1231*E1231*H1231,C1231*E1231))))))),2)</f>
        <v>2.93</v>
      </c>
      <c r="J1231" s="575" t="s">
        <v>102</v>
      </c>
      <c r="K1231" s="39"/>
      <c r="L1231" s="208"/>
      <c r="M1231" s="39"/>
      <c r="N1231" s="533" t="s">
        <v>2308</v>
      </c>
    </row>
    <row r="1232" spans="1:14" s="541" customFormat="1" ht="16.5" customHeight="1">
      <c r="A1232" s="16"/>
      <c r="B1232" s="544"/>
      <c r="C1232" s="545"/>
      <c r="D1232" s="546"/>
      <c r="E1232" s="547"/>
      <c r="F1232" s="548"/>
      <c r="G1232" s="548"/>
      <c r="H1232" s="548"/>
      <c r="I1232" s="549"/>
      <c r="J1232" s="575"/>
      <c r="K1232" s="39"/>
      <c r="L1232" s="208"/>
      <c r="M1232" s="39"/>
      <c r="N1232" s="533" t="s">
        <v>2308</v>
      </c>
    </row>
    <row r="1233" spans="1:14" ht="15.75">
      <c r="A1233" s="16"/>
      <c r="B1233" s="39"/>
      <c r="C1233" s="551"/>
      <c r="D1233" s="552"/>
      <c r="E1233" s="537"/>
      <c r="F1233" s="538"/>
      <c r="G1233" s="40"/>
      <c r="H1233" s="16"/>
      <c r="I1233" s="549"/>
      <c r="J1233" s="575" t="s">
        <v>102</v>
      </c>
      <c r="K1233" s="10">
        <f>data!F2595</f>
        <v>1020.23</v>
      </c>
      <c r="L1233" s="208" t="s">
        <v>2308</v>
      </c>
      <c r="M1233" s="9">
        <f>ROUND(I1233*K1233,0)</f>
        <v>0</v>
      </c>
      <c r="N1233" s="533" t="s">
        <v>2308</v>
      </c>
    </row>
    <row r="1234" spans="1:14" ht="81.75" customHeight="1">
      <c r="A1234" s="16">
        <v>27</v>
      </c>
      <c r="B1234" s="1633" t="s">
        <v>1202</v>
      </c>
      <c r="C1234" s="1633"/>
      <c r="D1234" s="1633"/>
      <c r="E1234" s="1633"/>
      <c r="F1234" s="1633"/>
      <c r="G1234" s="1633"/>
      <c r="H1234" s="1633"/>
      <c r="I1234" s="534"/>
      <c r="J1234" s="535"/>
      <c r="K1234" s="16"/>
      <c r="L1234" s="208"/>
      <c r="M1234" s="38"/>
      <c r="N1234" s="533" t="s">
        <v>2309</v>
      </c>
    </row>
    <row r="1235" spans="1:14" s="541" customFormat="1" ht="16.5" customHeight="1">
      <c r="A1235" s="16"/>
      <c r="B1235" s="598" t="s">
        <v>2847</v>
      </c>
      <c r="C1235" s="563"/>
      <c r="D1235" s="564"/>
      <c r="E1235" s="565"/>
      <c r="F1235" s="566"/>
      <c r="G1235" s="566"/>
      <c r="H1235" s="567"/>
      <c r="I1235" s="568"/>
      <c r="J1235" s="575"/>
      <c r="K1235" s="39"/>
      <c r="L1235" s="208"/>
      <c r="M1235" s="39"/>
      <c r="N1235" s="533" t="s">
        <v>2309</v>
      </c>
    </row>
    <row r="1236" spans="1:14" s="541" customFormat="1" ht="16.5" customHeight="1">
      <c r="A1236" s="16"/>
      <c r="B1236" s="553" t="s">
        <v>1188</v>
      </c>
      <c r="C1236" s="554">
        <v>2</v>
      </c>
      <c r="D1236" s="555" t="s">
        <v>273</v>
      </c>
      <c r="E1236" s="221">
        <v>0.5</v>
      </c>
      <c r="F1236" s="556">
        <v>0.96</v>
      </c>
      <c r="G1236" s="556">
        <v>1</v>
      </c>
      <c r="H1236" s="556">
        <v>0</v>
      </c>
      <c r="I1236" s="557">
        <f>ROUND(IF(AND(F1236:H1236),C1236*E1236*F1236*G1236*H1236,IF(AND(F1236,G1236),C1236*E1236*F1236*G1236,IF(AND(F1236,H1236),C1236*E1236*F1236*H1236,IF(AND(G1236,H1236),C1236*E1236*G1236*H1236,IF(F1236,C1236*E1236*F1236,IF(G1236,C1236*E1236*G1236,IF(H1236,C1236*E1236*H1236,C1236*E1236))))))),2)</f>
        <v>0.96</v>
      </c>
      <c r="J1236" s="575" t="s">
        <v>102</v>
      </c>
      <c r="K1236" s="39"/>
      <c r="L1236" s="208"/>
      <c r="M1236" s="39"/>
      <c r="N1236" s="533" t="s">
        <v>2309</v>
      </c>
    </row>
    <row r="1237" spans="1:14" s="541" customFormat="1" ht="16.5" customHeight="1">
      <c r="A1237" s="16"/>
      <c r="B1237" s="553"/>
      <c r="C1237" s="554">
        <v>1</v>
      </c>
      <c r="D1237" s="555" t="s">
        <v>273</v>
      </c>
      <c r="E1237" s="221">
        <v>2</v>
      </c>
      <c r="F1237" s="556">
        <v>3.6</v>
      </c>
      <c r="G1237" s="556">
        <v>1.1299999999999999</v>
      </c>
      <c r="H1237" s="556">
        <v>0</v>
      </c>
      <c r="I1237" s="557">
        <f>ROUND(IF(AND(F1237:H1237),C1237*E1237*F1237*G1237*H1237,IF(AND(F1237,G1237),C1237*E1237*F1237*G1237,IF(AND(F1237,H1237),C1237*E1237*F1237*H1237,IF(AND(G1237,H1237),C1237*E1237*G1237*H1237,IF(F1237,C1237*E1237*F1237,IF(G1237,C1237*E1237*G1237,IF(H1237,C1237*E1237*H1237,C1237*E1237))))))),2)</f>
        <v>8.14</v>
      </c>
      <c r="J1237" s="575" t="s">
        <v>102</v>
      </c>
      <c r="K1237" s="39"/>
      <c r="L1237" s="208"/>
      <c r="M1237" s="39"/>
      <c r="N1237" s="533" t="s">
        <v>2309</v>
      </c>
    </row>
    <row r="1238" spans="1:14" s="541" customFormat="1" ht="16.5" customHeight="1">
      <c r="A1238" s="16"/>
      <c r="B1238" s="553"/>
      <c r="C1238" s="554">
        <v>1</v>
      </c>
      <c r="D1238" s="555" t="s">
        <v>273</v>
      </c>
      <c r="E1238" s="221">
        <v>2</v>
      </c>
      <c r="F1238" s="556">
        <v>1.96</v>
      </c>
      <c r="G1238" s="556">
        <v>1</v>
      </c>
      <c r="H1238" s="556">
        <v>0</v>
      </c>
      <c r="I1238" s="557">
        <f>ROUND(IF(AND(F1238:H1238),C1238*E1238*F1238*G1238*H1238,IF(AND(F1238,G1238),C1238*E1238*F1238*G1238,IF(AND(F1238,H1238),C1238*E1238*F1238*H1238,IF(AND(G1238,H1238),C1238*E1238*G1238*H1238,IF(F1238,C1238*E1238*F1238,IF(G1238,C1238*E1238*G1238,IF(H1238,C1238*E1238*H1238,C1238*E1238))))))),2)</f>
        <v>3.92</v>
      </c>
      <c r="J1238" s="575" t="s">
        <v>102</v>
      </c>
      <c r="K1238" s="39"/>
      <c r="L1238" s="208"/>
      <c r="M1238" s="39"/>
      <c r="N1238" s="533" t="s">
        <v>2309</v>
      </c>
    </row>
    <row r="1239" spans="1:14" s="541" customFormat="1" ht="16.5" customHeight="1">
      <c r="A1239" s="16"/>
      <c r="B1239" s="553"/>
      <c r="C1239" s="554">
        <v>1</v>
      </c>
      <c r="D1239" s="555" t="s">
        <v>273</v>
      </c>
      <c r="E1239" s="221">
        <v>2</v>
      </c>
      <c r="F1239" s="556">
        <v>1.33</v>
      </c>
      <c r="G1239" s="556">
        <v>1.1000000000000001</v>
      </c>
      <c r="H1239" s="556">
        <v>0</v>
      </c>
      <c r="I1239" s="557">
        <f>ROUND(IF(AND(F1239:H1239),C1239*E1239*F1239*G1239*H1239,IF(AND(F1239,G1239),C1239*E1239*F1239*G1239,IF(AND(F1239,H1239),C1239*E1239*F1239*H1239,IF(AND(G1239,H1239),C1239*E1239*G1239*H1239,IF(F1239,C1239*E1239*F1239,IF(G1239,C1239*E1239*G1239,IF(H1239,C1239*E1239*H1239,C1239*E1239))))))),2)</f>
        <v>2.93</v>
      </c>
      <c r="J1239" s="575" t="s">
        <v>102</v>
      </c>
      <c r="K1239" s="39"/>
      <c r="L1239" s="208"/>
      <c r="M1239" s="39"/>
      <c r="N1239" s="533" t="s">
        <v>2309</v>
      </c>
    </row>
    <row r="1240" spans="1:14" s="541" customFormat="1" ht="16.5" customHeight="1">
      <c r="A1240" s="16"/>
      <c r="B1240" s="544"/>
      <c r="C1240" s="545"/>
      <c r="D1240" s="546"/>
      <c r="E1240" s="547"/>
      <c r="F1240" s="548"/>
      <c r="G1240" s="548"/>
      <c r="H1240" s="548"/>
      <c r="I1240" s="549"/>
      <c r="J1240" s="575"/>
      <c r="K1240" s="39"/>
      <c r="L1240" s="208"/>
      <c r="M1240" s="39"/>
      <c r="N1240" s="533" t="s">
        <v>2309</v>
      </c>
    </row>
    <row r="1241" spans="1:14" ht="15.75">
      <c r="A1241" s="16"/>
      <c r="B1241" s="39"/>
      <c r="C1241" s="551"/>
      <c r="D1241" s="552"/>
      <c r="E1241" s="537"/>
      <c r="F1241" s="538"/>
      <c r="G1241" s="40"/>
      <c r="H1241" s="16"/>
      <c r="I1241" s="549"/>
      <c r="J1241" s="575" t="s">
        <v>102</v>
      </c>
      <c r="K1241" s="10">
        <f>data!F3512</f>
        <v>1059.21</v>
      </c>
      <c r="L1241" s="208" t="s">
        <v>2309</v>
      </c>
      <c r="M1241" s="9">
        <f>ROUND(I1241*K1241,0)</f>
        <v>0</v>
      </c>
      <c r="N1241" s="533" t="s">
        <v>2309</v>
      </c>
    </row>
    <row r="1242" spans="1:14" ht="66" customHeight="1">
      <c r="A1242" s="16">
        <v>26</v>
      </c>
      <c r="B1242" s="1633" t="s">
        <v>1192</v>
      </c>
      <c r="C1242" s="1633"/>
      <c r="D1242" s="1633"/>
      <c r="E1242" s="1633"/>
      <c r="F1242" s="1633"/>
      <c r="G1242" s="1633"/>
      <c r="H1242" s="1633"/>
      <c r="I1242" s="534"/>
      <c r="J1242" s="535"/>
      <c r="K1242" s="16"/>
      <c r="L1242" s="208"/>
      <c r="M1242" s="38"/>
      <c r="N1242" s="533" t="s">
        <v>2209</v>
      </c>
    </row>
    <row r="1243" spans="1:14" s="541" customFormat="1" ht="16.5" customHeight="1">
      <c r="A1243" s="16"/>
      <c r="B1243" s="39" t="s">
        <v>2821</v>
      </c>
      <c r="C1243" s="563"/>
      <c r="D1243" s="564"/>
      <c r="E1243" s="565"/>
      <c r="F1243" s="566"/>
      <c r="G1243" s="566"/>
      <c r="H1243" s="567"/>
      <c r="I1243" s="568"/>
      <c r="J1243" s="550"/>
      <c r="K1243" s="39"/>
      <c r="L1243" s="208"/>
      <c r="M1243" s="39"/>
      <c r="N1243" s="533" t="s">
        <v>2209</v>
      </c>
    </row>
    <row r="1244" spans="1:14" s="541" customFormat="1" ht="16.5" customHeight="1">
      <c r="A1244" s="16"/>
      <c r="B1244" s="39" t="s">
        <v>799</v>
      </c>
      <c r="C1244" s="534">
        <v>1</v>
      </c>
      <c r="D1244" s="536" t="s">
        <v>273</v>
      </c>
      <c r="E1244" s="537">
        <v>1</v>
      </c>
      <c r="F1244" s="538">
        <v>8.5</v>
      </c>
      <c r="G1244" s="538">
        <v>4.95</v>
      </c>
      <c r="H1244" s="538">
        <v>0</v>
      </c>
      <c r="I1244" s="542">
        <f t="shared" ref="I1244:I1245" si="116">ROUND(IF(AND(F1244:H1244),C1244*E1244*F1244*G1244*H1244,IF(AND(F1244,G1244),C1244*E1244*F1244*G1244,IF(AND(F1244,H1244),C1244*E1244*F1244*H1244,IF(AND(G1244,H1244),C1244*E1244*G1244*H1244,IF(F1244,C1244*E1244*F1244,IF(G1244,C1244*E1244*G1244,IF(H1244,C1244*E1244*H1244,C1244*E1244))))))),2)</f>
        <v>42.08</v>
      </c>
      <c r="J1244" s="550" t="s">
        <v>102</v>
      </c>
      <c r="K1244" s="39"/>
      <c r="L1244" s="208"/>
      <c r="M1244" s="39"/>
      <c r="N1244" s="533" t="s">
        <v>2209</v>
      </c>
    </row>
    <row r="1245" spans="1:14" s="541" customFormat="1" ht="16.5" customHeight="1">
      <c r="A1245" s="16"/>
      <c r="B1245" s="39" t="s">
        <v>813</v>
      </c>
      <c r="C1245" s="534">
        <v>1</v>
      </c>
      <c r="D1245" s="536" t="s">
        <v>273</v>
      </c>
      <c r="E1245" s="537">
        <v>1</v>
      </c>
      <c r="F1245" s="538">
        <v>5.5</v>
      </c>
      <c r="G1245" s="538">
        <v>2.4</v>
      </c>
      <c r="H1245" s="538">
        <v>0</v>
      </c>
      <c r="I1245" s="542">
        <f t="shared" si="116"/>
        <v>13.2</v>
      </c>
      <c r="J1245" s="550" t="s">
        <v>102</v>
      </c>
      <c r="K1245" s="39"/>
      <c r="L1245" s="208"/>
      <c r="M1245" s="39"/>
      <c r="N1245" s="533" t="s">
        <v>2209</v>
      </c>
    </row>
    <row r="1246" spans="1:14" s="541" customFormat="1" ht="16.5" customHeight="1">
      <c r="A1246" s="16"/>
      <c r="B1246" s="39" t="s">
        <v>814</v>
      </c>
      <c r="C1246" s="534">
        <v>1</v>
      </c>
      <c r="D1246" s="536" t="s">
        <v>273</v>
      </c>
      <c r="E1246" s="537">
        <v>1</v>
      </c>
      <c r="F1246" s="538">
        <v>8.85</v>
      </c>
      <c r="G1246" s="538">
        <v>0</v>
      </c>
      <c r="H1246" s="538">
        <v>3.6</v>
      </c>
      <c r="I1246" s="542">
        <f>ROUND(IF(AND(F1246:H1246),C1246*E1246*F1246*G1246*H1246,IF(AND(F1246,G1246),C1246*E1246*F1246*G1246,IF(AND(F1246,H1246),C1246*E1246*F1246*H1246,IF(AND(G1246,H1246),C1246*E1246*G1246*H1246,IF(F1246,C1246*E1246*F1246,IF(G1246,C1246*E1246*G1246,IF(H1246,C1246*E1246*H1246,C1246*E1246))))))),2)</f>
        <v>31.86</v>
      </c>
      <c r="J1246" s="550" t="s">
        <v>102</v>
      </c>
      <c r="K1246" s="39"/>
      <c r="L1246" s="208"/>
      <c r="M1246" s="39"/>
      <c r="N1246" s="533" t="s">
        <v>2209</v>
      </c>
    </row>
    <row r="1247" spans="1:14" s="541" customFormat="1" ht="16.5" customHeight="1">
      <c r="A1247" s="16"/>
      <c r="B1247" s="39" t="s">
        <v>817</v>
      </c>
      <c r="C1247" s="534">
        <v>1</v>
      </c>
      <c r="D1247" s="536" t="s">
        <v>273</v>
      </c>
      <c r="E1247" s="537">
        <v>1</v>
      </c>
      <c r="F1247" s="538">
        <v>6.25</v>
      </c>
      <c r="G1247" s="538">
        <v>0</v>
      </c>
      <c r="H1247" s="538">
        <v>3.6</v>
      </c>
      <c r="I1247" s="542">
        <f>ROUND(IF(AND(F1247:H1247),C1247*E1247*F1247*G1247*H1247,IF(AND(F1247,G1247),C1247*E1247*F1247*G1247,IF(AND(F1247,H1247),C1247*E1247*F1247*H1247,IF(AND(G1247,H1247),C1247*E1247*G1247*H1247,IF(F1247,C1247*E1247*F1247,IF(G1247,C1247*E1247*G1247,IF(H1247,C1247*E1247*H1247,C1247*E1247))))))),2)</f>
        <v>22.5</v>
      </c>
      <c r="J1247" s="550" t="s">
        <v>102</v>
      </c>
      <c r="K1247" s="39"/>
      <c r="L1247" s="208"/>
      <c r="M1247" s="39"/>
      <c r="N1247" s="533" t="s">
        <v>2209</v>
      </c>
    </row>
    <row r="1248" spans="1:14" s="541" customFormat="1" ht="16.5" customHeight="1">
      <c r="A1248" s="16"/>
      <c r="B1248" s="39" t="s">
        <v>816</v>
      </c>
      <c r="C1248" s="534">
        <v>1</v>
      </c>
      <c r="D1248" s="536" t="s">
        <v>273</v>
      </c>
      <c r="E1248" s="537">
        <v>1</v>
      </c>
      <c r="F1248" s="538">
        <v>5.45</v>
      </c>
      <c r="G1248" s="538">
        <v>0</v>
      </c>
      <c r="H1248" s="538">
        <v>3.2</v>
      </c>
      <c r="I1248" s="542">
        <f>ROUND(IF(AND(F1248:H1248),C1248*E1248*F1248*G1248*H1248,IF(AND(F1248,G1248),C1248*E1248*F1248*G1248,IF(AND(F1248,H1248),C1248*E1248*F1248*H1248,IF(AND(G1248,H1248),C1248*E1248*G1248*H1248,IF(F1248,C1248*E1248*F1248,IF(G1248,C1248*E1248*G1248,IF(H1248,C1248*E1248*H1248,C1248*E1248))))))),2)</f>
        <v>17.440000000000001</v>
      </c>
      <c r="J1248" s="550" t="s">
        <v>102</v>
      </c>
      <c r="K1248" s="39"/>
      <c r="L1248" s="208"/>
      <c r="M1248" s="39"/>
      <c r="N1248" s="533" t="s">
        <v>2209</v>
      </c>
    </row>
    <row r="1249" spans="1:14" s="541" customFormat="1" ht="16.5" customHeight="1">
      <c r="A1249" s="16"/>
      <c r="B1249" s="544"/>
      <c r="C1249" s="545"/>
      <c r="D1249" s="546"/>
      <c r="E1249" s="582"/>
      <c r="F1249" s="548"/>
      <c r="G1249" s="548"/>
      <c r="H1249" s="548"/>
      <c r="I1249" s="549"/>
      <c r="J1249" s="550"/>
      <c r="K1249" s="39"/>
      <c r="L1249" s="208"/>
      <c r="M1249" s="39"/>
      <c r="N1249" s="533" t="s">
        <v>2209</v>
      </c>
    </row>
    <row r="1250" spans="1:14" ht="15.75">
      <c r="A1250" s="16"/>
      <c r="B1250" s="39"/>
      <c r="C1250" s="551"/>
      <c r="D1250" s="552"/>
      <c r="E1250" s="537"/>
      <c r="F1250" s="538"/>
      <c r="G1250" s="40"/>
      <c r="H1250" s="16"/>
      <c r="I1250" s="549"/>
      <c r="J1250" s="550" t="s">
        <v>102</v>
      </c>
      <c r="K1250" s="10">
        <f>data!F796</f>
        <v>21.43</v>
      </c>
      <c r="L1250" s="208" t="s">
        <v>2209</v>
      </c>
      <c r="M1250" s="9">
        <f>ROUND(I1250*K1250,0)</f>
        <v>0</v>
      </c>
      <c r="N1250" s="533" t="s">
        <v>2209</v>
      </c>
    </row>
    <row r="1251" spans="1:14" ht="66" customHeight="1">
      <c r="A1251" s="16">
        <v>26</v>
      </c>
      <c r="B1251" s="1633" t="s">
        <v>1192</v>
      </c>
      <c r="C1251" s="1633"/>
      <c r="D1251" s="1633"/>
      <c r="E1251" s="1633"/>
      <c r="F1251" s="1633"/>
      <c r="G1251" s="1633"/>
      <c r="H1251" s="1633"/>
      <c r="I1251" s="534"/>
      <c r="J1251" s="535"/>
      <c r="K1251" s="16"/>
      <c r="L1251" s="208"/>
      <c r="M1251" s="38"/>
      <c r="N1251" s="533" t="s">
        <v>2297</v>
      </c>
    </row>
    <row r="1252" spans="1:14" s="541" customFormat="1" ht="16.5" customHeight="1">
      <c r="A1252" s="16"/>
      <c r="B1252" s="39" t="s">
        <v>2821</v>
      </c>
      <c r="C1252" s="563"/>
      <c r="D1252" s="564"/>
      <c r="E1252" s="565"/>
      <c r="F1252" s="566"/>
      <c r="G1252" s="566"/>
      <c r="H1252" s="567"/>
      <c r="I1252" s="568"/>
      <c r="J1252" s="550"/>
      <c r="K1252" s="39"/>
      <c r="L1252" s="208"/>
      <c r="M1252" s="39"/>
      <c r="N1252" s="533" t="s">
        <v>2297</v>
      </c>
    </row>
    <row r="1253" spans="1:14" s="541" customFormat="1" ht="16.5" customHeight="1">
      <c r="A1253" s="16"/>
      <c r="B1253" s="39" t="s">
        <v>799</v>
      </c>
      <c r="C1253" s="534">
        <v>1</v>
      </c>
      <c r="D1253" s="536" t="s">
        <v>273</v>
      </c>
      <c r="E1253" s="537">
        <v>1</v>
      </c>
      <c r="F1253" s="538">
        <v>8.5</v>
      </c>
      <c r="G1253" s="538">
        <v>4.95</v>
      </c>
      <c r="H1253" s="538">
        <v>0</v>
      </c>
      <c r="I1253" s="542">
        <f>ROUND(IF(AND(F1253:H1253),C1253*E1253*F1253*G1253*H1253,IF(AND(F1253,G1253),C1253*E1253*F1253*G1253,IF(AND(F1253,H1253),C1253*E1253*F1253*H1253,IF(AND(G1253,H1253),C1253*E1253*G1253*H1253,IF(F1253,C1253*E1253*F1253,IF(G1253,C1253*E1253*G1253,IF(H1253,C1253*E1253*H1253,C1253*E1253))))))),2)</f>
        <v>42.08</v>
      </c>
      <c r="J1253" s="550" t="s">
        <v>102</v>
      </c>
      <c r="K1253" s="39"/>
      <c r="L1253" s="208"/>
      <c r="M1253" s="39"/>
      <c r="N1253" s="533" t="s">
        <v>2297</v>
      </c>
    </row>
    <row r="1254" spans="1:14" s="541" customFormat="1" ht="16.5" customHeight="1">
      <c r="A1254" s="16"/>
      <c r="B1254" s="39" t="s">
        <v>813</v>
      </c>
      <c r="C1254" s="534">
        <v>1</v>
      </c>
      <c r="D1254" s="536" t="s">
        <v>273</v>
      </c>
      <c r="E1254" s="537">
        <v>1</v>
      </c>
      <c r="F1254" s="538">
        <v>5.5</v>
      </c>
      <c r="G1254" s="538">
        <v>2.4</v>
      </c>
      <c r="H1254" s="538">
        <v>0</v>
      </c>
      <c r="I1254" s="542">
        <f>ROUND(IF(AND(F1254:H1254),C1254*E1254*F1254*G1254*H1254,IF(AND(F1254,G1254),C1254*E1254*F1254*G1254,IF(AND(F1254,H1254),C1254*E1254*F1254*H1254,IF(AND(G1254,H1254),C1254*E1254*G1254*H1254,IF(F1254,C1254*E1254*F1254,IF(G1254,C1254*E1254*G1254,IF(H1254,C1254*E1254*H1254,C1254*E1254))))))),2)</f>
        <v>13.2</v>
      </c>
      <c r="J1254" s="550" t="s">
        <v>102</v>
      </c>
      <c r="K1254" s="39"/>
      <c r="L1254" s="208"/>
      <c r="M1254" s="39"/>
      <c r="N1254" s="533" t="s">
        <v>2297</v>
      </c>
    </row>
    <row r="1255" spans="1:14" s="541" customFormat="1" ht="16.5" customHeight="1">
      <c r="A1255" s="16"/>
      <c r="B1255" s="39" t="s">
        <v>814</v>
      </c>
      <c r="C1255" s="534">
        <v>1</v>
      </c>
      <c r="D1255" s="536" t="s">
        <v>273</v>
      </c>
      <c r="E1255" s="537">
        <v>1</v>
      </c>
      <c r="F1255" s="538">
        <v>8.85</v>
      </c>
      <c r="G1255" s="538">
        <v>0</v>
      </c>
      <c r="H1255" s="538">
        <v>3.6</v>
      </c>
      <c r="I1255" s="542">
        <f>ROUND(IF(AND(F1255:H1255),C1255*E1255*F1255*G1255*H1255,IF(AND(F1255,G1255),C1255*E1255*F1255*G1255,IF(AND(F1255,H1255),C1255*E1255*F1255*H1255,IF(AND(G1255,H1255),C1255*E1255*G1255*H1255,IF(F1255,C1255*E1255*F1255,IF(G1255,C1255*E1255*G1255,IF(H1255,C1255*E1255*H1255,C1255*E1255))))))),2)</f>
        <v>31.86</v>
      </c>
      <c r="J1255" s="550" t="s">
        <v>102</v>
      </c>
      <c r="K1255" s="39"/>
      <c r="L1255" s="208"/>
      <c r="M1255" s="39"/>
      <c r="N1255" s="533" t="s">
        <v>2297</v>
      </c>
    </row>
    <row r="1256" spans="1:14" s="541" customFormat="1" ht="16.5" customHeight="1">
      <c r="A1256" s="16"/>
      <c r="B1256" s="39" t="s">
        <v>817</v>
      </c>
      <c r="C1256" s="534">
        <v>1</v>
      </c>
      <c r="D1256" s="536" t="s">
        <v>273</v>
      </c>
      <c r="E1256" s="537">
        <v>1</v>
      </c>
      <c r="F1256" s="538">
        <v>6.25</v>
      </c>
      <c r="G1256" s="538">
        <v>0</v>
      </c>
      <c r="H1256" s="538">
        <v>3.6</v>
      </c>
      <c r="I1256" s="542">
        <f>ROUND(IF(AND(F1256:H1256),C1256*E1256*F1256*G1256*H1256,IF(AND(F1256,G1256),C1256*E1256*F1256*G1256,IF(AND(F1256,H1256),C1256*E1256*F1256*H1256,IF(AND(G1256,H1256),C1256*E1256*G1256*H1256,IF(F1256,C1256*E1256*F1256,IF(G1256,C1256*E1256*G1256,IF(H1256,C1256*E1256*H1256,C1256*E1256))))))),2)</f>
        <v>22.5</v>
      </c>
      <c r="J1256" s="550" t="s">
        <v>102</v>
      </c>
      <c r="K1256" s="39"/>
      <c r="L1256" s="208"/>
      <c r="M1256" s="39"/>
      <c r="N1256" s="533" t="s">
        <v>2297</v>
      </c>
    </row>
    <row r="1257" spans="1:14" s="541" customFormat="1" ht="16.5" customHeight="1">
      <c r="A1257" s="16"/>
      <c r="B1257" s="39" t="s">
        <v>816</v>
      </c>
      <c r="C1257" s="534">
        <v>1</v>
      </c>
      <c r="D1257" s="536" t="s">
        <v>273</v>
      </c>
      <c r="E1257" s="537">
        <v>1</v>
      </c>
      <c r="F1257" s="538">
        <v>5.45</v>
      </c>
      <c r="G1257" s="538">
        <v>0</v>
      </c>
      <c r="H1257" s="538">
        <v>3.2</v>
      </c>
      <c r="I1257" s="542">
        <f>ROUND(IF(AND(F1257:H1257),C1257*E1257*F1257*G1257*H1257,IF(AND(F1257,G1257),C1257*E1257*F1257*G1257,IF(AND(F1257,H1257),C1257*E1257*F1257*H1257,IF(AND(G1257,H1257),C1257*E1257*G1257*H1257,IF(F1257,C1257*E1257*F1257,IF(G1257,C1257*E1257*G1257,IF(H1257,C1257*E1257*H1257,C1257*E1257))))))),2)</f>
        <v>17.440000000000001</v>
      </c>
      <c r="J1257" s="550" t="s">
        <v>102</v>
      </c>
      <c r="K1257" s="39"/>
      <c r="L1257" s="208"/>
      <c r="M1257" s="39"/>
      <c r="N1257" s="533" t="s">
        <v>2297</v>
      </c>
    </row>
    <row r="1258" spans="1:14" s="541" customFormat="1" ht="16.5" customHeight="1">
      <c r="A1258" s="16"/>
      <c r="B1258" s="544"/>
      <c r="C1258" s="545"/>
      <c r="D1258" s="546"/>
      <c r="E1258" s="582"/>
      <c r="F1258" s="548"/>
      <c r="G1258" s="548"/>
      <c r="H1258" s="548"/>
      <c r="I1258" s="549"/>
      <c r="J1258" s="550"/>
      <c r="K1258" s="39"/>
      <c r="L1258" s="208"/>
      <c r="M1258" s="39"/>
      <c r="N1258" s="533" t="s">
        <v>2297</v>
      </c>
    </row>
    <row r="1259" spans="1:14" ht="15.75">
      <c r="A1259" s="16"/>
      <c r="B1259" s="39"/>
      <c r="C1259" s="551"/>
      <c r="D1259" s="552"/>
      <c r="E1259" s="537"/>
      <c r="F1259" s="538"/>
      <c r="G1259" s="40"/>
      <c r="H1259" s="16"/>
      <c r="I1259" s="549"/>
      <c r="J1259" s="550" t="s">
        <v>102</v>
      </c>
      <c r="K1259" s="10">
        <f>data!F1713</f>
        <v>22.88</v>
      </c>
      <c r="L1259" s="208" t="s">
        <v>2297</v>
      </c>
      <c r="M1259" s="9">
        <f>ROUND(I1259*K1259,0)</f>
        <v>0</v>
      </c>
      <c r="N1259" s="533" t="s">
        <v>2297</v>
      </c>
    </row>
    <row r="1260" spans="1:14" ht="66" customHeight="1">
      <c r="A1260" s="16">
        <v>26</v>
      </c>
      <c r="B1260" s="1633" t="s">
        <v>1192</v>
      </c>
      <c r="C1260" s="1633"/>
      <c r="D1260" s="1633"/>
      <c r="E1260" s="1633"/>
      <c r="F1260" s="1633"/>
      <c r="G1260" s="1633"/>
      <c r="H1260" s="1633"/>
      <c r="I1260" s="534"/>
      <c r="J1260" s="535"/>
      <c r="K1260" s="16"/>
      <c r="L1260" s="208"/>
      <c r="M1260" s="38"/>
      <c r="N1260" s="533" t="s">
        <v>2308</v>
      </c>
    </row>
    <row r="1261" spans="1:14" s="541" customFormat="1" ht="16.5" customHeight="1">
      <c r="A1261" s="16"/>
      <c r="B1261" s="39" t="s">
        <v>2821</v>
      </c>
      <c r="C1261" s="563"/>
      <c r="D1261" s="564"/>
      <c r="E1261" s="565"/>
      <c r="F1261" s="566"/>
      <c r="G1261" s="566"/>
      <c r="H1261" s="567"/>
      <c r="I1261" s="568"/>
      <c r="J1261" s="550"/>
      <c r="K1261" s="39"/>
      <c r="L1261" s="208"/>
      <c r="M1261" s="39"/>
      <c r="N1261" s="533" t="s">
        <v>2308</v>
      </c>
    </row>
    <row r="1262" spans="1:14" s="541" customFormat="1" ht="16.5" customHeight="1">
      <c r="A1262" s="16"/>
      <c r="B1262" s="39" t="s">
        <v>799</v>
      </c>
      <c r="C1262" s="534">
        <v>1</v>
      </c>
      <c r="D1262" s="536" t="s">
        <v>273</v>
      </c>
      <c r="E1262" s="537">
        <v>1</v>
      </c>
      <c r="F1262" s="538">
        <v>8.5</v>
      </c>
      <c r="G1262" s="538">
        <v>4.95</v>
      </c>
      <c r="H1262" s="538">
        <v>0</v>
      </c>
      <c r="I1262" s="542">
        <f>ROUND(IF(AND(F1262:H1262),C1262*E1262*F1262*G1262*H1262,IF(AND(F1262,G1262),C1262*E1262*F1262*G1262,IF(AND(F1262,H1262),C1262*E1262*F1262*H1262,IF(AND(G1262,H1262),C1262*E1262*G1262*H1262,IF(F1262,C1262*E1262*F1262,IF(G1262,C1262*E1262*G1262,IF(H1262,C1262*E1262*H1262,C1262*E1262))))))),2)</f>
        <v>42.08</v>
      </c>
      <c r="J1262" s="550" t="s">
        <v>102</v>
      </c>
      <c r="K1262" s="39"/>
      <c r="L1262" s="208"/>
      <c r="M1262" s="39"/>
      <c r="N1262" s="533" t="s">
        <v>2308</v>
      </c>
    </row>
    <row r="1263" spans="1:14" s="541" customFormat="1" ht="16.5" customHeight="1">
      <c r="A1263" s="16"/>
      <c r="B1263" s="39" t="s">
        <v>813</v>
      </c>
      <c r="C1263" s="534">
        <v>1</v>
      </c>
      <c r="D1263" s="536" t="s">
        <v>273</v>
      </c>
      <c r="E1263" s="537">
        <v>1</v>
      </c>
      <c r="F1263" s="538">
        <v>5.5</v>
      </c>
      <c r="G1263" s="538">
        <v>2.4</v>
      </c>
      <c r="H1263" s="538">
        <v>0</v>
      </c>
      <c r="I1263" s="542">
        <f>ROUND(IF(AND(F1263:H1263),C1263*E1263*F1263*G1263*H1263,IF(AND(F1263,G1263),C1263*E1263*F1263*G1263,IF(AND(F1263,H1263),C1263*E1263*F1263*H1263,IF(AND(G1263,H1263),C1263*E1263*G1263*H1263,IF(F1263,C1263*E1263*F1263,IF(G1263,C1263*E1263*G1263,IF(H1263,C1263*E1263*H1263,C1263*E1263))))))),2)</f>
        <v>13.2</v>
      </c>
      <c r="J1263" s="550" t="s">
        <v>102</v>
      </c>
      <c r="K1263" s="39"/>
      <c r="L1263" s="208"/>
      <c r="M1263" s="39"/>
      <c r="N1263" s="533" t="s">
        <v>2308</v>
      </c>
    </row>
    <row r="1264" spans="1:14" s="541" customFormat="1" ht="16.5" customHeight="1">
      <c r="A1264" s="16"/>
      <c r="B1264" s="39" t="s">
        <v>814</v>
      </c>
      <c r="C1264" s="534">
        <v>1</v>
      </c>
      <c r="D1264" s="536" t="s">
        <v>273</v>
      </c>
      <c r="E1264" s="537">
        <v>1</v>
      </c>
      <c r="F1264" s="538">
        <v>8.85</v>
      </c>
      <c r="G1264" s="538">
        <v>0</v>
      </c>
      <c r="H1264" s="538">
        <v>3.6</v>
      </c>
      <c r="I1264" s="542">
        <f>ROUND(IF(AND(F1264:H1264),C1264*E1264*F1264*G1264*H1264,IF(AND(F1264,G1264),C1264*E1264*F1264*G1264,IF(AND(F1264,H1264),C1264*E1264*F1264*H1264,IF(AND(G1264,H1264),C1264*E1264*G1264*H1264,IF(F1264,C1264*E1264*F1264,IF(G1264,C1264*E1264*G1264,IF(H1264,C1264*E1264*H1264,C1264*E1264))))))),2)</f>
        <v>31.86</v>
      </c>
      <c r="J1264" s="550" t="s">
        <v>102</v>
      </c>
      <c r="K1264" s="39"/>
      <c r="L1264" s="208"/>
      <c r="M1264" s="39"/>
      <c r="N1264" s="533" t="s">
        <v>2308</v>
      </c>
    </row>
    <row r="1265" spans="1:14" s="541" customFormat="1" ht="16.5" customHeight="1">
      <c r="A1265" s="16"/>
      <c r="B1265" s="39" t="s">
        <v>817</v>
      </c>
      <c r="C1265" s="534">
        <v>1</v>
      </c>
      <c r="D1265" s="536" t="s">
        <v>273</v>
      </c>
      <c r="E1265" s="537">
        <v>1</v>
      </c>
      <c r="F1265" s="538">
        <v>6.25</v>
      </c>
      <c r="G1265" s="538">
        <v>0</v>
      </c>
      <c r="H1265" s="538">
        <v>3.6</v>
      </c>
      <c r="I1265" s="542">
        <f>ROUND(IF(AND(F1265:H1265),C1265*E1265*F1265*G1265*H1265,IF(AND(F1265,G1265),C1265*E1265*F1265*G1265,IF(AND(F1265,H1265),C1265*E1265*F1265*H1265,IF(AND(G1265,H1265),C1265*E1265*G1265*H1265,IF(F1265,C1265*E1265*F1265,IF(G1265,C1265*E1265*G1265,IF(H1265,C1265*E1265*H1265,C1265*E1265))))))),2)</f>
        <v>22.5</v>
      </c>
      <c r="J1265" s="550" t="s">
        <v>102</v>
      </c>
      <c r="K1265" s="39"/>
      <c r="L1265" s="208"/>
      <c r="M1265" s="39"/>
      <c r="N1265" s="533" t="s">
        <v>2308</v>
      </c>
    </row>
    <row r="1266" spans="1:14" s="541" customFormat="1" ht="16.5" customHeight="1">
      <c r="A1266" s="16"/>
      <c r="B1266" s="39" t="s">
        <v>816</v>
      </c>
      <c r="C1266" s="534">
        <v>1</v>
      </c>
      <c r="D1266" s="536" t="s">
        <v>273</v>
      </c>
      <c r="E1266" s="537">
        <v>1</v>
      </c>
      <c r="F1266" s="538">
        <v>5.45</v>
      </c>
      <c r="G1266" s="538">
        <v>0</v>
      </c>
      <c r="H1266" s="538">
        <v>3.2</v>
      </c>
      <c r="I1266" s="542">
        <f>ROUND(IF(AND(F1266:H1266),C1266*E1266*F1266*G1266*H1266,IF(AND(F1266,G1266),C1266*E1266*F1266*G1266,IF(AND(F1266,H1266),C1266*E1266*F1266*H1266,IF(AND(G1266,H1266),C1266*E1266*G1266*H1266,IF(F1266,C1266*E1266*F1266,IF(G1266,C1266*E1266*G1266,IF(H1266,C1266*E1266*H1266,C1266*E1266))))))),2)</f>
        <v>17.440000000000001</v>
      </c>
      <c r="J1266" s="550" t="s">
        <v>102</v>
      </c>
      <c r="K1266" s="39"/>
      <c r="L1266" s="208"/>
      <c r="M1266" s="39"/>
      <c r="N1266" s="533" t="s">
        <v>2308</v>
      </c>
    </row>
    <row r="1267" spans="1:14" s="541" customFormat="1" ht="16.5" customHeight="1">
      <c r="A1267" s="16"/>
      <c r="B1267" s="544"/>
      <c r="C1267" s="545"/>
      <c r="D1267" s="546"/>
      <c r="E1267" s="582"/>
      <c r="F1267" s="548"/>
      <c r="G1267" s="548"/>
      <c r="H1267" s="548"/>
      <c r="I1267" s="549"/>
      <c r="J1267" s="550"/>
      <c r="K1267" s="39"/>
      <c r="L1267" s="208"/>
      <c r="M1267" s="39"/>
      <c r="N1267" s="533" t="s">
        <v>2308</v>
      </c>
    </row>
    <row r="1268" spans="1:14" ht="15.75">
      <c r="A1268" s="16"/>
      <c r="B1268" s="39"/>
      <c r="C1268" s="551"/>
      <c r="D1268" s="552"/>
      <c r="E1268" s="537"/>
      <c r="F1268" s="538"/>
      <c r="G1268" s="40"/>
      <c r="H1268" s="16"/>
      <c r="I1268" s="549"/>
      <c r="J1268" s="550" t="s">
        <v>102</v>
      </c>
      <c r="K1268" s="10">
        <f>data!F2630</f>
        <v>24.15</v>
      </c>
      <c r="L1268" s="208" t="s">
        <v>2308</v>
      </c>
      <c r="M1268" s="9">
        <f>ROUND(I1268*K1268,0)</f>
        <v>0</v>
      </c>
      <c r="N1268" s="533" t="s">
        <v>2308</v>
      </c>
    </row>
    <row r="1269" spans="1:14" ht="66" customHeight="1">
      <c r="A1269" s="16">
        <v>26</v>
      </c>
      <c r="B1269" s="1633" t="s">
        <v>1192</v>
      </c>
      <c r="C1269" s="1633"/>
      <c r="D1269" s="1633"/>
      <c r="E1269" s="1633"/>
      <c r="F1269" s="1633"/>
      <c r="G1269" s="1633"/>
      <c r="H1269" s="1633"/>
      <c r="I1269" s="534"/>
      <c r="J1269" s="535"/>
      <c r="K1269" s="16"/>
      <c r="L1269" s="208"/>
      <c r="M1269" s="38"/>
      <c r="N1269" s="533" t="s">
        <v>2309</v>
      </c>
    </row>
    <row r="1270" spans="1:14" s="541" customFormat="1" ht="16.5" customHeight="1">
      <c r="A1270" s="16"/>
      <c r="B1270" s="39" t="s">
        <v>2821</v>
      </c>
      <c r="C1270" s="563"/>
      <c r="D1270" s="564"/>
      <c r="E1270" s="565"/>
      <c r="F1270" s="566"/>
      <c r="G1270" s="566"/>
      <c r="H1270" s="567"/>
      <c r="I1270" s="568"/>
      <c r="J1270" s="550"/>
      <c r="K1270" s="39"/>
      <c r="L1270" s="208"/>
      <c r="M1270" s="39"/>
      <c r="N1270" s="533" t="s">
        <v>2309</v>
      </c>
    </row>
    <row r="1271" spans="1:14" s="541" customFormat="1" ht="16.5" customHeight="1">
      <c r="A1271" s="16"/>
      <c r="B1271" s="39" t="s">
        <v>799</v>
      </c>
      <c r="C1271" s="534">
        <v>1</v>
      </c>
      <c r="D1271" s="536" t="s">
        <v>273</v>
      </c>
      <c r="E1271" s="537">
        <v>1</v>
      </c>
      <c r="F1271" s="538">
        <v>8.5</v>
      </c>
      <c r="G1271" s="538">
        <v>4.95</v>
      </c>
      <c r="H1271" s="538">
        <v>0</v>
      </c>
      <c r="I1271" s="542">
        <f>ROUND(IF(AND(F1271:H1271),C1271*E1271*F1271*G1271*H1271,IF(AND(F1271,G1271),C1271*E1271*F1271*G1271,IF(AND(F1271,H1271),C1271*E1271*F1271*H1271,IF(AND(G1271,H1271),C1271*E1271*G1271*H1271,IF(F1271,C1271*E1271*F1271,IF(G1271,C1271*E1271*G1271,IF(H1271,C1271*E1271*H1271,C1271*E1271))))))),2)</f>
        <v>42.08</v>
      </c>
      <c r="J1271" s="550" t="s">
        <v>102</v>
      </c>
      <c r="K1271" s="39"/>
      <c r="L1271" s="208"/>
      <c r="M1271" s="39"/>
      <c r="N1271" s="533" t="s">
        <v>2309</v>
      </c>
    </row>
    <row r="1272" spans="1:14" s="541" customFormat="1" ht="16.5" customHeight="1">
      <c r="A1272" s="16"/>
      <c r="B1272" s="39" t="s">
        <v>813</v>
      </c>
      <c r="C1272" s="534">
        <v>1</v>
      </c>
      <c r="D1272" s="536" t="s">
        <v>273</v>
      </c>
      <c r="E1272" s="537">
        <v>1</v>
      </c>
      <c r="F1272" s="538">
        <v>5.5</v>
      </c>
      <c r="G1272" s="538">
        <v>2.4</v>
      </c>
      <c r="H1272" s="538">
        <v>0</v>
      </c>
      <c r="I1272" s="542">
        <f>ROUND(IF(AND(F1272:H1272),C1272*E1272*F1272*G1272*H1272,IF(AND(F1272,G1272),C1272*E1272*F1272*G1272,IF(AND(F1272,H1272),C1272*E1272*F1272*H1272,IF(AND(G1272,H1272),C1272*E1272*G1272*H1272,IF(F1272,C1272*E1272*F1272,IF(G1272,C1272*E1272*G1272,IF(H1272,C1272*E1272*H1272,C1272*E1272))))))),2)</f>
        <v>13.2</v>
      </c>
      <c r="J1272" s="550" t="s">
        <v>102</v>
      </c>
      <c r="K1272" s="39"/>
      <c r="L1272" s="208"/>
      <c r="M1272" s="39"/>
      <c r="N1272" s="533" t="s">
        <v>2309</v>
      </c>
    </row>
    <row r="1273" spans="1:14" s="541" customFormat="1" ht="16.5" customHeight="1">
      <c r="A1273" s="16"/>
      <c r="B1273" s="39" t="s">
        <v>814</v>
      </c>
      <c r="C1273" s="534">
        <v>1</v>
      </c>
      <c r="D1273" s="536" t="s">
        <v>273</v>
      </c>
      <c r="E1273" s="537">
        <v>1</v>
      </c>
      <c r="F1273" s="538">
        <v>8.85</v>
      </c>
      <c r="G1273" s="538">
        <v>0</v>
      </c>
      <c r="H1273" s="538">
        <v>3.6</v>
      </c>
      <c r="I1273" s="542">
        <f>ROUND(IF(AND(F1273:H1273),C1273*E1273*F1273*G1273*H1273,IF(AND(F1273,G1273),C1273*E1273*F1273*G1273,IF(AND(F1273,H1273),C1273*E1273*F1273*H1273,IF(AND(G1273,H1273),C1273*E1273*G1273*H1273,IF(F1273,C1273*E1273*F1273,IF(G1273,C1273*E1273*G1273,IF(H1273,C1273*E1273*H1273,C1273*E1273))))))),2)</f>
        <v>31.86</v>
      </c>
      <c r="J1273" s="550" t="s">
        <v>102</v>
      </c>
      <c r="K1273" s="39"/>
      <c r="L1273" s="208"/>
      <c r="M1273" s="39"/>
      <c r="N1273" s="533" t="s">
        <v>2309</v>
      </c>
    </row>
    <row r="1274" spans="1:14" s="541" customFormat="1" ht="16.5" customHeight="1">
      <c r="A1274" s="16"/>
      <c r="B1274" s="39" t="s">
        <v>817</v>
      </c>
      <c r="C1274" s="534">
        <v>1</v>
      </c>
      <c r="D1274" s="536" t="s">
        <v>273</v>
      </c>
      <c r="E1274" s="537">
        <v>1</v>
      </c>
      <c r="F1274" s="538">
        <v>6.25</v>
      </c>
      <c r="G1274" s="538">
        <v>0</v>
      </c>
      <c r="H1274" s="538">
        <v>3.6</v>
      </c>
      <c r="I1274" s="542">
        <f>ROUND(IF(AND(F1274:H1274),C1274*E1274*F1274*G1274*H1274,IF(AND(F1274,G1274),C1274*E1274*F1274*G1274,IF(AND(F1274,H1274),C1274*E1274*F1274*H1274,IF(AND(G1274,H1274),C1274*E1274*G1274*H1274,IF(F1274,C1274*E1274*F1274,IF(G1274,C1274*E1274*G1274,IF(H1274,C1274*E1274*H1274,C1274*E1274))))))),2)</f>
        <v>22.5</v>
      </c>
      <c r="J1274" s="550" t="s">
        <v>102</v>
      </c>
      <c r="K1274" s="39"/>
      <c r="L1274" s="208"/>
      <c r="M1274" s="39"/>
      <c r="N1274" s="533" t="s">
        <v>2309</v>
      </c>
    </row>
    <row r="1275" spans="1:14" s="541" customFormat="1" ht="16.5" customHeight="1">
      <c r="A1275" s="16"/>
      <c r="B1275" s="39" t="s">
        <v>816</v>
      </c>
      <c r="C1275" s="534">
        <v>1</v>
      </c>
      <c r="D1275" s="536" t="s">
        <v>273</v>
      </c>
      <c r="E1275" s="537">
        <v>1</v>
      </c>
      <c r="F1275" s="538">
        <v>5.45</v>
      </c>
      <c r="G1275" s="538">
        <v>0</v>
      </c>
      <c r="H1275" s="538">
        <v>3.2</v>
      </c>
      <c r="I1275" s="542">
        <f>ROUND(IF(AND(F1275:H1275),C1275*E1275*F1275*G1275*H1275,IF(AND(F1275,G1275),C1275*E1275*F1275*G1275,IF(AND(F1275,H1275),C1275*E1275*F1275*H1275,IF(AND(G1275,H1275),C1275*E1275*G1275*H1275,IF(F1275,C1275*E1275*F1275,IF(G1275,C1275*E1275*G1275,IF(H1275,C1275*E1275*H1275,C1275*E1275))))))),2)</f>
        <v>17.440000000000001</v>
      </c>
      <c r="J1275" s="550" t="s">
        <v>102</v>
      </c>
      <c r="K1275" s="39"/>
      <c r="L1275" s="208"/>
      <c r="M1275" s="39"/>
      <c r="N1275" s="533" t="s">
        <v>2309</v>
      </c>
    </row>
    <row r="1276" spans="1:14" s="541" customFormat="1" ht="16.5" customHeight="1">
      <c r="A1276" s="16"/>
      <c r="B1276" s="544"/>
      <c r="C1276" s="545"/>
      <c r="D1276" s="546"/>
      <c r="E1276" s="582"/>
      <c r="F1276" s="548"/>
      <c r="G1276" s="548"/>
      <c r="H1276" s="548"/>
      <c r="I1276" s="549"/>
      <c r="J1276" s="550"/>
      <c r="K1276" s="39"/>
      <c r="L1276" s="208"/>
      <c r="M1276" s="39"/>
      <c r="N1276" s="533" t="s">
        <v>2309</v>
      </c>
    </row>
    <row r="1277" spans="1:14" ht="15.75">
      <c r="A1277" s="16"/>
      <c r="B1277" s="39"/>
      <c r="C1277" s="551"/>
      <c r="D1277" s="552"/>
      <c r="E1277" s="537"/>
      <c r="F1277" s="538"/>
      <c r="G1277" s="40"/>
      <c r="H1277" s="16"/>
      <c r="I1277" s="549"/>
      <c r="J1277" s="550" t="s">
        <v>102</v>
      </c>
      <c r="K1277" s="10">
        <f>data!F3547</f>
        <v>25.98</v>
      </c>
      <c r="L1277" s="208" t="s">
        <v>2309</v>
      </c>
      <c r="M1277" s="9">
        <f>ROUND(I1277*K1277,0)</f>
        <v>0</v>
      </c>
      <c r="N1277" s="533" t="s">
        <v>2309</v>
      </c>
    </row>
    <row r="1278" spans="1:14" ht="117.75" customHeight="1">
      <c r="A1278" s="16">
        <v>14</v>
      </c>
      <c r="B1278" s="1633" t="s">
        <v>891</v>
      </c>
      <c r="C1278" s="1633"/>
      <c r="D1278" s="1633"/>
      <c r="E1278" s="1633"/>
      <c r="F1278" s="1633"/>
      <c r="G1278" s="1633"/>
      <c r="H1278" s="1633"/>
      <c r="I1278" s="534"/>
      <c r="J1278" s="535"/>
      <c r="K1278" s="16"/>
      <c r="L1278" s="208"/>
      <c r="M1278" s="38"/>
      <c r="N1278" s="533" t="s">
        <v>2209</v>
      </c>
    </row>
    <row r="1279" spans="1:14" s="541" customFormat="1" ht="16.5" customHeight="1">
      <c r="A1279" s="16"/>
      <c r="B1279" s="39" t="s">
        <v>3033</v>
      </c>
      <c r="C1279" s="534"/>
      <c r="D1279" s="858" t="s">
        <v>3252</v>
      </c>
      <c r="E1279" s="537"/>
      <c r="F1279" s="538"/>
      <c r="G1279" s="538"/>
      <c r="H1279" s="538"/>
      <c r="I1279" s="539"/>
      <c r="J1279" s="550"/>
      <c r="K1279" s="39"/>
      <c r="L1279" s="208"/>
      <c r="M1279" s="39"/>
      <c r="N1279" s="533" t="s">
        <v>2209</v>
      </c>
    </row>
    <row r="1280" spans="1:14" s="541" customFormat="1" ht="16.5" customHeight="1">
      <c r="A1280" s="16"/>
      <c r="B1280" s="39" t="s">
        <v>2356</v>
      </c>
      <c r="C1280" s="534">
        <v>1</v>
      </c>
      <c r="D1280" s="536" t="s">
        <v>273</v>
      </c>
      <c r="E1280" s="537">
        <v>1</v>
      </c>
      <c r="F1280" s="538">
        <v>3.35</v>
      </c>
      <c r="G1280" s="538">
        <v>2.4900000000000002</v>
      </c>
      <c r="H1280" s="538">
        <v>0</v>
      </c>
      <c r="I1280" s="542">
        <f t="shared" ref="I1280:I1286" si="117">ROUND(IF(AND(F1280:H1280),C1280*E1280*F1280*G1280*H1280,IF(AND(F1280,G1280),C1280*E1280*F1280*G1280,IF(AND(F1280,H1280),C1280*E1280*F1280*H1280,IF(AND(G1280,H1280),C1280*E1280*G1280*H1280,IF(F1280,C1280*E1280*F1280,IF(G1280,C1280*E1280*G1280,IF(H1280,C1280*E1280*H1280,C1280*E1280))))))),2)</f>
        <v>8.34</v>
      </c>
      <c r="J1280" s="550" t="s">
        <v>102</v>
      </c>
      <c r="K1280" s="39"/>
      <c r="L1280" s="208"/>
      <c r="M1280" s="39"/>
      <c r="N1280" s="533" t="s">
        <v>2209</v>
      </c>
    </row>
    <row r="1281" spans="1:14" s="541" customFormat="1" ht="16.5" customHeight="1">
      <c r="A1281" s="16"/>
      <c r="B1281" s="39" t="s">
        <v>1620</v>
      </c>
      <c r="C1281" s="534">
        <v>1</v>
      </c>
      <c r="D1281" s="536" t="s">
        <v>273</v>
      </c>
      <c r="E1281" s="537">
        <v>1</v>
      </c>
      <c r="F1281" s="538">
        <v>3.35</v>
      </c>
      <c r="G1281" s="538">
        <v>2.88</v>
      </c>
      <c r="H1281" s="538">
        <v>0</v>
      </c>
      <c r="I1281" s="542">
        <f t="shared" si="117"/>
        <v>9.65</v>
      </c>
      <c r="J1281" s="550" t="s">
        <v>102</v>
      </c>
      <c r="K1281" s="39"/>
      <c r="L1281" s="208"/>
      <c r="M1281" s="39"/>
      <c r="N1281" s="533" t="s">
        <v>2209</v>
      </c>
    </row>
    <row r="1282" spans="1:14" s="541" customFormat="1" ht="16.5" customHeight="1">
      <c r="A1282" s="16"/>
      <c r="B1282" s="39" t="s">
        <v>587</v>
      </c>
      <c r="C1282" s="534">
        <v>1</v>
      </c>
      <c r="D1282" s="536" t="s">
        <v>273</v>
      </c>
      <c r="E1282" s="537">
        <v>1</v>
      </c>
      <c r="F1282" s="538">
        <v>3.35</v>
      </c>
      <c r="G1282" s="538">
        <v>3.12</v>
      </c>
      <c r="H1282" s="538">
        <v>0</v>
      </c>
      <c r="I1282" s="542">
        <f t="shared" si="117"/>
        <v>10.45</v>
      </c>
      <c r="J1282" s="550" t="s">
        <v>102</v>
      </c>
      <c r="K1282" s="39"/>
      <c r="L1282" s="208"/>
      <c r="M1282" s="39"/>
      <c r="N1282" s="533" t="s">
        <v>2209</v>
      </c>
    </row>
    <row r="1283" spans="1:14" s="541" customFormat="1" ht="16.5" customHeight="1">
      <c r="A1283" s="16"/>
      <c r="B1283" s="39" t="s">
        <v>2930</v>
      </c>
      <c r="C1283" s="534">
        <v>1</v>
      </c>
      <c r="D1283" s="536" t="s">
        <v>273</v>
      </c>
      <c r="E1283" s="537">
        <v>1</v>
      </c>
      <c r="F1283" s="538">
        <v>11.93</v>
      </c>
      <c r="G1283" s="538">
        <v>1.8</v>
      </c>
      <c r="H1283" s="538">
        <v>0</v>
      </c>
      <c r="I1283" s="542">
        <f t="shared" si="117"/>
        <v>21.47</v>
      </c>
      <c r="J1283" s="550" t="s">
        <v>102</v>
      </c>
      <c r="K1283" s="39"/>
      <c r="L1283" s="208"/>
      <c r="M1283" s="39"/>
      <c r="N1283" s="533" t="s">
        <v>2209</v>
      </c>
    </row>
    <row r="1284" spans="1:14" s="541" customFormat="1" ht="16.5" customHeight="1">
      <c r="A1284" s="16"/>
      <c r="B1284" s="39" t="s">
        <v>3093</v>
      </c>
      <c r="C1284" s="534">
        <v>1</v>
      </c>
      <c r="D1284" s="536" t="s">
        <v>273</v>
      </c>
      <c r="E1284" s="537">
        <v>1</v>
      </c>
      <c r="F1284" s="538">
        <v>4.9800000000000004</v>
      </c>
      <c r="G1284" s="538">
        <v>8.6</v>
      </c>
      <c r="H1284" s="538">
        <v>0</v>
      </c>
      <c r="I1284" s="542">
        <f t="shared" si="117"/>
        <v>42.83</v>
      </c>
      <c r="J1284" s="550" t="s">
        <v>102</v>
      </c>
      <c r="K1284" s="39"/>
      <c r="L1284" s="208"/>
      <c r="M1284" s="39"/>
      <c r="N1284" s="533" t="s">
        <v>2209</v>
      </c>
    </row>
    <row r="1285" spans="1:14" s="541" customFormat="1" ht="16.5" customHeight="1">
      <c r="A1285" s="16"/>
      <c r="B1285" s="39" t="s">
        <v>3079</v>
      </c>
      <c r="C1285" s="534">
        <v>2</v>
      </c>
      <c r="D1285" s="536" t="s">
        <v>273</v>
      </c>
      <c r="E1285" s="537">
        <v>2</v>
      </c>
      <c r="F1285" s="538">
        <v>1.8</v>
      </c>
      <c r="G1285" s="538">
        <v>0</v>
      </c>
      <c r="H1285" s="538">
        <v>0.38</v>
      </c>
      <c r="I1285" s="542">
        <f t="shared" si="117"/>
        <v>2.74</v>
      </c>
      <c r="J1285" s="550" t="s">
        <v>102</v>
      </c>
      <c r="K1285" s="39"/>
      <c r="L1285" s="208"/>
      <c r="M1285" s="39"/>
      <c r="N1285" s="533" t="s">
        <v>2209</v>
      </c>
    </row>
    <row r="1286" spans="1:14" s="541" customFormat="1" ht="16.5" customHeight="1">
      <c r="A1286" s="16"/>
      <c r="B1286" s="39" t="s">
        <v>3094</v>
      </c>
      <c r="C1286" s="534">
        <v>1</v>
      </c>
      <c r="D1286" s="536" t="s">
        <v>273</v>
      </c>
      <c r="E1286" s="537">
        <v>1</v>
      </c>
      <c r="F1286" s="538">
        <v>11.68</v>
      </c>
      <c r="G1286" s="538">
        <v>0</v>
      </c>
      <c r="H1286" s="538">
        <v>3.1</v>
      </c>
      <c r="I1286" s="542">
        <f t="shared" si="117"/>
        <v>36.21</v>
      </c>
      <c r="J1286" s="550" t="s">
        <v>102</v>
      </c>
      <c r="K1286" s="39"/>
      <c r="L1286" s="208"/>
      <c r="M1286" s="39"/>
      <c r="N1286" s="533" t="s">
        <v>2209</v>
      </c>
    </row>
    <row r="1287" spans="1:14" s="541" customFormat="1" ht="16.5" customHeight="1">
      <c r="A1287" s="16"/>
      <c r="B1287" s="39" t="s">
        <v>587</v>
      </c>
      <c r="C1287" s="534">
        <v>1</v>
      </c>
      <c r="D1287" s="536" t="s">
        <v>273</v>
      </c>
      <c r="E1287" s="537">
        <v>1</v>
      </c>
      <c r="F1287" s="538">
        <v>12.74</v>
      </c>
      <c r="G1287" s="538">
        <v>0</v>
      </c>
      <c r="H1287" s="538">
        <v>3.1</v>
      </c>
      <c r="I1287" s="542">
        <f>ROUND(IF(AND(F1287:H1287),C1287*E1287*F1287*G1287*H1287,IF(AND(F1287,G1287),C1287*E1287*F1287*G1287,IF(AND(F1287,H1287),C1287*E1287*F1287*H1287,IF(AND(G1287,H1287),C1287*E1287*G1287*H1287,IF(F1287,C1287*E1287*F1287,IF(G1287,C1287*E1287*G1287,IF(H1287,C1287*E1287*H1287,C1287*E1287))))))),2)</f>
        <v>39.49</v>
      </c>
      <c r="J1287" s="550" t="s">
        <v>102</v>
      </c>
      <c r="K1287" s="39"/>
      <c r="L1287" s="208"/>
      <c r="M1287" s="39"/>
      <c r="N1287" s="533" t="s">
        <v>2209</v>
      </c>
    </row>
    <row r="1288" spans="1:14" s="541" customFormat="1" ht="16.5" customHeight="1">
      <c r="A1288" s="16"/>
      <c r="B1288" s="39" t="s">
        <v>3095</v>
      </c>
      <c r="C1288" s="534">
        <v>1</v>
      </c>
      <c r="D1288" s="536" t="s">
        <v>273</v>
      </c>
      <c r="E1288" s="537">
        <v>1</v>
      </c>
      <c r="F1288" s="538">
        <v>12.26</v>
      </c>
      <c r="G1288" s="538">
        <v>0</v>
      </c>
      <c r="H1288" s="538">
        <v>3.1</v>
      </c>
      <c r="I1288" s="542">
        <f t="shared" ref="I1288:I1290" si="118">ROUND(IF(AND(F1288:H1288),C1288*E1288*F1288*G1288*H1288,IF(AND(F1288,G1288),C1288*E1288*F1288*G1288,IF(AND(F1288,H1288),C1288*E1288*F1288*H1288,IF(AND(G1288,H1288),C1288*E1288*G1288*H1288,IF(F1288,C1288*E1288*F1288,IF(G1288,C1288*E1288*G1288,IF(H1288,C1288*E1288*H1288,C1288*E1288))))))),2)</f>
        <v>38.01</v>
      </c>
      <c r="J1288" s="550" t="s">
        <v>102</v>
      </c>
      <c r="K1288" s="39"/>
      <c r="L1288" s="208"/>
      <c r="M1288" s="39"/>
      <c r="N1288" s="533" t="s">
        <v>2209</v>
      </c>
    </row>
    <row r="1289" spans="1:14" s="541" customFormat="1" ht="16.5" customHeight="1">
      <c r="A1289" s="16"/>
      <c r="B1289" s="39" t="s">
        <v>3082</v>
      </c>
      <c r="C1289" s="534">
        <v>1</v>
      </c>
      <c r="D1289" s="536" t="s">
        <v>273</v>
      </c>
      <c r="E1289" s="537">
        <v>1</v>
      </c>
      <c r="F1289" s="538">
        <v>11.93</v>
      </c>
      <c r="G1289" s="538">
        <v>0</v>
      </c>
      <c r="H1289" s="538">
        <v>3.1</v>
      </c>
      <c r="I1289" s="542">
        <f t="shared" si="118"/>
        <v>36.979999999999997</v>
      </c>
      <c r="J1289" s="550" t="s">
        <v>102</v>
      </c>
      <c r="K1289" s="39"/>
      <c r="L1289" s="208"/>
      <c r="M1289" s="39"/>
      <c r="N1289" s="533" t="s">
        <v>2209</v>
      </c>
    </row>
    <row r="1290" spans="1:14" s="541" customFormat="1" ht="16.5" customHeight="1">
      <c r="A1290" s="16"/>
      <c r="B1290" s="39"/>
      <c r="C1290" s="534">
        <v>1</v>
      </c>
      <c r="D1290" s="536" t="s">
        <v>273</v>
      </c>
      <c r="E1290" s="537">
        <v>1</v>
      </c>
      <c r="F1290" s="538">
        <v>9.42</v>
      </c>
      <c r="G1290" s="538">
        <v>0</v>
      </c>
      <c r="H1290" s="538">
        <v>3.1</v>
      </c>
      <c r="I1290" s="542">
        <f t="shared" si="118"/>
        <v>29.2</v>
      </c>
      <c r="J1290" s="550" t="s">
        <v>102</v>
      </c>
      <c r="K1290" s="39"/>
      <c r="L1290" s="208"/>
      <c r="M1290" s="39"/>
      <c r="N1290" s="533" t="s">
        <v>2209</v>
      </c>
    </row>
    <row r="1291" spans="1:14" s="541" customFormat="1" ht="16.5" customHeight="1">
      <c r="A1291" s="16"/>
      <c r="B1291" s="39" t="s">
        <v>223</v>
      </c>
      <c r="C1291" s="534">
        <v>1</v>
      </c>
      <c r="D1291" s="536" t="s">
        <v>273</v>
      </c>
      <c r="E1291" s="537">
        <v>1</v>
      </c>
      <c r="F1291" s="538">
        <v>22.92</v>
      </c>
      <c r="G1291" s="538">
        <v>0</v>
      </c>
      <c r="H1291" s="538">
        <v>3.1</v>
      </c>
      <c r="I1291" s="542">
        <f>ROUND(IF(AND(F1291:H1291),C1291*E1291*F1291*G1291*H1291,IF(AND(F1291,G1291),C1291*E1291*F1291*G1291,IF(AND(F1291,H1291),C1291*E1291*F1291*H1291,IF(AND(G1291,H1291),C1291*E1291*G1291*H1291,IF(F1291,C1291*E1291*F1291,IF(G1291,C1291*E1291*G1291,IF(H1291,C1291*E1291*H1291,C1291*E1291))))))),2)</f>
        <v>71.05</v>
      </c>
      <c r="J1291" s="550" t="s">
        <v>102</v>
      </c>
      <c r="K1291" s="39"/>
      <c r="L1291" s="208"/>
      <c r="M1291" s="39"/>
      <c r="N1291" s="533" t="s">
        <v>2209</v>
      </c>
    </row>
    <row r="1292" spans="1:14" s="541" customFormat="1" ht="16.5" customHeight="1">
      <c r="A1292" s="16"/>
      <c r="B1292" s="39" t="s">
        <v>3096</v>
      </c>
      <c r="C1292" s="534">
        <v>1</v>
      </c>
      <c r="D1292" s="536" t="s">
        <v>273</v>
      </c>
      <c r="E1292" s="537">
        <v>1</v>
      </c>
      <c r="F1292" s="538">
        <v>2.68</v>
      </c>
      <c r="G1292" s="538">
        <v>0</v>
      </c>
      <c r="H1292" s="538">
        <v>1.2</v>
      </c>
      <c r="I1292" s="542">
        <f>ROUND(IF(AND(F1292:H1292),C1292*E1292*F1292*G1292*H1292,IF(AND(F1292,G1292),C1292*E1292*F1292*G1292,IF(AND(F1292,H1292),C1292*E1292*F1292*H1292,IF(AND(G1292,H1292),C1292*E1292*G1292*H1292,IF(F1292,C1292*E1292*F1292,IF(G1292,C1292*E1292*G1292,IF(H1292,C1292*E1292*H1292,C1292*E1292))))))),2)</f>
        <v>3.22</v>
      </c>
      <c r="J1292" s="550" t="s">
        <v>102</v>
      </c>
      <c r="K1292" s="39"/>
      <c r="L1292" s="208"/>
      <c r="M1292" s="39"/>
      <c r="N1292" s="533" t="s">
        <v>2209</v>
      </c>
    </row>
    <row r="1293" spans="1:14" s="541" customFormat="1" ht="16.5" customHeight="1">
      <c r="A1293" s="16"/>
      <c r="B1293" s="39" t="s">
        <v>3097</v>
      </c>
      <c r="C1293" s="534">
        <v>1</v>
      </c>
      <c r="D1293" s="536" t="s">
        <v>273</v>
      </c>
      <c r="E1293" s="537">
        <v>1</v>
      </c>
      <c r="F1293" s="538">
        <v>0.85</v>
      </c>
      <c r="G1293" s="538">
        <v>0</v>
      </c>
      <c r="H1293" s="538">
        <v>1.2</v>
      </c>
      <c r="I1293" s="542">
        <f>ROUND(IF(AND(F1293:H1293),C1293*E1293*F1293*G1293*H1293,IF(AND(F1293,G1293),C1293*E1293*F1293*G1293,IF(AND(F1293,H1293),C1293*E1293*F1293*H1293,IF(AND(G1293,H1293),C1293*E1293*G1293*H1293,IF(F1293,C1293*E1293*F1293,IF(G1293,C1293*E1293*G1293,IF(H1293,C1293*E1293*H1293,C1293*E1293))))))),2)</f>
        <v>1.02</v>
      </c>
      <c r="J1293" s="550" t="s">
        <v>102</v>
      </c>
      <c r="K1293" s="39"/>
      <c r="L1293" s="208"/>
      <c r="M1293" s="39"/>
      <c r="N1293" s="533" t="s">
        <v>2209</v>
      </c>
    </row>
    <row r="1294" spans="1:14" s="541" customFormat="1" ht="16.5" customHeight="1">
      <c r="A1294" s="16"/>
      <c r="B1294" s="39" t="s">
        <v>2981</v>
      </c>
      <c r="C1294" s="534">
        <v>1</v>
      </c>
      <c r="D1294" s="536" t="s">
        <v>273</v>
      </c>
      <c r="E1294" s="537">
        <v>1</v>
      </c>
      <c r="F1294" s="538">
        <v>2.68</v>
      </c>
      <c r="G1294" s="538">
        <v>0</v>
      </c>
      <c r="H1294" s="538">
        <v>1.2</v>
      </c>
      <c r="I1294" s="542">
        <f>ROUND(IF(AND(F1294:H1294),C1294*E1294*F1294*G1294*H1294,IF(AND(F1294,G1294),C1294*E1294*F1294*G1294,IF(AND(F1294,H1294),C1294*E1294*F1294*H1294,IF(AND(G1294,H1294),C1294*E1294*G1294*H1294,IF(F1294,C1294*E1294*F1294,IF(G1294,C1294*E1294*G1294,IF(H1294,C1294*E1294*H1294,C1294*E1294))))))),2)</f>
        <v>3.22</v>
      </c>
      <c r="J1294" s="550" t="s">
        <v>102</v>
      </c>
      <c r="K1294" s="39"/>
      <c r="L1294" s="208"/>
      <c r="M1294" s="39"/>
      <c r="N1294" s="533" t="s">
        <v>2209</v>
      </c>
    </row>
    <row r="1295" spans="1:14" s="541" customFormat="1" ht="16.5" customHeight="1">
      <c r="A1295" s="16"/>
      <c r="B1295" s="39" t="s">
        <v>3097</v>
      </c>
      <c r="C1295" s="534">
        <v>1</v>
      </c>
      <c r="D1295" s="536" t="s">
        <v>273</v>
      </c>
      <c r="E1295" s="537">
        <v>2</v>
      </c>
      <c r="F1295" s="538">
        <v>0.85</v>
      </c>
      <c r="G1295" s="538">
        <v>0</v>
      </c>
      <c r="H1295" s="538">
        <v>1.2</v>
      </c>
      <c r="I1295" s="542">
        <f>ROUND(IF(AND(F1295:H1295),C1295*E1295*F1295*G1295*H1295,IF(AND(F1295,G1295),C1295*E1295*F1295*G1295,IF(AND(F1295,H1295),C1295*E1295*F1295*H1295,IF(AND(G1295,H1295),C1295*E1295*G1295*H1295,IF(F1295,C1295*E1295*F1295,IF(G1295,C1295*E1295*G1295,IF(H1295,C1295*E1295*H1295,C1295*E1295))))))),2)</f>
        <v>2.04</v>
      </c>
      <c r="J1295" s="550" t="s">
        <v>102</v>
      </c>
      <c r="K1295" s="39"/>
      <c r="L1295" s="208"/>
      <c r="M1295" s="39"/>
      <c r="N1295" s="533" t="s">
        <v>2209</v>
      </c>
    </row>
    <row r="1296" spans="1:14" s="541" customFormat="1" ht="16.5" customHeight="1">
      <c r="A1296" s="16"/>
      <c r="B1296" s="39" t="s">
        <v>1533</v>
      </c>
      <c r="C1296" s="534">
        <v>1</v>
      </c>
      <c r="D1296" s="536" t="s">
        <v>273</v>
      </c>
      <c r="E1296" s="537">
        <v>1</v>
      </c>
      <c r="F1296" s="538">
        <v>1.2</v>
      </c>
      <c r="G1296" s="538">
        <v>0</v>
      </c>
      <c r="H1296" s="538">
        <v>1.1000000000000001</v>
      </c>
      <c r="I1296" s="542">
        <f>-ROUND(IF(AND(F1296:H1296),C1296*E1296*F1296*G1296*H1296,IF(AND(F1296,G1296),C1296*E1296*F1296*G1296,IF(AND(F1296,H1296),C1296*E1296*F1296*H1296,IF(AND(G1296,H1296),C1296*E1296*G1296*H1296,IF(F1296,C1296*E1296*F1296,IF(G1296,C1296*E1296*G1296,IF(H1296,C1296*E1296*H1296,C1296*E1296))))))),2)</f>
        <v>-1.32</v>
      </c>
      <c r="J1296" s="550" t="s">
        <v>102</v>
      </c>
      <c r="K1296" s="39"/>
      <c r="L1296" s="208"/>
      <c r="M1296" s="39"/>
      <c r="N1296" s="533" t="s">
        <v>2209</v>
      </c>
    </row>
    <row r="1297" spans="1:14" s="541" customFormat="1" ht="16.5" customHeight="1">
      <c r="A1297" s="16"/>
      <c r="B1297" s="39" t="s">
        <v>579</v>
      </c>
      <c r="C1297" s="534">
        <v>1</v>
      </c>
      <c r="D1297" s="536" t="s">
        <v>273</v>
      </c>
      <c r="E1297" s="537">
        <v>2</v>
      </c>
      <c r="F1297" s="538">
        <v>1.2</v>
      </c>
      <c r="G1297" s="538">
        <v>0</v>
      </c>
      <c r="H1297" s="538">
        <v>2.1</v>
      </c>
      <c r="I1297" s="542">
        <f>-ROUND(IF(AND(F1297:H1297),C1297*E1297*F1297*G1297*H1297,IF(AND(F1297,G1297),C1297*E1297*F1297*G1297,IF(AND(F1297,H1297),C1297*E1297*F1297*H1297,IF(AND(G1297,H1297),C1297*E1297*G1297*H1297,IF(F1297,C1297*E1297*F1297,IF(G1297,C1297*E1297*G1297,IF(H1297,C1297*E1297*H1297,C1297*E1297))))))),2)</f>
        <v>-5.04</v>
      </c>
      <c r="J1297" s="550" t="s">
        <v>102</v>
      </c>
      <c r="K1297" s="39"/>
      <c r="L1297" s="208"/>
      <c r="M1297" s="39"/>
      <c r="N1297" s="533" t="s">
        <v>2209</v>
      </c>
    </row>
    <row r="1298" spans="1:14" s="541" customFormat="1" ht="16.5" customHeight="1">
      <c r="A1298" s="16"/>
      <c r="B1298" s="39" t="s">
        <v>579</v>
      </c>
      <c r="C1298" s="534">
        <v>2</v>
      </c>
      <c r="D1298" s="536" t="s">
        <v>273</v>
      </c>
      <c r="E1298" s="537">
        <v>4</v>
      </c>
      <c r="F1298" s="538">
        <v>1.05</v>
      </c>
      <c r="G1298" s="538">
        <v>0</v>
      </c>
      <c r="H1298" s="538">
        <v>2.1</v>
      </c>
      <c r="I1298" s="542">
        <f>-ROUND(IF(AND(F1298:H1298),C1298*E1298*F1298*G1298*H1298,IF(AND(F1298,G1298),C1298*E1298*F1298*G1298,IF(AND(F1298,H1298),C1298*E1298*F1298*H1298,IF(AND(G1298,H1298),C1298*E1298*G1298*H1298,IF(F1298,C1298*E1298*F1298,IF(G1298,C1298*E1298*G1298,IF(H1298,C1298*E1298*H1298,C1298*E1298))))))),2)</f>
        <v>-17.64</v>
      </c>
      <c r="J1298" s="550" t="s">
        <v>102</v>
      </c>
      <c r="K1298" s="39"/>
      <c r="L1298" s="208"/>
      <c r="M1298" s="39"/>
      <c r="N1298" s="533" t="s">
        <v>2209</v>
      </c>
    </row>
    <row r="1299" spans="1:14" s="541" customFormat="1" ht="16.5" customHeight="1">
      <c r="A1299" s="16"/>
      <c r="B1299" s="39" t="s">
        <v>2354</v>
      </c>
      <c r="C1299" s="534">
        <v>1</v>
      </c>
      <c r="D1299" s="536" t="s">
        <v>273</v>
      </c>
      <c r="E1299" s="537">
        <v>7</v>
      </c>
      <c r="F1299" s="538">
        <v>1.5</v>
      </c>
      <c r="G1299" s="538">
        <v>0</v>
      </c>
      <c r="H1299" s="538">
        <v>1.35</v>
      </c>
      <c r="I1299" s="542">
        <f>-ROUND(IF(AND(F1299:H1299),C1299*E1299*F1299*G1299*H1299,IF(AND(F1299,G1299),C1299*E1299*F1299*G1299,IF(AND(F1299,H1299),C1299*E1299*F1299*H1299,IF(AND(G1299,H1299),C1299*E1299*G1299*H1299,IF(F1299,C1299*E1299*F1299,IF(G1299,C1299*E1299*G1299,IF(H1299,C1299*E1299*H1299,C1299*E1299))))))),2)</f>
        <v>-14.18</v>
      </c>
      <c r="J1299" s="550" t="s">
        <v>102</v>
      </c>
      <c r="K1299" s="39"/>
      <c r="L1299" s="208"/>
      <c r="M1299" s="39"/>
      <c r="N1299" s="533" t="s">
        <v>2209</v>
      </c>
    </row>
    <row r="1300" spans="1:14" s="541" customFormat="1" ht="16.5" customHeight="1">
      <c r="A1300" s="16"/>
      <c r="B1300" s="39" t="s">
        <v>2134</v>
      </c>
      <c r="C1300" s="534">
        <v>1</v>
      </c>
      <c r="D1300" s="536" t="s">
        <v>273</v>
      </c>
      <c r="E1300" s="537">
        <v>12</v>
      </c>
      <c r="F1300" s="538">
        <v>0.6</v>
      </c>
      <c r="G1300" s="538">
        <v>0</v>
      </c>
      <c r="H1300" s="538">
        <v>0.3</v>
      </c>
      <c r="I1300" s="542">
        <f>-ROUND(IF(AND(F1300:H1300),C1300*E1300*F1300*G1300*H1300,IF(AND(F1300,G1300),C1300*E1300*F1300*G1300,IF(AND(F1300,H1300),C1300*E1300*F1300*H1300,IF(AND(G1300,H1300),C1300*E1300*G1300*H1300,IF(F1300,C1300*E1300*F1300,IF(G1300,C1300*E1300*G1300,IF(H1300,C1300*E1300*H1300,C1300*E1300))))))),2)</f>
        <v>-2.16</v>
      </c>
      <c r="J1300" s="550" t="s">
        <v>102</v>
      </c>
      <c r="K1300" s="39"/>
      <c r="L1300" s="208"/>
      <c r="M1300" s="39"/>
      <c r="N1300" s="533" t="s">
        <v>2209</v>
      </c>
    </row>
    <row r="1301" spans="1:14" s="541" customFormat="1" ht="16.5" customHeight="1">
      <c r="A1301" s="16"/>
      <c r="B1301" s="544"/>
      <c r="C1301" s="545"/>
      <c r="D1301" s="546"/>
      <c r="E1301" s="582"/>
      <c r="F1301" s="548"/>
      <c r="G1301" s="548"/>
      <c r="H1301" s="548"/>
      <c r="I1301" s="549"/>
      <c r="J1301" s="550"/>
      <c r="K1301" s="39"/>
      <c r="L1301" s="208"/>
      <c r="M1301" s="39"/>
      <c r="N1301" s="533" t="s">
        <v>2209</v>
      </c>
    </row>
    <row r="1302" spans="1:14" ht="15.75">
      <c r="A1302" s="16"/>
      <c r="B1302" s="39"/>
      <c r="C1302" s="551"/>
      <c r="D1302" s="552"/>
      <c r="E1302" s="537"/>
      <c r="F1302" s="538"/>
      <c r="G1302" s="40"/>
      <c r="H1302" s="16"/>
      <c r="I1302" s="549"/>
      <c r="J1302" s="550" t="s">
        <v>102</v>
      </c>
      <c r="K1302" s="10">
        <f>data!F811</f>
        <v>156.41</v>
      </c>
      <c r="L1302" s="208" t="s">
        <v>2209</v>
      </c>
      <c r="M1302" s="9">
        <f>ROUND(I1302*K1302,0)</f>
        <v>0</v>
      </c>
      <c r="N1302" s="533" t="s">
        <v>2209</v>
      </c>
    </row>
    <row r="1303" spans="1:14" ht="117.75" customHeight="1">
      <c r="A1303" s="16">
        <v>18</v>
      </c>
      <c r="B1303" s="1633" t="s">
        <v>891</v>
      </c>
      <c r="C1303" s="1633"/>
      <c r="D1303" s="1633"/>
      <c r="E1303" s="1633"/>
      <c r="F1303" s="1633"/>
      <c r="G1303" s="1633"/>
      <c r="H1303" s="1633"/>
      <c r="I1303" s="534"/>
      <c r="J1303" s="535"/>
      <c r="K1303" s="16"/>
      <c r="L1303" s="208"/>
      <c r="M1303" s="38"/>
      <c r="N1303" s="533" t="s">
        <v>2297</v>
      </c>
    </row>
    <row r="1304" spans="1:14" s="541" customFormat="1" ht="16.5" customHeight="1">
      <c r="A1304" s="16"/>
      <c r="B1304" s="39" t="s">
        <v>2972</v>
      </c>
      <c r="C1304" s="534"/>
      <c r="D1304" s="536"/>
      <c r="E1304" s="537"/>
      <c r="F1304" s="538"/>
      <c r="G1304" s="538"/>
      <c r="H1304" s="538"/>
      <c r="I1304" s="539"/>
      <c r="J1304" s="550"/>
      <c r="K1304" s="39"/>
      <c r="L1304" s="208"/>
      <c r="M1304" s="39"/>
      <c r="N1304" s="533" t="s">
        <v>2297</v>
      </c>
    </row>
    <row r="1305" spans="1:14" s="541" customFormat="1" ht="16.5" customHeight="1">
      <c r="A1305" s="16"/>
      <c r="B1305" s="39" t="s">
        <v>2973</v>
      </c>
      <c r="C1305" s="534">
        <v>1</v>
      </c>
      <c r="D1305" s="536" t="s">
        <v>273</v>
      </c>
      <c r="E1305" s="537">
        <v>1</v>
      </c>
      <c r="F1305" s="538">
        <v>17.2</v>
      </c>
      <c r="G1305" s="538">
        <v>0</v>
      </c>
      <c r="H1305" s="538">
        <v>3.0750000000000002</v>
      </c>
      <c r="I1305" s="542">
        <f t="shared" ref="I1305" si="119">ROUND(IF(AND(F1305:H1305),C1305*E1305*F1305*G1305*H1305,IF(AND(F1305,G1305),C1305*E1305*F1305*G1305,IF(AND(F1305,H1305),C1305*E1305*F1305*H1305,IF(AND(G1305,H1305),C1305*E1305*G1305*H1305,IF(F1305,C1305*E1305*F1305,IF(G1305,C1305*E1305*G1305,IF(H1305,C1305*E1305*H1305,C1305*E1305))))))),2)</f>
        <v>52.89</v>
      </c>
      <c r="J1305" s="550" t="s">
        <v>102</v>
      </c>
      <c r="K1305" s="39"/>
      <c r="L1305" s="208"/>
      <c r="M1305" s="39"/>
      <c r="N1305" s="533" t="s">
        <v>2297</v>
      </c>
    </row>
    <row r="1306" spans="1:14" s="541" customFormat="1" ht="16.5" customHeight="1">
      <c r="A1306" s="16"/>
      <c r="B1306" s="39" t="s">
        <v>579</v>
      </c>
      <c r="C1306" s="534">
        <v>1</v>
      </c>
      <c r="D1306" s="536" t="s">
        <v>273</v>
      </c>
      <c r="E1306" s="537">
        <v>2</v>
      </c>
      <c r="F1306" s="538">
        <v>1.2</v>
      </c>
      <c r="G1306" s="538">
        <v>0</v>
      </c>
      <c r="H1306" s="538">
        <v>2.1</v>
      </c>
      <c r="I1306" s="542">
        <f>-ROUND(IF(AND(F1306:H1306),C1306*E1306*F1306*G1306*H1306,IF(AND(F1306,G1306),C1306*E1306*F1306*G1306,IF(AND(F1306,H1306),C1306*E1306*F1306*H1306,IF(AND(G1306,H1306),C1306*E1306*G1306*H1306,IF(F1306,C1306*E1306*F1306,IF(G1306,C1306*E1306*G1306,IF(H1306,C1306*E1306*H1306,C1306*E1306))))))),2)</f>
        <v>-5.04</v>
      </c>
      <c r="J1306" s="550" t="s">
        <v>102</v>
      </c>
      <c r="K1306" s="39"/>
      <c r="L1306" s="208"/>
      <c r="M1306" s="39"/>
      <c r="N1306" s="533" t="s">
        <v>2297</v>
      </c>
    </row>
    <row r="1307" spans="1:14" s="541" customFormat="1" ht="16.5" customHeight="1">
      <c r="A1307" s="16"/>
      <c r="B1307" s="39" t="s">
        <v>2354</v>
      </c>
      <c r="C1307" s="534">
        <v>1</v>
      </c>
      <c r="D1307" s="536" t="s">
        <v>273</v>
      </c>
      <c r="E1307" s="537">
        <v>2</v>
      </c>
      <c r="F1307" s="538">
        <v>1.45</v>
      </c>
      <c r="G1307" s="538">
        <v>0</v>
      </c>
      <c r="H1307" s="538">
        <v>1.45</v>
      </c>
      <c r="I1307" s="542">
        <f>-ROUND(IF(AND(F1307:H1307),C1307*E1307*F1307*G1307*H1307,IF(AND(F1307,G1307),C1307*E1307*F1307*G1307,IF(AND(F1307,H1307),C1307*E1307*F1307*H1307,IF(AND(G1307,H1307),C1307*E1307*G1307*H1307,IF(F1307,C1307*E1307*F1307,IF(G1307,C1307*E1307*G1307,IF(H1307,C1307*E1307*H1307,C1307*E1307))))))),2)</f>
        <v>-4.21</v>
      </c>
      <c r="J1307" s="550" t="s">
        <v>102</v>
      </c>
      <c r="K1307" s="39"/>
      <c r="L1307" s="208"/>
      <c r="M1307" s="39"/>
      <c r="N1307" s="533" t="s">
        <v>2297</v>
      </c>
    </row>
    <row r="1308" spans="1:14" s="541" customFormat="1" ht="16.5" customHeight="1">
      <c r="A1308" s="16"/>
      <c r="B1308" s="39" t="s">
        <v>2134</v>
      </c>
      <c r="C1308" s="534">
        <v>1</v>
      </c>
      <c r="D1308" s="536" t="s">
        <v>273</v>
      </c>
      <c r="E1308" s="537">
        <v>2</v>
      </c>
      <c r="F1308" s="538">
        <v>0.6</v>
      </c>
      <c r="G1308" s="538">
        <v>0</v>
      </c>
      <c r="H1308" s="538">
        <v>0.3</v>
      </c>
      <c r="I1308" s="542">
        <f>-ROUND(IF(AND(F1308:H1308),C1308*E1308*F1308*G1308*H1308,IF(AND(F1308,G1308),C1308*E1308*F1308*G1308,IF(AND(F1308,H1308),C1308*E1308*F1308*H1308,IF(AND(G1308,H1308),C1308*E1308*G1308*H1308,IF(F1308,C1308*E1308*F1308,IF(G1308,C1308*E1308*G1308,IF(H1308,C1308*E1308*H1308,C1308*E1308))))))),2)</f>
        <v>-0.36</v>
      </c>
      <c r="J1308" s="550" t="s">
        <v>102</v>
      </c>
      <c r="K1308" s="39"/>
      <c r="L1308" s="208"/>
      <c r="M1308" s="39"/>
      <c r="N1308" s="533" t="s">
        <v>2297</v>
      </c>
    </row>
    <row r="1309" spans="1:14" s="541" customFormat="1" ht="16.5" customHeight="1">
      <c r="A1309" s="16"/>
      <c r="B1309" s="39" t="s">
        <v>1541</v>
      </c>
      <c r="C1309" s="534">
        <v>1</v>
      </c>
      <c r="D1309" s="536" t="s">
        <v>273</v>
      </c>
      <c r="E1309" s="537">
        <v>1</v>
      </c>
      <c r="F1309" s="538">
        <v>5.6</v>
      </c>
      <c r="G1309" s="538">
        <v>3</v>
      </c>
      <c r="H1309" s="538">
        <v>0</v>
      </c>
      <c r="I1309" s="542">
        <f t="shared" ref="I1309:I1332" si="120">ROUND(IF(AND(F1309:H1309),C1309*E1309*F1309*G1309*H1309,IF(AND(F1309,G1309),C1309*E1309*F1309*G1309,IF(AND(F1309,H1309),C1309*E1309*F1309*H1309,IF(AND(G1309,H1309),C1309*E1309*G1309*H1309,IF(F1309,C1309*E1309*F1309,IF(G1309,C1309*E1309*G1309,IF(H1309,C1309*E1309*H1309,C1309*E1309))))))),2)</f>
        <v>16.8</v>
      </c>
      <c r="J1309" s="550" t="s">
        <v>102</v>
      </c>
      <c r="K1309" s="39"/>
      <c r="L1309" s="208"/>
      <c r="M1309" s="39"/>
      <c r="N1309" s="533" t="s">
        <v>2297</v>
      </c>
    </row>
    <row r="1310" spans="1:14" s="541" customFormat="1" ht="16.5" customHeight="1">
      <c r="A1310" s="16"/>
      <c r="B1310" s="39" t="s">
        <v>2974</v>
      </c>
      <c r="C1310" s="534">
        <v>1</v>
      </c>
      <c r="D1310" s="536" t="s">
        <v>273</v>
      </c>
      <c r="E1310" s="537">
        <v>2</v>
      </c>
      <c r="F1310" s="538">
        <v>3</v>
      </c>
      <c r="G1310" s="538">
        <v>0</v>
      </c>
      <c r="H1310" s="538">
        <v>0.38</v>
      </c>
      <c r="I1310" s="542">
        <f t="shared" si="120"/>
        <v>2.2799999999999998</v>
      </c>
      <c r="J1310" s="550" t="s">
        <v>102</v>
      </c>
      <c r="K1310" s="39"/>
      <c r="L1310" s="208"/>
      <c r="M1310" s="39"/>
      <c r="N1310" s="533" t="s">
        <v>2297</v>
      </c>
    </row>
    <row r="1311" spans="1:14" s="541" customFormat="1" ht="16.5" customHeight="1">
      <c r="A1311" s="16"/>
      <c r="B1311" s="39" t="s">
        <v>2931</v>
      </c>
      <c r="C1311" s="534">
        <v>1</v>
      </c>
      <c r="D1311" s="536" t="s">
        <v>273</v>
      </c>
      <c r="E1311" s="537">
        <v>1</v>
      </c>
      <c r="F1311" s="538">
        <v>13</v>
      </c>
      <c r="G1311" s="538">
        <v>0</v>
      </c>
      <c r="H1311" s="538">
        <v>3.0750000000000002</v>
      </c>
      <c r="I1311" s="542">
        <f t="shared" si="120"/>
        <v>39.979999999999997</v>
      </c>
      <c r="J1311" s="550" t="s">
        <v>102</v>
      </c>
      <c r="K1311" s="39"/>
      <c r="L1311" s="208"/>
      <c r="M1311" s="39"/>
      <c r="N1311" s="533" t="s">
        <v>2297</v>
      </c>
    </row>
    <row r="1312" spans="1:14" s="541" customFormat="1" ht="16.5" customHeight="1">
      <c r="A1312" s="16"/>
      <c r="B1312" s="39" t="s">
        <v>2723</v>
      </c>
      <c r="C1312" s="534">
        <v>1</v>
      </c>
      <c r="D1312" s="536" t="s">
        <v>273</v>
      </c>
      <c r="E1312" s="537">
        <v>2</v>
      </c>
      <c r="F1312" s="538">
        <v>11.8</v>
      </c>
      <c r="G1312" s="538">
        <v>0</v>
      </c>
      <c r="H1312" s="538">
        <v>3.0750000000000002</v>
      </c>
      <c r="I1312" s="542">
        <f t="shared" si="120"/>
        <v>72.569999999999993</v>
      </c>
      <c r="J1312" s="550" t="s">
        <v>102</v>
      </c>
      <c r="K1312" s="39"/>
      <c r="L1312" s="208"/>
      <c r="M1312" s="39"/>
      <c r="N1312" s="533" t="s">
        <v>2297</v>
      </c>
    </row>
    <row r="1313" spans="1:14" s="541" customFormat="1" ht="16.5" customHeight="1">
      <c r="A1313" s="16"/>
      <c r="B1313" s="39" t="s">
        <v>579</v>
      </c>
      <c r="C1313" s="534">
        <v>1</v>
      </c>
      <c r="D1313" s="536" t="s">
        <v>273</v>
      </c>
      <c r="E1313" s="537">
        <v>3</v>
      </c>
      <c r="F1313" s="538">
        <v>1.05</v>
      </c>
      <c r="G1313" s="538">
        <v>0</v>
      </c>
      <c r="H1313" s="538">
        <v>2.1</v>
      </c>
      <c r="I1313" s="542">
        <f>-ROUND(IF(AND(F1313:H1313),C1313*E1313*F1313*G1313*H1313,IF(AND(F1313,G1313),C1313*E1313*F1313*G1313,IF(AND(F1313,H1313),C1313*E1313*F1313*H1313,IF(AND(G1313,H1313),C1313*E1313*G1313*H1313,IF(F1313,C1313*E1313*F1313,IF(G1313,C1313*E1313*G1313,IF(H1313,C1313*E1313*H1313,C1313*E1313))))))),2)</f>
        <v>-6.62</v>
      </c>
      <c r="J1313" s="550" t="s">
        <v>102</v>
      </c>
      <c r="K1313" s="39"/>
      <c r="L1313" s="208"/>
      <c r="M1313" s="39"/>
      <c r="N1313" s="533" t="s">
        <v>2297</v>
      </c>
    </row>
    <row r="1314" spans="1:14" s="541" customFormat="1" ht="16.5" customHeight="1">
      <c r="A1314" s="16"/>
      <c r="B1314" s="39" t="s">
        <v>2354</v>
      </c>
      <c r="C1314" s="534">
        <v>1</v>
      </c>
      <c r="D1314" s="536" t="s">
        <v>273</v>
      </c>
      <c r="E1314" s="537">
        <v>4</v>
      </c>
      <c r="F1314" s="538">
        <v>1.45</v>
      </c>
      <c r="G1314" s="538">
        <v>0</v>
      </c>
      <c r="H1314" s="538">
        <v>1.45</v>
      </c>
      <c r="I1314" s="542">
        <f>-ROUND(IF(AND(F1314:H1314),C1314*E1314*F1314*G1314*H1314,IF(AND(F1314,G1314),C1314*E1314*F1314*G1314,IF(AND(F1314,H1314),C1314*E1314*F1314*H1314,IF(AND(G1314,H1314),C1314*E1314*G1314*H1314,IF(F1314,C1314*E1314*F1314,IF(G1314,C1314*E1314*G1314,IF(H1314,C1314*E1314*H1314,C1314*E1314))))))),2)</f>
        <v>-8.41</v>
      </c>
      <c r="J1314" s="550" t="s">
        <v>102</v>
      </c>
      <c r="K1314" s="39"/>
      <c r="L1314" s="208"/>
      <c r="M1314" s="39"/>
      <c r="N1314" s="533" t="s">
        <v>2297</v>
      </c>
    </row>
    <row r="1315" spans="1:14" s="541" customFormat="1" ht="16.5" customHeight="1">
      <c r="A1315" s="16"/>
      <c r="B1315" s="39" t="s">
        <v>2134</v>
      </c>
      <c r="C1315" s="534">
        <v>1</v>
      </c>
      <c r="D1315" s="536" t="s">
        <v>273</v>
      </c>
      <c r="E1315" s="537">
        <v>4</v>
      </c>
      <c r="F1315" s="538">
        <v>0.6</v>
      </c>
      <c r="G1315" s="538">
        <v>0</v>
      </c>
      <c r="H1315" s="538">
        <v>0.3</v>
      </c>
      <c r="I1315" s="542">
        <f>-ROUND(IF(AND(F1315:H1315),C1315*E1315*F1315*G1315*H1315,IF(AND(F1315,G1315),C1315*E1315*F1315*G1315,IF(AND(F1315,H1315),C1315*E1315*F1315*H1315,IF(AND(G1315,H1315),C1315*E1315*G1315*H1315,IF(F1315,C1315*E1315*F1315,IF(G1315,C1315*E1315*G1315,IF(H1315,C1315*E1315*H1315,C1315*E1315))))))),2)</f>
        <v>-0.72</v>
      </c>
      <c r="J1315" s="550" t="s">
        <v>102</v>
      </c>
      <c r="K1315" s="39"/>
      <c r="L1315" s="208"/>
      <c r="M1315" s="39"/>
      <c r="N1315" s="533" t="s">
        <v>2297</v>
      </c>
    </row>
    <row r="1316" spans="1:14" s="541" customFormat="1" ht="16.5" customHeight="1">
      <c r="A1316" s="16"/>
      <c r="B1316" s="39" t="s">
        <v>2975</v>
      </c>
      <c r="C1316" s="534">
        <v>1</v>
      </c>
      <c r="D1316" s="536" t="s">
        <v>273</v>
      </c>
      <c r="E1316" s="537">
        <v>1</v>
      </c>
      <c r="F1316" s="538">
        <v>3.2</v>
      </c>
      <c r="G1316" s="538">
        <v>3.3</v>
      </c>
      <c r="H1316" s="538">
        <v>0</v>
      </c>
      <c r="I1316" s="542">
        <f t="shared" si="120"/>
        <v>10.56</v>
      </c>
      <c r="J1316" s="550" t="s">
        <v>102</v>
      </c>
      <c r="K1316" s="39"/>
      <c r="L1316" s="208"/>
      <c r="M1316" s="39"/>
      <c r="N1316" s="533" t="s">
        <v>2297</v>
      </c>
    </row>
    <row r="1317" spans="1:14" s="541" customFormat="1" ht="16.5" customHeight="1">
      <c r="A1317" s="16"/>
      <c r="B1317" s="39" t="s">
        <v>2976</v>
      </c>
      <c r="C1317" s="534">
        <v>1</v>
      </c>
      <c r="D1317" s="536" t="s">
        <v>273</v>
      </c>
      <c r="E1317" s="537">
        <v>2</v>
      </c>
      <c r="F1317" s="538">
        <v>3.2</v>
      </c>
      <c r="G1317" s="538">
        <v>2.7</v>
      </c>
      <c r="H1317" s="538">
        <v>0</v>
      </c>
      <c r="I1317" s="542">
        <f t="shared" si="120"/>
        <v>17.28</v>
      </c>
      <c r="J1317" s="550" t="s">
        <v>102</v>
      </c>
      <c r="K1317" s="39"/>
      <c r="L1317" s="208"/>
      <c r="M1317" s="39"/>
      <c r="N1317" s="533" t="s">
        <v>2297</v>
      </c>
    </row>
    <row r="1318" spans="1:14" s="541" customFormat="1" ht="16.5" customHeight="1">
      <c r="A1318" s="16"/>
      <c r="B1318" s="39" t="s">
        <v>2977</v>
      </c>
      <c r="C1318" s="534">
        <v>1</v>
      </c>
      <c r="D1318" s="536" t="s">
        <v>273</v>
      </c>
      <c r="E1318" s="537">
        <v>1</v>
      </c>
      <c r="F1318" s="538">
        <v>4.9000000000000004</v>
      </c>
      <c r="G1318" s="538">
        <v>2.6</v>
      </c>
      <c r="H1318" s="538">
        <v>0</v>
      </c>
      <c r="I1318" s="542">
        <f t="shared" si="120"/>
        <v>12.74</v>
      </c>
      <c r="J1318" s="550" t="s">
        <v>102</v>
      </c>
      <c r="K1318" s="39"/>
      <c r="L1318" s="208"/>
      <c r="M1318" s="39"/>
      <c r="N1318" s="533" t="s">
        <v>2297</v>
      </c>
    </row>
    <row r="1319" spans="1:14" s="541" customFormat="1" ht="16.5" customHeight="1">
      <c r="A1319" s="16"/>
      <c r="B1319" s="39" t="s">
        <v>2894</v>
      </c>
      <c r="C1319" s="534">
        <v>1</v>
      </c>
      <c r="D1319" s="536" t="s">
        <v>273</v>
      </c>
      <c r="E1319" s="537">
        <v>1</v>
      </c>
      <c r="F1319" s="538">
        <v>4.9000000000000004</v>
      </c>
      <c r="G1319" s="538">
        <v>0</v>
      </c>
      <c r="H1319" s="538">
        <v>3.0750000000000002</v>
      </c>
      <c r="I1319" s="542">
        <f t="shared" si="120"/>
        <v>15.07</v>
      </c>
      <c r="J1319" s="550" t="s">
        <v>102</v>
      </c>
      <c r="K1319" s="39"/>
      <c r="L1319" s="208"/>
      <c r="M1319" s="39"/>
      <c r="N1319" s="533" t="s">
        <v>2297</v>
      </c>
    </row>
    <row r="1320" spans="1:14" s="541" customFormat="1" ht="16.5" customHeight="1">
      <c r="A1320" s="16"/>
      <c r="B1320" s="39" t="s">
        <v>579</v>
      </c>
      <c r="C1320" s="534">
        <v>1</v>
      </c>
      <c r="D1320" s="536" t="s">
        <v>273</v>
      </c>
      <c r="E1320" s="537">
        <v>1</v>
      </c>
      <c r="F1320" s="538">
        <v>1.3</v>
      </c>
      <c r="G1320" s="538">
        <v>0</v>
      </c>
      <c r="H1320" s="538">
        <v>2.1</v>
      </c>
      <c r="I1320" s="542">
        <f>-ROUND(IF(AND(F1320:H1320),C1320*E1320*F1320*G1320*H1320,IF(AND(F1320,G1320),C1320*E1320*F1320*G1320,IF(AND(F1320,H1320),C1320*E1320*F1320*H1320,IF(AND(G1320,H1320),C1320*E1320*G1320*H1320,IF(F1320,C1320*E1320*F1320,IF(G1320,C1320*E1320*G1320,IF(H1320,C1320*E1320*H1320,C1320*E1320))))))),2)</f>
        <v>-2.73</v>
      </c>
      <c r="J1320" s="550" t="s">
        <v>102</v>
      </c>
      <c r="K1320" s="39"/>
      <c r="L1320" s="208"/>
      <c r="M1320" s="39"/>
      <c r="N1320" s="533" t="s">
        <v>2297</v>
      </c>
    </row>
    <row r="1321" spans="1:14" s="541" customFormat="1" ht="16.5" customHeight="1">
      <c r="A1321" s="16"/>
      <c r="B1321" s="39" t="s">
        <v>579</v>
      </c>
      <c r="C1321" s="534">
        <v>1</v>
      </c>
      <c r="D1321" s="536" t="s">
        <v>273</v>
      </c>
      <c r="E1321" s="537">
        <v>1</v>
      </c>
      <c r="F1321" s="538">
        <v>1.2</v>
      </c>
      <c r="G1321" s="538">
        <v>0</v>
      </c>
      <c r="H1321" s="538">
        <v>2.1</v>
      </c>
      <c r="I1321" s="542">
        <f>-ROUND(IF(AND(F1321:H1321),C1321*E1321*F1321*G1321*H1321,IF(AND(F1321,G1321),C1321*E1321*F1321*G1321,IF(AND(F1321,H1321),C1321*E1321*F1321*H1321,IF(AND(G1321,H1321),C1321*E1321*G1321*H1321,IF(F1321,C1321*E1321*F1321,IF(G1321,C1321*E1321*G1321,IF(H1321,C1321*E1321*H1321,C1321*E1321))))))),2)</f>
        <v>-2.52</v>
      </c>
      <c r="J1321" s="550" t="s">
        <v>102</v>
      </c>
      <c r="K1321" s="39"/>
      <c r="L1321" s="208"/>
      <c r="M1321" s="39"/>
      <c r="N1321" s="533" t="s">
        <v>2297</v>
      </c>
    </row>
    <row r="1322" spans="1:14" s="541" customFormat="1" ht="16.5" customHeight="1">
      <c r="A1322" s="16"/>
      <c r="B1322" s="39" t="s">
        <v>2878</v>
      </c>
      <c r="C1322" s="534">
        <v>1</v>
      </c>
      <c r="D1322" s="536" t="s">
        <v>273</v>
      </c>
      <c r="E1322" s="537">
        <v>1</v>
      </c>
      <c r="F1322" s="538">
        <v>3.5</v>
      </c>
      <c r="G1322" s="538">
        <v>0</v>
      </c>
      <c r="H1322" s="538">
        <v>0.9</v>
      </c>
      <c r="I1322" s="542">
        <f t="shared" si="120"/>
        <v>3.15</v>
      </c>
      <c r="J1322" s="550" t="s">
        <v>102</v>
      </c>
      <c r="K1322" s="39"/>
      <c r="L1322" s="208"/>
      <c r="M1322" s="39"/>
      <c r="N1322" s="533" t="s">
        <v>2297</v>
      </c>
    </row>
    <row r="1323" spans="1:14" s="541" customFormat="1" ht="16.5" customHeight="1">
      <c r="A1323" s="16"/>
      <c r="B1323" s="39" t="s">
        <v>2879</v>
      </c>
      <c r="C1323" s="534">
        <v>1</v>
      </c>
      <c r="D1323" s="536" t="s">
        <v>273</v>
      </c>
      <c r="E1323" s="537">
        <v>1</v>
      </c>
      <c r="F1323" s="538">
        <v>2.65</v>
      </c>
      <c r="G1323" s="538">
        <v>0</v>
      </c>
      <c r="H1323" s="538">
        <v>0.9</v>
      </c>
      <c r="I1323" s="542">
        <f t="shared" si="120"/>
        <v>2.39</v>
      </c>
      <c r="J1323" s="550" t="s">
        <v>102</v>
      </c>
      <c r="K1323" s="39"/>
      <c r="L1323" s="208"/>
      <c r="M1323" s="39"/>
      <c r="N1323" s="533" t="s">
        <v>2297</v>
      </c>
    </row>
    <row r="1324" spans="1:14" s="541" customFormat="1" ht="16.5" customHeight="1">
      <c r="A1324" s="16"/>
      <c r="B1324" s="39" t="s">
        <v>2930</v>
      </c>
      <c r="C1324" s="534">
        <v>1</v>
      </c>
      <c r="D1324" s="536" t="s">
        <v>273</v>
      </c>
      <c r="E1324" s="537">
        <v>1</v>
      </c>
      <c r="F1324" s="538">
        <v>21.2</v>
      </c>
      <c r="G1324" s="538">
        <v>0</v>
      </c>
      <c r="H1324" s="538">
        <v>3.0750000000000002</v>
      </c>
      <c r="I1324" s="542">
        <f t="shared" si="120"/>
        <v>65.19</v>
      </c>
      <c r="J1324" s="550" t="s">
        <v>102</v>
      </c>
      <c r="K1324" s="39"/>
      <c r="L1324" s="208"/>
      <c r="M1324" s="39"/>
      <c r="N1324" s="533" t="s">
        <v>2297</v>
      </c>
    </row>
    <row r="1325" spans="1:14" s="541" customFormat="1" ht="16.5" customHeight="1">
      <c r="A1325" s="16"/>
      <c r="B1325" s="39" t="s">
        <v>579</v>
      </c>
      <c r="C1325" s="534">
        <v>1</v>
      </c>
      <c r="D1325" s="536" t="s">
        <v>273</v>
      </c>
      <c r="E1325" s="537">
        <v>1</v>
      </c>
      <c r="F1325" s="538">
        <v>1.3</v>
      </c>
      <c r="G1325" s="538">
        <v>0</v>
      </c>
      <c r="H1325" s="538">
        <v>2.1</v>
      </c>
      <c r="I1325" s="542">
        <f t="shared" ref="I1325:I1330" si="121">-ROUND(IF(AND(F1325:H1325),C1325*E1325*F1325*G1325*H1325,IF(AND(F1325,G1325),C1325*E1325*F1325*G1325,IF(AND(F1325,H1325),C1325*E1325*F1325*H1325,IF(AND(G1325,H1325),C1325*E1325*G1325*H1325,IF(F1325,C1325*E1325*F1325,IF(G1325,C1325*E1325*G1325,IF(H1325,C1325*E1325*H1325,C1325*E1325))))))),2)</f>
        <v>-2.73</v>
      </c>
      <c r="J1325" s="550" t="s">
        <v>102</v>
      </c>
      <c r="K1325" s="39"/>
      <c r="L1325" s="208"/>
      <c r="M1325" s="39"/>
      <c r="N1325" s="533" t="s">
        <v>2297</v>
      </c>
    </row>
    <row r="1326" spans="1:14" s="541" customFormat="1" ht="16.5" customHeight="1">
      <c r="A1326" s="16"/>
      <c r="B1326" s="39" t="s">
        <v>579</v>
      </c>
      <c r="C1326" s="534">
        <v>1</v>
      </c>
      <c r="D1326" s="536" t="s">
        <v>273</v>
      </c>
      <c r="E1326" s="537">
        <v>1</v>
      </c>
      <c r="F1326" s="538">
        <v>1.2</v>
      </c>
      <c r="G1326" s="538">
        <v>0</v>
      </c>
      <c r="H1326" s="538">
        <v>2.1</v>
      </c>
      <c r="I1326" s="542">
        <f t="shared" si="121"/>
        <v>-2.52</v>
      </c>
      <c r="J1326" s="550" t="s">
        <v>102</v>
      </c>
      <c r="K1326" s="39"/>
      <c r="L1326" s="208"/>
      <c r="M1326" s="39"/>
      <c r="N1326" s="533" t="s">
        <v>2297</v>
      </c>
    </row>
    <row r="1327" spans="1:14" s="541" customFormat="1" ht="16.5" customHeight="1">
      <c r="A1327" s="16"/>
      <c r="B1327" s="39" t="s">
        <v>579</v>
      </c>
      <c r="C1327" s="534">
        <v>1</v>
      </c>
      <c r="D1327" s="536" t="s">
        <v>273</v>
      </c>
      <c r="E1327" s="537">
        <v>3</v>
      </c>
      <c r="F1327" s="538">
        <v>1.05</v>
      </c>
      <c r="G1327" s="538">
        <v>0</v>
      </c>
      <c r="H1327" s="538">
        <v>2.1</v>
      </c>
      <c r="I1327" s="542">
        <f t="shared" si="121"/>
        <v>-6.62</v>
      </c>
      <c r="J1327" s="550" t="s">
        <v>102</v>
      </c>
      <c r="K1327" s="39"/>
      <c r="L1327" s="208"/>
      <c r="M1327" s="39"/>
      <c r="N1327" s="533" t="s">
        <v>2297</v>
      </c>
    </row>
    <row r="1328" spans="1:14" s="541" customFormat="1" ht="16.5" customHeight="1">
      <c r="A1328" s="16"/>
      <c r="B1328" s="39" t="s">
        <v>2197</v>
      </c>
      <c r="C1328" s="534">
        <v>1</v>
      </c>
      <c r="D1328" s="536" t="s">
        <v>273</v>
      </c>
      <c r="E1328" s="537">
        <v>2</v>
      </c>
      <c r="F1328" s="538">
        <v>0.75</v>
      </c>
      <c r="G1328" s="538">
        <v>0</v>
      </c>
      <c r="H1328" s="538">
        <v>2.1</v>
      </c>
      <c r="I1328" s="542">
        <f t="shared" si="121"/>
        <v>-3.15</v>
      </c>
      <c r="J1328" s="550" t="s">
        <v>102</v>
      </c>
      <c r="K1328" s="39"/>
      <c r="L1328" s="208"/>
      <c r="M1328" s="39"/>
      <c r="N1328" s="533" t="s">
        <v>2297</v>
      </c>
    </row>
    <row r="1329" spans="1:14" s="541" customFormat="1" ht="16.5" customHeight="1">
      <c r="A1329" s="16"/>
      <c r="B1329" s="39" t="s">
        <v>2354</v>
      </c>
      <c r="C1329" s="534">
        <v>1</v>
      </c>
      <c r="D1329" s="536" t="s">
        <v>273</v>
      </c>
      <c r="E1329" s="537">
        <v>1</v>
      </c>
      <c r="F1329" s="538">
        <v>1.45</v>
      </c>
      <c r="G1329" s="538">
        <v>0</v>
      </c>
      <c r="H1329" s="538">
        <v>1.45</v>
      </c>
      <c r="I1329" s="542">
        <f t="shared" si="121"/>
        <v>-2.1</v>
      </c>
      <c r="J1329" s="550" t="s">
        <v>102</v>
      </c>
      <c r="K1329" s="39"/>
      <c r="L1329" s="208"/>
      <c r="M1329" s="39"/>
      <c r="N1329" s="533" t="s">
        <v>2297</v>
      </c>
    </row>
    <row r="1330" spans="1:14" s="541" customFormat="1" ht="16.5" customHeight="1">
      <c r="A1330" s="16"/>
      <c r="B1330" s="39" t="s">
        <v>2134</v>
      </c>
      <c r="C1330" s="534">
        <v>1</v>
      </c>
      <c r="D1330" s="536" t="s">
        <v>273</v>
      </c>
      <c r="E1330" s="537">
        <v>1</v>
      </c>
      <c r="F1330" s="538">
        <v>0.6</v>
      </c>
      <c r="G1330" s="538">
        <v>0</v>
      </c>
      <c r="H1330" s="538">
        <v>0.3</v>
      </c>
      <c r="I1330" s="542">
        <f t="shared" si="121"/>
        <v>-0.18</v>
      </c>
      <c r="J1330" s="550" t="s">
        <v>102</v>
      </c>
      <c r="K1330" s="39"/>
      <c r="L1330" s="208"/>
      <c r="M1330" s="39"/>
      <c r="N1330" s="533" t="s">
        <v>2297</v>
      </c>
    </row>
    <row r="1331" spans="1:14" s="541" customFormat="1" ht="16.5" customHeight="1">
      <c r="A1331" s="16"/>
      <c r="B1331" s="39" t="s">
        <v>1541</v>
      </c>
      <c r="C1331" s="534">
        <v>1</v>
      </c>
      <c r="D1331" s="536" t="s">
        <v>273</v>
      </c>
      <c r="E1331" s="537">
        <v>1</v>
      </c>
      <c r="F1331" s="538">
        <v>8.9</v>
      </c>
      <c r="G1331" s="538">
        <v>1.7</v>
      </c>
      <c r="H1331" s="538">
        <v>0</v>
      </c>
      <c r="I1331" s="542">
        <f t="shared" si="120"/>
        <v>15.13</v>
      </c>
      <c r="J1331" s="550" t="s">
        <v>102</v>
      </c>
      <c r="K1331" s="39"/>
      <c r="L1331" s="208"/>
      <c r="M1331" s="39"/>
      <c r="N1331" s="533" t="s">
        <v>2297</v>
      </c>
    </row>
    <row r="1332" spans="1:14" s="541" customFormat="1" ht="16.5" customHeight="1">
      <c r="A1332" s="16"/>
      <c r="B1332" s="39" t="s">
        <v>2946</v>
      </c>
      <c r="C1332" s="534">
        <v>2</v>
      </c>
      <c r="D1332" s="536" t="s">
        <v>273</v>
      </c>
      <c r="E1332" s="537">
        <v>2</v>
      </c>
      <c r="F1332" s="538">
        <v>1.7</v>
      </c>
      <c r="G1332" s="538">
        <v>0</v>
      </c>
      <c r="H1332" s="538">
        <v>0.38</v>
      </c>
      <c r="I1332" s="542">
        <f t="shared" si="120"/>
        <v>2.58</v>
      </c>
      <c r="J1332" s="550" t="s">
        <v>102</v>
      </c>
      <c r="K1332" s="39"/>
      <c r="L1332" s="208"/>
      <c r="M1332" s="39"/>
      <c r="N1332" s="533" t="s">
        <v>2297</v>
      </c>
    </row>
    <row r="1333" spans="1:14" s="541" customFormat="1" ht="16.5" customHeight="1">
      <c r="A1333" s="16"/>
      <c r="B1333" s="544"/>
      <c r="C1333" s="545"/>
      <c r="D1333" s="546"/>
      <c r="E1333" s="582"/>
      <c r="F1333" s="548"/>
      <c r="G1333" s="548"/>
      <c r="H1333" s="548"/>
      <c r="I1333" s="549"/>
      <c r="J1333" s="550"/>
      <c r="K1333" s="39"/>
      <c r="L1333" s="208"/>
      <c r="M1333" s="39"/>
      <c r="N1333" s="533" t="s">
        <v>2297</v>
      </c>
    </row>
    <row r="1334" spans="1:14" ht="15.75">
      <c r="A1334" s="16"/>
      <c r="B1334" s="39"/>
      <c r="C1334" s="551"/>
      <c r="D1334" s="552"/>
      <c r="E1334" s="537"/>
      <c r="F1334" s="538"/>
      <c r="G1334" s="40"/>
      <c r="H1334" s="16"/>
      <c r="I1334" s="549"/>
      <c r="J1334" s="550" t="s">
        <v>102</v>
      </c>
      <c r="K1334" s="10">
        <f>data!F1728</f>
        <v>164.34</v>
      </c>
      <c r="L1334" s="208" t="s">
        <v>2297</v>
      </c>
      <c r="M1334" s="9">
        <f>ROUND(I1334*K1334,0)</f>
        <v>0</v>
      </c>
      <c r="N1334" s="533" t="s">
        <v>2297</v>
      </c>
    </row>
    <row r="1335" spans="1:14" ht="117.75" customHeight="1">
      <c r="A1335" s="16">
        <v>19</v>
      </c>
      <c r="B1335" s="1633" t="s">
        <v>891</v>
      </c>
      <c r="C1335" s="1633"/>
      <c r="D1335" s="1633"/>
      <c r="E1335" s="1633"/>
      <c r="F1335" s="1633"/>
      <c r="G1335" s="1633"/>
      <c r="H1335" s="1633"/>
      <c r="I1335" s="534"/>
      <c r="J1335" s="535"/>
      <c r="K1335" s="16"/>
      <c r="L1335" s="208"/>
      <c r="M1335" s="38"/>
      <c r="N1335" s="533" t="s">
        <v>2308</v>
      </c>
    </row>
    <row r="1336" spans="1:14" s="541" customFormat="1" ht="16.5" customHeight="1">
      <c r="A1336" s="16"/>
      <c r="B1336" s="39" t="s">
        <v>2845</v>
      </c>
      <c r="C1336" s="534"/>
      <c r="D1336" s="536"/>
      <c r="E1336" s="537"/>
      <c r="F1336" s="538"/>
      <c r="G1336" s="538"/>
      <c r="H1336" s="538"/>
      <c r="I1336" s="539"/>
      <c r="J1336" s="550"/>
      <c r="K1336" s="39"/>
      <c r="L1336" s="208"/>
      <c r="M1336" s="39"/>
      <c r="N1336" s="533" t="s">
        <v>2308</v>
      </c>
    </row>
    <row r="1337" spans="1:14" s="541" customFormat="1" ht="16.5" customHeight="1">
      <c r="A1337" s="16"/>
      <c r="B1337" s="39" t="s">
        <v>2194</v>
      </c>
      <c r="C1337" s="534">
        <v>1</v>
      </c>
      <c r="D1337" s="536" t="s">
        <v>273</v>
      </c>
      <c r="E1337" s="537">
        <v>1</v>
      </c>
      <c r="F1337" s="538">
        <v>13.38</v>
      </c>
      <c r="G1337" s="538">
        <v>0</v>
      </c>
      <c r="H1337" s="538">
        <v>3.12</v>
      </c>
      <c r="I1337" s="574">
        <f>ROUND(IF(AND(F1337:H1337),C1337*E1337*F1337*G1337*H1337,IF(AND(F1337,G1337),C1337*E1337*F1337*G1337,IF(AND(F1337,H1337),C1337*E1337*F1337*H1337,IF(AND(G1337,H1337),C1337*E1337*G1337*H1337,IF(F1337,C1337*E1337*F1337,IF(G1337,C1337*E1337*G1337,IF(H1337,C1337*E1337*H1337,C1337*E1337))))))),2)</f>
        <v>41.75</v>
      </c>
      <c r="J1337" s="550" t="s">
        <v>102</v>
      </c>
      <c r="K1337" s="39"/>
      <c r="L1337" s="208"/>
      <c r="M1337" s="39"/>
      <c r="N1337" s="533" t="s">
        <v>2308</v>
      </c>
    </row>
    <row r="1338" spans="1:14" s="541" customFormat="1" ht="16.5" customHeight="1">
      <c r="A1338" s="16"/>
      <c r="B1338" s="39" t="s">
        <v>1169</v>
      </c>
      <c r="C1338" s="534">
        <v>1</v>
      </c>
      <c r="D1338" s="536" t="s">
        <v>273</v>
      </c>
      <c r="E1338" s="537">
        <v>1</v>
      </c>
      <c r="F1338" s="538">
        <v>12.18</v>
      </c>
      <c r="G1338" s="538">
        <v>0</v>
      </c>
      <c r="H1338" s="538">
        <v>3.12</v>
      </c>
      <c r="I1338" s="574">
        <f>ROUND(IF(AND(F1338:H1338),C1338*E1338*F1338*G1338*H1338,IF(AND(F1338,G1338),C1338*E1338*F1338*G1338,IF(AND(F1338,H1338),C1338*E1338*F1338*H1338,IF(AND(G1338,H1338),C1338*E1338*G1338*H1338,IF(F1338,C1338*E1338*F1338,IF(G1338,C1338*E1338*G1338,IF(H1338,C1338*E1338*H1338,C1338*E1338))))))),2)</f>
        <v>38</v>
      </c>
      <c r="J1338" s="550" t="s">
        <v>102</v>
      </c>
      <c r="K1338" s="39"/>
      <c r="L1338" s="208"/>
      <c r="M1338" s="39"/>
      <c r="N1338" s="533" t="s">
        <v>2308</v>
      </c>
    </row>
    <row r="1339" spans="1:14" s="541" customFormat="1" ht="16.5" customHeight="1">
      <c r="A1339" s="16"/>
      <c r="B1339" s="39" t="s">
        <v>2195</v>
      </c>
      <c r="C1339" s="534">
        <v>1</v>
      </c>
      <c r="D1339" s="536" t="s">
        <v>273</v>
      </c>
      <c r="E1339" s="537">
        <v>1</v>
      </c>
      <c r="F1339" s="538">
        <v>12.22</v>
      </c>
      <c r="G1339" s="538">
        <v>0</v>
      </c>
      <c r="H1339" s="538">
        <v>3.12</v>
      </c>
      <c r="I1339" s="574">
        <f>ROUND(IF(AND(F1339:H1339),C1339*E1339*F1339*G1339*H1339,IF(AND(F1339,G1339),C1339*E1339*F1339*G1339,IF(AND(F1339,H1339),C1339*E1339*F1339*H1339,IF(AND(G1339,H1339),C1339*E1339*G1339*H1339,IF(F1339,C1339*E1339*F1339,IF(G1339,C1339*E1339*G1339,IF(H1339,C1339*E1339*H1339,C1339*E1339))))))),2)</f>
        <v>38.130000000000003</v>
      </c>
      <c r="J1339" s="550" t="s">
        <v>102</v>
      </c>
      <c r="K1339" s="39"/>
      <c r="L1339" s="208"/>
      <c r="M1339" s="39"/>
      <c r="N1339" s="533" t="s">
        <v>2308</v>
      </c>
    </row>
    <row r="1340" spans="1:14" s="541" customFormat="1" ht="16.5" customHeight="1">
      <c r="A1340" s="16"/>
      <c r="B1340" s="39" t="s">
        <v>223</v>
      </c>
      <c r="C1340" s="534">
        <v>1</v>
      </c>
      <c r="D1340" s="536" t="s">
        <v>273</v>
      </c>
      <c r="E1340" s="537">
        <v>1</v>
      </c>
      <c r="F1340" s="538">
        <v>17.34</v>
      </c>
      <c r="G1340" s="538">
        <v>0</v>
      </c>
      <c r="H1340" s="538">
        <v>3.12</v>
      </c>
      <c r="I1340" s="574">
        <f>ROUND(IF(AND(F1340:H1340),C1340*E1340*F1340*G1340*H1340,IF(AND(F1340,G1340),C1340*E1340*F1340*G1340,IF(AND(F1340,H1340),C1340*E1340*F1340*H1340,IF(AND(G1340,H1340),C1340*E1340*G1340*H1340,IF(F1340,C1340*E1340*F1340,IF(G1340,C1340*E1340*G1340,IF(H1340,C1340*E1340*H1340,C1340*E1340))))))),2)</f>
        <v>54.1</v>
      </c>
      <c r="J1340" s="550" t="s">
        <v>102</v>
      </c>
      <c r="K1340" s="39"/>
      <c r="L1340" s="208"/>
      <c r="M1340" s="39"/>
      <c r="N1340" s="533" t="s">
        <v>2308</v>
      </c>
    </row>
    <row r="1341" spans="1:14" s="541" customFormat="1" ht="16.5" customHeight="1">
      <c r="A1341" s="16"/>
      <c r="B1341" s="39" t="s">
        <v>2196</v>
      </c>
      <c r="C1341" s="534">
        <v>1</v>
      </c>
      <c r="D1341" s="536" t="s">
        <v>273</v>
      </c>
      <c r="E1341" s="537">
        <v>6</v>
      </c>
      <c r="F1341" s="538">
        <v>5.7</v>
      </c>
      <c r="G1341" s="538">
        <v>0</v>
      </c>
      <c r="H1341" s="538">
        <v>0.115</v>
      </c>
      <c r="I1341" s="574">
        <f>ROUND(IF(AND(F1341:H1341),C1341*E1341*F1341*G1341*H1341,IF(AND(F1341,G1341),C1341*E1341*F1341*G1341,IF(AND(F1341,H1341),C1341*E1341*F1341*H1341,IF(AND(G1341,H1341),C1341*E1341*G1341*H1341,IF(F1341,C1341*E1341*F1341,IF(G1341,C1341*E1341*G1341,IF(H1341,C1341*E1341*H1341,C1341*E1341))))))),2)</f>
        <v>3.93</v>
      </c>
      <c r="J1341" s="550" t="s">
        <v>102</v>
      </c>
      <c r="K1341" s="39"/>
      <c r="L1341" s="208"/>
      <c r="M1341" s="39"/>
      <c r="N1341" s="533" t="s">
        <v>2308</v>
      </c>
    </row>
    <row r="1342" spans="1:14" s="541" customFormat="1" ht="16.5" customHeight="1">
      <c r="A1342" s="16"/>
      <c r="B1342" s="39"/>
      <c r="C1342" s="534">
        <v>1</v>
      </c>
      <c r="D1342" s="536" t="s">
        <v>273</v>
      </c>
      <c r="E1342" s="537">
        <v>2</v>
      </c>
      <c r="F1342" s="538">
        <v>1.2</v>
      </c>
      <c r="G1342" s="538">
        <v>0</v>
      </c>
      <c r="H1342" s="538">
        <v>2.1</v>
      </c>
      <c r="I1342" s="574">
        <f>-ROUND(IF(AND(F1342:H1342),C1342*E1342*F1342*G1342*H1342,IF(AND(F1342,G1342),C1342*E1342*F1342*G1342,IF(AND(F1342,H1342),C1342*E1342*F1342*H1342,IF(AND(G1342,H1342),C1342*E1342*G1342*H1342,IF(F1342,C1342*E1342*F1342,IF(G1342,C1342*E1342*G1342,IF(H1342,C1342*E1342*H1342,C1342*E1342))))))),2)</f>
        <v>-5.04</v>
      </c>
      <c r="J1342" s="550" t="s">
        <v>102</v>
      </c>
      <c r="K1342" s="39"/>
      <c r="L1342" s="208"/>
      <c r="M1342" s="39"/>
      <c r="N1342" s="533" t="s">
        <v>2308</v>
      </c>
    </row>
    <row r="1343" spans="1:14" s="541" customFormat="1" ht="16.5" customHeight="1">
      <c r="A1343" s="16"/>
      <c r="B1343" s="544"/>
      <c r="C1343" s="545"/>
      <c r="D1343" s="546"/>
      <c r="E1343" s="582"/>
      <c r="F1343" s="548"/>
      <c r="G1343" s="548"/>
      <c r="H1343" s="548"/>
      <c r="I1343" s="549"/>
      <c r="J1343" s="550"/>
      <c r="K1343" s="39"/>
      <c r="L1343" s="208"/>
      <c r="M1343" s="39"/>
      <c r="N1343" s="533" t="s">
        <v>2308</v>
      </c>
    </row>
    <row r="1344" spans="1:14" ht="15.75">
      <c r="A1344" s="16"/>
      <c r="B1344" s="39"/>
      <c r="C1344" s="551"/>
      <c r="D1344" s="552"/>
      <c r="E1344" s="537"/>
      <c r="F1344" s="538"/>
      <c r="G1344" s="40"/>
      <c r="H1344" s="16"/>
      <c r="I1344" s="549"/>
      <c r="J1344" s="550" t="s">
        <v>102</v>
      </c>
      <c r="K1344" s="10">
        <f>data!F2645</f>
        <v>170.35</v>
      </c>
      <c r="L1344" s="208" t="s">
        <v>2308</v>
      </c>
      <c r="M1344" s="9">
        <f>ROUND(I1344*K1344,0)</f>
        <v>0</v>
      </c>
      <c r="N1344" s="533" t="s">
        <v>2308</v>
      </c>
    </row>
    <row r="1345" spans="1:14" ht="117.75" customHeight="1">
      <c r="A1345" s="16">
        <v>14</v>
      </c>
      <c r="B1345" s="1633" t="s">
        <v>891</v>
      </c>
      <c r="C1345" s="1633"/>
      <c r="D1345" s="1633"/>
      <c r="E1345" s="1633"/>
      <c r="F1345" s="1633"/>
      <c r="G1345" s="1633"/>
      <c r="H1345" s="1633"/>
      <c r="I1345" s="534"/>
      <c r="J1345" s="535"/>
      <c r="K1345" s="16"/>
      <c r="L1345" s="208"/>
      <c r="M1345" s="38"/>
      <c r="N1345" s="533" t="s">
        <v>2309</v>
      </c>
    </row>
    <row r="1346" spans="1:14" s="541" customFormat="1" ht="16.5" customHeight="1">
      <c r="A1346" s="16"/>
      <c r="B1346" s="39" t="s">
        <v>3033</v>
      </c>
      <c r="C1346" s="534"/>
      <c r="D1346" s="858" t="s">
        <v>3252</v>
      </c>
      <c r="E1346" s="537"/>
      <c r="F1346" s="538"/>
      <c r="G1346" s="538"/>
      <c r="H1346" s="538"/>
      <c r="I1346" s="539"/>
      <c r="J1346" s="550"/>
      <c r="K1346" s="39"/>
      <c r="L1346" s="208"/>
      <c r="M1346" s="39"/>
      <c r="N1346" s="533" t="s">
        <v>2309</v>
      </c>
    </row>
    <row r="1347" spans="1:14" s="541" customFormat="1" ht="16.5" customHeight="1">
      <c r="A1347" s="16"/>
      <c r="B1347" s="39" t="s">
        <v>2356</v>
      </c>
      <c r="C1347" s="534">
        <v>1</v>
      </c>
      <c r="D1347" s="536" t="s">
        <v>273</v>
      </c>
      <c r="E1347" s="537">
        <v>1</v>
      </c>
      <c r="F1347" s="538">
        <v>3.35</v>
      </c>
      <c r="G1347" s="538">
        <v>2.4900000000000002</v>
      </c>
      <c r="H1347" s="538">
        <v>0</v>
      </c>
      <c r="I1347" s="542">
        <f t="shared" ref="I1347:I1353" si="122">ROUND(IF(AND(F1347:H1347),C1347*E1347*F1347*G1347*H1347,IF(AND(F1347,G1347),C1347*E1347*F1347*G1347,IF(AND(F1347,H1347),C1347*E1347*F1347*H1347,IF(AND(G1347,H1347),C1347*E1347*G1347*H1347,IF(F1347,C1347*E1347*F1347,IF(G1347,C1347*E1347*G1347,IF(H1347,C1347*E1347*H1347,C1347*E1347))))))),2)</f>
        <v>8.34</v>
      </c>
      <c r="J1347" s="550" t="s">
        <v>102</v>
      </c>
      <c r="K1347" s="39"/>
      <c r="L1347" s="208"/>
      <c r="M1347" s="39"/>
      <c r="N1347" s="533" t="s">
        <v>2309</v>
      </c>
    </row>
    <row r="1348" spans="1:14" s="541" customFormat="1" ht="16.5" customHeight="1">
      <c r="A1348" s="16"/>
      <c r="B1348" s="39" t="s">
        <v>1620</v>
      </c>
      <c r="C1348" s="534">
        <v>1</v>
      </c>
      <c r="D1348" s="536" t="s">
        <v>273</v>
      </c>
      <c r="E1348" s="537">
        <v>1</v>
      </c>
      <c r="F1348" s="538">
        <v>3.35</v>
      </c>
      <c r="G1348" s="538">
        <v>2.88</v>
      </c>
      <c r="H1348" s="538">
        <v>0</v>
      </c>
      <c r="I1348" s="542">
        <f t="shared" si="122"/>
        <v>9.65</v>
      </c>
      <c r="J1348" s="550" t="s">
        <v>102</v>
      </c>
      <c r="K1348" s="39"/>
      <c r="L1348" s="208"/>
      <c r="M1348" s="39"/>
      <c r="N1348" s="533" t="s">
        <v>2309</v>
      </c>
    </row>
    <row r="1349" spans="1:14" s="541" customFormat="1" ht="16.5" customHeight="1">
      <c r="A1349" s="16"/>
      <c r="B1349" s="39" t="s">
        <v>587</v>
      </c>
      <c r="C1349" s="534">
        <v>1</v>
      </c>
      <c r="D1349" s="536" t="s">
        <v>273</v>
      </c>
      <c r="E1349" s="537">
        <v>1</v>
      </c>
      <c r="F1349" s="538">
        <v>3.35</v>
      </c>
      <c r="G1349" s="538">
        <v>3.12</v>
      </c>
      <c r="H1349" s="538">
        <v>0</v>
      </c>
      <c r="I1349" s="542">
        <f t="shared" si="122"/>
        <v>10.45</v>
      </c>
      <c r="J1349" s="550" t="s">
        <v>102</v>
      </c>
      <c r="K1349" s="39"/>
      <c r="L1349" s="208"/>
      <c r="M1349" s="39"/>
      <c r="N1349" s="533" t="s">
        <v>2309</v>
      </c>
    </row>
    <row r="1350" spans="1:14" s="541" customFormat="1" ht="16.5" customHeight="1">
      <c r="A1350" s="16"/>
      <c r="B1350" s="39" t="s">
        <v>2930</v>
      </c>
      <c r="C1350" s="534">
        <v>1</v>
      </c>
      <c r="D1350" s="536" t="s">
        <v>273</v>
      </c>
      <c r="E1350" s="537">
        <v>1</v>
      </c>
      <c r="F1350" s="538">
        <v>11.93</v>
      </c>
      <c r="G1350" s="538">
        <v>1.8</v>
      </c>
      <c r="H1350" s="538">
        <v>0</v>
      </c>
      <c r="I1350" s="542">
        <f t="shared" si="122"/>
        <v>21.47</v>
      </c>
      <c r="J1350" s="550" t="s">
        <v>102</v>
      </c>
      <c r="K1350" s="39"/>
      <c r="L1350" s="208"/>
      <c r="M1350" s="39"/>
      <c r="N1350" s="533" t="s">
        <v>2309</v>
      </c>
    </row>
    <row r="1351" spans="1:14" s="541" customFormat="1" ht="16.5" customHeight="1">
      <c r="A1351" s="16"/>
      <c r="B1351" s="39" t="s">
        <v>3093</v>
      </c>
      <c r="C1351" s="534">
        <v>1</v>
      </c>
      <c r="D1351" s="536" t="s">
        <v>273</v>
      </c>
      <c r="E1351" s="537">
        <v>1</v>
      </c>
      <c r="F1351" s="538">
        <v>4.9800000000000004</v>
      </c>
      <c r="G1351" s="538">
        <v>8.6</v>
      </c>
      <c r="H1351" s="538">
        <v>0</v>
      </c>
      <c r="I1351" s="542">
        <f t="shared" si="122"/>
        <v>42.83</v>
      </c>
      <c r="J1351" s="550" t="s">
        <v>102</v>
      </c>
      <c r="K1351" s="39"/>
      <c r="L1351" s="208"/>
      <c r="M1351" s="39"/>
      <c r="N1351" s="533" t="s">
        <v>2309</v>
      </c>
    </row>
    <row r="1352" spans="1:14" s="541" customFormat="1" ht="16.5" customHeight="1">
      <c r="A1352" s="16"/>
      <c r="B1352" s="39" t="s">
        <v>3079</v>
      </c>
      <c r="C1352" s="534">
        <v>2</v>
      </c>
      <c r="D1352" s="536" t="s">
        <v>273</v>
      </c>
      <c r="E1352" s="537">
        <v>2</v>
      </c>
      <c r="F1352" s="538">
        <v>1.8</v>
      </c>
      <c r="G1352" s="538">
        <v>0</v>
      </c>
      <c r="H1352" s="538">
        <v>0.38</v>
      </c>
      <c r="I1352" s="542">
        <f t="shared" si="122"/>
        <v>2.74</v>
      </c>
      <c r="J1352" s="550" t="s">
        <v>102</v>
      </c>
      <c r="K1352" s="39"/>
      <c r="L1352" s="208"/>
      <c r="M1352" s="39"/>
      <c r="N1352" s="533" t="s">
        <v>2309</v>
      </c>
    </row>
    <row r="1353" spans="1:14" s="541" customFormat="1" ht="16.5" customHeight="1">
      <c r="A1353" s="16"/>
      <c r="B1353" s="39" t="s">
        <v>3094</v>
      </c>
      <c r="C1353" s="534">
        <v>1</v>
      </c>
      <c r="D1353" s="536" t="s">
        <v>273</v>
      </c>
      <c r="E1353" s="537">
        <v>1</v>
      </c>
      <c r="F1353" s="538">
        <v>11.68</v>
      </c>
      <c r="G1353" s="538">
        <v>0</v>
      </c>
      <c r="H1353" s="538">
        <v>3.1</v>
      </c>
      <c r="I1353" s="542">
        <f t="shared" si="122"/>
        <v>36.21</v>
      </c>
      <c r="J1353" s="550" t="s">
        <v>102</v>
      </c>
      <c r="K1353" s="39"/>
      <c r="L1353" s="208"/>
      <c r="M1353" s="39"/>
      <c r="N1353" s="533" t="s">
        <v>2309</v>
      </c>
    </row>
    <row r="1354" spans="1:14" s="541" customFormat="1" ht="16.5" customHeight="1">
      <c r="A1354" s="16"/>
      <c r="B1354" s="39" t="s">
        <v>587</v>
      </c>
      <c r="C1354" s="534">
        <v>1</v>
      </c>
      <c r="D1354" s="536" t="s">
        <v>273</v>
      </c>
      <c r="E1354" s="537">
        <v>1</v>
      </c>
      <c r="F1354" s="538">
        <v>12.74</v>
      </c>
      <c r="G1354" s="538">
        <v>0</v>
      </c>
      <c r="H1354" s="538">
        <v>3.1</v>
      </c>
      <c r="I1354" s="542">
        <f>ROUND(IF(AND(F1354:H1354),C1354*E1354*F1354*G1354*H1354,IF(AND(F1354,G1354),C1354*E1354*F1354*G1354,IF(AND(F1354,H1354),C1354*E1354*F1354*H1354,IF(AND(G1354,H1354),C1354*E1354*G1354*H1354,IF(F1354,C1354*E1354*F1354,IF(G1354,C1354*E1354*G1354,IF(H1354,C1354*E1354*H1354,C1354*E1354))))))),2)</f>
        <v>39.49</v>
      </c>
      <c r="J1354" s="550" t="s">
        <v>102</v>
      </c>
      <c r="K1354" s="39"/>
      <c r="L1354" s="208"/>
      <c r="M1354" s="39"/>
      <c r="N1354" s="533" t="s">
        <v>2309</v>
      </c>
    </row>
    <row r="1355" spans="1:14" s="541" customFormat="1" ht="16.5" customHeight="1">
      <c r="A1355" s="16"/>
      <c r="B1355" s="39" t="s">
        <v>3095</v>
      </c>
      <c r="C1355" s="534">
        <v>1</v>
      </c>
      <c r="D1355" s="536" t="s">
        <v>273</v>
      </c>
      <c r="E1355" s="537">
        <v>1</v>
      </c>
      <c r="F1355" s="538">
        <v>12.26</v>
      </c>
      <c r="G1355" s="538">
        <v>0</v>
      </c>
      <c r="H1355" s="538">
        <v>3.1</v>
      </c>
      <c r="I1355" s="542">
        <f t="shared" ref="I1355:I1357" si="123">ROUND(IF(AND(F1355:H1355),C1355*E1355*F1355*G1355*H1355,IF(AND(F1355,G1355),C1355*E1355*F1355*G1355,IF(AND(F1355,H1355),C1355*E1355*F1355*H1355,IF(AND(G1355,H1355),C1355*E1355*G1355*H1355,IF(F1355,C1355*E1355*F1355,IF(G1355,C1355*E1355*G1355,IF(H1355,C1355*E1355*H1355,C1355*E1355))))))),2)</f>
        <v>38.01</v>
      </c>
      <c r="J1355" s="550" t="s">
        <v>102</v>
      </c>
      <c r="K1355" s="39"/>
      <c r="L1355" s="208"/>
      <c r="M1355" s="39"/>
      <c r="N1355" s="533" t="s">
        <v>2309</v>
      </c>
    </row>
    <row r="1356" spans="1:14" s="541" customFormat="1" ht="16.5" customHeight="1">
      <c r="A1356" s="16"/>
      <c r="B1356" s="39" t="s">
        <v>3082</v>
      </c>
      <c r="C1356" s="534">
        <v>1</v>
      </c>
      <c r="D1356" s="536" t="s">
        <v>273</v>
      </c>
      <c r="E1356" s="537">
        <v>1</v>
      </c>
      <c r="F1356" s="538">
        <v>11.93</v>
      </c>
      <c r="G1356" s="538">
        <v>0</v>
      </c>
      <c r="H1356" s="538">
        <v>3.1</v>
      </c>
      <c r="I1356" s="542">
        <f t="shared" si="123"/>
        <v>36.979999999999997</v>
      </c>
      <c r="J1356" s="550" t="s">
        <v>102</v>
      </c>
      <c r="K1356" s="39"/>
      <c r="L1356" s="208"/>
      <c r="M1356" s="39"/>
      <c r="N1356" s="533" t="s">
        <v>2309</v>
      </c>
    </row>
    <row r="1357" spans="1:14" s="541" customFormat="1" ht="16.5" customHeight="1">
      <c r="A1357" s="16"/>
      <c r="B1357" s="39"/>
      <c r="C1357" s="534">
        <v>1</v>
      </c>
      <c r="D1357" s="536" t="s">
        <v>273</v>
      </c>
      <c r="E1357" s="537">
        <v>1</v>
      </c>
      <c r="F1357" s="538">
        <v>9.42</v>
      </c>
      <c r="G1357" s="538">
        <v>0</v>
      </c>
      <c r="H1357" s="538">
        <v>3.1</v>
      </c>
      <c r="I1357" s="542">
        <f t="shared" si="123"/>
        <v>29.2</v>
      </c>
      <c r="J1357" s="550" t="s">
        <v>102</v>
      </c>
      <c r="K1357" s="39"/>
      <c r="L1357" s="208"/>
      <c r="M1357" s="39"/>
      <c r="N1357" s="533" t="s">
        <v>2309</v>
      </c>
    </row>
    <row r="1358" spans="1:14" s="541" customFormat="1" ht="16.5" customHeight="1">
      <c r="A1358" s="16"/>
      <c r="B1358" s="39" t="s">
        <v>223</v>
      </c>
      <c r="C1358" s="534">
        <v>1</v>
      </c>
      <c r="D1358" s="536" t="s">
        <v>273</v>
      </c>
      <c r="E1358" s="537">
        <v>1</v>
      </c>
      <c r="F1358" s="538">
        <v>22.92</v>
      </c>
      <c r="G1358" s="538">
        <v>0</v>
      </c>
      <c r="H1358" s="538">
        <v>3.1</v>
      </c>
      <c r="I1358" s="542">
        <f>ROUND(IF(AND(F1358:H1358),C1358*E1358*F1358*G1358*H1358,IF(AND(F1358,G1358),C1358*E1358*F1358*G1358,IF(AND(F1358,H1358),C1358*E1358*F1358*H1358,IF(AND(G1358,H1358),C1358*E1358*G1358*H1358,IF(F1358,C1358*E1358*F1358,IF(G1358,C1358*E1358*G1358,IF(H1358,C1358*E1358*H1358,C1358*E1358))))))),2)</f>
        <v>71.05</v>
      </c>
      <c r="J1358" s="550" t="s">
        <v>102</v>
      </c>
      <c r="K1358" s="39"/>
      <c r="L1358" s="208"/>
      <c r="M1358" s="39"/>
      <c r="N1358" s="533" t="s">
        <v>2309</v>
      </c>
    </row>
    <row r="1359" spans="1:14" s="541" customFormat="1" ht="16.5" customHeight="1">
      <c r="A1359" s="16"/>
      <c r="B1359" s="39" t="s">
        <v>3096</v>
      </c>
      <c r="C1359" s="534">
        <v>1</v>
      </c>
      <c r="D1359" s="536" t="s">
        <v>273</v>
      </c>
      <c r="E1359" s="537">
        <v>1</v>
      </c>
      <c r="F1359" s="538">
        <v>2.68</v>
      </c>
      <c r="G1359" s="538">
        <v>0</v>
      </c>
      <c r="H1359" s="538">
        <v>1.2</v>
      </c>
      <c r="I1359" s="542">
        <f>ROUND(IF(AND(F1359:H1359),C1359*E1359*F1359*G1359*H1359,IF(AND(F1359,G1359),C1359*E1359*F1359*G1359,IF(AND(F1359,H1359),C1359*E1359*F1359*H1359,IF(AND(G1359,H1359),C1359*E1359*G1359*H1359,IF(F1359,C1359*E1359*F1359,IF(G1359,C1359*E1359*G1359,IF(H1359,C1359*E1359*H1359,C1359*E1359))))))),2)</f>
        <v>3.22</v>
      </c>
      <c r="J1359" s="550" t="s">
        <v>102</v>
      </c>
      <c r="K1359" s="39"/>
      <c r="L1359" s="208"/>
      <c r="M1359" s="39"/>
      <c r="N1359" s="533" t="s">
        <v>2309</v>
      </c>
    </row>
    <row r="1360" spans="1:14" s="541" customFormat="1" ht="16.5" customHeight="1">
      <c r="A1360" s="16"/>
      <c r="B1360" s="39" t="s">
        <v>3097</v>
      </c>
      <c r="C1360" s="534">
        <v>1</v>
      </c>
      <c r="D1360" s="536" t="s">
        <v>273</v>
      </c>
      <c r="E1360" s="537">
        <v>1</v>
      </c>
      <c r="F1360" s="538">
        <v>0.85</v>
      </c>
      <c r="G1360" s="538">
        <v>0</v>
      </c>
      <c r="H1360" s="538">
        <v>1.2</v>
      </c>
      <c r="I1360" s="542">
        <f>ROUND(IF(AND(F1360:H1360),C1360*E1360*F1360*G1360*H1360,IF(AND(F1360,G1360),C1360*E1360*F1360*G1360,IF(AND(F1360,H1360),C1360*E1360*F1360*H1360,IF(AND(G1360,H1360),C1360*E1360*G1360*H1360,IF(F1360,C1360*E1360*F1360,IF(G1360,C1360*E1360*G1360,IF(H1360,C1360*E1360*H1360,C1360*E1360))))))),2)</f>
        <v>1.02</v>
      </c>
      <c r="J1360" s="550" t="s">
        <v>102</v>
      </c>
      <c r="K1360" s="39"/>
      <c r="L1360" s="208"/>
      <c r="M1360" s="39"/>
      <c r="N1360" s="533" t="s">
        <v>2309</v>
      </c>
    </row>
    <row r="1361" spans="1:14" s="541" customFormat="1" ht="16.5" customHeight="1">
      <c r="A1361" s="16"/>
      <c r="B1361" s="39" t="s">
        <v>2981</v>
      </c>
      <c r="C1361" s="534">
        <v>1</v>
      </c>
      <c r="D1361" s="536" t="s">
        <v>273</v>
      </c>
      <c r="E1361" s="537">
        <v>1</v>
      </c>
      <c r="F1361" s="538">
        <v>2.68</v>
      </c>
      <c r="G1361" s="538">
        <v>0</v>
      </c>
      <c r="H1361" s="538">
        <v>1.2</v>
      </c>
      <c r="I1361" s="542">
        <f>ROUND(IF(AND(F1361:H1361),C1361*E1361*F1361*G1361*H1361,IF(AND(F1361,G1361),C1361*E1361*F1361*G1361,IF(AND(F1361,H1361),C1361*E1361*F1361*H1361,IF(AND(G1361,H1361),C1361*E1361*G1361*H1361,IF(F1361,C1361*E1361*F1361,IF(G1361,C1361*E1361*G1361,IF(H1361,C1361*E1361*H1361,C1361*E1361))))))),2)</f>
        <v>3.22</v>
      </c>
      <c r="J1361" s="550" t="s">
        <v>102</v>
      </c>
      <c r="K1361" s="39"/>
      <c r="L1361" s="208"/>
      <c r="M1361" s="39"/>
      <c r="N1361" s="533" t="s">
        <v>2309</v>
      </c>
    </row>
    <row r="1362" spans="1:14" s="541" customFormat="1" ht="16.5" customHeight="1">
      <c r="A1362" s="16"/>
      <c r="B1362" s="39" t="s">
        <v>3097</v>
      </c>
      <c r="C1362" s="534">
        <v>1</v>
      </c>
      <c r="D1362" s="536" t="s">
        <v>273</v>
      </c>
      <c r="E1362" s="537">
        <v>2</v>
      </c>
      <c r="F1362" s="538">
        <v>0.85</v>
      </c>
      <c r="G1362" s="538">
        <v>0</v>
      </c>
      <c r="H1362" s="538">
        <v>1.2</v>
      </c>
      <c r="I1362" s="542">
        <f>ROUND(IF(AND(F1362:H1362),C1362*E1362*F1362*G1362*H1362,IF(AND(F1362,G1362),C1362*E1362*F1362*G1362,IF(AND(F1362,H1362),C1362*E1362*F1362*H1362,IF(AND(G1362,H1362),C1362*E1362*G1362*H1362,IF(F1362,C1362*E1362*F1362,IF(G1362,C1362*E1362*G1362,IF(H1362,C1362*E1362*H1362,C1362*E1362))))))),2)</f>
        <v>2.04</v>
      </c>
      <c r="J1362" s="550" t="s">
        <v>102</v>
      </c>
      <c r="K1362" s="39"/>
      <c r="L1362" s="208"/>
      <c r="M1362" s="39"/>
      <c r="N1362" s="533" t="s">
        <v>2309</v>
      </c>
    </row>
    <row r="1363" spans="1:14" s="541" customFormat="1" ht="16.5" customHeight="1">
      <c r="A1363" s="16"/>
      <c r="B1363" s="39" t="s">
        <v>1533</v>
      </c>
      <c r="C1363" s="534">
        <v>1</v>
      </c>
      <c r="D1363" s="536" t="s">
        <v>273</v>
      </c>
      <c r="E1363" s="537">
        <v>1</v>
      </c>
      <c r="F1363" s="538">
        <v>1.2</v>
      </c>
      <c r="G1363" s="538">
        <v>0</v>
      </c>
      <c r="H1363" s="538">
        <v>1.1000000000000001</v>
      </c>
      <c r="I1363" s="542">
        <f>-ROUND(IF(AND(F1363:H1363),C1363*E1363*F1363*G1363*H1363,IF(AND(F1363,G1363),C1363*E1363*F1363*G1363,IF(AND(F1363,H1363),C1363*E1363*F1363*H1363,IF(AND(G1363,H1363),C1363*E1363*G1363*H1363,IF(F1363,C1363*E1363*F1363,IF(G1363,C1363*E1363*G1363,IF(H1363,C1363*E1363*H1363,C1363*E1363))))))),2)</f>
        <v>-1.32</v>
      </c>
      <c r="J1363" s="550" t="s">
        <v>102</v>
      </c>
      <c r="K1363" s="39"/>
      <c r="L1363" s="208"/>
      <c r="M1363" s="39"/>
      <c r="N1363" s="533" t="s">
        <v>2309</v>
      </c>
    </row>
    <row r="1364" spans="1:14" s="541" customFormat="1" ht="16.5" customHeight="1">
      <c r="A1364" s="16"/>
      <c r="B1364" s="39" t="s">
        <v>579</v>
      </c>
      <c r="C1364" s="534">
        <v>1</v>
      </c>
      <c r="D1364" s="536" t="s">
        <v>273</v>
      </c>
      <c r="E1364" s="537">
        <v>2</v>
      </c>
      <c r="F1364" s="538">
        <v>1.2</v>
      </c>
      <c r="G1364" s="538">
        <v>0</v>
      </c>
      <c r="H1364" s="538">
        <v>2.1</v>
      </c>
      <c r="I1364" s="542">
        <f>-ROUND(IF(AND(F1364:H1364),C1364*E1364*F1364*G1364*H1364,IF(AND(F1364,G1364),C1364*E1364*F1364*G1364,IF(AND(F1364,H1364),C1364*E1364*F1364*H1364,IF(AND(G1364,H1364),C1364*E1364*G1364*H1364,IF(F1364,C1364*E1364*F1364,IF(G1364,C1364*E1364*G1364,IF(H1364,C1364*E1364*H1364,C1364*E1364))))))),2)</f>
        <v>-5.04</v>
      </c>
      <c r="J1364" s="550" t="s">
        <v>102</v>
      </c>
      <c r="K1364" s="39"/>
      <c r="L1364" s="208"/>
      <c r="M1364" s="39"/>
      <c r="N1364" s="533" t="s">
        <v>2309</v>
      </c>
    </row>
    <row r="1365" spans="1:14" s="541" customFormat="1" ht="16.5" customHeight="1">
      <c r="A1365" s="16"/>
      <c r="B1365" s="39" t="s">
        <v>579</v>
      </c>
      <c r="C1365" s="534">
        <v>2</v>
      </c>
      <c r="D1365" s="536" t="s">
        <v>273</v>
      </c>
      <c r="E1365" s="537">
        <v>4</v>
      </c>
      <c r="F1365" s="538">
        <v>1.05</v>
      </c>
      <c r="G1365" s="538">
        <v>0</v>
      </c>
      <c r="H1365" s="538">
        <v>2.1</v>
      </c>
      <c r="I1365" s="542">
        <f>-ROUND(IF(AND(F1365:H1365),C1365*E1365*F1365*G1365*H1365,IF(AND(F1365,G1365),C1365*E1365*F1365*G1365,IF(AND(F1365,H1365),C1365*E1365*F1365*H1365,IF(AND(G1365,H1365),C1365*E1365*G1365*H1365,IF(F1365,C1365*E1365*F1365,IF(G1365,C1365*E1365*G1365,IF(H1365,C1365*E1365*H1365,C1365*E1365))))))),2)</f>
        <v>-17.64</v>
      </c>
      <c r="J1365" s="550" t="s">
        <v>102</v>
      </c>
      <c r="K1365" s="39"/>
      <c r="L1365" s="208"/>
      <c r="M1365" s="39"/>
      <c r="N1365" s="533" t="s">
        <v>2309</v>
      </c>
    </row>
    <row r="1366" spans="1:14" s="541" customFormat="1" ht="16.5" customHeight="1">
      <c r="A1366" s="16"/>
      <c r="B1366" s="39" t="s">
        <v>2354</v>
      </c>
      <c r="C1366" s="534">
        <v>1</v>
      </c>
      <c r="D1366" s="536" t="s">
        <v>273</v>
      </c>
      <c r="E1366" s="537">
        <v>7</v>
      </c>
      <c r="F1366" s="538">
        <v>1.5</v>
      </c>
      <c r="G1366" s="538">
        <v>0</v>
      </c>
      <c r="H1366" s="538">
        <v>1.35</v>
      </c>
      <c r="I1366" s="542">
        <f>-ROUND(IF(AND(F1366:H1366),C1366*E1366*F1366*G1366*H1366,IF(AND(F1366,G1366),C1366*E1366*F1366*G1366,IF(AND(F1366,H1366),C1366*E1366*F1366*H1366,IF(AND(G1366,H1366),C1366*E1366*G1366*H1366,IF(F1366,C1366*E1366*F1366,IF(G1366,C1366*E1366*G1366,IF(H1366,C1366*E1366*H1366,C1366*E1366))))))),2)</f>
        <v>-14.18</v>
      </c>
      <c r="J1366" s="550" t="s">
        <v>102</v>
      </c>
      <c r="K1366" s="39"/>
      <c r="L1366" s="208"/>
      <c r="M1366" s="39"/>
      <c r="N1366" s="533" t="s">
        <v>2309</v>
      </c>
    </row>
    <row r="1367" spans="1:14" s="541" customFormat="1" ht="16.5" customHeight="1">
      <c r="A1367" s="16"/>
      <c r="B1367" s="39" t="s">
        <v>2134</v>
      </c>
      <c r="C1367" s="534">
        <v>1</v>
      </c>
      <c r="D1367" s="536" t="s">
        <v>273</v>
      </c>
      <c r="E1367" s="537">
        <v>12</v>
      </c>
      <c r="F1367" s="538">
        <v>0.6</v>
      </c>
      <c r="G1367" s="538">
        <v>0</v>
      </c>
      <c r="H1367" s="538">
        <v>0.3</v>
      </c>
      <c r="I1367" s="542">
        <f>-ROUND(IF(AND(F1367:H1367),C1367*E1367*F1367*G1367*H1367,IF(AND(F1367,G1367),C1367*E1367*F1367*G1367,IF(AND(F1367,H1367),C1367*E1367*F1367*H1367,IF(AND(G1367,H1367),C1367*E1367*G1367*H1367,IF(F1367,C1367*E1367*F1367,IF(G1367,C1367*E1367*G1367,IF(H1367,C1367*E1367*H1367,C1367*E1367))))))),2)</f>
        <v>-2.16</v>
      </c>
      <c r="J1367" s="550" t="s">
        <v>102</v>
      </c>
      <c r="K1367" s="39"/>
      <c r="L1367" s="208"/>
      <c r="M1367" s="39"/>
      <c r="N1367" s="533" t="s">
        <v>2309</v>
      </c>
    </row>
    <row r="1368" spans="1:14" s="541" customFormat="1" ht="16.5" customHeight="1">
      <c r="A1368" s="16"/>
      <c r="B1368" s="544"/>
      <c r="C1368" s="545"/>
      <c r="D1368" s="546"/>
      <c r="E1368" s="582"/>
      <c r="F1368" s="548"/>
      <c r="G1368" s="548"/>
      <c r="H1368" s="548"/>
      <c r="I1368" s="549"/>
      <c r="J1368" s="550"/>
      <c r="K1368" s="39"/>
      <c r="L1368" s="208"/>
      <c r="M1368" s="39"/>
      <c r="N1368" s="533" t="s">
        <v>2309</v>
      </c>
    </row>
    <row r="1369" spans="1:14" ht="15.75">
      <c r="A1369" s="16"/>
      <c r="B1369" s="39"/>
      <c r="C1369" s="551"/>
      <c r="D1369" s="552"/>
      <c r="E1369" s="537"/>
      <c r="F1369" s="538"/>
      <c r="G1369" s="40"/>
      <c r="H1369" s="16"/>
      <c r="I1369" s="549"/>
      <c r="J1369" s="550" t="s">
        <v>102</v>
      </c>
      <c r="K1369" s="10">
        <f>data!F3562</f>
        <v>184.03</v>
      </c>
      <c r="L1369" s="208" t="s">
        <v>2309</v>
      </c>
      <c r="M1369" s="9">
        <f>ROUND(I1369*K1369,0)</f>
        <v>0</v>
      </c>
      <c r="N1369" s="533" t="s">
        <v>2309</v>
      </c>
    </row>
    <row r="1370" spans="1:14" ht="94.5" customHeight="1">
      <c r="A1370" s="16">
        <v>20</v>
      </c>
      <c r="B1370" s="1633" t="s">
        <v>1167</v>
      </c>
      <c r="C1370" s="1633"/>
      <c r="D1370" s="1633"/>
      <c r="E1370" s="1633"/>
      <c r="F1370" s="1633"/>
      <c r="G1370" s="1633"/>
      <c r="H1370" s="1633"/>
      <c r="I1370" s="534"/>
      <c r="J1370" s="535"/>
      <c r="K1370" s="16"/>
      <c r="L1370" s="208"/>
      <c r="M1370" s="38"/>
      <c r="N1370" s="533" t="s">
        <v>2209</v>
      </c>
    </row>
    <row r="1371" spans="1:14" s="541" customFormat="1" ht="16.5" customHeight="1">
      <c r="A1371" s="16"/>
      <c r="B1371" s="39" t="s">
        <v>2820</v>
      </c>
      <c r="C1371" s="534"/>
      <c r="D1371" s="536"/>
      <c r="E1371" s="537"/>
      <c r="F1371" s="538"/>
      <c r="G1371" s="538"/>
      <c r="H1371" s="538"/>
      <c r="I1371" s="539"/>
      <c r="J1371" s="550"/>
      <c r="K1371" s="39"/>
      <c r="L1371" s="208"/>
      <c r="M1371" s="39"/>
      <c r="N1371" s="533" t="s">
        <v>2209</v>
      </c>
    </row>
    <row r="1372" spans="1:14" s="541" customFormat="1" ht="15.75">
      <c r="A1372" s="16"/>
      <c r="B1372" s="39" t="s">
        <v>2160</v>
      </c>
      <c r="C1372" s="534">
        <v>1</v>
      </c>
      <c r="D1372" s="536" t="s">
        <v>273</v>
      </c>
      <c r="E1372" s="537">
        <v>1</v>
      </c>
      <c r="F1372" s="538">
        <v>12.48</v>
      </c>
      <c r="G1372" s="538">
        <v>0</v>
      </c>
      <c r="H1372" s="538">
        <v>3.12</v>
      </c>
      <c r="I1372" s="542">
        <f t="shared" ref="I1372:I1376" si="124">ROUND(IF(AND(F1372:H1372),C1372*E1372*F1372*G1372*H1372,IF(AND(F1372,G1372),C1372*E1372*F1372*G1372,IF(AND(F1372,H1372),C1372*E1372*F1372*H1372,IF(AND(G1372,H1372),C1372*E1372*G1372*H1372,IF(F1372,C1372*E1372*F1372,IF(G1372,C1372*E1372*G1372,IF(H1372,C1372*E1372*H1372,C1372*E1372))))))),2)</f>
        <v>38.94</v>
      </c>
      <c r="J1372" s="550" t="s">
        <v>102</v>
      </c>
      <c r="K1372" s="39"/>
      <c r="L1372" s="208"/>
      <c r="M1372" s="39"/>
      <c r="N1372" s="533" t="s">
        <v>2209</v>
      </c>
    </row>
    <row r="1373" spans="1:14" s="541" customFormat="1" ht="15.75">
      <c r="A1373" s="16"/>
      <c r="B1373" s="39" t="s">
        <v>2160</v>
      </c>
      <c r="C1373" s="534">
        <v>1</v>
      </c>
      <c r="D1373" s="536" t="s">
        <v>273</v>
      </c>
      <c r="E1373" s="537">
        <v>1</v>
      </c>
      <c r="F1373" s="538">
        <v>8.92</v>
      </c>
      <c r="G1373" s="538">
        <v>0</v>
      </c>
      <c r="H1373" s="538">
        <v>3.12</v>
      </c>
      <c r="I1373" s="542">
        <f t="shared" si="124"/>
        <v>27.83</v>
      </c>
      <c r="J1373" s="550" t="s">
        <v>102</v>
      </c>
      <c r="K1373" s="39"/>
      <c r="L1373" s="208"/>
      <c r="M1373" s="39"/>
      <c r="N1373" s="533" t="s">
        <v>2209</v>
      </c>
    </row>
    <row r="1374" spans="1:14" s="541" customFormat="1" ht="16.5" customHeight="1">
      <c r="A1374" s="16"/>
      <c r="B1374" s="39" t="s">
        <v>2160</v>
      </c>
      <c r="C1374" s="534">
        <v>1</v>
      </c>
      <c r="D1374" s="536" t="s">
        <v>273</v>
      </c>
      <c r="E1374" s="537">
        <v>1</v>
      </c>
      <c r="F1374" s="538">
        <v>1.2</v>
      </c>
      <c r="G1374" s="538">
        <v>0</v>
      </c>
      <c r="H1374" s="538">
        <v>2.1</v>
      </c>
      <c r="I1374" s="542">
        <f t="shared" si="124"/>
        <v>2.52</v>
      </c>
      <c r="J1374" s="550" t="s">
        <v>102</v>
      </c>
      <c r="K1374" s="39"/>
      <c r="L1374" s="208"/>
      <c r="M1374" s="39"/>
      <c r="N1374" s="533" t="s">
        <v>2209</v>
      </c>
    </row>
    <row r="1375" spans="1:14" s="541" customFormat="1" ht="16.5" customHeight="1">
      <c r="A1375" s="16"/>
      <c r="B1375" s="39" t="s">
        <v>2160</v>
      </c>
      <c r="C1375" s="534">
        <v>1</v>
      </c>
      <c r="D1375" s="536" t="s">
        <v>273</v>
      </c>
      <c r="E1375" s="537">
        <v>1</v>
      </c>
      <c r="F1375" s="538">
        <v>1.5</v>
      </c>
      <c r="G1375" s="538">
        <v>0</v>
      </c>
      <c r="H1375" s="538">
        <v>1.35</v>
      </c>
      <c r="I1375" s="542">
        <f t="shared" si="124"/>
        <v>2.0299999999999998</v>
      </c>
      <c r="J1375" s="550" t="s">
        <v>102</v>
      </c>
      <c r="K1375" s="39"/>
      <c r="L1375" s="208"/>
      <c r="M1375" s="39"/>
      <c r="N1375" s="533" t="s">
        <v>2209</v>
      </c>
    </row>
    <row r="1376" spans="1:14" s="541" customFormat="1" ht="16.5" customHeight="1">
      <c r="A1376" s="16"/>
      <c r="B1376" s="39" t="s">
        <v>2160</v>
      </c>
      <c r="C1376" s="534">
        <v>1</v>
      </c>
      <c r="D1376" s="536" t="s">
        <v>273</v>
      </c>
      <c r="E1376" s="537">
        <v>1</v>
      </c>
      <c r="F1376" s="538">
        <v>2.7</v>
      </c>
      <c r="G1376" s="538">
        <v>0</v>
      </c>
      <c r="H1376" s="538">
        <v>0.15</v>
      </c>
      <c r="I1376" s="542">
        <f t="shared" si="124"/>
        <v>0.41</v>
      </c>
      <c r="J1376" s="550" t="s">
        <v>102</v>
      </c>
      <c r="K1376" s="39"/>
      <c r="L1376" s="208"/>
      <c r="M1376" s="39"/>
      <c r="N1376" s="533" t="s">
        <v>2209</v>
      </c>
    </row>
    <row r="1377" spans="1:14" s="541" customFormat="1" ht="16.5" customHeight="1">
      <c r="A1377" s="16"/>
      <c r="B1377" s="544"/>
      <c r="C1377" s="545"/>
      <c r="D1377" s="546"/>
      <c r="E1377" s="547"/>
      <c r="F1377" s="548"/>
      <c r="G1377" s="548"/>
      <c r="H1377" s="548"/>
      <c r="I1377" s="549"/>
      <c r="J1377" s="550"/>
      <c r="K1377" s="39"/>
      <c r="L1377" s="208"/>
      <c r="M1377" s="39"/>
      <c r="N1377" s="533" t="s">
        <v>2209</v>
      </c>
    </row>
    <row r="1378" spans="1:14" ht="15.75">
      <c r="A1378" s="16"/>
      <c r="B1378" s="39"/>
      <c r="C1378" s="551"/>
      <c r="D1378" s="552"/>
      <c r="E1378" s="537"/>
      <c r="F1378" s="538"/>
      <c r="G1378" s="40"/>
      <c r="H1378" s="16"/>
      <c r="I1378" s="549"/>
      <c r="J1378" s="550" t="s">
        <v>102</v>
      </c>
      <c r="K1378" s="10">
        <f>data!F846</f>
        <v>131.44999999999999</v>
      </c>
      <c r="L1378" s="208" t="s">
        <v>2209</v>
      </c>
      <c r="M1378" s="9">
        <f>ROUND(I1378*K1378,0)</f>
        <v>0</v>
      </c>
      <c r="N1378" s="533" t="s">
        <v>2209</v>
      </c>
    </row>
    <row r="1379" spans="1:14" ht="94.5" customHeight="1">
      <c r="A1379" s="16">
        <v>19</v>
      </c>
      <c r="B1379" s="1633" t="s">
        <v>1167</v>
      </c>
      <c r="C1379" s="1633"/>
      <c r="D1379" s="1633"/>
      <c r="E1379" s="1633"/>
      <c r="F1379" s="1633"/>
      <c r="G1379" s="1633"/>
      <c r="H1379" s="1633"/>
      <c r="I1379" s="534"/>
      <c r="J1379" s="535"/>
      <c r="K1379" s="16"/>
      <c r="L1379" s="208"/>
      <c r="M1379" s="38"/>
      <c r="N1379" s="533" t="s">
        <v>2297</v>
      </c>
    </row>
    <row r="1380" spans="1:14" s="541" customFormat="1" ht="16.5" customHeight="1">
      <c r="A1380" s="16"/>
      <c r="B1380" s="39" t="s">
        <v>2982</v>
      </c>
      <c r="C1380" s="534"/>
      <c r="D1380" s="536"/>
      <c r="E1380" s="537"/>
      <c r="F1380" s="538"/>
      <c r="G1380" s="538"/>
      <c r="H1380" s="538"/>
      <c r="I1380" s="539"/>
      <c r="J1380" s="550"/>
      <c r="K1380" s="39"/>
      <c r="L1380" s="208"/>
      <c r="M1380" s="39"/>
      <c r="N1380" s="533" t="s">
        <v>2297</v>
      </c>
    </row>
    <row r="1381" spans="1:14" s="541" customFormat="1" ht="16.5" customHeight="1">
      <c r="A1381" s="16"/>
      <c r="B1381" s="39" t="s">
        <v>2973</v>
      </c>
      <c r="C1381" s="534">
        <v>1</v>
      </c>
      <c r="D1381" s="536" t="s">
        <v>273</v>
      </c>
      <c r="E1381" s="537">
        <v>1</v>
      </c>
      <c r="F1381" s="538">
        <v>17.2</v>
      </c>
      <c r="G1381" s="538">
        <v>0</v>
      </c>
      <c r="H1381" s="538">
        <v>3.0750000000000002</v>
      </c>
      <c r="I1381" s="542">
        <f t="shared" ref="I1381" si="125">ROUND(IF(AND(F1381:H1381),C1381*E1381*F1381*G1381*H1381,IF(AND(F1381,G1381),C1381*E1381*F1381*G1381,IF(AND(F1381,H1381),C1381*E1381*F1381*H1381,IF(AND(G1381,H1381),C1381*E1381*G1381*H1381,IF(F1381,C1381*E1381*F1381,IF(G1381,C1381*E1381*G1381,IF(H1381,C1381*E1381*H1381,C1381*E1381))))))),2)</f>
        <v>52.89</v>
      </c>
      <c r="J1381" s="550" t="s">
        <v>102</v>
      </c>
      <c r="K1381" s="39"/>
      <c r="L1381" s="208"/>
      <c r="M1381" s="39"/>
      <c r="N1381" s="533" t="s">
        <v>2297</v>
      </c>
    </row>
    <row r="1382" spans="1:14" s="541" customFormat="1" ht="16.5" customHeight="1">
      <c r="A1382" s="16"/>
      <c r="B1382" s="39" t="s">
        <v>579</v>
      </c>
      <c r="C1382" s="534">
        <v>1</v>
      </c>
      <c r="D1382" s="536" t="s">
        <v>273</v>
      </c>
      <c r="E1382" s="537">
        <v>2</v>
      </c>
      <c r="F1382" s="538">
        <v>1.2</v>
      </c>
      <c r="G1382" s="538">
        <v>0</v>
      </c>
      <c r="H1382" s="538">
        <v>2.1</v>
      </c>
      <c r="I1382" s="542">
        <f>-ROUND(IF(AND(F1382:H1382),C1382*E1382*F1382*G1382*H1382,IF(AND(F1382,G1382),C1382*E1382*F1382*G1382,IF(AND(F1382,H1382),C1382*E1382*F1382*H1382,IF(AND(G1382,H1382),C1382*E1382*G1382*H1382,IF(F1382,C1382*E1382*F1382,IF(G1382,C1382*E1382*G1382,IF(H1382,C1382*E1382*H1382,C1382*E1382))))))),2)</f>
        <v>-5.04</v>
      </c>
      <c r="J1382" s="550" t="s">
        <v>102</v>
      </c>
      <c r="K1382" s="39"/>
      <c r="L1382" s="208"/>
      <c r="M1382" s="39"/>
      <c r="N1382" s="533" t="s">
        <v>2297</v>
      </c>
    </row>
    <row r="1383" spans="1:14" s="541" customFormat="1" ht="16.5" customHeight="1">
      <c r="A1383" s="16"/>
      <c r="B1383" s="39" t="s">
        <v>2354</v>
      </c>
      <c r="C1383" s="534">
        <v>1</v>
      </c>
      <c r="D1383" s="536" t="s">
        <v>273</v>
      </c>
      <c r="E1383" s="537">
        <v>2</v>
      </c>
      <c r="F1383" s="538">
        <v>1.45</v>
      </c>
      <c r="G1383" s="538">
        <v>0</v>
      </c>
      <c r="H1383" s="538">
        <v>1.45</v>
      </c>
      <c r="I1383" s="542">
        <f>-ROUND(IF(AND(F1383:H1383),C1383*E1383*F1383*G1383*H1383,IF(AND(F1383,G1383),C1383*E1383*F1383*G1383,IF(AND(F1383,H1383),C1383*E1383*F1383*H1383,IF(AND(G1383,H1383),C1383*E1383*G1383*H1383,IF(F1383,C1383*E1383*F1383,IF(G1383,C1383*E1383*G1383,IF(H1383,C1383*E1383*H1383,C1383*E1383))))))),2)</f>
        <v>-4.21</v>
      </c>
      <c r="J1383" s="550" t="s">
        <v>102</v>
      </c>
      <c r="K1383" s="39"/>
      <c r="L1383" s="208"/>
      <c r="M1383" s="39"/>
      <c r="N1383" s="533" t="s">
        <v>2297</v>
      </c>
    </row>
    <row r="1384" spans="1:14" s="541" customFormat="1" ht="16.5" customHeight="1">
      <c r="A1384" s="16"/>
      <c r="B1384" s="39" t="s">
        <v>2134</v>
      </c>
      <c r="C1384" s="534">
        <v>1</v>
      </c>
      <c r="D1384" s="536" t="s">
        <v>273</v>
      </c>
      <c r="E1384" s="537">
        <v>2</v>
      </c>
      <c r="F1384" s="538">
        <v>0.6</v>
      </c>
      <c r="G1384" s="538">
        <v>0</v>
      </c>
      <c r="H1384" s="538">
        <v>0.3</v>
      </c>
      <c r="I1384" s="542">
        <f>-ROUND(IF(AND(F1384:H1384),C1384*E1384*F1384*G1384*H1384,IF(AND(F1384,G1384),C1384*E1384*F1384*G1384,IF(AND(F1384,H1384),C1384*E1384*F1384*H1384,IF(AND(G1384,H1384),C1384*E1384*G1384*H1384,IF(F1384,C1384*E1384*F1384,IF(G1384,C1384*E1384*G1384,IF(H1384,C1384*E1384*H1384,C1384*E1384))))))),2)</f>
        <v>-0.36</v>
      </c>
      <c r="J1384" s="550" t="s">
        <v>102</v>
      </c>
      <c r="K1384" s="39"/>
      <c r="L1384" s="208"/>
      <c r="M1384" s="39"/>
      <c r="N1384" s="533" t="s">
        <v>2297</v>
      </c>
    </row>
    <row r="1385" spans="1:14" s="541" customFormat="1" ht="16.5" customHeight="1">
      <c r="A1385" s="16"/>
      <c r="B1385" s="39" t="s">
        <v>1541</v>
      </c>
      <c r="C1385" s="534">
        <v>1</v>
      </c>
      <c r="D1385" s="536" t="s">
        <v>273</v>
      </c>
      <c r="E1385" s="537">
        <v>1</v>
      </c>
      <c r="F1385" s="538">
        <v>5.6</v>
      </c>
      <c r="G1385" s="538">
        <v>3</v>
      </c>
      <c r="H1385" s="538">
        <v>0</v>
      </c>
      <c r="I1385" s="542">
        <f t="shared" ref="I1385:I1387" si="126">ROUND(IF(AND(F1385:H1385),C1385*E1385*F1385*G1385*H1385,IF(AND(F1385,G1385),C1385*E1385*F1385*G1385,IF(AND(F1385,H1385),C1385*E1385*F1385*H1385,IF(AND(G1385,H1385),C1385*E1385*G1385*H1385,IF(F1385,C1385*E1385*F1385,IF(G1385,C1385*E1385*G1385,IF(H1385,C1385*E1385*H1385,C1385*E1385))))))),2)</f>
        <v>16.8</v>
      </c>
      <c r="J1385" s="550" t="s">
        <v>102</v>
      </c>
      <c r="K1385" s="39"/>
      <c r="L1385" s="208"/>
      <c r="M1385" s="39"/>
      <c r="N1385" s="533" t="s">
        <v>2297</v>
      </c>
    </row>
    <row r="1386" spans="1:14" s="541" customFormat="1" ht="16.5" customHeight="1">
      <c r="A1386" s="16"/>
      <c r="B1386" s="39" t="s">
        <v>2931</v>
      </c>
      <c r="C1386" s="534">
        <v>1</v>
      </c>
      <c r="D1386" s="536" t="s">
        <v>273</v>
      </c>
      <c r="E1386" s="537">
        <v>1</v>
      </c>
      <c r="F1386" s="538">
        <v>13</v>
      </c>
      <c r="G1386" s="538">
        <v>0</v>
      </c>
      <c r="H1386" s="538">
        <v>3.0750000000000002</v>
      </c>
      <c r="I1386" s="542">
        <f t="shared" si="126"/>
        <v>39.979999999999997</v>
      </c>
      <c r="J1386" s="550" t="s">
        <v>102</v>
      </c>
      <c r="K1386" s="39"/>
      <c r="L1386" s="208"/>
      <c r="M1386" s="39"/>
      <c r="N1386" s="533" t="s">
        <v>2297</v>
      </c>
    </row>
    <row r="1387" spans="1:14" s="541" customFormat="1" ht="16.5" customHeight="1">
      <c r="A1387" s="16"/>
      <c r="B1387" s="39" t="s">
        <v>2723</v>
      </c>
      <c r="C1387" s="534">
        <v>1</v>
      </c>
      <c r="D1387" s="536" t="s">
        <v>273</v>
      </c>
      <c r="E1387" s="537">
        <v>1</v>
      </c>
      <c r="F1387" s="538">
        <v>11.8</v>
      </c>
      <c r="G1387" s="538">
        <v>0</v>
      </c>
      <c r="H1387" s="538">
        <v>3.0750000000000002</v>
      </c>
      <c r="I1387" s="542">
        <f t="shared" si="126"/>
        <v>36.29</v>
      </c>
      <c r="J1387" s="550" t="s">
        <v>102</v>
      </c>
      <c r="K1387" s="39"/>
      <c r="L1387" s="208"/>
      <c r="M1387" s="39"/>
      <c r="N1387" s="533" t="s">
        <v>2297</v>
      </c>
    </row>
    <row r="1388" spans="1:14" s="541" customFormat="1" ht="16.5" customHeight="1">
      <c r="A1388" s="16"/>
      <c r="B1388" s="39"/>
      <c r="C1388" s="534">
        <v>1</v>
      </c>
      <c r="D1388" s="536" t="s">
        <v>273</v>
      </c>
      <c r="E1388" s="537">
        <v>1</v>
      </c>
      <c r="F1388" s="538">
        <v>11.8</v>
      </c>
      <c r="G1388" s="538">
        <v>0</v>
      </c>
      <c r="H1388" s="538">
        <v>3.0750000000000002</v>
      </c>
      <c r="I1388" s="542">
        <f t="shared" ref="I1388" si="127">ROUND(IF(AND(F1388:H1388),C1388*E1388*F1388*G1388*H1388,IF(AND(F1388,G1388),C1388*E1388*F1388*G1388,IF(AND(F1388,H1388),C1388*E1388*F1388*H1388,IF(AND(G1388,H1388),C1388*E1388*G1388*H1388,IF(F1388,C1388*E1388*F1388,IF(G1388,C1388*E1388*G1388,IF(H1388,C1388*E1388*H1388,C1388*E1388))))))),2)</f>
        <v>36.29</v>
      </c>
      <c r="J1388" s="550" t="s">
        <v>102</v>
      </c>
      <c r="K1388" s="39"/>
      <c r="L1388" s="208"/>
      <c r="M1388" s="39"/>
      <c r="N1388" s="533" t="s">
        <v>2297</v>
      </c>
    </row>
    <row r="1389" spans="1:14" s="541" customFormat="1" ht="16.5" customHeight="1">
      <c r="A1389" s="16"/>
      <c r="B1389" s="39" t="s">
        <v>579</v>
      </c>
      <c r="C1389" s="534">
        <v>1</v>
      </c>
      <c r="D1389" s="536" t="s">
        <v>273</v>
      </c>
      <c r="E1389" s="537">
        <v>3</v>
      </c>
      <c r="F1389" s="538">
        <v>1.05</v>
      </c>
      <c r="G1389" s="538">
        <v>0</v>
      </c>
      <c r="H1389" s="538">
        <v>2.1</v>
      </c>
      <c r="I1389" s="542">
        <f>-ROUND(IF(AND(F1389:H1389),C1389*E1389*F1389*G1389*H1389,IF(AND(F1389,G1389),C1389*E1389*F1389*G1389,IF(AND(F1389,H1389),C1389*E1389*F1389*H1389,IF(AND(G1389,H1389),C1389*E1389*G1389*H1389,IF(F1389,C1389*E1389*F1389,IF(G1389,C1389*E1389*G1389,IF(H1389,C1389*E1389*H1389,C1389*E1389))))))),2)</f>
        <v>-6.62</v>
      </c>
      <c r="J1389" s="550" t="s">
        <v>102</v>
      </c>
      <c r="K1389" s="39"/>
      <c r="L1389" s="208"/>
      <c r="M1389" s="39"/>
      <c r="N1389" s="533" t="s">
        <v>2297</v>
      </c>
    </row>
    <row r="1390" spans="1:14" s="541" customFormat="1" ht="16.5" customHeight="1">
      <c r="A1390" s="16"/>
      <c r="B1390" s="39" t="s">
        <v>2354</v>
      </c>
      <c r="C1390" s="534">
        <v>1</v>
      </c>
      <c r="D1390" s="536" t="s">
        <v>273</v>
      </c>
      <c r="E1390" s="537">
        <v>4</v>
      </c>
      <c r="F1390" s="538">
        <v>1.45</v>
      </c>
      <c r="G1390" s="538">
        <v>0</v>
      </c>
      <c r="H1390" s="538">
        <v>1.45</v>
      </c>
      <c r="I1390" s="542">
        <f>-ROUND(IF(AND(F1390:H1390),C1390*E1390*F1390*G1390*H1390,IF(AND(F1390,G1390),C1390*E1390*F1390*G1390,IF(AND(F1390,H1390),C1390*E1390*F1390*H1390,IF(AND(G1390,H1390),C1390*E1390*G1390*H1390,IF(F1390,C1390*E1390*F1390,IF(G1390,C1390*E1390*G1390,IF(H1390,C1390*E1390*H1390,C1390*E1390))))))),2)</f>
        <v>-8.41</v>
      </c>
      <c r="J1390" s="550" t="s">
        <v>102</v>
      </c>
      <c r="K1390" s="39"/>
      <c r="L1390" s="208"/>
      <c r="M1390" s="39"/>
      <c r="N1390" s="533" t="s">
        <v>2297</v>
      </c>
    </row>
    <row r="1391" spans="1:14" s="541" customFormat="1" ht="16.5" customHeight="1">
      <c r="A1391" s="16"/>
      <c r="B1391" s="39" t="s">
        <v>2134</v>
      </c>
      <c r="C1391" s="534">
        <v>1</v>
      </c>
      <c r="D1391" s="536" t="s">
        <v>273</v>
      </c>
      <c r="E1391" s="537">
        <v>4</v>
      </c>
      <c r="F1391" s="538">
        <v>0.6</v>
      </c>
      <c r="G1391" s="538">
        <v>0</v>
      </c>
      <c r="H1391" s="538">
        <v>0.3</v>
      </c>
      <c r="I1391" s="542">
        <f>-ROUND(IF(AND(F1391:H1391),C1391*E1391*F1391*G1391*H1391,IF(AND(F1391,G1391),C1391*E1391*F1391*G1391,IF(AND(F1391,H1391),C1391*E1391*F1391*H1391,IF(AND(G1391,H1391),C1391*E1391*G1391*H1391,IF(F1391,C1391*E1391*F1391,IF(G1391,C1391*E1391*G1391,IF(H1391,C1391*E1391*H1391,C1391*E1391))))))),2)</f>
        <v>-0.72</v>
      </c>
      <c r="J1391" s="550" t="s">
        <v>102</v>
      </c>
      <c r="K1391" s="39"/>
      <c r="L1391" s="208"/>
      <c r="M1391" s="39"/>
      <c r="N1391" s="533" t="s">
        <v>2297</v>
      </c>
    </row>
    <row r="1392" spans="1:14" s="541" customFormat="1" ht="16.5" customHeight="1">
      <c r="A1392" s="16"/>
      <c r="B1392" s="39" t="s">
        <v>2975</v>
      </c>
      <c r="C1392" s="534">
        <v>1</v>
      </c>
      <c r="D1392" s="536" t="s">
        <v>273</v>
      </c>
      <c r="E1392" s="537">
        <v>1</v>
      </c>
      <c r="F1392" s="538">
        <v>3.2</v>
      </c>
      <c r="G1392" s="538">
        <v>3.3</v>
      </c>
      <c r="H1392" s="538">
        <v>0</v>
      </c>
      <c r="I1392" s="542">
        <f t="shared" ref="I1392:I1395" si="128">ROUND(IF(AND(F1392:H1392),C1392*E1392*F1392*G1392*H1392,IF(AND(F1392,G1392),C1392*E1392*F1392*G1392,IF(AND(F1392,H1392),C1392*E1392*F1392*H1392,IF(AND(G1392,H1392),C1392*E1392*G1392*H1392,IF(F1392,C1392*E1392*F1392,IF(G1392,C1392*E1392*G1392,IF(H1392,C1392*E1392*H1392,C1392*E1392))))))),2)</f>
        <v>10.56</v>
      </c>
      <c r="J1392" s="550" t="s">
        <v>102</v>
      </c>
      <c r="K1392" s="39"/>
      <c r="L1392" s="208"/>
      <c r="M1392" s="39"/>
      <c r="N1392" s="533" t="s">
        <v>2297</v>
      </c>
    </row>
    <row r="1393" spans="1:14" s="541" customFormat="1" ht="16.5" customHeight="1">
      <c r="A1393" s="16"/>
      <c r="B1393" s="39" t="s">
        <v>2976</v>
      </c>
      <c r="C1393" s="534">
        <v>1</v>
      </c>
      <c r="D1393" s="536" t="s">
        <v>273</v>
      </c>
      <c r="E1393" s="537">
        <v>2</v>
      </c>
      <c r="F1393" s="538">
        <v>3.2</v>
      </c>
      <c r="G1393" s="538">
        <v>2.7</v>
      </c>
      <c r="H1393" s="538">
        <v>0</v>
      </c>
      <c r="I1393" s="542">
        <f t="shared" si="128"/>
        <v>17.28</v>
      </c>
      <c r="J1393" s="550" t="s">
        <v>102</v>
      </c>
      <c r="K1393" s="39"/>
      <c r="L1393" s="208"/>
      <c r="M1393" s="39"/>
      <c r="N1393" s="533" t="s">
        <v>2297</v>
      </c>
    </row>
    <row r="1394" spans="1:14" s="541" customFormat="1" ht="16.5" customHeight="1">
      <c r="A1394" s="16"/>
      <c r="B1394" s="39" t="s">
        <v>2977</v>
      </c>
      <c r="C1394" s="534">
        <v>1</v>
      </c>
      <c r="D1394" s="536" t="s">
        <v>273</v>
      </c>
      <c r="E1394" s="537">
        <v>1</v>
      </c>
      <c r="F1394" s="538">
        <v>4.9000000000000004</v>
      </c>
      <c r="G1394" s="538">
        <v>2.6</v>
      </c>
      <c r="H1394" s="538">
        <v>0</v>
      </c>
      <c r="I1394" s="542">
        <f t="shared" si="128"/>
        <v>12.74</v>
      </c>
      <c r="J1394" s="550" t="s">
        <v>102</v>
      </c>
      <c r="K1394" s="39"/>
      <c r="L1394" s="208"/>
      <c r="M1394" s="39"/>
      <c r="N1394" s="533" t="s">
        <v>2297</v>
      </c>
    </row>
    <row r="1395" spans="1:14" s="541" customFormat="1" ht="16.5" customHeight="1">
      <c r="A1395" s="16"/>
      <c r="B1395" s="39" t="s">
        <v>2894</v>
      </c>
      <c r="C1395" s="534">
        <v>1</v>
      </c>
      <c r="D1395" s="536" t="s">
        <v>273</v>
      </c>
      <c r="E1395" s="537">
        <v>1</v>
      </c>
      <c r="F1395" s="538">
        <v>4.9000000000000004</v>
      </c>
      <c r="G1395" s="538">
        <v>0</v>
      </c>
      <c r="H1395" s="538">
        <v>3.0750000000000002</v>
      </c>
      <c r="I1395" s="542">
        <f t="shared" si="128"/>
        <v>15.07</v>
      </c>
      <c r="J1395" s="550" t="s">
        <v>102</v>
      </c>
      <c r="K1395" s="39"/>
      <c r="L1395" s="208"/>
      <c r="M1395" s="39"/>
      <c r="N1395" s="533" t="s">
        <v>2297</v>
      </c>
    </row>
    <row r="1396" spans="1:14" s="541" customFormat="1" ht="16.5" customHeight="1">
      <c r="A1396" s="16"/>
      <c r="B1396" s="39" t="s">
        <v>579</v>
      </c>
      <c r="C1396" s="534">
        <v>1</v>
      </c>
      <c r="D1396" s="536" t="s">
        <v>273</v>
      </c>
      <c r="E1396" s="537">
        <v>1</v>
      </c>
      <c r="F1396" s="538">
        <v>1.3</v>
      </c>
      <c r="G1396" s="538">
        <v>0</v>
      </c>
      <c r="H1396" s="538">
        <v>2.1</v>
      </c>
      <c r="I1396" s="542">
        <f>-ROUND(IF(AND(F1396:H1396),C1396*E1396*F1396*G1396*H1396,IF(AND(F1396,G1396),C1396*E1396*F1396*G1396,IF(AND(F1396,H1396),C1396*E1396*F1396*H1396,IF(AND(G1396,H1396),C1396*E1396*G1396*H1396,IF(F1396,C1396*E1396*F1396,IF(G1396,C1396*E1396*G1396,IF(H1396,C1396*E1396*H1396,C1396*E1396))))))),2)</f>
        <v>-2.73</v>
      </c>
      <c r="J1396" s="550" t="s">
        <v>102</v>
      </c>
      <c r="K1396" s="39"/>
      <c r="L1396" s="208"/>
      <c r="M1396" s="39"/>
      <c r="N1396" s="533" t="s">
        <v>2297</v>
      </c>
    </row>
    <row r="1397" spans="1:14" s="541" customFormat="1" ht="16.5" customHeight="1">
      <c r="A1397" s="16"/>
      <c r="B1397" s="39" t="s">
        <v>579</v>
      </c>
      <c r="C1397" s="534">
        <v>1</v>
      </c>
      <c r="D1397" s="536" t="s">
        <v>273</v>
      </c>
      <c r="E1397" s="537">
        <v>1</v>
      </c>
      <c r="F1397" s="538">
        <v>1.2</v>
      </c>
      <c r="G1397" s="538">
        <v>0</v>
      </c>
      <c r="H1397" s="538">
        <v>2.1</v>
      </c>
      <c r="I1397" s="542">
        <f>-ROUND(IF(AND(F1397:H1397),C1397*E1397*F1397*G1397*H1397,IF(AND(F1397,G1397),C1397*E1397*F1397*G1397,IF(AND(F1397,H1397),C1397*E1397*F1397*H1397,IF(AND(G1397,H1397),C1397*E1397*G1397*H1397,IF(F1397,C1397*E1397*F1397,IF(G1397,C1397*E1397*G1397,IF(H1397,C1397*E1397*H1397,C1397*E1397))))))),2)</f>
        <v>-2.52</v>
      </c>
      <c r="J1397" s="550" t="s">
        <v>102</v>
      </c>
      <c r="K1397" s="39"/>
      <c r="L1397" s="208"/>
      <c r="M1397" s="39"/>
      <c r="N1397" s="533" t="s">
        <v>2297</v>
      </c>
    </row>
    <row r="1398" spans="1:14" s="541" customFormat="1" ht="16.5" customHeight="1">
      <c r="A1398" s="16"/>
      <c r="B1398" s="39" t="s">
        <v>2878</v>
      </c>
      <c r="C1398" s="534">
        <v>1</v>
      </c>
      <c r="D1398" s="536" t="s">
        <v>273</v>
      </c>
      <c r="E1398" s="537">
        <v>1</v>
      </c>
      <c r="F1398" s="538">
        <v>3.5</v>
      </c>
      <c r="G1398" s="538">
        <v>0</v>
      </c>
      <c r="H1398" s="538">
        <v>0.9</v>
      </c>
      <c r="I1398" s="542">
        <f t="shared" ref="I1398:I1400" si="129">ROUND(IF(AND(F1398:H1398),C1398*E1398*F1398*G1398*H1398,IF(AND(F1398,G1398),C1398*E1398*F1398*G1398,IF(AND(F1398,H1398),C1398*E1398*F1398*H1398,IF(AND(G1398,H1398),C1398*E1398*G1398*H1398,IF(F1398,C1398*E1398*F1398,IF(G1398,C1398*E1398*G1398,IF(H1398,C1398*E1398*H1398,C1398*E1398))))))),2)</f>
        <v>3.15</v>
      </c>
      <c r="J1398" s="550" t="s">
        <v>102</v>
      </c>
      <c r="K1398" s="39"/>
      <c r="L1398" s="208"/>
      <c r="M1398" s="39"/>
      <c r="N1398" s="533" t="s">
        <v>2297</v>
      </c>
    </row>
    <row r="1399" spans="1:14" s="541" customFormat="1" ht="16.5" customHeight="1">
      <c r="A1399" s="16"/>
      <c r="B1399" s="39" t="s">
        <v>2879</v>
      </c>
      <c r="C1399" s="534">
        <v>1</v>
      </c>
      <c r="D1399" s="536" t="s">
        <v>273</v>
      </c>
      <c r="E1399" s="537">
        <v>1</v>
      </c>
      <c r="F1399" s="538">
        <v>2.65</v>
      </c>
      <c r="G1399" s="538">
        <v>0</v>
      </c>
      <c r="H1399" s="538">
        <v>0.9</v>
      </c>
      <c r="I1399" s="542">
        <f t="shared" si="129"/>
        <v>2.39</v>
      </c>
      <c r="J1399" s="550" t="s">
        <v>102</v>
      </c>
      <c r="K1399" s="39"/>
      <c r="L1399" s="208"/>
      <c r="M1399" s="39"/>
      <c r="N1399" s="533" t="s">
        <v>2297</v>
      </c>
    </row>
    <row r="1400" spans="1:14" s="541" customFormat="1" ht="16.5" customHeight="1">
      <c r="A1400" s="16"/>
      <c r="B1400" s="39" t="s">
        <v>2930</v>
      </c>
      <c r="C1400" s="534">
        <v>1</v>
      </c>
      <c r="D1400" s="536" t="s">
        <v>273</v>
      </c>
      <c r="E1400" s="537">
        <v>1</v>
      </c>
      <c r="F1400" s="538">
        <v>21.2</v>
      </c>
      <c r="G1400" s="538">
        <v>0</v>
      </c>
      <c r="H1400" s="538">
        <v>3.0750000000000002</v>
      </c>
      <c r="I1400" s="542">
        <f t="shared" si="129"/>
        <v>65.19</v>
      </c>
      <c r="J1400" s="550" t="s">
        <v>102</v>
      </c>
      <c r="K1400" s="39"/>
      <c r="L1400" s="208"/>
      <c r="M1400" s="39"/>
      <c r="N1400" s="533" t="s">
        <v>2297</v>
      </c>
    </row>
    <row r="1401" spans="1:14" s="541" customFormat="1" ht="16.5" customHeight="1">
      <c r="A1401" s="16"/>
      <c r="B1401" s="39" t="s">
        <v>579</v>
      </c>
      <c r="C1401" s="534">
        <v>1</v>
      </c>
      <c r="D1401" s="536" t="s">
        <v>273</v>
      </c>
      <c r="E1401" s="537">
        <v>1</v>
      </c>
      <c r="F1401" s="538">
        <v>1.3</v>
      </c>
      <c r="G1401" s="538">
        <v>0</v>
      </c>
      <c r="H1401" s="538">
        <v>2.1</v>
      </c>
      <c r="I1401" s="542">
        <f t="shared" ref="I1401:I1406" si="130">-ROUND(IF(AND(F1401:H1401),C1401*E1401*F1401*G1401*H1401,IF(AND(F1401,G1401),C1401*E1401*F1401*G1401,IF(AND(F1401,H1401),C1401*E1401*F1401*H1401,IF(AND(G1401,H1401),C1401*E1401*G1401*H1401,IF(F1401,C1401*E1401*F1401,IF(G1401,C1401*E1401*G1401,IF(H1401,C1401*E1401*H1401,C1401*E1401))))))),2)</f>
        <v>-2.73</v>
      </c>
      <c r="J1401" s="550" t="s">
        <v>102</v>
      </c>
      <c r="K1401" s="39"/>
      <c r="L1401" s="208"/>
      <c r="M1401" s="39"/>
      <c r="N1401" s="533" t="s">
        <v>2297</v>
      </c>
    </row>
    <row r="1402" spans="1:14" s="541" customFormat="1" ht="16.5" customHeight="1">
      <c r="A1402" s="16"/>
      <c r="B1402" s="39" t="s">
        <v>579</v>
      </c>
      <c r="C1402" s="534">
        <v>1</v>
      </c>
      <c r="D1402" s="536" t="s">
        <v>273</v>
      </c>
      <c r="E1402" s="537">
        <v>1</v>
      </c>
      <c r="F1402" s="538">
        <v>1.2</v>
      </c>
      <c r="G1402" s="538">
        <v>0</v>
      </c>
      <c r="H1402" s="538">
        <v>2.1</v>
      </c>
      <c r="I1402" s="542">
        <f t="shared" si="130"/>
        <v>-2.52</v>
      </c>
      <c r="J1402" s="550" t="s">
        <v>102</v>
      </c>
      <c r="K1402" s="39"/>
      <c r="L1402" s="208"/>
      <c r="M1402" s="39"/>
      <c r="N1402" s="533" t="s">
        <v>2297</v>
      </c>
    </row>
    <row r="1403" spans="1:14" s="541" customFormat="1" ht="16.5" customHeight="1">
      <c r="A1403" s="16"/>
      <c r="B1403" s="39" t="s">
        <v>579</v>
      </c>
      <c r="C1403" s="534">
        <v>1</v>
      </c>
      <c r="D1403" s="536" t="s">
        <v>273</v>
      </c>
      <c r="E1403" s="537">
        <v>3</v>
      </c>
      <c r="F1403" s="538">
        <v>1.05</v>
      </c>
      <c r="G1403" s="538">
        <v>0</v>
      </c>
      <c r="H1403" s="538">
        <v>2.1</v>
      </c>
      <c r="I1403" s="542">
        <f t="shared" si="130"/>
        <v>-6.62</v>
      </c>
      <c r="J1403" s="550" t="s">
        <v>102</v>
      </c>
      <c r="K1403" s="39"/>
      <c r="L1403" s="208"/>
      <c r="M1403" s="39"/>
      <c r="N1403" s="533" t="s">
        <v>2297</v>
      </c>
    </row>
    <row r="1404" spans="1:14" s="541" customFormat="1" ht="16.5" customHeight="1">
      <c r="A1404" s="16"/>
      <c r="B1404" s="39" t="s">
        <v>2197</v>
      </c>
      <c r="C1404" s="534">
        <v>1</v>
      </c>
      <c r="D1404" s="536" t="s">
        <v>273</v>
      </c>
      <c r="E1404" s="537">
        <v>2</v>
      </c>
      <c r="F1404" s="538">
        <v>0.75</v>
      </c>
      <c r="G1404" s="538">
        <v>0</v>
      </c>
      <c r="H1404" s="538">
        <v>2.1</v>
      </c>
      <c r="I1404" s="542">
        <f t="shared" si="130"/>
        <v>-3.15</v>
      </c>
      <c r="J1404" s="550" t="s">
        <v>102</v>
      </c>
      <c r="K1404" s="39"/>
      <c r="L1404" s="208"/>
      <c r="M1404" s="39"/>
      <c r="N1404" s="533" t="s">
        <v>2297</v>
      </c>
    </row>
    <row r="1405" spans="1:14" s="541" customFormat="1" ht="16.5" customHeight="1">
      <c r="A1405" s="16"/>
      <c r="B1405" s="39" t="s">
        <v>2354</v>
      </c>
      <c r="C1405" s="534">
        <v>1</v>
      </c>
      <c r="D1405" s="536" t="s">
        <v>273</v>
      </c>
      <c r="E1405" s="537">
        <v>1</v>
      </c>
      <c r="F1405" s="538">
        <v>1.45</v>
      </c>
      <c r="G1405" s="538">
        <v>0</v>
      </c>
      <c r="H1405" s="538">
        <v>1.45</v>
      </c>
      <c r="I1405" s="542">
        <f t="shared" si="130"/>
        <v>-2.1</v>
      </c>
      <c r="J1405" s="550" t="s">
        <v>102</v>
      </c>
      <c r="K1405" s="39"/>
      <c r="L1405" s="208"/>
      <c r="M1405" s="39"/>
      <c r="N1405" s="533" t="s">
        <v>2297</v>
      </c>
    </row>
    <row r="1406" spans="1:14" s="541" customFormat="1" ht="16.5" customHeight="1">
      <c r="A1406" s="16"/>
      <c r="B1406" s="39" t="s">
        <v>2134</v>
      </c>
      <c r="C1406" s="534">
        <v>1</v>
      </c>
      <c r="D1406" s="536" t="s">
        <v>273</v>
      </c>
      <c r="E1406" s="537">
        <v>1</v>
      </c>
      <c r="F1406" s="538">
        <v>0.6</v>
      </c>
      <c r="G1406" s="538">
        <v>0</v>
      </c>
      <c r="H1406" s="538">
        <v>0.3</v>
      </c>
      <c r="I1406" s="542">
        <f t="shared" si="130"/>
        <v>-0.18</v>
      </c>
      <c r="J1406" s="550" t="s">
        <v>102</v>
      </c>
      <c r="K1406" s="39"/>
      <c r="L1406" s="208"/>
      <c r="M1406" s="39"/>
      <c r="N1406" s="533" t="s">
        <v>2297</v>
      </c>
    </row>
    <row r="1407" spans="1:14" s="541" customFormat="1" ht="16.5" customHeight="1">
      <c r="A1407" s="16"/>
      <c r="B1407" s="39" t="s">
        <v>1541</v>
      </c>
      <c r="C1407" s="534">
        <v>1</v>
      </c>
      <c r="D1407" s="536" t="s">
        <v>273</v>
      </c>
      <c r="E1407" s="537">
        <v>1</v>
      </c>
      <c r="F1407" s="538">
        <v>8.9</v>
      </c>
      <c r="G1407" s="538">
        <v>1.7</v>
      </c>
      <c r="H1407" s="538">
        <v>0</v>
      </c>
      <c r="I1407" s="542">
        <f t="shared" ref="I1407:I1410" si="131">ROUND(IF(AND(F1407:H1407),C1407*E1407*F1407*G1407*H1407,IF(AND(F1407,G1407),C1407*E1407*F1407*G1407,IF(AND(F1407,H1407),C1407*E1407*F1407*H1407,IF(AND(G1407,H1407),C1407*E1407*G1407*H1407,IF(F1407,C1407*E1407*F1407,IF(G1407,C1407*E1407*G1407,IF(H1407,C1407*E1407*H1407,C1407*E1407))))))),2)</f>
        <v>15.13</v>
      </c>
      <c r="J1407" s="550" t="s">
        <v>102</v>
      </c>
      <c r="K1407" s="39"/>
      <c r="L1407" s="208"/>
      <c r="M1407" s="39"/>
      <c r="N1407" s="533" t="s">
        <v>2297</v>
      </c>
    </row>
    <row r="1408" spans="1:14" s="541" customFormat="1" ht="16.5" customHeight="1">
      <c r="A1408" s="16"/>
      <c r="B1408" s="39" t="s">
        <v>2946</v>
      </c>
      <c r="C1408" s="534">
        <v>2</v>
      </c>
      <c r="D1408" s="536" t="s">
        <v>273</v>
      </c>
      <c r="E1408" s="537">
        <v>2</v>
      </c>
      <c r="F1408" s="538">
        <v>1.7</v>
      </c>
      <c r="G1408" s="538">
        <v>0</v>
      </c>
      <c r="H1408" s="538">
        <v>0.38</v>
      </c>
      <c r="I1408" s="542">
        <f t="shared" si="131"/>
        <v>2.58</v>
      </c>
      <c r="J1408" s="550" t="s">
        <v>102</v>
      </c>
      <c r="K1408" s="39"/>
      <c r="L1408" s="208"/>
      <c r="M1408" s="39"/>
      <c r="N1408" s="533" t="s">
        <v>2297</v>
      </c>
    </row>
    <row r="1409" spans="1:14" s="541" customFormat="1" ht="16.5" customHeight="1">
      <c r="A1409" s="16"/>
      <c r="B1409" s="39" t="s">
        <v>2928</v>
      </c>
      <c r="C1409" s="534">
        <v>1</v>
      </c>
      <c r="D1409" s="536" t="s">
        <v>273</v>
      </c>
      <c r="E1409" s="537">
        <v>2</v>
      </c>
      <c r="F1409" s="538">
        <v>3.3</v>
      </c>
      <c r="G1409" s="538">
        <v>0</v>
      </c>
      <c r="H1409" s="538">
        <v>3.0750000000000002</v>
      </c>
      <c r="I1409" s="542">
        <f t="shared" ref="I1409" si="132">ROUND(IF(AND(F1409:H1409),C1409*E1409*F1409*G1409*H1409,IF(AND(F1409,G1409),C1409*E1409*F1409*G1409,IF(AND(F1409,H1409),C1409*E1409*F1409*H1409,IF(AND(G1409,H1409),C1409*E1409*G1409*H1409,IF(F1409,C1409*E1409*F1409,IF(G1409,C1409*E1409*G1409,IF(H1409,C1409*E1409*H1409,C1409*E1409))))))),2)</f>
        <v>20.3</v>
      </c>
      <c r="J1409" s="550" t="s">
        <v>102</v>
      </c>
      <c r="K1409" s="39"/>
      <c r="L1409" s="208"/>
      <c r="M1409" s="39"/>
      <c r="N1409" s="533" t="s">
        <v>2297</v>
      </c>
    </row>
    <row r="1410" spans="1:14" s="541" customFormat="1" ht="16.5" customHeight="1">
      <c r="A1410" s="16"/>
      <c r="B1410" s="39" t="s">
        <v>2936</v>
      </c>
      <c r="C1410" s="534">
        <v>1</v>
      </c>
      <c r="D1410" s="536" t="s">
        <v>273</v>
      </c>
      <c r="E1410" s="537">
        <v>1</v>
      </c>
      <c r="F1410" s="538">
        <v>2.65</v>
      </c>
      <c r="G1410" s="538">
        <v>0</v>
      </c>
      <c r="H1410" s="538">
        <v>1.5</v>
      </c>
      <c r="I1410" s="542">
        <f t="shared" si="131"/>
        <v>3.98</v>
      </c>
      <c r="J1410" s="550" t="s">
        <v>102</v>
      </c>
      <c r="K1410" s="39"/>
      <c r="L1410" s="208"/>
      <c r="M1410" s="39"/>
      <c r="N1410" s="533" t="s">
        <v>2297</v>
      </c>
    </row>
    <row r="1411" spans="1:14" s="541" customFormat="1" ht="16.5" customHeight="1">
      <c r="A1411" s="16"/>
      <c r="B1411" s="39" t="s">
        <v>2937</v>
      </c>
      <c r="C1411" s="534">
        <v>1</v>
      </c>
      <c r="D1411" s="536" t="s">
        <v>273</v>
      </c>
      <c r="E1411" s="537">
        <v>1</v>
      </c>
      <c r="F1411" s="538">
        <v>1.27</v>
      </c>
      <c r="G1411" s="538">
        <v>0</v>
      </c>
      <c r="H1411" s="538">
        <v>1.5</v>
      </c>
      <c r="I1411" s="542">
        <f>-ROUND(IF(AND(F1411:H1411),C1411*E1411*F1411*G1411*H1411,IF(AND(F1411,G1411),C1411*E1411*F1411*G1411,IF(AND(F1411,H1411),C1411*E1411*F1411*H1411,IF(AND(G1411,H1411),C1411*E1411*G1411*H1411,IF(F1411,C1411*E1411*F1411,IF(G1411,C1411*E1411*G1411,IF(H1411,C1411*E1411*H1411,C1411*E1411))))))),2)</f>
        <v>-1.91</v>
      </c>
      <c r="J1411" s="550" t="s">
        <v>102</v>
      </c>
      <c r="K1411" s="39"/>
      <c r="L1411" s="208"/>
      <c r="M1411" s="39"/>
      <c r="N1411" s="533" t="s">
        <v>2297</v>
      </c>
    </row>
    <row r="1412" spans="1:14" s="541" customFormat="1" ht="16.5" customHeight="1">
      <c r="A1412" s="16"/>
      <c r="B1412" s="39" t="s">
        <v>2874</v>
      </c>
      <c r="C1412" s="534">
        <v>1</v>
      </c>
      <c r="D1412" s="536" t="s">
        <v>273</v>
      </c>
      <c r="E1412" s="537">
        <v>2</v>
      </c>
      <c r="F1412" s="538">
        <v>0.77</v>
      </c>
      <c r="G1412" s="538">
        <v>0</v>
      </c>
      <c r="H1412" s="538">
        <v>1.5</v>
      </c>
      <c r="I1412" s="542">
        <f t="shared" ref="I1412:I1414" si="133">ROUND(IF(AND(F1412:H1412),C1412*E1412*F1412*G1412*H1412,IF(AND(F1412,G1412),C1412*E1412*F1412*G1412,IF(AND(F1412,H1412),C1412*E1412*F1412*H1412,IF(AND(G1412,H1412),C1412*E1412*G1412*H1412,IF(F1412,C1412*E1412*F1412,IF(G1412,C1412*E1412*G1412,IF(H1412,C1412*E1412*H1412,C1412*E1412))))))),2)</f>
        <v>2.31</v>
      </c>
      <c r="J1412" s="550" t="s">
        <v>102</v>
      </c>
      <c r="K1412" s="39"/>
      <c r="L1412" s="208"/>
      <c r="M1412" s="39"/>
      <c r="N1412" s="533" t="s">
        <v>2297</v>
      </c>
    </row>
    <row r="1413" spans="1:14" s="541" customFormat="1" ht="16.5" customHeight="1">
      <c r="A1413" s="16"/>
      <c r="B1413" s="39" t="s">
        <v>2938</v>
      </c>
      <c r="C1413" s="534">
        <v>1</v>
      </c>
      <c r="D1413" s="536" t="s">
        <v>273</v>
      </c>
      <c r="E1413" s="537">
        <v>1</v>
      </c>
      <c r="F1413" s="538">
        <v>2.65</v>
      </c>
      <c r="G1413" s="538">
        <v>0</v>
      </c>
      <c r="H1413" s="538">
        <v>1.65</v>
      </c>
      <c r="I1413" s="542">
        <f t="shared" si="133"/>
        <v>4.37</v>
      </c>
      <c r="J1413" s="550" t="s">
        <v>102</v>
      </c>
      <c r="K1413" s="39"/>
      <c r="L1413" s="208"/>
      <c r="M1413" s="39"/>
      <c r="N1413" s="533" t="s">
        <v>2297</v>
      </c>
    </row>
    <row r="1414" spans="1:14" s="541" customFormat="1" ht="16.5" customHeight="1">
      <c r="A1414" s="16"/>
      <c r="B1414" s="39" t="s">
        <v>2874</v>
      </c>
      <c r="C1414" s="534">
        <v>1</v>
      </c>
      <c r="D1414" s="536" t="s">
        <v>273</v>
      </c>
      <c r="E1414" s="537">
        <v>2</v>
      </c>
      <c r="F1414" s="538">
        <v>0.77</v>
      </c>
      <c r="G1414" s="538">
        <v>0</v>
      </c>
      <c r="H1414" s="538">
        <v>1.65</v>
      </c>
      <c r="I1414" s="542">
        <f t="shared" si="133"/>
        <v>2.54</v>
      </c>
      <c r="J1414" s="550" t="s">
        <v>102</v>
      </c>
      <c r="K1414" s="39"/>
      <c r="L1414" s="208"/>
      <c r="M1414" s="39"/>
      <c r="N1414" s="533" t="s">
        <v>2297</v>
      </c>
    </row>
    <row r="1415" spans="1:14" s="541" customFormat="1" ht="16.5" customHeight="1">
      <c r="A1415" s="16"/>
      <c r="B1415" s="39" t="s">
        <v>2937</v>
      </c>
      <c r="C1415" s="534">
        <v>1</v>
      </c>
      <c r="D1415" s="536" t="s">
        <v>273</v>
      </c>
      <c r="E1415" s="537">
        <v>1</v>
      </c>
      <c r="F1415" s="538">
        <v>1.27</v>
      </c>
      <c r="G1415" s="538">
        <v>0</v>
      </c>
      <c r="H1415" s="538">
        <v>1.5</v>
      </c>
      <c r="I1415" s="542">
        <f>-ROUND(IF(AND(F1415:H1415),C1415*E1415*F1415*G1415*H1415,IF(AND(F1415,G1415),C1415*E1415*F1415*G1415,IF(AND(F1415,H1415),C1415*E1415*F1415*H1415,IF(AND(G1415,H1415),C1415*E1415*G1415*H1415,IF(F1415,C1415*E1415*F1415,IF(G1415,C1415*E1415*G1415,IF(H1415,C1415*E1415*H1415,C1415*E1415))))))),2)</f>
        <v>-1.91</v>
      </c>
      <c r="J1415" s="550" t="s">
        <v>102</v>
      </c>
      <c r="K1415" s="39"/>
      <c r="L1415" s="208"/>
      <c r="M1415" s="39"/>
      <c r="N1415" s="533" t="s">
        <v>2297</v>
      </c>
    </row>
    <row r="1416" spans="1:14" s="541" customFormat="1" ht="16.5" customHeight="1">
      <c r="A1416" s="16"/>
      <c r="B1416" s="39" t="s">
        <v>2720</v>
      </c>
      <c r="C1416" s="534">
        <v>1</v>
      </c>
      <c r="D1416" s="536" t="s">
        <v>273</v>
      </c>
      <c r="E1416" s="537">
        <v>1</v>
      </c>
      <c r="F1416" s="538">
        <v>3.5</v>
      </c>
      <c r="G1416" s="538">
        <v>1.3</v>
      </c>
      <c r="H1416" s="538">
        <v>0</v>
      </c>
      <c r="I1416" s="542">
        <f t="shared" ref="I1416:I1418" si="134">ROUND(IF(AND(F1416:H1416),C1416*E1416*F1416*G1416*H1416,IF(AND(F1416,G1416),C1416*E1416*F1416*G1416,IF(AND(F1416,H1416),C1416*E1416*F1416*H1416,IF(AND(G1416,H1416),C1416*E1416*G1416*H1416,IF(F1416,C1416*E1416*F1416,IF(G1416,C1416*E1416*G1416,IF(H1416,C1416*E1416*H1416,C1416*E1416))))))),2)</f>
        <v>4.55</v>
      </c>
      <c r="J1416" s="550" t="s">
        <v>102</v>
      </c>
      <c r="K1416" s="39"/>
      <c r="L1416" s="208"/>
      <c r="M1416" s="39"/>
      <c r="N1416" s="533" t="s">
        <v>2297</v>
      </c>
    </row>
    <row r="1417" spans="1:14" s="541" customFormat="1" ht="16.5" customHeight="1">
      <c r="A1417" s="16"/>
      <c r="B1417" s="39" t="s">
        <v>2732</v>
      </c>
      <c r="C1417" s="534">
        <v>1</v>
      </c>
      <c r="D1417" s="536" t="s">
        <v>273</v>
      </c>
      <c r="E1417" s="537">
        <v>1</v>
      </c>
      <c r="F1417" s="538">
        <v>3.18</v>
      </c>
      <c r="G1417" s="538">
        <v>1</v>
      </c>
      <c r="H1417" s="538">
        <v>0</v>
      </c>
      <c r="I1417" s="542">
        <f t="shared" si="134"/>
        <v>3.18</v>
      </c>
      <c r="J1417" s="550" t="s">
        <v>102</v>
      </c>
      <c r="K1417" s="39"/>
      <c r="L1417" s="208"/>
      <c r="M1417" s="39"/>
      <c r="N1417" s="533" t="s">
        <v>2297</v>
      </c>
    </row>
    <row r="1418" spans="1:14" s="541" customFormat="1" ht="16.5" customHeight="1">
      <c r="A1418" s="16"/>
      <c r="B1418" s="39" t="s">
        <v>2721</v>
      </c>
      <c r="C1418" s="534">
        <v>1</v>
      </c>
      <c r="D1418" s="536" t="s">
        <v>273</v>
      </c>
      <c r="E1418" s="537">
        <v>1</v>
      </c>
      <c r="F1418" s="538">
        <v>3.5</v>
      </c>
      <c r="G1418" s="538">
        <v>1.3</v>
      </c>
      <c r="H1418" s="538">
        <v>0</v>
      </c>
      <c r="I1418" s="542">
        <f t="shared" si="134"/>
        <v>4.55</v>
      </c>
      <c r="J1418" s="550" t="s">
        <v>102</v>
      </c>
      <c r="K1418" s="39"/>
      <c r="L1418" s="208"/>
      <c r="M1418" s="39"/>
      <c r="N1418" s="533" t="s">
        <v>2297</v>
      </c>
    </row>
    <row r="1419" spans="1:14" s="541" customFormat="1" ht="16.5" customHeight="1">
      <c r="A1419" s="16"/>
      <c r="B1419" s="544"/>
      <c r="C1419" s="545"/>
      <c r="D1419" s="546"/>
      <c r="E1419" s="547"/>
      <c r="F1419" s="548"/>
      <c r="G1419" s="548"/>
      <c r="H1419" s="548"/>
      <c r="I1419" s="549"/>
      <c r="J1419" s="550"/>
      <c r="K1419" s="39"/>
      <c r="L1419" s="208"/>
      <c r="M1419" s="39"/>
      <c r="N1419" s="533" t="s">
        <v>2297</v>
      </c>
    </row>
    <row r="1420" spans="1:14" ht="15.75">
      <c r="A1420" s="16"/>
      <c r="B1420" s="39"/>
      <c r="C1420" s="551"/>
      <c r="D1420" s="552"/>
      <c r="E1420" s="537"/>
      <c r="F1420" s="538"/>
      <c r="G1420" s="40"/>
      <c r="H1420" s="16"/>
      <c r="I1420" s="549"/>
      <c r="J1420" s="550" t="s">
        <v>102</v>
      </c>
      <c r="K1420" s="10">
        <f>data!F1763</f>
        <v>139.51</v>
      </c>
      <c r="L1420" s="208" t="s">
        <v>2297</v>
      </c>
      <c r="M1420" s="9">
        <f>ROUND(I1420*K1420,0)</f>
        <v>0</v>
      </c>
      <c r="N1420" s="533" t="s">
        <v>2297</v>
      </c>
    </row>
    <row r="1421" spans="1:14" ht="94.5" customHeight="1">
      <c r="A1421" s="16">
        <v>20</v>
      </c>
      <c r="B1421" s="1634" t="s">
        <v>1167</v>
      </c>
      <c r="C1421" s="1635"/>
      <c r="D1421" s="1635"/>
      <c r="E1421" s="1635"/>
      <c r="F1421" s="1635"/>
      <c r="G1421" s="1635"/>
      <c r="H1421" s="1636"/>
      <c r="I1421" s="534"/>
      <c r="J1421" s="535"/>
      <c r="K1421" s="16"/>
      <c r="L1421" s="208"/>
      <c r="M1421" s="38"/>
      <c r="N1421" s="533" t="s">
        <v>2308</v>
      </c>
    </row>
    <row r="1422" spans="1:14" s="541" customFormat="1" ht="16.5" customHeight="1">
      <c r="A1422" s="16"/>
      <c r="B1422" s="39" t="s">
        <v>2820</v>
      </c>
      <c r="C1422" s="534"/>
      <c r="D1422" s="536"/>
      <c r="E1422" s="537"/>
      <c r="F1422" s="538"/>
      <c r="G1422" s="538"/>
      <c r="H1422" s="538"/>
      <c r="I1422" s="539"/>
      <c r="J1422" s="550"/>
      <c r="K1422" s="39"/>
      <c r="L1422" s="208"/>
      <c r="M1422" s="39"/>
      <c r="N1422" s="533" t="s">
        <v>2308</v>
      </c>
    </row>
    <row r="1423" spans="1:14" s="541" customFormat="1" ht="15.75">
      <c r="A1423" s="16"/>
      <c r="B1423" s="39" t="s">
        <v>2160</v>
      </c>
      <c r="C1423" s="534">
        <v>1</v>
      </c>
      <c r="D1423" s="536" t="s">
        <v>273</v>
      </c>
      <c r="E1423" s="537">
        <v>1</v>
      </c>
      <c r="F1423" s="538">
        <v>12.48</v>
      </c>
      <c r="G1423" s="538">
        <v>0</v>
      </c>
      <c r="H1423" s="538">
        <v>3.12</v>
      </c>
      <c r="I1423" s="542">
        <f>ROUND(IF(AND(F1423:H1423),C1423*E1423*F1423*G1423*H1423,IF(AND(F1423,G1423),C1423*E1423*F1423*G1423,IF(AND(F1423,H1423),C1423*E1423*F1423*H1423,IF(AND(G1423,H1423),C1423*E1423*G1423*H1423,IF(F1423,C1423*E1423*F1423,IF(G1423,C1423*E1423*G1423,IF(H1423,C1423*E1423*H1423,C1423*E1423))))))),2)</f>
        <v>38.94</v>
      </c>
      <c r="J1423" s="550" t="s">
        <v>102</v>
      </c>
      <c r="K1423" s="39"/>
      <c r="L1423" s="208"/>
      <c r="M1423" s="39"/>
      <c r="N1423" s="533" t="s">
        <v>2308</v>
      </c>
    </row>
    <row r="1424" spans="1:14" s="541" customFormat="1" ht="15.75">
      <c r="A1424" s="16"/>
      <c r="B1424" s="39" t="s">
        <v>2160</v>
      </c>
      <c r="C1424" s="534">
        <v>1</v>
      </c>
      <c r="D1424" s="536" t="s">
        <v>273</v>
      </c>
      <c r="E1424" s="537">
        <v>1</v>
      </c>
      <c r="F1424" s="538">
        <v>8.92</v>
      </c>
      <c r="G1424" s="538">
        <v>0</v>
      </c>
      <c r="H1424" s="538">
        <v>3.12</v>
      </c>
      <c r="I1424" s="542">
        <f>ROUND(IF(AND(F1424:H1424),C1424*E1424*F1424*G1424*H1424,IF(AND(F1424,G1424),C1424*E1424*F1424*G1424,IF(AND(F1424,H1424),C1424*E1424*F1424*H1424,IF(AND(G1424,H1424),C1424*E1424*G1424*H1424,IF(F1424,C1424*E1424*F1424,IF(G1424,C1424*E1424*G1424,IF(H1424,C1424*E1424*H1424,C1424*E1424))))))),2)</f>
        <v>27.83</v>
      </c>
      <c r="J1424" s="550" t="s">
        <v>102</v>
      </c>
      <c r="K1424" s="39"/>
      <c r="L1424" s="208"/>
      <c r="M1424" s="39"/>
      <c r="N1424" s="533" t="s">
        <v>2308</v>
      </c>
    </row>
    <row r="1425" spans="1:14" s="541" customFormat="1" ht="16.5" customHeight="1">
      <c r="A1425" s="16"/>
      <c r="B1425" s="39" t="s">
        <v>2160</v>
      </c>
      <c r="C1425" s="534">
        <v>1</v>
      </c>
      <c r="D1425" s="536" t="s">
        <v>273</v>
      </c>
      <c r="E1425" s="537">
        <v>1</v>
      </c>
      <c r="F1425" s="538">
        <v>1.2</v>
      </c>
      <c r="G1425" s="538">
        <v>0</v>
      </c>
      <c r="H1425" s="538">
        <v>2.1</v>
      </c>
      <c r="I1425" s="542">
        <f>ROUND(IF(AND(F1425:H1425),C1425*E1425*F1425*G1425*H1425,IF(AND(F1425,G1425),C1425*E1425*F1425*G1425,IF(AND(F1425,H1425),C1425*E1425*F1425*H1425,IF(AND(G1425,H1425),C1425*E1425*G1425*H1425,IF(F1425,C1425*E1425*F1425,IF(G1425,C1425*E1425*G1425,IF(H1425,C1425*E1425*H1425,C1425*E1425))))))),2)</f>
        <v>2.52</v>
      </c>
      <c r="J1425" s="550" t="s">
        <v>102</v>
      </c>
      <c r="K1425" s="39"/>
      <c r="L1425" s="208"/>
      <c r="M1425" s="39"/>
      <c r="N1425" s="533" t="s">
        <v>2308</v>
      </c>
    </row>
    <row r="1426" spans="1:14" s="541" customFormat="1" ht="16.5" customHeight="1">
      <c r="A1426" s="16"/>
      <c r="B1426" s="39" t="s">
        <v>2160</v>
      </c>
      <c r="C1426" s="534">
        <v>1</v>
      </c>
      <c r="D1426" s="536" t="s">
        <v>273</v>
      </c>
      <c r="E1426" s="537">
        <v>1</v>
      </c>
      <c r="F1426" s="538">
        <v>1.5</v>
      </c>
      <c r="G1426" s="538">
        <v>0</v>
      </c>
      <c r="H1426" s="538">
        <v>1.35</v>
      </c>
      <c r="I1426" s="542">
        <f>ROUND(IF(AND(F1426:H1426),C1426*E1426*F1426*G1426*H1426,IF(AND(F1426,G1426),C1426*E1426*F1426*G1426,IF(AND(F1426,H1426),C1426*E1426*F1426*H1426,IF(AND(G1426,H1426),C1426*E1426*G1426*H1426,IF(F1426,C1426*E1426*F1426,IF(G1426,C1426*E1426*G1426,IF(H1426,C1426*E1426*H1426,C1426*E1426))))))),2)</f>
        <v>2.0299999999999998</v>
      </c>
      <c r="J1426" s="550" t="s">
        <v>102</v>
      </c>
      <c r="K1426" s="39"/>
      <c r="L1426" s="208"/>
      <c r="M1426" s="39"/>
      <c r="N1426" s="533" t="s">
        <v>2308</v>
      </c>
    </row>
    <row r="1427" spans="1:14" s="541" customFormat="1" ht="16.5" customHeight="1">
      <c r="A1427" s="16"/>
      <c r="B1427" s="39" t="s">
        <v>2160</v>
      </c>
      <c r="C1427" s="534">
        <v>1</v>
      </c>
      <c r="D1427" s="536" t="s">
        <v>273</v>
      </c>
      <c r="E1427" s="537">
        <v>1</v>
      </c>
      <c r="F1427" s="538">
        <v>2.7</v>
      </c>
      <c r="G1427" s="538">
        <v>0</v>
      </c>
      <c r="H1427" s="538">
        <v>0.15</v>
      </c>
      <c r="I1427" s="542">
        <f>ROUND(IF(AND(F1427:H1427),C1427*E1427*F1427*G1427*H1427,IF(AND(F1427,G1427),C1427*E1427*F1427*G1427,IF(AND(F1427,H1427),C1427*E1427*F1427*H1427,IF(AND(G1427,H1427),C1427*E1427*G1427*H1427,IF(F1427,C1427*E1427*F1427,IF(G1427,C1427*E1427*G1427,IF(H1427,C1427*E1427*H1427,C1427*E1427))))))),2)</f>
        <v>0.41</v>
      </c>
      <c r="J1427" s="550" t="s">
        <v>102</v>
      </c>
      <c r="K1427" s="39"/>
      <c r="L1427" s="208"/>
      <c r="M1427" s="39"/>
      <c r="N1427" s="533" t="s">
        <v>2308</v>
      </c>
    </row>
    <row r="1428" spans="1:14" s="541" customFormat="1" ht="16.5" customHeight="1">
      <c r="A1428" s="16"/>
      <c r="B1428" s="544"/>
      <c r="C1428" s="545"/>
      <c r="D1428" s="546"/>
      <c r="E1428" s="547"/>
      <c r="F1428" s="548"/>
      <c r="G1428" s="548"/>
      <c r="H1428" s="548"/>
      <c r="I1428" s="549"/>
      <c r="J1428" s="550"/>
      <c r="K1428" s="39"/>
      <c r="L1428" s="208"/>
      <c r="M1428" s="39"/>
      <c r="N1428" s="533" t="s">
        <v>2308</v>
      </c>
    </row>
    <row r="1429" spans="1:14" ht="15.75">
      <c r="A1429" s="16"/>
      <c r="B1429" s="39"/>
      <c r="C1429" s="551"/>
      <c r="D1429" s="552"/>
      <c r="E1429" s="537"/>
      <c r="F1429" s="538"/>
      <c r="G1429" s="40"/>
      <c r="H1429" s="16"/>
      <c r="I1429" s="549"/>
      <c r="J1429" s="550" t="s">
        <v>102</v>
      </c>
      <c r="K1429" s="10">
        <f>data!F2680</f>
        <v>145.68</v>
      </c>
      <c r="L1429" s="208" t="s">
        <v>2308</v>
      </c>
      <c r="M1429" s="9">
        <f>ROUND(I1429*K1429,0)</f>
        <v>0</v>
      </c>
      <c r="N1429" s="533" t="s">
        <v>2308</v>
      </c>
    </row>
    <row r="1430" spans="1:14" ht="94.5" customHeight="1">
      <c r="A1430" s="16">
        <v>15</v>
      </c>
      <c r="B1430" s="1634" t="s">
        <v>1167</v>
      </c>
      <c r="C1430" s="1635"/>
      <c r="D1430" s="1635"/>
      <c r="E1430" s="1635"/>
      <c r="F1430" s="1635"/>
      <c r="G1430" s="1635"/>
      <c r="H1430" s="1636"/>
      <c r="I1430" s="534"/>
      <c r="J1430" s="535"/>
      <c r="K1430" s="16"/>
      <c r="L1430" s="208"/>
      <c r="M1430" s="38"/>
      <c r="N1430" s="533" t="s">
        <v>2309</v>
      </c>
    </row>
    <row r="1431" spans="1:14" s="541" customFormat="1" ht="16.5" customHeight="1">
      <c r="A1431" s="16"/>
      <c r="B1431" s="39" t="s">
        <v>3034</v>
      </c>
      <c r="C1431" s="534"/>
      <c r="D1431" s="858" t="s">
        <v>3253</v>
      </c>
      <c r="E1431" s="537"/>
      <c r="F1431" s="538"/>
      <c r="G1431" s="538"/>
      <c r="H1431" s="538"/>
      <c r="I1431" s="539"/>
      <c r="J1431" s="550"/>
      <c r="K1431" s="39"/>
      <c r="L1431" s="208"/>
      <c r="M1431" s="39"/>
      <c r="N1431" s="533" t="s">
        <v>2309</v>
      </c>
    </row>
    <row r="1432" spans="1:14" s="541" customFormat="1" ht="15.75">
      <c r="A1432" s="16"/>
      <c r="B1432" s="39" t="s">
        <v>2356</v>
      </c>
      <c r="C1432" s="534">
        <v>1</v>
      </c>
      <c r="D1432" s="536" t="s">
        <v>273</v>
      </c>
      <c r="E1432" s="537">
        <v>1</v>
      </c>
      <c r="F1432" s="538">
        <v>3.35</v>
      </c>
      <c r="G1432" s="538">
        <v>2.4900000000000002</v>
      </c>
      <c r="H1432" s="538">
        <v>0</v>
      </c>
      <c r="I1432" s="542">
        <f t="shared" ref="I1432:I1438" si="135">ROUND(IF(AND(F1432:H1432),C1432*E1432*F1432*G1432*H1432,IF(AND(F1432,G1432),C1432*E1432*F1432*G1432,IF(AND(F1432,H1432),C1432*E1432*F1432*H1432,IF(AND(G1432,H1432),C1432*E1432*G1432*H1432,IF(F1432,C1432*E1432*F1432,IF(G1432,C1432*E1432*G1432,IF(H1432,C1432*E1432*H1432,C1432*E1432))))))),2)</f>
        <v>8.34</v>
      </c>
      <c r="J1432" s="550" t="s">
        <v>102</v>
      </c>
      <c r="K1432" s="39"/>
      <c r="L1432" s="208"/>
      <c r="M1432" s="39"/>
      <c r="N1432" s="533" t="s">
        <v>2309</v>
      </c>
    </row>
    <row r="1433" spans="1:14" s="541" customFormat="1" ht="15.75">
      <c r="A1433" s="16"/>
      <c r="B1433" s="39" t="s">
        <v>1620</v>
      </c>
      <c r="C1433" s="534">
        <v>1</v>
      </c>
      <c r="D1433" s="536" t="s">
        <v>273</v>
      </c>
      <c r="E1433" s="537">
        <v>1</v>
      </c>
      <c r="F1433" s="538">
        <v>3.35</v>
      </c>
      <c r="G1433" s="538">
        <v>2.88</v>
      </c>
      <c r="H1433" s="538">
        <v>0</v>
      </c>
      <c r="I1433" s="542">
        <f t="shared" si="135"/>
        <v>9.65</v>
      </c>
      <c r="J1433" s="550" t="s">
        <v>102</v>
      </c>
      <c r="K1433" s="39"/>
      <c r="L1433" s="208"/>
      <c r="M1433" s="39"/>
      <c r="N1433" s="533" t="s">
        <v>2309</v>
      </c>
    </row>
    <row r="1434" spans="1:14" s="541" customFormat="1" ht="16.5" customHeight="1">
      <c r="A1434" s="16"/>
      <c r="B1434" s="39" t="s">
        <v>587</v>
      </c>
      <c r="C1434" s="534">
        <v>1</v>
      </c>
      <c r="D1434" s="536" t="s">
        <v>273</v>
      </c>
      <c r="E1434" s="537">
        <v>1</v>
      </c>
      <c r="F1434" s="538">
        <v>3.35</v>
      </c>
      <c r="G1434" s="538">
        <v>3.12</v>
      </c>
      <c r="H1434" s="538">
        <v>0</v>
      </c>
      <c r="I1434" s="542">
        <f t="shared" si="135"/>
        <v>10.45</v>
      </c>
      <c r="J1434" s="550" t="s">
        <v>102</v>
      </c>
      <c r="K1434" s="39"/>
      <c r="L1434" s="208"/>
      <c r="M1434" s="39"/>
      <c r="N1434" s="533" t="s">
        <v>2309</v>
      </c>
    </row>
    <row r="1435" spans="1:14" s="541" customFormat="1" ht="16.5" customHeight="1">
      <c r="A1435" s="16"/>
      <c r="B1435" s="39" t="s">
        <v>586</v>
      </c>
      <c r="C1435" s="534">
        <v>1</v>
      </c>
      <c r="D1435" s="536" t="s">
        <v>273</v>
      </c>
      <c r="E1435" s="537">
        <v>1</v>
      </c>
      <c r="F1435" s="538">
        <v>11.93</v>
      </c>
      <c r="G1435" s="538">
        <v>1.8</v>
      </c>
      <c r="H1435" s="538">
        <v>0</v>
      </c>
      <c r="I1435" s="542">
        <f t="shared" si="135"/>
        <v>21.47</v>
      </c>
      <c r="J1435" s="550" t="s">
        <v>102</v>
      </c>
      <c r="K1435" s="39"/>
      <c r="L1435" s="208"/>
      <c r="M1435" s="39"/>
      <c r="N1435" s="533" t="s">
        <v>2309</v>
      </c>
    </row>
    <row r="1436" spans="1:14" s="541" customFormat="1" ht="16.5" customHeight="1">
      <c r="A1436" s="16"/>
      <c r="B1436" s="39" t="s">
        <v>223</v>
      </c>
      <c r="C1436" s="534">
        <v>1</v>
      </c>
      <c r="D1436" s="536" t="s">
        <v>273</v>
      </c>
      <c r="E1436" s="537">
        <v>1</v>
      </c>
      <c r="F1436" s="538">
        <v>4.9800000000000004</v>
      </c>
      <c r="G1436" s="538">
        <v>8.6</v>
      </c>
      <c r="H1436" s="538">
        <v>0</v>
      </c>
      <c r="I1436" s="542">
        <f t="shared" si="135"/>
        <v>42.83</v>
      </c>
      <c r="J1436" s="550" t="s">
        <v>102</v>
      </c>
      <c r="K1436" s="39"/>
      <c r="L1436" s="208"/>
      <c r="M1436" s="39"/>
      <c r="N1436" s="533" t="s">
        <v>2309</v>
      </c>
    </row>
    <row r="1437" spans="1:14" s="541" customFormat="1" ht="16.5" customHeight="1">
      <c r="A1437" s="16"/>
      <c r="B1437" s="39" t="s">
        <v>3079</v>
      </c>
      <c r="C1437" s="534">
        <v>2</v>
      </c>
      <c r="D1437" s="536" t="s">
        <v>273</v>
      </c>
      <c r="E1437" s="537">
        <v>2</v>
      </c>
      <c r="F1437" s="538">
        <v>1.8</v>
      </c>
      <c r="G1437" s="538">
        <v>0</v>
      </c>
      <c r="H1437" s="538">
        <v>0.38</v>
      </c>
      <c r="I1437" s="542">
        <f t="shared" si="135"/>
        <v>2.74</v>
      </c>
      <c r="J1437" s="550" t="s">
        <v>102</v>
      </c>
      <c r="K1437" s="39"/>
      <c r="L1437" s="208"/>
      <c r="M1437" s="39"/>
      <c r="N1437" s="533" t="s">
        <v>2309</v>
      </c>
    </row>
    <row r="1438" spans="1:14" s="541" customFormat="1" ht="16.5" customHeight="1">
      <c r="A1438" s="16"/>
      <c r="B1438" s="39" t="s">
        <v>3105</v>
      </c>
      <c r="C1438" s="534">
        <v>1</v>
      </c>
      <c r="D1438" s="536" t="s">
        <v>273</v>
      </c>
      <c r="E1438" s="537">
        <v>1</v>
      </c>
      <c r="F1438" s="538">
        <v>11.68</v>
      </c>
      <c r="G1438" s="538">
        <v>0</v>
      </c>
      <c r="H1438" s="538">
        <v>3.1</v>
      </c>
      <c r="I1438" s="542">
        <f t="shared" si="135"/>
        <v>36.21</v>
      </c>
      <c r="J1438" s="550" t="s">
        <v>102</v>
      </c>
      <c r="K1438" s="39"/>
      <c r="L1438" s="208"/>
      <c r="M1438" s="39"/>
      <c r="N1438" s="533" t="s">
        <v>2309</v>
      </c>
    </row>
    <row r="1439" spans="1:14" s="541" customFormat="1" ht="16.5" customHeight="1">
      <c r="A1439" s="16"/>
      <c r="B1439" s="39" t="s">
        <v>587</v>
      </c>
      <c r="C1439" s="534">
        <v>1</v>
      </c>
      <c r="D1439" s="536" t="s">
        <v>273</v>
      </c>
      <c r="E1439" s="537">
        <v>1</v>
      </c>
      <c r="F1439" s="538">
        <v>12.74</v>
      </c>
      <c r="G1439" s="538">
        <v>0</v>
      </c>
      <c r="H1439" s="538">
        <v>3.1</v>
      </c>
      <c r="I1439" s="542">
        <f>ROUND(IF(AND(F1439:H1439),C1439*E1439*F1439*G1439*H1439,IF(AND(F1439,G1439),C1439*E1439*F1439*G1439,IF(AND(F1439,H1439),C1439*E1439*F1439*H1439,IF(AND(G1439,H1439),C1439*E1439*G1439*H1439,IF(F1439,C1439*E1439*F1439,IF(G1439,C1439*E1439*G1439,IF(H1439,C1439*E1439*H1439,C1439*E1439))))))),2)</f>
        <v>39.49</v>
      </c>
      <c r="J1439" s="550" t="s">
        <v>102</v>
      </c>
      <c r="K1439" s="39"/>
      <c r="L1439" s="208"/>
      <c r="M1439" s="39"/>
      <c r="N1439" s="533" t="s">
        <v>2309</v>
      </c>
    </row>
    <row r="1440" spans="1:14" s="541" customFormat="1" ht="16.5" customHeight="1">
      <c r="A1440" s="16"/>
      <c r="B1440" s="39" t="s">
        <v>3095</v>
      </c>
      <c r="C1440" s="534">
        <v>1</v>
      </c>
      <c r="D1440" s="536" t="s">
        <v>273</v>
      </c>
      <c r="E1440" s="537">
        <v>1</v>
      </c>
      <c r="F1440" s="538">
        <v>12.26</v>
      </c>
      <c r="G1440" s="538">
        <v>0</v>
      </c>
      <c r="H1440" s="538">
        <v>3.1</v>
      </c>
      <c r="I1440" s="542">
        <f t="shared" ref="I1440:I1442" si="136">ROUND(IF(AND(F1440:H1440),C1440*E1440*F1440*G1440*H1440,IF(AND(F1440,G1440),C1440*E1440*F1440*G1440,IF(AND(F1440,H1440),C1440*E1440*F1440*H1440,IF(AND(G1440,H1440),C1440*E1440*G1440*H1440,IF(F1440,C1440*E1440*F1440,IF(G1440,C1440*E1440*G1440,IF(H1440,C1440*E1440*H1440,C1440*E1440))))))),2)</f>
        <v>38.01</v>
      </c>
      <c r="J1440" s="550" t="s">
        <v>102</v>
      </c>
      <c r="K1440" s="39"/>
      <c r="L1440" s="208"/>
      <c r="M1440" s="39"/>
      <c r="N1440" s="533" t="s">
        <v>2309</v>
      </c>
    </row>
    <row r="1441" spans="1:14" s="541" customFormat="1" ht="16.5" customHeight="1">
      <c r="A1441" s="16"/>
      <c r="B1441" s="39" t="s">
        <v>3082</v>
      </c>
      <c r="C1441" s="534">
        <v>1</v>
      </c>
      <c r="D1441" s="536" t="s">
        <v>273</v>
      </c>
      <c r="E1441" s="537">
        <v>1</v>
      </c>
      <c r="F1441" s="538">
        <v>11.93</v>
      </c>
      <c r="G1441" s="538">
        <v>0</v>
      </c>
      <c r="H1441" s="538">
        <v>3.1</v>
      </c>
      <c r="I1441" s="542">
        <f t="shared" si="136"/>
        <v>36.979999999999997</v>
      </c>
      <c r="J1441" s="550" t="s">
        <v>102</v>
      </c>
      <c r="K1441" s="39"/>
      <c r="L1441" s="208"/>
      <c r="M1441" s="39"/>
      <c r="N1441" s="533" t="s">
        <v>2309</v>
      </c>
    </row>
    <row r="1442" spans="1:14" s="541" customFormat="1" ht="16.5" customHeight="1">
      <c r="A1442" s="16"/>
      <c r="B1442" s="39"/>
      <c r="C1442" s="534">
        <v>1</v>
      </c>
      <c r="D1442" s="536" t="s">
        <v>273</v>
      </c>
      <c r="E1442" s="537">
        <v>1</v>
      </c>
      <c r="F1442" s="538">
        <v>9.42</v>
      </c>
      <c r="G1442" s="538">
        <v>0</v>
      </c>
      <c r="H1442" s="538">
        <v>3.1</v>
      </c>
      <c r="I1442" s="542">
        <f t="shared" si="136"/>
        <v>29.2</v>
      </c>
      <c r="J1442" s="550" t="s">
        <v>102</v>
      </c>
      <c r="K1442" s="39"/>
      <c r="L1442" s="208"/>
      <c r="M1442" s="39"/>
      <c r="N1442" s="533" t="s">
        <v>2309</v>
      </c>
    </row>
    <row r="1443" spans="1:14" s="541" customFormat="1" ht="16.5" customHeight="1">
      <c r="A1443" s="16"/>
      <c r="B1443" s="39" t="s">
        <v>3106</v>
      </c>
      <c r="C1443" s="534">
        <v>1</v>
      </c>
      <c r="D1443" s="536" t="s">
        <v>273</v>
      </c>
      <c r="E1443" s="537">
        <v>1</v>
      </c>
      <c r="F1443" s="538">
        <v>22.92</v>
      </c>
      <c r="G1443" s="538">
        <v>0</v>
      </c>
      <c r="H1443" s="538">
        <v>3.1</v>
      </c>
      <c r="I1443" s="542">
        <f>ROUND(IF(AND(F1443:H1443),C1443*E1443*F1443*G1443*H1443,IF(AND(F1443,G1443),C1443*E1443*F1443*G1443,IF(AND(F1443,H1443),C1443*E1443*F1443*H1443,IF(AND(G1443,H1443),C1443*E1443*G1443*H1443,IF(F1443,C1443*E1443*F1443,IF(G1443,C1443*E1443*G1443,IF(H1443,C1443*E1443*H1443,C1443*E1443))))))),2)</f>
        <v>71.05</v>
      </c>
      <c r="J1443" s="550" t="s">
        <v>102</v>
      </c>
      <c r="K1443" s="39"/>
      <c r="L1443" s="208"/>
      <c r="M1443" s="39"/>
      <c r="N1443" s="533" t="s">
        <v>2309</v>
      </c>
    </row>
    <row r="1444" spans="1:14" s="541" customFormat="1" ht="16.5" customHeight="1">
      <c r="A1444" s="16"/>
      <c r="B1444" s="39" t="s">
        <v>3096</v>
      </c>
      <c r="C1444" s="534">
        <v>1</v>
      </c>
      <c r="D1444" s="536" t="s">
        <v>273</v>
      </c>
      <c r="E1444" s="537">
        <v>1</v>
      </c>
      <c r="F1444" s="538">
        <v>2.68</v>
      </c>
      <c r="G1444" s="538">
        <v>0</v>
      </c>
      <c r="H1444" s="538">
        <v>1.2</v>
      </c>
      <c r="I1444" s="542">
        <f>ROUND(IF(AND(F1444:H1444),C1444*E1444*F1444*G1444*H1444,IF(AND(F1444,G1444),C1444*E1444*F1444*G1444,IF(AND(F1444,H1444),C1444*E1444*F1444*H1444,IF(AND(G1444,H1444),C1444*E1444*G1444*H1444,IF(F1444,C1444*E1444*F1444,IF(G1444,C1444*E1444*G1444,IF(H1444,C1444*E1444*H1444,C1444*E1444))))))),2)</f>
        <v>3.22</v>
      </c>
      <c r="J1444" s="550" t="s">
        <v>102</v>
      </c>
      <c r="K1444" s="39"/>
      <c r="L1444" s="208"/>
      <c r="M1444" s="39"/>
      <c r="N1444" s="533" t="s">
        <v>2309</v>
      </c>
    </row>
    <row r="1445" spans="1:14" s="541" customFormat="1" ht="16.5" customHeight="1">
      <c r="A1445" s="16"/>
      <c r="B1445" s="39" t="s">
        <v>3068</v>
      </c>
      <c r="C1445" s="534">
        <v>1</v>
      </c>
      <c r="D1445" s="536" t="s">
        <v>273</v>
      </c>
      <c r="E1445" s="537">
        <v>1</v>
      </c>
      <c r="F1445" s="538">
        <v>0.85</v>
      </c>
      <c r="G1445" s="538">
        <v>0</v>
      </c>
      <c r="H1445" s="538">
        <v>1.2</v>
      </c>
      <c r="I1445" s="542">
        <f>ROUND(IF(AND(F1445:H1445),C1445*E1445*F1445*G1445*H1445,IF(AND(F1445,G1445),C1445*E1445*F1445*G1445,IF(AND(F1445,H1445),C1445*E1445*F1445*H1445,IF(AND(G1445,H1445),C1445*E1445*G1445*H1445,IF(F1445,C1445*E1445*F1445,IF(G1445,C1445*E1445*G1445,IF(H1445,C1445*E1445*H1445,C1445*E1445))))))),2)</f>
        <v>1.02</v>
      </c>
      <c r="J1445" s="550" t="s">
        <v>102</v>
      </c>
      <c r="K1445" s="39"/>
      <c r="L1445" s="208"/>
      <c r="M1445" s="39"/>
      <c r="N1445" s="533" t="s">
        <v>2309</v>
      </c>
    </row>
    <row r="1446" spans="1:14" s="541" customFormat="1" ht="16.5" customHeight="1">
      <c r="A1446" s="16"/>
      <c r="B1446" s="39" t="s">
        <v>2981</v>
      </c>
      <c r="C1446" s="534">
        <v>1</v>
      </c>
      <c r="D1446" s="536" t="s">
        <v>273</v>
      </c>
      <c r="E1446" s="537">
        <v>1</v>
      </c>
      <c r="F1446" s="538">
        <v>2.68</v>
      </c>
      <c r="G1446" s="538">
        <v>0</v>
      </c>
      <c r="H1446" s="538">
        <v>1.2</v>
      </c>
      <c r="I1446" s="542">
        <f>ROUND(IF(AND(F1446:H1446),C1446*E1446*F1446*G1446*H1446,IF(AND(F1446,G1446),C1446*E1446*F1446*G1446,IF(AND(F1446,H1446),C1446*E1446*F1446*H1446,IF(AND(G1446,H1446),C1446*E1446*G1446*H1446,IF(F1446,C1446*E1446*F1446,IF(G1446,C1446*E1446*G1446,IF(H1446,C1446*E1446*H1446,C1446*E1446))))))),2)</f>
        <v>3.22</v>
      </c>
      <c r="J1446" s="550" t="s">
        <v>102</v>
      </c>
      <c r="K1446" s="39"/>
      <c r="L1446" s="208"/>
      <c r="M1446" s="39"/>
      <c r="N1446" s="533" t="s">
        <v>2309</v>
      </c>
    </row>
    <row r="1447" spans="1:14" s="541" customFormat="1" ht="16.5" customHeight="1">
      <c r="A1447" s="16"/>
      <c r="B1447" s="39" t="s">
        <v>3068</v>
      </c>
      <c r="C1447" s="534">
        <v>1</v>
      </c>
      <c r="D1447" s="536" t="s">
        <v>273</v>
      </c>
      <c r="E1447" s="537">
        <v>2</v>
      </c>
      <c r="F1447" s="538">
        <v>0.85</v>
      </c>
      <c r="G1447" s="538">
        <v>0</v>
      </c>
      <c r="H1447" s="538">
        <v>1.2</v>
      </c>
      <c r="I1447" s="542">
        <f>ROUND(IF(AND(F1447:H1447),C1447*E1447*F1447*G1447*H1447,IF(AND(F1447,G1447),C1447*E1447*F1447*G1447,IF(AND(F1447,H1447),C1447*E1447*F1447*H1447,IF(AND(G1447,H1447),C1447*E1447*G1447*H1447,IF(F1447,C1447*E1447*F1447,IF(G1447,C1447*E1447*G1447,IF(H1447,C1447*E1447*H1447,C1447*E1447))))))),2)</f>
        <v>2.04</v>
      </c>
      <c r="J1447" s="550" t="s">
        <v>102</v>
      </c>
      <c r="K1447" s="39"/>
      <c r="L1447" s="208"/>
      <c r="M1447" s="39"/>
      <c r="N1447" s="533" t="s">
        <v>2309</v>
      </c>
    </row>
    <row r="1448" spans="1:14" s="541" customFormat="1" ht="16.5" customHeight="1">
      <c r="A1448" s="16"/>
      <c r="B1448" s="39" t="s">
        <v>1533</v>
      </c>
      <c r="C1448" s="534">
        <v>1</v>
      </c>
      <c r="D1448" s="536" t="s">
        <v>273</v>
      </c>
      <c r="E1448" s="537">
        <v>1</v>
      </c>
      <c r="F1448" s="538">
        <v>1.2</v>
      </c>
      <c r="G1448" s="538">
        <v>0</v>
      </c>
      <c r="H1448" s="538">
        <v>1.1000000000000001</v>
      </c>
      <c r="I1448" s="542">
        <f>-ROUND(IF(AND(F1448:H1448),C1448*E1448*F1448*G1448*H1448,IF(AND(F1448,G1448),C1448*E1448*F1448*G1448,IF(AND(F1448,H1448),C1448*E1448*F1448*H1448,IF(AND(G1448,H1448),C1448*E1448*G1448*H1448,IF(F1448,C1448*E1448*F1448,IF(G1448,C1448*E1448*G1448,IF(H1448,C1448*E1448*H1448,C1448*E1448))))))),2)</f>
        <v>-1.32</v>
      </c>
      <c r="J1448" s="550" t="s">
        <v>102</v>
      </c>
      <c r="K1448" s="39"/>
      <c r="L1448" s="208"/>
      <c r="M1448" s="39"/>
      <c r="N1448" s="533" t="s">
        <v>2309</v>
      </c>
    </row>
    <row r="1449" spans="1:14" s="541" customFormat="1" ht="16.5" customHeight="1">
      <c r="A1449" s="16"/>
      <c r="B1449" s="39" t="s">
        <v>579</v>
      </c>
      <c r="C1449" s="534">
        <v>1</v>
      </c>
      <c r="D1449" s="536" t="s">
        <v>273</v>
      </c>
      <c r="E1449" s="537">
        <v>2</v>
      </c>
      <c r="F1449" s="538">
        <v>1.2</v>
      </c>
      <c r="G1449" s="538">
        <v>0</v>
      </c>
      <c r="H1449" s="538">
        <v>2.1</v>
      </c>
      <c r="I1449" s="542">
        <f>-ROUND(IF(AND(F1449:H1449),C1449*E1449*F1449*G1449*H1449,IF(AND(F1449,G1449),C1449*E1449*F1449*G1449,IF(AND(F1449,H1449),C1449*E1449*F1449*H1449,IF(AND(G1449,H1449),C1449*E1449*G1449*H1449,IF(F1449,C1449*E1449*F1449,IF(G1449,C1449*E1449*G1449,IF(H1449,C1449*E1449*H1449,C1449*E1449))))))),2)</f>
        <v>-5.04</v>
      </c>
      <c r="J1449" s="550" t="s">
        <v>102</v>
      </c>
      <c r="K1449" s="39"/>
      <c r="L1449" s="208"/>
      <c r="M1449" s="39"/>
      <c r="N1449" s="533" t="s">
        <v>2309</v>
      </c>
    </row>
    <row r="1450" spans="1:14" s="541" customFormat="1" ht="16.5" customHeight="1">
      <c r="A1450" s="16"/>
      <c r="B1450" s="39" t="s">
        <v>579</v>
      </c>
      <c r="C1450" s="534">
        <v>2</v>
      </c>
      <c r="D1450" s="536" t="s">
        <v>273</v>
      </c>
      <c r="E1450" s="537">
        <v>4</v>
      </c>
      <c r="F1450" s="538">
        <v>1.05</v>
      </c>
      <c r="G1450" s="538">
        <v>0</v>
      </c>
      <c r="H1450" s="538">
        <v>2.1</v>
      </c>
      <c r="I1450" s="542">
        <f>-ROUND(IF(AND(F1450:H1450),C1450*E1450*F1450*G1450*H1450,IF(AND(F1450,G1450),C1450*E1450*F1450*G1450,IF(AND(F1450,H1450),C1450*E1450*F1450*H1450,IF(AND(G1450,H1450),C1450*E1450*G1450*H1450,IF(F1450,C1450*E1450*F1450,IF(G1450,C1450*E1450*G1450,IF(H1450,C1450*E1450*H1450,C1450*E1450))))))),2)</f>
        <v>-17.64</v>
      </c>
      <c r="J1450" s="550" t="s">
        <v>102</v>
      </c>
      <c r="K1450" s="39"/>
      <c r="L1450" s="208"/>
      <c r="M1450" s="39"/>
      <c r="N1450" s="533" t="s">
        <v>2309</v>
      </c>
    </row>
    <row r="1451" spans="1:14" s="541" customFormat="1" ht="16.5" customHeight="1">
      <c r="A1451" s="16"/>
      <c r="B1451" s="39" t="s">
        <v>2354</v>
      </c>
      <c r="C1451" s="534">
        <v>1</v>
      </c>
      <c r="D1451" s="536" t="s">
        <v>273</v>
      </c>
      <c r="E1451" s="537">
        <v>7</v>
      </c>
      <c r="F1451" s="538">
        <v>1.5</v>
      </c>
      <c r="G1451" s="538">
        <v>0</v>
      </c>
      <c r="H1451" s="538">
        <v>1.35</v>
      </c>
      <c r="I1451" s="542">
        <f>-ROUND(IF(AND(F1451:H1451),C1451*E1451*F1451*G1451*H1451,IF(AND(F1451,G1451),C1451*E1451*F1451*G1451,IF(AND(F1451,H1451),C1451*E1451*F1451*H1451,IF(AND(G1451,H1451),C1451*E1451*G1451*H1451,IF(F1451,C1451*E1451*F1451,IF(G1451,C1451*E1451*G1451,IF(H1451,C1451*E1451*H1451,C1451*E1451))))))),2)</f>
        <v>-14.18</v>
      </c>
      <c r="J1451" s="550" t="s">
        <v>102</v>
      </c>
      <c r="K1451" s="39"/>
      <c r="L1451" s="208"/>
      <c r="M1451" s="39"/>
      <c r="N1451" s="533" t="s">
        <v>2309</v>
      </c>
    </row>
    <row r="1452" spans="1:14" s="541" customFormat="1" ht="16.5" customHeight="1">
      <c r="A1452" s="16"/>
      <c r="B1452" s="39" t="s">
        <v>2134</v>
      </c>
      <c r="C1452" s="534">
        <v>1</v>
      </c>
      <c r="D1452" s="536" t="s">
        <v>273</v>
      </c>
      <c r="E1452" s="537">
        <v>12</v>
      </c>
      <c r="F1452" s="538">
        <v>0.6</v>
      </c>
      <c r="G1452" s="538">
        <v>0</v>
      </c>
      <c r="H1452" s="538">
        <v>0.3</v>
      </c>
      <c r="I1452" s="542">
        <f>-ROUND(IF(AND(F1452:H1452),C1452*E1452*F1452*G1452*H1452,IF(AND(F1452,G1452),C1452*E1452*F1452*G1452,IF(AND(F1452,H1452),C1452*E1452*F1452*H1452,IF(AND(G1452,H1452),C1452*E1452*G1452*H1452,IF(F1452,C1452*E1452*F1452,IF(G1452,C1452*E1452*G1452,IF(H1452,C1452*E1452*H1452,C1452*E1452))))))),2)</f>
        <v>-2.16</v>
      </c>
      <c r="J1452" s="550" t="s">
        <v>102</v>
      </c>
      <c r="K1452" s="39"/>
      <c r="L1452" s="208"/>
      <c r="M1452" s="39"/>
      <c r="N1452" s="533" t="s">
        <v>2309</v>
      </c>
    </row>
    <row r="1453" spans="1:14" s="541" customFormat="1" ht="16.5" customHeight="1">
      <c r="A1453" s="16"/>
      <c r="B1453" s="544"/>
      <c r="C1453" s="545"/>
      <c r="D1453" s="546"/>
      <c r="E1453" s="547"/>
      <c r="F1453" s="548"/>
      <c r="G1453" s="548"/>
      <c r="H1453" s="548"/>
      <c r="I1453" s="549"/>
      <c r="J1453" s="550"/>
      <c r="K1453" s="39"/>
      <c r="L1453" s="208"/>
      <c r="M1453" s="39"/>
      <c r="N1453" s="533" t="s">
        <v>2309</v>
      </c>
    </row>
    <row r="1454" spans="1:14" ht="15.75">
      <c r="A1454" s="16"/>
      <c r="B1454" s="39"/>
      <c r="C1454" s="551"/>
      <c r="D1454" s="552"/>
      <c r="E1454" s="537"/>
      <c r="F1454" s="538"/>
      <c r="G1454" s="40"/>
      <c r="H1454" s="16"/>
      <c r="I1454" s="549"/>
      <c r="J1454" s="550" t="s">
        <v>102</v>
      </c>
      <c r="K1454" s="10">
        <f>data!F3597</f>
        <v>158.36000000000001</v>
      </c>
      <c r="L1454" s="208" t="s">
        <v>2309</v>
      </c>
      <c r="M1454" s="9">
        <f>ROUND(I1454*K1454,0)</f>
        <v>0</v>
      </c>
      <c r="N1454" s="533" t="s">
        <v>2309</v>
      </c>
    </row>
    <row r="1455" spans="1:14" ht="94.5" customHeight="1">
      <c r="A1455" s="16">
        <v>21</v>
      </c>
      <c r="B1455" s="1633" t="s">
        <v>1168</v>
      </c>
      <c r="C1455" s="1633"/>
      <c r="D1455" s="1633"/>
      <c r="E1455" s="1633"/>
      <c r="F1455" s="1633"/>
      <c r="G1455" s="1633"/>
      <c r="H1455" s="1633"/>
      <c r="I1455" s="534"/>
      <c r="J1455" s="535"/>
      <c r="K1455" s="16"/>
      <c r="L1455" s="208"/>
      <c r="M1455" s="38"/>
      <c r="N1455" s="533" t="s">
        <v>2209</v>
      </c>
    </row>
    <row r="1456" spans="1:14" s="541" customFormat="1" ht="15.75">
      <c r="A1456" s="16"/>
      <c r="B1456" s="39" t="s">
        <v>2825</v>
      </c>
      <c r="C1456" s="534"/>
      <c r="D1456" s="536"/>
      <c r="E1456" s="537"/>
      <c r="F1456" s="538"/>
      <c r="G1456" s="538"/>
      <c r="H1456" s="538"/>
      <c r="I1456" s="539"/>
      <c r="J1456" s="550"/>
      <c r="K1456" s="39"/>
      <c r="L1456" s="208"/>
      <c r="M1456" s="39"/>
      <c r="N1456" s="533" t="s">
        <v>2209</v>
      </c>
    </row>
    <row r="1457" spans="1:14" s="541" customFormat="1" ht="15.75">
      <c r="A1457" s="16"/>
      <c r="B1457" s="39" t="s">
        <v>2160</v>
      </c>
      <c r="C1457" s="534">
        <v>1</v>
      </c>
      <c r="D1457" s="536" t="s">
        <v>273</v>
      </c>
      <c r="E1457" s="537">
        <v>1</v>
      </c>
      <c r="F1457" s="538">
        <v>12.48</v>
      </c>
      <c r="G1457" s="538">
        <v>0</v>
      </c>
      <c r="H1457" s="538">
        <v>3.12</v>
      </c>
      <c r="I1457" s="542">
        <f t="shared" ref="I1457" si="137">ROUND(IF(AND(F1457:H1457),C1457*E1457*F1457*G1457*H1457,IF(AND(F1457,G1457),C1457*E1457*F1457*G1457,IF(AND(F1457,H1457),C1457*E1457*F1457*H1457,IF(AND(G1457,H1457),C1457*E1457*G1457*H1457,IF(F1457,C1457*E1457*F1457,IF(G1457,C1457*E1457*G1457,IF(H1457,C1457*E1457*H1457,C1457*E1457))))))),2)</f>
        <v>38.94</v>
      </c>
      <c r="J1457" s="550" t="s">
        <v>102</v>
      </c>
      <c r="K1457" s="39"/>
      <c r="L1457" s="208"/>
      <c r="M1457" s="39"/>
      <c r="N1457" s="533" t="s">
        <v>2209</v>
      </c>
    </row>
    <row r="1458" spans="1:14" s="541" customFormat="1" ht="15.75">
      <c r="A1458" s="16"/>
      <c r="B1458" s="39" t="s">
        <v>1544</v>
      </c>
      <c r="C1458" s="534">
        <v>1</v>
      </c>
      <c r="D1458" s="536" t="s">
        <v>273</v>
      </c>
      <c r="E1458" s="537">
        <v>1</v>
      </c>
      <c r="F1458" s="538">
        <v>8.92</v>
      </c>
      <c r="G1458" s="538">
        <v>0</v>
      </c>
      <c r="H1458" s="538">
        <v>3.12</v>
      </c>
      <c r="I1458" s="542">
        <f>ROUND(IF(AND(F1458:H1458),C1458*E1458*F1458*G1458*H1458,IF(AND(F1458,G1458),C1458*E1458*F1458*G1458,IF(AND(F1458,H1458),C1458*E1458*F1458*H1458,IF(AND(G1458,H1458),C1458*E1458*G1458*H1458,IF(F1458,C1458*E1458*F1458,IF(G1458,C1458*E1458*G1458,IF(H1458,C1458*E1458*H1458,C1458*E1458))))))),2)</f>
        <v>27.83</v>
      </c>
      <c r="J1458" s="550" t="s">
        <v>102</v>
      </c>
      <c r="K1458" s="39"/>
      <c r="L1458" s="208"/>
      <c r="M1458" s="39"/>
      <c r="N1458" s="533" t="s">
        <v>2209</v>
      </c>
    </row>
    <row r="1459" spans="1:14" s="541" customFormat="1" ht="16.5" customHeight="1">
      <c r="A1459" s="16"/>
      <c r="B1459" s="39"/>
      <c r="C1459" s="534">
        <v>1</v>
      </c>
      <c r="D1459" s="536" t="s">
        <v>273</v>
      </c>
      <c r="E1459" s="537">
        <v>1</v>
      </c>
      <c r="F1459" s="538">
        <v>4.4000000000000004</v>
      </c>
      <c r="G1459" s="538">
        <v>0.88</v>
      </c>
      <c r="H1459" s="538">
        <v>0</v>
      </c>
      <c r="I1459" s="574">
        <f t="shared" ref="I1459" si="138">ROUND(IF(AND(F1459:H1459),C1459*E1459*F1459*G1459*H1459,IF(AND(F1459,G1459),C1459*E1459*F1459*G1459,IF(AND(F1459,H1459),C1459*E1459*F1459*H1459,IF(AND(G1459,H1459),C1459*E1459*G1459*H1459,IF(F1459,C1459*E1459*F1459,IF(G1459,C1459*E1459*G1459,IF(H1459,C1459*E1459*H1459,C1459*E1459))))))),2)</f>
        <v>3.87</v>
      </c>
      <c r="J1459" s="550" t="s">
        <v>102</v>
      </c>
      <c r="K1459" s="39"/>
      <c r="L1459" s="208"/>
      <c r="M1459" s="39"/>
      <c r="N1459" s="533" t="s">
        <v>2209</v>
      </c>
    </row>
    <row r="1460" spans="1:14" s="541" customFormat="1" ht="16.5" customHeight="1">
      <c r="A1460" s="16"/>
      <c r="B1460" s="544"/>
      <c r="C1460" s="545"/>
      <c r="D1460" s="546"/>
      <c r="E1460" s="547"/>
      <c r="F1460" s="548"/>
      <c r="G1460" s="548"/>
      <c r="H1460" s="548"/>
      <c r="I1460" s="549"/>
      <c r="J1460" s="550"/>
      <c r="K1460" s="39"/>
      <c r="L1460" s="208"/>
      <c r="M1460" s="39"/>
      <c r="N1460" s="533" t="s">
        <v>2209</v>
      </c>
    </row>
    <row r="1461" spans="1:14" ht="15.75">
      <c r="A1461" s="16"/>
      <c r="B1461" s="39"/>
      <c r="C1461" s="551"/>
      <c r="D1461" s="552"/>
      <c r="E1461" s="537"/>
      <c r="F1461" s="538"/>
      <c r="G1461" s="40"/>
      <c r="H1461" s="16"/>
      <c r="I1461" s="549"/>
      <c r="J1461" s="550" t="s">
        <v>102</v>
      </c>
      <c r="K1461" s="10">
        <f>data!F860</f>
        <v>179.47</v>
      </c>
      <c r="L1461" s="208" t="s">
        <v>2209</v>
      </c>
      <c r="M1461" s="9">
        <f>ROUND(I1461*K1461,0)</f>
        <v>0</v>
      </c>
      <c r="N1461" s="533" t="s">
        <v>2209</v>
      </c>
    </row>
    <row r="1462" spans="1:14" ht="94.5" customHeight="1">
      <c r="A1462" s="16">
        <v>20</v>
      </c>
      <c r="B1462" s="1633" t="s">
        <v>1168</v>
      </c>
      <c r="C1462" s="1633"/>
      <c r="D1462" s="1633"/>
      <c r="E1462" s="1633"/>
      <c r="F1462" s="1633"/>
      <c r="G1462" s="1633"/>
      <c r="H1462" s="1633"/>
      <c r="I1462" s="534"/>
      <c r="J1462" s="535"/>
      <c r="K1462" s="16"/>
      <c r="L1462" s="208"/>
      <c r="M1462" s="38"/>
      <c r="N1462" s="533" t="s">
        <v>2297</v>
      </c>
    </row>
    <row r="1463" spans="1:14" s="541" customFormat="1" ht="15.75">
      <c r="A1463" s="16"/>
      <c r="B1463" s="39" t="s">
        <v>2986</v>
      </c>
      <c r="C1463" s="534"/>
      <c r="D1463" s="536"/>
      <c r="E1463" s="537"/>
      <c r="F1463" s="538"/>
      <c r="G1463" s="538"/>
      <c r="H1463" s="538"/>
      <c r="I1463" s="539"/>
      <c r="J1463" s="550"/>
      <c r="K1463" s="39"/>
      <c r="L1463" s="208"/>
      <c r="M1463" s="39"/>
      <c r="N1463" s="533" t="s">
        <v>2297</v>
      </c>
    </row>
    <row r="1464" spans="1:14" s="541" customFormat="1" ht="15.75">
      <c r="A1464" s="16"/>
      <c r="B1464" s="39" t="s">
        <v>2950</v>
      </c>
      <c r="C1464" s="534">
        <v>1</v>
      </c>
      <c r="D1464" s="536" t="s">
        <v>273</v>
      </c>
      <c r="E1464" s="537">
        <v>1</v>
      </c>
      <c r="F1464" s="538">
        <v>8.84</v>
      </c>
      <c r="G1464" s="538">
        <v>0</v>
      </c>
      <c r="H1464" s="538">
        <v>3.1749999999999998</v>
      </c>
      <c r="I1464" s="542">
        <f t="shared" ref="I1464:I1481" si="139">ROUND(IF(AND(F1464:H1464),C1464*E1464*F1464*G1464*H1464,IF(AND(F1464,G1464),C1464*E1464*F1464*G1464,IF(AND(F1464,H1464),C1464*E1464*F1464*H1464,IF(AND(G1464,H1464),C1464*E1464*G1464*H1464,IF(F1464,C1464*E1464*F1464,IF(G1464,C1464*E1464*G1464,IF(H1464,C1464*E1464*H1464,C1464*E1464))))))),2)</f>
        <v>28.07</v>
      </c>
      <c r="J1464" s="550" t="s">
        <v>102</v>
      </c>
      <c r="K1464" s="39"/>
      <c r="L1464" s="208"/>
      <c r="M1464" s="39"/>
      <c r="N1464" s="533" t="s">
        <v>2297</v>
      </c>
    </row>
    <row r="1465" spans="1:14" s="541" customFormat="1" ht="15.75">
      <c r="A1465" s="16"/>
      <c r="B1465" s="39" t="s">
        <v>817</v>
      </c>
      <c r="C1465" s="534">
        <v>1</v>
      </c>
      <c r="D1465" s="536" t="s">
        <v>273</v>
      </c>
      <c r="E1465" s="537">
        <v>1</v>
      </c>
      <c r="F1465" s="538">
        <v>9.52</v>
      </c>
      <c r="G1465" s="538">
        <v>0</v>
      </c>
      <c r="H1465" s="538">
        <v>3.1749999999999998</v>
      </c>
      <c r="I1465" s="542">
        <f t="shared" si="139"/>
        <v>30.23</v>
      </c>
      <c r="J1465" s="550" t="s">
        <v>102</v>
      </c>
      <c r="K1465" s="39"/>
      <c r="L1465" s="208"/>
      <c r="M1465" s="39"/>
      <c r="N1465" s="533" t="s">
        <v>2297</v>
      </c>
    </row>
    <row r="1466" spans="1:14" s="541" customFormat="1" ht="15.75">
      <c r="A1466" s="16"/>
      <c r="B1466" s="39" t="s">
        <v>2951</v>
      </c>
      <c r="C1466" s="534">
        <v>1</v>
      </c>
      <c r="D1466" s="536" t="s">
        <v>273</v>
      </c>
      <c r="E1466" s="537">
        <v>1</v>
      </c>
      <c r="F1466" s="538">
        <v>2.66</v>
      </c>
      <c r="G1466" s="538">
        <v>0</v>
      </c>
      <c r="H1466" s="538">
        <v>0.9</v>
      </c>
      <c r="I1466" s="542">
        <f t="shared" si="139"/>
        <v>2.39</v>
      </c>
      <c r="J1466" s="550" t="s">
        <v>102</v>
      </c>
      <c r="K1466" s="39"/>
      <c r="L1466" s="208"/>
      <c r="M1466" s="39"/>
      <c r="N1466" s="533" t="s">
        <v>2297</v>
      </c>
    </row>
    <row r="1467" spans="1:14" s="541" customFormat="1" ht="15.75">
      <c r="A1467" s="16"/>
      <c r="B1467" s="39"/>
      <c r="C1467" s="534">
        <v>1</v>
      </c>
      <c r="D1467" s="536" t="s">
        <v>273</v>
      </c>
      <c r="E1467" s="537">
        <v>1</v>
      </c>
      <c r="F1467" s="538">
        <v>4.83</v>
      </c>
      <c r="G1467" s="538">
        <v>0</v>
      </c>
      <c r="H1467" s="538">
        <v>0.9</v>
      </c>
      <c r="I1467" s="542">
        <f t="shared" si="139"/>
        <v>4.3499999999999996</v>
      </c>
      <c r="J1467" s="550" t="s">
        <v>102</v>
      </c>
      <c r="K1467" s="39"/>
      <c r="L1467" s="208"/>
      <c r="M1467" s="39"/>
      <c r="N1467" s="533" t="s">
        <v>2297</v>
      </c>
    </row>
    <row r="1468" spans="1:14" s="541" customFormat="1" ht="15.75">
      <c r="A1468" s="16"/>
      <c r="B1468" s="39" t="s">
        <v>579</v>
      </c>
      <c r="C1468" s="534">
        <v>1</v>
      </c>
      <c r="D1468" s="536" t="s">
        <v>273</v>
      </c>
      <c r="E1468" s="537">
        <v>1</v>
      </c>
      <c r="F1468" s="538">
        <v>1.2</v>
      </c>
      <c r="G1468" s="538">
        <v>0</v>
      </c>
      <c r="H1468" s="538">
        <v>0.9</v>
      </c>
      <c r="I1468" s="542">
        <f>-ROUND(IF(AND(F1468:H1468),C1468*E1468*F1468*G1468*H1468,IF(AND(F1468,G1468),C1468*E1468*F1468*G1468,IF(AND(F1468,H1468),C1468*E1468*F1468*H1468,IF(AND(G1468,H1468),C1468*E1468*G1468*H1468,IF(F1468,C1468*E1468*F1468,IF(G1468,C1468*E1468*G1468,IF(H1468,C1468*E1468*H1468,C1468*E1468))))))),2)</f>
        <v>-1.08</v>
      </c>
      <c r="J1468" s="550" t="s">
        <v>102</v>
      </c>
      <c r="K1468" s="39"/>
      <c r="L1468" s="208"/>
      <c r="M1468" s="39"/>
      <c r="N1468" s="533" t="s">
        <v>2297</v>
      </c>
    </row>
    <row r="1469" spans="1:14" s="541" customFormat="1" ht="15.75">
      <c r="A1469" s="16"/>
      <c r="B1469" s="39" t="s">
        <v>814</v>
      </c>
      <c r="C1469" s="534">
        <v>1</v>
      </c>
      <c r="D1469" s="536" t="s">
        <v>273</v>
      </c>
      <c r="E1469" s="537">
        <v>1</v>
      </c>
      <c r="F1469" s="538">
        <v>3.62</v>
      </c>
      <c r="G1469" s="538">
        <v>0</v>
      </c>
      <c r="H1469" s="538">
        <v>3.1749999999999998</v>
      </c>
      <c r="I1469" s="542">
        <f t="shared" si="139"/>
        <v>11.49</v>
      </c>
      <c r="J1469" s="550" t="s">
        <v>102</v>
      </c>
      <c r="K1469" s="39"/>
      <c r="L1469" s="208"/>
      <c r="M1469" s="39"/>
      <c r="N1469" s="533" t="s">
        <v>2297</v>
      </c>
    </row>
    <row r="1470" spans="1:14" s="541" customFormat="1" ht="15.75">
      <c r="A1470" s="16"/>
      <c r="B1470" s="39" t="s">
        <v>2948</v>
      </c>
      <c r="C1470" s="534">
        <v>1</v>
      </c>
      <c r="D1470" s="536" t="s">
        <v>273</v>
      </c>
      <c r="E1470" s="537">
        <v>1</v>
      </c>
      <c r="F1470" s="538">
        <v>9.52</v>
      </c>
      <c r="G1470" s="538">
        <v>0</v>
      </c>
      <c r="H1470" s="538">
        <v>3.1749999999999998</v>
      </c>
      <c r="I1470" s="542">
        <f t="shared" si="139"/>
        <v>30.23</v>
      </c>
      <c r="J1470" s="550" t="s">
        <v>102</v>
      </c>
      <c r="K1470" s="39"/>
      <c r="L1470" s="208"/>
      <c r="M1470" s="39"/>
      <c r="N1470" s="533" t="s">
        <v>2297</v>
      </c>
    </row>
    <row r="1471" spans="1:14" s="541" customFormat="1" ht="15.75">
      <c r="A1471" s="16"/>
      <c r="B1471" s="39" t="s">
        <v>2952</v>
      </c>
      <c r="C1471" s="534">
        <v>1</v>
      </c>
      <c r="D1471" s="536" t="s">
        <v>273</v>
      </c>
      <c r="E1471" s="537">
        <v>1</v>
      </c>
      <c r="F1471" s="538">
        <v>5.18</v>
      </c>
      <c r="G1471" s="538">
        <v>0</v>
      </c>
      <c r="H1471" s="538">
        <v>3.3</v>
      </c>
      <c r="I1471" s="542">
        <f t="shared" si="139"/>
        <v>17.09</v>
      </c>
      <c r="J1471" s="550" t="s">
        <v>102</v>
      </c>
      <c r="K1471" s="39"/>
      <c r="L1471" s="208"/>
      <c r="M1471" s="39"/>
      <c r="N1471" s="533" t="s">
        <v>2297</v>
      </c>
    </row>
    <row r="1472" spans="1:14" s="541" customFormat="1" ht="15.75">
      <c r="A1472" s="16"/>
      <c r="B1472" s="39" t="s">
        <v>579</v>
      </c>
      <c r="C1472" s="534">
        <v>1</v>
      </c>
      <c r="D1472" s="536" t="s">
        <v>273</v>
      </c>
      <c r="E1472" s="537">
        <v>1</v>
      </c>
      <c r="F1472" s="538">
        <v>0.75</v>
      </c>
      <c r="G1472" s="538">
        <v>0</v>
      </c>
      <c r="H1472" s="538">
        <v>2.1</v>
      </c>
      <c r="I1472" s="542">
        <f t="shared" ref="I1472:I1477" si="140">-ROUND(IF(AND(F1472:H1472),C1472*E1472*F1472*G1472*H1472,IF(AND(F1472,G1472),C1472*E1472*F1472*G1472,IF(AND(F1472,H1472),C1472*E1472*F1472*H1472,IF(AND(G1472,H1472),C1472*E1472*G1472*H1472,IF(F1472,C1472*E1472*F1472,IF(G1472,C1472*E1472*G1472,IF(H1472,C1472*E1472*H1472,C1472*E1472))))))),2)</f>
        <v>-1.58</v>
      </c>
      <c r="J1472" s="550" t="s">
        <v>102</v>
      </c>
      <c r="K1472" s="39"/>
      <c r="L1472" s="208"/>
      <c r="M1472" s="39"/>
      <c r="N1472" s="533" t="s">
        <v>2297</v>
      </c>
    </row>
    <row r="1473" spans="1:14" s="541" customFormat="1" ht="15.75">
      <c r="A1473" s="16"/>
      <c r="B1473" s="39" t="s">
        <v>2354</v>
      </c>
      <c r="C1473" s="534">
        <v>1</v>
      </c>
      <c r="D1473" s="536" t="s">
        <v>273</v>
      </c>
      <c r="E1473" s="537">
        <v>7</v>
      </c>
      <c r="F1473" s="538">
        <v>1.45</v>
      </c>
      <c r="G1473" s="538">
        <v>0</v>
      </c>
      <c r="H1473" s="538">
        <v>1.45</v>
      </c>
      <c r="I1473" s="542">
        <f t="shared" si="140"/>
        <v>-14.72</v>
      </c>
      <c r="J1473" s="550" t="s">
        <v>102</v>
      </c>
      <c r="K1473" s="39"/>
      <c r="L1473" s="208"/>
      <c r="M1473" s="39"/>
      <c r="N1473" s="533" t="s">
        <v>2297</v>
      </c>
    </row>
    <row r="1474" spans="1:14" s="541" customFormat="1" ht="15.75">
      <c r="A1474" s="16"/>
      <c r="B1474" s="39" t="s">
        <v>2134</v>
      </c>
      <c r="C1474" s="534">
        <v>1</v>
      </c>
      <c r="D1474" s="536" t="s">
        <v>273</v>
      </c>
      <c r="E1474" s="537">
        <v>6</v>
      </c>
      <c r="F1474" s="538">
        <v>0.6</v>
      </c>
      <c r="G1474" s="538">
        <v>0</v>
      </c>
      <c r="H1474" s="538">
        <v>0.3</v>
      </c>
      <c r="I1474" s="542">
        <f t="shared" si="140"/>
        <v>-1.08</v>
      </c>
      <c r="J1474" s="550" t="s">
        <v>102</v>
      </c>
      <c r="K1474" s="39"/>
      <c r="L1474" s="208"/>
      <c r="M1474" s="39"/>
      <c r="N1474" s="533" t="s">
        <v>2297</v>
      </c>
    </row>
    <row r="1475" spans="1:14" s="541" customFormat="1" ht="15.75">
      <c r="A1475" s="16"/>
      <c r="B1475" s="39" t="s">
        <v>2134</v>
      </c>
      <c r="C1475" s="534">
        <v>1</v>
      </c>
      <c r="D1475" s="536" t="s">
        <v>273</v>
      </c>
      <c r="E1475" s="537">
        <v>3</v>
      </c>
      <c r="F1475" s="538">
        <v>0.3</v>
      </c>
      <c r="G1475" s="538">
        <v>0</v>
      </c>
      <c r="H1475" s="538">
        <v>0.3</v>
      </c>
      <c r="I1475" s="542">
        <f t="shared" si="140"/>
        <v>-0.27</v>
      </c>
      <c r="J1475" s="550" t="s">
        <v>102</v>
      </c>
      <c r="K1475" s="39"/>
      <c r="L1475" s="208"/>
      <c r="M1475" s="39"/>
      <c r="N1475" s="533" t="s">
        <v>2297</v>
      </c>
    </row>
    <row r="1476" spans="1:14" s="541" customFormat="1" ht="15.75">
      <c r="A1476" s="16"/>
      <c r="B1476" s="39" t="s">
        <v>2953</v>
      </c>
      <c r="C1476" s="534">
        <v>1</v>
      </c>
      <c r="D1476" s="536" t="s">
        <v>273</v>
      </c>
      <c r="E1476" s="537">
        <v>1</v>
      </c>
      <c r="F1476" s="538">
        <v>1.27</v>
      </c>
      <c r="G1476" s="538">
        <v>0</v>
      </c>
      <c r="H1476" s="538">
        <v>1.5</v>
      </c>
      <c r="I1476" s="542">
        <f t="shared" si="140"/>
        <v>-1.91</v>
      </c>
      <c r="J1476" s="550" t="s">
        <v>102</v>
      </c>
      <c r="K1476" s="39"/>
      <c r="L1476" s="208"/>
      <c r="M1476" s="39"/>
      <c r="N1476" s="533" t="s">
        <v>2297</v>
      </c>
    </row>
    <row r="1477" spans="1:14" s="541" customFormat="1" ht="15.75">
      <c r="A1477" s="16"/>
      <c r="B1477" s="39"/>
      <c r="C1477" s="534">
        <v>1</v>
      </c>
      <c r="D1477" s="536" t="s">
        <v>273</v>
      </c>
      <c r="E1477" s="537">
        <v>1</v>
      </c>
      <c r="F1477" s="538">
        <v>1.27</v>
      </c>
      <c r="G1477" s="538">
        <v>0</v>
      </c>
      <c r="H1477" s="538">
        <v>1.2</v>
      </c>
      <c r="I1477" s="542">
        <f t="shared" si="140"/>
        <v>-1.52</v>
      </c>
      <c r="J1477" s="550" t="s">
        <v>102</v>
      </c>
      <c r="K1477" s="39"/>
      <c r="L1477" s="208"/>
      <c r="M1477" s="39"/>
      <c r="N1477" s="533" t="s">
        <v>2297</v>
      </c>
    </row>
    <row r="1478" spans="1:14" s="541" customFormat="1" ht="15.75">
      <c r="A1478" s="16"/>
      <c r="B1478" s="39" t="s">
        <v>2926</v>
      </c>
      <c r="C1478" s="534">
        <v>1</v>
      </c>
      <c r="D1478" s="536" t="s">
        <v>273</v>
      </c>
      <c r="E1478" s="537">
        <v>1</v>
      </c>
      <c r="F1478" s="538">
        <v>7.05</v>
      </c>
      <c r="G1478" s="538">
        <v>0</v>
      </c>
      <c r="H1478" s="538">
        <v>0.125</v>
      </c>
      <c r="I1478" s="542">
        <f t="shared" si="139"/>
        <v>0.88</v>
      </c>
      <c r="J1478" s="550" t="s">
        <v>102</v>
      </c>
      <c r="K1478" s="39"/>
      <c r="L1478" s="208"/>
      <c r="M1478" s="39"/>
      <c r="N1478" s="533" t="s">
        <v>2297</v>
      </c>
    </row>
    <row r="1479" spans="1:14" s="541" customFormat="1" ht="15.75">
      <c r="A1479" s="16"/>
      <c r="B1479" s="39"/>
      <c r="C1479" s="534">
        <v>1</v>
      </c>
      <c r="D1479" s="536" t="s">
        <v>273</v>
      </c>
      <c r="E1479" s="537">
        <v>1</v>
      </c>
      <c r="F1479" s="538">
        <v>10.14</v>
      </c>
      <c r="G1479" s="538">
        <v>0</v>
      </c>
      <c r="H1479" s="538">
        <v>0.125</v>
      </c>
      <c r="I1479" s="542">
        <f t="shared" si="139"/>
        <v>1.27</v>
      </c>
      <c r="J1479" s="550" t="s">
        <v>102</v>
      </c>
      <c r="K1479" s="39"/>
      <c r="L1479" s="208"/>
      <c r="M1479" s="39"/>
      <c r="N1479" s="533" t="s">
        <v>2297</v>
      </c>
    </row>
    <row r="1480" spans="1:14" s="541" customFormat="1" ht="15.75">
      <c r="A1480" s="16"/>
      <c r="B1480" s="39"/>
      <c r="C1480" s="534">
        <v>1</v>
      </c>
      <c r="D1480" s="536" t="s">
        <v>273</v>
      </c>
      <c r="E1480" s="537">
        <v>1</v>
      </c>
      <c r="F1480" s="538">
        <v>14.52</v>
      </c>
      <c r="G1480" s="538">
        <v>0</v>
      </c>
      <c r="H1480" s="538">
        <v>0.125</v>
      </c>
      <c r="I1480" s="542">
        <f t="shared" si="139"/>
        <v>1.82</v>
      </c>
      <c r="J1480" s="550" t="s">
        <v>102</v>
      </c>
      <c r="K1480" s="39"/>
      <c r="L1480" s="208"/>
      <c r="M1480" s="39"/>
      <c r="N1480" s="533" t="s">
        <v>2297</v>
      </c>
    </row>
    <row r="1481" spans="1:14" s="541" customFormat="1" ht="15.75">
      <c r="A1481" s="16"/>
      <c r="B1481" s="39"/>
      <c r="C1481" s="534">
        <v>1</v>
      </c>
      <c r="D1481" s="536" t="s">
        <v>273</v>
      </c>
      <c r="E1481" s="537">
        <v>1</v>
      </c>
      <c r="F1481" s="538">
        <v>10.29</v>
      </c>
      <c r="G1481" s="538">
        <v>0</v>
      </c>
      <c r="H1481" s="538">
        <v>0.125</v>
      </c>
      <c r="I1481" s="542">
        <f t="shared" si="139"/>
        <v>1.29</v>
      </c>
      <c r="J1481" s="550" t="s">
        <v>102</v>
      </c>
      <c r="K1481" s="39"/>
      <c r="L1481" s="208"/>
      <c r="M1481" s="39"/>
      <c r="N1481" s="533" t="s">
        <v>2297</v>
      </c>
    </row>
    <row r="1482" spans="1:14" s="541" customFormat="1" ht="15.75">
      <c r="A1482" s="16"/>
      <c r="B1482" s="39" t="s">
        <v>2987</v>
      </c>
      <c r="C1482" s="534">
        <v>1</v>
      </c>
      <c r="D1482" s="536" t="s">
        <v>273</v>
      </c>
      <c r="E1482" s="537">
        <v>1</v>
      </c>
      <c r="F1482" s="538">
        <v>6.45</v>
      </c>
      <c r="G1482" s="538">
        <v>1</v>
      </c>
      <c r="H1482" s="538">
        <v>0</v>
      </c>
      <c r="I1482" s="542">
        <f t="shared" ref="I1482" si="141">ROUND(IF(AND(F1482:H1482),C1482*E1482*F1482*G1482*H1482,IF(AND(F1482,G1482),C1482*E1482*F1482*G1482,IF(AND(F1482,H1482),C1482*E1482*F1482*H1482,IF(AND(G1482,H1482),C1482*E1482*G1482*H1482,IF(F1482,C1482*E1482*F1482,IF(G1482,C1482*E1482*G1482,IF(H1482,C1482*E1482*H1482,C1482*E1482))))))),2)</f>
        <v>6.45</v>
      </c>
      <c r="J1482" s="550" t="s">
        <v>102</v>
      </c>
      <c r="K1482" s="39"/>
      <c r="L1482" s="208"/>
      <c r="M1482" s="39"/>
      <c r="N1482" s="533" t="s">
        <v>2297</v>
      </c>
    </row>
    <row r="1483" spans="1:14" s="541" customFormat="1" ht="15.75">
      <c r="A1483" s="16"/>
      <c r="B1483" s="39" t="s">
        <v>2988</v>
      </c>
      <c r="C1483" s="534">
        <v>2</v>
      </c>
      <c r="D1483" s="536" t="s">
        <v>273</v>
      </c>
      <c r="E1483" s="537">
        <v>2</v>
      </c>
      <c r="F1483" s="538">
        <v>1</v>
      </c>
      <c r="G1483" s="538">
        <v>0</v>
      </c>
      <c r="H1483" s="538">
        <v>0.3</v>
      </c>
      <c r="I1483" s="542">
        <f t="shared" ref="I1483:I1491" si="142">ROUND(IF(AND(F1483:H1483),C1483*E1483*F1483*G1483*H1483,IF(AND(F1483,G1483),C1483*E1483*F1483*G1483,IF(AND(F1483,H1483),C1483*E1483*F1483*H1483,IF(AND(G1483,H1483),C1483*E1483*G1483*H1483,IF(F1483,C1483*E1483*F1483,IF(G1483,C1483*E1483*G1483,IF(H1483,C1483*E1483*H1483,C1483*E1483))))))),2)</f>
        <v>1.2</v>
      </c>
      <c r="J1483" s="550" t="s">
        <v>102</v>
      </c>
      <c r="K1483" s="39"/>
      <c r="L1483" s="208"/>
      <c r="M1483" s="39"/>
      <c r="N1483" s="533" t="s">
        <v>2297</v>
      </c>
    </row>
    <row r="1484" spans="1:14" s="541" customFormat="1" ht="15.75">
      <c r="A1484" s="16"/>
      <c r="B1484" s="39" t="s">
        <v>2920</v>
      </c>
      <c r="C1484" s="534">
        <v>1</v>
      </c>
      <c r="D1484" s="536" t="s">
        <v>273</v>
      </c>
      <c r="E1484" s="537">
        <v>1</v>
      </c>
      <c r="F1484" s="538">
        <v>13.47</v>
      </c>
      <c r="G1484" s="538">
        <v>1</v>
      </c>
      <c r="H1484" s="538">
        <v>0</v>
      </c>
      <c r="I1484" s="542">
        <f t="shared" si="142"/>
        <v>13.47</v>
      </c>
      <c r="J1484" s="550" t="s">
        <v>102</v>
      </c>
      <c r="K1484" s="39"/>
      <c r="L1484" s="208"/>
      <c r="M1484" s="39"/>
      <c r="N1484" s="533" t="s">
        <v>2297</v>
      </c>
    </row>
    <row r="1485" spans="1:14" s="541" customFormat="1" ht="15.75">
      <c r="A1485" s="16"/>
      <c r="B1485" s="39" t="s">
        <v>2909</v>
      </c>
      <c r="C1485" s="534">
        <v>5</v>
      </c>
      <c r="D1485" s="536" t="s">
        <v>273</v>
      </c>
      <c r="E1485" s="537">
        <v>2</v>
      </c>
      <c r="F1485" s="538">
        <v>1</v>
      </c>
      <c r="G1485" s="538">
        <v>0</v>
      </c>
      <c r="H1485" s="538">
        <v>0.38</v>
      </c>
      <c r="I1485" s="542">
        <f t="shared" si="142"/>
        <v>3.8</v>
      </c>
      <c r="J1485" s="550" t="s">
        <v>102</v>
      </c>
      <c r="K1485" s="39"/>
      <c r="L1485" s="208"/>
      <c r="M1485" s="39"/>
      <c r="N1485" s="533" t="s">
        <v>2297</v>
      </c>
    </row>
    <row r="1486" spans="1:14" s="541" customFormat="1" ht="15.75">
      <c r="A1486" s="16"/>
      <c r="B1486" s="39" t="s">
        <v>2921</v>
      </c>
      <c r="C1486" s="534">
        <v>1</v>
      </c>
      <c r="D1486" s="536" t="s">
        <v>273</v>
      </c>
      <c r="E1486" s="537">
        <v>1</v>
      </c>
      <c r="F1486" s="538">
        <v>8.84</v>
      </c>
      <c r="G1486" s="538">
        <v>1</v>
      </c>
      <c r="H1486" s="538">
        <v>0</v>
      </c>
      <c r="I1486" s="542">
        <f t="shared" si="142"/>
        <v>8.84</v>
      </c>
      <c r="J1486" s="550" t="s">
        <v>102</v>
      </c>
      <c r="K1486" s="39"/>
      <c r="L1486" s="208"/>
      <c r="M1486" s="39"/>
      <c r="N1486" s="533" t="s">
        <v>2297</v>
      </c>
    </row>
    <row r="1487" spans="1:14" s="541" customFormat="1" ht="15.75">
      <c r="A1487" s="16"/>
      <c r="B1487" s="39" t="s">
        <v>2910</v>
      </c>
      <c r="C1487" s="534">
        <v>3</v>
      </c>
      <c r="D1487" s="536" t="s">
        <v>273</v>
      </c>
      <c r="E1487" s="537">
        <v>2</v>
      </c>
      <c r="F1487" s="538">
        <v>1</v>
      </c>
      <c r="G1487" s="538">
        <v>0</v>
      </c>
      <c r="H1487" s="538">
        <v>0.3</v>
      </c>
      <c r="I1487" s="542">
        <f t="shared" si="142"/>
        <v>1.8</v>
      </c>
      <c r="J1487" s="550" t="s">
        <v>102</v>
      </c>
      <c r="K1487" s="39"/>
      <c r="L1487" s="208"/>
      <c r="M1487" s="39"/>
      <c r="N1487" s="533" t="s">
        <v>2297</v>
      </c>
    </row>
    <row r="1488" spans="1:14" s="541" customFormat="1" ht="15.75">
      <c r="A1488" s="16"/>
      <c r="B1488" s="39" t="s">
        <v>2911</v>
      </c>
      <c r="C1488" s="534">
        <v>1</v>
      </c>
      <c r="D1488" s="536" t="s">
        <v>273</v>
      </c>
      <c r="E1488" s="537">
        <v>1</v>
      </c>
      <c r="F1488" s="538">
        <v>10.29</v>
      </c>
      <c r="G1488" s="538">
        <v>0.3</v>
      </c>
      <c r="H1488" s="538">
        <v>0</v>
      </c>
      <c r="I1488" s="542">
        <f t="shared" si="142"/>
        <v>3.09</v>
      </c>
      <c r="J1488" s="550" t="s">
        <v>102</v>
      </c>
      <c r="K1488" s="39"/>
      <c r="L1488" s="208"/>
      <c r="M1488" s="39"/>
      <c r="N1488" s="533" t="s">
        <v>2297</v>
      </c>
    </row>
    <row r="1489" spans="1:14" s="541" customFormat="1" ht="15.75">
      <c r="A1489" s="16"/>
      <c r="B1489" s="39" t="s">
        <v>2927</v>
      </c>
      <c r="C1489" s="534">
        <v>6</v>
      </c>
      <c r="D1489" s="536" t="s">
        <v>273</v>
      </c>
      <c r="E1489" s="537">
        <v>2</v>
      </c>
      <c r="F1489" s="538">
        <v>1.8</v>
      </c>
      <c r="G1489" s="538">
        <v>0.6</v>
      </c>
      <c r="H1489" s="538">
        <v>0</v>
      </c>
      <c r="I1489" s="542">
        <f t="shared" si="142"/>
        <v>12.96</v>
      </c>
      <c r="J1489" s="550" t="s">
        <v>102</v>
      </c>
      <c r="K1489" s="39"/>
      <c r="L1489" s="208"/>
      <c r="M1489" s="39"/>
      <c r="N1489" s="533" t="s">
        <v>2297</v>
      </c>
    </row>
    <row r="1490" spans="1:14" s="541" customFormat="1" ht="15.75">
      <c r="A1490" s="16"/>
      <c r="B1490" s="39" t="s">
        <v>1490</v>
      </c>
      <c r="C1490" s="534">
        <v>1</v>
      </c>
      <c r="D1490" s="536" t="s">
        <v>273</v>
      </c>
      <c r="E1490" s="537">
        <v>2</v>
      </c>
      <c r="F1490" s="538">
        <v>10.3</v>
      </c>
      <c r="G1490" s="538">
        <v>0</v>
      </c>
      <c r="H1490" s="538">
        <v>0.6</v>
      </c>
      <c r="I1490" s="542">
        <f t="shared" si="142"/>
        <v>12.36</v>
      </c>
      <c r="J1490" s="550" t="s">
        <v>102</v>
      </c>
      <c r="K1490" s="39"/>
      <c r="L1490" s="208"/>
      <c r="M1490" s="39"/>
      <c r="N1490" s="533" t="s">
        <v>2297</v>
      </c>
    </row>
    <row r="1491" spans="1:14" s="541" customFormat="1" ht="15.75">
      <c r="A1491" s="16"/>
      <c r="B1491" s="39"/>
      <c r="C1491" s="534">
        <v>1</v>
      </c>
      <c r="D1491" s="536" t="s">
        <v>273</v>
      </c>
      <c r="E1491" s="537">
        <v>2</v>
      </c>
      <c r="F1491" s="538">
        <v>24</v>
      </c>
      <c r="G1491" s="538">
        <v>0</v>
      </c>
      <c r="H1491" s="538">
        <v>0.9</v>
      </c>
      <c r="I1491" s="542">
        <f t="shared" si="142"/>
        <v>43.2</v>
      </c>
      <c r="J1491" s="550" t="s">
        <v>102</v>
      </c>
      <c r="K1491" s="39"/>
      <c r="L1491" s="208"/>
      <c r="M1491" s="39"/>
      <c r="N1491" s="533" t="s">
        <v>2297</v>
      </c>
    </row>
    <row r="1492" spans="1:14" s="541" customFormat="1" ht="16.5" customHeight="1">
      <c r="A1492" s="16"/>
      <c r="B1492" s="544"/>
      <c r="C1492" s="545"/>
      <c r="D1492" s="546"/>
      <c r="E1492" s="547"/>
      <c r="F1492" s="548"/>
      <c r="G1492" s="548"/>
      <c r="H1492" s="548"/>
      <c r="I1492" s="549"/>
      <c r="J1492" s="550"/>
      <c r="K1492" s="39"/>
      <c r="L1492" s="208"/>
      <c r="M1492" s="39"/>
      <c r="N1492" s="533" t="s">
        <v>2297</v>
      </c>
    </row>
    <row r="1493" spans="1:14" ht="15.75">
      <c r="A1493" s="16"/>
      <c r="B1493" s="39"/>
      <c r="C1493" s="551"/>
      <c r="D1493" s="552"/>
      <c r="E1493" s="537"/>
      <c r="F1493" s="538"/>
      <c r="G1493" s="40"/>
      <c r="H1493" s="16"/>
      <c r="I1493" s="549"/>
      <c r="J1493" s="550" t="s">
        <v>102</v>
      </c>
      <c r="K1493" s="10">
        <f>data!F1777</f>
        <v>192.01</v>
      </c>
      <c r="L1493" s="208" t="s">
        <v>2297</v>
      </c>
      <c r="M1493" s="9">
        <f>ROUND(I1493*K1493,0)</f>
        <v>0</v>
      </c>
      <c r="N1493" s="533" t="s">
        <v>2297</v>
      </c>
    </row>
    <row r="1494" spans="1:14" ht="94.5" customHeight="1">
      <c r="A1494" s="16">
        <v>21</v>
      </c>
      <c r="B1494" s="1633" t="s">
        <v>1168</v>
      </c>
      <c r="C1494" s="1633"/>
      <c r="D1494" s="1633"/>
      <c r="E1494" s="1633"/>
      <c r="F1494" s="1633"/>
      <c r="G1494" s="1633"/>
      <c r="H1494" s="1633"/>
      <c r="I1494" s="534"/>
      <c r="J1494" s="535"/>
      <c r="K1494" s="16"/>
      <c r="L1494" s="208"/>
      <c r="M1494" s="38"/>
      <c r="N1494" s="533" t="s">
        <v>2308</v>
      </c>
    </row>
    <row r="1495" spans="1:14" s="541" customFormat="1" ht="15.75">
      <c r="A1495" s="16"/>
      <c r="B1495" s="39" t="s">
        <v>2825</v>
      </c>
      <c r="C1495" s="534"/>
      <c r="D1495" s="536"/>
      <c r="E1495" s="537"/>
      <c r="F1495" s="538"/>
      <c r="G1495" s="538"/>
      <c r="H1495" s="538"/>
      <c r="I1495" s="539"/>
      <c r="J1495" s="550"/>
      <c r="K1495" s="39"/>
      <c r="L1495" s="208"/>
      <c r="M1495" s="39"/>
      <c r="N1495" s="533" t="s">
        <v>2308</v>
      </c>
    </row>
    <row r="1496" spans="1:14" s="541" customFormat="1" ht="15.75">
      <c r="A1496" s="16"/>
      <c r="B1496" s="39" t="s">
        <v>2160</v>
      </c>
      <c r="C1496" s="534">
        <v>1</v>
      </c>
      <c r="D1496" s="536" t="s">
        <v>273</v>
      </c>
      <c r="E1496" s="537">
        <v>1</v>
      </c>
      <c r="F1496" s="538">
        <v>12.48</v>
      </c>
      <c r="G1496" s="538">
        <v>0</v>
      </c>
      <c r="H1496" s="538">
        <v>3.12</v>
      </c>
      <c r="I1496" s="542">
        <f>ROUND(IF(AND(F1496:H1496),C1496*E1496*F1496*G1496*H1496,IF(AND(F1496,G1496),C1496*E1496*F1496*G1496,IF(AND(F1496,H1496),C1496*E1496*F1496*H1496,IF(AND(G1496,H1496),C1496*E1496*G1496*H1496,IF(F1496,C1496*E1496*F1496,IF(G1496,C1496*E1496*G1496,IF(H1496,C1496*E1496*H1496,C1496*E1496))))))),2)</f>
        <v>38.94</v>
      </c>
      <c r="J1496" s="550" t="s">
        <v>102</v>
      </c>
      <c r="K1496" s="39"/>
      <c r="L1496" s="208"/>
      <c r="M1496" s="39"/>
      <c r="N1496" s="533" t="s">
        <v>2308</v>
      </c>
    </row>
    <row r="1497" spans="1:14" s="541" customFormat="1" ht="15.75">
      <c r="A1497" s="16"/>
      <c r="B1497" s="39" t="s">
        <v>1544</v>
      </c>
      <c r="C1497" s="534">
        <v>1</v>
      </c>
      <c r="D1497" s="536" t="s">
        <v>273</v>
      </c>
      <c r="E1497" s="537">
        <v>1</v>
      </c>
      <c r="F1497" s="538">
        <v>8.92</v>
      </c>
      <c r="G1497" s="538">
        <v>0</v>
      </c>
      <c r="H1497" s="538">
        <v>3.12</v>
      </c>
      <c r="I1497" s="542">
        <f>ROUND(IF(AND(F1497:H1497),C1497*E1497*F1497*G1497*H1497,IF(AND(F1497,G1497),C1497*E1497*F1497*G1497,IF(AND(F1497,H1497),C1497*E1497*F1497*H1497,IF(AND(G1497,H1497),C1497*E1497*G1497*H1497,IF(F1497,C1497*E1497*F1497,IF(G1497,C1497*E1497*G1497,IF(H1497,C1497*E1497*H1497,C1497*E1497))))))),2)</f>
        <v>27.83</v>
      </c>
      <c r="J1497" s="550" t="s">
        <v>102</v>
      </c>
      <c r="K1497" s="39"/>
      <c r="L1497" s="208"/>
      <c r="M1497" s="39"/>
      <c r="N1497" s="533" t="s">
        <v>2308</v>
      </c>
    </row>
    <row r="1498" spans="1:14" s="541" customFormat="1" ht="16.5" customHeight="1">
      <c r="A1498" s="16"/>
      <c r="B1498" s="39"/>
      <c r="C1498" s="534">
        <v>1</v>
      </c>
      <c r="D1498" s="536" t="s">
        <v>273</v>
      </c>
      <c r="E1498" s="537">
        <v>1</v>
      </c>
      <c r="F1498" s="538">
        <v>4.4000000000000004</v>
      </c>
      <c r="G1498" s="538">
        <v>0.88</v>
      </c>
      <c r="H1498" s="538">
        <v>0</v>
      </c>
      <c r="I1498" s="574">
        <f>ROUND(IF(AND(F1498:H1498),C1498*E1498*F1498*G1498*H1498,IF(AND(F1498,G1498),C1498*E1498*F1498*G1498,IF(AND(F1498,H1498),C1498*E1498*F1498*H1498,IF(AND(G1498,H1498),C1498*E1498*G1498*H1498,IF(F1498,C1498*E1498*F1498,IF(G1498,C1498*E1498*G1498,IF(H1498,C1498*E1498*H1498,C1498*E1498))))))),2)</f>
        <v>3.87</v>
      </c>
      <c r="J1498" s="550" t="s">
        <v>102</v>
      </c>
      <c r="K1498" s="39"/>
      <c r="L1498" s="208"/>
      <c r="M1498" s="39"/>
      <c r="N1498" s="533" t="s">
        <v>2308</v>
      </c>
    </row>
    <row r="1499" spans="1:14" s="541" customFormat="1" ht="16.5" customHeight="1">
      <c r="A1499" s="16"/>
      <c r="B1499" s="544"/>
      <c r="C1499" s="545"/>
      <c r="D1499" s="546"/>
      <c r="E1499" s="547"/>
      <c r="F1499" s="548"/>
      <c r="G1499" s="548"/>
      <c r="H1499" s="548"/>
      <c r="I1499" s="549"/>
      <c r="J1499" s="550"/>
      <c r="K1499" s="39"/>
      <c r="L1499" s="208"/>
      <c r="M1499" s="39"/>
      <c r="N1499" s="533" t="s">
        <v>2308</v>
      </c>
    </row>
    <row r="1500" spans="1:14" ht="15.75">
      <c r="A1500" s="16"/>
      <c r="B1500" s="39"/>
      <c r="C1500" s="551"/>
      <c r="D1500" s="552"/>
      <c r="E1500" s="537"/>
      <c r="F1500" s="538"/>
      <c r="G1500" s="40"/>
      <c r="H1500" s="16"/>
      <c r="I1500" s="549"/>
      <c r="J1500" s="550" t="s">
        <v>102</v>
      </c>
      <c r="K1500" s="10">
        <f>data!F2694</f>
        <v>201.51</v>
      </c>
      <c r="L1500" s="208" t="s">
        <v>2308</v>
      </c>
      <c r="M1500" s="9">
        <f>ROUND(I1500*K1500,0)</f>
        <v>0</v>
      </c>
      <c r="N1500" s="533" t="s">
        <v>2308</v>
      </c>
    </row>
    <row r="1501" spans="1:14" ht="94.5" customHeight="1">
      <c r="A1501" s="16">
        <v>16</v>
      </c>
      <c r="B1501" s="1633" t="s">
        <v>1168</v>
      </c>
      <c r="C1501" s="1633"/>
      <c r="D1501" s="1633"/>
      <c r="E1501" s="1633"/>
      <c r="F1501" s="1633"/>
      <c r="G1501" s="1633"/>
      <c r="H1501" s="1633"/>
      <c r="I1501" s="534"/>
      <c r="J1501" s="535"/>
      <c r="K1501" s="16"/>
      <c r="L1501" s="208"/>
      <c r="M1501" s="38"/>
      <c r="N1501" s="533" t="s">
        <v>2309</v>
      </c>
    </row>
    <row r="1502" spans="1:14" s="541" customFormat="1" ht="15.75">
      <c r="A1502" s="16"/>
      <c r="B1502" s="39" t="s">
        <v>3017</v>
      </c>
      <c r="C1502" s="534"/>
      <c r="D1502" s="858" t="s">
        <v>3253</v>
      </c>
      <c r="E1502" s="537"/>
      <c r="F1502" s="538"/>
      <c r="G1502" s="538"/>
      <c r="H1502" s="538"/>
      <c r="I1502" s="539"/>
      <c r="J1502" s="550"/>
      <c r="K1502" s="39"/>
      <c r="L1502" s="208"/>
      <c r="M1502" s="39"/>
      <c r="N1502" s="533" t="s">
        <v>2309</v>
      </c>
    </row>
    <row r="1503" spans="1:14" s="541" customFormat="1" ht="15.75">
      <c r="A1503" s="16"/>
      <c r="B1503" s="39" t="s">
        <v>813</v>
      </c>
      <c r="C1503" s="534">
        <v>1</v>
      </c>
      <c r="D1503" s="536" t="s">
        <v>273</v>
      </c>
      <c r="E1503" s="537">
        <v>1</v>
      </c>
      <c r="F1503" s="538">
        <v>5.45</v>
      </c>
      <c r="G1503" s="538">
        <v>0.6</v>
      </c>
      <c r="H1503" s="538">
        <v>0</v>
      </c>
      <c r="I1503" s="542">
        <f t="shared" ref="I1503:I1508" si="143">ROUND(IF(AND(F1503:H1503),C1503*E1503*F1503*G1503*H1503,IF(AND(F1503,G1503),C1503*E1503*F1503*G1503,IF(AND(F1503,H1503),C1503*E1503*F1503*H1503,IF(AND(G1503,H1503),C1503*E1503*G1503*H1503,IF(F1503,C1503*E1503*F1503,IF(G1503,C1503*E1503*G1503,IF(H1503,C1503*E1503*H1503,C1503*E1503))))))),2)</f>
        <v>3.27</v>
      </c>
      <c r="J1503" s="550" t="s">
        <v>102</v>
      </c>
      <c r="K1503" s="39"/>
      <c r="L1503" s="208"/>
      <c r="M1503" s="39"/>
      <c r="N1503" s="533" t="s">
        <v>2309</v>
      </c>
    </row>
    <row r="1504" spans="1:14" s="541" customFormat="1" ht="15.75">
      <c r="A1504" s="16"/>
      <c r="B1504" s="39" t="s">
        <v>3078</v>
      </c>
      <c r="C1504" s="534">
        <v>1</v>
      </c>
      <c r="D1504" s="536" t="s">
        <v>273</v>
      </c>
      <c r="E1504" s="537">
        <v>1</v>
      </c>
      <c r="F1504" s="538">
        <v>8.8000000000000007</v>
      </c>
      <c r="G1504" s="538">
        <v>0.9</v>
      </c>
      <c r="H1504" s="538">
        <v>0</v>
      </c>
      <c r="I1504" s="542">
        <f t="shared" si="143"/>
        <v>7.92</v>
      </c>
      <c r="J1504" s="550" t="s">
        <v>102</v>
      </c>
      <c r="K1504" s="39"/>
      <c r="L1504" s="208"/>
      <c r="M1504" s="39"/>
      <c r="N1504" s="533" t="s">
        <v>2309</v>
      </c>
    </row>
    <row r="1505" spans="1:15" s="541" customFormat="1" ht="15.75">
      <c r="A1505" s="16"/>
      <c r="B1505" s="39" t="s">
        <v>2925</v>
      </c>
      <c r="C1505" s="534">
        <v>1</v>
      </c>
      <c r="D1505" s="536" t="s">
        <v>273</v>
      </c>
      <c r="E1505" s="537">
        <v>1</v>
      </c>
      <c r="F1505" s="538">
        <v>12</v>
      </c>
      <c r="G1505" s="538">
        <v>0</v>
      </c>
      <c r="H1505" s="538">
        <v>0.3</v>
      </c>
      <c r="I1505" s="542">
        <f t="shared" si="143"/>
        <v>3.6</v>
      </c>
      <c r="J1505" s="550" t="s">
        <v>102</v>
      </c>
      <c r="K1505" s="39"/>
      <c r="L1505" s="208"/>
      <c r="M1505" s="39"/>
      <c r="N1505" s="533" t="s">
        <v>2309</v>
      </c>
    </row>
    <row r="1506" spans="1:15" s="541" customFormat="1" ht="15.75">
      <c r="A1506" s="16"/>
      <c r="B1506" s="39"/>
      <c r="C1506" s="534">
        <v>1</v>
      </c>
      <c r="D1506" s="536" t="s">
        <v>273</v>
      </c>
      <c r="E1506" s="537">
        <v>1</v>
      </c>
      <c r="F1506" s="538">
        <v>9.25</v>
      </c>
      <c r="G1506" s="538">
        <v>0.3</v>
      </c>
      <c r="H1506" s="538">
        <v>0</v>
      </c>
      <c r="I1506" s="542">
        <f t="shared" si="143"/>
        <v>2.78</v>
      </c>
      <c r="J1506" s="550" t="s">
        <v>102</v>
      </c>
      <c r="K1506" s="39"/>
      <c r="L1506" s="208"/>
      <c r="M1506" s="39"/>
      <c r="N1506" s="533" t="s">
        <v>2309</v>
      </c>
    </row>
    <row r="1507" spans="1:15" s="541" customFormat="1" ht="15.75">
      <c r="A1507" s="16"/>
      <c r="B1507" s="39" t="s">
        <v>3108</v>
      </c>
      <c r="C1507" s="534">
        <v>1</v>
      </c>
      <c r="D1507" s="536" t="s">
        <v>273</v>
      </c>
      <c r="E1507" s="537">
        <v>6</v>
      </c>
      <c r="F1507" s="538">
        <v>1.8</v>
      </c>
      <c r="G1507" s="538">
        <v>0.6</v>
      </c>
      <c r="H1507" s="538">
        <v>0</v>
      </c>
      <c r="I1507" s="542">
        <f t="shared" si="143"/>
        <v>6.48</v>
      </c>
      <c r="J1507" s="550" t="s">
        <v>102</v>
      </c>
      <c r="K1507" s="39"/>
      <c r="L1507" s="208"/>
      <c r="M1507" s="39"/>
      <c r="N1507" s="533" t="s">
        <v>2309</v>
      </c>
    </row>
    <row r="1508" spans="1:15" s="541" customFormat="1" ht="15.75">
      <c r="A1508" s="16"/>
      <c r="B1508" s="39"/>
      <c r="C1508" s="534">
        <v>1</v>
      </c>
      <c r="D1508" s="536" t="s">
        <v>273</v>
      </c>
      <c r="E1508" s="537">
        <v>1</v>
      </c>
      <c r="F1508" s="538">
        <v>5.2</v>
      </c>
      <c r="G1508" s="538">
        <v>0.6</v>
      </c>
      <c r="H1508" s="538">
        <v>0</v>
      </c>
      <c r="I1508" s="542">
        <f t="shared" si="143"/>
        <v>3.12</v>
      </c>
      <c r="J1508" s="550" t="s">
        <v>102</v>
      </c>
      <c r="K1508" s="39"/>
      <c r="L1508" s="208"/>
      <c r="M1508" s="39"/>
      <c r="N1508" s="533" t="s">
        <v>2309</v>
      </c>
    </row>
    <row r="1509" spans="1:15" s="541" customFormat="1" ht="15.75">
      <c r="A1509" s="16"/>
      <c r="B1509" s="39" t="s">
        <v>3035</v>
      </c>
      <c r="C1509" s="534"/>
      <c r="D1509" s="858" t="s">
        <v>3253</v>
      </c>
      <c r="E1509" s="537"/>
      <c r="F1509" s="538"/>
      <c r="G1509" s="538"/>
      <c r="H1509" s="538"/>
      <c r="I1509" s="539"/>
      <c r="J1509" s="550"/>
      <c r="K1509" s="39"/>
      <c r="L1509" s="208"/>
      <c r="M1509" s="39"/>
      <c r="N1509" s="533" t="s">
        <v>2309</v>
      </c>
    </row>
    <row r="1510" spans="1:15" s="541" customFormat="1" ht="15.75">
      <c r="A1510" s="16"/>
      <c r="B1510" s="39" t="s">
        <v>3089</v>
      </c>
      <c r="C1510" s="534">
        <v>1</v>
      </c>
      <c r="D1510" s="536" t="s">
        <v>273</v>
      </c>
      <c r="E1510" s="537">
        <v>2</v>
      </c>
      <c r="F1510" s="538">
        <v>12.47</v>
      </c>
      <c r="G1510" s="538">
        <v>0</v>
      </c>
      <c r="H1510" s="538">
        <v>3.2</v>
      </c>
      <c r="I1510" s="542">
        <f t="shared" ref="I1510:I1512" si="144">ROUND(IF(AND(F1510:H1510),C1510*E1510*F1510*G1510*H1510,IF(AND(F1510,G1510),C1510*E1510*F1510*G1510,IF(AND(F1510,H1510),C1510*E1510*F1510*H1510,IF(AND(G1510,H1510),C1510*E1510*G1510*H1510,IF(F1510,C1510*E1510*F1510,IF(G1510,C1510*E1510*G1510,IF(H1510,C1510*E1510*H1510,C1510*E1510))))))),2)</f>
        <v>79.81</v>
      </c>
      <c r="J1510" s="550" t="s">
        <v>102</v>
      </c>
      <c r="K1510" s="39"/>
      <c r="L1510" s="208"/>
      <c r="M1510" s="39"/>
      <c r="N1510" s="533" t="s">
        <v>2309</v>
      </c>
    </row>
    <row r="1511" spans="1:15" s="541" customFormat="1" ht="15.75">
      <c r="A1511" s="16"/>
      <c r="B1511" s="39" t="s">
        <v>3109</v>
      </c>
      <c r="C1511" s="534">
        <v>1</v>
      </c>
      <c r="D1511" s="536" t="s">
        <v>273</v>
      </c>
      <c r="E1511" s="537">
        <v>2</v>
      </c>
      <c r="F1511" s="538">
        <v>8.84</v>
      </c>
      <c r="G1511" s="538">
        <v>0</v>
      </c>
      <c r="H1511" s="538">
        <v>3.2</v>
      </c>
      <c r="I1511" s="542">
        <f t="shared" si="144"/>
        <v>56.58</v>
      </c>
      <c r="J1511" s="550" t="s">
        <v>102</v>
      </c>
      <c r="K1511" s="39"/>
      <c r="L1511" s="208"/>
      <c r="M1511" s="39"/>
      <c r="N1511" s="533" t="s">
        <v>2309</v>
      </c>
    </row>
    <row r="1512" spans="1:15" s="541" customFormat="1" ht="15.75">
      <c r="A1512" s="16"/>
      <c r="B1512" s="39" t="s">
        <v>1490</v>
      </c>
      <c r="C1512" s="534">
        <v>1</v>
      </c>
      <c r="D1512" s="536" t="s">
        <v>273</v>
      </c>
      <c r="E1512" s="537">
        <v>1</v>
      </c>
      <c r="F1512" s="538">
        <v>10.27</v>
      </c>
      <c r="G1512" s="538">
        <v>0</v>
      </c>
      <c r="H1512" s="538">
        <v>1.9</v>
      </c>
      <c r="I1512" s="542">
        <f t="shared" si="144"/>
        <v>19.510000000000002</v>
      </c>
      <c r="J1512" s="550" t="s">
        <v>102</v>
      </c>
      <c r="K1512" s="39"/>
      <c r="L1512" s="208"/>
      <c r="M1512" s="39"/>
      <c r="N1512" s="533" t="s">
        <v>2309</v>
      </c>
    </row>
    <row r="1513" spans="1:15" s="541" customFormat="1" ht="16.5" customHeight="1">
      <c r="A1513" s="16"/>
      <c r="B1513" s="544"/>
      <c r="C1513" s="545"/>
      <c r="D1513" s="546"/>
      <c r="E1513" s="547"/>
      <c r="F1513" s="548"/>
      <c r="G1513" s="548"/>
      <c r="H1513" s="548"/>
      <c r="I1513" s="549"/>
      <c r="J1513" s="550"/>
      <c r="K1513" s="39"/>
      <c r="L1513" s="208"/>
      <c r="M1513" s="39"/>
      <c r="N1513" s="533" t="s">
        <v>2309</v>
      </c>
    </row>
    <row r="1514" spans="1:15" ht="15.75">
      <c r="A1514" s="16"/>
      <c r="B1514" s="39"/>
      <c r="C1514" s="551"/>
      <c r="D1514" s="552"/>
      <c r="E1514" s="537"/>
      <c r="F1514" s="538"/>
      <c r="G1514" s="40"/>
      <c r="H1514" s="16"/>
      <c r="I1514" s="549"/>
      <c r="J1514" s="550" t="s">
        <v>102</v>
      </c>
      <c r="K1514" s="10">
        <f>data!F3611</f>
        <v>217.22</v>
      </c>
      <c r="L1514" s="208" t="s">
        <v>2309</v>
      </c>
      <c r="M1514" s="9">
        <f>ROUND(I1514*K1514,0)</f>
        <v>0</v>
      </c>
      <c r="N1514" s="533" t="s">
        <v>2309</v>
      </c>
    </row>
    <row r="1515" spans="1:15" ht="69.75" customHeight="1">
      <c r="A1515" s="16">
        <v>17</v>
      </c>
      <c r="B1515" s="1633" t="s">
        <v>124</v>
      </c>
      <c r="C1515" s="1633"/>
      <c r="D1515" s="1633"/>
      <c r="E1515" s="1633"/>
      <c r="F1515" s="1633"/>
      <c r="G1515" s="1633"/>
      <c r="H1515" s="1633"/>
      <c r="I1515" s="534"/>
      <c r="J1515" s="535"/>
      <c r="K1515" s="16"/>
      <c r="L1515" s="208"/>
      <c r="M1515" s="38"/>
      <c r="N1515" s="533" t="s">
        <v>2209</v>
      </c>
    </row>
    <row r="1516" spans="1:15" s="541" customFormat="1" ht="16.5" customHeight="1">
      <c r="A1516" s="16"/>
      <c r="B1516" s="39" t="s">
        <v>3036</v>
      </c>
      <c r="C1516" s="563" t="s">
        <v>1433</v>
      </c>
      <c r="D1516" s="564"/>
      <c r="E1516" s="565"/>
      <c r="F1516" s="566"/>
      <c r="G1516" s="858" t="s">
        <v>3258</v>
      </c>
      <c r="H1516" s="567"/>
      <c r="I1516" s="568">
        <v>636.91</v>
      </c>
      <c r="J1516" s="550" t="s">
        <v>141</v>
      </c>
      <c r="K1516" s="39"/>
      <c r="L1516" s="208"/>
      <c r="M1516" s="39"/>
      <c r="N1516" s="533" t="s">
        <v>2209</v>
      </c>
      <c r="O1516" s="449"/>
    </row>
    <row r="1517" spans="1:15" s="541" customFormat="1" ht="16.5" customHeight="1">
      <c r="A1517" s="16"/>
      <c r="B1517" s="39" t="s">
        <v>3037</v>
      </c>
      <c r="C1517" s="563" t="s">
        <v>3018</v>
      </c>
      <c r="D1517" s="564"/>
      <c r="E1517" s="565"/>
      <c r="F1517" s="566"/>
      <c r="G1517" s="858" t="s">
        <v>3259</v>
      </c>
      <c r="H1517" s="567"/>
      <c r="I1517" s="568">
        <v>179.21</v>
      </c>
      <c r="J1517" s="550" t="s">
        <v>141</v>
      </c>
      <c r="K1517" s="39"/>
      <c r="L1517" s="208"/>
      <c r="M1517" s="39"/>
      <c r="N1517" s="533" t="s">
        <v>2209</v>
      </c>
      <c r="O1517" s="449"/>
    </row>
    <row r="1518" spans="1:15" s="541" customFormat="1" ht="16.5" customHeight="1">
      <c r="A1518" s="16"/>
      <c r="B1518" s="39" t="s">
        <v>3038</v>
      </c>
      <c r="C1518" s="563" t="s">
        <v>1622</v>
      </c>
      <c r="D1518" s="564"/>
      <c r="E1518" s="565"/>
      <c r="F1518" s="566"/>
      <c r="G1518" s="858" t="s">
        <v>3260</v>
      </c>
      <c r="H1518" s="567"/>
      <c r="I1518" s="568">
        <v>1622.01</v>
      </c>
      <c r="J1518" s="550" t="s">
        <v>141</v>
      </c>
      <c r="K1518" s="39"/>
      <c r="L1518" s="208"/>
      <c r="M1518" s="39"/>
      <c r="N1518" s="533" t="s">
        <v>2209</v>
      </c>
      <c r="O1518" s="449"/>
    </row>
    <row r="1519" spans="1:15" s="541" customFormat="1" ht="16.5" customHeight="1">
      <c r="A1519" s="16"/>
      <c r="B1519" s="39" t="s">
        <v>3039</v>
      </c>
      <c r="C1519" s="563" t="s">
        <v>866</v>
      </c>
      <c r="D1519" s="564"/>
      <c r="E1519" s="565"/>
      <c r="F1519" s="566"/>
      <c r="G1519" s="858" t="s">
        <v>3266</v>
      </c>
      <c r="H1519" s="567"/>
      <c r="I1519" s="568">
        <v>231.15</v>
      </c>
      <c r="J1519" s="550" t="s">
        <v>141</v>
      </c>
      <c r="K1519" s="39"/>
      <c r="L1519" s="208"/>
      <c r="M1519" s="39"/>
      <c r="N1519" s="533" t="s">
        <v>2209</v>
      </c>
      <c r="O1519" s="601"/>
    </row>
    <row r="1520" spans="1:15" s="541" customFormat="1" ht="16.5" customHeight="1">
      <c r="A1520" s="16"/>
      <c r="B1520" s="39"/>
      <c r="C1520" s="563"/>
      <c r="D1520" s="564"/>
      <c r="E1520" s="565"/>
      <c r="F1520" s="566"/>
      <c r="G1520" s="566"/>
      <c r="H1520" s="567"/>
      <c r="I1520" s="568"/>
      <c r="J1520" s="550"/>
      <c r="K1520" s="39"/>
      <c r="L1520" s="208"/>
      <c r="M1520" s="39"/>
      <c r="N1520" s="533" t="s">
        <v>2209</v>
      </c>
      <c r="O1520" s="583"/>
    </row>
    <row r="1521" spans="1:15" s="541" customFormat="1" ht="16.5" customHeight="1">
      <c r="A1521" s="16"/>
      <c r="B1521" s="39"/>
      <c r="C1521" s="563"/>
      <c r="D1521" s="564"/>
      <c r="E1521" s="565"/>
      <c r="F1521" s="566"/>
      <c r="G1521" s="566"/>
      <c r="H1521" s="567"/>
      <c r="I1521" s="568">
        <f>SUM(I1516:I1520)</f>
        <v>2669.28</v>
      </c>
      <c r="J1521" s="550" t="s">
        <v>141</v>
      </c>
      <c r="K1521" s="39"/>
      <c r="L1521" s="208"/>
      <c r="M1521" s="39"/>
      <c r="N1521" s="533" t="s">
        <v>2209</v>
      </c>
    </row>
    <row r="1522" spans="1:15" ht="15.75">
      <c r="A1522" s="16"/>
      <c r="B1522" s="39"/>
      <c r="C1522" s="551"/>
      <c r="D1522" s="552"/>
      <c r="E1522" s="537"/>
      <c r="F1522" s="538"/>
      <c r="G1522" s="40"/>
      <c r="H1522" s="16" t="s">
        <v>902</v>
      </c>
      <c r="I1522" s="549"/>
      <c r="J1522" s="550" t="s">
        <v>29</v>
      </c>
      <c r="K1522" s="10">
        <f>data!F286</f>
        <v>63243.5</v>
      </c>
      <c r="L1522" s="208" t="s">
        <v>2209</v>
      </c>
      <c r="M1522" s="9">
        <f>ROUND(I1522*K1522,0)</f>
        <v>0</v>
      </c>
      <c r="N1522" s="533" t="s">
        <v>2209</v>
      </c>
    </row>
    <row r="1523" spans="1:15" ht="69.75" customHeight="1">
      <c r="A1523" s="16">
        <v>22</v>
      </c>
      <c r="B1523" s="1633" t="s">
        <v>124</v>
      </c>
      <c r="C1523" s="1633"/>
      <c r="D1523" s="1633"/>
      <c r="E1523" s="1633"/>
      <c r="F1523" s="1633"/>
      <c r="G1523" s="1633"/>
      <c r="H1523" s="1633"/>
      <c r="I1523" s="534"/>
      <c r="J1523" s="535"/>
      <c r="K1523" s="16"/>
      <c r="L1523" s="208"/>
      <c r="M1523" s="38"/>
      <c r="N1523" s="533" t="s">
        <v>2297</v>
      </c>
    </row>
    <row r="1524" spans="1:15" s="541" customFormat="1" ht="16.5" customHeight="1">
      <c r="A1524" s="16"/>
      <c r="B1524" s="39" t="s">
        <v>2827</v>
      </c>
      <c r="C1524" s="448" t="s">
        <v>866</v>
      </c>
      <c r="D1524" s="564"/>
      <c r="E1524" s="565"/>
      <c r="F1524" s="566"/>
      <c r="G1524" s="566"/>
      <c r="H1524" s="567"/>
      <c r="I1524" s="568">
        <v>303.63</v>
      </c>
      <c r="J1524" s="550" t="s">
        <v>141</v>
      </c>
      <c r="K1524" s="39"/>
      <c r="L1524" s="208"/>
      <c r="M1524" s="39"/>
      <c r="N1524" s="533" t="s">
        <v>2297</v>
      </c>
      <c r="O1524" s="601"/>
    </row>
    <row r="1525" spans="1:15" s="541" customFormat="1" ht="16.5" customHeight="1">
      <c r="A1525" s="16"/>
      <c r="B1525" s="39"/>
      <c r="C1525" s="819"/>
      <c r="D1525" s="564"/>
      <c r="E1525" s="565"/>
      <c r="F1525" s="566"/>
      <c r="G1525" s="566"/>
      <c r="H1525" s="567"/>
      <c r="I1525" s="568"/>
      <c r="J1525" s="550"/>
      <c r="K1525" s="39"/>
      <c r="L1525" s="208"/>
      <c r="M1525" s="39"/>
      <c r="N1525" s="533"/>
      <c r="O1525" s="583"/>
    </row>
    <row r="1526" spans="1:15" s="541" customFormat="1" ht="16.5" customHeight="1">
      <c r="A1526" s="16"/>
      <c r="B1526" s="39"/>
      <c r="C1526" s="563"/>
      <c r="D1526" s="564"/>
      <c r="E1526" s="565"/>
      <c r="F1526" s="566"/>
      <c r="G1526" s="566"/>
      <c r="H1526" s="567"/>
      <c r="I1526" s="568">
        <f>SUM(I1524:I1525)</f>
        <v>303.63</v>
      </c>
      <c r="J1526" s="550" t="s">
        <v>141</v>
      </c>
      <c r="K1526" s="39"/>
      <c r="L1526" s="208"/>
      <c r="M1526" s="39"/>
      <c r="N1526" s="533" t="s">
        <v>2297</v>
      </c>
    </row>
    <row r="1527" spans="1:15" ht="15.75">
      <c r="A1527" s="16"/>
      <c r="B1527" s="39"/>
      <c r="C1527" s="551"/>
      <c r="D1527" s="552"/>
      <c r="E1527" s="537"/>
      <c r="F1527" s="538"/>
      <c r="G1527" s="40"/>
      <c r="H1527" s="16" t="s">
        <v>902</v>
      </c>
      <c r="I1527" s="549"/>
      <c r="J1527" s="550" t="s">
        <v>29</v>
      </c>
      <c r="K1527" s="10">
        <f>data!F1202</f>
        <v>63510</v>
      </c>
      <c r="L1527" s="208" t="s">
        <v>2297</v>
      </c>
      <c r="M1527" s="9">
        <f>ROUND(I1527*K1527,0)</f>
        <v>0</v>
      </c>
      <c r="N1527" s="533" t="s">
        <v>2297</v>
      </c>
    </row>
    <row r="1528" spans="1:15" ht="69.75" customHeight="1">
      <c r="A1528" s="16">
        <v>22</v>
      </c>
      <c r="B1528" s="1633" t="s">
        <v>124</v>
      </c>
      <c r="C1528" s="1633"/>
      <c r="D1528" s="1633"/>
      <c r="E1528" s="1633"/>
      <c r="F1528" s="1633"/>
      <c r="G1528" s="1633"/>
      <c r="H1528" s="1633"/>
      <c r="I1528" s="534"/>
      <c r="J1528" s="535"/>
      <c r="K1528" s="16"/>
      <c r="L1528" s="208"/>
      <c r="M1528" s="38"/>
      <c r="N1528" s="533" t="s">
        <v>2308</v>
      </c>
    </row>
    <row r="1529" spans="1:15" s="541" customFormat="1" ht="16.5" customHeight="1">
      <c r="A1529" s="16"/>
      <c r="B1529" s="39" t="s">
        <v>3036</v>
      </c>
      <c r="C1529" s="563" t="s">
        <v>1433</v>
      </c>
      <c r="D1529" s="564"/>
      <c r="E1529" s="565"/>
      <c r="F1529" s="566"/>
      <c r="G1529" s="566"/>
      <c r="H1529" s="567"/>
      <c r="I1529" s="568">
        <v>636.91</v>
      </c>
      <c r="J1529" s="550" t="s">
        <v>141</v>
      </c>
      <c r="K1529" s="39"/>
      <c r="L1529" s="208"/>
      <c r="M1529" s="39"/>
      <c r="N1529" s="533" t="s">
        <v>2308</v>
      </c>
      <c r="O1529" s="449"/>
    </row>
    <row r="1530" spans="1:15" s="541" customFormat="1" ht="16.5" customHeight="1">
      <c r="A1530" s="16"/>
      <c r="B1530" s="39" t="s">
        <v>3037</v>
      </c>
      <c r="C1530" s="563" t="s">
        <v>3018</v>
      </c>
      <c r="D1530" s="564"/>
      <c r="E1530" s="565"/>
      <c r="F1530" s="566"/>
      <c r="G1530" s="566"/>
      <c r="H1530" s="567"/>
      <c r="I1530" s="568">
        <v>179.21</v>
      </c>
      <c r="J1530" s="550" t="s">
        <v>141</v>
      </c>
      <c r="K1530" s="39"/>
      <c r="L1530" s="208"/>
      <c r="M1530" s="39"/>
      <c r="N1530" s="533" t="s">
        <v>2308</v>
      </c>
      <c r="O1530" s="449"/>
    </row>
    <row r="1531" spans="1:15" s="541" customFormat="1" ht="16.5" customHeight="1">
      <c r="A1531" s="16"/>
      <c r="B1531" s="39" t="s">
        <v>3038</v>
      </c>
      <c r="C1531" s="563" t="s">
        <v>1622</v>
      </c>
      <c r="D1531" s="564"/>
      <c r="E1531" s="565"/>
      <c r="F1531" s="566"/>
      <c r="G1531" s="566"/>
      <c r="H1531" s="567"/>
      <c r="I1531" s="568">
        <v>1622.01</v>
      </c>
      <c r="J1531" s="550" t="s">
        <v>141</v>
      </c>
      <c r="K1531" s="39"/>
      <c r="L1531" s="208"/>
      <c r="M1531" s="39"/>
      <c r="N1531" s="533" t="s">
        <v>2308</v>
      </c>
      <c r="O1531" s="449"/>
    </row>
    <row r="1532" spans="1:15" s="541" customFormat="1" ht="16.5" customHeight="1">
      <c r="A1532" s="16"/>
      <c r="B1532" s="39" t="s">
        <v>3039</v>
      </c>
      <c r="C1532" s="563" t="s">
        <v>866</v>
      </c>
      <c r="D1532" s="564"/>
      <c r="E1532" s="565"/>
      <c r="F1532" s="566"/>
      <c r="G1532" s="566"/>
      <c r="H1532" s="567"/>
      <c r="I1532" s="568">
        <v>231.15</v>
      </c>
      <c r="J1532" s="550" t="s">
        <v>141</v>
      </c>
      <c r="K1532" s="39"/>
      <c r="L1532" s="208"/>
      <c r="M1532" s="39"/>
      <c r="N1532" s="533" t="s">
        <v>2308</v>
      </c>
      <c r="O1532" s="449"/>
    </row>
    <row r="1533" spans="1:15" s="541" customFormat="1" ht="16.5" customHeight="1">
      <c r="A1533" s="16"/>
      <c r="B1533" s="39"/>
      <c r="C1533" s="600"/>
      <c r="D1533" s="564"/>
      <c r="E1533" s="565"/>
      <c r="F1533" s="566"/>
      <c r="G1533" s="566"/>
      <c r="H1533" s="567"/>
      <c r="I1533" s="568"/>
      <c r="J1533" s="550"/>
      <c r="K1533" s="39"/>
      <c r="L1533" s="208"/>
      <c r="M1533" s="39"/>
      <c r="N1533" s="533" t="s">
        <v>2308</v>
      </c>
      <c r="O1533" s="601"/>
    </row>
    <row r="1534" spans="1:15" s="541" customFormat="1" ht="16.5" customHeight="1">
      <c r="A1534" s="16"/>
      <c r="B1534" s="39"/>
      <c r="C1534" s="563"/>
      <c r="D1534" s="564"/>
      <c r="E1534" s="565"/>
      <c r="F1534" s="566"/>
      <c r="G1534" s="566"/>
      <c r="H1534" s="567"/>
      <c r="I1534" s="568"/>
      <c r="J1534" s="550" t="s">
        <v>141</v>
      </c>
      <c r="K1534" s="39"/>
      <c r="L1534" s="208"/>
      <c r="M1534" s="39"/>
      <c r="N1534" s="533" t="s">
        <v>2308</v>
      </c>
    </row>
    <row r="1535" spans="1:15" ht="15.75">
      <c r="A1535" s="16"/>
      <c r="B1535" s="39"/>
      <c r="C1535" s="551"/>
      <c r="D1535" s="552"/>
      <c r="E1535" s="537"/>
      <c r="F1535" s="538"/>
      <c r="G1535" s="40"/>
      <c r="H1535" s="16" t="s">
        <v>902</v>
      </c>
      <c r="I1535" s="549">
        <f>ROUND(I1534/1000,2)</f>
        <v>0</v>
      </c>
      <c r="J1535" s="550" t="s">
        <v>29</v>
      </c>
      <c r="K1535" s="10">
        <f>data!F2119</f>
        <v>80999.5</v>
      </c>
      <c r="L1535" s="208" t="s">
        <v>2308</v>
      </c>
      <c r="M1535" s="9">
        <f>ROUND(I1535*K1535,0)</f>
        <v>0</v>
      </c>
      <c r="N1535" s="533" t="s">
        <v>2308</v>
      </c>
    </row>
    <row r="1536" spans="1:15" ht="69.75" customHeight="1">
      <c r="A1536" s="16">
        <v>22</v>
      </c>
      <c r="B1536" s="1633" t="s">
        <v>124</v>
      </c>
      <c r="C1536" s="1633"/>
      <c r="D1536" s="1633"/>
      <c r="E1536" s="1633"/>
      <c r="F1536" s="1633"/>
      <c r="G1536" s="1633"/>
      <c r="H1536" s="1633"/>
      <c r="I1536" s="534"/>
      <c r="J1536" s="535"/>
      <c r="K1536" s="16"/>
      <c r="L1536" s="208"/>
      <c r="M1536" s="38"/>
      <c r="N1536" s="533" t="s">
        <v>2309</v>
      </c>
    </row>
    <row r="1537" spans="1:15" s="541" customFormat="1" ht="16.5" customHeight="1">
      <c r="A1537" s="16"/>
      <c r="B1537" s="39" t="s">
        <v>2848</v>
      </c>
      <c r="C1537" s="599" t="s">
        <v>1557</v>
      </c>
      <c r="D1537" s="564"/>
      <c r="E1537" s="565"/>
      <c r="F1537" s="566"/>
      <c r="G1537" s="566"/>
      <c r="H1537" s="567"/>
      <c r="I1537" s="568"/>
      <c r="J1537" s="550" t="s">
        <v>141</v>
      </c>
      <c r="K1537" s="39"/>
      <c r="L1537" s="208"/>
      <c r="M1537" s="39"/>
      <c r="N1537" s="533" t="s">
        <v>2309</v>
      </c>
      <c r="O1537" s="449"/>
    </row>
    <row r="1538" spans="1:15" s="541" customFormat="1" ht="16.5" customHeight="1">
      <c r="A1538" s="16"/>
      <c r="B1538" s="39" t="s">
        <v>2815</v>
      </c>
      <c r="C1538" s="599" t="s">
        <v>1557</v>
      </c>
      <c r="D1538" s="564"/>
      <c r="E1538" s="565"/>
      <c r="F1538" s="566"/>
      <c r="G1538" s="566"/>
      <c r="H1538" s="567"/>
      <c r="I1538" s="568"/>
      <c r="J1538" s="550" t="s">
        <v>141</v>
      </c>
      <c r="K1538" s="39"/>
      <c r="L1538" s="208"/>
      <c r="M1538" s="39"/>
      <c r="N1538" s="533" t="s">
        <v>2309</v>
      </c>
      <c r="O1538" s="449"/>
    </row>
    <row r="1539" spans="1:15" s="541" customFormat="1" ht="16.5" customHeight="1">
      <c r="A1539" s="16"/>
      <c r="B1539" s="39" t="s">
        <v>2840</v>
      </c>
      <c r="C1539" s="599" t="s">
        <v>1559</v>
      </c>
      <c r="D1539" s="564"/>
      <c r="E1539" s="565"/>
      <c r="F1539" s="566"/>
      <c r="G1539" s="566"/>
      <c r="H1539" s="567"/>
      <c r="I1539" s="568"/>
      <c r="J1539" s="550" t="s">
        <v>141</v>
      </c>
      <c r="K1539" s="39"/>
      <c r="L1539" s="208"/>
      <c r="M1539" s="39"/>
      <c r="N1539" s="533" t="s">
        <v>2309</v>
      </c>
      <c r="O1539" s="449"/>
    </row>
    <row r="1540" spans="1:15" s="541" customFormat="1" ht="16.5" customHeight="1">
      <c r="A1540" s="16"/>
      <c r="B1540" s="39"/>
      <c r="C1540" s="600"/>
      <c r="D1540" s="564"/>
      <c r="E1540" s="565"/>
      <c r="F1540" s="566"/>
      <c r="G1540" s="566"/>
      <c r="H1540" s="567"/>
      <c r="I1540" s="568"/>
      <c r="J1540" s="550"/>
      <c r="K1540" s="39"/>
      <c r="L1540" s="208"/>
      <c r="M1540" s="39"/>
      <c r="N1540" s="533" t="s">
        <v>2309</v>
      </c>
      <c r="O1540" s="601"/>
    </row>
    <row r="1541" spans="1:15" s="541" customFormat="1" ht="16.5" customHeight="1">
      <c r="A1541" s="16"/>
      <c r="B1541" s="39"/>
      <c r="C1541" s="563"/>
      <c r="D1541" s="564"/>
      <c r="E1541" s="565"/>
      <c r="F1541" s="566"/>
      <c r="G1541" s="566"/>
      <c r="H1541" s="567"/>
      <c r="I1541" s="568">
        <f>SUM(I1537:I1540)</f>
        <v>0</v>
      </c>
      <c r="J1541" s="550" t="s">
        <v>141</v>
      </c>
      <c r="K1541" s="39"/>
      <c r="L1541" s="208"/>
      <c r="M1541" s="39"/>
      <c r="N1541" s="533" t="s">
        <v>2309</v>
      </c>
    </row>
    <row r="1542" spans="1:15" ht="15.75">
      <c r="A1542" s="16"/>
      <c r="B1542" s="39"/>
      <c r="C1542" s="551"/>
      <c r="D1542" s="552"/>
      <c r="E1542" s="537"/>
      <c r="F1542" s="538"/>
      <c r="G1542" s="40"/>
      <c r="H1542" s="16" t="s">
        <v>902</v>
      </c>
      <c r="I1542" s="549">
        <f>ROUND(I1541/1000,2)</f>
        <v>0</v>
      </c>
      <c r="J1542" s="550" t="s">
        <v>29</v>
      </c>
      <c r="K1542" s="10">
        <f>data!F3036</f>
        <v>93741</v>
      </c>
      <c r="L1542" s="208" t="s">
        <v>2309</v>
      </c>
      <c r="M1542" s="9">
        <f>ROUND(I1542*K1542,0)</f>
        <v>0</v>
      </c>
      <c r="N1542" s="533" t="s">
        <v>2309</v>
      </c>
    </row>
    <row r="1543" spans="1:15">
      <c r="A1543" s="16"/>
      <c r="B1543" s="39"/>
      <c r="C1543" s="551"/>
      <c r="D1543" s="552"/>
      <c r="E1543" s="537"/>
      <c r="F1543" s="538"/>
      <c r="G1543" s="40"/>
      <c r="H1543" s="16"/>
      <c r="I1543" s="584"/>
      <c r="J1543" s="550"/>
      <c r="K1543" s="10"/>
      <c r="L1543" s="208"/>
      <c r="M1543" s="9"/>
    </row>
    <row r="1544" spans="1:15">
      <c r="A1544" s="16"/>
      <c r="B1544" s="818"/>
      <c r="C1544" s="532"/>
      <c r="D1544" s="859"/>
      <c r="E1544" s="861"/>
      <c r="F1544" s="585"/>
      <c r="G1544" s="585"/>
      <c r="H1544" s="818"/>
      <c r="I1544" s="549"/>
      <c r="J1544" s="586"/>
      <c r="K1544" s="10"/>
      <c r="L1544" s="208"/>
      <c r="M1544" s="587">
        <f>SUM(M8:M1543)</f>
        <v>0</v>
      </c>
      <c r="N1544" s="588"/>
      <c r="O1544" s="588"/>
    </row>
    <row r="1545" spans="1:15">
      <c r="M1545" s="594"/>
    </row>
    <row r="1546" spans="1:15">
      <c r="H1546" s="58"/>
      <c r="I1546" s="58"/>
      <c r="J1546" s="58"/>
      <c r="M1546" s="588"/>
    </row>
    <row r="1547" spans="1:15">
      <c r="H1547" s="58"/>
      <c r="I1547" s="58"/>
      <c r="J1547" s="58"/>
      <c r="M1547" s="588"/>
    </row>
    <row r="1548" spans="1:15">
      <c r="H1548" s="58"/>
      <c r="I1548" s="58"/>
      <c r="J1548" s="58"/>
      <c r="M1548" s="588"/>
    </row>
    <row r="1549" spans="1:15">
      <c r="H1549" s="55" t="str">
        <f>'lead 19-20'!$H$31</f>
        <v>Deputy Executive Engineer</v>
      </c>
      <c r="I1549" s="595"/>
      <c r="J1549" s="595"/>
      <c r="K1549" s="596"/>
      <c r="L1549" s="226" t="str">
        <f>'lead 19-20'!$K$31</f>
        <v>Assistant  Engineer</v>
      </c>
    </row>
    <row r="1550" spans="1:15">
      <c r="H1550" s="55" t="str">
        <f>'lead 19-20'!$H$32</f>
        <v>PRI Sub Division</v>
      </c>
      <c r="I1550" s="595"/>
      <c r="J1550" s="595"/>
      <c r="K1550" s="596"/>
      <c r="L1550" s="226" t="str">
        <f>'lead 19-20'!$K$32</f>
        <v>Mandal Praja parishad</v>
      </c>
    </row>
    <row r="1551" spans="1:15">
      <c r="H1551" s="55" t="str">
        <f>'lead 19-20'!$H$33</f>
        <v>Kanigiri</v>
      </c>
      <c r="I1551" s="12"/>
      <c r="J1551" s="12"/>
      <c r="K1551" s="527"/>
      <c r="L1551" s="226" t="str">
        <f>'lead 19-20'!$K$33</f>
        <v>Kanigiri</v>
      </c>
    </row>
    <row r="1557" spans="3:12" s="592" customFormat="1">
      <c r="C1557" s="58"/>
      <c r="E1557" s="589"/>
      <c r="F1557" s="590"/>
      <c r="G1557" s="591"/>
      <c r="H1557" s="12"/>
      <c r="K1557" s="597"/>
      <c r="L1557" s="593"/>
    </row>
  </sheetData>
  <autoFilter ref="A7:M1543">
    <filterColumn colId="2" showButton="0"/>
    <filterColumn colId="3" showButton="0"/>
  </autoFilter>
  <mergeCells count="161">
    <mergeCell ref="B1536:H1536"/>
    <mergeCell ref="B1501:H1501"/>
    <mergeCell ref="B1494:H1494"/>
    <mergeCell ref="B1528:H1528"/>
    <mergeCell ref="B1269:H1269"/>
    <mergeCell ref="B1335:H1335"/>
    <mergeCell ref="B1345:H1345"/>
    <mergeCell ref="B1421:H1421"/>
    <mergeCell ref="B1430:H1430"/>
    <mergeCell ref="B1303:H1303"/>
    <mergeCell ref="B1379:H1379"/>
    <mergeCell ref="B1462:H1462"/>
    <mergeCell ref="B996:H996"/>
    <mergeCell ref="B1018:H1018"/>
    <mergeCell ref="B1025:H1025"/>
    <mergeCell ref="B1058:H1058"/>
    <mergeCell ref="B1065:H1065"/>
    <mergeCell ref="B919:H919"/>
    <mergeCell ref="B926:H926"/>
    <mergeCell ref="B950:H950"/>
    <mergeCell ref="B957:H957"/>
    <mergeCell ref="B989:H989"/>
    <mergeCell ref="B488:H488"/>
    <mergeCell ref="B591:H591"/>
    <mergeCell ref="B597:H597"/>
    <mergeCell ref="B653:H653"/>
    <mergeCell ref="B660:H660"/>
    <mergeCell ref="B695:H695"/>
    <mergeCell ref="B192:H192"/>
    <mergeCell ref="B198:H198"/>
    <mergeCell ref="B216:H216"/>
    <mergeCell ref="B222:H222"/>
    <mergeCell ref="B260:H260"/>
    <mergeCell ref="B558:H558"/>
    <mergeCell ref="B585:H585"/>
    <mergeCell ref="B579:H579"/>
    <mergeCell ref="B363:H363"/>
    <mergeCell ref="B369:H369"/>
    <mergeCell ref="B436:H436"/>
    <mergeCell ref="B455:H455"/>
    <mergeCell ref="B521:H521"/>
    <mergeCell ref="B542:H542"/>
    <mergeCell ref="B565:H565"/>
    <mergeCell ref="B572:H572"/>
    <mergeCell ref="B210:H210"/>
    <mergeCell ref="B239:H239"/>
    <mergeCell ref="B345:H345"/>
    <mergeCell ref="B22:H22"/>
    <mergeCell ref="B31:H31"/>
    <mergeCell ref="B75:H75"/>
    <mergeCell ref="B99:H99"/>
    <mergeCell ref="B121:H121"/>
    <mergeCell ref="B1523:H1523"/>
    <mergeCell ref="B1049:H1049"/>
    <mergeCell ref="B1090:H1090"/>
    <mergeCell ref="B1124:H1124"/>
    <mergeCell ref="B1156:H1156"/>
    <mergeCell ref="B1183:H1183"/>
    <mergeCell ref="B1370:H1370"/>
    <mergeCell ref="B1455:H1455"/>
    <mergeCell ref="B1515:H1515"/>
    <mergeCell ref="B1117:H1117"/>
    <mergeCell ref="B1149:H1149"/>
    <mergeCell ref="B1176:H1176"/>
    <mergeCell ref="B1210:H1210"/>
    <mergeCell ref="B1242:H1242"/>
    <mergeCell ref="B1278:H1278"/>
    <mergeCell ref="B1218:H1218"/>
    <mergeCell ref="B357:H357"/>
    <mergeCell ref="B397:H397"/>
    <mergeCell ref="B175:H175"/>
    <mergeCell ref="B308:H308"/>
    <mergeCell ref="B333:H333"/>
    <mergeCell ref="B271:H271"/>
    <mergeCell ref="B289:H289"/>
    <mergeCell ref="B296:H296"/>
    <mergeCell ref="B315:H315"/>
    <mergeCell ref="B321:H321"/>
    <mergeCell ref="B339:H339"/>
    <mergeCell ref="B283:H283"/>
    <mergeCell ref="L5:L6"/>
    <mergeCell ref="M5:M6"/>
    <mergeCell ref="C7:E7"/>
    <mergeCell ref="A5:A6"/>
    <mergeCell ref="B5:B6"/>
    <mergeCell ref="C5:E6"/>
    <mergeCell ref="F5:H5"/>
    <mergeCell ref="I5:J6"/>
    <mergeCell ref="K5:K6"/>
    <mergeCell ref="B4:G4"/>
    <mergeCell ref="I4:K4"/>
    <mergeCell ref="L4:M4"/>
    <mergeCell ref="A1:M1"/>
    <mergeCell ref="A2:B2"/>
    <mergeCell ref="C2:M2"/>
    <mergeCell ref="A3:B3"/>
    <mergeCell ref="C3:M3"/>
    <mergeCell ref="B1251:H1251"/>
    <mergeCell ref="B1082:H1082"/>
    <mergeCell ref="B1101:H1101"/>
    <mergeCell ref="B1109:H1109"/>
    <mergeCell ref="B1135:H1135"/>
    <mergeCell ref="B1142:H1142"/>
    <mergeCell ref="B1164:H1164"/>
    <mergeCell ref="B1171:H1171"/>
    <mergeCell ref="B1191:H1191"/>
    <mergeCell ref="B1198:H1198"/>
    <mergeCell ref="B1226:H1226"/>
    <mergeCell ref="B1234:H1234"/>
    <mergeCell ref="B1003:H1003"/>
    <mergeCell ref="B891:H891"/>
    <mergeCell ref="B898:H898"/>
    <mergeCell ref="B8:H8"/>
    <mergeCell ref="B1260:H1260"/>
    <mergeCell ref="B603:H603"/>
    <mergeCell ref="B679:H679"/>
    <mergeCell ref="B711:H711"/>
    <mergeCell ref="B743:H743"/>
    <mergeCell ref="B859:H859"/>
    <mergeCell ref="B703:H703"/>
    <mergeCell ref="B727:H727"/>
    <mergeCell ref="B735:H735"/>
    <mergeCell ref="B824:H824"/>
    <mergeCell ref="B831:H831"/>
    <mergeCell ref="B1042:H1042"/>
    <mergeCell ref="B622:H622"/>
    <mergeCell ref="B687:H687"/>
    <mergeCell ref="B719:H719"/>
    <mergeCell ref="B771:H771"/>
    <mergeCell ref="B866:H866"/>
    <mergeCell ref="B912:H912"/>
    <mergeCell ref="B940:H940"/>
    <mergeCell ref="B971:H971"/>
    <mergeCell ref="B1010:H1010"/>
    <mergeCell ref="B905:H905"/>
    <mergeCell ref="B933:H933"/>
    <mergeCell ref="B964:H964"/>
    <mergeCell ref="B17:H17"/>
    <mergeCell ref="B36:H36"/>
    <mergeCell ref="B105:H105"/>
    <mergeCell ref="B551:H551"/>
    <mergeCell ref="B134:H134"/>
    <mergeCell ref="B160:H160"/>
    <mergeCell ref="B180:H180"/>
    <mergeCell ref="B204:H204"/>
    <mergeCell ref="B228:H228"/>
    <mergeCell ref="B277:H277"/>
    <mergeCell ref="B302:H302"/>
    <mergeCell ref="B327:H327"/>
    <mergeCell ref="B351:H351"/>
    <mergeCell ref="B375:H375"/>
    <mergeCell ref="B461:H461"/>
    <mergeCell ref="B60:H60"/>
    <mergeCell ref="B113:H113"/>
    <mergeCell ref="B141:H141"/>
    <mergeCell ref="B165:H165"/>
    <mergeCell ref="B186:H186"/>
    <mergeCell ref="B129:H129"/>
    <mergeCell ref="B147:H147"/>
    <mergeCell ref="B154:H154"/>
    <mergeCell ref="B170:H170"/>
  </mergeCells>
  <printOptions horizontalCentered="1"/>
  <pageMargins left="0.15" right="0.1" top="0.2" bottom="0.23" header="0.25" footer="0.08"/>
  <pageSetup paperSize="9" scale="95" pageOrder="overThenDown" orientation="portrait" r:id="rId1"/>
  <headerFooter alignWithMargins="0"/>
</worksheet>
</file>

<file path=xl/worksheets/sheet10.xml><?xml version="1.0" encoding="utf-8"?>
<worksheet xmlns="http://schemas.openxmlformats.org/spreadsheetml/2006/main" xmlns:r="http://schemas.openxmlformats.org/officeDocument/2006/relationships">
  <sheetPr>
    <tabColor rgb="FF00B050"/>
  </sheetPr>
  <dimension ref="A1:O976"/>
  <sheetViews>
    <sheetView showZeros="0" defaultGridColor="0" view="pageBreakPreview" colorId="22" zoomScale="130" zoomScaleNormal="115" zoomScaleSheetLayoutView="130" workbookViewId="0">
      <selection activeCell="B8" sqref="B8:H8"/>
    </sheetView>
  </sheetViews>
  <sheetFormatPr defaultColWidth="9.140625" defaultRowHeight="12.75"/>
  <cols>
    <col min="1" max="1" width="3.5703125" style="58" customWidth="1"/>
    <col min="2" max="2" width="31.42578125" style="58" customWidth="1"/>
    <col min="3" max="3" width="3.5703125" style="58" customWidth="1"/>
    <col min="4" max="4" width="1.7109375" style="58" customWidth="1"/>
    <col min="5" max="5" width="5.140625" style="589" customWidth="1"/>
    <col min="6" max="6" width="6.7109375" style="590" customWidth="1"/>
    <col min="7" max="7" width="6.140625" style="591" customWidth="1"/>
    <col min="8" max="8" width="7.42578125" style="12" customWidth="1"/>
    <col min="9" max="9" width="8.7109375" style="592" customWidth="1"/>
    <col min="10" max="10" width="5.28515625" style="592" customWidth="1"/>
    <col min="11" max="11" width="8.42578125" style="12" customWidth="1"/>
    <col min="12" max="12" width="8.85546875" style="593" customWidth="1"/>
    <col min="13" max="13" width="10.85546875" style="592" customWidth="1"/>
    <col min="14" max="15" width="10.42578125" style="58" bestFit="1" customWidth="1"/>
    <col min="16" max="16384" width="9.140625" style="58"/>
  </cols>
  <sheetData>
    <row r="1" spans="1:14" ht="26.25" customHeight="1">
      <c r="A1" s="1604" t="s">
        <v>898</v>
      </c>
      <c r="B1" s="1604"/>
      <c r="C1" s="1604"/>
      <c r="D1" s="1604"/>
      <c r="E1" s="1604"/>
      <c r="F1" s="1604"/>
      <c r="G1" s="1604"/>
      <c r="H1" s="1604"/>
      <c r="I1" s="1604"/>
      <c r="J1" s="1604"/>
      <c r="K1" s="1604"/>
      <c r="L1" s="1604"/>
      <c r="M1" s="1604"/>
    </row>
    <row r="2" spans="1:14" ht="42" customHeight="1">
      <c r="A2" s="1605" t="s">
        <v>896</v>
      </c>
      <c r="B2" s="1605"/>
      <c r="C2" s="1606" t="str">
        <f>'lead 19-20'!C2</f>
        <v>Providing Additional Space for Health Staff in Grama Sachivalayam of Baduguleru GP of Kanigiri Mandal</v>
      </c>
      <c r="D2" s="1606"/>
      <c r="E2" s="1606"/>
      <c r="F2" s="1606"/>
      <c r="G2" s="1606"/>
      <c r="H2" s="1606"/>
      <c r="I2" s="1606"/>
      <c r="J2" s="1606"/>
      <c r="K2" s="1606"/>
      <c r="L2" s="1606"/>
      <c r="M2" s="1606"/>
    </row>
    <row r="3" spans="1:14" ht="19.5" customHeight="1">
      <c r="A3" s="1605" t="s">
        <v>897</v>
      </c>
      <c r="B3" s="1605"/>
      <c r="C3" s="1606" t="s">
        <v>889</v>
      </c>
      <c r="D3" s="1606"/>
      <c r="E3" s="1606"/>
      <c r="F3" s="1606"/>
      <c r="G3" s="1606"/>
      <c r="H3" s="1606"/>
      <c r="I3" s="1606"/>
      <c r="J3" s="1606"/>
      <c r="K3" s="1606"/>
      <c r="L3" s="1606"/>
      <c r="M3" s="1606"/>
    </row>
    <row r="4" spans="1:14" ht="15" customHeight="1">
      <c r="A4" s="526"/>
      <c r="B4" s="1637"/>
      <c r="C4" s="1637"/>
      <c r="D4" s="1637"/>
      <c r="E4" s="1637"/>
      <c r="F4" s="1637"/>
      <c r="G4" s="1637"/>
      <c r="H4" s="527"/>
      <c r="I4" s="1602"/>
      <c r="J4" s="1602"/>
      <c r="K4" s="1602"/>
      <c r="L4" s="1603"/>
      <c r="M4" s="1603"/>
    </row>
    <row r="5" spans="1:14" s="528" customFormat="1" ht="12.75" customHeight="1">
      <c r="A5" s="1608" t="s">
        <v>271</v>
      </c>
      <c r="B5" s="1608" t="s">
        <v>272</v>
      </c>
      <c r="C5" s="1608" t="s">
        <v>115</v>
      </c>
      <c r="D5" s="1608"/>
      <c r="E5" s="1608"/>
      <c r="F5" s="1608" t="s">
        <v>123</v>
      </c>
      <c r="G5" s="1608"/>
      <c r="H5" s="1608"/>
      <c r="I5" s="1638" t="s">
        <v>6</v>
      </c>
      <c r="J5" s="1639"/>
      <c r="K5" s="1608" t="s">
        <v>8</v>
      </c>
      <c r="L5" s="1607" t="s">
        <v>9</v>
      </c>
      <c r="M5" s="1608" t="s">
        <v>10</v>
      </c>
    </row>
    <row r="6" spans="1:14" s="528" customFormat="1" ht="21.75" customHeight="1">
      <c r="A6" s="1608"/>
      <c r="B6" s="1608"/>
      <c r="C6" s="1608"/>
      <c r="D6" s="1608"/>
      <c r="E6" s="1608"/>
      <c r="F6" s="529" t="s">
        <v>12</v>
      </c>
      <c r="G6" s="529" t="s">
        <v>13</v>
      </c>
      <c r="H6" s="816" t="s">
        <v>14</v>
      </c>
      <c r="I6" s="1638"/>
      <c r="J6" s="1639"/>
      <c r="K6" s="1608"/>
      <c r="L6" s="1607"/>
      <c r="M6" s="1608"/>
    </row>
    <row r="7" spans="1:14" s="528" customFormat="1" ht="15.75">
      <c r="A7" s="816">
        <v>1</v>
      </c>
      <c r="B7" s="816">
        <v>2</v>
      </c>
      <c r="C7" s="1608">
        <v>3</v>
      </c>
      <c r="D7" s="1608"/>
      <c r="E7" s="1608"/>
      <c r="F7" s="815">
        <v>4</v>
      </c>
      <c r="G7" s="815">
        <v>5</v>
      </c>
      <c r="H7" s="816">
        <v>6</v>
      </c>
      <c r="I7" s="530">
        <v>7</v>
      </c>
      <c r="J7" s="531"/>
      <c r="K7" s="816">
        <v>8</v>
      </c>
      <c r="L7" s="815">
        <v>9</v>
      </c>
      <c r="M7" s="816">
        <v>10</v>
      </c>
    </row>
    <row r="8" spans="1:14" ht="93.75" customHeight="1">
      <c r="A8" s="16">
        <v>1</v>
      </c>
      <c r="B8" s="1633" t="s">
        <v>1570</v>
      </c>
      <c r="C8" s="1633"/>
      <c r="D8" s="1633"/>
      <c r="E8" s="1633"/>
      <c r="F8" s="1633"/>
      <c r="G8" s="1633"/>
      <c r="H8" s="1633"/>
      <c r="I8" s="534"/>
      <c r="J8" s="535"/>
      <c r="K8" s="16"/>
      <c r="L8" s="208"/>
      <c r="M8" s="38"/>
      <c r="N8" s="533" t="s">
        <v>2209</v>
      </c>
    </row>
    <row r="9" spans="1:14" s="541" customFormat="1" ht="16.5" customHeight="1">
      <c r="A9" s="16"/>
      <c r="B9" s="39" t="s">
        <v>3040</v>
      </c>
      <c r="C9" s="534"/>
      <c r="D9" s="858" t="s">
        <v>3264</v>
      </c>
      <c r="E9" s="537"/>
      <c r="F9" s="538"/>
      <c r="G9" s="538"/>
      <c r="H9" s="538"/>
      <c r="I9" s="539"/>
      <c r="J9" s="550"/>
      <c r="K9" s="39"/>
      <c r="L9" s="16"/>
      <c r="M9" s="39"/>
      <c r="N9" s="533" t="s">
        <v>2209</v>
      </c>
    </row>
    <row r="10" spans="1:14" s="541" customFormat="1" ht="16.5" customHeight="1">
      <c r="A10" s="16"/>
      <c r="B10" s="39" t="s">
        <v>3047</v>
      </c>
      <c r="C10" s="534">
        <v>1</v>
      </c>
      <c r="D10" s="536" t="s">
        <v>273</v>
      </c>
      <c r="E10" s="537">
        <v>1</v>
      </c>
      <c r="F10" s="538">
        <v>0.23</v>
      </c>
      <c r="G10" s="538">
        <v>0.38</v>
      </c>
      <c r="H10" s="538">
        <v>2.4500000000000002</v>
      </c>
      <c r="I10" s="542">
        <f t="shared" ref="I10:I12" si="0">ROUND(IF(AND(F10:H10),C10*E10*F10*G10*H10,IF(AND(F10,G10),C10*E10*F10*G10,IF(AND(F10,H10),C10*E10*F10*H10,IF(AND(G10,H10),C10*E10*G10*H10,IF(F10,C10*E10*F10,IF(G10,C10*E10*G10,IF(H10,C10*E10*H10,C10*E10))))))),2)</f>
        <v>0.21</v>
      </c>
      <c r="J10" s="550" t="s">
        <v>5</v>
      </c>
      <c r="K10" s="39"/>
      <c r="L10" s="16"/>
      <c r="M10" s="39"/>
      <c r="N10" s="533" t="s">
        <v>2209</v>
      </c>
    </row>
    <row r="11" spans="1:14" s="541" customFormat="1" ht="16.5" customHeight="1">
      <c r="A11" s="16"/>
      <c r="B11" s="39" t="s">
        <v>3048</v>
      </c>
      <c r="C11" s="534">
        <v>1</v>
      </c>
      <c r="D11" s="536" t="s">
        <v>273</v>
      </c>
      <c r="E11" s="537">
        <v>2</v>
      </c>
      <c r="F11" s="538">
        <v>0.23</v>
      </c>
      <c r="G11" s="538">
        <v>0.38</v>
      </c>
      <c r="H11" s="538">
        <v>2.4500000000000002</v>
      </c>
      <c r="I11" s="542">
        <f t="shared" si="0"/>
        <v>0.43</v>
      </c>
      <c r="J11" s="550" t="s">
        <v>5</v>
      </c>
      <c r="K11" s="39"/>
      <c r="L11" s="16"/>
      <c r="M11" s="39"/>
      <c r="N11" s="533" t="s">
        <v>2209</v>
      </c>
    </row>
    <row r="12" spans="1:14" s="541" customFormat="1" ht="16.5" customHeight="1">
      <c r="A12" s="16"/>
      <c r="B12" s="39" t="s">
        <v>3049</v>
      </c>
      <c r="C12" s="534">
        <v>1</v>
      </c>
      <c r="D12" s="536" t="s">
        <v>273</v>
      </c>
      <c r="E12" s="537">
        <v>1</v>
      </c>
      <c r="F12" s="538">
        <v>0.23</v>
      </c>
      <c r="G12" s="538">
        <v>0.38</v>
      </c>
      <c r="H12" s="538">
        <v>2.4500000000000002</v>
      </c>
      <c r="I12" s="542">
        <f t="shared" si="0"/>
        <v>0.21</v>
      </c>
      <c r="J12" s="550" t="s">
        <v>5</v>
      </c>
      <c r="K12" s="39"/>
      <c r="L12" s="16"/>
      <c r="M12" s="39"/>
      <c r="N12" s="533" t="s">
        <v>2209</v>
      </c>
    </row>
    <row r="13" spans="1:14" s="541" customFormat="1" ht="16.5" customHeight="1">
      <c r="A13" s="16"/>
      <c r="B13" s="544"/>
      <c r="C13" s="545"/>
      <c r="D13" s="546"/>
      <c r="E13" s="547"/>
      <c r="F13" s="548"/>
      <c r="G13" s="548"/>
      <c r="H13" s="548"/>
      <c r="I13" s="549"/>
      <c r="J13" s="550"/>
      <c r="K13" s="39"/>
      <c r="L13" s="208"/>
      <c r="M13" s="39"/>
      <c r="N13" s="533" t="s">
        <v>2209</v>
      </c>
    </row>
    <row r="14" spans="1:14" ht="15.75">
      <c r="A14" s="16"/>
      <c r="B14" s="39"/>
      <c r="C14" s="551"/>
      <c r="D14" s="552"/>
      <c r="E14" s="537"/>
      <c r="F14" s="538"/>
      <c r="G14" s="40"/>
      <c r="H14" s="16"/>
      <c r="I14" s="549"/>
      <c r="J14" s="550" t="s">
        <v>5</v>
      </c>
      <c r="K14" s="10">
        <f>data!G155</f>
        <v>10542.140000000001</v>
      </c>
      <c r="L14" s="208" t="s">
        <v>2209</v>
      </c>
      <c r="M14" s="9">
        <f>ROUND(I14*K14,0)</f>
        <v>0</v>
      </c>
      <c r="N14" s="533" t="s">
        <v>2209</v>
      </c>
    </row>
    <row r="15" spans="1:14" ht="93.75" customHeight="1">
      <c r="A15" s="16">
        <v>1</v>
      </c>
      <c r="B15" s="1633" t="s">
        <v>1570</v>
      </c>
      <c r="C15" s="1633"/>
      <c r="D15" s="1633"/>
      <c r="E15" s="1633"/>
      <c r="F15" s="1633"/>
      <c r="G15" s="1633"/>
      <c r="H15" s="1633"/>
      <c r="I15" s="534"/>
      <c r="J15" s="535"/>
      <c r="K15" s="16"/>
      <c r="L15" s="208"/>
      <c r="M15" s="38"/>
      <c r="N15" s="533" t="s">
        <v>2297</v>
      </c>
    </row>
    <row r="16" spans="1:14" s="541" customFormat="1" ht="16.5" customHeight="1">
      <c r="A16" s="16"/>
      <c r="B16" s="39" t="s">
        <v>2812</v>
      </c>
      <c r="C16" s="534"/>
      <c r="D16" s="536"/>
      <c r="E16" s="537"/>
      <c r="F16" s="538"/>
      <c r="G16" s="538"/>
      <c r="H16" s="538"/>
      <c r="I16" s="539"/>
      <c r="J16" s="550"/>
      <c r="K16" s="39"/>
      <c r="L16" s="16"/>
      <c r="M16" s="39"/>
      <c r="N16" s="533" t="s">
        <v>2297</v>
      </c>
    </row>
    <row r="17" spans="1:14" s="541" customFormat="1" ht="16.5" customHeight="1">
      <c r="A17" s="16"/>
      <c r="B17" s="39"/>
      <c r="C17" s="534">
        <v>1</v>
      </c>
      <c r="D17" s="536" t="s">
        <v>273</v>
      </c>
      <c r="E17" s="537">
        <v>4</v>
      </c>
      <c r="F17" s="538">
        <v>0.23</v>
      </c>
      <c r="G17" s="538">
        <v>0.38</v>
      </c>
      <c r="H17" s="538">
        <v>2.1</v>
      </c>
      <c r="I17" s="542">
        <f>ROUND(IF(AND(F17:H17),C17*E17*F17*G17*H17,IF(AND(F17,G17),C17*E17*F17*G17,IF(AND(F17,H17),C17*E17*F17*H17,IF(AND(G17,H17),C17*E17*G17*H17,IF(F17,C17*E17*F17,IF(G17,C17*E17*G17,IF(H17,C17*E17*H17,C17*E17))))))),2)</f>
        <v>0.73</v>
      </c>
      <c r="J17" s="550" t="s">
        <v>5</v>
      </c>
      <c r="K17" s="39"/>
      <c r="L17" s="16"/>
      <c r="M17" s="39"/>
      <c r="N17" s="533" t="s">
        <v>2297</v>
      </c>
    </row>
    <row r="18" spans="1:14" s="541" customFormat="1" ht="16.5" customHeight="1">
      <c r="A18" s="16"/>
      <c r="B18" s="39" t="s">
        <v>2858</v>
      </c>
      <c r="C18" s="545"/>
      <c r="D18" s="546"/>
      <c r="E18" s="547"/>
      <c r="F18" s="548"/>
      <c r="G18" s="548"/>
      <c r="H18" s="548"/>
      <c r="I18" s="549"/>
      <c r="J18" s="550"/>
      <c r="K18" s="39"/>
      <c r="L18" s="208"/>
      <c r="M18" s="39"/>
      <c r="N18" s="533" t="s">
        <v>2297</v>
      </c>
    </row>
    <row r="19" spans="1:14" s="541" customFormat="1" ht="16.5" customHeight="1">
      <c r="A19" s="16"/>
      <c r="B19" s="39" t="s">
        <v>2719</v>
      </c>
      <c r="C19" s="534">
        <v>1</v>
      </c>
      <c r="D19" s="536" t="s">
        <v>273</v>
      </c>
      <c r="E19" s="537">
        <v>11</v>
      </c>
      <c r="F19" s="538">
        <v>0.23</v>
      </c>
      <c r="G19" s="538">
        <v>0.38</v>
      </c>
      <c r="H19" s="538">
        <v>0.9</v>
      </c>
      <c r="I19" s="542">
        <f>ROUND(IF(AND(F19:H19),C19*E19*F19*G19*H19,IF(AND(F19,G19),C19*E19*F19*G19,IF(AND(F19,H19),C19*E19*F19*H19,IF(AND(G19,H19),C19*E19*G19*H19,IF(F19,C19*E19*F19,IF(G19,C19*E19*G19,IF(H19,C19*E19*H19,C19*E19))))))),2)</f>
        <v>0.87</v>
      </c>
      <c r="J19" s="550" t="s">
        <v>5</v>
      </c>
      <c r="K19" s="39"/>
      <c r="L19" s="16"/>
      <c r="M19" s="39"/>
      <c r="N19" s="533" t="s">
        <v>2297</v>
      </c>
    </row>
    <row r="20" spans="1:14" s="541" customFormat="1" ht="16.5" customHeight="1">
      <c r="A20" s="16"/>
      <c r="B20" s="39"/>
      <c r="C20" s="534"/>
      <c r="D20" s="536"/>
      <c r="E20" s="537"/>
      <c r="F20" s="538"/>
      <c r="G20" s="538"/>
      <c r="H20" s="538"/>
      <c r="I20" s="542"/>
      <c r="J20" s="550"/>
      <c r="K20" s="39"/>
      <c r="L20" s="16"/>
      <c r="M20" s="39"/>
      <c r="N20" s="533" t="s">
        <v>2297</v>
      </c>
    </row>
    <row r="21" spans="1:14" ht="15.75">
      <c r="A21" s="16"/>
      <c r="B21" s="39"/>
      <c r="C21" s="551"/>
      <c r="D21" s="552"/>
      <c r="E21" s="537"/>
      <c r="F21" s="538"/>
      <c r="G21" s="40"/>
      <c r="H21" s="16"/>
      <c r="I21" s="549"/>
      <c r="J21" s="550" t="s">
        <v>5</v>
      </c>
      <c r="K21" s="10">
        <f>data!G1071</f>
        <v>10932.800000000001</v>
      </c>
      <c r="L21" s="208" t="s">
        <v>2297</v>
      </c>
      <c r="M21" s="9">
        <f>ROUND(I21*K21,0)</f>
        <v>0</v>
      </c>
      <c r="N21" s="533" t="s">
        <v>2297</v>
      </c>
    </row>
    <row r="22" spans="1:14" ht="93.75" customHeight="1">
      <c r="A22" s="16">
        <v>2</v>
      </c>
      <c r="B22" s="1633" t="s">
        <v>1570</v>
      </c>
      <c r="C22" s="1633"/>
      <c r="D22" s="1633"/>
      <c r="E22" s="1633"/>
      <c r="F22" s="1633"/>
      <c r="G22" s="1633"/>
      <c r="H22" s="1633"/>
      <c r="I22" s="534"/>
      <c r="J22" s="535"/>
      <c r="K22" s="16"/>
      <c r="L22" s="208"/>
      <c r="M22" s="38"/>
      <c r="N22" s="533" t="s">
        <v>2308</v>
      </c>
    </row>
    <row r="23" spans="1:14" s="541" customFormat="1" ht="16.5" customHeight="1">
      <c r="A23" s="16"/>
      <c r="B23" s="39" t="s">
        <v>3040</v>
      </c>
      <c r="C23" s="534"/>
      <c r="D23" s="536"/>
      <c r="E23" s="537"/>
      <c r="F23" s="538"/>
      <c r="G23" s="538"/>
      <c r="H23" s="538"/>
      <c r="I23" s="539"/>
      <c r="J23" s="550"/>
      <c r="K23" s="39"/>
      <c r="L23" s="16"/>
      <c r="M23" s="39"/>
      <c r="N23" s="533" t="s">
        <v>2308</v>
      </c>
    </row>
    <row r="24" spans="1:14" s="541" customFormat="1" ht="16.5" customHeight="1">
      <c r="A24" s="16"/>
      <c r="B24" s="39"/>
      <c r="C24" s="534">
        <v>1</v>
      </c>
      <c r="D24" s="536" t="s">
        <v>273</v>
      </c>
      <c r="E24" s="537">
        <v>1</v>
      </c>
      <c r="F24" s="538">
        <v>0.23</v>
      </c>
      <c r="G24" s="538">
        <v>0.38</v>
      </c>
      <c r="H24" s="538">
        <v>2.4500000000000002</v>
      </c>
      <c r="I24" s="542">
        <f t="shared" ref="I24:I26" si="1">ROUND(IF(AND(F24:H24),C24*E24*F24*G24*H24,IF(AND(F24,G24),C24*E24*F24*G24,IF(AND(F24,H24),C24*E24*F24*H24,IF(AND(G24,H24),C24*E24*G24*H24,IF(F24,C24*E24*F24,IF(G24,C24*E24*G24,IF(H24,C24*E24*H24,C24*E24))))))),2)</f>
        <v>0.21</v>
      </c>
      <c r="J24" s="550" t="s">
        <v>5</v>
      </c>
      <c r="K24" s="39"/>
      <c r="L24" s="16"/>
      <c r="M24" s="39"/>
      <c r="N24" s="533" t="s">
        <v>2308</v>
      </c>
    </row>
    <row r="25" spans="1:14" s="541" customFormat="1" ht="16.5" customHeight="1">
      <c r="A25" s="16"/>
      <c r="B25" s="39"/>
      <c r="C25" s="534">
        <v>1</v>
      </c>
      <c r="D25" s="536" t="s">
        <v>273</v>
      </c>
      <c r="E25" s="537">
        <v>2</v>
      </c>
      <c r="F25" s="538">
        <v>0.23</v>
      </c>
      <c r="G25" s="538">
        <v>0.38</v>
      </c>
      <c r="H25" s="538">
        <v>2.4500000000000002</v>
      </c>
      <c r="I25" s="542">
        <f t="shared" si="1"/>
        <v>0.43</v>
      </c>
      <c r="J25" s="550" t="s">
        <v>5</v>
      </c>
      <c r="K25" s="39"/>
      <c r="L25" s="16"/>
      <c r="M25" s="39"/>
      <c r="N25" s="533" t="s">
        <v>2308</v>
      </c>
    </row>
    <row r="26" spans="1:14" s="541" customFormat="1" ht="16.5" customHeight="1">
      <c r="A26" s="16"/>
      <c r="B26" s="39"/>
      <c r="C26" s="534">
        <v>1</v>
      </c>
      <c r="D26" s="536" t="s">
        <v>273</v>
      </c>
      <c r="E26" s="537">
        <v>1</v>
      </c>
      <c r="F26" s="538">
        <v>0.23</v>
      </c>
      <c r="G26" s="538">
        <v>0.38</v>
      </c>
      <c r="H26" s="538">
        <v>2.4500000000000002</v>
      </c>
      <c r="I26" s="542">
        <f t="shared" si="1"/>
        <v>0.21</v>
      </c>
      <c r="J26" s="550" t="s">
        <v>5</v>
      </c>
      <c r="K26" s="39"/>
      <c r="L26" s="16"/>
      <c r="M26" s="39"/>
      <c r="N26" s="533" t="s">
        <v>2308</v>
      </c>
    </row>
    <row r="27" spans="1:14" s="541" customFormat="1" ht="16.5" customHeight="1">
      <c r="A27" s="16"/>
      <c r="B27" s="544"/>
      <c r="C27" s="545"/>
      <c r="D27" s="546"/>
      <c r="E27" s="547"/>
      <c r="F27" s="548"/>
      <c r="G27" s="548"/>
      <c r="H27" s="548"/>
      <c r="I27" s="549"/>
      <c r="J27" s="550"/>
      <c r="K27" s="39"/>
      <c r="L27" s="208"/>
      <c r="M27" s="39"/>
      <c r="N27" s="533" t="s">
        <v>2308</v>
      </c>
    </row>
    <row r="28" spans="1:14" ht="15.75">
      <c r="A28" s="16"/>
      <c r="B28" s="39"/>
      <c r="C28" s="551"/>
      <c r="D28" s="552"/>
      <c r="E28" s="537"/>
      <c r="F28" s="538"/>
      <c r="G28" s="40"/>
      <c r="H28" s="16"/>
      <c r="I28" s="549"/>
      <c r="J28" s="550" t="s">
        <v>5</v>
      </c>
      <c r="K28" s="10">
        <f>data!G1988</f>
        <v>11565.1</v>
      </c>
      <c r="L28" s="208" t="s">
        <v>2308</v>
      </c>
      <c r="M28" s="9">
        <f>ROUND(I28*K28,0)</f>
        <v>0</v>
      </c>
      <c r="N28" s="533" t="s">
        <v>2308</v>
      </c>
    </row>
    <row r="29" spans="1:14" ht="93.75" customHeight="1">
      <c r="A29" s="16">
        <v>2</v>
      </c>
      <c r="B29" s="1633" t="s">
        <v>1570</v>
      </c>
      <c r="C29" s="1633"/>
      <c r="D29" s="1633"/>
      <c r="E29" s="1633"/>
      <c r="F29" s="1633"/>
      <c r="G29" s="1633"/>
      <c r="H29" s="1633"/>
      <c r="I29" s="534"/>
      <c r="J29" s="535"/>
      <c r="K29" s="16"/>
      <c r="L29" s="208"/>
      <c r="M29" s="38"/>
      <c r="N29" s="533" t="s">
        <v>2309</v>
      </c>
    </row>
    <row r="30" spans="1:14" s="541" customFormat="1" ht="16.5" customHeight="1">
      <c r="A30" s="16"/>
      <c r="B30" s="39" t="s">
        <v>2841</v>
      </c>
      <c r="C30" s="534"/>
      <c r="D30" s="536"/>
      <c r="E30" s="537"/>
      <c r="F30" s="538"/>
      <c r="G30" s="538"/>
      <c r="H30" s="538"/>
      <c r="I30" s="539"/>
      <c r="J30" s="550"/>
      <c r="K30" s="39"/>
      <c r="L30" s="16"/>
      <c r="M30" s="39"/>
      <c r="N30" s="533" t="s">
        <v>2309</v>
      </c>
    </row>
    <row r="31" spans="1:14" s="541" customFormat="1" ht="16.5" customHeight="1">
      <c r="A31" s="16"/>
      <c r="B31" s="39"/>
      <c r="C31" s="534">
        <v>1</v>
      </c>
      <c r="D31" s="536" t="s">
        <v>273</v>
      </c>
      <c r="E31" s="537">
        <v>4</v>
      </c>
      <c r="F31" s="538">
        <v>0.23</v>
      </c>
      <c r="G31" s="538">
        <v>0.38</v>
      </c>
      <c r="H31" s="538">
        <v>2.4</v>
      </c>
      <c r="I31" s="542">
        <f>ROUND(IF(AND(F31:H31),C31*E31*F31*G31*H31,IF(AND(F31,G31),C31*E31*F31*G31,IF(AND(F31,H31),C31*E31*F31*H31,IF(AND(G31,H31),C31*E31*G31*H31,IF(F31,C31*E31*F31,IF(G31,C31*E31*G31,IF(H31,C31*E31*H31,C31*E31))))))),2)</f>
        <v>0.84</v>
      </c>
      <c r="J31" s="550" t="s">
        <v>5</v>
      </c>
      <c r="K31" s="39"/>
      <c r="L31" s="16"/>
      <c r="M31" s="39"/>
      <c r="N31" s="533" t="s">
        <v>2309</v>
      </c>
    </row>
    <row r="32" spans="1:14" s="541" customFormat="1" ht="16.5" customHeight="1">
      <c r="A32" s="16"/>
      <c r="B32" s="544"/>
      <c r="C32" s="545"/>
      <c r="D32" s="546"/>
      <c r="E32" s="547"/>
      <c r="F32" s="548"/>
      <c r="G32" s="548"/>
      <c r="H32" s="548"/>
      <c r="I32" s="549"/>
      <c r="J32" s="550"/>
      <c r="K32" s="39"/>
      <c r="L32" s="208"/>
      <c r="M32" s="39"/>
      <c r="N32" s="533" t="s">
        <v>2309</v>
      </c>
    </row>
    <row r="33" spans="1:14" ht="15.75">
      <c r="A33" s="16"/>
      <c r="B33" s="39"/>
      <c r="C33" s="551"/>
      <c r="D33" s="552"/>
      <c r="E33" s="537"/>
      <c r="F33" s="538"/>
      <c r="G33" s="40"/>
      <c r="H33" s="16"/>
      <c r="I33" s="549"/>
      <c r="J33" s="550" t="s">
        <v>5</v>
      </c>
      <c r="K33" s="10">
        <f>data!G2905</f>
        <v>12013.61</v>
      </c>
      <c r="L33" s="208" t="s">
        <v>2309</v>
      </c>
      <c r="M33" s="9">
        <f>ROUND(I33*K33,0)</f>
        <v>0</v>
      </c>
      <c r="N33" s="533" t="s">
        <v>2309</v>
      </c>
    </row>
    <row r="34" spans="1:14" ht="17.25" customHeight="1">
      <c r="A34" s="16">
        <v>2</v>
      </c>
      <c r="B34" s="1633" t="s">
        <v>303</v>
      </c>
      <c r="C34" s="1633"/>
      <c r="D34" s="1633"/>
      <c r="E34" s="1633"/>
      <c r="F34" s="1633"/>
      <c r="G34" s="1633"/>
      <c r="H34" s="1633"/>
      <c r="I34" s="534"/>
      <c r="J34" s="535"/>
      <c r="K34" s="16"/>
      <c r="L34" s="208"/>
      <c r="M34" s="38"/>
      <c r="N34" s="533" t="s">
        <v>2209</v>
      </c>
    </row>
    <row r="35" spans="1:14" s="541" customFormat="1" ht="16.5" customHeight="1">
      <c r="A35" s="16"/>
      <c r="B35" s="39" t="s">
        <v>3041</v>
      </c>
      <c r="C35" s="534"/>
      <c r="D35" s="858" t="s">
        <v>3265</v>
      </c>
      <c r="E35" s="537"/>
      <c r="F35" s="538"/>
      <c r="G35" s="538"/>
      <c r="H35" s="538"/>
      <c r="I35" s="539"/>
      <c r="J35" s="550"/>
      <c r="K35" s="39"/>
      <c r="L35" s="208"/>
      <c r="M35" s="39"/>
      <c r="N35" s="533" t="s">
        <v>2209</v>
      </c>
    </row>
    <row r="36" spans="1:14" s="541" customFormat="1" ht="16.5" customHeight="1">
      <c r="A36" s="16"/>
      <c r="B36" s="39"/>
      <c r="C36" s="534">
        <v>1</v>
      </c>
      <c r="D36" s="536" t="s">
        <v>273</v>
      </c>
      <c r="E36" s="537">
        <v>2</v>
      </c>
      <c r="F36" s="538">
        <v>3.18</v>
      </c>
      <c r="G36" s="538">
        <v>0.23</v>
      </c>
      <c r="H36" s="538">
        <v>0.3</v>
      </c>
      <c r="I36" s="542">
        <f t="shared" ref="I36:I37" si="2">ROUND(IF(AND(F36:H36),C36*E36*F36*G36*H36,IF(AND(F36,G36),C36*E36*F36*G36,IF(AND(F36,H36),C36*E36*F36*H36,IF(AND(G36,H36),C36*E36*G36*H36,IF(F36,C36*E36*F36,IF(G36,C36*E36*G36,IF(H36,C36*E36*H36,C36*E36))))))),2)</f>
        <v>0.44</v>
      </c>
      <c r="J36" s="550" t="s">
        <v>5</v>
      </c>
      <c r="K36" s="39"/>
      <c r="L36" s="208"/>
      <c r="M36" s="39"/>
      <c r="N36" s="533" t="s">
        <v>2209</v>
      </c>
    </row>
    <row r="37" spans="1:14" s="541" customFormat="1" ht="16.5" customHeight="1">
      <c r="A37" s="16"/>
      <c r="B37" s="39"/>
      <c r="C37" s="534">
        <v>1</v>
      </c>
      <c r="D37" s="536" t="s">
        <v>273</v>
      </c>
      <c r="E37" s="537">
        <v>2</v>
      </c>
      <c r="F37" s="538">
        <v>3.16</v>
      </c>
      <c r="G37" s="538">
        <v>0.23</v>
      </c>
      <c r="H37" s="538">
        <v>0.3</v>
      </c>
      <c r="I37" s="542">
        <f t="shared" si="2"/>
        <v>0.44</v>
      </c>
      <c r="J37" s="550" t="s">
        <v>5</v>
      </c>
      <c r="K37" s="39"/>
      <c r="L37" s="208"/>
      <c r="M37" s="39"/>
      <c r="N37" s="533" t="s">
        <v>2209</v>
      </c>
    </row>
    <row r="38" spans="1:14" s="541" customFormat="1" ht="16.5" customHeight="1">
      <c r="A38" s="16"/>
      <c r="B38" s="544"/>
      <c r="C38" s="545"/>
      <c r="D38" s="546"/>
      <c r="E38" s="547"/>
      <c r="F38" s="548"/>
      <c r="G38" s="548"/>
      <c r="H38" s="548"/>
      <c r="I38" s="549"/>
      <c r="J38" s="550"/>
      <c r="K38" s="39"/>
      <c r="L38" s="208"/>
      <c r="M38" s="39"/>
      <c r="N38" s="533" t="s">
        <v>2209</v>
      </c>
    </row>
    <row r="39" spans="1:14" ht="15.75">
      <c r="A39" s="16"/>
      <c r="B39" s="39"/>
      <c r="C39" s="551"/>
      <c r="D39" s="552"/>
      <c r="E39" s="537"/>
      <c r="F39" s="538"/>
      <c r="G39" s="40"/>
      <c r="H39" s="16"/>
      <c r="I39" s="549"/>
      <c r="J39" s="550" t="s">
        <v>5</v>
      </c>
      <c r="K39" s="10">
        <f>data!G182</f>
        <v>10021.1</v>
      </c>
      <c r="L39" s="208" t="s">
        <v>2209</v>
      </c>
      <c r="M39" s="9">
        <f>ROUND(I39*K39,0)</f>
        <v>0</v>
      </c>
      <c r="N39" s="533" t="s">
        <v>2209</v>
      </c>
    </row>
    <row r="40" spans="1:14" ht="17.25" customHeight="1">
      <c r="A40" s="16">
        <v>2</v>
      </c>
      <c r="B40" s="1633" t="s">
        <v>303</v>
      </c>
      <c r="C40" s="1633"/>
      <c r="D40" s="1633"/>
      <c r="E40" s="1633"/>
      <c r="F40" s="1633"/>
      <c r="G40" s="1633"/>
      <c r="H40" s="1633"/>
      <c r="I40" s="534"/>
      <c r="J40" s="535"/>
      <c r="K40" s="16"/>
      <c r="L40" s="208"/>
      <c r="M40" s="38"/>
      <c r="N40" s="533" t="s">
        <v>2297</v>
      </c>
    </row>
    <row r="41" spans="1:14" s="541" customFormat="1" ht="16.5" customHeight="1">
      <c r="A41" s="16"/>
      <c r="B41" s="39" t="s">
        <v>2826</v>
      </c>
      <c r="C41" s="534"/>
      <c r="D41" s="536"/>
      <c r="E41" s="537"/>
      <c r="F41" s="538"/>
      <c r="G41" s="538"/>
      <c r="H41" s="538"/>
      <c r="I41" s="539"/>
      <c r="J41" s="550"/>
      <c r="K41" s="39"/>
      <c r="L41" s="208"/>
      <c r="M41" s="39"/>
      <c r="N41" s="533" t="s">
        <v>2297</v>
      </c>
    </row>
    <row r="42" spans="1:14" s="541" customFormat="1" ht="16.5" customHeight="1">
      <c r="A42" s="16"/>
      <c r="B42" s="39" t="s">
        <v>2861</v>
      </c>
      <c r="C42" s="534">
        <v>1</v>
      </c>
      <c r="D42" s="536" t="s">
        <v>273</v>
      </c>
      <c r="E42" s="537">
        <v>2</v>
      </c>
      <c r="F42" s="538">
        <v>5.22</v>
      </c>
      <c r="G42" s="538">
        <v>0.23</v>
      </c>
      <c r="H42" s="538">
        <v>0.3</v>
      </c>
      <c r="I42" s="542">
        <f>ROUND(IF(AND(F42:H42),C42*E42*F42*G42*H42,IF(AND(F42,G42),C42*E42*F42*G42,IF(AND(F42,H42),C42*E42*F42*H42,IF(AND(G42,H42),C42*E42*G42*H42,IF(F42,C42*E42*F42,IF(G42,C42*E42*G42,IF(H42,C42*E42*H42,C42*E42))))))),2)</f>
        <v>0.72</v>
      </c>
      <c r="J42" s="550" t="s">
        <v>5</v>
      </c>
      <c r="K42" s="39"/>
      <c r="L42" s="208"/>
      <c r="M42" s="39"/>
      <c r="N42" s="533" t="s">
        <v>2297</v>
      </c>
    </row>
    <row r="43" spans="1:14" s="541" customFormat="1" ht="16.5" customHeight="1">
      <c r="A43" s="16"/>
      <c r="B43" s="39" t="s">
        <v>2869</v>
      </c>
      <c r="C43" s="534">
        <v>1</v>
      </c>
      <c r="D43" s="536" t="s">
        <v>273</v>
      </c>
      <c r="E43" s="537">
        <v>3</v>
      </c>
      <c r="F43" s="538">
        <v>2.72</v>
      </c>
      <c r="G43" s="538">
        <v>0.23</v>
      </c>
      <c r="H43" s="538">
        <v>0.3</v>
      </c>
      <c r="I43" s="542">
        <f>ROUND(IF(AND(F43:H43),C43*E43*F43*G43*H43,IF(AND(F43,G43),C43*E43*F43*G43,IF(AND(F43,H43),C43*E43*F43*H43,IF(AND(G43,H43),C43*E43*G43*H43,IF(F43,C43*E43*F43,IF(G43,C43*E43*G43,IF(H43,C43*E43*H43,C43*E43))))))),2)</f>
        <v>0.56000000000000005</v>
      </c>
      <c r="J43" s="550" t="s">
        <v>5</v>
      </c>
      <c r="K43" s="39"/>
      <c r="L43" s="208"/>
      <c r="M43" s="39"/>
      <c r="N43" s="533" t="s">
        <v>2297</v>
      </c>
    </row>
    <row r="44" spans="1:14" s="541" customFormat="1" ht="16.5" customHeight="1">
      <c r="A44" s="16"/>
      <c r="B44" s="544"/>
      <c r="C44" s="545"/>
      <c r="D44" s="546"/>
      <c r="E44" s="547"/>
      <c r="F44" s="548"/>
      <c r="G44" s="548"/>
      <c r="H44" s="548"/>
      <c r="I44" s="549"/>
      <c r="J44" s="550"/>
      <c r="K44" s="39"/>
      <c r="L44" s="208"/>
      <c r="M44" s="39"/>
      <c r="N44" s="533" t="s">
        <v>2297</v>
      </c>
    </row>
    <row r="45" spans="1:14" ht="15.75">
      <c r="A45" s="16"/>
      <c r="B45" s="39"/>
      <c r="C45" s="551"/>
      <c r="D45" s="552"/>
      <c r="E45" s="537"/>
      <c r="F45" s="538"/>
      <c r="G45" s="40"/>
      <c r="H45" s="16"/>
      <c r="I45" s="549"/>
      <c r="J45" s="550" t="s">
        <v>5</v>
      </c>
      <c r="K45" s="10">
        <f>data!G1098</f>
        <v>10257.99</v>
      </c>
      <c r="L45" s="208" t="s">
        <v>2297</v>
      </c>
      <c r="M45" s="9">
        <f>ROUND(I45*K45,0)</f>
        <v>0</v>
      </c>
      <c r="N45" s="533" t="s">
        <v>2297</v>
      </c>
    </row>
    <row r="46" spans="1:14" ht="17.25" customHeight="1">
      <c r="A46" s="16">
        <v>3</v>
      </c>
      <c r="B46" s="1633" t="s">
        <v>303</v>
      </c>
      <c r="C46" s="1633"/>
      <c r="D46" s="1633"/>
      <c r="E46" s="1633"/>
      <c r="F46" s="1633"/>
      <c r="G46" s="1633"/>
      <c r="H46" s="1633"/>
      <c r="I46" s="534"/>
      <c r="J46" s="535"/>
      <c r="K46" s="16"/>
      <c r="L46" s="208"/>
      <c r="M46" s="38"/>
      <c r="N46" s="533" t="s">
        <v>2308</v>
      </c>
    </row>
    <row r="47" spans="1:14" s="541" customFormat="1" ht="16.5" customHeight="1">
      <c r="A47" s="16"/>
      <c r="B47" s="39" t="s">
        <v>3041</v>
      </c>
      <c r="C47" s="534"/>
      <c r="D47" s="536"/>
      <c r="E47" s="537"/>
      <c r="F47" s="538"/>
      <c r="G47" s="538"/>
      <c r="H47" s="538"/>
      <c r="I47" s="539"/>
      <c r="J47" s="550"/>
      <c r="K47" s="39"/>
      <c r="L47" s="208"/>
      <c r="M47" s="39"/>
      <c r="N47" s="533" t="s">
        <v>2308</v>
      </c>
    </row>
    <row r="48" spans="1:14" s="541" customFormat="1" ht="16.5" customHeight="1">
      <c r="A48" s="16"/>
      <c r="B48" s="39"/>
      <c r="C48" s="534">
        <v>1</v>
      </c>
      <c r="D48" s="536" t="s">
        <v>273</v>
      </c>
      <c r="E48" s="537">
        <v>2</v>
      </c>
      <c r="F48" s="538">
        <v>3.18</v>
      </c>
      <c r="G48" s="538">
        <v>0.23</v>
      </c>
      <c r="H48" s="538">
        <v>0.3</v>
      </c>
      <c r="I48" s="542">
        <f t="shared" ref="I48:I49" si="3">ROUND(IF(AND(F48:H48),C48*E48*F48*G48*H48,IF(AND(F48,G48),C48*E48*F48*G48,IF(AND(F48,H48),C48*E48*F48*H48,IF(AND(G48,H48),C48*E48*G48*H48,IF(F48,C48*E48*F48,IF(G48,C48*E48*G48,IF(H48,C48*E48*H48,C48*E48))))))),2)</f>
        <v>0.44</v>
      </c>
      <c r="J48" s="550" t="s">
        <v>5</v>
      </c>
      <c r="K48" s="39"/>
      <c r="L48" s="208"/>
      <c r="M48" s="39"/>
      <c r="N48" s="533" t="s">
        <v>2308</v>
      </c>
    </row>
    <row r="49" spans="1:14" s="541" customFormat="1" ht="16.5" customHeight="1">
      <c r="A49" s="16"/>
      <c r="B49" s="39"/>
      <c r="C49" s="534">
        <v>1</v>
      </c>
      <c r="D49" s="536" t="s">
        <v>273</v>
      </c>
      <c r="E49" s="537">
        <v>2</v>
      </c>
      <c r="F49" s="538">
        <v>3.16</v>
      </c>
      <c r="G49" s="538">
        <v>0.23</v>
      </c>
      <c r="H49" s="538">
        <v>0.3</v>
      </c>
      <c r="I49" s="542">
        <f t="shared" si="3"/>
        <v>0.44</v>
      </c>
      <c r="J49" s="550" t="s">
        <v>5</v>
      </c>
      <c r="K49" s="39"/>
      <c r="L49" s="208"/>
      <c r="M49" s="39"/>
      <c r="N49" s="533" t="s">
        <v>2308</v>
      </c>
    </row>
    <row r="50" spans="1:14" s="541" customFormat="1" ht="16.5" customHeight="1">
      <c r="A50" s="16"/>
      <c r="B50" s="544"/>
      <c r="C50" s="545"/>
      <c r="D50" s="546"/>
      <c r="E50" s="547"/>
      <c r="F50" s="548"/>
      <c r="G50" s="548"/>
      <c r="H50" s="548"/>
      <c r="I50" s="549"/>
      <c r="J50" s="550"/>
      <c r="K50" s="39"/>
      <c r="L50" s="208"/>
      <c r="M50" s="39"/>
      <c r="N50" s="533" t="s">
        <v>2308</v>
      </c>
    </row>
    <row r="51" spans="1:14" ht="15.75">
      <c r="A51" s="16"/>
      <c r="B51" s="39"/>
      <c r="C51" s="551"/>
      <c r="D51" s="552"/>
      <c r="E51" s="537"/>
      <c r="F51" s="538"/>
      <c r="G51" s="40"/>
      <c r="H51" s="16"/>
      <c r="I51" s="549"/>
      <c r="J51" s="550" t="s">
        <v>5</v>
      </c>
      <c r="K51" s="10">
        <f>data!G2015</f>
        <v>10793.54</v>
      </c>
      <c r="L51" s="208" t="s">
        <v>2308</v>
      </c>
      <c r="M51" s="9">
        <f>ROUND(I51*K51,0)</f>
        <v>0</v>
      </c>
      <c r="N51" s="533" t="s">
        <v>2308</v>
      </c>
    </row>
    <row r="52" spans="1:14" ht="17.25" customHeight="1">
      <c r="A52" s="16">
        <v>3</v>
      </c>
      <c r="B52" s="1633" t="s">
        <v>303</v>
      </c>
      <c r="C52" s="1633"/>
      <c r="D52" s="1633"/>
      <c r="E52" s="1633"/>
      <c r="F52" s="1633"/>
      <c r="G52" s="1633"/>
      <c r="H52" s="1633"/>
      <c r="I52" s="534"/>
      <c r="J52" s="535"/>
      <c r="K52" s="16"/>
      <c r="L52" s="208"/>
      <c r="M52" s="38"/>
      <c r="N52" s="533" t="s">
        <v>2309</v>
      </c>
    </row>
    <row r="53" spans="1:14" s="541" customFormat="1" ht="16.5" customHeight="1">
      <c r="A53" s="16"/>
      <c r="B53" s="39" t="s">
        <v>2804</v>
      </c>
      <c r="C53" s="534"/>
      <c r="D53" s="536"/>
      <c r="E53" s="537"/>
      <c r="F53" s="538"/>
      <c r="G53" s="538"/>
      <c r="H53" s="538"/>
      <c r="I53" s="539"/>
      <c r="J53" s="550"/>
      <c r="K53" s="39"/>
      <c r="L53" s="208"/>
      <c r="M53" s="39"/>
      <c r="N53" s="533" t="s">
        <v>2309</v>
      </c>
    </row>
    <row r="54" spans="1:14" s="541" customFormat="1" ht="16.5" customHeight="1">
      <c r="A54" s="16"/>
      <c r="B54" s="39" t="s">
        <v>1239</v>
      </c>
      <c r="C54" s="534">
        <v>1</v>
      </c>
      <c r="D54" s="536" t="s">
        <v>273</v>
      </c>
      <c r="E54" s="537">
        <v>2</v>
      </c>
      <c r="F54" s="538">
        <v>2.72</v>
      </c>
      <c r="G54" s="538">
        <v>0.23</v>
      </c>
      <c r="H54" s="538">
        <v>0.3</v>
      </c>
      <c r="I54" s="542">
        <f>ROUND(IF(AND(F54:H54),C54*E54*F54*G54*H54,IF(AND(F54,G54),C54*E54*F54*G54,IF(AND(F54,H54),C54*E54*F54*H54,IF(AND(G54,H54),C54*E54*G54*H54,IF(F54,C54*E54*F54,IF(G54,C54*E54*G54,IF(H54,C54*E54*H54,C54*E54))))))),2)</f>
        <v>0.38</v>
      </c>
      <c r="J54" s="550" t="s">
        <v>5</v>
      </c>
      <c r="K54" s="39"/>
      <c r="L54" s="208"/>
      <c r="M54" s="39"/>
      <c r="N54" s="533" t="s">
        <v>2309</v>
      </c>
    </row>
    <row r="55" spans="1:14" s="541" customFormat="1" ht="16.5" customHeight="1">
      <c r="A55" s="16"/>
      <c r="B55" s="39" t="s">
        <v>1239</v>
      </c>
      <c r="C55" s="534">
        <v>1</v>
      </c>
      <c r="D55" s="536" t="s">
        <v>273</v>
      </c>
      <c r="E55" s="537">
        <v>2</v>
      </c>
      <c r="F55" s="538">
        <v>5.5</v>
      </c>
      <c r="G55" s="538">
        <v>0.23</v>
      </c>
      <c r="H55" s="538">
        <v>0.3</v>
      </c>
      <c r="I55" s="542">
        <f>ROUND(IF(AND(F55:H55),C55*E55*F55*G55*H55,IF(AND(F55,G55),C55*E55*F55*G55,IF(AND(F55,H55),C55*E55*F55*H55,IF(AND(G55,H55),C55*E55*G55*H55,IF(F55,C55*E55*F55,IF(G55,C55*E55*G55,IF(H55,C55*E55*H55,C55*E55))))))),2)</f>
        <v>0.76</v>
      </c>
      <c r="J55" s="550" t="s">
        <v>5</v>
      </c>
      <c r="K55" s="39"/>
      <c r="L55" s="208"/>
      <c r="M55" s="39"/>
      <c r="N55" s="533" t="s">
        <v>2309</v>
      </c>
    </row>
    <row r="56" spans="1:14" s="541" customFormat="1" ht="16.5" customHeight="1">
      <c r="A56" s="16"/>
      <c r="B56" s="544"/>
      <c r="C56" s="545"/>
      <c r="D56" s="546"/>
      <c r="E56" s="547"/>
      <c r="F56" s="548"/>
      <c r="G56" s="548"/>
      <c r="H56" s="548"/>
      <c r="I56" s="549"/>
      <c r="J56" s="550"/>
      <c r="K56" s="39"/>
      <c r="L56" s="208"/>
      <c r="M56" s="39"/>
      <c r="N56" s="533" t="s">
        <v>2309</v>
      </c>
    </row>
    <row r="57" spans="1:14" ht="15.75">
      <c r="A57" s="16"/>
      <c r="B57" s="39"/>
      <c r="C57" s="551"/>
      <c r="D57" s="552"/>
      <c r="E57" s="537"/>
      <c r="F57" s="538"/>
      <c r="G57" s="40"/>
      <c r="H57" s="16"/>
      <c r="I57" s="549"/>
      <c r="J57" s="550" t="s">
        <v>5</v>
      </c>
      <c r="K57" s="10">
        <f>data!G2932</f>
        <v>11098.560000000001</v>
      </c>
      <c r="L57" s="208" t="s">
        <v>2309</v>
      </c>
      <c r="M57" s="9">
        <f>ROUND(I57*K57,0)</f>
        <v>0</v>
      </c>
      <c r="N57" s="533" t="s">
        <v>2309</v>
      </c>
    </row>
    <row r="58" spans="1:14" ht="17.25" customHeight="1">
      <c r="A58" s="16">
        <v>11</v>
      </c>
      <c r="B58" s="1633" t="s">
        <v>304</v>
      </c>
      <c r="C58" s="1633"/>
      <c r="D58" s="1633"/>
      <c r="E58" s="1633"/>
      <c r="F58" s="1633"/>
      <c r="G58" s="1633"/>
      <c r="H58" s="1633"/>
      <c r="I58" s="534"/>
      <c r="J58" s="535"/>
      <c r="K58" s="16"/>
      <c r="L58" s="208"/>
      <c r="M58" s="38"/>
      <c r="N58" s="533" t="s">
        <v>2209</v>
      </c>
    </row>
    <row r="59" spans="1:14" s="541" customFormat="1" ht="16.5" customHeight="1">
      <c r="A59" s="16"/>
      <c r="B59" s="39" t="s">
        <v>2849</v>
      </c>
      <c r="C59" s="534"/>
      <c r="D59" s="536"/>
      <c r="E59" s="537"/>
      <c r="F59" s="538"/>
      <c r="G59" s="538"/>
      <c r="H59" s="538"/>
      <c r="I59" s="539"/>
      <c r="J59" s="550"/>
      <c r="K59" s="39"/>
      <c r="L59" s="208"/>
      <c r="M59" s="39"/>
      <c r="N59" s="533" t="s">
        <v>2209</v>
      </c>
    </row>
    <row r="60" spans="1:14" s="541" customFormat="1" ht="16.5" customHeight="1">
      <c r="A60" s="16"/>
      <c r="B60" s="39" t="s">
        <v>267</v>
      </c>
      <c r="C60" s="534">
        <v>1</v>
      </c>
      <c r="D60" s="536" t="s">
        <v>273</v>
      </c>
      <c r="E60" s="537">
        <v>1</v>
      </c>
      <c r="F60" s="538">
        <v>3.23</v>
      </c>
      <c r="G60" s="538">
        <v>1.28</v>
      </c>
      <c r="H60" s="538">
        <v>0</v>
      </c>
      <c r="I60" s="542">
        <f>ROUND(IF(AND(F60:H60),C60*E60*F60*G60*H60,IF(AND(F60,G60),C60*E60*F60*G60,IF(AND(F60,H60),C60*E60*F60*H60,IF(AND(G60,H60),C60*E60*G60*H60,IF(F60,C60*E60*F60,IF(G60,C60*E60*G60,IF(H60,C60*E60*H60,C60*E60))))))),2)</f>
        <v>4.13</v>
      </c>
      <c r="J60" s="550" t="s">
        <v>102</v>
      </c>
      <c r="K60" s="39"/>
      <c r="L60" s="208"/>
      <c r="M60" s="39"/>
      <c r="N60" s="533" t="s">
        <v>2209</v>
      </c>
    </row>
    <row r="61" spans="1:14" s="541" customFormat="1" ht="16.5" customHeight="1">
      <c r="A61" s="16"/>
      <c r="B61" s="39" t="s">
        <v>801</v>
      </c>
      <c r="C61" s="534">
        <v>1</v>
      </c>
      <c r="D61" s="536" t="s">
        <v>273</v>
      </c>
      <c r="E61" s="537">
        <v>1</v>
      </c>
      <c r="F61" s="538">
        <v>2.72</v>
      </c>
      <c r="G61" s="538">
        <v>1</v>
      </c>
      <c r="H61" s="538">
        <v>0</v>
      </c>
      <c r="I61" s="542">
        <f>ROUND(IF(AND(F61:H61),C61*E61*F61*G61*H61,IF(AND(F61,G61),C61*E61*F61*G61,IF(AND(F61,H61),C61*E61*F61*H61,IF(AND(G61,H61),C61*E61*G61*H61,IF(F61,C61*E61*F61,IF(G61,C61*E61*G61,IF(H61,C61*E61*H61,C61*E61))))))),2)</f>
        <v>2.72</v>
      </c>
      <c r="J61" s="550" t="s">
        <v>102</v>
      </c>
      <c r="K61" s="39"/>
      <c r="L61" s="208"/>
      <c r="M61" s="39"/>
      <c r="N61" s="533" t="s">
        <v>2209</v>
      </c>
    </row>
    <row r="62" spans="1:14" s="541" customFormat="1" ht="16.5" customHeight="1">
      <c r="A62" s="16"/>
      <c r="B62" s="544"/>
      <c r="C62" s="545"/>
      <c r="D62" s="546"/>
      <c r="E62" s="547"/>
      <c r="F62" s="548"/>
      <c r="G62" s="548"/>
      <c r="H62" s="548"/>
      <c r="I62" s="549"/>
      <c r="J62" s="550"/>
      <c r="K62" s="39"/>
      <c r="L62" s="208"/>
      <c r="M62" s="39"/>
      <c r="N62" s="533" t="s">
        <v>2209</v>
      </c>
    </row>
    <row r="63" spans="1:14" ht="15.75">
      <c r="A63" s="16"/>
      <c r="B63" s="39"/>
      <c r="C63" s="551"/>
      <c r="D63" s="552"/>
      <c r="E63" s="537"/>
      <c r="F63" s="538"/>
      <c r="G63" s="40"/>
      <c r="H63" s="16"/>
      <c r="I63" s="549"/>
      <c r="J63" s="550" t="s">
        <v>102</v>
      </c>
      <c r="K63" s="10">
        <f>data!G203</f>
        <v>1519.49</v>
      </c>
      <c r="L63" s="208" t="s">
        <v>2209</v>
      </c>
      <c r="M63" s="9">
        <f>ROUND(I63*K63,0)</f>
        <v>0</v>
      </c>
      <c r="N63" s="533" t="s">
        <v>2209</v>
      </c>
    </row>
    <row r="64" spans="1:14" ht="17.25" customHeight="1">
      <c r="A64" s="16">
        <v>11</v>
      </c>
      <c r="B64" s="1633" t="s">
        <v>304</v>
      </c>
      <c r="C64" s="1633"/>
      <c r="D64" s="1633"/>
      <c r="E64" s="1633"/>
      <c r="F64" s="1633"/>
      <c r="G64" s="1633"/>
      <c r="H64" s="1633"/>
      <c r="I64" s="534"/>
      <c r="J64" s="535"/>
      <c r="K64" s="16"/>
      <c r="L64" s="208"/>
      <c r="M64" s="38"/>
      <c r="N64" s="533" t="s">
        <v>2297</v>
      </c>
    </row>
    <row r="65" spans="1:14" s="541" customFormat="1" ht="16.5" customHeight="1">
      <c r="A65" s="16"/>
      <c r="B65" s="39" t="s">
        <v>2849</v>
      </c>
      <c r="C65" s="534"/>
      <c r="D65" s="536"/>
      <c r="E65" s="537"/>
      <c r="F65" s="538"/>
      <c r="G65" s="538"/>
      <c r="H65" s="538"/>
      <c r="I65" s="539"/>
      <c r="J65" s="550"/>
      <c r="K65" s="39"/>
      <c r="L65" s="208"/>
      <c r="M65" s="39"/>
      <c r="N65" s="533" t="s">
        <v>2297</v>
      </c>
    </row>
    <row r="66" spans="1:14" s="541" customFormat="1" ht="16.5" customHeight="1">
      <c r="A66" s="16"/>
      <c r="B66" s="39" t="s">
        <v>267</v>
      </c>
      <c r="C66" s="534">
        <v>1</v>
      </c>
      <c r="D66" s="536" t="s">
        <v>273</v>
      </c>
      <c r="E66" s="537">
        <v>1</v>
      </c>
      <c r="F66" s="538">
        <v>3.23</v>
      </c>
      <c r="G66" s="538">
        <v>1.28</v>
      </c>
      <c r="H66" s="538">
        <v>0</v>
      </c>
      <c r="I66" s="542">
        <f>ROUND(IF(AND(F66:H66),C66*E66*F66*G66*H66,IF(AND(F66,G66),C66*E66*F66*G66,IF(AND(F66,H66),C66*E66*F66*H66,IF(AND(G66,H66),C66*E66*G66*H66,IF(F66,C66*E66*F66,IF(G66,C66*E66*G66,IF(H66,C66*E66*H66,C66*E66))))))),2)</f>
        <v>4.13</v>
      </c>
      <c r="J66" s="550" t="s">
        <v>102</v>
      </c>
      <c r="K66" s="39"/>
      <c r="L66" s="208"/>
      <c r="M66" s="39"/>
      <c r="N66" s="533" t="s">
        <v>2297</v>
      </c>
    </row>
    <row r="67" spans="1:14" s="541" customFormat="1" ht="16.5" customHeight="1">
      <c r="A67" s="16"/>
      <c r="B67" s="39" t="s">
        <v>801</v>
      </c>
      <c r="C67" s="534">
        <v>1</v>
      </c>
      <c r="D67" s="536" t="s">
        <v>273</v>
      </c>
      <c r="E67" s="537">
        <v>1</v>
      </c>
      <c r="F67" s="538">
        <v>2.72</v>
      </c>
      <c r="G67" s="538">
        <v>1</v>
      </c>
      <c r="H67" s="538">
        <v>0</v>
      </c>
      <c r="I67" s="542">
        <f>ROUND(IF(AND(F67:H67),C67*E67*F67*G67*H67,IF(AND(F67,G67),C67*E67*F67*G67,IF(AND(F67,H67),C67*E67*F67*H67,IF(AND(G67,H67),C67*E67*G67*H67,IF(F67,C67*E67*F67,IF(G67,C67*E67*G67,IF(H67,C67*E67*H67,C67*E67))))))),2)</f>
        <v>2.72</v>
      </c>
      <c r="J67" s="550" t="s">
        <v>102</v>
      </c>
      <c r="K67" s="39"/>
      <c r="L67" s="208"/>
      <c r="M67" s="39"/>
      <c r="N67" s="533" t="s">
        <v>2297</v>
      </c>
    </row>
    <row r="68" spans="1:14" s="541" customFormat="1" ht="16.5" customHeight="1">
      <c r="A68" s="16"/>
      <c r="B68" s="544"/>
      <c r="C68" s="545"/>
      <c r="D68" s="546"/>
      <c r="E68" s="547"/>
      <c r="F68" s="548"/>
      <c r="G68" s="548"/>
      <c r="H68" s="548"/>
      <c r="I68" s="549"/>
      <c r="J68" s="550"/>
      <c r="K68" s="39"/>
      <c r="L68" s="208"/>
      <c r="M68" s="39"/>
      <c r="N68" s="533" t="s">
        <v>2297</v>
      </c>
    </row>
    <row r="69" spans="1:14" ht="15.75">
      <c r="A69" s="16"/>
      <c r="B69" s="39"/>
      <c r="C69" s="551"/>
      <c r="D69" s="552"/>
      <c r="E69" s="537"/>
      <c r="F69" s="538"/>
      <c r="G69" s="40"/>
      <c r="H69" s="16"/>
      <c r="I69" s="549"/>
      <c r="J69" s="550" t="s">
        <v>102</v>
      </c>
      <c r="K69" s="10">
        <f>data!G1119</f>
        <v>1573.5</v>
      </c>
      <c r="L69" s="208" t="s">
        <v>2297</v>
      </c>
      <c r="M69" s="9">
        <f>ROUND(I69*K69,0)</f>
        <v>0</v>
      </c>
      <c r="N69" s="533" t="s">
        <v>2297</v>
      </c>
    </row>
    <row r="70" spans="1:14" ht="17.25" customHeight="1">
      <c r="A70" s="16">
        <v>11</v>
      </c>
      <c r="B70" s="1633" t="s">
        <v>304</v>
      </c>
      <c r="C70" s="1633"/>
      <c r="D70" s="1633"/>
      <c r="E70" s="1633"/>
      <c r="F70" s="1633"/>
      <c r="G70" s="1633"/>
      <c r="H70" s="1633"/>
      <c r="I70" s="534"/>
      <c r="J70" s="535"/>
      <c r="K70" s="16"/>
      <c r="L70" s="208"/>
      <c r="M70" s="38"/>
      <c r="N70" s="533" t="s">
        <v>2308</v>
      </c>
    </row>
    <row r="71" spans="1:14" s="541" customFormat="1" ht="16.5" customHeight="1">
      <c r="A71" s="16"/>
      <c r="B71" s="39" t="s">
        <v>2849</v>
      </c>
      <c r="C71" s="534"/>
      <c r="D71" s="536"/>
      <c r="E71" s="537"/>
      <c r="F71" s="538"/>
      <c r="G71" s="538"/>
      <c r="H71" s="538"/>
      <c r="I71" s="539"/>
      <c r="J71" s="550"/>
      <c r="K71" s="39"/>
      <c r="L71" s="208"/>
      <c r="M71" s="39"/>
      <c r="N71" s="533" t="s">
        <v>2308</v>
      </c>
    </row>
    <row r="72" spans="1:14" s="541" customFormat="1" ht="16.5" customHeight="1">
      <c r="A72" s="16"/>
      <c r="B72" s="39" t="s">
        <v>267</v>
      </c>
      <c r="C72" s="534">
        <v>1</v>
      </c>
      <c r="D72" s="536" t="s">
        <v>273</v>
      </c>
      <c r="E72" s="537">
        <v>1</v>
      </c>
      <c r="F72" s="538">
        <v>3.23</v>
      </c>
      <c r="G72" s="538">
        <v>1.28</v>
      </c>
      <c r="H72" s="538">
        <v>0</v>
      </c>
      <c r="I72" s="542">
        <f>ROUND(IF(AND(F72:H72),C72*E72*F72*G72*H72,IF(AND(F72,G72),C72*E72*F72*G72,IF(AND(F72,H72),C72*E72*F72*H72,IF(AND(G72,H72),C72*E72*G72*H72,IF(F72,C72*E72*F72,IF(G72,C72*E72*G72,IF(H72,C72*E72*H72,C72*E72))))))),2)</f>
        <v>4.13</v>
      </c>
      <c r="J72" s="550" t="s">
        <v>102</v>
      </c>
      <c r="K72" s="39"/>
      <c r="L72" s="208"/>
      <c r="M72" s="39"/>
      <c r="N72" s="533" t="s">
        <v>2308</v>
      </c>
    </row>
    <row r="73" spans="1:14" s="541" customFormat="1" ht="16.5" customHeight="1">
      <c r="A73" s="16"/>
      <c r="B73" s="39" t="s">
        <v>801</v>
      </c>
      <c r="C73" s="534">
        <v>1</v>
      </c>
      <c r="D73" s="536" t="s">
        <v>273</v>
      </c>
      <c r="E73" s="537">
        <v>1</v>
      </c>
      <c r="F73" s="538">
        <v>2.72</v>
      </c>
      <c r="G73" s="538">
        <v>1</v>
      </c>
      <c r="H73" s="538">
        <v>0</v>
      </c>
      <c r="I73" s="542">
        <f>ROUND(IF(AND(F73:H73),C73*E73*F73*G73*H73,IF(AND(F73,G73),C73*E73*F73*G73,IF(AND(F73,H73),C73*E73*F73*H73,IF(AND(G73,H73),C73*E73*G73*H73,IF(F73,C73*E73*F73,IF(G73,C73*E73*G73,IF(H73,C73*E73*H73,C73*E73))))))),2)</f>
        <v>2.72</v>
      </c>
      <c r="J73" s="550" t="s">
        <v>102</v>
      </c>
      <c r="K73" s="39"/>
      <c r="L73" s="208"/>
      <c r="M73" s="39"/>
      <c r="N73" s="533" t="s">
        <v>2308</v>
      </c>
    </row>
    <row r="74" spans="1:14" s="541" customFormat="1" ht="16.5" customHeight="1">
      <c r="A74" s="16"/>
      <c r="B74" s="544"/>
      <c r="C74" s="545"/>
      <c r="D74" s="546"/>
      <c r="E74" s="547"/>
      <c r="F74" s="548"/>
      <c r="G74" s="548"/>
      <c r="H74" s="548"/>
      <c r="I74" s="549"/>
      <c r="J74" s="550"/>
      <c r="K74" s="39"/>
      <c r="L74" s="208"/>
      <c r="M74" s="39"/>
      <c r="N74" s="533" t="s">
        <v>2308</v>
      </c>
    </row>
    <row r="75" spans="1:14" ht="15.75">
      <c r="A75" s="16"/>
      <c r="B75" s="39"/>
      <c r="C75" s="551"/>
      <c r="D75" s="552"/>
      <c r="E75" s="537"/>
      <c r="F75" s="538"/>
      <c r="G75" s="40"/>
      <c r="H75" s="16"/>
      <c r="I75" s="549"/>
      <c r="J75" s="550" t="s">
        <v>102</v>
      </c>
      <c r="K75" s="10">
        <f>data!G2036</f>
        <v>1675.0100000000002</v>
      </c>
      <c r="L75" s="208" t="s">
        <v>2308</v>
      </c>
      <c r="M75" s="9">
        <f>ROUND(I75*K75,0)</f>
        <v>0</v>
      </c>
      <c r="N75" s="533" t="s">
        <v>2308</v>
      </c>
    </row>
    <row r="76" spans="1:14" ht="17.25" customHeight="1">
      <c r="A76" s="16">
        <v>11</v>
      </c>
      <c r="B76" s="1633" t="s">
        <v>304</v>
      </c>
      <c r="C76" s="1633"/>
      <c r="D76" s="1633"/>
      <c r="E76" s="1633"/>
      <c r="F76" s="1633"/>
      <c r="G76" s="1633"/>
      <c r="H76" s="1633"/>
      <c r="I76" s="534"/>
      <c r="J76" s="535"/>
      <c r="K76" s="16"/>
      <c r="L76" s="208"/>
      <c r="M76" s="38"/>
      <c r="N76" s="533" t="s">
        <v>2309</v>
      </c>
    </row>
    <row r="77" spans="1:14" s="541" customFormat="1" ht="16.5" customHeight="1">
      <c r="A77" s="16"/>
      <c r="B77" s="39" t="s">
        <v>2849</v>
      </c>
      <c r="C77" s="534"/>
      <c r="D77" s="536"/>
      <c r="E77" s="537"/>
      <c r="F77" s="538"/>
      <c r="G77" s="538"/>
      <c r="H77" s="538"/>
      <c r="I77" s="539"/>
      <c r="J77" s="550"/>
      <c r="K77" s="39"/>
      <c r="L77" s="208"/>
      <c r="M77" s="39"/>
      <c r="N77" s="533" t="s">
        <v>2309</v>
      </c>
    </row>
    <row r="78" spans="1:14" s="541" customFormat="1" ht="16.5" customHeight="1">
      <c r="A78" s="16"/>
      <c r="B78" s="39" t="s">
        <v>267</v>
      </c>
      <c r="C78" s="534">
        <v>1</v>
      </c>
      <c r="D78" s="536" t="s">
        <v>273</v>
      </c>
      <c r="E78" s="537">
        <v>1</v>
      </c>
      <c r="F78" s="538">
        <v>3.23</v>
      </c>
      <c r="G78" s="538">
        <v>1.28</v>
      </c>
      <c r="H78" s="538">
        <v>0</v>
      </c>
      <c r="I78" s="542">
        <f>ROUND(IF(AND(F78:H78),C78*E78*F78*G78*H78,IF(AND(F78,G78),C78*E78*F78*G78,IF(AND(F78,H78),C78*E78*F78*H78,IF(AND(G78,H78),C78*E78*G78*H78,IF(F78,C78*E78*F78,IF(G78,C78*E78*G78,IF(H78,C78*E78*H78,C78*E78))))))),2)</f>
        <v>4.13</v>
      </c>
      <c r="J78" s="550" t="s">
        <v>102</v>
      </c>
      <c r="K78" s="39"/>
      <c r="L78" s="208"/>
      <c r="M78" s="39"/>
      <c r="N78" s="533" t="s">
        <v>2309</v>
      </c>
    </row>
    <row r="79" spans="1:14" s="541" customFormat="1" ht="16.5" customHeight="1">
      <c r="A79" s="16"/>
      <c r="B79" s="39" t="s">
        <v>801</v>
      </c>
      <c r="C79" s="534">
        <v>1</v>
      </c>
      <c r="D79" s="536" t="s">
        <v>273</v>
      </c>
      <c r="E79" s="537">
        <v>1</v>
      </c>
      <c r="F79" s="538">
        <v>2.72</v>
      </c>
      <c r="G79" s="538">
        <v>1</v>
      </c>
      <c r="H79" s="538">
        <v>0</v>
      </c>
      <c r="I79" s="542">
        <f>ROUND(IF(AND(F79:H79),C79*E79*F79*G79*H79,IF(AND(F79,G79),C79*E79*F79*G79,IF(AND(F79,H79),C79*E79*F79*H79,IF(AND(G79,H79),C79*E79*G79*H79,IF(F79,C79*E79*F79,IF(G79,C79*E79*G79,IF(H79,C79*E79*H79,C79*E79))))))),2)</f>
        <v>2.72</v>
      </c>
      <c r="J79" s="550" t="s">
        <v>102</v>
      </c>
      <c r="K79" s="39"/>
      <c r="L79" s="208"/>
      <c r="M79" s="39"/>
      <c r="N79" s="533" t="s">
        <v>2309</v>
      </c>
    </row>
    <row r="80" spans="1:14" s="541" customFormat="1" ht="16.5" customHeight="1">
      <c r="A80" s="16"/>
      <c r="B80" s="544"/>
      <c r="C80" s="545"/>
      <c r="D80" s="546"/>
      <c r="E80" s="547"/>
      <c r="F80" s="548"/>
      <c r="G80" s="548"/>
      <c r="H80" s="548"/>
      <c r="I80" s="549"/>
      <c r="J80" s="550"/>
      <c r="K80" s="39"/>
      <c r="L80" s="208"/>
      <c r="M80" s="39"/>
      <c r="N80" s="533" t="s">
        <v>2309</v>
      </c>
    </row>
    <row r="81" spans="1:14" ht="15.75">
      <c r="A81" s="16"/>
      <c r="B81" s="39"/>
      <c r="C81" s="551"/>
      <c r="D81" s="552"/>
      <c r="E81" s="537"/>
      <c r="F81" s="538"/>
      <c r="G81" s="40"/>
      <c r="H81" s="16"/>
      <c r="I81" s="549"/>
      <c r="J81" s="550" t="s">
        <v>102</v>
      </c>
      <c r="K81" s="10">
        <f>data!G2953</f>
        <v>1737.05</v>
      </c>
      <c r="L81" s="208" t="s">
        <v>2309</v>
      </c>
      <c r="M81" s="9">
        <f>ROUND(I81*K81,0)</f>
        <v>0</v>
      </c>
      <c r="N81" s="533" t="s">
        <v>2309</v>
      </c>
    </row>
    <row r="82" spans="1:14" ht="17.25" customHeight="1">
      <c r="A82" s="16">
        <v>3</v>
      </c>
      <c r="B82" s="1633" t="s">
        <v>305</v>
      </c>
      <c r="C82" s="1633"/>
      <c r="D82" s="1633"/>
      <c r="E82" s="1633"/>
      <c r="F82" s="1633"/>
      <c r="G82" s="1633"/>
      <c r="H82" s="1633"/>
      <c r="I82" s="534"/>
      <c r="J82" s="535"/>
      <c r="K82" s="16"/>
      <c r="L82" s="208"/>
      <c r="M82" s="38"/>
      <c r="N82" s="533" t="s">
        <v>2209</v>
      </c>
    </row>
    <row r="83" spans="1:14" s="541" customFormat="1" ht="16.5" customHeight="1">
      <c r="A83" s="16"/>
      <c r="B83" s="39" t="s">
        <v>2823</v>
      </c>
      <c r="C83" s="534"/>
      <c r="D83" s="536"/>
      <c r="E83" s="537"/>
      <c r="F83" s="538"/>
      <c r="G83" s="538"/>
      <c r="H83" s="538"/>
      <c r="I83" s="539"/>
      <c r="J83" s="550"/>
      <c r="K83" s="39"/>
      <c r="L83" s="16"/>
      <c r="M83" s="39"/>
      <c r="N83" s="533" t="s">
        <v>2209</v>
      </c>
    </row>
    <row r="84" spans="1:14" s="541" customFormat="1" ht="16.5" customHeight="1">
      <c r="A84" s="16"/>
      <c r="B84" s="39"/>
      <c r="C84" s="534">
        <v>1</v>
      </c>
      <c r="D84" s="536" t="s">
        <v>273</v>
      </c>
      <c r="E84" s="537">
        <v>1</v>
      </c>
      <c r="F84" s="538">
        <v>5.5</v>
      </c>
      <c r="G84" s="538">
        <v>3.9</v>
      </c>
      <c r="H84" s="538">
        <v>0</v>
      </c>
      <c r="I84" s="542">
        <f t="shared" ref="I84" si="4">ROUND(IF(AND(F84:H84),C84*E84*F84*G84*H84,IF(AND(F84,G84),C84*E84*F84*G84,IF(AND(F84,H84),C84*E84*F84*H84,IF(AND(G84,H84),C84*E84*G84*H84,IF(F84,C84*E84*F84,IF(G84,C84*E84*G84,IF(H84,C84*E84*H84,C84*E84))))))),2)</f>
        <v>21.45</v>
      </c>
      <c r="J84" s="550" t="s">
        <v>102</v>
      </c>
      <c r="K84" s="39"/>
      <c r="L84" s="16"/>
      <c r="M84" s="39"/>
      <c r="N84" s="533" t="s">
        <v>2209</v>
      </c>
    </row>
    <row r="85" spans="1:14" s="541" customFormat="1" ht="16.5" customHeight="1">
      <c r="A85" s="16"/>
      <c r="B85" s="569"/>
      <c r="C85" s="570"/>
      <c r="D85" s="555"/>
      <c r="E85" s="571"/>
      <c r="F85" s="572"/>
      <c r="G85" s="572"/>
      <c r="H85" s="573"/>
      <c r="I85" s="557"/>
      <c r="J85" s="550"/>
      <c r="K85" s="39"/>
      <c r="L85" s="208"/>
      <c r="M85" s="39"/>
      <c r="N85" s="533" t="s">
        <v>2209</v>
      </c>
    </row>
    <row r="86" spans="1:14" ht="15.75">
      <c r="A86" s="16"/>
      <c r="B86" s="39"/>
      <c r="C86" s="551"/>
      <c r="D86" s="552"/>
      <c r="E86" s="537"/>
      <c r="F86" s="538"/>
      <c r="G86" s="40"/>
      <c r="H86" s="16"/>
      <c r="I86" s="549"/>
      <c r="J86" s="550" t="s">
        <v>102</v>
      </c>
      <c r="K86" s="10">
        <f>data!G196</f>
        <v>1395.34</v>
      </c>
      <c r="L86" s="208" t="s">
        <v>2209</v>
      </c>
      <c r="M86" s="9">
        <f>ROUND(I86*K86,0)</f>
        <v>0</v>
      </c>
      <c r="N86" s="533" t="s">
        <v>2209</v>
      </c>
    </row>
    <row r="87" spans="1:14" ht="17.25" customHeight="1">
      <c r="A87" s="16">
        <v>3</v>
      </c>
      <c r="B87" s="1633" t="s">
        <v>305</v>
      </c>
      <c r="C87" s="1633"/>
      <c r="D87" s="1633"/>
      <c r="E87" s="1633"/>
      <c r="F87" s="1633"/>
      <c r="G87" s="1633"/>
      <c r="H87" s="1633"/>
      <c r="I87" s="534"/>
      <c r="J87" s="535"/>
      <c r="K87" s="16"/>
      <c r="L87" s="208"/>
      <c r="M87" s="38"/>
      <c r="N87" s="533" t="s">
        <v>2297</v>
      </c>
    </row>
    <row r="88" spans="1:14" s="541" customFormat="1" ht="16.5" customHeight="1">
      <c r="A88" s="16"/>
      <c r="B88" s="39" t="s">
        <v>2826</v>
      </c>
      <c r="C88" s="534"/>
      <c r="D88" s="536"/>
      <c r="E88" s="537"/>
      <c r="F88" s="538"/>
      <c r="G88" s="538"/>
      <c r="H88" s="538"/>
      <c r="I88" s="539"/>
      <c r="J88" s="550"/>
      <c r="K88" s="39"/>
      <c r="L88" s="16"/>
      <c r="M88" s="39"/>
      <c r="N88" s="533" t="s">
        <v>2297</v>
      </c>
    </row>
    <row r="89" spans="1:14" s="541" customFormat="1" ht="16.5" customHeight="1">
      <c r="A89" s="16"/>
      <c r="B89" s="39" t="s">
        <v>1627</v>
      </c>
      <c r="C89" s="534">
        <v>1</v>
      </c>
      <c r="D89" s="536" t="s">
        <v>273</v>
      </c>
      <c r="E89" s="537">
        <v>1</v>
      </c>
      <c r="F89" s="538">
        <v>5.22</v>
      </c>
      <c r="G89" s="538">
        <v>3.78</v>
      </c>
      <c r="H89" s="538">
        <v>0</v>
      </c>
      <c r="I89" s="542">
        <f>ROUND(IF(AND(F89:H89),C89*E89*F89*G89*H89,IF(AND(F89,G89),C89*E89*F89*G89,IF(AND(F89,H89),C89*E89*F89*H89,IF(AND(G89,H89),C89*E89*G89*H89,IF(F89,C89*E89*F89,IF(G89,C89*E89*G89,IF(H89,C89*E89*H89,C89*E89))))))),2)</f>
        <v>19.73</v>
      </c>
      <c r="J89" s="550" t="s">
        <v>102</v>
      </c>
      <c r="K89" s="39"/>
      <c r="L89" s="16"/>
      <c r="M89" s="39"/>
      <c r="N89" s="533" t="s">
        <v>2297</v>
      </c>
    </row>
    <row r="90" spans="1:14" s="541" customFormat="1" ht="16.5" customHeight="1">
      <c r="A90" s="16"/>
      <c r="B90" s="569"/>
      <c r="C90" s="570"/>
      <c r="D90" s="555"/>
      <c r="E90" s="571"/>
      <c r="F90" s="572"/>
      <c r="G90" s="572"/>
      <c r="H90" s="573"/>
      <c r="I90" s="557"/>
      <c r="J90" s="550"/>
      <c r="K90" s="39"/>
      <c r="L90" s="208"/>
      <c r="M90" s="39"/>
      <c r="N90" s="533" t="s">
        <v>2297</v>
      </c>
    </row>
    <row r="91" spans="1:14" ht="15.75">
      <c r="A91" s="16"/>
      <c r="B91" s="39"/>
      <c r="C91" s="551"/>
      <c r="D91" s="552"/>
      <c r="E91" s="537"/>
      <c r="F91" s="538"/>
      <c r="G91" s="40"/>
      <c r="H91" s="16"/>
      <c r="I91" s="549"/>
      <c r="J91" s="550" t="s">
        <v>102</v>
      </c>
      <c r="K91" s="10">
        <f>data!G1112</f>
        <v>1443.96</v>
      </c>
      <c r="L91" s="208" t="s">
        <v>2297</v>
      </c>
      <c r="M91" s="9">
        <f>ROUND(I91*K91,0)</f>
        <v>0</v>
      </c>
      <c r="N91" s="533" t="s">
        <v>2297</v>
      </c>
    </row>
    <row r="92" spans="1:14" ht="17.25" customHeight="1">
      <c r="A92" s="16">
        <v>4</v>
      </c>
      <c r="B92" s="1633" t="s">
        <v>305</v>
      </c>
      <c r="C92" s="1633"/>
      <c r="D92" s="1633"/>
      <c r="E92" s="1633"/>
      <c r="F92" s="1633"/>
      <c r="G92" s="1633"/>
      <c r="H92" s="1633"/>
      <c r="I92" s="534"/>
      <c r="J92" s="535"/>
      <c r="K92" s="16"/>
      <c r="L92" s="208"/>
      <c r="M92" s="38"/>
      <c r="N92" s="533" t="s">
        <v>2308</v>
      </c>
    </row>
    <row r="93" spans="1:14" s="541" customFormat="1" ht="16.5" customHeight="1">
      <c r="A93" s="16"/>
      <c r="B93" s="39" t="s">
        <v>2850</v>
      </c>
      <c r="C93" s="534"/>
      <c r="D93" s="536"/>
      <c r="E93" s="537"/>
      <c r="F93" s="538"/>
      <c r="G93" s="538"/>
      <c r="H93" s="538"/>
      <c r="I93" s="539"/>
      <c r="J93" s="550"/>
      <c r="K93" s="39"/>
      <c r="L93" s="16"/>
      <c r="M93" s="39"/>
      <c r="N93" s="533" t="s">
        <v>2308</v>
      </c>
    </row>
    <row r="94" spans="1:14" s="541" customFormat="1" ht="16.5" customHeight="1">
      <c r="A94" s="16"/>
      <c r="B94" s="39" t="s">
        <v>1627</v>
      </c>
      <c r="C94" s="534">
        <v>1</v>
      </c>
      <c r="D94" s="536" t="s">
        <v>273</v>
      </c>
      <c r="E94" s="537">
        <v>1</v>
      </c>
      <c r="F94" s="538">
        <v>5.5</v>
      </c>
      <c r="G94" s="538">
        <v>3.9</v>
      </c>
      <c r="H94" s="538">
        <v>0</v>
      </c>
      <c r="I94" s="542">
        <f>ROUND(IF(AND(F94:H94),C94*E94*F94*G94*H94,IF(AND(F94,G94),C94*E94*F94*G94,IF(AND(F94,H94),C94*E94*F94*H94,IF(AND(G94,H94),C94*E94*G94*H94,IF(F94,C94*E94*F94,IF(G94,C94*E94*G94,IF(H94,C94*E94*H94,C94*E94))))))),2)</f>
        <v>21.45</v>
      </c>
      <c r="J94" s="550" t="s">
        <v>102</v>
      </c>
      <c r="K94" s="39"/>
      <c r="L94" s="16"/>
      <c r="M94" s="39"/>
      <c r="N94" s="533" t="s">
        <v>2308</v>
      </c>
    </row>
    <row r="95" spans="1:14" s="541" customFormat="1" ht="16.5" customHeight="1">
      <c r="A95" s="16"/>
      <c r="B95" s="569"/>
      <c r="C95" s="570"/>
      <c r="D95" s="555"/>
      <c r="E95" s="571"/>
      <c r="F95" s="572"/>
      <c r="G95" s="572"/>
      <c r="H95" s="573"/>
      <c r="I95" s="557"/>
      <c r="J95" s="550"/>
      <c r="K95" s="39"/>
      <c r="L95" s="208"/>
      <c r="M95" s="39"/>
      <c r="N95" s="533" t="s">
        <v>2308</v>
      </c>
    </row>
    <row r="96" spans="1:14" ht="15.75">
      <c r="A96" s="16"/>
      <c r="B96" s="39"/>
      <c r="C96" s="551"/>
      <c r="D96" s="552"/>
      <c r="E96" s="537"/>
      <c r="F96" s="538"/>
      <c r="G96" s="40"/>
      <c r="H96" s="16"/>
      <c r="I96" s="549"/>
      <c r="J96" s="550" t="s">
        <v>102</v>
      </c>
      <c r="K96" s="10">
        <f>data!G2029</f>
        <v>1539.2800000000002</v>
      </c>
      <c r="L96" s="208" t="s">
        <v>2308</v>
      </c>
      <c r="M96" s="9">
        <f>ROUND(I96*K96,0)</f>
        <v>0</v>
      </c>
      <c r="N96" s="533" t="s">
        <v>2308</v>
      </c>
    </row>
    <row r="97" spans="1:14" ht="17.25" customHeight="1">
      <c r="A97" s="16">
        <v>4</v>
      </c>
      <c r="B97" s="1633" t="s">
        <v>305</v>
      </c>
      <c r="C97" s="1633"/>
      <c r="D97" s="1633"/>
      <c r="E97" s="1633"/>
      <c r="F97" s="1633"/>
      <c r="G97" s="1633"/>
      <c r="H97" s="1633"/>
      <c r="I97" s="534"/>
      <c r="J97" s="535"/>
      <c r="K97" s="16"/>
      <c r="L97" s="208"/>
      <c r="M97" s="38"/>
      <c r="N97" s="533" t="s">
        <v>2309</v>
      </c>
    </row>
    <row r="98" spans="1:14" s="541" customFormat="1" ht="16.5" customHeight="1">
      <c r="A98" s="16"/>
      <c r="B98" s="39" t="s">
        <v>2850</v>
      </c>
      <c r="C98" s="534"/>
      <c r="D98" s="536"/>
      <c r="E98" s="537"/>
      <c r="F98" s="538"/>
      <c r="G98" s="538"/>
      <c r="H98" s="538"/>
      <c r="I98" s="539"/>
      <c r="J98" s="550"/>
      <c r="K98" s="39"/>
      <c r="L98" s="16"/>
      <c r="M98" s="39"/>
      <c r="N98" s="533" t="s">
        <v>2309</v>
      </c>
    </row>
    <row r="99" spans="1:14" s="541" customFormat="1" ht="16.5" customHeight="1">
      <c r="A99" s="16"/>
      <c r="B99" s="39" t="s">
        <v>1627</v>
      </c>
      <c r="C99" s="534">
        <v>1</v>
      </c>
      <c r="D99" s="536" t="s">
        <v>273</v>
      </c>
      <c r="E99" s="537">
        <v>1</v>
      </c>
      <c r="F99" s="538">
        <v>5.5</v>
      </c>
      <c r="G99" s="538">
        <v>3.9</v>
      </c>
      <c r="H99" s="538">
        <v>0</v>
      </c>
      <c r="I99" s="542">
        <f>ROUND(IF(AND(F99:H99),C99*E99*F99*G99*H99,IF(AND(F99,G99),C99*E99*F99*G99,IF(AND(F99,H99),C99*E99*F99*H99,IF(AND(G99,H99),C99*E99*G99*H99,IF(F99,C99*E99*F99,IF(G99,C99*E99*G99,IF(H99,C99*E99*H99,C99*E99))))))),2)</f>
        <v>21.45</v>
      </c>
      <c r="J99" s="550" t="s">
        <v>102</v>
      </c>
      <c r="K99" s="39"/>
      <c r="L99" s="16"/>
      <c r="M99" s="39"/>
      <c r="N99" s="533" t="s">
        <v>2309</v>
      </c>
    </row>
    <row r="100" spans="1:14" s="541" customFormat="1" ht="16.5" customHeight="1">
      <c r="A100" s="16"/>
      <c r="B100" s="569"/>
      <c r="C100" s="570"/>
      <c r="D100" s="555"/>
      <c r="E100" s="571"/>
      <c r="F100" s="572"/>
      <c r="G100" s="572"/>
      <c r="H100" s="573"/>
      <c r="I100" s="557"/>
      <c r="J100" s="550"/>
      <c r="K100" s="39"/>
      <c r="L100" s="208"/>
      <c r="M100" s="39"/>
      <c r="N100" s="533" t="s">
        <v>2309</v>
      </c>
    </row>
    <row r="101" spans="1:14" ht="15.75">
      <c r="A101" s="16"/>
      <c r="B101" s="39"/>
      <c r="C101" s="551"/>
      <c r="D101" s="552"/>
      <c r="E101" s="537"/>
      <c r="F101" s="538"/>
      <c r="G101" s="40"/>
      <c r="H101" s="16"/>
      <c r="I101" s="549"/>
      <c r="J101" s="550" t="s">
        <v>102</v>
      </c>
      <c r="K101" s="10">
        <f>data!G2946</f>
        <v>1594.17</v>
      </c>
      <c r="L101" s="208" t="s">
        <v>2309</v>
      </c>
      <c r="M101" s="9">
        <f>ROUND(I101*K101,0)</f>
        <v>0</v>
      </c>
      <c r="N101" s="533" t="s">
        <v>2309</v>
      </c>
    </row>
    <row r="102" spans="1:14" ht="17.25" customHeight="1">
      <c r="A102" s="16">
        <v>3</v>
      </c>
      <c r="B102" s="1633" t="s">
        <v>582</v>
      </c>
      <c r="C102" s="1633"/>
      <c r="D102" s="1633"/>
      <c r="E102" s="1633"/>
      <c r="F102" s="1633"/>
      <c r="G102" s="1633"/>
      <c r="H102" s="1633"/>
      <c r="I102" s="534"/>
      <c r="J102" s="535"/>
      <c r="K102" s="16"/>
      <c r="L102" s="208"/>
      <c r="M102" s="38"/>
      <c r="N102" s="533" t="s">
        <v>2209</v>
      </c>
    </row>
    <row r="103" spans="1:14" s="541" customFormat="1" ht="16.5" customHeight="1">
      <c r="A103" s="16"/>
      <c r="B103" s="39" t="s">
        <v>3041</v>
      </c>
      <c r="C103" s="534"/>
      <c r="D103" s="858" t="s">
        <v>3265</v>
      </c>
      <c r="E103" s="537"/>
      <c r="F103" s="538"/>
      <c r="G103" s="538"/>
      <c r="H103" s="538"/>
      <c r="I103" s="539"/>
      <c r="J103" s="550"/>
      <c r="K103" s="39"/>
      <c r="L103" s="208"/>
      <c r="M103" s="39"/>
      <c r="N103" s="533" t="s">
        <v>2209</v>
      </c>
    </row>
    <row r="104" spans="1:14" s="541" customFormat="1" ht="16.5" customHeight="1">
      <c r="A104" s="16"/>
      <c r="B104" s="39"/>
      <c r="C104" s="534">
        <v>1</v>
      </c>
      <c r="D104" s="536" t="s">
        <v>273</v>
      </c>
      <c r="E104" s="537">
        <v>1</v>
      </c>
      <c r="F104" s="538">
        <v>5.2</v>
      </c>
      <c r="G104" s="538">
        <v>3.8</v>
      </c>
      <c r="H104" s="538">
        <v>0</v>
      </c>
      <c r="I104" s="542">
        <f t="shared" ref="I104" si="5">ROUND(IF(AND(F104:H104),C104*E104*F104*G104*H104,IF(AND(F104,G104),C104*E104*F104*G104,IF(AND(F104,H104),C104*E104*F104*H104,IF(AND(G104,H104),C104*E104*G104*H104,IF(F104,C104*E104*F104,IF(G104,C104*E104*G104,IF(H104,C104*E104*H104,C104*E104))))))),2)</f>
        <v>19.760000000000002</v>
      </c>
      <c r="J104" s="550" t="s">
        <v>102</v>
      </c>
      <c r="K104" s="39"/>
      <c r="L104" s="208"/>
      <c r="M104" s="39"/>
      <c r="N104" s="533" t="s">
        <v>2209</v>
      </c>
    </row>
    <row r="105" spans="1:14" s="541" customFormat="1" ht="16.5" customHeight="1">
      <c r="A105" s="16"/>
      <c r="B105" s="569"/>
      <c r="C105" s="570"/>
      <c r="D105" s="555"/>
      <c r="E105" s="571"/>
      <c r="F105" s="572"/>
      <c r="G105" s="572"/>
      <c r="H105" s="573"/>
      <c r="I105" s="557"/>
      <c r="J105" s="550"/>
      <c r="K105" s="39"/>
      <c r="L105" s="208"/>
      <c r="M105" s="39"/>
      <c r="N105" s="533" t="s">
        <v>2209</v>
      </c>
    </row>
    <row r="106" spans="1:14" ht="15.75">
      <c r="A106" s="16"/>
      <c r="B106" s="39"/>
      <c r="C106" s="551"/>
      <c r="D106" s="552"/>
      <c r="E106" s="537"/>
      <c r="F106" s="538"/>
      <c r="G106" s="40"/>
      <c r="H106" s="16"/>
      <c r="I106" s="549"/>
      <c r="J106" s="550" t="s">
        <v>102</v>
      </c>
      <c r="K106" s="10">
        <f>data!G189</f>
        <v>1271.18</v>
      </c>
      <c r="L106" s="208" t="s">
        <v>2209</v>
      </c>
      <c r="M106" s="9">
        <f>ROUND(I106*K106,0)</f>
        <v>0</v>
      </c>
      <c r="N106" s="533" t="s">
        <v>2209</v>
      </c>
    </row>
    <row r="107" spans="1:14" ht="17.25" customHeight="1">
      <c r="A107" s="16">
        <v>13</v>
      </c>
      <c r="B107" s="1633" t="s">
        <v>582</v>
      </c>
      <c r="C107" s="1633"/>
      <c r="D107" s="1633"/>
      <c r="E107" s="1633"/>
      <c r="F107" s="1633"/>
      <c r="G107" s="1633"/>
      <c r="H107" s="1633"/>
      <c r="I107" s="534"/>
      <c r="J107" s="535"/>
      <c r="K107" s="16"/>
      <c r="L107" s="208"/>
      <c r="M107" s="38"/>
      <c r="N107" s="533" t="s">
        <v>2297</v>
      </c>
    </row>
    <row r="108" spans="1:14" s="541" customFormat="1" ht="16.5" customHeight="1">
      <c r="A108" s="16"/>
      <c r="B108" s="39" t="s">
        <v>2834</v>
      </c>
      <c r="C108" s="534"/>
      <c r="D108" s="536"/>
      <c r="E108" s="537"/>
      <c r="F108" s="538"/>
      <c r="G108" s="538"/>
      <c r="H108" s="538"/>
      <c r="I108" s="539"/>
      <c r="J108" s="550"/>
      <c r="K108" s="39"/>
      <c r="L108" s="208"/>
      <c r="M108" s="39"/>
      <c r="N108" s="533" t="s">
        <v>2297</v>
      </c>
    </row>
    <row r="109" spans="1:14" s="541" customFormat="1" ht="16.5" customHeight="1">
      <c r="A109" s="16"/>
      <c r="B109" s="39" t="s">
        <v>1240</v>
      </c>
      <c r="C109" s="534">
        <v>1</v>
      </c>
      <c r="D109" s="536" t="s">
        <v>273</v>
      </c>
      <c r="E109" s="537">
        <v>1</v>
      </c>
      <c r="F109" s="538">
        <v>3.95</v>
      </c>
      <c r="G109" s="538">
        <v>2.1</v>
      </c>
      <c r="H109" s="538">
        <v>0</v>
      </c>
      <c r="I109" s="542">
        <f>ROUND(IF(AND(F109:H109),C109*E109*F109*G109*H109,IF(AND(F109,G109),C109*E109*F109*G109,IF(AND(F109,H109),C109*E109*F109*H109,IF(AND(G109,H109),C109*E109*G109*H109,IF(F109,C109*E109*F109,IF(G109,C109*E109*G109,IF(H109,C109*E109*H109,C109*E109))))))),2)</f>
        <v>8.3000000000000007</v>
      </c>
      <c r="J109" s="550" t="s">
        <v>102</v>
      </c>
      <c r="K109" s="39"/>
      <c r="L109" s="208"/>
      <c r="M109" s="39"/>
      <c r="N109" s="533" t="s">
        <v>2297</v>
      </c>
    </row>
    <row r="110" spans="1:14" s="541" customFormat="1" ht="16.5" customHeight="1">
      <c r="A110" s="16"/>
      <c r="B110" s="569"/>
      <c r="C110" s="570"/>
      <c r="D110" s="555"/>
      <c r="E110" s="571"/>
      <c r="F110" s="572"/>
      <c r="G110" s="572"/>
      <c r="H110" s="573"/>
      <c r="I110" s="557"/>
      <c r="J110" s="550"/>
      <c r="K110" s="39"/>
      <c r="L110" s="208"/>
      <c r="M110" s="39"/>
      <c r="N110" s="533" t="s">
        <v>2297</v>
      </c>
    </row>
    <row r="111" spans="1:14" ht="15.75">
      <c r="A111" s="16"/>
      <c r="B111" s="39"/>
      <c r="C111" s="551"/>
      <c r="D111" s="552"/>
      <c r="E111" s="537"/>
      <c r="F111" s="538"/>
      <c r="G111" s="40"/>
      <c r="H111" s="16"/>
      <c r="I111" s="549"/>
      <c r="J111" s="550" t="s">
        <v>102</v>
      </c>
      <c r="K111" s="10">
        <f>data!G1105</f>
        <v>1314.42</v>
      </c>
      <c r="L111" s="208" t="s">
        <v>2297</v>
      </c>
      <c r="M111" s="9">
        <f>ROUND(I111*K111,0)</f>
        <v>0</v>
      </c>
      <c r="N111" s="533" t="s">
        <v>2297</v>
      </c>
    </row>
    <row r="112" spans="1:14" ht="17.25" customHeight="1">
      <c r="A112" s="16">
        <v>13</v>
      </c>
      <c r="B112" s="1633" t="s">
        <v>582</v>
      </c>
      <c r="C112" s="1633"/>
      <c r="D112" s="1633"/>
      <c r="E112" s="1633"/>
      <c r="F112" s="1633"/>
      <c r="G112" s="1633"/>
      <c r="H112" s="1633"/>
      <c r="I112" s="534"/>
      <c r="J112" s="535"/>
      <c r="K112" s="16"/>
      <c r="L112" s="208"/>
      <c r="M112" s="38"/>
      <c r="N112" s="533" t="s">
        <v>2308</v>
      </c>
    </row>
    <row r="113" spans="1:14" s="541" customFormat="1" ht="16.5" customHeight="1">
      <c r="A113" s="16"/>
      <c r="B113" s="39" t="s">
        <v>3041</v>
      </c>
      <c r="C113" s="534"/>
      <c r="D113" s="536"/>
      <c r="E113" s="537"/>
      <c r="F113" s="538"/>
      <c r="G113" s="538"/>
      <c r="H113" s="538"/>
      <c r="I113" s="539"/>
      <c r="J113" s="550"/>
      <c r="K113" s="39"/>
      <c r="L113" s="208"/>
      <c r="M113" s="39"/>
      <c r="N113" s="533" t="s">
        <v>2308</v>
      </c>
    </row>
    <row r="114" spans="1:14" s="541" customFormat="1" ht="16.5" customHeight="1">
      <c r="A114" s="16"/>
      <c r="B114" s="39"/>
      <c r="C114" s="534">
        <v>1</v>
      </c>
      <c r="D114" s="536" t="s">
        <v>273</v>
      </c>
      <c r="E114" s="537">
        <v>1</v>
      </c>
      <c r="F114" s="538">
        <v>5.2</v>
      </c>
      <c r="G114" s="538">
        <v>3.8</v>
      </c>
      <c r="H114" s="538">
        <v>0</v>
      </c>
      <c r="I114" s="542">
        <f t="shared" ref="I114" si="6">ROUND(IF(AND(F114:H114),C114*E114*F114*G114*H114,IF(AND(F114,G114),C114*E114*F114*G114,IF(AND(F114,H114),C114*E114*F114*H114,IF(AND(G114,H114),C114*E114*G114*H114,IF(F114,C114*E114*F114,IF(G114,C114*E114*G114,IF(H114,C114*E114*H114,C114*E114))))))),2)</f>
        <v>19.760000000000002</v>
      </c>
      <c r="J114" s="550" t="s">
        <v>102</v>
      </c>
      <c r="K114" s="39"/>
      <c r="L114" s="208"/>
      <c r="M114" s="39"/>
      <c r="N114" s="533" t="s">
        <v>2308</v>
      </c>
    </row>
    <row r="115" spans="1:14" s="541" customFormat="1" ht="16.5" customHeight="1">
      <c r="A115" s="16"/>
      <c r="B115" s="569"/>
      <c r="C115" s="570"/>
      <c r="D115" s="555"/>
      <c r="E115" s="571"/>
      <c r="F115" s="572"/>
      <c r="G115" s="572"/>
      <c r="H115" s="573"/>
      <c r="I115" s="557"/>
      <c r="J115" s="550"/>
      <c r="K115" s="39"/>
      <c r="L115" s="208"/>
      <c r="M115" s="39"/>
      <c r="N115" s="533" t="s">
        <v>2308</v>
      </c>
    </row>
    <row r="116" spans="1:14" ht="15.75">
      <c r="A116" s="16"/>
      <c r="B116" s="39"/>
      <c r="C116" s="551"/>
      <c r="D116" s="552"/>
      <c r="E116" s="537"/>
      <c r="F116" s="538"/>
      <c r="G116" s="40"/>
      <c r="H116" s="16"/>
      <c r="I116" s="549"/>
      <c r="J116" s="550" t="s">
        <v>102</v>
      </c>
      <c r="K116" s="10">
        <f>data!G2022</f>
        <v>1403.54</v>
      </c>
      <c r="L116" s="208" t="s">
        <v>2308</v>
      </c>
      <c r="M116" s="9">
        <f>ROUND(I116*K116,0)</f>
        <v>0</v>
      </c>
      <c r="N116" s="533" t="s">
        <v>2308</v>
      </c>
    </row>
    <row r="117" spans="1:14" ht="17.25" customHeight="1">
      <c r="A117" s="16">
        <v>13</v>
      </c>
      <c r="B117" s="1633" t="s">
        <v>582</v>
      </c>
      <c r="C117" s="1633"/>
      <c r="D117" s="1633"/>
      <c r="E117" s="1633"/>
      <c r="F117" s="1633"/>
      <c r="G117" s="1633"/>
      <c r="H117" s="1633"/>
      <c r="I117" s="534"/>
      <c r="J117" s="535"/>
      <c r="K117" s="16"/>
      <c r="L117" s="208"/>
      <c r="M117" s="38"/>
      <c r="N117" s="533" t="s">
        <v>2309</v>
      </c>
    </row>
    <row r="118" spans="1:14" s="541" customFormat="1" ht="16.5" customHeight="1">
      <c r="A118" s="16"/>
      <c r="B118" s="39" t="s">
        <v>2834</v>
      </c>
      <c r="C118" s="534"/>
      <c r="D118" s="536"/>
      <c r="E118" s="537"/>
      <c r="F118" s="538"/>
      <c r="G118" s="538"/>
      <c r="H118" s="538"/>
      <c r="I118" s="539"/>
      <c r="J118" s="550"/>
      <c r="K118" s="39"/>
      <c r="L118" s="208"/>
      <c r="M118" s="39"/>
      <c r="N118" s="533" t="s">
        <v>2309</v>
      </c>
    </row>
    <row r="119" spans="1:14" s="541" customFormat="1" ht="16.5" customHeight="1">
      <c r="A119" s="16"/>
      <c r="B119" s="39" t="s">
        <v>1240</v>
      </c>
      <c r="C119" s="534">
        <v>1</v>
      </c>
      <c r="D119" s="536" t="s">
        <v>273</v>
      </c>
      <c r="E119" s="537">
        <v>1</v>
      </c>
      <c r="F119" s="538">
        <v>3.95</v>
      </c>
      <c r="G119" s="538">
        <v>2.1</v>
      </c>
      <c r="H119" s="538">
        <v>0</v>
      </c>
      <c r="I119" s="542">
        <f>ROUND(IF(AND(F119:H119),C119*E119*F119*G119*H119,IF(AND(F119,G119),C119*E119*F119*G119,IF(AND(F119,H119),C119*E119*F119*H119,IF(AND(G119,H119),C119*E119*G119*H119,IF(F119,C119*E119*F119,IF(G119,C119*E119*G119,IF(H119,C119*E119*H119,C119*E119))))))),2)</f>
        <v>8.3000000000000007</v>
      </c>
      <c r="J119" s="550" t="s">
        <v>102</v>
      </c>
      <c r="K119" s="39"/>
      <c r="L119" s="208"/>
      <c r="M119" s="39"/>
      <c r="N119" s="533" t="s">
        <v>2309</v>
      </c>
    </row>
    <row r="120" spans="1:14" s="541" customFormat="1" ht="16.5" customHeight="1">
      <c r="A120" s="16"/>
      <c r="B120" s="569"/>
      <c r="C120" s="570"/>
      <c r="D120" s="555"/>
      <c r="E120" s="571"/>
      <c r="F120" s="572"/>
      <c r="G120" s="572"/>
      <c r="H120" s="573"/>
      <c r="I120" s="557"/>
      <c r="J120" s="550"/>
      <c r="K120" s="39"/>
      <c r="L120" s="208"/>
      <c r="M120" s="39"/>
      <c r="N120" s="533" t="s">
        <v>2309</v>
      </c>
    </row>
    <row r="121" spans="1:14" ht="15.75">
      <c r="A121" s="16"/>
      <c r="B121" s="39"/>
      <c r="C121" s="551"/>
      <c r="D121" s="552"/>
      <c r="E121" s="537"/>
      <c r="F121" s="538"/>
      <c r="G121" s="40"/>
      <c r="H121" s="16"/>
      <c r="I121" s="549"/>
      <c r="J121" s="550" t="s">
        <v>102</v>
      </c>
      <c r="K121" s="10">
        <f>data!G2939</f>
        <v>1451.29</v>
      </c>
      <c r="L121" s="208" t="s">
        <v>2309</v>
      </c>
      <c r="M121" s="9">
        <f>ROUND(I121*K121,0)</f>
        <v>0</v>
      </c>
      <c r="N121" s="533" t="s">
        <v>2309</v>
      </c>
    </row>
    <row r="122" spans="1:14" ht="18.75" customHeight="1">
      <c r="A122" s="16">
        <v>16</v>
      </c>
      <c r="B122" s="1633" t="s">
        <v>1314</v>
      </c>
      <c r="C122" s="1633"/>
      <c r="D122" s="1633"/>
      <c r="E122" s="1633"/>
      <c r="F122" s="1633"/>
      <c r="G122" s="1633"/>
      <c r="H122" s="1633"/>
      <c r="I122" s="534"/>
      <c r="J122" s="535"/>
      <c r="K122" s="16"/>
      <c r="L122" s="208"/>
      <c r="M122" s="38"/>
      <c r="N122" s="533" t="s">
        <v>2209</v>
      </c>
    </row>
    <row r="123" spans="1:14" s="541" customFormat="1" ht="16.5" customHeight="1">
      <c r="A123" s="16"/>
      <c r="B123" s="39" t="s">
        <v>2792</v>
      </c>
      <c r="C123" s="534"/>
      <c r="D123" s="536"/>
      <c r="E123" s="537"/>
      <c r="F123" s="538"/>
      <c r="G123" s="538"/>
      <c r="H123" s="538"/>
      <c r="I123" s="539"/>
      <c r="J123" s="550"/>
      <c r="K123" s="39"/>
      <c r="L123" s="208"/>
      <c r="M123" s="39"/>
      <c r="N123" s="533" t="s">
        <v>2209</v>
      </c>
    </row>
    <row r="124" spans="1:14" s="541" customFormat="1" ht="16.5" customHeight="1">
      <c r="A124" s="16"/>
      <c r="B124" s="39" t="s">
        <v>1229</v>
      </c>
      <c r="C124" s="534">
        <v>1</v>
      </c>
      <c r="D124" s="536" t="s">
        <v>273</v>
      </c>
      <c r="E124" s="537">
        <v>5</v>
      </c>
      <c r="F124" s="538">
        <v>1.52</v>
      </c>
      <c r="G124" s="538">
        <v>0.23</v>
      </c>
      <c r="H124" s="538">
        <v>0</v>
      </c>
      <c r="I124" s="542">
        <f>ROUND(IF(AND(F124:H124),C124*E124*F124*G124*H124,IF(AND(F124,G124),C124*E124*F124*G124,IF(AND(F124,H124),C124*E124*F124*H124,IF(AND(G124,H124),C124*E124*G124*H124,IF(F124,C124*E124*F124,IF(G124,C124*E124*G124,IF(H124,C124*E124*H124,C124*E124))))))),2)</f>
        <v>1.75</v>
      </c>
      <c r="J124" s="550" t="s">
        <v>102</v>
      </c>
      <c r="K124" s="39"/>
      <c r="L124" s="208"/>
      <c r="M124" s="39"/>
      <c r="N124" s="533" t="s">
        <v>2209</v>
      </c>
    </row>
    <row r="125" spans="1:14" s="541" customFormat="1" ht="16.5" customHeight="1">
      <c r="A125" s="16"/>
      <c r="B125" s="39"/>
      <c r="C125" s="534">
        <v>1</v>
      </c>
      <c r="D125" s="536" t="s">
        <v>273</v>
      </c>
      <c r="E125" s="537">
        <v>4</v>
      </c>
      <c r="F125" s="538">
        <v>1.83</v>
      </c>
      <c r="G125" s="538">
        <v>0.23</v>
      </c>
      <c r="H125" s="538">
        <v>0</v>
      </c>
      <c r="I125" s="542">
        <f>ROUND(IF(AND(F125:H125),C125*E125*F125*G125*H125,IF(AND(F125,G125),C125*E125*F125*G125,IF(AND(F125,H125),C125*E125*F125*H125,IF(AND(G125,H125),C125*E125*G125*H125,IF(F125,C125*E125*F125,IF(G125,C125*E125*G125,IF(H125,C125*E125*H125,C125*E125))))))),2)</f>
        <v>1.68</v>
      </c>
      <c r="J125" s="550" t="s">
        <v>102</v>
      </c>
      <c r="K125" s="39"/>
      <c r="L125" s="208"/>
      <c r="M125" s="39"/>
      <c r="N125" s="533" t="s">
        <v>2209</v>
      </c>
    </row>
    <row r="126" spans="1:14" s="541" customFormat="1" ht="16.5" customHeight="1">
      <c r="A126" s="16"/>
      <c r="B126" s="544"/>
      <c r="C126" s="545"/>
      <c r="D126" s="546"/>
      <c r="E126" s="547"/>
      <c r="F126" s="548"/>
      <c r="G126" s="548"/>
      <c r="H126" s="548"/>
      <c r="I126" s="549"/>
      <c r="J126" s="550"/>
      <c r="K126" s="39"/>
      <c r="L126" s="208"/>
      <c r="M126" s="39"/>
      <c r="N126" s="533" t="s">
        <v>2209</v>
      </c>
    </row>
    <row r="127" spans="1:14" ht="15.75">
      <c r="A127" s="16"/>
      <c r="B127" s="39"/>
      <c r="C127" s="551"/>
      <c r="D127" s="552"/>
      <c r="E127" s="537"/>
      <c r="F127" s="538"/>
      <c r="G127" s="40"/>
      <c r="H127" s="16"/>
      <c r="I127" s="549"/>
      <c r="J127" s="550" t="s">
        <v>102</v>
      </c>
      <c r="K127" s="10">
        <f>data!G245</f>
        <v>747.27</v>
      </c>
      <c r="L127" s="208" t="s">
        <v>2209</v>
      </c>
      <c r="M127" s="9">
        <f>ROUND(I127*K127,0)</f>
        <v>0</v>
      </c>
      <c r="N127" s="533" t="s">
        <v>2209</v>
      </c>
    </row>
    <row r="128" spans="1:14" ht="18.75" customHeight="1">
      <c r="A128" s="16">
        <v>16</v>
      </c>
      <c r="B128" s="1633" t="s">
        <v>1314</v>
      </c>
      <c r="C128" s="1633"/>
      <c r="D128" s="1633"/>
      <c r="E128" s="1633"/>
      <c r="F128" s="1633"/>
      <c r="G128" s="1633"/>
      <c r="H128" s="1633"/>
      <c r="I128" s="534"/>
      <c r="J128" s="535"/>
      <c r="K128" s="16"/>
      <c r="L128" s="208"/>
      <c r="M128" s="38"/>
      <c r="N128" s="533" t="s">
        <v>2297</v>
      </c>
    </row>
    <row r="129" spans="1:14" s="541" customFormat="1" ht="16.5" customHeight="1">
      <c r="A129" s="16"/>
      <c r="B129" s="39" t="s">
        <v>2792</v>
      </c>
      <c r="C129" s="534"/>
      <c r="D129" s="536"/>
      <c r="E129" s="537"/>
      <c r="F129" s="538"/>
      <c r="G129" s="538"/>
      <c r="H129" s="538"/>
      <c r="I129" s="539"/>
      <c r="J129" s="550"/>
      <c r="K129" s="39"/>
      <c r="L129" s="208"/>
      <c r="M129" s="39"/>
      <c r="N129" s="533" t="s">
        <v>2297</v>
      </c>
    </row>
    <row r="130" spans="1:14" s="541" customFormat="1" ht="16.5" customHeight="1">
      <c r="A130" s="16"/>
      <c r="B130" s="39" t="s">
        <v>1229</v>
      </c>
      <c r="C130" s="534">
        <v>1</v>
      </c>
      <c r="D130" s="536" t="s">
        <v>273</v>
      </c>
      <c r="E130" s="537">
        <v>5</v>
      </c>
      <c r="F130" s="538">
        <v>1.52</v>
      </c>
      <c r="G130" s="538">
        <v>0.23</v>
      </c>
      <c r="H130" s="538">
        <v>0</v>
      </c>
      <c r="I130" s="542">
        <f>ROUND(IF(AND(F130:H130),C130*E130*F130*G130*H130,IF(AND(F130,G130),C130*E130*F130*G130,IF(AND(F130,H130),C130*E130*F130*H130,IF(AND(G130,H130),C130*E130*G130*H130,IF(F130,C130*E130*F130,IF(G130,C130*E130*G130,IF(H130,C130*E130*H130,C130*E130))))))),2)</f>
        <v>1.75</v>
      </c>
      <c r="J130" s="550" t="s">
        <v>102</v>
      </c>
      <c r="K130" s="39"/>
      <c r="L130" s="208"/>
      <c r="M130" s="39"/>
      <c r="N130" s="533" t="s">
        <v>2297</v>
      </c>
    </row>
    <row r="131" spans="1:14" s="541" customFormat="1" ht="16.5" customHeight="1">
      <c r="A131" s="16"/>
      <c r="B131" s="39"/>
      <c r="C131" s="534">
        <v>1</v>
      </c>
      <c r="D131" s="536" t="s">
        <v>273</v>
      </c>
      <c r="E131" s="537">
        <v>4</v>
      </c>
      <c r="F131" s="538">
        <v>1.83</v>
      </c>
      <c r="G131" s="538">
        <v>0.23</v>
      </c>
      <c r="H131" s="538">
        <v>0</v>
      </c>
      <c r="I131" s="542">
        <f>ROUND(IF(AND(F131:H131),C131*E131*F131*G131*H131,IF(AND(F131,G131),C131*E131*F131*G131,IF(AND(F131,H131),C131*E131*F131*H131,IF(AND(G131,H131),C131*E131*G131*H131,IF(F131,C131*E131*F131,IF(G131,C131*E131*G131,IF(H131,C131*E131*H131,C131*E131))))))),2)</f>
        <v>1.68</v>
      </c>
      <c r="J131" s="550" t="s">
        <v>102</v>
      </c>
      <c r="K131" s="39"/>
      <c r="L131" s="208"/>
      <c r="M131" s="39"/>
      <c r="N131" s="533" t="s">
        <v>2297</v>
      </c>
    </row>
    <row r="132" spans="1:14" s="541" customFormat="1" ht="16.5" customHeight="1">
      <c r="A132" s="16"/>
      <c r="B132" s="544"/>
      <c r="C132" s="545"/>
      <c r="D132" s="546"/>
      <c r="E132" s="547"/>
      <c r="F132" s="548"/>
      <c r="G132" s="548"/>
      <c r="H132" s="548"/>
      <c r="I132" s="549"/>
      <c r="J132" s="550"/>
      <c r="K132" s="39"/>
      <c r="L132" s="208"/>
      <c r="M132" s="39"/>
      <c r="N132" s="533" t="s">
        <v>2297</v>
      </c>
    </row>
    <row r="133" spans="1:14" ht="15.75">
      <c r="A133" s="16"/>
      <c r="B133" s="39"/>
      <c r="C133" s="551"/>
      <c r="D133" s="552"/>
      <c r="E133" s="537"/>
      <c r="F133" s="538"/>
      <c r="G133" s="40"/>
      <c r="H133" s="16"/>
      <c r="I133" s="549"/>
      <c r="J133" s="550" t="s">
        <v>102</v>
      </c>
      <c r="K133" s="10">
        <f>data!G1161</f>
        <v>779.57</v>
      </c>
      <c r="L133" s="208" t="s">
        <v>2297</v>
      </c>
      <c r="M133" s="9">
        <f>ROUND(I133*K133,0)</f>
        <v>0</v>
      </c>
      <c r="N133" s="533" t="s">
        <v>2297</v>
      </c>
    </row>
    <row r="134" spans="1:14" ht="18.75" customHeight="1">
      <c r="A134" s="16">
        <v>16</v>
      </c>
      <c r="B134" s="1633" t="s">
        <v>1314</v>
      </c>
      <c r="C134" s="1633"/>
      <c r="D134" s="1633"/>
      <c r="E134" s="1633"/>
      <c r="F134" s="1633"/>
      <c r="G134" s="1633"/>
      <c r="H134" s="1633"/>
      <c r="I134" s="534"/>
      <c r="J134" s="535"/>
      <c r="K134" s="16"/>
      <c r="L134" s="208"/>
      <c r="M134" s="38"/>
      <c r="N134" s="533" t="s">
        <v>2308</v>
      </c>
    </row>
    <row r="135" spans="1:14" s="541" customFormat="1" ht="16.5" customHeight="1">
      <c r="A135" s="16"/>
      <c r="B135" s="39" t="s">
        <v>2792</v>
      </c>
      <c r="C135" s="534"/>
      <c r="D135" s="536"/>
      <c r="E135" s="537"/>
      <c r="F135" s="538"/>
      <c r="G135" s="538"/>
      <c r="H135" s="538"/>
      <c r="I135" s="539"/>
      <c r="J135" s="550"/>
      <c r="K135" s="39"/>
      <c r="L135" s="208"/>
      <c r="M135" s="39"/>
      <c r="N135" s="533" t="s">
        <v>2308</v>
      </c>
    </row>
    <row r="136" spans="1:14" s="541" customFormat="1" ht="16.5" customHeight="1">
      <c r="A136" s="16"/>
      <c r="B136" s="39" t="s">
        <v>1229</v>
      </c>
      <c r="C136" s="534">
        <v>1</v>
      </c>
      <c r="D136" s="536" t="s">
        <v>273</v>
      </c>
      <c r="E136" s="537">
        <v>5</v>
      </c>
      <c r="F136" s="538">
        <v>1.52</v>
      </c>
      <c r="G136" s="538">
        <v>0.23</v>
      </c>
      <c r="H136" s="538">
        <v>0</v>
      </c>
      <c r="I136" s="542">
        <f>ROUND(IF(AND(F136:H136),C136*E136*F136*G136*H136,IF(AND(F136,G136),C136*E136*F136*G136,IF(AND(F136,H136),C136*E136*F136*H136,IF(AND(G136,H136),C136*E136*G136*H136,IF(F136,C136*E136*F136,IF(G136,C136*E136*G136,IF(H136,C136*E136*H136,C136*E136))))))),2)</f>
        <v>1.75</v>
      </c>
      <c r="J136" s="550" t="s">
        <v>102</v>
      </c>
      <c r="K136" s="39"/>
      <c r="L136" s="208"/>
      <c r="M136" s="39"/>
      <c r="N136" s="533" t="s">
        <v>2308</v>
      </c>
    </row>
    <row r="137" spans="1:14" s="541" customFormat="1" ht="16.5" customHeight="1">
      <c r="A137" s="16"/>
      <c r="B137" s="39"/>
      <c r="C137" s="534">
        <v>1</v>
      </c>
      <c r="D137" s="536" t="s">
        <v>273</v>
      </c>
      <c r="E137" s="537">
        <v>4</v>
      </c>
      <c r="F137" s="538">
        <v>1.83</v>
      </c>
      <c r="G137" s="538">
        <v>0.23</v>
      </c>
      <c r="H137" s="538">
        <v>0</v>
      </c>
      <c r="I137" s="542">
        <f>ROUND(IF(AND(F137:H137),C137*E137*F137*G137*H137,IF(AND(F137,G137),C137*E137*F137*G137,IF(AND(F137,H137),C137*E137*F137*H137,IF(AND(G137,H137),C137*E137*G137*H137,IF(F137,C137*E137*F137,IF(G137,C137*E137*G137,IF(H137,C137*E137*H137,C137*E137))))))),2)</f>
        <v>1.68</v>
      </c>
      <c r="J137" s="550" t="s">
        <v>102</v>
      </c>
      <c r="K137" s="39"/>
      <c r="L137" s="208"/>
      <c r="M137" s="39"/>
      <c r="N137" s="533" t="s">
        <v>2308</v>
      </c>
    </row>
    <row r="138" spans="1:14" s="541" customFormat="1" ht="16.5" customHeight="1">
      <c r="A138" s="16"/>
      <c r="B138" s="544"/>
      <c r="C138" s="545"/>
      <c r="D138" s="546"/>
      <c r="E138" s="547"/>
      <c r="F138" s="548"/>
      <c r="G138" s="548"/>
      <c r="H138" s="548"/>
      <c r="I138" s="549"/>
      <c r="J138" s="550"/>
      <c r="K138" s="39"/>
      <c r="L138" s="208"/>
      <c r="M138" s="39"/>
      <c r="N138" s="533" t="s">
        <v>2308</v>
      </c>
    </row>
    <row r="139" spans="1:14" ht="15.75">
      <c r="A139" s="16"/>
      <c r="B139" s="39"/>
      <c r="C139" s="551"/>
      <c r="D139" s="552"/>
      <c r="E139" s="537"/>
      <c r="F139" s="538"/>
      <c r="G139" s="40"/>
      <c r="H139" s="16"/>
      <c r="I139" s="549"/>
      <c r="J139" s="550" t="s">
        <v>102</v>
      </c>
      <c r="K139" s="10">
        <f>data!G2078</f>
        <v>831.97</v>
      </c>
      <c r="L139" s="208" t="s">
        <v>2308</v>
      </c>
      <c r="M139" s="9">
        <f>ROUND(I139*K139,0)</f>
        <v>0</v>
      </c>
      <c r="N139" s="533" t="s">
        <v>2308</v>
      </c>
    </row>
    <row r="140" spans="1:14" ht="18.75" customHeight="1">
      <c r="A140" s="16">
        <v>16</v>
      </c>
      <c r="B140" s="1633" t="s">
        <v>1314</v>
      </c>
      <c r="C140" s="1633"/>
      <c r="D140" s="1633"/>
      <c r="E140" s="1633"/>
      <c r="F140" s="1633"/>
      <c r="G140" s="1633"/>
      <c r="H140" s="1633"/>
      <c r="I140" s="534"/>
      <c r="J140" s="535"/>
      <c r="K140" s="16"/>
      <c r="L140" s="208"/>
      <c r="M140" s="38"/>
      <c r="N140" s="533" t="s">
        <v>2309</v>
      </c>
    </row>
    <row r="141" spans="1:14" s="541" customFormat="1" ht="16.5" customHeight="1">
      <c r="A141" s="16"/>
      <c r="B141" s="39" t="s">
        <v>2792</v>
      </c>
      <c r="C141" s="534"/>
      <c r="D141" s="536"/>
      <c r="E141" s="537"/>
      <c r="F141" s="538"/>
      <c r="G141" s="538"/>
      <c r="H141" s="538"/>
      <c r="I141" s="539"/>
      <c r="J141" s="550"/>
      <c r="K141" s="39"/>
      <c r="L141" s="208"/>
      <c r="M141" s="39"/>
      <c r="N141" s="533" t="s">
        <v>2309</v>
      </c>
    </row>
    <row r="142" spans="1:14" s="541" customFormat="1" ht="16.5" customHeight="1">
      <c r="A142" s="16"/>
      <c r="B142" s="39" t="s">
        <v>1229</v>
      </c>
      <c r="C142" s="534">
        <v>1</v>
      </c>
      <c r="D142" s="536" t="s">
        <v>273</v>
      </c>
      <c r="E142" s="537">
        <v>5</v>
      </c>
      <c r="F142" s="538">
        <v>1.52</v>
      </c>
      <c r="G142" s="538">
        <v>0.23</v>
      </c>
      <c r="H142" s="538">
        <v>0</v>
      </c>
      <c r="I142" s="542">
        <f>ROUND(IF(AND(F142:H142),C142*E142*F142*G142*H142,IF(AND(F142,G142),C142*E142*F142*G142,IF(AND(F142,H142),C142*E142*F142*H142,IF(AND(G142,H142),C142*E142*G142*H142,IF(F142,C142*E142*F142,IF(G142,C142*E142*G142,IF(H142,C142*E142*H142,C142*E142))))))),2)</f>
        <v>1.75</v>
      </c>
      <c r="J142" s="550" t="s">
        <v>102</v>
      </c>
      <c r="K142" s="39"/>
      <c r="L142" s="208"/>
      <c r="M142" s="39"/>
      <c r="N142" s="533" t="s">
        <v>2309</v>
      </c>
    </row>
    <row r="143" spans="1:14" s="541" customFormat="1" ht="16.5" customHeight="1">
      <c r="A143" s="16"/>
      <c r="B143" s="39"/>
      <c r="C143" s="534">
        <v>1</v>
      </c>
      <c r="D143" s="536" t="s">
        <v>273</v>
      </c>
      <c r="E143" s="537">
        <v>4</v>
      </c>
      <c r="F143" s="538">
        <v>1.83</v>
      </c>
      <c r="G143" s="538">
        <v>0.23</v>
      </c>
      <c r="H143" s="538">
        <v>0</v>
      </c>
      <c r="I143" s="542">
        <f>ROUND(IF(AND(F143:H143),C143*E143*F143*G143*H143,IF(AND(F143,G143),C143*E143*F143*G143,IF(AND(F143,H143),C143*E143*F143*H143,IF(AND(G143,H143),C143*E143*G143*H143,IF(F143,C143*E143*F143,IF(G143,C143*E143*G143,IF(H143,C143*E143*H143,C143*E143))))))),2)</f>
        <v>1.68</v>
      </c>
      <c r="J143" s="550" t="s">
        <v>102</v>
      </c>
      <c r="K143" s="39"/>
      <c r="L143" s="208"/>
      <c r="M143" s="39"/>
      <c r="N143" s="533" t="s">
        <v>2309</v>
      </c>
    </row>
    <row r="144" spans="1:14" s="541" customFormat="1" ht="16.5" customHeight="1">
      <c r="A144" s="16"/>
      <c r="B144" s="544"/>
      <c r="C144" s="545"/>
      <c r="D144" s="546"/>
      <c r="E144" s="547"/>
      <c r="F144" s="548"/>
      <c r="G144" s="548"/>
      <c r="H144" s="548"/>
      <c r="I144" s="549"/>
      <c r="J144" s="550"/>
      <c r="K144" s="39"/>
      <c r="L144" s="208"/>
      <c r="M144" s="39"/>
      <c r="N144" s="533" t="s">
        <v>2309</v>
      </c>
    </row>
    <row r="145" spans="1:14" ht="15.75">
      <c r="A145" s="16"/>
      <c r="B145" s="39"/>
      <c r="C145" s="551"/>
      <c r="D145" s="552"/>
      <c r="E145" s="537"/>
      <c r="F145" s="538"/>
      <c r="G145" s="40"/>
      <c r="H145" s="16"/>
      <c r="I145" s="549"/>
      <c r="J145" s="550" t="s">
        <v>102</v>
      </c>
      <c r="K145" s="10">
        <f>data!G2995</f>
        <v>865.17</v>
      </c>
      <c r="L145" s="208" t="s">
        <v>2309</v>
      </c>
      <c r="M145" s="9">
        <f>ROUND(I145*K145,0)</f>
        <v>0</v>
      </c>
      <c r="N145" s="533" t="s">
        <v>2309</v>
      </c>
    </row>
    <row r="146" spans="1:14" ht="18.75" customHeight="1">
      <c r="A146" s="16">
        <v>16</v>
      </c>
      <c r="B146" s="1633" t="s">
        <v>1316</v>
      </c>
      <c r="C146" s="1633"/>
      <c r="D146" s="1633"/>
      <c r="E146" s="1633"/>
      <c r="F146" s="1633"/>
      <c r="G146" s="1633"/>
      <c r="H146" s="1633"/>
      <c r="I146" s="534"/>
      <c r="J146" s="535"/>
      <c r="K146" s="16"/>
      <c r="L146" s="208"/>
      <c r="M146" s="38"/>
      <c r="N146" s="533" t="s">
        <v>2209</v>
      </c>
    </row>
    <row r="147" spans="1:14" s="541" customFormat="1" ht="16.5" customHeight="1">
      <c r="A147" s="16"/>
      <c r="B147" s="39" t="s">
        <v>2792</v>
      </c>
      <c r="C147" s="534"/>
      <c r="D147" s="536"/>
      <c r="E147" s="537"/>
      <c r="F147" s="538"/>
      <c r="G147" s="538"/>
      <c r="H147" s="538"/>
      <c r="I147" s="539"/>
      <c r="J147" s="550"/>
      <c r="K147" s="39"/>
      <c r="L147" s="208"/>
      <c r="M147" s="39"/>
      <c r="N147" s="533" t="s">
        <v>2209</v>
      </c>
    </row>
    <row r="148" spans="1:14" s="541" customFormat="1" ht="16.5" customHeight="1">
      <c r="A148" s="16"/>
      <c r="B148" s="39" t="s">
        <v>1229</v>
      </c>
      <c r="C148" s="534">
        <v>1</v>
      </c>
      <c r="D148" s="536" t="s">
        <v>273</v>
      </c>
      <c r="E148" s="537">
        <v>5</v>
      </c>
      <c r="F148" s="538">
        <v>1.52</v>
      </c>
      <c r="G148" s="538">
        <v>0.23</v>
      </c>
      <c r="H148" s="538">
        <v>0</v>
      </c>
      <c r="I148" s="542">
        <f>ROUND(IF(AND(F148:H148),C148*E148*F148*G148*H148,IF(AND(F148,G148),C148*E148*F148*G148,IF(AND(F148,H148),C148*E148*F148*H148,IF(AND(G148,H148),C148*E148*G148*H148,IF(F148,C148*E148*F148,IF(G148,C148*E148*G148,IF(H148,C148*E148*H148,C148*E148))))))),2)</f>
        <v>1.75</v>
      </c>
      <c r="J148" s="550" t="s">
        <v>102</v>
      </c>
      <c r="K148" s="39"/>
      <c r="L148" s="208"/>
      <c r="M148" s="39"/>
      <c r="N148" s="533" t="s">
        <v>2209</v>
      </c>
    </row>
    <row r="149" spans="1:14" s="541" customFormat="1" ht="16.5" customHeight="1">
      <c r="A149" s="16"/>
      <c r="B149" s="39"/>
      <c r="C149" s="534">
        <v>1</v>
      </c>
      <c r="D149" s="536" t="s">
        <v>273</v>
      </c>
      <c r="E149" s="537">
        <v>4</v>
      </c>
      <c r="F149" s="538">
        <v>1.83</v>
      </c>
      <c r="G149" s="538">
        <v>0.23</v>
      </c>
      <c r="H149" s="538">
        <v>0</v>
      </c>
      <c r="I149" s="542">
        <f>ROUND(IF(AND(F149:H149),C149*E149*F149*G149*H149,IF(AND(F149,G149),C149*E149*F149*G149,IF(AND(F149,H149),C149*E149*F149*H149,IF(AND(G149,H149),C149*E149*G149*H149,IF(F149,C149*E149*F149,IF(G149,C149*E149*G149,IF(H149,C149*E149*H149,C149*E149))))))),2)</f>
        <v>1.68</v>
      </c>
      <c r="J149" s="550" t="s">
        <v>102</v>
      </c>
      <c r="K149" s="39"/>
      <c r="L149" s="208"/>
      <c r="M149" s="39"/>
      <c r="N149" s="533" t="s">
        <v>2209</v>
      </c>
    </row>
    <row r="150" spans="1:14" s="541" customFormat="1" ht="16.5" customHeight="1">
      <c r="A150" s="16"/>
      <c r="B150" s="544"/>
      <c r="C150" s="545"/>
      <c r="D150" s="546"/>
      <c r="E150" s="547"/>
      <c r="F150" s="548"/>
      <c r="G150" s="548"/>
      <c r="H150" s="548"/>
      <c r="I150" s="549"/>
      <c r="J150" s="550"/>
      <c r="K150" s="39"/>
      <c r="L150" s="208"/>
      <c r="M150" s="39"/>
      <c r="N150" s="533" t="s">
        <v>2209</v>
      </c>
    </row>
    <row r="151" spans="1:14" ht="15.75">
      <c r="A151" s="16"/>
      <c r="B151" s="39"/>
      <c r="C151" s="551"/>
      <c r="D151" s="552"/>
      <c r="E151" s="537"/>
      <c r="F151" s="538"/>
      <c r="G151" s="40"/>
      <c r="H151" s="16"/>
      <c r="I151" s="549"/>
      <c r="J151" s="550" t="s">
        <v>102</v>
      </c>
      <c r="K151" s="10">
        <f>data!G252</f>
        <v>624.5</v>
      </c>
      <c r="L151" s="208" t="s">
        <v>2209</v>
      </c>
      <c r="M151" s="9">
        <f>ROUND(I151*K151,0)</f>
        <v>0</v>
      </c>
      <c r="N151" s="533" t="s">
        <v>2209</v>
      </c>
    </row>
    <row r="152" spans="1:14" ht="18.75" customHeight="1">
      <c r="A152" s="16">
        <v>16</v>
      </c>
      <c r="B152" s="1633" t="s">
        <v>1316</v>
      </c>
      <c r="C152" s="1633"/>
      <c r="D152" s="1633"/>
      <c r="E152" s="1633"/>
      <c r="F152" s="1633"/>
      <c r="G152" s="1633"/>
      <c r="H152" s="1633"/>
      <c r="I152" s="534"/>
      <c r="J152" s="535"/>
      <c r="K152" s="16"/>
      <c r="L152" s="208"/>
      <c r="M152" s="38"/>
      <c r="N152" s="533" t="s">
        <v>2297</v>
      </c>
    </row>
    <row r="153" spans="1:14" s="541" customFormat="1" ht="16.5" customHeight="1">
      <c r="A153" s="16"/>
      <c r="B153" s="39" t="s">
        <v>2792</v>
      </c>
      <c r="C153" s="534"/>
      <c r="D153" s="536"/>
      <c r="E153" s="537"/>
      <c r="F153" s="538"/>
      <c r="G153" s="538"/>
      <c r="H153" s="538"/>
      <c r="I153" s="539"/>
      <c r="J153" s="550"/>
      <c r="K153" s="39"/>
      <c r="L153" s="208"/>
      <c r="M153" s="39"/>
      <c r="N153" s="533" t="s">
        <v>2297</v>
      </c>
    </row>
    <row r="154" spans="1:14" s="541" customFormat="1" ht="16.5" customHeight="1">
      <c r="A154" s="16"/>
      <c r="B154" s="39" t="s">
        <v>1229</v>
      </c>
      <c r="C154" s="534">
        <v>1</v>
      </c>
      <c r="D154" s="536" t="s">
        <v>273</v>
      </c>
      <c r="E154" s="537">
        <v>5</v>
      </c>
      <c r="F154" s="538">
        <v>1.52</v>
      </c>
      <c r="G154" s="538">
        <v>0.23</v>
      </c>
      <c r="H154" s="538">
        <v>0</v>
      </c>
      <c r="I154" s="542">
        <f>ROUND(IF(AND(F154:H154),C154*E154*F154*G154*H154,IF(AND(F154,G154),C154*E154*F154*G154,IF(AND(F154,H154),C154*E154*F154*H154,IF(AND(G154,H154),C154*E154*G154*H154,IF(F154,C154*E154*F154,IF(G154,C154*E154*G154,IF(H154,C154*E154*H154,C154*E154))))))),2)</f>
        <v>1.75</v>
      </c>
      <c r="J154" s="550" t="s">
        <v>102</v>
      </c>
      <c r="K154" s="39"/>
      <c r="L154" s="208"/>
      <c r="M154" s="39"/>
      <c r="N154" s="533" t="s">
        <v>2297</v>
      </c>
    </row>
    <row r="155" spans="1:14" s="541" customFormat="1" ht="16.5" customHeight="1">
      <c r="A155" s="16"/>
      <c r="B155" s="39"/>
      <c r="C155" s="534">
        <v>1</v>
      </c>
      <c r="D155" s="536" t="s">
        <v>273</v>
      </c>
      <c r="E155" s="537">
        <v>4</v>
      </c>
      <c r="F155" s="538">
        <v>1.83</v>
      </c>
      <c r="G155" s="538">
        <v>0.23</v>
      </c>
      <c r="H155" s="538">
        <v>0</v>
      </c>
      <c r="I155" s="542">
        <f>ROUND(IF(AND(F155:H155),C155*E155*F155*G155*H155,IF(AND(F155,G155),C155*E155*F155*G155,IF(AND(F155,H155),C155*E155*F155*H155,IF(AND(G155,H155),C155*E155*G155*H155,IF(F155,C155*E155*F155,IF(G155,C155*E155*G155,IF(H155,C155*E155*H155,C155*E155))))))),2)</f>
        <v>1.68</v>
      </c>
      <c r="J155" s="550" t="s">
        <v>102</v>
      </c>
      <c r="K155" s="39"/>
      <c r="L155" s="208"/>
      <c r="M155" s="39"/>
      <c r="N155" s="533" t="s">
        <v>2297</v>
      </c>
    </row>
    <row r="156" spans="1:14" s="541" customFormat="1" ht="16.5" customHeight="1">
      <c r="A156" s="16"/>
      <c r="B156" s="544"/>
      <c r="C156" s="545"/>
      <c r="D156" s="546"/>
      <c r="E156" s="547"/>
      <c r="F156" s="548"/>
      <c r="G156" s="548"/>
      <c r="H156" s="548"/>
      <c r="I156" s="549"/>
      <c r="J156" s="550"/>
      <c r="K156" s="39"/>
      <c r="L156" s="208"/>
      <c r="M156" s="39"/>
      <c r="N156" s="533" t="s">
        <v>2297</v>
      </c>
    </row>
    <row r="157" spans="1:14" ht="15.75">
      <c r="A157" s="16"/>
      <c r="B157" s="39"/>
      <c r="C157" s="551"/>
      <c r="D157" s="552"/>
      <c r="E157" s="537"/>
      <c r="F157" s="538"/>
      <c r="G157" s="40"/>
      <c r="H157" s="16"/>
      <c r="I157" s="549"/>
      <c r="J157" s="550" t="s">
        <v>102</v>
      </c>
      <c r="K157" s="10">
        <f>data!G1168</f>
        <v>651.52</v>
      </c>
      <c r="L157" s="208" t="s">
        <v>2297</v>
      </c>
      <c r="M157" s="9">
        <f>ROUND(I157*K157,0)</f>
        <v>0</v>
      </c>
      <c r="N157" s="533" t="s">
        <v>2297</v>
      </c>
    </row>
    <row r="158" spans="1:14" ht="18.75" customHeight="1">
      <c r="A158" s="16">
        <v>16</v>
      </c>
      <c r="B158" s="1633" t="s">
        <v>1316</v>
      </c>
      <c r="C158" s="1633"/>
      <c r="D158" s="1633"/>
      <c r="E158" s="1633"/>
      <c r="F158" s="1633"/>
      <c r="G158" s="1633"/>
      <c r="H158" s="1633"/>
      <c r="I158" s="534"/>
      <c r="J158" s="535"/>
      <c r="K158" s="16"/>
      <c r="L158" s="208"/>
      <c r="M158" s="38"/>
      <c r="N158" s="533" t="s">
        <v>2308</v>
      </c>
    </row>
    <row r="159" spans="1:14" s="541" customFormat="1" ht="16.5" customHeight="1">
      <c r="A159" s="16"/>
      <c r="B159" s="39" t="s">
        <v>2792</v>
      </c>
      <c r="C159" s="534"/>
      <c r="D159" s="536"/>
      <c r="E159" s="537"/>
      <c r="F159" s="538"/>
      <c r="G159" s="538"/>
      <c r="H159" s="538"/>
      <c r="I159" s="539"/>
      <c r="J159" s="550"/>
      <c r="K159" s="39"/>
      <c r="L159" s="208"/>
      <c r="M159" s="39"/>
      <c r="N159" s="533" t="s">
        <v>2308</v>
      </c>
    </row>
    <row r="160" spans="1:14" s="541" customFormat="1" ht="16.5" customHeight="1">
      <c r="A160" s="16"/>
      <c r="B160" s="39" t="s">
        <v>1229</v>
      </c>
      <c r="C160" s="534">
        <v>1</v>
      </c>
      <c r="D160" s="536" t="s">
        <v>273</v>
      </c>
      <c r="E160" s="537">
        <v>5</v>
      </c>
      <c r="F160" s="538">
        <v>1.52</v>
      </c>
      <c r="G160" s="538">
        <v>0.23</v>
      </c>
      <c r="H160" s="538">
        <v>0</v>
      </c>
      <c r="I160" s="542">
        <f>ROUND(IF(AND(F160:H160),C160*E160*F160*G160*H160,IF(AND(F160,G160),C160*E160*F160*G160,IF(AND(F160,H160),C160*E160*F160*H160,IF(AND(G160,H160),C160*E160*G160*H160,IF(F160,C160*E160*F160,IF(G160,C160*E160*G160,IF(H160,C160*E160*H160,C160*E160))))))),2)</f>
        <v>1.75</v>
      </c>
      <c r="J160" s="550" t="s">
        <v>102</v>
      </c>
      <c r="K160" s="39"/>
      <c r="L160" s="208"/>
      <c r="M160" s="39"/>
      <c r="N160" s="533" t="s">
        <v>2308</v>
      </c>
    </row>
    <row r="161" spans="1:14" s="541" customFormat="1" ht="16.5" customHeight="1">
      <c r="A161" s="16"/>
      <c r="B161" s="39"/>
      <c r="C161" s="534">
        <v>1</v>
      </c>
      <c r="D161" s="536" t="s">
        <v>273</v>
      </c>
      <c r="E161" s="537">
        <v>4</v>
      </c>
      <c r="F161" s="538">
        <v>1.83</v>
      </c>
      <c r="G161" s="538">
        <v>0.23</v>
      </c>
      <c r="H161" s="538">
        <v>0</v>
      </c>
      <c r="I161" s="542">
        <f>ROUND(IF(AND(F161:H161),C161*E161*F161*G161*H161,IF(AND(F161,G161),C161*E161*F161*G161,IF(AND(F161,H161),C161*E161*F161*H161,IF(AND(G161,H161),C161*E161*G161*H161,IF(F161,C161*E161*F161,IF(G161,C161*E161*G161,IF(H161,C161*E161*H161,C161*E161))))))),2)</f>
        <v>1.68</v>
      </c>
      <c r="J161" s="550" t="s">
        <v>102</v>
      </c>
      <c r="K161" s="39"/>
      <c r="L161" s="208"/>
      <c r="M161" s="39"/>
      <c r="N161" s="533" t="s">
        <v>2308</v>
      </c>
    </row>
    <row r="162" spans="1:14" s="541" customFormat="1" ht="16.5" customHeight="1">
      <c r="A162" s="16"/>
      <c r="B162" s="544"/>
      <c r="C162" s="545"/>
      <c r="D162" s="546"/>
      <c r="E162" s="547"/>
      <c r="F162" s="548"/>
      <c r="G162" s="548"/>
      <c r="H162" s="548"/>
      <c r="I162" s="549"/>
      <c r="J162" s="550"/>
      <c r="K162" s="39"/>
      <c r="L162" s="208"/>
      <c r="M162" s="39"/>
      <c r="N162" s="533" t="s">
        <v>2308</v>
      </c>
    </row>
    <row r="163" spans="1:14" ht="15.75">
      <c r="A163" s="16"/>
      <c r="B163" s="39"/>
      <c r="C163" s="551"/>
      <c r="D163" s="552"/>
      <c r="E163" s="537"/>
      <c r="F163" s="538"/>
      <c r="G163" s="40"/>
      <c r="H163" s="16"/>
      <c r="I163" s="549"/>
      <c r="J163" s="550" t="s">
        <v>102</v>
      </c>
      <c r="K163" s="10">
        <f>data!G2085</f>
        <v>697.83999999999992</v>
      </c>
      <c r="L163" s="208" t="s">
        <v>2308</v>
      </c>
      <c r="M163" s="9">
        <f>ROUND(I163*K163,0)</f>
        <v>0</v>
      </c>
      <c r="N163" s="533" t="s">
        <v>2308</v>
      </c>
    </row>
    <row r="164" spans="1:14" ht="18.75" customHeight="1">
      <c r="A164" s="16">
        <v>16</v>
      </c>
      <c r="B164" s="1633" t="s">
        <v>1316</v>
      </c>
      <c r="C164" s="1633"/>
      <c r="D164" s="1633"/>
      <c r="E164" s="1633"/>
      <c r="F164" s="1633"/>
      <c r="G164" s="1633"/>
      <c r="H164" s="1633"/>
      <c r="I164" s="534"/>
      <c r="J164" s="535"/>
      <c r="K164" s="16"/>
      <c r="L164" s="208"/>
      <c r="M164" s="38"/>
      <c r="N164" s="533" t="s">
        <v>2309</v>
      </c>
    </row>
    <row r="165" spans="1:14" s="541" customFormat="1" ht="16.5" customHeight="1">
      <c r="A165" s="16"/>
      <c r="B165" s="39" t="s">
        <v>2792</v>
      </c>
      <c r="C165" s="534"/>
      <c r="D165" s="536"/>
      <c r="E165" s="537"/>
      <c r="F165" s="538"/>
      <c r="G165" s="538"/>
      <c r="H165" s="538"/>
      <c r="I165" s="539"/>
      <c r="J165" s="550"/>
      <c r="K165" s="39"/>
      <c r="L165" s="208"/>
      <c r="M165" s="39"/>
      <c r="N165" s="533" t="s">
        <v>2309</v>
      </c>
    </row>
    <row r="166" spans="1:14" s="541" customFormat="1" ht="16.5" customHeight="1">
      <c r="A166" s="16"/>
      <c r="B166" s="39" t="s">
        <v>1229</v>
      </c>
      <c r="C166" s="534">
        <v>1</v>
      </c>
      <c r="D166" s="536" t="s">
        <v>273</v>
      </c>
      <c r="E166" s="537">
        <v>5</v>
      </c>
      <c r="F166" s="538">
        <v>1.52</v>
      </c>
      <c r="G166" s="538">
        <v>0.23</v>
      </c>
      <c r="H166" s="538">
        <v>0</v>
      </c>
      <c r="I166" s="542">
        <f>ROUND(IF(AND(F166:H166),C166*E166*F166*G166*H166,IF(AND(F166,G166),C166*E166*F166*G166,IF(AND(F166,H166),C166*E166*F166*H166,IF(AND(G166,H166),C166*E166*G166*H166,IF(F166,C166*E166*F166,IF(G166,C166*E166*G166,IF(H166,C166*E166*H166,C166*E166))))))),2)</f>
        <v>1.75</v>
      </c>
      <c r="J166" s="550" t="s">
        <v>102</v>
      </c>
      <c r="K166" s="39"/>
      <c r="L166" s="208"/>
      <c r="M166" s="39"/>
      <c r="N166" s="533" t="s">
        <v>2309</v>
      </c>
    </row>
    <row r="167" spans="1:14" s="541" customFormat="1" ht="16.5" customHeight="1">
      <c r="A167" s="16"/>
      <c r="B167" s="39"/>
      <c r="C167" s="534">
        <v>1</v>
      </c>
      <c r="D167" s="536" t="s">
        <v>273</v>
      </c>
      <c r="E167" s="537">
        <v>4</v>
      </c>
      <c r="F167" s="538">
        <v>1.83</v>
      </c>
      <c r="G167" s="538">
        <v>0.23</v>
      </c>
      <c r="H167" s="538">
        <v>0</v>
      </c>
      <c r="I167" s="542">
        <f>ROUND(IF(AND(F167:H167),C167*E167*F167*G167*H167,IF(AND(F167,G167),C167*E167*F167*G167,IF(AND(F167,H167),C167*E167*F167*H167,IF(AND(G167,H167),C167*E167*G167*H167,IF(F167,C167*E167*F167,IF(G167,C167*E167*G167,IF(H167,C167*E167*H167,C167*E167))))))),2)</f>
        <v>1.68</v>
      </c>
      <c r="J167" s="550" t="s">
        <v>102</v>
      </c>
      <c r="K167" s="39"/>
      <c r="L167" s="208"/>
      <c r="M167" s="39"/>
      <c r="N167" s="533" t="s">
        <v>2309</v>
      </c>
    </row>
    <row r="168" spans="1:14" s="541" customFormat="1" ht="16.5" customHeight="1">
      <c r="A168" s="16"/>
      <c r="B168" s="544"/>
      <c r="C168" s="545"/>
      <c r="D168" s="546"/>
      <c r="E168" s="547"/>
      <c r="F168" s="548"/>
      <c r="G168" s="548"/>
      <c r="H168" s="548"/>
      <c r="I168" s="549"/>
      <c r="J168" s="550"/>
      <c r="K168" s="39"/>
      <c r="L168" s="208"/>
      <c r="M168" s="39"/>
      <c r="N168" s="533" t="s">
        <v>2309</v>
      </c>
    </row>
    <row r="169" spans="1:14" ht="15.75">
      <c r="A169" s="16"/>
      <c r="B169" s="39"/>
      <c r="C169" s="551"/>
      <c r="D169" s="552"/>
      <c r="E169" s="537"/>
      <c r="F169" s="538"/>
      <c r="G169" s="40"/>
      <c r="H169" s="16"/>
      <c r="I169" s="549"/>
      <c r="J169" s="550" t="s">
        <v>102</v>
      </c>
      <c r="K169" s="10">
        <f>data!G3002</f>
        <v>724.02</v>
      </c>
      <c r="L169" s="208" t="s">
        <v>2309</v>
      </c>
      <c r="M169" s="9">
        <f>ROUND(I169*K169,0)</f>
        <v>0</v>
      </c>
      <c r="N169" s="533" t="s">
        <v>2309</v>
      </c>
    </row>
    <row r="170" spans="1:14" ht="17.25" customHeight="1">
      <c r="A170" s="16">
        <v>4</v>
      </c>
      <c r="B170" s="1633" t="s">
        <v>580</v>
      </c>
      <c r="C170" s="1633"/>
      <c r="D170" s="1633"/>
      <c r="E170" s="1633"/>
      <c r="F170" s="1633"/>
      <c r="G170" s="1633"/>
      <c r="H170" s="1633"/>
      <c r="I170" s="534"/>
      <c r="J170" s="535"/>
      <c r="K170" s="16"/>
      <c r="L170" s="208"/>
      <c r="M170" s="38"/>
      <c r="N170" s="533" t="s">
        <v>2209</v>
      </c>
    </row>
    <row r="171" spans="1:14" s="541" customFormat="1" ht="16.5" customHeight="1">
      <c r="A171" s="16"/>
      <c r="B171" s="39" t="s">
        <v>2851</v>
      </c>
      <c r="C171" s="534"/>
      <c r="D171" s="536"/>
      <c r="E171" s="537"/>
      <c r="F171" s="538"/>
      <c r="G171" s="538"/>
      <c r="H171" s="538"/>
      <c r="I171" s="539"/>
      <c r="J171" s="550"/>
      <c r="K171" s="39"/>
      <c r="L171" s="208"/>
      <c r="M171" s="39"/>
      <c r="N171" s="533" t="s">
        <v>2209</v>
      </c>
    </row>
    <row r="172" spans="1:14" s="541" customFormat="1" ht="16.5" customHeight="1">
      <c r="A172" s="16"/>
      <c r="B172" s="39" t="s">
        <v>1628</v>
      </c>
      <c r="C172" s="534">
        <v>1</v>
      </c>
      <c r="D172" s="536" t="s">
        <v>273</v>
      </c>
      <c r="E172" s="537">
        <v>2</v>
      </c>
      <c r="F172" s="538">
        <v>2.9</v>
      </c>
      <c r="G172" s="538">
        <v>0.23</v>
      </c>
      <c r="H172" s="538">
        <v>0.15</v>
      </c>
      <c r="I172" s="542">
        <f>ROUND(IF(AND(F172:H172),C172*E172*F172*G172*H172,IF(AND(F172,G172),C172*E172*F172*G172,IF(AND(F172,H172),C172*E172*F172*H172,IF(AND(G172,H172),C172*E172*G172*H172,IF(F172,C172*E172*F172,IF(G172,C172*E172*G172,IF(H172,C172*E172*H172,C172*E172))))))),2)</f>
        <v>0.2</v>
      </c>
      <c r="J172" s="550" t="s">
        <v>5</v>
      </c>
      <c r="K172" s="39"/>
      <c r="L172" s="208"/>
      <c r="M172" s="39"/>
      <c r="N172" s="533" t="s">
        <v>2209</v>
      </c>
    </row>
    <row r="173" spans="1:14" s="541" customFormat="1" ht="16.5" customHeight="1">
      <c r="A173" s="16"/>
      <c r="B173" s="39"/>
      <c r="C173" s="534">
        <v>1</v>
      </c>
      <c r="D173" s="536" t="s">
        <v>273</v>
      </c>
      <c r="E173" s="537">
        <v>2</v>
      </c>
      <c r="F173" s="538">
        <v>1</v>
      </c>
      <c r="G173" s="538">
        <v>0.23</v>
      </c>
      <c r="H173" s="538">
        <v>0.15</v>
      </c>
      <c r="I173" s="542">
        <f>ROUND(IF(AND(F173:H173),C173*E173*F173*G173*H173,IF(AND(F173,G173),C173*E173*F173*G173,IF(AND(F173,H173),C173*E173*F173*H173,IF(AND(G173,H173),C173*E173*G173*H173,IF(F173,C173*E173*F173,IF(G173,C173*E173*G173,IF(H173,C173*E173*H173,C173*E173))))))),2)</f>
        <v>7.0000000000000007E-2</v>
      </c>
      <c r="J173" s="550" t="s">
        <v>5</v>
      </c>
      <c r="K173" s="39"/>
      <c r="L173" s="208"/>
      <c r="M173" s="39"/>
      <c r="N173" s="533" t="s">
        <v>2209</v>
      </c>
    </row>
    <row r="174" spans="1:14" s="541" customFormat="1" ht="16.5" customHeight="1">
      <c r="A174" s="16"/>
      <c r="B174" s="39"/>
      <c r="C174" s="534">
        <v>1</v>
      </c>
      <c r="D174" s="536" t="s">
        <v>273</v>
      </c>
      <c r="E174" s="537">
        <v>1</v>
      </c>
      <c r="F174" s="538">
        <v>3.15</v>
      </c>
      <c r="G174" s="538">
        <v>0.23</v>
      </c>
      <c r="H174" s="538">
        <v>0.15</v>
      </c>
      <c r="I174" s="542">
        <f>ROUND(IF(AND(F174:H174),C174*E174*F174*G174*H174,IF(AND(F174,G174),C174*E174*F174*G174,IF(AND(F174,H174),C174*E174*F174*H174,IF(AND(G174,H174),C174*E174*G174*H174,IF(F174,C174*E174*F174,IF(G174,C174*E174*G174,IF(H174,C174*E174*H174,C174*E174))))))),2)</f>
        <v>0.11</v>
      </c>
      <c r="J174" s="550" t="s">
        <v>5</v>
      </c>
      <c r="K174" s="39"/>
      <c r="L174" s="208"/>
      <c r="M174" s="39"/>
      <c r="N174" s="533" t="s">
        <v>2209</v>
      </c>
    </row>
    <row r="175" spans="1:14" s="541" customFormat="1" ht="16.5" customHeight="1">
      <c r="A175" s="16"/>
      <c r="B175" s="544"/>
      <c r="C175" s="545"/>
      <c r="D175" s="546"/>
      <c r="E175" s="547"/>
      <c r="F175" s="538"/>
      <c r="G175" s="538"/>
      <c r="H175" s="538"/>
      <c r="I175" s="549"/>
      <c r="J175" s="550"/>
      <c r="K175" s="39"/>
      <c r="L175" s="208"/>
      <c r="M175" s="39"/>
      <c r="N175" s="533" t="s">
        <v>2209</v>
      </c>
    </row>
    <row r="176" spans="1:14" ht="15.75">
      <c r="A176" s="16"/>
      <c r="B176" s="39"/>
      <c r="C176" s="551"/>
      <c r="D176" s="552"/>
      <c r="E176" s="537"/>
      <c r="F176" s="538"/>
      <c r="G176" s="40"/>
      <c r="H176" s="16"/>
      <c r="I176" s="549"/>
      <c r="J176" s="550" t="s">
        <v>5</v>
      </c>
      <c r="K176" s="10">
        <f>data!G161</f>
        <v>10426.34</v>
      </c>
      <c r="L176" s="208" t="s">
        <v>2209</v>
      </c>
      <c r="M176" s="9">
        <f>ROUND(I176*K176,0)</f>
        <v>0</v>
      </c>
      <c r="N176" s="533" t="s">
        <v>2209</v>
      </c>
    </row>
    <row r="177" spans="1:14" ht="17.25" customHeight="1">
      <c r="A177" s="16">
        <v>4</v>
      </c>
      <c r="B177" s="1633" t="s">
        <v>580</v>
      </c>
      <c r="C177" s="1633"/>
      <c r="D177" s="1633"/>
      <c r="E177" s="1633"/>
      <c r="F177" s="1633"/>
      <c r="G177" s="1633"/>
      <c r="H177" s="1633"/>
      <c r="I177" s="534"/>
      <c r="J177" s="535"/>
      <c r="K177" s="16"/>
      <c r="L177" s="208"/>
      <c r="M177" s="38"/>
      <c r="N177" s="533" t="s">
        <v>2297</v>
      </c>
    </row>
    <row r="178" spans="1:14" s="541" customFormat="1" ht="16.5" customHeight="1">
      <c r="A178" s="16"/>
      <c r="B178" s="39" t="s">
        <v>2851</v>
      </c>
      <c r="C178" s="534"/>
      <c r="D178" s="536"/>
      <c r="E178" s="537"/>
      <c r="F178" s="538"/>
      <c r="G178" s="538"/>
      <c r="H178" s="538"/>
      <c r="I178" s="539"/>
      <c r="J178" s="550"/>
      <c r="K178" s="39"/>
      <c r="L178" s="208"/>
      <c r="M178" s="39"/>
      <c r="N178" s="533" t="s">
        <v>2297</v>
      </c>
    </row>
    <row r="179" spans="1:14" s="541" customFormat="1" ht="16.5" customHeight="1">
      <c r="A179" s="16"/>
      <c r="B179" s="39" t="s">
        <v>1628</v>
      </c>
      <c r="C179" s="534">
        <v>1</v>
      </c>
      <c r="D179" s="536" t="s">
        <v>273</v>
      </c>
      <c r="E179" s="537">
        <v>2</v>
      </c>
      <c r="F179" s="538">
        <v>2.9</v>
      </c>
      <c r="G179" s="538">
        <v>0.23</v>
      </c>
      <c r="H179" s="538">
        <v>0.15</v>
      </c>
      <c r="I179" s="542">
        <f>ROUND(IF(AND(F179:H179),C179*E179*F179*G179*H179,IF(AND(F179,G179),C179*E179*F179*G179,IF(AND(F179,H179),C179*E179*F179*H179,IF(AND(G179,H179),C179*E179*G179*H179,IF(F179,C179*E179*F179,IF(G179,C179*E179*G179,IF(H179,C179*E179*H179,C179*E179))))))),2)</f>
        <v>0.2</v>
      </c>
      <c r="J179" s="550" t="s">
        <v>5</v>
      </c>
      <c r="K179" s="39"/>
      <c r="L179" s="208"/>
      <c r="M179" s="39"/>
      <c r="N179" s="533" t="s">
        <v>2297</v>
      </c>
    </row>
    <row r="180" spans="1:14" s="541" customFormat="1" ht="16.5" customHeight="1">
      <c r="A180" s="16"/>
      <c r="B180" s="39"/>
      <c r="C180" s="534">
        <v>1</v>
      </c>
      <c r="D180" s="536" t="s">
        <v>273</v>
      </c>
      <c r="E180" s="537">
        <v>2</v>
      </c>
      <c r="F180" s="538">
        <v>1</v>
      </c>
      <c r="G180" s="538">
        <v>0.23</v>
      </c>
      <c r="H180" s="538">
        <v>0.15</v>
      </c>
      <c r="I180" s="542">
        <f>ROUND(IF(AND(F180:H180),C180*E180*F180*G180*H180,IF(AND(F180,G180),C180*E180*F180*G180,IF(AND(F180,H180),C180*E180*F180*H180,IF(AND(G180,H180),C180*E180*G180*H180,IF(F180,C180*E180*F180,IF(G180,C180*E180*G180,IF(H180,C180*E180*H180,C180*E180))))))),2)</f>
        <v>7.0000000000000007E-2</v>
      </c>
      <c r="J180" s="550" t="s">
        <v>5</v>
      </c>
      <c r="K180" s="39"/>
      <c r="L180" s="208"/>
      <c r="M180" s="39"/>
      <c r="N180" s="533" t="s">
        <v>2297</v>
      </c>
    </row>
    <row r="181" spans="1:14" s="541" customFormat="1" ht="16.5" customHeight="1">
      <c r="A181" s="16"/>
      <c r="B181" s="39"/>
      <c r="C181" s="534">
        <v>1</v>
      </c>
      <c r="D181" s="536" t="s">
        <v>273</v>
      </c>
      <c r="E181" s="537">
        <v>1</v>
      </c>
      <c r="F181" s="538">
        <v>3.15</v>
      </c>
      <c r="G181" s="538">
        <v>0.23</v>
      </c>
      <c r="H181" s="538">
        <v>0.15</v>
      </c>
      <c r="I181" s="542">
        <f>ROUND(IF(AND(F181:H181),C181*E181*F181*G181*H181,IF(AND(F181,G181),C181*E181*F181*G181,IF(AND(F181,H181),C181*E181*F181*H181,IF(AND(G181,H181),C181*E181*G181*H181,IF(F181,C181*E181*F181,IF(G181,C181*E181*G181,IF(H181,C181*E181*H181,C181*E181))))))),2)</f>
        <v>0.11</v>
      </c>
      <c r="J181" s="550" t="s">
        <v>5</v>
      </c>
      <c r="K181" s="39"/>
      <c r="L181" s="208"/>
      <c r="M181" s="39"/>
      <c r="N181" s="533" t="s">
        <v>2297</v>
      </c>
    </row>
    <row r="182" spans="1:14" s="541" customFormat="1" ht="16.5" customHeight="1">
      <c r="A182" s="16"/>
      <c r="B182" s="544"/>
      <c r="C182" s="545"/>
      <c r="D182" s="546"/>
      <c r="E182" s="547"/>
      <c r="F182" s="538"/>
      <c r="G182" s="538"/>
      <c r="H182" s="538"/>
      <c r="I182" s="549"/>
      <c r="J182" s="550"/>
      <c r="K182" s="39"/>
      <c r="L182" s="208"/>
      <c r="M182" s="39"/>
      <c r="N182" s="533" t="s">
        <v>2297</v>
      </c>
    </row>
    <row r="183" spans="1:14" ht="15.75">
      <c r="A183" s="16"/>
      <c r="B183" s="39"/>
      <c r="C183" s="551"/>
      <c r="D183" s="552"/>
      <c r="E183" s="537"/>
      <c r="F183" s="538"/>
      <c r="G183" s="40"/>
      <c r="H183" s="16"/>
      <c r="I183" s="549"/>
      <c r="J183" s="550" t="s">
        <v>5</v>
      </c>
      <c r="K183" s="10">
        <f>data!G1077</f>
        <v>10817</v>
      </c>
      <c r="L183" s="208" t="s">
        <v>2297</v>
      </c>
      <c r="M183" s="9">
        <f>ROUND(I183*K183,0)</f>
        <v>0</v>
      </c>
      <c r="N183" s="533" t="s">
        <v>2297</v>
      </c>
    </row>
    <row r="184" spans="1:14" ht="17.25" customHeight="1">
      <c r="A184" s="16">
        <v>4</v>
      </c>
      <c r="B184" s="1633" t="s">
        <v>580</v>
      </c>
      <c r="C184" s="1633"/>
      <c r="D184" s="1633"/>
      <c r="E184" s="1633"/>
      <c r="F184" s="1633"/>
      <c r="G184" s="1633"/>
      <c r="H184" s="1633"/>
      <c r="I184" s="534"/>
      <c r="J184" s="535"/>
      <c r="K184" s="16"/>
      <c r="L184" s="208"/>
      <c r="M184" s="38"/>
      <c r="N184" s="533" t="s">
        <v>2308</v>
      </c>
    </row>
    <row r="185" spans="1:14" s="541" customFormat="1" ht="16.5" customHeight="1">
      <c r="A185" s="16"/>
      <c r="B185" s="39" t="s">
        <v>2851</v>
      </c>
      <c r="C185" s="534"/>
      <c r="D185" s="536"/>
      <c r="E185" s="537"/>
      <c r="F185" s="538"/>
      <c r="G185" s="538"/>
      <c r="H185" s="538"/>
      <c r="I185" s="539"/>
      <c r="J185" s="550"/>
      <c r="K185" s="39"/>
      <c r="L185" s="208"/>
      <c r="M185" s="39"/>
      <c r="N185" s="533" t="s">
        <v>2308</v>
      </c>
    </row>
    <row r="186" spans="1:14" s="541" customFormat="1" ht="16.5" customHeight="1">
      <c r="A186" s="16"/>
      <c r="B186" s="39" t="s">
        <v>1628</v>
      </c>
      <c r="C186" s="534">
        <v>1</v>
      </c>
      <c r="D186" s="536" t="s">
        <v>273</v>
      </c>
      <c r="E186" s="537">
        <v>2</v>
      </c>
      <c r="F186" s="538">
        <v>2.9</v>
      </c>
      <c r="G186" s="538">
        <v>0.23</v>
      </c>
      <c r="H186" s="538">
        <v>0.15</v>
      </c>
      <c r="I186" s="542">
        <f>ROUND(IF(AND(F186:H186),C186*E186*F186*G186*H186,IF(AND(F186,G186),C186*E186*F186*G186,IF(AND(F186,H186),C186*E186*F186*H186,IF(AND(G186,H186),C186*E186*G186*H186,IF(F186,C186*E186*F186,IF(G186,C186*E186*G186,IF(H186,C186*E186*H186,C186*E186))))))),2)</f>
        <v>0.2</v>
      </c>
      <c r="J186" s="550" t="s">
        <v>5</v>
      </c>
      <c r="K186" s="39"/>
      <c r="L186" s="208"/>
      <c r="M186" s="39"/>
      <c r="N186" s="533" t="s">
        <v>2308</v>
      </c>
    </row>
    <row r="187" spans="1:14" s="541" customFormat="1" ht="16.5" customHeight="1">
      <c r="A187" s="16"/>
      <c r="B187" s="39"/>
      <c r="C187" s="534">
        <v>1</v>
      </c>
      <c r="D187" s="536" t="s">
        <v>273</v>
      </c>
      <c r="E187" s="537">
        <v>2</v>
      </c>
      <c r="F187" s="538">
        <v>1</v>
      </c>
      <c r="G187" s="538">
        <v>0.23</v>
      </c>
      <c r="H187" s="538">
        <v>0.15</v>
      </c>
      <c r="I187" s="542">
        <f>ROUND(IF(AND(F187:H187),C187*E187*F187*G187*H187,IF(AND(F187,G187),C187*E187*F187*G187,IF(AND(F187,H187),C187*E187*F187*H187,IF(AND(G187,H187),C187*E187*G187*H187,IF(F187,C187*E187*F187,IF(G187,C187*E187*G187,IF(H187,C187*E187*H187,C187*E187))))))),2)</f>
        <v>7.0000000000000007E-2</v>
      </c>
      <c r="J187" s="550" t="s">
        <v>5</v>
      </c>
      <c r="K187" s="39"/>
      <c r="L187" s="208"/>
      <c r="M187" s="39"/>
      <c r="N187" s="533" t="s">
        <v>2308</v>
      </c>
    </row>
    <row r="188" spans="1:14" s="541" customFormat="1" ht="16.5" customHeight="1">
      <c r="A188" s="16"/>
      <c r="B188" s="39"/>
      <c r="C188" s="534">
        <v>1</v>
      </c>
      <c r="D188" s="536" t="s">
        <v>273</v>
      </c>
      <c r="E188" s="537">
        <v>1</v>
      </c>
      <c r="F188" s="538">
        <v>3.15</v>
      </c>
      <c r="G188" s="538">
        <v>0.23</v>
      </c>
      <c r="H188" s="538">
        <v>0.15</v>
      </c>
      <c r="I188" s="542">
        <f>ROUND(IF(AND(F188:H188),C188*E188*F188*G188*H188,IF(AND(F188,G188),C188*E188*F188*G188,IF(AND(F188,H188),C188*E188*F188*H188,IF(AND(G188,H188),C188*E188*G188*H188,IF(F188,C188*E188*F188,IF(G188,C188*E188*G188,IF(H188,C188*E188*H188,C188*E188))))))),2)</f>
        <v>0.11</v>
      </c>
      <c r="J188" s="550" t="s">
        <v>5</v>
      </c>
      <c r="K188" s="39"/>
      <c r="L188" s="208"/>
      <c r="M188" s="39"/>
      <c r="N188" s="533" t="s">
        <v>2308</v>
      </c>
    </row>
    <row r="189" spans="1:14" s="541" customFormat="1" ht="16.5" customHeight="1">
      <c r="A189" s="16"/>
      <c r="B189" s="544"/>
      <c r="C189" s="545"/>
      <c r="D189" s="546"/>
      <c r="E189" s="547"/>
      <c r="F189" s="538"/>
      <c r="G189" s="538"/>
      <c r="H189" s="538"/>
      <c r="I189" s="549"/>
      <c r="J189" s="550"/>
      <c r="K189" s="39"/>
      <c r="L189" s="208"/>
      <c r="M189" s="39"/>
      <c r="N189" s="533" t="s">
        <v>2308</v>
      </c>
    </row>
    <row r="190" spans="1:14" ht="15.75">
      <c r="A190" s="16"/>
      <c r="B190" s="39"/>
      <c r="C190" s="551"/>
      <c r="D190" s="552"/>
      <c r="E190" s="537"/>
      <c r="F190" s="538"/>
      <c r="G190" s="40"/>
      <c r="H190" s="16"/>
      <c r="I190" s="549"/>
      <c r="J190" s="550" t="s">
        <v>5</v>
      </c>
      <c r="K190" s="10">
        <f>data!G1994</f>
        <v>11426.3</v>
      </c>
      <c r="L190" s="208" t="s">
        <v>2308</v>
      </c>
      <c r="M190" s="9">
        <f>ROUND(I190*K190,0)</f>
        <v>0</v>
      </c>
      <c r="N190" s="533" t="s">
        <v>2308</v>
      </c>
    </row>
    <row r="191" spans="1:14" ht="17.25" customHeight="1">
      <c r="A191" s="16">
        <v>4</v>
      </c>
      <c r="B191" s="1633" t="s">
        <v>580</v>
      </c>
      <c r="C191" s="1633"/>
      <c r="D191" s="1633"/>
      <c r="E191" s="1633"/>
      <c r="F191" s="1633"/>
      <c r="G191" s="1633"/>
      <c r="H191" s="1633"/>
      <c r="I191" s="534"/>
      <c r="J191" s="535"/>
      <c r="K191" s="16"/>
      <c r="L191" s="208"/>
      <c r="M191" s="38"/>
      <c r="N191" s="533" t="s">
        <v>2309</v>
      </c>
    </row>
    <row r="192" spans="1:14" s="541" customFormat="1" ht="16.5" customHeight="1">
      <c r="A192" s="16"/>
      <c r="B192" s="39" t="s">
        <v>2851</v>
      </c>
      <c r="C192" s="534"/>
      <c r="D192" s="536"/>
      <c r="E192" s="537"/>
      <c r="F192" s="538"/>
      <c r="G192" s="538"/>
      <c r="H192" s="538"/>
      <c r="I192" s="539"/>
      <c r="J192" s="550"/>
      <c r="K192" s="39"/>
      <c r="L192" s="208"/>
      <c r="M192" s="39"/>
      <c r="N192" s="533" t="s">
        <v>2309</v>
      </c>
    </row>
    <row r="193" spans="1:14" s="541" customFormat="1" ht="16.5" customHeight="1">
      <c r="A193" s="16"/>
      <c r="B193" s="39" t="s">
        <v>1628</v>
      </c>
      <c r="C193" s="534">
        <v>1</v>
      </c>
      <c r="D193" s="536" t="s">
        <v>273</v>
      </c>
      <c r="E193" s="537">
        <v>2</v>
      </c>
      <c r="F193" s="538">
        <v>2.9</v>
      </c>
      <c r="G193" s="538">
        <v>0.23</v>
      </c>
      <c r="H193" s="538">
        <v>0.15</v>
      </c>
      <c r="I193" s="542">
        <f>ROUND(IF(AND(F193:H193),C193*E193*F193*G193*H193,IF(AND(F193,G193),C193*E193*F193*G193,IF(AND(F193,H193),C193*E193*F193*H193,IF(AND(G193,H193),C193*E193*G193*H193,IF(F193,C193*E193*F193,IF(G193,C193*E193*G193,IF(H193,C193*E193*H193,C193*E193))))))),2)</f>
        <v>0.2</v>
      </c>
      <c r="J193" s="550" t="s">
        <v>5</v>
      </c>
      <c r="K193" s="39"/>
      <c r="L193" s="208"/>
      <c r="M193" s="39"/>
      <c r="N193" s="533" t="s">
        <v>2309</v>
      </c>
    </row>
    <row r="194" spans="1:14" s="541" customFormat="1" ht="16.5" customHeight="1">
      <c r="A194" s="16"/>
      <c r="B194" s="39"/>
      <c r="C194" s="534">
        <v>1</v>
      </c>
      <c r="D194" s="536" t="s">
        <v>273</v>
      </c>
      <c r="E194" s="537">
        <v>2</v>
      </c>
      <c r="F194" s="538">
        <v>1</v>
      </c>
      <c r="G194" s="538">
        <v>0.23</v>
      </c>
      <c r="H194" s="538">
        <v>0.15</v>
      </c>
      <c r="I194" s="542">
        <f>ROUND(IF(AND(F194:H194),C194*E194*F194*G194*H194,IF(AND(F194,G194),C194*E194*F194*G194,IF(AND(F194,H194),C194*E194*F194*H194,IF(AND(G194,H194),C194*E194*G194*H194,IF(F194,C194*E194*F194,IF(G194,C194*E194*G194,IF(H194,C194*E194*H194,C194*E194))))))),2)</f>
        <v>7.0000000000000007E-2</v>
      </c>
      <c r="J194" s="550" t="s">
        <v>5</v>
      </c>
      <c r="K194" s="39"/>
      <c r="L194" s="208"/>
      <c r="M194" s="39"/>
      <c r="N194" s="533" t="s">
        <v>2309</v>
      </c>
    </row>
    <row r="195" spans="1:14" s="541" customFormat="1" ht="16.5" customHeight="1">
      <c r="A195" s="16"/>
      <c r="B195" s="39"/>
      <c r="C195" s="534">
        <v>1</v>
      </c>
      <c r="D195" s="536" t="s">
        <v>273</v>
      </c>
      <c r="E195" s="537">
        <v>1</v>
      </c>
      <c r="F195" s="538">
        <v>3.15</v>
      </c>
      <c r="G195" s="538">
        <v>0.23</v>
      </c>
      <c r="H195" s="538">
        <v>0.15</v>
      </c>
      <c r="I195" s="542">
        <f>ROUND(IF(AND(F195:H195),C195*E195*F195*G195*H195,IF(AND(F195,G195),C195*E195*F195*G195,IF(AND(F195,H195),C195*E195*F195*H195,IF(AND(G195,H195),C195*E195*G195*H195,IF(F195,C195*E195*F195,IF(G195,C195*E195*G195,IF(H195,C195*E195*H195,C195*E195))))))),2)</f>
        <v>0.11</v>
      </c>
      <c r="J195" s="550" t="s">
        <v>5</v>
      </c>
      <c r="K195" s="39"/>
      <c r="L195" s="208"/>
      <c r="M195" s="39"/>
      <c r="N195" s="533" t="s">
        <v>2309</v>
      </c>
    </row>
    <row r="196" spans="1:14" s="541" customFormat="1" ht="16.5" customHeight="1">
      <c r="A196" s="16"/>
      <c r="B196" s="544"/>
      <c r="C196" s="545"/>
      <c r="D196" s="546"/>
      <c r="E196" s="547"/>
      <c r="F196" s="538"/>
      <c r="G196" s="538"/>
      <c r="H196" s="538"/>
      <c r="I196" s="549"/>
      <c r="J196" s="550"/>
      <c r="K196" s="39"/>
      <c r="L196" s="208"/>
      <c r="M196" s="39"/>
      <c r="N196" s="533" t="s">
        <v>2309</v>
      </c>
    </row>
    <row r="197" spans="1:14" ht="15.75">
      <c r="A197" s="16"/>
      <c r="B197" s="39"/>
      <c r="C197" s="551"/>
      <c r="D197" s="552"/>
      <c r="E197" s="537"/>
      <c r="F197" s="538"/>
      <c r="G197" s="40"/>
      <c r="H197" s="16"/>
      <c r="I197" s="549"/>
      <c r="J197" s="550" t="s">
        <v>5</v>
      </c>
      <c r="K197" s="10">
        <f>data!G2911</f>
        <v>11874.810000000001</v>
      </c>
      <c r="L197" s="208" t="s">
        <v>2309</v>
      </c>
      <c r="M197" s="9">
        <f>ROUND(I197*K197,0)</f>
        <v>0</v>
      </c>
      <c r="N197" s="533" t="s">
        <v>2309</v>
      </c>
    </row>
    <row r="198" spans="1:14" ht="17.25" customHeight="1">
      <c r="A198" s="16">
        <v>15</v>
      </c>
      <c r="B198" s="1633" t="s">
        <v>648</v>
      </c>
      <c r="C198" s="1633"/>
      <c r="D198" s="1633"/>
      <c r="E198" s="1633"/>
      <c r="F198" s="1633"/>
      <c r="G198" s="1633"/>
      <c r="H198" s="1633"/>
      <c r="I198" s="534"/>
      <c r="J198" s="535"/>
      <c r="K198" s="16"/>
      <c r="L198" s="208"/>
      <c r="M198" s="38"/>
      <c r="N198" s="533" t="s">
        <v>2209</v>
      </c>
    </row>
    <row r="199" spans="1:14" s="541" customFormat="1" ht="16.5" customHeight="1">
      <c r="A199" s="16"/>
      <c r="B199" s="39" t="s">
        <v>2796</v>
      </c>
      <c r="C199" s="534"/>
      <c r="D199" s="536"/>
      <c r="E199" s="537"/>
      <c r="F199" s="538"/>
      <c r="G199" s="538"/>
      <c r="H199" s="538"/>
      <c r="I199" s="539"/>
      <c r="J199" s="550"/>
      <c r="K199" s="39"/>
      <c r="L199" s="208"/>
      <c r="M199" s="39"/>
      <c r="N199" s="533" t="s">
        <v>2209</v>
      </c>
    </row>
    <row r="200" spans="1:14" s="541" customFormat="1" ht="16.5" customHeight="1">
      <c r="A200" s="16"/>
      <c r="B200" s="39"/>
      <c r="C200" s="534">
        <v>1</v>
      </c>
      <c r="D200" s="536" t="s">
        <v>273</v>
      </c>
      <c r="E200" s="537">
        <v>6</v>
      </c>
      <c r="F200" s="538">
        <v>1.82</v>
      </c>
      <c r="G200" s="538">
        <v>0</v>
      </c>
      <c r="H200" s="538">
        <v>0</v>
      </c>
      <c r="I200" s="542">
        <f>ROUND(IF(AND(F200:H200),C200*E200*F200*G200*H200,IF(AND(F200,G200),C200*E200*F200*G200,IF(AND(F200,H200),C200*E200*F200*H200,IF(AND(G200,H200),C200*E200*G200*H200,IF(F200,C200*E200*F200,IF(G200,C200*E200*G200,IF(H200,C200*E200*H200,C200*E200))))))),2)</f>
        <v>10.92</v>
      </c>
      <c r="J200" s="550" t="s">
        <v>277</v>
      </c>
      <c r="K200" s="39"/>
      <c r="L200" s="208"/>
      <c r="M200" s="39"/>
      <c r="N200" s="533" t="s">
        <v>2209</v>
      </c>
    </row>
    <row r="201" spans="1:14" s="541" customFormat="1" ht="16.5" customHeight="1">
      <c r="A201" s="16"/>
      <c r="B201" s="544"/>
      <c r="C201" s="545"/>
      <c r="D201" s="546"/>
      <c r="E201" s="547"/>
      <c r="F201" s="548"/>
      <c r="G201" s="548"/>
      <c r="H201" s="548"/>
      <c r="I201" s="549"/>
      <c r="J201" s="550"/>
      <c r="K201" s="39"/>
      <c r="L201" s="208"/>
      <c r="M201" s="39"/>
      <c r="N201" s="533" t="s">
        <v>2209</v>
      </c>
    </row>
    <row r="202" spans="1:14" ht="15.75">
      <c r="A202" s="16"/>
      <c r="B202" s="39"/>
      <c r="C202" s="551"/>
      <c r="D202" s="552"/>
      <c r="E202" s="537"/>
      <c r="F202" s="538"/>
      <c r="G202" s="40"/>
      <c r="H202" s="16"/>
      <c r="I202" s="549"/>
      <c r="J202" s="550" t="s">
        <v>277</v>
      </c>
      <c r="K202" s="10">
        <f>data!G224</f>
        <v>663.65999999999985</v>
      </c>
      <c r="L202" s="208" t="s">
        <v>2209</v>
      </c>
      <c r="M202" s="9">
        <f>ROUND(I202*K202,0)</f>
        <v>0</v>
      </c>
      <c r="N202" s="533" t="s">
        <v>2209</v>
      </c>
    </row>
    <row r="203" spans="1:14" ht="17.25" customHeight="1">
      <c r="A203" s="16">
        <v>15</v>
      </c>
      <c r="B203" s="1633" t="s">
        <v>648</v>
      </c>
      <c r="C203" s="1633"/>
      <c r="D203" s="1633"/>
      <c r="E203" s="1633"/>
      <c r="F203" s="1633"/>
      <c r="G203" s="1633"/>
      <c r="H203" s="1633"/>
      <c r="I203" s="534"/>
      <c r="J203" s="535"/>
      <c r="K203" s="16"/>
      <c r="L203" s="208"/>
      <c r="M203" s="38"/>
      <c r="N203" s="533" t="s">
        <v>2297</v>
      </c>
    </row>
    <row r="204" spans="1:14" s="541" customFormat="1" ht="16.5" customHeight="1">
      <c r="A204" s="16"/>
      <c r="B204" s="39" t="s">
        <v>2796</v>
      </c>
      <c r="C204" s="534"/>
      <c r="D204" s="536"/>
      <c r="E204" s="537"/>
      <c r="F204" s="538"/>
      <c r="G204" s="538"/>
      <c r="H204" s="538"/>
      <c r="I204" s="539"/>
      <c r="J204" s="550"/>
      <c r="K204" s="39"/>
      <c r="L204" s="208"/>
      <c r="M204" s="39"/>
      <c r="N204" s="533" t="s">
        <v>2297</v>
      </c>
    </row>
    <row r="205" spans="1:14" s="541" customFormat="1" ht="16.5" customHeight="1">
      <c r="A205" s="16"/>
      <c r="B205" s="39"/>
      <c r="C205" s="534">
        <v>1</v>
      </c>
      <c r="D205" s="536" t="s">
        <v>273</v>
      </c>
      <c r="E205" s="537">
        <v>6</v>
      </c>
      <c r="F205" s="538">
        <v>1.82</v>
      </c>
      <c r="G205" s="538">
        <v>0</v>
      </c>
      <c r="H205" s="538">
        <v>0</v>
      </c>
      <c r="I205" s="542">
        <f>ROUND(IF(AND(F205:H205),C205*E205*F205*G205*H205,IF(AND(F205,G205),C205*E205*F205*G205,IF(AND(F205,H205),C205*E205*F205*H205,IF(AND(G205,H205),C205*E205*G205*H205,IF(F205,C205*E205*F205,IF(G205,C205*E205*G205,IF(H205,C205*E205*H205,C205*E205))))))),2)</f>
        <v>10.92</v>
      </c>
      <c r="J205" s="550" t="s">
        <v>277</v>
      </c>
      <c r="K205" s="39"/>
      <c r="L205" s="208"/>
      <c r="M205" s="39"/>
      <c r="N205" s="533" t="s">
        <v>2297</v>
      </c>
    </row>
    <row r="206" spans="1:14" s="541" customFormat="1" ht="16.5" customHeight="1">
      <c r="A206" s="16"/>
      <c r="B206" s="544"/>
      <c r="C206" s="545"/>
      <c r="D206" s="546"/>
      <c r="E206" s="547"/>
      <c r="F206" s="548"/>
      <c r="G206" s="548"/>
      <c r="H206" s="548"/>
      <c r="I206" s="549"/>
      <c r="J206" s="550"/>
      <c r="K206" s="39"/>
      <c r="L206" s="208"/>
      <c r="M206" s="39"/>
      <c r="N206" s="533" t="s">
        <v>2297</v>
      </c>
    </row>
    <row r="207" spans="1:14" ht="15.75">
      <c r="A207" s="16"/>
      <c r="B207" s="39"/>
      <c r="C207" s="551"/>
      <c r="D207" s="552"/>
      <c r="E207" s="537"/>
      <c r="F207" s="538"/>
      <c r="G207" s="40"/>
      <c r="H207" s="16"/>
      <c r="I207" s="549"/>
      <c r="J207" s="550" t="s">
        <v>277</v>
      </c>
      <c r="K207" s="10">
        <f>data!G1140</f>
        <v>684.77</v>
      </c>
      <c r="L207" s="208" t="s">
        <v>2297</v>
      </c>
      <c r="M207" s="9">
        <f>ROUND(I207*K207,0)</f>
        <v>0</v>
      </c>
      <c r="N207" s="533" t="s">
        <v>2297</v>
      </c>
    </row>
    <row r="208" spans="1:14" ht="17.25" customHeight="1">
      <c r="A208" s="16">
        <v>15</v>
      </c>
      <c r="B208" s="1633" t="s">
        <v>648</v>
      </c>
      <c r="C208" s="1633"/>
      <c r="D208" s="1633"/>
      <c r="E208" s="1633"/>
      <c r="F208" s="1633"/>
      <c r="G208" s="1633"/>
      <c r="H208" s="1633"/>
      <c r="I208" s="534"/>
      <c r="J208" s="535"/>
      <c r="K208" s="16"/>
      <c r="L208" s="208"/>
      <c r="M208" s="38"/>
      <c r="N208" s="533" t="s">
        <v>2308</v>
      </c>
    </row>
    <row r="209" spans="1:14" s="541" customFormat="1" ht="16.5" customHeight="1">
      <c r="A209" s="16"/>
      <c r="B209" s="39" t="s">
        <v>2796</v>
      </c>
      <c r="C209" s="534"/>
      <c r="D209" s="536"/>
      <c r="E209" s="537"/>
      <c r="F209" s="538"/>
      <c r="G209" s="538"/>
      <c r="H209" s="538"/>
      <c r="I209" s="539"/>
      <c r="J209" s="550"/>
      <c r="K209" s="39"/>
      <c r="L209" s="208"/>
      <c r="M209" s="39"/>
      <c r="N209" s="533" t="s">
        <v>2308</v>
      </c>
    </row>
    <row r="210" spans="1:14" s="541" customFormat="1" ht="16.5" customHeight="1">
      <c r="A210" s="16"/>
      <c r="B210" s="39"/>
      <c r="C210" s="534">
        <v>1</v>
      </c>
      <c r="D210" s="536" t="s">
        <v>273</v>
      </c>
      <c r="E210" s="537">
        <v>6</v>
      </c>
      <c r="F210" s="538">
        <v>1.82</v>
      </c>
      <c r="G210" s="538">
        <v>0</v>
      </c>
      <c r="H210" s="538">
        <v>0</v>
      </c>
      <c r="I210" s="542">
        <f>ROUND(IF(AND(F210:H210),C210*E210*F210*G210*H210,IF(AND(F210,G210),C210*E210*F210*G210,IF(AND(F210,H210),C210*E210*F210*H210,IF(AND(G210,H210),C210*E210*G210*H210,IF(F210,C210*E210*F210,IF(G210,C210*E210*G210,IF(H210,C210*E210*H210,C210*E210))))))),2)</f>
        <v>10.92</v>
      </c>
      <c r="J210" s="550" t="s">
        <v>277</v>
      </c>
      <c r="K210" s="39"/>
      <c r="L210" s="208"/>
      <c r="M210" s="39"/>
      <c r="N210" s="533" t="s">
        <v>2308</v>
      </c>
    </row>
    <row r="211" spans="1:14" s="541" customFormat="1" ht="16.5" customHeight="1">
      <c r="A211" s="16"/>
      <c r="B211" s="544"/>
      <c r="C211" s="545"/>
      <c r="D211" s="546"/>
      <c r="E211" s="547"/>
      <c r="F211" s="548"/>
      <c r="G211" s="548"/>
      <c r="H211" s="548"/>
      <c r="I211" s="549"/>
      <c r="J211" s="550"/>
      <c r="K211" s="39"/>
      <c r="L211" s="208"/>
      <c r="M211" s="39"/>
      <c r="N211" s="533" t="s">
        <v>2308</v>
      </c>
    </row>
    <row r="212" spans="1:14" ht="15.75">
      <c r="A212" s="16"/>
      <c r="B212" s="39"/>
      <c r="C212" s="551"/>
      <c r="D212" s="552"/>
      <c r="E212" s="537"/>
      <c r="F212" s="538"/>
      <c r="G212" s="40"/>
      <c r="H212" s="16"/>
      <c r="I212" s="549"/>
      <c r="J212" s="550" t="s">
        <v>277</v>
      </c>
      <c r="K212" s="10">
        <f>data!G2057</f>
        <v>722.50999999999988</v>
      </c>
      <c r="L212" s="208" t="s">
        <v>2308</v>
      </c>
      <c r="M212" s="9">
        <f>ROUND(I212*K212,0)</f>
        <v>0</v>
      </c>
      <c r="N212" s="533" t="s">
        <v>2308</v>
      </c>
    </row>
    <row r="213" spans="1:14" ht="17.25" customHeight="1">
      <c r="A213" s="16">
        <v>15</v>
      </c>
      <c r="B213" s="1633" t="s">
        <v>648</v>
      </c>
      <c r="C213" s="1633"/>
      <c r="D213" s="1633"/>
      <c r="E213" s="1633"/>
      <c r="F213" s="1633"/>
      <c r="G213" s="1633"/>
      <c r="H213" s="1633"/>
      <c r="I213" s="534"/>
      <c r="J213" s="535"/>
      <c r="K213" s="16"/>
      <c r="L213" s="208"/>
      <c r="M213" s="38"/>
      <c r="N213" s="533" t="s">
        <v>2309</v>
      </c>
    </row>
    <row r="214" spans="1:14" s="541" customFormat="1" ht="16.5" customHeight="1">
      <c r="A214" s="16"/>
      <c r="B214" s="39" t="s">
        <v>2796</v>
      </c>
      <c r="C214" s="534"/>
      <c r="D214" s="536"/>
      <c r="E214" s="537"/>
      <c r="F214" s="538"/>
      <c r="G214" s="538"/>
      <c r="H214" s="538"/>
      <c r="I214" s="539"/>
      <c r="J214" s="550"/>
      <c r="K214" s="39"/>
      <c r="L214" s="208"/>
      <c r="M214" s="39"/>
      <c r="N214" s="533" t="s">
        <v>2309</v>
      </c>
    </row>
    <row r="215" spans="1:14" s="541" customFormat="1" ht="16.5" customHeight="1">
      <c r="A215" s="16"/>
      <c r="B215" s="39"/>
      <c r="C215" s="534">
        <v>1</v>
      </c>
      <c r="D215" s="536" t="s">
        <v>273</v>
      </c>
      <c r="E215" s="537">
        <v>6</v>
      </c>
      <c r="F215" s="538">
        <v>1.82</v>
      </c>
      <c r="G215" s="538">
        <v>0</v>
      </c>
      <c r="H215" s="538">
        <v>0</v>
      </c>
      <c r="I215" s="542">
        <f>ROUND(IF(AND(F215:H215),C215*E215*F215*G215*H215,IF(AND(F215,G215),C215*E215*F215*G215,IF(AND(F215,H215),C215*E215*F215*H215,IF(AND(G215,H215),C215*E215*G215*H215,IF(F215,C215*E215*F215,IF(G215,C215*E215*G215,IF(H215,C215*E215*H215,C215*E215))))))),2)</f>
        <v>10.92</v>
      </c>
      <c r="J215" s="550" t="s">
        <v>277</v>
      </c>
      <c r="K215" s="39"/>
      <c r="L215" s="208"/>
      <c r="M215" s="39"/>
      <c r="N215" s="533" t="s">
        <v>2309</v>
      </c>
    </row>
    <row r="216" spans="1:14" s="541" customFormat="1" ht="16.5" customHeight="1">
      <c r="A216" s="16"/>
      <c r="B216" s="544"/>
      <c r="C216" s="545"/>
      <c r="D216" s="546"/>
      <c r="E216" s="547"/>
      <c r="F216" s="548"/>
      <c r="G216" s="548"/>
      <c r="H216" s="548"/>
      <c r="I216" s="549"/>
      <c r="J216" s="550"/>
      <c r="K216" s="39"/>
      <c r="L216" s="208"/>
      <c r="M216" s="39"/>
      <c r="N216" s="533" t="s">
        <v>2309</v>
      </c>
    </row>
    <row r="217" spans="1:14" ht="15.75">
      <c r="A217" s="16"/>
      <c r="B217" s="39"/>
      <c r="C217" s="551"/>
      <c r="D217" s="552"/>
      <c r="E217" s="537"/>
      <c r="F217" s="538"/>
      <c r="G217" s="40"/>
      <c r="H217" s="16"/>
      <c r="I217" s="549"/>
      <c r="J217" s="550" t="s">
        <v>277</v>
      </c>
      <c r="K217" s="10">
        <f>data!G2974</f>
        <v>744.7299999999999</v>
      </c>
      <c r="L217" s="208" t="s">
        <v>2309</v>
      </c>
      <c r="M217" s="9">
        <f>ROUND(I217*K217,0)</f>
        <v>0</v>
      </c>
      <c r="N217" s="533" t="s">
        <v>2309</v>
      </c>
    </row>
    <row r="218" spans="1:14" ht="64.5" customHeight="1">
      <c r="A218" s="16">
        <v>3</v>
      </c>
      <c r="B218" s="1633" t="s">
        <v>151</v>
      </c>
      <c r="C218" s="1633"/>
      <c r="D218" s="1633"/>
      <c r="E218" s="1633"/>
      <c r="F218" s="1633"/>
      <c r="G218" s="1633"/>
      <c r="H218" s="1633"/>
      <c r="I218" s="534"/>
      <c r="J218" s="535"/>
      <c r="K218" s="16"/>
      <c r="L218" s="208"/>
      <c r="M218" s="38"/>
      <c r="N218" s="533" t="s">
        <v>2209</v>
      </c>
    </row>
    <row r="219" spans="1:14" s="541" customFormat="1" ht="16.5" customHeight="1">
      <c r="A219" s="16"/>
      <c r="B219" s="39" t="s">
        <v>2838</v>
      </c>
      <c r="C219" s="534"/>
      <c r="D219" s="536"/>
      <c r="E219" s="537"/>
      <c r="F219" s="538"/>
      <c r="G219" s="538"/>
      <c r="H219" s="538"/>
      <c r="I219" s="539"/>
      <c r="J219" s="550"/>
      <c r="K219" s="39"/>
      <c r="L219" s="16"/>
      <c r="M219" s="39"/>
      <c r="N219" s="533" t="s">
        <v>2209</v>
      </c>
    </row>
    <row r="220" spans="1:14" s="541" customFormat="1" ht="16.5" customHeight="1">
      <c r="A220" s="16"/>
      <c r="B220" s="39" t="s">
        <v>1627</v>
      </c>
      <c r="C220" s="534">
        <v>1</v>
      </c>
      <c r="D220" s="536" t="s">
        <v>273</v>
      </c>
      <c r="E220" s="537">
        <v>1</v>
      </c>
      <c r="F220" s="538">
        <v>4.3499999999999996</v>
      </c>
      <c r="G220" s="538">
        <v>4.2</v>
      </c>
      <c r="H220" s="538">
        <v>0</v>
      </c>
      <c r="I220" s="542">
        <f>ROUND(IF(AND(F220:H220),C220*E220*F220*G220*H220,IF(AND(F220,G220),C220*E220*F220*G220,IF(AND(F220,H220),C220*E220*F220*H220,IF(AND(G220,H220),C220*E220*G220*H220,IF(F220,C220*E220*F220,IF(G220,C220*E220*G220,IF(H220,C220*E220*H220,C220*E220))))))),2)</f>
        <v>18.27</v>
      </c>
      <c r="J220" s="550" t="s">
        <v>102</v>
      </c>
      <c r="K220" s="39"/>
      <c r="L220" s="16"/>
      <c r="M220" s="39"/>
      <c r="N220" s="533" t="s">
        <v>2209</v>
      </c>
    </row>
    <row r="221" spans="1:14" s="541" customFormat="1" ht="16.5" customHeight="1">
      <c r="A221" s="16"/>
      <c r="B221" s="544"/>
      <c r="C221" s="545"/>
      <c r="D221" s="546"/>
      <c r="E221" s="547"/>
      <c r="F221" s="548"/>
      <c r="G221" s="548"/>
      <c r="H221" s="548"/>
      <c r="I221" s="549"/>
      <c r="J221" s="550"/>
      <c r="K221" s="39"/>
      <c r="L221" s="208"/>
      <c r="M221" s="39"/>
      <c r="N221" s="533" t="s">
        <v>2209</v>
      </c>
    </row>
    <row r="222" spans="1:14" ht="15.75">
      <c r="A222" s="16"/>
      <c r="B222" s="39"/>
      <c r="C222" s="551"/>
      <c r="D222" s="552"/>
      <c r="E222" s="537"/>
      <c r="F222" s="538"/>
      <c r="G222" s="40"/>
      <c r="H222" s="16"/>
      <c r="I222" s="549"/>
      <c r="J222" s="550" t="s">
        <v>102</v>
      </c>
      <c r="K222" s="10">
        <f>data!G568</f>
        <v>297.64999999999998</v>
      </c>
      <c r="L222" s="208" t="s">
        <v>2209</v>
      </c>
      <c r="M222" s="9">
        <f>ROUND(I222*K222,0)</f>
        <v>0</v>
      </c>
      <c r="N222" s="533" t="s">
        <v>2209</v>
      </c>
    </row>
    <row r="223" spans="1:14" ht="64.5" customHeight="1">
      <c r="A223" s="16">
        <v>3</v>
      </c>
      <c r="B223" s="1633" t="s">
        <v>151</v>
      </c>
      <c r="C223" s="1633"/>
      <c r="D223" s="1633"/>
      <c r="E223" s="1633"/>
      <c r="F223" s="1633"/>
      <c r="G223" s="1633"/>
      <c r="H223" s="1633"/>
      <c r="I223" s="534"/>
      <c r="J223" s="535"/>
      <c r="K223" s="16"/>
      <c r="L223" s="208"/>
      <c r="M223" s="38"/>
      <c r="N223" s="533" t="s">
        <v>2297</v>
      </c>
    </row>
    <row r="224" spans="1:14" s="541" customFormat="1" ht="16.5" customHeight="1">
      <c r="A224" s="16"/>
      <c r="B224" s="39" t="s">
        <v>2907</v>
      </c>
      <c r="C224" s="534"/>
      <c r="D224" s="536"/>
      <c r="E224" s="537"/>
      <c r="F224" s="538"/>
      <c r="G224" s="538"/>
      <c r="H224" s="538"/>
      <c r="I224" s="539"/>
      <c r="J224" s="550"/>
      <c r="K224" s="39"/>
      <c r="L224" s="16"/>
      <c r="M224" s="39"/>
      <c r="N224" s="533" t="s">
        <v>2297</v>
      </c>
    </row>
    <row r="225" spans="1:14" s="541" customFormat="1" ht="16.5" customHeight="1">
      <c r="A225" s="16"/>
      <c r="B225" s="39" t="s">
        <v>1627</v>
      </c>
      <c r="C225" s="534">
        <v>1</v>
      </c>
      <c r="D225" s="536" t="s">
        <v>273</v>
      </c>
      <c r="E225" s="537">
        <v>1</v>
      </c>
      <c r="F225" s="538">
        <v>5.22</v>
      </c>
      <c r="G225" s="538">
        <v>3.78</v>
      </c>
      <c r="H225" s="538">
        <v>0</v>
      </c>
      <c r="I225" s="542">
        <f>ROUND(IF(AND(F225:H225),C225*E225*F225*G225*H225,IF(AND(F225,G225),C225*E225*F225*G225,IF(AND(F225,H225),C225*E225*F225*H225,IF(AND(G225,H225),C225*E225*G225*H225,IF(F225,C225*E225*F225,IF(G225,C225*E225*G225,IF(H225,C225*E225*H225,C225*E225))))))),2)</f>
        <v>19.73</v>
      </c>
      <c r="J225" s="550" t="s">
        <v>102</v>
      </c>
      <c r="K225" s="39"/>
      <c r="L225" s="16"/>
      <c r="M225" s="39"/>
      <c r="N225" s="533" t="s">
        <v>2297</v>
      </c>
    </row>
    <row r="226" spans="1:14" s="541" customFormat="1" ht="16.5" customHeight="1">
      <c r="A226" s="16"/>
      <c r="B226" s="544"/>
      <c r="C226" s="545"/>
      <c r="D226" s="546"/>
      <c r="E226" s="547"/>
      <c r="F226" s="548"/>
      <c r="G226" s="548"/>
      <c r="H226" s="548"/>
      <c r="I226" s="549"/>
      <c r="J226" s="550"/>
      <c r="K226" s="39"/>
      <c r="L226" s="208"/>
      <c r="M226" s="39"/>
      <c r="N226" s="533" t="s">
        <v>2297</v>
      </c>
    </row>
    <row r="227" spans="1:14" ht="15.75">
      <c r="A227" s="16"/>
      <c r="B227" s="39"/>
      <c r="C227" s="551"/>
      <c r="D227" s="552"/>
      <c r="E227" s="537"/>
      <c r="F227" s="538"/>
      <c r="G227" s="40"/>
      <c r="H227" s="16"/>
      <c r="I227" s="549"/>
      <c r="J227" s="550" t="s">
        <v>102</v>
      </c>
      <c r="K227" s="10">
        <f>data!G1485</f>
        <v>321.24</v>
      </c>
      <c r="L227" s="208" t="s">
        <v>2297</v>
      </c>
      <c r="M227" s="9">
        <f>ROUND(I227*K227,0)</f>
        <v>0</v>
      </c>
      <c r="N227" s="533" t="s">
        <v>2297</v>
      </c>
    </row>
    <row r="228" spans="1:14" ht="64.5" customHeight="1">
      <c r="A228" s="16">
        <v>3</v>
      </c>
      <c r="B228" s="1633" t="s">
        <v>151</v>
      </c>
      <c r="C228" s="1633"/>
      <c r="D228" s="1633"/>
      <c r="E228" s="1633"/>
      <c r="F228" s="1633"/>
      <c r="G228" s="1633"/>
      <c r="H228" s="1633"/>
      <c r="I228" s="534"/>
      <c r="J228" s="535"/>
      <c r="K228" s="16"/>
      <c r="L228" s="208"/>
      <c r="M228" s="38"/>
      <c r="N228" s="533" t="s">
        <v>2308</v>
      </c>
    </row>
    <row r="229" spans="1:14" s="541" customFormat="1" ht="16.5" customHeight="1">
      <c r="A229" s="16"/>
      <c r="B229" s="39" t="s">
        <v>2838</v>
      </c>
      <c r="C229" s="534"/>
      <c r="D229" s="536"/>
      <c r="E229" s="537"/>
      <c r="F229" s="538"/>
      <c r="G229" s="538"/>
      <c r="H229" s="538"/>
      <c r="I229" s="539"/>
      <c r="J229" s="550"/>
      <c r="K229" s="39"/>
      <c r="L229" s="16"/>
      <c r="M229" s="39"/>
      <c r="N229" s="533" t="s">
        <v>2308</v>
      </c>
    </row>
    <row r="230" spans="1:14" s="541" customFormat="1" ht="16.5" customHeight="1">
      <c r="A230" s="16"/>
      <c r="B230" s="39" t="s">
        <v>1627</v>
      </c>
      <c r="C230" s="534">
        <v>1</v>
      </c>
      <c r="D230" s="536" t="s">
        <v>273</v>
      </c>
      <c r="E230" s="537">
        <v>1</v>
      </c>
      <c r="F230" s="538">
        <v>4.3499999999999996</v>
      </c>
      <c r="G230" s="538">
        <v>4.2</v>
      </c>
      <c r="H230" s="538">
        <v>0</v>
      </c>
      <c r="I230" s="542">
        <f>ROUND(IF(AND(F230:H230),C230*E230*F230*G230*H230,IF(AND(F230,G230),C230*E230*F230*G230,IF(AND(F230,H230),C230*E230*F230*H230,IF(AND(G230,H230),C230*E230*G230*H230,IF(F230,C230*E230*F230,IF(G230,C230*E230*G230,IF(H230,C230*E230*H230,C230*E230))))))),2)</f>
        <v>18.27</v>
      </c>
      <c r="J230" s="550" t="s">
        <v>102</v>
      </c>
      <c r="K230" s="39"/>
      <c r="L230" s="16"/>
      <c r="M230" s="39"/>
      <c r="N230" s="533" t="s">
        <v>2308</v>
      </c>
    </row>
    <row r="231" spans="1:14" s="541" customFormat="1" ht="16.5" customHeight="1">
      <c r="A231" s="16"/>
      <c r="B231" s="544"/>
      <c r="C231" s="545"/>
      <c r="D231" s="546"/>
      <c r="E231" s="547"/>
      <c r="F231" s="548"/>
      <c r="G231" s="548"/>
      <c r="H231" s="548"/>
      <c r="I231" s="549"/>
      <c r="J231" s="550"/>
      <c r="K231" s="39"/>
      <c r="L231" s="208"/>
      <c r="M231" s="39"/>
      <c r="N231" s="533" t="s">
        <v>2308</v>
      </c>
    </row>
    <row r="232" spans="1:14" ht="15.75">
      <c r="A232" s="16"/>
      <c r="B232" s="39"/>
      <c r="C232" s="551"/>
      <c r="D232" s="552"/>
      <c r="E232" s="537"/>
      <c r="F232" s="538"/>
      <c r="G232" s="40"/>
      <c r="H232" s="16"/>
      <c r="I232" s="549"/>
      <c r="J232" s="550" t="s">
        <v>102</v>
      </c>
      <c r="K232" s="10">
        <f>data!G2402</f>
        <v>340.95</v>
      </c>
      <c r="L232" s="208" t="s">
        <v>2308</v>
      </c>
      <c r="M232" s="9">
        <f>ROUND(I232*K232,0)</f>
        <v>0</v>
      </c>
      <c r="N232" s="533" t="s">
        <v>2308</v>
      </c>
    </row>
    <row r="233" spans="1:14" ht="64.5" customHeight="1">
      <c r="A233" s="16">
        <v>3</v>
      </c>
      <c r="B233" s="1633" t="s">
        <v>151</v>
      </c>
      <c r="C233" s="1633"/>
      <c r="D233" s="1633"/>
      <c r="E233" s="1633"/>
      <c r="F233" s="1633"/>
      <c r="G233" s="1633"/>
      <c r="H233" s="1633"/>
      <c r="I233" s="534"/>
      <c r="J233" s="535"/>
      <c r="K233" s="16"/>
      <c r="L233" s="208"/>
      <c r="M233" s="38"/>
      <c r="N233" s="533" t="s">
        <v>2309</v>
      </c>
    </row>
    <row r="234" spans="1:14" s="541" customFormat="1" ht="16.5" customHeight="1">
      <c r="A234" s="16"/>
      <c r="B234" s="39" t="s">
        <v>2838</v>
      </c>
      <c r="C234" s="534"/>
      <c r="D234" s="536"/>
      <c r="E234" s="537"/>
      <c r="F234" s="538"/>
      <c r="G234" s="538"/>
      <c r="H234" s="538"/>
      <c r="I234" s="539"/>
      <c r="J234" s="550"/>
      <c r="K234" s="39"/>
      <c r="L234" s="16"/>
      <c r="M234" s="39"/>
      <c r="N234" s="533" t="s">
        <v>2309</v>
      </c>
    </row>
    <row r="235" spans="1:14" s="541" customFormat="1" ht="16.5" customHeight="1">
      <c r="A235" s="16"/>
      <c r="B235" s="39" t="s">
        <v>1627</v>
      </c>
      <c r="C235" s="534">
        <v>1</v>
      </c>
      <c r="D235" s="536" t="s">
        <v>273</v>
      </c>
      <c r="E235" s="537">
        <v>1</v>
      </c>
      <c r="F235" s="538">
        <v>4.3499999999999996</v>
      </c>
      <c r="G235" s="538">
        <v>4.2</v>
      </c>
      <c r="H235" s="538">
        <v>0</v>
      </c>
      <c r="I235" s="542">
        <f>ROUND(IF(AND(F235:H235),C235*E235*F235*G235*H235,IF(AND(F235,G235),C235*E235*F235*G235,IF(AND(F235,H235),C235*E235*F235*H235,IF(AND(G235,H235),C235*E235*G235*H235,IF(F235,C235*E235*F235,IF(G235,C235*E235*G235,IF(H235,C235*E235*H235,C235*E235))))))),2)</f>
        <v>18.27</v>
      </c>
      <c r="J235" s="550" t="s">
        <v>102</v>
      </c>
      <c r="K235" s="39"/>
      <c r="L235" s="16"/>
      <c r="M235" s="39"/>
      <c r="N235" s="533" t="s">
        <v>2309</v>
      </c>
    </row>
    <row r="236" spans="1:14" s="541" customFormat="1" ht="16.5" customHeight="1">
      <c r="A236" s="16"/>
      <c r="B236" s="544"/>
      <c r="C236" s="545"/>
      <c r="D236" s="546"/>
      <c r="E236" s="547"/>
      <c r="F236" s="548"/>
      <c r="G236" s="548"/>
      <c r="H236" s="548"/>
      <c r="I236" s="549"/>
      <c r="J236" s="550"/>
      <c r="K236" s="39"/>
      <c r="L236" s="208"/>
      <c r="M236" s="39"/>
      <c r="N236" s="533" t="s">
        <v>2309</v>
      </c>
    </row>
    <row r="237" spans="1:14" ht="15.75">
      <c r="A237" s="16"/>
      <c r="B237" s="39"/>
      <c r="C237" s="551"/>
      <c r="D237" s="552"/>
      <c r="E237" s="537"/>
      <c r="F237" s="538"/>
      <c r="G237" s="40"/>
      <c r="H237" s="16"/>
      <c r="I237" s="549"/>
      <c r="J237" s="550" t="s">
        <v>102</v>
      </c>
      <c r="K237" s="10">
        <f>data!G3319</f>
        <v>362.63</v>
      </c>
      <c r="L237" s="208" t="s">
        <v>2309</v>
      </c>
      <c r="M237" s="9">
        <f>ROUND(I237*K237,0)</f>
        <v>0</v>
      </c>
      <c r="N237" s="533" t="s">
        <v>2309</v>
      </c>
    </row>
    <row r="238" spans="1:14" ht="64.5" customHeight="1">
      <c r="A238" s="16">
        <v>13</v>
      </c>
      <c r="B238" s="1633" t="s">
        <v>1313</v>
      </c>
      <c r="C238" s="1633"/>
      <c r="D238" s="1633"/>
      <c r="E238" s="1633"/>
      <c r="F238" s="1633"/>
      <c r="G238" s="1633"/>
      <c r="H238" s="1633"/>
      <c r="I238" s="534"/>
      <c r="J238" s="535"/>
      <c r="K238" s="16"/>
      <c r="L238" s="208"/>
      <c r="M238" s="38"/>
      <c r="N238" s="533" t="s">
        <v>2209</v>
      </c>
    </row>
    <row r="239" spans="1:14" s="541" customFormat="1" ht="16.5" customHeight="1">
      <c r="A239" s="16"/>
      <c r="B239" s="39" t="s">
        <v>2839</v>
      </c>
      <c r="C239" s="534"/>
      <c r="D239" s="536"/>
      <c r="E239" s="537"/>
      <c r="F239" s="538"/>
      <c r="G239" s="538"/>
      <c r="H239" s="538"/>
      <c r="I239" s="539"/>
      <c r="J239" s="550"/>
      <c r="K239" s="39"/>
      <c r="L239" s="208"/>
      <c r="M239" s="39"/>
      <c r="N239" s="533" t="s">
        <v>2209</v>
      </c>
    </row>
    <row r="240" spans="1:14" s="541" customFormat="1" ht="16.5" customHeight="1">
      <c r="A240" s="16"/>
      <c r="B240" s="39"/>
      <c r="C240" s="534">
        <v>1</v>
      </c>
      <c r="D240" s="536" t="s">
        <v>273</v>
      </c>
      <c r="E240" s="537">
        <v>1</v>
      </c>
      <c r="F240" s="538">
        <v>10.45</v>
      </c>
      <c r="G240" s="538">
        <v>12</v>
      </c>
      <c r="H240" s="538">
        <v>0</v>
      </c>
      <c r="I240" s="542">
        <f>ROUND(IF(AND(F240:H240),C240*E240*F240*G240*H240,IF(AND(F240,G240),C240*E240*F240*G240,IF(AND(F240,H240),C240*E240*F240*H240,IF(AND(G240,H240),C240*E240*G240*H240,IF(F240,C240*E240*F240,IF(G240,C240*E240*G240,IF(H240,C240*E240*H240,C240*E240))))))),2)</f>
        <v>125.4</v>
      </c>
      <c r="J240" s="550" t="s">
        <v>102</v>
      </c>
      <c r="K240" s="39"/>
      <c r="L240" s="208"/>
      <c r="M240" s="39"/>
      <c r="N240" s="533" t="s">
        <v>2209</v>
      </c>
    </row>
    <row r="241" spans="1:14" s="541" customFormat="1" ht="16.5" customHeight="1">
      <c r="A241" s="16"/>
      <c r="B241" s="39"/>
      <c r="C241" s="534">
        <v>1</v>
      </c>
      <c r="D241" s="536" t="s">
        <v>273</v>
      </c>
      <c r="E241" s="537">
        <v>1</v>
      </c>
      <c r="F241" s="538">
        <v>3.52</v>
      </c>
      <c r="G241" s="538">
        <v>0.92</v>
      </c>
      <c r="H241" s="538">
        <v>0</v>
      </c>
      <c r="I241" s="542">
        <f>ROUND(IF(AND(F241:H241),C241*E241*F241*G241*H241,IF(AND(F241,G241),C241*E241*F241*G241,IF(AND(F241,H241),C241*E241*F241*H241,IF(AND(G241,H241),C241*E241*G241*H241,IF(F241,C241*E241*F241,IF(G241,C241*E241*G241,IF(H241,C241*E241*H241,C241*E241))))))),2)</f>
        <v>3.24</v>
      </c>
      <c r="J241" s="550" t="s">
        <v>102</v>
      </c>
      <c r="K241" s="39"/>
      <c r="L241" s="208"/>
      <c r="M241" s="39"/>
      <c r="N241" s="533" t="s">
        <v>2209</v>
      </c>
    </row>
    <row r="242" spans="1:14" s="541" customFormat="1" ht="16.5" customHeight="1">
      <c r="A242" s="16"/>
      <c r="B242" s="544"/>
      <c r="C242" s="545"/>
      <c r="D242" s="546"/>
      <c r="E242" s="547"/>
      <c r="F242" s="548"/>
      <c r="G242" s="548"/>
      <c r="H242" s="548"/>
      <c r="I242" s="549"/>
      <c r="J242" s="550"/>
      <c r="K242" s="39"/>
      <c r="L242" s="208"/>
      <c r="M242" s="39"/>
      <c r="N242" s="533" t="s">
        <v>2209</v>
      </c>
    </row>
    <row r="243" spans="1:14" ht="15.75">
      <c r="A243" s="16"/>
      <c r="B243" s="39"/>
      <c r="C243" s="551"/>
      <c r="D243" s="552"/>
      <c r="E243" s="537"/>
      <c r="F243" s="538"/>
      <c r="G243" s="40"/>
      <c r="H243" s="16"/>
      <c r="I243" s="549"/>
      <c r="J243" s="550" t="s">
        <v>102</v>
      </c>
      <c r="K243" s="10">
        <f>data!G583</f>
        <v>382.24</v>
      </c>
      <c r="L243" s="208" t="s">
        <v>2209</v>
      </c>
      <c r="M243" s="9">
        <f>ROUND(I243*K243,0)</f>
        <v>0</v>
      </c>
      <c r="N243" s="533" t="s">
        <v>2209</v>
      </c>
    </row>
    <row r="244" spans="1:14" ht="64.5" customHeight="1">
      <c r="A244" s="16">
        <v>13</v>
      </c>
      <c r="B244" s="1633" t="s">
        <v>1313</v>
      </c>
      <c r="C244" s="1633"/>
      <c r="D244" s="1633"/>
      <c r="E244" s="1633"/>
      <c r="F244" s="1633"/>
      <c r="G244" s="1633"/>
      <c r="H244" s="1633"/>
      <c r="I244" s="534"/>
      <c r="J244" s="535"/>
      <c r="K244" s="16"/>
      <c r="L244" s="208"/>
      <c r="M244" s="38"/>
      <c r="N244" s="533" t="s">
        <v>2297</v>
      </c>
    </row>
    <row r="245" spans="1:14" s="541" customFormat="1" ht="16.5" customHeight="1">
      <c r="A245" s="16"/>
      <c r="B245" s="39" t="s">
        <v>2839</v>
      </c>
      <c r="C245" s="534"/>
      <c r="D245" s="536"/>
      <c r="E245" s="537"/>
      <c r="F245" s="538"/>
      <c r="G245" s="538"/>
      <c r="H245" s="538"/>
      <c r="I245" s="539"/>
      <c r="J245" s="550"/>
      <c r="K245" s="39"/>
      <c r="L245" s="208"/>
      <c r="M245" s="39"/>
      <c r="N245" s="533" t="s">
        <v>2297</v>
      </c>
    </row>
    <row r="246" spans="1:14" s="541" customFormat="1" ht="16.5" customHeight="1">
      <c r="A246" s="16"/>
      <c r="B246" s="39"/>
      <c r="C246" s="534">
        <v>1</v>
      </c>
      <c r="D246" s="536" t="s">
        <v>273</v>
      </c>
      <c r="E246" s="537">
        <v>1</v>
      </c>
      <c r="F246" s="538">
        <v>10.45</v>
      </c>
      <c r="G246" s="538">
        <v>12</v>
      </c>
      <c r="H246" s="538">
        <v>0</v>
      </c>
      <c r="I246" s="542">
        <f>ROUND(IF(AND(F246:H246),C246*E246*F246*G246*H246,IF(AND(F246,G246),C246*E246*F246*G246,IF(AND(F246,H246),C246*E246*F246*H246,IF(AND(G246,H246),C246*E246*G246*H246,IF(F246,C246*E246*F246,IF(G246,C246*E246*G246,IF(H246,C246*E246*H246,C246*E246))))))),2)</f>
        <v>125.4</v>
      </c>
      <c r="J246" s="550" t="s">
        <v>102</v>
      </c>
      <c r="K246" s="39"/>
      <c r="L246" s="208"/>
      <c r="M246" s="39"/>
      <c r="N246" s="533" t="s">
        <v>2297</v>
      </c>
    </row>
    <row r="247" spans="1:14" s="541" customFormat="1" ht="16.5" customHeight="1">
      <c r="A247" s="16"/>
      <c r="B247" s="39"/>
      <c r="C247" s="534">
        <v>1</v>
      </c>
      <c r="D247" s="536" t="s">
        <v>273</v>
      </c>
      <c r="E247" s="537">
        <v>1</v>
      </c>
      <c r="F247" s="538">
        <v>3.52</v>
      </c>
      <c r="G247" s="538">
        <v>0.92</v>
      </c>
      <c r="H247" s="538">
        <v>0</v>
      </c>
      <c r="I247" s="542">
        <f>ROUND(IF(AND(F247:H247),C247*E247*F247*G247*H247,IF(AND(F247,G247),C247*E247*F247*G247,IF(AND(F247,H247),C247*E247*F247*H247,IF(AND(G247,H247),C247*E247*G247*H247,IF(F247,C247*E247*F247,IF(G247,C247*E247*G247,IF(H247,C247*E247*H247,C247*E247))))))),2)</f>
        <v>3.24</v>
      </c>
      <c r="J247" s="550" t="s">
        <v>102</v>
      </c>
      <c r="K247" s="39"/>
      <c r="L247" s="208"/>
      <c r="M247" s="39"/>
      <c r="N247" s="533" t="s">
        <v>2297</v>
      </c>
    </row>
    <row r="248" spans="1:14" s="541" customFormat="1" ht="16.5" customHeight="1">
      <c r="A248" s="16"/>
      <c r="B248" s="544"/>
      <c r="C248" s="545"/>
      <c r="D248" s="546"/>
      <c r="E248" s="547"/>
      <c r="F248" s="548"/>
      <c r="G248" s="548"/>
      <c r="H248" s="548"/>
      <c r="I248" s="549"/>
      <c r="J248" s="550"/>
      <c r="K248" s="39"/>
      <c r="L248" s="208"/>
      <c r="M248" s="39"/>
      <c r="N248" s="533" t="s">
        <v>2297</v>
      </c>
    </row>
    <row r="249" spans="1:14" ht="15.75">
      <c r="A249" s="16"/>
      <c r="B249" s="39"/>
      <c r="C249" s="551"/>
      <c r="D249" s="552"/>
      <c r="E249" s="537"/>
      <c r="F249" s="538"/>
      <c r="G249" s="40"/>
      <c r="H249" s="16"/>
      <c r="I249" s="549"/>
      <c r="J249" s="550" t="s">
        <v>102</v>
      </c>
      <c r="K249" s="10">
        <f>data!G1500</f>
        <v>414.32</v>
      </c>
      <c r="L249" s="208" t="s">
        <v>2297</v>
      </c>
      <c r="M249" s="9">
        <f>ROUND(I249*K249,0)</f>
        <v>0</v>
      </c>
      <c r="N249" s="533" t="s">
        <v>2297</v>
      </c>
    </row>
    <row r="250" spans="1:14" ht="64.5" customHeight="1">
      <c r="A250" s="16">
        <v>13</v>
      </c>
      <c r="B250" s="1633" t="s">
        <v>1313</v>
      </c>
      <c r="C250" s="1633"/>
      <c r="D250" s="1633"/>
      <c r="E250" s="1633"/>
      <c r="F250" s="1633"/>
      <c r="G250" s="1633"/>
      <c r="H250" s="1633"/>
      <c r="I250" s="534"/>
      <c r="J250" s="535"/>
      <c r="K250" s="16"/>
      <c r="L250" s="208"/>
      <c r="M250" s="38"/>
      <c r="N250" s="533" t="s">
        <v>2308</v>
      </c>
    </row>
    <row r="251" spans="1:14" s="541" customFormat="1" ht="16.5" customHeight="1">
      <c r="A251" s="16"/>
      <c r="B251" s="39" t="s">
        <v>2839</v>
      </c>
      <c r="C251" s="534"/>
      <c r="D251" s="536"/>
      <c r="E251" s="537"/>
      <c r="F251" s="538"/>
      <c r="G251" s="538"/>
      <c r="H251" s="538"/>
      <c r="I251" s="539"/>
      <c r="J251" s="550"/>
      <c r="K251" s="39"/>
      <c r="L251" s="208"/>
      <c r="M251" s="39"/>
      <c r="N251" s="533" t="s">
        <v>2308</v>
      </c>
    </row>
    <row r="252" spans="1:14" s="541" customFormat="1" ht="16.5" customHeight="1">
      <c r="A252" s="16"/>
      <c r="B252" s="39"/>
      <c r="C252" s="534">
        <v>1</v>
      </c>
      <c r="D252" s="536" t="s">
        <v>273</v>
      </c>
      <c r="E252" s="537">
        <v>1</v>
      </c>
      <c r="F252" s="538">
        <v>10.45</v>
      </c>
      <c r="G252" s="538">
        <v>12</v>
      </c>
      <c r="H252" s="538">
        <v>0</v>
      </c>
      <c r="I252" s="542">
        <f>ROUND(IF(AND(F252:H252),C252*E252*F252*G252*H252,IF(AND(F252,G252),C252*E252*F252*G252,IF(AND(F252,H252),C252*E252*F252*H252,IF(AND(G252,H252),C252*E252*G252*H252,IF(F252,C252*E252*F252,IF(G252,C252*E252*G252,IF(H252,C252*E252*H252,C252*E252))))))),2)</f>
        <v>125.4</v>
      </c>
      <c r="J252" s="550" t="s">
        <v>102</v>
      </c>
      <c r="K252" s="39"/>
      <c r="L252" s="208"/>
      <c r="M252" s="39"/>
      <c r="N252" s="533" t="s">
        <v>2308</v>
      </c>
    </row>
    <row r="253" spans="1:14" s="541" customFormat="1" ht="16.5" customHeight="1">
      <c r="A253" s="16"/>
      <c r="B253" s="39"/>
      <c r="C253" s="534">
        <v>1</v>
      </c>
      <c r="D253" s="536" t="s">
        <v>273</v>
      </c>
      <c r="E253" s="537">
        <v>1</v>
      </c>
      <c r="F253" s="538">
        <v>3.52</v>
      </c>
      <c r="G253" s="538">
        <v>0.92</v>
      </c>
      <c r="H253" s="538">
        <v>0</v>
      </c>
      <c r="I253" s="542">
        <f>ROUND(IF(AND(F253:H253),C253*E253*F253*G253*H253,IF(AND(F253,G253),C253*E253*F253*G253,IF(AND(F253,H253),C253*E253*F253*H253,IF(AND(G253,H253),C253*E253*G253*H253,IF(F253,C253*E253*F253,IF(G253,C253*E253*G253,IF(H253,C253*E253*H253,C253*E253))))))),2)</f>
        <v>3.24</v>
      </c>
      <c r="J253" s="550" t="s">
        <v>102</v>
      </c>
      <c r="K253" s="39"/>
      <c r="L253" s="208"/>
      <c r="M253" s="39"/>
      <c r="N253" s="533" t="s">
        <v>2308</v>
      </c>
    </row>
    <row r="254" spans="1:14" s="541" customFormat="1" ht="16.5" customHeight="1">
      <c r="A254" s="16"/>
      <c r="B254" s="544"/>
      <c r="C254" s="545"/>
      <c r="D254" s="546"/>
      <c r="E254" s="547"/>
      <c r="F254" s="548"/>
      <c r="G254" s="548"/>
      <c r="H254" s="548"/>
      <c r="I254" s="549"/>
      <c r="J254" s="550"/>
      <c r="K254" s="39"/>
      <c r="L254" s="208"/>
      <c r="M254" s="39"/>
      <c r="N254" s="533" t="s">
        <v>2308</v>
      </c>
    </row>
    <row r="255" spans="1:14" ht="15.75">
      <c r="A255" s="16"/>
      <c r="B255" s="39"/>
      <c r="C255" s="551"/>
      <c r="D255" s="552"/>
      <c r="E255" s="537"/>
      <c r="F255" s="538"/>
      <c r="G255" s="40"/>
      <c r="H255" s="16"/>
      <c r="I255" s="549"/>
      <c r="J255" s="550" t="s">
        <v>102</v>
      </c>
      <c r="K255" s="10">
        <f>data!G2417</f>
        <v>440.9</v>
      </c>
      <c r="L255" s="208" t="s">
        <v>2308</v>
      </c>
      <c r="M255" s="9">
        <f>ROUND(I255*K255,0)</f>
        <v>0</v>
      </c>
      <c r="N255" s="533" t="s">
        <v>2308</v>
      </c>
    </row>
    <row r="256" spans="1:14" ht="64.5" customHeight="1">
      <c r="A256" s="16">
        <v>13</v>
      </c>
      <c r="B256" s="1633" t="s">
        <v>1313</v>
      </c>
      <c r="C256" s="1633"/>
      <c r="D256" s="1633"/>
      <c r="E256" s="1633"/>
      <c r="F256" s="1633"/>
      <c r="G256" s="1633"/>
      <c r="H256" s="1633"/>
      <c r="I256" s="534"/>
      <c r="J256" s="535"/>
      <c r="K256" s="16"/>
      <c r="L256" s="208"/>
      <c r="M256" s="38"/>
      <c r="N256" s="533" t="s">
        <v>2309</v>
      </c>
    </row>
    <row r="257" spans="1:14" s="541" customFormat="1" ht="16.5" customHeight="1">
      <c r="A257" s="16"/>
      <c r="B257" s="39" t="s">
        <v>2839</v>
      </c>
      <c r="C257" s="534"/>
      <c r="D257" s="536"/>
      <c r="E257" s="537"/>
      <c r="F257" s="538"/>
      <c r="G257" s="538"/>
      <c r="H257" s="538"/>
      <c r="I257" s="539"/>
      <c r="J257" s="550"/>
      <c r="K257" s="39"/>
      <c r="L257" s="208"/>
      <c r="M257" s="39"/>
      <c r="N257" s="533" t="s">
        <v>2309</v>
      </c>
    </row>
    <row r="258" spans="1:14" s="541" customFormat="1" ht="16.5" customHeight="1">
      <c r="A258" s="16"/>
      <c r="B258" s="39"/>
      <c r="C258" s="534">
        <v>1</v>
      </c>
      <c r="D258" s="536" t="s">
        <v>273</v>
      </c>
      <c r="E258" s="537">
        <v>1</v>
      </c>
      <c r="F258" s="538">
        <v>10.45</v>
      </c>
      <c r="G258" s="538">
        <v>12</v>
      </c>
      <c r="H258" s="538">
        <v>0</v>
      </c>
      <c r="I258" s="542">
        <f>ROUND(IF(AND(F258:H258),C258*E258*F258*G258*H258,IF(AND(F258,G258),C258*E258*F258*G258,IF(AND(F258,H258),C258*E258*F258*H258,IF(AND(G258,H258),C258*E258*G258*H258,IF(F258,C258*E258*F258,IF(G258,C258*E258*G258,IF(H258,C258*E258*H258,C258*E258))))))),2)</f>
        <v>125.4</v>
      </c>
      <c r="J258" s="550" t="s">
        <v>102</v>
      </c>
      <c r="K258" s="39"/>
      <c r="L258" s="208"/>
      <c r="M258" s="39"/>
      <c r="N258" s="533" t="s">
        <v>2309</v>
      </c>
    </row>
    <row r="259" spans="1:14" s="541" customFormat="1" ht="16.5" customHeight="1">
      <c r="A259" s="16"/>
      <c r="B259" s="39"/>
      <c r="C259" s="534">
        <v>1</v>
      </c>
      <c r="D259" s="536" t="s">
        <v>273</v>
      </c>
      <c r="E259" s="537">
        <v>1</v>
      </c>
      <c r="F259" s="538">
        <v>3.52</v>
      </c>
      <c r="G259" s="538">
        <v>0.92</v>
      </c>
      <c r="H259" s="538">
        <v>0</v>
      </c>
      <c r="I259" s="542">
        <f>ROUND(IF(AND(F259:H259),C259*E259*F259*G259*H259,IF(AND(F259,G259),C259*E259*F259*G259,IF(AND(F259,H259),C259*E259*F259*H259,IF(AND(G259,H259),C259*E259*G259*H259,IF(F259,C259*E259*F259,IF(G259,C259*E259*G259,IF(H259,C259*E259*H259,C259*E259))))))),2)</f>
        <v>3.24</v>
      </c>
      <c r="J259" s="550" t="s">
        <v>102</v>
      </c>
      <c r="K259" s="39"/>
      <c r="L259" s="208"/>
      <c r="M259" s="39"/>
      <c r="N259" s="533" t="s">
        <v>2309</v>
      </c>
    </row>
    <row r="260" spans="1:14" s="541" customFormat="1" ht="16.5" customHeight="1">
      <c r="A260" s="16"/>
      <c r="B260" s="544"/>
      <c r="C260" s="545"/>
      <c r="D260" s="546"/>
      <c r="E260" s="547"/>
      <c r="F260" s="548"/>
      <c r="G260" s="548"/>
      <c r="H260" s="548"/>
      <c r="I260" s="549"/>
      <c r="J260" s="550"/>
      <c r="K260" s="39"/>
      <c r="L260" s="208"/>
      <c r="M260" s="39"/>
      <c r="N260" s="533" t="s">
        <v>2309</v>
      </c>
    </row>
    <row r="261" spans="1:14" ht="15.75">
      <c r="A261" s="16"/>
      <c r="B261" s="39"/>
      <c r="C261" s="551"/>
      <c r="D261" s="552"/>
      <c r="E261" s="537"/>
      <c r="F261" s="538"/>
      <c r="G261" s="40"/>
      <c r="H261" s="16"/>
      <c r="I261" s="549"/>
      <c r="J261" s="550" t="s">
        <v>102</v>
      </c>
      <c r="K261" s="10">
        <f>data!G3334</f>
        <v>470.34</v>
      </c>
      <c r="L261" s="208" t="s">
        <v>2309</v>
      </c>
      <c r="M261" s="9">
        <f>ROUND(I261*K261,0)</f>
        <v>0</v>
      </c>
      <c r="N261" s="533" t="s">
        <v>2309</v>
      </c>
    </row>
    <row r="262" spans="1:14" ht="69.75" customHeight="1">
      <c r="A262" s="16">
        <v>15</v>
      </c>
      <c r="B262" s="1633" t="s">
        <v>306</v>
      </c>
      <c r="C262" s="1633"/>
      <c r="D262" s="1633"/>
      <c r="E262" s="1633"/>
      <c r="F262" s="1633"/>
      <c r="G262" s="1633"/>
      <c r="H262" s="1633"/>
      <c r="I262" s="534"/>
      <c r="J262" s="535"/>
      <c r="K262" s="16"/>
      <c r="L262" s="208"/>
      <c r="M262" s="38"/>
      <c r="N262" s="533" t="s">
        <v>2209</v>
      </c>
    </row>
    <row r="263" spans="1:14" s="541" customFormat="1" ht="16.5" customHeight="1">
      <c r="A263" s="16"/>
      <c r="B263" s="39" t="s">
        <v>2805</v>
      </c>
      <c r="C263" s="534"/>
      <c r="D263" s="536"/>
      <c r="E263" s="537"/>
      <c r="F263" s="538"/>
      <c r="G263" s="538"/>
      <c r="H263" s="538"/>
      <c r="I263" s="539"/>
      <c r="J263" s="550"/>
      <c r="K263" s="39"/>
      <c r="L263" s="208"/>
      <c r="M263" s="39"/>
      <c r="N263" s="533" t="s">
        <v>2209</v>
      </c>
    </row>
    <row r="264" spans="1:14" s="541" customFormat="1" ht="16.5" customHeight="1">
      <c r="A264" s="16"/>
      <c r="B264" s="39" t="s">
        <v>809</v>
      </c>
      <c r="C264" s="534">
        <v>1</v>
      </c>
      <c r="D264" s="536" t="s">
        <v>273</v>
      </c>
      <c r="E264" s="537">
        <v>1</v>
      </c>
      <c r="F264" s="538">
        <v>12.73</v>
      </c>
      <c r="G264" s="538">
        <v>0.45</v>
      </c>
      <c r="H264" s="538">
        <v>1.3</v>
      </c>
      <c r="I264" s="542">
        <f>ROUND(IF(AND(F264:H264),C264*E264*F264*G264*H264,IF(AND(F264,G264),C264*E264*F264*G264,IF(AND(F264,H264),C264*E264*F264*H264,IF(AND(G264,H264),C264*E264*G264*H264,IF(F264,C264*E264*F264,IF(G264,C264*E264*G264,IF(H264,C264*E264*H264,C264*E264))))))),2)</f>
        <v>7.45</v>
      </c>
      <c r="J264" s="550" t="s">
        <v>5</v>
      </c>
      <c r="K264" s="39"/>
      <c r="L264" s="208"/>
      <c r="M264" s="39"/>
      <c r="N264" s="533" t="s">
        <v>2209</v>
      </c>
    </row>
    <row r="265" spans="1:14" s="541" customFormat="1" ht="16.5" customHeight="1">
      <c r="A265" s="16"/>
      <c r="B265" s="39" t="s">
        <v>810</v>
      </c>
      <c r="C265" s="534">
        <v>1</v>
      </c>
      <c r="D265" s="536" t="s">
        <v>273</v>
      </c>
      <c r="E265" s="537">
        <v>1</v>
      </c>
      <c r="F265" s="538">
        <v>5.45</v>
      </c>
      <c r="G265" s="538">
        <v>0.9</v>
      </c>
      <c r="H265" s="538">
        <v>0.35</v>
      </c>
      <c r="I265" s="542">
        <f t="shared" ref="I265:I267" si="7">ROUND(IF(AND(F265:H265),C265*E265*F265*G265*H265,IF(AND(F265,G265),C265*E265*F265*G265,IF(AND(F265,H265),C265*E265*F265*H265,IF(AND(G265,H265),C265*E265*G265*H265,IF(F265,C265*E265*F265,IF(G265,C265*E265*G265,IF(H265,C265*E265*H265,C265*E265))))))),2)</f>
        <v>1.72</v>
      </c>
      <c r="J265" s="550" t="s">
        <v>5</v>
      </c>
      <c r="K265" s="39"/>
      <c r="L265" s="208"/>
      <c r="M265" s="39"/>
      <c r="N265" s="533" t="s">
        <v>2209</v>
      </c>
    </row>
    <row r="266" spans="1:14" s="541" customFormat="1" ht="16.5" customHeight="1">
      <c r="A266" s="16"/>
      <c r="B266" s="39" t="s">
        <v>811</v>
      </c>
      <c r="C266" s="534">
        <v>1</v>
      </c>
      <c r="D266" s="536" t="s">
        <v>273</v>
      </c>
      <c r="E266" s="537">
        <v>1</v>
      </c>
      <c r="F266" s="538">
        <v>5.45</v>
      </c>
      <c r="G266" s="538">
        <v>0.6</v>
      </c>
      <c r="H266" s="538">
        <v>0.15</v>
      </c>
      <c r="I266" s="542">
        <f t="shared" si="7"/>
        <v>0.49</v>
      </c>
      <c r="J266" s="550" t="s">
        <v>5</v>
      </c>
      <c r="K266" s="39"/>
      <c r="L266" s="208"/>
      <c r="M266" s="39"/>
      <c r="N266" s="533" t="s">
        <v>2209</v>
      </c>
    </row>
    <row r="267" spans="1:14" s="541" customFormat="1" ht="16.5" customHeight="1">
      <c r="A267" s="16"/>
      <c r="B267" s="39" t="s">
        <v>812</v>
      </c>
      <c r="C267" s="534">
        <v>1</v>
      </c>
      <c r="D267" s="536" t="s">
        <v>273</v>
      </c>
      <c r="E267" s="537">
        <v>1</v>
      </c>
      <c r="F267" s="538">
        <v>5.45</v>
      </c>
      <c r="G267" s="538">
        <v>0.3</v>
      </c>
      <c r="H267" s="538">
        <v>0.15</v>
      </c>
      <c r="I267" s="542">
        <f t="shared" si="7"/>
        <v>0.25</v>
      </c>
      <c r="J267" s="550" t="s">
        <v>5</v>
      </c>
      <c r="K267" s="39"/>
      <c r="L267" s="208"/>
      <c r="M267" s="39"/>
      <c r="N267" s="533" t="s">
        <v>2209</v>
      </c>
    </row>
    <row r="268" spans="1:14" s="541" customFormat="1" ht="16.5" customHeight="1">
      <c r="A268" s="16"/>
      <c r="B268" s="544"/>
      <c r="C268" s="545"/>
      <c r="D268" s="546"/>
      <c r="E268" s="547"/>
      <c r="F268" s="548"/>
      <c r="G268" s="548"/>
      <c r="H268" s="548"/>
      <c r="I268" s="549"/>
      <c r="J268" s="550"/>
      <c r="K268" s="39"/>
      <c r="L268" s="208"/>
      <c r="M268" s="39"/>
      <c r="N268" s="533" t="s">
        <v>2209</v>
      </c>
    </row>
    <row r="269" spans="1:14" ht="15.75">
      <c r="A269" s="16"/>
      <c r="B269" s="39"/>
      <c r="C269" s="551"/>
      <c r="D269" s="552"/>
      <c r="E269" s="537"/>
      <c r="F269" s="538"/>
      <c r="G269" s="40"/>
      <c r="H269" s="16"/>
      <c r="I269" s="549"/>
      <c r="J269" s="550" t="s">
        <v>5</v>
      </c>
      <c r="K269" s="10">
        <f>data!G393</f>
        <v>6250.6100000000015</v>
      </c>
      <c r="L269" s="208" t="s">
        <v>2209</v>
      </c>
      <c r="M269" s="9">
        <f>ROUND(I269*K269,0)</f>
        <v>0</v>
      </c>
      <c r="N269" s="533" t="s">
        <v>2209</v>
      </c>
    </row>
    <row r="270" spans="1:14" ht="69.75" customHeight="1">
      <c r="A270" s="16">
        <v>4</v>
      </c>
      <c r="B270" s="1633" t="s">
        <v>306</v>
      </c>
      <c r="C270" s="1633"/>
      <c r="D270" s="1633"/>
      <c r="E270" s="1633"/>
      <c r="F270" s="1633"/>
      <c r="G270" s="1633"/>
      <c r="H270" s="1633"/>
      <c r="I270" s="534"/>
      <c r="J270" s="535"/>
      <c r="K270" s="16"/>
      <c r="L270" s="208"/>
      <c r="M270" s="38"/>
      <c r="N270" s="533" t="s">
        <v>2297</v>
      </c>
    </row>
    <row r="271" spans="1:14" s="541" customFormat="1" ht="16.5" customHeight="1">
      <c r="A271" s="16"/>
      <c r="B271" s="39" t="s">
        <v>2806</v>
      </c>
      <c r="C271" s="534"/>
      <c r="D271" s="536"/>
      <c r="E271" s="537"/>
      <c r="F271" s="538"/>
      <c r="G271" s="538"/>
      <c r="H271" s="538"/>
      <c r="I271" s="539"/>
      <c r="J271" s="550"/>
      <c r="K271" s="39"/>
      <c r="L271" s="208"/>
      <c r="M271" s="39"/>
      <c r="N271" s="533" t="s">
        <v>2297</v>
      </c>
    </row>
    <row r="272" spans="1:14" s="541" customFormat="1" ht="16.5" customHeight="1">
      <c r="A272" s="16"/>
      <c r="B272" s="39" t="s">
        <v>2719</v>
      </c>
      <c r="C272" s="534">
        <v>1</v>
      </c>
      <c r="D272" s="536" t="s">
        <v>273</v>
      </c>
      <c r="E272" s="537">
        <v>10</v>
      </c>
      <c r="F272" s="538">
        <v>0.45</v>
      </c>
      <c r="G272" s="538">
        <v>0.2</v>
      </c>
      <c r="H272" s="538">
        <v>0.45</v>
      </c>
      <c r="I272" s="542">
        <f>ROUND(IF(AND(F272:H272),C272*E272*F272*G272*H272,IF(AND(F272,G272),C272*E272*F272*G272,IF(AND(F272,H272),C272*E272*F272*H272,IF(AND(G272,H272),C272*E272*G272*H272,IF(F272,C272*E272*F272,IF(G272,C272*E272*G272,IF(H272,C272*E272*H272,C272*E272))))))),2)</f>
        <v>0.41</v>
      </c>
      <c r="J272" s="550" t="s">
        <v>5</v>
      </c>
      <c r="K272" s="39"/>
      <c r="L272" s="208"/>
      <c r="M272" s="39"/>
      <c r="N272" s="533" t="s">
        <v>2297</v>
      </c>
    </row>
    <row r="273" spans="1:14" s="541" customFormat="1" ht="16.5" customHeight="1">
      <c r="A273" s="16"/>
      <c r="B273" s="544"/>
      <c r="C273" s="545"/>
      <c r="D273" s="546"/>
      <c r="E273" s="547"/>
      <c r="F273" s="548"/>
      <c r="G273" s="548"/>
      <c r="H273" s="548"/>
      <c r="I273" s="549"/>
      <c r="J273" s="550"/>
      <c r="K273" s="39"/>
      <c r="L273" s="208"/>
      <c r="M273" s="39"/>
      <c r="N273" s="533" t="s">
        <v>2297</v>
      </c>
    </row>
    <row r="274" spans="1:14" ht="15.75">
      <c r="A274" s="16"/>
      <c r="B274" s="39"/>
      <c r="C274" s="551"/>
      <c r="D274" s="552"/>
      <c r="E274" s="537"/>
      <c r="F274" s="538"/>
      <c r="G274" s="40"/>
      <c r="H274" s="16"/>
      <c r="I274" s="549"/>
      <c r="J274" s="550" t="s">
        <v>5</v>
      </c>
      <c r="K274" s="10">
        <f>data!G1310</f>
        <v>6435.4299999999994</v>
      </c>
      <c r="L274" s="208" t="s">
        <v>2297</v>
      </c>
      <c r="M274" s="9">
        <f>ROUND(I274*K274,0)</f>
        <v>0</v>
      </c>
      <c r="N274" s="533" t="s">
        <v>2297</v>
      </c>
    </row>
    <row r="275" spans="1:14" ht="69.75" customHeight="1">
      <c r="A275" s="16">
        <v>15</v>
      </c>
      <c r="B275" s="1633" t="s">
        <v>306</v>
      </c>
      <c r="C275" s="1633"/>
      <c r="D275" s="1633"/>
      <c r="E275" s="1633"/>
      <c r="F275" s="1633"/>
      <c r="G275" s="1633"/>
      <c r="H275" s="1633"/>
      <c r="I275" s="534"/>
      <c r="J275" s="535"/>
      <c r="K275" s="16"/>
      <c r="L275" s="208"/>
      <c r="M275" s="38"/>
      <c r="N275" s="533" t="s">
        <v>2308</v>
      </c>
    </row>
    <row r="276" spans="1:14" s="541" customFormat="1" ht="16.5" customHeight="1">
      <c r="A276" s="16"/>
      <c r="B276" s="39" t="s">
        <v>2805</v>
      </c>
      <c r="C276" s="534"/>
      <c r="D276" s="536"/>
      <c r="E276" s="537"/>
      <c r="F276" s="538"/>
      <c r="G276" s="538"/>
      <c r="H276" s="538"/>
      <c r="I276" s="539"/>
      <c r="J276" s="550"/>
      <c r="K276" s="39"/>
      <c r="L276" s="208"/>
      <c r="M276" s="39"/>
      <c r="N276" s="533" t="s">
        <v>2308</v>
      </c>
    </row>
    <row r="277" spans="1:14" s="541" customFormat="1" ht="16.5" customHeight="1">
      <c r="A277" s="16"/>
      <c r="B277" s="39" t="s">
        <v>809</v>
      </c>
      <c r="C277" s="534">
        <v>1</v>
      </c>
      <c r="D277" s="536" t="s">
        <v>273</v>
      </c>
      <c r="E277" s="537">
        <v>1</v>
      </c>
      <c r="F277" s="538">
        <v>12.73</v>
      </c>
      <c r="G277" s="538">
        <v>0.45</v>
      </c>
      <c r="H277" s="538">
        <v>1.3</v>
      </c>
      <c r="I277" s="542">
        <f>ROUND(IF(AND(F277:H277),C277*E277*F277*G277*H277,IF(AND(F277,G277),C277*E277*F277*G277,IF(AND(F277,H277),C277*E277*F277*H277,IF(AND(G277,H277),C277*E277*G277*H277,IF(F277,C277*E277*F277,IF(G277,C277*E277*G277,IF(H277,C277*E277*H277,C277*E277))))))),2)</f>
        <v>7.45</v>
      </c>
      <c r="J277" s="550" t="s">
        <v>5</v>
      </c>
      <c r="K277" s="39"/>
      <c r="L277" s="208"/>
      <c r="M277" s="39"/>
      <c r="N277" s="533" t="s">
        <v>2308</v>
      </c>
    </row>
    <row r="278" spans="1:14" s="541" customFormat="1" ht="16.5" customHeight="1">
      <c r="A278" s="16"/>
      <c r="B278" s="39" t="s">
        <v>810</v>
      </c>
      <c r="C278" s="534">
        <v>1</v>
      </c>
      <c r="D278" s="536" t="s">
        <v>273</v>
      </c>
      <c r="E278" s="537">
        <v>1</v>
      </c>
      <c r="F278" s="538">
        <v>5.45</v>
      </c>
      <c r="G278" s="538">
        <v>0.9</v>
      </c>
      <c r="H278" s="538">
        <v>0.35</v>
      </c>
      <c r="I278" s="542">
        <f>ROUND(IF(AND(F278:H278),C278*E278*F278*G278*H278,IF(AND(F278,G278),C278*E278*F278*G278,IF(AND(F278,H278),C278*E278*F278*H278,IF(AND(G278,H278),C278*E278*G278*H278,IF(F278,C278*E278*F278,IF(G278,C278*E278*G278,IF(H278,C278*E278*H278,C278*E278))))))),2)</f>
        <v>1.72</v>
      </c>
      <c r="J278" s="550" t="s">
        <v>5</v>
      </c>
      <c r="K278" s="39"/>
      <c r="L278" s="208"/>
      <c r="M278" s="39"/>
      <c r="N278" s="533" t="s">
        <v>2308</v>
      </c>
    </row>
    <row r="279" spans="1:14" s="541" customFormat="1" ht="16.5" customHeight="1">
      <c r="A279" s="16"/>
      <c r="B279" s="39" t="s">
        <v>811</v>
      </c>
      <c r="C279" s="534">
        <v>1</v>
      </c>
      <c r="D279" s="536" t="s">
        <v>273</v>
      </c>
      <c r="E279" s="537">
        <v>1</v>
      </c>
      <c r="F279" s="538">
        <v>5.45</v>
      </c>
      <c r="G279" s="538">
        <v>0.6</v>
      </c>
      <c r="H279" s="538">
        <v>0.15</v>
      </c>
      <c r="I279" s="542">
        <f>ROUND(IF(AND(F279:H279),C279*E279*F279*G279*H279,IF(AND(F279,G279),C279*E279*F279*G279,IF(AND(F279,H279),C279*E279*F279*H279,IF(AND(G279,H279),C279*E279*G279*H279,IF(F279,C279*E279*F279,IF(G279,C279*E279*G279,IF(H279,C279*E279*H279,C279*E279))))))),2)</f>
        <v>0.49</v>
      </c>
      <c r="J279" s="550" t="s">
        <v>5</v>
      </c>
      <c r="K279" s="39"/>
      <c r="L279" s="208"/>
      <c r="M279" s="39"/>
      <c r="N279" s="533" t="s">
        <v>2308</v>
      </c>
    </row>
    <row r="280" spans="1:14" s="541" customFormat="1" ht="16.5" customHeight="1">
      <c r="A280" s="16"/>
      <c r="B280" s="39" t="s">
        <v>812</v>
      </c>
      <c r="C280" s="534">
        <v>1</v>
      </c>
      <c r="D280" s="536" t="s">
        <v>273</v>
      </c>
      <c r="E280" s="537">
        <v>1</v>
      </c>
      <c r="F280" s="538">
        <v>5.45</v>
      </c>
      <c r="G280" s="538">
        <v>0.3</v>
      </c>
      <c r="H280" s="538">
        <v>0.15</v>
      </c>
      <c r="I280" s="542">
        <f>ROUND(IF(AND(F280:H280),C280*E280*F280*G280*H280,IF(AND(F280,G280),C280*E280*F280*G280,IF(AND(F280,H280),C280*E280*F280*H280,IF(AND(G280,H280),C280*E280*G280*H280,IF(F280,C280*E280*F280,IF(G280,C280*E280*G280,IF(H280,C280*E280*H280,C280*E280))))))),2)</f>
        <v>0.25</v>
      </c>
      <c r="J280" s="550" t="s">
        <v>5</v>
      </c>
      <c r="K280" s="39"/>
      <c r="L280" s="208"/>
      <c r="M280" s="39"/>
      <c r="N280" s="533" t="s">
        <v>2308</v>
      </c>
    </row>
    <row r="281" spans="1:14" s="541" customFormat="1" ht="16.5" customHeight="1">
      <c r="A281" s="16"/>
      <c r="B281" s="544"/>
      <c r="C281" s="545"/>
      <c r="D281" s="546"/>
      <c r="E281" s="547"/>
      <c r="F281" s="548"/>
      <c r="G281" s="548"/>
      <c r="H281" s="548"/>
      <c r="I281" s="549"/>
      <c r="J281" s="550"/>
      <c r="K281" s="39"/>
      <c r="L281" s="208"/>
      <c r="M281" s="39"/>
      <c r="N281" s="533" t="s">
        <v>2308</v>
      </c>
    </row>
    <row r="282" spans="1:14" ht="15.75">
      <c r="A282" s="16"/>
      <c r="B282" s="39"/>
      <c r="C282" s="551"/>
      <c r="D282" s="552"/>
      <c r="E282" s="537"/>
      <c r="F282" s="538"/>
      <c r="G282" s="40"/>
      <c r="H282" s="16"/>
      <c r="I282" s="549"/>
      <c r="J282" s="550" t="s">
        <v>5</v>
      </c>
      <c r="K282" s="10">
        <f>data!G2227</f>
        <v>6881.41</v>
      </c>
      <c r="L282" s="208" t="s">
        <v>2308</v>
      </c>
      <c r="M282" s="9">
        <f>ROUND(I282*K282,0)</f>
        <v>0</v>
      </c>
      <c r="N282" s="533" t="s">
        <v>2308</v>
      </c>
    </row>
    <row r="283" spans="1:14" ht="69.75" customHeight="1">
      <c r="A283" s="16">
        <v>15</v>
      </c>
      <c r="B283" s="1633" t="s">
        <v>306</v>
      </c>
      <c r="C283" s="1633"/>
      <c r="D283" s="1633"/>
      <c r="E283" s="1633"/>
      <c r="F283" s="1633"/>
      <c r="G283" s="1633"/>
      <c r="H283" s="1633"/>
      <c r="I283" s="534"/>
      <c r="J283" s="535"/>
      <c r="K283" s="16"/>
      <c r="L283" s="208"/>
      <c r="M283" s="38"/>
      <c r="N283" s="533" t="s">
        <v>2309</v>
      </c>
    </row>
    <row r="284" spans="1:14" s="541" customFormat="1" ht="16.5" customHeight="1">
      <c r="A284" s="16"/>
      <c r="B284" s="39" t="s">
        <v>2805</v>
      </c>
      <c r="C284" s="534"/>
      <c r="D284" s="536"/>
      <c r="E284" s="537"/>
      <c r="F284" s="538"/>
      <c r="G284" s="538"/>
      <c r="H284" s="538"/>
      <c r="I284" s="539"/>
      <c r="J284" s="550"/>
      <c r="K284" s="39"/>
      <c r="L284" s="208"/>
      <c r="M284" s="39"/>
      <c r="N284" s="533" t="s">
        <v>2309</v>
      </c>
    </row>
    <row r="285" spans="1:14" s="541" customFormat="1" ht="16.5" customHeight="1">
      <c r="A285" s="16"/>
      <c r="B285" s="39" t="s">
        <v>809</v>
      </c>
      <c r="C285" s="534">
        <v>1</v>
      </c>
      <c r="D285" s="536" t="s">
        <v>273</v>
      </c>
      <c r="E285" s="537">
        <v>1</v>
      </c>
      <c r="F285" s="538">
        <v>12.73</v>
      </c>
      <c r="G285" s="538">
        <v>0.45</v>
      </c>
      <c r="H285" s="538">
        <v>1.3</v>
      </c>
      <c r="I285" s="542">
        <f>ROUND(IF(AND(F285:H285),C285*E285*F285*G285*H285,IF(AND(F285,G285),C285*E285*F285*G285,IF(AND(F285,H285),C285*E285*F285*H285,IF(AND(G285,H285),C285*E285*G285*H285,IF(F285,C285*E285*F285,IF(G285,C285*E285*G285,IF(H285,C285*E285*H285,C285*E285))))))),2)</f>
        <v>7.45</v>
      </c>
      <c r="J285" s="550" t="s">
        <v>5</v>
      </c>
      <c r="K285" s="39"/>
      <c r="L285" s="208"/>
      <c r="M285" s="39"/>
      <c r="N285" s="533" t="s">
        <v>2309</v>
      </c>
    </row>
    <row r="286" spans="1:14" s="541" customFormat="1" ht="16.5" customHeight="1">
      <c r="A286" s="16"/>
      <c r="B286" s="39" t="s">
        <v>810</v>
      </c>
      <c r="C286" s="534">
        <v>1</v>
      </c>
      <c r="D286" s="536" t="s">
        <v>273</v>
      </c>
      <c r="E286" s="537">
        <v>1</v>
      </c>
      <c r="F286" s="538">
        <v>5.45</v>
      </c>
      <c r="G286" s="538">
        <v>0.9</v>
      </c>
      <c r="H286" s="538">
        <v>0.35</v>
      </c>
      <c r="I286" s="542">
        <f>ROUND(IF(AND(F286:H286),C286*E286*F286*G286*H286,IF(AND(F286,G286),C286*E286*F286*G286,IF(AND(F286,H286),C286*E286*F286*H286,IF(AND(G286,H286),C286*E286*G286*H286,IF(F286,C286*E286*F286,IF(G286,C286*E286*G286,IF(H286,C286*E286*H286,C286*E286))))))),2)</f>
        <v>1.72</v>
      </c>
      <c r="J286" s="550" t="s">
        <v>5</v>
      </c>
      <c r="K286" s="39"/>
      <c r="L286" s="208"/>
      <c r="M286" s="39"/>
      <c r="N286" s="533" t="s">
        <v>2309</v>
      </c>
    </row>
    <row r="287" spans="1:14" s="541" customFormat="1" ht="16.5" customHeight="1">
      <c r="A287" s="16"/>
      <c r="B287" s="39" t="s">
        <v>811</v>
      </c>
      <c r="C287" s="534">
        <v>1</v>
      </c>
      <c r="D287" s="536" t="s">
        <v>273</v>
      </c>
      <c r="E287" s="537">
        <v>1</v>
      </c>
      <c r="F287" s="538">
        <v>5.45</v>
      </c>
      <c r="G287" s="538">
        <v>0.6</v>
      </c>
      <c r="H287" s="538">
        <v>0.15</v>
      </c>
      <c r="I287" s="542">
        <f>ROUND(IF(AND(F287:H287),C287*E287*F287*G287*H287,IF(AND(F287,G287),C287*E287*F287*G287,IF(AND(F287,H287),C287*E287*F287*H287,IF(AND(G287,H287),C287*E287*G287*H287,IF(F287,C287*E287*F287,IF(G287,C287*E287*G287,IF(H287,C287*E287*H287,C287*E287))))))),2)</f>
        <v>0.49</v>
      </c>
      <c r="J287" s="550" t="s">
        <v>5</v>
      </c>
      <c r="K287" s="39"/>
      <c r="L287" s="208"/>
      <c r="M287" s="39"/>
      <c r="N287" s="533" t="s">
        <v>2309</v>
      </c>
    </row>
    <row r="288" spans="1:14" s="541" customFormat="1" ht="16.5" customHeight="1">
      <c r="A288" s="16"/>
      <c r="B288" s="39" t="s">
        <v>812</v>
      </c>
      <c r="C288" s="534">
        <v>1</v>
      </c>
      <c r="D288" s="536" t="s">
        <v>273</v>
      </c>
      <c r="E288" s="537">
        <v>1</v>
      </c>
      <c r="F288" s="538">
        <v>5.45</v>
      </c>
      <c r="G288" s="538">
        <v>0.3</v>
      </c>
      <c r="H288" s="538">
        <v>0.15</v>
      </c>
      <c r="I288" s="542">
        <f>ROUND(IF(AND(F288:H288),C288*E288*F288*G288*H288,IF(AND(F288,G288),C288*E288*F288*G288,IF(AND(F288,H288),C288*E288*F288*H288,IF(AND(G288,H288),C288*E288*G288*H288,IF(F288,C288*E288*F288,IF(G288,C288*E288*G288,IF(H288,C288*E288*H288,C288*E288))))))),2)</f>
        <v>0.25</v>
      </c>
      <c r="J288" s="550" t="s">
        <v>5</v>
      </c>
      <c r="K288" s="39"/>
      <c r="L288" s="208"/>
      <c r="M288" s="39"/>
      <c r="N288" s="533" t="s">
        <v>2309</v>
      </c>
    </row>
    <row r="289" spans="1:14" s="541" customFormat="1" ht="16.5" customHeight="1">
      <c r="A289" s="16"/>
      <c r="B289" s="544"/>
      <c r="C289" s="545"/>
      <c r="D289" s="546"/>
      <c r="E289" s="547"/>
      <c r="F289" s="548"/>
      <c r="G289" s="548"/>
      <c r="H289" s="548"/>
      <c r="I289" s="549"/>
      <c r="J289" s="550"/>
      <c r="K289" s="39"/>
      <c r="L289" s="208"/>
      <c r="M289" s="39"/>
      <c r="N289" s="533" t="s">
        <v>2309</v>
      </c>
    </row>
    <row r="290" spans="1:14" ht="15.75">
      <c r="A290" s="16"/>
      <c r="B290" s="39"/>
      <c r="C290" s="551"/>
      <c r="D290" s="552"/>
      <c r="E290" s="537"/>
      <c r="F290" s="538"/>
      <c r="G290" s="40"/>
      <c r="H290" s="16"/>
      <c r="I290" s="549"/>
      <c r="J290" s="550" t="s">
        <v>5</v>
      </c>
      <c r="K290" s="10">
        <f>data!G3144</f>
        <v>7616.9999999999991</v>
      </c>
      <c r="L290" s="208" t="s">
        <v>2309</v>
      </c>
      <c r="M290" s="9">
        <f>ROUND(I290*K290,0)</f>
        <v>0</v>
      </c>
      <c r="N290" s="533" t="s">
        <v>2309</v>
      </c>
    </row>
    <row r="291" spans="1:14" ht="69.75" customHeight="1">
      <c r="A291" s="16">
        <v>4</v>
      </c>
      <c r="B291" s="1633" t="s">
        <v>649</v>
      </c>
      <c r="C291" s="1633"/>
      <c r="D291" s="1633"/>
      <c r="E291" s="1633"/>
      <c r="F291" s="1633"/>
      <c r="G291" s="1633"/>
      <c r="H291" s="1633"/>
      <c r="I291" s="534"/>
      <c r="J291" s="535"/>
      <c r="K291" s="16"/>
      <c r="L291" s="208"/>
      <c r="M291" s="38"/>
      <c r="N291" s="533" t="s">
        <v>2209</v>
      </c>
    </row>
    <row r="292" spans="1:14" s="541" customFormat="1" ht="16.5" customHeight="1">
      <c r="A292" s="16"/>
      <c r="B292" s="39" t="s">
        <v>3014</v>
      </c>
      <c r="C292" s="534"/>
      <c r="D292" s="858" t="s">
        <v>3248</v>
      </c>
      <c r="E292" s="537"/>
      <c r="F292" s="538"/>
      <c r="G292" s="538"/>
      <c r="H292" s="538"/>
      <c r="I292" s="539"/>
      <c r="J292" s="550"/>
      <c r="K292" s="39"/>
      <c r="L292" s="208"/>
      <c r="M292" s="39"/>
      <c r="N292" s="533" t="s">
        <v>2209</v>
      </c>
    </row>
    <row r="293" spans="1:14" s="541" customFormat="1" ht="16.5" customHeight="1">
      <c r="A293" s="16"/>
      <c r="B293" s="39" t="s">
        <v>2129</v>
      </c>
      <c r="C293" s="534">
        <v>1</v>
      </c>
      <c r="D293" s="536" t="s">
        <v>273</v>
      </c>
      <c r="E293" s="537">
        <v>2</v>
      </c>
      <c r="F293" s="538">
        <v>4.5</v>
      </c>
      <c r="G293" s="538">
        <v>0.23</v>
      </c>
      <c r="H293" s="538">
        <v>2.35</v>
      </c>
      <c r="I293" s="542">
        <f t="shared" ref="I293:I294" si="8">ROUND(IF(AND(F293:H293),C293*E293*F293*G293*H293,IF(AND(F293,G293),C293*E293*F293*G293,IF(AND(F293,H293),C293*E293*F293*H293,IF(AND(G293,H293),C293*E293*G293*H293,IF(F293,C293*E293*F293,IF(G293,C293*E293*G293,IF(H293,C293*E293*H293,C293*E293))))))),2)</f>
        <v>4.8600000000000003</v>
      </c>
      <c r="J293" s="550" t="s">
        <v>5</v>
      </c>
      <c r="K293" s="39"/>
      <c r="L293" s="208"/>
      <c r="M293" s="39"/>
      <c r="N293" s="533" t="s">
        <v>2209</v>
      </c>
    </row>
    <row r="294" spans="1:14" s="541" customFormat="1" ht="16.5" customHeight="1">
      <c r="A294" s="16"/>
      <c r="B294" s="39" t="s">
        <v>3050</v>
      </c>
      <c r="C294" s="534">
        <v>1</v>
      </c>
      <c r="D294" s="536" t="s">
        <v>273</v>
      </c>
      <c r="E294" s="537">
        <v>2</v>
      </c>
      <c r="F294" s="538">
        <v>2.74</v>
      </c>
      <c r="G294" s="538">
        <v>0.23</v>
      </c>
      <c r="H294" s="538">
        <v>2.35</v>
      </c>
      <c r="I294" s="542">
        <f t="shared" si="8"/>
        <v>2.96</v>
      </c>
      <c r="J294" s="550" t="s">
        <v>5</v>
      </c>
      <c r="K294" s="39"/>
      <c r="L294" s="208"/>
      <c r="M294" s="39"/>
      <c r="N294" s="533" t="s">
        <v>2209</v>
      </c>
    </row>
    <row r="295" spans="1:14" s="541" customFormat="1" ht="16.5" customHeight="1">
      <c r="A295" s="16"/>
      <c r="B295" s="39" t="s">
        <v>579</v>
      </c>
      <c r="C295" s="534">
        <v>1</v>
      </c>
      <c r="D295" s="536" t="s">
        <v>273</v>
      </c>
      <c r="E295" s="537">
        <v>1</v>
      </c>
      <c r="F295" s="538">
        <v>0.9</v>
      </c>
      <c r="G295" s="538">
        <v>0.23</v>
      </c>
      <c r="H295" s="538">
        <v>2</v>
      </c>
      <c r="I295" s="542">
        <f>-ROUND(IF(AND(F295:H295),C295*E295*F295*G295*H295,IF(AND(F295,G295),C295*E295*F295*G295,IF(AND(F295,H295),C295*E295*F295*H295,IF(AND(G295,H295),C295*E295*G295*H295,IF(F295,C295*E295*F295,IF(G295,C295*E295*G295,IF(H295,C295*E295*H295,C295*E295))))))),2)</f>
        <v>-0.41</v>
      </c>
      <c r="J295" s="550" t="s">
        <v>5</v>
      </c>
      <c r="K295" s="39"/>
      <c r="L295" s="208"/>
      <c r="M295" s="39"/>
      <c r="N295" s="533" t="s">
        <v>2209</v>
      </c>
    </row>
    <row r="296" spans="1:14" s="541" customFormat="1" ht="16.5" customHeight="1">
      <c r="A296" s="16"/>
      <c r="B296" s="39" t="s">
        <v>1533</v>
      </c>
      <c r="C296" s="534">
        <v>1</v>
      </c>
      <c r="D296" s="536" t="s">
        <v>273</v>
      </c>
      <c r="E296" s="537">
        <v>1</v>
      </c>
      <c r="F296" s="538">
        <v>1.2</v>
      </c>
      <c r="G296" s="538">
        <v>0.23</v>
      </c>
      <c r="H296" s="538">
        <v>1.1000000000000001</v>
      </c>
      <c r="I296" s="542">
        <f>-ROUND(IF(AND(F296:H296),C296*E296*F296*G296*H296,IF(AND(F296,G296),C296*E296*F296*G296,IF(AND(F296,H296),C296*E296*F296*H296,IF(AND(G296,H296),C296*E296*G296*H296,IF(F296,C296*E296*F296,IF(G296,C296*E296*G296,IF(H296,C296*E296*H296,C296*E296))))))),2)</f>
        <v>-0.3</v>
      </c>
      <c r="J296" s="550" t="s">
        <v>5</v>
      </c>
      <c r="K296" s="39"/>
      <c r="L296" s="208"/>
      <c r="M296" s="39"/>
      <c r="N296" s="533" t="s">
        <v>2209</v>
      </c>
    </row>
    <row r="297" spans="1:14" s="541" customFormat="1" ht="16.5" customHeight="1">
      <c r="A297" s="16"/>
      <c r="B297" s="544"/>
      <c r="C297" s="545"/>
      <c r="D297" s="546"/>
      <c r="E297" s="547"/>
      <c r="F297" s="548"/>
      <c r="G297" s="548"/>
      <c r="H297" s="548"/>
      <c r="I297" s="549"/>
      <c r="J297" s="550"/>
      <c r="K297" s="39"/>
      <c r="L297" s="208"/>
      <c r="M297" s="39"/>
      <c r="N297" s="533" t="s">
        <v>2209</v>
      </c>
    </row>
    <row r="298" spans="1:14" ht="15.75">
      <c r="A298" s="16"/>
      <c r="B298" s="39"/>
      <c r="C298" s="551"/>
      <c r="D298" s="552"/>
      <c r="E298" s="537"/>
      <c r="F298" s="538"/>
      <c r="G298" s="40"/>
      <c r="H298" s="16"/>
      <c r="I298" s="549"/>
      <c r="J298" s="550" t="s">
        <v>5</v>
      </c>
      <c r="K298" s="10">
        <f>data!G376</f>
        <v>6307.0100000000011</v>
      </c>
      <c r="L298" s="208" t="s">
        <v>2209</v>
      </c>
      <c r="M298" s="9">
        <f>ROUND(I298*K298,0)</f>
        <v>0</v>
      </c>
      <c r="N298" s="533" t="s">
        <v>2209</v>
      </c>
    </row>
    <row r="299" spans="1:14" ht="69.75" customHeight="1">
      <c r="A299" s="16">
        <v>5</v>
      </c>
      <c r="B299" s="1633" t="s">
        <v>649</v>
      </c>
      <c r="C299" s="1633"/>
      <c r="D299" s="1633"/>
      <c r="E299" s="1633"/>
      <c r="F299" s="1633"/>
      <c r="G299" s="1633"/>
      <c r="H299" s="1633"/>
      <c r="I299" s="534"/>
      <c r="J299" s="535"/>
      <c r="K299" s="16"/>
      <c r="L299" s="208"/>
      <c r="M299" s="38"/>
      <c r="N299" s="533" t="s">
        <v>2297</v>
      </c>
    </row>
    <row r="300" spans="1:14" s="541" customFormat="1" ht="16.5" customHeight="1">
      <c r="A300" s="16"/>
      <c r="B300" s="39" t="s">
        <v>2842</v>
      </c>
      <c r="C300" s="534"/>
      <c r="D300" s="536"/>
      <c r="E300" s="537"/>
      <c r="F300" s="538"/>
      <c r="G300" s="538"/>
      <c r="H300" s="538"/>
      <c r="I300" s="539"/>
      <c r="J300" s="550"/>
      <c r="K300" s="39"/>
      <c r="L300" s="208"/>
      <c r="M300" s="39"/>
      <c r="N300" s="533" t="s">
        <v>2297</v>
      </c>
    </row>
    <row r="301" spans="1:14" s="541" customFormat="1" ht="16.5" customHeight="1">
      <c r="A301" s="16"/>
      <c r="B301" s="39" t="s">
        <v>2129</v>
      </c>
      <c r="C301" s="534">
        <v>1</v>
      </c>
      <c r="D301" s="536" t="s">
        <v>273</v>
      </c>
      <c r="E301" s="537">
        <v>2</v>
      </c>
      <c r="F301" s="538">
        <v>4.62</v>
      </c>
      <c r="G301" s="538">
        <v>0.23</v>
      </c>
      <c r="H301" s="538">
        <v>2.1</v>
      </c>
      <c r="I301" s="542">
        <f>ROUND(IF(AND(F301:H301),C301*E301*F301*G301*H301,IF(AND(F301,G301),C301*E301*F301*G301,IF(AND(F301,H301),C301*E301*F301*H301,IF(AND(G301,H301),C301*E301*G301*H301,IF(F301,C301*E301*F301,IF(G301,C301*E301*G301,IF(H301,C301*E301*H301,C301*E301))))))),2)</f>
        <v>4.46</v>
      </c>
      <c r="J301" s="550" t="s">
        <v>5</v>
      </c>
      <c r="K301" s="39"/>
      <c r="L301" s="208"/>
      <c r="M301" s="39"/>
      <c r="N301" s="533" t="s">
        <v>2297</v>
      </c>
    </row>
    <row r="302" spans="1:14" s="541" customFormat="1" ht="16.5" customHeight="1">
      <c r="A302" s="16"/>
      <c r="B302" s="39" t="s">
        <v>2859</v>
      </c>
      <c r="C302" s="534">
        <v>1</v>
      </c>
      <c r="D302" s="536" t="s">
        <v>273</v>
      </c>
      <c r="E302" s="537">
        <v>2</v>
      </c>
      <c r="F302" s="538">
        <v>2.72</v>
      </c>
      <c r="G302" s="538">
        <v>0.23</v>
      </c>
      <c r="H302" s="538">
        <v>2.1</v>
      </c>
      <c r="I302" s="542">
        <f t="shared" ref="I302" si="9">ROUND(IF(AND(F302:H302),C302*E302*F302*G302*H302,IF(AND(F302,G302),C302*E302*F302*G302,IF(AND(F302,H302),C302*E302*F302*H302,IF(AND(G302,H302),C302*E302*G302*H302,IF(F302,C302*E302*F302,IF(G302,C302*E302*G302,IF(H302,C302*E302*H302,C302*E302))))))),2)</f>
        <v>2.63</v>
      </c>
      <c r="J302" s="550" t="s">
        <v>5</v>
      </c>
      <c r="K302" s="39"/>
      <c r="L302" s="208"/>
      <c r="M302" s="39"/>
      <c r="N302" s="533" t="s">
        <v>2297</v>
      </c>
    </row>
    <row r="303" spans="1:14" s="541" customFormat="1" ht="16.5" customHeight="1">
      <c r="A303" s="16"/>
      <c r="B303" s="39" t="s">
        <v>281</v>
      </c>
      <c r="C303" s="534">
        <v>1</v>
      </c>
      <c r="D303" s="536" t="s">
        <v>273</v>
      </c>
      <c r="E303" s="537">
        <v>4</v>
      </c>
      <c r="F303" s="538">
        <v>0.38</v>
      </c>
      <c r="G303" s="538">
        <v>0.23</v>
      </c>
      <c r="H303" s="538">
        <v>2.1</v>
      </c>
      <c r="I303" s="542">
        <f>-ROUND(IF(AND(F303:H303),C303*E303*F303*G303*H303,IF(AND(F303,G303),C303*E303*F303*G303,IF(AND(F303,H303),C303*E303*F303*H303,IF(AND(G303,H303),C303*E303*G303*H303,IF(F303,C303*E303*F303,IF(G303,C303*E303*G303,IF(H303,C303*E303*H303,C303*E303))))))),2)</f>
        <v>-0.73</v>
      </c>
      <c r="J303" s="550" t="s">
        <v>5</v>
      </c>
      <c r="K303" s="39"/>
      <c r="L303" s="208"/>
      <c r="M303" s="39"/>
      <c r="N303" s="533" t="s">
        <v>2297</v>
      </c>
    </row>
    <row r="304" spans="1:14" s="541" customFormat="1" ht="16.5" customHeight="1">
      <c r="A304" s="16"/>
      <c r="B304" s="39" t="s">
        <v>579</v>
      </c>
      <c r="C304" s="534">
        <v>1</v>
      </c>
      <c r="D304" s="536" t="s">
        <v>273</v>
      </c>
      <c r="E304" s="537">
        <v>1</v>
      </c>
      <c r="F304" s="538">
        <v>1.2</v>
      </c>
      <c r="G304" s="538">
        <v>0.23</v>
      </c>
      <c r="H304" s="538">
        <v>2.1</v>
      </c>
      <c r="I304" s="542">
        <f>-ROUND(IF(AND(F304:H304),C304*E304*F304*G304*H304,IF(AND(F304,G304),C304*E304*F304*G304,IF(AND(F304,H304),C304*E304*F304*H304,IF(AND(G304,H304),C304*E304*G304*H304,IF(F304,C304*E304*F304,IF(G304,C304*E304*G304,IF(H304,C304*E304*H304,C304*E304))))))),2)</f>
        <v>-0.57999999999999996</v>
      </c>
      <c r="J304" s="550" t="s">
        <v>5</v>
      </c>
      <c r="K304" s="39"/>
      <c r="L304" s="208"/>
      <c r="M304" s="39"/>
      <c r="N304" s="533" t="s">
        <v>2297</v>
      </c>
    </row>
    <row r="305" spans="1:14" s="541" customFormat="1" ht="16.5" customHeight="1">
      <c r="A305" s="16"/>
      <c r="B305" s="39" t="s">
        <v>2906</v>
      </c>
      <c r="C305" s="534">
        <v>1</v>
      </c>
      <c r="D305" s="536" t="s">
        <v>273</v>
      </c>
      <c r="E305" s="537">
        <v>1</v>
      </c>
      <c r="F305" s="538">
        <v>1.27</v>
      </c>
      <c r="G305" s="538">
        <v>0.23</v>
      </c>
      <c r="H305" s="538">
        <v>1.8</v>
      </c>
      <c r="I305" s="542">
        <f>-ROUND(IF(AND(F305:H305),C305*E305*F305*G305*H305,IF(AND(F305,G305),C305*E305*F305*G305,IF(AND(F305,H305),C305*E305*F305*H305,IF(AND(G305,H305),C305*E305*G305*H305,IF(F305,C305*E305*F305,IF(G305,C305*E305*G305,IF(H305,C305*E305*H305,C305*E305))))))),2)</f>
        <v>-0.53</v>
      </c>
      <c r="J305" s="550" t="s">
        <v>5</v>
      </c>
      <c r="K305" s="39"/>
      <c r="L305" s="208"/>
      <c r="M305" s="39"/>
      <c r="N305" s="533" t="s">
        <v>2297</v>
      </c>
    </row>
    <row r="306" spans="1:14" s="541" customFormat="1" ht="16.5" customHeight="1">
      <c r="A306" s="16"/>
      <c r="B306" s="544"/>
      <c r="C306" s="545"/>
      <c r="D306" s="546"/>
      <c r="E306" s="547"/>
      <c r="F306" s="548"/>
      <c r="G306" s="548"/>
      <c r="H306" s="548"/>
      <c r="I306" s="549"/>
      <c r="J306" s="550"/>
      <c r="K306" s="39"/>
      <c r="L306" s="208"/>
      <c r="M306" s="39"/>
      <c r="N306" s="533" t="s">
        <v>2297</v>
      </c>
    </row>
    <row r="307" spans="1:14" ht="15.75">
      <c r="A307" s="16"/>
      <c r="B307" s="39"/>
      <c r="C307" s="551"/>
      <c r="D307" s="552"/>
      <c r="E307" s="537"/>
      <c r="F307" s="538"/>
      <c r="G307" s="40"/>
      <c r="H307" s="16"/>
      <c r="I307" s="549"/>
      <c r="J307" s="550" t="s">
        <v>5</v>
      </c>
      <c r="K307" s="10">
        <f>data!G1293</f>
        <v>6491.829999999999</v>
      </c>
      <c r="L307" s="208" t="s">
        <v>2297</v>
      </c>
      <c r="M307" s="9">
        <f>ROUND(I307*K307,0)</f>
        <v>0</v>
      </c>
      <c r="N307" s="533" t="s">
        <v>2297</v>
      </c>
    </row>
    <row r="308" spans="1:14" ht="69.75" customHeight="1">
      <c r="A308" s="16">
        <v>5</v>
      </c>
      <c r="B308" s="1633" t="s">
        <v>649</v>
      </c>
      <c r="C308" s="1633"/>
      <c r="D308" s="1633"/>
      <c r="E308" s="1633"/>
      <c r="F308" s="1633"/>
      <c r="G308" s="1633"/>
      <c r="H308" s="1633"/>
      <c r="I308" s="534"/>
      <c r="J308" s="535"/>
      <c r="K308" s="16"/>
      <c r="L308" s="208"/>
      <c r="M308" s="38"/>
      <c r="N308" s="533" t="s">
        <v>2308</v>
      </c>
    </row>
    <row r="309" spans="1:14" s="541" customFormat="1" ht="16.5" customHeight="1">
      <c r="A309" s="16"/>
      <c r="B309" s="39" t="s">
        <v>2811</v>
      </c>
      <c r="C309" s="534"/>
      <c r="D309" s="536"/>
      <c r="E309" s="537"/>
      <c r="F309" s="538"/>
      <c r="G309" s="538"/>
      <c r="H309" s="538"/>
      <c r="I309" s="539"/>
      <c r="J309" s="550"/>
      <c r="K309" s="39"/>
      <c r="L309" s="208"/>
      <c r="M309" s="39"/>
      <c r="N309" s="533" t="s">
        <v>2308</v>
      </c>
    </row>
    <row r="310" spans="1:14" s="541" customFormat="1" ht="16.5" customHeight="1">
      <c r="A310" s="16"/>
      <c r="B310" s="39"/>
      <c r="C310" s="534">
        <v>1</v>
      </c>
      <c r="D310" s="536" t="s">
        <v>273</v>
      </c>
      <c r="E310" s="537">
        <v>1</v>
      </c>
      <c r="F310" s="538">
        <v>3.16</v>
      </c>
      <c r="G310" s="538">
        <v>0.23</v>
      </c>
      <c r="H310" s="538">
        <v>2.4</v>
      </c>
      <c r="I310" s="574">
        <f>ROUND(IF(AND(F310:H310),C310*E310*F310*G310*H310,IF(AND(F310,G310),C310*E310*F310*G310,IF(AND(F310,H310),C310*E310*F310*H310,IF(AND(G310,H310),C310*E310*G310*H310,IF(F310,C310*E310*F310,IF(G310,C310*E310*G310,IF(H310,C310*E310*H310,C310*E310))))))),2)</f>
        <v>1.74</v>
      </c>
      <c r="J310" s="550" t="s">
        <v>5</v>
      </c>
      <c r="K310" s="39"/>
      <c r="L310" s="208"/>
      <c r="M310" s="39"/>
      <c r="N310" s="533" t="s">
        <v>2308</v>
      </c>
    </row>
    <row r="311" spans="1:14" s="541" customFormat="1" ht="16.5" customHeight="1">
      <c r="A311" s="16"/>
      <c r="B311" s="544"/>
      <c r="C311" s="545"/>
      <c r="D311" s="546"/>
      <c r="E311" s="547"/>
      <c r="F311" s="548"/>
      <c r="G311" s="548"/>
      <c r="H311" s="548"/>
      <c r="I311" s="549"/>
      <c r="J311" s="550"/>
      <c r="K311" s="39"/>
      <c r="L311" s="208"/>
      <c r="M311" s="39"/>
      <c r="N311" s="533" t="s">
        <v>2308</v>
      </c>
    </row>
    <row r="312" spans="1:14" ht="15.75">
      <c r="A312" s="16"/>
      <c r="B312" s="39"/>
      <c r="C312" s="551"/>
      <c r="D312" s="552"/>
      <c r="E312" s="537"/>
      <c r="F312" s="538"/>
      <c r="G312" s="40"/>
      <c r="H312" s="16"/>
      <c r="I312" s="549"/>
      <c r="J312" s="550" t="s">
        <v>5</v>
      </c>
      <c r="K312" s="10">
        <f>data!G2210</f>
        <v>6937.8099999999995</v>
      </c>
      <c r="L312" s="208" t="s">
        <v>2308</v>
      </c>
      <c r="M312" s="9">
        <f>ROUND(I312*K312,0)</f>
        <v>0</v>
      </c>
      <c r="N312" s="533" t="s">
        <v>2308</v>
      </c>
    </row>
    <row r="313" spans="1:14" ht="69.75" customHeight="1">
      <c r="A313" s="16">
        <v>5</v>
      </c>
      <c r="B313" s="1633" t="s">
        <v>649</v>
      </c>
      <c r="C313" s="1633"/>
      <c r="D313" s="1633"/>
      <c r="E313" s="1633"/>
      <c r="F313" s="1633"/>
      <c r="G313" s="1633"/>
      <c r="H313" s="1633"/>
      <c r="I313" s="534"/>
      <c r="J313" s="535"/>
      <c r="K313" s="16"/>
      <c r="L313" s="208"/>
      <c r="M313" s="38"/>
      <c r="N313" s="533" t="s">
        <v>2309</v>
      </c>
    </row>
    <row r="314" spans="1:14" s="541" customFormat="1" ht="16.5" customHeight="1">
      <c r="A314" s="16"/>
      <c r="B314" s="39" t="s">
        <v>3014</v>
      </c>
      <c r="C314" s="534"/>
      <c r="D314" s="536"/>
      <c r="E314" s="537"/>
      <c r="F314" s="538"/>
      <c r="G314" s="538"/>
      <c r="H314" s="538"/>
      <c r="I314" s="539"/>
      <c r="J314" s="550"/>
      <c r="K314" s="39"/>
      <c r="L314" s="208"/>
      <c r="M314" s="39"/>
      <c r="N314" s="533" t="s">
        <v>2309</v>
      </c>
    </row>
    <row r="315" spans="1:14" s="541" customFormat="1" ht="16.5" customHeight="1">
      <c r="A315" s="16"/>
      <c r="B315" s="39"/>
      <c r="C315" s="534">
        <v>1</v>
      </c>
      <c r="D315" s="536" t="s">
        <v>273</v>
      </c>
      <c r="E315" s="537">
        <v>2</v>
      </c>
      <c r="F315" s="538">
        <v>4.5</v>
      </c>
      <c r="G315" s="538">
        <v>0.23</v>
      </c>
      <c r="H315" s="538">
        <v>2.35</v>
      </c>
      <c r="I315" s="542">
        <f t="shared" ref="I315:I316" si="10">ROUND(IF(AND(F315:H315),C315*E315*F315*G315*H315,IF(AND(F315,G315),C315*E315*F315*G315,IF(AND(F315,H315),C315*E315*F315*H315,IF(AND(G315,H315),C315*E315*G315*H315,IF(F315,C315*E315*F315,IF(G315,C315*E315*G315,IF(H315,C315*E315*H315,C315*E315))))))),2)</f>
        <v>4.8600000000000003</v>
      </c>
      <c r="J315" s="550" t="s">
        <v>5</v>
      </c>
      <c r="K315" s="39"/>
      <c r="L315" s="208"/>
      <c r="M315" s="39"/>
      <c r="N315" s="533" t="s">
        <v>2309</v>
      </c>
    </row>
    <row r="316" spans="1:14" s="541" customFormat="1" ht="16.5" customHeight="1">
      <c r="A316" s="16"/>
      <c r="B316" s="39"/>
      <c r="C316" s="534">
        <v>1</v>
      </c>
      <c r="D316" s="536" t="s">
        <v>273</v>
      </c>
      <c r="E316" s="537">
        <v>2</v>
      </c>
      <c r="F316" s="538">
        <v>2.74</v>
      </c>
      <c r="G316" s="538">
        <v>0.23</v>
      </c>
      <c r="H316" s="538">
        <v>2.35</v>
      </c>
      <c r="I316" s="542">
        <f t="shared" si="10"/>
        <v>2.96</v>
      </c>
      <c r="J316" s="550" t="s">
        <v>5</v>
      </c>
      <c r="K316" s="39"/>
      <c r="L316" s="208"/>
      <c r="M316" s="39"/>
      <c r="N316" s="533" t="s">
        <v>2309</v>
      </c>
    </row>
    <row r="317" spans="1:14" s="541" customFormat="1" ht="16.5" customHeight="1">
      <c r="A317" s="16"/>
      <c r="B317" s="39"/>
      <c r="C317" s="534">
        <v>1</v>
      </c>
      <c r="D317" s="536" t="s">
        <v>273</v>
      </c>
      <c r="E317" s="537">
        <v>1</v>
      </c>
      <c r="F317" s="538">
        <v>0.9</v>
      </c>
      <c r="G317" s="538">
        <v>0.23</v>
      </c>
      <c r="H317" s="538">
        <v>2</v>
      </c>
      <c r="I317" s="542">
        <f>-ROUND(IF(AND(F317:H317),C317*E317*F317*G317*H317,IF(AND(F317,G317),C317*E317*F317*G317,IF(AND(F317,H317),C317*E317*F317*H317,IF(AND(G317,H317),C317*E317*G317*H317,IF(F317,C317*E317*F317,IF(G317,C317*E317*G317,IF(H317,C317*E317*H317,C317*E317))))))),2)</f>
        <v>-0.41</v>
      </c>
      <c r="J317" s="550" t="s">
        <v>5</v>
      </c>
      <c r="K317" s="39"/>
      <c r="L317" s="208"/>
      <c r="M317" s="39"/>
      <c r="N317" s="533" t="s">
        <v>2309</v>
      </c>
    </row>
    <row r="318" spans="1:14" s="541" customFormat="1" ht="16.5" customHeight="1">
      <c r="A318" s="16"/>
      <c r="B318" s="39"/>
      <c r="C318" s="534">
        <v>1</v>
      </c>
      <c r="D318" s="536" t="s">
        <v>273</v>
      </c>
      <c r="E318" s="537">
        <v>1</v>
      </c>
      <c r="F318" s="538">
        <v>1.2</v>
      </c>
      <c r="G318" s="538">
        <v>0.23</v>
      </c>
      <c r="H318" s="538">
        <v>1.1000000000000001</v>
      </c>
      <c r="I318" s="542">
        <f>-ROUND(IF(AND(F318:H318),C318*E318*F318*G318*H318,IF(AND(F318,G318),C318*E318*F318*G318,IF(AND(F318,H318),C318*E318*F318*H318,IF(AND(G318,H318),C318*E318*G318*H318,IF(F318,C318*E318*F318,IF(G318,C318*E318*G318,IF(H318,C318*E318*H318,C318*E318))))))),2)</f>
        <v>-0.3</v>
      </c>
      <c r="J318" s="550" t="s">
        <v>5</v>
      </c>
      <c r="K318" s="39"/>
      <c r="L318" s="208"/>
      <c r="M318" s="39"/>
      <c r="N318" s="533" t="s">
        <v>2309</v>
      </c>
    </row>
    <row r="319" spans="1:14" s="541" customFormat="1" ht="16.5" customHeight="1">
      <c r="A319" s="16"/>
      <c r="B319" s="544"/>
      <c r="C319" s="545"/>
      <c r="D319" s="546"/>
      <c r="E319" s="547"/>
      <c r="F319" s="548"/>
      <c r="G319" s="548"/>
      <c r="H319" s="548"/>
      <c r="I319" s="549"/>
      <c r="J319" s="550"/>
      <c r="K319" s="39"/>
      <c r="L319" s="208"/>
      <c r="M319" s="39"/>
      <c r="N319" s="533" t="s">
        <v>2309</v>
      </c>
    </row>
    <row r="320" spans="1:14" ht="15.75">
      <c r="A320" s="16"/>
      <c r="B320" s="39"/>
      <c r="C320" s="551"/>
      <c r="D320" s="552"/>
      <c r="E320" s="537"/>
      <c r="F320" s="538"/>
      <c r="G320" s="40"/>
      <c r="H320" s="16"/>
      <c r="I320" s="549"/>
      <c r="J320" s="550" t="s">
        <v>5</v>
      </c>
      <c r="K320" s="10">
        <f>data!G3127</f>
        <v>7673.4</v>
      </c>
      <c r="L320" s="208" t="s">
        <v>2309</v>
      </c>
      <c r="M320" s="9">
        <f>ROUND(I320*K320,0)</f>
        <v>0</v>
      </c>
      <c r="N320" s="533" t="s">
        <v>2309</v>
      </c>
    </row>
    <row r="321" spans="1:14" ht="132.75" customHeight="1">
      <c r="A321" s="16">
        <v>5</v>
      </c>
      <c r="B321" s="1633" t="s">
        <v>901</v>
      </c>
      <c r="C321" s="1633"/>
      <c r="D321" s="1633"/>
      <c r="E321" s="1633"/>
      <c r="F321" s="1633"/>
      <c r="G321" s="1633"/>
      <c r="H321" s="1633"/>
      <c r="I321" s="534"/>
      <c r="J321" s="535"/>
      <c r="K321" s="16"/>
      <c r="L321" s="208"/>
      <c r="M321" s="38"/>
      <c r="N321" s="533" t="s">
        <v>2209</v>
      </c>
    </row>
    <row r="322" spans="1:14" s="541" customFormat="1" ht="16.5" customHeight="1">
      <c r="A322" s="16"/>
      <c r="B322" s="39" t="s">
        <v>3042</v>
      </c>
      <c r="C322" s="534"/>
      <c r="D322" s="858" t="s">
        <v>3248</v>
      </c>
      <c r="E322" s="537"/>
      <c r="F322" s="538"/>
      <c r="G322" s="538"/>
      <c r="H322" s="538"/>
      <c r="I322" s="539"/>
      <c r="J322" s="550"/>
      <c r="K322" s="39"/>
      <c r="L322" s="208"/>
      <c r="M322" s="39"/>
      <c r="N322" s="533" t="s">
        <v>2209</v>
      </c>
    </row>
    <row r="323" spans="1:14" s="541" customFormat="1" ht="16.5" customHeight="1">
      <c r="A323" s="16"/>
      <c r="B323" s="39"/>
      <c r="C323" s="534">
        <v>1</v>
      </c>
      <c r="D323" s="536" t="s">
        <v>273</v>
      </c>
      <c r="E323" s="537">
        <v>1</v>
      </c>
      <c r="F323" s="538">
        <v>10</v>
      </c>
      <c r="G323" s="538">
        <v>0</v>
      </c>
      <c r="H323" s="538">
        <v>0.9</v>
      </c>
      <c r="I323" s="542">
        <f t="shared" ref="I323:I326" si="11">ROUND(IF(AND(F323:H323),C323*E323*F323*G323*H323,IF(AND(F323,G323),C323*E323*F323*G323,IF(AND(F323,H323),C323*E323*F323*H323,IF(AND(G323,H323),C323*E323*G323*H323,IF(F323,C323*E323*F323,IF(G323,C323*E323*G323,IF(H323,C323*E323*H323,C323*E323))))))),2)</f>
        <v>9</v>
      </c>
      <c r="J323" s="550" t="s">
        <v>102</v>
      </c>
      <c r="K323" s="39"/>
      <c r="L323" s="208"/>
      <c r="M323" s="39"/>
      <c r="N323" s="533" t="s">
        <v>2209</v>
      </c>
    </row>
    <row r="324" spans="1:14" s="541" customFormat="1" ht="16.5" customHeight="1">
      <c r="A324" s="16"/>
      <c r="B324" s="39"/>
      <c r="C324" s="534">
        <v>1</v>
      </c>
      <c r="D324" s="536" t="s">
        <v>273</v>
      </c>
      <c r="E324" s="537">
        <v>1</v>
      </c>
      <c r="F324" s="538">
        <v>9.1999999999999993</v>
      </c>
      <c r="G324" s="538">
        <v>0</v>
      </c>
      <c r="H324" s="538">
        <v>0.9</v>
      </c>
      <c r="I324" s="542">
        <f t="shared" si="11"/>
        <v>8.2799999999999994</v>
      </c>
      <c r="J324" s="550" t="s">
        <v>102</v>
      </c>
      <c r="K324" s="39"/>
      <c r="L324" s="208"/>
      <c r="M324" s="39"/>
      <c r="N324" s="533" t="s">
        <v>2209</v>
      </c>
    </row>
    <row r="325" spans="1:14" s="541" customFormat="1" ht="16.5" customHeight="1">
      <c r="A325" s="16"/>
      <c r="B325" s="39"/>
      <c r="C325" s="534">
        <v>1</v>
      </c>
      <c r="D325" s="536" t="s">
        <v>273</v>
      </c>
      <c r="E325" s="537">
        <v>1</v>
      </c>
      <c r="F325" s="538">
        <v>13.7</v>
      </c>
      <c r="G325" s="538">
        <v>0</v>
      </c>
      <c r="H325" s="538">
        <v>0.9</v>
      </c>
      <c r="I325" s="542">
        <f t="shared" si="11"/>
        <v>12.33</v>
      </c>
      <c r="J325" s="550" t="s">
        <v>102</v>
      </c>
      <c r="K325" s="39"/>
      <c r="L325" s="208"/>
      <c r="M325" s="39"/>
      <c r="N325" s="533" t="s">
        <v>2209</v>
      </c>
    </row>
    <row r="326" spans="1:14" s="541" customFormat="1" ht="16.5" customHeight="1">
      <c r="A326" s="16"/>
      <c r="B326" s="39"/>
      <c r="C326" s="534">
        <v>1</v>
      </c>
      <c r="D326" s="536" t="s">
        <v>273</v>
      </c>
      <c r="E326" s="537">
        <v>1</v>
      </c>
      <c r="F326" s="538">
        <v>5.95</v>
      </c>
      <c r="G326" s="538">
        <v>0</v>
      </c>
      <c r="H326" s="538">
        <v>0.9</v>
      </c>
      <c r="I326" s="542">
        <f t="shared" si="11"/>
        <v>5.36</v>
      </c>
      <c r="J326" s="550" t="s">
        <v>102</v>
      </c>
      <c r="K326" s="39"/>
      <c r="L326" s="208"/>
      <c r="M326" s="39"/>
      <c r="N326" s="533" t="s">
        <v>2209</v>
      </c>
    </row>
    <row r="327" spans="1:14" s="541" customFormat="1" ht="16.5" customHeight="1">
      <c r="A327" s="16"/>
      <c r="B327" s="39"/>
      <c r="C327" s="534"/>
      <c r="D327" s="536"/>
      <c r="E327" s="537"/>
      <c r="F327" s="538"/>
      <c r="G327" s="538"/>
      <c r="H327" s="538"/>
      <c r="I327" s="542"/>
      <c r="J327" s="550"/>
      <c r="K327" s="39"/>
      <c r="L327" s="208"/>
      <c r="M327" s="39"/>
      <c r="N327" s="533" t="s">
        <v>2209</v>
      </c>
    </row>
    <row r="328" spans="1:14" ht="15.75">
      <c r="A328" s="16"/>
      <c r="B328" s="39"/>
      <c r="C328" s="551"/>
      <c r="D328" s="552"/>
      <c r="E328" s="537"/>
      <c r="F328" s="538"/>
      <c r="G328" s="40"/>
      <c r="H328" s="16"/>
      <c r="I328" s="549"/>
      <c r="J328" s="550" t="s">
        <v>102</v>
      </c>
      <c r="K328" s="10">
        <f>data!G411</f>
        <v>830.76</v>
      </c>
      <c r="L328" s="208" t="s">
        <v>2209</v>
      </c>
      <c r="M328" s="9">
        <f>ROUND(I328*K328/1,0)</f>
        <v>0</v>
      </c>
      <c r="N328" s="533" t="s">
        <v>2209</v>
      </c>
    </row>
    <row r="329" spans="1:14" ht="132.75" customHeight="1">
      <c r="A329" s="16">
        <v>6</v>
      </c>
      <c r="B329" s="1633" t="s">
        <v>901</v>
      </c>
      <c r="C329" s="1633"/>
      <c r="D329" s="1633"/>
      <c r="E329" s="1633"/>
      <c r="F329" s="1633"/>
      <c r="G329" s="1633"/>
      <c r="H329" s="1633"/>
      <c r="I329" s="534"/>
      <c r="J329" s="535"/>
      <c r="K329" s="16"/>
      <c r="L329" s="208"/>
      <c r="M329" s="38"/>
      <c r="N329" s="533" t="s">
        <v>2297</v>
      </c>
    </row>
    <row r="330" spans="1:14" s="541" customFormat="1" ht="16.5" customHeight="1">
      <c r="A330" s="16"/>
      <c r="B330" s="39" t="s">
        <v>2822</v>
      </c>
      <c r="C330" s="534"/>
      <c r="D330" s="536"/>
      <c r="E330" s="537"/>
      <c r="F330" s="538"/>
      <c r="G330" s="538"/>
      <c r="H330" s="538"/>
      <c r="I330" s="539"/>
      <c r="J330" s="550"/>
      <c r="K330" s="39"/>
      <c r="L330" s="208"/>
      <c r="M330" s="39"/>
      <c r="N330" s="533" t="s">
        <v>2297</v>
      </c>
    </row>
    <row r="331" spans="1:14" s="541" customFormat="1" ht="16.5" customHeight="1">
      <c r="A331" s="16"/>
      <c r="B331" s="39"/>
      <c r="C331" s="534">
        <v>1</v>
      </c>
      <c r="D331" s="536" t="s">
        <v>273</v>
      </c>
      <c r="E331" s="537">
        <v>1</v>
      </c>
      <c r="F331" s="538">
        <v>41.7</v>
      </c>
      <c r="G331" s="538">
        <v>0</v>
      </c>
      <c r="H331" s="538">
        <v>0.9</v>
      </c>
      <c r="I331" s="542">
        <f t="shared" ref="I331" si="12">ROUND(IF(AND(F331:H331),C331*E331*F331*G331*H331,IF(AND(F331,G331),C331*E331*F331*G331,IF(AND(F331,H331),C331*E331*F331*H331,IF(AND(G331,H331),C331*E331*G331*H331,IF(F331,C331*E331*F331,IF(G331,C331*E331*G331,IF(H331,C331*E331*H331,C331*E331))))))),2)</f>
        <v>37.53</v>
      </c>
      <c r="J331" s="550" t="s">
        <v>102</v>
      </c>
      <c r="K331" s="39"/>
      <c r="L331" s="208"/>
      <c r="M331" s="39"/>
      <c r="N331" s="533" t="s">
        <v>2297</v>
      </c>
    </row>
    <row r="332" spans="1:14" s="541" customFormat="1" ht="16.5" customHeight="1">
      <c r="A332" s="16"/>
      <c r="B332" s="39"/>
      <c r="C332" s="534"/>
      <c r="D332" s="536"/>
      <c r="E332" s="537"/>
      <c r="F332" s="538"/>
      <c r="G332" s="538"/>
      <c r="H332" s="538"/>
      <c r="I332" s="542"/>
      <c r="J332" s="550"/>
      <c r="K332" s="39"/>
      <c r="L332" s="208"/>
      <c r="M332" s="39"/>
      <c r="N332" s="533" t="s">
        <v>2297</v>
      </c>
    </row>
    <row r="333" spans="1:14" ht="15.75">
      <c r="A333" s="16"/>
      <c r="B333" s="39"/>
      <c r="C333" s="551"/>
      <c r="D333" s="552"/>
      <c r="E333" s="537"/>
      <c r="F333" s="538"/>
      <c r="G333" s="40"/>
      <c r="H333" s="16"/>
      <c r="I333" s="549"/>
      <c r="J333" s="550" t="s">
        <v>102</v>
      </c>
      <c r="K333" s="10">
        <f>data!G1328</f>
        <v>856.26</v>
      </c>
      <c r="L333" s="208" t="s">
        <v>2297</v>
      </c>
      <c r="M333" s="9">
        <f>ROUND(I333*K333/1,0)</f>
        <v>0</v>
      </c>
      <c r="N333" s="533" t="s">
        <v>2297</v>
      </c>
    </row>
    <row r="334" spans="1:14" ht="132.75" customHeight="1">
      <c r="A334" s="16">
        <v>6</v>
      </c>
      <c r="B334" s="1633" t="s">
        <v>901</v>
      </c>
      <c r="C334" s="1633"/>
      <c r="D334" s="1633"/>
      <c r="E334" s="1633"/>
      <c r="F334" s="1633"/>
      <c r="G334" s="1633"/>
      <c r="H334" s="1633"/>
      <c r="I334" s="534"/>
      <c r="J334" s="535"/>
      <c r="K334" s="16"/>
      <c r="L334" s="208"/>
      <c r="M334" s="38"/>
      <c r="N334" s="533" t="s">
        <v>2308</v>
      </c>
    </row>
    <row r="335" spans="1:14" s="541" customFormat="1" ht="16.5" customHeight="1">
      <c r="A335" s="16"/>
      <c r="B335" s="39" t="s">
        <v>2842</v>
      </c>
      <c r="C335" s="534"/>
      <c r="D335" s="536"/>
      <c r="E335" s="537"/>
      <c r="F335" s="538"/>
      <c r="G335" s="538"/>
      <c r="H335" s="538"/>
      <c r="I335" s="539"/>
      <c r="J335" s="550"/>
      <c r="K335" s="39"/>
      <c r="L335" s="208"/>
      <c r="M335" s="39"/>
      <c r="N335" s="533" t="s">
        <v>2308</v>
      </c>
    </row>
    <row r="336" spans="1:14" s="541" customFormat="1" ht="16.5" customHeight="1">
      <c r="A336" s="16"/>
      <c r="B336" s="39" t="s">
        <v>1529</v>
      </c>
      <c r="C336" s="534">
        <v>1</v>
      </c>
      <c r="D336" s="536" t="s">
        <v>273</v>
      </c>
      <c r="E336" s="537">
        <v>1</v>
      </c>
      <c r="F336" s="538">
        <v>2.72</v>
      </c>
      <c r="G336" s="538">
        <v>0</v>
      </c>
      <c r="H336" s="538">
        <v>2.4</v>
      </c>
      <c r="I336" s="574">
        <f>ROUND(IF(AND(F336:H336),C336*E336*F336*G336*H336,IF(AND(F336,G336),C336*E336*F336*G336,IF(AND(F336,H336),C336*E336*F336*H336,IF(AND(G336,H336),C336*E336*G336*H336,IF(F336,C336*E336*F336,IF(G336,C336*E336*G336,IF(H336,C336*E336*H336,C336*E336))))))),2)</f>
        <v>6.53</v>
      </c>
      <c r="J336" s="550" t="s">
        <v>102</v>
      </c>
      <c r="K336" s="39"/>
      <c r="L336" s="208"/>
      <c r="M336" s="39"/>
      <c r="N336" s="533" t="s">
        <v>2308</v>
      </c>
    </row>
    <row r="337" spans="1:14" s="541" customFormat="1" ht="16.5" customHeight="1">
      <c r="A337" s="16"/>
      <c r="B337" s="39"/>
      <c r="C337" s="534">
        <v>1</v>
      </c>
      <c r="D337" s="536" t="s">
        <v>273</v>
      </c>
      <c r="E337" s="537">
        <v>2</v>
      </c>
      <c r="F337" s="538">
        <v>1</v>
      </c>
      <c r="G337" s="538">
        <v>0</v>
      </c>
      <c r="H337" s="538">
        <v>2.7</v>
      </c>
      <c r="I337" s="574">
        <f>ROUND(IF(AND(F337:H337),C337*E337*F337*G337*H337,IF(AND(F337,G337),C337*E337*F337*G337,IF(AND(F337,H337),C337*E337*F337*H337,IF(AND(G337,H337),C337*E337*G337*H337,IF(F337,C337*E337*F337,IF(G337,C337*E337*G337,IF(H337,C337*E337*H337,C337*E337))))))),2)</f>
        <v>5.4</v>
      </c>
      <c r="J337" s="550" t="s">
        <v>102</v>
      </c>
      <c r="K337" s="39"/>
      <c r="L337" s="208"/>
      <c r="M337" s="39"/>
      <c r="N337" s="533" t="s">
        <v>2308</v>
      </c>
    </row>
    <row r="338" spans="1:14" s="541" customFormat="1" ht="16.5" customHeight="1">
      <c r="A338" s="16"/>
      <c r="B338" s="39"/>
      <c r="C338" s="534"/>
      <c r="D338" s="536"/>
      <c r="E338" s="537"/>
      <c r="F338" s="538"/>
      <c r="G338" s="538"/>
      <c r="H338" s="538"/>
      <c r="I338" s="542"/>
      <c r="J338" s="550"/>
      <c r="K338" s="39"/>
      <c r="L338" s="208"/>
      <c r="M338" s="39"/>
      <c r="N338" s="533" t="s">
        <v>2308</v>
      </c>
    </row>
    <row r="339" spans="1:14" ht="15.75">
      <c r="A339" s="16"/>
      <c r="B339" s="39"/>
      <c r="C339" s="551"/>
      <c r="D339" s="552"/>
      <c r="E339" s="537"/>
      <c r="F339" s="538"/>
      <c r="G339" s="40"/>
      <c r="H339" s="16"/>
      <c r="I339" s="549"/>
      <c r="J339" s="550" t="s">
        <v>102</v>
      </c>
      <c r="K339" s="10">
        <f>data!G2245</f>
        <v>913.89</v>
      </c>
      <c r="L339" s="208" t="s">
        <v>2308</v>
      </c>
      <c r="M339" s="9">
        <f>ROUND(I339*K339/1,0)</f>
        <v>0</v>
      </c>
      <c r="N339" s="533" t="s">
        <v>2308</v>
      </c>
    </row>
    <row r="340" spans="1:14" ht="132.75" customHeight="1">
      <c r="A340" s="16">
        <v>6</v>
      </c>
      <c r="B340" s="1633" t="s">
        <v>901</v>
      </c>
      <c r="C340" s="1633"/>
      <c r="D340" s="1633"/>
      <c r="E340" s="1633"/>
      <c r="F340" s="1633"/>
      <c r="G340" s="1633"/>
      <c r="H340" s="1633"/>
      <c r="I340" s="534"/>
      <c r="J340" s="535"/>
      <c r="K340" s="16"/>
      <c r="L340" s="208"/>
      <c r="M340" s="38"/>
      <c r="N340" s="533" t="s">
        <v>2309</v>
      </c>
    </row>
    <row r="341" spans="1:14" s="541" customFormat="1" ht="16.5" customHeight="1">
      <c r="A341" s="16"/>
      <c r="B341" s="39" t="s">
        <v>3042</v>
      </c>
      <c r="C341" s="534"/>
      <c r="D341" s="536"/>
      <c r="E341" s="537"/>
      <c r="F341" s="538"/>
      <c r="G341" s="538"/>
      <c r="H341" s="538"/>
      <c r="I341" s="539"/>
      <c r="J341" s="550"/>
      <c r="K341" s="39"/>
      <c r="L341" s="208"/>
      <c r="M341" s="39"/>
      <c r="N341" s="533" t="s">
        <v>2309</v>
      </c>
    </row>
    <row r="342" spans="1:14" s="541" customFormat="1" ht="16.5" customHeight="1">
      <c r="A342" s="16"/>
      <c r="B342" s="39"/>
      <c r="C342" s="534">
        <v>1</v>
      </c>
      <c r="D342" s="536" t="s">
        <v>273</v>
      </c>
      <c r="E342" s="537">
        <v>1</v>
      </c>
      <c r="F342" s="538">
        <v>10</v>
      </c>
      <c r="G342" s="538">
        <v>0</v>
      </c>
      <c r="H342" s="538">
        <v>0.9</v>
      </c>
      <c r="I342" s="542">
        <f t="shared" ref="I342:I345" si="13">ROUND(IF(AND(F342:H342),C342*E342*F342*G342*H342,IF(AND(F342,G342),C342*E342*F342*G342,IF(AND(F342,H342),C342*E342*F342*H342,IF(AND(G342,H342),C342*E342*G342*H342,IF(F342,C342*E342*F342,IF(G342,C342*E342*G342,IF(H342,C342*E342*H342,C342*E342))))))),2)</f>
        <v>9</v>
      </c>
      <c r="J342" s="550" t="s">
        <v>102</v>
      </c>
      <c r="K342" s="39"/>
      <c r="L342" s="208"/>
      <c r="M342" s="39"/>
      <c r="N342" s="533" t="s">
        <v>2309</v>
      </c>
    </row>
    <row r="343" spans="1:14" s="541" customFormat="1" ht="16.5" customHeight="1">
      <c r="A343" s="16"/>
      <c r="B343" s="39"/>
      <c r="C343" s="534">
        <v>1</v>
      </c>
      <c r="D343" s="536" t="s">
        <v>273</v>
      </c>
      <c r="E343" s="537">
        <v>1</v>
      </c>
      <c r="F343" s="538">
        <v>9.1999999999999993</v>
      </c>
      <c r="G343" s="538">
        <v>0</v>
      </c>
      <c r="H343" s="538">
        <v>0.9</v>
      </c>
      <c r="I343" s="542">
        <f t="shared" si="13"/>
        <v>8.2799999999999994</v>
      </c>
      <c r="J343" s="550" t="s">
        <v>102</v>
      </c>
      <c r="K343" s="39"/>
      <c r="L343" s="208"/>
      <c r="M343" s="39"/>
      <c r="N343" s="533" t="s">
        <v>2309</v>
      </c>
    </row>
    <row r="344" spans="1:14" s="541" customFormat="1" ht="16.5" customHeight="1">
      <c r="A344" s="16"/>
      <c r="B344" s="39"/>
      <c r="C344" s="534">
        <v>1</v>
      </c>
      <c r="D344" s="536" t="s">
        <v>273</v>
      </c>
      <c r="E344" s="537">
        <v>1</v>
      </c>
      <c r="F344" s="538">
        <v>13.7</v>
      </c>
      <c r="G344" s="538">
        <v>0</v>
      </c>
      <c r="H344" s="538">
        <v>0.9</v>
      </c>
      <c r="I344" s="542">
        <f t="shared" si="13"/>
        <v>12.33</v>
      </c>
      <c r="J344" s="550" t="s">
        <v>102</v>
      </c>
      <c r="K344" s="39"/>
      <c r="L344" s="208"/>
      <c r="M344" s="39"/>
      <c r="N344" s="533" t="s">
        <v>2309</v>
      </c>
    </row>
    <row r="345" spans="1:14" s="541" customFormat="1" ht="16.5" customHeight="1">
      <c r="A345" s="16"/>
      <c r="B345" s="39"/>
      <c r="C345" s="534">
        <v>1</v>
      </c>
      <c r="D345" s="536" t="s">
        <v>273</v>
      </c>
      <c r="E345" s="537">
        <v>1</v>
      </c>
      <c r="F345" s="538">
        <v>5.95</v>
      </c>
      <c r="G345" s="538">
        <v>0</v>
      </c>
      <c r="H345" s="538">
        <v>0.9</v>
      </c>
      <c r="I345" s="542">
        <f t="shared" si="13"/>
        <v>5.36</v>
      </c>
      <c r="J345" s="550" t="s">
        <v>102</v>
      </c>
      <c r="K345" s="39"/>
      <c r="L345" s="208"/>
      <c r="M345" s="39"/>
      <c r="N345" s="533" t="s">
        <v>2309</v>
      </c>
    </row>
    <row r="346" spans="1:14" s="541" customFormat="1" ht="16.5" customHeight="1">
      <c r="A346" s="16"/>
      <c r="B346" s="39"/>
      <c r="C346" s="534"/>
      <c r="D346" s="536"/>
      <c r="E346" s="537"/>
      <c r="F346" s="538"/>
      <c r="G346" s="538"/>
      <c r="H346" s="538"/>
      <c r="I346" s="542"/>
      <c r="J346" s="550"/>
      <c r="K346" s="39"/>
      <c r="L346" s="208"/>
      <c r="M346" s="39"/>
      <c r="N346" s="533" t="s">
        <v>2309</v>
      </c>
    </row>
    <row r="347" spans="1:14" ht="15.75">
      <c r="A347" s="16"/>
      <c r="B347" s="39"/>
      <c r="C347" s="551"/>
      <c r="D347" s="552"/>
      <c r="E347" s="537"/>
      <c r="F347" s="538"/>
      <c r="G347" s="40"/>
      <c r="H347" s="16"/>
      <c r="I347" s="549"/>
      <c r="J347" s="550" t="s">
        <v>102</v>
      </c>
      <c r="K347" s="10">
        <f>data!G3162</f>
        <v>999.57</v>
      </c>
      <c r="L347" s="208" t="s">
        <v>2309</v>
      </c>
      <c r="M347" s="9">
        <f>ROUND(I347*K347/1,0)</f>
        <v>0</v>
      </c>
      <c r="N347" s="533" t="s">
        <v>2309</v>
      </c>
    </row>
    <row r="348" spans="1:14" ht="79.5" customHeight="1">
      <c r="A348" s="16">
        <v>20</v>
      </c>
      <c r="B348" s="1633" t="s">
        <v>1200</v>
      </c>
      <c r="C348" s="1633"/>
      <c r="D348" s="1633"/>
      <c r="E348" s="1633"/>
      <c r="F348" s="1633"/>
      <c r="G348" s="1633"/>
      <c r="H348" s="1633"/>
      <c r="I348" s="534"/>
      <c r="J348" s="535"/>
      <c r="K348" s="16"/>
      <c r="L348" s="208"/>
      <c r="M348" s="38"/>
      <c r="N348" s="533" t="s">
        <v>2209</v>
      </c>
    </row>
    <row r="349" spans="1:14" s="541" customFormat="1" ht="16.5" customHeight="1">
      <c r="A349" s="16"/>
      <c r="B349" s="39" t="s">
        <v>2791</v>
      </c>
      <c r="C349" s="534"/>
      <c r="D349" s="536"/>
      <c r="E349" s="537"/>
      <c r="F349" s="538"/>
      <c r="G349" s="538"/>
      <c r="H349" s="538"/>
      <c r="I349" s="539"/>
      <c r="J349" s="550"/>
      <c r="K349" s="39"/>
      <c r="L349" s="208"/>
      <c r="M349" s="39"/>
      <c r="N349" s="533" t="s">
        <v>2209</v>
      </c>
    </row>
    <row r="350" spans="1:14" s="541" customFormat="1" ht="16.5" customHeight="1">
      <c r="A350" s="16"/>
      <c r="B350" s="39" t="s">
        <v>1241</v>
      </c>
      <c r="C350" s="534">
        <v>1</v>
      </c>
      <c r="D350" s="536" t="s">
        <v>273</v>
      </c>
      <c r="E350" s="537">
        <v>2</v>
      </c>
      <c r="F350" s="538">
        <v>0.75</v>
      </c>
      <c r="G350" s="538">
        <v>0.15</v>
      </c>
      <c r="H350" s="538">
        <v>1.05</v>
      </c>
      <c r="I350" s="542">
        <f t="shared" ref="I350:I352" si="14">ROUND(IF(AND(F350:H350),C350*E350*F350*G350*H350,IF(AND(F350,G350),C350*E350*F350*G350,IF(AND(F350,H350),C350*E350*F350*H350,IF(AND(G350,H350),C350*E350*G350*H350,IF(F350,C350*E350*F350,IF(G350,C350*E350*G350,IF(H350,C350*E350*H350,C350*E350))))))),2)</f>
        <v>0.24</v>
      </c>
      <c r="J350" s="550" t="s">
        <v>5</v>
      </c>
      <c r="K350" s="39"/>
      <c r="L350" s="208"/>
      <c r="M350" s="39"/>
      <c r="N350" s="533" t="s">
        <v>2209</v>
      </c>
    </row>
    <row r="351" spans="1:14" s="541" customFormat="1" ht="16.5" customHeight="1">
      <c r="A351" s="16"/>
      <c r="B351" s="39"/>
      <c r="C351" s="534">
        <v>1</v>
      </c>
      <c r="D351" s="536" t="s">
        <v>273</v>
      </c>
      <c r="E351" s="537">
        <v>1</v>
      </c>
      <c r="F351" s="538">
        <v>1.2</v>
      </c>
      <c r="G351" s="538">
        <v>0.15</v>
      </c>
      <c r="H351" s="538">
        <v>0.75</v>
      </c>
      <c r="I351" s="542">
        <f t="shared" si="14"/>
        <v>0.14000000000000001</v>
      </c>
      <c r="J351" s="550" t="s">
        <v>5</v>
      </c>
      <c r="K351" s="39"/>
      <c r="L351" s="208"/>
      <c r="M351" s="39"/>
      <c r="N351" s="533" t="s">
        <v>2209</v>
      </c>
    </row>
    <row r="352" spans="1:14" s="541" customFormat="1" ht="16.5" customHeight="1">
      <c r="A352" s="16"/>
      <c r="B352" s="39"/>
      <c r="C352" s="534">
        <v>1</v>
      </c>
      <c r="D352" s="536" t="s">
        <v>273</v>
      </c>
      <c r="E352" s="537">
        <v>1</v>
      </c>
      <c r="F352" s="538">
        <v>2.85</v>
      </c>
      <c r="G352" s="538">
        <v>0.15</v>
      </c>
      <c r="H352" s="538">
        <v>1.2</v>
      </c>
      <c r="I352" s="542">
        <f t="shared" si="14"/>
        <v>0.51</v>
      </c>
      <c r="J352" s="550" t="s">
        <v>5</v>
      </c>
      <c r="K352" s="39"/>
      <c r="L352" s="208"/>
      <c r="M352" s="39"/>
      <c r="N352" s="533" t="s">
        <v>2209</v>
      </c>
    </row>
    <row r="353" spans="1:14" s="541" customFormat="1" ht="16.5" customHeight="1">
      <c r="A353" s="16"/>
      <c r="B353" s="544"/>
      <c r="C353" s="545"/>
      <c r="D353" s="546"/>
      <c r="E353" s="547"/>
      <c r="F353" s="548"/>
      <c r="G353" s="548"/>
      <c r="H353" s="548"/>
      <c r="I353" s="549"/>
      <c r="J353" s="550"/>
      <c r="K353" s="39"/>
      <c r="L353" s="208"/>
      <c r="M353" s="39"/>
      <c r="N353" s="533" t="s">
        <v>2209</v>
      </c>
    </row>
    <row r="354" spans="1:14" ht="15.75">
      <c r="A354" s="16"/>
      <c r="B354" s="39"/>
      <c r="C354" s="551"/>
      <c r="D354" s="552"/>
      <c r="E354" s="537"/>
      <c r="F354" s="538"/>
      <c r="G354" s="40"/>
      <c r="H354" s="16"/>
      <c r="I354" s="549"/>
      <c r="J354" s="550" t="s">
        <v>5</v>
      </c>
      <c r="K354" s="10">
        <f>data!G428</f>
        <v>6013.9600000000009</v>
      </c>
      <c r="L354" s="208" t="s">
        <v>2209</v>
      </c>
      <c r="M354" s="9">
        <f>ROUND(I354*K354,0)</f>
        <v>0</v>
      </c>
      <c r="N354" s="533" t="s">
        <v>2209</v>
      </c>
    </row>
    <row r="355" spans="1:14" ht="79.5" customHeight="1">
      <c r="A355" s="16">
        <v>20</v>
      </c>
      <c r="B355" s="1633" t="s">
        <v>1200</v>
      </c>
      <c r="C355" s="1633"/>
      <c r="D355" s="1633"/>
      <c r="E355" s="1633"/>
      <c r="F355" s="1633"/>
      <c r="G355" s="1633"/>
      <c r="H355" s="1633"/>
      <c r="I355" s="534"/>
      <c r="J355" s="535"/>
      <c r="K355" s="16"/>
      <c r="L355" s="208"/>
      <c r="M355" s="38"/>
      <c r="N355" s="533" t="s">
        <v>2297</v>
      </c>
    </row>
    <row r="356" spans="1:14" s="541" customFormat="1" ht="16.5" customHeight="1">
      <c r="A356" s="16"/>
      <c r="B356" s="39" t="s">
        <v>2791</v>
      </c>
      <c r="C356" s="534"/>
      <c r="D356" s="536"/>
      <c r="E356" s="537"/>
      <c r="F356" s="538"/>
      <c r="G356" s="538"/>
      <c r="H356" s="538"/>
      <c r="I356" s="539"/>
      <c r="J356" s="550"/>
      <c r="K356" s="39"/>
      <c r="L356" s="208"/>
      <c r="M356" s="39"/>
      <c r="N356" s="533" t="s">
        <v>2297</v>
      </c>
    </row>
    <row r="357" spans="1:14" s="541" customFormat="1" ht="16.5" customHeight="1">
      <c r="A357" s="16"/>
      <c r="B357" s="39" t="s">
        <v>1241</v>
      </c>
      <c r="C357" s="534">
        <v>1</v>
      </c>
      <c r="D357" s="536" t="s">
        <v>273</v>
      </c>
      <c r="E357" s="537">
        <v>2</v>
      </c>
      <c r="F357" s="538">
        <v>0.75</v>
      </c>
      <c r="G357" s="538">
        <v>0.15</v>
      </c>
      <c r="H357" s="538">
        <v>1.05</v>
      </c>
      <c r="I357" s="542">
        <f>ROUND(IF(AND(F357:H357),C357*E357*F357*G357*H357,IF(AND(F357,G357),C357*E357*F357*G357,IF(AND(F357,H357),C357*E357*F357*H357,IF(AND(G357,H357),C357*E357*G357*H357,IF(F357,C357*E357*F357,IF(G357,C357*E357*G357,IF(H357,C357*E357*H357,C357*E357))))))),2)</f>
        <v>0.24</v>
      </c>
      <c r="J357" s="550" t="s">
        <v>5</v>
      </c>
      <c r="K357" s="39"/>
      <c r="L357" s="208"/>
      <c r="M357" s="39"/>
      <c r="N357" s="533" t="s">
        <v>2297</v>
      </c>
    </row>
    <row r="358" spans="1:14" s="541" customFormat="1" ht="16.5" customHeight="1">
      <c r="A358" s="16"/>
      <c r="B358" s="39"/>
      <c r="C358" s="534">
        <v>1</v>
      </c>
      <c r="D358" s="536" t="s">
        <v>273</v>
      </c>
      <c r="E358" s="537">
        <v>1</v>
      </c>
      <c r="F358" s="538">
        <v>1.2</v>
      </c>
      <c r="G358" s="538">
        <v>0.15</v>
      </c>
      <c r="H358" s="538">
        <v>0.75</v>
      </c>
      <c r="I358" s="542">
        <f>ROUND(IF(AND(F358:H358),C358*E358*F358*G358*H358,IF(AND(F358,G358),C358*E358*F358*G358,IF(AND(F358,H358),C358*E358*F358*H358,IF(AND(G358,H358),C358*E358*G358*H358,IF(F358,C358*E358*F358,IF(G358,C358*E358*G358,IF(H358,C358*E358*H358,C358*E358))))))),2)</f>
        <v>0.14000000000000001</v>
      </c>
      <c r="J358" s="550" t="s">
        <v>5</v>
      </c>
      <c r="K358" s="39"/>
      <c r="L358" s="208"/>
      <c r="M358" s="39"/>
      <c r="N358" s="533" t="s">
        <v>2297</v>
      </c>
    </row>
    <row r="359" spans="1:14" s="541" customFormat="1" ht="16.5" customHeight="1">
      <c r="A359" s="16"/>
      <c r="B359" s="39"/>
      <c r="C359" s="534">
        <v>1</v>
      </c>
      <c r="D359" s="536" t="s">
        <v>273</v>
      </c>
      <c r="E359" s="537">
        <v>1</v>
      </c>
      <c r="F359" s="538">
        <v>2.85</v>
      </c>
      <c r="G359" s="538">
        <v>0.15</v>
      </c>
      <c r="H359" s="538">
        <v>1.2</v>
      </c>
      <c r="I359" s="542">
        <f>ROUND(IF(AND(F359:H359),C359*E359*F359*G359*H359,IF(AND(F359,G359),C359*E359*F359*G359,IF(AND(F359,H359),C359*E359*F359*H359,IF(AND(G359,H359),C359*E359*G359*H359,IF(F359,C359*E359*F359,IF(G359,C359*E359*G359,IF(H359,C359*E359*H359,C359*E359))))))),2)</f>
        <v>0.51</v>
      </c>
      <c r="J359" s="550" t="s">
        <v>5</v>
      </c>
      <c r="K359" s="39"/>
      <c r="L359" s="208"/>
      <c r="M359" s="39"/>
      <c r="N359" s="533" t="s">
        <v>2297</v>
      </c>
    </row>
    <row r="360" spans="1:14" s="541" customFormat="1" ht="16.5" customHeight="1">
      <c r="A360" s="16"/>
      <c r="B360" s="544"/>
      <c r="C360" s="545"/>
      <c r="D360" s="546"/>
      <c r="E360" s="547"/>
      <c r="F360" s="548"/>
      <c r="G360" s="548"/>
      <c r="H360" s="548"/>
      <c r="I360" s="549"/>
      <c r="J360" s="550"/>
      <c r="K360" s="39"/>
      <c r="L360" s="208"/>
      <c r="M360" s="39"/>
      <c r="N360" s="533" t="s">
        <v>2297</v>
      </c>
    </row>
    <row r="361" spans="1:14" ht="15.75">
      <c r="A361" s="16"/>
      <c r="B361" s="39"/>
      <c r="C361" s="551"/>
      <c r="D361" s="552"/>
      <c r="E361" s="537"/>
      <c r="F361" s="538"/>
      <c r="G361" s="40"/>
      <c r="H361" s="16"/>
      <c r="I361" s="549"/>
      <c r="J361" s="550" t="s">
        <v>5</v>
      </c>
      <c r="K361" s="10">
        <f>data!G1345</f>
        <v>6227.11</v>
      </c>
      <c r="L361" s="208" t="s">
        <v>2297</v>
      </c>
      <c r="M361" s="9">
        <f>ROUND(I361*K361,0)</f>
        <v>0</v>
      </c>
      <c r="N361" s="533" t="s">
        <v>2297</v>
      </c>
    </row>
    <row r="362" spans="1:14" ht="79.5" customHeight="1">
      <c r="A362" s="16">
        <v>20</v>
      </c>
      <c r="B362" s="1633" t="s">
        <v>1200</v>
      </c>
      <c r="C362" s="1633"/>
      <c r="D362" s="1633"/>
      <c r="E362" s="1633"/>
      <c r="F362" s="1633"/>
      <c r="G362" s="1633"/>
      <c r="H362" s="1633"/>
      <c r="I362" s="534"/>
      <c r="J362" s="535"/>
      <c r="K362" s="16"/>
      <c r="L362" s="208"/>
      <c r="M362" s="38"/>
      <c r="N362" s="533" t="s">
        <v>2308</v>
      </c>
    </row>
    <row r="363" spans="1:14" s="541" customFormat="1" ht="16.5" customHeight="1">
      <c r="A363" s="16"/>
      <c r="B363" s="39" t="s">
        <v>2791</v>
      </c>
      <c r="C363" s="534"/>
      <c r="D363" s="536"/>
      <c r="E363" s="537"/>
      <c r="F363" s="538"/>
      <c r="G363" s="538"/>
      <c r="H363" s="538"/>
      <c r="I363" s="539"/>
      <c r="J363" s="550"/>
      <c r="K363" s="39"/>
      <c r="L363" s="208"/>
      <c r="M363" s="39"/>
      <c r="N363" s="533" t="s">
        <v>2308</v>
      </c>
    </row>
    <row r="364" spans="1:14" s="541" customFormat="1" ht="16.5" customHeight="1">
      <c r="A364" s="16"/>
      <c r="B364" s="39" t="s">
        <v>1241</v>
      </c>
      <c r="C364" s="534">
        <v>1</v>
      </c>
      <c r="D364" s="536" t="s">
        <v>273</v>
      </c>
      <c r="E364" s="537">
        <v>2</v>
      </c>
      <c r="F364" s="538">
        <v>0.75</v>
      </c>
      <c r="G364" s="538">
        <v>0.15</v>
      </c>
      <c r="H364" s="538">
        <v>1.05</v>
      </c>
      <c r="I364" s="542">
        <f>ROUND(IF(AND(F364:H364),C364*E364*F364*G364*H364,IF(AND(F364,G364),C364*E364*F364*G364,IF(AND(F364,H364),C364*E364*F364*H364,IF(AND(G364,H364),C364*E364*G364*H364,IF(F364,C364*E364*F364,IF(G364,C364*E364*G364,IF(H364,C364*E364*H364,C364*E364))))))),2)</f>
        <v>0.24</v>
      </c>
      <c r="J364" s="550" t="s">
        <v>5</v>
      </c>
      <c r="K364" s="39"/>
      <c r="L364" s="208"/>
      <c r="M364" s="39"/>
      <c r="N364" s="533" t="s">
        <v>2308</v>
      </c>
    </row>
    <row r="365" spans="1:14" s="541" customFormat="1" ht="16.5" customHeight="1">
      <c r="A365" s="16"/>
      <c r="B365" s="39"/>
      <c r="C365" s="534">
        <v>1</v>
      </c>
      <c r="D365" s="536" t="s">
        <v>273</v>
      </c>
      <c r="E365" s="537">
        <v>1</v>
      </c>
      <c r="F365" s="538">
        <v>1.2</v>
      </c>
      <c r="G365" s="538">
        <v>0.15</v>
      </c>
      <c r="H365" s="538">
        <v>0.75</v>
      </c>
      <c r="I365" s="542">
        <f>ROUND(IF(AND(F365:H365),C365*E365*F365*G365*H365,IF(AND(F365,G365),C365*E365*F365*G365,IF(AND(F365,H365),C365*E365*F365*H365,IF(AND(G365,H365),C365*E365*G365*H365,IF(F365,C365*E365*F365,IF(G365,C365*E365*G365,IF(H365,C365*E365*H365,C365*E365))))))),2)</f>
        <v>0.14000000000000001</v>
      </c>
      <c r="J365" s="550" t="s">
        <v>5</v>
      </c>
      <c r="K365" s="39"/>
      <c r="L365" s="208"/>
      <c r="M365" s="39"/>
      <c r="N365" s="533" t="s">
        <v>2308</v>
      </c>
    </row>
    <row r="366" spans="1:14" s="541" customFormat="1" ht="16.5" customHeight="1">
      <c r="A366" s="16"/>
      <c r="B366" s="39"/>
      <c r="C366" s="534">
        <v>1</v>
      </c>
      <c r="D366" s="536" t="s">
        <v>273</v>
      </c>
      <c r="E366" s="537">
        <v>1</v>
      </c>
      <c r="F366" s="538">
        <v>2.85</v>
      </c>
      <c r="G366" s="538">
        <v>0.15</v>
      </c>
      <c r="H366" s="538">
        <v>1.2</v>
      </c>
      <c r="I366" s="542">
        <f>ROUND(IF(AND(F366:H366),C366*E366*F366*G366*H366,IF(AND(F366,G366),C366*E366*F366*G366,IF(AND(F366,H366),C366*E366*F366*H366,IF(AND(G366,H366),C366*E366*G366*H366,IF(F366,C366*E366*F366,IF(G366,C366*E366*G366,IF(H366,C366*E366*H366,C366*E366))))))),2)</f>
        <v>0.51</v>
      </c>
      <c r="J366" s="550" t="s">
        <v>5</v>
      </c>
      <c r="K366" s="39"/>
      <c r="L366" s="208"/>
      <c r="M366" s="39"/>
      <c r="N366" s="533" t="s">
        <v>2308</v>
      </c>
    </row>
    <row r="367" spans="1:14" s="541" customFormat="1" ht="16.5" customHeight="1">
      <c r="A367" s="16"/>
      <c r="B367" s="544"/>
      <c r="C367" s="545"/>
      <c r="D367" s="546"/>
      <c r="E367" s="547"/>
      <c r="F367" s="548"/>
      <c r="G367" s="548"/>
      <c r="H367" s="548"/>
      <c r="I367" s="549"/>
      <c r="J367" s="550"/>
      <c r="K367" s="39"/>
      <c r="L367" s="208"/>
      <c r="M367" s="39"/>
      <c r="N367" s="533" t="s">
        <v>2308</v>
      </c>
    </row>
    <row r="368" spans="1:14" ht="15.75">
      <c r="A368" s="16"/>
      <c r="B368" s="39"/>
      <c r="C368" s="551"/>
      <c r="D368" s="552"/>
      <c r="E368" s="537"/>
      <c r="F368" s="538"/>
      <c r="G368" s="40"/>
      <c r="H368" s="16"/>
      <c r="I368" s="549"/>
      <c r="J368" s="550" t="s">
        <v>5</v>
      </c>
      <c r="K368" s="10">
        <f>data!G2262</f>
        <v>6774.69</v>
      </c>
      <c r="L368" s="208" t="s">
        <v>2308</v>
      </c>
      <c r="M368" s="9">
        <f>ROUND(I368*K368,0)</f>
        <v>0</v>
      </c>
      <c r="N368" s="533" t="s">
        <v>2308</v>
      </c>
    </row>
    <row r="369" spans="1:14" ht="79.5" customHeight="1">
      <c r="A369" s="16">
        <v>20</v>
      </c>
      <c r="B369" s="1633" t="s">
        <v>1200</v>
      </c>
      <c r="C369" s="1633"/>
      <c r="D369" s="1633"/>
      <c r="E369" s="1633"/>
      <c r="F369" s="1633"/>
      <c r="G369" s="1633"/>
      <c r="H369" s="1633"/>
      <c r="I369" s="534"/>
      <c r="J369" s="535"/>
      <c r="K369" s="16"/>
      <c r="L369" s="208"/>
      <c r="M369" s="38"/>
      <c r="N369" s="533" t="s">
        <v>2309</v>
      </c>
    </row>
    <row r="370" spans="1:14" s="541" customFormat="1" ht="16.5" customHeight="1">
      <c r="A370" s="16"/>
      <c r="B370" s="39" t="s">
        <v>2791</v>
      </c>
      <c r="C370" s="534"/>
      <c r="D370" s="536"/>
      <c r="E370" s="537"/>
      <c r="F370" s="538"/>
      <c r="G370" s="538"/>
      <c r="H370" s="538"/>
      <c r="I370" s="539"/>
      <c r="J370" s="550"/>
      <c r="K370" s="39"/>
      <c r="L370" s="208"/>
      <c r="M370" s="39"/>
      <c r="N370" s="533" t="s">
        <v>2309</v>
      </c>
    </row>
    <row r="371" spans="1:14" s="541" customFormat="1" ht="16.5" customHeight="1">
      <c r="A371" s="16"/>
      <c r="B371" s="39" t="s">
        <v>1241</v>
      </c>
      <c r="C371" s="534">
        <v>1</v>
      </c>
      <c r="D371" s="536" t="s">
        <v>273</v>
      </c>
      <c r="E371" s="537">
        <v>2</v>
      </c>
      <c r="F371" s="538">
        <v>0.75</v>
      </c>
      <c r="G371" s="538">
        <v>0.15</v>
      </c>
      <c r="H371" s="538">
        <v>1.05</v>
      </c>
      <c r="I371" s="542">
        <f>ROUND(IF(AND(F371:H371),C371*E371*F371*G371*H371,IF(AND(F371,G371),C371*E371*F371*G371,IF(AND(F371,H371),C371*E371*F371*H371,IF(AND(G371,H371),C371*E371*G371*H371,IF(F371,C371*E371*F371,IF(G371,C371*E371*G371,IF(H371,C371*E371*H371,C371*E371))))))),2)</f>
        <v>0.24</v>
      </c>
      <c r="J371" s="550" t="s">
        <v>5</v>
      </c>
      <c r="K371" s="39"/>
      <c r="L371" s="208"/>
      <c r="M371" s="39"/>
      <c r="N371" s="533" t="s">
        <v>2309</v>
      </c>
    </row>
    <row r="372" spans="1:14" s="541" customFormat="1" ht="16.5" customHeight="1">
      <c r="A372" s="16"/>
      <c r="B372" s="39"/>
      <c r="C372" s="534">
        <v>1</v>
      </c>
      <c r="D372" s="536" t="s">
        <v>273</v>
      </c>
      <c r="E372" s="537">
        <v>1</v>
      </c>
      <c r="F372" s="538">
        <v>1.2</v>
      </c>
      <c r="G372" s="538">
        <v>0.15</v>
      </c>
      <c r="H372" s="538">
        <v>0.75</v>
      </c>
      <c r="I372" s="542">
        <f>ROUND(IF(AND(F372:H372),C372*E372*F372*G372*H372,IF(AND(F372,G372),C372*E372*F372*G372,IF(AND(F372,H372),C372*E372*F372*H372,IF(AND(G372,H372),C372*E372*G372*H372,IF(F372,C372*E372*F372,IF(G372,C372*E372*G372,IF(H372,C372*E372*H372,C372*E372))))))),2)</f>
        <v>0.14000000000000001</v>
      </c>
      <c r="J372" s="550" t="s">
        <v>5</v>
      </c>
      <c r="K372" s="39"/>
      <c r="L372" s="208"/>
      <c r="M372" s="39"/>
      <c r="N372" s="533" t="s">
        <v>2309</v>
      </c>
    </row>
    <row r="373" spans="1:14" s="541" customFormat="1" ht="16.5" customHeight="1">
      <c r="A373" s="16"/>
      <c r="B373" s="39"/>
      <c r="C373" s="534">
        <v>1</v>
      </c>
      <c r="D373" s="536" t="s">
        <v>273</v>
      </c>
      <c r="E373" s="537">
        <v>1</v>
      </c>
      <c r="F373" s="538">
        <v>2.85</v>
      </c>
      <c r="G373" s="538">
        <v>0.15</v>
      </c>
      <c r="H373" s="538">
        <v>1.2</v>
      </c>
      <c r="I373" s="542">
        <f>ROUND(IF(AND(F373:H373),C373*E373*F373*G373*H373,IF(AND(F373,G373),C373*E373*F373*G373,IF(AND(F373,H373),C373*E373*F373*H373,IF(AND(G373,H373),C373*E373*G373*H373,IF(F373,C373*E373*F373,IF(G373,C373*E373*G373,IF(H373,C373*E373*H373,C373*E373))))))),2)</f>
        <v>0.51</v>
      </c>
      <c r="J373" s="550" t="s">
        <v>5</v>
      </c>
      <c r="K373" s="39"/>
      <c r="L373" s="208"/>
      <c r="M373" s="39"/>
      <c r="N373" s="533" t="s">
        <v>2309</v>
      </c>
    </row>
    <row r="374" spans="1:14" s="541" customFormat="1" ht="16.5" customHeight="1">
      <c r="A374" s="16"/>
      <c r="B374" s="544"/>
      <c r="C374" s="545"/>
      <c r="D374" s="546"/>
      <c r="E374" s="547"/>
      <c r="F374" s="548"/>
      <c r="G374" s="548"/>
      <c r="H374" s="548"/>
      <c r="I374" s="549"/>
      <c r="J374" s="550"/>
      <c r="K374" s="39"/>
      <c r="L374" s="208"/>
      <c r="M374" s="39"/>
      <c r="N374" s="533" t="s">
        <v>2309</v>
      </c>
    </row>
    <row r="375" spans="1:14" ht="15.75">
      <c r="A375" s="16"/>
      <c r="B375" s="39"/>
      <c r="C375" s="551"/>
      <c r="D375" s="552"/>
      <c r="E375" s="537"/>
      <c r="F375" s="538"/>
      <c r="G375" s="40"/>
      <c r="H375" s="16"/>
      <c r="I375" s="549"/>
      <c r="J375" s="550" t="s">
        <v>5</v>
      </c>
      <c r="K375" s="10">
        <f>data!G3179</f>
        <v>7187.4500000000007</v>
      </c>
      <c r="L375" s="208" t="s">
        <v>2309</v>
      </c>
      <c r="M375" s="9">
        <f>ROUND(I375*K375,0)</f>
        <v>0</v>
      </c>
      <c r="N375" s="533" t="s">
        <v>2309</v>
      </c>
    </row>
    <row r="376" spans="1:14" ht="54.75" customHeight="1">
      <c r="A376" s="16">
        <v>6</v>
      </c>
      <c r="B376" s="1633" t="s">
        <v>125</v>
      </c>
      <c r="C376" s="1633"/>
      <c r="D376" s="1633"/>
      <c r="E376" s="1633"/>
      <c r="F376" s="1633"/>
      <c r="G376" s="1633"/>
      <c r="H376" s="1633"/>
      <c r="I376" s="534"/>
      <c r="J376" s="535"/>
      <c r="K376" s="16"/>
      <c r="L376" s="208"/>
      <c r="M376" s="38"/>
      <c r="N376" s="533" t="s">
        <v>2209</v>
      </c>
    </row>
    <row r="377" spans="1:14" s="541" customFormat="1" ht="16.5" customHeight="1">
      <c r="A377" s="16"/>
      <c r="B377" s="39" t="s">
        <v>3029</v>
      </c>
      <c r="C377" s="558"/>
      <c r="D377" s="858" t="s">
        <v>3251</v>
      </c>
      <c r="E377" s="560"/>
      <c r="F377" s="561"/>
      <c r="G377" s="561"/>
      <c r="H377" s="561"/>
      <c r="I377" s="562"/>
      <c r="J377" s="550"/>
      <c r="K377" s="39"/>
      <c r="L377" s="208"/>
      <c r="M377" s="39"/>
      <c r="N377" s="533" t="s">
        <v>2209</v>
      </c>
    </row>
    <row r="378" spans="1:14" s="541" customFormat="1" ht="16.5" customHeight="1">
      <c r="A378" s="16"/>
      <c r="B378" s="39" t="s">
        <v>3080</v>
      </c>
      <c r="C378" s="534">
        <v>1</v>
      </c>
      <c r="D378" s="536" t="s">
        <v>273</v>
      </c>
      <c r="E378" s="537">
        <v>1</v>
      </c>
      <c r="F378" s="538">
        <v>2.68</v>
      </c>
      <c r="G378" s="538">
        <v>3.16</v>
      </c>
      <c r="H378" s="538">
        <v>0</v>
      </c>
      <c r="I378" s="542">
        <f t="shared" ref="I378:I380" si="15">ROUND(IF(AND(F378:H378),C378*E378*F378*G378*H378,IF(AND(F378,G378),C378*E378*F378*G378,IF(AND(F378,H378),C378*E378*F378*H378,IF(AND(G378,H378),C378*E378*G378*H378,IF(F378,C378*E378*F378,IF(G378,C378*E378*G378,IF(H378,C378*E378*H378,C378*E378))))))),2)</f>
        <v>8.4700000000000006</v>
      </c>
      <c r="J378" s="550" t="s">
        <v>102</v>
      </c>
      <c r="K378" s="39"/>
      <c r="L378" s="208"/>
      <c r="M378" s="39"/>
      <c r="N378" s="533" t="s">
        <v>2209</v>
      </c>
    </row>
    <row r="379" spans="1:14" s="541" customFormat="1" ht="16.5" customHeight="1">
      <c r="A379" s="16"/>
      <c r="B379" s="39" t="s">
        <v>813</v>
      </c>
      <c r="C379" s="534">
        <v>1</v>
      </c>
      <c r="D379" s="536" t="s">
        <v>273</v>
      </c>
      <c r="E379" s="537">
        <v>1</v>
      </c>
      <c r="F379" s="538">
        <v>3.7</v>
      </c>
      <c r="G379" s="538">
        <v>0.3</v>
      </c>
      <c r="H379" s="538">
        <v>0</v>
      </c>
      <c r="I379" s="542">
        <f t="shared" si="15"/>
        <v>1.1100000000000001</v>
      </c>
      <c r="J379" s="550" t="s">
        <v>102</v>
      </c>
      <c r="K379" s="39"/>
      <c r="L379" s="208"/>
      <c r="M379" s="39"/>
      <c r="N379" s="533" t="s">
        <v>2209</v>
      </c>
    </row>
    <row r="380" spans="1:14" s="541" customFormat="1" ht="16.5" customHeight="1">
      <c r="A380" s="16"/>
      <c r="B380" s="39" t="s">
        <v>3081</v>
      </c>
      <c r="C380" s="534">
        <v>1</v>
      </c>
      <c r="D380" s="536" t="s">
        <v>273</v>
      </c>
      <c r="E380" s="537">
        <v>2</v>
      </c>
      <c r="F380" s="538">
        <v>5</v>
      </c>
      <c r="G380" s="538">
        <v>0.3</v>
      </c>
      <c r="H380" s="538">
        <v>0</v>
      </c>
      <c r="I380" s="542">
        <f t="shared" si="15"/>
        <v>3</v>
      </c>
      <c r="J380" s="550" t="s">
        <v>102</v>
      </c>
      <c r="K380" s="39"/>
      <c r="L380" s="208"/>
      <c r="M380" s="39"/>
      <c r="N380" s="533" t="s">
        <v>2209</v>
      </c>
    </row>
    <row r="381" spans="1:14" s="541" customFormat="1" ht="16.5" customHeight="1">
      <c r="A381" s="16"/>
      <c r="B381" s="544"/>
      <c r="C381" s="545"/>
      <c r="D381" s="546"/>
      <c r="E381" s="547"/>
      <c r="F381" s="548"/>
      <c r="G381" s="548"/>
      <c r="H381" s="548"/>
      <c r="I381" s="549"/>
      <c r="J381" s="550"/>
      <c r="K381" s="39"/>
      <c r="L381" s="208"/>
      <c r="M381" s="39"/>
      <c r="N381" s="533" t="s">
        <v>2209</v>
      </c>
    </row>
    <row r="382" spans="1:14" ht="15.75">
      <c r="A382" s="16"/>
      <c r="B382" s="39"/>
      <c r="C382" s="551"/>
      <c r="D382" s="552"/>
      <c r="E382" s="537"/>
      <c r="F382" s="538"/>
      <c r="G382" s="40"/>
      <c r="H382" s="16"/>
      <c r="I382" s="549"/>
      <c r="J382" s="550" t="s">
        <v>102</v>
      </c>
      <c r="K382" s="10">
        <f>data!G444</f>
        <v>321.79000000000002</v>
      </c>
      <c r="L382" s="208" t="s">
        <v>2209</v>
      </c>
      <c r="M382" s="9">
        <f>ROUND(I382*K382,0)</f>
        <v>0</v>
      </c>
      <c r="N382" s="533" t="s">
        <v>2209</v>
      </c>
    </row>
    <row r="383" spans="1:14" ht="54.75" customHeight="1">
      <c r="A383" s="16">
        <v>7</v>
      </c>
      <c r="B383" s="1633" t="s">
        <v>125</v>
      </c>
      <c r="C383" s="1633"/>
      <c r="D383" s="1633"/>
      <c r="E383" s="1633"/>
      <c r="F383" s="1633"/>
      <c r="G383" s="1633"/>
      <c r="H383" s="1633"/>
      <c r="I383" s="534"/>
      <c r="J383" s="535"/>
      <c r="K383" s="16"/>
      <c r="L383" s="208"/>
      <c r="M383" s="38"/>
      <c r="N383" s="533" t="s">
        <v>2297</v>
      </c>
    </row>
    <row r="384" spans="1:14" s="541" customFormat="1" ht="16.5" customHeight="1">
      <c r="A384" s="16"/>
      <c r="B384" s="39" t="s">
        <v>2843</v>
      </c>
      <c r="C384" s="534"/>
      <c r="D384" s="536"/>
      <c r="E384" s="537"/>
      <c r="F384" s="538"/>
      <c r="G384" s="538"/>
      <c r="H384" s="538"/>
      <c r="I384" s="539"/>
      <c r="J384" s="550"/>
      <c r="K384" s="39"/>
      <c r="L384" s="208"/>
      <c r="M384" s="39"/>
      <c r="N384" s="533" t="s">
        <v>2297</v>
      </c>
    </row>
    <row r="385" spans="1:14" s="541" customFormat="1" ht="16.5" customHeight="1">
      <c r="A385" s="16"/>
      <c r="B385" s="39" t="s">
        <v>2722</v>
      </c>
      <c r="C385" s="534">
        <v>1</v>
      </c>
      <c r="D385" s="536" t="s">
        <v>273</v>
      </c>
      <c r="E385" s="537">
        <v>1</v>
      </c>
      <c r="F385" s="538">
        <v>4.16</v>
      </c>
      <c r="G385" s="538">
        <v>2.72</v>
      </c>
      <c r="H385" s="538">
        <v>0</v>
      </c>
      <c r="I385" s="542">
        <f t="shared" ref="I385" si="16">ROUND(IF(AND(F385:H385),C385*E385*F385*G385*H385,IF(AND(F385,G385),C385*E385*F385*G385,IF(AND(F385,H385),C385*E385*F385*H385,IF(AND(G385,H385),C385*E385*G385*H385,IF(F385,C385*E385*F385,IF(G385,C385*E385*G385,IF(H385,C385*E385*H385,C385*E385))))))),2)</f>
        <v>11.32</v>
      </c>
      <c r="J385" s="550" t="s">
        <v>102</v>
      </c>
      <c r="K385" s="39"/>
      <c r="L385" s="208"/>
      <c r="M385" s="39"/>
      <c r="N385" s="533" t="s">
        <v>2297</v>
      </c>
    </row>
    <row r="386" spans="1:14" s="541" customFormat="1" ht="16.5" customHeight="1">
      <c r="A386" s="16"/>
      <c r="B386" s="39" t="s">
        <v>2924</v>
      </c>
      <c r="C386" s="534">
        <v>1</v>
      </c>
      <c r="D386" s="536" t="s">
        <v>273</v>
      </c>
      <c r="E386" s="537">
        <v>1</v>
      </c>
      <c r="F386" s="538">
        <v>3.78</v>
      </c>
      <c r="G386" s="538">
        <v>0.6</v>
      </c>
      <c r="H386" s="538">
        <v>0</v>
      </c>
      <c r="I386" s="542">
        <f t="shared" ref="I386:I388" si="17">ROUND(IF(AND(F386:H386),C386*E386*F386*G386*H386,IF(AND(F386,G386),C386*E386*F386*G386,IF(AND(F386,H386),C386*E386*F386*H386,IF(AND(G386,H386),C386*E386*G386*H386,IF(F386,C386*E386*F386,IF(G386,C386*E386*G386,IF(H386,C386*E386*H386,C386*E386))))))),2)</f>
        <v>2.27</v>
      </c>
      <c r="J386" s="550" t="s">
        <v>102</v>
      </c>
      <c r="K386" s="39"/>
      <c r="L386" s="208"/>
      <c r="M386" s="39"/>
      <c r="N386" s="533" t="s">
        <v>2297</v>
      </c>
    </row>
    <row r="387" spans="1:14" s="541" customFormat="1" ht="16.5" customHeight="1">
      <c r="A387" s="16"/>
      <c r="B387" s="39" t="s">
        <v>2925</v>
      </c>
      <c r="C387" s="534">
        <v>1</v>
      </c>
      <c r="D387" s="536" t="s">
        <v>273</v>
      </c>
      <c r="E387" s="537">
        <v>2</v>
      </c>
      <c r="F387" s="538">
        <v>4.62</v>
      </c>
      <c r="G387" s="538">
        <v>0.3</v>
      </c>
      <c r="H387" s="538">
        <v>0</v>
      </c>
      <c r="I387" s="542">
        <f t="shared" si="17"/>
        <v>2.77</v>
      </c>
      <c r="J387" s="550" t="s">
        <v>102</v>
      </c>
      <c r="K387" s="39"/>
      <c r="L387" s="208"/>
      <c r="M387" s="39"/>
      <c r="N387" s="533" t="s">
        <v>2297</v>
      </c>
    </row>
    <row r="388" spans="1:14" s="541" customFormat="1" ht="16.5" customHeight="1">
      <c r="A388" s="16"/>
      <c r="B388" s="39" t="s">
        <v>2926</v>
      </c>
      <c r="C388" s="534">
        <v>1</v>
      </c>
      <c r="D388" s="536" t="s">
        <v>273</v>
      </c>
      <c r="E388" s="537">
        <v>1</v>
      </c>
      <c r="F388" s="538">
        <v>18</v>
      </c>
      <c r="G388" s="538">
        <v>0</v>
      </c>
      <c r="H388" s="538">
        <v>0.125</v>
      </c>
      <c r="I388" s="542">
        <f t="shared" si="17"/>
        <v>2.25</v>
      </c>
      <c r="J388" s="550" t="s">
        <v>102</v>
      </c>
      <c r="K388" s="39"/>
      <c r="L388" s="208"/>
      <c r="M388" s="39"/>
      <c r="N388" s="533" t="s">
        <v>2297</v>
      </c>
    </row>
    <row r="389" spans="1:14" s="541" customFormat="1" ht="16.5" customHeight="1">
      <c r="A389" s="16"/>
      <c r="B389" s="544"/>
      <c r="C389" s="545"/>
      <c r="D389" s="546"/>
      <c r="E389" s="547"/>
      <c r="F389" s="548"/>
      <c r="G389" s="548"/>
      <c r="H389" s="548"/>
      <c r="I389" s="549"/>
      <c r="J389" s="550"/>
      <c r="K389" s="39"/>
      <c r="L389" s="208"/>
      <c r="M389" s="39"/>
      <c r="N389" s="533" t="s">
        <v>2297</v>
      </c>
    </row>
    <row r="390" spans="1:14" ht="15.75">
      <c r="A390" s="16"/>
      <c r="B390" s="39"/>
      <c r="C390" s="551"/>
      <c r="D390" s="552"/>
      <c r="E390" s="537"/>
      <c r="F390" s="538"/>
      <c r="G390" s="40"/>
      <c r="H390" s="16"/>
      <c r="I390" s="549"/>
      <c r="J390" s="550" t="s">
        <v>102</v>
      </c>
      <c r="K390" s="10">
        <f>data!G1361</f>
        <v>344.38</v>
      </c>
      <c r="L390" s="208" t="s">
        <v>2297</v>
      </c>
      <c r="M390" s="9">
        <f>ROUND(I390*K390,0)</f>
        <v>0</v>
      </c>
      <c r="N390" s="533" t="s">
        <v>2297</v>
      </c>
    </row>
    <row r="391" spans="1:14" ht="54.75" customHeight="1">
      <c r="A391" s="16">
        <v>7</v>
      </c>
      <c r="B391" s="1633" t="s">
        <v>125</v>
      </c>
      <c r="C391" s="1633"/>
      <c r="D391" s="1633"/>
      <c r="E391" s="1633"/>
      <c r="F391" s="1633"/>
      <c r="G391" s="1633"/>
      <c r="H391" s="1633"/>
      <c r="I391" s="534"/>
      <c r="J391" s="535"/>
      <c r="K391" s="16"/>
      <c r="L391" s="208"/>
      <c r="M391" s="38"/>
      <c r="N391" s="533" t="s">
        <v>2308</v>
      </c>
    </row>
    <row r="392" spans="1:14" s="541" customFormat="1" ht="16.5" customHeight="1">
      <c r="A392" s="16"/>
      <c r="B392" s="39" t="s">
        <v>2821</v>
      </c>
      <c r="C392" s="534"/>
      <c r="D392" s="536"/>
      <c r="E392" s="537"/>
      <c r="F392" s="538"/>
      <c r="G392" s="538"/>
      <c r="H392" s="538"/>
      <c r="I392" s="539"/>
      <c r="J392" s="550"/>
      <c r="K392" s="39"/>
      <c r="L392" s="208"/>
      <c r="M392" s="39"/>
      <c r="N392" s="533" t="s">
        <v>2308</v>
      </c>
    </row>
    <row r="393" spans="1:14" s="541" customFormat="1" ht="16.5" customHeight="1">
      <c r="A393" s="16"/>
      <c r="B393" s="39" t="s">
        <v>1529</v>
      </c>
      <c r="C393" s="534">
        <v>1</v>
      </c>
      <c r="D393" s="536" t="s">
        <v>273</v>
      </c>
      <c r="E393" s="537">
        <v>1</v>
      </c>
      <c r="F393" s="538">
        <v>2.93</v>
      </c>
      <c r="G393" s="538">
        <v>0.87</v>
      </c>
      <c r="H393" s="538">
        <v>0</v>
      </c>
      <c r="I393" s="574">
        <f>ROUND(IF(AND(F393:H393),C393*E393*F393*G393*H393,IF(AND(F393,G393),C393*E393*F393*G393,IF(AND(F393,H393),C393*E393*F393*H393,IF(AND(G393,H393),C393*E393*G393*H393,IF(F393,C393*E393*F393,IF(G393,C393*E393*G393,IF(H393,C393*E393*H393,C393*E393))))))),2)</f>
        <v>2.5499999999999998</v>
      </c>
      <c r="J393" s="550" t="s">
        <v>102</v>
      </c>
      <c r="K393" s="39"/>
      <c r="L393" s="208"/>
      <c r="M393" s="39"/>
      <c r="N393" s="533" t="s">
        <v>2308</v>
      </c>
    </row>
    <row r="394" spans="1:14" s="541" customFormat="1" ht="16.5" customHeight="1">
      <c r="A394" s="16"/>
      <c r="B394" s="39" t="s">
        <v>1243</v>
      </c>
      <c r="C394" s="534">
        <v>1</v>
      </c>
      <c r="D394" s="536" t="s">
        <v>273</v>
      </c>
      <c r="E394" s="537">
        <v>2</v>
      </c>
      <c r="F394" s="538">
        <v>2.7</v>
      </c>
      <c r="G394" s="538">
        <v>0.3</v>
      </c>
      <c r="H394" s="538">
        <v>0</v>
      </c>
      <c r="I394" s="574">
        <f>ROUND(IF(AND(F394:H394),C394*E394*F394*G394*H394,IF(AND(F394,G394),C394*E394*F394*G394,IF(AND(F394,H394),C394*E394*F394*H394,IF(AND(G394,H394),C394*E394*G394*H394,IF(F394,C394*E394*F394,IF(G394,C394*E394*G394,IF(H394,C394*E394*H394,C394*E394))))))),2)</f>
        <v>1.62</v>
      </c>
      <c r="J394" s="550" t="s">
        <v>102</v>
      </c>
      <c r="K394" s="39"/>
      <c r="L394" s="208"/>
      <c r="M394" s="39"/>
      <c r="N394" s="533" t="s">
        <v>2308</v>
      </c>
    </row>
    <row r="395" spans="1:14" s="541" customFormat="1" ht="16.5" customHeight="1">
      <c r="A395" s="16"/>
      <c r="B395" s="39" t="s">
        <v>2159</v>
      </c>
      <c r="C395" s="534">
        <v>1</v>
      </c>
      <c r="D395" s="536" t="s">
        <v>273</v>
      </c>
      <c r="E395" s="537">
        <v>2</v>
      </c>
      <c r="F395" s="538">
        <v>0.88</v>
      </c>
      <c r="G395" s="538">
        <v>4.5999999999999996</v>
      </c>
      <c r="H395" s="538">
        <v>0</v>
      </c>
      <c r="I395" s="574">
        <f>ROUND(IF(AND(F395:H395),C395*E395*F395*G395*H395,IF(AND(F395,G395),C395*E395*F395*G395,IF(AND(F395,H395),C395*E395*F395*H395,IF(AND(G395,H395),C395*E395*G395*H395,IF(F395,C395*E395*F395,IF(G395,C395*E395*G395,IF(H395,C395*E395*H395,C395*E395))))))),2)</f>
        <v>8.1</v>
      </c>
      <c r="J395" s="550" t="s">
        <v>102</v>
      </c>
      <c r="K395" s="39"/>
      <c r="L395" s="208"/>
      <c r="M395" s="39"/>
      <c r="N395" s="533" t="s">
        <v>2308</v>
      </c>
    </row>
    <row r="396" spans="1:14" s="541" customFormat="1" ht="16.5" customHeight="1">
      <c r="A396" s="16"/>
      <c r="B396" s="544"/>
      <c r="C396" s="545"/>
      <c r="D396" s="546"/>
      <c r="E396" s="547"/>
      <c r="F396" s="548"/>
      <c r="G396" s="548"/>
      <c r="H396" s="548"/>
      <c r="I396" s="549"/>
      <c r="J396" s="550"/>
      <c r="K396" s="39"/>
      <c r="L396" s="208"/>
      <c r="M396" s="39"/>
      <c r="N396" s="533" t="s">
        <v>2308</v>
      </c>
    </row>
    <row r="397" spans="1:14" ht="15.75">
      <c r="A397" s="16"/>
      <c r="B397" s="39"/>
      <c r="C397" s="551"/>
      <c r="D397" s="552"/>
      <c r="E397" s="537"/>
      <c r="F397" s="538"/>
      <c r="G397" s="40"/>
      <c r="H397" s="16"/>
      <c r="I397" s="549"/>
      <c r="J397" s="550" t="s">
        <v>102</v>
      </c>
      <c r="K397" s="10">
        <f>data!G2278</f>
        <v>365.08</v>
      </c>
      <c r="L397" s="208" t="s">
        <v>2308</v>
      </c>
      <c r="M397" s="9">
        <f>ROUND(I397*K397,0)</f>
        <v>0</v>
      </c>
      <c r="N397" s="533" t="s">
        <v>2308</v>
      </c>
    </row>
    <row r="398" spans="1:14" ht="54.75" customHeight="1">
      <c r="A398" s="16">
        <v>7</v>
      </c>
      <c r="B398" s="1633" t="s">
        <v>125</v>
      </c>
      <c r="C398" s="1633"/>
      <c r="D398" s="1633"/>
      <c r="E398" s="1633"/>
      <c r="F398" s="1633"/>
      <c r="G398" s="1633"/>
      <c r="H398" s="1633"/>
      <c r="I398" s="534"/>
      <c r="J398" s="535"/>
      <c r="K398" s="16"/>
      <c r="L398" s="208"/>
      <c r="M398" s="38"/>
      <c r="N398" s="533" t="s">
        <v>2309</v>
      </c>
    </row>
    <row r="399" spans="1:14" s="541" customFormat="1" ht="16.5" customHeight="1">
      <c r="A399" s="16"/>
      <c r="B399" s="39" t="s">
        <v>3029</v>
      </c>
      <c r="C399" s="558"/>
      <c r="D399" s="559"/>
      <c r="E399" s="560"/>
      <c r="F399" s="561"/>
      <c r="G399" s="561"/>
      <c r="H399" s="561"/>
      <c r="I399" s="562"/>
      <c r="J399" s="550"/>
      <c r="K399" s="39"/>
      <c r="L399" s="208"/>
      <c r="M399" s="39"/>
      <c r="N399" s="533" t="s">
        <v>2309</v>
      </c>
    </row>
    <row r="400" spans="1:14" s="541" customFormat="1" ht="16.5" customHeight="1">
      <c r="A400" s="16"/>
      <c r="B400" s="39"/>
      <c r="C400" s="534">
        <v>1</v>
      </c>
      <c r="D400" s="536" t="s">
        <v>273</v>
      </c>
      <c r="E400" s="537">
        <v>1</v>
      </c>
      <c r="F400" s="538">
        <v>2.68</v>
      </c>
      <c r="G400" s="538">
        <v>3.16</v>
      </c>
      <c r="H400" s="538">
        <v>0</v>
      </c>
      <c r="I400" s="542">
        <f t="shared" ref="I400:I402" si="18">ROUND(IF(AND(F400:H400),C400*E400*F400*G400*H400,IF(AND(F400,G400),C400*E400*F400*G400,IF(AND(F400,H400),C400*E400*F400*H400,IF(AND(G400,H400),C400*E400*G400*H400,IF(F400,C400*E400*F400,IF(G400,C400*E400*G400,IF(H400,C400*E400*H400,C400*E400))))))),2)</f>
        <v>8.4700000000000006</v>
      </c>
      <c r="J400" s="550" t="s">
        <v>102</v>
      </c>
      <c r="K400" s="39"/>
      <c r="L400" s="208"/>
      <c r="M400" s="39"/>
      <c r="N400" s="533" t="s">
        <v>2309</v>
      </c>
    </row>
    <row r="401" spans="1:14" s="541" customFormat="1" ht="16.5" customHeight="1">
      <c r="A401" s="16"/>
      <c r="B401" s="39"/>
      <c r="C401" s="534">
        <v>1</v>
      </c>
      <c r="D401" s="536" t="s">
        <v>273</v>
      </c>
      <c r="E401" s="537">
        <v>1</v>
      </c>
      <c r="F401" s="538">
        <v>3.7</v>
      </c>
      <c r="G401" s="538">
        <v>0.3</v>
      </c>
      <c r="H401" s="538">
        <v>0</v>
      </c>
      <c r="I401" s="542">
        <f t="shared" si="18"/>
        <v>1.1100000000000001</v>
      </c>
      <c r="J401" s="550" t="s">
        <v>102</v>
      </c>
      <c r="K401" s="39"/>
      <c r="L401" s="208"/>
      <c r="M401" s="39"/>
      <c r="N401" s="533" t="s">
        <v>2309</v>
      </c>
    </row>
    <row r="402" spans="1:14" s="541" customFormat="1" ht="16.5" customHeight="1">
      <c r="A402" s="16"/>
      <c r="B402" s="39"/>
      <c r="C402" s="534">
        <v>1</v>
      </c>
      <c r="D402" s="536" t="s">
        <v>273</v>
      </c>
      <c r="E402" s="537">
        <v>2</v>
      </c>
      <c r="F402" s="538">
        <v>5</v>
      </c>
      <c r="G402" s="538">
        <v>0.3</v>
      </c>
      <c r="H402" s="538">
        <v>0</v>
      </c>
      <c r="I402" s="542">
        <f t="shared" si="18"/>
        <v>3</v>
      </c>
      <c r="J402" s="550" t="s">
        <v>102</v>
      </c>
      <c r="K402" s="39"/>
      <c r="L402" s="208"/>
      <c r="M402" s="39"/>
      <c r="N402" s="533" t="s">
        <v>2309</v>
      </c>
    </row>
    <row r="403" spans="1:14" s="541" customFormat="1" ht="16.5" customHeight="1">
      <c r="A403" s="16"/>
      <c r="B403" s="544"/>
      <c r="C403" s="545"/>
      <c r="D403" s="546"/>
      <c r="E403" s="547"/>
      <c r="F403" s="548"/>
      <c r="G403" s="548"/>
      <c r="H403" s="548"/>
      <c r="I403" s="549"/>
      <c r="J403" s="550"/>
      <c r="K403" s="39"/>
      <c r="L403" s="208"/>
      <c r="M403" s="39"/>
      <c r="N403" s="533" t="s">
        <v>2309</v>
      </c>
    </row>
    <row r="404" spans="1:14" ht="15.75">
      <c r="A404" s="16"/>
      <c r="B404" s="39"/>
      <c r="C404" s="551"/>
      <c r="D404" s="552"/>
      <c r="E404" s="537"/>
      <c r="F404" s="538"/>
      <c r="G404" s="40"/>
      <c r="H404" s="16"/>
      <c r="I404" s="549"/>
      <c r="J404" s="550" t="s">
        <v>102</v>
      </c>
      <c r="K404" s="10">
        <f>data!G3195</f>
        <v>385.55</v>
      </c>
      <c r="L404" s="208" t="s">
        <v>2309</v>
      </c>
      <c r="M404" s="9">
        <f>ROUND(I404*K404,0)</f>
        <v>0</v>
      </c>
      <c r="N404" s="533" t="s">
        <v>2309</v>
      </c>
    </row>
    <row r="405" spans="1:14" ht="42" customHeight="1">
      <c r="A405" s="16">
        <v>8</v>
      </c>
      <c r="B405" s="1633" t="s">
        <v>126</v>
      </c>
      <c r="C405" s="1633"/>
      <c r="D405" s="1633"/>
      <c r="E405" s="1633"/>
      <c r="F405" s="1633"/>
      <c r="G405" s="1633"/>
      <c r="H405" s="1633"/>
      <c r="I405" s="534"/>
      <c r="J405" s="535"/>
      <c r="K405" s="16"/>
      <c r="L405" s="208"/>
      <c r="M405" s="38"/>
      <c r="N405" s="533" t="s">
        <v>2209</v>
      </c>
    </row>
    <row r="406" spans="1:14" s="541" customFormat="1" ht="16.5" customHeight="1">
      <c r="A406" s="16"/>
      <c r="B406" s="39" t="s">
        <v>2809</v>
      </c>
      <c r="C406" s="563"/>
      <c r="D406" s="564"/>
      <c r="E406" s="565"/>
      <c r="F406" s="566"/>
      <c r="G406" s="566"/>
      <c r="H406" s="567"/>
      <c r="I406" s="568"/>
      <c r="J406" s="550"/>
      <c r="K406" s="39"/>
      <c r="L406" s="208"/>
      <c r="M406" s="39"/>
      <c r="N406" s="533" t="s">
        <v>2209</v>
      </c>
    </row>
    <row r="407" spans="1:14" s="541" customFormat="1" ht="16.5" customHeight="1">
      <c r="A407" s="16"/>
      <c r="B407" s="39" t="s">
        <v>1542</v>
      </c>
      <c r="C407" s="534">
        <v>1</v>
      </c>
      <c r="D407" s="536" t="s">
        <v>273</v>
      </c>
      <c r="E407" s="537">
        <v>2</v>
      </c>
      <c r="F407" s="538">
        <v>4.37</v>
      </c>
      <c r="G407" s="538">
        <v>0</v>
      </c>
      <c r="H407" s="538">
        <v>2.65</v>
      </c>
      <c r="I407" s="574">
        <f t="shared" ref="I407" si="19">ROUND(IF(AND(F407:H407),C407*E407*F407*G407*H407,IF(AND(F407,G407),C407*E407*F407*G407,IF(AND(F407,H407),C407*E407*F407*H407,IF(AND(G407,H407),C407*E407*G407*H407,IF(F407,C407*E407*F407,IF(G407,C407*E407*G407,IF(H407,C407*E407*H407,C407*E407))))))),2)</f>
        <v>23.16</v>
      </c>
      <c r="J407" s="550" t="s">
        <v>102</v>
      </c>
      <c r="K407" s="39"/>
      <c r="L407" s="208"/>
      <c r="M407" s="39"/>
      <c r="N407" s="533" t="s">
        <v>2209</v>
      </c>
    </row>
    <row r="408" spans="1:14" s="541" customFormat="1" ht="16.5" customHeight="1">
      <c r="A408" s="16"/>
      <c r="B408" s="39" t="s">
        <v>579</v>
      </c>
      <c r="C408" s="534">
        <v>1</v>
      </c>
      <c r="D408" s="536" t="s">
        <v>273</v>
      </c>
      <c r="E408" s="537">
        <v>1</v>
      </c>
      <c r="F408" s="538">
        <v>0.9</v>
      </c>
      <c r="G408" s="538">
        <v>0</v>
      </c>
      <c r="H408" s="538">
        <v>2.08</v>
      </c>
      <c r="I408" s="574">
        <f>-ROUND(IF(AND(F408:H408),C408*E408*F408*G408*H408,IF(AND(F408,G408),C408*E408*F408*G408,IF(AND(F408,H408),C408*E408*F408*H408,IF(AND(G408,H408),C408*E408*G408*H408,IF(F408,C408*E408*F408,IF(G408,C408*E408*G408,IF(H408,C408*E408*H408,C408*E408))))))),2)</f>
        <v>-1.87</v>
      </c>
      <c r="J408" s="550" t="s">
        <v>102</v>
      </c>
      <c r="K408" s="39"/>
      <c r="L408" s="208"/>
      <c r="M408" s="39"/>
      <c r="N408" s="533" t="s">
        <v>2209</v>
      </c>
    </row>
    <row r="409" spans="1:14" s="541" customFormat="1" ht="16.5" customHeight="1">
      <c r="A409" s="16"/>
      <c r="B409" s="39" t="s">
        <v>1490</v>
      </c>
      <c r="C409" s="534">
        <v>1</v>
      </c>
      <c r="D409" s="536" t="s">
        <v>273</v>
      </c>
      <c r="E409" s="537">
        <v>1</v>
      </c>
      <c r="F409" s="538">
        <v>38.15</v>
      </c>
      <c r="G409" s="538">
        <v>0</v>
      </c>
      <c r="H409" s="538">
        <v>0.7</v>
      </c>
      <c r="I409" s="574">
        <f t="shared" ref="I409:I410" si="20">ROUND(IF(AND(F409:H409),C409*E409*F409*G409*H409,IF(AND(F409,G409),C409*E409*F409*G409,IF(AND(F409,H409),C409*E409*F409*H409,IF(AND(G409,H409),C409*E409*G409*H409,IF(F409,C409*E409*F409,IF(G409,C409*E409*G409,IF(H409,C409*E409*H409,C409*E409))))))),2)</f>
        <v>26.71</v>
      </c>
      <c r="J409" s="550" t="s">
        <v>102</v>
      </c>
      <c r="K409" s="39"/>
      <c r="L409" s="208"/>
      <c r="M409" s="39"/>
      <c r="N409" s="533" t="s">
        <v>2209</v>
      </c>
    </row>
    <row r="410" spans="1:14" s="541" customFormat="1" ht="16.5" customHeight="1">
      <c r="A410" s="16"/>
      <c r="B410" s="39" t="s">
        <v>2158</v>
      </c>
      <c r="C410" s="534">
        <v>8</v>
      </c>
      <c r="D410" s="536" t="s">
        <v>273</v>
      </c>
      <c r="E410" s="537">
        <v>2</v>
      </c>
      <c r="F410" s="538">
        <v>0.115</v>
      </c>
      <c r="G410" s="538">
        <v>0</v>
      </c>
      <c r="H410" s="538">
        <v>0.7</v>
      </c>
      <c r="I410" s="574">
        <f t="shared" si="20"/>
        <v>1.29</v>
      </c>
      <c r="J410" s="550" t="s">
        <v>102</v>
      </c>
      <c r="K410" s="39"/>
      <c r="L410" s="208"/>
      <c r="M410" s="39"/>
      <c r="N410" s="533" t="s">
        <v>2209</v>
      </c>
    </row>
    <row r="411" spans="1:14" s="541" customFormat="1" ht="16.5" customHeight="1">
      <c r="A411" s="16"/>
      <c r="B411" s="544"/>
      <c r="C411" s="545"/>
      <c r="D411" s="546"/>
      <c r="E411" s="547"/>
      <c r="F411" s="548"/>
      <c r="G411" s="548"/>
      <c r="H411" s="548"/>
      <c r="I411" s="549"/>
      <c r="J411" s="550"/>
      <c r="K411" s="39"/>
      <c r="L411" s="208"/>
      <c r="M411" s="39"/>
      <c r="N411" s="533" t="s">
        <v>2209</v>
      </c>
    </row>
    <row r="412" spans="1:14" ht="15.75">
      <c r="A412" s="16"/>
      <c r="B412" s="39"/>
      <c r="C412" s="551"/>
      <c r="D412" s="552"/>
      <c r="E412" s="537"/>
      <c r="F412" s="538"/>
      <c r="G412" s="40"/>
      <c r="H412" s="16"/>
      <c r="I412" s="549"/>
      <c r="J412" s="550" t="s">
        <v>102</v>
      </c>
      <c r="K412" s="10">
        <f>data!G460</f>
        <v>289.52</v>
      </c>
      <c r="L412" s="208" t="s">
        <v>2209</v>
      </c>
      <c r="M412" s="9">
        <f>ROUND(I412*K412,0)</f>
        <v>0</v>
      </c>
      <c r="N412" s="533" t="s">
        <v>2209</v>
      </c>
    </row>
    <row r="413" spans="1:14" ht="42" customHeight="1">
      <c r="A413" s="16">
        <v>8</v>
      </c>
      <c r="B413" s="1633" t="s">
        <v>126</v>
      </c>
      <c r="C413" s="1633"/>
      <c r="D413" s="1633"/>
      <c r="E413" s="1633"/>
      <c r="F413" s="1633"/>
      <c r="G413" s="1633"/>
      <c r="H413" s="1633"/>
      <c r="I413" s="534"/>
      <c r="J413" s="535"/>
      <c r="K413" s="16"/>
      <c r="L413" s="208"/>
      <c r="M413" s="38"/>
      <c r="N413" s="533" t="s">
        <v>2297</v>
      </c>
    </row>
    <row r="414" spans="1:14" s="541" customFormat="1" ht="16.5" customHeight="1">
      <c r="A414" s="16"/>
      <c r="B414" s="39" t="s">
        <v>2809</v>
      </c>
      <c r="C414" s="563"/>
      <c r="D414" s="564"/>
      <c r="E414" s="565"/>
      <c r="F414" s="566"/>
      <c r="G414" s="566"/>
      <c r="H414" s="567"/>
      <c r="I414" s="568"/>
      <c r="J414" s="550"/>
      <c r="K414" s="39"/>
      <c r="L414" s="208"/>
      <c r="M414" s="39"/>
      <c r="N414" s="533" t="s">
        <v>2297</v>
      </c>
    </row>
    <row r="415" spans="1:14" s="541" customFormat="1" ht="16.5" customHeight="1">
      <c r="A415" s="16"/>
      <c r="B415" s="39" t="s">
        <v>1542</v>
      </c>
      <c r="C415" s="534">
        <v>1</v>
      </c>
      <c r="D415" s="536" t="s">
        <v>273</v>
      </c>
      <c r="E415" s="537">
        <v>2</v>
      </c>
      <c r="F415" s="538">
        <v>4.37</v>
      </c>
      <c r="G415" s="538">
        <v>0</v>
      </c>
      <c r="H415" s="538">
        <v>2.65</v>
      </c>
      <c r="I415" s="574">
        <f>ROUND(IF(AND(F415:H415),C415*E415*F415*G415*H415,IF(AND(F415,G415),C415*E415*F415*G415,IF(AND(F415,H415),C415*E415*F415*H415,IF(AND(G415,H415),C415*E415*G415*H415,IF(F415,C415*E415*F415,IF(G415,C415*E415*G415,IF(H415,C415*E415*H415,C415*E415))))))),2)</f>
        <v>23.16</v>
      </c>
      <c r="J415" s="550" t="s">
        <v>102</v>
      </c>
      <c r="K415" s="39"/>
      <c r="L415" s="208"/>
      <c r="M415" s="39"/>
      <c r="N415" s="533" t="s">
        <v>2297</v>
      </c>
    </row>
    <row r="416" spans="1:14" s="541" customFormat="1" ht="16.5" customHeight="1">
      <c r="A416" s="16"/>
      <c r="B416" s="39" t="s">
        <v>579</v>
      </c>
      <c r="C416" s="534">
        <v>1</v>
      </c>
      <c r="D416" s="536" t="s">
        <v>273</v>
      </c>
      <c r="E416" s="537">
        <v>1</v>
      </c>
      <c r="F416" s="538">
        <v>0.9</v>
      </c>
      <c r="G416" s="538">
        <v>0</v>
      </c>
      <c r="H416" s="538">
        <v>2.08</v>
      </c>
      <c r="I416" s="574">
        <f>-ROUND(IF(AND(F416:H416),C416*E416*F416*G416*H416,IF(AND(F416,G416),C416*E416*F416*G416,IF(AND(F416,H416),C416*E416*F416*H416,IF(AND(G416,H416),C416*E416*G416*H416,IF(F416,C416*E416*F416,IF(G416,C416*E416*G416,IF(H416,C416*E416*H416,C416*E416))))))),2)</f>
        <v>-1.87</v>
      </c>
      <c r="J416" s="550" t="s">
        <v>102</v>
      </c>
      <c r="K416" s="39"/>
      <c r="L416" s="208"/>
      <c r="M416" s="39"/>
      <c r="N416" s="533" t="s">
        <v>2297</v>
      </c>
    </row>
    <row r="417" spans="1:14" s="541" customFormat="1" ht="16.5" customHeight="1">
      <c r="A417" s="16"/>
      <c r="B417" s="39" t="s">
        <v>1490</v>
      </c>
      <c r="C417" s="534">
        <v>1</v>
      </c>
      <c r="D417" s="536" t="s">
        <v>273</v>
      </c>
      <c r="E417" s="537">
        <v>1</v>
      </c>
      <c r="F417" s="538">
        <v>38.15</v>
      </c>
      <c r="G417" s="538">
        <v>0</v>
      </c>
      <c r="H417" s="538">
        <v>0.7</v>
      </c>
      <c r="I417" s="574">
        <f>ROUND(IF(AND(F417:H417),C417*E417*F417*G417*H417,IF(AND(F417,G417),C417*E417*F417*G417,IF(AND(F417,H417),C417*E417*F417*H417,IF(AND(G417,H417),C417*E417*G417*H417,IF(F417,C417*E417*F417,IF(G417,C417*E417*G417,IF(H417,C417*E417*H417,C417*E417))))))),2)</f>
        <v>26.71</v>
      </c>
      <c r="J417" s="550" t="s">
        <v>102</v>
      </c>
      <c r="K417" s="39"/>
      <c r="L417" s="208"/>
      <c r="M417" s="39"/>
      <c r="N417" s="533" t="s">
        <v>2297</v>
      </c>
    </row>
    <row r="418" spans="1:14" s="541" customFormat="1" ht="16.5" customHeight="1">
      <c r="A418" s="16"/>
      <c r="B418" s="39" t="s">
        <v>2158</v>
      </c>
      <c r="C418" s="534">
        <v>8</v>
      </c>
      <c r="D418" s="536" t="s">
        <v>273</v>
      </c>
      <c r="E418" s="537">
        <v>2</v>
      </c>
      <c r="F418" s="538">
        <v>0.115</v>
      </c>
      <c r="G418" s="538">
        <v>0</v>
      </c>
      <c r="H418" s="538">
        <v>0.7</v>
      </c>
      <c r="I418" s="574">
        <f>ROUND(IF(AND(F418:H418),C418*E418*F418*G418*H418,IF(AND(F418,G418),C418*E418*F418*G418,IF(AND(F418,H418),C418*E418*F418*H418,IF(AND(G418,H418),C418*E418*G418*H418,IF(F418,C418*E418*F418,IF(G418,C418*E418*G418,IF(H418,C418*E418*H418,C418*E418))))))),2)</f>
        <v>1.29</v>
      </c>
      <c r="J418" s="550" t="s">
        <v>102</v>
      </c>
      <c r="K418" s="39"/>
      <c r="L418" s="208"/>
      <c r="M418" s="39"/>
      <c r="N418" s="533" t="s">
        <v>2297</v>
      </c>
    </row>
    <row r="419" spans="1:14" s="541" customFormat="1" ht="16.5" customHeight="1">
      <c r="A419" s="16"/>
      <c r="B419" s="544"/>
      <c r="C419" s="545"/>
      <c r="D419" s="546"/>
      <c r="E419" s="547"/>
      <c r="F419" s="548"/>
      <c r="G419" s="548"/>
      <c r="H419" s="548"/>
      <c r="I419" s="549"/>
      <c r="J419" s="550"/>
      <c r="K419" s="39"/>
      <c r="L419" s="208"/>
      <c r="M419" s="39"/>
      <c r="N419" s="533" t="s">
        <v>2297</v>
      </c>
    </row>
    <row r="420" spans="1:14" ht="15.75">
      <c r="A420" s="16"/>
      <c r="B420" s="39"/>
      <c r="C420" s="551"/>
      <c r="D420" s="552"/>
      <c r="E420" s="537"/>
      <c r="F420" s="538"/>
      <c r="G420" s="40"/>
      <c r="H420" s="16"/>
      <c r="I420" s="549"/>
      <c r="J420" s="550" t="s">
        <v>102</v>
      </c>
      <c r="K420" s="10">
        <f>data!G1377</f>
        <v>312.11</v>
      </c>
      <c r="L420" s="208" t="s">
        <v>2297</v>
      </c>
      <c r="M420" s="9">
        <f>ROUND(I420*K420,0)</f>
        <v>0</v>
      </c>
      <c r="N420" s="533" t="s">
        <v>2297</v>
      </c>
    </row>
    <row r="421" spans="1:14" ht="42" customHeight="1">
      <c r="A421" s="16">
        <v>8</v>
      </c>
      <c r="B421" s="1633" t="s">
        <v>126</v>
      </c>
      <c r="C421" s="1633"/>
      <c r="D421" s="1633"/>
      <c r="E421" s="1633"/>
      <c r="F421" s="1633"/>
      <c r="G421" s="1633"/>
      <c r="H421" s="1633"/>
      <c r="I421" s="534"/>
      <c r="J421" s="535"/>
      <c r="K421" s="16"/>
      <c r="L421" s="208"/>
      <c r="M421" s="38"/>
      <c r="N421" s="533" t="s">
        <v>2308</v>
      </c>
    </row>
    <row r="422" spans="1:14" s="541" customFormat="1" ht="16.5" customHeight="1">
      <c r="A422" s="16"/>
      <c r="B422" s="39" t="s">
        <v>2809</v>
      </c>
      <c r="C422" s="563"/>
      <c r="D422" s="564"/>
      <c r="E422" s="565"/>
      <c r="F422" s="566"/>
      <c r="G422" s="566"/>
      <c r="H422" s="567"/>
      <c r="I422" s="568"/>
      <c r="J422" s="550"/>
      <c r="K422" s="39"/>
      <c r="L422" s="208"/>
      <c r="M422" s="39"/>
      <c r="N422" s="533" t="s">
        <v>2308</v>
      </c>
    </row>
    <row r="423" spans="1:14" s="541" customFormat="1" ht="16.5" customHeight="1">
      <c r="A423" s="16"/>
      <c r="B423" s="39" t="s">
        <v>1542</v>
      </c>
      <c r="C423" s="534">
        <v>1</v>
      </c>
      <c r="D423" s="536" t="s">
        <v>273</v>
      </c>
      <c r="E423" s="537">
        <v>2</v>
      </c>
      <c r="F423" s="538">
        <v>4.37</v>
      </c>
      <c r="G423" s="538">
        <v>0</v>
      </c>
      <c r="H423" s="538">
        <v>2.65</v>
      </c>
      <c r="I423" s="574">
        <f>ROUND(IF(AND(F423:H423),C423*E423*F423*G423*H423,IF(AND(F423,G423),C423*E423*F423*G423,IF(AND(F423,H423),C423*E423*F423*H423,IF(AND(G423,H423),C423*E423*G423*H423,IF(F423,C423*E423*F423,IF(G423,C423*E423*G423,IF(H423,C423*E423*H423,C423*E423))))))),2)</f>
        <v>23.16</v>
      </c>
      <c r="J423" s="550" t="s">
        <v>102</v>
      </c>
      <c r="K423" s="39"/>
      <c r="L423" s="208"/>
      <c r="M423" s="39"/>
      <c r="N423" s="533" t="s">
        <v>2308</v>
      </c>
    </row>
    <row r="424" spans="1:14" s="541" customFormat="1" ht="16.5" customHeight="1">
      <c r="A424" s="16"/>
      <c r="B424" s="39" t="s">
        <v>579</v>
      </c>
      <c r="C424" s="534">
        <v>1</v>
      </c>
      <c r="D424" s="536" t="s">
        <v>273</v>
      </c>
      <c r="E424" s="537">
        <v>1</v>
      </c>
      <c r="F424" s="538">
        <v>0.9</v>
      </c>
      <c r="G424" s="538">
        <v>0</v>
      </c>
      <c r="H424" s="538">
        <v>2.08</v>
      </c>
      <c r="I424" s="574">
        <f>-ROUND(IF(AND(F424:H424),C424*E424*F424*G424*H424,IF(AND(F424,G424),C424*E424*F424*G424,IF(AND(F424,H424),C424*E424*F424*H424,IF(AND(G424,H424),C424*E424*G424*H424,IF(F424,C424*E424*F424,IF(G424,C424*E424*G424,IF(H424,C424*E424*H424,C424*E424))))))),2)</f>
        <v>-1.87</v>
      </c>
      <c r="J424" s="550" t="s">
        <v>102</v>
      </c>
      <c r="K424" s="39"/>
      <c r="L424" s="208"/>
      <c r="M424" s="39"/>
      <c r="N424" s="533" t="s">
        <v>2308</v>
      </c>
    </row>
    <row r="425" spans="1:14" s="541" customFormat="1" ht="16.5" customHeight="1">
      <c r="A425" s="16"/>
      <c r="B425" s="39" t="s">
        <v>1490</v>
      </c>
      <c r="C425" s="534">
        <v>1</v>
      </c>
      <c r="D425" s="536" t="s">
        <v>273</v>
      </c>
      <c r="E425" s="537">
        <v>1</v>
      </c>
      <c r="F425" s="538">
        <v>38.15</v>
      </c>
      <c r="G425" s="538">
        <v>0</v>
      </c>
      <c r="H425" s="538">
        <v>0.7</v>
      </c>
      <c r="I425" s="574">
        <f>ROUND(IF(AND(F425:H425),C425*E425*F425*G425*H425,IF(AND(F425,G425),C425*E425*F425*G425,IF(AND(F425,H425),C425*E425*F425*H425,IF(AND(G425,H425),C425*E425*G425*H425,IF(F425,C425*E425*F425,IF(G425,C425*E425*G425,IF(H425,C425*E425*H425,C425*E425))))))),2)</f>
        <v>26.71</v>
      </c>
      <c r="J425" s="550" t="s">
        <v>102</v>
      </c>
      <c r="K425" s="39"/>
      <c r="L425" s="208"/>
      <c r="M425" s="39"/>
      <c r="N425" s="533" t="s">
        <v>2308</v>
      </c>
    </row>
    <row r="426" spans="1:14" s="541" customFormat="1" ht="16.5" customHeight="1">
      <c r="A426" s="16"/>
      <c r="B426" s="39" t="s">
        <v>2158</v>
      </c>
      <c r="C426" s="534">
        <v>8</v>
      </c>
      <c r="D426" s="536" t="s">
        <v>273</v>
      </c>
      <c r="E426" s="537">
        <v>2</v>
      </c>
      <c r="F426" s="538">
        <v>0.115</v>
      </c>
      <c r="G426" s="538">
        <v>0</v>
      </c>
      <c r="H426" s="538">
        <v>0.7</v>
      </c>
      <c r="I426" s="574">
        <f>ROUND(IF(AND(F426:H426),C426*E426*F426*G426*H426,IF(AND(F426,G426),C426*E426*F426*G426,IF(AND(F426,H426),C426*E426*F426*H426,IF(AND(G426,H426),C426*E426*G426*H426,IF(F426,C426*E426*F426,IF(G426,C426*E426*G426,IF(H426,C426*E426*H426,C426*E426))))))),2)</f>
        <v>1.29</v>
      </c>
      <c r="J426" s="550" t="s">
        <v>102</v>
      </c>
      <c r="K426" s="39"/>
      <c r="L426" s="208"/>
      <c r="M426" s="39"/>
      <c r="N426" s="533" t="s">
        <v>2308</v>
      </c>
    </row>
    <row r="427" spans="1:14" s="541" customFormat="1" ht="16.5" customHeight="1">
      <c r="A427" s="16"/>
      <c r="B427" s="544"/>
      <c r="C427" s="545"/>
      <c r="D427" s="546"/>
      <c r="E427" s="547"/>
      <c r="F427" s="548"/>
      <c r="G427" s="548"/>
      <c r="H427" s="548"/>
      <c r="I427" s="549"/>
      <c r="J427" s="550"/>
      <c r="K427" s="39"/>
      <c r="L427" s="208"/>
      <c r="M427" s="39"/>
      <c r="N427" s="533" t="s">
        <v>2308</v>
      </c>
    </row>
    <row r="428" spans="1:14" ht="15.75">
      <c r="A428" s="16"/>
      <c r="B428" s="39"/>
      <c r="C428" s="551"/>
      <c r="D428" s="552"/>
      <c r="E428" s="537"/>
      <c r="F428" s="538"/>
      <c r="G428" s="40"/>
      <c r="H428" s="16"/>
      <c r="I428" s="549"/>
      <c r="J428" s="550" t="s">
        <v>102</v>
      </c>
      <c r="K428" s="10">
        <f>data!G2294</f>
        <v>331.62</v>
      </c>
      <c r="L428" s="208" t="s">
        <v>2308</v>
      </c>
      <c r="M428" s="9">
        <f>ROUND(I428*K428,0)</f>
        <v>0</v>
      </c>
      <c r="N428" s="533" t="s">
        <v>2308</v>
      </c>
    </row>
    <row r="429" spans="1:14" ht="42" customHeight="1">
      <c r="A429" s="16">
        <v>8</v>
      </c>
      <c r="B429" s="1633" t="s">
        <v>126</v>
      </c>
      <c r="C429" s="1633"/>
      <c r="D429" s="1633"/>
      <c r="E429" s="1633"/>
      <c r="F429" s="1633"/>
      <c r="G429" s="1633"/>
      <c r="H429" s="1633"/>
      <c r="I429" s="534"/>
      <c r="J429" s="535"/>
      <c r="K429" s="16"/>
      <c r="L429" s="208"/>
      <c r="M429" s="38"/>
      <c r="N429" s="533" t="s">
        <v>2309</v>
      </c>
    </row>
    <row r="430" spans="1:14" s="541" customFormat="1" ht="16.5" customHeight="1">
      <c r="A430" s="16"/>
      <c r="B430" s="39" t="s">
        <v>2809</v>
      </c>
      <c r="C430" s="563"/>
      <c r="D430" s="564"/>
      <c r="E430" s="565"/>
      <c r="F430" s="566"/>
      <c r="G430" s="566"/>
      <c r="H430" s="567"/>
      <c r="I430" s="568"/>
      <c r="J430" s="550"/>
      <c r="K430" s="39"/>
      <c r="L430" s="208"/>
      <c r="M430" s="39"/>
      <c r="N430" s="533" t="s">
        <v>2309</v>
      </c>
    </row>
    <row r="431" spans="1:14" s="541" customFormat="1" ht="16.5" customHeight="1">
      <c r="A431" s="16"/>
      <c r="B431" s="39" t="s">
        <v>1542</v>
      </c>
      <c r="C431" s="534">
        <v>1</v>
      </c>
      <c r="D431" s="536" t="s">
        <v>273</v>
      </c>
      <c r="E431" s="537">
        <v>2</v>
      </c>
      <c r="F431" s="538">
        <v>4.37</v>
      </c>
      <c r="G431" s="538">
        <v>0</v>
      </c>
      <c r="H431" s="538">
        <v>2.65</v>
      </c>
      <c r="I431" s="574">
        <f>ROUND(IF(AND(F431:H431),C431*E431*F431*G431*H431,IF(AND(F431,G431),C431*E431*F431*G431,IF(AND(F431,H431),C431*E431*F431*H431,IF(AND(G431,H431),C431*E431*G431*H431,IF(F431,C431*E431*F431,IF(G431,C431*E431*G431,IF(H431,C431*E431*H431,C431*E431))))))),2)</f>
        <v>23.16</v>
      </c>
      <c r="J431" s="550" t="s">
        <v>102</v>
      </c>
      <c r="K431" s="39"/>
      <c r="L431" s="208"/>
      <c r="M431" s="39"/>
      <c r="N431" s="533" t="s">
        <v>2309</v>
      </c>
    </row>
    <row r="432" spans="1:14" s="541" customFormat="1" ht="16.5" customHeight="1">
      <c r="A432" s="16"/>
      <c r="B432" s="39" t="s">
        <v>579</v>
      </c>
      <c r="C432" s="534">
        <v>1</v>
      </c>
      <c r="D432" s="536" t="s">
        <v>273</v>
      </c>
      <c r="E432" s="537">
        <v>1</v>
      </c>
      <c r="F432" s="538">
        <v>0.9</v>
      </c>
      <c r="G432" s="538">
        <v>0</v>
      </c>
      <c r="H432" s="538">
        <v>2.08</v>
      </c>
      <c r="I432" s="574">
        <f>-ROUND(IF(AND(F432:H432),C432*E432*F432*G432*H432,IF(AND(F432,G432),C432*E432*F432*G432,IF(AND(F432,H432),C432*E432*F432*H432,IF(AND(G432,H432),C432*E432*G432*H432,IF(F432,C432*E432*F432,IF(G432,C432*E432*G432,IF(H432,C432*E432*H432,C432*E432))))))),2)</f>
        <v>-1.87</v>
      </c>
      <c r="J432" s="550" t="s">
        <v>102</v>
      </c>
      <c r="K432" s="39"/>
      <c r="L432" s="208"/>
      <c r="M432" s="39"/>
      <c r="N432" s="533" t="s">
        <v>2309</v>
      </c>
    </row>
    <row r="433" spans="1:14" s="541" customFormat="1" ht="16.5" customHeight="1">
      <c r="A433" s="16"/>
      <c r="B433" s="39" t="s">
        <v>1490</v>
      </c>
      <c r="C433" s="534">
        <v>1</v>
      </c>
      <c r="D433" s="536" t="s">
        <v>273</v>
      </c>
      <c r="E433" s="537">
        <v>1</v>
      </c>
      <c r="F433" s="538">
        <v>38.15</v>
      </c>
      <c r="G433" s="538">
        <v>0</v>
      </c>
      <c r="H433" s="538">
        <v>0.7</v>
      </c>
      <c r="I433" s="574">
        <f>ROUND(IF(AND(F433:H433),C433*E433*F433*G433*H433,IF(AND(F433,G433),C433*E433*F433*G433,IF(AND(F433,H433),C433*E433*F433*H433,IF(AND(G433,H433),C433*E433*G433*H433,IF(F433,C433*E433*F433,IF(G433,C433*E433*G433,IF(H433,C433*E433*H433,C433*E433))))))),2)</f>
        <v>26.71</v>
      </c>
      <c r="J433" s="550" t="s">
        <v>102</v>
      </c>
      <c r="K433" s="39"/>
      <c r="L433" s="208"/>
      <c r="M433" s="39"/>
      <c r="N433" s="533" t="s">
        <v>2309</v>
      </c>
    </row>
    <row r="434" spans="1:14" s="541" customFormat="1" ht="16.5" customHeight="1">
      <c r="A434" s="16"/>
      <c r="B434" s="39" t="s">
        <v>2158</v>
      </c>
      <c r="C434" s="534">
        <v>8</v>
      </c>
      <c r="D434" s="536" t="s">
        <v>273</v>
      </c>
      <c r="E434" s="537">
        <v>2</v>
      </c>
      <c r="F434" s="538">
        <v>0.115</v>
      </c>
      <c r="G434" s="538">
        <v>0</v>
      </c>
      <c r="H434" s="538">
        <v>0.7</v>
      </c>
      <c r="I434" s="574">
        <f>ROUND(IF(AND(F434:H434),C434*E434*F434*G434*H434,IF(AND(F434,G434),C434*E434*F434*G434,IF(AND(F434,H434),C434*E434*F434*H434,IF(AND(G434,H434),C434*E434*G434*H434,IF(F434,C434*E434*F434,IF(G434,C434*E434*G434,IF(H434,C434*E434*H434,C434*E434))))))),2)</f>
        <v>1.29</v>
      </c>
      <c r="J434" s="550" t="s">
        <v>102</v>
      </c>
      <c r="K434" s="39"/>
      <c r="L434" s="208"/>
      <c r="M434" s="39"/>
      <c r="N434" s="533" t="s">
        <v>2309</v>
      </c>
    </row>
    <row r="435" spans="1:14" s="541" customFormat="1" ht="16.5" customHeight="1">
      <c r="A435" s="16"/>
      <c r="B435" s="544"/>
      <c r="C435" s="545"/>
      <c r="D435" s="546"/>
      <c r="E435" s="547"/>
      <c r="F435" s="548"/>
      <c r="G435" s="548"/>
      <c r="H435" s="548"/>
      <c r="I435" s="549"/>
      <c r="J435" s="550"/>
      <c r="K435" s="39"/>
      <c r="L435" s="208"/>
      <c r="M435" s="39"/>
      <c r="N435" s="533" t="s">
        <v>2309</v>
      </c>
    </row>
    <row r="436" spans="1:14" ht="15.75">
      <c r="A436" s="16"/>
      <c r="B436" s="39"/>
      <c r="C436" s="551"/>
      <c r="D436" s="552"/>
      <c r="E436" s="537"/>
      <c r="F436" s="538"/>
      <c r="G436" s="40"/>
      <c r="H436" s="16"/>
      <c r="I436" s="549"/>
      <c r="J436" s="550" t="s">
        <v>102</v>
      </c>
      <c r="K436" s="10">
        <f>data!G3211</f>
        <v>352.1</v>
      </c>
      <c r="L436" s="208" t="s">
        <v>2309</v>
      </c>
      <c r="M436" s="9">
        <f>ROUND(I436*K436,0)</f>
        <v>0</v>
      </c>
      <c r="N436" s="533" t="s">
        <v>2309</v>
      </c>
    </row>
    <row r="437" spans="1:14" ht="52.5" customHeight="1">
      <c r="A437" s="16">
        <v>9</v>
      </c>
      <c r="B437" s="1633" t="s">
        <v>593</v>
      </c>
      <c r="C437" s="1633"/>
      <c r="D437" s="1633"/>
      <c r="E437" s="1633"/>
      <c r="F437" s="1633"/>
      <c r="G437" s="1633"/>
      <c r="H437" s="1633"/>
      <c r="I437" s="534"/>
      <c r="J437" s="535"/>
      <c r="K437" s="16"/>
      <c r="L437" s="208"/>
      <c r="M437" s="38"/>
      <c r="N437" s="533" t="s">
        <v>2209</v>
      </c>
    </row>
    <row r="438" spans="1:14" s="541" customFormat="1" ht="16.5" customHeight="1">
      <c r="A438" s="16"/>
      <c r="B438" s="39" t="s">
        <v>2802</v>
      </c>
      <c r="C438" s="563"/>
      <c r="D438" s="564"/>
      <c r="E438" s="565"/>
      <c r="F438" s="566"/>
      <c r="G438" s="566"/>
      <c r="H438" s="567"/>
      <c r="I438" s="568"/>
      <c r="J438" s="550"/>
      <c r="K438" s="39"/>
      <c r="L438" s="208"/>
      <c r="M438" s="39"/>
      <c r="N438" s="533" t="s">
        <v>2209</v>
      </c>
    </row>
    <row r="439" spans="1:14" s="541" customFormat="1" ht="15.75">
      <c r="A439" s="16"/>
      <c r="B439" s="39"/>
      <c r="C439" s="534">
        <v>1</v>
      </c>
      <c r="D439" s="536" t="s">
        <v>273</v>
      </c>
      <c r="E439" s="537">
        <v>2</v>
      </c>
      <c r="F439" s="538">
        <v>3.25</v>
      </c>
      <c r="G439" s="538">
        <v>0</v>
      </c>
      <c r="H439" s="538">
        <v>2.6</v>
      </c>
      <c r="I439" s="542">
        <f t="shared" ref="I439:I440" si="21">ROUND(IF(AND(F439:H439),C439*E439*F439*G439*H439,IF(AND(F439,G439),C439*E439*F439*G439,IF(AND(F439,H439),C439*E439*F439*H439,IF(AND(G439,H439),C439*E439*G439*H439,IF(F439,C439*E439*F439,IF(G439,C439*E439*G439,IF(H439,C439*E439*H439,C439*E439))))))),2)</f>
        <v>16.899999999999999</v>
      </c>
      <c r="J439" s="550" t="s">
        <v>102</v>
      </c>
      <c r="K439" s="39"/>
      <c r="L439" s="208"/>
      <c r="M439" s="39"/>
      <c r="N439" s="533" t="s">
        <v>2209</v>
      </c>
    </row>
    <row r="440" spans="1:14" s="541" customFormat="1" ht="15.75">
      <c r="A440" s="16"/>
      <c r="B440" s="39"/>
      <c r="C440" s="534">
        <v>1</v>
      </c>
      <c r="D440" s="536" t="s">
        <v>273</v>
      </c>
      <c r="E440" s="537">
        <v>2</v>
      </c>
      <c r="F440" s="538">
        <v>4.62</v>
      </c>
      <c r="G440" s="538">
        <v>0</v>
      </c>
      <c r="H440" s="538">
        <v>2.6</v>
      </c>
      <c r="I440" s="542">
        <f t="shared" si="21"/>
        <v>24.02</v>
      </c>
      <c r="J440" s="550" t="s">
        <v>102</v>
      </c>
      <c r="K440" s="39"/>
      <c r="L440" s="208"/>
      <c r="M440" s="39"/>
      <c r="N440" s="533" t="s">
        <v>2209</v>
      </c>
    </row>
    <row r="441" spans="1:14" s="541" customFormat="1" ht="15.75">
      <c r="A441" s="16"/>
      <c r="B441" s="39" t="s">
        <v>579</v>
      </c>
      <c r="C441" s="534">
        <v>1</v>
      </c>
      <c r="D441" s="536" t="s">
        <v>273</v>
      </c>
      <c r="E441" s="537">
        <v>1</v>
      </c>
      <c r="F441" s="538">
        <v>0.9</v>
      </c>
      <c r="G441" s="538">
        <v>0</v>
      </c>
      <c r="H441" s="538">
        <v>2.08</v>
      </c>
      <c r="I441" s="542">
        <f>-ROUND(IF(AND(F441:H441),C441*E441*F441*G441*H441,IF(AND(F441,G441),C441*E441*F441*G441,IF(AND(F441,H441),C441*E441*F441*H441,IF(AND(G441,H441),C441*E441*G441*H441,IF(F441,C441*E441*F441,IF(G441,C441*E441*G441,IF(H441,C441*E441*H441,C441*E441))))))),2)</f>
        <v>-1.87</v>
      </c>
      <c r="J441" s="550" t="s">
        <v>102</v>
      </c>
      <c r="K441" s="39"/>
      <c r="L441" s="208"/>
      <c r="M441" s="39"/>
      <c r="N441" s="533" t="s">
        <v>2209</v>
      </c>
    </row>
    <row r="442" spans="1:14" s="541" customFormat="1" ht="15.75">
      <c r="A442" s="16"/>
      <c r="B442" s="39" t="s">
        <v>1490</v>
      </c>
      <c r="C442" s="534">
        <v>1</v>
      </c>
      <c r="D442" s="536" t="s">
        <v>273</v>
      </c>
      <c r="E442" s="537">
        <v>1</v>
      </c>
      <c r="F442" s="538">
        <v>1.2</v>
      </c>
      <c r="G442" s="538">
        <v>0</v>
      </c>
      <c r="H442" s="538">
        <v>1.2</v>
      </c>
      <c r="I442" s="542">
        <f>-ROUND(IF(AND(F442:H442),C442*E442*F442*G442*H442,IF(AND(F442,G442),C442*E442*F442*G442,IF(AND(F442,H442),C442*E442*F442*H442,IF(AND(G442,H442),C442*E442*G442*H442,IF(F442,C442*E442*F442,IF(G442,C442*E442*G442,IF(H442,C442*E442*H442,C442*E442))))))),2)</f>
        <v>-1.44</v>
      </c>
      <c r="J442" s="550" t="s">
        <v>102</v>
      </c>
      <c r="K442" s="39"/>
      <c r="L442" s="208"/>
      <c r="M442" s="39"/>
      <c r="N442" s="533" t="s">
        <v>2209</v>
      </c>
    </row>
    <row r="443" spans="1:14" s="541" customFormat="1" ht="16.5" customHeight="1">
      <c r="A443" s="16"/>
      <c r="B443" s="544"/>
      <c r="C443" s="545"/>
      <c r="D443" s="546"/>
      <c r="E443" s="547"/>
      <c r="F443" s="548"/>
      <c r="G443" s="548"/>
      <c r="H443" s="548"/>
      <c r="I443" s="549"/>
      <c r="J443" s="550"/>
      <c r="K443" s="39"/>
      <c r="L443" s="208"/>
      <c r="M443" s="39"/>
      <c r="N443" s="533" t="s">
        <v>2209</v>
      </c>
    </row>
    <row r="444" spans="1:14" ht="15.75">
      <c r="A444" s="16"/>
      <c r="B444" s="39"/>
      <c r="C444" s="551"/>
      <c r="D444" s="552"/>
      <c r="E444" s="537"/>
      <c r="F444" s="538"/>
      <c r="G444" s="40"/>
      <c r="H444" s="16"/>
      <c r="I444" s="549"/>
      <c r="J444" s="550" t="s">
        <v>102</v>
      </c>
      <c r="K444" s="10">
        <f>data!G476</f>
        <v>307.37</v>
      </c>
      <c r="L444" s="208" t="s">
        <v>2209</v>
      </c>
      <c r="M444" s="9">
        <f>ROUND(I444*K444,0)</f>
        <v>0</v>
      </c>
      <c r="N444" s="533" t="s">
        <v>2209</v>
      </c>
    </row>
    <row r="445" spans="1:14" ht="52.5" customHeight="1">
      <c r="A445" s="16">
        <v>9</v>
      </c>
      <c r="B445" s="1633" t="s">
        <v>593</v>
      </c>
      <c r="C445" s="1633"/>
      <c r="D445" s="1633"/>
      <c r="E445" s="1633"/>
      <c r="F445" s="1633"/>
      <c r="G445" s="1633"/>
      <c r="H445" s="1633"/>
      <c r="I445" s="534"/>
      <c r="J445" s="535"/>
      <c r="K445" s="16"/>
      <c r="L445" s="208"/>
      <c r="M445" s="38"/>
      <c r="N445" s="533" t="s">
        <v>2297</v>
      </c>
    </row>
    <row r="446" spans="1:14" s="541" customFormat="1" ht="16.5" customHeight="1">
      <c r="A446" s="16"/>
      <c r="B446" s="39" t="s">
        <v>2802</v>
      </c>
      <c r="C446" s="563"/>
      <c r="D446" s="564"/>
      <c r="E446" s="565"/>
      <c r="F446" s="566"/>
      <c r="G446" s="566"/>
      <c r="H446" s="567"/>
      <c r="I446" s="568"/>
      <c r="J446" s="550"/>
      <c r="K446" s="39"/>
      <c r="L446" s="208"/>
      <c r="M446" s="39"/>
      <c r="N446" s="533" t="s">
        <v>2297</v>
      </c>
    </row>
    <row r="447" spans="1:14" s="541" customFormat="1" ht="15.75">
      <c r="A447" s="16"/>
      <c r="B447" s="39"/>
      <c r="C447" s="534">
        <v>1</v>
      </c>
      <c r="D447" s="536" t="s">
        <v>273</v>
      </c>
      <c r="E447" s="537">
        <v>2</v>
      </c>
      <c r="F447" s="538">
        <v>3.25</v>
      </c>
      <c r="G447" s="538">
        <v>0</v>
      </c>
      <c r="H447" s="538">
        <v>2.6</v>
      </c>
      <c r="I447" s="542">
        <f>ROUND(IF(AND(F447:H447),C447*E447*F447*G447*H447,IF(AND(F447,G447),C447*E447*F447*G447,IF(AND(F447,H447),C447*E447*F447*H447,IF(AND(G447,H447),C447*E447*G447*H447,IF(F447,C447*E447*F447,IF(G447,C447*E447*G447,IF(H447,C447*E447*H447,C447*E447))))))),2)</f>
        <v>16.899999999999999</v>
      </c>
      <c r="J447" s="550" t="s">
        <v>102</v>
      </c>
      <c r="K447" s="39"/>
      <c r="L447" s="208"/>
      <c r="M447" s="39"/>
      <c r="N447" s="533" t="s">
        <v>2297</v>
      </c>
    </row>
    <row r="448" spans="1:14" s="541" customFormat="1" ht="15.75">
      <c r="A448" s="16"/>
      <c r="B448" s="39"/>
      <c r="C448" s="534">
        <v>1</v>
      </c>
      <c r="D448" s="536" t="s">
        <v>273</v>
      </c>
      <c r="E448" s="537">
        <v>2</v>
      </c>
      <c r="F448" s="538">
        <v>4.62</v>
      </c>
      <c r="G448" s="538">
        <v>0</v>
      </c>
      <c r="H448" s="538">
        <v>2.6</v>
      </c>
      <c r="I448" s="542">
        <f>ROUND(IF(AND(F448:H448),C448*E448*F448*G448*H448,IF(AND(F448,G448),C448*E448*F448*G448,IF(AND(F448,H448),C448*E448*F448*H448,IF(AND(G448,H448),C448*E448*G448*H448,IF(F448,C448*E448*F448,IF(G448,C448*E448*G448,IF(H448,C448*E448*H448,C448*E448))))))),2)</f>
        <v>24.02</v>
      </c>
      <c r="J448" s="550" t="s">
        <v>102</v>
      </c>
      <c r="K448" s="39"/>
      <c r="L448" s="208"/>
      <c r="M448" s="39"/>
      <c r="N448" s="533" t="s">
        <v>2297</v>
      </c>
    </row>
    <row r="449" spans="1:14" s="541" customFormat="1" ht="15.75">
      <c r="A449" s="16"/>
      <c r="B449" s="39" t="s">
        <v>579</v>
      </c>
      <c r="C449" s="534">
        <v>1</v>
      </c>
      <c r="D449" s="536" t="s">
        <v>273</v>
      </c>
      <c r="E449" s="537">
        <v>1</v>
      </c>
      <c r="F449" s="538">
        <v>0.9</v>
      </c>
      <c r="G449" s="538">
        <v>0</v>
      </c>
      <c r="H449" s="538">
        <v>2.08</v>
      </c>
      <c r="I449" s="542">
        <f>-ROUND(IF(AND(F449:H449),C449*E449*F449*G449*H449,IF(AND(F449,G449),C449*E449*F449*G449,IF(AND(F449,H449),C449*E449*F449*H449,IF(AND(G449,H449),C449*E449*G449*H449,IF(F449,C449*E449*F449,IF(G449,C449*E449*G449,IF(H449,C449*E449*H449,C449*E449))))))),2)</f>
        <v>-1.87</v>
      </c>
      <c r="J449" s="550" t="s">
        <v>102</v>
      </c>
      <c r="K449" s="39"/>
      <c r="L449" s="208"/>
      <c r="M449" s="39"/>
      <c r="N449" s="533" t="s">
        <v>2297</v>
      </c>
    </row>
    <row r="450" spans="1:14" s="541" customFormat="1" ht="15.75">
      <c r="A450" s="16"/>
      <c r="B450" s="39" t="s">
        <v>1490</v>
      </c>
      <c r="C450" s="534">
        <v>1</v>
      </c>
      <c r="D450" s="536" t="s">
        <v>273</v>
      </c>
      <c r="E450" s="537">
        <v>1</v>
      </c>
      <c r="F450" s="538">
        <v>1.2</v>
      </c>
      <c r="G450" s="538">
        <v>0</v>
      </c>
      <c r="H450" s="538">
        <v>1.2</v>
      </c>
      <c r="I450" s="542">
        <f>-ROUND(IF(AND(F450:H450),C450*E450*F450*G450*H450,IF(AND(F450,G450),C450*E450*F450*G450,IF(AND(F450,H450),C450*E450*F450*H450,IF(AND(G450,H450),C450*E450*G450*H450,IF(F450,C450*E450*F450,IF(G450,C450*E450*G450,IF(H450,C450*E450*H450,C450*E450))))))),2)</f>
        <v>-1.44</v>
      </c>
      <c r="J450" s="550" t="s">
        <v>102</v>
      </c>
      <c r="K450" s="39"/>
      <c r="L450" s="208"/>
      <c r="M450" s="39"/>
      <c r="N450" s="533" t="s">
        <v>2297</v>
      </c>
    </row>
    <row r="451" spans="1:14" s="541" customFormat="1" ht="16.5" customHeight="1">
      <c r="A451" s="16"/>
      <c r="B451" s="544"/>
      <c r="C451" s="545"/>
      <c r="D451" s="546"/>
      <c r="E451" s="547"/>
      <c r="F451" s="548"/>
      <c r="G451" s="548"/>
      <c r="H451" s="548"/>
      <c r="I451" s="549"/>
      <c r="J451" s="550"/>
      <c r="K451" s="39"/>
      <c r="L451" s="208"/>
      <c r="M451" s="39"/>
      <c r="N451" s="533" t="s">
        <v>2297</v>
      </c>
    </row>
    <row r="452" spans="1:14" ht="15.75">
      <c r="A452" s="16"/>
      <c r="B452" s="39"/>
      <c r="C452" s="551"/>
      <c r="D452" s="552"/>
      <c r="E452" s="537"/>
      <c r="F452" s="538"/>
      <c r="G452" s="40"/>
      <c r="H452" s="16"/>
      <c r="I452" s="549"/>
      <c r="J452" s="550" t="s">
        <v>102</v>
      </c>
      <c r="K452" s="10">
        <f>data!G1393</f>
        <v>330.52</v>
      </c>
      <c r="L452" s="208" t="s">
        <v>2297</v>
      </c>
      <c r="M452" s="9">
        <f>ROUND(I452*K452,0)</f>
        <v>0</v>
      </c>
      <c r="N452" s="533" t="s">
        <v>2297</v>
      </c>
    </row>
    <row r="453" spans="1:14" ht="52.5" customHeight="1">
      <c r="A453" s="16">
        <v>9</v>
      </c>
      <c r="B453" s="1633" t="s">
        <v>593</v>
      </c>
      <c r="C453" s="1633"/>
      <c r="D453" s="1633"/>
      <c r="E453" s="1633"/>
      <c r="F453" s="1633"/>
      <c r="G453" s="1633"/>
      <c r="H453" s="1633"/>
      <c r="I453" s="534"/>
      <c r="J453" s="535"/>
      <c r="K453" s="16"/>
      <c r="L453" s="208"/>
      <c r="M453" s="38"/>
      <c r="N453" s="533" t="s">
        <v>2308</v>
      </c>
    </row>
    <row r="454" spans="1:14" s="541" customFormat="1" ht="16.5" customHeight="1">
      <c r="A454" s="16"/>
      <c r="B454" s="39" t="s">
        <v>2802</v>
      </c>
      <c r="C454" s="563"/>
      <c r="D454" s="564"/>
      <c r="E454" s="565"/>
      <c r="F454" s="566"/>
      <c r="G454" s="566"/>
      <c r="H454" s="567"/>
      <c r="I454" s="568"/>
      <c r="J454" s="550"/>
      <c r="K454" s="39"/>
      <c r="L454" s="208"/>
      <c r="M454" s="39"/>
      <c r="N454" s="533" t="s">
        <v>2308</v>
      </c>
    </row>
    <row r="455" spans="1:14" s="541" customFormat="1" ht="15.75">
      <c r="A455" s="16"/>
      <c r="B455" s="39"/>
      <c r="C455" s="534">
        <v>1</v>
      </c>
      <c r="D455" s="536" t="s">
        <v>273</v>
      </c>
      <c r="E455" s="537">
        <v>2</v>
      </c>
      <c r="F455" s="538">
        <v>3.25</v>
      </c>
      <c r="G455" s="538">
        <v>0</v>
      </c>
      <c r="H455" s="538">
        <v>2.6</v>
      </c>
      <c r="I455" s="542">
        <f>ROUND(IF(AND(F455:H455),C455*E455*F455*G455*H455,IF(AND(F455,G455),C455*E455*F455*G455,IF(AND(F455,H455),C455*E455*F455*H455,IF(AND(G455,H455),C455*E455*G455*H455,IF(F455,C455*E455*F455,IF(G455,C455*E455*G455,IF(H455,C455*E455*H455,C455*E455))))))),2)</f>
        <v>16.899999999999999</v>
      </c>
      <c r="J455" s="550" t="s">
        <v>102</v>
      </c>
      <c r="K455" s="39"/>
      <c r="L455" s="208"/>
      <c r="M455" s="39"/>
      <c r="N455" s="533" t="s">
        <v>2308</v>
      </c>
    </row>
    <row r="456" spans="1:14" s="541" customFormat="1" ht="15.75">
      <c r="A456" s="16"/>
      <c r="B456" s="39"/>
      <c r="C456" s="534">
        <v>1</v>
      </c>
      <c r="D456" s="536" t="s">
        <v>273</v>
      </c>
      <c r="E456" s="537">
        <v>2</v>
      </c>
      <c r="F456" s="538">
        <v>4.62</v>
      </c>
      <c r="G456" s="538">
        <v>0</v>
      </c>
      <c r="H456" s="538">
        <v>2.6</v>
      </c>
      <c r="I456" s="542">
        <f>ROUND(IF(AND(F456:H456),C456*E456*F456*G456*H456,IF(AND(F456,G456),C456*E456*F456*G456,IF(AND(F456,H456),C456*E456*F456*H456,IF(AND(G456,H456),C456*E456*G456*H456,IF(F456,C456*E456*F456,IF(G456,C456*E456*G456,IF(H456,C456*E456*H456,C456*E456))))))),2)</f>
        <v>24.02</v>
      </c>
      <c r="J456" s="550" t="s">
        <v>102</v>
      </c>
      <c r="K456" s="39"/>
      <c r="L456" s="208"/>
      <c r="M456" s="39"/>
      <c r="N456" s="533" t="s">
        <v>2308</v>
      </c>
    </row>
    <row r="457" spans="1:14" s="541" customFormat="1" ht="15.75">
      <c r="A457" s="16"/>
      <c r="B457" s="39" t="s">
        <v>579</v>
      </c>
      <c r="C457" s="534">
        <v>1</v>
      </c>
      <c r="D457" s="536" t="s">
        <v>273</v>
      </c>
      <c r="E457" s="537">
        <v>1</v>
      </c>
      <c r="F457" s="538">
        <v>0.9</v>
      </c>
      <c r="G457" s="538">
        <v>0</v>
      </c>
      <c r="H457" s="538">
        <v>2.08</v>
      </c>
      <c r="I457" s="542">
        <f>-ROUND(IF(AND(F457:H457),C457*E457*F457*G457*H457,IF(AND(F457,G457),C457*E457*F457*G457,IF(AND(F457,H457),C457*E457*F457*H457,IF(AND(G457,H457),C457*E457*G457*H457,IF(F457,C457*E457*F457,IF(G457,C457*E457*G457,IF(H457,C457*E457*H457,C457*E457))))))),2)</f>
        <v>-1.87</v>
      </c>
      <c r="J457" s="550" t="s">
        <v>102</v>
      </c>
      <c r="K457" s="39"/>
      <c r="L457" s="208"/>
      <c r="M457" s="39"/>
      <c r="N457" s="533" t="s">
        <v>2308</v>
      </c>
    </row>
    <row r="458" spans="1:14" s="541" customFormat="1" ht="15.75">
      <c r="A458" s="16"/>
      <c r="B458" s="39" t="s">
        <v>1490</v>
      </c>
      <c r="C458" s="534">
        <v>1</v>
      </c>
      <c r="D458" s="536" t="s">
        <v>273</v>
      </c>
      <c r="E458" s="537">
        <v>1</v>
      </c>
      <c r="F458" s="538">
        <v>1.2</v>
      </c>
      <c r="G458" s="538">
        <v>0</v>
      </c>
      <c r="H458" s="538">
        <v>1.2</v>
      </c>
      <c r="I458" s="542">
        <f>-ROUND(IF(AND(F458:H458),C458*E458*F458*G458*H458,IF(AND(F458,G458),C458*E458*F458*G458,IF(AND(F458,H458),C458*E458*F458*H458,IF(AND(G458,H458),C458*E458*G458*H458,IF(F458,C458*E458*F458,IF(G458,C458*E458*G458,IF(H458,C458*E458*H458,C458*E458))))))),2)</f>
        <v>-1.44</v>
      </c>
      <c r="J458" s="550" t="s">
        <v>102</v>
      </c>
      <c r="K458" s="39"/>
      <c r="L458" s="208"/>
      <c r="M458" s="39"/>
      <c r="N458" s="533" t="s">
        <v>2308</v>
      </c>
    </row>
    <row r="459" spans="1:14" s="541" customFormat="1" ht="16.5" customHeight="1">
      <c r="A459" s="16"/>
      <c r="B459" s="544"/>
      <c r="C459" s="545"/>
      <c r="D459" s="546"/>
      <c r="E459" s="547"/>
      <c r="F459" s="548"/>
      <c r="G459" s="548"/>
      <c r="H459" s="548"/>
      <c r="I459" s="549"/>
      <c r="J459" s="550"/>
      <c r="K459" s="39"/>
      <c r="L459" s="208"/>
      <c r="M459" s="39"/>
      <c r="N459" s="533" t="s">
        <v>2308</v>
      </c>
    </row>
    <row r="460" spans="1:14" ht="15.75">
      <c r="A460" s="16"/>
      <c r="B460" s="39"/>
      <c r="C460" s="551"/>
      <c r="D460" s="552"/>
      <c r="E460" s="537"/>
      <c r="F460" s="538"/>
      <c r="G460" s="40"/>
      <c r="H460" s="16"/>
      <c r="I460" s="549"/>
      <c r="J460" s="550" t="s">
        <v>102</v>
      </c>
      <c r="K460" s="10">
        <f>data!G2310</f>
        <v>351.31</v>
      </c>
      <c r="L460" s="208" t="s">
        <v>2308</v>
      </c>
      <c r="M460" s="9">
        <f>ROUND(I460*K460,0)</f>
        <v>0</v>
      </c>
      <c r="N460" s="533" t="s">
        <v>2308</v>
      </c>
    </row>
    <row r="461" spans="1:14" ht="52.5" customHeight="1">
      <c r="A461" s="16">
        <v>9</v>
      </c>
      <c r="B461" s="1633" t="s">
        <v>593</v>
      </c>
      <c r="C461" s="1633"/>
      <c r="D461" s="1633"/>
      <c r="E461" s="1633"/>
      <c r="F461" s="1633"/>
      <c r="G461" s="1633"/>
      <c r="H461" s="1633"/>
      <c r="I461" s="534"/>
      <c r="J461" s="535"/>
      <c r="K461" s="16"/>
      <c r="L461" s="208"/>
      <c r="M461" s="38"/>
      <c r="N461" s="533" t="s">
        <v>2309</v>
      </c>
    </row>
    <row r="462" spans="1:14" s="541" customFormat="1" ht="16.5" customHeight="1">
      <c r="A462" s="16"/>
      <c r="B462" s="39" t="s">
        <v>2802</v>
      </c>
      <c r="C462" s="563"/>
      <c r="D462" s="564"/>
      <c r="E462" s="565"/>
      <c r="F462" s="566"/>
      <c r="G462" s="566"/>
      <c r="H462" s="567"/>
      <c r="I462" s="568"/>
      <c r="J462" s="550"/>
      <c r="K462" s="39"/>
      <c r="L462" s="208"/>
      <c r="M462" s="39"/>
      <c r="N462" s="533" t="s">
        <v>2309</v>
      </c>
    </row>
    <row r="463" spans="1:14" s="541" customFormat="1" ht="15.75">
      <c r="A463" s="16"/>
      <c r="B463" s="39"/>
      <c r="C463" s="534">
        <v>1</v>
      </c>
      <c r="D463" s="536" t="s">
        <v>273</v>
      </c>
      <c r="E463" s="537">
        <v>2</v>
      </c>
      <c r="F463" s="538">
        <v>3.25</v>
      </c>
      <c r="G463" s="538">
        <v>0</v>
      </c>
      <c r="H463" s="538">
        <v>2.6</v>
      </c>
      <c r="I463" s="542">
        <f>ROUND(IF(AND(F463:H463),C463*E463*F463*G463*H463,IF(AND(F463,G463),C463*E463*F463*G463,IF(AND(F463,H463),C463*E463*F463*H463,IF(AND(G463,H463),C463*E463*G463*H463,IF(F463,C463*E463*F463,IF(G463,C463*E463*G463,IF(H463,C463*E463*H463,C463*E463))))))),2)</f>
        <v>16.899999999999999</v>
      </c>
      <c r="J463" s="550" t="s">
        <v>102</v>
      </c>
      <c r="K463" s="39"/>
      <c r="L463" s="208"/>
      <c r="M463" s="39"/>
      <c r="N463" s="533" t="s">
        <v>2309</v>
      </c>
    </row>
    <row r="464" spans="1:14" s="541" customFormat="1" ht="15.75">
      <c r="A464" s="16"/>
      <c r="B464" s="39"/>
      <c r="C464" s="534">
        <v>1</v>
      </c>
      <c r="D464" s="536" t="s">
        <v>273</v>
      </c>
      <c r="E464" s="537">
        <v>2</v>
      </c>
      <c r="F464" s="538">
        <v>4.62</v>
      </c>
      <c r="G464" s="538">
        <v>0</v>
      </c>
      <c r="H464" s="538">
        <v>2.6</v>
      </c>
      <c r="I464" s="542">
        <f>ROUND(IF(AND(F464:H464),C464*E464*F464*G464*H464,IF(AND(F464,G464),C464*E464*F464*G464,IF(AND(F464,H464),C464*E464*F464*H464,IF(AND(G464,H464),C464*E464*G464*H464,IF(F464,C464*E464*F464,IF(G464,C464*E464*G464,IF(H464,C464*E464*H464,C464*E464))))))),2)</f>
        <v>24.02</v>
      </c>
      <c r="J464" s="550" t="s">
        <v>102</v>
      </c>
      <c r="K464" s="39"/>
      <c r="L464" s="208"/>
      <c r="M464" s="39"/>
      <c r="N464" s="533" t="s">
        <v>2309</v>
      </c>
    </row>
    <row r="465" spans="1:14" s="541" customFormat="1" ht="15.75">
      <c r="A465" s="16"/>
      <c r="B465" s="39" t="s">
        <v>579</v>
      </c>
      <c r="C465" s="534">
        <v>1</v>
      </c>
      <c r="D465" s="536" t="s">
        <v>273</v>
      </c>
      <c r="E465" s="537">
        <v>1</v>
      </c>
      <c r="F465" s="538">
        <v>0.9</v>
      </c>
      <c r="G465" s="538">
        <v>0</v>
      </c>
      <c r="H465" s="538">
        <v>2.08</v>
      </c>
      <c r="I465" s="542">
        <f>-ROUND(IF(AND(F465:H465),C465*E465*F465*G465*H465,IF(AND(F465,G465),C465*E465*F465*G465,IF(AND(F465,H465),C465*E465*F465*H465,IF(AND(G465,H465),C465*E465*G465*H465,IF(F465,C465*E465*F465,IF(G465,C465*E465*G465,IF(H465,C465*E465*H465,C465*E465))))))),2)</f>
        <v>-1.87</v>
      </c>
      <c r="J465" s="550" t="s">
        <v>102</v>
      </c>
      <c r="K465" s="39"/>
      <c r="L465" s="208"/>
      <c r="M465" s="39"/>
      <c r="N465" s="533" t="s">
        <v>2309</v>
      </c>
    </row>
    <row r="466" spans="1:14" s="541" customFormat="1" ht="15.75">
      <c r="A466" s="16"/>
      <c r="B466" s="39" t="s">
        <v>1490</v>
      </c>
      <c r="C466" s="534">
        <v>1</v>
      </c>
      <c r="D466" s="536" t="s">
        <v>273</v>
      </c>
      <c r="E466" s="537">
        <v>1</v>
      </c>
      <c r="F466" s="538">
        <v>1.2</v>
      </c>
      <c r="G466" s="538">
        <v>0</v>
      </c>
      <c r="H466" s="538">
        <v>1.2</v>
      </c>
      <c r="I466" s="542">
        <f>-ROUND(IF(AND(F466:H466),C466*E466*F466*G466*H466,IF(AND(F466,G466),C466*E466*F466*G466,IF(AND(F466,H466),C466*E466*F466*H466,IF(AND(G466,H466),C466*E466*G466*H466,IF(F466,C466*E466*F466,IF(G466,C466*E466*G466,IF(H466,C466*E466*H466,C466*E466))))))),2)</f>
        <v>-1.44</v>
      </c>
      <c r="J466" s="550" t="s">
        <v>102</v>
      </c>
      <c r="K466" s="39"/>
      <c r="L466" s="208"/>
      <c r="M466" s="39"/>
      <c r="N466" s="533" t="s">
        <v>2309</v>
      </c>
    </row>
    <row r="467" spans="1:14" s="541" customFormat="1" ht="16.5" customHeight="1">
      <c r="A467" s="16"/>
      <c r="B467" s="544"/>
      <c r="C467" s="545"/>
      <c r="D467" s="546"/>
      <c r="E467" s="547"/>
      <c r="F467" s="548"/>
      <c r="G467" s="548"/>
      <c r="H467" s="548"/>
      <c r="I467" s="549"/>
      <c r="J467" s="550"/>
      <c r="K467" s="39"/>
      <c r="L467" s="208"/>
      <c r="M467" s="39"/>
      <c r="N467" s="533" t="s">
        <v>2309</v>
      </c>
    </row>
    <row r="468" spans="1:14" ht="15.75">
      <c r="A468" s="16"/>
      <c r="B468" s="39"/>
      <c r="C468" s="551"/>
      <c r="D468" s="552"/>
      <c r="E468" s="537"/>
      <c r="F468" s="538"/>
      <c r="G468" s="40"/>
      <c r="H468" s="16"/>
      <c r="I468" s="549"/>
      <c r="J468" s="550" t="s">
        <v>102</v>
      </c>
      <c r="K468" s="10">
        <f>data!G3227</f>
        <v>372.29</v>
      </c>
      <c r="L468" s="208" t="s">
        <v>2309</v>
      </c>
      <c r="M468" s="9">
        <f>ROUND(I468*K468,0)</f>
        <v>0</v>
      </c>
      <c r="N468" s="533" t="s">
        <v>2309</v>
      </c>
    </row>
    <row r="469" spans="1:14" ht="71.25" customHeight="1">
      <c r="A469" s="16">
        <v>7</v>
      </c>
      <c r="B469" s="1633" t="s">
        <v>808</v>
      </c>
      <c r="C469" s="1633"/>
      <c r="D469" s="1633"/>
      <c r="E469" s="1633"/>
      <c r="F469" s="1633"/>
      <c r="G469" s="1633"/>
      <c r="H469" s="1633"/>
      <c r="I469" s="534"/>
      <c r="J469" s="535"/>
      <c r="K469" s="16"/>
      <c r="L469" s="208"/>
      <c r="M469" s="38"/>
      <c r="N469" s="533" t="s">
        <v>2209</v>
      </c>
    </row>
    <row r="470" spans="1:14" s="541" customFormat="1" ht="16.5" customHeight="1">
      <c r="A470" s="16"/>
      <c r="B470" s="39" t="s">
        <v>3043</v>
      </c>
      <c r="C470" s="558"/>
      <c r="D470" s="858" t="s">
        <v>3251</v>
      </c>
      <c r="E470" s="560"/>
      <c r="F470" s="561"/>
      <c r="G470" s="561"/>
      <c r="H470" s="561"/>
      <c r="I470" s="562"/>
      <c r="J470" s="550"/>
      <c r="K470" s="39"/>
      <c r="L470" s="208"/>
      <c r="M470" s="39"/>
      <c r="N470" s="533" t="s">
        <v>2209</v>
      </c>
    </row>
    <row r="471" spans="1:14" s="541" customFormat="1" ht="16.5" customHeight="1">
      <c r="A471" s="16"/>
      <c r="B471" s="39"/>
      <c r="C471" s="534">
        <v>1</v>
      </c>
      <c r="D471" s="536" t="s">
        <v>273</v>
      </c>
      <c r="E471" s="537">
        <v>2</v>
      </c>
      <c r="F471" s="538">
        <v>2.72</v>
      </c>
      <c r="G471" s="538">
        <v>0</v>
      </c>
      <c r="H471" s="538">
        <v>2.38</v>
      </c>
      <c r="I471" s="542">
        <f t="shared" ref="I471:I472" si="22">ROUND(IF(AND(F471:H471),C471*E471*F471*G471*H471,IF(AND(F471,G471),C471*E471*F471*G471,IF(AND(F471,H471),C471*E471*F471*H471,IF(AND(G471,H471),C471*E471*G471*H471,IF(F471,C471*E471*F471,IF(G471,C471*E471*G471,IF(H471,C471*E471*H471,C471*E471))))))),2)</f>
        <v>12.95</v>
      </c>
      <c r="J471" s="550" t="s">
        <v>102</v>
      </c>
      <c r="K471" s="39"/>
      <c r="L471" s="208"/>
      <c r="M471" s="39"/>
      <c r="N471" s="533" t="s">
        <v>2209</v>
      </c>
    </row>
    <row r="472" spans="1:14" s="541" customFormat="1" ht="16.5" customHeight="1">
      <c r="A472" s="16"/>
      <c r="B472" s="39"/>
      <c r="C472" s="534">
        <v>1</v>
      </c>
      <c r="D472" s="536" t="s">
        <v>273</v>
      </c>
      <c r="E472" s="537">
        <v>2</v>
      </c>
      <c r="F472" s="538">
        <v>3.16</v>
      </c>
      <c r="G472" s="538">
        <v>0</v>
      </c>
      <c r="H472" s="538">
        <v>2.38</v>
      </c>
      <c r="I472" s="542">
        <f t="shared" si="22"/>
        <v>15.04</v>
      </c>
      <c r="J472" s="550" t="s">
        <v>102</v>
      </c>
      <c r="K472" s="39"/>
      <c r="L472" s="208"/>
      <c r="M472" s="39"/>
      <c r="N472" s="533" t="s">
        <v>2209</v>
      </c>
    </row>
    <row r="473" spans="1:14" s="541" customFormat="1" ht="16.5" customHeight="1">
      <c r="A473" s="16"/>
      <c r="B473" s="39" t="s">
        <v>579</v>
      </c>
      <c r="C473" s="534">
        <v>1</v>
      </c>
      <c r="D473" s="536" t="s">
        <v>273</v>
      </c>
      <c r="E473" s="537">
        <v>1</v>
      </c>
      <c r="F473" s="538">
        <v>0.9</v>
      </c>
      <c r="G473" s="538">
        <v>0</v>
      </c>
      <c r="H473" s="538">
        <v>2.1</v>
      </c>
      <c r="I473" s="542">
        <f>-ROUND(IF(AND(F473:H473),C473*E473*F473*G473*H473,IF(AND(F473,G473),C473*E473*F473*G473,IF(AND(F473,H473),C473*E473*F473*H473,IF(AND(G473,H473),C473*E473*G473*H473,IF(F473,C473*E473*F473,IF(G473,C473*E473*G473,IF(H473,C473*E473*H473,C473*E473))))))),2)</f>
        <v>-1.89</v>
      </c>
      <c r="J473" s="550" t="s">
        <v>102</v>
      </c>
      <c r="K473" s="39"/>
      <c r="L473" s="208"/>
      <c r="M473" s="39"/>
      <c r="N473" s="533" t="s">
        <v>2209</v>
      </c>
    </row>
    <row r="474" spans="1:14" s="541" customFormat="1" ht="16.5" customHeight="1">
      <c r="A474" s="16"/>
      <c r="B474" s="39" t="s">
        <v>579</v>
      </c>
      <c r="C474" s="534">
        <v>1</v>
      </c>
      <c r="D474" s="536" t="s">
        <v>273</v>
      </c>
      <c r="E474" s="537">
        <v>1</v>
      </c>
      <c r="F474" s="538">
        <v>1.2</v>
      </c>
      <c r="G474" s="538">
        <v>0</v>
      </c>
      <c r="H474" s="538">
        <v>1.1000000000000001</v>
      </c>
      <c r="I474" s="542">
        <f>-ROUND(IF(AND(F474:H474),C474*E474*F474*G474*H474,IF(AND(F474,G474),C474*E474*F474*G474,IF(AND(F474,H474),C474*E474*F474*H474,IF(AND(G474,H474),C474*E474*G474*H474,IF(F474,C474*E474*F474,IF(G474,C474*E474*G474,IF(H474,C474*E474*H474,C474*E474))))))),2)</f>
        <v>-1.32</v>
      </c>
      <c r="J474" s="550" t="s">
        <v>102</v>
      </c>
      <c r="K474" s="39"/>
      <c r="L474" s="208"/>
      <c r="M474" s="39"/>
      <c r="N474" s="533" t="s">
        <v>2209</v>
      </c>
    </row>
    <row r="475" spans="1:14" s="541" customFormat="1" ht="16.5" customHeight="1">
      <c r="A475" s="16"/>
      <c r="B475" s="39" t="s">
        <v>1490</v>
      </c>
      <c r="C475" s="534">
        <v>1</v>
      </c>
      <c r="D475" s="536" t="s">
        <v>273</v>
      </c>
      <c r="E475" s="537">
        <v>1</v>
      </c>
      <c r="F475" s="538">
        <v>10.050000000000001</v>
      </c>
      <c r="G475" s="538">
        <v>0</v>
      </c>
      <c r="H475" s="538">
        <v>1.9</v>
      </c>
      <c r="I475" s="542">
        <f t="shared" ref="I475:I478" si="23">ROUND(IF(AND(F475:H475),C475*E475*F475*G475*H475,IF(AND(F475,G475),C475*E475*F475*G475,IF(AND(F475,H475),C475*E475*F475*H475,IF(AND(G475,H475),C475*E475*G475*H475,IF(F475,C475*E475*F475,IF(G475,C475*E475*G475,IF(H475,C475*E475*H475,C475*E475))))))),2)</f>
        <v>19.100000000000001</v>
      </c>
      <c r="J475" s="550" t="s">
        <v>102</v>
      </c>
      <c r="K475" s="39"/>
      <c r="L475" s="208"/>
      <c r="M475" s="39"/>
      <c r="N475" s="533" t="s">
        <v>2209</v>
      </c>
    </row>
    <row r="476" spans="1:14" s="541" customFormat="1" ht="16.5" customHeight="1">
      <c r="A476" s="16"/>
      <c r="B476" s="39"/>
      <c r="C476" s="534">
        <v>1</v>
      </c>
      <c r="D476" s="536" t="s">
        <v>273</v>
      </c>
      <c r="E476" s="537">
        <v>1</v>
      </c>
      <c r="F476" s="538">
        <v>9.1999999999999993</v>
      </c>
      <c r="G476" s="538">
        <v>0</v>
      </c>
      <c r="H476" s="538">
        <v>1.9</v>
      </c>
      <c r="I476" s="542">
        <f t="shared" si="23"/>
        <v>17.48</v>
      </c>
      <c r="J476" s="550" t="s">
        <v>102</v>
      </c>
      <c r="K476" s="39"/>
      <c r="L476" s="208"/>
      <c r="M476" s="39"/>
      <c r="N476" s="533" t="s">
        <v>2209</v>
      </c>
    </row>
    <row r="477" spans="1:14" s="541" customFormat="1" ht="16.5" customHeight="1">
      <c r="A477" s="16"/>
      <c r="B477" s="39"/>
      <c r="C477" s="534">
        <v>1</v>
      </c>
      <c r="D477" s="536" t="s">
        <v>273</v>
      </c>
      <c r="E477" s="537">
        <v>1</v>
      </c>
      <c r="F477" s="538">
        <v>13.7</v>
      </c>
      <c r="G477" s="538">
        <v>0</v>
      </c>
      <c r="H477" s="538">
        <v>1.9</v>
      </c>
      <c r="I477" s="542">
        <f t="shared" si="23"/>
        <v>26.03</v>
      </c>
      <c r="J477" s="550" t="s">
        <v>102</v>
      </c>
      <c r="K477" s="39"/>
      <c r="L477" s="208"/>
      <c r="M477" s="39"/>
      <c r="N477" s="533" t="s">
        <v>2209</v>
      </c>
    </row>
    <row r="478" spans="1:14" s="541" customFormat="1" ht="16.5" customHeight="1">
      <c r="A478" s="16"/>
      <c r="B478" s="39"/>
      <c r="C478" s="534">
        <v>1</v>
      </c>
      <c r="D478" s="536" t="s">
        <v>273</v>
      </c>
      <c r="E478" s="537">
        <v>1</v>
      </c>
      <c r="F478" s="538">
        <v>5.95</v>
      </c>
      <c r="G478" s="538">
        <v>0</v>
      </c>
      <c r="H478" s="538">
        <v>1.9</v>
      </c>
      <c r="I478" s="542">
        <f t="shared" si="23"/>
        <v>11.31</v>
      </c>
      <c r="J478" s="550" t="s">
        <v>102</v>
      </c>
      <c r="K478" s="39"/>
      <c r="L478" s="208"/>
      <c r="M478" s="39"/>
      <c r="N478" s="533" t="s">
        <v>2209</v>
      </c>
    </row>
    <row r="479" spans="1:14" s="541" customFormat="1" ht="16.5" customHeight="1">
      <c r="A479" s="16"/>
      <c r="B479" s="544"/>
      <c r="C479" s="545"/>
      <c r="D479" s="546"/>
      <c r="E479" s="547"/>
      <c r="F479" s="548"/>
      <c r="G479" s="548"/>
      <c r="H479" s="548"/>
      <c r="I479" s="549"/>
      <c r="J479" s="550"/>
      <c r="K479" s="39"/>
      <c r="L479" s="208"/>
      <c r="M479" s="39"/>
      <c r="N479" s="533" t="s">
        <v>2209</v>
      </c>
    </row>
    <row r="480" spans="1:14" ht="15.75">
      <c r="A480" s="16"/>
      <c r="B480" s="39"/>
      <c r="C480" s="551"/>
      <c r="D480" s="552"/>
      <c r="E480" s="537"/>
      <c r="F480" s="538"/>
      <c r="G480" s="40"/>
      <c r="H480" s="16"/>
      <c r="I480" s="549"/>
      <c r="J480" s="550" t="s">
        <v>102</v>
      </c>
      <c r="K480" s="10">
        <f>data!G512</f>
        <v>380.2</v>
      </c>
      <c r="L480" s="208" t="s">
        <v>2209</v>
      </c>
      <c r="M480" s="9">
        <f>ROUND(I480*K480,0)</f>
        <v>0</v>
      </c>
      <c r="N480" s="533" t="s">
        <v>2209</v>
      </c>
    </row>
    <row r="481" spans="1:14" ht="71.25" customHeight="1">
      <c r="A481" s="16">
        <v>8</v>
      </c>
      <c r="B481" s="1633" t="s">
        <v>808</v>
      </c>
      <c r="C481" s="1633"/>
      <c r="D481" s="1633"/>
      <c r="E481" s="1633"/>
      <c r="F481" s="1633"/>
      <c r="G481" s="1633"/>
      <c r="H481" s="1633"/>
      <c r="I481" s="534"/>
      <c r="J481" s="535"/>
      <c r="K481" s="16"/>
      <c r="L481" s="208"/>
      <c r="M481" s="38"/>
      <c r="N481" s="533" t="s">
        <v>2297</v>
      </c>
    </row>
    <row r="482" spans="1:14" s="541" customFormat="1" ht="16.5" customHeight="1">
      <c r="A482" s="16"/>
      <c r="B482" s="39" t="s">
        <v>2929</v>
      </c>
      <c r="C482" s="534"/>
      <c r="D482" s="536"/>
      <c r="E482" s="537"/>
      <c r="F482" s="538"/>
      <c r="G482" s="538"/>
      <c r="H482" s="538"/>
      <c r="I482" s="539"/>
      <c r="J482" s="550"/>
      <c r="K482" s="39"/>
      <c r="L482" s="208"/>
      <c r="M482" s="39"/>
      <c r="N482" s="533" t="s">
        <v>2297</v>
      </c>
    </row>
    <row r="483" spans="1:14" s="541" customFormat="1" ht="16.5" customHeight="1">
      <c r="A483" s="16"/>
      <c r="B483" s="39" t="s">
        <v>2944</v>
      </c>
      <c r="C483" s="534">
        <v>1</v>
      </c>
      <c r="D483" s="536" t="s">
        <v>273</v>
      </c>
      <c r="E483" s="537">
        <v>1</v>
      </c>
      <c r="F483" s="538">
        <v>13.76</v>
      </c>
      <c r="G483" s="538">
        <v>0</v>
      </c>
      <c r="H483" s="538">
        <v>2.4</v>
      </c>
      <c r="I483" s="542">
        <f t="shared" ref="I483:I487" si="24">ROUND(IF(AND(F483:H483),C483*E483*F483*G483*H483,IF(AND(F483,G483),C483*E483*F483*G483,IF(AND(F483,H483),C483*E483*F483*H483,IF(AND(G483,H483),C483*E483*G483*H483,IF(F483,C483*E483*F483,IF(G483,C483*E483*G483,IF(H483,C483*E483*H483,C483*E483))))))),2)</f>
        <v>33.020000000000003</v>
      </c>
      <c r="J483" s="550" t="s">
        <v>102</v>
      </c>
      <c r="K483" s="39"/>
      <c r="L483" s="208"/>
      <c r="M483" s="39"/>
      <c r="N483" s="533" t="s">
        <v>2297</v>
      </c>
    </row>
    <row r="484" spans="1:14" s="541" customFormat="1" ht="16.5" customHeight="1">
      <c r="A484" s="16"/>
      <c r="B484" s="39" t="s">
        <v>579</v>
      </c>
      <c r="C484" s="534">
        <v>1</v>
      </c>
      <c r="D484" s="536" t="s">
        <v>273</v>
      </c>
      <c r="E484" s="537">
        <v>1</v>
      </c>
      <c r="F484" s="538">
        <v>1.2</v>
      </c>
      <c r="G484" s="538">
        <v>0</v>
      </c>
      <c r="H484" s="538">
        <v>2.1</v>
      </c>
      <c r="I484" s="542">
        <f>-ROUND(IF(AND(F484:H484),C484*E484*F484*G484*H484,IF(AND(F484,G484),C484*E484*F484*G484,IF(AND(F484,H484),C484*E484*F484*H484,IF(AND(G484,H484),C484*E484*G484*H484,IF(F484,C484*E484*F484,IF(G484,C484*E484*G484,IF(H484,C484*E484*H484,C484*E484))))))),2)</f>
        <v>-2.52</v>
      </c>
      <c r="J484" s="550" t="s">
        <v>102</v>
      </c>
      <c r="K484" s="39"/>
      <c r="L484" s="208"/>
      <c r="M484" s="39"/>
      <c r="N484" s="533" t="s">
        <v>2297</v>
      </c>
    </row>
    <row r="485" spans="1:14" s="541" customFormat="1" ht="16.5" customHeight="1">
      <c r="A485" s="16"/>
      <c r="B485" s="39" t="s">
        <v>2945</v>
      </c>
      <c r="C485" s="534">
        <v>1</v>
      </c>
      <c r="D485" s="536" t="s">
        <v>273</v>
      </c>
      <c r="E485" s="537">
        <v>1</v>
      </c>
      <c r="F485" s="538">
        <v>1.27</v>
      </c>
      <c r="G485" s="538">
        <v>0</v>
      </c>
      <c r="H485" s="538">
        <v>1.8</v>
      </c>
      <c r="I485" s="542">
        <f>-ROUND(IF(AND(F485:H485),C485*E485*F485*G485*H485,IF(AND(F485,G485),C485*E485*F485*G485,IF(AND(F485,H485),C485*E485*F485*H485,IF(AND(G485,H485),C485*E485*G485*H485,IF(F485,C485*E485*F485,IF(G485,C485*E485*G485,IF(H485,C485*E485*H485,C485*E485))))))),2)</f>
        <v>-2.29</v>
      </c>
      <c r="J485" s="550" t="s">
        <v>102</v>
      </c>
      <c r="K485" s="39"/>
      <c r="L485" s="208"/>
      <c r="M485" s="39"/>
      <c r="N485" s="533" t="s">
        <v>2297</v>
      </c>
    </row>
    <row r="486" spans="1:14" s="541" customFormat="1" ht="16.5" customHeight="1">
      <c r="A486" s="16"/>
      <c r="B486" s="39" t="s">
        <v>2946</v>
      </c>
      <c r="C486" s="534">
        <v>1</v>
      </c>
      <c r="D486" s="536" t="s">
        <v>273</v>
      </c>
      <c r="E486" s="537">
        <v>2</v>
      </c>
      <c r="F486" s="538">
        <v>2.4</v>
      </c>
      <c r="G486" s="538">
        <v>0</v>
      </c>
      <c r="H486" s="538">
        <v>0.3</v>
      </c>
      <c r="I486" s="542">
        <f t="shared" si="24"/>
        <v>1.44</v>
      </c>
      <c r="J486" s="550" t="s">
        <v>102</v>
      </c>
      <c r="K486" s="39"/>
      <c r="L486" s="208"/>
      <c r="M486" s="39"/>
      <c r="N486" s="533" t="s">
        <v>2297</v>
      </c>
    </row>
    <row r="487" spans="1:14" s="541" customFormat="1" ht="16.5" customHeight="1">
      <c r="A487" s="16"/>
      <c r="B487" s="39" t="s">
        <v>2947</v>
      </c>
      <c r="C487" s="534">
        <v>1</v>
      </c>
      <c r="D487" s="536" t="s">
        <v>273</v>
      </c>
      <c r="E487" s="537">
        <v>1</v>
      </c>
      <c r="F487" s="538">
        <v>6.1</v>
      </c>
      <c r="G487" s="538">
        <v>0.23</v>
      </c>
      <c r="H487" s="538">
        <v>0</v>
      </c>
      <c r="I487" s="542">
        <f t="shared" si="24"/>
        <v>1.4</v>
      </c>
      <c r="J487" s="550" t="s">
        <v>102</v>
      </c>
      <c r="K487" s="39"/>
      <c r="L487" s="208"/>
      <c r="M487" s="39"/>
      <c r="N487" s="533" t="s">
        <v>2297</v>
      </c>
    </row>
    <row r="488" spans="1:14" s="541" customFormat="1" ht="16.5" customHeight="1">
      <c r="A488" s="16"/>
      <c r="B488" s="544"/>
      <c r="C488" s="545"/>
      <c r="D488" s="546"/>
      <c r="E488" s="547"/>
      <c r="F488" s="548"/>
      <c r="G488" s="548"/>
      <c r="H488" s="548"/>
      <c r="I488" s="549"/>
      <c r="J488" s="550"/>
      <c r="K488" s="39"/>
      <c r="L488" s="208"/>
      <c r="M488" s="39"/>
      <c r="N488" s="533" t="s">
        <v>2297</v>
      </c>
    </row>
    <row r="489" spans="1:14" ht="15.75">
      <c r="A489" s="16"/>
      <c r="B489" s="39"/>
      <c r="C489" s="551"/>
      <c r="D489" s="552"/>
      <c r="E489" s="537"/>
      <c r="F489" s="538"/>
      <c r="G489" s="40"/>
      <c r="H489" s="16"/>
      <c r="I489" s="549"/>
      <c r="J489" s="550" t="s">
        <v>102</v>
      </c>
      <c r="K489" s="10">
        <f>data!G1429</f>
        <v>410.98</v>
      </c>
      <c r="L489" s="208" t="s">
        <v>2297</v>
      </c>
      <c r="M489" s="9">
        <f>ROUND(I489*K489,0)</f>
        <v>0</v>
      </c>
      <c r="N489" s="533" t="s">
        <v>2297</v>
      </c>
    </row>
    <row r="490" spans="1:14" ht="71.25" customHeight="1">
      <c r="A490" s="16">
        <v>8</v>
      </c>
      <c r="B490" s="1633" t="s">
        <v>808</v>
      </c>
      <c r="C490" s="1633"/>
      <c r="D490" s="1633"/>
      <c r="E490" s="1633"/>
      <c r="F490" s="1633"/>
      <c r="G490" s="1633"/>
      <c r="H490" s="1633"/>
      <c r="I490" s="534"/>
      <c r="J490" s="535"/>
      <c r="K490" s="16"/>
      <c r="L490" s="208"/>
      <c r="M490" s="38"/>
      <c r="N490" s="533" t="s">
        <v>2308</v>
      </c>
    </row>
    <row r="491" spans="1:14" s="541" customFormat="1" ht="16.5" customHeight="1">
      <c r="A491" s="16"/>
      <c r="B491" s="39" t="s">
        <v>2821</v>
      </c>
      <c r="C491" s="534"/>
      <c r="D491" s="536"/>
      <c r="E491" s="537"/>
      <c r="F491" s="538"/>
      <c r="G491" s="538"/>
      <c r="H491" s="538"/>
      <c r="I491" s="539"/>
      <c r="J491" s="550"/>
      <c r="K491" s="39"/>
      <c r="L491" s="208"/>
      <c r="M491" s="39"/>
      <c r="N491" s="533" t="s">
        <v>2308</v>
      </c>
    </row>
    <row r="492" spans="1:14" s="541" customFormat="1" ht="16.5" customHeight="1">
      <c r="A492" s="16"/>
      <c r="B492" s="39" t="s">
        <v>1542</v>
      </c>
      <c r="C492" s="534">
        <v>1</v>
      </c>
      <c r="D492" s="536" t="s">
        <v>273</v>
      </c>
      <c r="E492" s="537">
        <v>2</v>
      </c>
      <c r="F492" s="538">
        <v>4.6399999999999997</v>
      </c>
      <c r="G492" s="538">
        <v>0</v>
      </c>
      <c r="H492" s="538">
        <v>2.7</v>
      </c>
      <c r="I492" s="574">
        <f>ROUND(IF(AND(F492:H492),C492*E492*F492*G492*H492,IF(AND(F492,G492),C492*E492*F492*G492,IF(AND(F492,H492),C492*E492*F492*H492,IF(AND(G492,H492),C492*E492*G492*H492,IF(F492,C492*E492*F492,IF(G492,C492*E492*G492,IF(H492,C492*E492*H492,C492*E492))))))),2)</f>
        <v>25.06</v>
      </c>
      <c r="J492" s="550" t="s">
        <v>102</v>
      </c>
      <c r="K492" s="39"/>
      <c r="L492" s="208"/>
      <c r="M492" s="39"/>
      <c r="N492" s="533" t="s">
        <v>2308</v>
      </c>
    </row>
    <row r="493" spans="1:14" s="541" customFormat="1" ht="16.5" customHeight="1">
      <c r="A493" s="16"/>
      <c r="B493" s="39" t="s">
        <v>579</v>
      </c>
      <c r="C493" s="534">
        <v>1</v>
      </c>
      <c r="D493" s="536" t="s">
        <v>273</v>
      </c>
      <c r="E493" s="537">
        <v>1</v>
      </c>
      <c r="F493" s="538">
        <v>1.07</v>
      </c>
      <c r="G493" s="538">
        <v>0</v>
      </c>
      <c r="H493" s="538">
        <v>2.12</v>
      </c>
      <c r="I493" s="574">
        <f>-ROUND(IF(AND(F493:H493),C493*E493*F493*G493*H493,IF(AND(F493,G493),C493*E493*F493*G493,IF(AND(F493,H493),C493*E493*F493*H493,IF(AND(G493,H493),C493*E493*G493*H493,IF(F493,C493*E493*F493,IF(G493,C493*E493*G493,IF(H493,C493*E493*H493,C493*E493))))))),2)</f>
        <v>-2.27</v>
      </c>
      <c r="J493" s="550" t="s">
        <v>102</v>
      </c>
      <c r="K493" s="39"/>
      <c r="L493" s="208"/>
      <c r="M493" s="39"/>
      <c r="N493" s="533" t="s">
        <v>2308</v>
      </c>
    </row>
    <row r="494" spans="1:14" s="541" customFormat="1" ht="16.5" customHeight="1">
      <c r="A494" s="16"/>
      <c r="B494" s="39" t="s">
        <v>1490</v>
      </c>
      <c r="C494" s="534">
        <v>1</v>
      </c>
      <c r="D494" s="536" t="s">
        <v>273</v>
      </c>
      <c r="E494" s="537">
        <v>1</v>
      </c>
      <c r="F494" s="538">
        <v>37.799999999999997</v>
      </c>
      <c r="G494" s="538">
        <v>0</v>
      </c>
      <c r="H494" s="538">
        <v>0.88</v>
      </c>
      <c r="I494" s="574">
        <f>ROUND(IF(AND(F494:H494),C494*E494*F494*G494*H494,IF(AND(F494,G494),C494*E494*F494*G494,IF(AND(F494,H494),C494*E494*F494*H494,IF(AND(G494,H494),C494*E494*G494*H494,IF(F494,C494*E494*F494,IF(G494,C494*E494*G494,IF(H494,C494*E494*H494,C494*E494))))))),2)</f>
        <v>33.26</v>
      </c>
      <c r="J494" s="550" t="s">
        <v>102</v>
      </c>
      <c r="K494" s="39"/>
      <c r="L494" s="208"/>
      <c r="M494" s="39"/>
      <c r="N494" s="533" t="s">
        <v>2308</v>
      </c>
    </row>
    <row r="495" spans="1:14" s="541" customFormat="1" ht="16.5" customHeight="1">
      <c r="A495" s="16"/>
      <c r="B495" s="544"/>
      <c r="C495" s="545"/>
      <c r="D495" s="546"/>
      <c r="E495" s="547"/>
      <c r="F495" s="548"/>
      <c r="G495" s="548"/>
      <c r="H495" s="548"/>
      <c r="I495" s="549"/>
      <c r="J495" s="550"/>
      <c r="K495" s="39"/>
      <c r="L495" s="208"/>
      <c r="M495" s="39"/>
      <c r="N495" s="533" t="s">
        <v>2308</v>
      </c>
    </row>
    <row r="496" spans="1:14" ht="15.75">
      <c r="A496" s="16"/>
      <c r="B496" s="39"/>
      <c r="C496" s="551"/>
      <c r="D496" s="552"/>
      <c r="E496" s="537"/>
      <c r="F496" s="538"/>
      <c r="G496" s="40"/>
      <c r="H496" s="16"/>
      <c r="I496" s="549"/>
      <c r="J496" s="550" t="s">
        <v>102</v>
      </c>
      <c r="K496" s="10">
        <f>data!G2346</f>
        <v>436.23</v>
      </c>
      <c r="L496" s="208" t="s">
        <v>2308</v>
      </c>
      <c r="M496" s="9">
        <f>ROUND(I496*K496,0)</f>
        <v>0</v>
      </c>
      <c r="N496" s="533" t="s">
        <v>2308</v>
      </c>
    </row>
    <row r="497" spans="1:14" ht="71.25" customHeight="1">
      <c r="A497" s="16">
        <v>8</v>
      </c>
      <c r="B497" s="1633" t="s">
        <v>808</v>
      </c>
      <c r="C497" s="1633"/>
      <c r="D497" s="1633"/>
      <c r="E497" s="1633"/>
      <c r="F497" s="1633"/>
      <c r="G497" s="1633"/>
      <c r="H497" s="1633"/>
      <c r="I497" s="534"/>
      <c r="J497" s="535"/>
      <c r="K497" s="16"/>
      <c r="L497" s="208"/>
      <c r="M497" s="38"/>
      <c r="N497" s="533" t="s">
        <v>2309</v>
      </c>
    </row>
    <row r="498" spans="1:14" s="541" customFormat="1" ht="16.5" customHeight="1">
      <c r="A498" s="16"/>
      <c r="B498" s="39" t="s">
        <v>3043</v>
      </c>
      <c r="C498" s="558"/>
      <c r="D498" s="559"/>
      <c r="E498" s="560"/>
      <c r="F498" s="561"/>
      <c r="G498" s="561"/>
      <c r="H498" s="561"/>
      <c r="I498" s="562"/>
      <c r="J498" s="550"/>
      <c r="K498" s="39"/>
      <c r="L498" s="208"/>
      <c r="M498" s="39"/>
      <c r="N498" s="533" t="s">
        <v>2309</v>
      </c>
    </row>
    <row r="499" spans="1:14" s="541" customFormat="1" ht="16.5" customHeight="1">
      <c r="A499" s="16"/>
      <c r="B499" s="39"/>
      <c r="C499" s="534">
        <v>1</v>
      </c>
      <c r="D499" s="536" t="s">
        <v>273</v>
      </c>
      <c r="E499" s="537">
        <v>2</v>
      </c>
      <c r="F499" s="538">
        <v>2.72</v>
      </c>
      <c r="G499" s="538">
        <v>0</v>
      </c>
      <c r="H499" s="538">
        <v>2.38</v>
      </c>
      <c r="I499" s="542">
        <f t="shared" ref="I499:I506" si="25">ROUND(IF(AND(F499:H499),C499*E499*F499*G499*H499,IF(AND(F499,G499),C499*E499*F499*G499,IF(AND(F499,H499),C499*E499*F499*H499,IF(AND(G499,H499),C499*E499*G499*H499,IF(F499,C499*E499*F499,IF(G499,C499*E499*G499,IF(H499,C499*E499*H499,C499*E499))))))),2)</f>
        <v>12.95</v>
      </c>
      <c r="J499" s="550" t="s">
        <v>102</v>
      </c>
      <c r="K499" s="39"/>
      <c r="L499" s="208"/>
      <c r="M499" s="39"/>
      <c r="N499" s="533" t="s">
        <v>2309</v>
      </c>
    </row>
    <row r="500" spans="1:14" s="541" customFormat="1" ht="16.5" customHeight="1">
      <c r="A500" s="16"/>
      <c r="B500" s="39"/>
      <c r="C500" s="534">
        <v>1</v>
      </c>
      <c r="D500" s="536" t="s">
        <v>273</v>
      </c>
      <c r="E500" s="537">
        <v>2</v>
      </c>
      <c r="F500" s="538">
        <v>3.16</v>
      </c>
      <c r="G500" s="538">
        <v>0</v>
      </c>
      <c r="H500" s="538">
        <v>2.38</v>
      </c>
      <c r="I500" s="542">
        <f t="shared" si="25"/>
        <v>15.04</v>
      </c>
      <c r="J500" s="550" t="s">
        <v>102</v>
      </c>
      <c r="K500" s="39"/>
      <c r="L500" s="208"/>
      <c r="M500" s="39"/>
      <c r="N500" s="533" t="s">
        <v>2309</v>
      </c>
    </row>
    <row r="501" spans="1:14" s="541" customFormat="1" ht="16.5" customHeight="1">
      <c r="A501" s="16"/>
      <c r="B501" s="39"/>
      <c r="C501" s="534">
        <v>1</v>
      </c>
      <c r="D501" s="536" t="s">
        <v>273</v>
      </c>
      <c r="E501" s="537">
        <v>1</v>
      </c>
      <c r="F501" s="538">
        <v>0.9</v>
      </c>
      <c r="G501" s="538">
        <v>0</v>
      </c>
      <c r="H501" s="538">
        <v>2.1</v>
      </c>
      <c r="I501" s="542">
        <f>-ROUND(IF(AND(F501:H501),C501*E501*F501*G501*H501,IF(AND(F501,G501),C501*E501*F501*G501,IF(AND(F501,H501),C501*E501*F501*H501,IF(AND(G501,H501),C501*E501*G501*H501,IF(F501,C501*E501*F501,IF(G501,C501*E501*G501,IF(H501,C501*E501*H501,C501*E501))))))),2)</f>
        <v>-1.89</v>
      </c>
      <c r="J501" s="550" t="s">
        <v>102</v>
      </c>
      <c r="K501" s="39"/>
      <c r="L501" s="208"/>
      <c r="M501" s="39"/>
      <c r="N501" s="533" t="s">
        <v>2309</v>
      </c>
    </row>
    <row r="502" spans="1:14" s="541" customFormat="1" ht="16.5" customHeight="1">
      <c r="A502" s="16"/>
      <c r="B502" s="39"/>
      <c r="C502" s="534">
        <v>1</v>
      </c>
      <c r="D502" s="536" t="s">
        <v>273</v>
      </c>
      <c r="E502" s="537">
        <v>1</v>
      </c>
      <c r="F502" s="538">
        <v>1.2</v>
      </c>
      <c r="G502" s="538">
        <v>0</v>
      </c>
      <c r="H502" s="538">
        <v>1.1000000000000001</v>
      </c>
      <c r="I502" s="542">
        <f>-ROUND(IF(AND(F502:H502),C502*E502*F502*G502*H502,IF(AND(F502,G502),C502*E502*F502*G502,IF(AND(F502,H502),C502*E502*F502*H502,IF(AND(G502,H502),C502*E502*G502*H502,IF(F502,C502*E502*F502,IF(G502,C502*E502*G502,IF(H502,C502*E502*H502,C502*E502))))))),2)</f>
        <v>-1.32</v>
      </c>
      <c r="J502" s="550" t="s">
        <v>102</v>
      </c>
      <c r="K502" s="39"/>
      <c r="L502" s="208"/>
      <c r="M502" s="39"/>
      <c r="N502" s="533" t="s">
        <v>2309</v>
      </c>
    </row>
    <row r="503" spans="1:14" s="541" customFormat="1" ht="16.5" customHeight="1">
      <c r="A503" s="16"/>
      <c r="B503" s="39"/>
      <c r="C503" s="534">
        <v>1</v>
      </c>
      <c r="D503" s="536" t="s">
        <v>273</v>
      </c>
      <c r="E503" s="537">
        <v>1</v>
      </c>
      <c r="F503" s="538">
        <v>10.050000000000001</v>
      </c>
      <c r="G503" s="538">
        <v>0</v>
      </c>
      <c r="H503" s="538">
        <v>1.9</v>
      </c>
      <c r="I503" s="542">
        <f t="shared" si="25"/>
        <v>19.100000000000001</v>
      </c>
      <c r="J503" s="550" t="s">
        <v>102</v>
      </c>
      <c r="K503" s="39"/>
      <c r="L503" s="208"/>
      <c r="M503" s="39"/>
      <c r="N503" s="533" t="s">
        <v>2309</v>
      </c>
    </row>
    <row r="504" spans="1:14" s="541" customFormat="1" ht="16.5" customHeight="1">
      <c r="A504" s="16"/>
      <c r="B504" s="39"/>
      <c r="C504" s="534">
        <v>1</v>
      </c>
      <c r="D504" s="536" t="s">
        <v>273</v>
      </c>
      <c r="E504" s="537">
        <v>1</v>
      </c>
      <c r="F504" s="538">
        <v>9.1999999999999993</v>
      </c>
      <c r="G504" s="538">
        <v>0</v>
      </c>
      <c r="H504" s="538">
        <v>1.9</v>
      </c>
      <c r="I504" s="542">
        <f t="shared" si="25"/>
        <v>17.48</v>
      </c>
      <c r="J504" s="550" t="s">
        <v>102</v>
      </c>
      <c r="K504" s="39"/>
      <c r="L504" s="208"/>
      <c r="M504" s="39"/>
      <c r="N504" s="533" t="s">
        <v>2309</v>
      </c>
    </row>
    <row r="505" spans="1:14" s="541" customFormat="1" ht="16.5" customHeight="1">
      <c r="A505" s="16"/>
      <c r="B505" s="39"/>
      <c r="C505" s="534">
        <v>1</v>
      </c>
      <c r="D505" s="536" t="s">
        <v>273</v>
      </c>
      <c r="E505" s="537">
        <v>1</v>
      </c>
      <c r="F505" s="538">
        <v>13.7</v>
      </c>
      <c r="G505" s="538">
        <v>0</v>
      </c>
      <c r="H505" s="538">
        <v>1.9</v>
      </c>
      <c r="I505" s="542">
        <f t="shared" si="25"/>
        <v>26.03</v>
      </c>
      <c r="J505" s="550" t="s">
        <v>102</v>
      </c>
      <c r="K505" s="39"/>
      <c r="L505" s="208"/>
      <c r="M505" s="39"/>
      <c r="N505" s="533" t="s">
        <v>2309</v>
      </c>
    </row>
    <row r="506" spans="1:14" s="541" customFormat="1" ht="16.5" customHeight="1">
      <c r="A506" s="16"/>
      <c r="B506" s="39"/>
      <c r="C506" s="534">
        <v>1</v>
      </c>
      <c r="D506" s="536" t="s">
        <v>273</v>
      </c>
      <c r="E506" s="537">
        <v>1</v>
      </c>
      <c r="F506" s="538">
        <v>5.95</v>
      </c>
      <c r="G506" s="538">
        <v>0</v>
      </c>
      <c r="H506" s="538">
        <v>1.9</v>
      </c>
      <c r="I506" s="542">
        <f t="shared" si="25"/>
        <v>11.31</v>
      </c>
      <c r="J506" s="550" t="s">
        <v>102</v>
      </c>
      <c r="K506" s="39"/>
      <c r="L506" s="208"/>
      <c r="M506" s="39"/>
      <c r="N506" s="533" t="s">
        <v>2309</v>
      </c>
    </row>
    <row r="507" spans="1:14" s="541" customFormat="1" ht="16.5" customHeight="1">
      <c r="A507" s="16"/>
      <c r="B507" s="544"/>
      <c r="C507" s="545"/>
      <c r="D507" s="546"/>
      <c r="E507" s="547"/>
      <c r="F507" s="548"/>
      <c r="G507" s="548"/>
      <c r="H507" s="548"/>
      <c r="I507" s="549"/>
      <c r="J507" s="550"/>
      <c r="K507" s="39"/>
      <c r="L507" s="208"/>
      <c r="M507" s="39"/>
      <c r="N507" s="533" t="s">
        <v>2309</v>
      </c>
    </row>
    <row r="508" spans="1:14" ht="15.75">
      <c r="A508" s="16"/>
      <c r="B508" s="39"/>
      <c r="C508" s="551"/>
      <c r="D508" s="552"/>
      <c r="E508" s="537"/>
      <c r="F508" s="538"/>
      <c r="G508" s="40"/>
      <c r="H508" s="16"/>
      <c r="I508" s="549"/>
      <c r="J508" s="550" t="s">
        <v>102</v>
      </c>
      <c r="K508" s="10">
        <f>data!G3263</f>
        <v>464.16</v>
      </c>
      <c r="L508" s="208" t="s">
        <v>2309</v>
      </c>
      <c r="M508" s="9">
        <f>ROUND(I508*K508,0)</f>
        <v>0</v>
      </c>
      <c r="N508" s="533" t="s">
        <v>2309</v>
      </c>
    </row>
    <row r="509" spans="1:14" ht="71.25" customHeight="1">
      <c r="A509" s="16">
        <v>8</v>
      </c>
      <c r="B509" s="1633" t="s">
        <v>316</v>
      </c>
      <c r="C509" s="1633"/>
      <c r="D509" s="1633"/>
      <c r="E509" s="1633"/>
      <c r="F509" s="1633"/>
      <c r="G509" s="1633"/>
      <c r="H509" s="1633"/>
      <c r="I509" s="534"/>
      <c r="J509" s="535"/>
      <c r="K509" s="16"/>
      <c r="L509" s="208"/>
      <c r="M509" s="38"/>
      <c r="N509" s="533" t="s">
        <v>2209</v>
      </c>
    </row>
    <row r="510" spans="1:14" s="541" customFormat="1" ht="15.75">
      <c r="A510" s="16"/>
      <c r="B510" s="39" t="s">
        <v>3016</v>
      </c>
      <c r="C510" s="558"/>
      <c r="D510" s="858" t="s">
        <v>3251</v>
      </c>
      <c r="E510" s="560"/>
      <c r="F510" s="561"/>
      <c r="G510" s="561"/>
      <c r="H510" s="561"/>
      <c r="I510" s="562"/>
      <c r="J510" s="550"/>
      <c r="K510" s="39"/>
      <c r="L510" s="208"/>
      <c r="M510" s="39"/>
      <c r="N510" s="533" t="s">
        <v>2209</v>
      </c>
    </row>
    <row r="511" spans="1:14" s="541" customFormat="1" ht="15.75">
      <c r="A511" s="16"/>
      <c r="B511" s="39" t="s">
        <v>3092</v>
      </c>
      <c r="C511" s="534">
        <v>1</v>
      </c>
      <c r="D511" s="536" t="s">
        <v>273</v>
      </c>
      <c r="E511" s="537">
        <v>2</v>
      </c>
      <c r="F511" s="538">
        <v>4.5</v>
      </c>
      <c r="G511" s="538">
        <v>0</v>
      </c>
      <c r="H511" s="538">
        <v>2.38</v>
      </c>
      <c r="I511" s="542">
        <f t="shared" ref="I511:I512" si="26">ROUND(IF(AND(F511:H511),C511*E511*F511*G511*H511,IF(AND(F511,G511),C511*E511*F511*G511,IF(AND(F511,H511),C511*E511*F511*H511,IF(AND(G511,H511),C511*E511*G511*H511,IF(F511,C511*E511*F511,IF(G511,C511*E511*G511,IF(H511,C511*E511*H511,C511*E511))))))),2)</f>
        <v>21.42</v>
      </c>
      <c r="J511" s="550" t="s">
        <v>102</v>
      </c>
      <c r="K511" s="39"/>
      <c r="L511" s="208"/>
      <c r="M511" s="39"/>
      <c r="N511" s="533" t="s">
        <v>2209</v>
      </c>
    </row>
    <row r="512" spans="1:14" s="541" customFormat="1" ht="15.75">
      <c r="A512" s="16"/>
      <c r="B512" s="39"/>
      <c r="C512" s="534">
        <v>1</v>
      </c>
      <c r="D512" s="536" t="s">
        <v>273</v>
      </c>
      <c r="E512" s="537">
        <v>2</v>
      </c>
      <c r="F512" s="538">
        <v>3.2</v>
      </c>
      <c r="G512" s="538">
        <v>0</v>
      </c>
      <c r="H512" s="538">
        <v>2.38</v>
      </c>
      <c r="I512" s="542">
        <f t="shared" si="26"/>
        <v>15.23</v>
      </c>
      <c r="J512" s="550" t="s">
        <v>102</v>
      </c>
      <c r="K512" s="39"/>
      <c r="L512" s="208"/>
      <c r="M512" s="39"/>
      <c r="N512" s="533" t="s">
        <v>2209</v>
      </c>
    </row>
    <row r="513" spans="1:14" s="541" customFormat="1" ht="15.75">
      <c r="A513" s="16"/>
      <c r="B513" s="39" t="s">
        <v>2500</v>
      </c>
      <c r="C513" s="534">
        <v>1</v>
      </c>
      <c r="D513" s="536" t="s">
        <v>273</v>
      </c>
      <c r="E513" s="537">
        <v>1</v>
      </c>
      <c r="F513" s="538">
        <v>1.2</v>
      </c>
      <c r="G513" s="538">
        <v>0</v>
      </c>
      <c r="H513" s="538">
        <v>1.1000000000000001</v>
      </c>
      <c r="I513" s="542">
        <f>-ROUND(IF(AND(F513:H513),C513*E513*F513*G513*H513,IF(AND(F513,G513),C513*E513*F513*G513,IF(AND(F513,H513),C513*E513*F513*H513,IF(AND(G513,H513),C513*E513*G513*H513,IF(F513,C513*E513*F513,IF(G513,C513*E513*G513,IF(H513,C513*E513*H513,C513*E513))))))),2)</f>
        <v>-1.32</v>
      </c>
      <c r="J513" s="550" t="s">
        <v>102</v>
      </c>
      <c r="K513" s="39"/>
      <c r="L513" s="208"/>
      <c r="M513" s="39"/>
      <c r="N513" s="533" t="s">
        <v>2209</v>
      </c>
    </row>
    <row r="514" spans="1:14" s="541" customFormat="1" ht="15.75">
      <c r="A514" s="16"/>
      <c r="B514" s="544"/>
      <c r="C514" s="545"/>
      <c r="D514" s="546"/>
      <c r="E514" s="547"/>
      <c r="F514" s="548"/>
      <c r="G514" s="548"/>
      <c r="H514" s="548"/>
      <c r="I514" s="549"/>
      <c r="J514" s="550"/>
      <c r="K514" s="39"/>
      <c r="L514" s="208"/>
      <c r="M514" s="39"/>
      <c r="N514" s="533" t="s">
        <v>2209</v>
      </c>
    </row>
    <row r="515" spans="1:14" ht="15.75">
      <c r="A515" s="16"/>
      <c r="B515" s="39"/>
      <c r="C515" s="551"/>
      <c r="D515" s="552"/>
      <c r="E515" s="537"/>
      <c r="F515" s="538"/>
      <c r="G515" s="40"/>
      <c r="H515" s="16"/>
      <c r="I515" s="549"/>
      <c r="J515" s="550" t="s">
        <v>102</v>
      </c>
      <c r="K515" s="10">
        <f>data!G532</f>
        <v>393.56</v>
      </c>
      <c r="L515" s="208" t="s">
        <v>2209</v>
      </c>
      <c r="M515" s="9">
        <f>ROUND(I515*K515,0)</f>
        <v>0</v>
      </c>
      <c r="N515" s="533" t="s">
        <v>2209</v>
      </c>
    </row>
    <row r="516" spans="1:14" ht="71.25" customHeight="1">
      <c r="A516" s="16">
        <v>9</v>
      </c>
      <c r="B516" s="1633" t="s">
        <v>316</v>
      </c>
      <c r="C516" s="1633"/>
      <c r="D516" s="1633"/>
      <c r="E516" s="1633"/>
      <c r="F516" s="1633"/>
      <c r="G516" s="1633"/>
      <c r="H516" s="1633"/>
      <c r="I516" s="534"/>
      <c r="J516" s="535"/>
      <c r="K516" s="16"/>
      <c r="L516" s="208"/>
      <c r="M516" s="38"/>
      <c r="N516" s="533" t="s">
        <v>2297</v>
      </c>
    </row>
    <row r="517" spans="1:14" s="541" customFormat="1" ht="15.75">
      <c r="A517" s="16"/>
      <c r="B517" s="39" t="s">
        <v>2954</v>
      </c>
      <c r="C517" s="534"/>
      <c r="D517" s="536"/>
      <c r="E517" s="537"/>
      <c r="F517" s="538"/>
      <c r="G517" s="538"/>
      <c r="H517" s="538"/>
      <c r="I517" s="539"/>
      <c r="J517" s="550"/>
      <c r="K517" s="39"/>
      <c r="L517" s="208"/>
      <c r="M517" s="39"/>
      <c r="N517" s="533" t="s">
        <v>2297</v>
      </c>
    </row>
    <row r="518" spans="1:14" s="541" customFormat="1" ht="15.75">
      <c r="A518" s="16"/>
      <c r="B518" s="39" t="s">
        <v>2955</v>
      </c>
      <c r="C518" s="534">
        <v>1</v>
      </c>
      <c r="D518" s="536" t="s">
        <v>273</v>
      </c>
      <c r="E518" s="537">
        <v>1</v>
      </c>
      <c r="F518" s="538">
        <v>15.6</v>
      </c>
      <c r="G518" s="538">
        <v>0</v>
      </c>
      <c r="H518" s="538">
        <v>2.4</v>
      </c>
      <c r="I518" s="542">
        <f t="shared" ref="I518" si="27">ROUND(IF(AND(F518:H518),C518*E518*F518*G518*H518,IF(AND(F518,G518),C518*E518*F518*G518,IF(AND(F518,H518),C518*E518*F518*H518,IF(AND(G518,H518),C518*E518*G518*H518,IF(F518,C518*E518*F518,IF(G518,C518*E518*G518,IF(H518,C518*E518*H518,C518*E518))))))),2)</f>
        <v>37.44</v>
      </c>
      <c r="J518" s="550" t="s">
        <v>102</v>
      </c>
      <c r="K518" s="39"/>
      <c r="L518" s="208"/>
      <c r="M518" s="39"/>
      <c r="N518" s="533" t="s">
        <v>2297</v>
      </c>
    </row>
    <row r="519" spans="1:14" s="541" customFormat="1" ht="15.75">
      <c r="A519" s="16"/>
      <c r="B519" s="39" t="s">
        <v>579</v>
      </c>
      <c r="C519" s="534">
        <v>1</v>
      </c>
      <c r="D519" s="536" t="s">
        <v>273</v>
      </c>
      <c r="E519" s="537">
        <v>1</v>
      </c>
      <c r="F519" s="538">
        <v>1.2</v>
      </c>
      <c r="G519" s="538">
        <v>0</v>
      </c>
      <c r="H519" s="538">
        <v>2.1</v>
      </c>
      <c r="I519" s="542">
        <f>-ROUND(IF(AND(F519:H519),C519*E519*F519*G519*H519,IF(AND(F519,G519),C519*E519*F519*G519,IF(AND(F519,H519),C519*E519*F519*H519,IF(AND(G519,H519),C519*E519*G519*H519,IF(F519,C519*E519*F519,IF(G519,C519*E519*G519,IF(H519,C519*E519*H519,C519*E519))))))),2)</f>
        <v>-2.52</v>
      </c>
      <c r="J519" s="550" t="s">
        <v>102</v>
      </c>
      <c r="K519" s="39"/>
      <c r="L519" s="208"/>
      <c r="M519" s="39"/>
      <c r="N519" s="533" t="s">
        <v>2297</v>
      </c>
    </row>
    <row r="520" spans="1:14" s="541" customFormat="1" ht="15.75">
      <c r="A520" s="16"/>
      <c r="B520" s="39" t="s">
        <v>2956</v>
      </c>
      <c r="C520" s="534">
        <v>1</v>
      </c>
      <c r="D520" s="536" t="s">
        <v>273</v>
      </c>
      <c r="E520" s="537">
        <v>1</v>
      </c>
      <c r="F520" s="538">
        <v>1.27</v>
      </c>
      <c r="G520" s="538">
        <v>0</v>
      </c>
      <c r="H520" s="538">
        <v>1.8</v>
      </c>
      <c r="I520" s="542">
        <f>-ROUND(IF(AND(F520:H520),C520*E520*F520*G520*H520,IF(AND(F520,G520),C520*E520*F520*G520,IF(AND(F520,H520),C520*E520*F520*H520,IF(AND(G520,H520),C520*E520*G520*H520,IF(F520,C520*E520*F520,IF(G520,C520*E520*G520,IF(H520,C520*E520*H520,C520*E520))))))),2)</f>
        <v>-2.29</v>
      </c>
      <c r="J520" s="550" t="s">
        <v>102</v>
      </c>
      <c r="K520" s="39"/>
      <c r="L520" s="208"/>
      <c r="M520" s="39"/>
      <c r="N520" s="533" t="s">
        <v>2297</v>
      </c>
    </row>
    <row r="521" spans="1:14" s="541" customFormat="1" ht="15.75">
      <c r="A521" s="16"/>
      <c r="B521" s="39" t="s">
        <v>2926</v>
      </c>
      <c r="C521" s="534">
        <v>1</v>
      </c>
      <c r="D521" s="536" t="s">
        <v>273</v>
      </c>
      <c r="E521" s="537">
        <v>1</v>
      </c>
      <c r="F521" s="538">
        <v>18</v>
      </c>
      <c r="G521" s="538">
        <v>0</v>
      </c>
      <c r="H521" s="538">
        <v>0.125</v>
      </c>
      <c r="I521" s="542">
        <f t="shared" ref="I521" si="28">ROUND(IF(AND(F521:H521),C521*E521*F521*G521*H521,IF(AND(F521,G521),C521*E521*F521*G521,IF(AND(F521,H521),C521*E521*F521*H521,IF(AND(G521,H521),C521*E521*G521*H521,IF(F521,C521*E521*F521,IF(G521,C521*E521*G521,IF(H521,C521*E521*H521,C521*E521))))))),2)</f>
        <v>2.25</v>
      </c>
      <c r="J521" s="550" t="s">
        <v>102</v>
      </c>
      <c r="K521" s="39"/>
      <c r="L521" s="208"/>
      <c r="M521" s="39"/>
      <c r="N521" s="533" t="s">
        <v>2297</v>
      </c>
    </row>
    <row r="522" spans="1:14" s="541" customFormat="1" ht="15.75">
      <c r="A522" s="16"/>
      <c r="B522" s="39" t="s">
        <v>2954</v>
      </c>
      <c r="C522" s="534"/>
      <c r="D522" s="536"/>
      <c r="E522" s="537"/>
      <c r="F522" s="538"/>
      <c r="G522" s="538"/>
      <c r="H522" s="538"/>
      <c r="I522" s="539"/>
      <c r="J522" s="550"/>
      <c r="K522" s="39"/>
      <c r="L522" s="208"/>
      <c r="M522" s="39"/>
      <c r="N522" s="533" t="s">
        <v>2297</v>
      </c>
    </row>
    <row r="523" spans="1:14" s="541" customFormat="1" ht="15.75">
      <c r="A523" s="16"/>
      <c r="B523" s="39" t="s">
        <v>1490</v>
      </c>
      <c r="C523" s="534">
        <v>1</v>
      </c>
      <c r="D523" s="536" t="s">
        <v>273</v>
      </c>
      <c r="E523" s="537">
        <v>2</v>
      </c>
      <c r="F523" s="538">
        <v>41.7</v>
      </c>
      <c r="G523" s="538">
        <v>0</v>
      </c>
      <c r="H523" s="538">
        <v>0.9</v>
      </c>
      <c r="I523" s="542">
        <f t="shared" ref="I523" si="29">ROUND(IF(AND(F523:H523),C523*E523*F523*G523*H523,IF(AND(F523,G523),C523*E523*F523*G523,IF(AND(F523,H523),C523*E523*F523*H523,IF(AND(G523,H523),C523*E523*G523*H523,IF(F523,C523*E523*F523,IF(G523,C523*E523*G523,IF(H523,C523*E523*H523,C523*E523))))))),2)</f>
        <v>75.06</v>
      </c>
      <c r="J523" s="550" t="s">
        <v>102</v>
      </c>
      <c r="K523" s="39"/>
      <c r="L523" s="208"/>
      <c r="M523" s="39"/>
      <c r="N523" s="533" t="s">
        <v>2297</v>
      </c>
    </row>
    <row r="524" spans="1:14" s="541" customFormat="1" ht="15.75">
      <c r="A524" s="16"/>
      <c r="B524" s="544"/>
      <c r="C524" s="545"/>
      <c r="D524" s="546"/>
      <c r="E524" s="547"/>
      <c r="F524" s="548"/>
      <c r="G524" s="548"/>
      <c r="H524" s="548"/>
      <c r="I524" s="549"/>
      <c r="J524" s="550"/>
      <c r="K524" s="39"/>
      <c r="L524" s="208"/>
      <c r="M524" s="39"/>
      <c r="N524" s="533" t="s">
        <v>2297</v>
      </c>
    </row>
    <row r="525" spans="1:14" ht="15.75">
      <c r="A525" s="16"/>
      <c r="B525" s="39"/>
      <c r="C525" s="551"/>
      <c r="D525" s="552"/>
      <c r="E525" s="537"/>
      <c r="F525" s="538"/>
      <c r="G525" s="40"/>
      <c r="H525" s="16"/>
      <c r="I525" s="549"/>
      <c r="J525" s="550" t="s">
        <v>102</v>
      </c>
      <c r="K525" s="10">
        <f>data!G1449</f>
        <v>424.91</v>
      </c>
      <c r="L525" s="208" t="s">
        <v>2297</v>
      </c>
      <c r="M525" s="9">
        <f>ROUND(I525*K525,0)</f>
        <v>0</v>
      </c>
      <c r="N525" s="533" t="s">
        <v>2297</v>
      </c>
    </row>
    <row r="526" spans="1:14" ht="71.25" customHeight="1">
      <c r="A526" s="16">
        <v>9</v>
      </c>
      <c r="B526" s="1633" t="s">
        <v>316</v>
      </c>
      <c r="C526" s="1633"/>
      <c r="D526" s="1633"/>
      <c r="E526" s="1633"/>
      <c r="F526" s="1633"/>
      <c r="G526" s="1633"/>
      <c r="H526" s="1633"/>
      <c r="I526" s="534"/>
      <c r="J526" s="535"/>
      <c r="K526" s="16"/>
      <c r="L526" s="208"/>
      <c r="M526" s="38"/>
      <c r="N526" s="533" t="s">
        <v>2308</v>
      </c>
    </row>
    <row r="527" spans="1:14" s="541" customFormat="1" ht="15.75">
      <c r="A527" s="16"/>
      <c r="B527" s="39" t="s">
        <v>2798</v>
      </c>
      <c r="C527" s="534"/>
      <c r="D527" s="536"/>
      <c r="E527" s="537"/>
      <c r="F527" s="538"/>
      <c r="G527" s="538"/>
      <c r="H527" s="538"/>
      <c r="I527" s="539"/>
      <c r="J527" s="550"/>
      <c r="K527" s="39"/>
      <c r="L527" s="208"/>
      <c r="M527" s="39"/>
      <c r="N527" s="533" t="s">
        <v>2308</v>
      </c>
    </row>
    <row r="528" spans="1:14" s="541" customFormat="1" ht="15.75">
      <c r="A528" s="16"/>
      <c r="B528" s="39"/>
      <c r="C528" s="534">
        <v>1</v>
      </c>
      <c r="D528" s="536" t="s">
        <v>273</v>
      </c>
      <c r="E528" s="537">
        <v>2</v>
      </c>
      <c r="F528" s="538">
        <v>3.25</v>
      </c>
      <c r="G528" s="538">
        <v>0</v>
      </c>
      <c r="H528" s="538">
        <v>2.7</v>
      </c>
      <c r="I528" s="542">
        <f>ROUND(IF(AND(F528:H528),C528*E528*F528*G528*H528,IF(AND(F528,G528),C528*E528*F528*G528,IF(AND(F528,H528),C528*E528*F528*H528,IF(AND(G528,H528),C528*E528*G528*H528,IF(F528,C528*E528*F528,IF(G528,C528*E528*G528,IF(H528,C528*E528*H528,C528*E528))))))),2)</f>
        <v>17.55</v>
      </c>
      <c r="J528" s="550" t="s">
        <v>102</v>
      </c>
      <c r="K528" s="39"/>
      <c r="L528" s="208"/>
      <c r="M528" s="39"/>
      <c r="N528" s="533" t="s">
        <v>2308</v>
      </c>
    </row>
    <row r="529" spans="1:14" s="541" customFormat="1" ht="15.75">
      <c r="A529" s="16"/>
      <c r="B529" s="39"/>
      <c r="C529" s="534">
        <v>1</v>
      </c>
      <c r="D529" s="536" t="s">
        <v>273</v>
      </c>
      <c r="E529" s="537">
        <v>2</v>
      </c>
      <c r="F529" s="538">
        <v>4.74</v>
      </c>
      <c r="G529" s="538">
        <v>0</v>
      </c>
      <c r="H529" s="538">
        <v>2.7</v>
      </c>
      <c r="I529" s="542">
        <f>ROUND(IF(AND(F529:H529),C529*E529*F529*G529*H529,IF(AND(F529,G529),C529*E529*F529*G529,IF(AND(F529,H529),C529*E529*F529*H529,IF(AND(G529,H529),C529*E529*G529*H529,IF(F529,C529*E529*F529,IF(G529,C529*E529*G529,IF(H529,C529*E529*H529,C529*E529))))))),2)</f>
        <v>25.6</v>
      </c>
      <c r="J529" s="550" t="s">
        <v>102</v>
      </c>
      <c r="K529" s="39"/>
      <c r="L529" s="208"/>
      <c r="M529" s="39"/>
      <c r="N529" s="533" t="s">
        <v>2308</v>
      </c>
    </row>
    <row r="530" spans="1:14" s="541" customFormat="1" ht="15.75">
      <c r="A530" s="16"/>
      <c r="B530" s="39" t="s">
        <v>1490</v>
      </c>
      <c r="C530" s="534">
        <v>1</v>
      </c>
      <c r="D530" s="536" t="s">
        <v>273</v>
      </c>
      <c r="E530" s="537">
        <v>1</v>
      </c>
      <c r="F530" s="538">
        <v>1.5</v>
      </c>
      <c r="G530" s="538">
        <v>0</v>
      </c>
      <c r="H530" s="538">
        <v>1.35</v>
      </c>
      <c r="I530" s="542">
        <f>-ROUND(IF(AND(F530:H530),C530*E530*F530*G530*H530,IF(AND(F530,G530),C530*E530*F530*G530,IF(AND(F530,H530),C530*E530*F530*H530,IF(AND(G530,H530),C530*E530*G530*H530,IF(F530,C530*E530*F530,IF(G530,C530*E530*G530,IF(H530,C530*E530*H530,C530*E530))))))),2)</f>
        <v>-2.0299999999999998</v>
      </c>
      <c r="J530" s="550" t="s">
        <v>102</v>
      </c>
      <c r="K530" s="39"/>
      <c r="L530" s="208"/>
      <c r="M530" s="39"/>
      <c r="N530" s="533" t="s">
        <v>2308</v>
      </c>
    </row>
    <row r="531" spans="1:14" s="541" customFormat="1" ht="15.75">
      <c r="A531" s="16"/>
      <c r="B531" s="544"/>
      <c r="C531" s="545"/>
      <c r="D531" s="546"/>
      <c r="E531" s="547"/>
      <c r="F531" s="548"/>
      <c r="G531" s="548"/>
      <c r="H531" s="548"/>
      <c r="I531" s="549"/>
      <c r="J531" s="550"/>
      <c r="K531" s="39"/>
      <c r="L531" s="208"/>
      <c r="M531" s="39"/>
      <c r="N531" s="533" t="s">
        <v>2308</v>
      </c>
    </row>
    <row r="532" spans="1:14" ht="15.75">
      <c r="A532" s="16"/>
      <c r="B532" s="39"/>
      <c r="C532" s="551"/>
      <c r="D532" s="552"/>
      <c r="E532" s="537"/>
      <c r="F532" s="538"/>
      <c r="G532" s="40"/>
      <c r="H532" s="16"/>
      <c r="I532" s="549"/>
      <c r="J532" s="550" t="s">
        <v>102</v>
      </c>
      <c r="K532" s="10">
        <f>data!G2366</f>
        <v>451.54</v>
      </c>
      <c r="L532" s="208" t="s">
        <v>2308</v>
      </c>
      <c r="M532" s="9">
        <f>ROUND(I532*K532,0)</f>
        <v>0</v>
      </c>
      <c r="N532" s="533" t="s">
        <v>2308</v>
      </c>
    </row>
    <row r="533" spans="1:14" ht="71.25" customHeight="1">
      <c r="A533" s="16">
        <v>8</v>
      </c>
      <c r="B533" s="1633" t="s">
        <v>316</v>
      </c>
      <c r="C533" s="1633"/>
      <c r="D533" s="1633"/>
      <c r="E533" s="1633"/>
      <c r="F533" s="1633"/>
      <c r="G533" s="1633"/>
      <c r="H533" s="1633"/>
      <c r="I533" s="534"/>
      <c r="J533" s="535"/>
      <c r="K533" s="16"/>
      <c r="L533" s="208"/>
      <c r="M533" s="38"/>
      <c r="N533" s="533" t="s">
        <v>2309</v>
      </c>
    </row>
    <row r="534" spans="1:14" s="541" customFormat="1" ht="15.75">
      <c r="A534" s="16"/>
      <c r="B534" s="39" t="s">
        <v>3016</v>
      </c>
      <c r="C534" s="558"/>
      <c r="D534" s="858" t="s">
        <v>3251</v>
      </c>
      <c r="E534" s="560"/>
      <c r="F534" s="561"/>
      <c r="G534" s="561"/>
      <c r="H534" s="561"/>
      <c r="I534" s="562"/>
      <c r="J534" s="550"/>
      <c r="K534" s="39"/>
      <c r="L534" s="208"/>
      <c r="M534" s="39"/>
      <c r="N534" s="533" t="s">
        <v>2309</v>
      </c>
    </row>
    <row r="535" spans="1:14" s="541" customFormat="1" ht="15.75">
      <c r="A535" s="16"/>
      <c r="B535" s="39" t="s">
        <v>3092</v>
      </c>
      <c r="C535" s="534">
        <v>1</v>
      </c>
      <c r="D535" s="536" t="s">
        <v>273</v>
      </c>
      <c r="E535" s="537">
        <v>2</v>
      </c>
      <c r="F535" s="538">
        <v>4.5</v>
      </c>
      <c r="G535" s="538">
        <v>0</v>
      </c>
      <c r="H535" s="538">
        <v>2.38</v>
      </c>
      <c r="I535" s="542">
        <f t="shared" ref="I535:I536" si="30">ROUND(IF(AND(F535:H535),C535*E535*F535*G535*H535,IF(AND(F535,G535),C535*E535*F535*G535,IF(AND(F535,H535),C535*E535*F535*H535,IF(AND(G535,H535),C535*E535*G535*H535,IF(F535,C535*E535*F535,IF(G535,C535*E535*G535,IF(H535,C535*E535*H535,C535*E535))))))),2)</f>
        <v>21.42</v>
      </c>
      <c r="J535" s="550" t="s">
        <v>102</v>
      </c>
      <c r="K535" s="39"/>
      <c r="L535" s="208"/>
      <c r="M535" s="39"/>
      <c r="N535" s="533" t="s">
        <v>2309</v>
      </c>
    </row>
    <row r="536" spans="1:14" s="541" customFormat="1" ht="15.75">
      <c r="A536" s="16"/>
      <c r="B536" s="39"/>
      <c r="C536" s="534">
        <v>1</v>
      </c>
      <c r="D536" s="536" t="s">
        <v>273</v>
      </c>
      <c r="E536" s="537">
        <v>2</v>
      </c>
      <c r="F536" s="538">
        <v>3.2</v>
      </c>
      <c r="G536" s="538">
        <v>0</v>
      </c>
      <c r="H536" s="538">
        <v>2.38</v>
      </c>
      <c r="I536" s="542">
        <f t="shared" si="30"/>
        <v>15.23</v>
      </c>
      <c r="J536" s="550" t="s">
        <v>102</v>
      </c>
      <c r="K536" s="39"/>
      <c r="L536" s="208"/>
      <c r="M536" s="39"/>
      <c r="N536" s="533" t="s">
        <v>2309</v>
      </c>
    </row>
    <row r="537" spans="1:14" s="541" customFormat="1" ht="15.75">
      <c r="A537" s="16"/>
      <c r="B537" s="39" t="s">
        <v>2500</v>
      </c>
      <c r="C537" s="534">
        <v>1</v>
      </c>
      <c r="D537" s="536" t="s">
        <v>273</v>
      </c>
      <c r="E537" s="537">
        <v>1</v>
      </c>
      <c r="F537" s="538">
        <v>1.2</v>
      </c>
      <c r="G537" s="538">
        <v>0</v>
      </c>
      <c r="H537" s="538">
        <v>1.1000000000000001</v>
      </c>
      <c r="I537" s="542">
        <f>-ROUND(IF(AND(F537:H537),C537*E537*F537*G537*H537,IF(AND(F537,G537),C537*E537*F537*G537,IF(AND(F537,H537),C537*E537*F537*H537,IF(AND(G537,H537),C537*E537*G537*H537,IF(F537,C537*E537*F537,IF(G537,C537*E537*G537,IF(H537,C537*E537*H537,C537*E537))))))),2)</f>
        <v>-1.32</v>
      </c>
      <c r="J537" s="550" t="s">
        <v>102</v>
      </c>
      <c r="K537" s="39"/>
      <c r="L537" s="208"/>
      <c r="M537" s="39"/>
      <c r="N537" s="533" t="s">
        <v>2309</v>
      </c>
    </row>
    <row r="538" spans="1:14" s="541" customFormat="1" ht="15.75">
      <c r="A538" s="16"/>
      <c r="B538" s="544"/>
      <c r="C538" s="545"/>
      <c r="D538" s="546"/>
      <c r="E538" s="547"/>
      <c r="F538" s="548"/>
      <c r="G538" s="548"/>
      <c r="H538" s="548"/>
      <c r="I538" s="549"/>
      <c r="J538" s="550"/>
      <c r="K538" s="39"/>
      <c r="L538" s="208"/>
      <c r="M538" s="39"/>
      <c r="N538" s="533" t="s">
        <v>2309</v>
      </c>
    </row>
    <row r="539" spans="1:14" ht="15.75">
      <c r="A539" s="16"/>
      <c r="B539" s="39"/>
      <c r="C539" s="551"/>
      <c r="D539" s="552"/>
      <c r="E539" s="537"/>
      <c r="F539" s="538"/>
      <c r="G539" s="40"/>
      <c r="H539" s="16"/>
      <c r="I539" s="549"/>
      <c r="J539" s="550" t="s">
        <v>102</v>
      </c>
      <c r="K539" s="10">
        <f>data!G3283</f>
        <v>479.98</v>
      </c>
      <c r="L539" s="208" t="s">
        <v>2309</v>
      </c>
      <c r="M539" s="9">
        <f>ROUND(I539*K539,0)</f>
        <v>0</v>
      </c>
      <c r="N539" s="533" t="s">
        <v>2309</v>
      </c>
    </row>
    <row r="540" spans="1:14" ht="92.25" customHeight="1">
      <c r="A540" s="16">
        <v>13</v>
      </c>
      <c r="B540" s="1633" t="s">
        <v>1435</v>
      </c>
      <c r="C540" s="1633"/>
      <c r="D540" s="1633"/>
      <c r="E540" s="1633"/>
      <c r="F540" s="1633"/>
      <c r="G540" s="1633"/>
      <c r="H540" s="1633"/>
      <c r="I540" s="534"/>
      <c r="J540" s="535"/>
      <c r="K540" s="16"/>
      <c r="L540" s="208"/>
      <c r="M540" s="38"/>
      <c r="N540" s="533" t="s">
        <v>2209</v>
      </c>
    </row>
    <row r="541" spans="1:14" s="541" customFormat="1" ht="16.5" customHeight="1">
      <c r="A541" s="16"/>
      <c r="B541" s="598" t="s">
        <v>2852</v>
      </c>
      <c r="C541" s="563"/>
      <c r="D541" s="564"/>
      <c r="E541" s="565"/>
      <c r="F541" s="566"/>
      <c r="G541" s="566"/>
      <c r="H541" s="567"/>
      <c r="I541" s="568"/>
      <c r="J541" s="550"/>
      <c r="K541" s="39"/>
      <c r="L541" s="208"/>
      <c r="M541" s="39"/>
      <c r="N541" s="533" t="s">
        <v>2209</v>
      </c>
    </row>
    <row r="542" spans="1:14" s="541" customFormat="1" ht="16.5" customHeight="1">
      <c r="A542" s="16"/>
      <c r="B542" s="544"/>
      <c r="C542" s="545">
        <v>11</v>
      </c>
      <c r="D542" s="546" t="s">
        <v>273</v>
      </c>
      <c r="E542" s="576">
        <v>0.5</v>
      </c>
      <c r="F542" s="548">
        <v>1.8</v>
      </c>
      <c r="G542" s="548">
        <v>0.3</v>
      </c>
      <c r="H542" s="548">
        <v>0.15</v>
      </c>
      <c r="I542" s="549">
        <f>ROUND(IF(AND(F542:H542),C542*E542*F542*G542*H542,IF(AND(F542,G542),C542*E542*F542*G542,IF(AND(F542,H542),C542*E542*F542*H542,IF(AND(G542,H542),C542*E542*G542*H542,IF(F542,C542*E542*F542,IF(G542,C542*E542*G542,IF(H542,C542*E542*H542,C542*E542))))))),2)</f>
        <v>0.45</v>
      </c>
      <c r="J542" s="550" t="s">
        <v>5</v>
      </c>
      <c r="K542" s="39"/>
      <c r="L542" s="208"/>
      <c r="M542" s="39"/>
      <c r="N542" s="533" t="s">
        <v>2209</v>
      </c>
    </row>
    <row r="543" spans="1:14" s="541" customFormat="1" ht="16.5" customHeight="1">
      <c r="A543" s="16"/>
      <c r="B543" s="544"/>
      <c r="C543" s="545"/>
      <c r="D543" s="546"/>
      <c r="E543" s="576"/>
      <c r="F543" s="548"/>
      <c r="G543" s="548"/>
      <c r="H543" s="548"/>
      <c r="I543" s="549"/>
      <c r="J543" s="550"/>
      <c r="K543" s="39"/>
      <c r="L543" s="208"/>
      <c r="M543" s="39"/>
      <c r="N543" s="533" t="s">
        <v>2209</v>
      </c>
    </row>
    <row r="544" spans="1:14" ht="15.75">
      <c r="A544" s="16"/>
      <c r="B544" s="39"/>
      <c r="C544" s="551"/>
      <c r="D544" s="552"/>
      <c r="E544" s="537"/>
      <c r="F544" s="538"/>
      <c r="G544" s="40"/>
      <c r="H544" s="16"/>
      <c r="I544" s="549"/>
      <c r="J544" s="550" t="s">
        <v>5</v>
      </c>
      <c r="K544" s="10">
        <f>data!G272</f>
        <v>5152.2499999999991</v>
      </c>
      <c r="L544" s="208" t="s">
        <v>2209</v>
      </c>
      <c r="M544" s="9">
        <f>ROUND(I544*K544,0)</f>
        <v>0</v>
      </c>
      <c r="N544" s="533" t="s">
        <v>2209</v>
      </c>
    </row>
    <row r="545" spans="1:14" ht="92.25" customHeight="1">
      <c r="A545" s="16">
        <v>13</v>
      </c>
      <c r="B545" s="1633" t="s">
        <v>1435</v>
      </c>
      <c r="C545" s="1633"/>
      <c r="D545" s="1633"/>
      <c r="E545" s="1633"/>
      <c r="F545" s="1633"/>
      <c r="G545" s="1633"/>
      <c r="H545" s="1633"/>
      <c r="I545" s="534"/>
      <c r="J545" s="535"/>
      <c r="K545" s="16"/>
      <c r="L545" s="208"/>
      <c r="M545" s="38"/>
      <c r="N545" s="533" t="s">
        <v>2297</v>
      </c>
    </row>
    <row r="546" spans="1:14" s="541" customFormat="1" ht="16.5" customHeight="1">
      <c r="A546" s="16"/>
      <c r="B546" s="598" t="s">
        <v>2852</v>
      </c>
      <c r="C546" s="563"/>
      <c r="D546" s="564"/>
      <c r="E546" s="565"/>
      <c r="F546" s="566"/>
      <c r="G546" s="566"/>
      <c r="H546" s="567"/>
      <c r="I546" s="568"/>
      <c r="J546" s="550"/>
      <c r="K546" s="39"/>
      <c r="L546" s="208"/>
      <c r="M546" s="39"/>
      <c r="N546" s="533" t="s">
        <v>2297</v>
      </c>
    </row>
    <row r="547" spans="1:14" s="541" customFormat="1" ht="16.5" customHeight="1">
      <c r="A547" s="16"/>
      <c r="B547" s="544"/>
      <c r="C547" s="545">
        <v>11</v>
      </c>
      <c r="D547" s="546" t="s">
        <v>273</v>
      </c>
      <c r="E547" s="576">
        <v>0.5</v>
      </c>
      <c r="F547" s="548">
        <v>1.8</v>
      </c>
      <c r="G547" s="548">
        <v>0.3</v>
      </c>
      <c r="H547" s="548">
        <v>0.15</v>
      </c>
      <c r="I547" s="549">
        <f>ROUND(IF(AND(F547:H547),C547*E547*F547*G547*H547,IF(AND(F547,G547),C547*E547*F547*G547,IF(AND(F547,H547),C547*E547*F547*H547,IF(AND(G547,H547),C547*E547*G547*H547,IF(F547,C547*E547*F547,IF(G547,C547*E547*G547,IF(H547,C547*E547*H547,C547*E547))))))),2)</f>
        <v>0.45</v>
      </c>
      <c r="J547" s="550" t="s">
        <v>5</v>
      </c>
      <c r="K547" s="39"/>
      <c r="L547" s="208"/>
      <c r="M547" s="39"/>
      <c r="N547" s="533" t="s">
        <v>2297</v>
      </c>
    </row>
    <row r="548" spans="1:14" s="541" customFormat="1" ht="16.5" customHeight="1">
      <c r="A548" s="16"/>
      <c r="B548" s="544"/>
      <c r="C548" s="545"/>
      <c r="D548" s="546"/>
      <c r="E548" s="576"/>
      <c r="F548" s="548"/>
      <c r="G548" s="548"/>
      <c r="H548" s="548"/>
      <c r="I548" s="549"/>
      <c r="J548" s="550"/>
      <c r="K548" s="39"/>
      <c r="L548" s="208"/>
      <c r="M548" s="39"/>
      <c r="N548" s="533" t="s">
        <v>2297</v>
      </c>
    </row>
    <row r="549" spans="1:14" ht="15.75">
      <c r="A549" s="16"/>
      <c r="B549" s="39"/>
      <c r="C549" s="551"/>
      <c r="D549" s="552"/>
      <c r="E549" s="537"/>
      <c r="F549" s="538"/>
      <c r="G549" s="40"/>
      <c r="H549" s="16"/>
      <c r="I549" s="549"/>
      <c r="J549" s="550" t="s">
        <v>5</v>
      </c>
      <c r="K549" s="10">
        <f>data!G1188</f>
        <v>5333.72</v>
      </c>
      <c r="L549" s="208" t="s">
        <v>2297</v>
      </c>
      <c r="M549" s="9">
        <f>ROUND(I549*K549,0)</f>
        <v>0</v>
      </c>
      <c r="N549" s="533" t="s">
        <v>2297</v>
      </c>
    </row>
    <row r="550" spans="1:14" ht="92.25" customHeight="1">
      <c r="A550" s="16">
        <v>13</v>
      </c>
      <c r="B550" s="1633" t="s">
        <v>1435</v>
      </c>
      <c r="C550" s="1633"/>
      <c r="D550" s="1633"/>
      <c r="E550" s="1633"/>
      <c r="F550" s="1633"/>
      <c r="G550" s="1633"/>
      <c r="H550" s="1633"/>
      <c r="I550" s="534"/>
      <c r="J550" s="535"/>
      <c r="K550" s="16"/>
      <c r="L550" s="208"/>
      <c r="M550" s="38"/>
      <c r="N550" s="533" t="s">
        <v>2308</v>
      </c>
    </row>
    <row r="551" spans="1:14" s="541" customFormat="1" ht="16.5" customHeight="1">
      <c r="A551" s="16"/>
      <c r="B551" s="598" t="s">
        <v>2852</v>
      </c>
      <c r="C551" s="563"/>
      <c r="D551" s="564"/>
      <c r="E551" s="565"/>
      <c r="F551" s="566"/>
      <c r="G551" s="566"/>
      <c r="H551" s="567"/>
      <c r="I551" s="568"/>
      <c r="J551" s="550"/>
      <c r="K551" s="39"/>
      <c r="L551" s="208"/>
      <c r="M551" s="39"/>
      <c r="N551" s="533" t="s">
        <v>2308</v>
      </c>
    </row>
    <row r="552" spans="1:14" s="541" customFormat="1" ht="16.5" customHeight="1">
      <c r="A552" s="16"/>
      <c r="B552" s="544"/>
      <c r="C552" s="545">
        <v>11</v>
      </c>
      <c r="D552" s="546" t="s">
        <v>273</v>
      </c>
      <c r="E552" s="576">
        <v>0.5</v>
      </c>
      <c r="F552" s="548">
        <v>1.8</v>
      </c>
      <c r="G552" s="548">
        <v>0.3</v>
      </c>
      <c r="H552" s="548">
        <v>0.15</v>
      </c>
      <c r="I552" s="549">
        <f>ROUND(IF(AND(F552:H552),C552*E552*F552*G552*H552,IF(AND(F552,G552),C552*E552*F552*G552,IF(AND(F552,H552),C552*E552*F552*H552,IF(AND(G552,H552),C552*E552*G552*H552,IF(F552,C552*E552*F552,IF(G552,C552*E552*G552,IF(H552,C552*E552*H552,C552*E552))))))),2)</f>
        <v>0.45</v>
      </c>
      <c r="J552" s="550" t="s">
        <v>5</v>
      </c>
      <c r="K552" s="39"/>
      <c r="L552" s="208"/>
      <c r="M552" s="39"/>
      <c r="N552" s="533" t="s">
        <v>2308</v>
      </c>
    </row>
    <row r="553" spans="1:14" s="541" customFormat="1" ht="16.5" customHeight="1">
      <c r="A553" s="16"/>
      <c r="B553" s="544"/>
      <c r="C553" s="545"/>
      <c r="D553" s="546"/>
      <c r="E553" s="576"/>
      <c r="F553" s="548"/>
      <c r="G553" s="548"/>
      <c r="H553" s="548"/>
      <c r="I553" s="549"/>
      <c r="J553" s="550"/>
      <c r="K553" s="39"/>
      <c r="L553" s="208"/>
      <c r="M553" s="39"/>
      <c r="N553" s="533" t="s">
        <v>2308</v>
      </c>
    </row>
    <row r="554" spans="1:14" ht="15.75">
      <c r="A554" s="16"/>
      <c r="B554" s="39"/>
      <c r="C554" s="551"/>
      <c r="D554" s="552"/>
      <c r="E554" s="537"/>
      <c r="F554" s="538"/>
      <c r="G554" s="40"/>
      <c r="H554" s="16"/>
      <c r="I554" s="549"/>
      <c r="J554" s="550" t="s">
        <v>5</v>
      </c>
      <c r="K554" s="10">
        <f>data!G2105</f>
        <v>5579.3200000000006</v>
      </c>
      <c r="L554" s="208" t="s">
        <v>2308</v>
      </c>
      <c r="M554" s="9">
        <f>ROUND(I554*K554,0)</f>
        <v>0</v>
      </c>
      <c r="N554" s="533" t="s">
        <v>2308</v>
      </c>
    </row>
    <row r="555" spans="1:14" ht="92.25" customHeight="1">
      <c r="A555" s="16">
        <v>13</v>
      </c>
      <c r="B555" s="1633" t="s">
        <v>1435</v>
      </c>
      <c r="C555" s="1633"/>
      <c r="D555" s="1633"/>
      <c r="E555" s="1633"/>
      <c r="F555" s="1633"/>
      <c r="G555" s="1633"/>
      <c r="H555" s="1633"/>
      <c r="I555" s="534"/>
      <c r="J555" s="535"/>
      <c r="K555" s="16"/>
      <c r="L555" s="208"/>
      <c r="M555" s="38"/>
      <c r="N555" s="533" t="s">
        <v>2309</v>
      </c>
    </row>
    <row r="556" spans="1:14" s="541" customFormat="1" ht="16.5" customHeight="1">
      <c r="A556" s="16"/>
      <c r="B556" s="598" t="s">
        <v>2852</v>
      </c>
      <c r="C556" s="563"/>
      <c r="D556" s="564"/>
      <c r="E556" s="565"/>
      <c r="F556" s="566"/>
      <c r="G556" s="566"/>
      <c r="H556" s="567"/>
      <c r="I556" s="568"/>
      <c r="J556" s="550"/>
      <c r="K556" s="39"/>
      <c r="L556" s="208"/>
      <c r="M556" s="39"/>
      <c r="N556" s="533" t="s">
        <v>2309</v>
      </c>
    </row>
    <row r="557" spans="1:14" s="541" customFormat="1" ht="16.5" customHeight="1">
      <c r="A557" s="16"/>
      <c r="B557" s="544"/>
      <c r="C557" s="545">
        <v>11</v>
      </c>
      <c r="D557" s="546" t="s">
        <v>273</v>
      </c>
      <c r="E557" s="576">
        <v>0.5</v>
      </c>
      <c r="F557" s="548">
        <v>1.8</v>
      </c>
      <c r="G557" s="548">
        <v>0.3</v>
      </c>
      <c r="H557" s="548">
        <v>0.15</v>
      </c>
      <c r="I557" s="549">
        <f>ROUND(IF(AND(F557:H557),C557*E557*F557*G557*H557,IF(AND(F557,G557),C557*E557*F557*G557,IF(AND(F557,H557),C557*E557*F557*H557,IF(AND(G557,H557),C557*E557*G557*H557,IF(F557,C557*E557*F557,IF(G557,C557*E557*G557,IF(H557,C557*E557*H557,C557*E557))))))),2)</f>
        <v>0.45</v>
      </c>
      <c r="J557" s="550" t="s">
        <v>5</v>
      </c>
      <c r="K557" s="39"/>
      <c r="L557" s="208"/>
      <c r="M557" s="39"/>
      <c r="N557" s="533" t="s">
        <v>2309</v>
      </c>
    </row>
    <row r="558" spans="1:14" s="541" customFormat="1" ht="16.5" customHeight="1">
      <c r="A558" s="16"/>
      <c r="B558" s="544"/>
      <c r="C558" s="545"/>
      <c r="D558" s="546"/>
      <c r="E558" s="576"/>
      <c r="F558" s="548"/>
      <c r="G558" s="548"/>
      <c r="H558" s="548"/>
      <c r="I558" s="549"/>
      <c r="J558" s="550"/>
      <c r="K558" s="39"/>
      <c r="L558" s="208"/>
      <c r="M558" s="39"/>
      <c r="N558" s="533" t="s">
        <v>2309</v>
      </c>
    </row>
    <row r="559" spans="1:14" ht="15.75">
      <c r="A559" s="16"/>
      <c r="B559" s="39"/>
      <c r="C559" s="551"/>
      <c r="D559" s="552"/>
      <c r="E559" s="537"/>
      <c r="F559" s="538"/>
      <c r="G559" s="40"/>
      <c r="H559" s="16"/>
      <c r="I559" s="549"/>
      <c r="J559" s="550" t="s">
        <v>5</v>
      </c>
      <c r="K559" s="10">
        <f>data!G3022</f>
        <v>5843.9400000000005</v>
      </c>
      <c r="L559" s="208" t="s">
        <v>2309</v>
      </c>
      <c r="M559" s="9">
        <f>ROUND(I559*K559,0)</f>
        <v>0</v>
      </c>
      <c r="N559" s="533" t="s">
        <v>2309</v>
      </c>
    </row>
    <row r="560" spans="1:14" ht="106.5" customHeight="1">
      <c r="A560" s="16">
        <v>10</v>
      </c>
      <c r="B560" s="1633" t="s">
        <v>212</v>
      </c>
      <c r="C560" s="1633"/>
      <c r="D560" s="1633"/>
      <c r="E560" s="1633"/>
      <c r="F560" s="1633"/>
      <c r="G560" s="1633"/>
      <c r="H560" s="1633"/>
      <c r="I560" s="534"/>
      <c r="J560" s="535"/>
      <c r="K560" s="16"/>
      <c r="L560" s="208"/>
      <c r="M560" s="38"/>
      <c r="N560" s="533" t="s">
        <v>2209</v>
      </c>
    </row>
    <row r="561" spans="1:14" s="541" customFormat="1" ht="16.5" customHeight="1">
      <c r="A561" s="16"/>
      <c r="B561" s="39" t="s">
        <v>2853</v>
      </c>
      <c r="C561" s="563"/>
      <c r="D561" s="564"/>
      <c r="E561" s="565"/>
      <c r="F561" s="566"/>
      <c r="G561" s="566"/>
      <c r="H561" s="567"/>
      <c r="I561" s="568"/>
      <c r="J561" s="550"/>
      <c r="K561" s="39"/>
      <c r="L561" s="16"/>
      <c r="M561" s="39"/>
      <c r="N561" s="533" t="s">
        <v>2209</v>
      </c>
    </row>
    <row r="562" spans="1:14" s="541" customFormat="1" ht="16.5" customHeight="1">
      <c r="A562" s="16"/>
      <c r="B562" s="544" t="s">
        <v>1629</v>
      </c>
      <c r="C562" s="545">
        <v>1</v>
      </c>
      <c r="D562" s="546" t="s">
        <v>273</v>
      </c>
      <c r="E562" s="547">
        <v>1</v>
      </c>
      <c r="F562" s="548">
        <v>4</v>
      </c>
      <c r="G562" s="548">
        <v>2.57</v>
      </c>
      <c r="H562" s="548">
        <v>0</v>
      </c>
      <c r="I562" s="549">
        <f>ROUND(IF(AND(F562:H562),C562*E562*F562*G562*H562,IF(AND(F562,G562),C562*E562*F562*G562,IF(AND(F562,H562),C562*E562*F562*H562,IF(AND(G562,H562),C562*E562*G562*H562,IF(F562,C562*E562*F562,IF(G562,C562*E562*G562,IF(H562,C562*E562*H562,C562*E562))))))),2)</f>
        <v>10.28</v>
      </c>
      <c r="J562" s="550" t="s">
        <v>102</v>
      </c>
      <c r="K562" s="39"/>
      <c r="L562" s="16"/>
      <c r="M562" s="39"/>
      <c r="N562" s="533" t="s">
        <v>2209</v>
      </c>
    </row>
    <row r="563" spans="1:14" s="541" customFormat="1" ht="16.5" customHeight="1">
      <c r="A563" s="16"/>
      <c r="B563" s="544" t="s">
        <v>281</v>
      </c>
      <c r="C563" s="545">
        <v>1</v>
      </c>
      <c r="D563" s="546" t="s">
        <v>273</v>
      </c>
      <c r="E563" s="547">
        <v>2</v>
      </c>
      <c r="F563" s="548">
        <v>0.44</v>
      </c>
      <c r="G563" s="548">
        <v>0.26</v>
      </c>
      <c r="H563" s="548">
        <v>0</v>
      </c>
      <c r="I563" s="549">
        <f>-ROUND(IF(AND(F563:H563),C563*E563*F563*G563*H563,IF(AND(F563,G563),C563*E563*F563*G563,IF(AND(F563,H563),C563*E563*F563*H563,IF(AND(G563,H563),C563*E563*G563*H563,IF(F563,C563*E563*F563,IF(G563,C563*E563*G563,IF(H563,C563*E563*H563,C563*E563))))))),2)</f>
        <v>-0.23</v>
      </c>
      <c r="J563" s="550" t="s">
        <v>102</v>
      </c>
      <c r="K563" s="39"/>
      <c r="L563" s="16"/>
      <c r="M563" s="39"/>
      <c r="N563" s="533" t="s">
        <v>2209</v>
      </c>
    </row>
    <row r="564" spans="1:14" s="541" customFormat="1" ht="16.5" customHeight="1">
      <c r="A564" s="16"/>
      <c r="B564" s="544"/>
      <c r="C564" s="545"/>
      <c r="D564" s="546"/>
      <c r="E564" s="547"/>
      <c r="F564" s="548"/>
      <c r="G564" s="548"/>
      <c r="H564" s="548"/>
      <c r="I564" s="549"/>
      <c r="J564" s="550"/>
      <c r="K564" s="39"/>
      <c r="L564" s="208"/>
      <c r="M564" s="39"/>
      <c r="N564" s="533" t="s">
        <v>2209</v>
      </c>
    </row>
    <row r="565" spans="1:14" ht="15.75">
      <c r="A565" s="16"/>
      <c r="B565" s="39"/>
      <c r="C565" s="551"/>
      <c r="D565" s="552"/>
      <c r="E565" s="537"/>
      <c r="F565" s="538"/>
      <c r="G565" s="40"/>
      <c r="H565" s="16"/>
      <c r="I565" s="549"/>
      <c r="J565" s="550" t="s">
        <v>102</v>
      </c>
      <c r="K565" s="10">
        <f>data!G680</f>
        <v>1048.97</v>
      </c>
      <c r="L565" s="208" t="s">
        <v>2209</v>
      </c>
      <c r="M565" s="9">
        <f>ROUND(I565*K565,0)</f>
        <v>0</v>
      </c>
      <c r="N565" s="533" t="s">
        <v>2209</v>
      </c>
    </row>
    <row r="566" spans="1:14" ht="106.5" customHeight="1">
      <c r="A566" s="16">
        <v>10</v>
      </c>
      <c r="B566" s="1633" t="s">
        <v>212</v>
      </c>
      <c r="C566" s="1633"/>
      <c r="D566" s="1633"/>
      <c r="E566" s="1633"/>
      <c r="F566" s="1633"/>
      <c r="G566" s="1633"/>
      <c r="H566" s="1633"/>
      <c r="I566" s="534"/>
      <c r="J566" s="535"/>
      <c r="K566" s="16"/>
      <c r="L566" s="208"/>
      <c r="M566" s="38"/>
      <c r="N566" s="533" t="s">
        <v>2297</v>
      </c>
    </row>
    <row r="567" spans="1:14" s="541" customFormat="1" ht="16.5" customHeight="1">
      <c r="A567" s="16"/>
      <c r="B567" s="39" t="s">
        <v>2853</v>
      </c>
      <c r="C567" s="563"/>
      <c r="D567" s="564"/>
      <c r="E567" s="565"/>
      <c r="F567" s="566"/>
      <c r="G567" s="566"/>
      <c r="H567" s="567"/>
      <c r="I567" s="568"/>
      <c r="J567" s="550"/>
      <c r="K567" s="39"/>
      <c r="L567" s="16"/>
      <c r="M567" s="39"/>
      <c r="N567" s="533" t="s">
        <v>2297</v>
      </c>
    </row>
    <row r="568" spans="1:14" s="541" customFormat="1" ht="16.5" customHeight="1">
      <c r="A568" s="16"/>
      <c r="B568" s="544" t="s">
        <v>1629</v>
      </c>
      <c r="C568" s="545">
        <v>1</v>
      </c>
      <c r="D568" s="546" t="s">
        <v>273</v>
      </c>
      <c r="E568" s="547">
        <v>1</v>
      </c>
      <c r="F568" s="548">
        <v>4</v>
      </c>
      <c r="G568" s="548">
        <v>2.57</v>
      </c>
      <c r="H568" s="548">
        <v>0</v>
      </c>
      <c r="I568" s="549">
        <f>ROUND(IF(AND(F568:H568),C568*E568*F568*G568*H568,IF(AND(F568,G568),C568*E568*F568*G568,IF(AND(F568,H568),C568*E568*F568*H568,IF(AND(G568,H568),C568*E568*G568*H568,IF(F568,C568*E568*F568,IF(G568,C568*E568*G568,IF(H568,C568*E568*H568,C568*E568))))))),2)</f>
        <v>10.28</v>
      </c>
      <c r="J568" s="550" t="s">
        <v>102</v>
      </c>
      <c r="K568" s="39"/>
      <c r="L568" s="16"/>
      <c r="M568" s="39"/>
      <c r="N568" s="533" t="s">
        <v>2297</v>
      </c>
    </row>
    <row r="569" spans="1:14" s="541" customFormat="1" ht="16.5" customHeight="1">
      <c r="A569" s="16"/>
      <c r="B569" s="544" t="s">
        <v>281</v>
      </c>
      <c r="C569" s="545">
        <v>1</v>
      </c>
      <c r="D569" s="546" t="s">
        <v>273</v>
      </c>
      <c r="E569" s="547">
        <v>2</v>
      </c>
      <c r="F569" s="548">
        <v>0.44</v>
      </c>
      <c r="G569" s="548">
        <v>0.26</v>
      </c>
      <c r="H569" s="548">
        <v>0</v>
      </c>
      <c r="I569" s="549">
        <f>-ROUND(IF(AND(F569:H569),C569*E569*F569*G569*H569,IF(AND(F569,G569),C569*E569*F569*G569,IF(AND(F569,H569),C569*E569*F569*H569,IF(AND(G569,H569),C569*E569*G569*H569,IF(F569,C569*E569*F569,IF(G569,C569*E569*G569,IF(H569,C569*E569*H569,C569*E569))))))),2)</f>
        <v>-0.23</v>
      </c>
      <c r="J569" s="550" t="s">
        <v>102</v>
      </c>
      <c r="K569" s="39"/>
      <c r="L569" s="16"/>
      <c r="M569" s="39"/>
      <c r="N569" s="533" t="s">
        <v>2297</v>
      </c>
    </row>
    <row r="570" spans="1:14" s="541" customFormat="1" ht="16.5" customHeight="1">
      <c r="A570" s="16"/>
      <c r="B570" s="544"/>
      <c r="C570" s="545"/>
      <c r="D570" s="546"/>
      <c r="E570" s="547"/>
      <c r="F570" s="548"/>
      <c r="G570" s="548"/>
      <c r="H570" s="548"/>
      <c r="I570" s="549"/>
      <c r="J570" s="550"/>
      <c r="K570" s="39"/>
      <c r="L570" s="208"/>
      <c r="M570" s="39"/>
      <c r="N570" s="533" t="s">
        <v>2297</v>
      </c>
    </row>
    <row r="571" spans="1:14" ht="15.75">
      <c r="A571" s="16"/>
      <c r="B571" s="39"/>
      <c r="C571" s="551"/>
      <c r="D571" s="552"/>
      <c r="E571" s="537"/>
      <c r="F571" s="538"/>
      <c r="G571" s="40"/>
      <c r="H571" s="16"/>
      <c r="I571" s="549"/>
      <c r="J571" s="550" t="s">
        <v>102</v>
      </c>
      <c r="K571" s="10">
        <f>data!G1597</f>
        <v>1082.75</v>
      </c>
      <c r="L571" s="208" t="s">
        <v>2297</v>
      </c>
      <c r="M571" s="9">
        <f>ROUND(I571*K571,0)</f>
        <v>0</v>
      </c>
      <c r="N571" s="533" t="s">
        <v>2297</v>
      </c>
    </row>
    <row r="572" spans="1:14" ht="106.5" customHeight="1">
      <c r="A572" s="16">
        <v>10</v>
      </c>
      <c r="B572" s="1633" t="s">
        <v>212</v>
      </c>
      <c r="C572" s="1633"/>
      <c r="D572" s="1633"/>
      <c r="E572" s="1633"/>
      <c r="F572" s="1633"/>
      <c r="G572" s="1633"/>
      <c r="H572" s="1633"/>
      <c r="I572" s="534"/>
      <c r="J572" s="535"/>
      <c r="K572" s="16"/>
      <c r="L572" s="208"/>
      <c r="M572" s="38"/>
      <c r="N572" s="533" t="s">
        <v>2308</v>
      </c>
    </row>
    <row r="573" spans="1:14" s="541" customFormat="1" ht="16.5" customHeight="1">
      <c r="A573" s="16"/>
      <c r="B573" s="39" t="s">
        <v>2853</v>
      </c>
      <c r="C573" s="563"/>
      <c r="D573" s="564"/>
      <c r="E573" s="565"/>
      <c r="F573" s="566"/>
      <c r="G573" s="566"/>
      <c r="H573" s="567"/>
      <c r="I573" s="568"/>
      <c r="J573" s="550"/>
      <c r="K573" s="39"/>
      <c r="L573" s="16"/>
      <c r="M573" s="39"/>
      <c r="N573" s="533" t="s">
        <v>2308</v>
      </c>
    </row>
    <row r="574" spans="1:14" s="541" customFormat="1" ht="16.5" customHeight="1">
      <c r="A574" s="16"/>
      <c r="B574" s="544" t="s">
        <v>1629</v>
      </c>
      <c r="C574" s="545">
        <v>1</v>
      </c>
      <c r="D574" s="546" t="s">
        <v>273</v>
      </c>
      <c r="E574" s="547">
        <v>1</v>
      </c>
      <c r="F574" s="548">
        <v>4</v>
      </c>
      <c r="G574" s="548">
        <v>2.57</v>
      </c>
      <c r="H574" s="548">
        <v>0</v>
      </c>
      <c r="I574" s="549">
        <f>ROUND(IF(AND(F574:H574),C574*E574*F574*G574*H574,IF(AND(F574,G574),C574*E574*F574*G574,IF(AND(F574,H574),C574*E574*F574*H574,IF(AND(G574,H574),C574*E574*G574*H574,IF(F574,C574*E574*F574,IF(G574,C574*E574*G574,IF(H574,C574*E574*H574,C574*E574))))))),2)</f>
        <v>10.28</v>
      </c>
      <c r="J574" s="550" t="s">
        <v>102</v>
      </c>
      <c r="K574" s="39"/>
      <c r="L574" s="16"/>
      <c r="M574" s="39"/>
      <c r="N574" s="533" t="s">
        <v>2308</v>
      </c>
    </row>
    <row r="575" spans="1:14" s="541" customFormat="1" ht="16.5" customHeight="1">
      <c r="A575" s="16"/>
      <c r="B575" s="544" t="s">
        <v>281</v>
      </c>
      <c r="C575" s="545">
        <v>1</v>
      </c>
      <c r="D575" s="546" t="s">
        <v>273</v>
      </c>
      <c r="E575" s="547">
        <v>2</v>
      </c>
      <c r="F575" s="548">
        <v>0.44</v>
      </c>
      <c r="G575" s="548">
        <v>0.26</v>
      </c>
      <c r="H575" s="548">
        <v>0</v>
      </c>
      <c r="I575" s="549">
        <f>-ROUND(IF(AND(F575:H575),C575*E575*F575*G575*H575,IF(AND(F575,G575),C575*E575*F575*G575,IF(AND(F575,H575),C575*E575*F575*H575,IF(AND(G575,H575),C575*E575*G575*H575,IF(F575,C575*E575*F575,IF(G575,C575*E575*G575,IF(H575,C575*E575*H575,C575*E575))))))),2)</f>
        <v>-0.23</v>
      </c>
      <c r="J575" s="550" t="s">
        <v>102</v>
      </c>
      <c r="K575" s="39"/>
      <c r="L575" s="16"/>
      <c r="M575" s="39"/>
      <c r="N575" s="533" t="s">
        <v>2308</v>
      </c>
    </row>
    <row r="576" spans="1:14" s="541" customFormat="1" ht="16.5" customHeight="1">
      <c r="A576" s="16"/>
      <c r="B576" s="544"/>
      <c r="C576" s="545"/>
      <c r="D576" s="546"/>
      <c r="E576" s="547"/>
      <c r="F576" s="548"/>
      <c r="G576" s="548"/>
      <c r="H576" s="548"/>
      <c r="I576" s="549"/>
      <c r="J576" s="550"/>
      <c r="K576" s="39"/>
      <c r="L576" s="208"/>
      <c r="M576" s="39"/>
      <c r="N576" s="533" t="s">
        <v>2308</v>
      </c>
    </row>
    <row r="577" spans="1:14" ht="15.75">
      <c r="A577" s="16"/>
      <c r="B577" s="39"/>
      <c r="C577" s="551"/>
      <c r="D577" s="552"/>
      <c r="E577" s="537"/>
      <c r="F577" s="538"/>
      <c r="G577" s="40"/>
      <c r="H577" s="16"/>
      <c r="I577" s="549"/>
      <c r="J577" s="550" t="s">
        <v>102</v>
      </c>
      <c r="K577" s="10">
        <f>data!G2514</f>
        <v>1108.3499999999999</v>
      </c>
      <c r="L577" s="208" t="s">
        <v>2308</v>
      </c>
      <c r="M577" s="9">
        <f>ROUND(I577*K577,0)</f>
        <v>0</v>
      </c>
      <c r="N577" s="533" t="s">
        <v>2308</v>
      </c>
    </row>
    <row r="578" spans="1:14" ht="106.5" customHeight="1">
      <c r="A578" s="16">
        <v>10</v>
      </c>
      <c r="B578" s="1633" t="s">
        <v>212</v>
      </c>
      <c r="C578" s="1633"/>
      <c r="D578" s="1633"/>
      <c r="E578" s="1633"/>
      <c r="F578" s="1633"/>
      <c r="G578" s="1633"/>
      <c r="H578" s="1633"/>
      <c r="I578" s="534"/>
      <c r="J578" s="535"/>
      <c r="K578" s="16"/>
      <c r="L578" s="208"/>
      <c r="M578" s="38"/>
      <c r="N578" s="533" t="s">
        <v>2309</v>
      </c>
    </row>
    <row r="579" spans="1:14" s="541" customFormat="1" ht="16.5" customHeight="1">
      <c r="A579" s="16"/>
      <c r="B579" s="39" t="s">
        <v>2853</v>
      </c>
      <c r="C579" s="563"/>
      <c r="D579" s="564"/>
      <c r="E579" s="565"/>
      <c r="F579" s="566"/>
      <c r="G579" s="566"/>
      <c r="H579" s="567"/>
      <c r="I579" s="568"/>
      <c r="J579" s="550"/>
      <c r="K579" s="39"/>
      <c r="L579" s="16"/>
      <c r="M579" s="39"/>
      <c r="N579" s="533" t="s">
        <v>2309</v>
      </c>
    </row>
    <row r="580" spans="1:14" s="541" customFormat="1" ht="16.5" customHeight="1">
      <c r="A580" s="16"/>
      <c r="B580" s="544" t="s">
        <v>1629</v>
      </c>
      <c r="C580" s="545">
        <v>1</v>
      </c>
      <c r="D580" s="546" t="s">
        <v>273</v>
      </c>
      <c r="E580" s="547">
        <v>1</v>
      </c>
      <c r="F580" s="548">
        <v>4</v>
      </c>
      <c r="G580" s="548">
        <v>2.57</v>
      </c>
      <c r="H580" s="548">
        <v>0</v>
      </c>
      <c r="I580" s="549">
        <f>ROUND(IF(AND(F580:H580),C580*E580*F580*G580*H580,IF(AND(F580,G580),C580*E580*F580*G580,IF(AND(F580,H580),C580*E580*F580*H580,IF(AND(G580,H580),C580*E580*G580*H580,IF(F580,C580*E580*F580,IF(G580,C580*E580*G580,IF(H580,C580*E580*H580,C580*E580))))))),2)</f>
        <v>10.28</v>
      </c>
      <c r="J580" s="550" t="s">
        <v>102</v>
      </c>
      <c r="K580" s="39"/>
      <c r="L580" s="16"/>
      <c r="M580" s="39"/>
      <c r="N580" s="533" t="s">
        <v>2309</v>
      </c>
    </row>
    <row r="581" spans="1:14" s="541" customFormat="1" ht="16.5" customHeight="1">
      <c r="A581" s="16"/>
      <c r="B581" s="544" t="s">
        <v>281</v>
      </c>
      <c r="C581" s="545">
        <v>1</v>
      </c>
      <c r="D581" s="546" t="s">
        <v>273</v>
      </c>
      <c r="E581" s="547">
        <v>2</v>
      </c>
      <c r="F581" s="548">
        <v>0.44</v>
      </c>
      <c r="G581" s="548">
        <v>0.26</v>
      </c>
      <c r="H581" s="548">
        <v>0</v>
      </c>
      <c r="I581" s="549">
        <f>-ROUND(IF(AND(F581:H581),C581*E581*F581*G581*H581,IF(AND(F581,G581),C581*E581*F581*G581,IF(AND(F581,H581),C581*E581*F581*H581,IF(AND(G581,H581),C581*E581*G581*H581,IF(F581,C581*E581*F581,IF(G581,C581*E581*G581,IF(H581,C581*E581*H581,C581*E581))))))),2)</f>
        <v>-0.23</v>
      </c>
      <c r="J581" s="550" t="s">
        <v>102</v>
      </c>
      <c r="K581" s="39"/>
      <c r="L581" s="16"/>
      <c r="M581" s="39"/>
      <c r="N581" s="533" t="s">
        <v>2309</v>
      </c>
    </row>
    <row r="582" spans="1:14" s="541" customFormat="1" ht="16.5" customHeight="1">
      <c r="A582" s="16"/>
      <c r="B582" s="544"/>
      <c r="C582" s="545"/>
      <c r="D582" s="546"/>
      <c r="E582" s="547"/>
      <c r="F582" s="548"/>
      <c r="G582" s="548"/>
      <c r="H582" s="548"/>
      <c r="I582" s="549"/>
      <c r="J582" s="550"/>
      <c r="K582" s="39"/>
      <c r="L582" s="208"/>
      <c r="M582" s="39"/>
      <c r="N582" s="533" t="s">
        <v>2309</v>
      </c>
    </row>
    <row r="583" spans="1:14" ht="15.75">
      <c r="A583" s="16"/>
      <c r="B583" s="39"/>
      <c r="C583" s="551"/>
      <c r="D583" s="552"/>
      <c r="E583" s="537"/>
      <c r="F583" s="538"/>
      <c r="G583" s="40"/>
      <c r="H583" s="16"/>
      <c r="I583" s="549"/>
      <c r="J583" s="550" t="s">
        <v>102</v>
      </c>
      <c r="K583" s="10">
        <f>data!G3431</f>
        <v>1139.42</v>
      </c>
      <c r="L583" s="208" t="s">
        <v>2309</v>
      </c>
      <c r="M583" s="9">
        <f>ROUND(I583*K583,0)</f>
        <v>0</v>
      </c>
      <c r="N583" s="533" t="s">
        <v>2309</v>
      </c>
    </row>
    <row r="584" spans="1:14" ht="79.5" customHeight="1">
      <c r="A584" s="16">
        <v>25</v>
      </c>
      <c r="B584" s="1633" t="s">
        <v>213</v>
      </c>
      <c r="C584" s="1633"/>
      <c r="D584" s="1633"/>
      <c r="E584" s="1633"/>
      <c r="F584" s="1633"/>
      <c r="G584" s="1633"/>
      <c r="H584" s="1633"/>
      <c r="I584" s="534"/>
      <c r="J584" s="535"/>
      <c r="K584" s="16"/>
      <c r="L584" s="208"/>
      <c r="M584" s="38"/>
      <c r="N584" s="533" t="s">
        <v>2209</v>
      </c>
    </row>
    <row r="585" spans="1:14" s="541" customFormat="1" ht="16.5" customHeight="1">
      <c r="A585" s="16"/>
      <c r="B585" s="39" t="s">
        <v>2793</v>
      </c>
      <c r="C585" s="563"/>
      <c r="D585" s="564"/>
      <c r="E585" s="565"/>
      <c r="F585" s="566"/>
      <c r="G585" s="566"/>
      <c r="H585" s="567"/>
      <c r="I585" s="568"/>
      <c r="J585" s="550"/>
      <c r="K585" s="39"/>
      <c r="L585" s="208"/>
      <c r="M585" s="39"/>
      <c r="N585" s="533" t="s">
        <v>2209</v>
      </c>
    </row>
    <row r="586" spans="1:14" s="541" customFormat="1" ht="16.5" customHeight="1">
      <c r="A586" s="16"/>
      <c r="B586" s="544" t="s">
        <v>1247</v>
      </c>
      <c r="C586" s="545">
        <v>1</v>
      </c>
      <c r="D586" s="546" t="s">
        <v>273</v>
      </c>
      <c r="E586" s="547">
        <v>1</v>
      </c>
      <c r="F586" s="548">
        <v>26.94</v>
      </c>
      <c r="G586" s="548">
        <v>0</v>
      </c>
      <c r="H586" s="548">
        <v>0.1</v>
      </c>
      <c r="I586" s="549">
        <f>ROUND(IF(AND(F586:H586),C586*E586*F586*G586*H586,IF(AND(F586,G586),C586*E586*F586*G586,IF(AND(F586,H586),C586*E586*F586*H586,IF(AND(G586,H586),C586*E586*G586*H586,IF(F586,C586*E586*F586,IF(G586,C586*E586*G586,IF(H586,C586*E586*H586,C586*E586))))))),2)</f>
        <v>2.69</v>
      </c>
      <c r="J586" s="550" t="s">
        <v>102</v>
      </c>
      <c r="K586" s="39"/>
      <c r="L586" s="208"/>
      <c r="M586" s="39"/>
      <c r="N586" s="533" t="s">
        <v>2209</v>
      </c>
    </row>
    <row r="587" spans="1:14" s="541" customFormat="1" ht="16.5" customHeight="1">
      <c r="A587" s="16"/>
      <c r="B587" s="544" t="s">
        <v>660</v>
      </c>
      <c r="C587" s="545">
        <v>1</v>
      </c>
      <c r="D587" s="546" t="s">
        <v>273</v>
      </c>
      <c r="E587" s="547">
        <v>1</v>
      </c>
      <c r="F587" s="548">
        <v>23.1</v>
      </c>
      <c r="G587" s="548">
        <v>0</v>
      </c>
      <c r="H587" s="548">
        <v>0.1</v>
      </c>
      <c r="I587" s="549">
        <f>ROUND(IF(AND(F587:H587),C587*E587*F587*G587*H587,IF(AND(F587,G587),C587*E587*F587*G587,IF(AND(F587,H587),C587*E587*F587*H587,IF(AND(G587,H587),C587*E587*G587*H587,IF(F587,C587*E587*F587,IF(G587,C587*E587*G587,IF(H587,C587*E587*H587,C587*E587))))))),2)</f>
        <v>2.31</v>
      </c>
      <c r="J587" s="550" t="s">
        <v>102</v>
      </c>
      <c r="K587" s="39"/>
      <c r="L587" s="208"/>
      <c r="M587" s="39"/>
      <c r="N587" s="533" t="s">
        <v>2209</v>
      </c>
    </row>
    <row r="588" spans="1:14" s="541" customFormat="1" ht="16.5" customHeight="1">
      <c r="A588" s="16"/>
      <c r="B588" s="544" t="s">
        <v>1246</v>
      </c>
      <c r="C588" s="545">
        <v>1</v>
      </c>
      <c r="D588" s="546" t="s">
        <v>273</v>
      </c>
      <c r="E588" s="547">
        <v>1</v>
      </c>
      <c r="F588" s="548">
        <v>6.32</v>
      </c>
      <c r="G588" s="548">
        <v>0</v>
      </c>
      <c r="H588" s="548">
        <v>0.1</v>
      </c>
      <c r="I588" s="549">
        <f>ROUND(IF(AND(F588:H588),C588*E588*F588*G588*H588,IF(AND(F588,G588),C588*E588*F588*G588,IF(AND(F588,H588),C588*E588*F588*H588,IF(AND(G588,H588),C588*E588*G588*H588,IF(F588,C588*E588*F588,IF(G588,C588*E588*G588,IF(H588,C588*E588*H588,C588*E588))))))),2)</f>
        <v>0.63</v>
      </c>
      <c r="J588" s="550" t="s">
        <v>102</v>
      </c>
      <c r="K588" s="39"/>
      <c r="L588" s="208"/>
      <c r="M588" s="39"/>
      <c r="N588" s="533" t="s">
        <v>2209</v>
      </c>
    </row>
    <row r="589" spans="1:14" s="541" customFormat="1" ht="16.5" customHeight="1">
      <c r="A589" s="16"/>
      <c r="B589" s="544"/>
      <c r="C589" s="545"/>
      <c r="D589" s="546"/>
      <c r="E589" s="547"/>
      <c r="F589" s="548"/>
      <c r="G589" s="548"/>
      <c r="H589" s="548"/>
      <c r="I589" s="549"/>
      <c r="J589" s="550"/>
      <c r="K589" s="39"/>
      <c r="L589" s="208"/>
      <c r="M589" s="39"/>
      <c r="N589" s="533" t="s">
        <v>2209</v>
      </c>
    </row>
    <row r="590" spans="1:14" ht="15.75">
      <c r="A590" s="16"/>
      <c r="B590" s="39"/>
      <c r="C590" s="551"/>
      <c r="D590" s="552"/>
      <c r="E590" s="537"/>
      <c r="F590" s="538"/>
      <c r="G590" s="40"/>
      <c r="H590" s="16"/>
      <c r="I590" s="549"/>
      <c r="J590" s="550" t="s">
        <v>102</v>
      </c>
      <c r="K590" s="10">
        <f>data!G698</f>
        <v>1044.9000000000001</v>
      </c>
      <c r="L590" s="208" t="s">
        <v>2209</v>
      </c>
      <c r="M590" s="9">
        <f>ROUND(I590*K590,0)</f>
        <v>0</v>
      </c>
      <c r="N590" s="533" t="s">
        <v>2209</v>
      </c>
    </row>
    <row r="591" spans="1:14" ht="79.5" customHeight="1">
      <c r="A591" s="16">
        <v>25</v>
      </c>
      <c r="B591" s="1633" t="s">
        <v>213</v>
      </c>
      <c r="C591" s="1633"/>
      <c r="D591" s="1633"/>
      <c r="E591" s="1633"/>
      <c r="F591" s="1633"/>
      <c r="G591" s="1633"/>
      <c r="H591" s="1633"/>
      <c r="I591" s="534"/>
      <c r="J591" s="535"/>
      <c r="K591" s="16"/>
      <c r="L591" s="208"/>
      <c r="M591" s="38"/>
      <c r="N591" s="533" t="s">
        <v>2297</v>
      </c>
    </row>
    <row r="592" spans="1:14" s="541" customFormat="1" ht="16.5" customHeight="1">
      <c r="A592" s="16"/>
      <c r="B592" s="39" t="s">
        <v>2793</v>
      </c>
      <c r="C592" s="563"/>
      <c r="D592" s="564"/>
      <c r="E592" s="565"/>
      <c r="F592" s="566"/>
      <c r="G592" s="566"/>
      <c r="H592" s="567"/>
      <c r="I592" s="568"/>
      <c r="J592" s="550"/>
      <c r="K592" s="39"/>
      <c r="L592" s="208"/>
      <c r="M592" s="39"/>
      <c r="N592" s="533" t="s">
        <v>2297</v>
      </c>
    </row>
    <row r="593" spans="1:14" s="541" customFormat="1" ht="16.5" customHeight="1">
      <c r="A593" s="16"/>
      <c r="B593" s="544" t="s">
        <v>1247</v>
      </c>
      <c r="C593" s="545">
        <v>1</v>
      </c>
      <c r="D593" s="546" t="s">
        <v>273</v>
      </c>
      <c r="E593" s="547">
        <v>1</v>
      </c>
      <c r="F593" s="548">
        <v>26.94</v>
      </c>
      <c r="G593" s="548">
        <v>0</v>
      </c>
      <c r="H593" s="548">
        <v>0.1</v>
      </c>
      <c r="I593" s="549">
        <f>ROUND(IF(AND(F593:H593),C593*E593*F593*G593*H593,IF(AND(F593,G593),C593*E593*F593*G593,IF(AND(F593,H593),C593*E593*F593*H593,IF(AND(G593,H593),C593*E593*G593*H593,IF(F593,C593*E593*F593,IF(G593,C593*E593*G593,IF(H593,C593*E593*H593,C593*E593))))))),2)</f>
        <v>2.69</v>
      </c>
      <c r="J593" s="550" t="s">
        <v>102</v>
      </c>
      <c r="K593" s="39"/>
      <c r="L593" s="208"/>
      <c r="M593" s="39"/>
      <c r="N593" s="533" t="s">
        <v>2297</v>
      </c>
    </row>
    <row r="594" spans="1:14" s="541" customFormat="1" ht="16.5" customHeight="1">
      <c r="A594" s="16"/>
      <c r="B594" s="544" t="s">
        <v>660</v>
      </c>
      <c r="C594" s="545">
        <v>1</v>
      </c>
      <c r="D594" s="546" t="s">
        <v>273</v>
      </c>
      <c r="E594" s="547">
        <v>1</v>
      </c>
      <c r="F594" s="548">
        <v>23.1</v>
      </c>
      <c r="G594" s="548">
        <v>0</v>
      </c>
      <c r="H594" s="548">
        <v>0.1</v>
      </c>
      <c r="I594" s="549">
        <f>ROUND(IF(AND(F594:H594),C594*E594*F594*G594*H594,IF(AND(F594,G594),C594*E594*F594*G594,IF(AND(F594,H594),C594*E594*F594*H594,IF(AND(G594,H594),C594*E594*G594*H594,IF(F594,C594*E594*F594,IF(G594,C594*E594*G594,IF(H594,C594*E594*H594,C594*E594))))))),2)</f>
        <v>2.31</v>
      </c>
      <c r="J594" s="550" t="s">
        <v>102</v>
      </c>
      <c r="K594" s="39"/>
      <c r="L594" s="208"/>
      <c r="M594" s="39"/>
      <c r="N594" s="533" t="s">
        <v>2297</v>
      </c>
    </row>
    <row r="595" spans="1:14" s="541" customFormat="1" ht="16.5" customHeight="1">
      <c r="A595" s="16"/>
      <c r="B595" s="544" t="s">
        <v>1246</v>
      </c>
      <c r="C595" s="545">
        <v>1</v>
      </c>
      <c r="D595" s="546" t="s">
        <v>273</v>
      </c>
      <c r="E595" s="547">
        <v>1</v>
      </c>
      <c r="F595" s="548">
        <v>6.32</v>
      </c>
      <c r="G595" s="548">
        <v>0</v>
      </c>
      <c r="H595" s="548">
        <v>0.1</v>
      </c>
      <c r="I595" s="549">
        <f>ROUND(IF(AND(F595:H595),C595*E595*F595*G595*H595,IF(AND(F595,G595),C595*E595*F595*G595,IF(AND(F595,H595),C595*E595*F595*H595,IF(AND(G595,H595),C595*E595*G595*H595,IF(F595,C595*E595*F595,IF(G595,C595*E595*G595,IF(H595,C595*E595*H595,C595*E595))))))),2)</f>
        <v>0.63</v>
      </c>
      <c r="J595" s="550" t="s">
        <v>102</v>
      </c>
      <c r="K595" s="39"/>
      <c r="L595" s="208"/>
      <c r="M595" s="39"/>
      <c r="N595" s="533" t="s">
        <v>2297</v>
      </c>
    </row>
    <row r="596" spans="1:14" s="541" customFormat="1" ht="16.5" customHeight="1">
      <c r="A596" s="16"/>
      <c r="B596" s="544"/>
      <c r="C596" s="545"/>
      <c r="D596" s="546"/>
      <c r="E596" s="547"/>
      <c r="F596" s="548"/>
      <c r="G596" s="548"/>
      <c r="H596" s="548"/>
      <c r="I596" s="549"/>
      <c r="J596" s="550"/>
      <c r="K596" s="39"/>
      <c r="L596" s="208"/>
      <c r="M596" s="39"/>
      <c r="N596" s="533" t="s">
        <v>2297</v>
      </c>
    </row>
    <row r="597" spans="1:14" ht="15.75">
      <c r="A597" s="16"/>
      <c r="B597" s="39"/>
      <c r="C597" s="551"/>
      <c r="D597" s="552"/>
      <c r="E597" s="537"/>
      <c r="F597" s="538"/>
      <c r="G597" s="40"/>
      <c r="H597" s="16"/>
      <c r="I597" s="549"/>
      <c r="J597" s="550" t="s">
        <v>102</v>
      </c>
      <c r="K597" s="10">
        <f>data!G1615</f>
        <v>1078.42</v>
      </c>
      <c r="L597" s="208" t="s">
        <v>2297</v>
      </c>
      <c r="M597" s="9">
        <f>ROUND(I597*K597,0)</f>
        <v>0</v>
      </c>
      <c r="N597" s="533" t="s">
        <v>2297</v>
      </c>
    </row>
    <row r="598" spans="1:14" ht="79.5" customHeight="1">
      <c r="A598" s="16">
        <v>25</v>
      </c>
      <c r="B598" s="1633" t="s">
        <v>213</v>
      </c>
      <c r="C598" s="1633"/>
      <c r="D598" s="1633"/>
      <c r="E598" s="1633"/>
      <c r="F598" s="1633"/>
      <c r="G598" s="1633"/>
      <c r="H598" s="1633"/>
      <c r="I598" s="534"/>
      <c r="J598" s="535"/>
      <c r="K598" s="16"/>
      <c r="L598" s="208"/>
      <c r="M598" s="38"/>
      <c r="N598" s="533" t="s">
        <v>2308</v>
      </c>
    </row>
    <row r="599" spans="1:14" s="541" customFormat="1" ht="16.5" customHeight="1">
      <c r="A599" s="16"/>
      <c r="B599" s="39" t="s">
        <v>2793</v>
      </c>
      <c r="C599" s="563"/>
      <c r="D599" s="564"/>
      <c r="E599" s="565"/>
      <c r="F599" s="566"/>
      <c r="G599" s="566"/>
      <c r="H599" s="567"/>
      <c r="I599" s="568"/>
      <c r="J599" s="550"/>
      <c r="K599" s="39"/>
      <c r="L599" s="208"/>
      <c r="M599" s="39"/>
      <c r="N599" s="533" t="s">
        <v>2308</v>
      </c>
    </row>
    <row r="600" spans="1:14" s="541" customFormat="1" ht="16.5" customHeight="1">
      <c r="A600" s="16"/>
      <c r="B600" s="544" t="s">
        <v>1247</v>
      </c>
      <c r="C600" s="545">
        <v>1</v>
      </c>
      <c r="D600" s="546" t="s">
        <v>273</v>
      </c>
      <c r="E600" s="547">
        <v>1</v>
      </c>
      <c r="F600" s="548">
        <v>26.94</v>
      </c>
      <c r="G600" s="548">
        <v>0</v>
      </c>
      <c r="H600" s="548">
        <v>0.1</v>
      </c>
      <c r="I600" s="549">
        <f>ROUND(IF(AND(F600:H600),C600*E600*F600*G600*H600,IF(AND(F600,G600),C600*E600*F600*G600,IF(AND(F600,H600),C600*E600*F600*H600,IF(AND(G600,H600),C600*E600*G600*H600,IF(F600,C600*E600*F600,IF(G600,C600*E600*G600,IF(H600,C600*E600*H600,C600*E600))))))),2)</f>
        <v>2.69</v>
      </c>
      <c r="J600" s="550" t="s">
        <v>102</v>
      </c>
      <c r="K600" s="39"/>
      <c r="L600" s="208"/>
      <c r="M600" s="39"/>
      <c r="N600" s="533" t="s">
        <v>2308</v>
      </c>
    </row>
    <row r="601" spans="1:14" s="541" customFormat="1" ht="16.5" customHeight="1">
      <c r="A601" s="16"/>
      <c r="B601" s="544" t="s">
        <v>660</v>
      </c>
      <c r="C601" s="545">
        <v>1</v>
      </c>
      <c r="D601" s="546" t="s">
        <v>273</v>
      </c>
      <c r="E601" s="547">
        <v>1</v>
      </c>
      <c r="F601" s="548">
        <v>23.1</v>
      </c>
      <c r="G601" s="548">
        <v>0</v>
      </c>
      <c r="H601" s="548">
        <v>0.1</v>
      </c>
      <c r="I601" s="549">
        <f>ROUND(IF(AND(F601:H601),C601*E601*F601*G601*H601,IF(AND(F601,G601),C601*E601*F601*G601,IF(AND(F601,H601),C601*E601*F601*H601,IF(AND(G601,H601),C601*E601*G601*H601,IF(F601,C601*E601*F601,IF(G601,C601*E601*G601,IF(H601,C601*E601*H601,C601*E601))))))),2)</f>
        <v>2.31</v>
      </c>
      <c r="J601" s="550" t="s">
        <v>102</v>
      </c>
      <c r="K601" s="39"/>
      <c r="L601" s="208"/>
      <c r="M601" s="39"/>
      <c r="N601" s="533" t="s">
        <v>2308</v>
      </c>
    </row>
    <row r="602" spans="1:14" s="541" customFormat="1" ht="16.5" customHeight="1">
      <c r="A602" s="16"/>
      <c r="B602" s="544" t="s">
        <v>1246</v>
      </c>
      <c r="C602" s="545">
        <v>1</v>
      </c>
      <c r="D602" s="546" t="s">
        <v>273</v>
      </c>
      <c r="E602" s="547">
        <v>1</v>
      </c>
      <c r="F602" s="548">
        <v>6.32</v>
      </c>
      <c r="G602" s="548">
        <v>0</v>
      </c>
      <c r="H602" s="548">
        <v>0.1</v>
      </c>
      <c r="I602" s="549">
        <f>ROUND(IF(AND(F602:H602),C602*E602*F602*G602*H602,IF(AND(F602,G602),C602*E602*F602*G602,IF(AND(F602,H602),C602*E602*F602*H602,IF(AND(G602,H602),C602*E602*G602*H602,IF(F602,C602*E602*F602,IF(G602,C602*E602*G602,IF(H602,C602*E602*H602,C602*E602))))))),2)</f>
        <v>0.63</v>
      </c>
      <c r="J602" s="550" t="s">
        <v>102</v>
      </c>
      <c r="K602" s="39"/>
      <c r="L602" s="208"/>
      <c r="M602" s="39"/>
      <c r="N602" s="533" t="s">
        <v>2308</v>
      </c>
    </row>
    <row r="603" spans="1:14" s="541" customFormat="1" ht="16.5" customHeight="1">
      <c r="A603" s="16"/>
      <c r="B603" s="544"/>
      <c r="C603" s="545"/>
      <c r="D603" s="546"/>
      <c r="E603" s="547"/>
      <c r="F603" s="548"/>
      <c r="G603" s="548"/>
      <c r="H603" s="548"/>
      <c r="I603" s="549"/>
      <c r="J603" s="550"/>
      <c r="K603" s="39"/>
      <c r="L603" s="208"/>
      <c r="M603" s="39"/>
      <c r="N603" s="533" t="s">
        <v>2308</v>
      </c>
    </row>
    <row r="604" spans="1:14" ht="15.75">
      <c r="A604" s="16"/>
      <c r="B604" s="39"/>
      <c r="C604" s="551"/>
      <c r="D604" s="552"/>
      <c r="E604" s="537"/>
      <c r="F604" s="538"/>
      <c r="G604" s="40"/>
      <c r="H604" s="16"/>
      <c r="I604" s="549"/>
      <c r="J604" s="550" t="s">
        <v>102</v>
      </c>
      <c r="K604" s="10">
        <f>data!G2532</f>
        <v>1103.42</v>
      </c>
      <c r="L604" s="208" t="s">
        <v>2308</v>
      </c>
      <c r="M604" s="9">
        <f>ROUND(I604*K604,0)</f>
        <v>0</v>
      </c>
      <c r="N604" s="533" t="s">
        <v>2308</v>
      </c>
    </row>
    <row r="605" spans="1:14" ht="79.5" customHeight="1">
      <c r="A605" s="16">
        <v>25</v>
      </c>
      <c r="B605" s="1633" t="s">
        <v>213</v>
      </c>
      <c r="C605" s="1633"/>
      <c r="D605" s="1633"/>
      <c r="E605" s="1633"/>
      <c r="F605" s="1633"/>
      <c r="G605" s="1633"/>
      <c r="H605" s="1633"/>
      <c r="I605" s="534"/>
      <c r="J605" s="535"/>
      <c r="K605" s="16"/>
      <c r="L605" s="208"/>
      <c r="M605" s="38"/>
      <c r="N605" s="533" t="s">
        <v>2309</v>
      </c>
    </row>
    <row r="606" spans="1:14" s="541" customFormat="1" ht="16.5" customHeight="1">
      <c r="A606" s="16"/>
      <c r="B606" s="39" t="s">
        <v>2793</v>
      </c>
      <c r="C606" s="563"/>
      <c r="D606" s="564"/>
      <c r="E606" s="565"/>
      <c r="F606" s="566"/>
      <c r="G606" s="566"/>
      <c r="H606" s="567"/>
      <c r="I606" s="568"/>
      <c r="J606" s="550"/>
      <c r="K606" s="39"/>
      <c r="L606" s="208"/>
      <c r="M606" s="39"/>
      <c r="N606" s="533" t="s">
        <v>2309</v>
      </c>
    </row>
    <row r="607" spans="1:14" s="541" customFormat="1" ht="16.5" customHeight="1">
      <c r="A607" s="16"/>
      <c r="B607" s="544" t="s">
        <v>1247</v>
      </c>
      <c r="C607" s="545">
        <v>1</v>
      </c>
      <c r="D607" s="546" t="s">
        <v>273</v>
      </c>
      <c r="E607" s="547">
        <v>1</v>
      </c>
      <c r="F607" s="548">
        <v>26.94</v>
      </c>
      <c r="G607" s="548">
        <v>0</v>
      </c>
      <c r="H607" s="548">
        <v>0.1</v>
      </c>
      <c r="I607" s="549">
        <f>ROUND(IF(AND(F607:H607),C607*E607*F607*G607*H607,IF(AND(F607,G607),C607*E607*F607*G607,IF(AND(F607,H607),C607*E607*F607*H607,IF(AND(G607,H607),C607*E607*G607*H607,IF(F607,C607*E607*F607,IF(G607,C607*E607*G607,IF(H607,C607*E607*H607,C607*E607))))))),2)</f>
        <v>2.69</v>
      </c>
      <c r="J607" s="550" t="s">
        <v>102</v>
      </c>
      <c r="K607" s="39"/>
      <c r="L607" s="208"/>
      <c r="M607" s="39"/>
      <c r="N607" s="533" t="s">
        <v>2309</v>
      </c>
    </row>
    <row r="608" spans="1:14" s="541" customFormat="1" ht="16.5" customHeight="1">
      <c r="A608" s="16"/>
      <c r="B608" s="544" t="s">
        <v>660</v>
      </c>
      <c r="C608" s="545">
        <v>1</v>
      </c>
      <c r="D608" s="546" t="s">
        <v>273</v>
      </c>
      <c r="E608" s="547">
        <v>1</v>
      </c>
      <c r="F608" s="548">
        <v>23.1</v>
      </c>
      <c r="G608" s="548">
        <v>0</v>
      </c>
      <c r="H608" s="548">
        <v>0.1</v>
      </c>
      <c r="I608" s="549">
        <f>ROUND(IF(AND(F608:H608),C608*E608*F608*G608*H608,IF(AND(F608,G608),C608*E608*F608*G608,IF(AND(F608,H608),C608*E608*F608*H608,IF(AND(G608,H608),C608*E608*G608*H608,IF(F608,C608*E608*F608,IF(G608,C608*E608*G608,IF(H608,C608*E608*H608,C608*E608))))))),2)</f>
        <v>2.31</v>
      </c>
      <c r="J608" s="550" t="s">
        <v>102</v>
      </c>
      <c r="K608" s="39"/>
      <c r="L608" s="208"/>
      <c r="M608" s="39"/>
      <c r="N608" s="533" t="s">
        <v>2309</v>
      </c>
    </row>
    <row r="609" spans="1:14" s="541" customFormat="1" ht="16.5" customHeight="1">
      <c r="A609" s="16"/>
      <c r="B609" s="544" t="s">
        <v>1246</v>
      </c>
      <c r="C609" s="545">
        <v>1</v>
      </c>
      <c r="D609" s="546" t="s">
        <v>273</v>
      </c>
      <c r="E609" s="547">
        <v>1</v>
      </c>
      <c r="F609" s="548">
        <v>6.32</v>
      </c>
      <c r="G609" s="548">
        <v>0</v>
      </c>
      <c r="H609" s="548">
        <v>0.1</v>
      </c>
      <c r="I609" s="549">
        <f>ROUND(IF(AND(F609:H609),C609*E609*F609*G609*H609,IF(AND(F609,G609),C609*E609*F609*G609,IF(AND(F609,H609),C609*E609*F609*H609,IF(AND(G609,H609),C609*E609*G609*H609,IF(F609,C609*E609*F609,IF(G609,C609*E609*G609,IF(H609,C609*E609*H609,C609*E609))))))),2)</f>
        <v>0.63</v>
      </c>
      <c r="J609" s="550" t="s">
        <v>102</v>
      </c>
      <c r="K609" s="39"/>
      <c r="L609" s="208"/>
      <c r="M609" s="39"/>
      <c r="N609" s="533" t="s">
        <v>2309</v>
      </c>
    </row>
    <row r="610" spans="1:14" s="541" customFormat="1" ht="16.5" customHeight="1">
      <c r="A610" s="16"/>
      <c r="B610" s="544"/>
      <c r="C610" s="545"/>
      <c r="D610" s="546"/>
      <c r="E610" s="547"/>
      <c r="F610" s="548"/>
      <c r="G610" s="548"/>
      <c r="H610" s="548"/>
      <c r="I610" s="549"/>
      <c r="J610" s="550"/>
      <c r="K610" s="39"/>
      <c r="L610" s="208"/>
      <c r="M610" s="39"/>
      <c r="N610" s="533" t="s">
        <v>2309</v>
      </c>
    </row>
    <row r="611" spans="1:14" ht="15.75">
      <c r="A611" s="16"/>
      <c r="B611" s="39"/>
      <c r="C611" s="551"/>
      <c r="D611" s="552"/>
      <c r="E611" s="537"/>
      <c r="F611" s="538"/>
      <c r="G611" s="40"/>
      <c r="H611" s="16"/>
      <c r="I611" s="549"/>
      <c r="J611" s="550" t="s">
        <v>102</v>
      </c>
      <c r="K611" s="10">
        <f>data!G3449</f>
        <v>1134.08</v>
      </c>
      <c r="L611" s="208" t="s">
        <v>2309</v>
      </c>
      <c r="M611" s="9">
        <f>ROUND(I611*K611,0)</f>
        <v>0</v>
      </c>
      <c r="N611" s="533" t="s">
        <v>2309</v>
      </c>
    </row>
    <row r="612" spans="1:14" ht="108" customHeight="1">
      <c r="A612" s="16">
        <v>23</v>
      </c>
      <c r="B612" s="1633" t="s">
        <v>665</v>
      </c>
      <c r="C612" s="1633"/>
      <c r="D612" s="1633"/>
      <c r="E612" s="1633"/>
      <c r="F612" s="1633"/>
      <c r="G612" s="1633"/>
      <c r="H612" s="1633"/>
      <c r="I612" s="534"/>
      <c r="J612" s="535"/>
      <c r="K612" s="16"/>
      <c r="L612" s="208"/>
      <c r="M612" s="38"/>
      <c r="N612" s="533" t="s">
        <v>2209</v>
      </c>
    </row>
    <row r="613" spans="1:14" s="541" customFormat="1" ht="16.5" customHeight="1">
      <c r="A613" s="16"/>
      <c r="B613" s="39" t="s">
        <v>2810</v>
      </c>
      <c r="C613" s="563"/>
      <c r="D613" s="564"/>
      <c r="E613" s="565"/>
      <c r="F613" s="566"/>
      <c r="G613" s="566"/>
      <c r="H613" s="567"/>
      <c r="I613" s="568"/>
      <c r="J613" s="550"/>
      <c r="K613" s="39"/>
      <c r="L613" s="208"/>
      <c r="M613" s="39"/>
      <c r="N613" s="533" t="s">
        <v>2209</v>
      </c>
    </row>
    <row r="614" spans="1:14" s="541" customFormat="1" ht="16.5" customHeight="1">
      <c r="A614" s="16"/>
      <c r="B614" s="544"/>
      <c r="C614" s="545">
        <v>1</v>
      </c>
      <c r="D614" s="546" t="s">
        <v>273</v>
      </c>
      <c r="E614" s="547">
        <v>2</v>
      </c>
      <c r="F614" s="548">
        <v>3.1</v>
      </c>
      <c r="G614" s="548">
        <v>1.08</v>
      </c>
      <c r="H614" s="548">
        <v>0</v>
      </c>
      <c r="I614" s="549">
        <f>ROUND(IF(AND(F614:H614),C614*E614*F614*G614*H614,IF(AND(F614,G614),C614*E614*F614*G614,IF(AND(F614,H614),C614*E614*F614*H614,IF(AND(G614,H614),C614*E614*G614*H614,IF(F614,C614*E614*F614,IF(G614,C614*E614*G614,IF(H614,C614*E614*H614,C614*E614))))))),2)</f>
        <v>6.7</v>
      </c>
      <c r="J614" s="550" t="s">
        <v>102</v>
      </c>
      <c r="K614" s="39"/>
      <c r="L614" s="208"/>
      <c r="M614" s="39"/>
      <c r="N614" s="533" t="s">
        <v>2209</v>
      </c>
    </row>
    <row r="615" spans="1:14" s="541" customFormat="1" ht="16.5" customHeight="1">
      <c r="A615" s="16"/>
      <c r="B615" s="544"/>
      <c r="C615" s="545">
        <v>1</v>
      </c>
      <c r="D615" s="546" t="s">
        <v>273</v>
      </c>
      <c r="E615" s="547">
        <v>1</v>
      </c>
      <c r="F615" s="548">
        <v>3.69</v>
      </c>
      <c r="G615" s="548">
        <v>2</v>
      </c>
      <c r="H615" s="548">
        <v>0</v>
      </c>
      <c r="I615" s="549">
        <f>ROUND(IF(AND(F615:H615),C615*E615*F615*G615*H615,IF(AND(F615,G615),C615*E615*F615*G615,IF(AND(F615,H615),C615*E615*F615*H615,IF(AND(G615,H615),C615*E615*G615*H615,IF(F615,C615*E615*F615,IF(G615,C615*E615*G615,IF(H615,C615*E615*H615,C615*E615))))))),2)</f>
        <v>7.38</v>
      </c>
      <c r="J615" s="550" t="s">
        <v>102</v>
      </c>
      <c r="K615" s="39"/>
      <c r="L615" s="208"/>
      <c r="M615" s="39"/>
      <c r="N615" s="533" t="s">
        <v>2209</v>
      </c>
    </row>
    <row r="616" spans="1:14" s="541" customFormat="1" ht="16.5" customHeight="1">
      <c r="A616" s="16"/>
      <c r="B616" s="544"/>
      <c r="C616" s="545">
        <v>4</v>
      </c>
      <c r="D616" s="546" t="s">
        <v>273</v>
      </c>
      <c r="E616" s="602">
        <v>0.78500000000000003</v>
      </c>
      <c r="F616" s="548">
        <v>0.23</v>
      </c>
      <c r="G616" s="548">
        <v>0.23</v>
      </c>
      <c r="H616" s="548">
        <v>0</v>
      </c>
      <c r="I616" s="549">
        <f>-ROUND(IF(AND(F616:H616),C616*E616*F616*G616*H616,IF(AND(F616,G616),C616*E616*F616*G616,IF(AND(F616,H616),C616*E616*F616*H616,IF(AND(G616,H616),C616*E616*G616*H616,IF(F616,C616*E616*F616,IF(G616,C616*E616*G616,IF(H616,C616*E616*H616,C616*E616))))))),2)</f>
        <v>-0.17</v>
      </c>
      <c r="J616" s="550" t="s">
        <v>102</v>
      </c>
      <c r="K616" s="39"/>
      <c r="L616" s="208"/>
      <c r="M616" s="39"/>
      <c r="N616" s="533" t="s">
        <v>2209</v>
      </c>
    </row>
    <row r="617" spans="1:14" s="541" customFormat="1" ht="16.5" customHeight="1">
      <c r="A617" s="16"/>
      <c r="B617" s="544"/>
      <c r="C617" s="545"/>
      <c r="D617" s="546"/>
      <c r="E617" s="547"/>
      <c r="F617" s="548"/>
      <c r="G617" s="548"/>
      <c r="H617" s="548"/>
      <c r="I617" s="549"/>
      <c r="J617" s="550"/>
      <c r="K617" s="39"/>
      <c r="L617" s="208"/>
      <c r="M617" s="39"/>
      <c r="N617" s="533" t="s">
        <v>2209</v>
      </c>
    </row>
    <row r="618" spans="1:14" ht="15.75">
      <c r="A618" s="16"/>
      <c r="B618" s="39"/>
      <c r="C618" s="551"/>
      <c r="D618" s="552"/>
      <c r="E618" s="537"/>
      <c r="F618" s="538"/>
      <c r="G618" s="40"/>
      <c r="H618" s="16"/>
      <c r="I618" s="549"/>
      <c r="J618" s="550" t="s">
        <v>102</v>
      </c>
      <c r="K618" s="10">
        <f>data!G602</f>
        <v>2934.5</v>
      </c>
      <c r="L618" s="208" t="s">
        <v>2209</v>
      </c>
      <c r="M618" s="9">
        <f>ROUND(I618*K618,0)</f>
        <v>0</v>
      </c>
      <c r="N618" s="533" t="s">
        <v>2209</v>
      </c>
    </row>
    <row r="619" spans="1:14" ht="108" customHeight="1">
      <c r="A619" s="16">
        <v>23</v>
      </c>
      <c r="B619" s="1633" t="s">
        <v>665</v>
      </c>
      <c r="C619" s="1633"/>
      <c r="D619" s="1633"/>
      <c r="E619" s="1633"/>
      <c r="F619" s="1633"/>
      <c r="G619" s="1633"/>
      <c r="H619" s="1633"/>
      <c r="I619" s="534"/>
      <c r="J619" s="535"/>
      <c r="K619" s="16"/>
      <c r="L619" s="208"/>
      <c r="M619" s="38"/>
      <c r="N619" s="533" t="s">
        <v>2297</v>
      </c>
    </row>
    <row r="620" spans="1:14" s="541" customFormat="1" ht="16.5" customHeight="1">
      <c r="A620" s="16"/>
      <c r="B620" s="39" t="s">
        <v>2810</v>
      </c>
      <c r="C620" s="563"/>
      <c r="D620" s="564"/>
      <c r="E620" s="565"/>
      <c r="F620" s="566"/>
      <c r="G620" s="566"/>
      <c r="H620" s="567"/>
      <c r="I620" s="568"/>
      <c r="J620" s="550"/>
      <c r="K620" s="39"/>
      <c r="L620" s="208"/>
      <c r="M620" s="39"/>
      <c r="N620" s="533" t="s">
        <v>2297</v>
      </c>
    </row>
    <row r="621" spans="1:14" s="541" customFormat="1" ht="16.5" customHeight="1">
      <c r="A621" s="16"/>
      <c r="B621" s="544"/>
      <c r="C621" s="545">
        <v>1</v>
      </c>
      <c r="D621" s="546" t="s">
        <v>273</v>
      </c>
      <c r="E621" s="547">
        <v>2</v>
      </c>
      <c r="F621" s="548">
        <v>3.1</v>
      </c>
      <c r="G621" s="548">
        <v>1.08</v>
      </c>
      <c r="H621" s="548">
        <v>0</v>
      </c>
      <c r="I621" s="549">
        <f>ROUND(IF(AND(F621:H621),C621*E621*F621*G621*H621,IF(AND(F621,G621),C621*E621*F621*G621,IF(AND(F621,H621),C621*E621*F621*H621,IF(AND(G621,H621),C621*E621*G621*H621,IF(F621,C621*E621*F621,IF(G621,C621*E621*G621,IF(H621,C621*E621*H621,C621*E621))))))),2)</f>
        <v>6.7</v>
      </c>
      <c r="J621" s="550" t="s">
        <v>102</v>
      </c>
      <c r="K621" s="39"/>
      <c r="L621" s="208"/>
      <c r="M621" s="39"/>
      <c r="N621" s="533" t="s">
        <v>2297</v>
      </c>
    </row>
    <row r="622" spans="1:14" s="541" customFormat="1" ht="16.5" customHeight="1">
      <c r="A622" s="16"/>
      <c r="B622" s="544"/>
      <c r="C622" s="545">
        <v>1</v>
      </c>
      <c r="D622" s="546" t="s">
        <v>273</v>
      </c>
      <c r="E622" s="547">
        <v>1</v>
      </c>
      <c r="F622" s="548">
        <v>3.69</v>
      </c>
      <c r="G622" s="548">
        <v>2</v>
      </c>
      <c r="H622" s="548">
        <v>0</v>
      </c>
      <c r="I622" s="549">
        <f>ROUND(IF(AND(F622:H622),C622*E622*F622*G622*H622,IF(AND(F622,G622),C622*E622*F622*G622,IF(AND(F622,H622),C622*E622*F622*H622,IF(AND(G622,H622),C622*E622*G622*H622,IF(F622,C622*E622*F622,IF(G622,C622*E622*G622,IF(H622,C622*E622*H622,C622*E622))))))),2)</f>
        <v>7.38</v>
      </c>
      <c r="J622" s="550" t="s">
        <v>102</v>
      </c>
      <c r="K622" s="39"/>
      <c r="L622" s="208"/>
      <c r="M622" s="39"/>
      <c r="N622" s="533" t="s">
        <v>2297</v>
      </c>
    </row>
    <row r="623" spans="1:14" s="541" customFormat="1" ht="16.5" customHeight="1">
      <c r="A623" s="16"/>
      <c r="B623" s="544"/>
      <c r="C623" s="545">
        <v>4</v>
      </c>
      <c r="D623" s="546" t="s">
        <v>273</v>
      </c>
      <c r="E623" s="602">
        <v>0.78500000000000003</v>
      </c>
      <c r="F623" s="548">
        <v>0.23</v>
      </c>
      <c r="G623" s="548">
        <v>0.23</v>
      </c>
      <c r="H623" s="548">
        <v>0</v>
      </c>
      <c r="I623" s="549">
        <f>-ROUND(IF(AND(F623:H623),C623*E623*F623*G623*H623,IF(AND(F623,G623),C623*E623*F623*G623,IF(AND(F623,H623),C623*E623*F623*H623,IF(AND(G623,H623),C623*E623*G623*H623,IF(F623,C623*E623*F623,IF(G623,C623*E623*G623,IF(H623,C623*E623*H623,C623*E623))))))),2)</f>
        <v>-0.17</v>
      </c>
      <c r="J623" s="550" t="s">
        <v>102</v>
      </c>
      <c r="K623" s="39"/>
      <c r="L623" s="208"/>
      <c r="M623" s="39"/>
      <c r="N623" s="533" t="s">
        <v>2297</v>
      </c>
    </row>
    <row r="624" spans="1:14" s="541" customFormat="1" ht="16.5" customHeight="1">
      <c r="A624" s="16"/>
      <c r="B624" s="544"/>
      <c r="C624" s="545"/>
      <c r="D624" s="546"/>
      <c r="E624" s="547"/>
      <c r="F624" s="548"/>
      <c r="G624" s="548"/>
      <c r="H624" s="548"/>
      <c r="I624" s="549"/>
      <c r="J624" s="550"/>
      <c r="K624" s="39"/>
      <c r="L624" s="208"/>
      <c r="M624" s="39"/>
      <c r="N624" s="533" t="s">
        <v>2297</v>
      </c>
    </row>
    <row r="625" spans="1:14" ht="15.75">
      <c r="A625" s="16"/>
      <c r="B625" s="39"/>
      <c r="C625" s="551"/>
      <c r="D625" s="552"/>
      <c r="E625" s="537"/>
      <c r="F625" s="538"/>
      <c r="G625" s="40"/>
      <c r="H625" s="16"/>
      <c r="I625" s="549"/>
      <c r="J625" s="550" t="s">
        <v>102</v>
      </c>
      <c r="K625" s="10">
        <f>data!G1519</f>
        <v>3003.21</v>
      </c>
      <c r="L625" s="208" t="s">
        <v>2297</v>
      </c>
      <c r="M625" s="9">
        <f>ROUND(I625*K625,0)</f>
        <v>0</v>
      </c>
      <c r="N625" s="533" t="s">
        <v>2297</v>
      </c>
    </row>
    <row r="626" spans="1:14" ht="108" customHeight="1">
      <c r="A626" s="16">
        <v>23</v>
      </c>
      <c r="B626" s="1633" t="s">
        <v>665</v>
      </c>
      <c r="C626" s="1633"/>
      <c r="D626" s="1633"/>
      <c r="E626" s="1633"/>
      <c r="F626" s="1633"/>
      <c r="G626" s="1633"/>
      <c r="H626" s="1633"/>
      <c r="I626" s="534"/>
      <c r="J626" s="535"/>
      <c r="K626" s="16"/>
      <c r="L626" s="208"/>
      <c r="M626" s="38"/>
      <c r="N626" s="533" t="s">
        <v>2308</v>
      </c>
    </row>
    <row r="627" spans="1:14" s="541" customFormat="1" ht="16.5" customHeight="1">
      <c r="A627" s="16"/>
      <c r="B627" s="39" t="s">
        <v>2810</v>
      </c>
      <c r="C627" s="563"/>
      <c r="D627" s="564"/>
      <c r="E627" s="565"/>
      <c r="F627" s="566"/>
      <c r="G627" s="566"/>
      <c r="H627" s="567"/>
      <c r="I627" s="568"/>
      <c r="J627" s="550"/>
      <c r="K627" s="39"/>
      <c r="L627" s="208"/>
      <c r="M627" s="39"/>
      <c r="N627" s="533" t="s">
        <v>2308</v>
      </c>
    </row>
    <row r="628" spans="1:14" s="541" customFormat="1" ht="16.5" customHeight="1">
      <c r="A628" s="16"/>
      <c r="B628" s="544"/>
      <c r="C628" s="545">
        <v>1</v>
      </c>
      <c r="D628" s="546" t="s">
        <v>273</v>
      </c>
      <c r="E628" s="547">
        <v>2</v>
      </c>
      <c r="F628" s="548">
        <v>3.1</v>
      </c>
      <c r="G628" s="548">
        <v>1.08</v>
      </c>
      <c r="H628" s="548">
        <v>0</v>
      </c>
      <c r="I628" s="549">
        <f>ROUND(IF(AND(F628:H628),C628*E628*F628*G628*H628,IF(AND(F628,G628),C628*E628*F628*G628,IF(AND(F628,H628),C628*E628*F628*H628,IF(AND(G628,H628),C628*E628*G628*H628,IF(F628,C628*E628*F628,IF(G628,C628*E628*G628,IF(H628,C628*E628*H628,C628*E628))))))),2)</f>
        <v>6.7</v>
      </c>
      <c r="J628" s="550" t="s">
        <v>102</v>
      </c>
      <c r="K628" s="39"/>
      <c r="L628" s="208"/>
      <c r="M628" s="39"/>
      <c r="N628" s="533" t="s">
        <v>2308</v>
      </c>
    </row>
    <row r="629" spans="1:14" s="541" customFormat="1" ht="16.5" customHeight="1">
      <c r="A629" s="16"/>
      <c r="B629" s="544"/>
      <c r="C629" s="545">
        <v>1</v>
      </c>
      <c r="D629" s="546" t="s">
        <v>273</v>
      </c>
      <c r="E629" s="547">
        <v>1</v>
      </c>
      <c r="F629" s="548">
        <v>3.69</v>
      </c>
      <c r="G629" s="548">
        <v>2</v>
      </c>
      <c r="H629" s="548">
        <v>0</v>
      </c>
      <c r="I629" s="549">
        <f>ROUND(IF(AND(F629:H629),C629*E629*F629*G629*H629,IF(AND(F629,G629),C629*E629*F629*G629,IF(AND(F629,H629),C629*E629*F629*H629,IF(AND(G629,H629),C629*E629*G629*H629,IF(F629,C629*E629*F629,IF(G629,C629*E629*G629,IF(H629,C629*E629*H629,C629*E629))))))),2)</f>
        <v>7.38</v>
      </c>
      <c r="J629" s="550" t="s">
        <v>102</v>
      </c>
      <c r="K629" s="39"/>
      <c r="L629" s="208"/>
      <c r="M629" s="39"/>
      <c r="N629" s="533" t="s">
        <v>2308</v>
      </c>
    </row>
    <row r="630" spans="1:14" s="541" customFormat="1" ht="16.5" customHeight="1">
      <c r="A630" s="16"/>
      <c r="B630" s="544"/>
      <c r="C630" s="545">
        <v>4</v>
      </c>
      <c r="D630" s="546" t="s">
        <v>273</v>
      </c>
      <c r="E630" s="602">
        <v>0.78500000000000003</v>
      </c>
      <c r="F630" s="548">
        <v>0.23</v>
      </c>
      <c r="G630" s="548">
        <v>0.23</v>
      </c>
      <c r="H630" s="548">
        <v>0</v>
      </c>
      <c r="I630" s="549">
        <f>-ROUND(IF(AND(F630:H630),C630*E630*F630*G630*H630,IF(AND(F630,G630),C630*E630*F630*G630,IF(AND(F630,H630),C630*E630*F630*H630,IF(AND(G630,H630),C630*E630*G630*H630,IF(F630,C630*E630*F630,IF(G630,C630*E630*G630,IF(H630,C630*E630*H630,C630*E630))))))),2)</f>
        <v>-0.17</v>
      </c>
      <c r="J630" s="550" t="s">
        <v>102</v>
      </c>
      <c r="K630" s="39"/>
      <c r="L630" s="208"/>
      <c r="M630" s="39"/>
      <c r="N630" s="533" t="s">
        <v>2308</v>
      </c>
    </row>
    <row r="631" spans="1:14" s="541" customFormat="1" ht="16.5" customHeight="1">
      <c r="A631" s="16"/>
      <c r="B631" s="544"/>
      <c r="C631" s="545"/>
      <c r="D631" s="546"/>
      <c r="E631" s="547"/>
      <c r="F631" s="548"/>
      <c r="G631" s="548"/>
      <c r="H631" s="548"/>
      <c r="I631" s="549"/>
      <c r="J631" s="550"/>
      <c r="K631" s="39"/>
      <c r="L631" s="208"/>
      <c r="M631" s="39"/>
      <c r="N631" s="533" t="s">
        <v>2308</v>
      </c>
    </row>
    <row r="632" spans="1:14" ht="15.75">
      <c r="A632" s="16"/>
      <c r="B632" s="39"/>
      <c r="C632" s="551"/>
      <c r="D632" s="552"/>
      <c r="E632" s="537"/>
      <c r="F632" s="538"/>
      <c r="G632" s="40"/>
      <c r="H632" s="16"/>
      <c r="I632" s="549"/>
      <c r="J632" s="550" t="s">
        <v>102</v>
      </c>
      <c r="K632" s="10">
        <f>data!G2436</f>
        <v>3066.62</v>
      </c>
      <c r="L632" s="208" t="s">
        <v>2308</v>
      </c>
      <c r="M632" s="9">
        <f>ROUND(I632*K632,0)</f>
        <v>0</v>
      </c>
      <c r="N632" s="533" t="s">
        <v>2308</v>
      </c>
    </row>
    <row r="633" spans="1:14" ht="108" customHeight="1">
      <c r="A633" s="16">
        <v>23</v>
      </c>
      <c r="B633" s="1633" t="s">
        <v>665</v>
      </c>
      <c r="C633" s="1633"/>
      <c r="D633" s="1633"/>
      <c r="E633" s="1633"/>
      <c r="F633" s="1633"/>
      <c r="G633" s="1633"/>
      <c r="H633" s="1633"/>
      <c r="I633" s="534"/>
      <c r="J633" s="535"/>
      <c r="K633" s="16"/>
      <c r="L633" s="208"/>
      <c r="M633" s="38"/>
      <c r="N633" s="533" t="s">
        <v>2309</v>
      </c>
    </row>
    <row r="634" spans="1:14" s="541" customFormat="1" ht="16.5" customHeight="1">
      <c r="A634" s="16"/>
      <c r="B634" s="39" t="s">
        <v>2810</v>
      </c>
      <c r="C634" s="563"/>
      <c r="D634" s="564"/>
      <c r="E634" s="565"/>
      <c r="F634" s="566"/>
      <c r="G634" s="566"/>
      <c r="H634" s="567"/>
      <c r="I634" s="568"/>
      <c r="J634" s="550"/>
      <c r="K634" s="39"/>
      <c r="L634" s="208"/>
      <c r="M634" s="39"/>
      <c r="N634" s="533" t="s">
        <v>2309</v>
      </c>
    </row>
    <row r="635" spans="1:14" s="541" customFormat="1" ht="16.5" customHeight="1">
      <c r="A635" s="16"/>
      <c r="B635" s="544"/>
      <c r="C635" s="545">
        <v>1</v>
      </c>
      <c r="D635" s="546" t="s">
        <v>273</v>
      </c>
      <c r="E635" s="547">
        <v>2</v>
      </c>
      <c r="F635" s="548">
        <v>3.1</v>
      </c>
      <c r="G635" s="548">
        <v>1.08</v>
      </c>
      <c r="H635" s="548">
        <v>0</v>
      </c>
      <c r="I635" s="549">
        <f>ROUND(IF(AND(F635:H635),C635*E635*F635*G635*H635,IF(AND(F635,G635),C635*E635*F635*G635,IF(AND(F635,H635),C635*E635*F635*H635,IF(AND(G635,H635),C635*E635*G635*H635,IF(F635,C635*E635*F635,IF(G635,C635*E635*G635,IF(H635,C635*E635*H635,C635*E635))))))),2)</f>
        <v>6.7</v>
      </c>
      <c r="J635" s="550" t="s">
        <v>102</v>
      </c>
      <c r="K635" s="39"/>
      <c r="L635" s="208"/>
      <c r="M635" s="39"/>
      <c r="N635" s="533" t="s">
        <v>2309</v>
      </c>
    </row>
    <row r="636" spans="1:14" s="541" customFormat="1" ht="16.5" customHeight="1">
      <c r="A636" s="16"/>
      <c r="B636" s="544"/>
      <c r="C636" s="545">
        <v>1</v>
      </c>
      <c r="D636" s="546" t="s">
        <v>273</v>
      </c>
      <c r="E636" s="547">
        <v>1</v>
      </c>
      <c r="F636" s="548">
        <v>3.69</v>
      </c>
      <c r="G636" s="548">
        <v>2</v>
      </c>
      <c r="H636" s="548">
        <v>0</v>
      </c>
      <c r="I636" s="549">
        <f>ROUND(IF(AND(F636:H636),C636*E636*F636*G636*H636,IF(AND(F636,G636),C636*E636*F636*G636,IF(AND(F636,H636),C636*E636*F636*H636,IF(AND(G636,H636),C636*E636*G636*H636,IF(F636,C636*E636*F636,IF(G636,C636*E636*G636,IF(H636,C636*E636*H636,C636*E636))))))),2)</f>
        <v>7.38</v>
      </c>
      <c r="J636" s="550" t="s">
        <v>102</v>
      </c>
      <c r="K636" s="39"/>
      <c r="L636" s="208"/>
      <c r="M636" s="39"/>
      <c r="N636" s="533" t="s">
        <v>2309</v>
      </c>
    </row>
    <row r="637" spans="1:14" s="541" customFormat="1" ht="16.5" customHeight="1">
      <c r="A637" s="16"/>
      <c r="B637" s="544"/>
      <c r="C637" s="545">
        <v>4</v>
      </c>
      <c r="D637" s="546" t="s">
        <v>273</v>
      </c>
      <c r="E637" s="602">
        <v>0.78500000000000003</v>
      </c>
      <c r="F637" s="548">
        <v>0.23</v>
      </c>
      <c r="G637" s="548">
        <v>0.23</v>
      </c>
      <c r="H637" s="548">
        <v>0</v>
      </c>
      <c r="I637" s="549">
        <f>-ROUND(IF(AND(F637:H637),C637*E637*F637*G637*H637,IF(AND(F637,G637),C637*E637*F637*G637,IF(AND(F637,H637),C637*E637*F637*H637,IF(AND(G637,H637),C637*E637*G637*H637,IF(F637,C637*E637*F637,IF(G637,C637*E637*G637,IF(H637,C637*E637*H637,C637*E637))))))),2)</f>
        <v>-0.17</v>
      </c>
      <c r="J637" s="550" t="s">
        <v>102</v>
      </c>
      <c r="K637" s="39"/>
      <c r="L637" s="208"/>
      <c r="M637" s="39"/>
      <c r="N637" s="533" t="s">
        <v>2309</v>
      </c>
    </row>
    <row r="638" spans="1:14" s="541" customFormat="1" ht="16.5" customHeight="1">
      <c r="A638" s="16"/>
      <c r="B638" s="544"/>
      <c r="C638" s="545"/>
      <c r="D638" s="546"/>
      <c r="E638" s="547"/>
      <c r="F638" s="548"/>
      <c r="G638" s="548"/>
      <c r="H638" s="548"/>
      <c r="I638" s="549"/>
      <c r="J638" s="550"/>
      <c r="K638" s="39"/>
      <c r="L638" s="208"/>
      <c r="M638" s="39"/>
      <c r="N638" s="533" t="s">
        <v>2309</v>
      </c>
    </row>
    <row r="639" spans="1:14" ht="15.75">
      <c r="A639" s="16"/>
      <c r="B639" s="39"/>
      <c r="C639" s="551"/>
      <c r="D639" s="552"/>
      <c r="E639" s="537"/>
      <c r="F639" s="538"/>
      <c r="G639" s="40"/>
      <c r="H639" s="16"/>
      <c r="I639" s="549"/>
      <c r="J639" s="550" t="s">
        <v>102</v>
      </c>
      <c r="K639" s="10">
        <f>data!G3353</f>
        <v>3248.17</v>
      </c>
      <c r="L639" s="208" t="s">
        <v>2309</v>
      </c>
      <c r="M639" s="9">
        <f>ROUND(I639*K639,0)</f>
        <v>0</v>
      </c>
      <c r="N639" s="533" t="s">
        <v>2309</v>
      </c>
    </row>
    <row r="640" spans="1:14" ht="93.75" customHeight="1">
      <c r="A640" s="16">
        <v>24</v>
      </c>
      <c r="B640" s="1633" t="s">
        <v>671</v>
      </c>
      <c r="C640" s="1633"/>
      <c r="D640" s="1633"/>
      <c r="E640" s="1633"/>
      <c r="F640" s="1633"/>
      <c r="G640" s="1633"/>
      <c r="H640" s="1633"/>
      <c r="I640" s="534"/>
      <c r="J640" s="535"/>
      <c r="K640" s="16"/>
      <c r="L640" s="208"/>
      <c r="M640" s="38"/>
      <c r="N640" s="533" t="s">
        <v>2209</v>
      </c>
    </row>
    <row r="641" spans="1:14" s="541" customFormat="1" ht="16.5" customHeight="1">
      <c r="A641" s="16"/>
      <c r="B641" s="39" t="s">
        <v>2854</v>
      </c>
      <c r="C641" s="563"/>
      <c r="D641" s="564"/>
      <c r="E641" s="565"/>
      <c r="F641" s="566"/>
      <c r="G641" s="566"/>
      <c r="H641" s="567"/>
      <c r="I641" s="568"/>
      <c r="J641" s="550"/>
      <c r="K641" s="39"/>
      <c r="L641" s="208"/>
      <c r="M641" s="39"/>
      <c r="N641" s="533" t="s">
        <v>2209</v>
      </c>
    </row>
    <row r="642" spans="1:14" s="541" customFormat="1" ht="16.5" customHeight="1">
      <c r="A642" s="16"/>
      <c r="B642" s="544" t="s">
        <v>819</v>
      </c>
      <c r="C642" s="545">
        <v>1</v>
      </c>
      <c r="D642" s="546" t="s">
        <v>273</v>
      </c>
      <c r="E642" s="547">
        <v>1</v>
      </c>
      <c r="F642" s="548">
        <v>6</v>
      </c>
      <c r="G642" s="548">
        <v>0</v>
      </c>
      <c r="H642" s="548">
        <v>0.15</v>
      </c>
      <c r="I642" s="549">
        <f>ROUND(IF(AND(F642:H642),C642*E642*F642*G642*H642,IF(AND(F642,G642),C642*E642*F642*G642,IF(AND(F642,H642),C642*E642*F642*H642,IF(AND(G642,H642),C642*E642*G642*H642,IF(F642,C642*E642*F642,IF(G642,C642*E642*G642,IF(H642,C642*E642*H642,C642*E642))))))),2)</f>
        <v>0.9</v>
      </c>
      <c r="J642" s="550" t="s">
        <v>102</v>
      </c>
      <c r="K642" s="39"/>
      <c r="L642" s="208"/>
      <c r="M642" s="39"/>
      <c r="N642" s="533" t="s">
        <v>2209</v>
      </c>
    </row>
    <row r="643" spans="1:14" s="541" customFormat="1" ht="16.5" customHeight="1">
      <c r="A643" s="16"/>
      <c r="B643" s="544"/>
      <c r="C643" s="545">
        <v>1</v>
      </c>
      <c r="D643" s="546" t="s">
        <v>273</v>
      </c>
      <c r="E643" s="547">
        <v>1</v>
      </c>
      <c r="F643" s="548">
        <v>6</v>
      </c>
      <c r="G643" s="548">
        <v>0</v>
      </c>
      <c r="H643" s="548">
        <v>0.15</v>
      </c>
      <c r="I643" s="549">
        <f>ROUND(IF(AND(F643:H643),C643*E643*F643*G643*H643,IF(AND(F643,G643),C643*E643*F643*G643,IF(AND(F643,H643),C643*E643*F643*H643,IF(AND(G643,H643),C643*E643*G643*H643,IF(F643,C643*E643*F643,IF(G643,C643*E643*G643,IF(H643,C643*E643*H643,C643*E643))))))),2)</f>
        <v>0.9</v>
      </c>
      <c r="J643" s="550" t="s">
        <v>102</v>
      </c>
      <c r="K643" s="39"/>
      <c r="L643" s="208"/>
      <c r="M643" s="39"/>
      <c r="N643" s="533" t="s">
        <v>2209</v>
      </c>
    </row>
    <row r="644" spans="1:14" s="541" customFormat="1" ht="16.5" customHeight="1">
      <c r="A644" s="16"/>
      <c r="B644" s="544" t="s">
        <v>821</v>
      </c>
      <c r="C644" s="545">
        <v>1</v>
      </c>
      <c r="D644" s="546" t="s">
        <v>273</v>
      </c>
      <c r="E644" s="547">
        <v>11</v>
      </c>
      <c r="F644" s="548">
        <v>1.35</v>
      </c>
      <c r="G644" s="548">
        <v>0</v>
      </c>
      <c r="H644" s="548">
        <v>0.15</v>
      </c>
      <c r="I644" s="549">
        <f>ROUND(IF(AND(F644:H644),C644*E644*F644*G644*H644,IF(AND(F644,G644),C644*E644*F644*G644,IF(AND(F644,H644),C644*E644*F644*H644,IF(AND(G644,H644),C644*E644*G644*H644,IF(F644,C644*E644*F644,IF(G644,C644*E644*G644,IF(H644,C644*E644*H644,C644*E644))))))),2)</f>
        <v>2.23</v>
      </c>
      <c r="J644" s="550" t="s">
        <v>102</v>
      </c>
      <c r="K644" s="39"/>
      <c r="L644" s="208"/>
      <c r="M644" s="39"/>
      <c r="N644" s="533" t="s">
        <v>2209</v>
      </c>
    </row>
    <row r="645" spans="1:14" s="541" customFormat="1" ht="16.5" customHeight="1">
      <c r="A645" s="16"/>
      <c r="B645" s="544"/>
      <c r="C645" s="545"/>
      <c r="D645" s="546"/>
      <c r="E645" s="547"/>
      <c r="F645" s="548"/>
      <c r="G645" s="548"/>
      <c r="H645" s="548"/>
      <c r="I645" s="549"/>
      <c r="J645" s="550"/>
      <c r="K645" s="39"/>
      <c r="L645" s="208"/>
      <c r="M645" s="39"/>
      <c r="N645" s="533" t="s">
        <v>2209</v>
      </c>
    </row>
    <row r="646" spans="1:14" ht="15.75">
      <c r="A646" s="16"/>
      <c r="B646" s="39"/>
      <c r="C646" s="551"/>
      <c r="D646" s="552"/>
      <c r="E646" s="537"/>
      <c r="F646" s="538"/>
      <c r="G646" s="40"/>
      <c r="H646" s="16"/>
      <c r="I646" s="549"/>
      <c r="J646" s="550" t="s">
        <v>102</v>
      </c>
      <c r="K646" s="10">
        <f>data!G621</f>
        <v>2740.43</v>
      </c>
      <c r="L646" s="208" t="s">
        <v>2209</v>
      </c>
      <c r="M646" s="9">
        <f>ROUND(I646*K646,0)</f>
        <v>0</v>
      </c>
      <c r="N646" s="533" t="s">
        <v>2209</v>
      </c>
    </row>
    <row r="647" spans="1:14" ht="93.75" customHeight="1">
      <c r="A647" s="16">
        <v>24</v>
      </c>
      <c r="B647" s="1633" t="s">
        <v>671</v>
      </c>
      <c r="C647" s="1633"/>
      <c r="D647" s="1633"/>
      <c r="E647" s="1633"/>
      <c r="F647" s="1633"/>
      <c r="G647" s="1633"/>
      <c r="H647" s="1633"/>
      <c r="I647" s="534"/>
      <c r="J647" s="535"/>
      <c r="K647" s="16"/>
      <c r="L647" s="208"/>
      <c r="M647" s="38"/>
      <c r="N647" s="533" t="s">
        <v>2297</v>
      </c>
    </row>
    <row r="648" spans="1:14" s="541" customFormat="1" ht="16.5" customHeight="1">
      <c r="A648" s="16"/>
      <c r="B648" s="39" t="s">
        <v>2854</v>
      </c>
      <c r="C648" s="563"/>
      <c r="D648" s="564"/>
      <c r="E648" s="565"/>
      <c r="F648" s="566"/>
      <c r="G648" s="566"/>
      <c r="H648" s="567"/>
      <c r="I648" s="568"/>
      <c r="J648" s="550"/>
      <c r="K648" s="39"/>
      <c r="L648" s="208"/>
      <c r="M648" s="39"/>
      <c r="N648" s="533" t="s">
        <v>2297</v>
      </c>
    </row>
    <row r="649" spans="1:14" s="541" customFormat="1" ht="16.5" customHeight="1">
      <c r="A649" s="16"/>
      <c r="B649" s="544" t="s">
        <v>819</v>
      </c>
      <c r="C649" s="545">
        <v>1</v>
      </c>
      <c r="D649" s="546" t="s">
        <v>273</v>
      </c>
      <c r="E649" s="547">
        <v>1</v>
      </c>
      <c r="F649" s="548">
        <v>6</v>
      </c>
      <c r="G649" s="548">
        <v>0</v>
      </c>
      <c r="H649" s="548">
        <v>0.15</v>
      </c>
      <c r="I649" s="549">
        <f>ROUND(IF(AND(F649:H649),C649*E649*F649*G649*H649,IF(AND(F649,G649),C649*E649*F649*G649,IF(AND(F649,H649),C649*E649*F649*H649,IF(AND(G649,H649),C649*E649*G649*H649,IF(F649,C649*E649*F649,IF(G649,C649*E649*G649,IF(H649,C649*E649*H649,C649*E649))))))),2)</f>
        <v>0.9</v>
      </c>
      <c r="J649" s="550" t="s">
        <v>102</v>
      </c>
      <c r="K649" s="39"/>
      <c r="L649" s="208"/>
      <c r="M649" s="39"/>
      <c r="N649" s="533" t="s">
        <v>2297</v>
      </c>
    </row>
    <row r="650" spans="1:14" s="541" customFormat="1" ht="16.5" customHeight="1">
      <c r="A650" s="16"/>
      <c r="B650" s="544"/>
      <c r="C650" s="545">
        <v>1</v>
      </c>
      <c r="D650" s="546" t="s">
        <v>273</v>
      </c>
      <c r="E650" s="547">
        <v>1</v>
      </c>
      <c r="F650" s="548">
        <v>6</v>
      </c>
      <c r="G650" s="548">
        <v>0</v>
      </c>
      <c r="H650" s="548">
        <v>0.15</v>
      </c>
      <c r="I650" s="549">
        <f>ROUND(IF(AND(F650:H650),C650*E650*F650*G650*H650,IF(AND(F650,G650),C650*E650*F650*G650,IF(AND(F650,H650),C650*E650*F650*H650,IF(AND(G650,H650),C650*E650*G650*H650,IF(F650,C650*E650*F650,IF(G650,C650*E650*G650,IF(H650,C650*E650*H650,C650*E650))))))),2)</f>
        <v>0.9</v>
      </c>
      <c r="J650" s="550" t="s">
        <v>102</v>
      </c>
      <c r="K650" s="39"/>
      <c r="L650" s="208"/>
      <c r="M650" s="39"/>
      <c r="N650" s="533" t="s">
        <v>2297</v>
      </c>
    </row>
    <row r="651" spans="1:14" s="541" customFormat="1" ht="16.5" customHeight="1">
      <c r="A651" s="16"/>
      <c r="B651" s="544" t="s">
        <v>821</v>
      </c>
      <c r="C651" s="545">
        <v>1</v>
      </c>
      <c r="D651" s="546" t="s">
        <v>273</v>
      </c>
      <c r="E651" s="547">
        <v>11</v>
      </c>
      <c r="F651" s="548">
        <v>1.35</v>
      </c>
      <c r="G651" s="548">
        <v>0</v>
      </c>
      <c r="H651" s="548">
        <v>0.15</v>
      </c>
      <c r="I651" s="549">
        <f>ROUND(IF(AND(F651:H651),C651*E651*F651*G651*H651,IF(AND(F651,G651),C651*E651*F651*G651,IF(AND(F651,H651),C651*E651*F651*H651,IF(AND(G651,H651),C651*E651*G651*H651,IF(F651,C651*E651*F651,IF(G651,C651*E651*G651,IF(H651,C651*E651*H651,C651*E651))))))),2)</f>
        <v>2.23</v>
      </c>
      <c r="J651" s="550" t="s">
        <v>102</v>
      </c>
      <c r="K651" s="39"/>
      <c r="L651" s="208"/>
      <c r="M651" s="39"/>
      <c r="N651" s="533" t="s">
        <v>2297</v>
      </c>
    </row>
    <row r="652" spans="1:14" s="541" customFormat="1" ht="16.5" customHeight="1">
      <c r="A652" s="16"/>
      <c r="B652" s="544"/>
      <c r="C652" s="545"/>
      <c r="D652" s="546"/>
      <c r="E652" s="547"/>
      <c r="F652" s="548"/>
      <c r="G652" s="548"/>
      <c r="H652" s="548"/>
      <c r="I652" s="549"/>
      <c r="J652" s="550"/>
      <c r="K652" s="39"/>
      <c r="L652" s="208"/>
      <c r="M652" s="39"/>
      <c r="N652" s="533" t="s">
        <v>2297</v>
      </c>
    </row>
    <row r="653" spans="1:14" ht="15.75">
      <c r="A653" s="16"/>
      <c r="B653" s="39"/>
      <c r="C653" s="551"/>
      <c r="D653" s="552"/>
      <c r="E653" s="537"/>
      <c r="F653" s="538"/>
      <c r="G653" s="40"/>
      <c r="H653" s="16"/>
      <c r="I653" s="549"/>
      <c r="J653" s="550" t="s">
        <v>102</v>
      </c>
      <c r="K653" s="10">
        <f>data!G1538</f>
        <v>2787.53</v>
      </c>
      <c r="L653" s="208" t="s">
        <v>2297</v>
      </c>
      <c r="M653" s="9">
        <f>ROUND(I653*K653,0)</f>
        <v>0</v>
      </c>
      <c r="N653" s="533" t="s">
        <v>2297</v>
      </c>
    </row>
    <row r="654" spans="1:14" ht="93.75" customHeight="1">
      <c r="A654" s="16">
        <v>24</v>
      </c>
      <c r="B654" s="1633" t="s">
        <v>671</v>
      </c>
      <c r="C654" s="1633"/>
      <c r="D654" s="1633"/>
      <c r="E654" s="1633"/>
      <c r="F654" s="1633"/>
      <c r="G654" s="1633"/>
      <c r="H654" s="1633"/>
      <c r="I654" s="534"/>
      <c r="J654" s="535"/>
      <c r="K654" s="16"/>
      <c r="L654" s="208"/>
      <c r="M654" s="38"/>
      <c r="N654" s="533" t="s">
        <v>2308</v>
      </c>
    </row>
    <row r="655" spans="1:14" s="541" customFormat="1" ht="16.5" customHeight="1">
      <c r="A655" s="16"/>
      <c r="B655" s="39" t="s">
        <v>2854</v>
      </c>
      <c r="C655" s="563"/>
      <c r="D655" s="564"/>
      <c r="E655" s="565"/>
      <c r="F655" s="566"/>
      <c r="G655" s="566"/>
      <c r="H655" s="567"/>
      <c r="I655" s="568"/>
      <c r="J655" s="550"/>
      <c r="K655" s="39"/>
      <c r="L655" s="208"/>
      <c r="M655" s="39"/>
      <c r="N655" s="533" t="s">
        <v>2308</v>
      </c>
    </row>
    <row r="656" spans="1:14" s="541" customFormat="1" ht="16.5" customHeight="1">
      <c r="A656" s="16"/>
      <c r="B656" s="544" t="s">
        <v>819</v>
      </c>
      <c r="C656" s="545">
        <v>1</v>
      </c>
      <c r="D656" s="546" t="s">
        <v>273</v>
      </c>
      <c r="E656" s="547">
        <v>1</v>
      </c>
      <c r="F656" s="548">
        <v>6</v>
      </c>
      <c r="G656" s="548">
        <v>0</v>
      </c>
      <c r="H656" s="548">
        <v>0.15</v>
      </c>
      <c r="I656" s="549">
        <f>ROUND(IF(AND(F656:H656),C656*E656*F656*G656*H656,IF(AND(F656,G656),C656*E656*F656*G656,IF(AND(F656,H656),C656*E656*F656*H656,IF(AND(G656,H656),C656*E656*G656*H656,IF(F656,C656*E656*F656,IF(G656,C656*E656*G656,IF(H656,C656*E656*H656,C656*E656))))))),2)</f>
        <v>0.9</v>
      </c>
      <c r="J656" s="550" t="s">
        <v>102</v>
      </c>
      <c r="K656" s="39"/>
      <c r="L656" s="208"/>
      <c r="M656" s="39"/>
      <c r="N656" s="533" t="s">
        <v>2308</v>
      </c>
    </row>
    <row r="657" spans="1:14" s="541" customFormat="1" ht="16.5" customHeight="1">
      <c r="A657" s="16"/>
      <c r="B657" s="544"/>
      <c r="C657" s="545">
        <v>1</v>
      </c>
      <c r="D657" s="546" t="s">
        <v>273</v>
      </c>
      <c r="E657" s="547">
        <v>1</v>
      </c>
      <c r="F657" s="548">
        <v>6</v>
      </c>
      <c r="G657" s="548">
        <v>0</v>
      </c>
      <c r="H657" s="548">
        <v>0.15</v>
      </c>
      <c r="I657" s="549">
        <f>ROUND(IF(AND(F657:H657),C657*E657*F657*G657*H657,IF(AND(F657,G657),C657*E657*F657*G657,IF(AND(F657,H657),C657*E657*F657*H657,IF(AND(G657,H657),C657*E657*G657*H657,IF(F657,C657*E657*F657,IF(G657,C657*E657*G657,IF(H657,C657*E657*H657,C657*E657))))))),2)</f>
        <v>0.9</v>
      </c>
      <c r="J657" s="550" t="s">
        <v>102</v>
      </c>
      <c r="K657" s="39"/>
      <c r="L657" s="208"/>
      <c r="M657" s="39"/>
      <c r="N657" s="533" t="s">
        <v>2308</v>
      </c>
    </row>
    <row r="658" spans="1:14" s="541" customFormat="1" ht="16.5" customHeight="1">
      <c r="A658" s="16"/>
      <c r="B658" s="544" t="s">
        <v>821</v>
      </c>
      <c r="C658" s="545">
        <v>1</v>
      </c>
      <c r="D658" s="546" t="s">
        <v>273</v>
      </c>
      <c r="E658" s="547">
        <v>11</v>
      </c>
      <c r="F658" s="548">
        <v>1.35</v>
      </c>
      <c r="G658" s="548">
        <v>0</v>
      </c>
      <c r="H658" s="548">
        <v>0.15</v>
      </c>
      <c r="I658" s="549">
        <f>ROUND(IF(AND(F658:H658),C658*E658*F658*G658*H658,IF(AND(F658,G658),C658*E658*F658*G658,IF(AND(F658,H658),C658*E658*F658*H658,IF(AND(G658,H658),C658*E658*G658*H658,IF(F658,C658*E658*F658,IF(G658,C658*E658*G658,IF(H658,C658*E658*H658,C658*E658))))))),2)</f>
        <v>2.23</v>
      </c>
      <c r="J658" s="550" t="s">
        <v>102</v>
      </c>
      <c r="K658" s="39"/>
      <c r="L658" s="208"/>
      <c r="M658" s="39"/>
      <c r="N658" s="533" t="s">
        <v>2308</v>
      </c>
    </row>
    <row r="659" spans="1:14" s="541" customFormat="1" ht="16.5" customHeight="1">
      <c r="A659" s="16"/>
      <c r="B659" s="544"/>
      <c r="C659" s="545"/>
      <c r="D659" s="546"/>
      <c r="E659" s="547"/>
      <c r="F659" s="548"/>
      <c r="G659" s="548"/>
      <c r="H659" s="548"/>
      <c r="I659" s="549"/>
      <c r="J659" s="550"/>
      <c r="K659" s="39"/>
      <c r="L659" s="208"/>
      <c r="M659" s="39"/>
      <c r="N659" s="533" t="s">
        <v>2308</v>
      </c>
    </row>
    <row r="660" spans="1:14" ht="15.75">
      <c r="A660" s="16"/>
      <c r="B660" s="39"/>
      <c r="C660" s="551"/>
      <c r="D660" s="552"/>
      <c r="E660" s="537"/>
      <c r="F660" s="538"/>
      <c r="G660" s="40"/>
      <c r="H660" s="16"/>
      <c r="I660" s="549"/>
      <c r="J660" s="550" t="s">
        <v>102</v>
      </c>
      <c r="K660" s="10">
        <f>data!G2455</f>
        <v>2831.2</v>
      </c>
      <c r="L660" s="208" t="s">
        <v>2308</v>
      </c>
      <c r="M660" s="9">
        <f>ROUND(I660*K660,0)</f>
        <v>0</v>
      </c>
      <c r="N660" s="533" t="s">
        <v>2308</v>
      </c>
    </row>
    <row r="661" spans="1:14" ht="93.75" customHeight="1">
      <c r="A661" s="16">
        <v>24</v>
      </c>
      <c r="B661" s="1633" t="s">
        <v>671</v>
      </c>
      <c r="C661" s="1633"/>
      <c r="D661" s="1633"/>
      <c r="E661" s="1633"/>
      <c r="F661" s="1633"/>
      <c r="G661" s="1633"/>
      <c r="H661" s="1633"/>
      <c r="I661" s="534"/>
      <c r="J661" s="535"/>
      <c r="K661" s="16"/>
      <c r="L661" s="208"/>
      <c r="M661" s="38"/>
      <c r="N661" s="533" t="s">
        <v>2309</v>
      </c>
    </row>
    <row r="662" spans="1:14" s="541" customFormat="1" ht="16.5" customHeight="1">
      <c r="A662" s="16"/>
      <c r="B662" s="39" t="s">
        <v>2854</v>
      </c>
      <c r="C662" s="563"/>
      <c r="D662" s="564"/>
      <c r="E662" s="565"/>
      <c r="F662" s="566"/>
      <c r="G662" s="566"/>
      <c r="H662" s="567"/>
      <c r="I662" s="568"/>
      <c r="J662" s="550"/>
      <c r="K662" s="39"/>
      <c r="L662" s="208"/>
      <c r="M662" s="39"/>
      <c r="N662" s="533" t="s">
        <v>2309</v>
      </c>
    </row>
    <row r="663" spans="1:14" s="541" customFormat="1" ht="16.5" customHeight="1">
      <c r="A663" s="16"/>
      <c r="B663" s="544" t="s">
        <v>819</v>
      </c>
      <c r="C663" s="545">
        <v>1</v>
      </c>
      <c r="D663" s="546" t="s">
        <v>273</v>
      </c>
      <c r="E663" s="547">
        <v>1</v>
      </c>
      <c r="F663" s="548">
        <v>6</v>
      </c>
      <c r="G663" s="548">
        <v>0</v>
      </c>
      <c r="H663" s="548">
        <v>0.15</v>
      </c>
      <c r="I663" s="549">
        <f>ROUND(IF(AND(F663:H663),C663*E663*F663*G663*H663,IF(AND(F663,G663),C663*E663*F663*G663,IF(AND(F663,H663),C663*E663*F663*H663,IF(AND(G663,H663),C663*E663*G663*H663,IF(F663,C663*E663*F663,IF(G663,C663*E663*G663,IF(H663,C663*E663*H663,C663*E663))))))),2)</f>
        <v>0.9</v>
      </c>
      <c r="J663" s="550" t="s">
        <v>102</v>
      </c>
      <c r="K663" s="39"/>
      <c r="L663" s="208"/>
      <c r="M663" s="39"/>
      <c r="N663" s="533" t="s">
        <v>2309</v>
      </c>
    </row>
    <row r="664" spans="1:14" s="541" customFormat="1" ht="16.5" customHeight="1">
      <c r="A664" s="16"/>
      <c r="B664" s="544"/>
      <c r="C664" s="545">
        <v>1</v>
      </c>
      <c r="D664" s="546" t="s">
        <v>273</v>
      </c>
      <c r="E664" s="547">
        <v>1</v>
      </c>
      <c r="F664" s="548">
        <v>6</v>
      </c>
      <c r="G664" s="548">
        <v>0</v>
      </c>
      <c r="H664" s="548">
        <v>0.15</v>
      </c>
      <c r="I664" s="549">
        <f>ROUND(IF(AND(F664:H664),C664*E664*F664*G664*H664,IF(AND(F664,G664),C664*E664*F664*G664,IF(AND(F664,H664),C664*E664*F664*H664,IF(AND(G664,H664),C664*E664*G664*H664,IF(F664,C664*E664*F664,IF(G664,C664*E664*G664,IF(H664,C664*E664*H664,C664*E664))))))),2)</f>
        <v>0.9</v>
      </c>
      <c r="J664" s="550" t="s">
        <v>102</v>
      </c>
      <c r="K664" s="39"/>
      <c r="L664" s="208"/>
      <c r="M664" s="39"/>
      <c r="N664" s="533" t="s">
        <v>2309</v>
      </c>
    </row>
    <row r="665" spans="1:14" s="541" customFormat="1" ht="16.5" customHeight="1">
      <c r="A665" s="16"/>
      <c r="B665" s="544" t="s">
        <v>821</v>
      </c>
      <c r="C665" s="545">
        <v>1</v>
      </c>
      <c r="D665" s="546" t="s">
        <v>273</v>
      </c>
      <c r="E665" s="547">
        <v>11</v>
      </c>
      <c r="F665" s="548">
        <v>1.35</v>
      </c>
      <c r="G665" s="548">
        <v>0</v>
      </c>
      <c r="H665" s="548">
        <v>0.15</v>
      </c>
      <c r="I665" s="549">
        <f>ROUND(IF(AND(F665:H665),C665*E665*F665*G665*H665,IF(AND(F665,G665),C665*E665*F665*G665,IF(AND(F665,H665),C665*E665*F665*H665,IF(AND(G665,H665),C665*E665*G665*H665,IF(F665,C665*E665*F665,IF(G665,C665*E665*G665,IF(H665,C665*E665*H665,C665*E665))))))),2)</f>
        <v>2.23</v>
      </c>
      <c r="J665" s="550" t="s">
        <v>102</v>
      </c>
      <c r="K665" s="39"/>
      <c r="L665" s="208"/>
      <c r="M665" s="39"/>
      <c r="N665" s="533" t="s">
        <v>2309</v>
      </c>
    </row>
    <row r="666" spans="1:14" s="541" customFormat="1" ht="16.5" customHeight="1">
      <c r="A666" s="16"/>
      <c r="B666" s="544"/>
      <c r="C666" s="545"/>
      <c r="D666" s="546"/>
      <c r="E666" s="547"/>
      <c r="F666" s="548"/>
      <c r="G666" s="548"/>
      <c r="H666" s="548"/>
      <c r="I666" s="549"/>
      <c r="J666" s="550"/>
      <c r="K666" s="39"/>
      <c r="L666" s="208"/>
      <c r="M666" s="39"/>
      <c r="N666" s="533" t="s">
        <v>2309</v>
      </c>
    </row>
    <row r="667" spans="1:14" ht="15.75">
      <c r="A667" s="16"/>
      <c r="B667" s="39"/>
      <c r="C667" s="551"/>
      <c r="D667" s="552"/>
      <c r="E667" s="537"/>
      <c r="F667" s="538"/>
      <c r="G667" s="40"/>
      <c r="H667" s="16"/>
      <c r="I667" s="549"/>
      <c r="J667" s="550" t="s">
        <v>102</v>
      </c>
      <c r="K667" s="10">
        <f>data!G3372</f>
        <v>2995.66</v>
      </c>
      <c r="L667" s="208" t="s">
        <v>2309</v>
      </c>
      <c r="M667" s="9">
        <f>ROUND(I667*K667,0)</f>
        <v>0</v>
      </c>
      <c r="N667" s="533" t="s">
        <v>2309</v>
      </c>
    </row>
    <row r="668" spans="1:14" ht="90" customHeight="1">
      <c r="A668" s="16">
        <v>26</v>
      </c>
      <c r="B668" s="1633" t="s">
        <v>672</v>
      </c>
      <c r="C668" s="1633"/>
      <c r="D668" s="1633"/>
      <c r="E668" s="1633"/>
      <c r="F668" s="1633"/>
      <c r="G668" s="1633"/>
      <c r="H668" s="1633"/>
      <c r="I668" s="534"/>
      <c r="J668" s="535"/>
      <c r="K668" s="16"/>
      <c r="L668" s="208"/>
      <c r="M668" s="38"/>
      <c r="N668" s="533" t="s">
        <v>2209</v>
      </c>
    </row>
    <row r="669" spans="1:14" s="541" customFormat="1" ht="16.5" customHeight="1">
      <c r="A669" s="16"/>
      <c r="B669" s="39" t="s">
        <v>2797</v>
      </c>
      <c r="C669" s="563"/>
      <c r="D669" s="564"/>
      <c r="E669" s="565"/>
      <c r="F669" s="566"/>
      <c r="G669" s="566"/>
      <c r="H669" s="567"/>
      <c r="I669" s="568"/>
      <c r="J669" s="550"/>
      <c r="K669" s="39"/>
      <c r="L669" s="208"/>
      <c r="M669" s="39"/>
      <c r="N669" s="533" t="s">
        <v>2209</v>
      </c>
    </row>
    <row r="670" spans="1:14" s="541" customFormat="1" ht="16.5" customHeight="1">
      <c r="A670" s="16"/>
      <c r="B670" s="544" t="s">
        <v>578</v>
      </c>
      <c r="C670" s="545">
        <v>1</v>
      </c>
      <c r="D670" s="546" t="s">
        <v>273</v>
      </c>
      <c r="E670" s="547">
        <v>1</v>
      </c>
      <c r="F670" s="548">
        <v>9.8699999999999992</v>
      </c>
      <c r="G670" s="548">
        <v>1.83</v>
      </c>
      <c r="H670" s="548">
        <v>0</v>
      </c>
      <c r="I670" s="549">
        <f t="shared" ref="I670:I672" si="31">ROUND(IF(AND(F670:H670),C670*E670*F670*G670*H670,IF(AND(F670,G670),C670*E670*F670*G670,IF(AND(F670,H670),C670*E670*F670*H670,IF(AND(G670,H670),C670*E670*G670*H670,IF(F670,C670*E670*F670,IF(G670,C670*E670*G670,IF(H670,C670*E670*H670,C670*E670))))))),2)</f>
        <v>18.059999999999999</v>
      </c>
      <c r="J670" s="550" t="s">
        <v>102</v>
      </c>
      <c r="K670" s="39"/>
      <c r="L670" s="208"/>
      <c r="M670" s="39"/>
      <c r="N670" s="533" t="s">
        <v>2209</v>
      </c>
    </row>
    <row r="671" spans="1:14" s="541" customFormat="1" ht="16.5" customHeight="1">
      <c r="A671" s="16"/>
      <c r="B671" s="544" t="s">
        <v>654</v>
      </c>
      <c r="C671" s="545">
        <v>1</v>
      </c>
      <c r="D671" s="546" t="s">
        <v>273</v>
      </c>
      <c r="E671" s="547">
        <v>1</v>
      </c>
      <c r="F671" s="548">
        <v>2.83</v>
      </c>
      <c r="G671" s="548">
        <v>1.55</v>
      </c>
      <c r="H671" s="548">
        <v>0</v>
      </c>
      <c r="I671" s="549">
        <f t="shared" si="31"/>
        <v>4.3899999999999997</v>
      </c>
      <c r="J671" s="550" t="s">
        <v>102</v>
      </c>
      <c r="K671" s="39"/>
      <c r="L671" s="208"/>
      <c r="M671" s="39"/>
      <c r="N671" s="533" t="s">
        <v>2209</v>
      </c>
    </row>
    <row r="672" spans="1:14" s="541" customFormat="1" ht="16.5" customHeight="1">
      <c r="A672" s="16"/>
      <c r="B672" s="544" t="s">
        <v>1250</v>
      </c>
      <c r="C672" s="545">
        <v>1</v>
      </c>
      <c r="D672" s="546" t="s">
        <v>273</v>
      </c>
      <c r="E672" s="547">
        <v>21</v>
      </c>
      <c r="F672" s="548">
        <v>1.28</v>
      </c>
      <c r="G672" s="548">
        <v>0.3</v>
      </c>
      <c r="H672" s="548">
        <v>0</v>
      </c>
      <c r="I672" s="549">
        <f t="shared" si="31"/>
        <v>8.06</v>
      </c>
      <c r="J672" s="550" t="s">
        <v>102</v>
      </c>
      <c r="K672" s="39"/>
      <c r="L672" s="208"/>
      <c r="M672" s="39"/>
      <c r="N672" s="533" t="s">
        <v>2209</v>
      </c>
    </row>
    <row r="673" spans="1:14" s="541" customFormat="1" ht="16.5" customHeight="1">
      <c r="A673" s="16"/>
      <c r="B673" s="544"/>
      <c r="C673" s="545"/>
      <c r="D673" s="546"/>
      <c r="E673" s="547"/>
      <c r="F673" s="548"/>
      <c r="G673" s="548"/>
      <c r="H673" s="548"/>
      <c r="I673" s="549"/>
      <c r="J673" s="550"/>
      <c r="K673" s="39"/>
      <c r="L673" s="208"/>
      <c r="M673" s="39"/>
      <c r="N673" s="533" t="s">
        <v>2209</v>
      </c>
    </row>
    <row r="674" spans="1:14" ht="15.75">
      <c r="A674" s="16"/>
      <c r="B674" s="39"/>
      <c r="C674" s="551"/>
      <c r="D674" s="552"/>
      <c r="E674" s="537"/>
      <c r="F674" s="538"/>
      <c r="G674" s="40"/>
      <c r="H674" s="16"/>
      <c r="I674" s="549"/>
      <c r="J674" s="550" t="s">
        <v>102</v>
      </c>
      <c r="K674" s="10">
        <f>data!G642</f>
        <v>660.95</v>
      </c>
      <c r="L674" s="208" t="s">
        <v>2209</v>
      </c>
      <c r="M674" s="9">
        <f>ROUND(I674*K674,0)</f>
        <v>0</v>
      </c>
      <c r="N674" s="533" t="s">
        <v>2209</v>
      </c>
    </row>
    <row r="675" spans="1:14" ht="90" customHeight="1">
      <c r="A675" s="16">
        <v>26</v>
      </c>
      <c r="B675" s="1633" t="s">
        <v>672</v>
      </c>
      <c r="C675" s="1633"/>
      <c r="D675" s="1633"/>
      <c r="E675" s="1633"/>
      <c r="F675" s="1633"/>
      <c r="G675" s="1633"/>
      <c r="H675" s="1633"/>
      <c r="I675" s="534"/>
      <c r="J675" s="535"/>
      <c r="K675" s="16"/>
      <c r="L675" s="208"/>
      <c r="M675" s="38"/>
      <c r="N675" s="533" t="s">
        <v>2297</v>
      </c>
    </row>
    <row r="676" spans="1:14" s="541" customFormat="1" ht="16.5" customHeight="1">
      <c r="A676" s="16"/>
      <c r="B676" s="39" t="s">
        <v>2797</v>
      </c>
      <c r="C676" s="563"/>
      <c r="D676" s="564"/>
      <c r="E676" s="565"/>
      <c r="F676" s="566"/>
      <c r="G676" s="566"/>
      <c r="H676" s="567"/>
      <c r="I676" s="568"/>
      <c r="J676" s="550"/>
      <c r="K676" s="39"/>
      <c r="L676" s="208"/>
      <c r="M676" s="39"/>
      <c r="N676" s="533" t="s">
        <v>2297</v>
      </c>
    </row>
    <row r="677" spans="1:14" s="541" customFormat="1" ht="16.5" customHeight="1">
      <c r="A677" s="16"/>
      <c r="B677" s="544" t="s">
        <v>578</v>
      </c>
      <c r="C677" s="545">
        <v>1</v>
      </c>
      <c r="D677" s="546" t="s">
        <v>273</v>
      </c>
      <c r="E677" s="547">
        <v>1</v>
      </c>
      <c r="F677" s="548">
        <v>9.8699999999999992</v>
      </c>
      <c r="G677" s="548">
        <v>1.83</v>
      </c>
      <c r="H677" s="548">
        <v>0</v>
      </c>
      <c r="I677" s="549">
        <f>ROUND(IF(AND(F677:H677),C677*E677*F677*G677*H677,IF(AND(F677,G677),C677*E677*F677*G677,IF(AND(F677,H677),C677*E677*F677*H677,IF(AND(G677,H677),C677*E677*G677*H677,IF(F677,C677*E677*F677,IF(G677,C677*E677*G677,IF(H677,C677*E677*H677,C677*E677))))))),2)</f>
        <v>18.059999999999999</v>
      </c>
      <c r="J677" s="550" t="s">
        <v>102</v>
      </c>
      <c r="K677" s="39"/>
      <c r="L677" s="208"/>
      <c r="M677" s="39"/>
      <c r="N677" s="533" t="s">
        <v>2297</v>
      </c>
    </row>
    <row r="678" spans="1:14" s="541" customFormat="1" ht="16.5" customHeight="1">
      <c r="A678" s="16"/>
      <c r="B678" s="544" t="s">
        <v>654</v>
      </c>
      <c r="C678" s="545">
        <v>1</v>
      </c>
      <c r="D678" s="546" t="s">
        <v>273</v>
      </c>
      <c r="E678" s="547">
        <v>1</v>
      </c>
      <c r="F678" s="548">
        <v>2.83</v>
      </c>
      <c r="G678" s="548">
        <v>1.55</v>
      </c>
      <c r="H678" s="548">
        <v>0</v>
      </c>
      <c r="I678" s="549">
        <f>ROUND(IF(AND(F678:H678),C678*E678*F678*G678*H678,IF(AND(F678,G678),C678*E678*F678*G678,IF(AND(F678,H678),C678*E678*F678*H678,IF(AND(G678,H678),C678*E678*G678*H678,IF(F678,C678*E678*F678,IF(G678,C678*E678*G678,IF(H678,C678*E678*H678,C678*E678))))))),2)</f>
        <v>4.3899999999999997</v>
      </c>
      <c r="J678" s="550" t="s">
        <v>102</v>
      </c>
      <c r="K678" s="39"/>
      <c r="L678" s="208"/>
      <c r="M678" s="39"/>
      <c r="N678" s="533" t="s">
        <v>2297</v>
      </c>
    </row>
    <row r="679" spans="1:14" s="541" customFormat="1" ht="16.5" customHeight="1">
      <c r="A679" s="16"/>
      <c r="B679" s="544" t="s">
        <v>1250</v>
      </c>
      <c r="C679" s="545">
        <v>1</v>
      </c>
      <c r="D679" s="546" t="s">
        <v>273</v>
      </c>
      <c r="E679" s="547">
        <v>21</v>
      </c>
      <c r="F679" s="548">
        <v>1.28</v>
      </c>
      <c r="G679" s="548">
        <v>0.3</v>
      </c>
      <c r="H679" s="548">
        <v>0</v>
      </c>
      <c r="I679" s="549">
        <f>ROUND(IF(AND(F679:H679),C679*E679*F679*G679*H679,IF(AND(F679,G679),C679*E679*F679*G679,IF(AND(F679,H679),C679*E679*F679*H679,IF(AND(G679,H679),C679*E679*G679*H679,IF(F679,C679*E679*F679,IF(G679,C679*E679*G679,IF(H679,C679*E679*H679,C679*E679))))))),2)</f>
        <v>8.06</v>
      </c>
      <c r="J679" s="550" t="s">
        <v>102</v>
      </c>
      <c r="K679" s="39"/>
      <c r="L679" s="208"/>
      <c r="M679" s="39"/>
      <c r="N679" s="533" t="s">
        <v>2297</v>
      </c>
    </row>
    <row r="680" spans="1:14" s="541" customFormat="1" ht="16.5" customHeight="1">
      <c r="A680" s="16"/>
      <c r="B680" s="544"/>
      <c r="C680" s="545"/>
      <c r="D680" s="546"/>
      <c r="E680" s="547"/>
      <c r="F680" s="548"/>
      <c r="G680" s="548"/>
      <c r="H680" s="548"/>
      <c r="I680" s="549"/>
      <c r="J680" s="550"/>
      <c r="K680" s="39"/>
      <c r="L680" s="208"/>
      <c r="M680" s="39"/>
      <c r="N680" s="533" t="s">
        <v>2297</v>
      </c>
    </row>
    <row r="681" spans="1:14" ht="15.75">
      <c r="A681" s="16"/>
      <c r="B681" s="39"/>
      <c r="C681" s="551"/>
      <c r="D681" s="552"/>
      <c r="E681" s="537"/>
      <c r="F681" s="538"/>
      <c r="G681" s="40"/>
      <c r="H681" s="16"/>
      <c r="I681" s="549"/>
      <c r="J681" s="550" t="s">
        <v>102</v>
      </c>
      <c r="K681" s="10">
        <f>data!G1559</f>
        <v>709.65</v>
      </c>
      <c r="L681" s="208" t="s">
        <v>2297</v>
      </c>
      <c r="M681" s="9">
        <f>ROUND(I681*K681,0)</f>
        <v>0</v>
      </c>
      <c r="N681" s="533" t="s">
        <v>2297</v>
      </c>
    </row>
    <row r="682" spans="1:14" ht="90" customHeight="1">
      <c r="A682" s="16">
        <v>26</v>
      </c>
      <c r="B682" s="1633" t="s">
        <v>672</v>
      </c>
      <c r="C682" s="1633"/>
      <c r="D682" s="1633"/>
      <c r="E682" s="1633"/>
      <c r="F682" s="1633"/>
      <c r="G682" s="1633"/>
      <c r="H682" s="1633"/>
      <c r="I682" s="534"/>
      <c r="J682" s="535"/>
      <c r="K682" s="16"/>
      <c r="L682" s="208"/>
      <c r="M682" s="38"/>
      <c r="N682" s="533" t="s">
        <v>2308</v>
      </c>
    </row>
    <row r="683" spans="1:14" s="541" customFormat="1" ht="16.5" customHeight="1">
      <c r="A683" s="16"/>
      <c r="B683" s="39" t="s">
        <v>2797</v>
      </c>
      <c r="C683" s="563"/>
      <c r="D683" s="564"/>
      <c r="E683" s="565"/>
      <c r="F683" s="566"/>
      <c r="G683" s="566"/>
      <c r="H683" s="567"/>
      <c r="I683" s="568"/>
      <c r="J683" s="550"/>
      <c r="K683" s="39"/>
      <c r="L683" s="208"/>
      <c r="M683" s="39"/>
      <c r="N683" s="533" t="s">
        <v>2308</v>
      </c>
    </row>
    <row r="684" spans="1:14" s="541" customFormat="1" ht="16.5" customHeight="1">
      <c r="A684" s="16"/>
      <c r="B684" s="544" t="s">
        <v>578</v>
      </c>
      <c r="C684" s="545">
        <v>1</v>
      </c>
      <c r="D684" s="546" t="s">
        <v>273</v>
      </c>
      <c r="E684" s="547">
        <v>1</v>
      </c>
      <c r="F684" s="548">
        <v>9.8699999999999992</v>
      </c>
      <c r="G684" s="548">
        <v>1.83</v>
      </c>
      <c r="H684" s="548">
        <v>0</v>
      </c>
      <c r="I684" s="549">
        <f>ROUND(IF(AND(F684:H684),C684*E684*F684*G684*H684,IF(AND(F684,G684),C684*E684*F684*G684,IF(AND(F684,H684),C684*E684*F684*H684,IF(AND(G684,H684),C684*E684*G684*H684,IF(F684,C684*E684*F684,IF(G684,C684*E684*G684,IF(H684,C684*E684*H684,C684*E684))))))),2)</f>
        <v>18.059999999999999</v>
      </c>
      <c r="J684" s="550" t="s">
        <v>102</v>
      </c>
      <c r="K684" s="39"/>
      <c r="L684" s="208"/>
      <c r="M684" s="39"/>
      <c r="N684" s="533" t="s">
        <v>2308</v>
      </c>
    </row>
    <row r="685" spans="1:14" s="541" customFormat="1" ht="16.5" customHeight="1">
      <c r="A685" s="16"/>
      <c r="B685" s="544" t="s">
        <v>654</v>
      </c>
      <c r="C685" s="545">
        <v>1</v>
      </c>
      <c r="D685" s="546" t="s">
        <v>273</v>
      </c>
      <c r="E685" s="547">
        <v>1</v>
      </c>
      <c r="F685" s="548">
        <v>2.83</v>
      </c>
      <c r="G685" s="548">
        <v>1.55</v>
      </c>
      <c r="H685" s="548">
        <v>0</v>
      </c>
      <c r="I685" s="549">
        <f>ROUND(IF(AND(F685:H685),C685*E685*F685*G685*H685,IF(AND(F685,G685),C685*E685*F685*G685,IF(AND(F685,H685),C685*E685*F685*H685,IF(AND(G685,H685),C685*E685*G685*H685,IF(F685,C685*E685*F685,IF(G685,C685*E685*G685,IF(H685,C685*E685*H685,C685*E685))))))),2)</f>
        <v>4.3899999999999997</v>
      </c>
      <c r="J685" s="550" t="s">
        <v>102</v>
      </c>
      <c r="K685" s="39"/>
      <c r="L685" s="208"/>
      <c r="M685" s="39"/>
      <c r="N685" s="533" t="s">
        <v>2308</v>
      </c>
    </row>
    <row r="686" spans="1:14" s="541" customFormat="1" ht="16.5" customHeight="1">
      <c r="A686" s="16"/>
      <c r="B686" s="544" t="s">
        <v>1250</v>
      </c>
      <c r="C686" s="545">
        <v>1</v>
      </c>
      <c r="D686" s="546" t="s">
        <v>273</v>
      </c>
      <c r="E686" s="547">
        <v>21</v>
      </c>
      <c r="F686" s="548">
        <v>1.28</v>
      </c>
      <c r="G686" s="548">
        <v>0.3</v>
      </c>
      <c r="H686" s="548">
        <v>0</v>
      </c>
      <c r="I686" s="549">
        <f>ROUND(IF(AND(F686:H686),C686*E686*F686*G686*H686,IF(AND(F686,G686),C686*E686*F686*G686,IF(AND(F686,H686),C686*E686*F686*H686,IF(AND(G686,H686),C686*E686*G686*H686,IF(F686,C686*E686*F686,IF(G686,C686*E686*G686,IF(H686,C686*E686*H686,C686*E686))))))),2)</f>
        <v>8.06</v>
      </c>
      <c r="J686" s="550" t="s">
        <v>102</v>
      </c>
      <c r="K686" s="39"/>
      <c r="L686" s="208"/>
      <c r="M686" s="39"/>
      <c r="N686" s="533" t="s">
        <v>2308</v>
      </c>
    </row>
    <row r="687" spans="1:14" s="541" customFormat="1" ht="16.5" customHeight="1">
      <c r="A687" s="16"/>
      <c r="B687" s="544"/>
      <c r="C687" s="545"/>
      <c r="D687" s="546"/>
      <c r="E687" s="547"/>
      <c r="F687" s="548"/>
      <c r="G687" s="548"/>
      <c r="H687" s="548"/>
      <c r="I687" s="549"/>
      <c r="J687" s="550"/>
      <c r="K687" s="39"/>
      <c r="L687" s="208"/>
      <c r="M687" s="39"/>
      <c r="N687" s="533" t="s">
        <v>2308</v>
      </c>
    </row>
    <row r="688" spans="1:14" ht="15.75">
      <c r="A688" s="16"/>
      <c r="B688" s="39"/>
      <c r="C688" s="551"/>
      <c r="D688" s="552"/>
      <c r="E688" s="537"/>
      <c r="F688" s="538"/>
      <c r="G688" s="40"/>
      <c r="H688" s="16"/>
      <c r="I688" s="549"/>
      <c r="J688" s="550" t="s">
        <v>102</v>
      </c>
      <c r="K688" s="10">
        <f>data!G2476</f>
        <v>718.32</v>
      </c>
      <c r="L688" s="208" t="s">
        <v>2308</v>
      </c>
      <c r="M688" s="9">
        <f>ROUND(I688*K688,0)</f>
        <v>0</v>
      </c>
      <c r="N688" s="533" t="s">
        <v>2308</v>
      </c>
    </row>
    <row r="689" spans="1:14" ht="90" customHeight="1">
      <c r="A689" s="16">
        <v>26</v>
      </c>
      <c r="B689" s="1633" t="s">
        <v>672</v>
      </c>
      <c r="C689" s="1633"/>
      <c r="D689" s="1633"/>
      <c r="E689" s="1633"/>
      <c r="F689" s="1633"/>
      <c r="G689" s="1633"/>
      <c r="H689" s="1633"/>
      <c r="I689" s="534"/>
      <c r="J689" s="535"/>
      <c r="K689" s="16"/>
      <c r="L689" s="208"/>
      <c r="M689" s="38"/>
      <c r="N689" s="533" t="s">
        <v>2309</v>
      </c>
    </row>
    <row r="690" spans="1:14" s="541" customFormat="1" ht="16.5" customHeight="1">
      <c r="A690" s="16"/>
      <c r="B690" s="39" t="s">
        <v>2797</v>
      </c>
      <c r="C690" s="563"/>
      <c r="D690" s="564"/>
      <c r="E690" s="565"/>
      <c r="F690" s="566"/>
      <c r="G690" s="566"/>
      <c r="H690" s="567"/>
      <c r="I690" s="568"/>
      <c r="J690" s="550"/>
      <c r="K690" s="39"/>
      <c r="L690" s="208"/>
      <c r="M690" s="39"/>
      <c r="N690" s="533" t="s">
        <v>2309</v>
      </c>
    </row>
    <row r="691" spans="1:14" s="541" customFormat="1" ht="16.5" customHeight="1">
      <c r="A691" s="16"/>
      <c r="B691" s="544" t="s">
        <v>578</v>
      </c>
      <c r="C691" s="545">
        <v>1</v>
      </c>
      <c r="D691" s="546" t="s">
        <v>273</v>
      </c>
      <c r="E691" s="547">
        <v>1</v>
      </c>
      <c r="F691" s="548">
        <v>9.8699999999999992</v>
      </c>
      <c r="G691" s="548">
        <v>1.83</v>
      </c>
      <c r="H691" s="548">
        <v>0</v>
      </c>
      <c r="I691" s="549">
        <f>ROUND(IF(AND(F691:H691),C691*E691*F691*G691*H691,IF(AND(F691,G691),C691*E691*F691*G691,IF(AND(F691,H691),C691*E691*F691*H691,IF(AND(G691,H691),C691*E691*G691*H691,IF(F691,C691*E691*F691,IF(G691,C691*E691*G691,IF(H691,C691*E691*H691,C691*E691))))))),2)</f>
        <v>18.059999999999999</v>
      </c>
      <c r="J691" s="550" t="s">
        <v>102</v>
      </c>
      <c r="K691" s="39"/>
      <c r="L691" s="208"/>
      <c r="M691" s="39"/>
      <c r="N691" s="533" t="s">
        <v>2309</v>
      </c>
    </row>
    <row r="692" spans="1:14" s="541" customFormat="1" ht="16.5" customHeight="1">
      <c r="A692" s="16"/>
      <c r="B692" s="544" t="s">
        <v>654</v>
      </c>
      <c r="C692" s="545">
        <v>1</v>
      </c>
      <c r="D692" s="546" t="s">
        <v>273</v>
      </c>
      <c r="E692" s="547">
        <v>1</v>
      </c>
      <c r="F692" s="548">
        <v>2.83</v>
      </c>
      <c r="G692" s="548">
        <v>1.55</v>
      </c>
      <c r="H692" s="548">
        <v>0</v>
      </c>
      <c r="I692" s="549">
        <f>ROUND(IF(AND(F692:H692),C692*E692*F692*G692*H692,IF(AND(F692,G692),C692*E692*F692*G692,IF(AND(F692,H692),C692*E692*F692*H692,IF(AND(G692,H692),C692*E692*G692*H692,IF(F692,C692*E692*F692,IF(G692,C692*E692*G692,IF(H692,C692*E692*H692,C692*E692))))))),2)</f>
        <v>4.3899999999999997</v>
      </c>
      <c r="J692" s="550" t="s">
        <v>102</v>
      </c>
      <c r="K692" s="39"/>
      <c r="L692" s="208"/>
      <c r="M692" s="39"/>
      <c r="N692" s="533" t="s">
        <v>2309</v>
      </c>
    </row>
    <row r="693" spans="1:14" s="541" customFormat="1" ht="16.5" customHeight="1">
      <c r="A693" s="16"/>
      <c r="B693" s="544" t="s">
        <v>1250</v>
      </c>
      <c r="C693" s="545">
        <v>1</v>
      </c>
      <c r="D693" s="546" t="s">
        <v>273</v>
      </c>
      <c r="E693" s="547">
        <v>21</v>
      </c>
      <c r="F693" s="548">
        <v>1.28</v>
      </c>
      <c r="G693" s="548">
        <v>0.3</v>
      </c>
      <c r="H693" s="548">
        <v>0</v>
      </c>
      <c r="I693" s="549">
        <f>ROUND(IF(AND(F693:H693),C693*E693*F693*G693*H693,IF(AND(F693,G693),C693*E693*F693*G693,IF(AND(F693,H693),C693*E693*F693*H693,IF(AND(G693,H693),C693*E693*G693*H693,IF(F693,C693*E693*F693,IF(G693,C693*E693*G693,IF(H693,C693*E693*H693,C693*E693))))))),2)</f>
        <v>8.06</v>
      </c>
      <c r="J693" s="550" t="s">
        <v>102</v>
      </c>
      <c r="K693" s="39"/>
      <c r="L693" s="208"/>
      <c r="M693" s="39"/>
      <c r="N693" s="533" t="s">
        <v>2309</v>
      </c>
    </row>
    <row r="694" spans="1:14" s="541" customFormat="1" ht="16.5" customHeight="1">
      <c r="A694" s="16"/>
      <c r="B694" s="544"/>
      <c r="C694" s="545"/>
      <c r="D694" s="546"/>
      <c r="E694" s="547"/>
      <c r="F694" s="548"/>
      <c r="G694" s="548"/>
      <c r="H694" s="548"/>
      <c r="I694" s="549"/>
      <c r="J694" s="550"/>
      <c r="K694" s="39"/>
      <c r="L694" s="208"/>
      <c r="M694" s="39"/>
      <c r="N694" s="533" t="s">
        <v>2309</v>
      </c>
    </row>
    <row r="695" spans="1:14" ht="15.75">
      <c r="A695" s="16"/>
      <c r="B695" s="39"/>
      <c r="C695" s="551"/>
      <c r="D695" s="552"/>
      <c r="E695" s="537"/>
      <c r="F695" s="538"/>
      <c r="G695" s="40"/>
      <c r="H695" s="16"/>
      <c r="I695" s="549"/>
      <c r="J695" s="550" t="s">
        <v>102</v>
      </c>
      <c r="K695" s="10">
        <f>data!G3393</f>
        <v>816.76</v>
      </c>
      <c r="L695" s="208" t="s">
        <v>2309</v>
      </c>
      <c r="M695" s="9">
        <f>ROUND(I695*K695,0)</f>
        <v>0</v>
      </c>
      <c r="N695" s="533" t="s">
        <v>2309</v>
      </c>
    </row>
    <row r="696" spans="1:14" ht="96" customHeight="1">
      <c r="A696" s="16">
        <v>27</v>
      </c>
      <c r="B696" s="1633" t="s">
        <v>678</v>
      </c>
      <c r="C696" s="1633"/>
      <c r="D696" s="1633"/>
      <c r="E696" s="1633"/>
      <c r="F696" s="1633"/>
      <c r="G696" s="1633"/>
      <c r="H696" s="1633"/>
      <c r="I696" s="534"/>
      <c r="J696" s="535"/>
      <c r="K696" s="16"/>
      <c r="L696" s="208"/>
      <c r="M696" s="38"/>
      <c r="N696" s="533" t="s">
        <v>2209</v>
      </c>
    </row>
    <row r="697" spans="1:14" s="541" customFormat="1" ht="16.5" customHeight="1">
      <c r="A697" s="16"/>
      <c r="B697" s="39" t="s">
        <v>2819</v>
      </c>
      <c r="C697" s="563"/>
      <c r="D697" s="564"/>
      <c r="E697" s="565"/>
      <c r="F697" s="566"/>
      <c r="G697" s="566"/>
      <c r="H697" s="567"/>
      <c r="I697" s="568"/>
      <c r="J697" s="550"/>
      <c r="K697" s="39"/>
      <c r="L697" s="208"/>
      <c r="M697" s="39"/>
      <c r="N697" s="533" t="s">
        <v>2209</v>
      </c>
    </row>
    <row r="698" spans="1:14" s="541" customFormat="1" ht="16.5" customHeight="1">
      <c r="A698" s="16"/>
      <c r="B698" s="544" t="s">
        <v>1248</v>
      </c>
      <c r="C698" s="545">
        <v>1</v>
      </c>
      <c r="D698" s="546" t="s">
        <v>273</v>
      </c>
      <c r="E698" s="547">
        <v>2</v>
      </c>
      <c r="F698" s="548">
        <v>5.25</v>
      </c>
      <c r="G698" s="548">
        <v>0</v>
      </c>
      <c r="H698" s="548">
        <v>0.1</v>
      </c>
      <c r="I698" s="549">
        <f t="shared" ref="I698:I700" si="32">ROUND(IF(AND(F698:H698),C698*E698*F698*G698*H698,IF(AND(F698,G698),C698*E698*F698*G698,IF(AND(F698,H698),C698*E698*F698*H698,IF(AND(G698,H698),C698*E698*G698*H698,IF(F698,C698*E698*F698,IF(G698,C698*E698*G698,IF(H698,C698*E698*H698,C698*E698))))))),2)</f>
        <v>1.05</v>
      </c>
      <c r="J698" s="550" t="s">
        <v>102</v>
      </c>
      <c r="K698" s="39"/>
      <c r="L698" s="208"/>
      <c r="M698" s="39"/>
      <c r="N698" s="533" t="s">
        <v>2209</v>
      </c>
    </row>
    <row r="699" spans="1:14" s="541" customFormat="1" ht="16.5" customHeight="1">
      <c r="A699" s="16"/>
      <c r="B699" s="544" t="s">
        <v>578</v>
      </c>
      <c r="C699" s="545">
        <v>1</v>
      </c>
      <c r="D699" s="546" t="s">
        <v>273</v>
      </c>
      <c r="E699" s="547">
        <v>1</v>
      </c>
      <c r="F699" s="548">
        <v>9.8699999999999992</v>
      </c>
      <c r="G699" s="548">
        <v>0</v>
      </c>
      <c r="H699" s="548">
        <v>0.1</v>
      </c>
      <c r="I699" s="549">
        <f t="shared" si="32"/>
        <v>0.99</v>
      </c>
      <c r="J699" s="550" t="s">
        <v>102</v>
      </c>
      <c r="K699" s="39"/>
      <c r="L699" s="208"/>
      <c r="M699" s="39"/>
      <c r="N699" s="533" t="s">
        <v>2209</v>
      </c>
    </row>
    <row r="700" spans="1:14" s="541" customFormat="1" ht="16.5" customHeight="1">
      <c r="A700" s="16"/>
      <c r="B700" s="544" t="s">
        <v>1244</v>
      </c>
      <c r="C700" s="545">
        <v>1</v>
      </c>
      <c r="D700" s="546" t="s">
        <v>273</v>
      </c>
      <c r="E700" s="547">
        <v>1</v>
      </c>
      <c r="F700" s="548">
        <v>10.53</v>
      </c>
      <c r="G700" s="548">
        <v>0</v>
      </c>
      <c r="H700" s="548">
        <v>0.1</v>
      </c>
      <c r="I700" s="549">
        <f t="shared" si="32"/>
        <v>1.05</v>
      </c>
      <c r="J700" s="550" t="s">
        <v>102</v>
      </c>
      <c r="K700" s="39"/>
      <c r="L700" s="208"/>
      <c r="M700" s="39"/>
      <c r="N700" s="533" t="s">
        <v>2209</v>
      </c>
    </row>
    <row r="701" spans="1:14" s="541" customFormat="1" ht="16.5" customHeight="1">
      <c r="A701" s="16"/>
      <c r="B701" s="544"/>
      <c r="C701" s="545"/>
      <c r="D701" s="546"/>
      <c r="E701" s="547"/>
      <c r="F701" s="548"/>
      <c r="G701" s="548"/>
      <c r="H701" s="548"/>
      <c r="I701" s="549"/>
      <c r="J701" s="550"/>
      <c r="K701" s="39"/>
      <c r="L701" s="208"/>
      <c r="M701" s="39"/>
      <c r="N701" s="533" t="s">
        <v>2209</v>
      </c>
    </row>
    <row r="702" spans="1:14" ht="15.75">
      <c r="A702" s="16"/>
      <c r="B702" s="39"/>
      <c r="C702" s="551"/>
      <c r="D702" s="552"/>
      <c r="E702" s="537"/>
      <c r="F702" s="538"/>
      <c r="G702" s="40"/>
      <c r="H702" s="16"/>
      <c r="I702" s="549"/>
      <c r="J702" s="550" t="s">
        <v>102</v>
      </c>
      <c r="K702" s="10">
        <f>data!G660</f>
        <v>681.6</v>
      </c>
      <c r="L702" s="208" t="s">
        <v>2209</v>
      </c>
      <c r="M702" s="9">
        <f>ROUND(I702*K702,0)</f>
        <v>0</v>
      </c>
      <c r="N702" s="533" t="s">
        <v>2209</v>
      </c>
    </row>
    <row r="703" spans="1:14" ht="96" customHeight="1">
      <c r="A703" s="16">
        <v>27</v>
      </c>
      <c r="B703" s="1633" t="s">
        <v>678</v>
      </c>
      <c r="C703" s="1633"/>
      <c r="D703" s="1633"/>
      <c r="E703" s="1633"/>
      <c r="F703" s="1633"/>
      <c r="G703" s="1633"/>
      <c r="H703" s="1633"/>
      <c r="I703" s="534"/>
      <c r="J703" s="535"/>
      <c r="K703" s="16"/>
      <c r="L703" s="208"/>
      <c r="M703" s="38"/>
      <c r="N703" s="533" t="s">
        <v>2297</v>
      </c>
    </row>
    <row r="704" spans="1:14" s="541" customFormat="1" ht="16.5" customHeight="1">
      <c r="A704" s="16"/>
      <c r="B704" s="39" t="s">
        <v>2819</v>
      </c>
      <c r="C704" s="563"/>
      <c r="D704" s="564"/>
      <c r="E704" s="565"/>
      <c r="F704" s="566"/>
      <c r="G704" s="566"/>
      <c r="H704" s="567"/>
      <c r="I704" s="568"/>
      <c r="J704" s="550"/>
      <c r="K704" s="39"/>
      <c r="L704" s="208"/>
      <c r="M704" s="39"/>
      <c r="N704" s="533" t="s">
        <v>2297</v>
      </c>
    </row>
    <row r="705" spans="1:14" s="541" customFormat="1" ht="16.5" customHeight="1">
      <c r="A705" s="16"/>
      <c r="B705" s="544" t="s">
        <v>1248</v>
      </c>
      <c r="C705" s="545">
        <v>1</v>
      </c>
      <c r="D705" s="546" t="s">
        <v>273</v>
      </c>
      <c r="E705" s="547">
        <v>2</v>
      </c>
      <c r="F705" s="548">
        <v>5.25</v>
      </c>
      <c r="G705" s="548">
        <v>0</v>
      </c>
      <c r="H705" s="548">
        <v>0.1</v>
      </c>
      <c r="I705" s="549">
        <f>ROUND(IF(AND(F705:H705),C705*E705*F705*G705*H705,IF(AND(F705,G705),C705*E705*F705*G705,IF(AND(F705,H705),C705*E705*F705*H705,IF(AND(G705,H705),C705*E705*G705*H705,IF(F705,C705*E705*F705,IF(G705,C705*E705*G705,IF(H705,C705*E705*H705,C705*E705))))))),2)</f>
        <v>1.05</v>
      </c>
      <c r="J705" s="550" t="s">
        <v>102</v>
      </c>
      <c r="K705" s="39"/>
      <c r="L705" s="208"/>
      <c r="M705" s="39"/>
      <c r="N705" s="533" t="s">
        <v>2297</v>
      </c>
    </row>
    <row r="706" spans="1:14" s="541" customFormat="1" ht="16.5" customHeight="1">
      <c r="A706" s="16"/>
      <c r="B706" s="544" t="s">
        <v>578</v>
      </c>
      <c r="C706" s="545">
        <v>1</v>
      </c>
      <c r="D706" s="546" t="s">
        <v>273</v>
      </c>
      <c r="E706" s="547">
        <v>1</v>
      </c>
      <c r="F706" s="548">
        <v>9.8699999999999992</v>
      </c>
      <c r="G706" s="548">
        <v>0</v>
      </c>
      <c r="H706" s="548">
        <v>0.1</v>
      </c>
      <c r="I706" s="549">
        <f>ROUND(IF(AND(F706:H706),C706*E706*F706*G706*H706,IF(AND(F706,G706),C706*E706*F706*G706,IF(AND(F706,H706),C706*E706*F706*H706,IF(AND(G706,H706),C706*E706*G706*H706,IF(F706,C706*E706*F706,IF(G706,C706*E706*G706,IF(H706,C706*E706*H706,C706*E706))))))),2)</f>
        <v>0.99</v>
      </c>
      <c r="J706" s="550" t="s">
        <v>102</v>
      </c>
      <c r="K706" s="39"/>
      <c r="L706" s="208"/>
      <c r="M706" s="39"/>
      <c r="N706" s="533" t="s">
        <v>2297</v>
      </c>
    </row>
    <row r="707" spans="1:14" s="541" customFormat="1" ht="16.5" customHeight="1">
      <c r="A707" s="16"/>
      <c r="B707" s="544" t="s">
        <v>1244</v>
      </c>
      <c r="C707" s="545">
        <v>1</v>
      </c>
      <c r="D707" s="546" t="s">
        <v>273</v>
      </c>
      <c r="E707" s="547">
        <v>1</v>
      </c>
      <c r="F707" s="548">
        <v>10.53</v>
      </c>
      <c r="G707" s="548">
        <v>0</v>
      </c>
      <c r="H707" s="548">
        <v>0.1</v>
      </c>
      <c r="I707" s="549">
        <f>ROUND(IF(AND(F707:H707),C707*E707*F707*G707*H707,IF(AND(F707,G707),C707*E707*F707*G707,IF(AND(F707,H707),C707*E707*F707*H707,IF(AND(G707,H707),C707*E707*G707*H707,IF(F707,C707*E707*F707,IF(G707,C707*E707*G707,IF(H707,C707*E707*H707,C707*E707))))))),2)</f>
        <v>1.05</v>
      </c>
      <c r="J707" s="550" t="s">
        <v>102</v>
      </c>
      <c r="K707" s="39"/>
      <c r="L707" s="208"/>
      <c r="M707" s="39"/>
      <c r="N707" s="533" t="s">
        <v>2297</v>
      </c>
    </row>
    <row r="708" spans="1:14" s="541" customFormat="1" ht="16.5" customHeight="1">
      <c r="A708" s="16"/>
      <c r="B708" s="544"/>
      <c r="C708" s="545"/>
      <c r="D708" s="546"/>
      <c r="E708" s="547"/>
      <c r="F708" s="548"/>
      <c r="G708" s="548"/>
      <c r="H708" s="548"/>
      <c r="I708" s="549"/>
      <c r="J708" s="550"/>
      <c r="K708" s="39"/>
      <c r="L708" s="208"/>
      <c r="M708" s="39"/>
      <c r="N708" s="533" t="s">
        <v>2297</v>
      </c>
    </row>
    <row r="709" spans="1:14" ht="15.75">
      <c r="A709" s="16"/>
      <c r="B709" s="39"/>
      <c r="C709" s="551"/>
      <c r="D709" s="552"/>
      <c r="E709" s="537"/>
      <c r="F709" s="538"/>
      <c r="G709" s="40"/>
      <c r="H709" s="16"/>
      <c r="I709" s="549"/>
      <c r="J709" s="550" t="s">
        <v>102</v>
      </c>
      <c r="K709" s="10">
        <f>data!G1577</f>
        <v>715.12</v>
      </c>
      <c r="L709" s="208" t="s">
        <v>2297</v>
      </c>
      <c r="M709" s="9">
        <f>ROUND(I709*K709,0)</f>
        <v>0</v>
      </c>
      <c r="N709" s="533" t="s">
        <v>2297</v>
      </c>
    </row>
    <row r="710" spans="1:14" ht="96" customHeight="1">
      <c r="A710" s="16">
        <v>27</v>
      </c>
      <c r="B710" s="1633" t="s">
        <v>678</v>
      </c>
      <c r="C710" s="1633"/>
      <c r="D710" s="1633"/>
      <c r="E710" s="1633"/>
      <c r="F710" s="1633"/>
      <c r="G710" s="1633"/>
      <c r="H710" s="1633"/>
      <c r="I710" s="534"/>
      <c r="J710" s="535"/>
      <c r="K710" s="16"/>
      <c r="L710" s="208"/>
      <c r="M710" s="38"/>
      <c r="N710" s="533" t="s">
        <v>2308</v>
      </c>
    </row>
    <row r="711" spans="1:14" s="541" customFormat="1" ht="16.5" customHeight="1">
      <c r="A711" s="16"/>
      <c r="B711" s="39" t="s">
        <v>2819</v>
      </c>
      <c r="C711" s="563"/>
      <c r="D711" s="564"/>
      <c r="E711" s="565"/>
      <c r="F711" s="566"/>
      <c r="G711" s="566"/>
      <c r="H711" s="567"/>
      <c r="I711" s="568"/>
      <c r="J711" s="550"/>
      <c r="K711" s="39"/>
      <c r="L711" s="208"/>
      <c r="M711" s="39"/>
      <c r="N711" s="533" t="s">
        <v>2308</v>
      </c>
    </row>
    <row r="712" spans="1:14" s="541" customFormat="1" ht="16.5" customHeight="1">
      <c r="A712" s="16"/>
      <c r="B712" s="544" t="s">
        <v>1248</v>
      </c>
      <c r="C712" s="545">
        <v>1</v>
      </c>
      <c r="D712" s="546" t="s">
        <v>273</v>
      </c>
      <c r="E712" s="547">
        <v>2</v>
      </c>
      <c r="F712" s="548">
        <v>5.25</v>
      </c>
      <c r="G712" s="548">
        <v>0</v>
      </c>
      <c r="H712" s="548">
        <v>0.1</v>
      </c>
      <c r="I712" s="549">
        <f>ROUND(IF(AND(F712:H712),C712*E712*F712*G712*H712,IF(AND(F712,G712),C712*E712*F712*G712,IF(AND(F712,H712),C712*E712*F712*H712,IF(AND(G712,H712),C712*E712*G712*H712,IF(F712,C712*E712*F712,IF(G712,C712*E712*G712,IF(H712,C712*E712*H712,C712*E712))))))),2)</f>
        <v>1.05</v>
      </c>
      <c r="J712" s="550" t="s">
        <v>102</v>
      </c>
      <c r="K712" s="39"/>
      <c r="L712" s="208"/>
      <c r="M712" s="39"/>
      <c r="N712" s="533" t="s">
        <v>2308</v>
      </c>
    </row>
    <row r="713" spans="1:14" s="541" customFormat="1" ht="16.5" customHeight="1">
      <c r="A713" s="16"/>
      <c r="B713" s="544" t="s">
        <v>578</v>
      </c>
      <c r="C713" s="545">
        <v>1</v>
      </c>
      <c r="D713" s="546" t="s">
        <v>273</v>
      </c>
      <c r="E713" s="547">
        <v>1</v>
      </c>
      <c r="F713" s="548">
        <v>9.8699999999999992</v>
      </c>
      <c r="G713" s="548">
        <v>0</v>
      </c>
      <c r="H713" s="548">
        <v>0.1</v>
      </c>
      <c r="I713" s="549">
        <f>ROUND(IF(AND(F713:H713),C713*E713*F713*G713*H713,IF(AND(F713,G713),C713*E713*F713*G713,IF(AND(F713,H713),C713*E713*F713*H713,IF(AND(G713,H713),C713*E713*G713*H713,IF(F713,C713*E713*F713,IF(G713,C713*E713*G713,IF(H713,C713*E713*H713,C713*E713))))))),2)</f>
        <v>0.99</v>
      </c>
      <c r="J713" s="550" t="s">
        <v>102</v>
      </c>
      <c r="K713" s="39"/>
      <c r="L713" s="208"/>
      <c r="M713" s="39"/>
      <c r="N713" s="533" t="s">
        <v>2308</v>
      </c>
    </row>
    <row r="714" spans="1:14" s="541" customFormat="1" ht="16.5" customHeight="1">
      <c r="A714" s="16"/>
      <c r="B714" s="544" t="s">
        <v>1244</v>
      </c>
      <c r="C714" s="545">
        <v>1</v>
      </c>
      <c r="D714" s="546" t="s">
        <v>273</v>
      </c>
      <c r="E714" s="547">
        <v>1</v>
      </c>
      <c r="F714" s="548">
        <v>10.53</v>
      </c>
      <c r="G714" s="548">
        <v>0</v>
      </c>
      <c r="H714" s="548">
        <v>0.1</v>
      </c>
      <c r="I714" s="549">
        <f>ROUND(IF(AND(F714:H714),C714*E714*F714*G714*H714,IF(AND(F714,G714),C714*E714*F714*G714,IF(AND(F714,H714),C714*E714*F714*H714,IF(AND(G714,H714),C714*E714*G714*H714,IF(F714,C714*E714*F714,IF(G714,C714*E714*G714,IF(H714,C714*E714*H714,C714*E714))))))),2)</f>
        <v>1.05</v>
      </c>
      <c r="J714" s="550" t="s">
        <v>102</v>
      </c>
      <c r="K714" s="39"/>
      <c r="L714" s="208"/>
      <c r="M714" s="39"/>
      <c r="N714" s="533" t="s">
        <v>2308</v>
      </c>
    </row>
    <row r="715" spans="1:14" s="541" customFormat="1" ht="16.5" customHeight="1">
      <c r="A715" s="16"/>
      <c r="B715" s="544"/>
      <c r="C715" s="545"/>
      <c r="D715" s="546"/>
      <c r="E715" s="547"/>
      <c r="F715" s="548"/>
      <c r="G715" s="548"/>
      <c r="H715" s="548"/>
      <c r="I715" s="549"/>
      <c r="J715" s="550"/>
      <c r="K715" s="39"/>
      <c r="L715" s="208"/>
      <c r="M715" s="39"/>
      <c r="N715" s="533" t="s">
        <v>2308</v>
      </c>
    </row>
    <row r="716" spans="1:14" ht="15.75">
      <c r="A716" s="16"/>
      <c r="B716" s="39"/>
      <c r="C716" s="551"/>
      <c r="D716" s="552"/>
      <c r="E716" s="537"/>
      <c r="F716" s="538"/>
      <c r="G716" s="40"/>
      <c r="H716" s="16"/>
      <c r="I716" s="549"/>
      <c r="J716" s="550" t="s">
        <v>102</v>
      </c>
      <c r="K716" s="10">
        <f>data!G2494</f>
        <v>740.12</v>
      </c>
      <c r="L716" s="208" t="s">
        <v>2308</v>
      </c>
      <c r="M716" s="9">
        <f>ROUND(I716*K716,0)</f>
        <v>0</v>
      </c>
      <c r="N716" s="533" t="s">
        <v>2308</v>
      </c>
    </row>
    <row r="717" spans="1:14" ht="96" customHeight="1">
      <c r="A717" s="16">
        <v>27</v>
      </c>
      <c r="B717" s="1633" t="s">
        <v>678</v>
      </c>
      <c r="C717" s="1633"/>
      <c r="D717" s="1633"/>
      <c r="E717" s="1633"/>
      <c r="F717" s="1633"/>
      <c r="G717" s="1633"/>
      <c r="H717" s="1633"/>
      <c r="I717" s="534"/>
      <c r="J717" s="535"/>
      <c r="K717" s="16"/>
      <c r="L717" s="208"/>
      <c r="M717" s="38"/>
      <c r="N717" s="533" t="s">
        <v>2309</v>
      </c>
    </row>
    <row r="718" spans="1:14" s="541" customFormat="1" ht="16.5" customHeight="1">
      <c r="A718" s="16"/>
      <c r="B718" s="39" t="s">
        <v>2819</v>
      </c>
      <c r="C718" s="563"/>
      <c r="D718" s="564"/>
      <c r="E718" s="565"/>
      <c r="F718" s="566"/>
      <c r="G718" s="566"/>
      <c r="H718" s="567"/>
      <c r="I718" s="568"/>
      <c r="J718" s="550"/>
      <c r="K718" s="39"/>
      <c r="L718" s="208"/>
      <c r="M718" s="39"/>
      <c r="N718" s="533" t="s">
        <v>2309</v>
      </c>
    </row>
    <row r="719" spans="1:14" s="541" customFormat="1" ht="16.5" customHeight="1">
      <c r="A719" s="16"/>
      <c r="B719" s="544" t="s">
        <v>1248</v>
      </c>
      <c r="C719" s="545">
        <v>1</v>
      </c>
      <c r="D719" s="546" t="s">
        <v>273</v>
      </c>
      <c r="E719" s="547">
        <v>2</v>
      </c>
      <c r="F719" s="548">
        <v>5.25</v>
      </c>
      <c r="G719" s="548">
        <v>0</v>
      </c>
      <c r="H719" s="548">
        <v>0.1</v>
      </c>
      <c r="I719" s="549">
        <f>ROUND(IF(AND(F719:H719),C719*E719*F719*G719*H719,IF(AND(F719,G719),C719*E719*F719*G719,IF(AND(F719,H719),C719*E719*F719*H719,IF(AND(G719,H719),C719*E719*G719*H719,IF(F719,C719*E719*F719,IF(G719,C719*E719*G719,IF(H719,C719*E719*H719,C719*E719))))))),2)</f>
        <v>1.05</v>
      </c>
      <c r="J719" s="550" t="s">
        <v>102</v>
      </c>
      <c r="K719" s="39"/>
      <c r="L719" s="208"/>
      <c r="M719" s="39"/>
      <c r="N719" s="533" t="s">
        <v>2309</v>
      </c>
    </row>
    <row r="720" spans="1:14" s="541" customFormat="1" ht="16.5" customHeight="1">
      <c r="A720" s="16"/>
      <c r="B720" s="544" t="s">
        <v>578</v>
      </c>
      <c r="C720" s="545">
        <v>1</v>
      </c>
      <c r="D720" s="546" t="s">
        <v>273</v>
      </c>
      <c r="E720" s="547">
        <v>1</v>
      </c>
      <c r="F720" s="548">
        <v>9.8699999999999992</v>
      </c>
      <c r="G720" s="548">
        <v>0</v>
      </c>
      <c r="H720" s="548">
        <v>0.1</v>
      </c>
      <c r="I720" s="549">
        <f>ROUND(IF(AND(F720:H720),C720*E720*F720*G720*H720,IF(AND(F720,G720),C720*E720*F720*G720,IF(AND(F720,H720),C720*E720*F720*H720,IF(AND(G720,H720),C720*E720*G720*H720,IF(F720,C720*E720*F720,IF(G720,C720*E720*G720,IF(H720,C720*E720*H720,C720*E720))))))),2)</f>
        <v>0.99</v>
      </c>
      <c r="J720" s="550" t="s">
        <v>102</v>
      </c>
      <c r="K720" s="39"/>
      <c r="L720" s="208"/>
      <c r="M720" s="39"/>
      <c r="N720" s="533" t="s">
        <v>2309</v>
      </c>
    </row>
    <row r="721" spans="1:14" s="541" customFormat="1" ht="16.5" customHeight="1">
      <c r="A721" s="16"/>
      <c r="B721" s="544" t="s">
        <v>1244</v>
      </c>
      <c r="C721" s="545">
        <v>1</v>
      </c>
      <c r="D721" s="546" t="s">
        <v>273</v>
      </c>
      <c r="E721" s="547">
        <v>1</v>
      </c>
      <c r="F721" s="548">
        <v>10.53</v>
      </c>
      <c r="G721" s="548">
        <v>0</v>
      </c>
      <c r="H721" s="548">
        <v>0.1</v>
      </c>
      <c r="I721" s="549">
        <f>ROUND(IF(AND(F721:H721),C721*E721*F721*G721*H721,IF(AND(F721,G721),C721*E721*F721*G721,IF(AND(F721,H721),C721*E721*F721*H721,IF(AND(G721,H721),C721*E721*G721*H721,IF(F721,C721*E721*F721,IF(G721,C721*E721*G721,IF(H721,C721*E721*H721,C721*E721))))))),2)</f>
        <v>1.05</v>
      </c>
      <c r="J721" s="550" t="s">
        <v>102</v>
      </c>
      <c r="K721" s="39"/>
      <c r="L721" s="208"/>
      <c r="M721" s="39"/>
      <c r="N721" s="533" t="s">
        <v>2309</v>
      </c>
    </row>
    <row r="722" spans="1:14" s="541" customFormat="1" ht="16.5" customHeight="1">
      <c r="A722" s="16"/>
      <c r="B722" s="544"/>
      <c r="C722" s="545"/>
      <c r="D722" s="546"/>
      <c r="E722" s="547"/>
      <c r="F722" s="548"/>
      <c r="G722" s="548"/>
      <c r="H722" s="548"/>
      <c r="I722" s="549"/>
      <c r="J722" s="550"/>
      <c r="K722" s="39"/>
      <c r="L722" s="208"/>
      <c r="M722" s="39"/>
      <c r="N722" s="533" t="s">
        <v>2309</v>
      </c>
    </row>
    <row r="723" spans="1:14" ht="15.75">
      <c r="A723" s="16"/>
      <c r="B723" s="39"/>
      <c r="C723" s="551"/>
      <c r="D723" s="552"/>
      <c r="E723" s="537"/>
      <c r="F723" s="538"/>
      <c r="G723" s="40"/>
      <c r="H723" s="16"/>
      <c r="I723" s="549"/>
      <c r="J723" s="550" t="s">
        <v>102</v>
      </c>
      <c r="K723" s="10">
        <f>data!G3411</f>
        <v>822.23</v>
      </c>
      <c r="L723" s="208" t="s">
        <v>2309</v>
      </c>
      <c r="M723" s="9">
        <f>ROUND(I723*K723,0)</f>
        <v>0</v>
      </c>
      <c r="N723" s="533" t="s">
        <v>2309</v>
      </c>
    </row>
    <row r="724" spans="1:14" ht="94.5" customHeight="1">
      <c r="A724" s="16">
        <v>19</v>
      </c>
      <c r="B724" s="1633" t="s">
        <v>211</v>
      </c>
      <c r="C724" s="1633"/>
      <c r="D724" s="1633"/>
      <c r="E724" s="1633"/>
      <c r="F724" s="1633"/>
      <c r="G724" s="1633"/>
      <c r="H724" s="1633"/>
      <c r="I724" s="534"/>
      <c r="J724" s="535"/>
      <c r="K724" s="16"/>
      <c r="L724" s="208"/>
      <c r="M724" s="38"/>
      <c r="N724" s="533" t="s">
        <v>2209</v>
      </c>
    </row>
    <row r="725" spans="1:14" s="541" customFormat="1" ht="16.5" customHeight="1">
      <c r="A725" s="16"/>
      <c r="B725" s="553" t="s">
        <v>2855</v>
      </c>
      <c r="C725" s="563"/>
      <c r="D725" s="564"/>
      <c r="E725" s="565"/>
      <c r="F725" s="566"/>
      <c r="G725" s="566"/>
      <c r="H725" s="567"/>
      <c r="I725" s="568"/>
      <c r="J725" s="550"/>
      <c r="K725" s="39"/>
      <c r="L725" s="208"/>
      <c r="M725" s="39"/>
      <c r="N725" s="533" t="s">
        <v>2209</v>
      </c>
    </row>
    <row r="726" spans="1:14" s="541" customFormat="1" ht="16.5" customHeight="1">
      <c r="A726" s="16"/>
      <c r="B726" s="544"/>
      <c r="C726" s="545">
        <v>1</v>
      </c>
      <c r="D726" s="546" t="s">
        <v>273</v>
      </c>
      <c r="E726" s="547">
        <v>1</v>
      </c>
      <c r="F726" s="548">
        <v>9.86</v>
      </c>
      <c r="G726" s="548">
        <v>1.1499999999999999</v>
      </c>
      <c r="H726" s="548">
        <v>0</v>
      </c>
      <c r="I726" s="549">
        <f t="shared" ref="I726:I728" si="33">ROUND(IF(AND(F726:H726),C726*E726*F726*G726*H726,IF(AND(F726,G726),C726*E726*F726*G726,IF(AND(F726,H726),C726*E726*F726*H726,IF(AND(G726,H726),C726*E726*G726*H726,IF(F726,C726*E726*F726,IF(G726,C726*E726*G726,IF(H726,C726*E726*H726,C726*E726))))))),2)</f>
        <v>11.34</v>
      </c>
      <c r="J726" s="550" t="s">
        <v>102</v>
      </c>
      <c r="K726" s="39"/>
      <c r="L726" s="208"/>
      <c r="M726" s="39"/>
      <c r="N726" s="533" t="s">
        <v>2209</v>
      </c>
    </row>
    <row r="727" spans="1:14" s="541" customFormat="1" ht="16.5" customHeight="1">
      <c r="A727" s="16"/>
      <c r="B727" s="544"/>
      <c r="C727" s="545">
        <v>1</v>
      </c>
      <c r="D727" s="546" t="s">
        <v>273</v>
      </c>
      <c r="E727" s="547">
        <v>1</v>
      </c>
      <c r="F727" s="548">
        <v>3.1</v>
      </c>
      <c r="G727" s="548">
        <v>0.4</v>
      </c>
      <c r="H727" s="548">
        <v>0</v>
      </c>
      <c r="I727" s="549">
        <f t="shared" si="33"/>
        <v>1.24</v>
      </c>
      <c r="J727" s="550" t="s">
        <v>102</v>
      </c>
      <c r="K727" s="39"/>
      <c r="L727" s="208"/>
      <c r="M727" s="39"/>
      <c r="N727" s="533" t="s">
        <v>2209</v>
      </c>
    </row>
    <row r="728" spans="1:14" s="541" customFormat="1" ht="16.5" customHeight="1">
      <c r="A728" s="16"/>
      <c r="B728" s="544"/>
      <c r="C728" s="545">
        <v>1</v>
      </c>
      <c r="D728" s="546" t="s">
        <v>273</v>
      </c>
      <c r="E728" s="547">
        <v>1</v>
      </c>
      <c r="F728" s="548">
        <v>3.1</v>
      </c>
      <c r="G728" s="548">
        <v>1.18</v>
      </c>
      <c r="H728" s="548">
        <v>0</v>
      </c>
      <c r="I728" s="549">
        <f t="shared" si="33"/>
        <v>3.66</v>
      </c>
      <c r="J728" s="550" t="s">
        <v>102</v>
      </c>
      <c r="K728" s="39"/>
      <c r="L728" s="208"/>
      <c r="M728" s="39"/>
      <c r="N728" s="533" t="s">
        <v>2209</v>
      </c>
    </row>
    <row r="729" spans="1:14" s="541" customFormat="1" ht="16.5" customHeight="1">
      <c r="A729" s="16"/>
      <c r="B729" s="544"/>
      <c r="C729" s="545"/>
      <c r="D729" s="546"/>
      <c r="E729" s="547"/>
      <c r="F729" s="548"/>
      <c r="G729" s="548"/>
      <c r="H729" s="548"/>
      <c r="I729" s="549"/>
      <c r="J729" s="550"/>
      <c r="K729" s="39"/>
      <c r="L729" s="208"/>
      <c r="M729" s="39"/>
      <c r="N729" s="533" t="s">
        <v>2209</v>
      </c>
    </row>
    <row r="730" spans="1:14" ht="15.75">
      <c r="A730" s="16"/>
      <c r="B730" s="39"/>
      <c r="C730" s="551"/>
      <c r="D730" s="552"/>
      <c r="E730" s="537"/>
      <c r="F730" s="538"/>
      <c r="G730" s="40"/>
      <c r="H730" s="16"/>
      <c r="I730" s="549"/>
      <c r="J730" s="550" t="s">
        <v>102</v>
      </c>
      <c r="K730" s="10">
        <f>data!G716</f>
        <v>784.71</v>
      </c>
      <c r="L730" s="208" t="s">
        <v>2209</v>
      </c>
      <c r="M730" s="9">
        <f>ROUND(I730*K730,0)</f>
        <v>0</v>
      </c>
      <c r="N730" s="533" t="s">
        <v>2209</v>
      </c>
    </row>
    <row r="731" spans="1:14" ht="94.5" customHeight="1">
      <c r="A731" s="16">
        <v>19</v>
      </c>
      <c r="B731" s="1633" t="s">
        <v>211</v>
      </c>
      <c r="C731" s="1633"/>
      <c r="D731" s="1633"/>
      <c r="E731" s="1633"/>
      <c r="F731" s="1633"/>
      <c r="G731" s="1633"/>
      <c r="H731" s="1633"/>
      <c r="I731" s="534"/>
      <c r="J731" s="535"/>
      <c r="K731" s="16"/>
      <c r="L731" s="208"/>
      <c r="M731" s="38"/>
      <c r="N731" s="533" t="s">
        <v>2297</v>
      </c>
    </row>
    <row r="732" spans="1:14" s="541" customFormat="1" ht="16.5" customHeight="1">
      <c r="A732" s="16"/>
      <c r="B732" s="553" t="s">
        <v>2855</v>
      </c>
      <c r="C732" s="563"/>
      <c r="D732" s="564"/>
      <c r="E732" s="565"/>
      <c r="F732" s="566"/>
      <c r="G732" s="566"/>
      <c r="H732" s="567"/>
      <c r="I732" s="568"/>
      <c r="J732" s="550"/>
      <c r="K732" s="39"/>
      <c r="L732" s="208"/>
      <c r="M732" s="39"/>
      <c r="N732" s="533" t="s">
        <v>2297</v>
      </c>
    </row>
    <row r="733" spans="1:14" s="541" customFormat="1" ht="16.5" customHeight="1">
      <c r="A733" s="16"/>
      <c r="B733" s="544"/>
      <c r="C733" s="545">
        <v>1</v>
      </c>
      <c r="D733" s="546" t="s">
        <v>273</v>
      </c>
      <c r="E733" s="547">
        <v>1</v>
      </c>
      <c r="F733" s="548">
        <v>9.86</v>
      </c>
      <c r="G733" s="548">
        <v>1.1499999999999999</v>
      </c>
      <c r="H733" s="548">
        <v>0</v>
      </c>
      <c r="I733" s="549">
        <f>ROUND(IF(AND(F733:H733),C733*E733*F733*G733*H733,IF(AND(F733,G733),C733*E733*F733*G733,IF(AND(F733,H733),C733*E733*F733*H733,IF(AND(G733,H733),C733*E733*G733*H733,IF(F733,C733*E733*F733,IF(G733,C733*E733*G733,IF(H733,C733*E733*H733,C733*E733))))))),2)</f>
        <v>11.34</v>
      </c>
      <c r="J733" s="550" t="s">
        <v>102</v>
      </c>
      <c r="K733" s="39"/>
      <c r="L733" s="208"/>
      <c r="M733" s="39"/>
      <c r="N733" s="533" t="s">
        <v>2297</v>
      </c>
    </row>
    <row r="734" spans="1:14" s="541" customFormat="1" ht="16.5" customHeight="1">
      <c r="A734" s="16"/>
      <c r="B734" s="544"/>
      <c r="C734" s="545">
        <v>1</v>
      </c>
      <c r="D734" s="546" t="s">
        <v>273</v>
      </c>
      <c r="E734" s="547">
        <v>1</v>
      </c>
      <c r="F734" s="548">
        <v>3.1</v>
      </c>
      <c r="G734" s="548">
        <v>0.4</v>
      </c>
      <c r="H734" s="548">
        <v>0</v>
      </c>
      <c r="I734" s="549">
        <f>ROUND(IF(AND(F734:H734),C734*E734*F734*G734*H734,IF(AND(F734,G734),C734*E734*F734*G734,IF(AND(F734,H734),C734*E734*F734*H734,IF(AND(G734,H734),C734*E734*G734*H734,IF(F734,C734*E734*F734,IF(G734,C734*E734*G734,IF(H734,C734*E734*H734,C734*E734))))))),2)</f>
        <v>1.24</v>
      </c>
      <c r="J734" s="550" t="s">
        <v>102</v>
      </c>
      <c r="K734" s="39"/>
      <c r="L734" s="208"/>
      <c r="M734" s="39"/>
      <c r="N734" s="533" t="s">
        <v>2297</v>
      </c>
    </row>
    <row r="735" spans="1:14" s="541" customFormat="1" ht="16.5" customHeight="1">
      <c r="A735" s="16"/>
      <c r="B735" s="544"/>
      <c r="C735" s="545">
        <v>1</v>
      </c>
      <c r="D735" s="546" t="s">
        <v>273</v>
      </c>
      <c r="E735" s="547">
        <v>1</v>
      </c>
      <c r="F735" s="548">
        <v>3.1</v>
      </c>
      <c r="G735" s="548">
        <v>1.18</v>
      </c>
      <c r="H735" s="548">
        <v>0</v>
      </c>
      <c r="I735" s="549">
        <f>ROUND(IF(AND(F735:H735),C735*E735*F735*G735*H735,IF(AND(F735,G735),C735*E735*F735*G735,IF(AND(F735,H735),C735*E735*F735*H735,IF(AND(G735,H735),C735*E735*G735*H735,IF(F735,C735*E735*F735,IF(G735,C735*E735*G735,IF(H735,C735*E735*H735,C735*E735))))))),2)</f>
        <v>3.66</v>
      </c>
      <c r="J735" s="550" t="s">
        <v>102</v>
      </c>
      <c r="K735" s="39"/>
      <c r="L735" s="208"/>
      <c r="M735" s="39"/>
      <c r="N735" s="533" t="s">
        <v>2297</v>
      </c>
    </row>
    <row r="736" spans="1:14" s="541" customFormat="1" ht="16.5" customHeight="1">
      <c r="A736" s="16"/>
      <c r="B736" s="544"/>
      <c r="C736" s="545"/>
      <c r="D736" s="546"/>
      <c r="E736" s="547"/>
      <c r="F736" s="548"/>
      <c r="G736" s="548"/>
      <c r="H736" s="548"/>
      <c r="I736" s="549"/>
      <c r="J736" s="550"/>
      <c r="K736" s="39"/>
      <c r="L736" s="208"/>
      <c r="M736" s="39"/>
      <c r="N736" s="533" t="s">
        <v>2297</v>
      </c>
    </row>
    <row r="737" spans="1:14" ht="15.75">
      <c r="A737" s="16"/>
      <c r="B737" s="39"/>
      <c r="C737" s="551"/>
      <c r="D737" s="552"/>
      <c r="E737" s="537"/>
      <c r="F737" s="538"/>
      <c r="G737" s="40"/>
      <c r="H737" s="16"/>
      <c r="I737" s="549"/>
      <c r="J737" s="550" t="s">
        <v>102</v>
      </c>
      <c r="K737" s="10">
        <f>data!G1633</f>
        <v>818.23</v>
      </c>
      <c r="L737" s="208" t="s">
        <v>2297</v>
      </c>
      <c r="M737" s="9">
        <f>ROUND(I737*K737,0)</f>
        <v>0</v>
      </c>
      <c r="N737" s="533" t="s">
        <v>2297</v>
      </c>
    </row>
    <row r="738" spans="1:14" ht="94.5" customHeight="1">
      <c r="A738" s="16">
        <v>19</v>
      </c>
      <c r="B738" s="1633" t="s">
        <v>211</v>
      </c>
      <c r="C738" s="1633"/>
      <c r="D738" s="1633"/>
      <c r="E738" s="1633"/>
      <c r="F738" s="1633"/>
      <c r="G738" s="1633"/>
      <c r="H738" s="1633"/>
      <c r="I738" s="534"/>
      <c r="J738" s="535"/>
      <c r="K738" s="16"/>
      <c r="L738" s="208"/>
      <c r="M738" s="38"/>
      <c r="N738" s="533" t="s">
        <v>2308</v>
      </c>
    </row>
    <row r="739" spans="1:14" s="541" customFormat="1" ht="16.5" customHeight="1">
      <c r="A739" s="16"/>
      <c r="B739" s="553" t="s">
        <v>2855</v>
      </c>
      <c r="C739" s="563"/>
      <c r="D739" s="564"/>
      <c r="E739" s="565"/>
      <c r="F739" s="566"/>
      <c r="G739" s="566"/>
      <c r="H739" s="567"/>
      <c r="I739" s="568"/>
      <c r="J739" s="550"/>
      <c r="K739" s="39"/>
      <c r="L739" s="208"/>
      <c r="M739" s="39"/>
      <c r="N739" s="533" t="s">
        <v>2308</v>
      </c>
    </row>
    <row r="740" spans="1:14" s="541" customFormat="1" ht="16.5" customHeight="1">
      <c r="A740" s="16"/>
      <c r="B740" s="544"/>
      <c r="C740" s="545">
        <v>1</v>
      </c>
      <c r="D740" s="546" t="s">
        <v>273</v>
      </c>
      <c r="E740" s="547">
        <v>1</v>
      </c>
      <c r="F740" s="548">
        <v>9.86</v>
      </c>
      <c r="G740" s="548">
        <v>1.1499999999999999</v>
      </c>
      <c r="H740" s="548">
        <v>0</v>
      </c>
      <c r="I740" s="549">
        <f>ROUND(IF(AND(F740:H740),C740*E740*F740*G740*H740,IF(AND(F740,G740),C740*E740*F740*G740,IF(AND(F740,H740),C740*E740*F740*H740,IF(AND(G740,H740),C740*E740*G740*H740,IF(F740,C740*E740*F740,IF(G740,C740*E740*G740,IF(H740,C740*E740*H740,C740*E740))))))),2)</f>
        <v>11.34</v>
      </c>
      <c r="J740" s="550" t="s">
        <v>102</v>
      </c>
      <c r="K740" s="39"/>
      <c r="L740" s="208"/>
      <c r="M740" s="39"/>
      <c r="N740" s="533" t="s">
        <v>2308</v>
      </c>
    </row>
    <row r="741" spans="1:14" s="541" customFormat="1" ht="16.5" customHeight="1">
      <c r="A741" s="16"/>
      <c r="B741" s="544"/>
      <c r="C741" s="545">
        <v>1</v>
      </c>
      <c r="D741" s="546" t="s">
        <v>273</v>
      </c>
      <c r="E741" s="547">
        <v>1</v>
      </c>
      <c r="F741" s="548">
        <v>3.1</v>
      </c>
      <c r="G741" s="548">
        <v>0.4</v>
      </c>
      <c r="H741" s="548">
        <v>0</v>
      </c>
      <c r="I741" s="549">
        <f>ROUND(IF(AND(F741:H741),C741*E741*F741*G741*H741,IF(AND(F741,G741),C741*E741*F741*G741,IF(AND(F741,H741),C741*E741*F741*H741,IF(AND(G741,H741),C741*E741*G741*H741,IF(F741,C741*E741*F741,IF(G741,C741*E741*G741,IF(H741,C741*E741*H741,C741*E741))))))),2)</f>
        <v>1.24</v>
      </c>
      <c r="J741" s="550" t="s">
        <v>102</v>
      </c>
      <c r="K741" s="39"/>
      <c r="L741" s="208"/>
      <c r="M741" s="39"/>
      <c r="N741" s="533" t="s">
        <v>2308</v>
      </c>
    </row>
    <row r="742" spans="1:14" s="541" customFormat="1" ht="16.5" customHeight="1">
      <c r="A742" s="16"/>
      <c r="B742" s="544"/>
      <c r="C742" s="545">
        <v>1</v>
      </c>
      <c r="D742" s="546" t="s">
        <v>273</v>
      </c>
      <c r="E742" s="547">
        <v>1</v>
      </c>
      <c r="F742" s="548">
        <v>3.1</v>
      </c>
      <c r="G742" s="548">
        <v>1.18</v>
      </c>
      <c r="H742" s="548">
        <v>0</v>
      </c>
      <c r="I742" s="549">
        <f>ROUND(IF(AND(F742:H742),C742*E742*F742*G742*H742,IF(AND(F742,G742),C742*E742*F742*G742,IF(AND(F742,H742),C742*E742*F742*H742,IF(AND(G742,H742),C742*E742*G742*H742,IF(F742,C742*E742*F742,IF(G742,C742*E742*G742,IF(H742,C742*E742*H742,C742*E742))))))),2)</f>
        <v>3.66</v>
      </c>
      <c r="J742" s="550" t="s">
        <v>102</v>
      </c>
      <c r="K742" s="39"/>
      <c r="L742" s="208"/>
      <c r="M742" s="39"/>
      <c r="N742" s="533" t="s">
        <v>2308</v>
      </c>
    </row>
    <row r="743" spans="1:14" s="541" customFormat="1" ht="16.5" customHeight="1">
      <c r="A743" s="16"/>
      <c r="B743" s="544"/>
      <c r="C743" s="545"/>
      <c r="D743" s="546"/>
      <c r="E743" s="547"/>
      <c r="F743" s="548"/>
      <c r="G743" s="548"/>
      <c r="H743" s="548"/>
      <c r="I743" s="549"/>
      <c r="J743" s="550"/>
      <c r="K743" s="39"/>
      <c r="L743" s="208"/>
      <c r="M743" s="39"/>
      <c r="N743" s="533" t="s">
        <v>2308</v>
      </c>
    </row>
    <row r="744" spans="1:14" ht="15.75">
      <c r="A744" s="16"/>
      <c r="B744" s="39"/>
      <c r="C744" s="551"/>
      <c r="D744" s="552"/>
      <c r="E744" s="537"/>
      <c r="F744" s="538"/>
      <c r="G744" s="40"/>
      <c r="H744" s="16"/>
      <c r="I744" s="549"/>
      <c r="J744" s="550" t="s">
        <v>102</v>
      </c>
      <c r="K744" s="10">
        <f>data!G2550</f>
        <v>843.23</v>
      </c>
      <c r="L744" s="208" t="s">
        <v>2308</v>
      </c>
      <c r="M744" s="9">
        <f>ROUND(I744*K744,0)</f>
        <v>0</v>
      </c>
      <c r="N744" s="533" t="s">
        <v>2308</v>
      </c>
    </row>
    <row r="745" spans="1:14" ht="94.5" customHeight="1">
      <c r="A745" s="16">
        <v>19</v>
      </c>
      <c r="B745" s="1633" t="s">
        <v>211</v>
      </c>
      <c r="C745" s="1633"/>
      <c r="D745" s="1633"/>
      <c r="E745" s="1633"/>
      <c r="F745" s="1633"/>
      <c r="G745" s="1633"/>
      <c r="H745" s="1633"/>
      <c r="I745" s="534"/>
      <c r="J745" s="535"/>
      <c r="K745" s="16"/>
      <c r="L745" s="208"/>
      <c r="M745" s="38"/>
      <c r="N745" s="533" t="s">
        <v>2309</v>
      </c>
    </row>
    <row r="746" spans="1:14" s="541" customFormat="1" ht="16.5" customHeight="1">
      <c r="A746" s="16"/>
      <c r="B746" s="553" t="s">
        <v>2855</v>
      </c>
      <c r="C746" s="563"/>
      <c r="D746" s="564"/>
      <c r="E746" s="565"/>
      <c r="F746" s="566"/>
      <c r="G746" s="566"/>
      <c r="H746" s="567"/>
      <c r="I746" s="568"/>
      <c r="J746" s="550"/>
      <c r="K746" s="39"/>
      <c r="L746" s="208"/>
      <c r="M746" s="39"/>
      <c r="N746" s="533" t="s">
        <v>2309</v>
      </c>
    </row>
    <row r="747" spans="1:14" s="541" customFormat="1" ht="16.5" customHeight="1">
      <c r="A747" s="16"/>
      <c r="B747" s="544"/>
      <c r="C747" s="545">
        <v>1</v>
      </c>
      <c r="D747" s="546" t="s">
        <v>273</v>
      </c>
      <c r="E747" s="547">
        <v>1</v>
      </c>
      <c r="F747" s="548">
        <v>9.86</v>
      </c>
      <c r="G747" s="548">
        <v>1.1499999999999999</v>
      </c>
      <c r="H747" s="548">
        <v>0</v>
      </c>
      <c r="I747" s="549">
        <f>ROUND(IF(AND(F747:H747),C747*E747*F747*G747*H747,IF(AND(F747,G747),C747*E747*F747*G747,IF(AND(F747,H747),C747*E747*F747*H747,IF(AND(G747,H747),C747*E747*G747*H747,IF(F747,C747*E747*F747,IF(G747,C747*E747*G747,IF(H747,C747*E747*H747,C747*E747))))))),2)</f>
        <v>11.34</v>
      </c>
      <c r="J747" s="550" t="s">
        <v>102</v>
      </c>
      <c r="K747" s="39"/>
      <c r="L747" s="208"/>
      <c r="M747" s="39"/>
      <c r="N747" s="533" t="s">
        <v>2309</v>
      </c>
    </row>
    <row r="748" spans="1:14" s="541" customFormat="1" ht="16.5" customHeight="1">
      <c r="A748" s="16"/>
      <c r="B748" s="544"/>
      <c r="C748" s="545">
        <v>1</v>
      </c>
      <c r="D748" s="546" t="s">
        <v>273</v>
      </c>
      <c r="E748" s="547">
        <v>1</v>
      </c>
      <c r="F748" s="548">
        <v>3.1</v>
      </c>
      <c r="G748" s="548">
        <v>0.4</v>
      </c>
      <c r="H748" s="548">
        <v>0</v>
      </c>
      <c r="I748" s="549">
        <f>ROUND(IF(AND(F748:H748),C748*E748*F748*G748*H748,IF(AND(F748,G748),C748*E748*F748*G748,IF(AND(F748,H748),C748*E748*F748*H748,IF(AND(G748,H748),C748*E748*G748*H748,IF(F748,C748*E748*F748,IF(G748,C748*E748*G748,IF(H748,C748*E748*H748,C748*E748))))))),2)</f>
        <v>1.24</v>
      </c>
      <c r="J748" s="550" t="s">
        <v>102</v>
      </c>
      <c r="K748" s="39"/>
      <c r="L748" s="208"/>
      <c r="M748" s="39"/>
      <c r="N748" s="533" t="s">
        <v>2309</v>
      </c>
    </row>
    <row r="749" spans="1:14" s="541" customFormat="1" ht="16.5" customHeight="1">
      <c r="A749" s="16"/>
      <c r="B749" s="544"/>
      <c r="C749" s="545">
        <v>1</v>
      </c>
      <c r="D749" s="546" t="s">
        <v>273</v>
      </c>
      <c r="E749" s="547">
        <v>1</v>
      </c>
      <c r="F749" s="548">
        <v>3.1</v>
      </c>
      <c r="G749" s="548">
        <v>1.18</v>
      </c>
      <c r="H749" s="548">
        <v>0</v>
      </c>
      <c r="I749" s="549">
        <f>ROUND(IF(AND(F749:H749),C749*E749*F749*G749*H749,IF(AND(F749,G749),C749*E749*F749*G749,IF(AND(F749,H749),C749*E749*F749*H749,IF(AND(G749,H749),C749*E749*G749*H749,IF(F749,C749*E749*F749,IF(G749,C749*E749*G749,IF(H749,C749*E749*H749,C749*E749))))))),2)</f>
        <v>3.66</v>
      </c>
      <c r="J749" s="550" t="s">
        <v>102</v>
      </c>
      <c r="K749" s="39"/>
      <c r="L749" s="208"/>
      <c r="M749" s="39"/>
      <c r="N749" s="533" t="s">
        <v>2309</v>
      </c>
    </row>
    <row r="750" spans="1:14" s="541" customFormat="1" ht="16.5" customHeight="1">
      <c r="A750" s="16"/>
      <c r="B750" s="544"/>
      <c r="C750" s="545"/>
      <c r="D750" s="546"/>
      <c r="E750" s="547"/>
      <c r="F750" s="548"/>
      <c r="G750" s="548"/>
      <c r="H750" s="548"/>
      <c r="I750" s="549"/>
      <c r="J750" s="550"/>
      <c r="K750" s="39"/>
      <c r="L750" s="208"/>
      <c r="M750" s="39"/>
      <c r="N750" s="533" t="s">
        <v>2309</v>
      </c>
    </row>
    <row r="751" spans="1:14" ht="15.75">
      <c r="A751" s="16"/>
      <c r="B751" s="39"/>
      <c r="C751" s="551"/>
      <c r="D751" s="552"/>
      <c r="E751" s="537"/>
      <c r="F751" s="538"/>
      <c r="G751" s="40"/>
      <c r="H751" s="16"/>
      <c r="I751" s="549"/>
      <c r="J751" s="550" t="s">
        <v>102</v>
      </c>
      <c r="K751" s="10">
        <f>data!G3467</f>
        <v>873.89</v>
      </c>
      <c r="L751" s="208" t="s">
        <v>2309</v>
      </c>
      <c r="M751" s="9">
        <f>ROUND(I751*K751,0)</f>
        <v>0</v>
      </c>
      <c r="N751" s="533" t="s">
        <v>2309</v>
      </c>
    </row>
    <row r="752" spans="1:14" ht="94.5" customHeight="1">
      <c r="A752" s="16">
        <v>20</v>
      </c>
      <c r="B752" s="1633" t="s">
        <v>214</v>
      </c>
      <c r="C752" s="1633"/>
      <c r="D752" s="1633"/>
      <c r="E752" s="1633"/>
      <c r="F752" s="1633"/>
      <c r="G752" s="1633"/>
      <c r="H752" s="1633"/>
      <c r="I752" s="534"/>
      <c r="J752" s="535"/>
      <c r="K752" s="16"/>
      <c r="L752" s="208"/>
      <c r="M752" s="38"/>
      <c r="N752" s="533" t="s">
        <v>2209</v>
      </c>
    </row>
    <row r="753" spans="1:14" s="541" customFormat="1" ht="16.5" customHeight="1">
      <c r="A753" s="16"/>
      <c r="B753" s="598" t="s">
        <v>2856</v>
      </c>
      <c r="C753" s="563"/>
      <c r="D753" s="564"/>
      <c r="E753" s="565"/>
      <c r="F753" s="566"/>
      <c r="G753" s="566"/>
      <c r="H753" s="567"/>
      <c r="I753" s="568"/>
      <c r="J753" s="550"/>
      <c r="K753" s="39"/>
      <c r="L753" s="208"/>
      <c r="M753" s="39"/>
      <c r="N753" s="533" t="s">
        <v>2209</v>
      </c>
    </row>
    <row r="754" spans="1:14" s="541" customFormat="1" ht="16.5" customHeight="1">
      <c r="A754" s="16"/>
      <c r="B754" s="544"/>
      <c r="C754" s="545">
        <v>1</v>
      </c>
      <c r="D754" s="546" t="s">
        <v>273</v>
      </c>
      <c r="E754" s="547">
        <v>1</v>
      </c>
      <c r="F754" s="548">
        <v>8.6300000000000008</v>
      </c>
      <c r="G754" s="548">
        <v>0</v>
      </c>
      <c r="H754" s="548">
        <v>0.1</v>
      </c>
      <c r="I754" s="549">
        <f>ROUND(IF(AND(F754:H754),C754*E754*F754*G754*H754,IF(AND(F754,G754),C754*E754*F754*G754,IF(AND(F754,H754),C754*E754*F754*H754,IF(AND(G754,H754),C754*E754*G754*H754,IF(F754,C754*E754*F754,IF(G754,C754*E754*G754,IF(H754,C754*E754*H754,C754*E754))))))),2)</f>
        <v>0.86</v>
      </c>
      <c r="J754" s="550" t="s">
        <v>102</v>
      </c>
      <c r="K754" s="39"/>
      <c r="L754" s="208"/>
      <c r="M754" s="39"/>
      <c r="N754" s="533" t="s">
        <v>2209</v>
      </c>
    </row>
    <row r="755" spans="1:14" s="541" customFormat="1" ht="16.5" customHeight="1">
      <c r="A755" s="16"/>
      <c r="B755" s="544"/>
      <c r="C755" s="545">
        <v>1</v>
      </c>
      <c r="D755" s="546" t="s">
        <v>273</v>
      </c>
      <c r="E755" s="547">
        <v>4</v>
      </c>
      <c r="F755" s="548">
        <v>3.6</v>
      </c>
      <c r="G755" s="548">
        <v>0</v>
      </c>
      <c r="H755" s="548">
        <v>0.18</v>
      </c>
      <c r="I755" s="549">
        <f>ROUND(IF(AND(F755:H755),C755*E755*F755*G755*H755,IF(AND(F755,G755),C755*E755*F755*G755,IF(AND(F755,H755),C755*E755*F755*H755,IF(AND(G755,H755),C755*E755*G755*H755,IF(F755,C755*E755*F755,IF(G755,C755*E755*G755,IF(H755,C755*E755*H755,C755*E755))))))),2)</f>
        <v>2.59</v>
      </c>
      <c r="J755" s="550" t="s">
        <v>102</v>
      </c>
      <c r="K755" s="39"/>
      <c r="L755" s="208"/>
      <c r="M755" s="39"/>
      <c r="N755" s="533" t="s">
        <v>2209</v>
      </c>
    </row>
    <row r="756" spans="1:14" s="541" customFormat="1" ht="16.5" customHeight="1">
      <c r="A756" s="16"/>
      <c r="B756" s="544"/>
      <c r="C756" s="545"/>
      <c r="D756" s="546"/>
      <c r="E756" s="547"/>
      <c r="F756" s="548"/>
      <c r="G756" s="548"/>
      <c r="H756" s="548"/>
      <c r="I756" s="549"/>
      <c r="J756" s="550"/>
      <c r="K756" s="39"/>
      <c r="L756" s="208"/>
      <c r="M756" s="39"/>
      <c r="N756" s="533" t="s">
        <v>2209</v>
      </c>
    </row>
    <row r="757" spans="1:14" ht="15.75">
      <c r="A757" s="16"/>
      <c r="B757" s="39"/>
      <c r="C757" s="551"/>
      <c r="D757" s="552"/>
      <c r="E757" s="537"/>
      <c r="F757" s="538"/>
      <c r="G757" s="40"/>
      <c r="H757" s="16"/>
      <c r="I757" s="549"/>
      <c r="J757" s="550" t="s">
        <v>102</v>
      </c>
      <c r="K757" s="10">
        <f>data!G733</f>
        <v>502.03</v>
      </c>
      <c r="L757" s="208" t="s">
        <v>2209</v>
      </c>
      <c r="M757" s="9">
        <f>ROUND(I757*K757,0)</f>
        <v>0</v>
      </c>
      <c r="N757" s="533" t="s">
        <v>2209</v>
      </c>
    </row>
    <row r="758" spans="1:14" ht="94.5" customHeight="1">
      <c r="A758" s="16">
        <v>20</v>
      </c>
      <c r="B758" s="1633" t="s">
        <v>214</v>
      </c>
      <c r="C758" s="1633"/>
      <c r="D758" s="1633"/>
      <c r="E758" s="1633"/>
      <c r="F758" s="1633"/>
      <c r="G758" s="1633"/>
      <c r="H758" s="1633"/>
      <c r="I758" s="534"/>
      <c r="J758" s="535"/>
      <c r="K758" s="16"/>
      <c r="L758" s="208"/>
      <c r="M758" s="38"/>
      <c r="N758" s="533" t="s">
        <v>2297</v>
      </c>
    </row>
    <row r="759" spans="1:14" s="541" customFormat="1" ht="16.5" customHeight="1">
      <c r="A759" s="16"/>
      <c r="B759" s="598" t="s">
        <v>2856</v>
      </c>
      <c r="C759" s="563"/>
      <c r="D759" s="564"/>
      <c r="E759" s="565"/>
      <c r="F759" s="566"/>
      <c r="G759" s="566"/>
      <c r="H759" s="567"/>
      <c r="I759" s="568"/>
      <c r="J759" s="550"/>
      <c r="K759" s="39"/>
      <c r="L759" s="208"/>
      <c r="M759" s="39"/>
      <c r="N759" s="533" t="s">
        <v>2297</v>
      </c>
    </row>
    <row r="760" spans="1:14" s="541" customFormat="1" ht="16.5" customHeight="1">
      <c r="A760" s="16"/>
      <c r="B760" s="544"/>
      <c r="C760" s="545">
        <v>1</v>
      </c>
      <c r="D760" s="546" t="s">
        <v>273</v>
      </c>
      <c r="E760" s="547">
        <v>1</v>
      </c>
      <c r="F760" s="548">
        <v>8.6300000000000008</v>
      </c>
      <c r="G760" s="548">
        <v>0</v>
      </c>
      <c r="H760" s="548">
        <v>0.1</v>
      </c>
      <c r="I760" s="549">
        <f>ROUND(IF(AND(F760:H760),C760*E760*F760*G760*H760,IF(AND(F760,G760),C760*E760*F760*G760,IF(AND(F760,H760),C760*E760*F760*H760,IF(AND(G760,H760),C760*E760*G760*H760,IF(F760,C760*E760*F760,IF(G760,C760*E760*G760,IF(H760,C760*E760*H760,C760*E760))))))),2)</f>
        <v>0.86</v>
      </c>
      <c r="J760" s="550" t="s">
        <v>102</v>
      </c>
      <c r="K760" s="39"/>
      <c r="L760" s="208"/>
      <c r="M760" s="39"/>
      <c r="N760" s="533" t="s">
        <v>2297</v>
      </c>
    </row>
    <row r="761" spans="1:14" s="541" customFormat="1" ht="16.5" customHeight="1">
      <c r="A761" s="16"/>
      <c r="B761" s="544"/>
      <c r="C761" s="545">
        <v>1</v>
      </c>
      <c r="D761" s="546" t="s">
        <v>273</v>
      </c>
      <c r="E761" s="547">
        <v>4</v>
      </c>
      <c r="F761" s="548">
        <v>3.6</v>
      </c>
      <c r="G761" s="548">
        <v>0</v>
      </c>
      <c r="H761" s="548">
        <v>0.18</v>
      </c>
      <c r="I761" s="549">
        <f>ROUND(IF(AND(F761:H761),C761*E761*F761*G761*H761,IF(AND(F761,G761),C761*E761*F761*G761,IF(AND(F761,H761),C761*E761*F761*H761,IF(AND(G761,H761),C761*E761*G761*H761,IF(F761,C761*E761*F761,IF(G761,C761*E761*G761,IF(H761,C761*E761*H761,C761*E761))))))),2)</f>
        <v>2.59</v>
      </c>
      <c r="J761" s="550" t="s">
        <v>102</v>
      </c>
      <c r="K761" s="39"/>
      <c r="L761" s="208"/>
      <c r="M761" s="39"/>
      <c r="N761" s="533" t="s">
        <v>2297</v>
      </c>
    </row>
    <row r="762" spans="1:14" s="541" customFormat="1" ht="16.5" customHeight="1">
      <c r="A762" s="16"/>
      <c r="B762" s="544"/>
      <c r="C762" s="545"/>
      <c r="D762" s="546"/>
      <c r="E762" s="547"/>
      <c r="F762" s="548"/>
      <c r="G762" s="548"/>
      <c r="H762" s="548"/>
      <c r="I762" s="549"/>
      <c r="J762" s="550"/>
      <c r="K762" s="39"/>
      <c r="L762" s="208"/>
      <c r="M762" s="39"/>
      <c r="N762" s="533" t="s">
        <v>2297</v>
      </c>
    </row>
    <row r="763" spans="1:14" ht="15.75">
      <c r="A763" s="16"/>
      <c r="B763" s="39"/>
      <c r="C763" s="551"/>
      <c r="D763" s="552"/>
      <c r="E763" s="537"/>
      <c r="F763" s="538"/>
      <c r="G763" s="40"/>
      <c r="H763" s="16"/>
      <c r="I763" s="549"/>
      <c r="J763" s="550" t="s">
        <v>102</v>
      </c>
      <c r="K763" s="10">
        <f>data!G1650</f>
        <v>512.04</v>
      </c>
      <c r="L763" s="208" t="s">
        <v>2297</v>
      </c>
      <c r="M763" s="9">
        <f>ROUND(I763*K763,0)</f>
        <v>0</v>
      </c>
      <c r="N763" s="533" t="s">
        <v>2297</v>
      </c>
    </row>
    <row r="764" spans="1:14" ht="94.5" customHeight="1">
      <c r="A764" s="16">
        <v>20</v>
      </c>
      <c r="B764" s="1633" t="s">
        <v>214</v>
      </c>
      <c r="C764" s="1633"/>
      <c r="D764" s="1633"/>
      <c r="E764" s="1633"/>
      <c r="F764" s="1633"/>
      <c r="G764" s="1633"/>
      <c r="H764" s="1633"/>
      <c r="I764" s="534"/>
      <c r="J764" s="535"/>
      <c r="K764" s="16"/>
      <c r="L764" s="208"/>
      <c r="M764" s="38"/>
      <c r="N764" s="533" t="s">
        <v>2308</v>
      </c>
    </row>
    <row r="765" spans="1:14" s="541" customFormat="1" ht="16.5" customHeight="1">
      <c r="A765" s="16"/>
      <c r="B765" s="598" t="s">
        <v>2856</v>
      </c>
      <c r="C765" s="563"/>
      <c r="D765" s="564"/>
      <c r="E765" s="565"/>
      <c r="F765" s="566"/>
      <c r="G765" s="566"/>
      <c r="H765" s="567"/>
      <c r="I765" s="568"/>
      <c r="J765" s="550"/>
      <c r="K765" s="39"/>
      <c r="L765" s="208"/>
      <c r="M765" s="39"/>
      <c r="N765" s="533" t="s">
        <v>2308</v>
      </c>
    </row>
    <row r="766" spans="1:14" s="541" customFormat="1" ht="16.5" customHeight="1">
      <c r="A766" s="16"/>
      <c r="B766" s="544"/>
      <c r="C766" s="545">
        <v>1</v>
      </c>
      <c r="D766" s="546" t="s">
        <v>273</v>
      </c>
      <c r="E766" s="547">
        <v>1</v>
      </c>
      <c r="F766" s="548">
        <v>8.6300000000000008</v>
      </c>
      <c r="G766" s="548">
        <v>0</v>
      </c>
      <c r="H766" s="548">
        <v>0.1</v>
      </c>
      <c r="I766" s="549">
        <f>ROUND(IF(AND(F766:H766),C766*E766*F766*G766*H766,IF(AND(F766,G766),C766*E766*F766*G766,IF(AND(F766,H766),C766*E766*F766*H766,IF(AND(G766,H766),C766*E766*G766*H766,IF(F766,C766*E766*F766,IF(G766,C766*E766*G766,IF(H766,C766*E766*H766,C766*E766))))))),2)</f>
        <v>0.86</v>
      </c>
      <c r="J766" s="550" t="s">
        <v>102</v>
      </c>
      <c r="K766" s="39"/>
      <c r="L766" s="208"/>
      <c r="M766" s="39"/>
      <c r="N766" s="533" t="s">
        <v>2308</v>
      </c>
    </row>
    <row r="767" spans="1:14" s="541" customFormat="1" ht="16.5" customHeight="1">
      <c r="A767" s="16"/>
      <c r="B767" s="544"/>
      <c r="C767" s="545">
        <v>1</v>
      </c>
      <c r="D767" s="546" t="s">
        <v>273</v>
      </c>
      <c r="E767" s="547">
        <v>4</v>
      </c>
      <c r="F767" s="548">
        <v>3.6</v>
      </c>
      <c r="G767" s="548">
        <v>0</v>
      </c>
      <c r="H767" s="548">
        <v>0.18</v>
      </c>
      <c r="I767" s="549">
        <f>ROUND(IF(AND(F767:H767),C767*E767*F767*G767*H767,IF(AND(F767,G767),C767*E767*F767*G767,IF(AND(F767,H767),C767*E767*F767*H767,IF(AND(G767,H767),C767*E767*G767*H767,IF(F767,C767*E767*F767,IF(G767,C767*E767*G767,IF(H767,C767*E767*H767,C767*E767))))))),2)</f>
        <v>2.59</v>
      </c>
      <c r="J767" s="550" t="s">
        <v>102</v>
      </c>
      <c r="K767" s="39"/>
      <c r="L767" s="208"/>
      <c r="M767" s="39"/>
      <c r="N767" s="533" t="s">
        <v>2308</v>
      </c>
    </row>
    <row r="768" spans="1:14" s="541" customFormat="1" ht="16.5" customHeight="1">
      <c r="A768" s="16"/>
      <c r="B768" s="544"/>
      <c r="C768" s="545"/>
      <c r="D768" s="546"/>
      <c r="E768" s="547"/>
      <c r="F768" s="548"/>
      <c r="G768" s="548"/>
      <c r="H768" s="548"/>
      <c r="I768" s="549"/>
      <c r="J768" s="550"/>
      <c r="K768" s="39"/>
      <c r="L768" s="208"/>
      <c r="M768" s="39"/>
      <c r="N768" s="533" t="s">
        <v>2308</v>
      </c>
    </row>
    <row r="769" spans="1:14" ht="15.75">
      <c r="A769" s="16"/>
      <c r="B769" s="39"/>
      <c r="C769" s="551"/>
      <c r="D769" s="552"/>
      <c r="E769" s="537"/>
      <c r="F769" s="538"/>
      <c r="G769" s="40"/>
      <c r="H769" s="16"/>
      <c r="I769" s="549"/>
      <c r="J769" s="550" t="s">
        <v>102</v>
      </c>
      <c r="K769" s="10">
        <f>data!G2567</f>
        <v>520.52</v>
      </c>
      <c r="L769" s="208" t="s">
        <v>2308</v>
      </c>
      <c r="M769" s="9">
        <f>ROUND(I769*K769,0)</f>
        <v>0</v>
      </c>
      <c r="N769" s="533" t="s">
        <v>2308</v>
      </c>
    </row>
    <row r="770" spans="1:14" ht="94.5" customHeight="1">
      <c r="A770" s="16">
        <v>20</v>
      </c>
      <c r="B770" s="1633" t="s">
        <v>214</v>
      </c>
      <c r="C770" s="1633"/>
      <c r="D770" s="1633"/>
      <c r="E770" s="1633"/>
      <c r="F770" s="1633"/>
      <c r="G770" s="1633"/>
      <c r="H770" s="1633"/>
      <c r="I770" s="534"/>
      <c r="J770" s="535"/>
      <c r="K770" s="16"/>
      <c r="L770" s="208"/>
      <c r="M770" s="38"/>
      <c r="N770" s="533" t="s">
        <v>2309</v>
      </c>
    </row>
    <row r="771" spans="1:14" s="541" customFormat="1" ht="16.5" customHeight="1">
      <c r="A771" s="16"/>
      <c r="B771" s="598" t="s">
        <v>2856</v>
      </c>
      <c r="C771" s="563"/>
      <c r="D771" s="564"/>
      <c r="E771" s="565"/>
      <c r="F771" s="566"/>
      <c r="G771" s="566"/>
      <c r="H771" s="567"/>
      <c r="I771" s="568"/>
      <c r="J771" s="550"/>
      <c r="K771" s="39"/>
      <c r="L771" s="208"/>
      <c r="M771" s="39"/>
      <c r="N771" s="533" t="s">
        <v>2309</v>
      </c>
    </row>
    <row r="772" spans="1:14" s="541" customFormat="1" ht="16.5" customHeight="1">
      <c r="A772" s="16"/>
      <c r="B772" s="544"/>
      <c r="C772" s="545">
        <v>1</v>
      </c>
      <c r="D772" s="546" t="s">
        <v>273</v>
      </c>
      <c r="E772" s="547">
        <v>1</v>
      </c>
      <c r="F772" s="548">
        <v>8.6300000000000008</v>
      </c>
      <c r="G772" s="548">
        <v>0</v>
      </c>
      <c r="H772" s="548">
        <v>0.1</v>
      </c>
      <c r="I772" s="549">
        <f>ROUND(IF(AND(F772:H772),C772*E772*F772*G772*H772,IF(AND(F772,G772),C772*E772*F772*G772,IF(AND(F772,H772),C772*E772*F772*H772,IF(AND(G772,H772),C772*E772*G772*H772,IF(F772,C772*E772*F772,IF(G772,C772*E772*G772,IF(H772,C772*E772*H772,C772*E772))))))),2)</f>
        <v>0.86</v>
      </c>
      <c r="J772" s="550" t="s">
        <v>102</v>
      </c>
      <c r="K772" s="39"/>
      <c r="L772" s="208"/>
      <c r="M772" s="39"/>
      <c r="N772" s="533" t="s">
        <v>2309</v>
      </c>
    </row>
    <row r="773" spans="1:14" s="541" customFormat="1" ht="16.5" customHeight="1">
      <c r="A773" s="16"/>
      <c r="B773" s="544"/>
      <c r="C773" s="545">
        <v>1</v>
      </c>
      <c r="D773" s="546" t="s">
        <v>273</v>
      </c>
      <c r="E773" s="547">
        <v>4</v>
      </c>
      <c r="F773" s="548">
        <v>3.6</v>
      </c>
      <c r="G773" s="548">
        <v>0</v>
      </c>
      <c r="H773" s="548">
        <v>0.18</v>
      </c>
      <c r="I773" s="549">
        <f>ROUND(IF(AND(F773:H773),C773*E773*F773*G773*H773,IF(AND(F773,G773),C773*E773*F773*G773,IF(AND(F773,H773),C773*E773*F773*H773,IF(AND(G773,H773),C773*E773*G773*H773,IF(F773,C773*E773*F773,IF(G773,C773*E773*G773,IF(H773,C773*E773*H773,C773*E773))))))),2)</f>
        <v>2.59</v>
      </c>
      <c r="J773" s="550" t="s">
        <v>102</v>
      </c>
      <c r="K773" s="39"/>
      <c r="L773" s="208"/>
      <c r="M773" s="39"/>
      <c r="N773" s="533" t="s">
        <v>2309</v>
      </c>
    </row>
    <row r="774" spans="1:14" s="541" customFormat="1" ht="16.5" customHeight="1">
      <c r="A774" s="16"/>
      <c r="B774" s="544"/>
      <c r="C774" s="545"/>
      <c r="D774" s="546"/>
      <c r="E774" s="547"/>
      <c r="F774" s="548"/>
      <c r="G774" s="548"/>
      <c r="H774" s="548"/>
      <c r="I774" s="549"/>
      <c r="J774" s="550"/>
      <c r="K774" s="39"/>
      <c r="L774" s="208"/>
      <c r="M774" s="39"/>
      <c r="N774" s="533" t="s">
        <v>2309</v>
      </c>
    </row>
    <row r="775" spans="1:14" ht="15.75">
      <c r="A775" s="16"/>
      <c r="B775" s="39"/>
      <c r="C775" s="551"/>
      <c r="D775" s="552"/>
      <c r="E775" s="537"/>
      <c r="F775" s="538"/>
      <c r="G775" s="40"/>
      <c r="H775" s="16"/>
      <c r="I775" s="549"/>
      <c r="J775" s="550" t="s">
        <v>102</v>
      </c>
      <c r="K775" s="10">
        <f>data!G3484</f>
        <v>536.26</v>
      </c>
      <c r="L775" s="208" t="s">
        <v>2309</v>
      </c>
      <c r="M775" s="9">
        <f>ROUND(I775*K775,0)</f>
        <v>0</v>
      </c>
      <c r="N775" s="533" t="s">
        <v>2309</v>
      </c>
    </row>
    <row r="776" spans="1:14" ht="81.75" customHeight="1">
      <c r="A776" s="16">
        <v>27</v>
      </c>
      <c r="B776" s="1633" t="s">
        <v>1202</v>
      </c>
      <c r="C776" s="1633"/>
      <c r="D776" s="1633"/>
      <c r="E776" s="1633"/>
      <c r="F776" s="1633"/>
      <c r="G776" s="1633"/>
      <c r="H776" s="1633"/>
      <c r="I776" s="534"/>
      <c r="J776" s="535"/>
      <c r="K776" s="16"/>
      <c r="L776" s="208"/>
      <c r="M776" s="38"/>
      <c r="N776" s="533" t="s">
        <v>2209</v>
      </c>
    </row>
    <row r="777" spans="1:14" s="541" customFormat="1" ht="16.5" customHeight="1">
      <c r="A777" s="16"/>
      <c r="B777" s="598" t="s">
        <v>2847</v>
      </c>
      <c r="C777" s="563"/>
      <c r="D777" s="564"/>
      <c r="E777" s="565"/>
      <c r="F777" s="566"/>
      <c r="G777" s="566"/>
      <c r="H777" s="567"/>
      <c r="I777" s="568"/>
      <c r="J777" s="575"/>
      <c r="K777" s="39"/>
      <c r="L777" s="208"/>
      <c r="M777" s="39"/>
      <c r="N777" s="533" t="s">
        <v>2209</v>
      </c>
    </row>
    <row r="778" spans="1:14" s="541" customFormat="1" ht="16.5" customHeight="1">
      <c r="A778" s="16"/>
      <c r="B778" s="553" t="s">
        <v>1188</v>
      </c>
      <c r="C778" s="554">
        <v>2</v>
      </c>
      <c r="D778" s="555" t="s">
        <v>273</v>
      </c>
      <c r="E778" s="221">
        <v>0.5</v>
      </c>
      <c r="F778" s="556">
        <v>0.96</v>
      </c>
      <c r="G778" s="556">
        <v>1</v>
      </c>
      <c r="H778" s="556">
        <v>0</v>
      </c>
      <c r="I778" s="557">
        <f>ROUND(IF(AND(F778:H778),C778*E778*F778*G778*H778,IF(AND(F778,G778),C778*E778*F778*G778,IF(AND(F778,H778),C778*E778*F778*H778,IF(AND(G778,H778),C778*E778*G778*H778,IF(F778,C778*E778*F778,IF(G778,C778*E778*G778,IF(H778,C778*E778*H778,C778*E778))))))),2)</f>
        <v>0.96</v>
      </c>
      <c r="J778" s="575" t="s">
        <v>102</v>
      </c>
      <c r="K778" s="39"/>
      <c r="L778" s="208"/>
      <c r="M778" s="39"/>
      <c r="N778" s="533" t="s">
        <v>2209</v>
      </c>
    </row>
    <row r="779" spans="1:14" s="541" customFormat="1" ht="16.5" customHeight="1">
      <c r="A779" s="16"/>
      <c r="B779" s="553"/>
      <c r="C779" s="554">
        <v>1</v>
      </c>
      <c r="D779" s="555" t="s">
        <v>273</v>
      </c>
      <c r="E779" s="221">
        <v>2</v>
      </c>
      <c r="F779" s="556">
        <v>3.6</v>
      </c>
      <c r="G779" s="556">
        <v>1.1299999999999999</v>
      </c>
      <c r="H779" s="556">
        <v>0</v>
      </c>
      <c r="I779" s="557">
        <f>ROUND(IF(AND(F779:H779),C779*E779*F779*G779*H779,IF(AND(F779,G779),C779*E779*F779*G779,IF(AND(F779,H779),C779*E779*F779*H779,IF(AND(G779,H779),C779*E779*G779*H779,IF(F779,C779*E779*F779,IF(G779,C779*E779*G779,IF(H779,C779*E779*H779,C779*E779))))))),2)</f>
        <v>8.14</v>
      </c>
      <c r="J779" s="575" t="s">
        <v>102</v>
      </c>
      <c r="K779" s="39"/>
      <c r="L779" s="208"/>
      <c r="M779" s="39"/>
      <c r="N779" s="533" t="s">
        <v>2209</v>
      </c>
    </row>
    <row r="780" spans="1:14" s="541" customFormat="1" ht="16.5" customHeight="1">
      <c r="A780" s="16"/>
      <c r="B780" s="544"/>
      <c r="C780" s="545"/>
      <c r="D780" s="546"/>
      <c r="E780" s="547"/>
      <c r="F780" s="548"/>
      <c r="G780" s="548"/>
      <c r="H780" s="548"/>
      <c r="I780" s="549"/>
      <c r="J780" s="575"/>
      <c r="K780" s="39"/>
      <c r="L780" s="208"/>
      <c r="M780" s="39"/>
      <c r="N780" s="533" t="s">
        <v>2209</v>
      </c>
    </row>
    <row r="781" spans="1:14" ht="15.75">
      <c r="A781" s="16"/>
      <c r="B781" s="39"/>
      <c r="C781" s="551"/>
      <c r="D781" s="552"/>
      <c r="E781" s="537"/>
      <c r="F781" s="538"/>
      <c r="G781" s="40"/>
      <c r="H781" s="16"/>
      <c r="I781" s="549"/>
      <c r="J781" s="575" t="s">
        <v>102</v>
      </c>
      <c r="K781" s="10">
        <f>data!G761</f>
        <v>977.96</v>
      </c>
      <c r="L781" s="208" t="s">
        <v>2209</v>
      </c>
      <c r="M781" s="9">
        <f>ROUND(I781*K781,0)</f>
        <v>0</v>
      </c>
      <c r="N781" s="533" t="s">
        <v>2209</v>
      </c>
    </row>
    <row r="782" spans="1:14" ht="81.75" customHeight="1">
      <c r="A782" s="16">
        <v>27</v>
      </c>
      <c r="B782" s="1633" t="s">
        <v>1202</v>
      </c>
      <c r="C782" s="1633"/>
      <c r="D782" s="1633"/>
      <c r="E782" s="1633"/>
      <c r="F782" s="1633"/>
      <c r="G782" s="1633"/>
      <c r="H782" s="1633"/>
      <c r="I782" s="534"/>
      <c r="J782" s="535"/>
      <c r="K782" s="16"/>
      <c r="L782" s="208"/>
      <c r="M782" s="38"/>
      <c r="N782" s="533" t="s">
        <v>2297</v>
      </c>
    </row>
    <row r="783" spans="1:14" s="541" customFormat="1" ht="16.5" customHeight="1">
      <c r="A783" s="16"/>
      <c r="B783" s="598" t="s">
        <v>2847</v>
      </c>
      <c r="C783" s="563"/>
      <c r="D783" s="564"/>
      <c r="E783" s="565"/>
      <c r="F783" s="566"/>
      <c r="G783" s="566"/>
      <c r="H783" s="567"/>
      <c r="I783" s="568"/>
      <c r="J783" s="575"/>
      <c r="K783" s="39"/>
      <c r="L783" s="208"/>
      <c r="M783" s="39"/>
      <c r="N783" s="533" t="s">
        <v>2297</v>
      </c>
    </row>
    <row r="784" spans="1:14" s="541" customFormat="1" ht="16.5" customHeight="1">
      <c r="A784" s="16"/>
      <c r="B784" s="553" t="s">
        <v>1188</v>
      </c>
      <c r="C784" s="554">
        <v>2</v>
      </c>
      <c r="D784" s="555" t="s">
        <v>273</v>
      </c>
      <c r="E784" s="221">
        <v>0.5</v>
      </c>
      <c r="F784" s="556">
        <v>0.96</v>
      </c>
      <c r="G784" s="556">
        <v>1</v>
      </c>
      <c r="H784" s="556">
        <v>0</v>
      </c>
      <c r="I784" s="557">
        <f>ROUND(IF(AND(F784:H784),C784*E784*F784*G784*H784,IF(AND(F784,G784),C784*E784*F784*G784,IF(AND(F784,H784),C784*E784*F784*H784,IF(AND(G784,H784),C784*E784*G784*H784,IF(F784,C784*E784*F784,IF(G784,C784*E784*G784,IF(H784,C784*E784*H784,C784*E784))))))),2)</f>
        <v>0.96</v>
      </c>
      <c r="J784" s="575" t="s">
        <v>102</v>
      </c>
      <c r="K784" s="39"/>
      <c r="L784" s="208"/>
      <c r="M784" s="39"/>
      <c r="N784" s="533" t="s">
        <v>2297</v>
      </c>
    </row>
    <row r="785" spans="1:14" s="541" customFormat="1" ht="16.5" customHeight="1">
      <c r="A785" s="16"/>
      <c r="B785" s="553"/>
      <c r="C785" s="554">
        <v>1</v>
      </c>
      <c r="D785" s="555" t="s">
        <v>273</v>
      </c>
      <c r="E785" s="221">
        <v>2</v>
      </c>
      <c r="F785" s="556">
        <v>3.6</v>
      </c>
      <c r="G785" s="556">
        <v>1.1299999999999999</v>
      </c>
      <c r="H785" s="556">
        <v>0</v>
      </c>
      <c r="I785" s="557">
        <f>ROUND(IF(AND(F785:H785),C785*E785*F785*G785*H785,IF(AND(F785,G785),C785*E785*F785*G785,IF(AND(F785,H785),C785*E785*F785*H785,IF(AND(G785,H785),C785*E785*G785*H785,IF(F785,C785*E785*F785,IF(G785,C785*E785*G785,IF(H785,C785*E785*H785,C785*E785))))))),2)</f>
        <v>8.14</v>
      </c>
      <c r="J785" s="575" t="s">
        <v>102</v>
      </c>
      <c r="K785" s="39"/>
      <c r="L785" s="208"/>
      <c r="M785" s="39"/>
      <c r="N785" s="533" t="s">
        <v>2297</v>
      </c>
    </row>
    <row r="786" spans="1:14" s="541" customFormat="1" ht="16.5" customHeight="1">
      <c r="A786" s="16"/>
      <c r="B786" s="544"/>
      <c r="C786" s="545"/>
      <c r="D786" s="546"/>
      <c r="E786" s="547"/>
      <c r="F786" s="548"/>
      <c r="G786" s="548"/>
      <c r="H786" s="548"/>
      <c r="I786" s="549"/>
      <c r="J786" s="575"/>
      <c r="K786" s="39"/>
      <c r="L786" s="208"/>
      <c r="M786" s="39"/>
      <c r="N786" s="533" t="s">
        <v>2297</v>
      </c>
    </row>
    <row r="787" spans="1:14" ht="15.75">
      <c r="A787" s="16"/>
      <c r="B787" s="39"/>
      <c r="C787" s="551"/>
      <c r="D787" s="552"/>
      <c r="E787" s="537"/>
      <c r="F787" s="538"/>
      <c r="G787" s="40"/>
      <c r="H787" s="16"/>
      <c r="I787" s="549"/>
      <c r="J787" s="575" t="s">
        <v>102</v>
      </c>
      <c r="K787" s="10">
        <f>data!G1678</f>
        <v>1023.19</v>
      </c>
      <c r="L787" s="208" t="s">
        <v>2297</v>
      </c>
      <c r="M787" s="9">
        <f>ROUND(I787*K787,0)</f>
        <v>0</v>
      </c>
      <c r="N787" s="533" t="s">
        <v>2297</v>
      </c>
    </row>
    <row r="788" spans="1:14" ht="81.75" customHeight="1">
      <c r="A788" s="16">
        <v>27</v>
      </c>
      <c r="B788" s="1633" t="s">
        <v>1202</v>
      </c>
      <c r="C788" s="1633"/>
      <c r="D788" s="1633"/>
      <c r="E788" s="1633"/>
      <c r="F788" s="1633"/>
      <c r="G788" s="1633"/>
      <c r="H788" s="1633"/>
      <c r="I788" s="534"/>
      <c r="J788" s="535"/>
      <c r="K788" s="16"/>
      <c r="L788" s="208"/>
      <c r="M788" s="38"/>
      <c r="N788" s="533" t="s">
        <v>2308</v>
      </c>
    </row>
    <row r="789" spans="1:14" s="541" customFormat="1" ht="16.5" customHeight="1">
      <c r="A789" s="16"/>
      <c r="B789" s="598" t="s">
        <v>2847</v>
      </c>
      <c r="C789" s="563"/>
      <c r="D789" s="564"/>
      <c r="E789" s="565"/>
      <c r="F789" s="566"/>
      <c r="G789" s="566"/>
      <c r="H789" s="567"/>
      <c r="I789" s="568"/>
      <c r="J789" s="575"/>
      <c r="K789" s="39"/>
      <c r="L789" s="208"/>
      <c r="M789" s="39"/>
      <c r="N789" s="533" t="s">
        <v>2308</v>
      </c>
    </row>
    <row r="790" spans="1:14" s="541" customFormat="1" ht="16.5" customHeight="1">
      <c r="A790" s="16"/>
      <c r="B790" s="553" t="s">
        <v>1188</v>
      </c>
      <c r="C790" s="554">
        <v>2</v>
      </c>
      <c r="D790" s="555" t="s">
        <v>273</v>
      </c>
      <c r="E790" s="221">
        <v>0.5</v>
      </c>
      <c r="F790" s="556">
        <v>0.96</v>
      </c>
      <c r="G790" s="556">
        <v>1</v>
      </c>
      <c r="H790" s="556">
        <v>0</v>
      </c>
      <c r="I790" s="557">
        <f>ROUND(IF(AND(F790:H790),C790*E790*F790*G790*H790,IF(AND(F790,G790),C790*E790*F790*G790,IF(AND(F790,H790),C790*E790*F790*H790,IF(AND(G790,H790),C790*E790*G790*H790,IF(F790,C790*E790*F790,IF(G790,C790*E790*G790,IF(H790,C790*E790*H790,C790*E790))))))),2)</f>
        <v>0.96</v>
      </c>
      <c r="J790" s="575" t="s">
        <v>102</v>
      </c>
      <c r="K790" s="39"/>
      <c r="L790" s="208"/>
      <c r="M790" s="39"/>
      <c r="N790" s="533" t="s">
        <v>2308</v>
      </c>
    </row>
    <row r="791" spans="1:14" s="541" customFormat="1" ht="16.5" customHeight="1">
      <c r="A791" s="16"/>
      <c r="B791" s="553"/>
      <c r="C791" s="554">
        <v>1</v>
      </c>
      <c r="D791" s="555" t="s">
        <v>273</v>
      </c>
      <c r="E791" s="221">
        <v>2</v>
      </c>
      <c r="F791" s="556">
        <v>3.6</v>
      </c>
      <c r="G791" s="556">
        <v>1.1299999999999999</v>
      </c>
      <c r="H791" s="556">
        <v>0</v>
      </c>
      <c r="I791" s="557">
        <f>ROUND(IF(AND(F791:H791),C791*E791*F791*G791*H791,IF(AND(F791,G791),C791*E791*F791*G791,IF(AND(F791,H791),C791*E791*F791*H791,IF(AND(G791,H791),C791*E791*G791*H791,IF(F791,C791*E791*F791,IF(G791,C791*E791*G791,IF(H791,C791*E791*H791,C791*E791))))))),2)</f>
        <v>8.14</v>
      </c>
      <c r="J791" s="575" t="s">
        <v>102</v>
      </c>
      <c r="K791" s="39"/>
      <c r="L791" s="208"/>
      <c r="M791" s="39"/>
      <c r="N791" s="533" t="s">
        <v>2308</v>
      </c>
    </row>
    <row r="792" spans="1:14" s="541" customFormat="1" ht="16.5" customHeight="1">
      <c r="A792" s="16"/>
      <c r="B792" s="544"/>
      <c r="C792" s="545"/>
      <c r="D792" s="546"/>
      <c r="E792" s="547"/>
      <c r="F792" s="548"/>
      <c r="G792" s="548"/>
      <c r="H792" s="548"/>
      <c r="I792" s="549"/>
      <c r="J792" s="575"/>
      <c r="K792" s="39"/>
      <c r="L792" s="208"/>
      <c r="M792" s="39"/>
      <c r="N792" s="533" t="s">
        <v>2308</v>
      </c>
    </row>
    <row r="793" spans="1:14" ht="15.75">
      <c r="A793" s="16"/>
      <c r="B793" s="39"/>
      <c r="C793" s="551"/>
      <c r="D793" s="552"/>
      <c r="E793" s="537"/>
      <c r="F793" s="538"/>
      <c r="G793" s="40"/>
      <c r="H793" s="16"/>
      <c r="I793" s="549"/>
      <c r="J793" s="575" t="s">
        <v>102</v>
      </c>
      <c r="K793" s="10">
        <f>data!G2595</f>
        <v>1058.68</v>
      </c>
      <c r="L793" s="208" t="s">
        <v>2308</v>
      </c>
      <c r="M793" s="9">
        <f>ROUND(I793*K793,0)</f>
        <v>0</v>
      </c>
      <c r="N793" s="533" t="s">
        <v>2308</v>
      </c>
    </row>
    <row r="794" spans="1:14" ht="81.75" customHeight="1">
      <c r="A794" s="16">
        <v>27</v>
      </c>
      <c r="B794" s="1633" t="s">
        <v>1202</v>
      </c>
      <c r="C794" s="1633"/>
      <c r="D794" s="1633"/>
      <c r="E794" s="1633"/>
      <c r="F794" s="1633"/>
      <c r="G794" s="1633"/>
      <c r="H794" s="1633"/>
      <c r="I794" s="534"/>
      <c r="J794" s="535"/>
      <c r="K794" s="16"/>
      <c r="L794" s="208"/>
      <c r="M794" s="38"/>
      <c r="N794" s="533" t="s">
        <v>2309</v>
      </c>
    </row>
    <row r="795" spans="1:14" s="541" customFormat="1" ht="16.5" customHeight="1">
      <c r="A795" s="16"/>
      <c r="B795" s="598" t="s">
        <v>2847</v>
      </c>
      <c r="C795" s="563"/>
      <c r="D795" s="564"/>
      <c r="E795" s="565"/>
      <c r="F795" s="566"/>
      <c r="G795" s="566"/>
      <c r="H795" s="567"/>
      <c r="I795" s="568"/>
      <c r="J795" s="575"/>
      <c r="K795" s="39"/>
      <c r="L795" s="208"/>
      <c r="M795" s="39"/>
      <c r="N795" s="533" t="s">
        <v>2309</v>
      </c>
    </row>
    <row r="796" spans="1:14" s="541" customFormat="1" ht="16.5" customHeight="1">
      <c r="A796" s="16"/>
      <c r="B796" s="553" t="s">
        <v>1188</v>
      </c>
      <c r="C796" s="554">
        <v>2</v>
      </c>
      <c r="D796" s="555" t="s">
        <v>273</v>
      </c>
      <c r="E796" s="221">
        <v>0.5</v>
      </c>
      <c r="F796" s="556">
        <v>0.96</v>
      </c>
      <c r="G796" s="556">
        <v>1</v>
      </c>
      <c r="H796" s="556">
        <v>0</v>
      </c>
      <c r="I796" s="557">
        <f>ROUND(IF(AND(F796:H796),C796*E796*F796*G796*H796,IF(AND(F796,G796),C796*E796*F796*G796,IF(AND(F796,H796),C796*E796*F796*H796,IF(AND(G796,H796),C796*E796*G796*H796,IF(F796,C796*E796*F796,IF(G796,C796*E796*G796,IF(H796,C796*E796*H796,C796*E796))))))),2)</f>
        <v>0.96</v>
      </c>
      <c r="J796" s="575" t="s">
        <v>102</v>
      </c>
      <c r="K796" s="39"/>
      <c r="L796" s="208"/>
      <c r="M796" s="39"/>
      <c r="N796" s="533" t="s">
        <v>2309</v>
      </c>
    </row>
    <row r="797" spans="1:14" s="541" customFormat="1" ht="16.5" customHeight="1">
      <c r="A797" s="16"/>
      <c r="B797" s="553"/>
      <c r="C797" s="554">
        <v>1</v>
      </c>
      <c r="D797" s="555" t="s">
        <v>273</v>
      </c>
      <c r="E797" s="221">
        <v>2</v>
      </c>
      <c r="F797" s="556">
        <v>3.6</v>
      </c>
      <c r="G797" s="556">
        <v>1.1299999999999999</v>
      </c>
      <c r="H797" s="556">
        <v>0</v>
      </c>
      <c r="I797" s="557">
        <f>ROUND(IF(AND(F797:H797),C797*E797*F797*G797*H797,IF(AND(F797,G797),C797*E797*F797*G797,IF(AND(F797,H797),C797*E797*F797*H797,IF(AND(G797,H797),C797*E797*G797*H797,IF(F797,C797*E797*F797,IF(G797,C797*E797*G797,IF(H797,C797*E797*H797,C797*E797))))))),2)</f>
        <v>8.14</v>
      </c>
      <c r="J797" s="575" t="s">
        <v>102</v>
      </c>
      <c r="K797" s="39"/>
      <c r="L797" s="208"/>
      <c r="M797" s="39"/>
      <c r="N797" s="533" t="s">
        <v>2309</v>
      </c>
    </row>
    <row r="798" spans="1:14" s="541" customFormat="1" ht="16.5" customHeight="1">
      <c r="A798" s="16"/>
      <c r="B798" s="544"/>
      <c r="C798" s="545"/>
      <c r="D798" s="546"/>
      <c r="E798" s="547"/>
      <c r="F798" s="548"/>
      <c r="G798" s="548"/>
      <c r="H798" s="548"/>
      <c r="I798" s="549"/>
      <c r="J798" s="575"/>
      <c r="K798" s="39"/>
      <c r="L798" s="208"/>
      <c r="M798" s="39"/>
      <c r="N798" s="533" t="s">
        <v>2309</v>
      </c>
    </row>
    <row r="799" spans="1:14" ht="15.75">
      <c r="A799" s="16"/>
      <c r="B799" s="39"/>
      <c r="C799" s="551"/>
      <c r="D799" s="552"/>
      <c r="E799" s="537"/>
      <c r="F799" s="538"/>
      <c r="G799" s="40"/>
      <c r="H799" s="16"/>
      <c r="I799" s="549"/>
      <c r="J799" s="575" t="s">
        <v>102</v>
      </c>
      <c r="K799" s="10">
        <f>data!G3512</f>
        <v>1100.49</v>
      </c>
      <c r="L799" s="208" t="s">
        <v>2309</v>
      </c>
      <c r="M799" s="9">
        <f>ROUND(I799*K799,0)</f>
        <v>0</v>
      </c>
      <c r="N799" s="533" t="s">
        <v>2309</v>
      </c>
    </row>
    <row r="800" spans="1:14" ht="66" customHeight="1">
      <c r="A800" s="16">
        <v>26</v>
      </c>
      <c r="B800" s="1633" t="s">
        <v>1192</v>
      </c>
      <c r="C800" s="1633"/>
      <c r="D800" s="1633"/>
      <c r="E800" s="1633"/>
      <c r="F800" s="1633"/>
      <c r="G800" s="1633"/>
      <c r="H800" s="1633"/>
      <c r="I800" s="534"/>
      <c r="J800" s="535"/>
      <c r="K800" s="16"/>
      <c r="L800" s="208"/>
      <c r="M800" s="38"/>
      <c r="N800" s="533" t="s">
        <v>2209</v>
      </c>
    </row>
    <row r="801" spans="1:14" s="541" customFormat="1" ht="16.5" customHeight="1">
      <c r="A801" s="16"/>
      <c r="B801" s="39" t="s">
        <v>2821</v>
      </c>
      <c r="C801" s="563"/>
      <c r="D801" s="564"/>
      <c r="E801" s="565"/>
      <c r="F801" s="566"/>
      <c r="G801" s="566"/>
      <c r="H801" s="567"/>
      <c r="I801" s="568"/>
      <c r="J801" s="550"/>
      <c r="K801" s="39"/>
      <c r="L801" s="208"/>
      <c r="M801" s="39"/>
      <c r="N801" s="533" t="s">
        <v>2209</v>
      </c>
    </row>
    <row r="802" spans="1:14" s="541" customFormat="1" ht="16.5" customHeight="1">
      <c r="A802" s="16"/>
      <c r="B802" s="39" t="s">
        <v>799</v>
      </c>
      <c r="C802" s="534">
        <v>1</v>
      </c>
      <c r="D802" s="536" t="s">
        <v>273</v>
      </c>
      <c r="E802" s="537">
        <v>1</v>
      </c>
      <c r="F802" s="538">
        <v>8.5</v>
      </c>
      <c r="G802" s="538">
        <v>4.95</v>
      </c>
      <c r="H802" s="538">
        <v>0</v>
      </c>
      <c r="I802" s="542">
        <f t="shared" ref="I802:I804" si="34">ROUND(IF(AND(F802:H802),C802*E802*F802*G802*H802,IF(AND(F802,G802),C802*E802*F802*G802,IF(AND(F802,H802),C802*E802*F802*H802,IF(AND(G802,H802),C802*E802*G802*H802,IF(F802,C802*E802*F802,IF(G802,C802*E802*G802,IF(H802,C802*E802*H802,C802*E802))))))),2)</f>
        <v>42.08</v>
      </c>
      <c r="J802" s="550" t="s">
        <v>102</v>
      </c>
      <c r="K802" s="39"/>
      <c r="L802" s="208"/>
      <c r="M802" s="39"/>
      <c r="N802" s="533" t="s">
        <v>2209</v>
      </c>
    </row>
    <row r="803" spans="1:14" s="541" customFormat="1" ht="16.5" customHeight="1">
      <c r="A803" s="16"/>
      <c r="B803" s="39" t="s">
        <v>813</v>
      </c>
      <c r="C803" s="534">
        <v>1</v>
      </c>
      <c r="D803" s="536" t="s">
        <v>273</v>
      </c>
      <c r="E803" s="537">
        <v>1</v>
      </c>
      <c r="F803" s="538">
        <v>5.5</v>
      </c>
      <c r="G803" s="538">
        <v>2.4</v>
      </c>
      <c r="H803" s="538">
        <v>0</v>
      </c>
      <c r="I803" s="542">
        <f t="shared" si="34"/>
        <v>13.2</v>
      </c>
      <c r="J803" s="550" t="s">
        <v>102</v>
      </c>
      <c r="K803" s="39"/>
      <c r="L803" s="208"/>
      <c r="M803" s="39"/>
      <c r="N803" s="533" t="s">
        <v>2209</v>
      </c>
    </row>
    <row r="804" spans="1:14" s="541" customFormat="1" ht="16.5" customHeight="1">
      <c r="A804" s="16"/>
      <c r="B804" s="39" t="s">
        <v>815</v>
      </c>
      <c r="C804" s="534">
        <v>1</v>
      </c>
      <c r="D804" s="536" t="s">
        <v>273</v>
      </c>
      <c r="E804" s="537">
        <v>1</v>
      </c>
      <c r="F804" s="538">
        <v>3.15</v>
      </c>
      <c r="G804" s="538">
        <v>2.85</v>
      </c>
      <c r="H804" s="538">
        <v>0</v>
      </c>
      <c r="I804" s="542">
        <f t="shared" si="34"/>
        <v>8.98</v>
      </c>
      <c r="J804" s="550" t="s">
        <v>102</v>
      </c>
      <c r="K804" s="39"/>
      <c r="L804" s="208"/>
      <c r="M804" s="39"/>
      <c r="N804" s="533" t="s">
        <v>2209</v>
      </c>
    </row>
    <row r="805" spans="1:14" s="541" customFormat="1" ht="16.5" customHeight="1">
      <c r="A805" s="16"/>
      <c r="B805" s="39" t="s">
        <v>816</v>
      </c>
      <c r="C805" s="534">
        <v>1</v>
      </c>
      <c r="D805" s="536" t="s">
        <v>273</v>
      </c>
      <c r="E805" s="537">
        <v>1</v>
      </c>
      <c r="F805" s="538">
        <v>5.45</v>
      </c>
      <c r="G805" s="538">
        <v>0</v>
      </c>
      <c r="H805" s="538">
        <v>3.2</v>
      </c>
      <c r="I805" s="542">
        <f>ROUND(IF(AND(F805:H805),C805*E805*F805*G805*H805,IF(AND(F805,G805),C805*E805*F805*G805,IF(AND(F805,H805),C805*E805*F805*H805,IF(AND(G805,H805),C805*E805*G805*H805,IF(F805,C805*E805*F805,IF(G805,C805*E805*G805,IF(H805,C805*E805*H805,C805*E805))))))),2)</f>
        <v>17.440000000000001</v>
      </c>
      <c r="J805" s="550" t="s">
        <v>102</v>
      </c>
      <c r="K805" s="39"/>
      <c r="L805" s="208"/>
      <c r="M805" s="39"/>
      <c r="N805" s="533" t="s">
        <v>2209</v>
      </c>
    </row>
    <row r="806" spans="1:14" s="541" customFormat="1" ht="16.5" customHeight="1">
      <c r="A806" s="16"/>
      <c r="B806" s="544"/>
      <c r="C806" s="545"/>
      <c r="D806" s="546"/>
      <c r="E806" s="582"/>
      <c r="F806" s="548"/>
      <c r="G806" s="548"/>
      <c r="H806" s="548"/>
      <c r="I806" s="549"/>
      <c r="J806" s="550"/>
      <c r="K806" s="39"/>
      <c r="L806" s="208"/>
      <c r="M806" s="39"/>
      <c r="N806" s="533" t="s">
        <v>2209</v>
      </c>
    </row>
    <row r="807" spans="1:14" ht="15.75">
      <c r="A807" s="16"/>
      <c r="B807" s="39"/>
      <c r="C807" s="551"/>
      <c r="D807" s="552"/>
      <c r="E807" s="537"/>
      <c r="F807" s="538"/>
      <c r="G807" s="40"/>
      <c r="H807" s="16"/>
      <c r="I807" s="549"/>
      <c r="J807" s="550" t="s">
        <v>102</v>
      </c>
      <c r="K807" s="10">
        <f>data!G796</f>
        <v>21.43</v>
      </c>
      <c r="L807" s="208" t="s">
        <v>2209</v>
      </c>
      <c r="M807" s="9">
        <f>ROUND(I807*K807,0)</f>
        <v>0</v>
      </c>
      <c r="N807" s="533" t="s">
        <v>2209</v>
      </c>
    </row>
    <row r="808" spans="1:14" ht="66" customHeight="1">
      <c r="A808" s="16">
        <v>26</v>
      </c>
      <c r="B808" s="1633" t="s">
        <v>1192</v>
      </c>
      <c r="C808" s="1633"/>
      <c r="D808" s="1633"/>
      <c r="E808" s="1633"/>
      <c r="F808" s="1633"/>
      <c r="G808" s="1633"/>
      <c r="H808" s="1633"/>
      <c r="I808" s="534"/>
      <c r="J808" s="535"/>
      <c r="K808" s="16"/>
      <c r="L808" s="208"/>
      <c r="M808" s="38"/>
      <c r="N808" s="533" t="s">
        <v>2297</v>
      </c>
    </row>
    <row r="809" spans="1:14" s="541" customFormat="1" ht="16.5" customHeight="1">
      <c r="A809" s="16"/>
      <c r="B809" s="39" t="s">
        <v>2821</v>
      </c>
      <c r="C809" s="563"/>
      <c r="D809" s="564"/>
      <c r="E809" s="565"/>
      <c r="F809" s="566"/>
      <c r="G809" s="566"/>
      <c r="H809" s="567"/>
      <c r="I809" s="568"/>
      <c r="J809" s="550"/>
      <c r="K809" s="39"/>
      <c r="L809" s="208"/>
      <c r="M809" s="39"/>
      <c r="N809" s="533" t="s">
        <v>2297</v>
      </c>
    </row>
    <row r="810" spans="1:14" s="541" customFormat="1" ht="16.5" customHeight="1">
      <c r="A810" s="16"/>
      <c r="B810" s="39" t="s">
        <v>799</v>
      </c>
      <c r="C810" s="534">
        <v>1</v>
      </c>
      <c r="D810" s="536" t="s">
        <v>273</v>
      </c>
      <c r="E810" s="537">
        <v>1</v>
      </c>
      <c r="F810" s="538">
        <v>8.5</v>
      </c>
      <c r="G810" s="538">
        <v>4.95</v>
      </c>
      <c r="H810" s="538">
        <v>0</v>
      </c>
      <c r="I810" s="542">
        <f>ROUND(IF(AND(F810:H810),C810*E810*F810*G810*H810,IF(AND(F810,G810),C810*E810*F810*G810,IF(AND(F810,H810),C810*E810*F810*H810,IF(AND(G810,H810),C810*E810*G810*H810,IF(F810,C810*E810*F810,IF(G810,C810*E810*G810,IF(H810,C810*E810*H810,C810*E810))))))),2)</f>
        <v>42.08</v>
      </c>
      <c r="J810" s="550" t="s">
        <v>102</v>
      </c>
      <c r="K810" s="39"/>
      <c r="L810" s="208"/>
      <c r="M810" s="39"/>
      <c r="N810" s="533" t="s">
        <v>2297</v>
      </c>
    </row>
    <row r="811" spans="1:14" s="541" customFormat="1" ht="16.5" customHeight="1">
      <c r="A811" s="16"/>
      <c r="B811" s="39" t="s">
        <v>813</v>
      </c>
      <c r="C811" s="534">
        <v>1</v>
      </c>
      <c r="D811" s="536" t="s">
        <v>273</v>
      </c>
      <c r="E811" s="537">
        <v>1</v>
      </c>
      <c r="F811" s="538">
        <v>5.5</v>
      </c>
      <c r="G811" s="538">
        <v>2.4</v>
      </c>
      <c r="H811" s="538">
        <v>0</v>
      </c>
      <c r="I811" s="542">
        <f>ROUND(IF(AND(F811:H811),C811*E811*F811*G811*H811,IF(AND(F811,G811),C811*E811*F811*G811,IF(AND(F811,H811),C811*E811*F811*H811,IF(AND(G811,H811),C811*E811*G811*H811,IF(F811,C811*E811*F811,IF(G811,C811*E811*G811,IF(H811,C811*E811*H811,C811*E811))))))),2)</f>
        <v>13.2</v>
      </c>
      <c r="J811" s="550" t="s">
        <v>102</v>
      </c>
      <c r="K811" s="39"/>
      <c r="L811" s="208"/>
      <c r="M811" s="39"/>
      <c r="N811" s="533" t="s">
        <v>2297</v>
      </c>
    </row>
    <row r="812" spans="1:14" s="541" customFormat="1" ht="16.5" customHeight="1">
      <c r="A812" s="16"/>
      <c r="B812" s="39" t="s">
        <v>815</v>
      </c>
      <c r="C812" s="534">
        <v>1</v>
      </c>
      <c r="D812" s="536" t="s">
        <v>273</v>
      </c>
      <c r="E812" s="537">
        <v>1</v>
      </c>
      <c r="F812" s="538">
        <v>3.15</v>
      </c>
      <c r="G812" s="538">
        <v>2.85</v>
      </c>
      <c r="H812" s="538">
        <v>0</v>
      </c>
      <c r="I812" s="542">
        <f>ROUND(IF(AND(F812:H812),C812*E812*F812*G812*H812,IF(AND(F812,G812),C812*E812*F812*G812,IF(AND(F812,H812),C812*E812*F812*H812,IF(AND(G812,H812),C812*E812*G812*H812,IF(F812,C812*E812*F812,IF(G812,C812*E812*G812,IF(H812,C812*E812*H812,C812*E812))))))),2)</f>
        <v>8.98</v>
      </c>
      <c r="J812" s="550" t="s">
        <v>102</v>
      </c>
      <c r="K812" s="39"/>
      <c r="L812" s="208"/>
      <c r="M812" s="39"/>
      <c r="N812" s="533" t="s">
        <v>2297</v>
      </c>
    </row>
    <row r="813" spans="1:14" s="541" customFormat="1" ht="16.5" customHeight="1">
      <c r="A813" s="16"/>
      <c r="B813" s="39" t="s">
        <v>816</v>
      </c>
      <c r="C813" s="534">
        <v>1</v>
      </c>
      <c r="D813" s="536" t="s">
        <v>273</v>
      </c>
      <c r="E813" s="537">
        <v>1</v>
      </c>
      <c r="F813" s="538">
        <v>5.45</v>
      </c>
      <c r="G813" s="538">
        <v>0</v>
      </c>
      <c r="H813" s="538">
        <v>3.2</v>
      </c>
      <c r="I813" s="542">
        <f>ROUND(IF(AND(F813:H813),C813*E813*F813*G813*H813,IF(AND(F813,G813),C813*E813*F813*G813,IF(AND(F813,H813),C813*E813*F813*H813,IF(AND(G813,H813),C813*E813*G813*H813,IF(F813,C813*E813*F813,IF(G813,C813*E813*G813,IF(H813,C813*E813*H813,C813*E813))))))),2)</f>
        <v>17.440000000000001</v>
      </c>
      <c r="J813" s="550" t="s">
        <v>102</v>
      </c>
      <c r="K813" s="39"/>
      <c r="L813" s="208"/>
      <c r="M813" s="39"/>
      <c r="N813" s="533" t="s">
        <v>2297</v>
      </c>
    </row>
    <row r="814" spans="1:14" s="541" customFormat="1" ht="16.5" customHeight="1">
      <c r="A814" s="16"/>
      <c r="B814" s="544"/>
      <c r="C814" s="545"/>
      <c r="D814" s="546"/>
      <c r="E814" s="582"/>
      <c r="F814" s="548"/>
      <c r="G814" s="548"/>
      <c r="H814" s="548"/>
      <c r="I814" s="549"/>
      <c r="J814" s="550"/>
      <c r="K814" s="39"/>
      <c r="L814" s="208"/>
      <c r="M814" s="39"/>
      <c r="N814" s="533" t="s">
        <v>2297</v>
      </c>
    </row>
    <row r="815" spans="1:14" ht="15.75">
      <c r="A815" s="16"/>
      <c r="B815" s="39"/>
      <c r="C815" s="551"/>
      <c r="D815" s="552"/>
      <c r="E815" s="537"/>
      <c r="F815" s="538"/>
      <c r="G815" s="40"/>
      <c r="H815" s="16"/>
      <c r="I815" s="549"/>
      <c r="J815" s="550" t="s">
        <v>102</v>
      </c>
      <c r="K815" s="10">
        <f>data!G1713</f>
        <v>22.88</v>
      </c>
      <c r="L815" s="208" t="s">
        <v>2297</v>
      </c>
      <c r="M815" s="9">
        <f>ROUND(I815*K815,0)</f>
        <v>0</v>
      </c>
      <c r="N815" s="533" t="s">
        <v>2297</v>
      </c>
    </row>
    <row r="816" spans="1:14" ht="66" customHeight="1">
      <c r="A816" s="16">
        <v>26</v>
      </c>
      <c r="B816" s="1633" t="s">
        <v>1192</v>
      </c>
      <c r="C816" s="1633"/>
      <c r="D816" s="1633"/>
      <c r="E816" s="1633"/>
      <c r="F816" s="1633"/>
      <c r="G816" s="1633"/>
      <c r="H816" s="1633"/>
      <c r="I816" s="534"/>
      <c r="J816" s="535"/>
      <c r="K816" s="16"/>
      <c r="L816" s="208"/>
      <c r="M816" s="38"/>
      <c r="N816" s="533" t="s">
        <v>2308</v>
      </c>
    </row>
    <row r="817" spans="1:14" s="541" customFormat="1" ht="16.5" customHeight="1">
      <c r="A817" s="16"/>
      <c r="B817" s="39" t="s">
        <v>2821</v>
      </c>
      <c r="C817" s="563"/>
      <c r="D817" s="564"/>
      <c r="E817" s="565"/>
      <c r="F817" s="566"/>
      <c r="G817" s="566"/>
      <c r="H817" s="567"/>
      <c r="I817" s="568"/>
      <c r="J817" s="550"/>
      <c r="K817" s="39"/>
      <c r="L817" s="208"/>
      <c r="M817" s="39"/>
      <c r="N817" s="533" t="s">
        <v>2308</v>
      </c>
    </row>
    <row r="818" spans="1:14" s="541" customFormat="1" ht="16.5" customHeight="1">
      <c r="A818" s="16"/>
      <c r="B818" s="39" t="s">
        <v>799</v>
      </c>
      <c r="C818" s="534">
        <v>1</v>
      </c>
      <c r="D818" s="536" t="s">
        <v>273</v>
      </c>
      <c r="E818" s="537">
        <v>1</v>
      </c>
      <c r="F818" s="538">
        <v>8.5</v>
      </c>
      <c r="G818" s="538">
        <v>4.95</v>
      </c>
      <c r="H818" s="538">
        <v>0</v>
      </c>
      <c r="I818" s="542">
        <f>ROUND(IF(AND(F818:H818),C818*E818*F818*G818*H818,IF(AND(F818,G818),C818*E818*F818*G818,IF(AND(F818,H818),C818*E818*F818*H818,IF(AND(G818,H818),C818*E818*G818*H818,IF(F818,C818*E818*F818,IF(G818,C818*E818*G818,IF(H818,C818*E818*H818,C818*E818))))))),2)</f>
        <v>42.08</v>
      </c>
      <c r="J818" s="550" t="s">
        <v>102</v>
      </c>
      <c r="K818" s="39"/>
      <c r="L818" s="208"/>
      <c r="M818" s="39"/>
      <c r="N818" s="533" t="s">
        <v>2308</v>
      </c>
    </row>
    <row r="819" spans="1:14" s="541" customFormat="1" ht="16.5" customHeight="1">
      <c r="A819" s="16"/>
      <c r="B819" s="39" t="s">
        <v>813</v>
      </c>
      <c r="C819" s="534">
        <v>1</v>
      </c>
      <c r="D819" s="536" t="s">
        <v>273</v>
      </c>
      <c r="E819" s="537">
        <v>1</v>
      </c>
      <c r="F819" s="538">
        <v>5.5</v>
      </c>
      <c r="G819" s="538">
        <v>2.4</v>
      </c>
      <c r="H819" s="538">
        <v>0</v>
      </c>
      <c r="I819" s="542">
        <f>ROUND(IF(AND(F819:H819),C819*E819*F819*G819*H819,IF(AND(F819,G819),C819*E819*F819*G819,IF(AND(F819,H819),C819*E819*F819*H819,IF(AND(G819,H819),C819*E819*G819*H819,IF(F819,C819*E819*F819,IF(G819,C819*E819*G819,IF(H819,C819*E819*H819,C819*E819))))))),2)</f>
        <v>13.2</v>
      </c>
      <c r="J819" s="550" t="s">
        <v>102</v>
      </c>
      <c r="K819" s="39"/>
      <c r="L819" s="208"/>
      <c r="M819" s="39"/>
      <c r="N819" s="533" t="s">
        <v>2308</v>
      </c>
    </row>
    <row r="820" spans="1:14" s="541" customFormat="1" ht="16.5" customHeight="1">
      <c r="A820" s="16"/>
      <c r="B820" s="39" t="s">
        <v>815</v>
      </c>
      <c r="C820" s="534">
        <v>1</v>
      </c>
      <c r="D820" s="536" t="s">
        <v>273</v>
      </c>
      <c r="E820" s="537">
        <v>1</v>
      </c>
      <c r="F820" s="538">
        <v>3.15</v>
      </c>
      <c r="G820" s="538">
        <v>2.85</v>
      </c>
      <c r="H820" s="538">
        <v>0</v>
      </c>
      <c r="I820" s="542">
        <f>ROUND(IF(AND(F820:H820),C820*E820*F820*G820*H820,IF(AND(F820,G820),C820*E820*F820*G820,IF(AND(F820,H820),C820*E820*F820*H820,IF(AND(G820,H820),C820*E820*G820*H820,IF(F820,C820*E820*F820,IF(G820,C820*E820*G820,IF(H820,C820*E820*H820,C820*E820))))))),2)</f>
        <v>8.98</v>
      </c>
      <c r="J820" s="550" t="s">
        <v>102</v>
      </c>
      <c r="K820" s="39"/>
      <c r="L820" s="208"/>
      <c r="M820" s="39"/>
      <c r="N820" s="533" t="s">
        <v>2308</v>
      </c>
    </row>
    <row r="821" spans="1:14" s="541" customFormat="1" ht="16.5" customHeight="1">
      <c r="A821" s="16"/>
      <c r="B821" s="39" t="s">
        <v>816</v>
      </c>
      <c r="C821" s="534">
        <v>1</v>
      </c>
      <c r="D821" s="536" t="s">
        <v>273</v>
      </c>
      <c r="E821" s="537">
        <v>1</v>
      </c>
      <c r="F821" s="538">
        <v>5.45</v>
      </c>
      <c r="G821" s="538">
        <v>0</v>
      </c>
      <c r="H821" s="538">
        <v>3.2</v>
      </c>
      <c r="I821" s="542">
        <f>ROUND(IF(AND(F821:H821),C821*E821*F821*G821*H821,IF(AND(F821,G821),C821*E821*F821*G821,IF(AND(F821,H821),C821*E821*F821*H821,IF(AND(G821,H821),C821*E821*G821*H821,IF(F821,C821*E821*F821,IF(G821,C821*E821*G821,IF(H821,C821*E821*H821,C821*E821))))))),2)</f>
        <v>17.440000000000001</v>
      </c>
      <c r="J821" s="550" t="s">
        <v>102</v>
      </c>
      <c r="K821" s="39"/>
      <c r="L821" s="208"/>
      <c r="M821" s="39"/>
      <c r="N821" s="533" t="s">
        <v>2308</v>
      </c>
    </row>
    <row r="822" spans="1:14" s="541" customFormat="1" ht="16.5" customHeight="1">
      <c r="A822" s="16"/>
      <c r="B822" s="544"/>
      <c r="C822" s="545"/>
      <c r="D822" s="546"/>
      <c r="E822" s="582"/>
      <c r="F822" s="548"/>
      <c r="G822" s="548"/>
      <c r="H822" s="548"/>
      <c r="I822" s="549"/>
      <c r="J822" s="550"/>
      <c r="K822" s="39"/>
      <c r="L822" s="208"/>
      <c r="M822" s="39"/>
      <c r="N822" s="533" t="s">
        <v>2308</v>
      </c>
    </row>
    <row r="823" spans="1:14" ht="15.75">
      <c r="A823" s="16"/>
      <c r="B823" s="39"/>
      <c r="C823" s="551"/>
      <c r="D823" s="552"/>
      <c r="E823" s="537"/>
      <c r="F823" s="538"/>
      <c r="G823" s="40"/>
      <c r="H823" s="16"/>
      <c r="I823" s="549"/>
      <c r="J823" s="550" t="s">
        <v>102</v>
      </c>
      <c r="K823" s="10">
        <f>data!G2630</f>
        <v>25.95</v>
      </c>
      <c r="L823" s="208" t="s">
        <v>2308</v>
      </c>
      <c r="M823" s="9">
        <f>ROUND(I823*K823,0)</f>
        <v>0</v>
      </c>
      <c r="N823" s="533" t="s">
        <v>2308</v>
      </c>
    </row>
    <row r="824" spans="1:14" ht="66" customHeight="1">
      <c r="A824" s="16">
        <v>26</v>
      </c>
      <c r="B824" s="1633" t="s">
        <v>1192</v>
      </c>
      <c r="C824" s="1633"/>
      <c r="D824" s="1633"/>
      <c r="E824" s="1633"/>
      <c r="F824" s="1633"/>
      <c r="G824" s="1633"/>
      <c r="H824" s="1633"/>
      <c r="I824" s="534"/>
      <c r="J824" s="535"/>
      <c r="K824" s="16"/>
      <c r="L824" s="208"/>
      <c r="M824" s="38"/>
      <c r="N824" s="533" t="s">
        <v>2309</v>
      </c>
    </row>
    <row r="825" spans="1:14" s="541" customFormat="1" ht="16.5" customHeight="1">
      <c r="A825" s="16"/>
      <c r="B825" s="39" t="s">
        <v>2821</v>
      </c>
      <c r="C825" s="563"/>
      <c r="D825" s="564"/>
      <c r="E825" s="565"/>
      <c r="F825" s="566"/>
      <c r="G825" s="566"/>
      <c r="H825" s="567"/>
      <c r="I825" s="568"/>
      <c r="J825" s="550"/>
      <c r="K825" s="39"/>
      <c r="L825" s="208"/>
      <c r="M825" s="39"/>
      <c r="N825" s="533" t="s">
        <v>2309</v>
      </c>
    </row>
    <row r="826" spans="1:14" s="541" customFormat="1" ht="16.5" customHeight="1">
      <c r="A826" s="16"/>
      <c r="B826" s="39" t="s">
        <v>799</v>
      </c>
      <c r="C826" s="534">
        <v>1</v>
      </c>
      <c r="D826" s="536" t="s">
        <v>273</v>
      </c>
      <c r="E826" s="537">
        <v>1</v>
      </c>
      <c r="F826" s="538">
        <v>8.5</v>
      </c>
      <c r="G826" s="538">
        <v>4.95</v>
      </c>
      <c r="H826" s="538">
        <v>0</v>
      </c>
      <c r="I826" s="542">
        <f>ROUND(IF(AND(F826:H826),C826*E826*F826*G826*H826,IF(AND(F826,G826),C826*E826*F826*G826,IF(AND(F826,H826),C826*E826*F826*H826,IF(AND(G826,H826),C826*E826*G826*H826,IF(F826,C826*E826*F826,IF(G826,C826*E826*G826,IF(H826,C826*E826*H826,C826*E826))))))),2)</f>
        <v>42.08</v>
      </c>
      <c r="J826" s="550" t="s">
        <v>102</v>
      </c>
      <c r="K826" s="39"/>
      <c r="L826" s="208"/>
      <c r="M826" s="39"/>
      <c r="N826" s="533" t="s">
        <v>2309</v>
      </c>
    </row>
    <row r="827" spans="1:14" s="541" customFormat="1" ht="16.5" customHeight="1">
      <c r="A827" s="16"/>
      <c r="B827" s="39" t="s">
        <v>813</v>
      </c>
      <c r="C827" s="534">
        <v>1</v>
      </c>
      <c r="D827" s="536" t="s">
        <v>273</v>
      </c>
      <c r="E827" s="537">
        <v>1</v>
      </c>
      <c r="F827" s="538">
        <v>5.5</v>
      </c>
      <c r="G827" s="538">
        <v>2.4</v>
      </c>
      <c r="H827" s="538">
        <v>0</v>
      </c>
      <c r="I827" s="542">
        <f>ROUND(IF(AND(F827:H827),C827*E827*F827*G827*H827,IF(AND(F827,G827),C827*E827*F827*G827,IF(AND(F827,H827),C827*E827*F827*H827,IF(AND(G827,H827),C827*E827*G827*H827,IF(F827,C827*E827*F827,IF(G827,C827*E827*G827,IF(H827,C827*E827*H827,C827*E827))))))),2)</f>
        <v>13.2</v>
      </c>
      <c r="J827" s="550" t="s">
        <v>102</v>
      </c>
      <c r="K827" s="39"/>
      <c r="L827" s="208"/>
      <c r="M827" s="39"/>
      <c r="N827" s="533" t="s">
        <v>2309</v>
      </c>
    </row>
    <row r="828" spans="1:14" s="541" customFormat="1" ht="16.5" customHeight="1">
      <c r="A828" s="16"/>
      <c r="B828" s="39" t="s">
        <v>815</v>
      </c>
      <c r="C828" s="534">
        <v>1</v>
      </c>
      <c r="D828" s="536" t="s">
        <v>273</v>
      </c>
      <c r="E828" s="537">
        <v>1</v>
      </c>
      <c r="F828" s="538">
        <v>3.15</v>
      </c>
      <c r="G828" s="538">
        <v>2.85</v>
      </c>
      <c r="H828" s="538">
        <v>0</v>
      </c>
      <c r="I828" s="542">
        <f>ROUND(IF(AND(F828:H828),C828*E828*F828*G828*H828,IF(AND(F828,G828),C828*E828*F828*G828,IF(AND(F828,H828),C828*E828*F828*H828,IF(AND(G828,H828),C828*E828*G828*H828,IF(F828,C828*E828*F828,IF(G828,C828*E828*G828,IF(H828,C828*E828*H828,C828*E828))))))),2)</f>
        <v>8.98</v>
      </c>
      <c r="J828" s="550" t="s">
        <v>102</v>
      </c>
      <c r="K828" s="39"/>
      <c r="L828" s="208"/>
      <c r="M828" s="39"/>
      <c r="N828" s="533" t="s">
        <v>2309</v>
      </c>
    </row>
    <row r="829" spans="1:14" s="541" customFormat="1" ht="16.5" customHeight="1">
      <c r="A829" s="16"/>
      <c r="B829" s="39" t="s">
        <v>816</v>
      </c>
      <c r="C829" s="534">
        <v>1</v>
      </c>
      <c r="D829" s="536" t="s">
        <v>273</v>
      </c>
      <c r="E829" s="537">
        <v>1</v>
      </c>
      <c r="F829" s="538">
        <v>5.45</v>
      </c>
      <c r="G829" s="538">
        <v>0</v>
      </c>
      <c r="H829" s="538">
        <v>3.2</v>
      </c>
      <c r="I829" s="542">
        <f>ROUND(IF(AND(F829:H829),C829*E829*F829*G829*H829,IF(AND(F829,G829),C829*E829*F829*G829,IF(AND(F829,H829),C829*E829*F829*H829,IF(AND(G829,H829),C829*E829*G829*H829,IF(F829,C829*E829*F829,IF(G829,C829*E829*G829,IF(H829,C829*E829*H829,C829*E829))))))),2)</f>
        <v>17.440000000000001</v>
      </c>
      <c r="J829" s="550" t="s">
        <v>102</v>
      </c>
      <c r="K829" s="39"/>
      <c r="L829" s="208"/>
      <c r="M829" s="39"/>
      <c r="N829" s="533" t="s">
        <v>2309</v>
      </c>
    </row>
    <row r="830" spans="1:14" s="541" customFormat="1" ht="16.5" customHeight="1">
      <c r="A830" s="16"/>
      <c r="B830" s="544"/>
      <c r="C830" s="545"/>
      <c r="D830" s="546"/>
      <c r="E830" s="582"/>
      <c r="F830" s="548"/>
      <c r="G830" s="548"/>
      <c r="H830" s="548"/>
      <c r="I830" s="549"/>
      <c r="J830" s="550"/>
      <c r="K830" s="39"/>
      <c r="L830" s="208"/>
      <c r="M830" s="39"/>
      <c r="N830" s="533" t="s">
        <v>2309</v>
      </c>
    </row>
    <row r="831" spans="1:14" ht="15.75">
      <c r="A831" s="16"/>
      <c r="B831" s="39"/>
      <c r="C831" s="551"/>
      <c r="D831" s="552"/>
      <c r="E831" s="537"/>
      <c r="F831" s="538"/>
      <c r="G831" s="40"/>
      <c r="H831" s="16"/>
      <c r="I831" s="549"/>
      <c r="J831" s="550" t="s">
        <v>102</v>
      </c>
      <c r="K831" s="10">
        <f>data!G3547</f>
        <v>27.91</v>
      </c>
      <c r="L831" s="208" t="s">
        <v>2309</v>
      </c>
      <c r="M831" s="9">
        <f>ROUND(I831*K831,0)</f>
        <v>0</v>
      </c>
      <c r="N831" s="533" t="s">
        <v>2309</v>
      </c>
    </row>
    <row r="832" spans="1:14" ht="117.75" customHeight="1">
      <c r="A832" s="16">
        <v>9</v>
      </c>
      <c r="B832" s="1633" t="s">
        <v>891</v>
      </c>
      <c r="C832" s="1633"/>
      <c r="D832" s="1633"/>
      <c r="E832" s="1633"/>
      <c r="F832" s="1633"/>
      <c r="G832" s="1633"/>
      <c r="H832" s="1633"/>
      <c r="I832" s="534"/>
      <c r="J832" s="535"/>
      <c r="K832" s="16"/>
      <c r="L832" s="208"/>
      <c r="M832" s="38"/>
      <c r="N832" s="533" t="s">
        <v>2209</v>
      </c>
    </row>
    <row r="833" spans="1:14" s="541" customFormat="1" ht="16.5" customHeight="1">
      <c r="A833" s="16"/>
      <c r="B833" s="39" t="s">
        <v>3033</v>
      </c>
      <c r="C833" s="558"/>
      <c r="D833" s="858" t="s">
        <v>3252</v>
      </c>
      <c r="E833" s="560"/>
      <c r="F833" s="561"/>
      <c r="G833" s="561"/>
      <c r="H833" s="561"/>
      <c r="I833" s="562"/>
      <c r="J833" s="550"/>
      <c r="K833" s="39"/>
      <c r="L833" s="208"/>
      <c r="M833" s="39"/>
      <c r="N833" s="533" t="s">
        <v>2209</v>
      </c>
    </row>
    <row r="834" spans="1:14" s="541" customFormat="1" ht="16.5" customHeight="1">
      <c r="A834" s="16"/>
      <c r="B834" s="39"/>
      <c r="C834" s="534">
        <v>1</v>
      </c>
      <c r="D834" s="536" t="s">
        <v>273</v>
      </c>
      <c r="E834" s="537">
        <v>2</v>
      </c>
      <c r="F834" s="538">
        <v>2.72</v>
      </c>
      <c r="G834" s="538">
        <v>0</v>
      </c>
      <c r="H834" s="538">
        <v>2.38</v>
      </c>
      <c r="I834" s="542">
        <f t="shared" ref="I834:I835" si="35">ROUND(IF(AND(F834:H834),C834*E834*F834*G834*H834,IF(AND(F834,G834),C834*E834*F834*G834,IF(AND(F834,H834),C834*E834*F834*H834,IF(AND(G834,H834),C834*E834*G834*H834,IF(F834,C834*E834*F834,IF(G834,C834*E834*G834,IF(H834,C834*E834*H834,C834*E834))))))),2)</f>
        <v>12.95</v>
      </c>
      <c r="J834" s="550" t="s">
        <v>102</v>
      </c>
      <c r="K834" s="39"/>
      <c r="L834" s="208"/>
      <c r="M834" s="39"/>
      <c r="N834" s="533" t="s">
        <v>2209</v>
      </c>
    </row>
    <row r="835" spans="1:14" s="541" customFormat="1" ht="16.5" customHeight="1">
      <c r="A835" s="16"/>
      <c r="B835" s="39"/>
      <c r="C835" s="534">
        <v>1</v>
      </c>
      <c r="D835" s="536" t="s">
        <v>273</v>
      </c>
      <c r="E835" s="537">
        <v>2</v>
      </c>
      <c r="F835" s="538">
        <v>3.16</v>
      </c>
      <c r="G835" s="538">
        <v>0</v>
      </c>
      <c r="H835" s="538">
        <v>2.38</v>
      </c>
      <c r="I835" s="542">
        <f t="shared" si="35"/>
        <v>15.04</v>
      </c>
      <c r="J835" s="550" t="s">
        <v>102</v>
      </c>
      <c r="K835" s="39"/>
      <c r="L835" s="208"/>
      <c r="M835" s="39"/>
      <c r="N835" s="533" t="s">
        <v>2209</v>
      </c>
    </row>
    <row r="836" spans="1:14" s="541" customFormat="1" ht="16.5" customHeight="1">
      <c r="A836" s="16"/>
      <c r="B836" s="39" t="s">
        <v>579</v>
      </c>
      <c r="C836" s="534">
        <v>1</v>
      </c>
      <c r="D836" s="536" t="s">
        <v>273</v>
      </c>
      <c r="E836" s="537">
        <v>1</v>
      </c>
      <c r="F836" s="538">
        <v>0.9</v>
      </c>
      <c r="G836" s="538">
        <v>0</v>
      </c>
      <c r="H836" s="538">
        <v>2.1</v>
      </c>
      <c r="I836" s="542">
        <f>-ROUND(IF(AND(F836:H836),C836*E836*F836*G836*H836,IF(AND(F836,G836),C836*E836*F836*G836,IF(AND(F836,H836),C836*E836*F836*H836,IF(AND(G836,H836),C836*E836*G836*H836,IF(F836,C836*E836*F836,IF(G836,C836*E836*G836,IF(H836,C836*E836*H836,C836*E836))))))),2)</f>
        <v>-1.89</v>
      </c>
      <c r="J836" s="550" t="s">
        <v>102</v>
      </c>
      <c r="K836" s="39"/>
      <c r="L836" s="208"/>
      <c r="M836" s="39"/>
      <c r="N836" s="533" t="s">
        <v>2209</v>
      </c>
    </row>
    <row r="837" spans="1:14" s="541" customFormat="1" ht="16.5" customHeight="1">
      <c r="A837" s="16"/>
      <c r="B837" s="39" t="s">
        <v>579</v>
      </c>
      <c r="C837" s="534">
        <v>1</v>
      </c>
      <c r="D837" s="536" t="s">
        <v>273</v>
      </c>
      <c r="E837" s="537">
        <v>1</v>
      </c>
      <c r="F837" s="538">
        <v>1.2</v>
      </c>
      <c r="G837" s="538">
        <v>0</v>
      </c>
      <c r="H837" s="538">
        <v>1.1000000000000001</v>
      </c>
      <c r="I837" s="542">
        <f>-ROUND(IF(AND(F837:H837),C837*E837*F837*G837*H837,IF(AND(F837,G837),C837*E837*F837*G837,IF(AND(F837,H837),C837*E837*F837*H837,IF(AND(G837,H837),C837*E837*G837*H837,IF(F837,C837*E837*F837,IF(G837,C837*E837*G837,IF(H837,C837*E837*H837,C837*E837))))))),2)</f>
        <v>-1.32</v>
      </c>
      <c r="J837" s="550" t="s">
        <v>102</v>
      </c>
      <c r="K837" s="39"/>
      <c r="L837" s="208"/>
      <c r="M837" s="39"/>
      <c r="N837" s="533" t="s">
        <v>2209</v>
      </c>
    </row>
    <row r="838" spans="1:14" s="541" customFormat="1" ht="16.5" customHeight="1">
      <c r="A838" s="16"/>
      <c r="B838" s="544"/>
      <c r="C838" s="545"/>
      <c r="D838" s="546"/>
      <c r="E838" s="582"/>
      <c r="F838" s="548"/>
      <c r="G838" s="548"/>
      <c r="H838" s="548"/>
      <c r="I838" s="549"/>
      <c r="J838" s="550"/>
      <c r="K838" s="39"/>
      <c r="L838" s="208"/>
      <c r="M838" s="39"/>
      <c r="N838" s="533" t="s">
        <v>2209</v>
      </c>
    </row>
    <row r="839" spans="1:14" ht="15.75">
      <c r="A839" s="16"/>
      <c r="B839" s="39"/>
      <c r="C839" s="551"/>
      <c r="D839" s="552"/>
      <c r="E839" s="537"/>
      <c r="F839" s="538"/>
      <c r="G839" s="40"/>
      <c r="H839" s="16"/>
      <c r="I839" s="549"/>
      <c r="J839" s="550" t="s">
        <v>102</v>
      </c>
      <c r="K839" s="10">
        <f>data!G811</f>
        <v>164.74</v>
      </c>
      <c r="L839" s="208" t="s">
        <v>2209</v>
      </c>
      <c r="M839" s="9">
        <f>ROUND(I839*K839,0)</f>
        <v>0</v>
      </c>
      <c r="N839" s="533" t="s">
        <v>2209</v>
      </c>
    </row>
    <row r="840" spans="1:14" ht="117.75" customHeight="1">
      <c r="A840" s="16">
        <v>10</v>
      </c>
      <c r="B840" s="1633" t="s">
        <v>891</v>
      </c>
      <c r="C840" s="1633"/>
      <c r="D840" s="1633"/>
      <c r="E840" s="1633"/>
      <c r="F840" s="1633"/>
      <c r="G840" s="1633"/>
      <c r="H840" s="1633"/>
      <c r="I840" s="534"/>
      <c r="J840" s="535"/>
      <c r="K840" s="16"/>
      <c r="L840" s="208"/>
      <c r="M840" s="38"/>
      <c r="N840" s="533" t="s">
        <v>2297</v>
      </c>
    </row>
    <row r="841" spans="1:14" s="541" customFormat="1" ht="16.5" customHeight="1">
      <c r="A841" s="16"/>
      <c r="B841" s="39" t="s">
        <v>2794</v>
      </c>
      <c r="C841" s="534"/>
      <c r="D841" s="536"/>
      <c r="E841" s="537"/>
      <c r="F841" s="538"/>
      <c r="G841" s="538"/>
      <c r="H841" s="538"/>
      <c r="I841" s="539"/>
      <c r="J841" s="550"/>
      <c r="K841" s="39"/>
      <c r="L841" s="208"/>
      <c r="M841" s="39"/>
      <c r="N841" s="533" t="s">
        <v>2297</v>
      </c>
    </row>
    <row r="842" spans="1:14" s="541" customFormat="1" ht="16.5" customHeight="1">
      <c r="A842" s="16"/>
      <c r="B842" s="39" t="s">
        <v>1542</v>
      </c>
      <c r="C842" s="534">
        <v>1</v>
      </c>
      <c r="D842" s="536" t="s">
        <v>273</v>
      </c>
      <c r="E842" s="537">
        <v>2</v>
      </c>
      <c r="F842" s="538">
        <v>4.37</v>
      </c>
      <c r="G842" s="538">
        <v>0</v>
      </c>
      <c r="H842" s="538">
        <v>2.65</v>
      </c>
      <c r="I842" s="574">
        <f>ROUND(IF(AND(F842:H842),C842*E842*F842*G842*H842,IF(AND(F842,G842),C842*E842*F842*G842,IF(AND(F842,H842),C842*E842*F842*H842,IF(AND(G842,H842),C842*E842*G842*H842,IF(F842,C842*E842*F842,IF(G842,C842*E842*G842,IF(H842,C842*E842*H842,C842*E842))))))),2)</f>
        <v>23.16</v>
      </c>
      <c r="J842" s="550" t="s">
        <v>102</v>
      </c>
      <c r="K842" s="39"/>
      <c r="L842" s="208"/>
      <c r="M842" s="39"/>
      <c r="N842" s="533" t="s">
        <v>2297</v>
      </c>
    </row>
    <row r="843" spans="1:14" s="541" customFormat="1" ht="16.5" customHeight="1">
      <c r="A843" s="16"/>
      <c r="B843" s="39" t="s">
        <v>1543</v>
      </c>
      <c r="C843" s="534">
        <v>1</v>
      </c>
      <c r="D843" s="536" t="s">
        <v>273</v>
      </c>
      <c r="E843" s="537">
        <v>2</v>
      </c>
      <c r="F843" s="538">
        <v>2.94</v>
      </c>
      <c r="G843" s="538">
        <v>0</v>
      </c>
      <c r="H843" s="538">
        <v>2.65</v>
      </c>
      <c r="I843" s="574">
        <f>ROUND(IF(AND(F843:H843),C843*E843*F843*G843*H843,IF(AND(F843,G843),C843*E843*F843*G843,IF(AND(F843,H843),C843*E843*F843*H843,IF(AND(G843,H843),C843*E843*G843*H843,IF(F843,C843*E843*F843,IF(G843,C843*E843*G843,IF(H843,C843*E843*H843,C843*E843))))))),2)</f>
        <v>15.58</v>
      </c>
      <c r="J843" s="550" t="s">
        <v>102</v>
      </c>
      <c r="K843" s="39"/>
      <c r="L843" s="208"/>
      <c r="M843" s="39"/>
      <c r="N843" s="533" t="s">
        <v>2297</v>
      </c>
    </row>
    <row r="844" spans="1:14" s="541" customFormat="1" ht="16.5" customHeight="1">
      <c r="A844" s="16"/>
      <c r="B844" s="39" t="s">
        <v>1533</v>
      </c>
      <c r="C844" s="534">
        <v>1</v>
      </c>
      <c r="D844" s="536" t="s">
        <v>273</v>
      </c>
      <c r="E844" s="537">
        <v>1</v>
      </c>
      <c r="F844" s="538">
        <v>1.2</v>
      </c>
      <c r="G844" s="538">
        <v>0</v>
      </c>
      <c r="H844" s="538">
        <v>1.2</v>
      </c>
      <c r="I844" s="574">
        <f>-ROUND(IF(AND(F844:H844),C844*E844*F844*G844*H844,IF(AND(F844,G844),C844*E844*F844*G844,IF(AND(F844,H844),C844*E844*F844*H844,IF(AND(G844,H844),C844*E844*G844*H844,IF(F844,C844*E844*F844,IF(G844,C844*E844*G844,IF(H844,C844*E844*H844,C844*E844))))))),2)</f>
        <v>-1.44</v>
      </c>
      <c r="J844" s="550" t="s">
        <v>102</v>
      </c>
      <c r="K844" s="39"/>
      <c r="L844" s="208"/>
      <c r="M844" s="39"/>
      <c r="N844" s="533" t="s">
        <v>2297</v>
      </c>
    </row>
    <row r="845" spans="1:14" s="541" customFormat="1" ht="16.5" customHeight="1">
      <c r="A845" s="16"/>
      <c r="B845" s="39" t="s">
        <v>579</v>
      </c>
      <c r="C845" s="534">
        <v>1</v>
      </c>
      <c r="D845" s="536" t="s">
        <v>273</v>
      </c>
      <c r="E845" s="537">
        <v>1</v>
      </c>
      <c r="F845" s="538">
        <v>0.9</v>
      </c>
      <c r="G845" s="538">
        <v>0</v>
      </c>
      <c r="H845" s="538">
        <v>2.08</v>
      </c>
      <c r="I845" s="574">
        <f>-ROUND(IF(AND(F845:H845),C845*E845*F845*G845*H845,IF(AND(F845,G845),C845*E845*F845*G845,IF(AND(F845,H845),C845*E845*F845*H845,IF(AND(G845,H845),C845*E845*G845*H845,IF(F845,C845*E845*F845,IF(G845,C845*E845*G845,IF(H845,C845*E845*H845,C845*E845))))))),2)</f>
        <v>-1.87</v>
      </c>
      <c r="J845" s="550" t="s">
        <v>102</v>
      </c>
      <c r="K845" s="39"/>
      <c r="L845" s="208"/>
      <c r="M845" s="39"/>
      <c r="N845" s="533" t="s">
        <v>2297</v>
      </c>
    </row>
    <row r="846" spans="1:14" s="541" customFormat="1" ht="16.5" customHeight="1">
      <c r="A846" s="16"/>
      <c r="B846" s="544"/>
      <c r="C846" s="545"/>
      <c r="D846" s="546"/>
      <c r="E846" s="582"/>
      <c r="F846" s="548"/>
      <c r="G846" s="548"/>
      <c r="H846" s="548"/>
      <c r="I846" s="549"/>
      <c r="J846" s="550"/>
      <c r="K846" s="39"/>
      <c r="L846" s="208"/>
      <c r="M846" s="39"/>
      <c r="N846" s="533" t="s">
        <v>2297</v>
      </c>
    </row>
    <row r="847" spans="1:14" ht="15.75">
      <c r="A847" s="16"/>
      <c r="B847" s="39"/>
      <c r="C847" s="551"/>
      <c r="D847" s="552"/>
      <c r="E847" s="537"/>
      <c r="F847" s="538"/>
      <c r="G847" s="40"/>
      <c r="H847" s="16"/>
      <c r="I847" s="549"/>
      <c r="J847" s="550" t="s">
        <v>102</v>
      </c>
      <c r="K847" s="10">
        <f>data!G1728</f>
        <v>173.39</v>
      </c>
      <c r="L847" s="208" t="s">
        <v>2297</v>
      </c>
      <c r="M847" s="9">
        <f>ROUND(I847*K847,0)</f>
        <v>0</v>
      </c>
      <c r="N847" s="533" t="s">
        <v>2297</v>
      </c>
    </row>
    <row r="848" spans="1:14" ht="117.75" customHeight="1">
      <c r="A848" s="16">
        <v>10</v>
      </c>
      <c r="B848" s="1633" t="s">
        <v>891</v>
      </c>
      <c r="C848" s="1633"/>
      <c r="D848" s="1633"/>
      <c r="E848" s="1633"/>
      <c r="F848" s="1633"/>
      <c r="G848" s="1633"/>
      <c r="H848" s="1633"/>
      <c r="I848" s="534"/>
      <c r="J848" s="535"/>
      <c r="K848" s="16"/>
      <c r="L848" s="208"/>
      <c r="M848" s="38"/>
      <c r="N848" s="533" t="s">
        <v>2308</v>
      </c>
    </row>
    <row r="849" spans="1:14" s="541" customFormat="1" ht="16.5" customHeight="1">
      <c r="A849" s="16"/>
      <c r="B849" s="39" t="s">
        <v>2794</v>
      </c>
      <c r="C849" s="534"/>
      <c r="D849" s="536"/>
      <c r="E849" s="537"/>
      <c r="F849" s="538"/>
      <c r="G849" s="538"/>
      <c r="H849" s="538"/>
      <c r="I849" s="539"/>
      <c r="J849" s="550"/>
      <c r="K849" s="39"/>
      <c r="L849" s="208"/>
      <c r="M849" s="39"/>
      <c r="N849" s="533" t="s">
        <v>2308</v>
      </c>
    </row>
    <row r="850" spans="1:14" s="541" customFormat="1" ht="16.5" customHeight="1">
      <c r="A850" s="16"/>
      <c r="B850" s="39" t="s">
        <v>1542</v>
      </c>
      <c r="C850" s="534">
        <v>1</v>
      </c>
      <c r="D850" s="536" t="s">
        <v>273</v>
      </c>
      <c r="E850" s="537">
        <v>2</v>
      </c>
      <c r="F850" s="538">
        <v>4.37</v>
      </c>
      <c r="G850" s="538">
        <v>0</v>
      </c>
      <c r="H850" s="538">
        <v>2.65</v>
      </c>
      <c r="I850" s="574">
        <f>ROUND(IF(AND(F850:H850),C850*E850*F850*G850*H850,IF(AND(F850,G850),C850*E850*F850*G850,IF(AND(F850,H850),C850*E850*F850*H850,IF(AND(G850,H850),C850*E850*G850*H850,IF(F850,C850*E850*F850,IF(G850,C850*E850*G850,IF(H850,C850*E850*H850,C850*E850))))))),2)</f>
        <v>23.16</v>
      </c>
      <c r="J850" s="550" t="s">
        <v>102</v>
      </c>
      <c r="K850" s="39"/>
      <c r="L850" s="208"/>
      <c r="M850" s="39"/>
      <c r="N850" s="533" t="s">
        <v>2308</v>
      </c>
    </row>
    <row r="851" spans="1:14" s="541" customFormat="1" ht="16.5" customHeight="1">
      <c r="A851" s="16"/>
      <c r="B851" s="39" t="s">
        <v>1543</v>
      </c>
      <c r="C851" s="534">
        <v>1</v>
      </c>
      <c r="D851" s="536" t="s">
        <v>273</v>
      </c>
      <c r="E851" s="537">
        <v>2</v>
      </c>
      <c r="F851" s="538">
        <v>2.94</v>
      </c>
      <c r="G851" s="538">
        <v>0</v>
      </c>
      <c r="H851" s="538">
        <v>2.65</v>
      </c>
      <c r="I851" s="574">
        <f>ROUND(IF(AND(F851:H851),C851*E851*F851*G851*H851,IF(AND(F851,G851),C851*E851*F851*G851,IF(AND(F851,H851),C851*E851*F851*H851,IF(AND(G851,H851),C851*E851*G851*H851,IF(F851,C851*E851*F851,IF(G851,C851*E851*G851,IF(H851,C851*E851*H851,C851*E851))))))),2)</f>
        <v>15.58</v>
      </c>
      <c r="J851" s="550" t="s">
        <v>102</v>
      </c>
      <c r="K851" s="39"/>
      <c r="L851" s="208"/>
      <c r="M851" s="39"/>
      <c r="N851" s="533" t="s">
        <v>2308</v>
      </c>
    </row>
    <row r="852" spans="1:14" s="541" customFormat="1" ht="16.5" customHeight="1">
      <c r="A852" s="16"/>
      <c r="B852" s="39" t="s">
        <v>1533</v>
      </c>
      <c r="C852" s="534">
        <v>1</v>
      </c>
      <c r="D852" s="536" t="s">
        <v>273</v>
      </c>
      <c r="E852" s="537">
        <v>1</v>
      </c>
      <c r="F852" s="538">
        <v>1.2</v>
      </c>
      <c r="G852" s="538">
        <v>0</v>
      </c>
      <c r="H852" s="538">
        <v>1.2</v>
      </c>
      <c r="I852" s="574">
        <f>-ROUND(IF(AND(F852:H852),C852*E852*F852*G852*H852,IF(AND(F852,G852),C852*E852*F852*G852,IF(AND(F852,H852),C852*E852*F852*H852,IF(AND(G852,H852),C852*E852*G852*H852,IF(F852,C852*E852*F852,IF(G852,C852*E852*G852,IF(H852,C852*E852*H852,C852*E852))))))),2)</f>
        <v>-1.44</v>
      </c>
      <c r="J852" s="550" t="s">
        <v>102</v>
      </c>
      <c r="K852" s="39"/>
      <c r="L852" s="208"/>
      <c r="M852" s="39"/>
      <c r="N852" s="533" t="s">
        <v>2308</v>
      </c>
    </row>
    <row r="853" spans="1:14" s="541" customFormat="1" ht="16.5" customHeight="1">
      <c r="A853" s="16"/>
      <c r="B853" s="39" t="s">
        <v>579</v>
      </c>
      <c r="C853" s="534">
        <v>1</v>
      </c>
      <c r="D853" s="536" t="s">
        <v>273</v>
      </c>
      <c r="E853" s="537">
        <v>1</v>
      </c>
      <c r="F853" s="538">
        <v>0.9</v>
      </c>
      <c r="G853" s="538">
        <v>0</v>
      </c>
      <c r="H853" s="538">
        <v>2.08</v>
      </c>
      <c r="I853" s="574">
        <f>-ROUND(IF(AND(F853:H853),C853*E853*F853*G853*H853,IF(AND(F853,G853),C853*E853*F853*G853,IF(AND(F853,H853),C853*E853*F853*H853,IF(AND(G853,H853),C853*E853*G853*H853,IF(F853,C853*E853*F853,IF(G853,C853*E853*G853,IF(H853,C853*E853*H853,C853*E853))))))),2)</f>
        <v>-1.87</v>
      </c>
      <c r="J853" s="550" t="s">
        <v>102</v>
      </c>
      <c r="K853" s="39"/>
      <c r="L853" s="208"/>
      <c r="M853" s="39"/>
      <c r="N853" s="533" t="s">
        <v>2308</v>
      </c>
    </row>
    <row r="854" spans="1:14" s="541" customFormat="1" ht="16.5" customHeight="1">
      <c r="A854" s="16"/>
      <c r="B854" s="544"/>
      <c r="C854" s="545"/>
      <c r="D854" s="546"/>
      <c r="E854" s="582"/>
      <c r="F854" s="548"/>
      <c r="G854" s="548"/>
      <c r="H854" s="548"/>
      <c r="I854" s="549"/>
      <c r="J854" s="550"/>
      <c r="K854" s="39"/>
      <c r="L854" s="208"/>
      <c r="M854" s="39"/>
      <c r="N854" s="533" t="s">
        <v>2308</v>
      </c>
    </row>
    <row r="855" spans="1:14" ht="15.75">
      <c r="A855" s="16"/>
      <c r="B855" s="39"/>
      <c r="C855" s="551"/>
      <c r="D855" s="552"/>
      <c r="E855" s="537"/>
      <c r="F855" s="538"/>
      <c r="G855" s="40"/>
      <c r="H855" s="16"/>
      <c r="I855" s="549"/>
      <c r="J855" s="550" t="s">
        <v>102</v>
      </c>
      <c r="K855" s="10">
        <f>data!G2645</f>
        <v>179.94</v>
      </c>
      <c r="L855" s="208" t="s">
        <v>2308</v>
      </c>
      <c r="M855" s="9">
        <f>ROUND(I855*K855,0)</f>
        <v>0</v>
      </c>
      <c r="N855" s="533" t="s">
        <v>2308</v>
      </c>
    </row>
    <row r="856" spans="1:14" ht="117.75" customHeight="1">
      <c r="A856" s="16">
        <v>9</v>
      </c>
      <c r="B856" s="1633" t="s">
        <v>891</v>
      </c>
      <c r="C856" s="1633"/>
      <c r="D856" s="1633"/>
      <c r="E856" s="1633"/>
      <c r="F856" s="1633"/>
      <c r="G856" s="1633"/>
      <c r="H856" s="1633"/>
      <c r="I856" s="534"/>
      <c r="J856" s="535"/>
      <c r="K856" s="16"/>
      <c r="L856" s="208"/>
      <c r="M856" s="38"/>
      <c r="N856" s="533" t="s">
        <v>2309</v>
      </c>
    </row>
    <row r="857" spans="1:14" s="541" customFormat="1" ht="16.5" customHeight="1">
      <c r="A857" s="16"/>
      <c r="B857" s="39" t="s">
        <v>3033</v>
      </c>
      <c r="C857" s="558"/>
      <c r="D857" s="858" t="s">
        <v>3252</v>
      </c>
      <c r="E857" s="560"/>
      <c r="F857" s="561"/>
      <c r="G857" s="561"/>
      <c r="H857" s="561"/>
      <c r="I857" s="562"/>
      <c r="J857" s="550"/>
      <c r="K857" s="39"/>
      <c r="L857" s="208"/>
      <c r="M857" s="39"/>
      <c r="N857" s="533" t="s">
        <v>2309</v>
      </c>
    </row>
    <row r="858" spans="1:14" s="541" customFormat="1" ht="16.5" customHeight="1">
      <c r="A858" s="16"/>
      <c r="B858" s="39"/>
      <c r="C858" s="534">
        <v>1</v>
      </c>
      <c r="D858" s="536" t="s">
        <v>273</v>
      </c>
      <c r="E858" s="537">
        <v>2</v>
      </c>
      <c r="F858" s="538">
        <v>2.72</v>
      </c>
      <c r="G858" s="538">
        <v>0</v>
      </c>
      <c r="H858" s="538">
        <v>2.38</v>
      </c>
      <c r="I858" s="542">
        <f t="shared" ref="I858:I859" si="36">ROUND(IF(AND(F858:H858),C858*E858*F858*G858*H858,IF(AND(F858,G858),C858*E858*F858*G858,IF(AND(F858,H858),C858*E858*F858*H858,IF(AND(G858,H858),C858*E858*G858*H858,IF(F858,C858*E858*F858,IF(G858,C858*E858*G858,IF(H858,C858*E858*H858,C858*E858))))))),2)</f>
        <v>12.95</v>
      </c>
      <c r="J858" s="550" t="s">
        <v>102</v>
      </c>
      <c r="K858" s="39"/>
      <c r="L858" s="208"/>
      <c r="M858" s="39"/>
      <c r="N858" s="533" t="s">
        <v>2309</v>
      </c>
    </row>
    <row r="859" spans="1:14" s="541" customFormat="1" ht="16.5" customHeight="1">
      <c r="A859" s="16"/>
      <c r="B859" s="39"/>
      <c r="C859" s="534">
        <v>1</v>
      </c>
      <c r="D859" s="536" t="s">
        <v>273</v>
      </c>
      <c r="E859" s="537">
        <v>2</v>
      </c>
      <c r="F859" s="538">
        <v>3.16</v>
      </c>
      <c r="G859" s="538">
        <v>0</v>
      </c>
      <c r="H859" s="538">
        <v>2.38</v>
      </c>
      <c r="I859" s="542">
        <f t="shared" si="36"/>
        <v>15.04</v>
      </c>
      <c r="J859" s="550" t="s">
        <v>102</v>
      </c>
      <c r="K859" s="39"/>
      <c r="L859" s="208"/>
      <c r="M859" s="39"/>
      <c r="N859" s="533" t="s">
        <v>2309</v>
      </c>
    </row>
    <row r="860" spans="1:14" s="541" customFormat="1" ht="16.5" customHeight="1">
      <c r="A860" s="16"/>
      <c r="B860" s="39" t="s">
        <v>579</v>
      </c>
      <c r="C860" s="534">
        <v>1</v>
      </c>
      <c r="D860" s="536" t="s">
        <v>273</v>
      </c>
      <c r="E860" s="537">
        <v>1</v>
      </c>
      <c r="F860" s="538">
        <v>0.9</v>
      </c>
      <c r="G860" s="538">
        <v>0</v>
      </c>
      <c r="H860" s="538">
        <v>2.1</v>
      </c>
      <c r="I860" s="542">
        <f>-ROUND(IF(AND(F860:H860),C860*E860*F860*G860*H860,IF(AND(F860,G860),C860*E860*F860*G860,IF(AND(F860,H860),C860*E860*F860*H860,IF(AND(G860,H860),C860*E860*G860*H860,IF(F860,C860*E860*F860,IF(G860,C860*E860*G860,IF(H860,C860*E860*H860,C860*E860))))))),2)</f>
        <v>-1.89</v>
      </c>
      <c r="J860" s="550" t="s">
        <v>102</v>
      </c>
      <c r="K860" s="39"/>
      <c r="L860" s="208"/>
      <c r="M860" s="39"/>
      <c r="N860" s="533" t="s">
        <v>2309</v>
      </c>
    </row>
    <row r="861" spans="1:14" s="541" customFormat="1" ht="16.5" customHeight="1">
      <c r="A861" s="16"/>
      <c r="B861" s="39" t="s">
        <v>579</v>
      </c>
      <c r="C861" s="534">
        <v>1</v>
      </c>
      <c r="D861" s="536" t="s">
        <v>273</v>
      </c>
      <c r="E861" s="537">
        <v>1</v>
      </c>
      <c r="F861" s="538">
        <v>1.2</v>
      </c>
      <c r="G861" s="538">
        <v>0</v>
      </c>
      <c r="H861" s="538">
        <v>1.1000000000000001</v>
      </c>
      <c r="I861" s="542">
        <f>-ROUND(IF(AND(F861:H861),C861*E861*F861*G861*H861,IF(AND(F861,G861),C861*E861*F861*G861,IF(AND(F861,H861),C861*E861*F861*H861,IF(AND(G861,H861),C861*E861*G861*H861,IF(F861,C861*E861*F861,IF(G861,C861*E861*G861,IF(H861,C861*E861*H861,C861*E861))))))),2)</f>
        <v>-1.32</v>
      </c>
      <c r="J861" s="550" t="s">
        <v>102</v>
      </c>
      <c r="K861" s="39"/>
      <c r="L861" s="208"/>
      <c r="M861" s="39"/>
      <c r="N861" s="533" t="s">
        <v>2309</v>
      </c>
    </row>
    <row r="862" spans="1:14" s="541" customFormat="1" ht="16.5" customHeight="1">
      <c r="A862" s="16"/>
      <c r="B862" s="544"/>
      <c r="C862" s="545"/>
      <c r="D862" s="546"/>
      <c r="E862" s="582"/>
      <c r="F862" s="548"/>
      <c r="G862" s="548"/>
      <c r="H862" s="548"/>
      <c r="I862" s="549"/>
      <c r="J862" s="550"/>
      <c r="K862" s="39"/>
      <c r="L862" s="208"/>
      <c r="M862" s="39"/>
      <c r="N862" s="533" t="s">
        <v>2309</v>
      </c>
    </row>
    <row r="863" spans="1:14" ht="15.75">
      <c r="A863" s="16"/>
      <c r="B863" s="39"/>
      <c r="C863" s="551"/>
      <c r="D863" s="552"/>
      <c r="E863" s="537"/>
      <c r="F863" s="538"/>
      <c r="G863" s="40"/>
      <c r="H863" s="16"/>
      <c r="I863" s="549"/>
      <c r="J863" s="550" t="s">
        <v>102</v>
      </c>
      <c r="K863" s="10">
        <f>data!G3562</f>
        <v>194.34</v>
      </c>
      <c r="L863" s="208" t="s">
        <v>2309</v>
      </c>
      <c r="M863" s="9">
        <f>ROUND(I863*K863,0)</f>
        <v>0</v>
      </c>
      <c r="N863" s="533" t="s">
        <v>2309</v>
      </c>
    </row>
    <row r="864" spans="1:14" ht="94.5" customHeight="1">
      <c r="A864" s="16">
        <v>10</v>
      </c>
      <c r="B864" s="1633" t="s">
        <v>1167</v>
      </c>
      <c r="C864" s="1633"/>
      <c r="D864" s="1633"/>
      <c r="E864" s="1633"/>
      <c r="F864" s="1633"/>
      <c r="G864" s="1633"/>
      <c r="H864" s="1633"/>
      <c r="I864" s="534"/>
      <c r="J864" s="535"/>
      <c r="K864" s="16"/>
      <c r="L864" s="208"/>
      <c r="M864" s="38"/>
      <c r="N864" s="533" t="s">
        <v>2209</v>
      </c>
    </row>
    <row r="865" spans="1:14" s="541" customFormat="1" ht="16.5" customHeight="1">
      <c r="A865" s="16"/>
      <c r="B865" s="39" t="s">
        <v>2800</v>
      </c>
      <c r="C865" s="534"/>
      <c r="D865" s="536"/>
      <c r="E865" s="537"/>
      <c r="F865" s="538"/>
      <c r="G865" s="538"/>
      <c r="H865" s="538"/>
      <c r="I865" s="539"/>
      <c r="J865" s="550"/>
      <c r="K865" s="39"/>
      <c r="L865" s="208"/>
      <c r="M865" s="39"/>
      <c r="N865" s="533" t="s">
        <v>2209</v>
      </c>
    </row>
    <row r="866" spans="1:14" s="541" customFormat="1" ht="16.5" customHeight="1">
      <c r="A866" s="16"/>
      <c r="B866" s="39" t="s">
        <v>1529</v>
      </c>
      <c r="C866" s="534">
        <v>1</v>
      </c>
      <c r="D866" s="536" t="s">
        <v>273</v>
      </c>
      <c r="E866" s="537">
        <v>1</v>
      </c>
      <c r="F866" s="538">
        <v>2.93</v>
      </c>
      <c r="G866" s="538">
        <v>0.87</v>
      </c>
      <c r="H866" s="538">
        <v>0</v>
      </c>
      <c r="I866" s="574">
        <f t="shared" ref="I866:I868" si="37">ROUND(IF(AND(F866:H866),C866*E866*F866*G866*H866,IF(AND(F866,G866),C866*E866*F866*G866,IF(AND(F866,H866),C866*E866*F866*H866,IF(AND(G866,H866),C866*E866*G866*H866,IF(F866,C866*E866*F866,IF(G866,C866*E866*G866,IF(H866,C866*E866*H866,C866*E866))))))),2)</f>
        <v>2.5499999999999998</v>
      </c>
      <c r="J866" s="550" t="s">
        <v>102</v>
      </c>
      <c r="K866" s="39"/>
      <c r="L866" s="208"/>
      <c r="M866" s="39"/>
      <c r="N866" s="533" t="s">
        <v>2209</v>
      </c>
    </row>
    <row r="867" spans="1:14" s="541" customFormat="1" ht="16.5" customHeight="1">
      <c r="A867" s="16"/>
      <c r="B867" s="39" t="s">
        <v>1243</v>
      </c>
      <c r="C867" s="534">
        <v>1</v>
      </c>
      <c r="D867" s="536" t="s">
        <v>273</v>
      </c>
      <c r="E867" s="537">
        <v>2</v>
      </c>
      <c r="F867" s="538">
        <v>2.7</v>
      </c>
      <c r="G867" s="538">
        <v>0.3</v>
      </c>
      <c r="H867" s="538">
        <v>0</v>
      </c>
      <c r="I867" s="574">
        <f t="shared" si="37"/>
        <v>1.62</v>
      </c>
      <c r="J867" s="550" t="s">
        <v>102</v>
      </c>
      <c r="K867" s="39"/>
      <c r="L867" s="208"/>
      <c r="M867" s="39"/>
      <c r="N867" s="533" t="s">
        <v>2209</v>
      </c>
    </row>
    <row r="868" spans="1:14" s="541" customFormat="1" ht="16.5" customHeight="1">
      <c r="A868" s="16"/>
      <c r="B868" s="39" t="s">
        <v>1541</v>
      </c>
      <c r="C868" s="534">
        <v>1</v>
      </c>
      <c r="D868" s="536" t="s">
        <v>273</v>
      </c>
      <c r="E868" s="537">
        <v>1</v>
      </c>
      <c r="F868" s="538">
        <v>2.7</v>
      </c>
      <c r="G868" s="538">
        <v>3.3</v>
      </c>
      <c r="H868" s="538">
        <v>0</v>
      </c>
      <c r="I868" s="574">
        <f t="shared" si="37"/>
        <v>8.91</v>
      </c>
      <c r="J868" s="550" t="s">
        <v>102</v>
      </c>
      <c r="K868" s="39"/>
      <c r="L868" s="208"/>
      <c r="M868" s="39"/>
      <c r="N868" s="533" t="s">
        <v>2209</v>
      </c>
    </row>
    <row r="869" spans="1:14" s="541" customFormat="1" ht="16.5" customHeight="1">
      <c r="A869" s="16"/>
      <c r="B869" s="39" t="s">
        <v>1490</v>
      </c>
      <c r="C869" s="534">
        <v>1</v>
      </c>
      <c r="D869" s="536" t="s">
        <v>273</v>
      </c>
      <c r="E869" s="537">
        <v>1</v>
      </c>
      <c r="F869" s="538">
        <v>37.799999999999997</v>
      </c>
      <c r="G869" s="538">
        <v>0</v>
      </c>
      <c r="H869" s="538">
        <v>0.88</v>
      </c>
      <c r="I869" s="574">
        <f t="shared" ref="I869" si="38">ROUND(IF(AND(F869:H869),C869*E869*F869*G869*H869,IF(AND(F869,G869),C869*E869*F869*G869,IF(AND(F869,H869),C869*E869*F869*H869,IF(AND(G869,H869),C869*E869*G869*H869,IF(F869,C869*E869*F869,IF(G869,C869*E869*G869,IF(H869,C869*E869*H869,C869*E869))))))),2)</f>
        <v>33.26</v>
      </c>
      <c r="J869" s="550" t="s">
        <v>102</v>
      </c>
      <c r="K869" s="39"/>
      <c r="L869" s="208"/>
      <c r="M869" s="39"/>
      <c r="N869" s="533" t="s">
        <v>2209</v>
      </c>
    </row>
    <row r="870" spans="1:14" s="541" customFormat="1" ht="16.5" customHeight="1">
      <c r="A870" s="16"/>
      <c r="B870" s="544"/>
      <c r="C870" s="545"/>
      <c r="D870" s="546"/>
      <c r="E870" s="547"/>
      <c r="F870" s="548"/>
      <c r="G870" s="548"/>
      <c r="H870" s="548"/>
      <c r="I870" s="549"/>
      <c r="J870" s="550"/>
      <c r="K870" s="39"/>
      <c r="L870" s="208"/>
      <c r="M870" s="39"/>
      <c r="N870" s="533" t="s">
        <v>2209</v>
      </c>
    </row>
    <row r="871" spans="1:14" ht="15.75">
      <c r="A871" s="16"/>
      <c r="B871" s="39"/>
      <c r="C871" s="551"/>
      <c r="D871" s="552"/>
      <c r="E871" s="537"/>
      <c r="F871" s="538"/>
      <c r="G871" s="40"/>
      <c r="H871" s="16"/>
      <c r="I871" s="549"/>
      <c r="J871" s="550" t="s">
        <v>102</v>
      </c>
      <c r="K871" s="10">
        <f>data!G846</f>
        <v>140.87</v>
      </c>
      <c r="L871" s="208" t="s">
        <v>2209</v>
      </c>
      <c r="M871" s="9">
        <f>ROUND(I871*K871,0)</f>
        <v>0</v>
      </c>
      <c r="N871" s="533" t="s">
        <v>2209</v>
      </c>
    </row>
    <row r="872" spans="1:14" ht="94.5" customHeight="1">
      <c r="A872" s="16">
        <v>10</v>
      </c>
      <c r="B872" s="1633" t="s">
        <v>1167</v>
      </c>
      <c r="C872" s="1633"/>
      <c r="D872" s="1633"/>
      <c r="E872" s="1633"/>
      <c r="F872" s="1633"/>
      <c r="G872" s="1633"/>
      <c r="H872" s="1633"/>
      <c r="I872" s="534"/>
      <c r="J872" s="535"/>
      <c r="K872" s="16"/>
      <c r="L872" s="208"/>
      <c r="M872" s="38"/>
      <c r="N872" s="533" t="s">
        <v>2297</v>
      </c>
    </row>
    <row r="873" spans="1:14" s="541" customFormat="1" ht="16.5" customHeight="1">
      <c r="A873" s="16"/>
      <c r="B873" s="39" t="s">
        <v>2983</v>
      </c>
      <c r="C873" s="534"/>
      <c r="D873" s="536"/>
      <c r="E873" s="537"/>
      <c r="F873" s="538"/>
      <c r="G873" s="538"/>
      <c r="H873" s="538"/>
      <c r="I873" s="539"/>
      <c r="J873" s="550"/>
      <c r="K873" s="39"/>
      <c r="L873" s="208"/>
      <c r="M873" s="39"/>
      <c r="N873" s="533" t="s">
        <v>2297</v>
      </c>
    </row>
    <row r="874" spans="1:14" s="541" customFormat="1" ht="16.5" customHeight="1">
      <c r="A874" s="16"/>
      <c r="B874" s="39" t="s">
        <v>2944</v>
      </c>
      <c r="C874" s="534">
        <v>1</v>
      </c>
      <c r="D874" s="536" t="s">
        <v>273</v>
      </c>
      <c r="E874" s="537">
        <v>1</v>
      </c>
      <c r="F874" s="538">
        <v>13.6</v>
      </c>
      <c r="G874" s="538">
        <v>0</v>
      </c>
      <c r="H874" s="538">
        <v>2.4</v>
      </c>
      <c r="I874" s="542">
        <f t="shared" ref="I874:I878" si="39">ROUND(IF(AND(F874:H874),C874*E874*F874*G874*H874,IF(AND(F874,G874),C874*E874*F874*G874,IF(AND(F874,H874),C874*E874*F874*H874,IF(AND(G874,H874),C874*E874*G874*H874,IF(F874,C874*E874*F874,IF(G874,C874*E874*G874,IF(H874,C874*E874*H874,C874*E874))))))),2)</f>
        <v>32.64</v>
      </c>
      <c r="J874" s="550" t="s">
        <v>102</v>
      </c>
      <c r="K874" s="39"/>
      <c r="L874" s="208"/>
      <c r="M874" s="39"/>
      <c r="N874" s="533" t="s">
        <v>2297</v>
      </c>
    </row>
    <row r="875" spans="1:14" s="541" customFormat="1" ht="16.5" customHeight="1">
      <c r="A875" s="16"/>
      <c r="B875" s="39" t="s">
        <v>579</v>
      </c>
      <c r="C875" s="534">
        <v>1</v>
      </c>
      <c r="D875" s="536" t="s">
        <v>273</v>
      </c>
      <c r="E875" s="537">
        <v>1</v>
      </c>
      <c r="F875" s="538">
        <v>1.2</v>
      </c>
      <c r="G875" s="538">
        <v>0</v>
      </c>
      <c r="H875" s="538">
        <v>2.1</v>
      </c>
      <c r="I875" s="542">
        <f>-ROUND(IF(AND(F875:H875),C875*E875*F875*G875*H875,IF(AND(F875,G875),C875*E875*F875*G875,IF(AND(F875,H875),C875*E875*F875*H875,IF(AND(G875,H875),C875*E875*G875*H875,IF(F875,C875*E875*F875,IF(G875,C875*E875*G875,IF(H875,C875*E875*H875,C875*E875))))))),2)</f>
        <v>-2.52</v>
      </c>
      <c r="J875" s="550" t="s">
        <v>102</v>
      </c>
      <c r="K875" s="39"/>
      <c r="L875" s="208"/>
      <c r="M875" s="39"/>
      <c r="N875" s="533" t="s">
        <v>2297</v>
      </c>
    </row>
    <row r="876" spans="1:14" s="541" customFormat="1" ht="16.5" customHeight="1">
      <c r="A876" s="16"/>
      <c r="B876" s="39" t="s">
        <v>2945</v>
      </c>
      <c r="C876" s="534">
        <v>1</v>
      </c>
      <c r="D876" s="536" t="s">
        <v>273</v>
      </c>
      <c r="E876" s="537">
        <v>1</v>
      </c>
      <c r="F876" s="538">
        <v>1.27</v>
      </c>
      <c r="G876" s="538">
        <v>0</v>
      </c>
      <c r="H876" s="538">
        <v>1.8</v>
      </c>
      <c r="I876" s="542">
        <f>-ROUND(IF(AND(F876:H876),C876*E876*F876*G876*H876,IF(AND(F876,G876),C876*E876*F876*G876,IF(AND(F876,H876),C876*E876*F876*H876,IF(AND(G876,H876),C876*E876*G876*H876,IF(F876,C876*E876*F876,IF(G876,C876*E876*G876,IF(H876,C876*E876*H876,C876*E876))))))),2)</f>
        <v>-2.29</v>
      </c>
      <c r="J876" s="550" t="s">
        <v>102</v>
      </c>
      <c r="K876" s="39"/>
      <c r="L876" s="208"/>
      <c r="M876" s="39"/>
      <c r="N876" s="533" t="s">
        <v>2297</v>
      </c>
    </row>
    <row r="877" spans="1:14" s="541" customFormat="1" ht="16.5" customHeight="1">
      <c r="A877" s="16"/>
      <c r="B877" s="39" t="s">
        <v>2946</v>
      </c>
      <c r="C877" s="534">
        <v>1</v>
      </c>
      <c r="D877" s="536" t="s">
        <v>273</v>
      </c>
      <c r="E877" s="537">
        <v>2</v>
      </c>
      <c r="F877" s="538">
        <v>2.4</v>
      </c>
      <c r="G877" s="538">
        <v>0</v>
      </c>
      <c r="H877" s="538">
        <v>0.3</v>
      </c>
      <c r="I877" s="542">
        <f t="shared" si="39"/>
        <v>1.44</v>
      </c>
      <c r="J877" s="550" t="s">
        <v>102</v>
      </c>
      <c r="K877" s="39"/>
      <c r="L877" s="208"/>
      <c r="M877" s="39"/>
      <c r="N877" s="533" t="s">
        <v>2297</v>
      </c>
    </row>
    <row r="878" spans="1:14" s="541" customFormat="1" ht="16.5" customHeight="1">
      <c r="A878" s="16"/>
      <c r="B878" s="39" t="s">
        <v>1541</v>
      </c>
      <c r="C878" s="534">
        <v>1</v>
      </c>
      <c r="D878" s="536" t="s">
        <v>273</v>
      </c>
      <c r="E878" s="537">
        <v>1</v>
      </c>
      <c r="F878" s="538">
        <v>4.16</v>
      </c>
      <c r="G878" s="538">
        <v>2.72</v>
      </c>
      <c r="H878" s="538">
        <v>0</v>
      </c>
      <c r="I878" s="542">
        <f t="shared" si="39"/>
        <v>11.32</v>
      </c>
      <c r="J878" s="550" t="s">
        <v>102</v>
      </c>
      <c r="K878" s="39"/>
      <c r="L878" s="208"/>
      <c r="M878" s="39"/>
      <c r="N878" s="533" t="s">
        <v>2297</v>
      </c>
    </row>
    <row r="879" spans="1:14" s="541" customFormat="1" ht="16.5" customHeight="1">
      <c r="A879" s="16"/>
      <c r="B879" s="39" t="s">
        <v>2984</v>
      </c>
      <c r="C879" s="534">
        <v>1</v>
      </c>
      <c r="D879" s="536" t="s">
        <v>273</v>
      </c>
      <c r="E879" s="537">
        <v>1</v>
      </c>
      <c r="F879" s="538">
        <v>3.78</v>
      </c>
      <c r="G879" s="538">
        <v>0.6</v>
      </c>
      <c r="H879" s="538">
        <v>0</v>
      </c>
      <c r="I879" s="542">
        <f t="shared" ref="I879:I881" si="40">ROUND(IF(AND(F879:H879),C879*E879*F879*G879*H879,IF(AND(F879,G879),C879*E879*F879*G879,IF(AND(F879,H879),C879*E879*F879*H879,IF(AND(G879,H879),C879*E879*G879*H879,IF(F879,C879*E879*F879,IF(G879,C879*E879*G879,IF(H879,C879*E879*H879,C879*E879))))))),2)</f>
        <v>2.27</v>
      </c>
      <c r="J879" s="550" t="s">
        <v>102</v>
      </c>
      <c r="K879" s="39"/>
      <c r="L879" s="208"/>
      <c r="M879" s="39"/>
      <c r="N879" s="533" t="s">
        <v>2297</v>
      </c>
    </row>
    <row r="880" spans="1:14" s="541" customFormat="1" ht="16.5" customHeight="1">
      <c r="A880" s="16"/>
      <c r="B880" s="39" t="s">
        <v>2925</v>
      </c>
      <c r="C880" s="534">
        <v>1</v>
      </c>
      <c r="D880" s="536" t="s">
        <v>273</v>
      </c>
      <c r="E880" s="537">
        <v>2</v>
      </c>
      <c r="F880" s="538">
        <v>4.62</v>
      </c>
      <c r="G880" s="538">
        <v>0.3</v>
      </c>
      <c r="H880" s="538">
        <v>0</v>
      </c>
      <c r="I880" s="542">
        <f t="shared" si="40"/>
        <v>2.77</v>
      </c>
      <c r="J880" s="550" t="s">
        <v>102</v>
      </c>
      <c r="K880" s="39"/>
      <c r="L880" s="208"/>
      <c r="M880" s="39"/>
      <c r="N880" s="533" t="s">
        <v>2297</v>
      </c>
    </row>
    <row r="881" spans="1:14" s="541" customFormat="1" ht="16.5" customHeight="1">
      <c r="A881" s="16"/>
      <c r="B881" s="39" t="s">
        <v>2985</v>
      </c>
      <c r="C881" s="534">
        <v>1</v>
      </c>
      <c r="D881" s="536" t="s">
        <v>273</v>
      </c>
      <c r="E881" s="537">
        <v>1</v>
      </c>
      <c r="F881" s="538">
        <v>18.8</v>
      </c>
      <c r="G881" s="538">
        <v>0</v>
      </c>
      <c r="H881" s="538">
        <v>0.125</v>
      </c>
      <c r="I881" s="542">
        <f t="shared" si="40"/>
        <v>2.35</v>
      </c>
      <c r="J881" s="550" t="s">
        <v>102</v>
      </c>
      <c r="K881" s="39"/>
      <c r="L881" s="208"/>
      <c r="M881" s="39"/>
      <c r="N881" s="533" t="s">
        <v>2297</v>
      </c>
    </row>
    <row r="882" spans="1:14" s="541" customFormat="1" ht="16.5" customHeight="1">
      <c r="A882" s="16"/>
      <c r="B882" s="544"/>
      <c r="C882" s="545"/>
      <c r="D882" s="546"/>
      <c r="E882" s="547"/>
      <c r="F882" s="548"/>
      <c r="G882" s="548"/>
      <c r="H882" s="548"/>
      <c r="I882" s="549"/>
      <c r="J882" s="550"/>
      <c r="K882" s="39"/>
      <c r="L882" s="208"/>
      <c r="M882" s="39"/>
      <c r="N882" s="533" t="s">
        <v>2297</v>
      </c>
    </row>
    <row r="883" spans="1:14" ht="15.75">
      <c r="A883" s="16"/>
      <c r="B883" s="39"/>
      <c r="C883" s="551"/>
      <c r="D883" s="552"/>
      <c r="E883" s="537"/>
      <c r="F883" s="538"/>
      <c r="G883" s="40"/>
      <c r="H883" s="16"/>
      <c r="I883" s="549"/>
      <c r="J883" s="550" t="s">
        <v>102</v>
      </c>
      <c r="K883" s="10">
        <f>data!G1763</f>
        <v>149.66</v>
      </c>
      <c r="L883" s="208" t="s">
        <v>2297</v>
      </c>
      <c r="M883" s="9">
        <f>ROUND(I883*K883,0)</f>
        <v>0</v>
      </c>
      <c r="N883" s="533" t="s">
        <v>2297</v>
      </c>
    </row>
    <row r="884" spans="1:14" ht="94.5" customHeight="1">
      <c r="A884" s="16">
        <v>10</v>
      </c>
      <c r="B884" s="1633" t="s">
        <v>1167</v>
      </c>
      <c r="C884" s="1633"/>
      <c r="D884" s="1633"/>
      <c r="E884" s="1633"/>
      <c r="F884" s="1633"/>
      <c r="G884" s="1633"/>
      <c r="H884" s="1633"/>
      <c r="I884" s="534"/>
      <c r="J884" s="535"/>
      <c r="K884" s="16"/>
      <c r="L884" s="208"/>
      <c r="M884" s="38"/>
      <c r="N884" s="533" t="s">
        <v>2308</v>
      </c>
    </row>
    <row r="885" spans="1:14" s="541" customFormat="1" ht="16.5" customHeight="1">
      <c r="A885" s="16"/>
      <c r="B885" s="39" t="s">
        <v>2800</v>
      </c>
      <c r="C885" s="534"/>
      <c r="D885" s="536"/>
      <c r="E885" s="537"/>
      <c r="F885" s="538"/>
      <c r="G885" s="538"/>
      <c r="H885" s="538"/>
      <c r="I885" s="539"/>
      <c r="J885" s="550"/>
      <c r="K885" s="39"/>
      <c r="L885" s="208"/>
      <c r="M885" s="39"/>
      <c r="N885" s="533" t="s">
        <v>2308</v>
      </c>
    </row>
    <row r="886" spans="1:14" s="541" customFormat="1" ht="16.5" customHeight="1">
      <c r="A886" s="16"/>
      <c r="B886" s="39" t="s">
        <v>1529</v>
      </c>
      <c r="C886" s="534">
        <v>1</v>
      </c>
      <c r="D886" s="536" t="s">
        <v>273</v>
      </c>
      <c r="E886" s="537">
        <v>1</v>
      </c>
      <c r="F886" s="538">
        <v>2.93</v>
      </c>
      <c r="G886" s="538">
        <v>0.87</v>
      </c>
      <c r="H886" s="538">
        <v>0</v>
      </c>
      <c r="I886" s="574">
        <f>ROUND(IF(AND(F886:H886),C886*E886*F886*G886*H886,IF(AND(F886,G886),C886*E886*F886*G886,IF(AND(F886,H886),C886*E886*F886*H886,IF(AND(G886,H886),C886*E886*G886*H886,IF(F886,C886*E886*F886,IF(G886,C886*E886*G886,IF(H886,C886*E886*H886,C886*E886))))))),2)</f>
        <v>2.5499999999999998</v>
      </c>
      <c r="J886" s="550" t="s">
        <v>102</v>
      </c>
      <c r="K886" s="39"/>
      <c r="L886" s="208"/>
      <c r="M886" s="39"/>
      <c r="N886" s="533" t="s">
        <v>2308</v>
      </c>
    </row>
    <row r="887" spans="1:14" s="541" customFormat="1" ht="16.5" customHeight="1">
      <c r="A887" s="16"/>
      <c r="B887" s="39" t="s">
        <v>1243</v>
      </c>
      <c r="C887" s="534">
        <v>1</v>
      </c>
      <c r="D887" s="536" t="s">
        <v>273</v>
      </c>
      <c r="E887" s="537">
        <v>2</v>
      </c>
      <c r="F887" s="538">
        <v>2.7</v>
      </c>
      <c r="G887" s="538">
        <v>0.3</v>
      </c>
      <c r="H887" s="538">
        <v>0</v>
      </c>
      <c r="I887" s="574">
        <f>ROUND(IF(AND(F887:H887),C887*E887*F887*G887*H887,IF(AND(F887,G887),C887*E887*F887*G887,IF(AND(F887,H887),C887*E887*F887*H887,IF(AND(G887,H887),C887*E887*G887*H887,IF(F887,C887*E887*F887,IF(G887,C887*E887*G887,IF(H887,C887*E887*H887,C887*E887))))))),2)</f>
        <v>1.62</v>
      </c>
      <c r="J887" s="550" t="s">
        <v>102</v>
      </c>
      <c r="K887" s="39"/>
      <c r="L887" s="208"/>
      <c r="M887" s="39"/>
      <c r="N887" s="533" t="s">
        <v>2308</v>
      </c>
    </row>
    <row r="888" spans="1:14" s="541" customFormat="1" ht="16.5" customHeight="1">
      <c r="A888" s="16"/>
      <c r="B888" s="39" t="s">
        <v>1541</v>
      </c>
      <c r="C888" s="534">
        <v>1</v>
      </c>
      <c r="D888" s="536" t="s">
        <v>273</v>
      </c>
      <c r="E888" s="537">
        <v>1</v>
      </c>
      <c r="F888" s="538">
        <v>2.7</v>
      </c>
      <c r="G888" s="538">
        <v>3.3</v>
      </c>
      <c r="H888" s="538">
        <v>0</v>
      </c>
      <c r="I888" s="574">
        <f>ROUND(IF(AND(F888:H888),C888*E888*F888*G888*H888,IF(AND(F888,G888),C888*E888*F888*G888,IF(AND(F888,H888),C888*E888*F888*H888,IF(AND(G888,H888),C888*E888*G888*H888,IF(F888,C888*E888*F888,IF(G888,C888*E888*G888,IF(H888,C888*E888*H888,C888*E888))))))),2)</f>
        <v>8.91</v>
      </c>
      <c r="J888" s="550" t="s">
        <v>102</v>
      </c>
      <c r="K888" s="39"/>
      <c r="L888" s="208"/>
      <c r="M888" s="39"/>
      <c r="N888" s="533" t="s">
        <v>2308</v>
      </c>
    </row>
    <row r="889" spans="1:14" s="541" customFormat="1" ht="16.5" customHeight="1">
      <c r="A889" s="16"/>
      <c r="B889" s="39" t="s">
        <v>1490</v>
      </c>
      <c r="C889" s="534">
        <v>1</v>
      </c>
      <c r="D889" s="536" t="s">
        <v>273</v>
      </c>
      <c r="E889" s="537">
        <v>1</v>
      </c>
      <c r="F889" s="538">
        <v>37.799999999999997</v>
      </c>
      <c r="G889" s="538">
        <v>0</v>
      </c>
      <c r="H889" s="538">
        <v>0.88</v>
      </c>
      <c r="I889" s="574">
        <f>ROUND(IF(AND(F889:H889),C889*E889*F889*G889*H889,IF(AND(F889,G889),C889*E889*F889*G889,IF(AND(F889,H889),C889*E889*F889*H889,IF(AND(G889,H889),C889*E889*G889*H889,IF(F889,C889*E889*F889,IF(G889,C889*E889*G889,IF(H889,C889*E889*H889,C889*E889))))))),2)</f>
        <v>33.26</v>
      </c>
      <c r="J889" s="550" t="s">
        <v>102</v>
      </c>
      <c r="K889" s="39"/>
      <c r="L889" s="208"/>
      <c r="M889" s="39"/>
      <c r="N889" s="533" t="s">
        <v>2308</v>
      </c>
    </row>
    <row r="890" spans="1:14" s="541" customFormat="1" ht="16.5" customHeight="1">
      <c r="A890" s="16"/>
      <c r="B890" s="544"/>
      <c r="C890" s="545"/>
      <c r="D890" s="546"/>
      <c r="E890" s="547"/>
      <c r="F890" s="548"/>
      <c r="G890" s="548"/>
      <c r="H890" s="548"/>
      <c r="I890" s="549"/>
      <c r="J890" s="550"/>
      <c r="K890" s="39"/>
      <c r="L890" s="208"/>
      <c r="M890" s="39"/>
      <c r="N890" s="533" t="s">
        <v>2308</v>
      </c>
    </row>
    <row r="891" spans="1:14" ht="15.75">
      <c r="A891" s="16"/>
      <c r="B891" s="39"/>
      <c r="C891" s="551"/>
      <c r="D891" s="552"/>
      <c r="E891" s="537"/>
      <c r="F891" s="538"/>
      <c r="G891" s="40"/>
      <c r="H891" s="16"/>
      <c r="I891" s="549"/>
      <c r="J891" s="550" t="s">
        <v>102</v>
      </c>
      <c r="K891" s="10">
        <f>data!G2680</f>
        <v>156.4</v>
      </c>
      <c r="L891" s="208" t="s">
        <v>2308</v>
      </c>
      <c r="M891" s="9">
        <f>ROUND(I891*K891,0)</f>
        <v>0</v>
      </c>
      <c r="N891" s="533" t="s">
        <v>2308</v>
      </c>
    </row>
    <row r="892" spans="1:14" ht="94.5" customHeight="1">
      <c r="A892" s="16">
        <v>10</v>
      </c>
      <c r="B892" s="1633" t="s">
        <v>1167</v>
      </c>
      <c r="C892" s="1633"/>
      <c r="D892" s="1633"/>
      <c r="E892" s="1633"/>
      <c r="F892" s="1633"/>
      <c r="G892" s="1633"/>
      <c r="H892" s="1633"/>
      <c r="I892" s="534"/>
      <c r="J892" s="535"/>
      <c r="K892" s="16"/>
      <c r="L892" s="208"/>
      <c r="M892" s="38"/>
      <c r="N892" s="533" t="s">
        <v>2309</v>
      </c>
    </row>
    <row r="893" spans="1:14" s="541" customFormat="1" ht="16.5" customHeight="1">
      <c r="A893" s="16"/>
      <c r="B893" s="39" t="s">
        <v>3107</v>
      </c>
      <c r="C893" s="558"/>
      <c r="D893" s="858" t="s">
        <v>3253</v>
      </c>
      <c r="E893" s="560"/>
      <c r="F893" s="561"/>
      <c r="G893" s="561"/>
      <c r="H893" s="561"/>
      <c r="I893" s="562"/>
      <c r="J893" s="550"/>
      <c r="K893" s="39"/>
      <c r="L893" s="208"/>
      <c r="M893" s="39"/>
      <c r="N893" s="533" t="s">
        <v>2309</v>
      </c>
    </row>
    <row r="894" spans="1:14" s="541" customFormat="1" ht="16.5" customHeight="1">
      <c r="A894" s="16"/>
      <c r="B894" s="39"/>
      <c r="C894" s="534">
        <v>1</v>
      </c>
      <c r="D894" s="536" t="s">
        <v>273</v>
      </c>
      <c r="E894" s="537">
        <v>2</v>
      </c>
      <c r="F894" s="538">
        <v>2.72</v>
      </c>
      <c r="G894" s="538">
        <v>0</v>
      </c>
      <c r="H894" s="538">
        <v>2.38</v>
      </c>
      <c r="I894" s="542">
        <f t="shared" ref="I894:I895" si="41">ROUND(IF(AND(F894:H894),C894*E894*F894*G894*H894,IF(AND(F894,G894),C894*E894*F894*G894,IF(AND(F894,H894),C894*E894*F894*H894,IF(AND(G894,H894),C894*E894*G894*H894,IF(F894,C894*E894*F894,IF(G894,C894*E894*G894,IF(H894,C894*E894*H894,C894*E894))))))),2)</f>
        <v>12.95</v>
      </c>
      <c r="J894" s="550" t="s">
        <v>102</v>
      </c>
      <c r="K894" s="39"/>
      <c r="L894" s="208"/>
      <c r="M894" s="39"/>
      <c r="N894" s="533" t="s">
        <v>2309</v>
      </c>
    </row>
    <row r="895" spans="1:14" s="541" customFormat="1" ht="16.5" customHeight="1">
      <c r="A895" s="16"/>
      <c r="B895" s="39"/>
      <c r="C895" s="534">
        <v>1</v>
      </c>
      <c r="D895" s="536" t="s">
        <v>273</v>
      </c>
      <c r="E895" s="537">
        <v>2</v>
      </c>
      <c r="F895" s="538">
        <v>3.16</v>
      </c>
      <c r="G895" s="538">
        <v>0</v>
      </c>
      <c r="H895" s="538">
        <v>2.38</v>
      </c>
      <c r="I895" s="542">
        <f t="shared" si="41"/>
        <v>15.04</v>
      </c>
      <c r="J895" s="550" t="s">
        <v>102</v>
      </c>
      <c r="K895" s="39"/>
      <c r="L895" s="208"/>
      <c r="M895" s="39"/>
      <c r="N895" s="533" t="s">
        <v>2309</v>
      </c>
    </row>
    <row r="896" spans="1:14" s="541" customFormat="1" ht="16.5" customHeight="1">
      <c r="A896" s="16"/>
      <c r="B896" s="39" t="s">
        <v>579</v>
      </c>
      <c r="C896" s="534">
        <v>1</v>
      </c>
      <c r="D896" s="536" t="s">
        <v>273</v>
      </c>
      <c r="E896" s="537">
        <v>1</v>
      </c>
      <c r="F896" s="538">
        <v>0.9</v>
      </c>
      <c r="G896" s="538">
        <v>0</v>
      </c>
      <c r="H896" s="538">
        <v>2.1</v>
      </c>
      <c r="I896" s="542">
        <f>-ROUND(IF(AND(F896:H896),C896*E896*F896*G896*H896,IF(AND(F896,G896),C896*E896*F896*G896,IF(AND(F896,H896),C896*E896*F896*H896,IF(AND(G896,H896),C896*E896*G896*H896,IF(F896,C896*E896*F896,IF(G896,C896*E896*G896,IF(H896,C896*E896*H896,C896*E896))))))),2)</f>
        <v>-1.89</v>
      </c>
      <c r="J896" s="550" t="s">
        <v>102</v>
      </c>
      <c r="K896" s="39"/>
      <c r="L896" s="208"/>
      <c r="M896" s="39"/>
      <c r="N896" s="533" t="s">
        <v>2309</v>
      </c>
    </row>
    <row r="897" spans="1:14" s="541" customFormat="1" ht="16.5" customHeight="1">
      <c r="A897" s="16"/>
      <c r="B897" s="39" t="s">
        <v>1533</v>
      </c>
      <c r="C897" s="534">
        <v>1</v>
      </c>
      <c r="D897" s="536" t="s">
        <v>273</v>
      </c>
      <c r="E897" s="537">
        <v>1</v>
      </c>
      <c r="F897" s="538">
        <v>1.2</v>
      </c>
      <c r="G897" s="538">
        <v>0</v>
      </c>
      <c r="H897" s="538">
        <v>1.1000000000000001</v>
      </c>
      <c r="I897" s="542">
        <f>-ROUND(IF(AND(F897:H897),C897*E897*F897*G897*H897,IF(AND(F897,G897),C897*E897*F897*G897,IF(AND(F897,H897),C897*E897*F897*H897,IF(AND(G897,H897),C897*E897*G897*H897,IF(F897,C897*E897*F897,IF(G897,C897*E897*G897,IF(H897,C897*E897*H897,C897*E897))))))),2)</f>
        <v>-1.32</v>
      </c>
      <c r="J897" s="550" t="s">
        <v>102</v>
      </c>
      <c r="K897" s="39"/>
      <c r="L897" s="208"/>
      <c r="M897" s="39"/>
      <c r="N897" s="533" t="s">
        <v>2309</v>
      </c>
    </row>
    <row r="898" spans="1:14" s="541" customFormat="1" ht="16.5" customHeight="1">
      <c r="A898" s="16"/>
      <c r="B898" s="544"/>
      <c r="C898" s="545"/>
      <c r="D898" s="546"/>
      <c r="E898" s="547"/>
      <c r="F898" s="548"/>
      <c r="G898" s="548"/>
      <c r="H898" s="548"/>
      <c r="I898" s="549"/>
      <c r="J898" s="550"/>
      <c r="K898" s="39"/>
      <c r="L898" s="208"/>
      <c r="M898" s="39"/>
      <c r="N898" s="533" t="s">
        <v>2309</v>
      </c>
    </row>
    <row r="899" spans="1:14" ht="15.75">
      <c r="A899" s="16"/>
      <c r="B899" s="39"/>
      <c r="C899" s="551"/>
      <c r="D899" s="552"/>
      <c r="E899" s="537"/>
      <c r="F899" s="538"/>
      <c r="G899" s="40"/>
      <c r="H899" s="16"/>
      <c r="I899" s="549"/>
      <c r="J899" s="550" t="s">
        <v>102</v>
      </c>
      <c r="K899" s="10">
        <f>data!G3597</f>
        <v>169.89</v>
      </c>
      <c r="L899" s="208" t="s">
        <v>2309</v>
      </c>
      <c r="M899" s="9">
        <f>ROUND(I899*K899,0)</f>
        <v>0</v>
      </c>
      <c r="N899" s="533" t="s">
        <v>2309</v>
      </c>
    </row>
    <row r="900" spans="1:14" ht="94.5" customHeight="1">
      <c r="A900" s="16">
        <v>11</v>
      </c>
      <c r="B900" s="1633" t="s">
        <v>1168</v>
      </c>
      <c r="C900" s="1633"/>
      <c r="D900" s="1633"/>
      <c r="E900" s="1633"/>
      <c r="F900" s="1633"/>
      <c r="G900" s="1633"/>
      <c r="H900" s="1633"/>
      <c r="I900" s="534"/>
      <c r="J900" s="535"/>
      <c r="K900" s="16"/>
      <c r="L900" s="208"/>
      <c r="M900" s="38"/>
      <c r="N900" s="533" t="s">
        <v>2209</v>
      </c>
    </row>
    <row r="901" spans="1:14" s="541" customFormat="1" ht="15.75">
      <c r="A901" s="16"/>
      <c r="B901" s="39" t="s">
        <v>2798</v>
      </c>
      <c r="C901" s="534"/>
      <c r="D901" s="536"/>
      <c r="E901" s="537"/>
      <c r="F901" s="538"/>
      <c r="G901" s="538"/>
      <c r="H901" s="538"/>
      <c r="I901" s="539"/>
      <c r="J901" s="550"/>
      <c r="K901" s="39"/>
      <c r="L901" s="208"/>
      <c r="M901" s="39"/>
      <c r="N901" s="533" t="s">
        <v>2209</v>
      </c>
    </row>
    <row r="902" spans="1:14" s="541" customFormat="1" ht="15.75">
      <c r="A902" s="16"/>
      <c r="B902" s="39"/>
      <c r="C902" s="534">
        <v>1</v>
      </c>
      <c r="D902" s="536" t="s">
        <v>273</v>
      </c>
      <c r="E902" s="537">
        <v>2</v>
      </c>
      <c r="F902" s="538">
        <v>3.25</v>
      </c>
      <c r="G902" s="538">
        <v>0</v>
      </c>
      <c r="H902" s="538">
        <v>2.7</v>
      </c>
      <c r="I902" s="542">
        <f t="shared" ref="I902:I904" si="42">ROUND(IF(AND(F902:H902),C902*E902*F902*G902*H902,IF(AND(F902,G902),C902*E902*F902*G902,IF(AND(F902,H902),C902*E902*F902*H902,IF(AND(G902,H902),C902*E902*G902*H902,IF(F902,C902*E902*F902,IF(G902,C902*E902*G902,IF(H902,C902*E902*H902,C902*E902))))))),2)</f>
        <v>17.55</v>
      </c>
      <c r="J902" s="550" t="s">
        <v>102</v>
      </c>
      <c r="K902" s="39"/>
      <c r="L902" s="208"/>
      <c r="M902" s="39"/>
      <c r="N902" s="533" t="s">
        <v>2209</v>
      </c>
    </row>
    <row r="903" spans="1:14" s="541" customFormat="1" ht="15.75">
      <c r="A903" s="16"/>
      <c r="B903" s="39"/>
      <c r="C903" s="534">
        <v>1</v>
      </c>
      <c r="D903" s="536" t="s">
        <v>273</v>
      </c>
      <c r="E903" s="537">
        <v>2</v>
      </c>
      <c r="F903" s="538">
        <v>4.74</v>
      </c>
      <c r="G903" s="538">
        <v>0</v>
      </c>
      <c r="H903" s="538">
        <v>2.7</v>
      </c>
      <c r="I903" s="542">
        <f t="shared" si="42"/>
        <v>25.6</v>
      </c>
      <c r="J903" s="550" t="s">
        <v>102</v>
      </c>
      <c r="K903" s="39"/>
      <c r="L903" s="208"/>
      <c r="M903" s="39"/>
      <c r="N903" s="533" t="s">
        <v>2209</v>
      </c>
    </row>
    <row r="904" spans="1:14" s="541" customFormat="1" ht="15.75">
      <c r="A904" s="16"/>
      <c r="B904" s="39" t="s">
        <v>2198</v>
      </c>
      <c r="C904" s="534">
        <v>1</v>
      </c>
      <c r="D904" s="536" t="s">
        <v>273</v>
      </c>
      <c r="E904" s="537">
        <v>1</v>
      </c>
      <c r="F904" s="538">
        <v>37.799999999999997</v>
      </c>
      <c r="G904" s="538">
        <v>0</v>
      </c>
      <c r="H904" s="538">
        <v>1.76</v>
      </c>
      <c r="I904" s="542">
        <f t="shared" si="42"/>
        <v>66.53</v>
      </c>
      <c r="J904" s="550" t="s">
        <v>102</v>
      </c>
      <c r="K904" s="39"/>
      <c r="L904" s="208"/>
      <c r="M904" s="39"/>
      <c r="N904" s="533" t="s">
        <v>2209</v>
      </c>
    </row>
    <row r="905" spans="1:14" s="541" customFormat="1" ht="16.5" customHeight="1">
      <c r="A905" s="16"/>
      <c r="B905" s="544"/>
      <c r="C905" s="545"/>
      <c r="D905" s="546"/>
      <c r="E905" s="547"/>
      <c r="F905" s="548"/>
      <c r="G905" s="548"/>
      <c r="H905" s="548"/>
      <c r="I905" s="549"/>
      <c r="J905" s="550"/>
      <c r="K905" s="39"/>
      <c r="L905" s="208"/>
      <c r="M905" s="39"/>
      <c r="N905" s="533" t="s">
        <v>2209</v>
      </c>
    </row>
    <row r="906" spans="1:14" ht="15.75">
      <c r="A906" s="16"/>
      <c r="B906" s="39"/>
      <c r="C906" s="551"/>
      <c r="D906" s="552"/>
      <c r="E906" s="537"/>
      <c r="F906" s="538"/>
      <c r="G906" s="40"/>
      <c r="H906" s="16"/>
      <c r="I906" s="549"/>
      <c r="J906" s="550" t="s">
        <v>102</v>
      </c>
      <c r="K906" s="10">
        <f>data!G860</f>
        <v>192.71</v>
      </c>
      <c r="L906" s="208" t="s">
        <v>2209</v>
      </c>
      <c r="M906" s="9">
        <f>ROUND(I906*K906,0)</f>
        <v>0</v>
      </c>
      <c r="N906" s="533" t="s">
        <v>2209</v>
      </c>
    </row>
    <row r="907" spans="1:14" ht="94.5" customHeight="1">
      <c r="A907" s="16">
        <v>11</v>
      </c>
      <c r="B907" s="1633" t="s">
        <v>1168</v>
      </c>
      <c r="C907" s="1633"/>
      <c r="D907" s="1633"/>
      <c r="E907" s="1633"/>
      <c r="F907" s="1633"/>
      <c r="G907" s="1633"/>
      <c r="H907" s="1633"/>
      <c r="I907" s="534"/>
      <c r="J907" s="535"/>
      <c r="K907" s="16"/>
      <c r="L907" s="208"/>
      <c r="M907" s="38"/>
      <c r="N907" s="533" t="s">
        <v>2297</v>
      </c>
    </row>
    <row r="908" spans="1:14" s="541" customFormat="1" ht="15.75">
      <c r="A908" s="16"/>
      <c r="B908" s="39" t="s">
        <v>2989</v>
      </c>
      <c r="C908" s="534"/>
      <c r="D908" s="536"/>
      <c r="E908" s="537"/>
      <c r="F908" s="538"/>
      <c r="G908" s="538"/>
      <c r="H908" s="538"/>
      <c r="I908" s="539"/>
      <c r="J908" s="550"/>
      <c r="K908" s="39"/>
      <c r="L908" s="208"/>
      <c r="M908" s="39"/>
      <c r="N908" s="533" t="s">
        <v>2297</v>
      </c>
    </row>
    <row r="909" spans="1:14" s="541" customFormat="1" ht="15.75">
      <c r="A909" s="16"/>
      <c r="B909" s="39" t="s">
        <v>2955</v>
      </c>
      <c r="C909" s="534">
        <v>1</v>
      </c>
      <c r="D909" s="536" t="s">
        <v>273</v>
      </c>
      <c r="E909" s="537">
        <v>1</v>
      </c>
      <c r="F909" s="538">
        <v>15.6</v>
      </c>
      <c r="G909" s="538">
        <v>0</v>
      </c>
      <c r="H909" s="538">
        <v>2.4</v>
      </c>
      <c r="I909" s="542">
        <f t="shared" ref="I909" si="43">ROUND(IF(AND(F909:H909),C909*E909*F909*G909*H909,IF(AND(F909,G909),C909*E909*F909*G909,IF(AND(F909,H909),C909*E909*F909*H909,IF(AND(G909,H909),C909*E909*G909*H909,IF(F909,C909*E909*F909,IF(G909,C909*E909*G909,IF(H909,C909*E909*H909,C909*E909))))))),2)</f>
        <v>37.44</v>
      </c>
      <c r="J909" s="550" t="s">
        <v>102</v>
      </c>
      <c r="K909" s="39"/>
      <c r="L909" s="208"/>
      <c r="M909" s="39"/>
      <c r="N909" s="533" t="s">
        <v>2297</v>
      </c>
    </row>
    <row r="910" spans="1:14" s="541" customFormat="1" ht="15.75">
      <c r="A910" s="16"/>
      <c r="B910" s="39" t="s">
        <v>579</v>
      </c>
      <c r="C910" s="534">
        <v>1</v>
      </c>
      <c r="D910" s="536" t="s">
        <v>273</v>
      </c>
      <c r="E910" s="537">
        <v>1</v>
      </c>
      <c r="F910" s="538">
        <v>1.2</v>
      </c>
      <c r="G910" s="538">
        <v>0</v>
      </c>
      <c r="H910" s="538">
        <v>2.1</v>
      </c>
      <c r="I910" s="542">
        <f>-ROUND(IF(AND(F910:H910),C910*E910*F910*G910*H910,IF(AND(F910,G910),C910*E910*F910*G910,IF(AND(F910,H910),C910*E910*F910*H910,IF(AND(G910,H910),C910*E910*G910*H910,IF(F910,C910*E910*F910,IF(G910,C910*E910*G910,IF(H910,C910*E910*H910,C910*E910))))))),2)</f>
        <v>-2.52</v>
      </c>
      <c r="J910" s="550" t="s">
        <v>102</v>
      </c>
      <c r="K910" s="39"/>
      <c r="L910" s="208"/>
      <c r="M910" s="39"/>
      <c r="N910" s="533" t="s">
        <v>2297</v>
      </c>
    </row>
    <row r="911" spans="1:14" s="541" customFormat="1" ht="15.75">
      <c r="A911" s="16"/>
      <c r="B911" s="39" t="s">
        <v>2956</v>
      </c>
      <c r="C911" s="534">
        <v>1</v>
      </c>
      <c r="D911" s="536" t="s">
        <v>273</v>
      </c>
      <c r="E911" s="537">
        <v>1</v>
      </c>
      <c r="F911" s="538">
        <v>1.27</v>
      </c>
      <c r="G911" s="538">
        <v>0</v>
      </c>
      <c r="H911" s="538">
        <v>1.8</v>
      </c>
      <c r="I911" s="542">
        <f>-ROUND(IF(AND(F911:H911),C911*E911*F911*G911*H911,IF(AND(F911,G911),C911*E911*F911*G911,IF(AND(F911,H911),C911*E911*F911*H911,IF(AND(G911,H911),C911*E911*G911*H911,IF(F911,C911*E911*F911,IF(G911,C911*E911*G911,IF(H911,C911*E911*H911,C911*E911))))))),2)</f>
        <v>-2.29</v>
      </c>
      <c r="J911" s="550" t="s">
        <v>102</v>
      </c>
      <c r="K911" s="39"/>
      <c r="L911" s="208"/>
      <c r="M911" s="39"/>
      <c r="N911" s="533" t="s">
        <v>2297</v>
      </c>
    </row>
    <row r="912" spans="1:14" s="541" customFormat="1" ht="15.75">
      <c r="A912" s="16"/>
      <c r="B912" s="39" t="s">
        <v>1490</v>
      </c>
      <c r="C912" s="534">
        <v>1</v>
      </c>
      <c r="D912" s="536" t="s">
        <v>273</v>
      </c>
      <c r="E912" s="537">
        <v>2</v>
      </c>
      <c r="F912" s="538">
        <v>41.7</v>
      </c>
      <c r="G912" s="538">
        <v>0</v>
      </c>
      <c r="H912" s="538">
        <v>0.9</v>
      </c>
      <c r="I912" s="542">
        <f t="shared" ref="I912" si="44">ROUND(IF(AND(F912:H912),C912*E912*F912*G912*H912,IF(AND(F912,G912),C912*E912*F912*G912,IF(AND(F912,H912),C912*E912*F912*H912,IF(AND(G912,H912),C912*E912*G912*H912,IF(F912,C912*E912*F912,IF(G912,C912*E912*G912,IF(H912,C912*E912*H912,C912*E912))))))),2)</f>
        <v>75.06</v>
      </c>
      <c r="J912" s="550" t="s">
        <v>102</v>
      </c>
      <c r="K912" s="39"/>
      <c r="L912" s="208"/>
      <c r="M912" s="39"/>
      <c r="N912" s="533" t="s">
        <v>2297</v>
      </c>
    </row>
    <row r="913" spans="1:14" s="541" customFormat="1" ht="16.5" customHeight="1">
      <c r="A913" s="16"/>
      <c r="B913" s="544"/>
      <c r="C913" s="545"/>
      <c r="D913" s="546"/>
      <c r="E913" s="547"/>
      <c r="F913" s="548"/>
      <c r="G913" s="548"/>
      <c r="H913" s="548"/>
      <c r="I913" s="549"/>
      <c r="J913" s="550"/>
      <c r="K913" s="39"/>
      <c r="L913" s="208"/>
      <c r="M913" s="39"/>
      <c r="N913" s="533" t="s">
        <v>2297</v>
      </c>
    </row>
    <row r="914" spans="1:14" ht="15.75">
      <c r="A914" s="16"/>
      <c r="B914" s="39"/>
      <c r="C914" s="551"/>
      <c r="D914" s="552"/>
      <c r="E914" s="537"/>
      <c r="F914" s="538"/>
      <c r="G914" s="40"/>
      <c r="H914" s="16"/>
      <c r="I914" s="549"/>
      <c r="J914" s="550" t="s">
        <v>102</v>
      </c>
      <c r="K914" s="10">
        <f>data!G1777</f>
        <v>206.39</v>
      </c>
      <c r="L914" s="208" t="s">
        <v>2297</v>
      </c>
      <c r="M914" s="9">
        <f>ROUND(I914*K914,0)</f>
        <v>0</v>
      </c>
      <c r="N914" s="533" t="s">
        <v>2297</v>
      </c>
    </row>
    <row r="915" spans="1:14" ht="94.5" customHeight="1">
      <c r="A915" s="16">
        <v>11</v>
      </c>
      <c r="B915" s="1633" t="s">
        <v>1168</v>
      </c>
      <c r="C915" s="1633"/>
      <c r="D915" s="1633"/>
      <c r="E915" s="1633"/>
      <c r="F915" s="1633"/>
      <c r="G915" s="1633"/>
      <c r="H915" s="1633"/>
      <c r="I915" s="534"/>
      <c r="J915" s="535"/>
      <c r="K915" s="16"/>
      <c r="L915" s="208"/>
      <c r="M915" s="38"/>
      <c r="N915" s="533" t="s">
        <v>2308</v>
      </c>
    </row>
    <row r="916" spans="1:14" s="541" customFormat="1" ht="15.75">
      <c r="A916" s="16"/>
      <c r="B916" s="39" t="s">
        <v>2798</v>
      </c>
      <c r="C916" s="534"/>
      <c r="D916" s="536"/>
      <c r="E916" s="537"/>
      <c r="F916" s="538"/>
      <c r="G916" s="538"/>
      <c r="H916" s="538"/>
      <c r="I916" s="539"/>
      <c r="J916" s="550"/>
      <c r="K916" s="39"/>
      <c r="L916" s="208"/>
      <c r="M916" s="39"/>
      <c r="N916" s="533" t="s">
        <v>2308</v>
      </c>
    </row>
    <row r="917" spans="1:14" s="541" customFormat="1" ht="15.75">
      <c r="A917" s="16"/>
      <c r="B917" s="39"/>
      <c r="C917" s="534">
        <v>1</v>
      </c>
      <c r="D917" s="536" t="s">
        <v>273</v>
      </c>
      <c r="E917" s="537">
        <v>2</v>
      </c>
      <c r="F917" s="538">
        <v>3.25</v>
      </c>
      <c r="G917" s="538">
        <v>0</v>
      </c>
      <c r="H917" s="538">
        <v>2.7</v>
      </c>
      <c r="I917" s="542">
        <f>ROUND(IF(AND(F917:H917),C917*E917*F917*G917*H917,IF(AND(F917,G917),C917*E917*F917*G917,IF(AND(F917,H917),C917*E917*F917*H917,IF(AND(G917,H917),C917*E917*G917*H917,IF(F917,C917*E917*F917,IF(G917,C917*E917*G917,IF(H917,C917*E917*H917,C917*E917))))))),2)</f>
        <v>17.55</v>
      </c>
      <c r="J917" s="550" t="s">
        <v>102</v>
      </c>
      <c r="K917" s="39"/>
      <c r="L917" s="208"/>
      <c r="M917" s="39"/>
      <c r="N917" s="533" t="s">
        <v>2308</v>
      </c>
    </row>
    <row r="918" spans="1:14" s="541" customFormat="1" ht="15.75">
      <c r="A918" s="16"/>
      <c r="B918" s="39"/>
      <c r="C918" s="534">
        <v>1</v>
      </c>
      <c r="D918" s="536" t="s">
        <v>273</v>
      </c>
      <c r="E918" s="537">
        <v>2</v>
      </c>
      <c r="F918" s="538">
        <v>4.74</v>
      </c>
      <c r="G918" s="538">
        <v>0</v>
      </c>
      <c r="H918" s="538">
        <v>2.7</v>
      </c>
      <c r="I918" s="542">
        <f>ROUND(IF(AND(F918:H918),C918*E918*F918*G918*H918,IF(AND(F918,G918),C918*E918*F918*G918,IF(AND(F918,H918),C918*E918*F918*H918,IF(AND(G918,H918),C918*E918*G918*H918,IF(F918,C918*E918*F918,IF(G918,C918*E918*G918,IF(H918,C918*E918*H918,C918*E918))))))),2)</f>
        <v>25.6</v>
      </c>
      <c r="J918" s="550" t="s">
        <v>102</v>
      </c>
      <c r="K918" s="39"/>
      <c r="L918" s="208"/>
      <c r="M918" s="39"/>
      <c r="N918" s="533" t="s">
        <v>2308</v>
      </c>
    </row>
    <row r="919" spans="1:14" s="541" customFormat="1" ht="15.75">
      <c r="A919" s="16"/>
      <c r="B919" s="39" t="s">
        <v>2198</v>
      </c>
      <c r="C919" s="534">
        <v>1</v>
      </c>
      <c r="D919" s="536" t="s">
        <v>273</v>
      </c>
      <c r="E919" s="537">
        <v>1</v>
      </c>
      <c r="F919" s="538">
        <v>37.799999999999997</v>
      </c>
      <c r="G919" s="538">
        <v>0</v>
      </c>
      <c r="H919" s="538">
        <v>1.76</v>
      </c>
      <c r="I919" s="542">
        <f>ROUND(IF(AND(F919:H919),C919*E919*F919*G919*H919,IF(AND(F919,G919),C919*E919*F919*G919,IF(AND(F919,H919),C919*E919*F919*H919,IF(AND(G919,H919),C919*E919*G919*H919,IF(F919,C919*E919*F919,IF(G919,C919*E919*G919,IF(H919,C919*E919*H919,C919*E919))))))),2)</f>
        <v>66.53</v>
      </c>
      <c r="J919" s="550" t="s">
        <v>102</v>
      </c>
      <c r="K919" s="39"/>
      <c r="L919" s="208"/>
      <c r="M919" s="39"/>
      <c r="N919" s="533" t="s">
        <v>2308</v>
      </c>
    </row>
    <row r="920" spans="1:14" s="541" customFormat="1" ht="16.5" customHeight="1">
      <c r="A920" s="16"/>
      <c r="B920" s="544"/>
      <c r="C920" s="545"/>
      <c r="D920" s="546"/>
      <c r="E920" s="547"/>
      <c r="F920" s="548"/>
      <c r="G920" s="548"/>
      <c r="H920" s="548"/>
      <c r="I920" s="549"/>
      <c r="J920" s="550"/>
      <c r="K920" s="39"/>
      <c r="L920" s="208"/>
      <c r="M920" s="39"/>
      <c r="N920" s="533" t="s">
        <v>2308</v>
      </c>
    </row>
    <row r="921" spans="1:14" ht="15.75">
      <c r="A921" s="16"/>
      <c r="B921" s="39"/>
      <c r="C921" s="551"/>
      <c r="D921" s="552"/>
      <c r="E921" s="537"/>
      <c r="F921" s="538"/>
      <c r="G921" s="40"/>
      <c r="H921" s="16"/>
      <c r="I921" s="549"/>
      <c r="J921" s="550" t="s">
        <v>102</v>
      </c>
      <c r="K921" s="10">
        <f>data!G2694</f>
        <v>216.76</v>
      </c>
      <c r="L921" s="208" t="s">
        <v>2308</v>
      </c>
      <c r="M921" s="9">
        <f>ROUND(I921*K921,0)</f>
        <v>0</v>
      </c>
      <c r="N921" s="533" t="s">
        <v>2308</v>
      </c>
    </row>
    <row r="922" spans="1:14" ht="94.5" customHeight="1">
      <c r="A922" s="16">
        <v>11</v>
      </c>
      <c r="B922" s="1633" t="s">
        <v>1168</v>
      </c>
      <c r="C922" s="1633"/>
      <c r="D922" s="1633"/>
      <c r="E922" s="1633"/>
      <c r="F922" s="1633"/>
      <c r="G922" s="1633"/>
      <c r="H922" s="1633"/>
      <c r="I922" s="534"/>
      <c r="J922" s="535"/>
      <c r="K922" s="16"/>
      <c r="L922" s="208"/>
      <c r="M922" s="38"/>
      <c r="N922" s="533" t="s">
        <v>2309</v>
      </c>
    </row>
    <row r="923" spans="1:14" s="541" customFormat="1" ht="15.75">
      <c r="A923" s="16"/>
      <c r="B923" s="39" t="s">
        <v>3017</v>
      </c>
      <c r="C923" s="558"/>
      <c r="D923" s="858" t="s">
        <v>3253</v>
      </c>
      <c r="E923" s="560"/>
      <c r="F923" s="561"/>
      <c r="G923" s="561"/>
      <c r="H923" s="561"/>
      <c r="I923" s="562"/>
      <c r="J923" s="550"/>
      <c r="K923" s="39"/>
      <c r="L923" s="208"/>
      <c r="M923" s="39"/>
      <c r="N923" s="533" t="s">
        <v>2309</v>
      </c>
    </row>
    <row r="924" spans="1:14" s="541" customFormat="1" ht="15.75">
      <c r="A924" s="16"/>
      <c r="B924" s="39" t="s">
        <v>1541</v>
      </c>
      <c r="C924" s="534">
        <v>1</v>
      </c>
      <c r="D924" s="536" t="s">
        <v>273</v>
      </c>
      <c r="E924" s="537">
        <v>1</v>
      </c>
      <c r="F924" s="538">
        <v>2.68</v>
      </c>
      <c r="G924" s="538">
        <v>3.16</v>
      </c>
      <c r="H924" s="538">
        <v>0</v>
      </c>
      <c r="I924" s="542">
        <f t="shared" ref="I924:I925" si="45">ROUND(IF(AND(F924:H924),C924*E924*F924*G924*H924,IF(AND(F924,G924),C924*E924*F924*G924,IF(AND(F924,H924),C924*E924*F924*H924,IF(AND(G924,H924),C924*E924*G924*H924,IF(F924,C924*E924*F924,IF(G924,C924*E924*G924,IF(H924,C924*E924*H924,C924*E924))))))),2)</f>
        <v>8.4700000000000006</v>
      </c>
      <c r="J924" s="550" t="s">
        <v>102</v>
      </c>
      <c r="K924" s="39"/>
      <c r="L924" s="208"/>
      <c r="M924" s="39"/>
      <c r="N924" s="533" t="s">
        <v>2309</v>
      </c>
    </row>
    <row r="925" spans="1:14" s="541" customFormat="1" ht="15.75">
      <c r="A925" s="16"/>
      <c r="B925" s="39" t="s">
        <v>2367</v>
      </c>
      <c r="C925" s="534">
        <v>1</v>
      </c>
      <c r="D925" s="536" t="s">
        <v>273</v>
      </c>
      <c r="E925" s="537">
        <v>6</v>
      </c>
      <c r="F925" s="538">
        <v>1.8</v>
      </c>
      <c r="G925" s="538">
        <v>0.6</v>
      </c>
      <c r="H925" s="538">
        <v>0</v>
      </c>
      <c r="I925" s="542">
        <f t="shared" si="45"/>
        <v>6.48</v>
      </c>
      <c r="J925" s="550" t="s">
        <v>102</v>
      </c>
      <c r="K925" s="39"/>
      <c r="L925" s="208"/>
      <c r="M925" s="39"/>
      <c r="N925" s="533" t="s">
        <v>2309</v>
      </c>
    </row>
    <row r="926" spans="1:14" s="541" customFormat="1" ht="15.75">
      <c r="A926" s="16"/>
      <c r="B926" s="39" t="s">
        <v>3035</v>
      </c>
      <c r="C926" s="558"/>
      <c r="D926" s="858" t="s">
        <v>3253</v>
      </c>
      <c r="E926" s="560"/>
      <c r="F926" s="561"/>
      <c r="G926" s="561"/>
      <c r="H926" s="561"/>
      <c r="I926" s="562"/>
      <c r="J926" s="550"/>
      <c r="K926" s="39"/>
      <c r="L926" s="208"/>
      <c r="M926" s="39"/>
      <c r="N926" s="533" t="s">
        <v>2309</v>
      </c>
    </row>
    <row r="927" spans="1:14" s="541" customFormat="1" ht="15.75">
      <c r="A927" s="16"/>
      <c r="B927" s="39" t="s">
        <v>813</v>
      </c>
      <c r="C927" s="534">
        <v>1</v>
      </c>
      <c r="D927" s="536" t="s">
        <v>273</v>
      </c>
      <c r="E927" s="537">
        <v>1</v>
      </c>
      <c r="F927" s="538">
        <v>3.7</v>
      </c>
      <c r="G927" s="538">
        <v>0.3</v>
      </c>
      <c r="H927" s="538">
        <v>0</v>
      </c>
      <c r="I927" s="542">
        <f t="shared" ref="I927:I930" si="46">ROUND(IF(AND(F927:H927),C927*E927*F927*G927*H927,IF(AND(F927,G927),C927*E927*F927*G927,IF(AND(F927,H927),C927*E927*F927*H927,IF(AND(G927,H927),C927*E927*G927*H927,IF(F927,C927*E927*F927,IF(G927,C927*E927*G927,IF(H927,C927*E927*H927,C927*E927))))))),2)</f>
        <v>1.1100000000000001</v>
      </c>
      <c r="J927" s="550" t="s">
        <v>102</v>
      </c>
      <c r="K927" s="39"/>
      <c r="L927" s="208"/>
      <c r="M927" s="39"/>
      <c r="N927" s="533" t="s">
        <v>2309</v>
      </c>
    </row>
    <row r="928" spans="1:14" s="541" customFormat="1" ht="15.75">
      <c r="A928" s="16"/>
      <c r="B928" s="39" t="s">
        <v>3081</v>
      </c>
      <c r="C928" s="534">
        <v>1</v>
      </c>
      <c r="D928" s="536" t="s">
        <v>273</v>
      </c>
      <c r="E928" s="537">
        <v>2</v>
      </c>
      <c r="F928" s="538">
        <v>5</v>
      </c>
      <c r="G928" s="538">
        <v>0.3</v>
      </c>
      <c r="H928" s="538">
        <v>0</v>
      </c>
      <c r="I928" s="542">
        <f t="shared" si="46"/>
        <v>3</v>
      </c>
      <c r="J928" s="550" t="s">
        <v>102</v>
      </c>
      <c r="K928" s="39"/>
      <c r="L928" s="208"/>
      <c r="M928" s="39"/>
      <c r="N928" s="533" t="s">
        <v>2309</v>
      </c>
    </row>
    <row r="929" spans="1:15" s="541" customFormat="1" ht="15.75">
      <c r="A929" s="16"/>
      <c r="B929" s="39" t="s">
        <v>2722</v>
      </c>
      <c r="C929" s="534">
        <v>1</v>
      </c>
      <c r="D929" s="536" t="s">
        <v>273</v>
      </c>
      <c r="E929" s="537">
        <v>2</v>
      </c>
      <c r="F929" s="538">
        <v>4.5</v>
      </c>
      <c r="G929" s="538">
        <v>0</v>
      </c>
      <c r="H929" s="538">
        <v>2.38</v>
      </c>
      <c r="I929" s="542">
        <f t="shared" si="46"/>
        <v>21.42</v>
      </c>
      <c r="J929" s="550" t="s">
        <v>102</v>
      </c>
      <c r="K929" s="39"/>
      <c r="L929" s="208"/>
      <c r="M929" s="39"/>
      <c r="N929" s="533" t="s">
        <v>2309</v>
      </c>
    </row>
    <row r="930" spans="1:15" s="541" customFormat="1" ht="15.75">
      <c r="A930" s="16"/>
      <c r="B930" s="39"/>
      <c r="C930" s="534">
        <v>1</v>
      </c>
      <c r="D930" s="536" t="s">
        <v>273</v>
      </c>
      <c r="E930" s="537">
        <v>2</v>
      </c>
      <c r="F930" s="538">
        <v>3.2</v>
      </c>
      <c r="G930" s="538">
        <v>0</v>
      </c>
      <c r="H930" s="538">
        <v>2.38</v>
      </c>
      <c r="I930" s="542">
        <f t="shared" si="46"/>
        <v>15.23</v>
      </c>
      <c r="J930" s="550" t="s">
        <v>102</v>
      </c>
      <c r="K930" s="39"/>
      <c r="L930" s="208"/>
      <c r="M930" s="39"/>
      <c r="N930" s="533" t="s">
        <v>2309</v>
      </c>
    </row>
    <row r="931" spans="1:15" s="541" customFormat="1" ht="15.75">
      <c r="A931" s="16"/>
      <c r="B931" s="39" t="s">
        <v>1533</v>
      </c>
      <c r="C931" s="534">
        <v>1</v>
      </c>
      <c r="D931" s="536" t="s">
        <v>273</v>
      </c>
      <c r="E931" s="537">
        <v>1</v>
      </c>
      <c r="F931" s="538">
        <v>1.2</v>
      </c>
      <c r="G931" s="538">
        <v>0</v>
      </c>
      <c r="H931" s="538">
        <v>1.1000000000000001</v>
      </c>
      <c r="I931" s="542">
        <f>-ROUND(IF(AND(F931:H931),C931*E931*F931*G931*H931,IF(AND(F931,G931),C931*E931*F931*G931,IF(AND(F931,H931),C931*E931*F931*H931,IF(AND(G931,H931),C931*E931*G931*H931,IF(F931,C931*E931*F931,IF(G931,C931*E931*G931,IF(H931,C931*E931*H931,C931*E931))))))),2)</f>
        <v>-1.32</v>
      </c>
      <c r="J931" s="550" t="s">
        <v>102</v>
      </c>
      <c r="K931" s="39"/>
      <c r="L931" s="208"/>
      <c r="M931" s="39"/>
      <c r="N931" s="533" t="s">
        <v>2309</v>
      </c>
    </row>
    <row r="932" spans="1:15" s="541" customFormat="1" ht="15.75">
      <c r="A932" s="16"/>
      <c r="B932" s="39" t="s">
        <v>1490</v>
      </c>
      <c r="C932" s="534">
        <v>1</v>
      </c>
      <c r="D932" s="536" t="s">
        <v>273</v>
      </c>
      <c r="E932" s="537">
        <v>1</v>
      </c>
      <c r="F932" s="538">
        <v>10.050000000000001</v>
      </c>
      <c r="G932" s="538">
        <v>0</v>
      </c>
      <c r="H932" s="538">
        <v>1.9</v>
      </c>
      <c r="I932" s="542">
        <f t="shared" ref="I932:I935" si="47">ROUND(IF(AND(F932:H932),C932*E932*F932*G932*H932,IF(AND(F932,G932),C932*E932*F932*G932,IF(AND(F932,H932),C932*E932*F932*H932,IF(AND(G932,H932),C932*E932*G932*H932,IF(F932,C932*E932*F932,IF(G932,C932*E932*G932,IF(H932,C932*E932*H932,C932*E932))))))),2)</f>
        <v>19.100000000000001</v>
      </c>
      <c r="J932" s="550" t="s">
        <v>102</v>
      </c>
      <c r="K932" s="39"/>
      <c r="L932" s="208"/>
      <c r="M932" s="39"/>
      <c r="N932" s="533" t="s">
        <v>2309</v>
      </c>
    </row>
    <row r="933" spans="1:15" s="541" customFormat="1" ht="15.75">
      <c r="A933" s="16"/>
      <c r="B933" s="39"/>
      <c r="C933" s="534">
        <v>1</v>
      </c>
      <c r="D933" s="536" t="s">
        <v>273</v>
      </c>
      <c r="E933" s="537">
        <v>1</v>
      </c>
      <c r="F933" s="538">
        <v>9.1999999999999993</v>
      </c>
      <c r="G933" s="538">
        <v>0</v>
      </c>
      <c r="H933" s="538">
        <v>1.9</v>
      </c>
      <c r="I933" s="542">
        <f t="shared" si="47"/>
        <v>17.48</v>
      </c>
      <c r="J933" s="550" t="s">
        <v>102</v>
      </c>
      <c r="K933" s="39"/>
      <c r="L933" s="208"/>
      <c r="M933" s="39"/>
      <c r="N933" s="533" t="s">
        <v>2309</v>
      </c>
    </row>
    <row r="934" spans="1:15" s="541" customFormat="1" ht="15.75">
      <c r="A934" s="16"/>
      <c r="B934" s="39"/>
      <c r="C934" s="534">
        <v>1</v>
      </c>
      <c r="D934" s="536" t="s">
        <v>273</v>
      </c>
      <c r="E934" s="537">
        <v>1</v>
      </c>
      <c r="F934" s="538">
        <v>13.7</v>
      </c>
      <c r="G934" s="538">
        <v>0</v>
      </c>
      <c r="H934" s="538">
        <v>1.9</v>
      </c>
      <c r="I934" s="542">
        <f t="shared" si="47"/>
        <v>26.03</v>
      </c>
      <c r="J934" s="550" t="s">
        <v>102</v>
      </c>
      <c r="K934" s="39"/>
      <c r="L934" s="208"/>
      <c r="M934" s="39"/>
      <c r="N934" s="533" t="s">
        <v>2309</v>
      </c>
    </row>
    <row r="935" spans="1:15" s="541" customFormat="1" ht="15.75">
      <c r="A935" s="16"/>
      <c r="B935" s="39"/>
      <c r="C935" s="534">
        <v>1</v>
      </c>
      <c r="D935" s="536" t="s">
        <v>273</v>
      </c>
      <c r="E935" s="537">
        <v>1</v>
      </c>
      <c r="F935" s="538">
        <v>5.95</v>
      </c>
      <c r="G935" s="538">
        <v>0</v>
      </c>
      <c r="H935" s="538">
        <v>1.9</v>
      </c>
      <c r="I935" s="542">
        <f t="shared" si="47"/>
        <v>11.31</v>
      </c>
      <c r="J935" s="550" t="s">
        <v>102</v>
      </c>
      <c r="K935" s="39"/>
      <c r="L935" s="208"/>
      <c r="M935" s="39"/>
      <c r="N935" s="533" t="s">
        <v>2309</v>
      </c>
    </row>
    <row r="936" spans="1:15" s="541" customFormat="1" ht="16.5" customHeight="1">
      <c r="A936" s="16"/>
      <c r="B936" s="544"/>
      <c r="C936" s="545"/>
      <c r="D936" s="546"/>
      <c r="E936" s="547"/>
      <c r="F936" s="548"/>
      <c r="G936" s="548"/>
      <c r="H936" s="548"/>
      <c r="I936" s="549"/>
      <c r="J936" s="550"/>
      <c r="K936" s="39"/>
      <c r="L936" s="208"/>
      <c r="M936" s="39"/>
      <c r="N936" s="533" t="s">
        <v>2309</v>
      </c>
    </row>
    <row r="937" spans="1:15" ht="15.75">
      <c r="A937" s="16"/>
      <c r="B937" s="39"/>
      <c r="C937" s="551"/>
      <c r="D937" s="552"/>
      <c r="E937" s="537"/>
      <c r="F937" s="538"/>
      <c r="G937" s="40"/>
      <c r="H937" s="16"/>
      <c r="I937" s="549"/>
      <c r="J937" s="550" t="s">
        <v>102</v>
      </c>
      <c r="K937" s="10">
        <f>data!G3611</f>
        <v>233.59</v>
      </c>
      <c r="L937" s="208" t="s">
        <v>2309</v>
      </c>
      <c r="M937" s="9">
        <f>ROUND(I937*K937,0)</f>
        <v>0</v>
      </c>
      <c r="N937" s="533" t="s">
        <v>2309</v>
      </c>
    </row>
    <row r="938" spans="1:15" ht="69.75" customHeight="1">
      <c r="A938" s="16">
        <v>12</v>
      </c>
      <c r="B938" s="1633" t="s">
        <v>124</v>
      </c>
      <c r="C938" s="1633"/>
      <c r="D938" s="1633"/>
      <c r="E938" s="1633"/>
      <c r="F938" s="1633"/>
      <c r="G938" s="1633"/>
      <c r="H938" s="1633"/>
      <c r="I938" s="534"/>
      <c r="J938" s="535"/>
      <c r="K938" s="16"/>
      <c r="L938" s="208"/>
      <c r="M938" s="38"/>
      <c r="N938" s="533" t="s">
        <v>2209</v>
      </c>
    </row>
    <row r="939" spans="1:15" s="541" customFormat="1" ht="16.5" customHeight="1">
      <c r="A939" s="16"/>
      <c r="B939" s="39" t="s">
        <v>3044</v>
      </c>
      <c r="C939" s="563" t="s">
        <v>1433</v>
      </c>
      <c r="D939" s="564"/>
      <c r="E939" s="565"/>
      <c r="F939" s="566"/>
      <c r="G939" s="858" t="s">
        <v>3263</v>
      </c>
      <c r="H939" s="567"/>
      <c r="I939" s="568">
        <v>143.08000000000001</v>
      </c>
      <c r="J939" s="550" t="s">
        <v>141</v>
      </c>
      <c r="K939" s="39"/>
      <c r="L939" s="208"/>
      <c r="M939" s="39"/>
      <c r="N939" s="533" t="s">
        <v>2209</v>
      </c>
      <c r="O939" s="449"/>
    </row>
    <row r="940" spans="1:15" s="541" customFormat="1" ht="16.5" customHeight="1">
      <c r="A940" s="16"/>
      <c r="B940" s="39" t="s">
        <v>3045</v>
      </c>
      <c r="C940" s="563" t="s">
        <v>1622</v>
      </c>
      <c r="D940" s="564"/>
      <c r="E940" s="565"/>
      <c r="F940" s="566"/>
      <c r="G940" s="858" t="s">
        <v>3264</v>
      </c>
      <c r="H940" s="567"/>
      <c r="I940" s="568">
        <v>279.93</v>
      </c>
      <c r="J940" s="550" t="s">
        <v>141</v>
      </c>
      <c r="K940" s="39"/>
      <c r="L940" s="208"/>
      <c r="M940" s="39"/>
      <c r="N940" s="533" t="s">
        <v>2209</v>
      </c>
      <c r="O940" s="449"/>
    </row>
    <row r="941" spans="1:15" s="541" customFormat="1" ht="16.5" customHeight="1">
      <c r="A941" s="16"/>
      <c r="B941" s="39"/>
      <c r="C941" s="563"/>
      <c r="D941" s="564"/>
      <c r="E941" s="565"/>
      <c r="F941" s="566"/>
      <c r="G941" s="566"/>
      <c r="H941" s="567"/>
      <c r="I941" s="568"/>
      <c r="J941" s="550"/>
      <c r="K941" s="39"/>
      <c r="L941" s="16"/>
      <c r="M941" s="39"/>
      <c r="N941" s="533" t="s">
        <v>2209</v>
      </c>
    </row>
    <row r="942" spans="1:15" s="541" customFormat="1" ht="16.5" customHeight="1">
      <c r="A942" s="16"/>
      <c r="B942" s="39"/>
      <c r="C942" s="563"/>
      <c r="D942" s="564"/>
      <c r="E942" s="565"/>
      <c r="F942" s="566"/>
      <c r="G942" s="566"/>
      <c r="H942" s="567"/>
      <c r="I942" s="568">
        <f>SUM(I939:I941)</f>
        <v>423.01</v>
      </c>
      <c r="J942" s="550" t="s">
        <v>141</v>
      </c>
      <c r="K942" s="39"/>
      <c r="L942" s="208"/>
      <c r="M942" s="39"/>
      <c r="N942" s="533" t="s">
        <v>2209</v>
      </c>
    </row>
    <row r="943" spans="1:15" ht="15.75">
      <c r="A943" s="16"/>
      <c r="B943" s="39"/>
      <c r="C943" s="551"/>
      <c r="D943" s="552"/>
      <c r="E943" s="537"/>
      <c r="F943" s="538"/>
      <c r="G943" s="40"/>
      <c r="H943" s="16" t="s">
        <v>902</v>
      </c>
      <c r="I943" s="549"/>
      <c r="J943" s="550" t="s">
        <v>29</v>
      </c>
      <c r="K943" s="10">
        <f>data!G286</f>
        <v>64288.5</v>
      </c>
      <c r="L943" s="208" t="s">
        <v>2209</v>
      </c>
      <c r="M943" s="9">
        <f>ROUND(I943*K943,0)</f>
        <v>0</v>
      </c>
      <c r="N943" s="533" t="s">
        <v>2209</v>
      </c>
    </row>
    <row r="944" spans="1:15" ht="71.25" customHeight="1">
      <c r="A944" s="16">
        <v>12</v>
      </c>
      <c r="B944" s="1633" t="s">
        <v>124</v>
      </c>
      <c r="C944" s="1633"/>
      <c r="D944" s="1633"/>
      <c r="E944" s="1633"/>
      <c r="F944" s="1633"/>
      <c r="G944" s="1633"/>
      <c r="H944" s="1633"/>
      <c r="I944" s="534"/>
      <c r="J944" s="535"/>
      <c r="K944" s="16"/>
      <c r="L944" s="208"/>
      <c r="M944" s="38"/>
      <c r="N944" s="533" t="s">
        <v>2297</v>
      </c>
    </row>
    <row r="945" spans="1:15" s="541" customFormat="1" ht="16.5" customHeight="1">
      <c r="A945" s="16"/>
      <c r="B945" s="39" t="s">
        <v>2802</v>
      </c>
      <c r="C945" s="448" t="s">
        <v>2554</v>
      </c>
      <c r="D945" s="564"/>
      <c r="E945" s="565"/>
      <c r="F945" s="566"/>
      <c r="G945" s="566"/>
      <c r="H945" s="567"/>
      <c r="I945" s="603">
        <v>95.85</v>
      </c>
      <c r="J945" s="550" t="s">
        <v>141</v>
      </c>
      <c r="K945" s="39"/>
      <c r="L945" s="208"/>
      <c r="M945" s="39"/>
      <c r="N945" s="533" t="s">
        <v>2297</v>
      </c>
      <c r="O945" s="449"/>
    </row>
    <row r="946" spans="1:15" s="541" customFormat="1" ht="16.5" customHeight="1">
      <c r="A946" s="16"/>
      <c r="B946" s="39" t="s">
        <v>2867</v>
      </c>
      <c r="C946" s="563" t="s">
        <v>2868</v>
      </c>
      <c r="D946" s="564"/>
      <c r="E946" s="565"/>
      <c r="F946" s="566"/>
      <c r="G946" s="566"/>
      <c r="H946" s="567"/>
      <c r="I946" s="568">
        <v>353.47</v>
      </c>
      <c r="J946" s="550" t="s">
        <v>141</v>
      </c>
      <c r="K946" s="39"/>
      <c r="L946" s="16"/>
      <c r="M946" s="39"/>
      <c r="N946" s="533" t="s">
        <v>2297</v>
      </c>
    </row>
    <row r="947" spans="1:15" s="541" customFormat="1" ht="16.5" customHeight="1">
      <c r="A947" s="16"/>
      <c r="B947" s="39"/>
      <c r="C947" s="563"/>
      <c r="D947" s="564"/>
      <c r="E947" s="565"/>
      <c r="F947" s="566"/>
      <c r="G947" s="566"/>
      <c r="H947" s="567"/>
      <c r="I947" s="568">
        <f>SUM(I945:I946)</f>
        <v>449.32000000000005</v>
      </c>
      <c r="J947" s="550" t="s">
        <v>141</v>
      </c>
      <c r="K947" s="39"/>
      <c r="L947" s="208"/>
      <c r="M947" s="39"/>
      <c r="N947" s="533" t="s">
        <v>2297</v>
      </c>
    </row>
    <row r="948" spans="1:15" ht="15.75">
      <c r="A948" s="16"/>
      <c r="B948" s="39"/>
      <c r="C948" s="551"/>
      <c r="D948" s="552"/>
      <c r="E948" s="537"/>
      <c r="F948" s="538"/>
      <c r="G948" s="40"/>
      <c r="H948" s="16" t="s">
        <v>902</v>
      </c>
      <c r="I948" s="549"/>
      <c r="J948" s="550" t="s">
        <v>29</v>
      </c>
      <c r="K948" s="10">
        <f>data!G1202</f>
        <v>64635</v>
      </c>
      <c r="L948" s="208" t="s">
        <v>2297</v>
      </c>
      <c r="M948" s="9">
        <f>ROUND(I948*K948,0)</f>
        <v>0</v>
      </c>
      <c r="N948" s="533" t="s">
        <v>2297</v>
      </c>
    </row>
    <row r="949" spans="1:15" ht="69.75" customHeight="1">
      <c r="A949" s="16">
        <v>12</v>
      </c>
      <c r="B949" s="1633" t="s">
        <v>124</v>
      </c>
      <c r="C949" s="1633"/>
      <c r="D949" s="1633"/>
      <c r="E949" s="1633"/>
      <c r="F949" s="1633"/>
      <c r="G949" s="1633"/>
      <c r="H949" s="1633"/>
      <c r="I949" s="534"/>
      <c r="J949" s="535"/>
      <c r="K949" s="16"/>
      <c r="L949" s="208"/>
      <c r="M949" s="38"/>
      <c r="N949" s="533" t="s">
        <v>2308</v>
      </c>
    </row>
    <row r="950" spans="1:15" s="541" customFormat="1" ht="16.5" customHeight="1">
      <c r="A950" s="16"/>
      <c r="B950" s="39" t="s">
        <v>3044</v>
      </c>
      <c r="C950" s="563" t="s">
        <v>1433</v>
      </c>
      <c r="D950" s="564"/>
      <c r="E950" s="565"/>
      <c r="F950" s="566"/>
      <c r="G950" s="566"/>
      <c r="H950" s="567"/>
      <c r="I950" s="568">
        <v>143.08000000000001</v>
      </c>
      <c r="J950" s="550" t="s">
        <v>141</v>
      </c>
      <c r="K950" s="39"/>
      <c r="L950" s="208"/>
      <c r="M950" s="39"/>
      <c r="N950" s="533" t="s">
        <v>2308</v>
      </c>
      <c r="O950" s="449"/>
    </row>
    <row r="951" spans="1:15" s="541" customFormat="1" ht="16.5" customHeight="1">
      <c r="A951" s="16"/>
      <c r="B951" s="39" t="s">
        <v>3045</v>
      </c>
      <c r="C951" s="563" t="s">
        <v>1622</v>
      </c>
      <c r="D951" s="564"/>
      <c r="E951" s="565"/>
      <c r="F951" s="566"/>
      <c r="G951" s="566"/>
      <c r="H951" s="567"/>
      <c r="I951" s="568">
        <v>279.93</v>
      </c>
      <c r="J951" s="550" t="s">
        <v>141</v>
      </c>
      <c r="K951" s="39"/>
      <c r="L951" s="16"/>
      <c r="M951" s="39"/>
      <c r="N951" s="533" t="s">
        <v>2308</v>
      </c>
    </row>
    <row r="952" spans="1:15" s="541" customFormat="1" ht="16.5" customHeight="1">
      <c r="A952" s="16"/>
      <c r="B952" s="39"/>
      <c r="C952" s="563"/>
      <c r="D952" s="564"/>
      <c r="E952" s="565"/>
      <c r="F952" s="566"/>
      <c r="G952" s="566"/>
      <c r="H952" s="567"/>
      <c r="I952" s="568"/>
      <c r="J952" s="550"/>
      <c r="K952" s="39"/>
      <c r="L952" s="16"/>
      <c r="M952" s="39"/>
      <c r="N952" s="533" t="s">
        <v>2308</v>
      </c>
    </row>
    <row r="953" spans="1:15" s="541" customFormat="1" ht="16.5" customHeight="1">
      <c r="A953" s="16"/>
      <c r="B953" s="39"/>
      <c r="C953" s="563"/>
      <c r="D953" s="564"/>
      <c r="E953" s="565"/>
      <c r="F953" s="566"/>
      <c r="G953" s="566"/>
      <c r="H953" s="567"/>
      <c r="I953" s="568"/>
      <c r="J953" s="550" t="s">
        <v>141</v>
      </c>
      <c r="K953" s="39"/>
      <c r="L953" s="208"/>
      <c r="M953" s="39"/>
      <c r="N953" s="533" t="s">
        <v>2308</v>
      </c>
    </row>
    <row r="954" spans="1:15" ht="15.75">
      <c r="A954" s="16"/>
      <c r="B954" s="39"/>
      <c r="C954" s="551"/>
      <c r="D954" s="552"/>
      <c r="E954" s="537"/>
      <c r="F954" s="538"/>
      <c r="G954" s="40"/>
      <c r="H954" s="16" t="s">
        <v>902</v>
      </c>
      <c r="I954" s="549">
        <f>ROUND((I953/1000)*1,2)</f>
        <v>0</v>
      </c>
      <c r="J954" s="550" t="s">
        <v>29</v>
      </c>
      <c r="K954" s="10">
        <f>data!G2119</f>
        <v>82189.5</v>
      </c>
      <c r="L954" s="208" t="s">
        <v>2308</v>
      </c>
      <c r="M954" s="9">
        <f>ROUND(I954*K954,0)</f>
        <v>0</v>
      </c>
      <c r="N954" s="533" t="s">
        <v>2308</v>
      </c>
    </row>
    <row r="955" spans="1:15" ht="69.75" customHeight="1">
      <c r="A955" s="16">
        <v>12</v>
      </c>
      <c r="B955" s="1633" t="s">
        <v>124</v>
      </c>
      <c r="C955" s="1633"/>
      <c r="D955" s="1633"/>
      <c r="E955" s="1633"/>
      <c r="F955" s="1633"/>
      <c r="G955" s="1633"/>
      <c r="H955" s="1633"/>
      <c r="I955" s="534"/>
      <c r="J955" s="535"/>
      <c r="K955" s="16"/>
      <c r="L955" s="208"/>
      <c r="M955" s="38"/>
      <c r="N955" s="533" t="s">
        <v>2309</v>
      </c>
    </row>
    <row r="956" spans="1:15" s="541" customFormat="1" ht="16.5" customHeight="1">
      <c r="A956" s="16"/>
      <c r="B956" s="39" t="s">
        <v>2857</v>
      </c>
      <c r="C956" s="448" t="s">
        <v>1555</v>
      </c>
      <c r="D956" s="564"/>
      <c r="E956" s="565"/>
      <c r="F956" s="566"/>
      <c r="G956" s="566"/>
      <c r="H956" s="567"/>
      <c r="I956" s="603"/>
      <c r="J956" s="550" t="s">
        <v>141</v>
      </c>
      <c r="K956" s="39"/>
      <c r="L956" s="208"/>
      <c r="M956" s="39"/>
      <c r="N956" s="533" t="s">
        <v>2309</v>
      </c>
      <c r="O956" s="449"/>
    </row>
    <row r="957" spans="1:15" s="541" customFormat="1" ht="16.5" customHeight="1">
      <c r="A957" s="16"/>
      <c r="B957" s="39" t="s">
        <v>2831</v>
      </c>
      <c r="C957" s="563" t="s">
        <v>1622</v>
      </c>
      <c r="D957" s="564"/>
      <c r="E957" s="565"/>
      <c r="F957" s="566"/>
      <c r="G957" s="566"/>
      <c r="H957" s="567"/>
      <c r="I957" s="568"/>
      <c r="J957" s="550" t="s">
        <v>141</v>
      </c>
      <c r="K957" s="39"/>
      <c r="L957" s="16"/>
      <c r="M957" s="39"/>
      <c r="N957" s="533" t="s">
        <v>2309</v>
      </c>
    </row>
    <row r="958" spans="1:15" s="541" customFormat="1" ht="16.5" customHeight="1">
      <c r="A958" s="16"/>
      <c r="B958" s="39"/>
      <c r="C958" s="563"/>
      <c r="D958" s="564"/>
      <c r="E958" s="565"/>
      <c r="F958" s="566"/>
      <c r="G958" s="566"/>
      <c r="H958" s="567"/>
      <c r="I958" s="568"/>
      <c r="J958" s="550"/>
      <c r="K958" s="39"/>
      <c r="L958" s="16"/>
      <c r="M958" s="39"/>
      <c r="N958" s="533" t="s">
        <v>2309</v>
      </c>
    </row>
    <row r="959" spans="1:15" s="541" customFormat="1" ht="16.5" customHeight="1">
      <c r="A959" s="16"/>
      <c r="B959" s="39"/>
      <c r="C959" s="563"/>
      <c r="D959" s="564"/>
      <c r="E959" s="565"/>
      <c r="F959" s="566"/>
      <c r="G959" s="566"/>
      <c r="H959" s="567"/>
      <c r="I959" s="568">
        <f>SUM(I956:I958)</f>
        <v>0</v>
      </c>
      <c r="J959" s="550" t="s">
        <v>141</v>
      </c>
      <c r="K959" s="39"/>
      <c r="L959" s="208"/>
      <c r="M959" s="39"/>
      <c r="N959" s="533" t="s">
        <v>2309</v>
      </c>
    </row>
    <row r="960" spans="1:15" ht="15.75">
      <c r="A960" s="16"/>
      <c r="B960" s="39"/>
      <c r="C960" s="551"/>
      <c r="D960" s="552"/>
      <c r="E960" s="537"/>
      <c r="F960" s="538"/>
      <c r="G960" s="40"/>
      <c r="H960" s="16" t="s">
        <v>902</v>
      </c>
      <c r="I960" s="549">
        <f>ROUND((I959/1000)*1,2)</f>
        <v>0</v>
      </c>
      <c r="J960" s="550" t="s">
        <v>29</v>
      </c>
      <c r="K960" s="10">
        <f>data!G3036</f>
        <v>95016</v>
      </c>
      <c r="L960" s="208" t="s">
        <v>2309</v>
      </c>
      <c r="M960" s="9">
        <f>ROUND(I960*K960,0)</f>
        <v>0</v>
      </c>
      <c r="N960" s="533" t="s">
        <v>2309</v>
      </c>
    </row>
    <row r="961" spans="1:15">
      <c r="A961" s="16"/>
      <c r="B961" s="39"/>
      <c r="C961" s="551"/>
      <c r="D961" s="552"/>
      <c r="E961" s="537"/>
      <c r="F961" s="538"/>
      <c r="G961" s="40"/>
      <c r="H961" s="16"/>
      <c r="I961" s="584"/>
      <c r="J961" s="550"/>
      <c r="K961" s="10"/>
      <c r="L961" s="208"/>
      <c r="M961" s="9"/>
    </row>
    <row r="962" spans="1:15">
      <c r="A962" s="16"/>
      <c r="B962" s="39"/>
      <c r="C962" s="551"/>
      <c r="D962" s="552"/>
      <c r="E962" s="537"/>
      <c r="F962" s="538"/>
      <c r="G962" s="40"/>
      <c r="H962" s="16"/>
      <c r="I962" s="584"/>
      <c r="J962" s="550"/>
      <c r="K962" s="10"/>
      <c r="L962" s="208"/>
      <c r="M962" s="9"/>
    </row>
    <row r="963" spans="1:15">
      <c r="A963" s="16"/>
      <c r="B963" s="818"/>
      <c r="C963" s="532"/>
      <c r="D963" s="859"/>
      <c r="E963" s="861"/>
      <c r="F963" s="585"/>
      <c r="G963" s="585"/>
      <c r="H963" s="818"/>
      <c r="I963" s="549"/>
      <c r="J963" s="586"/>
      <c r="K963" s="10"/>
      <c r="L963" s="208"/>
      <c r="M963" s="587">
        <f>SUM(M8:M962)</f>
        <v>0</v>
      </c>
      <c r="N963" s="588"/>
      <c r="O963" s="588"/>
    </row>
    <row r="964" spans="1:15">
      <c r="M964" s="594"/>
    </row>
    <row r="965" spans="1:15">
      <c r="H965" s="58"/>
      <c r="I965" s="58"/>
      <c r="J965" s="58"/>
      <c r="M965" s="588"/>
    </row>
    <row r="966" spans="1:15">
      <c r="H966" s="58"/>
      <c r="I966" s="58"/>
      <c r="J966" s="58"/>
      <c r="M966" s="588"/>
    </row>
    <row r="967" spans="1:15">
      <c r="H967" s="58"/>
      <c r="I967" s="58"/>
      <c r="J967" s="58"/>
      <c r="M967" s="588"/>
    </row>
    <row r="968" spans="1:15">
      <c r="H968" s="55" t="str">
        <f>'lead 19-20'!$H$31</f>
        <v>Deputy Executive Engineer</v>
      </c>
      <c r="I968" s="595"/>
      <c r="J968" s="595"/>
      <c r="K968" s="596"/>
      <c r="L968" s="226" t="str">
        <f>'lead 19-20'!$K$31</f>
        <v>Assistant  Engineer</v>
      </c>
    </row>
    <row r="969" spans="1:15">
      <c r="H969" s="55" t="str">
        <f>'lead 19-20'!$H$32</f>
        <v>PRI Sub Division</v>
      </c>
      <c r="I969" s="595"/>
      <c r="J969" s="595"/>
      <c r="K969" s="596"/>
      <c r="L969" s="226" t="str">
        <f>'lead 19-20'!$K$32</f>
        <v>Mandal Praja parishad</v>
      </c>
    </row>
    <row r="970" spans="1:15">
      <c r="H970" s="55" t="str">
        <f>'lead 19-20'!$H$33</f>
        <v>Kanigiri</v>
      </c>
      <c r="I970" s="12"/>
      <c r="J970" s="12"/>
      <c r="K970" s="527"/>
      <c r="L970" s="226" t="str">
        <f>'lead 19-20'!$K$33</f>
        <v>Kanigiri</v>
      </c>
    </row>
    <row r="976" spans="1:15" s="592" customFormat="1">
      <c r="C976" s="58"/>
      <c r="E976" s="589"/>
      <c r="F976" s="590"/>
      <c r="G976" s="591"/>
      <c r="H976" s="12"/>
      <c r="K976" s="597"/>
      <c r="L976" s="593"/>
    </row>
  </sheetData>
  <autoFilter ref="A7:M961">
    <filterColumn colId="2" showButton="0"/>
    <filterColumn colId="3" showButton="0"/>
  </autoFilter>
  <mergeCells count="157">
    <mergeCell ref="B955:H955"/>
    <mergeCell ref="B949:H949"/>
    <mergeCell ref="B848:H848"/>
    <mergeCell ref="B856:H856"/>
    <mergeCell ref="B884:H884"/>
    <mergeCell ref="B892:H892"/>
    <mergeCell ref="B915:H915"/>
    <mergeCell ref="B770:H770"/>
    <mergeCell ref="B788:H788"/>
    <mergeCell ref="B794:H794"/>
    <mergeCell ref="B816:H816"/>
    <mergeCell ref="B824:H824"/>
    <mergeCell ref="B907:H907"/>
    <mergeCell ref="B944:H944"/>
    <mergeCell ref="B633:H633"/>
    <mergeCell ref="B654:H654"/>
    <mergeCell ref="B661:H661"/>
    <mergeCell ref="B682:H682"/>
    <mergeCell ref="B689:H689"/>
    <mergeCell ref="B647:H647"/>
    <mergeCell ref="B675:H675"/>
    <mergeCell ref="B696:H696"/>
    <mergeCell ref="B640:H640"/>
    <mergeCell ref="B668:H668"/>
    <mergeCell ref="B626:H626"/>
    <mergeCell ref="B497:H497"/>
    <mergeCell ref="B526:H526"/>
    <mergeCell ref="B533:H533"/>
    <mergeCell ref="B550:H550"/>
    <mergeCell ref="B555:H555"/>
    <mergeCell ref="B619:H619"/>
    <mergeCell ref="B591:H591"/>
    <mergeCell ref="B516:H516"/>
    <mergeCell ref="B228:H228"/>
    <mergeCell ref="B233:H233"/>
    <mergeCell ref="B250:H250"/>
    <mergeCell ref="B256:H256"/>
    <mergeCell ref="B275:H275"/>
    <mergeCell ref="B283:H283"/>
    <mergeCell ref="B308:H308"/>
    <mergeCell ref="B313:H313"/>
    <mergeCell ref="B321:H321"/>
    <mergeCell ref="B355:H355"/>
    <mergeCell ref="B383:H383"/>
    <mergeCell ref="B413:H413"/>
    <mergeCell ref="B566:H566"/>
    <mergeCell ref="B22:H22"/>
    <mergeCell ref="B29:H29"/>
    <mergeCell ref="B46:H46"/>
    <mergeCell ref="B52:H52"/>
    <mergeCell ref="B70:H70"/>
    <mergeCell ref="B76:H76"/>
    <mergeCell ref="B92:H92"/>
    <mergeCell ref="B97:H97"/>
    <mergeCell ref="B112:H112"/>
    <mergeCell ref="B334:H334"/>
    <mergeCell ref="B340:H340"/>
    <mergeCell ref="B362:H362"/>
    <mergeCell ref="B369:H369"/>
    <mergeCell ref="B391:H391"/>
    <mergeCell ref="B164:H164"/>
    <mergeCell ref="B184:H184"/>
    <mergeCell ref="B191:H191"/>
    <mergeCell ref="B208:H208"/>
    <mergeCell ref="B213:H213"/>
    <mergeCell ref="B223:H223"/>
    <mergeCell ref="B703:H703"/>
    <mergeCell ref="B731:H731"/>
    <mergeCell ref="B758:H758"/>
    <mergeCell ref="B782:H782"/>
    <mergeCell ref="B808:H808"/>
    <mergeCell ref="B900:H900"/>
    <mergeCell ref="B938:H938"/>
    <mergeCell ref="B724:H724"/>
    <mergeCell ref="B752:H752"/>
    <mergeCell ref="B776:H776"/>
    <mergeCell ref="B800:H800"/>
    <mergeCell ref="B832:H832"/>
    <mergeCell ref="B864:H864"/>
    <mergeCell ref="B840:H840"/>
    <mergeCell ref="B872:H872"/>
    <mergeCell ref="B710:H710"/>
    <mergeCell ref="B717:H717"/>
    <mergeCell ref="B738:H738"/>
    <mergeCell ref="B745:H745"/>
    <mergeCell ref="B764:H764"/>
    <mergeCell ref="B922:H922"/>
    <mergeCell ref="B15:H15"/>
    <mergeCell ref="B64:H64"/>
    <mergeCell ref="B87:H87"/>
    <mergeCell ref="B40:H40"/>
    <mergeCell ref="B8:H8"/>
    <mergeCell ref="B34:H34"/>
    <mergeCell ref="B58:H58"/>
    <mergeCell ref="B4:G4"/>
    <mergeCell ref="I4:K4"/>
    <mergeCell ref="C7:E7"/>
    <mergeCell ref="L4:M4"/>
    <mergeCell ref="A1:M1"/>
    <mergeCell ref="A2:B2"/>
    <mergeCell ref="C2:M2"/>
    <mergeCell ref="A3:B3"/>
    <mergeCell ref="C3:M3"/>
    <mergeCell ref="A5:A6"/>
    <mergeCell ref="B5:B6"/>
    <mergeCell ref="C5:E6"/>
    <mergeCell ref="F5:H5"/>
    <mergeCell ref="L5:L6"/>
    <mergeCell ref="I5:J6"/>
    <mergeCell ref="K5:K6"/>
    <mergeCell ref="M5:M6"/>
    <mergeCell ref="B376:H376"/>
    <mergeCell ref="B405:H405"/>
    <mergeCell ref="B437:H437"/>
    <mergeCell ref="B469:H469"/>
    <mergeCell ref="B509:H509"/>
    <mergeCell ref="B540:H540"/>
    <mergeCell ref="B560:H560"/>
    <mergeCell ref="B584:H584"/>
    <mergeCell ref="B612:H612"/>
    <mergeCell ref="B445:H445"/>
    <mergeCell ref="B481:H481"/>
    <mergeCell ref="B545:H545"/>
    <mergeCell ref="B398:H398"/>
    <mergeCell ref="B421:H421"/>
    <mergeCell ref="B429:H429"/>
    <mergeCell ref="B453:H453"/>
    <mergeCell ref="B461:H461"/>
    <mergeCell ref="B490:H490"/>
    <mergeCell ref="B572:H572"/>
    <mergeCell ref="B578:H578"/>
    <mergeCell ref="B598:H598"/>
    <mergeCell ref="B605:H605"/>
    <mergeCell ref="B348:H348"/>
    <mergeCell ref="B82:H82"/>
    <mergeCell ref="B102:H102"/>
    <mergeCell ref="B122:H122"/>
    <mergeCell ref="B146:H146"/>
    <mergeCell ref="B170:H170"/>
    <mergeCell ref="B198:H198"/>
    <mergeCell ref="B218:H218"/>
    <mergeCell ref="B238:H238"/>
    <mergeCell ref="B262:H262"/>
    <mergeCell ref="B291:H291"/>
    <mergeCell ref="B107:H107"/>
    <mergeCell ref="B128:H128"/>
    <mergeCell ref="B152:H152"/>
    <mergeCell ref="B177:H177"/>
    <mergeCell ref="B203:H203"/>
    <mergeCell ref="B117:H117"/>
    <mergeCell ref="B134:H134"/>
    <mergeCell ref="B140:H140"/>
    <mergeCell ref="B158:H158"/>
    <mergeCell ref="B244:H244"/>
    <mergeCell ref="B270:H270"/>
    <mergeCell ref="B299:H299"/>
    <mergeCell ref="B329:H329"/>
  </mergeCells>
  <printOptions horizontalCentered="1"/>
  <pageMargins left="0.15" right="0.1" top="0.2" bottom="0.23" header="0.25" footer="0.08"/>
  <pageSetup paperSize="9" scale="90" pageOrder="overThenDown" orientation="portrait" r:id="rId1"/>
  <headerFooter alignWithMargins="0"/>
</worksheet>
</file>

<file path=xl/worksheets/sheet11.xml><?xml version="1.0" encoding="utf-8"?>
<worksheet xmlns="http://schemas.openxmlformats.org/spreadsheetml/2006/main" xmlns:r="http://schemas.openxmlformats.org/officeDocument/2006/relationships">
  <sheetPr>
    <tabColor rgb="FF00B050"/>
  </sheetPr>
  <dimension ref="A1:N2054"/>
  <sheetViews>
    <sheetView showZeros="0" defaultGridColor="0" view="pageBreakPreview" topLeftCell="A2" colorId="22" zoomScale="115" zoomScaleNormal="115" zoomScaleSheetLayoutView="115" workbookViewId="0">
      <selection activeCell="G11" sqref="G11"/>
    </sheetView>
  </sheetViews>
  <sheetFormatPr defaultColWidth="9.140625" defaultRowHeight="12.75"/>
  <cols>
    <col min="1" max="1" width="3.5703125" style="58" customWidth="1"/>
    <col min="2" max="2" width="31.42578125" style="58" customWidth="1"/>
    <col min="3" max="3" width="3.5703125" style="58" customWidth="1"/>
    <col min="4" max="4" width="1.7109375" style="58" customWidth="1"/>
    <col min="5" max="5" width="5.140625" style="589" customWidth="1"/>
    <col min="6" max="6" width="6.7109375" style="590" customWidth="1"/>
    <col min="7" max="7" width="6.140625" style="591" customWidth="1"/>
    <col min="8" max="8" width="7.42578125" style="12" customWidth="1"/>
    <col min="9" max="9" width="8.7109375" style="592" customWidth="1"/>
    <col min="10" max="10" width="5.28515625" style="592" customWidth="1"/>
    <col min="11" max="11" width="8.42578125" style="12" customWidth="1"/>
    <col min="12" max="12" width="8.85546875" style="593" customWidth="1"/>
    <col min="13" max="13" width="10.85546875" style="592" customWidth="1"/>
    <col min="14" max="15" width="10.42578125" style="58" bestFit="1" customWidth="1"/>
    <col min="16" max="16384" width="9.140625" style="58"/>
  </cols>
  <sheetData>
    <row r="1" spans="1:13" ht="26.25" customHeight="1">
      <c r="A1" s="1604" t="s">
        <v>269</v>
      </c>
      <c r="B1" s="1604"/>
      <c r="C1" s="1604"/>
      <c r="D1" s="1604"/>
      <c r="E1" s="1604"/>
      <c r="F1" s="1604"/>
      <c r="G1" s="1604"/>
      <c r="H1" s="1604"/>
      <c r="I1" s="1604"/>
      <c r="J1" s="1604"/>
      <c r="K1" s="1604"/>
      <c r="L1" s="1604"/>
      <c r="M1" s="1604"/>
    </row>
    <row r="2" spans="1:13" ht="42" customHeight="1">
      <c r="A2" s="1605" t="s">
        <v>896</v>
      </c>
      <c r="B2" s="1605"/>
      <c r="C2" s="1606" t="str">
        <f>'lead 19-20'!C2</f>
        <v>Providing Additional Space for Health Staff in Grama Sachivalayam of Baduguleru GP of Kanigiri Mandal</v>
      </c>
      <c r="D2" s="1606"/>
      <c r="E2" s="1606"/>
      <c r="F2" s="1606"/>
      <c r="G2" s="1606"/>
      <c r="H2" s="1606"/>
      <c r="I2" s="1606"/>
      <c r="J2" s="1606"/>
      <c r="K2" s="1606"/>
      <c r="L2" s="1606"/>
      <c r="M2" s="1606"/>
    </row>
    <row r="3" spans="1:13" ht="17.25" customHeight="1">
      <c r="A3" s="1605" t="s">
        <v>897</v>
      </c>
      <c r="B3" s="1605"/>
      <c r="C3" s="1606" t="s">
        <v>3161</v>
      </c>
      <c r="D3" s="1606"/>
      <c r="E3" s="1606"/>
      <c r="F3" s="1606"/>
      <c r="G3" s="1606"/>
      <c r="H3" s="1606"/>
      <c r="I3" s="1606"/>
      <c r="J3" s="1606"/>
      <c r="K3" s="1606"/>
      <c r="L3" s="1606"/>
      <c r="M3" s="1606"/>
    </row>
    <row r="4" spans="1:13" ht="15" customHeight="1">
      <c r="A4" s="526"/>
      <c r="B4" s="1637"/>
      <c r="C4" s="1637"/>
      <c r="D4" s="1637"/>
      <c r="E4" s="1637"/>
      <c r="F4" s="1637"/>
      <c r="G4" s="1637"/>
      <c r="H4" s="527"/>
      <c r="I4" s="1602"/>
      <c r="J4" s="1602"/>
      <c r="K4" s="1602"/>
      <c r="L4" s="1603"/>
      <c r="M4" s="1603"/>
    </row>
    <row r="5" spans="1:13" s="528" customFormat="1" ht="12.75" customHeight="1">
      <c r="A5" s="1608" t="s">
        <v>271</v>
      </c>
      <c r="B5" s="1608" t="s">
        <v>272</v>
      </c>
      <c r="C5" s="1608" t="s">
        <v>115</v>
      </c>
      <c r="D5" s="1608"/>
      <c r="E5" s="1608"/>
      <c r="F5" s="1608" t="s">
        <v>123</v>
      </c>
      <c r="G5" s="1608"/>
      <c r="H5" s="1608"/>
      <c r="I5" s="1608" t="s">
        <v>6</v>
      </c>
      <c r="J5" s="1608"/>
      <c r="K5" s="1608" t="s">
        <v>8</v>
      </c>
      <c r="L5" s="1607" t="s">
        <v>9</v>
      </c>
      <c r="M5" s="1608" t="s">
        <v>10</v>
      </c>
    </row>
    <row r="6" spans="1:13" s="528" customFormat="1" ht="21.75" customHeight="1">
      <c r="A6" s="1608"/>
      <c r="B6" s="1608"/>
      <c r="C6" s="1608"/>
      <c r="D6" s="1608"/>
      <c r="E6" s="1608"/>
      <c r="F6" s="529" t="s">
        <v>12</v>
      </c>
      <c r="G6" s="529" t="s">
        <v>13</v>
      </c>
      <c r="H6" s="816" t="s">
        <v>14</v>
      </c>
      <c r="I6" s="1608"/>
      <c r="J6" s="1608"/>
      <c r="K6" s="1608"/>
      <c r="L6" s="1607"/>
      <c r="M6" s="1608"/>
    </row>
    <row r="7" spans="1:13" s="528" customFormat="1" ht="15.75">
      <c r="A7" s="816">
        <v>1</v>
      </c>
      <c r="B7" s="816">
        <v>2</v>
      </c>
      <c r="C7" s="1608">
        <v>3</v>
      </c>
      <c r="D7" s="1608"/>
      <c r="E7" s="1608"/>
      <c r="F7" s="815">
        <v>4</v>
      </c>
      <c r="G7" s="815">
        <v>5</v>
      </c>
      <c r="H7" s="816">
        <v>6</v>
      </c>
      <c r="I7" s="530">
        <v>7</v>
      </c>
      <c r="J7" s="531"/>
      <c r="K7" s="816">
        <v>8</v>
      </c>
      <c r="L7" s="815">
        <v>9</v>
      </c>
      <c r="M7" s="816">
        <v>10</v>
      </c>
    </row>
    <row r="2040" spans="1:14" ht="15.75">
      <c r="A2040" s="16"/>
      <c r="B2040" s="551"/>
      <c r="C2040" s="552"/>
      <c r="D2040" s="552"/>
      <c r="E2040" s="788"/>
      <c r="F2040" s="789"/>
      <c r="G2040" s="790"/>
      <c r="H2040" s="540"/>
      <c r="I2040" s="604"/>
      <c r="J2040" s="575"/>
      <c r="K2040" s="10"/>
      <c r="L2040" s="208"/>
      <c r="M2040" s="9"/>
      <c r="N2040" s="533"/>
    </row>
    <row r="2041" spans="1:14" s="753" customFormat="1" ht="20.25" customHeight="1">
      <c r="A2041" s="750"/>
      <c r="B2041" s="1640" t="s">
        <v>2563</v>
      </c>
      <c r="C2041" s="1641"/>
      <c r="D2041" s="1641"/>
      <c r="E2041" s="1641"/>
      <c r="F2041" s="1641"/>
      <c r="G2041" s="1641"/>
      <c r="H2041" s="1642"/>
      <c r="I2041" s="751"/>
      <c r="J2041" s="752"/>
      <c r="K2041" s="750"/>
      <c r="L2041" s="750"/>
      <c r="M2041" s="754">
        <f>SUM('PART-A'!M2494:M4501)</f>
        <v>31856</v>
      </c>
      <c r="N2041" s="753">
        <v>0</v>
      </c>
    </row>
    <row r="2042" spans="1:14">
      <c r="M2042" s="594"/>
    </row>
    <row r="2043" spans="1:14">
      <c r="H2043" s="58"/>
      <c r="I2043" s="58"/>
      <c r="J2043" s="58"/>
      <c r="M2043" s="588"/>
    </row>
    <row r="2044" spans="1:14">
      <c r="H2044" s="58"/>
      <c r="I2044" s="58"/>
      <c r="J2044" s="58"/>
      <c r="M2044" s="588"/>
    </row>
    <row r="2045" spans="1:14">
      <c r="H2045" s="58"/>
      <c r="I2045" s="58"/>
      <c r="J2045" s="58"/>
      <c r="M2045" s="588"/>
    </row>
    <row r="2046" spans="1:14">
      <c r="H2046" s="55" t="str">
        <f>'lead 19-20'!$H$31</f>
        <v>Deputy Executive Engineer</v>
      </c>
      <c r="I2046" s="595"/>
      <c r="J2046" s="595"/>
      <c r="K2046" s="596"/>
      <c r="L2046" s="226" t="str">
        <f>'lead 19-20'!$K$31</f>
        <v>Assistant  Engineer</v>
      </c>
    </row>
    <row r="2047" spans="1:14">
      <c r="H2047" s="55" t="str">
        <f>'lead 19-20'!$H$32</f>
        <v>PRI Sub Division</v>
      </c>
      <c r="I2047" s="595"/>
      <c r="J2047" s="595"/>
      <c r="K2047" s="596"/>
      <c r="L2047" s="226" t="str">
        <f>'lead 19-20'!$K$32</f>
        <v>Mandal Praja parishad</v>
      </c>
    </row>
    <row r="2048" spans="1:14">
      <c r="H2048" s="55" t="str">
        <f>'lead 19-20'!$H$33</f>
        <v>Kanigiri</v>
      </c>
      <c r="I2048" s="12"/>
      <c r="J2048" s="12"/>
      <c r="K2048" s="527"/>
      <c r="L2048" s="226" t="str">
        <f>'lead 19-20'!$K$33</f>
        <v>Kanigiri</v>
      </c>
    </row>
    <row r="2054" spans="3:12" s="592" customFormat="1">
      <c r="C2054" s="58"/>
      <c r="E2054" s="589"/>
      <c r="F2054" s="590"/>
      <c r="G2054" s="591"/>
      <c r="H2054" s="12"/>
      <c r="K2054" s="597"/>
      <c r="L2054" s="593"/>
    </row>
  </sheetData>
  <autoFilter ref="A7:N2039">
    <filterColumn colId="2" showButton="0"/>
    <filterColumn colId="3" showButton="0"/>
  </autoFilter>
  <mergeCells count="18">
    <mergeCell ref="A1:M1"/>
    <mergeCell ref="A2:B2"/>
    <mergeCell ref="C2:M2"/>
    <mergeCell ref="A3:B3"/>
    <mergeCell ref="C3:M3"/>
    <mergeCell ref="B4:G4"/>
    <mergeCell ref="I4:K4"/>
    <mergeCell ref="L4:M4"/>
    <mergeCell ref="L5:L6"/>
    <mergeCell ref="M5:M6"/>
    <mergeCell ref="I5:J6"/>
    <mergeCell ref="K5:K6"/>
    <mergeCell ref="B2041:H2041"/>
    <mergeCell ref="C7:E7"/>
    <mergeCell ref="A5:A6"/>
    <mergeCell ref="B5:B6"/>
    <mergeCell ref="C5:E6"/>
    <mergeCell ref="F5:H5"/>
  </mergeCells>
  <printOptions horizontalCentered="1"/>
  <pageMargins left="0.15" right="0.1" top="0.2" bottom="0.23" header="0.25" footer="0.08"/>
  <pageSetup paperSize="9" scale="90" pageOrder="overThenDown" orientation="portrait" r:id="rId1"/>
  <headerFooter alignWithMargins="0"/>
</worksheet>
</file>

<file path=xl/worksheets/sheet12.xml><?xml version="1.0" encoding="utf-8"?>
<worksheet xmlns="http://schemas.openxmlformats.org/spreadsheetml/2006/main" xmlns:r="http://schemas.openxmlformats.org/officeDocument/2006/relationships">
  <sheetPr filterMode="1">
    <tabColor rgb="FF00B050"/>
  </sheetPr>
  <dimension ref="A1:Q1589"/>
  <sheetViews>
    <sheetView showZeros="0" defaultGridColor="0" view="pageBreakPreview" topLeftCell="A1550" colorId="22" zoomScale="115" zoomScaleNormal="115" zoomScaleSheetLayoutView="115" workbookViewId="0">
      <selection activeCell="I1495" sqref="I1495"/>
    </sheetView>
  </sheetViews>
  <sheetFormatPr defaultColWidth="9.140625" defaultRowHeight="12.75"/>
  <cols>
    <col min="1" max="1" width="3.5703125" style="901" customWidth="1"/>
    <col min="2" max="2" width="31.42578125" style="901" customWidth="1"/>
    <col min="3" max="3" width="3.5703125" style="901" customWidth="1"/>
    <col min="4" max="4" width="1.7109375" style="901" customWidth="1"/>
    <col min="5" max="5" width="5.140625" style="1356" customWidth="1"/>
    <col min="6" max="6" width="6.7109375" style="1357" customWidth="1"/>
    <col min="7" max="7" width="6.140625" style="1358" customWidth="1"/>
    <col min="8" max="8" width="7.42578125" style="964" customWidth="1"/>
    <col min="9" max="9" width="8.7109375" style="965" customWidth="1"/>
    <col min="10" max="10" width="5.28515625" style="965" customWidth="1"/>
    <col min="11" max="11" width="8.42578125" style="964" customWidth="1"/>
    <col min="12" max="12" width="8.85546875" style="1359" customWidth="1"/>
    <col min="13" max="13" width="10.85546875" style="965" customWidth="1"/>
    <col min="14" max="15" width="10.42578125" style="901" bestFit="1" customWidth="1"/>
    <col min="16" max="16" width="10.5703125" style="901" bestFit="1" customWidth="1"/>
    <col min="17" max="16384" width="9.140625" style="901"/>
  </cols>
  <sheetData>
    <row r="1" spans="1:15" ht="26.25" customHeight="1">
      <c r="A1" s="1618" t="s">
        <v>3312</v>
      </c>
      <c r="B1" s="1618"/>
      <c r="C1" s="1618"/>
      <c r="D1" s="1618"/>
      <c r="E1" s="1618"/>
      <c r="F1" s="1618"/>
      <c r="G1" s="1618"/>
      <c r="H1" s="1618"/>
      <c r="I1" s="1618"/>
      <c r="J1" s="1618"/>
      <c r="K1" s="1618"/>
      <c r="L1" s="1618"/>
      <c r="M1" s="1618"/>
    </row>
    <row r="2" spans="1:15" ht="42" customHeight="1">
      <c r="A2" s="1619" t="s">
        <v>896</v>
      </c>
      <c r="B2" s="1619"/>
      <c r="C2" s="1620" t="str">
        <f>'lead 19-20'!C2</f>
        <v>Providing Additional Space for Health Staff in Grama Sachivalayam of Baduguleru GP of Kanigiri Mandal</v>
      </c>
      <c r="D2" s="1620"/>
      <c r="E2" s="1620"/>
      <c r="F2" s="1620"/>
      <c r="G2" s="1620"/>
      <c r="H2" s="1620"/>
      <c r="I2" s="1620"/>
      <c r="J2" s="1620"/>
      <c r="K2" s="1620"/>
      <c r="L2" s="1620"/>
      <c r="M2" s="1620"/>
    </row>
    <row r="3" spans="1:15" ht="15" customHeight="1">
      <c r="A3" s="1253"/>
      <c r="B3" s="1364"/>
      <c r="C3" s="1254"/>
      <c r="D3" s="1254"/>
      <c r="E3" s="1254"/>
      <c r="F3" s="1254"/>
      <c r="G3" s="1254"/>
      <c r="H3" s="1254"/>
      <c r="I3" s="1254"/>
      <c r="J3" s="1254"/>
      <c r="K3" s="1254" t="s">
        <v>270</v>
      </c>
      <c r="L3" s="1647" t="s">
        <v>2416</v>
      </c>
      <c r="M3" s="1647"/>
    </row>
    <row r="4" spans="1:15" s="1256" customFormat="1" ht="12.75" customHeight="1">
      <c r="A4" s="1611" t="s">
        <v>271</v>
      </c>
      <c r="B4" s="1611" t="s">
        <v>272</v>
      </c>
      <c r="C4" s="1611" t="s">
        <v>115</v>
      </c>
      <c r="D4" s="1611"/>
      <c r="E4" s="1611"/>
      <c r="F4" s="1611" t="s">
        <v>123</v>
      </c>
      <c r="G4" s="1611"/>
      <c r="H4" s="1611"/>
      <c r="I4" s="1611" t="s">
        <v>6</v>
      </c>
      <c r="J4" s="1611"/>
      <c r="K4" s="1611" t="s">
        <v>8</v>
      </c>
      <c r="L4" s="1625" t="s">
        <v>9</v>
      </c>
      <c r="M4" s="1611" t="s">
        <v>10</v>
      </c>
    </row>
    <row r="5" spans="1:15" s="1256" customFormat="1" ht="21.75" customHeight="1">
      <c r="A5" s="1611"/>
      <c r="B5" s="1611"/>
      <c r="C5" s="1611"/>
      <c r="D5" s="1611"/>
      <c r="E5" s="1611"/>
      <c r="F5" s="1257" t="s">
        <v>12</v>
      </c>
      <c r="G5" s="1257" t="s">
        <v>13</v>
      </c>
      <c r="H5" s="1390" t="s">
        <v>14</v>
      </c>
      <c r="I5" s="1611"/>
      <c r="J5" s="1611"/>
      <c r="K5" s="1611"/>
      <c r="L5" s="1625"/>
      <c r="M5" s="1611"/>
    </row>
    <row r="6" spans="1:15" s="1256" customFormat="1" ht="15.75">
      <c r="A6" s="1390">
        <v>1</v>
      </c>
      <c r="B6" s="1390">
        <v>2</v>
      </c>
      <c r="C6" s="1611">
        <v>3</v>
      </c>
      <c r="D6" s="1611"/>
      <c r="E6" s="1611"/>
      <c r="F6" s="1391">
        <v>4</v>
      </c>
      <c r="G6" s="1391">
        <v>5</v>
      </c>
      <c r="H6" s="1390">
        <v>6</v>
      </c>
      <c r="I6" s="1258">
        <v>7</v>
      </c>
      <c r="J6" s="1259"/>
      <c r="K6" s="1390">
        <v>8</v>
      </c>
      <c r="L6" s="1391">
        <v>9</v>
      </c>
      <c r="M6" s="1390">
        <v>10</v>
      </c>
    </row>
    <row r="7" spans="1:15" ht="15.75" hidden="1">
      <c r="A7" s="896"/>
      <c r="B7" s="966" t="s">
        <v>2458</v>
      </c>
      <c r="C7" s="1261"/>
      <c r="D7" s="1384"/>
      <c r="E7" s="1365"/>
      <c r="F7" s="1366"/>
      <c r="G7" s="1366"/>
      <c r="H7" s="1382"/>
      <c r="I7" s="916"/>
      <c r="J7" s="1343"/>
      <c r="K7" s="922"/>
      <c r="L7" s="923"/>
      <c r="M7" s="1344"/>
      <c r="N7" s="900" t="s">
        <v>2309</v>
      </c>
      <c r="O7" s="1019"/>
    </row>
    <row r="8" spans="1:15" s="1253" customFormat="1" ht="15.75" hidden="1">
      <c r="A8" s="967"/>
      <c r="B8" s="1260" t="s">
        <v>293</v>
      </c>
      <c r="C8" s="1387"/>
      <c r="D8" s="1388"/>
      <c r="E8" s="1389"/>
      <c r="F8" s="973"/>
      <c r="G8" s="973"/>
      <c r="H8" s="967"/>
      <c r="I8" s="1261"/>
      <c r="J8" s="1262"/>
      <c r="K8" s="967"/>
      <c r="L8" s="988"/>
      <c r="M8" s="967"/>
      <c r="N8" s="900" t="s">
        <v>2309</v>
      </c>
    </row>
    <row r="9" spans="1:15" ht="30" hidden="1" customHeight="1">
      <c r="A9" s="896">
        <v>1</v>
      </c>
      <c r="B9" s="1609" t="s">
        <v>294</v>
      </c>
      <c r="C9" s="1609"/>
      <c r="D9" s="1609"/>
      <c r="E9" s="1609"/>
      <c r="F9" s="1609"/>
      <c r="G9" s="1609"/>
      <c r="H9" s="1609"/>
      <c r="I9" s="897"/>
      <c r="J9" s="898"/>
      <c r="K9" s="896"/>
      <c r="L9" s="923"/>
      <c r="M9" s="899"/>
      <c r="N9" s="900" t="s">
        <v>2309</v>
      </c>
    </row>
    <row r="10" spans="1:15" s="910" customFormat="1" ht="16.5" hidden="1" customHeight="1">
      <c r="A10" s="896"/>
      <c r="B10" s="902" t="s">
        <v>3386</v>
      </c>
      <c r="C10" s="897"/>
      <c r="D10" s="1263"/>
      <c r="E10" s="919"/>
      <c r="F10" s="920"/>
      <c r="G10" s="920"/>
      <c r="H10" s="920"/>
      <c r="I10" s="1264"/>
      <c r="J10" s="1265"/>
      <c r="K10" s="902"/>
      <c r="L10" s="896"/>
      <c r="M10" s="902"/>
      <c r="N10" s="900" t="s">
        <v>2309</v>
      </c>
    </row>
    <row r="11" spans="1:15" s="910" customFormat="1" ht="16.5" hidden="1" customHeight="1">
      <c r="A11" s="896"/>
      <c r="B11" s="902"/>
      <c r="C11" s="897">
        <v>1</v>
      </c>
      <c r="D11" s="1263" t="s">
        <v>273</v>
      </c>
      <c r="E11" s="919">
        <v>1</v>
      </c>
      <c r="F11" s="920">
        <v>7.6</v>
      </c>
      <c r="G11" s="920">
        <v>5.24</v>
      </c>
      <c r="H11" s="920">
        <v>0</v>
      </c>
      <c r="I11" s="1266">
        <f>ROUND(IF(AND(F11:H11),C11*E11*F11*G11*H11,IF(AND(F11,G11),C11*E11*F11*G11,IF(AND(F11,H11),C11*E11*F11*H11,IF(AND(G11,H11),C11*E11*G11*H11,IF(F11,C11*E11*F11,IF(G11,C11*E11*G11,IF(H11,C11*E11*H11,C11*E11))))))),2)</f>
        <v>39.82</v>
      </c>
      <c r="J11" s="1267" t="s">
        <v>102</v>
      </c>
      <c r="K11" s="902"/>
      <c r="L11" s="896"/>
      <c r="M11" s="902"/>
      <c r="N11" s="900" t="s">
        <v>2309</v>
      </c>
    </row>
    <row r="12" spans="1:15" s="910" customFormat="1" ht="16.5" hidden="1" customHeight="1">
      <c r="A12" s="896"/>
      <c r="B12" s="956"/>
      <c r="C12" s="957"/>
      <c r="D12" s="958"/>
      <c r="E12" s="1268"/>
      <c r="F12" s="960"/>
      <c r="G12" s="960"/>
      <c r="H12" s="960"/>
      <c r="I12" s="916">
        <f>SUM(I11:I11)</f>
        <v>39.82</v>
      </c>
      <c r="J12" s="955" t="s">
        <v>102</v>
      </c>
      <c r="K12" s="902"/>
      <c r="L12" s="896"/>
      <c r="M12" s="902"/>
      <c r="N12" s="900" t="s">
        <v>2309</v>
      </c>
    </row>
    <row r="13" spans="1:15" s="910" customFormat="1" ht="16.5" hidden="1" customHeight="1">
      <c r="A13" s="896"/>
      <c r="B13" s="956" t="s">
        <v>295</v>
      </c>
      <c r="C13" s="957"/>
      <c r="D13" s="958"/>
      <c r="E13" s="1268"/>
      <c r="F13" s="1268"/>
      <c r="G13" s="960"/>
      <c r="H13" s="960"/>
      <c r="I13" s="916">
        <f>-ROUND(I12*40%,2)</f>
        <v>-15.93</v>
      </c>
      <c r="J13" s="955" t="s">
        <v>102</v>
      </c>
      <c r="K13" s="902"/>
      <c r="L13" s="896"/>
      <c r="M13" s="902"/>
      <c r="N13" s="900" t="s">
        <v>2309</v>
      </c>
    </row>
    <row r="14" spans="1:15" ht="15.75" hidden="1">
      <c r="A14" s="896"/>
      <c r="B14" s="899"/>
      <c r="C14" s="917"/>
      <c r="D14" s="918"/>
      <c r="E14" s="919"/>
      <c r="F14" s="920"/>
      <c r="G14" s="920"/>
      <c r="H14" s="920"/>
      <c r="I14" s="916"/>
      <c r="J14" s="955" t="s">
        <v>102</v>
      </c>
      <c r="K14" s="922">
        <f>'data 2022-23'!G41</f>
        <v>6.06</v>
      </c>
      <c r="L14" s="923" t="s">
        <v>2419</v>
      </c>
      <c r="M14" s="924">
        <f>ROUND(I14*K14,0)</f>
        <v>0</v>
      </c>
      <c r="N14" s="900" t="s">
        <v>2309</v>
      </c>
    </row>
    <row r="15" spans="1:15" ht="49.5" hidden="1" customHeight="1">
      <c r="A15" s="896">
        <v>1</v>
      </c>
      <c r="B15" s="1609" t="s">
        <v>296</v>
      </c>
      <c r="C15" s="1609"/>
      <c r="D15" s="1609"/>
      <c r="E15" s="1609"/>
      <c r="F15" s="1609"/>
      <c r="G15" s="1609"/>
      <c r="H15" s="1609"/>
      <c r="I15" s="897"/>
      <c r="J15" s="898"/>
      <c r="K15" s="896"/>
      <c r="L15" s="923"/>
      <c r="M15" s="899"/>
      <c r="N15" s="900" t="s">
        <v>2309</v>
      </c>
    </row>
    <row r="16" spans="1:15" s="910" customFormat="1" ht="16.5" hidden="1" customHeight="1">
      <c r="A16" s="896"/>
      <c r="B16" s="902" t="s">
        <v>3945</v>
      </c>
      <c r="C16" s="897"/>
      <c r="D16" s="954" t="s">
        <v>3873</v>
      </c>
      <c r="E16" s="919"/>
      <c r="F16" s="920"/>
      <c r="G16" s="920"/>
      <c r="H16" s="920"/>
      <c r="I16" s="1264"/>
      <c r="J16" s="1265"/>
      <c r="K16" s="902"/>
      <c r="L16" s="923"/>
      <c r="M16" s="902"/>
      <c r="N16" s="900" t="s">
        <v>2309</v>
      </c>
    </row>
    <row r="17" spans="1:14" s="910" customFormat="1" ht="18" hidden="1" customHeight="1">
      <c r="A17" s="896"/>
      <c r="B17" s="902" t="s">
        <v>3666</v>
      </c>
      <c r="C17" s="897">
        <v>2</v>
      </c>
      <c r="D17" s="1263" t="s">
        <v>273</v>
      </c>
      <c r="E17" s="1396">
        <v>0.78500000000000003</v>
      </c>
      <c r="F17" s="920">
        <v>1.5</v>
      </c>
      <c r="G17" s="920">
        <v>1.5</v>
      </c>
      <c r="H17" s="920">
        <v>2</v>
      </c>
      <c r="I17" s="1266">
        <f>ROUND(IF(AND(F17:H17),C17*E17*F17*G17*H17,IF(AND(F17,G17),C17*E17*F17*G17,IF(AND(F17,H17),C17*E17*F17*H17,IF(AND(G17,H17),C17*E17*G17*H17,IF(F17,C17*E17*F17,IF(G17,C17*E17*G17,IF(H17,C17*E17*H17,C17*E17))))))),2)</f>
        <v>7.07</v>
      </c>
      <c r="J17" s="1267" t="s">
        <v>5</v>
      </c>
      <c r="K17" s="902"/>
      <c r="L17" s="923"/>
      <c r="M17" s="902"/>
      <c r="N17" s="900" t="s">
        <v>2309</v>
      </c>
    </row>
    <row r="18" spans="1:14" s="910" customFormat="1" ht="16.5" hidden="1" customHeight="1">
      <c r="A18" s="896"/>
      <c r="B18" s="956"/>
      <c r="C18" s="957"/>
      <c r="D18" s="958"/>
      <c r="E18" s="1268"/>
      <c r="F18" s="960"/>
      <c r="G18" s="960"/>
      <c r="H18" s="960"/>
      <c r="I18" s="916"/>
      <c r="J18" s="1267"/>
      <c r="K18" s="902"/>
      <c r="L18" s="923"/>
      <c r="M18" s="902"/>
      <c r="N18" s="900" t="s">
        <v>2309</v>
      </c>
    </row>
    <row r="19" spans="1:14" ht="15.75" hidden="1">
      <c r="A19" s="896"/>
      <c r="B19" s="902"/>
      <c r="C19" s="917"/>
      <c r="D19" s="918"/>
      <c r="E19" s="919"/>
      <c r="F19" s="920"/>
      <c r="G19" s="921"/>
      <c r="H19" s="896"/>
      <c r="I19" s="916"/>
      <c r="J19" s="955" t="s">
        <v>5</v>
      </c>
      <c r="K19" s="922">
        <f>'data 2022-23'!G46</f>
        <v>144.26</v>
      </c>
      <c r="L19" s="923" t="s">
        <v>274</v>
      </c>
      <c r="M19" s="924">
        <f>ROUND(I19*K19,0)</f>
        <v>0</v>
      </c>
      <c r="N19" s="900" t="s">
        <v>2309</v>
      </c>
    </row>
    <row r="20" spans="1:14" ht="57" hidden="1" customHeight="1">
      <c r="A20" s="896">
        <v>2</v>
      </c>
      <c r="B20" s="1609" t="s">
        <v>297</v>
      </c>
      <c r="C20" s="1609"/>
      <c r="D20" s="1609"/>
      <c r="E20" s="1609"/>
      <c r="F20" s="1609"/>
      <c r="G20" s="1609"/>
      <c r="H20" s="1609"/>
      <c r="I20" s="897"/>
      <c r="J20" s="898"/>
      <c r="K20" s="896"/>
      <c r="L20" s="923"/>
      <c r="M20" s="899"/>
      <c r="N20" s="900" t="s">
        <v>2309</v>
      </c>
    </row>
    <row r="21" spans="1:14" s="910" customFormat="1" ht="16.5" hidden="1" customHeight="1">
      <c r="A21" s="896"/>
      <c r="B21" s="902" t="s">
        <v>3946</v>
      </c>
      <c r="C21" s="897"/>
      <c r="D21" s="954" t="s">
        <v>3873</v>
      </c>
      <c r="E21" s="919"/>
      <c r="F21" s="920"/>
      <c r="G21" s="920"/>
      <c r="H21" s="920"/>
      <c r="I21" s="1264"/>
      <c r="J21" s="1265"/>
      <c r="K21" s="902"/>
      <c r="L21" s="923"/>
      <c r="M21" s="902"/>
      <c r="N21" s="900" t="s">
        <v>2309</v>
      </c>
    </row>
    <row r="22" spans="1:14" s="910" customFormat="1" ht="16.5" hidden="1" customHeight="1">
      <c r="A22" s="896"/>
      <c r="B22" s="902" t="s">
        <v>1240</v>
      </c>
      <c r="C22" s="897">
        <v>2</v>
      </c>
      <c r="D22" s="1263" t="s">
        <v>273</v>
      </c>
      <c r="E22" s="919">
        <v>0.78500000000000003</v>
      </c>
      <c r="F22" s="920">
        <v>1.5</v>
      </c>
      <c r="G22" s="920">
        <v>1.5</v>
      </c>
      <c r="H22" s="920">
        <v>0.15</v>
      </c>
      <c r="I22" s="1266">
        <f>ROUND(IF(AND(F22:H22),C22*E22*F22*G22*H22,IF(AND(F22,G22),C22*E22*F22*G22,IF(AND(F22,H22),C22*E22*F22*H22,IF(AND(G22,H22),C22*E22*G22*H22,IF(F22,C22*E22*F22,IF(G22,C22*E22*G22,IF(H22,C22*E22*H22,C22*E22))))))),2)</f>
        <v>0.53</v>
      </c>
      <c r="J22" s="1267" t="s">
        <v>5</v>
      </c>
      <c r="K22" s="902"/>
      <c r="L22" s="923"/>
      <c r="M22" s="902"/>
      <c r="N22" s="900" t="s">
        <v>2309</v>
      </c>
    </row>
    <row r="23" spans="1:14" s="910" customFormat="1" ht="16.5" hidden="1" customHeight="1">
      <c r="A23" s="896"/>
      <c r="B23" s="956"/>
      <c r="C23" s="957"/>
      <c r="D23" s="958"/>
      <c r="E23" s="1268"/>
      <c r="F23" s="960"/>
      <c r="G23" s="960"/>
      <c r="H23" s="960"/>
      <c r="I23" s="916"/>
      <c r="J23" s="955"/>
      <c r="K23" s="902"/>
      <c r="L23" s="923"/>
      <c r="M23" s="902"/>
      <c r="N23" s="900" t="s">
        <v>2309</v>
      </c>
    </row>
    <row r="24" spans="1:14" ht="15.75" hidden="1">
      <c r="A24" s="896"/>
      <c r="B24" s="902"/>
      <c r="C24" s="917"/>
      <c r="D24" s="918"/>
      <c r="E24" s="919"/>
      <c r="F24" s="920"/>
      <c r="G24" s="921"/>
      <c r="H24" s="896"/>
      <c r="I24" s="916"/>
      <c r="J24" s="955" t="s">
        <v>5</v>
      </c>
      <c r="K24" s="922">
        <f>'data 2022-23'!G89</f>
        <v>4583.3100000000004</v>
      </c>
      <c r="L24" s="923" t="s">
        <v>274</v>
      </c>
      <c r="M24" s="924">
        <f>ROUND(I24*K24,0)</f>
        <v>0</v>
      </c>
      <c r="N24" s="900" t="s">
        <v>2309</v>
      </c>
    </row>
    <row r="25" spans="1:14" ht="57" hidden="1" customHeight="1">
      <c r="A25" s="896">
        <v>3</v>
      </c>
      <c r="B25" s="1609" t="s">
        <v>67</v>
      </c>
      <c r="C25" s="1609"/>
      <c r="D25" s="1609"/>
      <c r="E25" s="1609"/>
      <c r="F25" s="1609"/>
      <c r="G25" s="1609"/>
      <c r="H25" s="1609"/>
      <c r="I25" s="897"/>
      <c r="J25" s="898"/>
      <c r="K25" s="896"/>
      <c r="L25" s="923"/>
      <c r="M25" s="899"/>
      <c r="N25" s="900" t="s">
        <v>2309</v>
      </c>
    </row>
    <row r="26" spans="1:14" s="910" customFormat="1" ht="16.5" hidden="1" customHeight="1">
      <c r="A26" s="896"/>
      <c r="B26" s="1274" t="s">
        <v>3363</v>
      </c>
      <c r="C26" s="1275"/>
      <c r="D26" s="1276"/>
      <c r="E26" s="1177"/>
      <c r="F26" s="1277"/>
      <c r="G26" s="1277"/>
      <c r="H26" s="1277"/>
      <c r="I26" s="1278"/>
      <c r="J26" s="955"/>
      <c r="K26" s="902"/>
      <c r="L26" s="923"/>
      <c r="M26" s="902"/>
      <c r="N26" s="900" t="s">
        <v>2309</v>
      </c>
    </row>
    <row r="27" spans="1:14" s="910" customFormat="1" ht="16.5" hidden="1" customHeight="1">
      <c r="A27" s="896"/>
      <c r="B27" s="1274"/>
      <c r="C27" s="1275">
        <v>1</v>
      </c>
      <c r="D27" s="1276" t="s">
        <v>273</v>
      </c>
      <c r="E27" s="1177">
        <v>1</v>
      </c>
      <c r="F27" s="1277">
        <v>4.72</v>
      </c>
      <c r="G27" s="1277">
        <v>0.45</v>
      </c>
      <c r="H27" s="1277">
        <v>0.1</v>
      </c>
      <c r="I27" s="1278">
        <f>ROUND(IF(AND(F27:H27),C27*E27*F27*G27*H27,IF(AND(F27,G27),C27*E27*F27*G27,IF(AND(F27,H27),C27*E27*F27*H27,IF(AND(G27,H27),C27*E27*G27*H27,IF(F27,C27*E27*F27,IF(G27,C27*E27*G27,IF(H27,C27*E27*H27,C27*E27))))))),2)</f>
        <v>0.21</v>
      </c>
      <c r="J27" s="955" t="s">
        <v>5</v>
      </c>
      <c r="K27" s="902"/>
      <c r="L27" s="923"/>
      <c r="M27" s="902"/>
      <c r="N27" s="900" t="s">
        <v>2309</v>
      </c>
    </row>
    <row r="28" spans="1:14" s="910" customFormat="1" ht="16.5" hidden="1" customHeight="1">
      <c r="A28" s="896"/>
      <c r="B28" s="1274" t="s">
        <v>651</v>
      </c>
      <c r="C28" s="1275">
        <v>1</v>
      </c>
      <c r="D28" s="1276" t="s">
        <v>273</v>
      </c>
      <c r="E28" s="1177">
        <v>1</v>
      </c>
      <c r="F28" s="1277">
        <v>5.4</v>
      </c>
      <c r="G28" s="1277">
        <v>0.45</v>
      </c>
      <c r="H28" s="1277">
        <v>0.1</v>
      </c>
      <c r="I28" s="1278">
        <f>ROUND(IF(AND(F28:H28),C28*E28*F28*G28*H28,IF(AND(F28,G28),C28*E28*F28*G28,IF(AND(F28,H28),C28*E28*F28*H28,IF(AND(G28,H28),C28*E28*G28*H28,IF(F28,C28*E28*F28,IF(G28,C28*E28*G28,IF(H28,C28*E28*H28,C28*E28))))))),2)</f>
        <v>0.24</v>
      </c>
      <c r="J28" s="955" t="s">
        <v>5</v>
      </c>
      <c r="K28" s="902"/>
      <c r="L28" s="923"/>
      <c r="M28" s="902"/>
      <c r="N28" s="900" t="s">
        <v>2309</v>
      </c>
    </row>
    <row r="29" spans="1:14" s="910" customFormat="1" ht="16.5" hidden="1" customHeight="1">
      <c r="A29" s="896"/>
      <c r="B29" s="1274" t="s">
        <v>652</v>
      </c>
      <c r="C29" s="1275">
        <v>1</v>
      </c>
      <c r="D29" s="1276" t="s">
        <v>273</v>
      </c>
      <c r="E29" s="1177">
        <v>1</v>
      </c>
      <c r="F29" s="1277">
        <v>10.050000000000001</v>
      </c>
      <c r="G29" s="1277">
        <v>0.45</v>
      </c>
      <c r="H29" s="1277">
        <v>0.1</v>
      </c>
      <c r="I29" s="1278">
        <f>ROUND(IF(AND(F29:H29),C29*E29*F29*G29*H29,IF(AND(F29,G29),C29*E29*F29*G29,IF(AND(F29,H29),C29*E29*F29*H29,IF(AND(G29,H29),C29*E29*G29*H29,IF(F29,C29*E29*F29,IF(G29,C29*E29*G29,IF(H29,C29*E29*H29,C29*E29))))))),2)</f>
        <v>0.45</v>
      </c>
      <c r="J29" s="955" t="s">
        <v>5</v>
      </c>
      <c r="K29" s="902"/>
      <c r="L29" s="923"/>
      <c r="M29" s="902"/>
      <c r="N29" s="900" t="s">
        <v>2309</v>
      </c>
    </row>
    <row r="30" spans="1:14" s="910" customFormat="1" ht="16.5" hidden="1" customHeight="1">
      <c r="A30" s="896"/>
      <c r="B30" s="1274" t="s">
        <v>653</v>
      </c>
      <c r="C30" s="1275">
        <v>1</v>
      </c>
      <c r="D30" s="1276" t="s">
        <v>273</v>
      </c>
      <c r="E30" s="1177">
        <v>1</v>
      </c>
      <c r="F30" s="1277">
        <v>5.46</v>
      </c>
      <c r="G30" s="1277">
        <v>0.3</v>
      </c>
      <c r="H30" s="1277">
        <v>0.1</v>
      </c>
      <c r="I30" s="1278">
        <f>ROUND(IF(AND(F30:H30),C30*E30*F30*G30*H30,IF(AND(F30,G30),C30*E30*F30*G30,IF(AND(F30,H30),C30*E30*F30*H30,IF(AND(G30,H30),C30*E30*G30*H30,IF(F30,C30*E30*F30,IF(G30,C30*E30*G30,IF(H30,C30*E30*H30,C30*E30))))))),2)</f>
        <v>0.16</v>
      </c>
      <c r="J30" s="955" t="s">
        <v>5</v>
      </c>
      <c r="K30" s="902"/>
      <c r="L30" s="923"/>
      <c r="M30" s="902"/>
      <c r="N30" s="900" t="s">
        <v>2309</v>
      </c>
    </row>
    <row r="31" spans="1:14" s="910" customFormat="1" ht="16.5" hidden="1" customHeight="1">
      <c r="A31" s="896"/>
      <c r="B31" s="1274" t="s">
        <v>720</v>
      </c>
      <c r="C31" s="1275">
        <v>1</v>
      </c>
      <c r="D31" s="1276" t="s">
        <v>273</v>
      </c>
      <c r="E31" s="1177">
        <v>1</v>
      </c>
      <c r="F31" s="1277">
        <v>4.7</v>
      </c>
      <c r="G31" s="1277">
        <v>2.2999999999999998</v>
      </c>
      <c r="H31" s="1277">
        <v>0.15</v>
      </c>
      <c r="I31" s="1278">
        <f>ROUND(IF(AND(F31:H31),C31*E31*F31*G31*H31,IF(AND(F31,G31),C31*E31*F31*G31,IF(AND(F31,H31),C31*E31*F31*H31,IF(AND(G31,H31),C31*E31*G31*H31,IF(F31,C31*E31*F31,IF(G31,C31*E31*G31,IF(H31,C31*E31*H31,C31*E31))))))),2)</f>
        <v>1.62</v>
      </c>
      <c r="J31" s="955" t="s">
        <v>5</v>
      </c>
      <c r="K31" s="902"/>
      <c r="L31" s="923"/>
      <c r="M31" s="902"/>
      <c r="N31" s="900" t="s">
        <v>2309</v>
      </c>
    </row>
    <row r="32" spans="1:14" s="910" customFormat="1" ht="16.5" hidden="1" customHeight="1">
      <c r="A32" s="896"/>
      <c r="B32" s="956"/>
      <c r="C32" s="957"/>
      <c r="D32" s="958"/>
      <c r="E32" s="1268"/>
      <c r="F32" s="960"/>
      <c r="G32" s="960"/>
      <c r="H32" s="960"/>
      <c r="I32" s="916"/>
      <c r="J32" s="955"/>
      <c r="K32" s="902"/>
      <c r="L32" s="923"/>
      <c r="M32" s="902"/>
      <c r="N32" s="900" t="s">
        <v>2309</v>
      </c>
    </row>
    <row r="33" spans="1:14" ht="15.75" hidden="1">
      <c r="A33" s="896"/>
      <c r="B33" s="902"/>
      <c r="C33" s="917"/>
      <c r="D33" s="918"/>
      <c r="E33" s="919"/>
      <c r="F33" s="920"/>
      <c r="G33" s="921"/>
      <c r="H33" s="896"/>
      <c r="I33" s="916"/>
      <c r="J33" s="955" t="s">
        <v>5</v>
      </c>
      <c r="K33" s="922">
        <f>'data 2022-23'!G101</f>
        <v>4431.03</v>
      </c>
      <c r="L33" s="923" t="s">
        <v>274</v>
      </c>
      <c r="M33" s="924">
        <f>ROUND(I33*K33,0)</f>
        <v>0</v>
      </c>
      <c r="N33" s="900" t="s">
        <v>2309</v>
      </c>
    </row>
    <row r="34" spans="1:14" ht="43.5" hidden="1" customHeight="1">
      <c r="A34" s="896">
        <v>3</v>
      </c>
      <c r="B34" s="1609" t="s">
        <v>1187</v>
      </c>
      <c r="C34" s="1609"/>
      <c r="D34" s="1609"/>
      <c r="E34" s="1609"/>
      <c r="F34" s="1609"/>
      <c r="G34" s="1609"/>
      <c r="H34" s="1609"/>
      <c r="I34" s="897"/>
      <c r="J34" s="898"/>
      <c r="K34" s="896"/>
      <c r="L34" s="923"/>
      <c r="M34" s="899"/>
      <c r="N34" s="900" t="s">
        <v>2309</v>
      </c>
    </row>
    <row r="35" spans="1:14" s="910" customFormat="1" ht="18.75" hidden="1" customHeight="1">
      <c r="A35" s="896"/>
      <c r="B35" s="928" t="s">
        <v>3388</v>
      </c>
      <c r="C35" s="1269"/>
      <c r="D35" s="1279"/>
      <c r="E35" s="1270"/>
      <c r="F35" s="1271"/>
      <c r="G35" s="1271"/>
      <c r="H35" s="1271"/>
      <c r="I35" s="1272"/>
      <c r="J35" s="1267"/>
      <c r="K35" s="902"/>
      <c r="L35" s="896"/>
      <c r="M35" s="902"/>
      <c r="N35" s="900" t="s">
        <v>2309</v>
      </c>
    </row>
    <row r="36" spans="1:14" s="910" customFormat="1" ht="16.5" hidden="1" customHeight="1">
      <c r="A36" s="896"/>
      <c r="B36" s="902" t="s">
        <v>1604</v>
      </c>
      <c r="C36" s="897">
        <v>1</v>
      </c>
      <c r="D36" s="1263" t="s">
        <v>273</v>
      </c>
      <c r="E36" s="919">
        <v>1</v>
      </c>
      <c r="F36" s="920">
        <v>1.65</v>
      </c>
      <c r="G36" s="920">
        <v>1.65</v>
      </c>
      <c r="H36" s="920">
        <v>2.25</v>
      </c>
      <c r="I36" s="1266">
        <f>ROUND(IF(AND(F36:H36),C36*E36*F36*G36*H36,IF(AND(F36,G36),C36*E36*F36*G36,IF(AND(F36,H36),C36*E36*F36*H36,IF(AND(G36,H36),C36*E36*G36*H36,IF(F36,C36*E36*F36,IF(G36,C36*E36*G36,IF(H36,C36*E36*H36,C36*E36))))))),2)</f>
        <v>6.13</v>
      </c>
      <c r="J36" s="1267" t="s">
        <v>5</v>
      </c>
      <c r="K36" s="902"/>
      <c r="L36" s="896"/>
      <c r="M36" s="902"/>
      <c r="N36" s="900" t="s">
        <v>2309</v>
      </c>
    </row>
    <row r="37" spans="1:14" s="910" customFormat="1" ht="16.5" hidden="1" customHeight="1">
      <c r="A37" s="896"/>
      <c r="B37" s="902" t="s">
        <v>1603</v>
      </c>
      <c r="C37" s="897">
        <v>1</v>
      </c>
      <c r="D37" s="1263" t="s">
        <v>273</v>
      </c>
      <c r="E37" s="919">
        <v>1</v>
      </c>
      <c r="F37" s="920">
        <v>2.17</v>
      </c>
      <c r="G37" s="920">
        <v>5</v>
      </c>
      <c r="H37" s="920">
        <v>0.18</v>
      </c>
      <c r="I37" s="1266">
        <f>ROUND(IF(AND(F37:H37),C37*E37*F37*G37*H37,IF(AND(F37,G37),C37*E37*F37*G37,IF(AND(F37,H37),C37*E37*F37*H37,IF(AND(G37,H37),C37*E37*G37*H37,IF(F37,C37*E37*F37,IF(G37,C37*E37*G37,IF(H37,C37*E37*H37,C37*E37))))))),2)</f>
        <v>1.95</v>
      </c>
      <c r="J37" s="1267" t="s">
        <v>5</v>
      </c>
      <c r="K37" s="902"/>
      <c r="L37" s="896"/>
      <c r="M37" s="902"/>
      <c r="N37" s="900" t="s">
        <v>2309</v>
      </c>
    </row>
    <row r="38" spans="1:14" s="910" customFormat="1" ht="16.5" hidden="1" customHeight="1">
      <c r="A38" s="896"/>
      <c r="B38" s="956"/>
      <c r="C38" s="957"/>
      <c r="D38" s="958"/>
      <c r="E38" s="1268"/>
      <c r="F38" s="960"/>
      <c r="G38" s="960"/>
      <c r="H38" s="960"/>
      <c r="I38" s="916"/>
      <c r="J38" s="955"/>
      <c r="K38" s="902"/>
      <c r="L38" s="923"/>
      <c r="M38" s="902"/>
      <c r="N38" s="900" t="s">
        <v>2309</v>
      </c>
    </row>
    <row r="39" spans="1:14" ht="15.75" hidden="1">
      <c r="A39" s="896"/>
      <c r="B39" s="902"/>
      <c r="C39" s="917"/>
      <c r="D39" s="918"/>
      <c r="E39" s="919"/>
      <c r="F39" s="920"/>
      <c r="G39" s="921"/>
      <c r="H39" s="896"/>
      <c r="I39" s="916"/>
      <c r="J39" s="955" t="s">
        <v>5</v>
      </c>
      <c r="K39" s="922">
        <f>'data 2022-23'!G63</f>
        <v>216.13</v>
      </c>
      <c r="L39" s="923" t="s">
        <v>274</v>
      </c>
      <c r="M39" s="924">
        <f>ROUND(I39*K39,0)</f>
        <v>0</v>
      </c>
      <c r="N39" s="900" t="s">
        <v>2309</v>
      </c>
    </row>
    <row r="40" spans="1:14" ht="43.5" hidden="1" customHeight="1">
      <c r="A40" s="896">
        <v>4</v>
      </c>
      <c r="B40" s="1609" t="s">
        <v>656</v>
      </c>
      <c r="C40" s="1609"/>
      <c r="D40" s="1609"/>
      <c r="E40" s="1609"/>
      <c r="F40" s="1609"/>
      <c r="G40" s="1609"/>
      <c r="H40" s="1609"/>
      <c r="I40" s="897"/>
      <c r="J40" s="898"/>
      <c r="K40" s="896"/>
      <c r="L40" s="923"/>
      <c r="M40" s="899"/>
      <c r="N40" s="900" t="s">
        <v>2309</v>
      </c>
    </row>
    <row r="41" spans="1:14" s="910" customFormat="1" ht="16.5" hidden="1" customHeight="1">
      <c r="A41" s="896"/>
      <c r="B41" s="1274" t="s">
        <v>3358</v>
      </c>
      <c r="C41" s="903"/>
      <c r="D41" s="904"/>
      <c r="E41" s="905"/>
      <c r="F41" s="906"/>
      <c r="G41" s="906"/>
      <c r="H41" s="907"/>
      <c r="I41" s="908"/>
      <c r="J41" s="955"/>
      <c r="K41" s="902"/>
      <c r="L41" s="923"/>
      <c r="M41" s="902"/>
      <c r="N41" s="900" t="s">
        <v>2309</v>
      </c>
    </row>
    <row r="42" spans="1:14" s="910" customFormat="1" ht="16.5" hidden="1" customHeight="1">
      <c r="A42" s="896"/>
      <c r="B42" s="956" t="s">
        <v>657</v>
      </c>
      <c r="C42" s="957">
        <v>1</v>
      </c>
      <c r="D42" s="958" t="s">
        <v>273</v>
      </c>
      <c r="E42" s="1268">
        <v>1</v>
      </c>
      <c r="F42" s="960">
        <v>2.72</v>
      </c>
      <c r="G42" s="960">
        <v>0.77</v>
      </c>
      <c r="H42" s="960">
        <v>1.25</v>
      </c>
      <c r="I42" s="916">
        <f>ROUND(IF(AND(F42:H42),C42*E42*F42*G42*H42,IF(AND(F42,G42),C42*E42*F42*G42,IF(AND(F42,H42),C42*E42*F42*H42,IF(AND(G42,H42),C42*E42*G42*H42,IF(F42,C42*E42*F42,IF(G42,C42*E42*G42,IF(H42,C42*E42*H42,C42*E42))))))),2)</f>
        <v>2.62</v>
      </c>
      <c r="J42" s="955" t="s">
        <v>5</v>
      </c>
      <c r="K42" s="902"/>
      <c r="L42" s="923"/>
      <c r="M42" s="902"/>
      <c r="N42" s="900" t="s">
        <v>2309</v>
      </c>
    </row>
    <row r="43" spans="1:14" s="910" customFormat="1" ht="16.5" hidden="1" customHeight="1">
      <c r="A43" s="896"/>
      <c r="B43" s="956" t="s">
        <v>655</v>
      </c>
      <c r="C43" s="957">
        <v>1</v>
      </c>
      <c r="D43" s="958" t="s">
        <v>273</v>
      </c>
      <c r="E43" s="1268">
        <v>1</v>
      </c>
      <c r="F43" s="960">
        <v>3.16</v>
      </c>
      <c r="G43" s="960">
        <v>1.27</v>
      </c>
      <c r="H43" s="960">
        <f>(0.1+0.77)/2</f>
        <v>0.435</v>
      </c>
      <c r="I43" s="916">
        <f>ROUND(IF(AND(F43:H43),C43*E43*F43*G43*H43,IF(AND(F43,G43),C43*E43*F43*G43,IF(AND(F43,H43),C43*E43*F43*H43,IF(AND(G43,H43),C43*E43*G43*H43,IF(F43,C43*E43*F43,IF(G43,C43*E43*G43,IF(H43,C43*E43*H43,C43*E43))))))),2)</f>
        <v>1.75</v>
      </c>
      <c r="J43" s="955" t="s">
        <v>5</v>
      </c>
      <c r="K43" s="902"/>
      <c r="L43" s="923"/>
      <c r="M43" s="902"/>
      <c r="N43" s="900" t="s">
        <v>2309</v>
      </c>
    </row>
    <row r="44" spans="1:14" s="910" customFormat="1" ht="16.5" hidden="1" customHeight="1">
      <c r="A44" s="896"/>
      <c r="B44" s="956"/>
      <c r="C44" s="957"/>
      <c r="D44" s="958"/>
      <c r="E44" s="1268"/>
      <c r="F44" s="960"/>
      <c r="G44" s="960"/>
      <c r="H44" s="960"/>
      <c r="I44" s="916"/>
      <c r="J44" s="955"/>
      <c r="K44" s="902"/>
      <c r="L44" s="923"/>
      <c r="M44" s="902"/>
      <c r="N44" s="900" t="s">
        <v>2309</v>
      </c>
    </row>
    <row r="45" spans="1:14" ht="15.75" hidden="1">
      <c r="A45" s="896"/>
      <c r="B45" s="902"/>
      <c r="C45" s="917"/>
      <c r="D45" s="918"/>
      <c r="E45" s="919"/>
      <c r="F45" s="920"/>
      <c r="G45" s="921"/>
      <c r="H45" s="896"/>
      <c r="I45" s="916"/>
      <c r="J45" s="955" t="s">
        <v>5</v>
      </c>
      <c r="K45" s="922">
        <f>'data 2022-23'!G71</f>
        <v>272.13</v>
      </c>
      <c r="L45" s="923" t="s">
        <v>274</v>
      </c>
      <c r="M45" s="924">
        <f>ROUND(I45*K45,0)</f>
        <v>0</v>
      </c>
      <c r="N45" s="900" t="s">
        <v>2309</v>
      </c>
    </row>
    <row r="46" spans="1:14" ht="57" hidden="1" customHeight="1">
      <c r="A46" s="896">
        <v>4</v>
      </c>
      <c r="B46" s="1609" t="s">
        <v>55</v>
      </c>
      <c r="C46" s="1609"/>
      <c r="D46" s="1609"/>
      <c r="E46" s="1609"/>
      <c r="F46" s="1609"/>
      <c r="G46" s="1609"/>
      <c r="H46" s="1609"/>
      <c r="I46" s="897"/>
      <c r="J46" s="898"/>
      <c r="K46" s="896"/>
      <c r="L46" s="923"/>
      <c r="M46" s="899"/>
      <c r="N46" s="900" t="s">
        <v>2309</v>
      </c>
    </row>
    <row r="47" spans="1:14" s="910" customFormat="1" ht="16.5" hidden="1" customHeight="1">
      <c r="A47" s="896"/>
      <c r="B47" s="928" t="s">
        <v>3346</v>
      </c>
      <c r="C47" s="1269"/>
      <c r="D47" s="1279"/>
      <c r="E47" s="1270"/>
      <c r="F47" s="1271"/>
      <c r="G47" s="1271"/>
      <c r="H47" s="1271"/>
      <c r="I47" s="1272"/>
      <c r="J47" s="1267"/>
      <c r="K47" s="902"/>
      <c r="L47" s="896"/>
      <c r="M47" s="902"/>
      <c r="N47" s="900" t="s">
        <v>2309</v>
      </c>
    </row>
    <row r="48" spans="1:14" s="910" customFormat="1" ht="16.5" hidden="1" customHeight="1">
      <c r="A48" s="896"/>
      <c r="B48" s="902" t="s">
        <v>298</v>
      </c>
      <c r="C48" s="897">
        <v>1</v>
      </c>
      <c r="D48" s="1263" t="s">
        <v>273</v>
      </c>
      <c r="E48" s="919">
        <v>1</v>
      </c>
      <c r="F48" s="920">
        <v>1.65</v>
      </c>
      <c r="G48" s="920">
        <v>1.65</v>
      </c>
      <c r="H48" s="920">
        <v>0.15</v>
      </c>
      <c r="I48" s="1266">
        <f>ROUND(IF(AND(F48:H48),C48*E48*F48*G48*H48,IF(AND(F48,G48),C48*E48*F48*G48,IF(AND(F48,H48),C48*E48*F48*H48,IF(AND(G48,H48),C48*E48*G48*H48,IF(F48,C48*E48*F48,IF(G48,C48*E48*G48,IF(H48,C48*E48*H48,C48*E48))))))),2)</f>
        <v>0.41</v>
      </c>
      <c r="J48" s="1267" t="s">
        <v>5</v>
      </c>
      <c r="K48" s="902"/>
      <c r="L48" s="896"/>
      <c r="M48" s="902"/>
      <c r="N48" s="900" t="s">
        <v>2309</v>
      </c>
    </row>
    <row r="49" spans="1:14" s="910" customFormat="1" ht="16.5" hidden="1" customHeight="1">
      <c r="A49" s="896"/>
      <c r="B49" s="902" t="s">
        <v>299</v>
      </c>
      <c r="C49" s="897">
        <v>1</v>
      </c>
      <c r="D49" s="1263" t="s">
        <v>273</v>
      </c>
      <c r="E49" s="919">
        <v>4</v>
      </c>
      <c r="F49" s="920">
        <v>2</v>
      </c>
      <c r="G49" s="920">
        <v>2</v>
      </c>
      <c r="H49" s="920">
        <v>0.15</v>
      </c>
      <c r="I49" s="1266">
        <f>ROUND(IF(AND(F49:H49),C49*E49*F49*G49*H49,IF(AND(F49,G49),C49*E49*F49*G49,IF(AND(F49,H49),C49*E49*F49*H49,IF(AND(G49,H49),C49*E49*G49*H49,IF(F49,C49*E49*F49,IF(G49,C49*E49*G49,IF(H49,C49*E49*H49,C49*E49))))))),2)</f>
        <v>2.4</v>
      </c>
      <c r="J49" s="1267" t="s">
        <v>5</v>
      </c>
      <c r="K49" s="902"/>
      <c r="L49" s="896"/>
      <c r="M49" s="902"/>
      <c r="N49" s="900" t="s">
        <v>2309</v>
      </c>
    </row>
    <row r="50" spans="1:14" s="910" customFormat="1" ht="16.5" hidden="1" customHeight="1">
      <c r="A50" s="896"/>
      <c r="B50" s="956"/>
      <c r="C50" s="957"/>
      <c r="D50" s="958"/>
      <c r="E50" s="1268"/>
      <c r="F50" s="960"/>
      <c r="G50" s="960"/>
      <c r="H50" s="960"/>
      <c r="I50" s="916"/>
      <c r="J50" s="955"/>
      <c r="K50" s="902"/>
      <c r="L50" s="923"/>
      <c r="M50" s="902"/>
      <c r="N50" s="900" t="s">
        <v>2309</v>
      </c>
    </row>
    <row r="51" spans="1:14" ht="15.75" hidden="1">
      <c r="A51" s="896"/>
      <c r="B51" s="902"/>
      <c r="C51" s="917"/>
      <c r="D51" s="918"/>
      <c r="E51" s="919"/>
      <c r="F51" s="920"/>
      <c r="G51" s="921"/>
      <c r="H51" s="896"/>
      <c r="I51" s="916"/>
      <c r="J51" s="955" t="s">
        <v>5</v>
      </c>
      <c r="K51" s="922">
        <f>'data 2022-23'!G55</f>
        <v>1603.13</v>
      </c>
      <c r="L51" s="923" t="s">
        <v>274</v>
      </c>
      <c r="M51" s="924">
        <f>ROUND(I51*K51,0)</f>
        <v>0</v>
      </c>
      <c r="N51" s="900" t="s">
        <v>2309</v>
      </c>
    </row>
    <row r="52" spans="1:14" ht="29.25" hidden="1" customHeight="1">
      <c r="A52" s="896">
        <v>4</v>
      </c>
      <c r="B52" s="1609" t="s">
        <v>282</v>
      </c>
      <c r="C52" s="1609"/>
      <c r="D52" s="1609"/>
      <c r="E52" s="1609"/>
      <c r="F52" s="1609"/>
      <c r="G52" s="1609"/>
      <c r="H52" s="1609"/>
      <c r="I52" s="897"/>
      <c r="J52" s="898"/>
      <c r="K52" s="896"/>
      <c r="L52" s="923"/>
      <c r="M52" s="899"/>
      <c r="N52" s="900" t="s">
        <v>2309</v>
      </c>
    </row>
    <row r="53" spans="1:14" s="910" customFormat="1" ht="16.5" hidden="1" customHeight="1">
      <c r="A53" s="896"/>
      <c r="B53" s="928" t="s">
        <v>3389</v>
      </c>
      <c r="C53" s="1269"/>
      <c r="D53" s="1279"/>
      <c r="E53" s="1270"/>
      <c r="F53" s="1271"/>
      <c r="G53" s="1271"/>
      <c r="H53" s="1271"/>
      <c r="I53" s="1272"/>
      <c r="J53" s="1265"/>
      <c r="K53" s="902"/>
      <c r="L53" s="896"/>
      <c r="M53" s="902"/>
      <c r="N53" s="900" t="s">
        <v>2309</v>
      </c>
    </row>
    <row r="54" spans="1:14" s="910" customFormat="1" ht="16.5" hidden="1" customHeight="1">
      <c r="A54" s="896"/>
      <c r="B54" s="902" t="s">
        <v>1599</v>
      </c>
      <c r="C54" s="897">
        <v>1</v>
      </c>
      <c r="D54" s="1263" t="s">
        <v>273</v>
      </c>
      <c r="E54" s="919">
        <v>10</v>
      </c>
      <c r="F54" s="920">
        <v>1.5</v>
      </c>
      <c r="G54" s="920">
        <v>1.5</v>
      </c>
      <c r="H54" s="920">
        <v>1.8</v>
      </c>
      <c r="I54" s="1266">
        <f>ROUND(IF(AND(F54:H54),C54*E54*F54*G54*H54,IF(AND(F54,G54),C54*E54*F54*G54,IF(AND(F54,H54),C54*E54*F54*H54,IF(AND(G54,H54),C54*E54*G54*H54,IF(F54,C54*E54*F54,IF(G54,C54*E54*G54,IF(H54,C54*E54*H54,C54*E54))))))),2)</f>
        <v>40.5</v>
      </c>
      <c r="J54" s="1267" t="s">
        <v>5</v>
      </c>
      <c r="K54" s="902"/>
      <c r="L54" s="896"/>
      <c r="M54" s="902"/>
      <c r="N54" s="900" t="s">
        <v>2309</v>
      </c>
    </row>
    <row r="55" spans="1:14" s="910" customFormat="1" ht="16.5" hidden="1" customHeight="1">
      <c r="A55" s="896"/>
      <c r="B55" s="902" t="s">
        <v>1600</v>
      </c>
      <c r="C55" s="897">
        <v>1</v>
      </c>
      <c r="D55" s="1263" t="s">
        <v>273</v>
      </c>
      <c r="E55" s="919">
        <v>4</v>
      </c>
      <c r="F55" s="920">
        <v>1.5</v>
      </c>
      <c r="G55" s="920">
        <v>1.5</v>
      </c>
      <c r="H55" s="920">
        <v>1.8</v>
      </c>
      <c r="I55" s="1266">
        <f>ROUND(IF(AND(F55:H55),C55*E55*F55*G55*H55,IF(AND(F55,G55),C55*E55*F55*G55,IF(AND(F55,H55),C55*E55*F55*H55,IF(AND(G55,H55),C55*E55*G55*H55,IF(F55,C55*E55*F55,IF(G55,C55*E55*G55,IF(H55,C55*E55*H55,C55*E55))))))),2)</f>
        <v>16.2</v>
      </c>
      <c r="J55" s="1267" t="s">
        <v>5</v>
      </c>
      <c r="K55" s="902"/>
      <c r="L55" s="896"/>
      <c r="M55" s="902"/>
      <c r="N55" s="900" t="s">
        <v>2309</v>
      </c>
    </row>
    <row r="56" spans="1:14" s="910" customFormat="1" ht="16.5" hidden="1" customHeight="1">
      <c r="A56" s="896"/>
      <c r="B56" s="902" t="s">
        <v>1607</v>
      </c>
      <c r="C56" s="897"/>
      <c r="D56" s="1263"/>
      <c r="E56" s="919"/>
      <c r="F56" s="920"/>
      <c r="G56" s="920"/>
      <c r="H56" s="920"/>
      <c r="I56" s="1266">
        <v>-16.2</v>
      </c>
      <c r="J56" s="1267" t="s">
        <v>5</v>
      </c>
      <c r="K56" s="902"/>
      <c r="L56" s="896"/>
      <c r="M56" s="902"/>
      <c r="N56" s="900" t="s">
        <v>2309</v>
      </c>
    </row>
    <row r="57" spans="1:14" s="910" customFormat="1" ht="16.5" hidden="1" customHeight="1">
      <c r="A57" s="896"/>
      <c r="B57" s="956"/>
      <c r="C57" s="957"/>
      <c r="D57" s="958"/>
      <c r="E57" s="1268"/>
      <c r="F57" s="960"/>
      <c r="G57" s="960"/>
      <c r="H57" s="960"/>
      <c r="I57" s="916"/>
      <c r="J57" s="955"/>
      <c r="K57" s="902"/>
      <c r="L57" s="923"/>
      <c r="M57" s="902"/>
      <c r="N57" s="900" t="s">
        <v>2309</v>
      </c>
    </row>
    <row r="58" spans="1:14" ht="15.75" hidden="1">
      <c r="A58" s="896"/>
      <c r="B58" s="902"/>
      <c r="C58" s="917"/>
      <c r="D58" s="918"/>
      <c r="E58" s="919"/>
      <c r="F58" s="920"/>
      <c r="G58" s="921"/>
      <c r="H58" s="896"/>
      <c r="I58" s="916"/>
      <c r="J58" s="955" t="s">
        <v>5</v>
      </c>
      <c r="K58" s="922">
        <f>'data 2022-23'!G77</f>
        <v>284.39999999999998</v>
      </c>
      <c r="L58" s="923" t="s">
        <v>274</v>
      </c>
      <c r="M58" s="924">
        <f>ROUND(I58*K58,0)</f>
        <v>0</v>
      </c>
      <c r="N58" s="900" t="s">
        <v>2309</v>
      </c>
    </row>
    <row r="59" spans="1:14" ht="87.75" hidden="1" customHeight="1">
      <c r="A59" s="896">
        <v>5</v>
      </c>
      <c r="B59" s="1609" t="s">
        <v>1569</v>
      </c>
      <c r="C59" s="1609"/>
      <c r="D59" s="1609"/>
      <c r="E59" s="1609"/>
      <c r="F59" s="1609"/>
      <c r="G59" s="1609"/>
      <c r="H59" s="1609"/>
      <c r="I59" s="897"/>
      <c r="J59" s="898"/>
      <c r="K59" s="896"/>
      <c r="L59" s="923"/>
      <c r="M59" s="899"/>
      <c r="N59" s="900" t="s">
        <v>2309</v>
      </c>
    </row>
    <row r="60" spans="1:14" s="910" customFormat="1" ht="16.5" hidden="1" customHeight="1">
      <c r="A60" s="896"/>
      <c r="B60" s="928" t="s">
        <v>3352</v>
      </c>
      <c r="C60" s="1269"/>
      <c r="D60" s="1279"/>
      <c r="E60" s="1270"/>
      <c r="F60" s="1271"/>
      <c r="G60" s="1271"/>
      <c r="H60" s="1271"/>
      <c r="I60" s="1272"/>
      <c r="J60" s="1265"/>
      <c r="K60" s="902"/>
      <c r="L60" s="896"/>
      <c r="M60" s="902"/>
      <c r="N60" s="900" t="s">
        <v>2309</v>
      </c>
    </row>
    <row r="61" spans="1:14" s="910" customFormat="1" ht="16.5" hidden="1" customHeight="1">
      <c r="A61" s="896"/>
      <c r="B61" s="902" t="s">
        <v>1604</v>
      </c>
      <c r="C61" s="897">
        <v>1</v>
      </c>
      <c r="D61" s="1263" t="s">
        <v>273</v>
      </c>
      <c r="E61" s="919">
        <v>1</v>
      </c>
      <c r="F61" s="920">
        <v>1.35</v>
      </c>
      <c r="G61" s="920">
        <v>1.35</v>
      </c>
      <c r="H61" s="920">
        <v>0.3</v>
      </c>
      <c r="I61" s="1266">
        <f>ROUND(IF(AND(F61:H61),C61*E61*F61*G61*H61,IF(AND(F61,G61),C61*E61*F61*G61,IF(AND(F61,H61),C61*E61*F61*H61,IF(AND(G61,H61),C61*E61*G61*H61,IF(F61,C61*E61*F61,IF(G61,C61*E61*G61,IF(H61,C61*E61*H61,C61*E61))))))),2)</f>
        <v>0.55000000000000004</v>
      </c>
      <c r="J61" s="1267" t="s">
        <v>5</v>
      </c>
      <c r="K61" s="902"/>
      <c r="L61" s="896"/>
      <c r="M61" s="902"/>
      <c r="N61" s="900" t="s">
        <v>2309</v>
      </c>
    </row>
    <row r="62" spans="1:14" s="910" customFormat="1" ht="16.5" hidden="1" customHeight="1">
      <c r="A62" s="896"/>
      <c r="B62" s="956"/>
      <c r="C62" s="957"/>
      <c r="D62" s="958"/>
      <c r="E62" s="1268"/>
      <c r="F62" s="960"/>
      <c r="G62" s="960"/>
      <c r="H62" s="960"/>
      <c r="I62" s="916"/>
      <c r="J62" s="955"/>
      <c r="K62" s="902"/>
      <c r="L62" s="923"/>
      <c r="M62" s="902"/>
      <c r="N62" s="900" t="s">
        <v>2309</v>
      </c>
    </row>
    <row r="63" spans="1:14" ht="15.75" hidden="1">
      <c r="A63" s="896"/>
      <c r="B63" s="902"/>
      <c r="C63" s="917"/>
      <c r="D63" s="918"/>
      <c r="E63" s="919"/>
      <c r="F63" s="920"/>
      <c r="G63" s="921"/>
      <c r="H63" s="896"/>
      <c r="I63" s="916"/>
      <c r="J63" s="955" t="s">
        <v>5</v>
      </c>
      <c r="K63" s="922">
        <f>'data 2022-23'!G121</f>
        <v>8062.18</v>
      </c>
      <c r="L63" s="923" t="s">
        <v>274</v>
      </c>
      <c r="M63" s="924">
        <f>ROUND(I63*K63,0)</f>
        <v>0</v>
      </c>
      <c r="N63" s="900" t="s">
        <v>2309</v>
      </c>
    </row>
    <row r="64" spans="1:14" ht="17.25" hidden="1" customHeight="1">
      <c r="A64" s="896">
        <v>6</v>
      </c>
      <c r="B64" s="1609" t="s">
        <v>300</v>
      </c>
      <c r="C64" s="1609"/>
      <c r="D64" s="1609"/>
      <c r="E64" s="1609"/>
      <c r="F64" s="1609"/>
      <c r="G64" s="1609"/>
      <c r="H64" s="1609"/>
      <c r="I64" s="897"/>
      <c r="J64" s="898"/>
      <c r="K64" s="896"/>
      <c r="L64" s="923"/>
      <c r="M64" s="899"/>
      <c r="N64" s="900" t="s">
        <v>2309</v>
      </c>
    </row>
    <row r="65" spans="1:14" s="910" customFormat="1" ht="16.5" hidden="1" customHeight="1">
      <c r="A65" s="896"/>
      <c r="B65" s="928" t="s">
        <v>3364</v>
      </c>
      <c r="C65" s="1269"/>
      <c r="D65" s="1279"/>
      <c r="E65" s="1270"/>
      <c r="F65" s="1271"/>
      <c r="G65" s="1271"/>
      <c r="H65" s="1271"/>
      <c r="I65" s="1272"/>
      <c r="J65" s="955"/>
      <c r="K65" s="902"/>
      <c r="L65" s="896"/>
      <c r="M65" s="902"/>
      <c r="N65" s="900" t="s">
        <v>2309</v>
      </c>
    </row>
    <row r="66" spans="1:14" s="910" customFormat="1" ht="16.5" hidden="1" customHeight="1">
      <c r="A66" s="896"/>
      <c r="B66" s="1004"/>
      <c r="C66" s="897">
        <v>1</v>
      </c>
      <c r="D66" s="1263" t="s">
        <v>273</v>
      </c>
      <c r="E66" s="919">
        <v>18</v>
      </c>
      <c r="F66" s="920">
        <v>0.45</v>
      </c>
      <c r="G66" s="920">
        <v>0.45</v>
      </c>
      <c r="H66" s="920">
        <v>0.45</v>
      </c>
      <c r="I66" s="1266">
        <f>ROUND(IF(AND(F66:H66),C66*E66*F66*G66*H66,IF(AND(F66,G66),C66*E66*F66*G66,IF(AND(F66,H66),C66*E66*F66*H66,IF(AND(G66,H66),C66*E66*G66*H66,IF(F66,C66*E66*F66,IF(G66,C66*E66*G66,IF(H66,C66*E66*H66,C66*E66))))))),2)</f>
        <v>1.64</v>
      </c>
      <c r="J66" s="955" t="s">
        <v>5</v>
      </c>
      <c r="K66" s="902"/>
      <c r="L66" s="896"/>
      <c r="M66" s="902"/>
      <c r="N66" s="900" t="s">
        <v>2309</v>
      </c>
    </row>
    <row r="67" spans="1:14" s="910" customFormat="1" ht="16.5" hidden="1" customHeight="1">
      <c r="A67" s="896"/>
      <c r="B67" s="962"/>
      <c r="C67" s="897"/>
      <c r="D67" s="1263"/>
      <c r="E67" s="919"/>
      <c r="F67" s="920"/>
      <c r="G67" s="920"/>
      <c r="H67" s="920"/>
      <c r="I67" s="1266"/>
      <c r="J67" s="955"/>
      <c r="K67" s="902"/>
      <c r="L67" s="923"/>
      <c r="M67" s="902"/>
      <c r="N67" s="900" t="s">
        <v>2309</v>
      </c>
    </row>
    <row r="68" spans="1:14" ht="15.75" hidden="1">
      <c r="A68" s="896"/>
      <c r="B68" s="902"/>
      <c r="C68" s="917"/>
      <c r="D68" s="918"/>
      <c r="E68" s="919"/>
      <c r="F68" s="920"/>
      <c r="G68" s="921"/>
      <c r="H68" s="896"/>
      <c r="I68" s="916"/>
      <c r="J68" s="955" t="s">
        <v>5</v>
      </c>
      <c r="K68" s="922">
        <f>'data 2022-23'!G126</f>
        <v>8501.18</v>
      </c>
      <c r="L68" s="923" t="s">
        <v>274</v>
      </c>
      <c r="M68" s="924">
        <f>ROUND(I68*K68,0)</f>
        <v>0</v>
      </c>
      <c r="N68" s="900" t="s">
        <v>2309</v>
      </c>
    </row>
    <row r="69" spans="1:14" ht="17.25" hidden="1" customHeight="1">
      <c r="A69" s="896">
        <v>7</v>
      </c>
      <c r="B69" s="1609" t="s">
        <v>301</v>
      </c>
      <c r="C69" s="1609"/>
      <c r="D69" s="1609"/>
      <c r="E69" s="1609"/>
      <c r="F69" s="1609"/>
      <c r="G69" s="1609"/>
      <c r="H69" s="1609"/>
      <c r="I69" s="897"/>
      <c r="J69" s="898"/>
      <c r="K69" s="896"/>
      <c r="L69" s="923"/>
      <c r="M69" s="899"/>
      <c r="N69" s="900" t="s">
        <v>2309</v>
      </c>
    </row>
    <row r="70" spans="1:14" s="910" customFormat="1" ht="16.5" hidden="1" customHeight="1">
      <c r="A70" s="896"/>
      <c r="B70" s="928" t="s">
        <v>3371</v>
      </c>
      <c r="C70" s="1269"/>
      <c r="D70" s="1279"/>
      <c r="E70" s="1270"/>
      <c r="F70" s="1271"/>
      <c r="G70" s="1271"/>
      <c r="H70" s="1271"/>
      <c r="I70" s="1272"/>
      <c r="J70" s="955"/>
      <c r="K70" s="902"/>
      <c r="L70" s="896"/>
      <c r="M70" s="902"/>
      <c r="N70" s="900" t="s">
        <v>2309</v>
      </c>
    </row>
    <row r="71" spans="1:14" s="910" customFormat="1" ht="16.5" hidden="1" customHeight="1">
      <c r="A71" s="896"/>
      <c r="B71" s="902" t="s">
        <v>1604</v>
      </c>
      <c r="C71" s="897">
        <v>1</v>
      </c>
      <c r="D71" s="1263" t="s">
        <v>273</v>
      </c>
      <c r="E71" s="919">
        <v>1</v>
      </c>
      <c r="F71" s="920">
        <v>0.23</v>
      </c>
      <c r="G71" s="920">
        <v>0.38</v>
      </c>
      <c r="H71" s="920">
        <v>1.72</v>
      </c>
      <c r="I71" s="1266">
        <f t="shared" ref="I71:I78" si="0">ROUND(IF(AND(F71:H71),C71*E71*F71*G71*H71,IF(AND(F71,G71),C71*E71*F71*G71,IF(AND(F71,H71),C71*E71*F71*H71,IF(AND(G71,H71),C71*E71*G71*H71,IF(F71,C71*E71*F71,IF(G71,C71*E71*G71,IF(H71,C71*E71*H71,C71*E71))))))),2)</f>
        <v>0.15</v>
      </c>
      <c r="J71" s="955" t="s">
        <v>5</v>
      </c>
      <c r="K71" s="902"/>
      <c r="L71" s="896"/>
      <c r="M71" s="902"/>
      <c r="N71" s="900" t="s">
        <v>2309</v>
      </c>
    </row>
    <row r="72" spans="1:14" s="910" customFormat="1" ht="16.5" hidden="1" customHeight="1">
      <c r="A72" s="896"/>
      <c r="B72" s="902" t="s">
        <v>1605</v>
      </c>
      <c r="C72" s="897">
        <v>1</v>
      </c>
      <c r="D72" s="1263" t="s">
        <v>273</v>
      </c>
      <c r="E72" s="919">
        <v>1</v>
      </c>
      <c r="F72" s="920">
        <v>0.23</v>
      </c>
      <c r="G72" s="920">
        <v>0.38</v>
      </c>
      <c r="H72" s="920">
        <v>1.79</v>
      </c>
      <c r="I72" s="1266">
        <f t="shared" si="0"/>
        <v>0.16</v>
      </c>
      <c r="J72" s="955" t="s">
        <v>5</v>
      </c>
      <c r="K72" s="902"/>
      <c r="L72" s="896"/>
      <c r="M72" s="902"/>
      <c r="N72" s="900" t="s">
        <v>2309</v>
      </c>
    </row>
    <row r="73" spans="1:14" s="910" customFormat="1" ht="16.5" hidden="1" customHeight="1">
      <c r="A73" s="896"/>
      <c r="B73" s="902" t="s">
        <v>1605</v>
      </c>
      <c r="C73" s="897">
        <v>1</v>
      </c>
      <c r="D73" s="1263" t="s">
        <v>273</v>
      </c>
      <c r="E73" s="919">
        <v>1</v>
      </c>
      <c r="F73" s="920">
        <v>0.23</v>
      </c>
      <c r="G73" s="920">
        <v>0.38</v>
      </c>
      <c r="H73" s="920">
        <v>1.75</v>
      </c>
      <c r="I73" s="1266">
        <f t="shared" si="0"/>
        <v>0.15</v>
      </c>
      <c r="J73" s="955" t="s">
        <v>5</v>
      </c>
      <c r="K73" s="902"/>
      <c r="L73" s="896"/>
      <c r="M73" s="902"/>
      <c r="N73" s="900" t="s">
        <v>2309</v>
      </c>
    </row>
    <row r="74" spans="1:14" s="910" customFormat="1" ht="16.5" hidden="1" customHeight="1">
      <c r="A74" s="896"/>
      <c r="B74" s="902" t="s">
        <v>1606</v>
      </c>
      <c r="C74" s="897">
        <v>1</v>
      </c>
      <c r="D74" s="1263" t="s">
        <v>273</v>
      </c>
      <c r="E74" s="919">
        <v>1</v>
      </c>
      <c r="F74" s="920">
        <v>0.23</v>
      </c>
      <c r="G74" s="920">
        <v>0.38</v>
      </c>
      <c r="H74" s="920">
        <v>1.68</v>
      </c>
      <c r="I74" s="1266">
        <f t="shared" si="0"/>
        <v>0.15</v>
      </c>
      <c r="J74" s="955" t="s">
        <v>5</v>
      </c>
      <c r="K74" s="902"/>
      <c r="L74" s="896"/>
      <c r="M74" s="902"/>
      <c r="N74" s="900" t="s">
        <v>2309</v>
      </c>
    </row>
    <row r="75" spans="1:14" s="910" customFormat="1" ht="16.5" hidden="1" customHeight="1">
      <c r="A75" s="896"/>
      <c r="B75" s="902" t="s">
        <v>1606</v>
      </c>
      <c r="C75" s="897">
        <v>1</v>
      </c>
      <c r="D75" s="1263" t="s">
        <v>273</v>
      </c>
      <c r="E75" s="919">
        <v>1</v>
      </c>
      <c r="F75" s="920">
        <v>0.23</v>
      </c>
      <c r="G75" s="920">
        <v>0.38</v>
      </c>
      <c r="H75" s="920">
        <v>1.74</v>
      </c>
      <c r="I75" s="1266">
        <f t="shared" si="0"/>
        <v>0.15</v>
      </c>
      <c r="J75" s="955" t="s">
        <v>5</v>
      </c>
      <c r="K75" s="902"/>
      <c r="L75" s="896"/>
      <c r="M75" s="902"/>
      <c r="N75" s="900" t="s">
        <v>2309</v>
      </c>
    </row>
    <row r="76" spans="1:14" s="910" customFormat="1" ht="16.5" hidden="1" customHeight="1">
      <c r="A76" s="896"/>
      <c r="B76" s="902" t="s">
        <v>1604</v>
      </c>
      <c r="C76" s="897">
        <v>1</v>
      </c>
      <c r="D76" s="1263" t="s">
        <v>273</v>
      </c>
      <c r="E76" s="919">
        <v>1</v>
      </c>
      <c r="F76" s="920">
        <v>0.23</v>
      </c>
      <c r="G76" s="920">
        <v>0.23</v>
      </c>
      <c r="H76" s="920">
        <v>2.7949999999999999</v>
      </c>
      <c r="I76" s="1266">
        <f t="shared" si="0"/>
        <v>0.15</v>
      </c>
      <c r="J76" s="955" t="s">
        <v>5</v>
      </c>
      <c r="K76" s="902"/>
      <c r="L76" s="896"/>
      <c r="M76" s="902"/>
      <c r="N76" s="900" t="s">
        <v>2309</v>
      </c>
    </row>
    <row r="77" spans="1:14" s="910" customFormat="1" ht="16.5" hidden="1" customHeight="1">
      <c r="A77" s="896"/>
      <c r="B77" s="902" t="s">
        <v>1608</v>
      </c>
      <c r="C77" s="897">
        <v>1</v>
      </c>
      <c r="D77" s="1263" t="s">
        <v>273</v>
      </c>
      <c r="E77" s="919">
        <v>5</v>
      </c>
      <c r="F77" s="920">
        <v>0.23</v>
      </c>
      <c r="G77" s="920">
        <v>0.38</v>
      </c>
      <c r="H77" s="920">
        <v>2.7949999999999999</v>
      </c>
      <c r="I77" s="1266">
        <f t="shared" si="0"/>
        <v>1.22</v>
      </c>
      <c r="J77" s="955" t="s">
        <v>5</v>
      </c>
      <c r="K77" s="902"/>
      <c r="L77" s="896"/>
      <c r="M77" s="902"/>
      <c r="N77" s="900" t="s">
        <v>2309</v>
      </c>
    </row>
    <row r="78" spans="1:14" s="910" customFormat="1" ht="16.5" hidden="1" customHeight="1">
      <c r="A78" s="896"/>
      <c r="B78" s="902" t="s">
        <v>1604</v>
      </c>
      <c r="C78" s="897">
        <v>1</v>
      </c>
      <c r="D78" s="1263" t="s">
        <v>273</v>
      </c>
      <c r="E78" s="919">
        <v>1</v>
      </c>
      <c r="F78" s="920">
        <v>0.23</v>
      </c>
      <c r="G78" s="920">
        <v>0.23</v>
      </c>
      <c r="H78" s="920">
        <v>2.7949999999999999</v>
      </c>
      <c r="I78" s="1266">
        <f t="shared" si="0"/>
        <v>0.15</v>
      </c>
      <c r="J78" s="955" t="s">
        <v>5</v>
      </c>
      <c r="K78" s="902"/>
      <c r="L78" s="896"/>
      <c r="M78" s="902"/>
      <c r="N78" s="900" t="s">
        <v>2309</v>
      </c>
    </row>
    <row r="79" spans="1:14" s="910" customFormat="1" ht="16.5" hidden="1" customHeight="1">
      <c r="A79" s="896"/>
      <c r="B79" s="956"/>
      <c r="C79" s="957"/>
      <c r="D79" s="958"/>
      <c r="E79" s="1268"/>
      <c r="F79" s="960"/>
      <c r="G79" s="960"/>
      <c r="H79" s="960"/>
      <c r="I79" s="916"/>
      <c r="J79" s="955"/>
      <c r="K79" s="902"/>
      <c r="L79" s="923"/>
      <c r="M79" s="902"/>
      <c r="N79" s="900" t="s">
        <v>2309</v>
      </c>
    </row>
    <row r="80" spans="1:14" ht="15.75" hidden="1">
      <c r="A80" s="896"/>
      <c r="B80" s="902"/>
      <c r="C80" s="917"/>
      <c r="D80" s="918"/>
      <c r="E80" s="919"/>
      <c r="F80" s="920"/>
      <c r="G80" s="921"/>
      <c r="H80" s="896"/>
      <c r="I80" s="916"/>
      <c r="J80" s="955" t="s">
        <v>5</v>
      </c>
      <c r="K80" s="922">
        <f>'data 2022-23'!E152</f>
        <v>10417.6</v>
      </c>
      <c r="L80" s="923" t="s">
        <v>274</v>
      </c>
      <c r="M80" s="924">
        <f>ROUND(I80*K80,0)</f>
        <v>0</v>
      </c>
      <c r="N80" s="900" t="s">
        <v>2309</v>
      </c>
    </row>
    <row r="81" spans="1:14" s="910" customFormat="1" ht="16.5" hidden="1" customHeight="1">
      <c r="A81" s="896"/>
      <c r="B81" s="902" t="s">
        <v>2352</v>
      </c>
      <c r="C81" s="897">
        <v>1</v>
      </c>
      <c r="D81" s="1263" t="s">
        <v>273</v>
      </c>
      <c r="E81" s="919">
        <v>3</v>
      </c>
      <c r="F81" s="920">
        <v>5.93</v>
      </c>
      <c r="G81" s="920">
        <v>0.23</v>
      </c>
      <c r="H81" s="920">
        <v>0.38</v>
      </c>
      <c r="I81" s="1266">
        <f>ROUND(IF(AND(F81:H81),C81*E81*F81*G81*H81,IF(AND(F81,G81),C81*E81*F81*G81,IF(AND(F81,H81),C81*E81*F81*H81,IF(AND(G81,H81),C81*E81*G81*H81,IF(F81,C81*E81*F81,IF(G81,C81*E81*G81,IF(H81,C81*E81*H81,C81*E81))))))),2)</f>
        <v>1.55</v>
      </c>
      <c r="J81" s="955" t="s">
        <v>5</v>
      </c>
      <c r="K81" s="902"/>
      <c r="L81" s="896"/>
      <c r="M81" s="902"/>
      <c r="N81" s="900" t="s">
        <v>2309</v>
      </c>
    </row>
    <row r="82" spans="1:14" s="910" customFormat="1" ht="16.5" hidden="1" customHeight="1">
      <c r="A82" s="896"/>
      <c r="B82" s="902" t="s">
        <v>2351</v>
      </c>
      <c r="C82" s="897">
        <v>1</v>
      </c>
      <c r="D82" s="1263" t="s">
        <v>273</v>
      </c>
      <c r="E82" s="919">
        <v>4</v>
      </c>
      <c r="F82" s="920">
        <v>2.7</v>
      </c>
      <c r="G82" s="920">
        <v>0.23</v>
      </c>
      <c r="H82" s="920">
        <v>0.38</v>
      </c>
      <c r="I82" s="1266">
        <f>ROUND(IF(AND(F82:H82),C82*E82*F82*G82*H82,IF(AND(F82,G82),C82*E82*F82*G82,IF(AND(F82,H82),C82*E82*F82*H82,IF(AND(G82,H82),C82*E82*G82*H82,IF(F82,C82*E82*F82,IF(G82,C82*E82*G82,IF(H82,C82*E82*H82,C82*E82))))))),2)</f>
        <v>0.94</v>
      </c>
      <c r="J82" s="955" t="s">
        <v>5</v>
      </c>
      <c r="K82" s="902"/>
      <c r="L82" s="896"/>
      <c r="M82" s="902"/>
      <c r="N82" s="900" t="s">
        <v>2309</v>
      </c>
    </row>
    <row r="83" spans="1:14" ht="17.25" hidden="1" customHeight="1">
      <c r="A83" s="896">
        <v>8</v>
      </c>
      <c r="B83" s="1609" t="s">
        <v>302</v>
      </c>
      <c r="C83" s="1609"/>
      <c r="D83" s="1609"/>
      <c r="E83" s="1609"/>
      <c r="F83" s="1609"/>
      <c r="G83" s="1609"/>
      <c r="H83" s="1609"/>
      <c r="I83" s="897"/>
      <c r="J83" s="898"/>
      <c r="K83" s="896"/>
      <c r="L83" s="923"/>
      <c r="M83" s="899"/>
      <c r="N83" s="900" t="s">
        <v>2309</v>
      </c>
    </row>
    <row r="84" spans="1:14" s="910" customFormat="1" ht="16.5" hidden="1" customHeight="1">
      <c r="A84" s="896"/>
      <c r="B84" s="928" t="s">
        <v>3378</v>
      </c>
      <c r="C84" s="1269"/>
      <c r="D84" s="1279"/>
      <c r="E84" s="1270"/>
      <c r="F84" s="1271"/>
      <c r="G84" s="1271"/>
      <c r="H84" s="1271"/>
      <c r="I84" s="1272"/>
      <c r="J84" s="955"/>
      <c r="K84" s="902"/>
      <c r="L84" s="896"/>
      <c r="M84" s="902"/>
      <c r="N84" s="900" t="s">
        <v>2309</v>
      </c>
    </row>
    <row r="85" spans="1:14" s="910" customFormat="1" ht="16.5" hidden="1" customHeight="1">
      <c r="A85" s="896"/>
      <c r="B85" s="902" t="s">
        <v>268</v>
      </c>
      <c r="C85" s="897">
        <v>1</v>
      </c>
      <c r="D85" s="1263" t="s">
        <v>273</v>
      </c>
      <c r="E85" s="919">
        <v>1</v>
      </c>
      <c r="F85" s="920">
        <v>48.51</v>
      </c>
      <c r="G85" s="920">
        <v>0.23</v>
      </c>
      <c r="H85" s="920">
        <f>(0.36+0.38)/2</f>
        <v>0.37</v>
      </c>
      <c r="I85" s="1266">
        <f>ROUND(IF(AND(F85:H85),C85*E85*F85*G85*H85,IF(AND(F85,G85),C85*E85*F85*G85,IF(AND(F85,H85),C85*E85*F85*H85,IF(AND(G85,H85),C85*E85*G85*H85,IF(F85,C85*E85*F85,IF(G85,C85*E85*G85,IF(H85,C85*E85*H85,C85*E85))))))),2)</f>
        <v>4.13</v>
      </c>
      <c r="J85" s="955" t="s">
        <v>5</v>
      </c>
      <c r="K85" s="902"/>
      <c r="L85" s="896"/>
      <c r="M85" s="902"/>
      <c r="N85" s="900" t="s">
        <v>2309</v>
      </c>
    </row>
    <row r="86" spans="1:14" s="910" customFormat="1" ht="16.5" hidden="1" customHeight="1">
      <c r="A86" s="896"/>
      <c r="B86" s="902"/>
      <c r="C86" s="897">
        <v>1</v>
      </c>
      <c r="D86" s="1263" t="s">
        <v>273</v>
      </c>
      <c r="E86" s="919">
        <v>1</v>
      </c>
      <c r="F86" s="920">
        <v>6.3</v>
      </c>
      <c r="G86" s="920">
        <v>0.3</v>
      </c>
      <c r="H86" s="920">
        <v>0.2</v>
      </c>
      <c r="I86" s="1266">
        <f>ROUND(IF(AND(F86:H86),C86*E86*F86*G86*H86,IF(AND(F86,G86),C86*E86*F86*G86,IF(AND(F86,H86),C86*E86*F86*H86,IF(AND(G86,H86),C86*E86*G86*H86,IF(F86,C86*E86*F86,IF(G86,C86*E86*G86,IF(H86,C86*E86*H86,C86*E86))))))),2)</f>
        <v>0.38</v>
      </c>
      <c r="J86" s="955" t="s">
        <v>5</v>
      </c>
      <c r="K86" s="902"/>
      <c r="L86" s="896"/>
      <c r="M86" s="902"/>
      <c r="N86" s="900" t="s">
        <v>2309</v>
      </c>
    </row>
    <row r="87" spans="1:14" s="910" customFormat="1" ht="16.5" hidden="1" customHeight="1">
      <c r="A87" s="896"/>
      <c r="B87" s="956"/>
      <c r="C87" s="957"/>
      <c r="D87" s="958"/>
      <c r="E87" s="1268"/>
      <c r="F87" s="960"/>
      <c r="G87" s="960"/>
      <c r="H87" s="960"/>
      <c r="I87" s="916"/>
      <c r="J87" s="955"/>
      <c r="K87" s="902"/>
      <c r="L87" s="923"/>
      <c r="M87" s="902"/>
      <c r="N87" s="900" t="s">
        <v>2309</v>
      </c>
    </row>
    <row r="88" spans="1:14" ht="15.75" hidden="1">
      <c r="A88" s="896"/>
      <c r="B88" s="902"/>
      <c r="C88" s="917"/>
      <c r="D88" s="918"/>
      <c r="E88" s="919"/>
      <c r="F88" s="920"/>
      <c r="G88" s="921"/>
      <c r="H88" s="896"/>
      <c r="I88" s="916"/>
      <c r="J88" s="955" t="s">
        <v>5</v>
      </c>
      <c r="K88" s="922">
        <f>'data 2022-23'!G131</f>
        <v>10162.18</v>
      </c>
      <c r="L88" s="923" t="s">
        <v>274</v>
      </c>
      <c r="M88" s="924">
        <f>ROUND(I88*K88,0)</f>
        <v>0</v>
      </c>
      <c r="N88" s="900" t="s">
        <v>2309</v>
      </c>
    </row>
    <row r="89" spans="1:14" ht="17.25" hidden="1" customHeight="1">
      <c r="A89" s="896">
        <v>9</v>
      </c>
      <c r="B89" s="1609" t="s">
        <v>303</v>
      </c>
      <c r="C89" s="1609"/>
      <c r="D89" s="1609"/>
      <c r="E89" s="1609"/>
      <c r="F89" s="1609"/>
      <c r="G89" s="1609"/>
      <c r="H89" s="1609"/>
      <c r="I89" s="897"/>
      <c r="J89" s="898"/>
      <c r="K89" s="896"/>
      <c r="L89" s="923"/>
      <c r="M89" s="899"/>
      <c r="N89" s="900" t="s">
        <v>2309</v>
      </c>
    </row>
    <row r="90" spans="1:14" s="910" customFormat="1" ht="16.5" hidden="1" customHeight="1">
      <c r="A90" s="896"/>
      <c r="B90" s="928" t="s">
        <v>3367</v>
      </c>
      <c r="C90" s="1269"/>
      <c r="D90" s="1279"/>
      <c r="E90" s="1270"/>
      <c r="F90" s="1271"/>
      <c r="G90" s="1271"/>
      <c r="H90" s="1271"/>
      <c r="I90" s="1272"/>
      <c r="J90" s="955"/>
      <c r="K90" s="902"/>
      <c r="L90" s="896"/>
      <c r="M90" s="902"/>
      <c r="N90" s="900" t="s">
        <v>2309</v>
      </c>
    </row>
    <row r="91" spans="1:14" s="910" customFormat="1" ht="16.5" hidden="1" customHeight="1">
      <c r="A91" s="896"/>
      <c r="B91" s="902" t="s">
        <v>1239</v>
      </c>
      <c r="C91" s="897">
        <v>1</v>
      </c>
      <c r="D91" s="1263" t="s">
        <v>273</v>
      </c>
      <c r="E91" s="919">
        <v>1</v>
      </c>
      <c r="F91" s="920">
        <v>2.65</v>
      </c>
      <c r="G91" s="920">
        <v>0.23</v>
      </c>
      <c r="H91" s="920">
        <v>0.3</v>
      </c>
      <c r="I91" s="1266">
        <f>ROUND(IF(AND(F91:H91),C91*E91*F91*G91*H91,IF(AND(F91,G91),C91*E91*F91*G91,IF(AND(F91,H91),C91*E91*F91*H91,IF(AND(G91,H91),C91*E91*G91*H91,IF(F91,C91*E91*F91,IF(G91,C91*E91*G91,IF(H91,C91*E91*H91,C91*E91))))))),2)</f>
        <v>0.18</v>
      </c>
      <c r="J91" s="955" t="s">
        <v>5</v>
      </c>
      <c r="K91" s="902"/>
      <c r="L91" s="896"/>
      <c r="M91" s="902"/>
      <c r="N91" s="900" t="s">
        <v>2309</v>
      </c>
    </row>
    <row r="92" spans="1:14" s="910" customFormat="1" ht="16.5" hidden="1" customHeight="1">
      <c r="A92" s="896"/>
      <c r="B92" s="902" t="s">
        <v>1609</v>
      </c>
      <c r="C92" s="897">
        <v>1</v>
      </c>
      <c r="D92" s="1263" t="s">
        <v>273</v>
      </c>
      <c r="E92" s="919">
        <v>2</v>
      </c>
      <c r="F92" s="920">
        <v>1</v>
      </c>
      <c r="G92" s="920">
        <v>0.23</v>
      </c>
      <c r="H92" s="920">
        <v>0.3</v>
      </c>
      <c r="I92" s="1266">
        <f>ROUND(IF(AND(F92:H92),C92*E92*F92*G92*H92,IF(AND(F92,G92),C92*E92*F92*G92,IF(AND(F92,H92),C92*E92*F92*H92,IF(AND(G92,H92),C92*E92*G92*H92,IF(F92,C92*E92*F92,IF(G92,C92*E92*G92,IF(H92,C92*E92*H92,C92*E92))))))),2)</f>
        <v>0.14000000000000001</v>
      </c>
      <c r="J92" s="955" t="s">
        <v>5</v>
      </c>
      <c r="K92" s="902"/>
      <c r="L92" s="896"/>
      <c r="M92" s="902"/>
      <c r="N92" s="900" t="s">
        <v>2309</v>
      </c>
    </row>
    <row r="93" spans="1:14" s="910" customFormat="1" ht="16.5" hidden="1" customHeight="1">
      <c r="A93" s="896"/>
      <c r="B93" s="902" t="s">
        <v>1611</v>
      </c>
      <c r="C93" s="897">
        <v>1</v>
      </c>
      <c r="D93" s="1263" t="s">
        <v>273</v>
      </c>
      <c r="E93" s="919">
        <v>1</v>
      </c>
      <c r="F93" s="920">
        <v>15.75</v>
      </c>
      <c r="G93" s="920">
        <v>0.23</v>
      </c>
      <c r="H93" s="920">
        <v>0.3</v>
      </c>
      <c r="I93" s="1266">
        <f>ROUND(IF(AND(F93:H93),C93*E93*F93*G93*H93,IF(AND(F93,G93),C93*E93*F93*G93,IF(AND(F93,H93),C93*E93*F93*H93,IF(AND(G93,H93),C93*E93*G93*H93,IF(F93,C93*E93*F93,IF(G93,C93*E93*G93,IF(H93,C93*E93*H93,C93*E93))))))),2)</f>
        <v>1.0900000000000001</v>
      </c>
      <c r="J93" s="955" t="s">
        <v>5</v>
      </c>
      <c r="K93" s="902"/>
      <c r="L93" s="896"/>
      <c r="M93" s="902"/>
      <c r="N93" s="900" t="s">
        <v>2309</v>
      </c>
    </row>
    <row r="94" spans="1:14" s="910" customFormat="1" ht="16.5" hidden="1" customHeight="1">
      <c r="A94" s="896"/>
      <c r="B94" s="902" t="s">
        <v>1610</v>
      </c>
      <c r="C94" s="897">
        <v>1</v>
      </c>
      <c r="D94" s="1263" t="s">
        <v>273</v>
      </c>
      <c r="E94" s="919">
        <v>6</v>
      </c>
      <c r="F94" s="920">
        <v>0.23</v>
      </c>
      <c r="G94" s="920">
        <v>0.23</v>
      </c>
      <c r="H94" s="920">
        <v>0.3</v>
      </c>
      <c r="I94" s="1266">
        <f>-ROUND(IF(AND(F94:H94),C94*E94*F94*G94*H94,IF(AND(F94,G94),C94*E94*F94*G94,IF(AND(F94,H94),C94*E94*F94*H94,IF(AND(G94,H94),C94*E94*G94*H94,IF(F94,C94*E94*F94,IF(G94,C94*E94*G94,IF(H94,C94*E94*H94,C94*E94))))))),2)</f>
        <v>-0.1</v>
      </c>
      <c r="J94" s="955" t="s">
        <v>5</v>
      </c>
      <c r="K94" s="902"/>
      <c r="L94" s="896"/>
      <c r="M94" s="902"/>
      <c r="N94" s="900" t="s">
        <v>2309</v>
      </c>
    </row>
    <row r="95" spans="1:14" s="910" customFormat="1" ht="16.5" hidden="1" customHeight="1">
      <c r="A95" s="896"/>
      <c r="B95" s="956"/>
      <c r="C95" s="957"/>
      <c r="D95" s="958"/>
      <c r="E95" s="1268"/>
      <c r="F95" s="960"/>
      <c r="G95" s="960"/>
      <c r="H95" s="960"/>
      <c r="I95" s="916"/>
      <c r="J95" s="955"/>
      <c r="K95" s="902"/>
      <c r="L95" s="923"/>
      <c r="M95" s="902"/>
      <c r="N95" s="900" t="s">
        <v>2309</v>
      </c>
    </row>
    <row r="96" spans="1:14" ht="15.75" hidden="1">
      <c r="A96" s="896"/>
      <c r="B96" s="902"/>
      <c r="C96" s="917"/>
      <c r="D96" s="918"/>
      <c r="E96" s="919"/>
      <c r="F96" s="920"/>
      <c r="G96" s="921"/>
      <c r="H96" s="896"/>
      <c r="I96" s="916"/>
      <c r="J96" s="955" t="s">
        <v>5</v>
      </c>
      <c r="K96" s="922">
        <f>'data 2022-23'!E179</f>
        <v>9921.19</v>
      </c>
      <c r="L96" s="923" t="s">
        <v>274</v>
      </c>
      <c r="M96" s="924">
        <f>ROUND(I96*K96,0)</f>
        <v>0</v>
      </c>
      <c r="N96" s="900" t="s">
        <v>2309</v>
      </c>
    </row>
    <row r="97" spans="1:14" ht="17.25" hidden="1" customHeight="1">
      <c r="A97" s="896">
        <v>10</v>
      </c>
      <c r="B97" s="1609" t="s">
        <v>304</v>
      </c>
      <c r="C97" s="1609"/>
      <c r="D97" s="1609"/>
      <c r="E97" s="1609"/>
      <c r="F97" s="1609"/>
      <c r="G97" s="1609"/>
      <c r="H97" s="1609"/>
      <c r="I97" s="897"/>
      <c r="J97" s="898"/>
      <c r="K97" s="896"/>
      <c r="L97" s="923"/>
      <c r="M97" s="899"/>
      <c r="N97" s="900" t="s">
        <v>2309</v>
      </c>
    </row>
    <row r="98" spans="1:14" s="910" customFormat="1" ht="16.5" hidden="1" customHeight="1">
      <c r="A98" s="896"/>
      <c r="B98" s="928" t="s">
        <v>3367</v>
      </c>
      <c r="C98" s="1269"/>
      <c r="D98" s="1279"/>
      <c r="E98" s="1270"/>
      <c r="F98" s="1271"/>
      <c r="G98" s="1271"/>
      <c r="H98" s="1271"/>
      <c r="I98" s="1272"/>
      <c r="J98" s="955"/>
      <c r="K98" s="902"/>
      <c r="L98" s="896"/>
      <c r="M98" s="902"/>
      <c r="N98" s="900" t="s">
        <v>2309</v>
      </c>
    </row>
    <row r="99" spans="1:14" s="910" customFormat="1" ht="16.5" hidden="1" customHeight="1">
      <c r="A99" s="896"/>
      <c r="B99" s="902" t="s">
        <v>1612</v>
      </c>
      <c r="C99" s="897">
        <v>1</v>
      </c>
      <c r="D99" s="1263" t="s">
        <v>273</v>
      </c>
      <c r="E99" s="919">
        <v>1</v>
      </c>
      <c r="F99" s="920">
        <v>3.2</v>
      </c>
      <c r="G99" s="920">
        <v>1.2</v>
      </c>
      <c r="H99" s="920">
        <v>0</v>
      </c>
      <c r="I99" s="1266">
        <f>ROUND(IF(AND(F99:H99),C99*E99*F99*G99*H99,IF(AND(F99,G99),C99*E99*F99*G99,IF(AND(F99,H99),C99*E99*F99*H99,IF(AND(G99,H99),C99*E99*G99*H99,IF(F99,C99*E99*F99,IF(G99,C99*E99*G99,IF(H99,C99*E99*H99,C99*E99))))))),2)</f>
        <v>3.84</v>
      </c>
      <c r="J99" s="955" t="s">
        <v>102</v>
      </c>
      <c r="K99" s="902"/>
      <c r="L99" s="896"/>
      <c r="M99" s="902"/>
      <c r="N99" s="900" t="s">
        <v>2309</v>
      </c>
    </row>
    <row r="100" spans="1:14" s="910" customFormat="1" ht="16.5" hidden="1" customHeight="1">
      <c r="A100" s="896"/>
      <c r="B100" s="902" t="s">
        <v>1613</v>
      </c>
      <c r="C100" s="897">
        <v>1</v>
      </c>
      <c r="D100" s="1263" t="s">
        <v>273</v>
      </c>
      <c r="E100" s="919">
        <v>1</v>
      </c>
      <c r="F100" s="920">
        <v>3.6</v>
      </c>
      <c r="G100" s="920">
        <v>1.21</v>
      </c>
      <c r="H100" s="920">
        <v>0</v>
      </c>
      <c r="I100" s="1266">
        <f>ROUND(IF(AND(F100:H100),C100*E100*F100*G100*H100,IF(AND(F100,G100),C100*E100*F100*G100,IF(AND(F100,H100),C100*E100*F100*H100,IF(AND(G100,H100),C100*E100*G100*H100,IF(F100,C100*E100*F100,IF(G100,C100*E100*G100,IF(H100,C100*E100*H100,C100*E100))))))),2)</f>
        <v>4.3600000000000003</v>
      </c>
      <c r="J100" s="955" t="s">
        <v>102</v>
      </c>
      <c r="K100" s="902"/>
      <c r="L100" s="896"/>
      <c r="M100" s="902"/>
      <c r="N100" s="900" t="s">
        <v>2309</v>
      </c>
    </row>
    <row r="101" spans="1:14" s="910" customFormat="1" ht="16.5" hidden="1" customHeight="1">
      <c r="A101" s="896"/>
      <c r="B101" s="956"/>
      <c r="C101" s="957"/>
      <c r="D101" s="958"/>
      <c r="E101" s="1268"/>
      <c r="F101" s="960"/>
      <c r="G101" s="960"/>
      <c r="H101" s="960"/>
      <c r="I101" s="916"/>
      <c r="J101" s="955"/>
      <c r="K101" s="902"/>
      <c r="L101" s="923"/>
      <c r="M101" s="902"/>
      <c r="N101" s="900" t="s">
        <v>2309</v>
      </c>
    </row>
    <row r="102" spans="1:14" ht="15.75" hidden="1">
      <c r="A102" s="896"/>
      <c r="B102" s="902"/>
      <c r="C102" s="917"/>
      <c r="D102" s="918"/>
      <c r="E102" s="919"/>
      <c r="F102" s="920"/>
      <c r="G102" s="921"/>
      <c r="H102" s="896"/>
      <c r="I102" s="916"/>
      <c r="J102" s="955" t="s">
        <v>102</v>
      </c>
      <c r="K102" s="922">
        <f>'data 2022-23'!E200</f>
        <v>1345.28</v>
      </c>
      <c r="L102" s="923" t="s">
        <v>2419</v>
      </c>
      <c r="M102" s="924">
        <f>ROUND(I102*K102,0)</f>
        <v>0</v>
      </c>
      <c r="N102" s="900" t="s">
        <v>2309</v>
      </c>
    </row>
    <row r="103" spans="1:14" ht="17.25" hidden="1" customHeight="1">
      <c r="A103" s="896">
        <v>11</v>
      </c>
      <c r="B103" s="1609" t="s">
        <v>305</v>
      </c>
      <c r="C103" s="1609"/>
      <c r="D103" s="1609"/>
      <c r="E103" s="1609"/>
      <c r="F103" s="1609"/>
      <c r="G103" s="1609"/>
      <c r="H103" s="1609"/>
      <c r="I103" s="897"/>
      <c r="J103" s="898"/>
      <c r="K103" s="896"/>
      <c r="L103" s="923"/>
      <c r="M103" s="899"/>
      <c r="N103" s="900" t="s">
        <v>2309</v>
      </c>
    </row>
    <row r="104" spans="1:14" s="910" customFormat="1" ht="16.5" hidden="1" customHeight="1">
      <c r="A104" s="896"/>
      <c r="B104" s="928" t="s">
        <v>3390</v>
      </c>
      <c r="C104" s="1269"/>
      <c r="D104" s="1279"/>
      <c r="E104" s="1270"/>
      <c r="F104" s="1271"/>
      <c r="G104" s="1271"/>
      <c r="H104" s="1271"/>
      <c r="I104" s="1272"/>
      <c r="J104" s="955"/>
      <c r="K104" s="902"/>
      <c r="L104" s="896"/>
      <c r="M104" s="902"/>
      <c r="N104" s="900" t="s">
        <v>2309</v>
      </c>
    </row>
    <row r="105" spans="1:14" s="910" customFormat="1" ht="16.5" hidden="1" customHeight="1">
      <c r="A105" s="896"/>
      <c r="B105" s="902"/>
      <c r="C105" s="897">
        <v>1</v>
      </c>
      <c r="D105" s="1263" t="s">
        <v>273</v>
      </c>
      <c r="E105" s="919">
        <v>1</v>
      </c>
      <c r="F105" s="920">
        <v>16.09</v>
      </c>
      <c r="G105" s="920">
        <v>10.19</v>
      </c>
      <c r="H105" s="920">
        <v>0</v>
      </c>
      <c r="I105" s="1266">
        <f>ROUND(IF(AND(F105:H105),C105*E105*F105*G105*H105,IF(AND(F105,G105),C105*E105*F105*G105,IF(AND(F105,H105),C105*E105*F105*H105,IF(AND(G105,H105),C105*E105*G105*H105,IF(F105,C105*E105*F105,IF(G105,C105*E105*G105,IF(H105,C105*E105*H105,C105*E105))))))),2)</f>
        <v>163.96</v>
      </c>
      <c r="J105" s="955" t="s">
        <v>102</v>
      </c>
      <c r="K105" s="902"/>
      <c r="L105" s="896"/>
      <c r="M105" s="902"/>
      <c r="N105" s="900" t="s">
        <v>2309</v>
      </c>
    </row>
    <row r="106" spans="1:14" s="910" customFormat="1" ht="16.5" hidden="1" customHeight="1">
      <c r="A106" s="896"/>
      <c r="B106" s="902"/>
      <c r="C106" s="897">
        <v>1</v>
      </c>
      <c r="D106" s="1263" t="s">
        <v>273</v>
      </c>
      <c r="E106" s="919">
        <v>1</v>
      </c>
      <c r="F106" s="920">
        <v>3.86</v>
      </c>
      <c r="G106" s="920">
        <v>2.63</v>
      </c>
      <c r="H106" s="920">
        <v>0</v>
      </c>
      <c r="I106" s="1266">
        <f>-ROUND(IF(AND(F106:H106),C106*E106*F106*G106*H106,IF(AND(F106,G106),C106*E106*F106*G106,IF(AND(F106,H106),C106*E106*F106*H106,IF(AND(G106,H106),C106*E106*G106*H106,IF(F106,C106*E106*F106,IF(G106,C106*E106*G106,IF(H106,C106*E106*H106,C106*E106))))))),2)</f>
        <v>-10.15</v>
      </c>
      <c r="J106" s="955" t="s">
        <v>102</v>
      </c>
      <c r="K106" s="902"/>
      <c r="L106" s="896"/>
      <c r="M106" s="902"/>
      <c r="N106" s="900" t="s">
        <v>2309</v>
      </c>
    </row>
    <row r="107" spans="1:14" s="910" customFormat="1" ht="16.5" hidden="1" customHeight="1">
      <c r="A107" s="896"/>
      <c r="B107" s="1281"/>
      <c r="C107" s="1282"/>
      <c r="D107" s="1276"/>
      <c r="E107" s="1283"/>
      <c r="F107" s="1284"/>
      <c r="G107" s="1284"/>
      <c r="H107" s="1285"/>
      <c r="I107" s="1278"/>
      <c r="J107" s="955"/>
      <c r="K107" s="902"/>
      <c r="L107" s="923"/>
      <c r="M107" s="902"/>
      <c r="N107" s="900" t="s">
        <v>2309</v>
      </c>
    </row>
    <row r="108" spans="1:14" ht="15.75" hidden="1">
      <c r="A108" s="896"/>
      <c r="B108" s="902"/>
      <c r="C108" s="917"/>
      <c r="D108" s="918"/>
      <c r="E108" s="919"/>
      <c r="F108" s="920"/>
      <c r="G108" s="921"/>
      <c r="H108" s="896"/>
      <c r="I108" s="916"/>
      <c r="J108" s="955" t="s">
        <v>102</v>
      </c>
      <c r="K108" s="922">
        <f>'data 2022-23'!E193</f>
        <v>1202.4000000000001</v>
      </c>
      <c r="L108" s="923" t="s">
        <v>2419</v>
      </c>
      <c r="M108" s="924">
        <f>ROUND(I108*K108,0)</f>
        <v>0</v>
      </c>
      <c r="N108" s="900" t="s">
        <v>2309</v>
      </c>
    </row>
    <row r="109" spans="1:14" ht="17.25" hidden="1" customHeight="1">
      <c r="A109" s="896">
        <v>11</v>
      </c>
      <c r="B109" s="1609" t="s">
        <v>582</v>
      </c>
      <c r="C109" s="1609"/>
      <c r="D109" s="1609"/>
      <c r="E109" s="1609"/>
      <c r="F109" s="1609"/>
      <c r="G109" s="1609"/>
      <c r="H109" s="1609"/>
      <c r="I109" s="897"/>
      <c r="J109" s="898"/>
      <c r="K109" s="896"/>
      <c r="L109" s="923"/>
      <c r="M109" s="899"/>
      <c r="N109" s="900" t="s">
        <v>2309</v>
      </c>
    </row>
    <row r="110" spans="1:14" s="910" customFormat="1" ht="16.5" hidden="1" customHeight="1">
      <c r="A110" s="896"/>
      <c r="B110" s="928" t="s">
        <v>3378</v>
      </c>
      <c r="C110" s="1269"/>
      <c r="D110" s="1279"/>
      <c r="E110" s="1270"/>
      <c r="F110" s="1271"/>
      <c r="G110" s="1271"/>
      <c r="H110" s="1271"/>
      <c r="I110" s="1272"/>
      <c r="J110" s="955"/>
      <c r="K110" s="902"/>
      <c r="L110" s="896"/>
      <c r="M110" s="902"/>
      <c r="N110" s="900" t="s">
        <v>2309</v>
      </c>
    </row>
    <row r="111" spans="1:14" s="910" customFormat="1" ht="16.5" hidden="1" customHeight="1">
      <c r="A111" s="896"/>
      <c r="B111" s="902"/>
      <c r="C111" s="897">
        <v>1</v>
      </c>
      <c r="D111" s="1263" t="s">
        <v>273</v>
      </c>
      <c r="E111" s="919">
        <v>2</v>
      </c>
      <c r="F111" s="920">
        <f>(3.05+3.65)/2</f>
        <v>3.3499999999999996</v>
      </c>
      <c r="G111" s="920">
        <v>0.95</v>
      </c>
      <c r="H111" s="920">
        <v>0</v>
      </c>
      <c r="I111" s="1266">
        <f>ROUND(IF(AND(F111:H111),C111*E111*F111*G111*H111,IF(AND(F111,G111),C111*E111*F111*G111,IF(AND(F111,H111),C111*E111*F111*H111,IF(AND(G111,H111),C111*E111*G111*H111,IF(F111,C111*E111*F111,IF(G111,C111*E111*G111,IF(H111,C111*E111*H111,C111*E111))))))),2)</f>
        <v>6.37</v>
      </c>
      <c r="J111" s="955" t="s">
        <v>102</v>
      </c>
      <c r="K111" s="902"/>
      <c r="L111" s="896"/>
      <c r="M111" s="902"/>
      <c r="N111" s="900" t="s">
        <v>2309</v>
      </c>
    </row>
    <row r="112" spans="1:14" s="910" customFormat="1" ht="16.5" hidden="1" customHeight="1">
      <c r="A112" s="896"/>
      <c r="B112" s="902"/>
      <c r="C112" s="897">
        <v>1</v>
      </c>
      <c r="D112" s="1263" t="s">
        <v>273</v>
      </c>
      <c r="E112" s="919">
        <v>1</v>
      </c>
      <c r="F112" s="920">
        <f>(16+17.2)/2</f>
        <v>16.600000000000001</v>
      </c>
      <c r="G112" s="920">
        <v>0.95</v>
      </c>
      <c r="H112" s="920">
        <v>0</v>
      </c>
      <c r="I112" s="1266">
        <f>ROUND(IF(AND(F112:H112),C112*E112*F112*G112*H112,IF(AND(F112,G112),C112*E112*F112*G112,IF(AND(F112,H112),C112*E112*F112*H112,IF(AND(G112,H112),C112*E112*G112*H112,IF(F112,C112*E112*F112,IF(G112,C112*E112*G112,IF(H112,C112*E112*H112,C112*E112))))))),2)</f>
        <v>15.77</v>
      </c>
      <c r="J112" s="955" t="s">
        <v>102</v>
      </c>
      <c r="K112" s="902"/>
      <c r="L112" s="896"/>
      <c r="M112" s="902"/>
      <c r="N112" s="900" t="s">
        <v>2309</v>
      </c>
    </row>
    <row r="113" spans="1:14" s="910" customFormat="1" ht="16.5" hidden="1" customHeight="1">
      <c r="A113" s="896"/>
      <c r="B113" s="1281"/>
      <c r="C113" s="1282"/>
      <c r="D113" s="1276"/>
      <c r="E113" s="1283"/>
      <c r="F113" s="1284"/>
      <c r="G113" s="1284"/>
      <c r="H113" s="1285"/>
      <c r="I113" s="1278"/>
      <c r="J113" s="955"/>
      <c r="K113" s="902"/>
      <c r="L113" s="923"/>
      <c r="M113" s="902"/>
      <c r="N113" s="900" t="s">
        <v>2309</v>
      </c>
    </row>
    <row r="114" spans="1:14" ht="15.75" hidden="1">
      <c r="A114" s="896"/>
      <c r="B114" s="902"/>
      <c r="C114" s="917"/>
      <c r="D114" s="918"/>
      <c r="E114" s="919"/>
      <c r="F114" s="920"/>
      <c r="G114" s="921"/>
      <c r="H114" s="896"/>
      <c r="I114" s="916"/>
      <c r="J114" s="955" t="s">
        <v>102</v>
      </c>
      <c r="K114" s="922">
        <f>'data 2022-23'!E186</f>
        <v>1059.52</v>
      </c>
      <c r="L114" s="923" t="s">
        <v>2419</v>
      </c>
      <c r="M114" s="924">
        <f>ROUND(I114*K114,0)</f>
        <v>0</v>
      </c>
      <c r="N114" s="900" t="s">
        <v>2309</v>
      </c>
    </row>
    <row r="115" spans="1:14" ht="18.75" hidden="1" customHeight="1">
      <c r="A115" s="896">
        <v>11</v>
      </c>
      <c r="B115" s="1609" t="s">
        <v>1314</v>
      </c>
      <c r="C115" s="1609"/>
      <c r="D115" s="1609"/>
      <c r="E115" s="1609"/>
      <c r="F115" s="1609"/>
      <c r="G115" s="1609"/>
      <c r="H115" s="1609"/>
      <c r="I115" s="897"/>
      <c r="J115" s="898"/>
      <c r="K115" s="896"/>
      <c r="L115" s="923"/>
      <c r="M115" s="899"/>
      <c r="N115" s="900" t="s">
        <v>2309</v>
      </c>
    </row>
    <row r="116" spans="1:14" s="910" customFormat="1" ht="16.5" hidden="1" customHeight="1">
      <c r="A116" s="896"/>
      <c r="B116" s="902" t="s">
        <v>3371</v>
      </c>
      <c r="C116" s="897"/>
      <c r="D116" s="1263"/>
      <c r="E116" s="919"/>
      <c r="F116" s="920"/>
      <c r="G116" s="920"/>
      <c r="H116" s="920"/>
      <c r="I116" s="1264"/>
      <c r="J116" s="955"/>
      <c r="K116" s="902"/>
      <c r="L116" s="923"/>
      <c r="M116" s="902"/>
      <c r="N116" s="900" t="s">
        <v>2309</v>
      </c>
    </row>
    <row r="117" spans="1:14" s="910" customFormat="1" ht="16.5" hidden="1" customHeight="1">
      <c r="A117" s="896"/>
      <c r="B117" s="902" t="s">
        <v>1489</v>
      </c>
      <c r="C117" s="897">
        <v>1</v>
      </c>
      <c r="D117" s="1263" t="s">
        <v>273</v>
      </c>
      <c r="E117" s="919">
        <v>2</v>
      </c>
      <c r="F117" s="920">
        <v>3.33</v>
      </c>
      <c r="G117" s="920">
        <v>1.32</v>
      </c>
      <c r="H117" s="920">
        <v>0</v>
      </c>
      <c r="I117" s="1266">
        <f>ROUND(IF(AND(F117:H117),C117*E117*F117*G117*H117,IF(AND(F117,G117),C117*E117*F117*G117,IF(AND(F117,H117),C117*E117*F117*H117,IF(AND(G117,H117),C117*E117*G117*H117,IF(F117,C117*E117*F117,IF(G117,C117*E117*G117,IF(H117,C117*E117*H117,C117*E117))))))),2)</f>
        <v>8.7899999999999991</v>
      </c>
      <c r="J117" s="955" t="s">
        <v>102</v>
      </c>
      <c r="K117" s="902"/>
      <c r="L117" s="923"/>
      <c r="M117" s="902"/>
      <c r="N117" s="900" t="s">
        <v>2309</v>
      </c>
    </row>
    <row r="118" spans="1:14" s="910" customFormat="1" ht="16.5" hidden="1" customHeight="1">
      <c r="A118" s="896"/>
      <c r="B118" s="902"/>
      <c r="C118" s="897">
        <v>2</v>
      </c>
      <c r="D118" s="1263" t="s">
        <v>273</v>
      </c>
      <c r="E118" s="919">
        <v>0.5</v>
      </c>
      <c r="F118" s="920">
        <v>0.94</v>
      </c>
      <c r="G118" s="920">
        <v>1.35</v>
      </c>
      <c r="H118" s="920">
        <v>0</v>
      </c>
      <c r="I118" s="1266">
        <f>ROUND(IF(AND(F118:H118),C118*E118*F118*G118*H118,IF(AND(F118,G118),C118*E118*F118*G118,IF(AND(F118,H118),C118*E118*F118*H118,IF(AND(G118,H118),C118*E118*G118*H118,IF(F118,C118*E118*F118,IF(G118,C118*E118*G118,IF(H118,C118*E118*H118,C118*E118))))))),2)</f>
        <v>1.27</v>
      </c>
      <c r="J118" s="955" t="s">
        <v>102</v>
      </c>
      <c r="K118" s="902"/>
      <c r="L118" s="923"/>
      <c r="M118" s="902"/>
      <c r="N118" s="900" t="s">
        <v>2309</v>
      </c>
    </row>
    <row r="119" spans="1:14" s="910" customFormat="1" ht="16.5" hidden="1" customHeight="1">
      <c r="A119" s="896"/>
      <c r="B119" s="956"/>
      <c r="C119" s="957"/>
      <c r="D119" s="958"/>
      <c r="E119" s="1268"/>
      <c r="F119" s="960"/>
      <c r="G119" s="960"/>
      <c r="H119" s="960"/>
      <c r="I119" s="916"/>
      <c r="J119" s="955"/>
      <c r="K119" s="902"/>
      <c r="L119" s="923"/>
      <c r="M119" s="902"/>
      <c r="N119" s="900" t="s">
        <v>2309</v>
      </c>
    </row>
    <row r="120" spans="1:14" ht="15.75" hidden="1">
      <c r="A120" s="896"/>
      <c r="B120" s="902"/>
      <c r="C120" s="917"/>
      <c r="D120" s="918"/>
      <c r="E120" s="919"/>
      <c r="F120" s="920"/>
      <c r="G120" s="921"/>
      <c r="H120" s="896"/>
      <c r="I120" s="916"/>
      <c r="J120" s="955" t="s">
        <v>102</v>
      </c>
      <c r="K120" s="922">
        <f>'data 2022-23'!E242</f>
        <v>526.29999999999995</v>
      </c>
      <c r="L120" s="923" t="s">
        <v>2419</v>
      </c>
      <c r="M120" s="924">
        <f>ROUND(I120*K120,0)</f>
        <v>0</v>
      </c>
      <c r="N120" s="900" t="s">
        <v>2309</v>
      </c>
    </row>
    <row r="121" spans="1:14" ht="18.75" hidden="1" customHeight="1">
      <c r="A121" s="896">
        <v>16</v>
      </c>
      <c r="B121" s="1609" t="s">
        <v>1316</v>
      </c>
      <c r="C121" s="1609"/>
      <c r="D121" s="1609"/>
      <c r="E121" s="1609"/>
      <c r="F121" s="1609"/>
      <c r="G121" s="1609"/>
      <c r="H121" s="1609"/>
      <c r="I121" s="897"/>
      <c r="J121" s="898"/>
      <c r="K121" s="896"/>
      <c r="L121" s="923"/>
      <c r="M121" s="899"/>
      <c r="N121" s="900" t="s">
        <v>2309</v>
      </c>
    </row>
    <row r="122" spans="1:14" s="910" customFormat="1" ht="16.5" hidden="1" customHeight="1">
      <c r="A122" s="896"/>
      <c r="B122" s="902" t="s">
        <v>3387</v>
      </c>
      <c r="C122" s="897"/>
      <c r="D122" s="1263"/>
      <c r="E122" s="919"/>
      <c r="F122" s="920"/>
      <c r="G122" s="920"/>
      <c r="H122" s="920"/>
      <c r="I122" s="1264"/>
      <c r="J122" s="955"/>
      <c r="K122" s="902"/>
      <c r="L122" s="923"/>
      <c r="M122" s="902"/>
      <c r="N122" s="900" t="s">
        <v>2309</v>
      </c>
    </row>
    <row r="123" spans="1:14" s="910" customFormat="1" ht="16.5" hidden="1" customHeight="1">
      <c r="A123" s="896"/>
      <c r="B123" s="902" t="s">
        <v>1229</v>
      </c>
      <c r="C123" s="897">
        <v>1</v>
      </c>
      <c r="D123" s="1263" t="s">
        <v>273</v>
      </c>
      <c r="E123" s="919">
        <v>5</v>
      </c>
      <c r="F123" s="920">
        <v>1.52</v>
      </c>
      <c r="G123" s="920">
        <v>0.23</v>
      </c>
      <c r="H123" s="920">
        <v>0</v>
      </c>
      <c r="I123" s="1266">
        <f>ROUND(IF(AND(F123:H123),C123*E123*F123*G123*H123,IF(AND(F123,G123),C123*E123*F123*G123,IF(AND(F123,H123),C123*E123*F123*H123,IF(AND(G123,H123),C123*E123*G123*H123,IF(F123,C123*E123*F123,IF(G123,C123*E123*G123,IF(H123,C123*E123*H123,C123*E123))))))),2)</f>
        <v>1.75</v>
      </c>
      <c r="J123" s="955" t="s">
        <v>102</v>
      </c>
      <c r="K123" s="902"/>
      <c r="L123" s="923"/>
      <c r="M123" s="902"/>
      <c r="N123" s="900" t="s">
        <v>2309</v>
      </c>
    </row>
    <row r="124" spans="1:14" s="910" customFormat="1" ht="16.5" hidden="1" customHeight="1">
      <c r="A124" s="896"/>
      <c r="B124" s="902"/>
      <c r="C124" s="897">
        <v>1</v>
      </c>
      <c r="D124" s="1263" t="s">
        <v>273</v>
      </c>
      <c r="E124" s="919">
        <v>4</v>
      </c>
      <c r="F124" s="920">
        <v>1.83</v>
      </c>
      <c r="G124" s="920">
        <v>0.23</v>
      </c>
      <c r="H124" s="920">
        <v>0</v>
      </c>
      <c r="I124" s="1266">
        <f>ROUND(IF(AND(F124:H124),C124*E124*F124*G124*H124,IF(AND(F124,G124),C124*E124*F124*G124,IF(AND(F124,H124),C124*E124*F124*H124,IF(AND(G124,H124),C124*E124*G124*H124,IF(F124,C124*E124*F124,IF(G124,C124*E124*G124,IF(H124,C124*E124*H124,C124*E124))))))),2)</f>
        <v>1.68</v>
      </c>
      <c r="J124" s="955" t="s">
        <v>102</v>
      </c>
      <c r="K124" s="902"/>
      <c r="L124" s="923"/>
      <c r="M124" s="902"/>
      <c r="N124" s="900" t="s">
        <v>2309</v>
      </c>
    </row>
    <row r="125" spans="1:14" s="910" customFormat="1" ht="16.5" hidden="1" customHeight="1">
      <c r="A125" s="896"/>
      <c r="B125" s="902" t="s">
        <v>1242</v>
      </c>
      <c r="C125" s="897">
        <v>1</v>
      </c>
      <c r="D125" s="1263" t="s">
        <v>273</v>
      </c>
      <c r="E125" s="919">
        <v>1</v>
      </c>
      <c r="F125" s="920">
        <v>1.4</v>
      </c>
      <c r="G125" s="920">
        <v>1.4</v>
      </c>
      <c r="H125" s="920">
        <v>0</v>
      </c>
      <c r="I125" s="1266">
        <f>ROUND(IF(AND(F125:H125),C125*E125*F125*G125*H125,IF(AND(F125,G125),C125*E125*F125*G125,IF(AND(F125,H125),C125*E125*F125*H125,IF(AND(G125,H125),C125*E125*G125*H125,IF(F125,C125*E125*F125,IF(G125,C125*E125*G125,IF(H125,C125*E125*H125,C125*E125))))))),2)</f>
        <v>1.96</v>
      </c>
      <c r="J125" s="955" t="s">
        <v>102</v>
      </c>
      <c r="K125" s="902"/>
      <c r="L125" s="923"/>
      <c r="M125" s="902"/>
      <c r="N125" s="900" t="s">
        <v>2309</v>
      </c>
    </row>
    <row r="126" spans="1:14" s="910" customFormat="1" ht="16.5" hidden="1" customHeight="1">
      <c r="A126" s="896"/>
      <c r="B126" s="956"/>
      <c r="C126" s="957"/>
      <c r="D126" s="958"/>
      <c r="E126" s="1268"/>
      <c r="F126" s="960"/>
      <c r="G126" s="960"/>
      <c r="H126" s="960"/>
      <c r="I126" s="916"/>
      <c r="J126" s="955"/>
      <c r="K126" s="902"/>
      <c r="L126" s="923"/>
      <c r="M126" s="902"/>
      <c r="N126" s="900" t="s">
        <v>2309</v>
      </c>
    </row>
    <row r="127" spans="1:14" ht="15.75" hidden="1">
      <c r="A127" s="896"/>
      <c r="B127" s="902"/>
      <c r="C127" s="917"/>
      <c r="D127" s="918"/>
      <c r="E127" s="919"/>
      <c r="F127" s="920"/>
      <c r="G127" s="921"/>
      <c r="H127" s="896"/>
      <c r="I127" s="916"/>
      <c r="J127" s="955" t="s">
        <v>102</v>
      </c>
      <c r="K127" s="922">
        <f>'data 2022-23'!E249</f>
        <v>385.15</v>
      </c>
      <c r="L127" s="923" t="s">
        <v>2419</v>
      </c>
      <c r="M127" s="924">
        <f>ROUND(I127*K127,0)</f>
        <v>0</v>
      </c>
      <c r="N127" s="900" t="s">
        <v>2309</v>
      </c>
    </row>
    <row r="128" spans="1:14" ht="97.5" hidden="1" customHeight="1">
      <c r="A128" s="896">
        <v>15</v>
      </c>
      <c r="B128" s="1609" t="s">
        <v>2056</v>
      </c>
      <c r="C128" s="1609"/>
      <c r="D128" s="1609"/>
      <c r="E128" s="1609"/>
      <c r="F128" s="1609"/>
      <c r="G128" s="1609"/>
      <c r="H128" s="1609"/>
      <c r="I128" s="897"/>
      <c r="J128" s="898"/>
      <c r="K128" s="896"/>
      <c r="L128" s="923"/>
      <c r="M128" s="899"/>
      <c r="N128" s="900" t="s">
        <v>2309</v>
      </c>
    </row>
    <row r="129" spans="1:14" s="910" customFormat="1" ht="16.5" hidden="1" customHeight="1">
      <c r="A129" s="896"/>
      <c r="B129" s="902" t="s">
        <v>3365</v>
      </c>
      <c r="C129" s="897"/>
      <c r="D129" s="1263"/>
      <c r="E129" s="919"/>
      <c r="F129" s="920"/>
      <c r="G129" s="920"/>
      <c r="H129" s="920"/>
      <c r="I129" s="1264"/>
      <c r="J129" s="955"/>
      <c r="K129" s="902"/>
      <c r="L129" s="923"/>
      <c r="M129" s="902"/>
      <c r="N129" s="900" t="s">
        <v>2309</v>
      </c>
    </row>
    <row r="130" spans="1:14" s="910" customFormat="1" ht="16.5" hidden="1" customHeight="1">
      <c r="A130" s="896"/>
      <c r="B130" s="902" t="s">
        <v>2131</v>
      </c>
      <c r="C130" s="897">
        <v>1</v>
      </c>
      <c r="D130" s="1263" t="s">
        <v>273</v>
      </c>
      <c r="E130" s="919">
        <v>2</v>
      </c>
      <c r="F130" s="920">
        <v>2.86</v>
      </c>
      <c r="G130" s="920">
        <v>0.23</v>
      </c>
      <c r="H130" s="920">
        <v>0.15</v>
      </c>
      <c r="I130" s="1266">
        <f>ROUND(IF(AND(F130:H130),C130*E130*F130*G130*H130,IF(AND(F130,G130),C130*E130*F130*G130,IF(AND(F130,H130),C130*E130*F130*H130,IF(AND(G130,H130),C130*E130*G130*H130,IF(F130,C130*E130*F130,IF(G130,C130*E130*G130,IF(H130,C130*E130*H130,C130*E130))))))),2)</f>
        <v>0.2</v>
      </c>
      <c r="J130" s="955" t="s">
        <v>5</v>
      </c>
      <c r="K130" s="902"/>
      <c r="L130" s="923"/>
      <c r="M130" s="902"/>
      <c r="N130" s="900" t="s">
        <v>2309</v>
      </c>
    </row>
    <row r="131" spans="1:14" s="910" customFormat="1" ht="16.5" hidden="1" customHeight="1">
      <c r="A131" s="896"/>
      <c r="B131" s="902" t="s">
        <v>2132</v>
      </c>
      <c r="C131" s="897">
        <v>1</v>
      </c>
      <c r="D131" s="1263" t="s">
        <v>273</v>
      </c>
      <c r="E131" s="919">
        <v>2</v>
      </c>
      <c r="F131" s="920">
        <v>4.84</v>
      </c>
      <c r="G131" s="920">
        <v>0.23</v>
      </c>
      <c r="H131" s="920">
        <v>0.15</v>
      </c>
      <c r="I131" s="1266">
        <f>ROUND(IF(AND(F131:H131),C131*E131*F131*G131*H131,IF(AND(F131,G131),C131*E131*F131*G131,IF(AND(F131,H131),C131*E131*F131*H131,IF(AND(G131,H131),C131*E131*G131*H131,IF(F131,C131*E131*F131,IF(G131,C131*E131*G131,IF(H131,C131*E131*H131,C131*E131))))))),2)</f>
        <v>0.33</v>
      </c>
      <c r="J131" s="955" t="s">
        <v>5</v>
      </c>
      <c r="K131" s="902"/>
      <c r="L131" s="923"/>
      <c r="M131" s="902"/>
      <c r="N131" s="900" t="s">
        <v>2309</v>
      </c>
    </row>
    <row r="132" spans="1:14" s="910" customFormat="1" ht="16.5" hidden="1" customHeight="1">
      <c r="A132" s="896"/>
      <c r="B132" s="902" t="s">
        <v>2133</v>
      </c>
      <c r="C132" s="897">
        <v>1</v>
      </c>
      <c r="D132" s="1263" t="s">
        <v>273</v>
      </c>
      <c r="E132" s="919">
        <v>2</v>
      </c>
      <c r="F132" s="920">
        <v>3.23</v>
      </c>
      <c r="G132" s="920">
        <v>0.23</v>
      </c>
      <c r="H132" s="920">
        <v>0.15</v>
      </c>
      <c r="I132" s="1266">
        <f>ROUND(IF(AND(F132:H132),C132*E132*F132*G132*H132,IF(AND(F132,G132),C132*E132*F132*G132,IF(AND(F132,H132),C132*E132*F132*H132,IF(AND(G132,H132),C132*E132*G132*H132,IF(F132,C132*E132*F132,IF(G132,C132*E132*G132,IF(H132,C132*E132*H132,C132*E132))))))),2)</f>
        <v>0.22</v>
      </c>
      <c r="J132" s="955" t="s">
        <v>5</v>
      </c>
      <c r="K132" s="902"/>
      <c r="L132" s="923"/>
      <c r="M132" s="902"/>
      <c r="N132" s="900" t="s">
        <v>2309</v>
      </c>
    </row>
    <row r="133" spans="1:14" s="910" customFormat="1" ht="16.5" hidden="1" customHeight="1">
      <c r="A133" s="896"/>
      <c r="B133" s="902" t="s">
        <v>1530</v>
      </c>
      <c r="C133" s="897">
        <v>1</v>
      </c>
      <c r="D133" s="1263" t="s">
        <v>273</v>
      </c>
      <c r="E133" s="919">
        <v>1</v>
      </c>
      <c r="F133" s="920">
        <v>2.5</v>
      </c>
      <c r="G133" s="920">
        <v>0.115</v>
      </c>
      <c r="H133" s="920">
        <v>0.15</v>
      </c>
      <c r="I133" s="1266">
        <f>ROUND(IF(AND(F133:H133),C133*E133*F133*G133*H133,IF(AND(F133,G133),C133*E133*F133*G133,IF(AND(F133,H133),C133*E133*F133*H133,IF(AND(G133,H133),C133*E133*G133*H133,IF(F133,C133*E133*F133,IF(G133,C133*E133*G133,IF(H133,C133*E133*H133,C133*E133))))))),2)</f>
        <v>0.04</v>
      </c>
      <c r="J133" s="955" t="s">
        <v>5</v>
      </c>
      <c r="K133" s="902"/>
      <c r="L133" s="923"/>
      <c r="M133" s="902"/>
      <c r="N133" s="900" t="s">
        <v>2309</v>
      </c>
    </row>
    <row r="134" spans="1:14" s="910" customFormat="1" ht="16.5" hidden="1" customHeight="1">
      <c r="A134" s="896"/>
      <c r="B134" s="902" t="s">
        <v>1531</v>
      </c>
      <c r="C134" s="897">
        <v>1</v>
      </c>
      <c r="D134" s="1263" t="s">
        <v>273</v>
      </c>
      <c r="E134" s="919">
        <v>1</v>
      </c>
      <c r="F134" s="920">
        <v>2.7</v>
      </c>
      <c r="G134" s="920">
        <v>0.115</v>
      </c>
      <c r="H134" s="920">
        <v>0.15</v>
      </c>
      <c r="I134" s="1266">
        <f>ROUND(IF(AND(F134:H134),C134*E134*F134*G134*H134,IF(AND(F134,G134),C134*E134*F134*G134,IF(AND(F134,H134),C134*E134*F134*H134,IF(AND(G134,H134),C134*E134*G134*H134,IF(F134,C134*E134*F134,IF(G134,C134*E134*G134,IF(H134,C134*E134*H134,C134*E134))))))),2)</f>
        <v>0.05</v>
      </c>
      <c r="J134" s="955" t="s">
        <v>5</v>
      </c>
      <c r="K134" s="902"/>
      <c r="L134" s="923"/>
      <c r="M134" s="902"/>
      <c r="N134" s="900" t="s">
        <v>2309</v>
      </c>
    </row>
    <row r="135" spans="1:14" s="910" customFormat="1" ht="16.5" hidden="1" customHeight="1">
      <c r="A135" s="896"/>
      <c r="B135" s="956"/>
      <c r="C135" s="957"/>
      <c r="D135" s="958"/>
      <c r="E135" s="1268"/>
      <c r="F135" s="920"/>
      <c r="G135" s="920"/>
      <c r="H135" s="920"/>
      <c r="I135" s="916"/>
      <c r="J135" s="955"/>
      <c r="K135" s="902"/>
      <c r="L135" s="923"/>
      <c r="M135" s="902"/>
      <c r="N135" s="900" t="s">
        <v>2309</v>
      </c>
    </row>
    <row r="136" spans="1:14" ht="15.75" hidden="1">
      <c r="A136" s="896"/>
      <c r="B136" s="902"/>
      <c r="C136" s="917"/>
      <c r="D136" s="918"/>
      <c r="E136" s="919"/>
      <c r="F136" s="920"/>
      <c r="G136" s="921"/>
      <c r="H136" s="896"/>
      <c r="I136" s="916"/>
      <c r="J136" s="955" t="s">
        <v>5</v>
      </c>
      <c r="K136" s="922">
        <f>'data 2022-23'!E158</f>
        <v>10584.6</v>
      </c>
      <c r="L136" s="923" t="s">
        <v>274</v>
      </c>
      <c r="M136" s="924">
        <f>ROUND(I136*K136,0)</f>
        <v>0</v>
      </c>
      <c r="N136" s="900" t="s">
        <v>2309</v>
      </c>
    </row>
    <row r="137" spans="1:14" ht="17.25" hidden="1" customHeight="1">
      <c r="A137" s="896">
        <v>16</v>
      </c>
      <c r="B137" s="1609" t="s">
        <v>648</v>
      </c>
      <c r="C137" s="1609"/>
      <c r="D137" s="1609"/>
      <c r="E137" s="1609"/>
      <c r="F137" s="1609"/>
      <c r="G137" s="1609"/>
      <c r="H137" s="1609"/>
      <c r="I137" s="897"/>
      <c r="J137" s="898"/>
      <c r="K137" s="896"/>
      <c r="L137" s="923"/>
      <c r="M137" s="899"/>
      <c r="N137" s="900" t="s">
        <v>2309</v>
      </c>
    </row>
    <row r="138" spans="1:14" s="910" customFormat="1" ht="16.5" hidden="1" customHeight="1">
      <c r="A138" s="896"/>
      <c r="B138" s="902" t="s">
        <v>3384</v>
      </c>
      <c r="C138" s="897"/>
      <c r="D138" s="1263"/>
      <c r="E138" s="919"/>
      <c r="F138" s="920"/>
      <c r="G138" s="920"/>
      <c r="H138" s="920"/>
      <c r="I138" s="1264"/>
      <c r="J138" s="955"/>
      <c r="K138" s="902"/>
      <c r="L138" s="923"/>
      <c r="M138" s="902"/>
      <c r="N138" s="900" t="s">
        <v>2309</v>
      </c>
    </row>
    <row r="139" spans="1:14" s="910" customFormat="1" ht="16.5" hidden="1" customHeight="1">
      <c r="A139" s="896"/>
      <c r="B139" s="902"/>
      <c r="C139" s="897">
        <v>1</v>
      </c>
      <c r="D139" s="1263" t="s">
        <v>273</v>
      </c>
      <c r="E139" s="919">
        <v>5</v>
      </c>
      <c r="F139" s="920">
        <v>1.8</v>
      </c>
      <c r="G139" s="920">
        <v>0</v>
      </c>
      <c r="H139" s="920">
        <v>0</v>
      </c>
      <c r="I139" s="1266">
        <f>ROUND(IF(AND(F139:H139),C139*E139*F139*G139*H139,IF(AND(F139,G139),C139*E139*F139*G139,IF(AND(F139,H139),C139*E139*F139*H139,IF(AND(G139,H139),C139*E139*G139*H139,IF(F139,C139*E139*F139,IF(G139,C139*E139*G139,IF(H139,C139*E139*H139,C139*E139))))))),2)</f>
        <v>9</v>
      </c>
      <c r="J139" s="955" t="s">
        <v>277</v>
      </c>
      <c r="K139" s="902"/>
      <c r="L139" s="923"/>
      <c r="M139" s="902"/>
      <c r="N139" s="900" t="s">
        <v>2309</v>
      </c>
    </row>
    <row r="140" spans="1:14" s="910" customFormat="1" ht="16.5" hidden="1" customHeight="1">
      <c r="A140" s="896"/>
      <c r="B140" s="902"/>
      <c r="C140" s="897">
        <v>1</v>
      </c>
      <c r="D140" s="1263" t="s">
        <v>273</v>
      </c>
      <c r="E140" s="919">
        <v>1</v>
      </c>
      <c r="F140" s="920">
        <v>2.7</v>
      </c>
      <c r="G140" s="920">
        <v>0</v>
      </c>
      <c r="H140" s="920">
        <v>0</v>
      </c>
      <c r="I140" s="1266">
        <f>ROUND(IF(AND(F140:H140),C140*E140*F140*G140*H140,IF(AND(F140,G140),C140*E140*F140*G140,IF(AND(F140,H140),C140*E140*F140*H140,IF(AND(G140,H140),C140*E140*G140*H140,IF(F140,C140*E140*F140,IF(G140,C140*E140*G140,IF(H140,C140*E140*H140,C140*E140))))))),2)</f>
        <v>2.7</v>
      </c>
      <c r="J140" s="955" t="s">
        <v>277</v>
      </c>
      <c r="K140" s="902"/>
      <c r="L140" s="923"/>
      <c r="M140" s="902"/>
      <c r="N140" s="900" t="s">
        <v>2309</v>
      </c>
    </row>
    <row r="141" spans="1:14" s="910" customFormat="1" ht="16.5" hidden="1" customHeight="1">
      <c r="A141" s="896"/>
      <c r="B141" s="956"/>
      <c r="C141" s="957"/>
      <c r="D141" s="958"/>
      <c r="E141" s="1268"/>
      <c r="F141" s="960"/>
      <c r="G141" s="960"/>
      <c r="H141" s="960"/>
      <c r="I141" s="916"/>
      <c r="J141" s="955"/>
      <c r="K141" s="902"/>
      <c r="L141" s="923"/>
      <c r="M141" s="902"/>
      <c r="N141" s="900" t="s">
        <v>2309</v>
      </c>
    </row>
    <row r="142" spans="1:14" ht="15.75" hidden="1">
      <c r="A142" s="896"/>
      <c r="B142" s="902"/>
      <c r="C142" s="917"/>
      <c r="D142" s="918"/>
      <c r="E142" s="919"/>
      <c r="F142" s="920"/>
      <c r="G142" s="921"/>
      <c r="H142" s="896"/>
      <c r="I142" s="916"/>
      <c r="J142" s="955" t="s">
        <v>277</v>
      </c>
      <c r="K142" s="922">
        <f>'data 2022-23'!E221</f>
        <v>518.52</v>
      </c>
      <c r="L142" s="923" t="s">
        <v>279</v>
      </c>
      <c r="M142" s="924">
        <f>ROUND(I142*K142,0)</f>
        <v>0</v>
      </c>
      <c r="N142" s="900" t="s">
        <v>2309</v>
      </c>
    </row>
    <row r="143" spans="1:14" ht="64.5" hidden="1" customHeight="1">
      <c r="A143" s="896">
        <v>21</v>
      </c>
      <c r="B143" s="1609" t="s">
        <v>151</v>
      </c>
      <c r="C143" s="1609"/>
      <c r="D143" s="1609"/>
      <c r="E143" s="1609"/>
      <c r="F143" s="1609"/>
      <c r="G143" s="1609"/>
      <c r="H143" s="1609"/>
      <c r="I143" s="897"/>
      <c r="J143" s="898"/>
      <c r="K143" s="896"/>
      <c r="L143" s="923"/>
      <c r="M143" s="899"/>
      <c r="N143" s="900" t="s">
        <v>2309</v>
      </c>
    </row>
    <row r="144" spans="1:14" s="910" customFormat="1" ht="16.5" hidden="1" customHeight="1">
      <c r="A144" s="896"/>
      <c r="B144" s="902" t="s">
        <v>3391</v>
      </c>
      <c r="C144" s="897"/>
      <c r="D144" s="1263"/>
      <c r="E144" s="919"/>
      <c r="F144" s="920"/>
      <c r="G144" s="920"/>
      <c r="H144" s="920"/>
      <c r="I144" s="1264"/>
      <c r="J144" s="955"/>
      <c r="K144" s="902"/>
      <c r="L144" s="923"/>
      <c r="M144" s="902"/>
      <c r="N144" s="900" t="s">
        <v>2309</v>
      </c>
    </row>
    <row r="145" spans="1:14" s="910" customFormat="1" ht="16.5" hidden="1" customHeight="1">
      <c r="A145" s="896"/>
      <c r="B145" s="902" t="s">
        <v>1536</v>
      </c>
      <c r="C145" s="897">
        <v>1</v>
      </c>
      <c r="D145" s="1263" t="s">
        <v>273</v>
      </c>
      <c r="E145" s="919">
        <v>2</v>
      </c>
      <c r="F145" s="920">
        <v>1.3</v>
      </c>
      <c r="G145" s="920">
        <v>0</v>
      </c>
      <c r="H145" s="920">
        <v>2.4</v>
      </c>
      <c r="I145" s="1266">
        <f>ROUND(IF(AND(F145:H145),C145*E145*F145*G145*H145,IF(AND(F145,G145),C145*E145*F145*G145,IF(AND(F145,H145),C145*E145*F145*H145,IF(AND(G145,H145),C145*E145*G145*H145,IF(F145,C145*E145*F145,IF(G145,C145*E145*G145,IF(H145,C145*E145*H145,C145*E145))))))),2)</f>
        <v>6.24</v>
      </c>
      <c r="J145" s="955" t="s">
        <v>102</v>
      </c>
      <c r="K145" s="902"/>
      <c r="L145" s="923"/>
      <c r="M145" s="902"/>
      <c r="N145" s="900" t="s">
        <v>2309</v>
      </c>
    </row>
    <row r="146" spans="1:14" s="910" customFormat="1" ht="16.5" hidden="1" customHeight="1">
      <c r="A146" s="896"/>
      <c r="B146" s="902"/>
      <c r="C146" s="897">
        <v>1</v>
      </c>
      <c r="D146" s="1263" t="s">
        <v>273</v>
      </c>
      <c r="E146" s="919">
        <v>2</v>
      </c>
      <c r="F146" s="920">
        <v>2.2999999999999998</v>
      </c>
      <c r="G146" s="920">
        <v>0</v>
      </c>
      <c r="H146" s="920">
        <v>2.4</v>
      </c>
      <c r="I146" s="1266">
        <f>ROUND(IF(AND(F146:H146),C146*E146*F146*G146*H146,IF(AND(F146,G146),C146*E146*F146*G146,IF(AND(F146,H146),C146*E146*F146*H146,IF(AND(G146,H146),C146*E146*G146*H146,IF(F146,C146*E146*F146,IF(G146,C146*E146*G146,IF(H146,C146*E146*H146,C146*E146))))))),2)</f>
        <v>11.04</v>
      </c>
      <c r="J146" s="955" t="s">
        <v>102</v>
      </c>
      <c r="K146" s="902"/>
      <c r="L146" s="923"/>
      <c r="M146" s="902"/>
      <c r="N146" s="900" t="s">
        <v>2309</v>
      </c>
    </row>
    <row r="147" spans="1:14" s="910" customFormat="1" ht="16.5" hidden="1" customHeight="1">
      <c r="A147" s="896"/>
      <c r="B147" s="956"/>
      <c r="C147" s="957"/>
      <c r="D147" s="958"/>
      <c r="E147" s="1268"/>
      <c r="F147" s="960"/>
      <c r="G147" s="960"/>
      <c r="H147" s="960"/>
      <c r="I147" s="916"/>
      <c r="J147" s="955"/>
      <c r="K147" s="902"/>
      <c r="L147" s="923"/>
      <c r="M147" s="902"/>
      <c r="N147" s="900" t="s">
        <v>2309</v>
      </c>
    </row>
    <row r="148" spans="1:14" ht="15.75" hidden="1">
      <c r="A148" s="896"/>
      <c r="B148" s="902"/>
      <c r="C148" s="917"/>
      <c r="D148" s="918"/>
      <c r="E148" s="919"/>
      <c r="F148" s="920"/>
      <c r="G148" s="921"/>
      <c r="H148" s="896"/>
      <c r="I148" s="916"/>
      <c r="J148" s="955" t="s">
        <v>102</v>
      </c>
      <c r="K148" s="922">
        <f>'data 2022-23'!E566</f>
        <v>315.69</v>
      </c>
      <c r="L148" s="923" t="s">
        <v>2419</v>
      </c>
      <c r="M148" s="924">
        <f>ROUND(I148*K148,0)</f>
        <v>0</v>
      </c>
      <c r="N148" s="900" t="s">
        <v>2309</v>
      </c>
    </row>
    <row r="149" spans="1:14" ht="64.5" hidden="1" customHeight="1">
      <c r="A149" s="896">
        <v>14</v>
      </c>
      <c r="B149" s="1609" t="s">
        <v>1313</v>
      </c>
      <c r="C149" s="1609"/>
      <c r="D149" s="1609"/>
      <c r="E149" s="1609"/>
      <c r="F149" s="1609"/>
      <c r="G149" s="1609"/>
      <c r="H149" s="1609"/>
      <c r="I149" s="897"/>
      <c r="J149" s="898"/>
      <c r="K149" s="896"/>
      <c r="L149" s="923"/>
      <c r="M149" s="899"/>
      <c r="N149" s="900" t="s">
        <v>2309</v>
      </c>
    </row>
    <row r="150" spans="1:14" s="910" customFormat="1" ht="16.5" hidden="1" customHeight="1">
      <c r="A150" s="896"/>
      <c r="B150" s="902" t="s">
        <v>3392</v>
      </c>
      <c r="C150" s="897"/>
      <c r="D150" s="1263"/>
      <c r="E150" s="919"/>
      <c r="F150" s="920"/>
      <c r="G150" s="920"/>
      <c r="H150" s="920"/>
      <c r="I150" s="1264"/>
      <c r="J150" s="955"/>
      <c r="K150" s="902"/>
      <c r="L150" s="923"/>
      <c r="M150" s="902"/>
      <c r="N150" s="900" t="s">
        <v>2309</v>
      </c>
    </row>
    <row r="151" spans="1:14" s="910" customFormat="1" ht="16.5" hidden="1" customHeight="1">
      <c r="A151" s="896"/>
      <c r="B151" s="902"/>
      <c r="C151" s="897">
        <v>1</v>
      </c>
      <c r="D151" s="1263" t="s">
        <v>273</v>
      </c>
      <c r="E151" s="919">
        <v>1</v>
      </c>
      <c r="F151" s="920">
        <v>10.45</v>
      </c>
      <c r="G151" s="920">
        <v>12</v>
      </c>
      <c r="H151" s="920">
        <v>0</v>
      </c>
      <c r="I151" s="1266">
        <f>ROUND(IF(AND(F151:H151),C151*E151*F151*G151*H151,IF(AND(F151,G151),C151*E151*F151*G151,IF(AND(F151,H151),C151*E151*F151*H151,IF(AND(G151,H151),C151*E151*G151*H151,IF(F151,C151*E151*F151,IF(G151,C151*E151*G151,IF(H151,C151*E151*H151,C151*E151))))))),2)</f>
        <v>125.4</v>
      </c>
      <c r="J151" s="955" t="s">
        <v>102</v>
      </c>
      <c r="K151" s="902"/>
      <c r="L151" s="923"/>
      <c r="M151" s="902"/>
      <c r="N151" s="900" t="s">
        <v>2309</v>
      </c>
    </row>
    <row r="152" spans="1:14" s="910" customFormat="1" ht="16.5" hidden="1" customHeight="1">
      <c r="A152" s="896"/>
      <c r="B152" s="902"/>
      <c r="C152" s="897">
        <v>1</v>
      </c>
      <c r="D152" s="1263" t="s">
        <v>273</v>
      </c>
      <c r="E152" s="919">
        <v>1</v>
      </c>
      <c r="F152" s="920">
        <v>3.52</v>
      </c>
      <c r="G152" s="920">
        <v>0.9</v>
      </c>
      <c r="H152" s="920">
        <v>0</v>
      </c>
      <c r="I152" s="1266">
        <f>ROUND(IF(AND(F152:H152),C152*E152*F152*G152*H152,IF(AND(F152,G152),C152*E152*F152*G152,IF(AND(F152,H152),C152*E152*F152*H152,IF(AND(G152,H152),C152*E152*G152*H152,IF(F152,C152*E152*F152,IF(G152,C152*E152*G152,IF(H152,C152*E152*H152,C152*E152))))))),2)</f>
        <v>3.17</v>
      </c>
      <c r="J152" s="955" t="s">
        <v>102</v>
      </c>
      <c r="K152" s="902"/>
      <c r="L152" s="923"/>
      <c r="M152" s="902"/>
      <c r="N152" s="900" t="s">
        <v>2309</v>
      </c>
    </row>
    <row r="153" spans="1:14" s="910" customFormat="1" ht="16.5" hidden="1" customHeight="1">
      <c r="A153" s="896"/>
      <c r="B153" s="956"/>
      <c r="C153" s="957"/>
      <c r="D153" s="958"/>
      <c r="E153" s="1268"/>
      <c r="F153" s="960"/>
      <c r="G153" s="960"/>
      <c r="H153" s="960"/>
      <c r="I153" s="916"/>
      <c r="J153" s="955"/>
      <c r="K153" s="902"/>
      <c r="L153" s="923"/>
      <c r="M153" s="902"/>
      <c r="N153" s="900" t="s">
        <v>2309</v>
      </c>
    </row>
    <row r="154" spans="1:14" ht="15.75" hidden="1">
      <c r="A154" s="896"/>
      <c r="B154" s="902"/>
      <c r="C154" s="917"/>
      <c r="D154" s="918"/>
      <c r="E154" s="919"/>
      <c r="F154" s="920"/>
      <c r="G154" s="921"/>
      <c r="H154" s="896"/>
      <c r="I154" s="916"/>
      <c r="J154" s="955" t="s">
        <v>102</v>
      </c>
      <c r="K154" s="922">
        <f>'data 2022-23'!E581</f>
        <v>405.78</v>
      </c>
      <c r="L154" s="923" t="s">
        <v>2419</v>
      </c>
      <c r="M154" s="924">
        <f>ROUND(I154*K154,0)</f>
        <v>0</v>
      </c>
      <c r="N154" s="900" t="s">
        <v>2309</v>
      </c>
    </row>
    <row r="155" spans="1:14" ht="44.25" hidden="1" customHeight="1">
      <c r="A155" s="896">
        <v>14</v>
      </c>
      <c r="B155" s="1609" t="s">
        <v>1186</v>
      </c>
      <c r="C155" s="1609"/>
      <c r="D155" s="1609"/>
      <c r="E155" s="1609"/>
      <c r="F155" s="1609"/>
      <c r="G155" s="1609"/>
      <c r="H155" s="1609"/>
      <c r="I155" s="897"/>
      <c r="J155" s="898"/>
      <c r="K155" s="896"/>
      <c r="L155" s="923"/>
      <c r="M155" s="899"/>
      <c r="N155" s="900" t="s">
        <v>2309</v>
      </c>
    </row>
    <row r="156" spans="1:14" s="910" customFormat="1" ht="16.5" hidden="1" customHeight="1">
      <c r="A156" s="896"/>
      <c r="B156" s="928" t="s">
        <v>3375</v>
      </c>
      <c r="C156" s="1269"/>
      <c r="D156" s="1279"/>
      <c r="E156" s="1270"/>
      <c r="F156" s="1271"/>
      <c r="G156" s="1271"/>
      <c r="H156" s="1271"/>
      <c r="I156" s="1272"/>
      <c r="J156" s="1267"/>
      <c r="K156" s="902"/>
      <c r="L156" s="896"/>
      <c r="M156" s="902"/>
      <c r="N156" s="900" t="s">
        <v>2309</v>
      </c>
    </row>
    <row r="157" spans="1:14" s="910" customFormat="1" ht="16.5" hidden="1" customHeight="1">
      <c r="A157" s="896"/>
      <c r="B157" s="902" t="s">
        <v>268</v>
      </c>
      <c r="C157" s="897">
        <v>1</v>
      </c>
      <c r="D157" s="1263" t="s">
        <v>273</v>
      </c>
      <c r="E157" s="919">
        <v>1</v>
      </c>
      <c r="F157" s="920">
        <v>48.51</v>
      </c>
      <c r="G157" s="920">
        <v>0.45</v>
      </c>
      <c r="H157" s="920">
        <v>0.7</v>
      </c>
      <c r="I157" s="1266">
        <f>ROUND(IF(AND(F157:H157),C157*E157*F157*G157*H157,IF(AND(F157,G157),C157*E157*F157*G157,IF(AND(F157,H157),C157*E157*F157*H157,IF(AND(G157,H157),C157*E157*G157*H157,IF(F157,C157*E157*F157,IF(G157,C157*E157*G157,IF(H157,C157*E157*H157,C157*E157))))))),2)</f>
        <v>15.28</v>
      </c>
      <c r="J157" s="1267" t="s">
        <v>5</v>
      </c>
      <c r="K157" s="902"/>
      <c r="L157" s="896"/>
      <c r="M157" s="902"/>
      <c r="N157" s="900" t="s">
        <v>2309</v>
      </c>
    </row>
    <row r="158" spans="1:14" s="910" customFormat="1" ht="16.5" hidden="1" customHeight="1">
      <c r="A158" s="896"/>
      <c r="B158" s="902" t="s">
        <v>1601</v>
      </c>
      <c r="C158" s="897">
        <v>1</v>
      </c>
      <c r="D158" s="1263" t="s">
        <v>273</v>
      </c>
      <c r="E158" s="919">
        <v>1</v>
      </c>
      <c r="F158" s="920">
        <v>14.37</v>
      </c>
      <c r="G158" s="920">
        <v>0.45</v>
      </c>
      <c r="H158" s="920">
        <v>0.7</v>
      </c>
      <c r="I158" s="1266">
        <f>ROUND(IF(AND(F158:H158),C158*E158*F158*G158*H158,IF(AND(F158,G158),C158*E158*F158*G158,IF(AND(F158,H158),C158*E158*F158*H158,IF(AND(G158,H158),C158*E158*G158*H158,IF(F158,C158*E158*F158,IF(G158,C158*E158*G158,IF(H158,C158*E158*H158,C158*E158))))))),2)</f>
        <v>4.53</v>
      </c>
      <c r="J158" s="1267" t="s">
        <v>5</v>
      </c>
      <c r="K158" s="902"/>
      <c r="L158" s="896"/>
      <c r="M158" s="902"/>
      <c r="N158" s="900" t="s">
        <v>2309</v>
      </c>
    </row>
    <row r="159" spans="1:14" s="910" customFormat="1" ht="16.5" hidden="1" customHeight="1">
      <c r="A159" s="896"/>
      <c r="B159" s="902" t="s">
        <v>1602</v>
      </c>
      <c r="C159" s="897">
        <v>1</v>
      </c>
      <c r="D159" s="1263" t="s">
        <v>273</v>
      </c>
      <c r="E159" s="919">
        <v>2</v>
      </c>
      <c r="F159" s="920">
        <v>8.3800000000000008</v>
      </c>
      <c r="G159" s="920">
        <v>0.45</v>
      </c>
      <c r="H159" s="920">
        <v>0.7</v>
      </c>
      <c r="I159" s="1266">
        <f>ROUND(IF(AND(F159:H159),C159*E159*F159*G159*H159,IF(AND(F159,G159),C159*E159*F159*G159,IF(AND(F159,H159),C159*E159*F159*H159,IF(AND(G159,H159),C159*E159*G159*H159,IF(F159,C159*E159*F159,IF(G159,C159*E159*G159,IF(H159,C159*E159*H159,C159*E159))))))),2)</f>
        <v>5.28</v>
      </c>
      <c r="J159" s="1267" t="s">
        <v>5</v>
      </c>
      <c r="K159" s="902"/>
      <c r="L159" s="896"/>
      <c r="M159" s="902"/>
      <c r="N159" s="900" t="s">
        <v>2309</v>
      </c>
    </row>
    <row r="160" spans="1:14" s="910" customFormat="1" ht="16.5" hidden="1" customHeight="1">
      <c r="A160" s="896"/>
      <c r="B160" s="956"/>
      <c r="C160" s="957"/>
      <c r="D160" s="958"/>
      <c r="E160" s="1268"/>
      <c r="F160" s="960"/>
      <c r="G160" s="960"/>
      <c r="H160" s="960"/>
      <c r="I160" s="916"/>
      <c r="J160" s="955"/>
      <c r="K160" s="902"/>
      <c r="L160" s="923"/>
      <c r="M160" s="902"/>
      <c r="N160" s="900" t="s">
        <v>2309</v>
      </c>
    </row>
    <row r="161" spans="1:14" ht="15.75" hidden="1">
      <c r="A161" s="896"/>
      <c r="B161" s="902"/>
      <c r="C161" s="917"/>
      <c r="D161" s="918"/>
      <c r="E161" s="919"/>
      <c r="F161" s="920"/>
      <c r="G161" s="921"/>
      <c r="H161" s="896"/>
      <c r="I161" s="916"/>
      <c r="J161" s="955" t="s">
        <v>5</v>
      </c>
      <c r="K161" s="922">
        <f>'data 2022-23'!G357</f>
        <v>3828.3500000000004</v>
      </c>
      <c r="L161" s="923" t="s">
        <v>274</v>
      </c>
      <c r="M161" s="924">
        <f>ROUND(I161*K161,0)</f>
        <v>0</v>
      </c>
      <c r="N161" s="900" t="s">
        <v>2309</v>
      </c>
    </row>
    <row r="162" spans="1:14" ht="69.75" hidden="1" customHeight="1">
      <c r="A162" s="896">
        <v>20</v>
      </c>
      <c r="B162" s="1609" t="s">
        <v>306</v>
      </c>
      <c r="C162" s="1609"/>
      <c r="D162" s="1609"/>
      <c r="E162" s="1609"/>
      <c r="F162" s="1609"/>
      <c r="G162" s="1609"/>
      <c r="H162" s="1609"/>
      <c r="I162" s="897"/>
      <c r="J162" s="898"/>
      <c r="K162" s="896"/>
      <c r="L162" s="923"/>
      <c r="M162" s="899"/>
      <c r="N162" s="900" t="s">
        <v>2309</v>
      </c>
    </row>
    <row r="163" spans="1:14" s="910" customFormat="1" ht="16.5" hidden="1" customHeight="1">
      <c r="A163" s="896"/>
      <c r="B163" s="902" t="s">
        <v>3346</v>
      </c>
      <c r="C163" s="897"/>
      <c r="D163" s="1263"/>
      <c r="E163" s="919"/>
      <c r="F163" s="920"/>
      <c r="G163" s="920"/>
      <c r="H163" s="920"/>
      <c r="I163" s="1264"/>
      <c r="J163" s="1265"/>
      <c r="K163" s="902"/>
      <c r="L163" s="923"/>
      <c r="M163" s="902"/>
      <c r="N163" s="900" t="s">
        <v>2309</v>
      </c>
    </row>
    <row r="164" spans="1:14" s="910" customFormat="1" ht="16.5" hidden="1" customHeight="1">
      <c r="A164" s="896"/>
      <c r="B164" s="902" t="s">
        <v>2193</v>
      </c>
      <c r="C164" s="897">
        <v>1</v>
      </c>
      <c r="D164" s="1263" t="s">
        <v>273</v>
      </c>
      <c r="E164" s="919">
        <v>1</v>
      </c>
      <c r="F164" s="920">
        <v>5.5</v>
      </c>
      <c r="G164" s="920">
        <v>0.9</v>
      </c>
      <c r="H164" s="920">
        <v>0.15</v>
      </c>
      <c r="I164" s="1266">
        <f>ROUND(IF(AND(F164:H164),C164*E164*F164*G164*H164,IF(AND(F164,G164),C164*E164*F164*G164,IF(AND(F164,H164),C164*E164*F164*H164,IF(AND(G164,H164),C164*E164*G164*H164,IF(F164,C164*E164*F164,IF(G164,C164*E164*G164,IF(H164,C164*E164*H164,C164*E164))))))),2)</f>
        <v>0.74</v>
      </c>
      <c r="J164" s="1267" t="s">
        <v>5</v>
      </c>
      <c r="K164" s="902"/>
      <c r="L164" s="923"/>
      <c r="M164" s="902"/>
      <c r="N164" s="900" t="s">
        <v>2309</v>
      </c>
    </row>
    <row r="165" spans="1:14" s="910" customFormat="1" ht="16.5" hidden="1" customHeight="1">
      <c r="A165" s="896"/>
      <c r="B165" s="902"/>
      <c r="C165" s="897">
        <v>1</v>
      </c>
      <c r="D165" s="1263" t="s">
        <v>273</v>
      </c>
      <c r="E165" s="919">
        <v>1</v>
      </c>
      <c r="F165" s="920">
        <v>5.5</v>
      </c>
      <c r="G165" s="920">
        <v>0.6</v>
      </c>
      <c r="H165" s="920">
        <v>0.15</v>
      </c>
      <c r="I165" s="1266">
        <f>ROUND(IF(AND(F165:H165),C165*E165*F165*G165*H165,IF(AND(F165,G165),C165*E165*F165*G165,IF(AND(F165,H165),C165*E165*F165*H165,IF(AND(G165,H165),C165*E165*G165*H165,IF(F165,C165*E165*F165,IF(G165,C165*E165*G165,IF(H165,C165*E165*H165,C165*E165))))))),2)</f>
        <v>0.5</v>
      </c>
      <c r="J165" s="1267" t="s">
        <v>5</v>
      </c>
      <c r="K165" s="902"/>
      <c r="L165" s="923"/>
      <c r="M165" s="902"/>
      <c r="N165" s="900" t="s">
        <v>2309</v>
      </c>
    </row>
    <row r="166" spans="1:14" s="910" customFormat="1" ht="16.5" hidden="1" customHeight="1">
      <c r="A166" s="896"/>
      <c r="B166" s="902"/>
      <c r="C166" s="897">
        <v>1</v>
      </c>
      <c r="D166" s="1263" t="s">
        <v>273</v>
      </c>
      <c r="E166" s="919">
        <v>1</v>
      </c>
      <c r="F166" s="920">
        <v>5.5</v>
      </c>
      <c r="G166" s="920">
        <v>0.3</v>
      </c>
      <c r="H166" s="920">
        <v>0.15</v>
      </c>
      <c r="I166" s="1266">
        <f>ROUND(IF(AND(F166:H166),C166*E166*F166*G166*H166,IF(AND(F166,G166),C166*E166*F166*G166,IF(AND(F166,H166),C166*E166*F166*H166,IF(AND(G166,H166),C166*E166*G166*H166,IF(F166,C166*E166*F166,IF(G166,C166*E166*G166,IF(H166,C166*E166*H166,C166*E166))))))),2)</f>
        <v>0.25</v>
      </c>
      <c r="J166" s="1267" t="s">
        <v>5</v>
      </c>
      <c r="K166" s="902"/>
      <c r="L166" s="923"/>
      <c r="M166" s="902"/>
      <c r="N166" s="900" t="s">
        <v>2309</v>
      </c>
    </row>
    <row r="167" spans="1:14" s="910" customFormat="1" ht="16.5" hidden="1" customHeight="1">
      <c r="A167" s="896"/>
      <c r="B167" s="902" t="s">
        <v>2156</v>
      </c>
      <c r="C167" s="897">
        <v>1</v>
      </c>
      <c r="D167" s="1263" t="s">
        <v>273</v>
      </c>
      <c r="E167" s="919">
        <v>1</v>
      </c>
      <c r="F167" s="920">
        <v>4.3499999999999996</v>
      </c>
      <c r="G167" s="920">
        <v>0.23</v>
      </c>
      <c r="H167" s="920">
        <v>0.15</v>
      </c>
      <c r="I167" s="1266">
        <f>ROUND(IF(AND(F167:H167),C167*E167*F167*G167*H167,IF(AND(F167,G167),C167*E167*F167*G167,IF(AND(F167,H167),C167*E167*F167*H167,IF(AND(G167,H167),C167*E167*G167*H167,IF(F167,C167*E167*F167,IF(G167,C167*E167*G167,IF(H167,C167*E167*H167,C167*E167))))))),2)</f>
        <v>0.15</v>
      </c>
      <c r="J167" s="1267" t="s">
        <v>5</v>
      </c>
      <c r="K167" s="902"/>
      <c r="L167" s="923"/>
      <c r="M167" s="902"/>
      <c r="N167" s="900" t="s">
        <v>2309</v>
      </c>
    </row>
    <row r="168" spans="1:14" s="910" customFormat="1" ht="16.5" hidden="1" customHeight="1">
      <c r="A168" s="896"/>
      <c r="B168" s="956"/>
      <c r="C168" s="957"/>
      <c r="D168" s="958"/>
      <c r="E168" s="1268"/>
      <c r="F168" s="960"/>
      <c r="G168" s="960"/>
      <c r="H168" s="960"/>
      <c r="I168" s="916"/>
      <c r="J168" s="955"/>
      <c r="K168" s="902"/>
      <c r="L168" s="923"/>
      <c r="M168" s="902"/>
      <c r="N168" s="900" t="s">
        <v>2309</v>
      </c>
    </row>
    <row r="169" spans="1:14" ht="15.75" hidden="1">
      <c r="A169" s="896"/>
      <c r="B169" s="902"/>
      <c r="C169" s="917"/>
      <c r="D169" s="918"/>
      <c r="E169" s="919"/>
      <c r="F169" s="920"/>
      <c r="G169" s="921"/>
      <c r="H169" s="896"/>
      <c r="I169" s="916"/>
      <c r="J169" s="955" t="s">
        <v>5</v>
      </c>
      <c r="K169" s="922">
        <f>'data 2022-23'!E391</f>
        <v>6869.83</v>
      </c>
      <c r="L169" s="923" t="s">
        <v>274</v>
      </c>
      <c r="M169" s="924">
        <f>ROUND(I169*K169,0)</f>
        <v>0</v>
      </c>
      <c r="N169" s="900" t="s">
        <v>2309</v>
      </c>
    </row>
    <row r="170" spans="1:14" ht="69.75" hidden="1" customHeight="1">
      <c r="A170" s="896">
        <v>3</v>
      </c>
      <c r="B170" s="1609" t="s">
        <v>649</v>
      </c>
      <c r="C170" s="1609"/>
      <c r="D170" s="1609"/>
      <c r="E170" s="1609"/>
      <c r="F170" s="1609"/>
      <c r="G170" s="1609"/>
      <c r="H170" s="1609"/>
      <c r="I170" s="897"/>
      <c r="J170" s="898"/>
      <c r="K170" s="896"/>
      <c r="L170" s="923"/>
      <c r="M170" s="899"/>
      <c r="N170" s="900" t="s">
        <v>2309</v>
      </c>
    </row>
    <row r="171" spans="1:14" s="910" customFormat="1" ht="16.5" hidden="1" customHeight="1">
      <c r="A171" s="896"/>
      <c r="B171" s="902" t="s">
        <v>2515</v>
      </c>
      <c r="C171" s="897"/>
      <c r="D171" s="1263"/>
      <c r="E171" s="919"/>
      <c r="F171" s="920"/>
      <c r="G171" s="920"/>
      <c r="H171" s="920"/>
      <c r="I171" s="1264"/>
      <c r="J171" s="955"/>
      <c r="K171" s="902"/>
      <c r="L171" s="923"/>
      <c r="M171" s="902"/>
      <c r="N171" s="900" t="s">
        <v>2309</v>
      </c>
    </row>
    <row r="172" spans="1:14" s="910" customFormat="1" ht="16.5" hidden="1" customHeight="1">
      <c r="A172" s="896"/>
      <c r="B172" s="902" t="s">
        <v>2512</v>
      </c>
      <c r="C172" s="897">
        <v>1</v>
      </c>
      <c r="D172" s="1263" t="s">
        <v>273</v>
      </c>
      <c r="E172" s="919">
        <v>1</v>
      </c>
      <c r="F172" s="920">
        <v>1.85</v>
      </c>
      <c r="G172" s="920">
        <v>0.6</v>
      </c>
      <c r="H172" s="920">
        <v>0.2</v>
      </c>
      <c r="I172" s="1266">
        <f>ROUND(IF(AND(F172:H172),C172*E172*F172*G172*H172,IF(AND(F172,G172),C172*E172*F172*G172,IF(AND(F172,H172),C172*E172*F172*H172,IF(AND(G172,H172),C172*E172*G172*H172,IF(F172,C172*E172*F172,IF(G172,C172*E172*G172,IF(H172,C172*E172*H172,C172*E172))))))),2)</f>
        <v>0.22</v>
      </c>
      <c r="J172" s="1267" t="s">
        <v>5</v>
      </c>
      <c r="K172" s="902"/>
      <c r="L172" s="923"/>
      <c r="M172" s="902"/>
      <c r="N172" s="900" t="s">
        <v>2309</v>
      </c>
    </row>
    <row r="173" spans="1:14" s="910" customFormat="1" ht="16.5" hidden="1" customHeight="1">
      <c r="A173" s="896"/>
      <c r="B173" s="902"/>
      <c r="C173" s="897">
        <v>1</v>
      </c>
      <c r="D173" s="1263" t="s">
        <v>273</v>
      </c>
      <c r="E173" s="919">
        <v>1</v>
      </c>
      <c r="F173" s="920">
        <v>1.85</v>
      </c>
      <c r="G173" s="920">
        <v>0.3</v>
      </c>
      <c r="H173" s="920">
        <v>0.15</v>
      </c>
      <c r="I173" s="1266">
        <f>ROUND(IF(AND(F173:H173),C173*E173*F173*G173*H173,IF(AND(F173,G173),C173*E173*F173*G173,IF(AND(F173,H173),C173*E173*F173*H173,IF(AND(G173,H173),C173*E173*G173*H173,IF(F173,C173*E173*F173,IF(G173,C173*E173*G173,IF(H173,C173*E173*H173,C173*E173))))))),2)</f>
        <v>0.08</v>
      </c>
      <c r="J173" s="1267" t="s">
        <v>5</v>
      </c>
      <c r="K173" s="902"/>
      <c r="L173" s="923"/>
      <c r="M173" s="902"/>
      <c r="N173" s="900" t="s">
        <v>2309</v>
      </c>
    </row>
    <row r="174" spans="1:14" s="910" customFormat="1" ht="16.5" hidden="1" customHeight="1">
      <c r="A174" s="896"/>
      <c r="B174" s="902" t="s">
        <v>2513</v>
      </c>
      <c r="C174" s="897">
        <v>1</v>
      </c>
      <c r="D174" s="1263" t="s">
        <v>273</v>
      </c>
      <c r="E174" s="919">
        <v>3</v>
      </c>
      <c r="F174" s="920">
        <v>0.43</v>
      </c>
      <c r="G174" s="920">
        <v>0.115</v>
      </c>
      <c r="H174" s="920">
        <v>0.65</v>
      </c>
      <c r="I174" s="1266">
        <f>ROUND(IF(AND(F174:H174),C174*E174*F174*G174*H174,IF(AND(F174,G174),C174*E174*F174*G174,IF(AND(F174,H174),C174*E174*F174*H174,IF(AND(G174,H174),C174*E174*G174*H174,IF(F174,C174*E174*F174,IF(G174,C174*E174*G174,IF(H174,C174*E174*H174,C174*E174))))))),2)</f>
        <v>0.1</v>
      </c>
      <c r="J174" s="1267" t="s">
        <v>5</v>
      </c>
      <c r="K174" s="902"/>
      <c r="L174" s="923"/>
      <c r="M174" s="902"/>
      <c r="N174" s="900" t="s">
        <v>2309</v>
      </c>
    </row>
    <row r="175" spans="1:14" s="910" customFormat="1" ht="16.5" hidden="1" customHeight="1">
      <c r="A175" s="896"/>
      <c r="B175" s="902" t="s">
        <v>2514</v>
      </c>
      <c r="C175" s="897">
        <v>1</v>
      </c>
      <c r="D175" s="1263" t="s">
        <v>273</v>
      </c>
      <c r="E175" s="919">
        <v>2</v>
      </c>
      <c r="F175" s="920">
        <v>0.42</v>
      </c>
      <c r="G175" s="920">
        <v>0.115</v>
      </c>
      <c r="H175" s="920">
        <v>0.65</v>
      </c>
      <c r="I175" s="1266">
        <f>ROUND(IF(AND(F175:H175),C175*E175*F175*G175*H175,IF(AND(F175,G175),C175*E175*F175*G175,IF(AND(F175,H175),C175*E175*F175*H175,IF(AND(G175,H175),C175*E175*G175*H175,IF(F175,C175*E175*F175,IF(G175,C175*E175*G175,IF(H175,C175*E175*H175,C175*E175))))))),2)</f>
        <v>0.06</v>
      </c>
      <c r="J175" s="1267" t="s">
        <v>5</v>
      </c>
      <c r="K175" s="902"/>
      <c r="L175" s="923"/>
      <c r="M175" s="902"/>
      <c r="N175" s="900" t="s">
        <v>2309</v>
      </c>
    </row>
    <row r="176" spans="1:14" s="910" customFormat="1" ht="16.5" hidden="1" customHeight="1">
      <c r="A176" s="896"/>
      <c r="B176" s="956"/>
      <c r="C176" s="957"/>
      <c r="D176" s="958"/>
      <c r="E176" s="1268"/>
      <c r="F176" s="960"/>
      <c r="G176" s="960"/>
      <c r="H176" s="960"/>
      <c r="I176" s="916"/>
      <c r="J176" s="955"/>
      <c r="K176" s="902"/>
      <c r="L176" s="923"/>
      <c r="M176" s="902"/>
      <c r="N176" s="900" t="s">
        <v>2309</v>
      </c>
    </row>
    <row r="177" spans="1:14" ht="15.75" hidden="1">
      <c r="A177" s="896"/>
      <c r="B177" s="902"/>
      <c r="C177" s="917"/>
      <c r="D177" s="918"/>
      <c r="E177" s="919"/>
      <c r="F177" s="920"/>
      <c r="G177" s="921"/>
      <c r="H177" s="896"/>
      <c r="I177" s="916"/>
      <c r="J177" s="955" t="s">
        <v>5</v>
      </c>
      <c r="K177" s="922">
        <f>'data 2022-23'!E374</f>
        <v>6926.2300000000005</v>
      </c>
      <c r="L177" s="923" t="s">
        <v>274</v>
      </c>
      <c r="M177" s="924">
        <f>ROUND(I177*K177,0)</f>
        <v>0</v>
      </c>
      <c r="N177" s="900" t="s">
        <v>2309</v>
      </c>
    </row>
    <row r="178" spans="1:14" ht="132.75" hidden="1" customHeight="1">
      <c r="A178" s="896">
        <v>19</v>
      </c>
      <c r="B178" s="1609" t="s">
        <v>3685</v>
      </c>
      <c r="C178" s="1609"/>
      <c r="D178" s="1609"/>
      <c r="E178" s="1609"/>
      <c r="F178" s="1609"/>
      <c r="G178" s="1609"/>
      <c r="H178" s="1609"/>
      <c r="I178" s="897"/>
      <c r="J178" s="898"/>
      <c r="K178" s="896"/>
      <c r="L178" s="923"/>
      <c r="M178" s="899"/>
      <c r="N178" s="900" t="s">
        <v>2309</v>
      </c>
    </row>
    <row r="179" spans="1:14" s="910" customFormat="1" ht="16.5" hidden="1" customHeight="1">
      <c r="A179" s="896"/>
      <c r="B179" s="902" t="s">
        <v>3383</v>
      </c>
      <c r="C179" s="897"/>
      <c r="D179" s="1263"/>
      <c r="E179" s="919"/>
      <c r="F179" s="920"/>
      <c r="G179" s="920"/>
      <c r="H179" s="920"/>
      <c r="I179" s="1264"/>
      <c r="J179" s="955"/>
      <c r="K179" s="902"/>
      <c r="L179" s="923"/>
      <c r="M179" s="902"/>
      <c r="N179" s="900" t="s">
        <v>2309</v>
      </c>
    </row>
    <row r="180" spans="1:14" s="910" customFormat="1" ht="16.5" hidden="1" customHeight="1">
      <c r="A180" s="896"/>
      <c r="B180" s="902" t="s">
        <v>2129</v>
      </c>
      <c r="C180" s="897">
        <v>1</v>
      </c>
      <c r="D180" s="1263" t="s">
        <v>273</v>
      </c>
      <c r="E180" s="919">
        <v>1</v>
      </c>
      <c r="F180" s="920">
        <v>4.72</v>
      </c>
      <c r="G180" s="920">
        <v>0</v>
      </c>
      <c r="H180" s="920">
        <v>0.6</v>
      </c>
      <c r="I180" s="1266">
        <f>ROUND(IF(AND(F180:H180),C180*E180*F180*G180*H180,IF(AND(F180,G180),C180*E180*F180*G180,IF(AND(F180,H180),C180*E180*F180*H180,IF(AND(G180,H180),C180*E180*G180*H180,IF(F180,C180*E180*F180,IF(G180,C180*E180*G180,IF(H180,C180*E180*H180,C180*E180))))))),2)</f>
        <v>2.83</v>
      </c>
      <c r="J180" s="955" t="s">
        <v>102</v>
      </c>
      <c r="K180" s="902"/>
      <c r="L180" s="923"/>
      <c r="M180" s="902"/>
      <c r="N180" s="900" t="s">
        <v>2309</v>
      </c>
    </row>
    <row r="181" spans="1:14" s="910" customFormat="1" ht="16.5" hidden="1" customHeight="1">
      <c r="A181" s="896"/>
      <c r="B181" s="902" t="s">
        <v>1531</v>
      </c>
      <c r="C181" s="897">
        <v>1</v>
      </c>
      <c r="D181" s="1263" t="s">
        <v>273</v>
      </c>
      <c r="E181" s="919">
        <v>1</v>
      </c>
      <c r="F181" s="920">
        <v>2.85</v>
      </c>
      <c r="G181" s="920">
        <v>0</v>
      </c>
      <c r="H181" s="920">
        <v>0.62</v>
      </c>
      <c r="I181" s="1266">
        <f>ROUND(IF(AND(F181:H181),C181*E181*F181*G181*H181,IF(AND(F181,G181),C181*E181*F181*G181,IF(AND(F181,H181),C181*E181*F181*H181,IF(AND(G181,H181),C181*E181*G181*H181,IF(F181,C181*E181*F181,IF(G181,C181*E181*G181,IF(H181,C181*E181*H181,C181*E181))))))),2)</f>
        <v>1.77</v>
      </c>
      <c r="J181" s="955" t="s">
        <v>102</v>
      </c>
      <c r="K181" s="902"/>
      <c r="L181" s="923"/>
      <c r="M181" s="902"/>
      <c r="N181" s="900" t="s">
        <v>2309</v>
      </c>
    </row>
    <row r="182" spans="1:14" s="910" customFormat="1" ht="16.5" hidden="1" customHeight="1">
      <c r="A182" s="896"/>
      <c r="B182" s="902" t="s">
        <v>581</v>
      </c>
      <c r="C182" s="897">
        <v>1</v>
      </c>
      <c r="D182" s="1263" t="s">
        <v>273</v>
      </c>
      <c r="E182" s="919">
        <v>2</v>
      </c>
      <c r="F182" s="920">
        <v>0.6</v>
      </c>
      <c r="G182" s="920">
        <v>0</v>
      </c>
      <c r="H182" s="920">
        <v>0.3</v>
      </c>
      <c r="I182" s="1266">
        <f>-ROUND(IF(AND(F182:H182),C182*E182*F182*G182*H182,IF(AND(F182,G182),C182*E182*F182*G182,IF(AND(F182,H182),C182*E182*F182*H182,IF(AND(G182,H182),C182*E182*G182*H182,IF(F182,C182*E182*F182,IF(G182,C182*E182*G182,IF(H182,C182*E182*H182,C182*E182))))))),2)</f>
        <v>-0.36</v>
      </c>
      <c r="J182" s="955" t="s">
        <v>102</v>
      </c>
      <c r="K182" s="902"/>
      <c r="L182" s="923"/>
      <c r="M182" s="902"/>
      <c r="N182" s="900" t="s">
        <v>2309</v>
      </c>
    </row>
    <row r="183" spans="1:14" s="910" customFormat="1" ht="16.5" hidden="1" customHeight="1">
      <c r="A183" s="896"/>
      <c r="B183" s="902"/>
      <c r="C183" s="897"/>
      <c r="D183" s="1263"/>
      <c r="E183" s="919"/>
      <c r="F183" s="920"/>
      <c r="G183" s="920"/>
      <c r="H183" s="920"/>
      <c r="I183" s="1266"/>
      <c r="J183" s="955"/>
      <c r="K183" s="902"/>
      <c r="L183" s="923"/>
      <c r="M183" s="902"/>
      <c r="N183" s="900" t="s">
        <v>2309</v>
      </c>
    </row>
    <row r="184" spans="1:14" ht="15.75" hidden="1">
      <c r="A184" s="896"/>
      <c r="B184" s="902"/>
      <c r="C184" s="917"/>
      <c r="D184" s="918"/>
      <c r="E184" s="919"/>
      <c r="F184" s="920"/>
      <c r="G184" s="921"/>
      <c r="H184" s="896"/>
      <c r="I184" s="916"/>
      <c r="J184" s="955" t="s">
        <v>102</v>
      </c>
      <c r="K184" s="922">
        <f>'data 2022-23'!E409</f>
        <v>865.32</v>
      </c>
      <c r="L184" s="923" t="s">
        <v>2419</v>
      </c>
      <c r="M184" s="924">
        <f>ROUND(I184*K184/1,0)</f>
        <v>0</v>
      </c>
      <c r="N184" s="900" t="s">
        <v>2309</v>
      </c>
    </row>
    <row r="185" spans="1:14" ht="79.5" hidden="1" customHeight="1">
      <c r="A185" s="896">
        <v>18</v>
      </c>
      <c r="B185" s="1609" t="s">
        <v>1200</v>
      </c>
      <c r="C185" s="1609"/>
      <c r="D185" s="1609"/>
      <c r="E185" s="1609"/>
      <c r="F185" s="1609"/>
      <c r="G185" s="1609"/>
      <c r="H185" s="1609"/>
      <c r="I185" s="897"/>
      <c r="J185" s="898"/>
      <c r="K185" s="896"/>
      <c r="L185" s="923"/>
      <c r="M185" s="899"/>
      <c r="N185" s="900" t="s">
        <v>2309</v>
      </c>
    </row>
    <row r="186" spans="1:14" s="910" customFormat="1" ht="16.5" hidden="1" customHeight="1">
      <c r="A186" s="896"/>
      <c r="B186" s="902" t="s">
        <v>3393</v>
      </c>
      <c r="C186" s="897"/>
      <c r="D186" s="1263"/>
      <c r="E186" s="919"/>
      <c r="F186" s="920"/>
      <c r="G186" s="920"/>
      <c r="H186" s="920"/>
      <c r="I186" s="1264"/>
      <c r="J186" s="955"/>
      <c r="K186" s="902"/>
      <c r="L186" s="923"/>
      <c r="M186" s="902"/>
      <c r="N186" s="900" t="s">
        <v>2309</v>
      </c>
    </row>
    <row r="187" spans="1:14" s="910" customFormat="1" ht="16.5" hidden="1" customHeight="1">
      <c r="A187" s="896"/>
      <c r="B187" s="902"/>
      <c r="C187" s="897">
        <v>1</v>
      </c>
      <c r="D187" s="1263" t="s">
        <v>273</v>
      </c>
      <c r="E187" s="919">
        <v>1</v>
      </c>
      <c r="F187" s="920">
        <v>1.02</v>
      </c>
      <c r="G187" s="920">
        <v>0.115</v>
      </c>
      <c r="H187" s="920">
        <v>0.83</v>
      </c>
      <c r="I187" s="1266">
        <f>ROUND(IF(AND(F187:H187),C187*E187*F187*G187*H187,IF(AND(F187,G187),C187*E187*F187*G187,IF(AND(F187,H187),C187*E187*F187*H187,IF(AND(G187,H187),C187*E187*G187*H187,IF(F187,C187*E187*F187,IF(G187,C187*E187*G187,IF(H187,C187*E187*H187,C187*E187))))))),2)</f>
        <v>0.1</v>
      </c>
      <c r="J187" s="955" t="s">
        <v>5</v>
      </c>
      <c r="K187" s="902"/>
      <c r="L187" s="923"/>
      <c r="M187" s="902"/>
      <c r="N187" s="900" t="s">
        <v>2309</v>
      </c>
    </row>
    <row r="188" spans="1:14" s="910" customFormat="1" ht="16.5" hidden="1" customHeight="1">
      <c r="A188" s="896"/>
      <c r="B188" s="902"/>
      <c r="C188" s="897">
        <v>1</v>
      </c>
      <c r="D188" s="1263" t="s">
        <v>273</v>
      </c>
      <c r="E188" s="919">
        <v>1</v>
      </c>
      <c r="F188" s="920">
        <v>3.09</v>
      </c>
      <c r="G188" s="920">
        <v>0.115</v>
      </c>
      <c r="H188" s="920">
        <v>0.56000000000000005</v>
      </c>
      <c r="I188" s="1266">
        <f>ROUND(IF(AND(F188:H188),C188*E188*F188*G188*H188,IF(AND(F188,G188),C188*E188*F188*G188,IF(AND(F188,H188),C188*E188*F188*H188,IF(AND(G188,H188),C188*E188*G188*H188,IF(F188,C188*E188*F188,IF(G188,C188*E188*G188,IF(H188,C188*E188*H188,C188*E188))))))),2)</f>
        <v>0.2</v>
      </c>
      <c r="J188" s="955" t="s">
        <v>5</v>
      </c>
      <c r="K188" s="902"/>
      <c r="L188" s="923"/>
      <c r="M188" s="902"/>
      <c r="N188" s="900" t="s">
        <v>2309</v>
      </c>
    </row>
    <row r="189" spans="1:14" s="910" customFormat="1" ht="16.5" hidden="1" customHeight="1">
      <c r="A189" s="896"/>
      <c r="B189" s="902"/>
      <c r="C189" s="897">
        <v>1</v>
      </c>
      <c r="D189" s="1263" t="s">
        <v>273</v>
      </c>
      <c r="E189" s="919">
        <v>1</v>
      </c>
      <c r="F189" s="920">
        <v>0.79</v>
      </c>
      <c r="G189" s="920">
        <v>0.115</v>
      </c>
      <c r="H189" s="920">
        <v>0.64</v>
      </c>
      <c r="I189" s="1266">
        <f>ROUND(IF(AND(F189:H189),C189*E189*F189*G189*H189,IF(AND(F189,G189),C189*E189*F189*G189,IF(AND(F189,H189),C189*E189*F189*H189,IF(AND(G189,H189),C189*E189*G189*H189,IF(F189,C189*E189*F189,IF(G189,C189*E189*G189,IF(H189,C189*E189*H189,C189*E189))))))),2)</f>
        <v>0.06</v>
      </c>
      <c r="J189" s="955" t="s">
        <v>5</v>
      </c>
      <c r="K189" s="902"/>
      <c r="L189" s="923"/>
      <c r="M189" s="902"/>
      <c r="N189" s="900" t="s">
        <v>2309</v>
      </c>
    </row>
    <row r="190" spans="1:14" s="910" customFormat="1" ht="16.5" hidden="1" customHeight="1">
      <c r="A190" s="896"/>
      <c r="B190" s="902"/>
      <c r="C190" s="897">
        <v>1</v>
      </c>
      <c r="D190" s="1263" t="s">
        <v>273</v>
      </c>
      <c r="E190" s="919">
        <v>1</v>
      </c>
      <c r="F190" s="920">
        <v>3.09</v>
      </c>
      <c r="G190" s="920">
        <v>0.115</v>
      </c>
      <c r="H190" s="920">
        <v>0.54</v>
      </c>
      <c r="I190" s="1266">
        <f>ROUND(IF(AND(F190:H190),C190*E190*F190*G190*H190,IF(AND(F190,G190),C190*E190*F190*G190,IF(AND(F190,H190),C190*E190*F190*H190,IF(AND(G190,H190),C190*E190*G190*H190,IF(F190,C190*E190*F190,IF(G190,C190*E190*G190,IF(H190,C190*E190*H190,C190*E190))))))),2)</f>
        <v>0.19</v>
      </c>
      <c r="J190" s="955" t="s">
        <v>5</v>
      </c>
      <c r="K190" s="902"/>
      <c r="L190" s="923"/>
      <c r="M190" s="902"/>
      <c r="N190" s="900" t="s">
        <v>2309</v>
      </c>
    </row>
    <row r="191" spans="1:14" s="910" customFormat="1" ht="16.5" hidden="1" customHeight="1">
      <c r="A191" s="896"/>
      <c r="B191" s="956"/>
      <c r="C191" s="957"/>
      <c r="D191" s="958"/>
      <c r="E191" s="1268"/>
      <c r="F191" s="960"/>
      <c r="G191" s="960"/>
      <c r="H191" s="960"/>
      <c r="I191" s="916"/>
      <c r="J191" s="955"/>
      <c r="K191" s="902"/>
      <c r="L191" s="923"/>
      <c r="M191" s="902"/>
      <c r="N191" s="900" t="s">
        <v>2309</v>
      </c>
    </row>
    <row r="192" spans="1:14" ht="15.75" hidden="1">
      <c r="A192" s="896"/>
      <c r="B192" s="902"/>
      <c r="C192" s="917"/>
      <c r="D192" s="918"/>
      <c r="E192" s="919"/>
      <c r="F192" s="920"/>
      <c r="G192" s="921"/>
      <c r="H192" s="896"/>
      <c r="I192" s="916"/>
      <c r="J192" s="955" t="s">
        <v>5</v>
      </c>
      <c r="K192" s="922">
        <f>'data 2022-23'!E426</f>
        <v>6281.3700000000008</v>
      </c>
      <c r="L192" s="923" t="s">
        <v>274</v>
      </c>
      <c r="M192" s="924">
        <f>ROUND(I192*K192,0)</f>
        <v>0</v>
      </c>
      <c r="N192" s="900" t="s">
        <v>2309</v>
      </c>
    </row>
    <row r="193" spans="1:14" ht="103.5" hidden="1" customHeight="1">
      <c r="A193" s="896">
        <v>17</v>
      </c>
      <c r="B193" s="1609" t="s">
        <v>1171</v>
      </c>
      <c r="C193" s="1609"/>
      <c r="D193" s="1609"/>
      <c r="E193" s="1609"/>
      <c r="F193" s="1609"/>
      <c r="G193" s="1609"/>
      <c r="H193" s="1609"/>
      <c r="I193" s="897"/>
      <c r="J193" s="898"/>
      <c r="K193" s="896"/>
      <c r="L193" s="923"/>
      <c r="M193" s="899"/>
      <c r="N193" s="900" t="s">
        <v>2309</v>
      </c>
    </row>
    <row r="194" spans="1:14" s="910" customFormat="1" ht="16.5" hidden="1" customHeight="1">
      <c r="A194" s="896"/>
      <c r="B194" s="902" t="s">
        <v>3383</v>
      </c>
      <c r="C194" s="1275"/>
      <c r="D194" s="1276"/>
      <c r="E194" s="1177"/>
      <c r="F194" s="1277"/>
      <c r="G194" s="1277"/>
      <c r="H194" s="1277"/>
      <c r="I194" s="1278"/>
      <c r="J194" s="909"/>
      <c r="K194" s="902"/>
      <c r="L194" s="896"/>
      <c r="M194" s="902"/>
      <c r="N194" s="900" t="s">
        <v>2309</v>
      </c>
    </row>
    <row r="195" spans="1:14" s="910" customFormat="1" ht="16.5" hidden="1" customHeight="1">
      <c r="A195" s="896"/>
      <c r="B195" s="1274" t="s">
        <v>1614</v>
      </c>
      <c r="C195" s="1275">
        <v>2</v>
      </c>
      <c r="D195" s="1276" t="s">
        <v>273</v>
      </c>
      <c r="E195" s="1177">
        <v>0.5</v>
      </c>
      <c r="F195" s="1277">
        <v>1</v>
      </c>
      <c r="G195" s="1277">
        <v>0</v>
      </c>
      <c r="H195" s="1277">
        <v>1.1000000000000001</v>
      </c>
      <c r="I195" s="1278">
        <f>ROUND(IF(AND(F195:H195),C195*E195*F195*G195*H195,IF(AND(F195,G195),C195*E195*F195*G195,IF(AND(F195,H195),C195*E195*F195*H195,IF(AND(G195,H195),C195*E195*G195*H195,IF(F195,C195*E195*F195,IF(G195,C195*E195*G195,IF(H195,C195*E195*H195,C195*E195))))))),2)</f>
        <v>1.1000000000000001</v>
      </c>
      <c r="J195" s="909" t="s">
        <v>102</v>
      </c>
      <c r="K195" s="902"/>
      <c r="L195" s="896"/>
      <c r="M195" s="902"/>
      <c r="N195" s="900" t="s">
        <v>2309</v>
      </c>
    </row>
    <row r="196" spans="1:14" s="910" customFormat="1" ht="16.5" hidden="1" customHeight="1">
      <c r="A196" s="896"/>
      <c r="B196" s="1274" t="s">
        <v>1615</v>
      </c>
      <c r="C196" s="1275">
        <v>1</v>
      </c>
      <c r="D196" s="1276" t="s">
        <v>273</v>
      </c>
      <c r="E196" s="1177">
        <v>2</v>
      </c>
      <c r="F196" s="1277">
        <v>3.15</v>
      </c>
      <c r="G196" s="1277">
        <v>0</v>
      </c>
      <c r="H196" s="1277">
        <v>1.1000000000000001</v>
      </c>
      <c r="I196" s="1278">
        <f>ROUND(IF(AND(F196:H196),C196*E196*F196*G196*H196,IF(AND(F196,G196),C196*E196*F196*G196,IF(AND(F196,H196),C196*E196*F196*H196,IF(AND(G196,H196),C196*E196*G196*H196,IF(F196,C196*E196*F196,IF(G196,C196*E196*G196,IF(H196,C196*E196*H196,C196*E196))))))),2)</f>
        <v>6.93</v>
      </c>
      <c r="J196" s="909" t="s">
        <v>102</v>
      </c>
      <c r="K196" s="902"/>
      <c r="L196" s="896"/>
      <c r="M196" s="902"/>
      <c r="N196" s="900" t="s">
        <v>2309</v>
      </c>
    </row>
    <row r="197" spans="1:14" s="910" customFormat="1" ht="16.5" hidden="1" customHeight="1">
      <c r="A197" s="896"/>
      <c r="B197" s="1274" t="s">
        <v>1615</v>
      </c>
      <c r="C197" s="1275">
        <v>1</v>
      </c>
      <c r="D197" s="1276" t="s">
        <v>273</v>
      </c>
      <c r="E197" s="1177">
        <v>2</v>
      </c>
      <c r="F197" s="1277">
        <v>2</v>
      </c>
      <c r="G197" s="1277">
        <v>0</v>
      </c>
      <c r="H197" s="1277">
        <v>1.9</v>
      </c>
      <c r="I197" s="1278">
        <f>ROUND(IF(AND(F197:H197),C197*E197*F197*G197*H197,IF(AND(F197,G197),C197*E197*F197*G197,IF(AND(F197,H197),C197*E197*F197*H197,IF(AND(G197,H197),C197*E197*G197*H197,IF(F197,C197*E197*F197,IF(G197,C197*E197*G197,IF(H197,C197*E197*H197,C197*E197))))))),2)</f>
        <v>7.6</v>
      </c>
      <c r="J197" s="909" t="s">
        <v>102</v>
      </c>
      <c r="K197" s="902"/>
      <c r="L197" s="896"/>
      <c r="M197" s="902"/>
      <c r="N197" s="900" t="s">
        <v>2309</v>
      </c>
    </row>
    <row r="198" spans="1:14" s="910" customFormat="1" ht="16.5" hidden="1" customHeight="1">
      <c r="A198" s="896"/>
      <c r="B198" s="902"/>
      <c r="C198" s="897"/>
      <c r="D198" s="1263"/>
      <c r="E198" s="919"/>
      <c r="F198" s="920"/>
      <c r="G198" s="920"/>
      <c r="H198" s="920"/>
      <c r="I198" s="1266"/>
      <c r="J198" s="955"/>
      <c r="K198" s="902"/>
      <c r="L198" s="923"/>
      <c r="M198" s="902"/>
      <c r="N198" s="900" t="s">
        <v>2309</v>
      </c>
    </row>
    <row r="199" spans="1:14" ht="15.75" hidden="1">
      <c r="A199" s="896"/>
      <c r="B199" s="902"/>
      <c r="C199" s="917"/>
      <c r="D199" s="918"/>
      <c r="E199" s="919"/>
      <c r="F199" s="920"/>
      <c r="G199" s="921"/>
      <c r="H199" s="896"/>
      <c r="I199" s="916"/>
      <c r="J199" s="955" t="s">
        <v>102</v>
      </c>
      <c r="K199" s="922">
        <f>'data 2022-23'!E551</f>
        <v>2232.9699999999998</v>
      </c>
      <c r="L199" s="923" t="s">
        <v>2419</v>
      </c>
      <c r="M199" s="924">
        <f>ROUND(I199*K199/1,0)</f>
        <v>0</v>
      </c>
      <c r="N199" s="900" t="s">
        <v>2309</v>
      </c>
    </row>
    <row r="200" spans="1:14" ht="54.75" hidden="1" customHeight="1">
      <c r="A200" s="896">
        <v>3</v>
      </c>
      <c r="B200" s="1609" t="s">
        <v>125</v>
      </c>
      <c r="C200" s="1609"/>
      <c r="D200" s="1609"/>
      <c r="E200" s="1609"/>
      <c r="F200" s="1609"/>
      <c r="G200" s="1609"/>
      <c r="H200" s="1609"/>
      <c r="I200" s="897"/>
      <c r="J200" s="898"/>
      <c r="K200" s="896"/>
      <c r="L200" s="923"/>
      <c r="M200" s="899"/>
      <c r="N200" s="900" t="s">
        <v>2309</v>
      </c>
    </row>
    <row r="201" spans="1:14" s="910" customFormat="1" ht="16.5" hidden="1" customHeight="1">
      <c r="A201" s="896"/>
      <c r="B201" s="902" t="s">
        <v>3493</v>
      </c>
      <c r="C201" s="897"/>
      <c r="D201" s="1263" t="s">
        <v>3471</v>
      </c>
      <c r="E201" s="919"/>
      <c r="F201" s="920"/>
      <c r="G201" s="920"/>
      <c r="H201" s="920"/>
      <c r="I201" s="1264"/>
      <c r="J201" s="955"/>
      <c r="K201" s="902"/>
      <c r="L201" s="923"/>
      <c r="M201" s="902"/>
      <c r="N201" s="900" t="s">
        <v>2309</v>
      </c>
    </row>
    <row r="202" spans="1:14" s="910" customFormat="1" ht="16.5" hidden="1" customHeight="1">
      <c r="A202" s="896"/>
      <c r="B202" s="902" t="s">
        <v>2360</v>
      </c>
      <c r="C202" s="897">
        <v>1</v>
      </c>
      <c r="D202" s="1263" t="s">
        <v>273</v>
      </c>
      <c r="E202" s="919">
        <v>1</v>
      </c>
      <c r="F202" s="920">
        <v>2.92</v>
      </c>
      <c r="G202" s="920">
        <v>2.83</v>
      </c>
      <c r="H202" s="920">
        <v>0</v>
      </c>
      <c r="I202" s="1266">
        <f>ROUND(IF(AND(F202:H202),C202*E202*F202*G202*H202,IF(AND(F202,G202),C202*E202*F202*G202,IF(AND(F202,H202),C202*E202*F202*H202,IF(AND(G202,H202),C202*E202*G202*H202,IF(F202,C202*E202*F202,IF(G202,C202*E202*G202,IF(H202,C202*E202*H202,C202*E202))))))),2)</f>
        <v>8.26</v>
      </c>
      <c r="J202" s="955" t="s">
        <v>102</v>
      </c>
      <c r="K202" s="902"/>
      <c r="L202" s="923"/>
      <c r="M202" s="902"/>
      <c r="N202" s="900" t="s">
        <v>2309</v>
      </c>
    </row>
    <row r="203" spans="1:14" s="910" customFormat="1" ht="16.5" hidden="1" customHeight="1">
      <c r="A203" s="896"/>
      <c r="B203" s="902" t="s">
        <v>3494</v>
      </c>
      <c r="C203" s="897">
        <v>1</v>
      </c>
      <c r="D203" s="1263" t="s">
        <v>273</v>
      </c>
      <c r="E203" s="919">
        <v>1</v>
      </c>
      <c r="F203" s="920">
        <v>6.55</v>
      </c>
      <c r="G203" s="920">
        <v>2.97</v>
      </c>
      <c r="H203" s="920">
        <v>0</v>
      </c>
      <c r="I203" s="1266">
        <f t="shared" ref="I203:I221" si="1">ROUND(IF(AND(F203:H203),C203*E203*F203*G203*H203,IF(AND(F203,G203),C203*E203*F203*G203,IF(AND(F203,H203),C203*E203*F203*H203,IF(AND(G203,H203),C203*E203*G203*H203,IF(F203,C203*E203*F203,IF(G203,C203*E203*G203,IF(H203,C203*E203*H203,C203*E203))))))),2)</f>
        <v>19.45</v>
      </c>
      <c r="J203" s="955" t="s">
        <v>102</v>
      </c>
      <c r="K203" s="902"/>
      <c r="L203" s="923"/>
      <c r="M203" s="902"/>
      <c r="N203" s="900" t="s">
        <v>2309</v>
      </c>
    </row>
    <row r="204" spans="1:14" s="910" customFormat="1" ht="16.5" hidden="1" customHeight="1">
      <c r="A204" s="896"/>
      <c r="B204" s="902" t="s">
        <v>2449</v>
      </c>
      <c r="C204" s="897">
        <v>1</v>
      </c>
      <c r="D204" s="1263" t="s">
        <v>273</v>
      </c>
      <c r="E204" s="919">
        <v>1</v>
      </c>
      <c r="F204" s="920">
        <v>1.57</v>
      </c>
      <c r="G204" s="920">
        <v>1.35</v>
      </c>
      <c r="H204" s="920">
        <v>0</v>
      </c>
      <c r="I204" s="1266">
        <f t="shared" si="1"/>
        <v>2.12</v>
      </c>
      <c r="J204" s="955" t="s">
        <v>102</v>
      </c>
      <c r="K204" s="902"/>
      <c r="L204" s="923"/>
      <c r="M204" s="902"/>
      <c r="N204" s="900" t="s">
        <v>2309</v>
      </c>
    </row>
    <row r="205" spans="1:14" s="910" customFormat="1" ht="16.5" hidden="1" customHeight="1">
      <c r="A205" s="896"/>
      <c r="B205" s="902" t="s">
        <v>3495</v>
      </c>
      <c r="C205" s="897">
        <v>1</v>
      </c>
      <c r="D205" s="1263" t="s">
        <v>273</v>
      </c>
      <c r="E205" s="919">
        <v>1</v>
      </c>
      <c r="F205" s="920">
        <v>1.1499999999999999</v>
      </c>
      <c r="G205" s="920">
        <v>1.35</v>
      </c>
      <c r="H205" s="920">
        <v>0</v>
      </c>
      <c r="I205" s="1266">
        <f t="shared" si="1"/>
        <v>1.55</v>
      </c>
      <c r="J205" s="955" t="s">
        <v>102</v>
      </c>
      <c r="K205" s="902"/>
      <c r="L205" s="923"/>
      <c r="M205" s="902"/>
      <c r="N205" s="900" t="s">
        <v>2309</v>
      </c>
    </row>
    <row r="206" spans="1:14" s="910" customFormat="1" ht="16.5" hidden="1" customHeight="1">
      <c r="A206" s="896"/>
      <c r="B206" s="902" t="s">
        <v>2521</v>
      </c>
      <c r="C206" s="897">
        <v>1</v>
      </c>
      <c r="D206" s="1263" t="s">
        <v>273</v>
      </c>
      <c r="E206" s="919">
        <v>1</v>
      </c>
      <c r="F206" s="920">
        <v>2.85</v>
      </c>
      <c r="G206" s="920">
        <v>2</v>
      </c>
      <c r="H206" s="920">
        <v>0</v>
      </c>
      <c r="I206" s="1266">
        <f t="shared" si="1"/>
        <v>5.7</v>
      </c>
      <c r="J206" s="955" t="s">
        <v>102</v>
      </c>
      <c r="K206" s="902"/>
      <c r="L206" s="923"/>
      <c r="M206" s="902"/>
      <c r="N206" s="900" t="s">
        <v>2309</v>
      </c>
    </row>
    <row r="207" spans="1:14" s="910" customFormat="1" ht="16.5" hidden="1" customHeight="1">
      <c r="A207" s="896"/>
      <c r="B207" s="902" t="s">
        <v>2448</v>
      </c>
      <c r="C207" s="897">
        <v>1</v>
      </c>
      <c r="D207" s="1263" t="s">
        <v>273</v>
      </c>
      <c r="E207" s="919">
        <v>1</v>
      </c>
      <c r="F207" s="920">
        <v>2.95</v>
      </c>
      <c r="G207" s="920">
        <v>2.82</v>
      </c>
      <c r="H207" s="920">
        <v>0</v>
      </c>
      <c r="I207" s="1266">
        <f t="shared" si="1"/>
        <v>8.32</v>
      </c>
      <c r="J207" s="955" t="s">
        <v>102</v>
      </c>
      <c r="K207" s="902"/>
      <c r="L207" s="923"/>
      <c r="M207" s="902"/>
      <c r="N207" s="900" t="s">
        <v>2309</v>
      </c>
    </row>
    <row r="208" spans="1:14" s="910" customFormat="1" ht="16.5" hidden="1" customHeight="1">
      <c r="A208" s="896"/>
      <c r="B208" s="902" t="s">
        <v>3496</v>
      </c>
      <c r="C208" s="897">
        <v>1</v>
      </c>
      <c r="D208" s="1263" t="s">
        <v>273</v>
      </c>
      <c r="E208" s="919">
        <v>1</v>
      </c>
      <c r="F208" s="920">
        <v>6.44</v>
      </c>
      <c r="G208" s="920">
        <v>2.97</v>
      </c>
      <c r="H208" s="920">
        <v>0</v>
      </c>
      <c r="I208" s="1266">
        <f t="shared" si="1"/>
        <v>19.13</v>
      </c>
      <c r="J208" s="955" t="s">
        <v>102</v>
      </c>
      <c r="K208" s="902"/>
      <c r="L208" s="923"/>
      <c r="M208" s="902"/>
      <c r="N208" s="900" t="s">
        <v>2309</v>
      </c>
    </row>
    <row r="209" spans="1:14" s="910" customFormat="1" ht="16.5" hidden="1" customHeight="1">
      <c r="A209" s="896"/>
      <c r="B209" s="902" t="s">
        <v>2497</v>
      </c>
      <c r="C209" s="897">
        <v>1</v>
      </c>
      <c r="D209" s="1263" t="s">
        <v>273</v>
      </c>
      <c r="E209" s="919">
        <v>1</v>
      </c>
      <c r="F209" s="920">
        <v>1.95</v>
      </c>
      <c r="G209" s="920">
        <v>1.45</v>
      </c>
      <c r="H209" s="920">
        <v>0</v>
      </c>
      <c r="I209" s="1266">
        <f t="shared" si="1"/>
        <v>2.83</v>
      </c>
      <c r="J209" s="955" t="s">
        <v>102</v>
      </c>
      <c r="K209" s="902"/>
      <c r="L209" s="923"/>
      <c r="M209" s="902"/>
      <c r="N209" s="900" t="s">
        <v>2309</v>
      </c>
    </row>
    <row r="210" spans="1:14" s="910" customFormat="1" ht="16.5" hidden="1" customHeight="1">
      <c r="A210" s="896"/>
      <c r="B210" s="902" t="s">
        <v>3489</v>
      </c>
      <c r="C210" s="897">
        <v>1</v>
      </c>
      <c r="D210" s="1263" t="s">
        <v>273</v>
      </c>
      <c r="E210" s="919">
        <v>1</v>
      </c>
      <c r="F210" s="920">
        <v>0.85</v>
      </c>
      <c r="G210" s="920">
        <v>1.45</v>
      </c>
      <c r="H210" s="920">
        <v>0</v>
      </c>
      <c r="I210" s="1266">
        <f t="shared" si="1"/>
        <v>1.23</v>
      </c>
      <c r="J210" s="955" t="s">
        <v>102</v>
      </c>
      <c r="K210" s="902"/>
      <c r="L210" s="923"/>
      <c r="M210" s="902"/>
      <c r="N210" s="900" t="s">
        <v>2309</v>
      </c>
    </row>
    <row r="211" spans="1:14" s="910" customFormat="1" ht="16.5" hidden="1" customHeight="1">
      <c r="A211" s="896"/>
      <c r="B211" s="902" t="s">
        <v>2357</v>
      </c>
      <c r="C211" s="897">
        <v>1</v>
      </c>
      <c r="D211" s="1263" t="s">
        <v>273</v>
      </c>
      <c r="E211" s="919">
        <v>1</v>
      </c>
      <c r="F211" s="920">
        <v>1.85</v>
      </c>
      <c r="G211" s="920">
        <v>1.69</v>
      </c>
      <c r="H211" s="920">
        <v>0</v>
      </c>
      <c r="I211" s="1266">
        <f t="shared" si="1"/>
        <v>3.13</v>
      </c>
      <c r="J211" s="955" t="s">
        <v>102</v>
      </c>
      <c r="K211" s="902"/>
      <c r="L211" s="923"/>
      <c r="M211" s="902"/>
      <c r="N211" s="900" t="s">
        <v>2309</v>
      </c>
    </row>
    <row r="212" spans="1:14" s="910" customFormat="1" ht="16.5" hidden="1" customHeight="1">
      <c r="A212" s="896"/>
      <c r="B212" s="902" t="s">
        <v>3497</v>
      </c>
      <c r="C212" s="897">
        <v>1</v>
      </c>
      <c r="D212" s="1263" t="s">
        <v>273</v>
      </c>
      <c r="E212" s="919">
        <v>1</v>
      </c>
      <c r="F212" s="920">
        <v>13.6</v>
      </c>
      <c r="G212" s="920">
        <v>1.2</v>
      </c>
      <c r="H212" s="920">
        <v>0</v>
      </c>
      <c r="I212" s="1266">
        <f t="shared" si="1"/>
        <v>16.32</v>
      </c>
      <c r="J212" s="955" t="s">
        <v>102</v>
      </c>
      <c r="K212" s="902"/>
      <c r="L212" s="923"/>
      <c r="M212" s="902"/>
      <c r="N212" s="900" t="s">
        <v>2309</v>
      </c>
    </row>
    <row r="213" spans="1:14" s="910" customFormat="1" ht="16.5" hidden="1" customHeight="1">
      <c r="A213" s="896"/>
      <c r="B213" s="902" t="s">
        <v>3498</v>
      </c>
      <c r="C213" s="897">
        <v>1</v>
      </c>
      <c r="D213" s="1263" t="s">
        <v>273</v>
      </c>
      <c r="E213" s="919">
        <v>2</v>
      </c>
      <c r="F213" s="920">
        <v>13.6</v>
      </c>
      <c r="G213" s="920">
        <v>0</v>
      </c>
      <c r="H213" s="920">
        <v>0.3</v>
      </c>
      <c r="I213" s="1266">
        <f t="shared" si="1"/>
        <v>8.16</v>
      </c>
      <c r="J213" s="955" t="s">
        <v>102</v>
      </c>
      <c r="K213" s="902"/>
      <c r="L213" s="923"/>
      <c r="M213" s="902"/>
      <c r="N213" s="900" t="s">
        <v>2309</v>
      </c>
    </row>
    <row r="214" spans="1:14" s="910" customFormat="1" ht="16.5" hidden="1" customHeight="1">
      <c r="A214" s="896"/>
      <c r="B214" s="902" t="s">
        <v>3498</v>
      </c>
      <c r="C214" s="897">
        <v>2</v>
      </c>
      <c r="D214" s="1263" t="s">
        <v>273</v>
      </c>
      <c r="E214" s="919">
        <v>5</v>
      </c>
      <c r="F214" s="920">
        <v>0.97</v>
      </c>
      <c r="G214" s="920">
        <v>0</v>
      </c>
      <c r="H214" s="920">
        <v>0.3</v>
      </c>
      <c r="I214" s="1266">
        <f t="shared" si="1"/>
        <v>2.91</v>
      </c>
      <c r="J214" s="955" t="s">
        <v>102</v>
      </c>
      <c r="K214" s="902"/>
      <c r="L214" s="923"/>
      <c r="M214" s="902"/>
      <c r="N214" s="900" t="s">
        <v>2309</v>
      </c>
    </row>
    <row r="215" spans="1:14" s="910" customFormat="1" ht="16.5" hidden="1" customHeight="1">
      <c r="A215" s="896"/>
      <c r="B215" s="902" t="s">
        <v>3499</v>
      </c>
      <c r="C215" s="897">
        <v>1</v>
      </c>
      <c r="D215" s="1263" t="s">
        <v>273</v>
      </c>
      <c r="E215" s="919">
        <v>1</v>
      </c>
      <c r="F215" s="920">
        <v>4.4000000000000004</v>
      </c>
      <c r="G215" s="920">
        <v>1.2</v>
      </c>
      <c r="H215" s="920">
        <v>0</v>
      </c>
      <c r="I215" s="1266">
        <f t="shared" si="1"/>
        <v>5.28</v>
      </c>
      <c r="J215" s="955" t="s">
        <v>102</v>
      </c>
      <c r="K215" s="902"/>
      <c r="L215" s="923"/>
      <c r="M215" s="902"/>
      <c r="N215" s="900" t="s">
        <v>2309</v>
      </c>
    </row>
    <row r="216" spans="1:14" s="910" customFormat="1" ht="16.5" hidden="1" customHeight="1">
      <c r="A216" s="896"/>
      <c r="B216" s="902" t="s">
        <v>3498</v>
      </c>
      <c r="C216" s="897">
        <v>1</v>
      </c>
      <c r="D216" s="1263" t="s">
        <v>273</v>
      </c>
      <c r="E216" s="919">
        <v>2</v>
      </c>
      <c r="F216" s="920">
        <v>4.4000000000000004</v>
      </c>
      <c r="G216" s="920">
        <v>0</v>
      </c>
      <c r="H216" s="920">
        <v>0.3</v>
      </c>
      <c r="I216" s="1266">
        <f t="shared" si="1"/>
        <v>2.64</v>
      </c>
      <c r="J216" s="955" t="s">
        <v>102</v>
      </c>
      <c r="K216" s="902"/>
      <c r="L216" s="923"/>
      <c r="M216" s="902"/>
      <c r="N216" s="900" t="s">
        <v>2309</v>
      </c>
    </row>
    <row r="217" spans="1:14" s="910" customFormat="1" ht="16.5" hidden="1" customHeight="1">
      <c r="A217" s="896"/>
      <c r="B217" s="902" t="s">
        <v>3498</v>
      </c>
      <c r="C217" s="897">
        <v>2</v>
      </c>
      <c r="D217" s="1263" t="s">
        <v>273</v>
      </c>
      <c r="E217" s="919">
        <v>2</v>
      </c>
      <c r="F217" s="920">
        <v>0.97</v>
      </c>
      <c r="G217" s="920">
        <v>0</v>
      </c>
      <c r="H217" s="920">
        <v>0.3</v>
      </c>
      <c r="I217" s="1266">
        <f t="shared" si="1"/>
        <v>1.1599999999999999</v>
      </c>
      <c r="J217" s="955" t="s">
        <v>102</v>
      </c>
      <c r="K217" s="902"/>
      <c r="L217" s="923"/>
      <c r="M217" s="902"/>
      <c r="N217" s="900" t="s">
        <v>2309</v>
      </c>
    </row>
    <row r="218" spans="1:14" s="910" customFormat="1" ht="16.5" hidden="1" customHeight="1">
      <c r="A218" s="896"/>
      <c r="B218" s="902" t="s">
        <v>3499</v>
      </c>
      <c r="C218" s="897">
        <v>1</v>
      </c>
      <c r="D218" s="1263" t="s">
        <v>273</v>
      </c>
      <c r="E218" s="919">
        <v>1</v>
      </c>
      <c r="F218" s="920">
        <v>2.81</v>
      </c>
      <c r="G218" s="920">
        <v>1.2</v>
      </c>
      <c r="H218" s="920">
        <v>0</v>
      </c>
      <c r="I218" s="1266">
        <f t="shared" si="1"/>
        <v>3.37</v>
      </c>
      <c r="J218" s="955" t="s">
        <v>102</v>
      </c>
      <c r="K218" s="902"/>
      <c r="L218" s="923"/>
      <c r="M218" s="902"/>
      <c r="N218" s="900" t="s">
        <v>2309</v>
      </c>
    </row>
    <row r="219" spans="1:14" s="910" customFormat="1" ht="16.5" hidden="1" customHeight="1">
      <c r="A219" s="896"/>
      <c r="B219" s="902" t="s">
        <v>3498</v>
      </c>
      <c r="C219" s="897">
        <v>1</v>
      </c>
      <c r="D219" s="1263" t="s">
        <v>273</v>
      </c>
      <c r="E219" s="919">
        <v>2</v>
      </c>
      <c r="F219" s="920">
        <v>2.81</v>
      </c>
      <c r="G219" s="920">
        <v>0</v>
      </c>
      <c r="H219" s="920">
        <v>0.3</v>
      </c>
      <c r="I219" s="1266">
        <f t="shared" si="1"/>
        <v>1.69</v>
      </c>
      <c r="J219" s="955" t="s">
        <v>102</v>
      </c>
      <c r="K219" s="902"/>
      <c r="L219" s="923"/>
      <c r="M219" s="902"/>
      <c r="N219" s="900" t="s">
        <v>2309</v>
      </c>
    </row>
    <row r="220" spans="1:14" s="910" customFormat="1" ht="16.5" hidden="1" customHeight="1">
      <c r="A220" s="896"/>
      <c r="B220" s="902" t="s">
        <v>3498</v>
      </c>
      <c r="C220" s="897">
        <v>2</v>
      </c>
      <c r="D220" s="1263" t="s">
        <v>273</v>
      </c>
      <c r="E220" s="919">
        <v>2</v>
      </c>
      <c r="F220" s="920">
        <v>0.97</v>
      </c>
      <c r="G220" s="920">
        <v>0</v>
      </c>
      <c r="H220" s="920">
        <v>0.3</v>
      </c>
      <c r="I220" s="1266">
        <f t="shared" si="1"/>
        <v>1.1599999999999999</v>
      </c>
      <c r="J220" s="955" t="s">
        <v>102</v>
      </c>
      <c r="K220" s="902"/>
      <c r="L220" s="923"/>
      <c r="M220" s="902"/>
      <c r="N220" s="900" t="s">
        <v>2309</v>
      </c>
    </row>
    <row r="221" spans="1:14" s="910" customFormat="1" ht="16.5" hidden="1" customHeight="1">
      <c r="A221" s="896"/>
      <c r="B221" s="902" t="s">
        <v>3500</v>
      </c>
      <c r="C221" s="897">
        <v>1</v>
      </c>
      <c r="D221" s="1263" t="s">
        <v>273</v>
      </c>
      <c r="E221" s="919">
        <v>1</v>
      </c>
      <c r="F221" s="920">
        <v>22.93</v>
      </c>
      <c r="G221" s="920">
        <v>0.9</v>
      </c>
      <c r="H221" s="920">
        <v>0</v>
      </c>
      <c r="I221" s="1266">
        <f t="shared" si="1"/>
        <v>20.64</v>
      </c>
      <c r="J221" s="955" t="s">
        <v>102</v>
      </c>
      <c r="K221" s="902"/>
      <c r="L221" s="923"/>
      <c r="M221" s="902"/>
      <c r="N221" s="900" t="s">
        <v>2309</v>
      </c>
    </row>
    <row r="222" spans="1:14" s="910" customFormat="1" ht="16.5" hidden="1" customHeight="1">
      <c r="A222" s="896"/>
      <c r="B222" s="956"/>
      <c r="C222" s="957"/>
      <c r="D222" s="958"/>
      <c r="E222" s="1268"/>
      <c r="F222" s="960"/>
      <c r="G222" s="960"/>
      <c r="H222" s="960"/>
      <c r="I222" s="916"/>
      <c r="J222" s="955"/>
      <c r="K222" s="902"/>
      <c r="L222" s="923"/>
      <c r="M222" s="902"/>
      <c r="N222" s="900" t="s">
        <v>2309</v>
      </c>
    </row>
    <row r="223" spans="1:14" ht="15.75" hidden="1">
      <c r="A223" s="896"/>
      <c r="B223" s="902"/>
      <c r="C223" s="917"/>
      <c r="D223" s="918"/>
      <c r="E223" s="919"/>
      <c r="F223" s="920"/>
      <c r="G223" s="921"/>
      <c r="H223" s="896"/>
      <c r="I223" s="916"/>
      <c r="J223" s="955" t="s">
        <v>102</v>
      </c>
      <c r="K223" s="922">
        <f>'data 2022-23'!E442</f>
        <v>318.2</v>
      </c>
      <c r="L223" s="923" t="s">
        <v>2419</v>
      </c>
      <c r="M223" s="924">
        <f>ROUND(I223*K223,0)</f>
        <v>0</v>
      </c>
      <c r="N223" s="900" t="s">
        <v>2309</v>
      </c>
    </row>
    <row r="224" spans="1:14" ht="42" hidden="1" customHeight="1">
      <c r="A224" s="896">
        <v>4</v>
      </c>
      <c r="B224" s="1609" t="s">
        <v>126</v>
      </c>
      <c r="C224" s="1609"/>
      <c r="D224" s="1609"/>
      <c r="E224" s="1609"/>
      <c r="F224" s="1609"/>
      <c r="G224" s="1609"/>
      <c r="H224" s="1609"/>
      <c r="I224" s="897"/>
      <c r="J224" s="898"/>
      <c r="K224" s="896"/>
      <c r="L224" s="923"/>
      <c r="M224" s="899"/>
      <c r="N224" s="900" t="s">
        <v>2309</v>
      </c>
    </row>
    <row r="225" spans="1:14" s="910" customFormat="1" ht="16.5" hidden="1" customHeight="1">
      <c r="A225" s="896"/>
      <c r="B225" s="902" t="s">
        <v>2516</v>
      </c>
      <c r="C225" s="903"/>
      <c r="D225" s="904"/>
      <c r="E225" s="905"/>
      <c r="F225" s="906"/>
      <c r="G225" s="906"/>
      <c r="H225" s="907"/>
      <c r="I225" s="908"/>
      <c r="J225" s="955"/>
      <c r="K225" s="902"/>
      <c r="L225" s="896"/>
      <c r="M225" s="902"/>
      <c r="N225" s="900" t="s">
        <v>2309</v>
      </c>
    </row>
    <row r="226" spans="1:14" s="910" customFormat="1" ht="16.5" hidden="1" customHeight="1">
      <c r="A226" s="896"/>
      <c r="B226" s="902" t="s">
        <v>2517</v>
      </c>
      <c r="C226" s="957">
        <v>1</v>
      </c>
      <c r="D226" s="958" t="s">
        <v>273</v>
      </c>
      <c r="E226" s="1268">
        <v>2</v>
      </c>
      <c r="F226" s="960">
        <v>1.85</v>
      </c>
      <c r="G226" s="960">
        <v>0.3</v>
      </c>
      <c r="H226" s="960">
        <v>0</v>
      </c>
      <c r="I226" s="916">
        <f t="shared" ref="I226:I231" si="2">ROUND(IF(AND(F226:H226),C226*E226*F226*G226*H226,IF(AND(F226,G226),C226*E226*F226*G226,IF(AND(F226,H226),C226*E226*F226*H226,IF(AND(G226,H226),C226*E226*G226*H226,IF(F226,C226*E226*F226,IF(G226,C226*E226*G226,IF(H226,C226*E226*H226,C226*E226))))))),2)</f>
        <v>1.1100000000000001</v>
      </c>
      <c r="J226" s="955" t="s">
        <v>102</v>
      </c>
      <c r="K226" s="902"/>
      <c r="L226" s="896"/>
      <c r="M226" s="902"/>
      <c r="N226" s="900" t="s">
        <v>2309</v>
      </c>
    </row>
    <row r="227" spans="1:14" s="910" customFormat="1" ht="16.5" hidden="1" customHeight="1">
      <c r="A227" s="896"/>
      <c r="B227" s="902" t="s">
        <v>2518</v>
      </c>
      <c r="C227" s="957">
        <v>1</v>
      </c>
      <c r="D227" s="958" t="s">
        <v>273</v>
      </c>
      <c r="E227" s="1268">
        <v>3</v>
      </c>
      <c r="F227" s="960">
        <v>1.85</v>
      </c>
      <c r="G227" s="960">
        <v>0</v>
      </c>
      <c r="H227" s="960">
        <v>0.2</v>
      </c>
      <c r="I227" s="916">
        <f t="shared" si="2"/>
        <v>1.1100000000000001</v>
      </c>
      <c r="J227" s="955" t="s">
        <v>102</v>
      </c>
      <c r="K227" s="902"/>
      <c r="L227" s="896"/>
      <c r="M227" s="902"/>
      <c r="N227" s="900" t="s">
        <v>2309</v>
      </c>
    </row>
    <row r="228" spans="1:14" s="910" customFormat="1" ht="16.5" hidden="1" customHeight="1">
      <c r="A228" s="896"/>
      <c r="B228" s="902" t="s">
        <v>2519</v>
      </c>
      <c r="C228" s="957">
        <v>1</v>
      </c>
      <c r="D228" s="958" t="s">
        <v>273</v>
      </c>
      <c r="E228" s="1268">
        <v>2</v>
      </c>
      <c r="F228" s="960">
        <v>0.97</v>
      </c>
      <c r="G228" s="960">
        <v>0</v>
      </c>
      <c r="H228" s="960">
        <v>0.65</v>
      </c>
      <c r="I228" s="916">
        <f t="shared" si="2"/>
        <v>1.26</v>
      </c>
      <c r="J228" s="955" t="s">
        <v>102</v>
      </c>
      <c r="K228" s="902"/>
      <c r="L228" s="896"/>
      <c r="M228" s="902"/>
      <c r="N228" s="900" t="s">
        <v>2309</v>
      </c>
    </row>
    <row r="229" spans="1:14" s="910" customFormat="1" ht="16.5" hidden="1" customHeight="1">
      <c r="A229" s="896"/>
      <c r="B229" s="902"/>
      <c r="C229" s="957">
        <v>1</v>
      </c>
      <c r="D229" s="958" t="s">
        <v>273</v>
      </c>
      <c r="E229" s="1268">
        <v>1</v>
      </c>
      <c r="F229" s="960">
        <v>0.54</v>
      </c>
      <c r="G229" s="960">
        <v>0</v>
      </c>
      <c r="H229" s="960">
        <v>0.65</v>
      </c>
      <c r="I229" s="916">
        <f t="shared" si="2"/>
        <v>0.35</v>
      </c>
      <c r="J229" s="955" t="s">
        <v>102</v>
      </c>
      <c r="K229" s="902"/>
      <c r="L229" s="896"/>
      <c r="M229" s="902"/>
      <c r="N229" s="900" t="s">
        <v>2309</v>
      </c>
    </row>
    <row r="230" spans="1:14" s="910" customFormat="1" ht="16.5" hidden="1" customHeight="1">
      <c r="A230" s="896"/>
      <c r="B230" s="902" t="s">
        <v>2520</v>
      </c>
      <c r="C230" s="957">
        <v>1</v>
      </c>
      <c r="D230" s="958" t="s">
        <v>273</v>
      </c>
      <c r="E230" s="1268">
        <v>2</v>
      </c>
      <c r="F230" s="960">
        <v>0.95</v>
      </c>
      <c r="G230" s="960">
        <v>0</v>
      </c>
      <c r="H230" s="960">
        <v>0.65</v>
      </c>
      <c r="I230" s="916">
        <f t="shared" si="2"/>
        <v>1.24</v>
      </c>
      <c r="J230" s="955" t="s">
        <v>102</v>
      </c>
      <c r="K230" s="902"/>
      <c r="L230" s="896"/>
      <c r="M230" s="902"/>
      <c r="N230" s="900" t="s">
        <v>2309</v>
      </c>
    </row>
    <row r="231" spans="1:14" s="910" customFormat="1" ht="16.5" hidden="1" customHeight="1">
      <c r="A231" s="896"/>
      <c r="B231" s="902"/>
      <c r="C231" s="957">
        <v>1</v>
      </c>
      <c r="D231" s="958" t="s">
        <v>273</v>
      </c>
      <c r="E231" s="1268">
        <v>1</v>
      </c>
      <c r="F231" s="960">
        <v>0.54</v>
      </c>
      <c r="G231" s="960">
        <v>0</v>
      </c>
      <c r="H231" s="960">
        <v>0.65</v>
      </c>
      <c r="I231" s="916">
        <f t="shared" si="2"/>
        <v>0.35</v>
      </c>
      <c r="J231" s="955" t="s">
        <v>102</v>
      </c>
      <c r="K231" s="902"/>
      <c r="L231" s="896"/>
      <c r="M231" s="902"/>
      <c r="N231" s="900" t="s">
        <v>2309</v>
      </c>
    </row>
    <row r="232" spans="1:14" s="910" customFormat="1" ht="16.5" hidden="1" customHeight="1">
      <c r="A232" s="896"/>
      <c r="B232" s="902"/>
      <c r="C232" s="957"/>
      <c r="D232" s="958"/>
      <c r="E232" s="1268"/>
      <c r="F232" s="960"/>
      <c r="G232" s="960"/>
      <c r="H232" s="960"/>
      <c r="I232" s="916"/>
      <c r="J232" s="955"/>
      <c r="K232" s="902"/>
      <c r="L232" s="923"/>
      <c r="M232" s="902"/>
      <c r="N232" s="900" t="s">
        <v>2309</v>
      </c>
    </row>
    <row r="233" spans="1:14" ht="15.75" hidden="1">
      <c r="A233" s="896"/>
      <c r="B233" s="902"/>
      <c r="C233" s="917"/>
      <c r="D233" s="918"/>
      <c r="E233" s="919"/>
      <c r="F233" s="920"/>
      <c r="G233" s="921"/>
      <c r="H233" s="896"/>
      <c r="I233" s="916"/>
      <c r="J233" s="955" t="s">
        <v>102</v>
      </c>
      <c r="K233" s="922">
        <f>'data 2022-23'!E458</f>
        <v>294.70999999999998</v>
      </c>
      <c r="L233" s="923" t="s">
        <v>2419</v>
      </c>
      <c r="M233" s="924">
        <f>ROUND(I233*K233,0)</f>
        <v>0</v>
      </c>
      <c r="N233" s="900" t="s">
        <v>2309</v>
      </c>
    </row>
    <row r="234" spans="1:14" ht="52.5" hidden="1" customHeight="1">
      <c r="A234" s="896">
        <v>1</v>
      </c>
      <c r="B234" s="1609" t="s">
        <v>593</v>
      </c>
      <c r="C234" s="1609"/>
      <c r="D234" s="1609"/>
      <c r="E234" s="1609"/>
      <c r="F234" s="1609"/>
      <c r="G234" s="1609"/>
      <c r="H234" s="1609"/>
      <c r="I234" s="897"/>
      <c r="J234" s="898"/>
      <c r="K234" s="896"/>
      <c r="L234" s="923"/>
      <c r="M234" s="899"/>
      <c r="N234" s="900" t="s">
        <v>2309</v>
      </c>
    </row>
    <row r="235" spans="1:14" s="910" customFormat="1" ht="16.5" hidden="1" customHeight="1">
      <c r="A235" s="896"/>
      <c r="B235" s="902" t="s">
        <v>3313</v>
      </c>
      <c r="C235" s="903"/>
      <c r="D235" s="1287" t="s">
        <v>3343</v>
      </c>
      <c r="E235" s="905"/>
      <c r="F235" s="906"/>
      <c r="G235" s="906"/>
      <c r="H235" s="907"/>
      <c r="I235" s="908"/>
      <c r="J235" s="955"/>
      <c r="K235" s="902"/>
      <c r="L235" s="923"/>
      <c r="M235" s="902"/>
      <c r="N235" s="900" t="s">
        <v>2309</v>
      </c>
    </row>
    <row r="236" spans="1:14" s="910" customFormat="1" ht="15.75" hidden="1">
      <c r="A236" s="896"/>
      <c r="B236" s="911" t="s">
        <v>2360</v>
      </c>
      <c r="C236" s="912">
        <v>1</v>
      </c>
      <c r="D236" s="913" t="s">
        <v>273</v>
      </c>
      <c r="E236" s="914">
        <v>1</v>
      </c>
      <c r="F236" s="915">
        <v>2.9</v>
      </c>
      <c r="G236" s="915">
        <v>2.85</v>
      </c>
      <c r="H236" s="915">
        <v>0</v>
      </c>
      <c r="I236" s="916">
        <f t="shared" ref="I236:I249" si="3">ROUND(IF(AND(F236:H236),C236*E236*F236*G236*H236,IF(AND(F236,G236),C236*E236*F236*G236,IF(AND(F236,H236),C236*E236*F236*H236,IF(AND(G236,H236),C236*E236*G236*H236,IF(F236,C236*E236*F236,IF(G236,C236*E236*G236,IF(H236,C236*E236*H236,C236*E236))))))),2)</f>
        <v>8.27</v>
      </c>
      <c r="J236" s="955" t="s">
        <v>102</v>
      </c>
      <c r="K236" s="902"/>
      <c r="L236" s="923"/>
      <c r="M236" s="902"/>
      <c r="N236" s="900" t="s">
        <v>2309</v>
      </c>
    </row>
    <row r="237" spans="1:14" s="910" customFormat="1" ht="15.75" hidden="1">
      <c r="A237" s="896"/>
      <c r="B237" s="911" t="s">
        <v>3304</v>
      </c>
      <c r="C237" s="912">
        <v>1</v>
      </c>
      <c r="D237" s="913" t="s">
        <v>273</v>
      </c>
      <c r="E237" s="914">
        <v>1</v>
      </c>
      <c r="F237" s="915">
        <v>1.35</v>
      </c>
      <c r="G237" s="915">
        <v>1.6</v>
      </c>
      <c r="H237" s="915">
        <v>0</v>
      </c>
      <c r="I237" s="916">
        <f t="shared" si="3"/>
        <v>2.16</v>
      </c>
      <c r="J237" s="955" t="s">
        <v>102</v>
      </c>
      <c r="K237" s="902"/>
      <c r="L237" s="923"/>
      <c r="M237" s="902"/>
      <c r="N237" s="900" t="s">
        <v>2309</v>
      </c>
    </row>
    <row r="238" spans="1:14" s="910" customFormat="1" ht="15.75" hidden="1">
      <c r="A238" s="896"/>
      <c r="B238" s="911"/>
      <c r="C238" s="912">
        <v>1</v>
      </c>
      <c r="D238" s="913" t="s">
        <v>273</v>
      </c>
      <c r="E238" s="914">
        <v>1</v>
      </c>
      <c r="F238" s="915">
        <v>1.35</v>
      </c>
      <c r="G238" s="915">
        <v>0.95</v>
      </c>
      <c r="H238" s="915">
        <v>0</v>
      </c>
      <c r="I238" s="916">
        <f t="shared" si="3"/>
        <v>1.28</v>
      </c>
      <c r="J238" s="955" t="s">
        <v>102</v>
      </c>
      <c r="K238" s="902"/>
      <c r="L238" s="923"/>
      <c r="M238" s="902"/>
      <c r="N238" s="900" t="s">
        <v>2309</v>
      </c>
    </row>
    <row r="239" spans="1:14" s="910" customFormat="1" ht="15.75" hidden="1">
      <c r="A239" s="896"/>
      <c r="B239" s="911" t="s">
        <v>2521</v>
      </c>
      <c r="C239" s="912">
        <v>1</v>
      </c>
      <c r="D239" s="913" t="s">
        <v>273</v>
      </c>
      <c r="E239" s="914">
        <v>1</v>
      </c>
      <c r="F239" s="915">
        <v>2.25</v>
      </c>
      <c r="G239" s="915">
        <v>2.85</v>
      </c>
      <c r="H239" s="915">
        <v>0</v>
      </c>
      <c r="I239" s="916">
        <f t="shared" si="3"/>
        <v>6.41</v>
      </c>
      <c r="J239" s="955" t="s">
        <v>102</v>
      </c>
      <c r="K239" s="902"/>
      <c r="L239" s="923"/>
      <c r="M239" s="902"/>
      <c r="N239" s="900" t="s">
        <v>2309</v>
      </c>
    </row>
    <row r="240" spans="1:14" s="910" customFormat="1" ht="15.75" hidden="1">
      <c r="A240" s="896"/>
      <c r="B240" s="911" t="s">
        <v>2358</v>
      </c>
      <c r="C240" s="912">
        <v>1</v>
      </c>
      <c r="D240" s="913" t="s">
        <v>273</v>
      </c>
      <c r="E240" s="914">
        <v>1</v>
      </c>
      <c r="F240" s="915">
        <v>2.72</v>
      </c>
      <c r="G240" s="915">
        <v>2.85</v>
      </c>
      <c r="H240" s="915">
        <v>0</v>
      </c>
      <c r="I240" s="916">
        <f t="shared" si="3"/>
        <v>7.75</v>
      </c>
      <c r="J240" s="955" t="s">
        <v>102</v>
      </c>
      <c r="K240" s="902"/>
      <c r="L240" s="923"/>
      <c r="M240" s="902"/>
      <c r="N240" s="900" t="s">
        <v>2309</v>
      </c>
    </row>
    <row r="241" spans="1:14" s="910" customFormat="1" ht="15.75" hidden="1">
      <c r="A241" s="896"/>
      <c r="B241" s="911" t="s">
        <v>2359</v>
      </c>
      <c r="C241" s="912">
        <v>1</v>
      </c>
      <c r="D241" s="913" t="s">
        <v>273</v>
      </c>
      <c r="E241" s="914">
        <v>1</v>
      </c>
      <c r="F241" s="915">
        <v>1.42</v>
      </c>
      <c r="G241" s="915">
        <v>1.8</v>
      </c>
      <c r="H241" s="915">
        <v>0</v>
      </c>
      <c r="I241" s="916">
        <f t="shared" si="3"/>
        <v>2.56</v>
      </c>
      <c r="J241" s="955" t="s">
        <v>102</v>
      </c>
      <c r="K241" s="902"/>
      <c r="L241" s="923"/>
      <c r="M241" s="902"/>
      <c r="N241" s="900" t="s">
        <v>2309</v>
      </c>
    </row>
    <row r="242" spans="1:14" s="910" customFormat="1" ht="15.75" hidden="1">
      <c r="A242" s="896"/>
      <c r="B242" s="911"/>
      <c r="C242" s="912">
        <v>1</v>
      </c>
      <c r="D242" s="913" t="s">
        <v>273</v>
      </c>
      <c r="E242" s="914">
        <v>1</v>
      </c>
      <c r="F242" s="915">
        <v>1.42</v>
      </c>
      <c r="G242" s="915">
        <v>1.05</v>
      </c>
      <c r="H242" s="915">
        <v>0</v>
      </c>
      <c r="I242" s="916">
        <f t="shared" si="3"/>
        <v>1.49</v>
      </c>
      <c r="J242" s="955" t="s">
        <v>102</v>
      </c>
      <c r="K242" s="902"/>
      <c r="L242" s="923"/>
      <c r="M242" s="902"/>
      <c r="N242" s="900" t="s">
        <v>2309</v>
      </c>
    </row>
    <row r="243" spans="1:14" s="910" customFormat="1" ht="15.75" hidden="1">
      <c r="A243" s="896"/>
      <c r="B243" s="911" t="s">
        <v>2357</v>
      </c>
      <c r="C243" s="912">
        <v>1</v>
      </c>
      <c r="D243" s="913" t="s">
        <v>273</v>
      </c>
      <c r="E243" s="914">
        <v>1</v>
      </c>
      <c r="F243" s="915">
        <v>1.82</v>
      </c>
      <c r="G243" s="915">
        <v>2.8</v>
      </c>
      <c r="H243" s="915">
        <v>0</v>
      </c>
      <c r="I243" s="916">
        <f t="shared" si="3"/>
        <v>5.0999999999999996</v>
      </c>
      <c r="J243" s="955" t="s">
        <v>102</v>
      </c>
      <c r="K243" s="902"/>
      <c r="L243" s="923"/>
      <c r="M243" s="902"/>
      <c r="N243" s="900" t="s">
        <v>2309</v>
      </c>
    </row>
    <row r="244" spans="1:14" s="910" customFormat="1" ht="15.75" hidden="1">
      <c r="A244" s="896"/>
      <c r="B244" s="911" t="s">
        <v>3314</v>
      </c>
      <c r="C244" s="912">
        <v>1</v>
      </c>
      <c r="D244" s="913" t="s">
        <v>273</v>
      </c>
      <c r="E244" s="914">
        <v>1</v>
      </c>
      <c r="F244" s="915">
        <v>6.78</v>
      </c>
      <c r="G244" s="915">
        <v>2.96</v>
      </c>
      <c r="H244" s="915">
        <v>0</v>
      </c>
      <c r="I244" s="916">
        <f t="shared" si="3"/>
        <v>20.07</v>
      </c>
      <c r="J244" s="955" t="s">
        <v>102</v>
      </c>
      <c r="K244" s="902"/>
      <c r="L244" s="923"/>
      <c r="M244" s="902"/>
      <c r="N244" s="900" t="s">
        <v>2309</v>
      </c>
    </row>
    <row r="245" spans="1:14" s="910" customFormat="1" ht="15.75" hidden="1">
      <c r="A245" s="896"/>
      <c r="B245" s="911" t="s">
        <v>2355</v>
      </c>
      <c r="C245" s="912">
        <v>1</v>
      </c>
      <c r="D245" s="913" t="s">
        <v>273</v>
      </c>
      <c r="E245" s="914">
        <v>1</v>
      </c>
      <c r="F245" s="915">
        <v>6.22</v>
      </c>
      <c r="G245" s="915">
        <v>2.96</v>
      </c>
      <c r="H245" s="915">
        <v>0</v>
      </c>
      <c r="I245" s="916">
        <f t="shared" si="3"/>
        <v>18.41</v>
      </c>
      <c r="J245" s="955" t="s">
        <v>102</v>
      </c>
      <c r="K245" s="902"/>
      <c r="L245" s="923"/>
      <c r="M245" s="902"/>
      <c r="N245" s="900" t="s">
        <v>2309</v>
      </c>
    </row>
    <row r="246" spans="1:14" s="910" customFormat="1" ht="15.75" hidden="1">
      <c r="A246" s="896"/>
      <c r="B246" s="911" t="s">
        <v>3315</v>
      </c>
      <c r="C246" s="912">
        <v>1</v>
      </c>
      <c r="D246" s="913" t="s">
        <v>273</v>
      </c>
      <c r="E246" s="914">
        <v>1</v>
      </c>
      <c r="F246" s="915">
        <v>12</v>
      </c>
      <c r="G246" s="915">
        <v>1.2</v>
      </c>
      <c r="H246" s="915">
        <v>0</v>
      </c>
      <c r="I246" s="916">
        <f t="shared" si="3"/>
        <v>14.4</v>
      </c>
      <c r="J246" s="955" t="s">
        <v>102</v>
      </c>
      <c r="K246" s="902"/>
      <c r="L246" s="923"/>
      <c r="M246" s="902"/>
      <c r="N246" s="900" t="s">
        <v>2309</v>
      </c>
    </row>
    <row r="247" spans="1:14" s="910" customFormat="1" ht="15.75" hidden="1">
      <c r="A247" s="896"/>
      <c r="B247" s="911"/>
      <c r="C247" s="912">
        <v>1</v>
      </c>
      <c r="D247" s="913" t="s">
        <v>273</v>
      </c>
      <c r="E247" s="914">
        <v>1</v>
      </c>
      <c r="F247" s="915">
        <v>6.1</v>
      </c>
      <c r="G247" s="915">
        <v>1.2</v>
      </c>
      <c r="H247" s="915">
        <v>0</v>
      </c>
      <c r="I247" s="916">
        <f t="shared" si="3"/>
        <v>7.32</v>
      </c>
      <c r="J247" s="955" t="s">
        <v>102</v>
      </c>
      <c r="K247" s="902"/>
      <c r="L247" s="923"/>
      <c r="M247" s="902"/>
      <c r="N247" s="900" t="s">
        <v>2309</v>
      </c>
    </row>
    <row r="248" spans="1:14" s="910" customFormat="1" ht="15.75" hidden="1">
      <c r="A248" s="896"/>
      <c r="B248" s="911" t="s">
        <v>2958</v>
      </c>
      <c r="C248" s="912">
        <v>1</v>
      </c>
      <c r="D248" s="913" t="s">
        <v>273</v>
      </c>
      <c r="E248" s="914">
        <v>1</v>
      </c>
      <c r="F248" s="915">
        <v>2.5499999999999998</v>
      </c>
      <c r="G248" s="915">
        <v>1.2</v>
      </c>
      <c r="H248" s="915">
        <v>0</v>
      </c>
      <c r="I248" s="916">
        <f t="shared" si="3"/>
        <v>3.06</v>
      </c>
      <c r="J248" s="955" t="s">
        <v>102</v>
      </c>
      <c r="K248" s="902"/>
      <c r="L248" s="923"/>
      <c r="M248" s="902"/>
      <c r="N248" s="900" t="s">
        <v>2309</v>
      </c>
    </row>
    <row r="249" spans="1:14" s="910" customFormat="1" ht="15.75" hidden="1">
      <c r="A249" s="896"/>
      <c r="B249" s="911" t="s">
        <v>3305</v>
      </c>
      <c r="C249" s="912">
        <v>1</v>
      </c>
      <c r="D249" s="913" t="s">
        <v>273</v>
      </c>
      <c r="E249" s="914">
        <v>1</v>
      </c>
      <c r="F249" s="915">
        <v>1.2</v>
      </c>
      <c r="G249" s="915">
        <v>0.9</v>
      </c>
      <c r="H249" s="915">
        <v>0</v>
      </c>
      <c r="I249" s="916">
        <f t="shared" si="3"/>
        <v>1.08</v>
      </c>
      <c r="J249" s="955" t="s">
        <v>102</v>
      </c>
      <c r="K249" s="902"/>
      <c r="L249" s="923"/>
      <c r="M249" s="902"/>
      <c r="N249" s="900" t="s">
        <v>2309</v>
      </c>
    </row>
    <row r="250" spans="1:14" s="910" customFormat="1" ht="16.5" hidden="1" customHeight="1">
      <c r="A250" s="896"/>
      <c r="B250" s="956"/>
      <c r="C250" s="957"/>
      <c r="D250" s="958"/>
      <c r="E250" s="1268"/>
      <c r="F250" s="960"/>
      <c r="G250" s="960"/>
      <c r="H250" s="960"/>
      <c r="I250" s="916"/>
      <c r="J250" s="955"/>
      <c r="K250" s="902"/>
      <c r="L250" s="923"/>
      <c r="M250" s="902"/>
      <c r="N250" s="900" t="s">
        <v>2309</v>
      </c>
    </row>
    <row r="251" spans="1:14" ht="15.75" hidden="1">
      <c r="A251" s="896"/>
      <c r="B251" s="902"/>
      <c r="C251" s="917"/>
      <c r="D251" s="918"/>
      <c r="E251" s="919"/>
      <c r="F251" s="920"/>
      <c r="G251" s="921"/>
      <c r="H251" s="896"/>
      <c r="I251" s="916"/>
      <c r="J251" s="955" t="s">
        <v>102</v>
      </c>
      <c r="K251" s="922">
        <f>'data 2022-23'!E474</f>
        <v>314.89999999999998</v>
      </c>
      <c r="L251" s="923" t="s">
        <v>2419</v>
      </c>
      <c r="M251" s="924">
        <f>ROUND(I251*K251,0)</f>
        <v>0</v>
      </c>
      <c r="N251" s="900" t="s">
        <v>2309</v>
      </c>
    </row>
    <row r="252" spans="1:14" ht="71.25" hidden="1" customHeight="1">
      <c r="A252" s="896">
        <v>4</v>
      </c>
      <c r="B252" s="1609" t="s">
        <v>808</v>
      </c>
      <c r="C252" s="1609"/>
      <c r="D252" s="1609"/>
      <c r="E252" s="1609"/>
      <c r="F252" s="1609"/>
      <c r="G252" s="1609"/>
      <c r="H252" s="1609"/>
      <c r="I252" s="897"/>
      <c r="J252" s="898"/>
      <c r="K252" s="896"/>
      <c r="L252" s="923"/>
      <c r="M252" s="899"/>
      <c r="N252" s="900" t="s">
        <v>2309</v>
      </c>
    </row>
    <row r="253" spans="1:14" s="910" customFormat="1" ht="16.5" hidden="1" customHeight="1">
      <c r="A253" s="896"/>
      <c r="B253" s="902" t="s">
        <v>3474</v>
      </c>
      <c r="C253" s="897"/>
      <c r="D253" s="1263" t="s">
        <v>3471</v>
      </c>
      <c r="E253" s="919"/>
      <c r="F253" s="920"/>
      <c r="G253" s="920"/>
      <c r="H253" s="920"/>
      <c r="I253" s="1264"/>
      <c r="J253" s="955"/>
      <c r="K253" s="902"/>
      <c r="L253" s="923"/>
      <c r="M253" s="902"/>
      <c r="N253" s="900" t="s">
        <v>2309</v>
      </c>
    </row>
    <row r="254" spans="1:14" s="910" customFormat="1" ht="16.5" hidden="1" customHeight="1">
      <c r="A254" s="896"/>
      <c r="B254" s="902" t="s">
        <v>3475</v>
      </c>
      <c r="C254" s="897">
        <v>1</v>
      </c>
      <c r="D254" s="1263" t="s">
        <v>273</v>
      </c>
      <c r="E254" s="919">
        <v>1</v>
      </c>
      <c r="F254" s="920">
        <v>11.5</v>
      </c>
      <c r="G254" s="920">
        <v>0</v>
      </c>
      <c r="H254" s="920">
        <v>3.3</v>
      </c>
      <c r="I254" s="1266">
        <f>ROUND(IF(AND(F254:H254),C254*E254*F254*G254*H254,IF(AND(F254,G254),C254*E254*F254*G254,IF(AND(F254,H254),C254*E254*F254*H254,IF(AND(G254,H254),C254*E254*G254*H254,IF(F254,C254*E254*F254,IF(G254,C254*E254*G254,IF(H254,C254*E254*H254,C254*E254))))))),2)</f>
        <v>37.950000000000003</v>
      </c>
      <c r="J254" s="955" t="s">
        <v>102</v>
      </c>
      <c r="K254" s="902"/>
      <c r="L254" s="923"/>
      <c r="M254" s="902"/>
      <c r="N254" s="900" t="s">
        <v>2309</v>
      </c>
    </row>
    <row r="255" spans="1:14" s="910" customFormat="1" ht="16.5" hidden="1" customHeight="1">
      <c r="A255" s="896"/>
      <c r="B255" s="902" t="s">
        <v>2370</v>
      </c>
      <c r="C255" s="897">
        <v>1</v>
      </c>
      <c r="D255" s="1263" t="s">
        <v>273</v>
      </c>
      <c r="E255" s="919">
        <v>1</v>
      </c>
      <c r="F255" s="920">
        <v>1.2</v>
      </c>
      <c r="G255" s="920">
        <v>0</v>
      </c>
      <c r="H255" s="920">
        <v>1.2</v>
      </c>
      <c r="I255" s="1266">
        <f>-ROUND(IF(AND(F255:H255),C255*E255*F255*G255*H255,IF(AND(F255,G255),C255*E255*F255*G255,IF(AND(F255,H255),C255*E255*F255*H255,IF(AND(G255,H255),C255*E255*G255*H255,IF(F255,C255*E255*F255,IF(G255,C255*E255*G255,IF(H255,C255*E255*H255,C255*E255))))))),2)</f>
        <v>-1.44</v>
      </c>
      <c r="J255" s="955" t="s">
        <v>102</v>
      </c>
      <c r="K255" s="902"/>
      <c r="L255" s="923"/>
      <c r="M255" s="902"/>
      <c r="N255" s="900" t="s">
        <v>2309</v>
      </c>
    </row>
    <row r="256" spans="1:14" s="910" customFormat="1" ht="16.5" hidden="1" customHeight="1">
      <c r="A256" s="896"/>
      <c r="B256" s="902" t="s">
        <v>579</v>
      </c>
      <c r="C256" s="897">
        <v>1</v>
      </c>
      <c r="D256" s="1263" t="s">
        <v>273</v>
      </c>
      <c r="E256" s="919">
        <v>1</v>
      </c>
      <c r="F256" s="920">
        <v>0.9</v>
      </c>
      <c r="G256" s="920">
        <v>0</v>
      </c>
      <c r="H256" s="920">
        <v>2.1</v>
      </c>
      <c r="I256" s="1266">
        <f>-ROUND(IF(AND(F256:H256),C256*E256*F256*G256*H256,IF(AND(F256,G256),C256*E256*F256*G256,IF(AND(F256,H256),C256*E256*F256*H256,IF(AND(G256,H256),C256*E256*G256*H256,IF(F256,C256*E256*F256,IF(G256,C256*E256*G256,IF(H256,C256*E256*H256,C256*E256))))))),2)</f>
        <v>-1.89</v>
      </c>
      <c r="J256" s="955" t="s">
        <v>102</v>
      </c>
      <c r="K256" s="902"/>
      <c r="L256" s="923"/>
      <c r="M256" s="902"/>
      <c r="N256" s="900" t="s">
        <v>2309</v>
      </c>
    </row>
    <row r="257" spans="1:14" s="910" customFormat="1" ht="16.5" hidden="1" customHeight="1">
      <c r="A257" s="896"/>
      <c r="B257" s="902" t="s">
        <v>3476</v>
      </c>
      <c r="C257" s="897">
        <v>1</v>
      </c>
      <c r="D257" s="1263" t="s">
        <v>273</v>
      </c>
      <c r="E257" s="919">
        <v>1</v>
      </c>
      <c r="F257" s="920">
        <v>0.6</v>
      </c>
      <c r="G257" s="920">
        <v>0</v>
      </c>
      <c r="H257" s="920">
        <v>0.3</v>
      </c>
      <c r="I257" s="1266">
        <f>-ROUND(IF(AND(F257:H257),C257*E257*F257*G257*H257,IF(AND(F257,G257),C257*E257*F257*G257,IF(AND(F257,H257),C257*E257*F257*H257,IF(AND(G257,H257),C257*E257*G257*H257,IF(F257,C257*E257*F257,IF(G257,C257*E257*G257,IF(H257,C257*E257*H257,C257*E257))))))),2)</f>
        <v>-0.18</v>
      </c>
      <c r="J257" s="955" t="s">
        <v>102</v>
      </c>
      <c r="K257" s="902"/>
      <c r="L257" s="923"/>
      <c r="M257" s="902"/>
      <c r="N257" s="900" t="s">
        <v>2309</v>
      </c>
    </row>
    <row r="258" spans="1:14" s="910" customFormat="1" ht="16.5" hidden="1" customHeight="1">
      <c r="A258" s="896"/>
      <c r="B258" s="902" t="s">
        <v>3477</v>
      </c>
      <c r="C258" s="897">
        <v>1</v>
      </c>
      <c r="D258" s="1263" t="s">
        <v>273</v>
      </c>
      <c r="E258" s="919">
        <v>1</v>
      </c>
      <c r="F258" s="920">
        <v>19.04</v>
      </c>
      <c r="G258" s="920">
        <v>0</v>
      </c>
      <c r="H258" s="920">
        <v>3.3</v>
      </c>
      <c r="I258" s="1266">
        <f t="shared" ref="I258:I295" si="4">ROUND(IF(AND(F258:H258),C258*E258*F258*G258*H258,IF(AND(F258,G258),C258*E258*F258*G258,IF(AND(F258,H258),C258*E258*F258*H258,IF(AND(G258,H258),C258*E258*G258*H258,IF(F258,C258*E258*F258,IF(G258,C258*E258*G258,IF(H258,C258*E258*H258,C258*E258))))))),2)</f>
        <v>62.83</v>
      </c>
      <c r="J258" s="955" t="s">
        <v>102</v>
      </c>
      <c r="K258" s="902"/>
      <c r="L258" s="923"/>
      <c r="M258" s="902"/>
      <c r="N258" s="900" t="s">
        <v>2309</v>
      </c>
    </row>
    <row r="259" spans="1:14" s="910" customFormat="1" ht="16.5" hidden="1" customHeight="1">
      <c r="A259" s="896"/>
      <c r="B259" s="902" t="s">
        <v>579</v>
      </c>
      <c r="C259" s="897">
        <v>1</v>
      </c>
      <c r="D259" s="1263" t="s">
        <v>273</v>
      </c>
      <c r="E259" s="919">
        <v>1</v>
      </c>
      <c r="F259" s="920">
        <v>0.9</v>
      </c>
      <c r="G259" s="920">
        <v>0</v>
      </c>
      <c r="H259" s="920">
        <v>2.1</v>
      </c>
      <c r="I259" s="1266">
        <f>-ROUND(IF(AND(F259:H259),C259*E259*F259*G259*H259,IF(AND(F259,G259),C259*E259*F259*G259,IF(AND(F259,H259),C259*E259*F259*H259,IF(AND(G259,H259),C259*E259*G259*H259,IF(F259,C259*E259*F259,IF(G259,C259*E259*G259,IF(H259,C259*E259*H259,C259*E259))))))),2)</f>
        <v>-1.89</v>
      </c>
      <c r="J259" s="955" t="s">
        <v>102</v>
      </c>
      <c r="K259" s="902"/>
      <c r="L259" s="923"/>
      <c r="M259" s="902"/>
      <c r="N259" s="900" t="s">
        <v>2309</v>
      </c>
    </row>
    <row r="260" spans="1:14" s="910" customFormat="1" ht="16.5" hidden="1" customHeight="1">
      <c r="A260" s="896"/>
      <c r="B260" s="902" t="s">
        <v>2370</v>
      </c>
      <c r="C260" s="897">
        <v>1</v>
      </c>
      <c r="D260" s="1263" t="s">
        <v>273</v>
      </c>
      <c r="E260" s="919">
        <v>2</v>
      </c>
      <c r="F260" s="920">
        <v>1.2</v>
      </c>
      <c r="G260" s="920">
        <v>0</v>
      </c>
      <c r="H260" s="920">
        <v>1.2</v>
      </c>
      <c r="I260" s="1266">
        <f>-ROUND(IF(AND(F260:H260),C260*E260*F260*G260*H260,IF(AND(F260,G260),C260*E260*F260*G260,IF(AND(F260,H260),C260*E260*F260*H260,IF(AND(G260,H260),C260*E260*G260*H260,IF(F260,C260*E260*F260,IF(G260,C260*E260*G260,IF(H260,C260*E260*H260,C260*E260))))))),2)</f>
        <v>-2.88</v>
      </c>
      <c r="J260" s="955" t="s">
        <v>102</v>
      </c>
      <c r="K260" s="902"/>
      <c r="L260" s="923"/>
      <c r="M260" s="902"/>
      <c r="N260" s="900" t="s">
        <v>2309</v>
      </c>
    </row>
    <row r="261" spans="1:14" s="910" customFormat="1" ht="16.5" hidden="1" customHeight="1">
      <c r="A261" s="896"/>
      <c r="B261" s="902" t="s">
        <v>798</v>
      </c>
      <c r="C261" s="897">
        <v>1</v>
      </c>
      <c r="D261" s="1263" t="s">
        <v>273</v>
      </c>
      <c r="E261" s="919">
        <v>3</v>
      </c>
      <c r="F261" s="920">
        <v>0.6</v>
      </c>
      <c r="G261" s="920">
        <v>0</v>
      </c>
      <c r="H261" s="920">
        <v>0.3</v>
      </c>
      <c r="I261" s="1266">
        <f>-ROUND(IF(AND(F261:H261),C261*E261*F261*G261*H261,IF(AND(F261,G261),C261*E261*F261*G261,IF(AND(F261,H261),C261*E261*F261*H261,IF(AND(G261,H261),C261*E261*G261*H261,IF(F261,C261*E261*F261,IF(G261,C261*E261*G261,IF(H261,C261*E261*H261,C261*E261))))))),2)</f>
        <v>-0.54</v>
      </c>
      <c r="J261" s="955" t="s">
        <v>102</v>
      </c>
      <c r="K261" s="902"/>
      <c r="L261" s="923"/>
      <c r="M261" s="902"/>
      <c r="N261" s="900" t="s">
        <v>2309</v>
      </c>
    </row>
    <row r="262" spans="1:14" s="910" customFormat="1" ht="16.5" hidden="1" customHeight="1">
      <c r="A262" s="896"/>
      <c r="B262" s="902" t="s">
        <v>3478</v>
      </c>
      <c r="C262" s="897">
        <v>1</v>
      </c>
      <c r="D262" s="1263" t="s">
        <v>273</v>
      </c>
      <c r="E262" s="919">
        <v>1</v>
      </c>
      <c r="F262" s="920">
        <v>1.05</v>
      </c>
      <c r="G262" s="920">
        <v>0</v>
      </c>
      <c r="H262" s="920">
        <v>2.1</v>
      </c>
      <c r="I262" s="1266">
        <f>-ROUND(IF(AND(F262:H262),C262*E262*F262*G262*H262,IF(AND(F262,G262),C262*E262*F262*G262,IF(AND(F262,H262),C262*E262*F262*H262,IF(AND(G262,H262),C262*E262*G262*H262,IF(F262,C262*E262*F262,IF(G262,C262*E262*G262,IF(H262,C262*E262*H262,C262*E262))))))),2)</f>
        <v>-2.21</v>
      </c>
      <c r="J262" s="955" t="s">
        <v>102</v>
      </c>
      <c r="K262" s="902"/>
      <c r="L262" s="923"/>
      <c r="M262" s="902"/>
      <c r="N262" s="900" t="s">
        <v>2309</v>
      </c>
    </row>
    <row r="263" spans="1:14" s="910" customFormat="1" ht="16.5" hidden="1" customHeight="1">
      <c r="A263" s="896"/>
      <c r="B263" s="902" t="s">
        <v>3479</v>
      </c>
      <c r="C263" s="897">
        <v>1</v>
      </c>
      <c r="D263" s="1263" t="s">
        <v>273</v>
      </c>
      <c r="E263" s="919">
        <v>1</v>
      </c>
      <c r="F263" s="920">
        <v>1.35</v>
      </c>
      <c r="G263" s="920">
        <v>0</v>
      </c>
      <c r="H263" s="920">
        <v>3.1749999999999998</v>
      </c>
      <c r="I263" s="1266">
        <f>-ROUND(IF(AND(F263:H263),C263*E263*F263*G263*H263,IF(AND(F263,G263),C263*E263*F263*G263,IF(AND(F263,H263),C263*E263*F263*H263,IF(AND(G263,H263),C263*E263*G263*H263,IF(F263,C263*E263*F263,IF(G263,C263*E263*G263,IF(H263,C263*E263*H263,C263*E263))))))),2)</f>
        <v>-4.29</v>
      </c>
      <c r="J263" s="955" t="s">
        <v>102</v>
      </c>
      <c r="K263" s="902"/>
      <c r="L263" s="923"/>
      <c r="M263" s="902"/>
      <c r="N263" s="900" t="s">
        <v>2309</v>
      </c>
    </row>
    <row r="264" spans="1:14" s="910" customFormat="1" ht="16.5" hidden="1" customHeight="1">
      <c r="A264" s="896"/>
      <c r="B264" s="902" t="s">
        <v>3480</v>
      </c>
      <c r="C264" s="897">
        <v>1</v>
      </c>
      <c r="D264" s="1263" t="s">
        <v>273</v>
      </c>
      <c r="E264" s="919">
        <v>1</v>
      </c>
      <c r="F264" s="920">
        <v>5.84</v>
      </c>
      <c r="G264" s="920">
        <v>0</v>
      </c>
      <c r="H264" s="920">
        <v>3.3</v>
      </c>
      <c r="I264" s="1266">
        <f t="shared" si="4"/>
        <v>19.27</v>
      </c>
      <c r="J264" s="955" t="s">
        <v>102</v>
      </c>
      <c r="K264" s="902"/>
      <c r="L264" s="923"/>
      <c r="M264" s="902"/>
      <c r="N264" s="900" t="s">
        <v>2309</v>
      </c>
    </row>
    <row r="265" spans="1:14" s="910" customFormat="1" ht="16.5" hidden="1" customHeight="1">
      <c r="A265" s="896"/>
      <c r="B265" s="902" t="s">
        <v>579</v>
      </c>
      <c r="C265" s="897">
        <v>1</v>
      </c>
      <c r="D265" s="1263" t="s">
        <v>273</v>
      </c>
      <c r="E265" s="919">
        <v>1</v>
      </c>
      <c r="F265" s="920">
        <v>0.75</v>
      </c>
      <c r="G265" s="920">
        <v>0</v>
      </c>
      <c r="H265" s="920">
        <v>2.1</v>
      </c>
      <c r="I265" s="1266">
        <f>-ROUND(IF(AND(F265:H265),C265*E265*F265*G265*H265,IF(AND(F265,G265),C265*E265*F265*G265,IF(AND(F265,H265),C265*E265*F265*H265,IF(AND(G265,H265),C265*E265*G265*H265,IF(F265,C265*E265*F265,IF(G265,C265*E265*G265,IF(H265,C265*E265*H265,C265*E265))))))),2)</f>
        <v>-1.58</v>
      </c>
      <c r="J265" s="955" t="s">
        <v>102</v>
      </c>
      <c r="K265" s="902"/>
      <c r="L265" s="923"/>
      <c r="M265" s="902"/>
      <c r="N265" s="900" t="s">
        <v>2309</v>
      </c>
    </row>
    <row r="266" spans="1:14" s="910" customFormat="1" ht="16.5" hidden="1" customHeight="1">
      <c r="A266" s="896"/>
      <c r="B266" s="902" t="s">
        <v>798</v>
      </c>
      <c r="C266" s="897">
        <v>1</v>
      </c>
      <c r="D266" s="1263" t="s">
        <v>273</v>
      </c>
      <c r="E266" s="919">
        <v>1</v>
      </c>
      <c r="F266" s="920">
        <v>0.6</v>
      </c>
      <c r="G266" s="920">
        <v>0</v>
      </c>
      <c r="H266" s="920">
        <v>0.3</v>
      </c>
      <c r="I266" s="1266">
        <f>-ROUND(IF(AND(F266:H266),C266*E266*F266*G266*H266,IF(AND(F266,G266),C266*E266*F266*G266,IF(AND(F266,H266),C266*E266*F266*H266,IF(AND(G266,H266),C266*E266*G266*H266,IF(F266,C266*E266*F266,IF(G266,C266*E266*G266,IF(H266,C266*E266*H266,C266*E266))))))),2)</f>
        <v>-0.18</v>
      </c>
      <c r="J266" s="955" t="s">
        <v>102</v>
      </c>
      <c r="K266" s="902"/>
      <c r="L266" s="923"/>
      <c r="M266" s="902"/>
      <c r="N266" s="900" t="s">
        <v>2309</v>
      </c>
    </row>
    <row r="267" spans="1:14" s="910" customFormat="1" ht="16.5" hidden="1" customHeight="1">
      <c r="A267" s="896"/>
      <c r="B267" s="902" t="s">
        <v>3481</v>
      </c>
      <c r="C267" s="897">
        <v>1</v>
      </c>
      <c r="D267" s="1263" t="s">
        <v>273</v>
      </c>
      <c r="E267" s="919">
        <v>1</v>
      </c>
      <c r="F267" s="920">
        <v>3.65</v>
      </c>
      <c r="G267" s="920">
        <v>0</v>
      </c>
      <c r="H267" s="920">
        <v>3.3</v>
      </c>
      <c r="I267" s="1266">
        <f t="shared" si="4"/>
        <v>12.05</v>
      </c>
      <c r="J267" s="955" t="s">
        <v>102</v>
      </c>
      <c r="K267" s="902"/>
      <c r="L267" s="923"/>
      <c r="M267" s="902"/>
      <c r="N267" s="900" t="s">
        <v>2309</v>
      </c>
    </row>
    <row r="268" spans="1:14" s="910" customFormat="1" ht="16.5" hidden="1" customHeight="1">
      <c r="A268" s="896"/>
      <c r="B268" s="902" t="s">
        <v>579</v>
      </c>
      <c r="C268" s="897">
        <v>1</v>
      </c>
      <c r="D268" s="1263" t="s">
        <v>273</v>
      </c>
      <c r="E268" s="919">
        <v>1</v>
      </c>
      <c r="F268" s="920">
        <v>0.97</v>
      </c>
      <c r="G268" s="920">
        <v>0</v>
      </c>
      <c r="H268" s="920">
        <v>2.1</v>
      </c>
      <c r="I268" s="1266">
        <f>-ROUND(IF(AND(F268:H268),C268*E268*F268*G268*H268,IF(AND(F268,G268),C268*E268*F268*G268,IF(AND(F268,H268),C268*E268*F268*H268,IF(AND(G268,H268),C268*E268*G268*H268,IF(F268,C268*E268*F268,IF(G268,C268*E268*G268,IF(H268,C268*E268*H268,C268*E268))))))),2)</f>
        <v>-2.04</v>
      </c>
      <c r="J268" s="955" t="s">
        <v>102</v>
      </c>
      <c r="K268" s="902"/>
      <c r="L268" s="923"/>
      <c r="M268" s="902"/>
      <c r="N268" s="900" t="s">
        <v>2309</v>
      </c>
    </row>
    <row r="269" spans="1:14" s="910" customFormat="1" ht="16.5" hidden="1" customHeight="1">
      <c r="A269" s="896"/>
      <c r="B269" s="902" t="s">
        <v>2197</v>
      </c>
      <c r="C269" s="897">
        <v>1</v>
      </c>
      <c r="D269" s="1263" t="s">
        <v>273</v>
      </c>
      <c r="E269" s="919">
        <v>1</v>
      </c>
      <c r="F269" s="920">
        <v>0.75</v>
      </c>
      <c r="G269" s="920">
        <v>0</v>
      </c>
      <c r="H269" s="920">
        <v>2.1</v>
      </c>
      <c r="I269" s="1266">
        <f>-ROUND(IF(AND(F269:H269),C269*E269*F269*G269*H269,IF(AND(F269,G269),C269*E269*F269*G269,IF(AND(F269,H269),C269*E269*F269*H269,IF(AND(G269,H269),C269*E269*G269*H269,IF(F269,C269*E269*F269,IF(G269,C269*E269*G269,IF(H269,C269*E269*H269,C269*E269))))))),2)</f>
        <v>-1.58</v>
      </c>
      <c r="J269" s="955" t="s">
        <v>102</v>
      </c>
      <c r="K269" s="902"/>
      <c r="L269" s="923"/>
      <c r="M269" s="902"/>
      <c r="N269" s="900" t="s">
        <v>2309</v>
      </c>
    </row>
    <row r="270" spans="1:14" s="910" customFormat="1" ht="16.5" hidden="1" customHeight="1">
      <c r="A270" s="896"/>
      <c r="B270" s="902" t="s">
        <v>3482</v>
      </c>
      <c r="C270" s="897">
        <v>1</v>
      </c>
      <c r="D270" s="1263" t="s">
        <v>273</v>
      </c>
      <c r="E270" s="919">
        <v>1</v>
      </c>
      <c r="F270" s="920">
        <v>9.6999999999999993</v>
      </c>
      <c r="G270" s="920">
        <v>0</v>
      </c>
      <c r="H270" s="920">
        <v>3.3</v>
      </c>
      <c r="I270" s="1266">
        <f t="shared" si="4"/>
        <v>32.01</v>
      </c>
      <c r="J270" s="955" t="s">
        <v>102</v>
      </c>
      <c r="K270" s="902"/>
      <c r="L270" s="923"/>
      <c r="M270" s="902"/>
      <c r="N270" s="900" t="s">
        <v>2309</v>
      </c>
    </row>
    <row r="271" spans="1:14" s="910" customFormat="1" ht="16.5" hidden="1" customHeight="1">
      <c r="A271" s="896"/>
      <c r="B271" s="902" t="s">
        <v>579</v>
      </c>
      <c r="C271" s="897">
        <v>1</v>
      </c>
      <c r="D271" s="1263" t="s">
        <v>273</v>
      </c>
      <c r="E271" s="919">
        <v>1</v>
      </c>
      <c r="F271" s="920">
        <v>0.97</v>
      </c>
      <c r="G271" s="920">
        <v>0</v>
      </c>
      <c r="H271" s="920">
        <v>2.1</v>
      </c>
      <c r="I271" s="1266">
        <f>-ROUND(IF(AND(F271:H271),C271*E271*F271*G271*H271,IF(AND(F271,G271),C271*E271*F271*G271,IF(AND(F271,H271),C271*E271*F271*H271,IF(AND(G271,H271),C271*E271*G271*H271,IF(F271,C271*E271*F271,IF(G271,C271*E271*G271,IF(H271,C271*E271*H271,C271*E271))))))),2)</f>
        <v>-2.04</v>
      </c>
      <c r="J271" s="955" t="s">
        <v>102</v>
      </c>
      <c r="K271" s="902"/>
      <c r="L271" s="923"/>
      <c r="M271" s="902"/>
      <c r="N271" s="900" t="s">
        <v>2309</v>
      </c>
    </row>
    <row r="272" spans="1:14" s="910" customFormat="1" ht="16.5" hidden="1" customHeight="1">
      <c r="A272" s="896"/>
      <c r="B272" s="902" t="s">
        <v>2370</v>
      </c>
      <c r="C272" s="897">
        <v>1</v>
      </c>
      <c r="D272" s="1263" t="s">
        <v>273</v>
      </c>
      <c r="E272" s="919">
        <v>1</v>
      </c>
      <c r="F272" s="920">
        <v>1.2</v>
      </c>
      <c r="G272" s="920">
        <v>0</v>
      </c>
      <c r="H272" s="920">
        <v>1.2</v>
      </c>
      <c r="I272" s="1266">
        <f>-ROUND(IF(AND(F272:H272),C272*E272*F272*G272*H272,IF(AND(F272,G272),C272*E272*F272*G272,IF(AND(F272,H272),C272*E272*F272*H272,IF(AND(G272,H272),C272*E272*G272*H272,IF(F272,C272*E272*F272,IF(G272,C272*E272*G272,IF(H272,C272*E272*H272,C272*E272))))))),2)</f>
        <v>-1.44</v>
      </c>
      <c r="J272" s="955" t="s">
        <v>102</v>
      </c>
      <c r="K272" s="902"/>
      <c r="L272" s="923"/>
      <c r="M272" s="902"/>
      <c r="N272" s="900" t="s">
        <v>2309</v>
      </c>
    </row>
    <row r="273" spans="1:14" s="910" customFormat="1" ht="16.5" hidden="1" customHeight="1">
      <c r="A273" s="896"/>
      <c r="B273" s="902" t="s">
        <v>798</v>
      </c>
      <c r="C273" s="897">
        <v>1</v>
      </c>
      <c r="D273" s="1263" t="s">
        <v>273</v>
      </c>
      <c r="E273" s="919">
        <v>1</v>
      </c>
      <c r="F273" s="920">
        <v>0.6</v>
      </c>
      <c r="G273" s="920">
        <v>0</v>
      </c>
      <c r="H273" s="920">
        <v>0.3</v>
      </c>
      <c r="I273" s="1266">
        <f>-ROUND(IF(AND(F273:H273),C273*E273*F273*G273*H273,IF(AND(F273,G273),C273*E273*F273*G273,IF(AND(F273,H273),C273*E273*F273*H273,IF(AND(G273,H273),C273*E273*G273*H273,IF(F273,C273*E273*F273,IF(G273,C273*E273*G273,IF(H273,C273*E273*H273,C273*E273))))))),2)</f>
        <v>-0.18</v>
      </c>
      <c r="J273" s="955" t="s">
        <v>102</v>
      </c>
      <c r="K273" s="902"/>
      <c r="L273" s="923"/>
      <c r="M273" s="902"/>
      <c r="N273" s="900" t="s">
        <v>2309</v>
      </c>
    </row>
    <row r="274" spans="1:14" s="910" customFormat="1" ht="16.5" hidden="1" customHeight="1">
      <c r="A274" s="896"/>
      <c r="B274" s="902" t="s">
        <v>3483</v>
      </c>
      <c r="C274" s="897">
        <v>1</v>
      </c>
      <c r="D274" s="1263" t="s">
        <v>273</v>
      </c>
      <c r="E274" s="919">
        <v>1</v>
      </c>
      <c r="F274" s="920">
        <v>11.54</v>
      </c>
      <c r="G274" s="920">
        <v>0</v>
      </c>
      <c r="H274" s="920">
        <v>3.3</v>
      </c>
      <c r="I274" s="1266">
        <f t="shared" si="4"/>
        <v>38.08</v>
      </c>
      <c r="J274" s="955" t="s">
        <v>102</v>
      </c>
      <c r="K274" s="902"/>
      <c r="L274" s="923"/>
      <c r="M274" s="902"/>
      <c r="N274" s="900" t="s">
        <v>2309</v>
      </c>
    </row>
    <row r="275" spans="1:14" s="910" customFormat="1" ht="16.5" hidden="1" customHeight="1">
      <c r="A275" s="896"/>
      <c r="B275" s="902" t="s">
        <v>579</v>
      </c>
      <c r="C275" s="897">
        <v>1</v>
      </c>
      <c r="D275" s="1263" t="s">
        <v>273</v>
      </c>
      <c r="E275" s="919">
        <v>1</v>
      </c>
      <c r="F275" s="920">
        <v>0.9</v>
      </c>
      <c r="G275" s="920">
        <v>0</v>
      </c>
      <c r="H275" s="920">
        <v>2.1</v>
      </c>
      <c r="I275" s="1266">
        <f>-ROUND(IF(AND(F275:H275),C275*E275*F275*G275*H275,IF(AND(F275,G275),C275*E275*F275*G275,IF(AND(F275,H275),C275*E275*F275*H275,IF(AND(G275,H275),C275*E275*G275*H275,IF(F275,C275*E275*F275,IF(G275,C275*E275*G275,IF(H275,C275*E275*H275,C275*E275))))))),2)</f>
        <v>-1.89</v>
      </c>
      <c r="J275" s="955" t="s">
        <v>102</v>
      </c>
      <c r="K275" s="902"/>
      <c r="L275" s="923"/>
      <c r="M275" s="902"/>
      <c r="N275" s="900" t="s">
        <v>2309</v>
      </c>
    </row>
    <row r="276" spans="1:14" s="910" customFormat="1" ht="16.5" hidden="1" customHeight="1">
      <c r="A276" s="896"/>
      <c r="B276" s="902" t="s">
        <v>2370</v>
      </c>
      <c r="C276" s="897">
        <v>1</v>
      </c>
      <c r="D276" s="1263" t="s">
        <v>273</v>
      </c>
      <c r="E276" s="919">
        <v>1</v>
      </c>
      <c r="F276" s="920">
        <v>1.2</v>
      </c>
      <c r="G276" s="920">
        <v>0</v>
      </c>
      <c r="H276" s="920">
        <v>1.2</v>
      </c>
      <c r="I276" s="1266">
        <f>-ROUND(IF(AND(F276:H276),C276*E276*F276*G276*H276,IF(AND(F276,G276),C276*E276*F276*G276,IF(AND(F276,H276),C276*E276*F276*H276,IF(AND(G276,H276),C276*E276*G276*H276,IF(F276,C276*E276*F276,IF(G276,C276*E276*G276,IF(H276,C276*E276*H276,C276*E276))))))),2)</f>
        <v>-1.44</v>
      </c>
      <c r="J276" s="955" t="s">
        <v>102</v>
      </c>
      <c r="K276" s="902"/>
      <c r="L276" s="923"/>
      <c r="M276" s="902"/>
      <c r="N276" s="900" t="s">
        <v>2309</v>
      </c>
    </row>
    <row r="277" spans="1:14" s="910" customFormat="1" ht="16.5" hidden="1" customHeight="1">
      <c r="A277" s="896"/>
      <c r="B277" s="902" t="s">
        <v>798</v>
      </c>
      <c r="C277" s="897">
        <v>1</v>
      </c>
      <c r="D277" s="1263" t="s">
        <v>273</v>
      </c>
      <c r="E277" s="919">
        <v>1</v>
      </c>
      <c r="F277" s="920">
        <v>0.6</v>
      </c>
      <c r="G277" s="920">
        <v>0</v>
      </c>
      <c r="H277" s="920">
        <v>0.3</v>
      </c>
      <c r="I277" s="1266">
        <f>-ROUND(IF(AND(F277:H277),C277*E277*F277*G277*H277,IF(AND(F277,G277),C277*E277*F277*G277,IF(AND(F277,H277),C277*E277*F277*H277,IF(AND(G277,H277),C277*E277*G277*H277,IF(F277,C277*E277*F277,IF(G277,C277*E277*G277,IF(H277,C277*E277*H277,C277*E277))))))),2)</f>
        <v>-0.18</v>
      </c>
      <c r="J277" s="955" t="s">
        <v>102</v>
      </c>
      <c r="K277" s="902"/>
      <c r="L277" s="923"/>
      <c r="M277" s="902"/>
      <c r="N277" s="900" t="s">
        <v>2309</v>
      </c>
    </row>
    <row r="278" spans="1:14" s="910" customFormat="1" ht="16.5" hidden="1" customHeight="1">
      <c r="A278" s="896"/>
      <c r="B278" s="902" t="s">
        <v>3484</v>
      </c>
      <c r="C278" s="897">
        <v>1</v>
      </c>
      <c r="D278" s="1263" t="s">
        <v>273</v>
      </c>
      <c r="E278" s="919">
        <v>1</v>
      </c>
      <c r="F278" s="920">
        <v>18.82</v>
      </c>
      <c r="G278" s="920">
        <v>0</v>
      </c>
      <c r="H278" s="920">
        <v>3.3</v>
      </c>
      <c r="I278" s="1266">
        <f t="shared" si="4"/>
        <v>62.11</v>
      </c>
      <c r="J278" s="955" t="s">
        <v>102</v>
      </c>
      <c r="K278" s="902"/>
      <c r="L278" s="923"/>
      <c r="M278" s="902"/>
      <c r="N278" s="900" t="s">
        <v>2309</v>
      </c>
    </row>
    <row r="279" spans="1:14" s="910" customFormat="1" ht="16.5" hidden="1" customHeight="1">
      <c r="A279" s="896"/>
      <c r="B279" s="902" t="s">
        <v>3485</v>
      </c>
      <c r="C279" s="897">
        <v>1</v>
      </c>
      <c r="D279" s="1263" t="s">
        <v>273</v>
      </c>
      <c r="E279" s="919">
        <v>1</v>
      </c>
      <c r="F279" s="920">
        <v>0.9</v>
      </c>
      <c r="G279" s="920">
        <v>0</v>
      </c>
      <c r="H279" s="920">
        <v>2.1</v>
      </c>
      <c r="I279" s="1266">
        <f t="shared" ref="I279:I284" si="5">-ROUND(IF(AND(F279:H279),C279*E279*F279*G279*H279,IF(AND(F279,G279),C279*E279*F279*G279,IF(AND(F279,H279),C279*E279*F279*H279,IF(AND(G279,H279),C279*E279*G279*H279,IF(F279,C279*E279*F279,IF(G279,C279*E279*G279,IF(H279,C279*E279*H279,C279*E279))))))),2)</f>
        <v>-1.89</v>
      </c>
      <c r="J279" s="955" t="s">
        <v>102</v>
      </c>
      <c r="K279" s="902"/>
      <c r="L279" s="923"/>
      <c r="M279" s="902"/>
      <c r="N279" s="900" t="s">
        <v>2309</v>
      </c>
    </row>
    <row r="280" spans="1:14" s="910" customFormat="1" ht="16.5" hidden="1" customHeight="1">
      <c r="A280" s="896"/>
      <c r="B280" s="902" t="s">
        <v>3479</v>
      </c>
      <c r="C280" s="897">
        <v>1</v>
      </c>
      <c r="D280" s="1263" t="s">
        <v>273</v>
      </c>
      <c r="E280" s="919">
        <v>1</v>
      </c>
      <c r="F280" s="920">
        <v>1.35</v>
      </c>
      <c r="G280" s="920">
        <v>0</v>
      </c>
      <c r="H280" s="920">
        <v>3.1</v>
      </c>
      <c r="I280" s="1266">
        <f t="shared" si="5"/>
        <v>-4.1900000000000004</v>
      </c>
      <c r="J280" s="955" t="s">
        <v>102</v>
      </c>
      <c r="K280" s="902"/>
      <c r="L280" s="923"/>
      <c r="M280" s="902"/>
      <c r="N280" s="900" t="s">
        <v>2309</v>
      </c>
    </row>
    <row r="281" spans="1:14" s="910" customFormat="1" ht="16.5" hidden="1" customHeight="1">
      <c r="A281" s="896"/>
      <c r="B281" s="902" t="s">
        <v>3486</v>
      </c>
      <c r="C281" s="897">
        <v>1</v>
      </c>
      <c r="D281" s="1263" t="s">
        <v>273</v>
      </c>
      <c r="E281" s="919">
        <v>1</v>
      </c>
      <c r="F281" s="920">
        <v>0.8</v>
      </c>
      <c r="G281" s="920">
        <v>0</v>
      </c>
      <c r="H281" s="920">
        <v>2.1</v>
      </c>
      <c r="I281" s="1266">
        <f t="shared" si="5"/>
        <v>-1.68</v>
      </c>
      <c r="J281" s="955" t="s">
        <v>102</v>
      </c>
      <c r="K281" s="902"/>
      <c r="L281" s="923"/>
      <c r="M281" s="902"/>
      <c r="N281" s="900" t="s">
        <v>2309</v>
      </c>
    </row>
    <row r="282" spans="1:14" s="910" customFormat="1" ht="16.5" hidden="1" customHeight="1">
      <c r="A282" s="896"/>
      <c r="B282" s="902" t="s">
        <v>2370</v>
      </c>
      <c r="C282" s="897">
        <v>1</v>
      </c>
      <c r="D282" s="1263" t="s">
        <v>273</v>
      </c>
      <c r="E282" s="919">
        <v>2</v>
      </c>
      <c r="F282" s="920">
        <v>1.2</v>
      </c>
      <c r="G282" s="920">
        <v>0</v>
      </c>
      <c r="H282" s="920">
        <v>1.2</v>
      </c>
      <c r="I282" s="1266">
        <f t="shared" si="5"/>
        <v>-2.88</v>
      </c>
      <c r="J282" s="955" t="s">
        <v>102</v>
      </c>
      <c r="K282" s="902"/>
      <c r="L282" s="923"/>
      <c r="M282" s="902"/>
      <c r="N282" s="900" t="s">
        <v>2309</v>
      </c>
    </row>
    <row r="283" spans="1:14" s="910" customFormat="1" ht="16.5" hidden="1" customHeight="1">
      <c r="A283" s="896"/>
      <c r="B283" s="902" t="s">
        <v>3478</v>
      </c>
      <c r="C283" s="897">
        <v>1</v>
      </c>
      <c r="D283" s="1263" t="s">
        <v>273</v>
      </c>
      <c r="E283" s="919">
        <v>1</v>
      </c>
      <c r="F283" s="920">
        <v>1.07</v>
      </c>
      <c r="G283" s="920">
        <v>0</v>
      </c>
      <c r="H283" s="920">
        <v>2.1</v>
      </c>
      <c r="I283" s="1266">
        <f t="shared" si="5"/>
        <v>-2.25</v>
      </c>
      <c r="J283" s="955" t="s">
        <v>102</v>
      </c>
      <c r="K283" s="902"/>
      <c r="L283" s="923"/>
      <c r="M283" s="902"/>
      <c r="N283" s="900" t="s">
        <v>2309</v>
      </c>
    </row>
    <row r="284" spans="1:14" s="910" customFormat="1" ht="16.5" hidden="1" customHeight="1">
      <c r="A284" s="896"/>
      <c r="B284" s="902" t="s">
        <v>3487</v>
      </c>
      <c r="C284" s="897">
        <v>1</v>
      </c>
      <c r="D284" s="1263" t="s">
        <v>273</v>
      </c>
      <c r="E284" s="919">
        <v>3</v>
      </c>
      <c r="F284" s="920">
        <v>0.6</v>
      </c>
      <c r="G284" s="920">
        <v>0</v>
      </c>
      <c r="H284" s="920">
        <v>0.3</v>
      </c>
      <c r="I284" s="1266">
        <f t="shared" si="5"/>
        <v>-0.54</v>
      </c>
      <c r="J284" s="955" t="s">
        <v>102</v>
      </c>
      <c r="K284" s="902"/>
      <c r="L284" s="923"/>
      <c r="M284" s="902"/>
      <c r="N284" s="900" t="s">
        <v>2309</v>
      </c>
    </row>
    <row r="285" spans="1:14" s="910" customFormat="1" ht="16.5" hidden="1" customHeight="1">
      <c r="A285" s="896"/>
      <c r="B285" s="902" t="s">
        <v>3488</v>
      </c>
      <c r="C285" s="897">
        <v>1</v>
      </c>
      <c r="D285" s="1263" t="s">
        <v>273</v>
      </c>
      <c r="E285" s="919">
        <v>1</v>
      </c>
      <c r="F285" s="920">
        <v>6.8</v>
      </c>
      <c r="G285" s="920">
        <v>0</v>
      </c>
      <c r="H285" s="920">
        <v>3.3</v>
      </c>
      <c r="I285" s="1266">
        <f t="shared" si="4"/>
        <v>22.44</v>
      </c>
      <c r="J285" s="955" t="s">
        <v>102</v>
      </c>
      <c r="K285" s="902"/>
      <c r="L285" s="923"/>
      <c r="M285" s="902"/>
      <c r="N285" s="900" t="s">
        <v>2309</v>
      </c>
    </row>
    <row r="286" spans="1:14" s="910" customFormat="1" ht="16.5" hidden="1" customHeight="1">
      <c r="A286" s="896"/>
      <c r="B286" s="902" t="s">
        <v>579</v>
      </c>
      <c r="C286" s="897">
        <v>1</v>
      </c>
      <c r="D286" s="1263" t="s">
        <v>273</v>
      </c>
      <c r="E286" s="919">
        <v>1</v>
      </c>
      <c r="F286" s="920">
        <v>0.8</v>
      </c>
      <c r="G286" s="920">
        <v>0</v>
      </c>
      <c r="H286" s="920">
        <v>2.1</v>
      </c>
      <c r="I286" s="1266">
        <f>-ROUND(IF(AND(F286:H286),C286*E286*F286*G286*H286,IF(AND(F286,G286),C286*E286*F286*G286,IF(AND(F286,H286),C286*E286*F286*H286,IF(AND(G286,H286),C286*E286*G286*H286,IF(F286,C286*E286*F286,IF(G286,C286*E286*G286,IF(H286,C286*E286*H286,C286*E286))))))),2)</f>
        <v>-1.68</v>
      </c>
      <c r="J286" s="955" t="s">
        <v>102</v>
      </c>
      <c r="K286" s="902"/>
      <c r="L286" s="923"/>
      <c r="M286" s="902"/>
      <c r="N286" s="900" t="s">
        <v>2309</v>
      </c>
    </row>
    <row r="287" spans="1:14" s="910" customFormat="1" ht="16.5" hidden="1" customHeight="1">
      <c r="A287" s="896"/>
      <c r="B287" s="902" t="s">
        <v>798</v>
      </c>
      <c r="C287" s="897">
        <v>1</v>
      </c>
      <c r="D287" s="1263" t="s">
        <v>273</v>
      </c>
      <c r="E287" s="919">
        <v>1</v>
      </c>
      <c r="F287" s="920">
        <v>0.6</v>
      </c>
      <c r="G287" s="920">
        <v>0</v>
      </c>
      <c r="H287" s="920">
        <v>0.3</v>
      </c>
      <c r="I287" s="1266">
        <f>-ROUND(IF(AND(F287:H287),C287*E287*F287*G287*H287,IF(AND(F287,G287),C287*E287*F287*G287,IF(AND(F287,H287),C287*E287*F287*H287,IF(AND(G287,H287),C287*E287*G287*H287,IF(F287,C287*E287*F287,IF(G287,C287*E287*G287,IF(H287,C287*E287*H287,C287*E287))))))),2)</f>
        <v>-0.18</v>
      </c>
      <c r="J287" s="955" t="s">
        <v>102</v>
      </c>
      <c r="K287" s="902"/>
      <c r="L287" s="923"/>
      <c r="M287" s="902"/>
      <c r="N287" s="900" t="s">
        <v>2309</v>
      </c>
    </row>
    <row r="288" spans="1:14" s="910" customFormat="1" ht="16.5" hidden="1" customHeight="1">
      <c r="A288" s="896"/>
      <c r="B288" s="902" t="s">
        <v>3489</v>
      </c>
      <c r="C288" s="897">
        <v>1</v>
      </c>
      <c r="D288" s="1263" t="s">
        <v>273</v>
      </c>
      <c r="E288" s="919">
        <v>1</v>
      </c>
      <c r="F288" s="920">
        <v>3.05</v>
      </c>
      <c r="G288" s="920">
        <v>0</v>
      </c>
      <c r="H288" s="920">
        <v>3.3</v>
      </c>
      <c r="I288" s="1266">
        <f t="shared" si="4"/>
        <v>10.07</v>
      </c>
      <c r="J288" s="955" t="s">
        <v>102</v>
      </c>
      <c r="K288" s="902"/>
      <c r="L288" s="923"/>
      <c r="M288" s="902"/>
      <c r="N288" s="900" t="s">
        <v>2309</v>
      </c>
    </row>
    <row r="289" spans="1:14" s="910" customFormat="1" ht="16.5" hidden="1" customHeight="1">
      <c r="A289" s="896"/>
      <c r="B289" s="902" t="s">
        <v>579</v>
      </c>
      <c r="C289" s="897">
        <v>1</v>
      </c>
      <c r="D289" s="1263" t="s">
        <v>273</v>
      </c>
      <c r="E289" s="919">
        <v>1</v>
      </c>
      <c r="F289" s="920">
        <v>0.8</v>
      </c>
      <c r="G289" s="920">
        <v>0</v>
      </c>
      <c r="H289" s="920">
        <v>2.1</v>
      </c>
      <c r="I289" s="1266">
        <f>-ROUND(IF(AND(F289:H289),C289*E289*F289*G289*H289,IF(AND(F289,G289),C289*E289*F289*G289,IF(AND(F289,H289),C289*E289*F289*H289,IF(AND(G289,H289),C289*E289*G289*H289,IF(F289,C289*E289*F289,IF(G289,C289*E289*G289,IF(H289,C289*E289*H289,C289*E289))))))),2)</f>
        <v>-1.68</v>
      </c>
      <c r="J289" s="955" t="s">
        <v>102</v>
      </c>
      <c r="K289" s="902"/>
      <c r="L289" s="923"/>
      <c r="M289" s="902"/>
      <c r="N289" s="900" t="s">
        <v>2309</v>
      </c>
    </row>
    <row r="290" spans="1:14" s="910" customFormat="1" ht="16.5" hidden="1" customHeight="1">
      <c r="A290" s="896"/>
      <c r="B290" s="902" t="s">
        <v>3490</v>
      </c>
      <c r="C290" s="897">
        <v>1</v>
      </c>
      <c r="D290" s="1263" t="s">
        <v>273</v>
      </c>
      <c r="E290" s="919">
        <v>1</v>
      </c>
      <c r="F290" s="920">
        <v>7.08</v>
      </c>
      <c r="G290" s="920">
        <v>0</v>
      </c>
      <c r="H290" s="920">
        <v>3.3</v>
      </c>
      <c r="I290" s="1266">
        <f t="shared" si="4"/>
        <v>23.36</v>
      </c>
      <c r="J290" s="955" t="s">
        <v>102</v>
      </c>
      <c r="K290" s="902"/>
      <c r="L290" s="923"/>
      <c r="M290" s="902"/>
      <c r="N290" s="900" t="s">
        <v>2309</v>
      </c>
    </row>
    <row r="291" spans="1:14" s="910" customFormat="1" ht="16.5" hidden="1" customHeight="1">
      <c r="A291" s="896"/>
      <c r="B291" s="902" t="s">
        <v>2370</v>
      </c>
      <c r="C291" s="897">
        <v>1</v>
      </c>
      <c r="D291" s="1263" t="s">
        <v>273</v>
      </c>
      <c r="E291" s="919">
        <v>1</v>
      </c>
      <c r="F291" s="920">
        <v>1.2</v>
      </c>
      <c r="G291" s="920">
        <v>0</v>
      </c>
      <c r="H291" s="920">
        <v>1.2</v>
      </c>
      <c r="I291" s="1266">
        <f>-ROUND(IF(AND(F291:H291),C291*E291*F291*G291*H291,IF(AND(F291,G291),C291*E291*F291*G291,IF(AND(F291,H291),C291*E291*F291*H291,IF(AND(G291,H291),C291*E291*G291*H291,IF(F291,C291*E291*F291,IF(G291,C291*E291*G291,IF(H291,C291*E291*H291,C291*E291))))))),2)</f>
        <v>-1.44</v>
      </c>
      <c r="J291" s="955" t="s">
        <v>102</v>
      </c>
      <c r="K291" s="902"/>
      <c r="L291" s="923"/>
      <c r="M291" s="902"/>
      <c r="N291" s="900" t="s">
        <v>2309</v>
      </c>
    </row>
    <row r="292" spans="1:14" s="910" customFormat="1" ht="16.5" hidden="1" customHeight="1">
      <c r="A292" s="896"/>
      <c r="B292" s="902" t="s">
        <v>798</v>
      </c>
      <c r="C292" s="897">
        <v>1</v>
      </c>
      <c r="D292" s="1263" t="s">
        <v>273</v>
      </c>
      <c r="E292" s="919">
        <v>2</v>
      </c>
      <c r="F292" s="920">
        <v>0.6</v>
      </c>
      <c r="G292" s="920">
        <v>0</v>
      </c>
      <c r="H292" s="920">
        <v>0.3</v>
      </c>
      <c r="I292" s="1266">
        <f>-ROUND(IF(AND(F292:H292),C292*E292*F292*G292*H292,IF(AND(F292,G292),C292*E292*F292*G292,IF(AND(F292,H292),C292*E292*F292*H292,IF(AND(G292,H292),C292*E292*G292*H292,IF(F292,C292*E292*F292,IF(G292,C292*E292*G292,IF(H292,C292*E292*H292,C292*E292))))))),2)</f>
        <v>-0.36</v>
      </c>
      <c r="J292" s="955" t="s">
        <v>102</v>
      </c>
      <c r="K292" s="902"/>
      <c r="L292" s="923"/>
      <c r="M292" s="902"/>
      <c r="N292" s="900" t="s">
        <v>2309</v>
      </c>
    </row>
    <row r="293" spans="1:14" s="910" customFormat="1" ht="16.5" hidden="1" customHeight="1">
      <c r="A293" s="896"/>
      <c r="B293" s="902" t="s">
        <v>579</v>
      </c>
      <c r="C293" s="897">
        <v>1</v>
      </c>
      <c r="D293" s="1263" t="s">
        <v>273</v>
      </c>
      <c r="E293" s="919">
        <v>2</v>
      </c>
      <c r="F293" s="920">
        <v>0.8</v>
      </c>
      <c r="G293" s="920">
        <v>0</v>
      </c>
      <c r="H293" s="920">
        <v>2.1</v>
      </c>
      <c r="I293" s="1266">
        <f>-ROUND(IF(AND(F293:H293),C293*E293*F293*G293*H293,IF(AND(F293,G293),C293*E293*F293*G293,IF(AND(F293,H293),C293*E293*F293*H293,IF(AND(G293,H293),C293*E293*G293*H293,IF(F293,C293*E293*F293,IF(G293,C293*E293*G293,IF(H293,C293*E293*H293,C293*E293))))))),2)</f>
        <v>-3.36</v>
      </c>
      <c r="J293" s="955" t="s">
        <v>102</v>
      </c>
      <c r="K293" s="902"/>
      <c r="L293" s="923"/>
      <c r="M293" s="902"/>
      <c r="N293" s="900" t="s">
        <v>2309</v>
      </c>
    </row>
    <row r="294" spans="1:14" s="910" customFormat="1" ht="16.5" hidden="1" customHeight="1">
      <c r="A294" s="896"/>
      <c r="B294" s="902" t="s">
        <v>3491</v>
      </c>
      <c r="C294" s="897">
        <v>2</v>
      </c>
      <c r="D294" s="1263" t="s">
        <v>273</v>
      </c>
      <c r="E294" s="919">
        <v>8</v>
      </c>
      <c r="F294" s="920">
        <v>1.2</v>
      </c>
      <c r="G294" s="920">
        <v>0.23</v>
      </c>
      <c r="H294" s="920">
        <v>0</v>
      </c>
      <c r="I294" s="1266">
        <f t="shared" si="4"/>
        <v>4.42</v>
      </c>
      <c r="J294" s="955" t="s">
        <v>102</v>
      </c>
      <c r="K294" s="902"/>
      <c r="L294" s="923"/>
      <c r="M294" s="902"/>
      <c r="N294" s="900" t="s">
        <v>2309</v>
      </c>
    </row>
    <row r="295" spans="1:14" s="910" customFormat="1" ht="16.5" hidden="1" customHeight="1">
      <c r="A295" s="896"/>
      <c r="B295" s="902" t="s">
        <v>3492</v>
      </c>
      <c r="C295" s="897">
        <v>2</v>
      </c>
      <c r="D295" s="1263" t="s">
        <v>273</v>
      </c>
      <c r="E295" s="919">
        <v>8</v>
      </c>
      <c r="F295" s="920">
        <v>1.2</v>
      </c>
      <c r="G295" s="920">
        <v>0</v>
      </c>
      <c r="H295" s="920">
        <v>0.23</v>
      </c>
      <c r="I295" s="1266">
        <f t="shared" si="4"/>
        <v>4.42</v>
      </c>
      <c r="J295" s="955" t="s">
        <v>102</v>
      </c>
      <c r="K295" s="902"/>
      <c r="L295" s="923"/>
      <c r="M295" s="902"/>
      <c r="N295" s="900" t="s">
        <v>2309</v>
      </c>
    </row>
    <row r="296" spans="1:14" s="910" customFormat="1" ht="16.5" hidden="1" customHeight="1">
      <c r="A296" s="896"/>
      <c r="B296" s="956"/>
      <c r="C296" s="957"/>
      <c r="D296" s="958"/>
      <c r="E296" s="1268"/>
      <c r="F296" s="960"/>
      <c r="G296" s="960"/>
      <c r="H296" s="960"/>
      <c r="I296" s="916"/>
      <c r="J296" s="955"/>
      <c r="K296" s="902"/>
      <c r="L296" s="923"/>
      <c r="M296" s="902"/>
      <c r="N296" s="900" t="s">
        <v>2309</v>
      </c>
    </row>
    <row r="297" spans="1:14" ht="15.75" hidden="1">
      <c r="A297" s="896"/>
      <c r="B297" s="902"/>
      <c r="C297" s="917"/>
      <c r="D297" s="918"/>
      <c r="E297" s="919"/>
      <c r="F297" s="920"/>
      <c r="G297" s="921"/>
      <c r="H297" s="896"/>
      <c r="I297" s="916"/>
      <c r="J297" s="955" t="s">
        <v>102</v>
      </c>
      <c r="K297" s="922">
        <f>'data 2022-23'!E510</f>
        <v>388.21</v>
      </c>
      <c r="L297" s="923" t="s">
        <v>2419</v>
      </c>
      <c r="M297" s="924">
        <f>ROUND(I297*K297,0)</f>
        <v>0</v>
      </c>
      <c r="N297" s="900" t="s">
        <v>2309</v>
      </c>
    </row>
    <row r="298" spans="1:14" ht="71.25" hidden="1" customHeight="1">
      <c r="A298" s="896">
        <v>24</v>
      </c>
      <c r="B298" s="1609" t="s">
        <v>316</v>
      </c>
      <c r="C298" s="1609"/>
      <c r="D298" s="1609"/>
      <c r="E298" s="1609"/>
      <c r="F298" s="1609"/>
      <c r="G298" s="1609"/>
      <c r="H298" s="1609"/>
      <c r="I298" s="897"/>
      <c r="J298" s="898"/>
      <c r="K298" s="896"/>
      <c r="L298" s="923"/>
      <c r="M298" s="899"/>
      <c r="N298" s="900" t="s">
        <v>2309</v>
      </c>
    </row>
    <row r="299" spans="1:14" s="910" customFormat="1" ht="15.75" hidden="1">
      <c r="A299" s="896"/>
      <c r="B299" s="902" t="s">
        <v>3345</v>
      </c>
      <c r="C299" s="897"/>
      <c r="D299" s="1263"/>
      <c r="E299" s="919"/>
      <c r="F299" s="920"/>
      <c r="G299" s="920"/>
      <c r="H299" s="920"/>
      <c r="I299" s="1264"/>
      <c r="J299" s="955"/>
      <c r="K299" s="902"/>
      <c r="L299" s="923"/>
      <c r="M299" s="902"/>
      <c r="N299" s="900" t="s">
        <v>2309</v>
      </c>
    </row>
    <row r="300" spans="1:14" s="910" customFormat="1" ht="15.75" hidden="1">
      <c r="A300" s="896"/>
      <c r="B300" s="902" t="s">
        <v>1537</v>
      </c>
      <c r="C300" s="897">
        <v>1</v>
      </c>
      <c r="D300" s="1263" t="s">
        <v>273</v>
      </c>
      <c r="E300" s="919">
        <v>1</v>
      </c>
      <c r="F300" s="920">
        <v>12.48</v>
      </c>
      <c r="G300" s="920">
        <v>0</v>
      </c>
      <c r="H300" s="920">
        <v>3.3</v>
      </c>
      <c r="I300" s="1266">
        <f>ROUND(IF(AND(F300:H300),C300*E300*F300*G300*H300,IF(AND(F300,G300),C300*E300*F300*G300,IF(AND(F300,H300),C300*E300*F300*H300,IF(AND(G300,H300),C300*E300*G300*H300,IF(F300,C300*E300*F300,IF(G300,C300*E300*G300,IF(H300,C300*E300*H300,C300*E300))))))),2)</f>
        <v>41.18</v>
      </c>
      <c r="J300" s="955" t="s">
        <v>102</v>
      </c>
      <c r="K300" s="902"/>
      <c r="L300" s="923"/>
      <c r="M300" s="902"/>
      <c r="N300" s="900" t="s">
        <v>2309</v>
      </c>
    </row>
    <row r="301" spans="1:14" s="910" customFormat="1" ht="15.75" hidden="1">
      <c r="A301" s="896"/>
      <c r="B301" s="902" t="s">
        <v>1532</v>
      </c>
      <c r="C301" s="897">
        <v>1</v>
      </c>
      <c r="D301" s="1263" t="s">
        <v>273</v>
      </c>
      <c r="E301" s="919">
        <v>1</v>
      </c>
      <c r="F301" s="920">
        <v>1.59</v>
      </c>
      <c r="G301" s="920">
        <v>0</v>
      </c>
      <c r="H301" s="920">
        <v>1.35</v>
      </c>
      <c r="I301" s="1266">
        <f>-ROUND(IF(AND(F301:H301),C301*E301*F301*G301*H301,IF(AND(F301,G301),C301*E301*F301*G301,IF(AND(F301,H301),C301*E301*F301*H301,IF(AND(G301,H301),C301*E301*G301*H301,IF(F301,C301*E301*F301,IF(G301,C301*E301*G301,IF(H301,C301*E301*H301,C301*E301))))))),2)</f>
        <v>-2.15</v>
      </c>
      <c r="J301" s="955" t="s">
        <v>102</v>
      </c>
      <c r="K301" s="902"/>
      <c r="L301" s="923"/>
      <c r="M301" s="902"/>
      <c r="N301" s="900" t="s">
        <v>2309</v>
      </c>
    </row>
    <row r="302" spans="1:14" s="910" customFormat="1" ht="15.75" hidden="1">
      <c r="A302" s="896"/>
      <c r="B302" s="902" t="s">
        <v>798</v>
      </c>
      <c r="C302" s="897">
        <v>1</v>
      </c>
      <c r="D302" s="1263" t="s">
        <v>273</v>
      </c>
      <c r="E302" s="919">
        <v>10</v>
      </c>
      <c r="F302" s="920">
        <v>0.6</v>
      </c>
      <c r="G302" s="920">
        <v>0</v>
      </c>
      <c r="H302" s="920">
        <v>0.3</v>
      </c>
      <c r="I302" s="1266">
        <f>-ROUND(IF(AND(F302:H302),C302*E302*F302*G302*H302,IF(AND(F302,G302),C302*E302*F302*G302,IF(AND(F302,H302),C302*E302*F302*H302,IF(AND(G302,H302),C302*E302*G302*H302,IF(F302,C302*E302*F302,IF(G302,C302*E302*G302,IF(H302,C302*E302*H302,C302*E302))))))),2)</f>
        <v>-1.8</v>
      </c>
      <c r="J302" s="955" t="s">
        <v>102</v>
      </c>
      <c r="K302" s="902"/>
      <c r="L302" s="923"/>
      <c r="M302" s="902"/>
      <c r="N302" s="900" t="s">
        <v>2309</v>
      </c>
    </row>
    <row r="303" spans="1:14" s="910" customFormat="1" ht="15.75" hidden="1">
      <c r="A303" s="896"/>
      <c r="B303" s="956"/>
      <c r="C303" s="957"/>
      <c r="D303" s="958"/>
      <c r="E303" s="1268"/>
      <c r="F303" s="960"/>
      <c r="G303" s="960"/>
      <c r="H303" s="960"/>
      <c r="I303" s="916"/>
      <c r="J303" s="955"/>
      <c r="K303" s="902"/>
      <c r="L303" s="923"/>
      <c r="M303" s="902"/>
      <c r="N303" s="900" t="s">
        <v>2309</v>
      </c>
    </row>
    <row r="304" spans="1:14" ht="15.75" hidden="1">
      <c r="A304" s="896"/>
      <c r="B304" s="902"/>
      <c r="C304" s="917"/>
      <c r="D304" s="918"/>
      <c r="E304" s="919"/>
      <c r="F304" s="920"/>
      <c r="G304" s="921"/>
      <c r="H304" s="896"/>
      <c r="I304" s="916"/>
      <c r="J304" s="955" t="s">
        <v>102</v>
      </c>
      <c r="K304" s="922">
        <f>'data 2022-23'!E530</f>
        <v>404.02</v>
      </c>
      <c r="L304" s="923" t="s">
        <v>2419</v>
      </c>
      <c r="M304" s="924">
        <f>ROUND(I304*K304,0)</f>
        <v>0</v>
      </c>
      <c r="N304" s="900" t="s">
        <v>2309</v>
      </c>
    </row>
    <row r="305" spans="1:14" ht="92.25" hidden="1" customHeight="1">
      <c r="A305" s="896">
        <v>2</v>
      </c>
      <c r="B305" s="1609" t="s">
        <v>3317</v>
      </c>
      <c r="C305" s="1609"/>
      <c r="D305" s="1609"/>
      <c r="E305" s="1609"/>
      <c r="F305" s="1609"/>
      <c r="G305" s="1609"/>
      <c r="H305" s="1609"/>
      <c r="I305" s="897"/>
      <c r="J305" s="898"/>
      <c r="K305" s="896"/>
      <c r="L305" s="923"/>
      <c r="M305" s="899"/>
      <c r="N305" s="900" t="s">
        <v>2309</v>
      </c>
    </row>
    <row r="306" spans="1:14" s="910" customFormat="1" ht="16.5" hidden="1" customHeight="1">
      <c r="A306" s="896"/>
      <c r="B306" s="902" t="s">
        <v>3316</v>
      </c>
      <c r="C306" s="903"/>
      <c r="D306" s="1287" t="s">
        <v>3343</v>
      </c>
      <c r="E306" s="905"/>
      <c r="F306" s="906"/>
      <c r="G306" s="906"/>
      <c r="H306" s="907"/>
      <c r="I306" s="908"/>
      <c r="J306" s="955"/>
      <c r="K306" s="902"/>
      <c r="L306" s="923"/>
      <c r="M306" s="902"/>
      <c r="N306" s="900" t="s">
        <v>2309</v>
      </c>
    </row>
    <row r="307" spans="1:14" s="910" customFormat="1" ht="16.5" hidden="1" customHeight="1">
      <c r="A307" s="896"/>
      <c r="B307" s="911" t="s">
        <v>2360</v>
      </c>
      <c r="C307" s="912">
        <v>1</v>
      </c>
      <c r="D307" s="913" t="s">
        <v>273</v>
      </c>
      <c r="E307" s="914">
        <v>1</v>
      </c>
      <c r="F307" s="915">
        <v>2.9</v>
      </c>
      <c r="G307" s="915">
        <v>2.85</v>
      </c>
      <c r="H307" s="915">
        <v>7.4999999999999997E-2</v>
      </c>
      <c r="I307" s="916">
        <f t="shared" ref="I307:I320" si="6">ROUND(IF(AND(F307:H307),C307*E307*F307*G307*H307,IF(AND(F307,G307),C307*E307*F307*G307,IF(AND(F307,H307),C307*E307*F307*H307,IF(AND(G307,H307),C307*E307*G307*H307,IF(F307,C307*E307*F307,IF(G307,C307*E307*G307,IF(H307,C307*E307*H307,C307*E307))))))),2)</f>
        <v>0.62</v>
      </c>
      <c r="J307" s="955" t="s">
        <v>5</v>
      </c>
      <c r="K307" s="902"/>
      <c r="L307" s="923"/>
      <c r="M307" s="902"/>
      <c r="N307" s="900" t="s">
        <v>2309</v>
      </c>
    </row>
    <row r="308" spans="1:14" s="910" customFormat="1" ht="16.5" hidden="1" customHeight="1">
      <c r="A308" s="896"/>
      <c r="B308" s="911" t="s">
        <v>3304</v>
      </c>
      <c r="C308" s="912">
        <v>1</v>
      </c>
      <c r="D308" s="913" t="s">
        <v>273</v>
      </c>
      <c r="E308" s="914">
        <v>1</v>
      </c>
      <c r="F308" s="915">
        <v>1.35</v>
      </c>
      <c r="G308" s="915">
        <v>1.6</v>
      </c>
      <c r="H308" s="915">
        <v>7.4999999999999997E-2</v>
      </c>
      <c r="I308" s="916">
        <f t="shared" si="6"/>
        <v>0.16</v>
      </c>
      <c r="J308" s="955" t="s">
        <v>5</v>
      </c>
      <c r="K308" s="902"/>
      <c r="L308" s="923"/>
      <c r="M308" s="902"/>
      <c r="N308" s="900" t="s">
        <v>2309</v>
      </c>
    </row>
    <row r="309" spans="1:14" s="910" customFormat="1" ht="16.5" hidden="1" customHeight="1">
      <c r="A309" s="896"/>
      <c r="B309" s="911"/>
      <c r="C309" s="912">
        <v>1</v>
      </c>
      <c r="D309" s="913" t="s">
        <v>273</v>
      </c>
      <c r="E309" s="914">
        <v>1</v>
      </c>
      <c r="F309" s="915">
        <v>1.35</v>
      </c>
      <c r="G309" s="915">
        <v>0.95</v>
      </c>
      <c r="H309" s="915">
        <v>7.4999999999999997E-2</v>
      </c>
      <c r="I309" s="916">
        <f t="shared" si="6"/>
        <v>0.1</v>
      </c>
      <c r="J309" s="955" t="s">
        <v>5</v>
      </c>
      <c r="K309" s="902"/>
      <c r="L309" s="923"/>
      <c r="M309" s="902"/>
      <c r="N309" s="900" t="s">
        <v>2309</v>
      </c>
    </row>
    <row r="310" spans="1:14" s="910" customFormat="1" ht="16.5" hidden="1" customHeight="1">
      <c r="A310" s="896"/>
      <c r="B310" s="911" t="s">
        <v>2521</v>
      </c>
      <c r="C310" s="912">
        <v>1</v>
      </c>
      <c r="D310" s="913" t="s">
        <v>273</v>
      </c>
      <c r="E310" s="914">
        <v>1</v>
      </c>
      <c r="F310" s="915">
        <v>2.25</v>
      </c>
      <c r="G310" s="915">
        <v>2.85</v>
      </c>
      <c r="H310" s="915">
        <v>7.4999999999999997E-2</v>
      </c>
      <c r="I310" s="916">
        <f t="shared" si="6"/>
        <v>0.48</v>
      </c>
      <c r="J310" s="955" t="s">
        <v>5</v>
      </c>
      <c r="K310" s="902"/>
      <c r="L310" s="923"/>
      <c r="M310" s="902"/>
      <c r="N310" s="900" t="s">
        <v>2309</v>
      </c>
    </row>
    <row r="311" spans="1:14" s="910" customFormat="1" ht="16.5" hidden="1" customHeight="1">
      <c r="A311" s="896"/>
      <c r="B311" s="911" t="s">
        <v>2358</v>
      </c>
      <c r="C311" s="912">
        <v>1</v>
      </c>
      <c r="D311" s="913" t="s">
        <v>273</v>
      </c>
      <c r="E311" s="914">
        <v>1</v>
      </c>
      <c r="F311" s="915">
        <v>2.72</v>
      </c>
      <c r="G311" s="915">
        <v>2.85</v>
      </c>
      <c r="H311" s="915">
        <v>7.4999999999999997E-2</v>
      </c>
      <c r="I311" s="916">
        <f t="shared" si="6"/>
        <v>0.57999999999999996</v>
      </c>
      <c r="J311" s="955" t="s">
        <v>5</v>
      </c>
      <c r="K311" s="902"/>
      <c r="L311" s="923"/>
      <c r="M311" s="902"/>
      <c r="N311" s="900" t="s">
        <v>2309</v>
      </c>
    </row>
    <row r="312" spans="1:14" s="910" customFormat="1" ht="16.5" hidden="1" customHeight="1">
      <c r="A312" s="896"/>
      <c r="B312" s="911" t="s">
        <v>2359</v>
      </c>
      <c r="C312" s="912">
        <v>1</v>
      </c>
      <c r="D312" s="913" t="s">
        <v>273</v>
      </c>
      <c r="E312" s="914">
        <v>1</v>
      </c>
      <c r="F312" s="915">
        <v>1.42</v>
      </c>
      <c r="G312" s="915">
        <v>1.8</v>
      </c>
      <c r="H312" s="915">
        <v>7.4999999999999997E-2</v>
      </c>
      <c r="I312" s="916">
        <f t="shared" si="6"/>
        <v>0.19</v>
      </c>
      <c r="J312" s="955" t="s">
        <v>5</v>
      </c>
      <c r="K312" s="902"/>
      <c r="L312" s="923"/>
      <c r="M312" s="902"/>
      <c r="N312" s="900" t="s">
        <v>2309</v>
      </c>
    </row>
    <row r="313" spans="1:14" s="910" customFormat="1" ht="16.5" hidden="1" customHeight="1">
      <c r="A313" s="896"/>
      <c r="B313" s="911"/>
      <c r="C313" s="912">
        <v>1</v>
      </c>
      <c r="D313" s="913" t="s">
        <v>273</v>
      </c>
      <c r="E313" s="914">
        <v>1</v>
      </c>
      <c r="F313" s="915">
        <v>1.42</v>
      </c>
      <c r="G313" s="915">
        <v>1.05</v>
      </c>
      <c r="H313" s="915">
        <v>7.4999999999999997E-2</v>
      </c>
      <c r="I313" s="916">
        <f t="shared" si="6"/>
        <v>0.11</v>
      </c>
      <c r="J313" s="955" t="s">
        <v>5</v>
      </c>
      <c r="K313" s="902"/>
      <c r="L313" s="923"/>
      <c r="M313" s="902"/>
      <c r="N313" s="900" t="s">
        <v>2309</v>
      </c>
    </row>
    <row r="314" spans="1:14" s="910" customFormat="1" ht="16.5" hidden="1" customHeight="1">
      <c r="A314" s="896"/>
      <c r="B314" s="911" t="s">
        <v>2357</v>
      </c>
      <c r="C314" s="912">
        <v>1</v>
      </c>
      <c r="D314" s="913" t="s">
        <v>273</v>
      </c>
      <c r="E314" s="914">
        <v>1</v>
      </c>
      <c r="F314" s="915">
        <v>1.82</v>
      </c>
      <c r="G314" s="915">
        <v>2.8</v>
      </c>
      <c r="H314" s="915">
        <v>7.4999999999999997E-2</v>
      </c>
      <c r="I314" s="916">
        <f t="shared" si="6"/>
        <v>0.38</v>
      </c>
      <c r="J314" s="955" t="s">
        <v>5</v>
      </c>
      <c r="K314" s="902"/>
      <c r="L314" s="923"/>
      <c r="M314" s="902"/>
      <c r="N314" s="900" t="s">
        <v>2309</v>
      </c>
    </row>
    <row r="315" spans="1:14" s="910" customFormat="1" ht="16.5" hidden="1" customHeight="1">
      <c r="A315" s="896"/>
      <c r="B315" s="911" t="s">
        <v>3314</v>
      </c>
      <c r="C315" s="912">
        <v>1</v>
      </c>
      <c r="D315" s="913" t="s">
        <v>273</v>
      </c>
      <c r="E315" s="914">
        <v>1</v>
      </c>
      <c r="F315" s="915">
        <v>6.78</v>
      </c>
      <c r="G315" s="915">
        <v>2.96</v>
      </c>
      <c r="H315" s="915">
        <v>7.4999999999999997E-2</v>
      </c>
      <c r="I315" s="916">
        <f t="shared" si="6"/>
        <v>1.51</v>
      </c>
      <c r="J315" s="955" t="s">
        <v>5</v>
      </c>
      <c r="K315" s="902"/>
      <c r="L315" s="923"/>
      <c r="M315" s="902"/>
      <c r="N315" s="900" t="s">
        <v>2309</v>
      </c>
    </row>
    <row r="316" spans="1:14" s="910" customFormat="1" ht="16.5" hidden="1" customHeight="1">
      <c r="A316" s="896"/>
      <c r="B316" s="911" t="s">
        <v>2355</v>
      </c>
      <c r="C316" s="912">
        <v>1</v>
      </c>
      <c r="D316" s="913" t="s">
        <v>273</v>
      </c>
      <c r="E316" s="914">
        <v>1</v>
      </c>
      <c r="F316" s="915">
        <v>6.22</v>
      </c>
      <c r="G316" s="915">
        <v>2.96</v>
      </c>
      <c r="H316" s="915">
        <v>7.4999999999999997E-2</v>
      </c>
      <c r="I316" s="916">
        <f t="shared" si="6"/>
        <v>1.38</v>
      </c>
      <c r="J316" s="955" t="s">
        <v>5</v>
      </c>
      <c r="K316" s="902"/>
      <c r="L316" s="923"/>
      <c r="M316" s="902"/>
      <c r="N316" s="900" t="s">
        <v>2309</v>
      </c>
    </row>
    <row r="317" spans="1:14" s="910" customFormat="1" ht="16.5" hidden="1" customHeight="1">
      <c r="A317" s="896"/>
      <c r="B317" s="911" t="s">
        <v>3315</v>
      </c>
      <c r="C317" s="912">
        <v>1</v>
      </c>
      <c r="D317" s="913" t="s">
        <v>273</v>
      </c>
      <c r="E317" s="914">
        <v>1</v>
      </c>
      <c r="F317" s="915">
        <v>12</v>
      </c>
      <c r="G317" s="915">
        <v>1.2</v>
      </c>
      <c r="H317" s="915">
        <v>7.4999999999999997E-2</v>
      </c>
      <c r="I317" s="916">
        <f t="shared" si="6"/>
        <v>1.08</v>
      </c>
      <c r="J317" s="955" t="s">
        <v>5</v>
      </c>
      <c r="K317" s="902"/>
      <c r="L317" s="923"/>
      <c r="M317" s="902"/>
      <c r="N317" s="900" t="s">
        <v>2309</v>
      </c>
    </row>
    <row r="318" spans="1:14" s="910" customFormat="1" ht="16.5" hidden="1" customHeight="1">
      <c r="A318" s="896"/>
      <c r="B318" s="911"/>
      <c r="C318" s="912">
        <v>1</v>
      </c>
      <c r="D318" s="913" t="s">
        <v>273</v>
      </c>
      <c r="E318" s="914">
        <v>1</v>
      </c>
      <c r="F318" s="915">
        <v>6.1</v>
      </c>
      <c r="G318" s="915">
        <v>1.2</v>
      </c>
      <c r="H318" s="915">
        <v>7.4999999999999997E-2</v>
      </c>
      <c r="I318" s="916">
        <f t="shared" si="6"/>
        <v>0.55000000000000004</v>
      </c>
      <c r="J318" s="955" t="s">
        <v>5</v>
      </c>
      <c r="K318" s="902"/>
      <c r="L318" s="923"/>
      <c r="M318" s="902"/>
      <c r="N318" s="900" t="s">
        <v>2309</v>
      </c>
    </row>
    <row r="319" spans="1:14" s="910" customFormat="1" ht="16.5" hidden="1" customHeight="1">
      <c r="A319" s="896"/>
      <c r="B319" s="911" t="s">
        <v>2958</v>
      </c>
      <c r="C319" s="912">
        <v>1</v>
      </c>
      <c r="D319" s="913" t="s">
        <v>273</v>
      </c>
      <c r="E319" s="914">
        <v>1</v>
      </c>
      <c r="F319" s="915">
        <v>2.5499999999999998</v>
      </c>
      <c r="G319" s="915">
        <v>1.2</v>
      </c>
      <c r="H319" s="915">
        <v>7.4999999999999997E-2</v>
      </c>
      <c r="I319" s="916">
        <f t="shared" si="6"/>
        <v>0.23</v>
      </c>
      <c r="J319" s="955" t="s">
        <v>5</v>
      </c>
      <c r="K319" s="902"/>
      <c r="L319" s="923"/>
      <c r="M319" s="902"/>
      <c r="N319" s="900" t="s">
        <v>2309</v>
      </c>
    </row>
    <row r="320" spans="1:14" s="910" customFormat="1" ht="16.5" hidden="1" customHeight="1">
      <c r="A320" s="896"/>
      <c r="B320" s="911" t="s">
        <v>3305</v>
      </c>
      <c r="C320" s="912">
        <v>1</v>
      </c>
      <c r="D320" s="913" t="s">
        <v>273</v>
      </c>
      <c r="E320" s="914">
        <v>1</v>
      </c>
      <c r="F320" s="915">
        <v>1.2</v>
      </c>
      <c r="G320" s="915">
        <v>0.9</v>
      </c>
      <c r="H320" s="915">
        <v>7.4999999999999997E-2</v>
      </c>
      <c r="I320" s="916">
        <f t="shared" si="6"/>
        <v>0.08</v>
      </c>
      <c r="J320" s="955" t="s">
        <v>5</v>
      </c>
      <c r="K320" s="902"/>
      <c r="L320" s="923"/>
      <c r="M320" s="902"/>
      <c r="N320" s="900" t="s">
        <v>2309</v>
      </c>
    </row>
    <row r="321" spans="1:14" s="910" customFormat="1" ht="16.5" hidden="1" customHeight="1">
      <c r="A321" s="896"/>
      <c r="B321" s="956"/>
      <c r="C321" s="957"/>
      <c r="D321" s="958"/>
      <c r="E321" s="1288"/>
      <c r="F321" s="960"/>
      <c r="G321" s="960"/>
      <c r="H321" s="960"/>
      <c r="I321" s="916"/>
      <c r="J321" s="955"/>
      <c r="K321" s="902"/>
      <c r="L321" s="923"/>
      <c r="M321" s="902"/>
      <c r="N321" s="900" t="s">
        <v>2309</v>
      </c>
    </row>
    <row r="322" spans="1:14" ht="15.75" hidden="1">
      <c r="A322" s="896"/>
      <c r="B322" s="902"/>
      <c r="C322" s="917"/>
      <c r="D322" s="918"/>
      <c r="E322" s="919"/>
      <c r="F322" s="920"/>
      <c r="G322" s="921"/>
      <c r="H322" s="896"/>
      <c r="I322" s="916"/>
      <c r="J322" s="955" t="s">
        <v>5</v>
      </c>
      <c r="K322" s="922">
        <f>'data 2022-23'!E269</f>
        <v>5601.67</v>
      </c>
      <c r="L322" s="923" t="s">
        <v>274</v>
      </c>
      <c r="M322" s="924">
        <f>ROUND(I322*K322,0)</f>
        <v>0</v>
      </c>
      <c r="N322" s="900" t="s">
        <v>2309</v>
      </c>
    </row>
    <row r="323" spans="1:14" ht="106.5" hidden="1" customHeight="1">
      <c r="A323" s="896">
        <v>2</v>
      </c>
      <c r="B323" s="1609" t="s">
        <v>212</v>
      </c>
      <c r="C323" s="1609"/>
      <c r="D323" s="1609"/>
      <c r="E323" s="1609"/>
      <c r="F323" s="1609"/>
      <c r="G323" s="1609"/>
      <c r="H323" s="1609"/>
      <c r="I323" s="897"/>
      <c r="J323" s="898"/>
      <c r="K323" s="896"/>
      <c r="L323" s="923"/>
      <c r="M323" s="899"/>
      <c r="N323" s="900" t="s">
        <v>2309</v>
      </c>
    </row>
    <row r="324" spans="1:14" s="910" customFormat="1" ht="16.5" hidden="1" customHeight="1">
      <c r="A324" s="896"/>
      <c r="B324" s="902" t="s">
        <v>3797</v>
      </c>
      <c r="C324" s="903"/>
      <c r="D324" s="954" t="s">
        <v>3825</v>
      </c>
      <c r="E324" s="905"/>
      <c r="F324" s="906"/>
      <c r="G324" s="906"/>
      <c r="H324" s="907"/>
      <c r="I324" s="908"/>
      <c r="J324" s="955"/>
      <c r="K324" s="902"/>
      <c r="L324" s="923"/>
      <c r="M324" s="902"/>
      <c r="N324" s="900" t="s">
        <v>2309</v>
      </c>
    </row>
    <row r="325" spans="1:14" s="910" customFormat="1" ht="16.5" hidden="1" customHeight="1">
      <c r="A325" s="896"/>
      <c r="B325" s="911" t="s">
        <v>3273</v>
      </c>
      <c r="C325" s="912">
        <v>1</v>
      </c>
      <c r="D325" s="913" t="s">
        <v>273</v>
      </c>
      <c r="E325" s="914">
        <v>1</v>
      </c>
      <c r="F325" s="915">
        <v>2.88</v>
      </c>
      <c r="G325" s="915">
        <v>2.78</v>
      </c>
      <c r="H325" s="915">
        <v>0</v>
      </c>
      <c r="I325" s="916">
        <f t="shared" ref="I325:I336" si="7">ROUND(IF(AND(F325:H325),C325*E325*F325*G325*H325,IF(AND(F325,G325),C325*E325*F325*G325,IF(AND(F325,H325),C325*E325*F325*H325,IF(AND(G325,H325),C325*E325*G325*H325,IF(F325,C325*E325*F325,IF(G325,C325*E325*G325,IF(H325,C325*E325*H325,C325*E325))))))),2)</f>
        <v>8.01</v>
      </c>
      <c r="J325" s="955" t="s">
        <v>102</v>
      </c>
      <c r="K325" s="902"/>
      <c r="L325" s="923"/>
      <c r="M325" s="902"/>
      <c r="N325" s="900" t="s">
        <v>2309</v>
      </c>
    </row>
    <row r="326" spans="1:14" s="910" customFormat="1" ht="16.5" hidden="1" customHeight="1">
      <c r="A326" s="896"/>
      <c r="B326" s="911" t="s">
        <v>3667</v>
      </c>
      <c r="C326" s="912">
        <v>1</v>
      </c>
      <c r="D326" s="913" t="s">
        <v>273</v>
      </c>
      <c r="E326" s="914">
        <v>1</v>
      </c>
      <c r="F326" s="915">
        <v>1.48</v>
      </c>
      <c r="G326" s="915">
        <v>1.1000000000000001</v>
      </c>
      <c r="H326" s="915">
        <v>0</v>
      </c>
      <c r="I326" s="916">
        <f t="shared" si="7"/>
        <v>1.63</v>
      </c>
      <c r="J326" s="955" t="s">
        <v>102</v>
      </c>
      <c r="K326" s="902"/>
      <c r="L326" s="923"/>
      <c r="M326" s="902"/>
      <c r="N326" s="900" t="s">
        <v>2309</v>
      </c>
    </row>
    <row r="327" spans="1:14" s="910" customFormat="1" ht="16.5" hidden="1" customHeight="1">
      <c r="A327" s="896"/>
      <c r="B327" s="911" t="s">
        <v>3668</v>
      </c>
      <c r="C327" s="912">
        <v>1</v>
      </c>
      <c r="D327" s="913" t="s">
        <v>273</v>
      </c>
      <c r="E327" s="914">
        <v>2</v>
      </c>
      <c r="F327" s="915">
        <v>0.5</v>
      </c>
      <c r="G327" s="915">
        <v>0.115</v>
      </c>
      <c r="H327" s="915">
        <v>0</v>
      </c>
      <c r="I327" s="916">
        <f>-ROUND(IF(AND(F327:H327),C327*E327*F327*G327*H327,IF(AND(F327,G327),C327*E327*F327*G327,IF(AND(F327,H327),C327*E327*F327*H327,IF(AND(G327,H327),C327*E327*G327*H327,IF(F327,C327*E327*F327,IF(G327,C327*E327*G327,IF(H327,C327*E327*H327,C327*E327))))))),2)</f>
        <v>-0.12</v>
      </c>
      <c r="J327" s="955" t="s">
        <v>102</v>
      </c>
      <c r="K327" s="902"/>
      <c r="L327" s="923"/>
      <c r="M327" s="902"/>
      <c r="N327" s="900" t="s">
        <v>2309</v>
      </c>
    </row>
    <row r="328" spans="1:14" s="910" customFormat="1" ht="16.5" hidden="1" customHeight="1">
      <c r="A328" s="896"/>
      <c r="B328" s="911" t="s">
        <v>2521</v>
      </c>
      <c r="C328" s="912">
        <v>1</v>
      </c>
      <c r="D328" s="913" t="s">
        <v>273</v>
      </c>
      <c r="E328" s="914">
        <v>1</v>
      </c>
      <c r="F328" s="915">
        <v>2.27</v>
      </c>
      <c r="G328" s="915">
        <v>2.78</v>
      </c>
      <c r="H328" s="915">
        <v>0</v>
      </c>
      <c r="I328" s="916">
        <f t="shared" si="7"/>
        <v>6.31</v>
      </c>
      <c r="J328" s="955" t="s">
        <v>102</v>
      </c>
      <c r="K328" s="902"/>
      <c r="L328" s="923"/>
      <c r="M328" s="902"/>
      <c r="N328" s="900" t="s">
        <v>2309</v>
      </c>
    </row>
    <row r="329" spans="1:14" s="910" customFormat="1" ht="16.5" hidden="1" customHeight="1">
      <c r="A329" s="896"/>
      <c r="B329" s="911" t="s">
        <v>2448</v>
      </c>
      <c r="C329" s="912">
        <v>1</v>
      </c>
      <c r="D329" s="913" t="s">
        <v>273</v>
      </c>
      <c r="E329" s="914">
        <v>1</v>
      </c>
      <c r="F329" s="915">
        <v>2.75</v>
      </c>
      <c r="G329" s="915">
        <v>2.8</v>
      </c>
      <c r="H329" s="915">
        <v>0</v>
      </c>
      <c r="I329" s="916">
        <f t="shared" si="7"/>
        <v>7.7</v>
      </c>
      <c r="J329" s="955" t="s">
        <v>102</v>
      </c>
      <c r="K329" s="902"/>
      <c r="L329" s="923"/>
      <c r="M329" s="902"/>
      <c r="N329" s="900" t="s">
        <v>2309</v>
      </c>
    </row>
    <row r="330" spans="1:14" s="910" customFormat="1" ht="16.5" hidden="1" customHeight="1">
      <c r="A330" s="896"/>
      <c r="B330" s="911" t="s">
        <v>3667</v>
      </c>
      <c r="C330" s="912">
        <v>1</v>
      </c>
      <c r="D330" s="913" t="s">
        <v>273</v>
      </c>
      <c r="E330" s="914">
        <v>1</v>
      </c>
      <c r="F330" s="915">
        <v>1.35</v>
      </c>
      <c r="G330" s="915">
        <v>0.1</v>
      </c>
      <c r="H330" s="915">
        <v>0</v>
      </c>
      <c r="I330" s="916">
        <f t="shared" si="7"/>
        <v>0.14000000000000001</v>
      </c>
      <c r="J330" s="955" t="s">
        <v>102</v>
      </c>
      <c r="K330" s="902"/>
      <c r="L330" s="923"/>
      <c r="M330" s="902"/>
      <c r="N330" s="900" t="s">
        <v>2309</v>
      </c>
    </row>
    <row r="331" spans="1:14" s="910" customFormat="1" ht="16.5" hidden="1" customHeight="1">
      <c r="A331" s="896"/>
      <c r="B331" s="911" t="s">
        <v>2357</v>
      </c>
      <c r="C331" s="912">
        <v>1</v>
      </c>
      <c r="D331" s="913" t="s">
        <v>273</v>
      </c>
      <c r="E331" s="914">
        <v>1</v>
      </c>
      <c r="F331" s="915">
        <v>1.8</v>
      </c>
      <c r="G331" s="915">
        <v>2.8</v>
      </c>
      <c r="H331" s="915">
        <v>0</v>
      </c>
      <c r="I331" s="916">
        <f t="shared" si="7"/>
        <v>5.04</v>
      </c>
      <c r="J331" s="955" t="s">
        <v>102</v>
      </c>
      <c r="K331" s="902"/>
      <c r="L331" s="923"/>
      <c r="M331" s="902"/>
      <c r="N331" s="900" t="s">
        <v>2309</v>
      </c>
    </row>
    <row r="332" spans="1:14" s="910" customFormat="1" ht="16.5" hidden="1" customHeight="1">
      <c r="A332" s="896"/>
      <c r="B332" s="911" t="s">
        <v>3669</v>
      </c>
      <c r="C332" s="912">
        <v>1</v>
      </c>
      <c r="D332" s="913" t="s">
        <v>273</v>
      </c>
      <c r="E332" s="914">
        <v>2</v>
      </c>
      <c r="F332" s="915">
        <v>1.2</v>
      </c>
      <c r="G332" s="915">
        <v>0.5</v>
      </c>
      <c r="H332" s="915">
        <v>0</v>
      </c>
      <c r="I332" s="916">
        <f t="shared" si="7"/>
        <v>1.2</v>
      </c>
      <c r="J332" s="955" t="s">
        <v>102</v>
      </c>
      <c r="K332" s="902"/>
      <c r="L332" s="923"/>
      <c r="M332" s="902"/>
      <c r="N332" s="900" t="s">
        <v>2309</v>
      </c>
    </row>
    <row r="333" spans="1:14" s="910" customFormat="1" ht="16.5" hidden="1" customHeight="1">
      <c r="A333" s="896"/>
      <c r="B333" s="911"/>
      <c r="C333" s="912">
        <v>1</v>
      </c>
      <c r="D333" s="913" t="s">
        <v>273</v>
      </c>
      <c r="E333" s="914">
        <v>1</v>
      </c>
      <c r="F333" s="915">
        <v>2.15</v>
      </c>
      <c r="G333" s="915">
        <v>0.45</v>
      </c>
      <c r="H333" s="915">
        <v>0</v>
      </c>
      <c r="I333" s="916">
        <f t="shared" si="7"/>
        <v>0.97</v>
      </c>
      <c r="J333" s="955" t="s">
        <v>102</v>
      </c>
      <c r="K333" s="902"/>
      <c r="L333" s="923"/>
      <c r="M333" s="902"/>
      <c r="N333" s="900" t="s">
        <v>2309</v>
      </c>
    </row>
    <row r="334" spans="1:14" s="910" customFormat="1" ht="16.5" hidden="1" customHeight="1">
      <c r="A334" s="896"/>
      <c r="B334" s="911" t="s">
        <v>3668</v>
      </c>
      <c r="C334" s="912">
        <v>1</v>
      </c>
      <c r="D334" s="913" t="s">
        <v>273</v>
      </c>
      <c r="E334" s="914">
        <v>2</v>
      </c>
      <c r="F334" s="915">
        <v>0.45</v>
      </c>
      <c r="G334" s="915">
        <v>0.1</v>
      </c>
      <c r="H334" s="915">
        <v>0</v>
      </c>
      <c r="I334" s="916">
        <f>-ROUND(IF(AND(F334:H334),C334*E334*F334*G334*H334,IF(AND(F334,G334),C334*E334*F334*G334,IF(AND(F334,H334),C334*E334*F334*H334,IF(AND(G334,H334),C334*E334*G334*H334,IF(F334,C334*E334*F334,IF(G334,C334*E334*G334,IF(H334,C334*E334*H334,C334*E334))))))),2)</f>
        <v>-0.09</v>
      </c>
      <c r="J334" s="955" t="s">
        <v>102</v>
      </c>
      <c r="K334" s="902"/>
      <c r="L334" s="923"/>
      <c r="M334" s="902"/>
      <c r="N334" s="900" t="s">
        <v>2309</v>
      </c>
    </row>
    <row r="335" spans="1:14" s="910" customFormat="1" ht="16.5" hidden="1" customHeight="1">
      <c r="A335" s="896"/>
      <c r="B335" s="911" t="s">
        <v>2355</v>
      </c>
      <c r="C335" s="912">
        <v>1</v>
      </c>
      <c r="D335" s="913" t="s">
        <v>273</v>
      </c>
      <c r="E335" s="914">
        <v>1</v>
      </c>
      <c r="F335" s="915">
        <v>6.15</v>
      </c>
      <c r="G335" s="915">
        <v>2.95</v>
      </c>
      <c r="H335" s="915">
        <v>0</v>
      </c>
      <c r="I335" s="916">
        <f t="shared" si="7"/>
        <v>18.14</v>
      </c>
      <c r="J335" s="955" t="s">
        <v>102</v>
      </c>
      <c r="K335" s="902"/>
      <c r="L335" s="923"/>
      <c r="M335" s="902"/>
      <c r="N335" s="900" t="s">
        <v>2309</v>
      </c>
    </row>
    <row r="336" spans="1:14" s="910" customFormat="1" ht="16.5" hidden="1" customHeight="1">
      <c r="A336" s="896"/>
      <c r="B336" s="911" t="s">
        <v>3670</v>
      </c>
      <c r="C336" s="912">
        <v>1</v>
      </c>
      <c r="D336" s="913" t="s">
        <v>273</v>
      </c>
      <c r="E336" s="914">
        <v>1</v>
      </c>
      <c r="F336" s="915">
        <v>6.75</v>
      </c>
      <c r="G336" s="915">
        <v>2.95</v>
      </c>
      <c r="H336" s="915">
        <v>0</v>
      </c>
      <c r="I336" s="916">
        <f t="shared" si="7"/>
        <v>19.91</v>
      </c>
      <c r="J336" s="955" t="s">
        <v>102</v>
      </c>
      <c r="K336" s="902"/>
      <c r="L336" s="923"/>
      <c r="M336" s="902"/>
      <c r="N336" s="900" t="s">
        <v>2309</v>
      </c>
    </row>
    <row r="337" spans="1:14" s="910" customFormat="1" ht="16.5" hidden="1" customHeight="1">
      <c r="A337" s="896"/>
      <c r="B337" s="956"/>
      <c r="C337" s="957"/>
      <c r="D337" s="958"/>
      <c r="E337" s="1268"/>
      <c r="F337" s="960"/>
      <c r="G337" s="960"/>
      <c r="H337" s="960"/>
      <c r="I337" s="916"/>
      <c r="J337" s="955"/>
      <c r="K337" s="902"/>
      <c r="L337" s="923"/>
      <c r="M337" s="902"/>
      <c r="N337" s="900" t="s">
        <v>2309</v>
      </c>
    </row>
    <row r="338" spans="1:14" ht="15.75" hidden="1">
      <c r="A338" s="896"/>
      <c r="B338" s="902"/>
      <c r="C338" s="917"/>
      <c r="D338" s="918"/>
      <c r="E338" s="919"/>
      <c r="F338" s="920"/>
      <c r="G338" s="921"/>
      <c r="H338" s="896"/>
      <c r="I338" s="916"/>
      <c r="J338" s="955" t="s">
        <v>102</v>
      </c>
      <c r="K338" s="922">
        <f>'data 2022-23'!E678</f>
        <v>1067.3599999999999</v>
      </c>
      <c r="L338" s="923" t="s">
        <v>2419</v>
      </c>
      <c r="M338" s="924">
        <f>ROUND(I338*K338,0)</f>
        <v>0</v>
      </c>
      <c r="N338" s="900" t="s">
        <v>2309</v>
      </c>
    </row>
    <row r="339" spans="1:14" ht="79.5" hidden="1" customHeight="1">
      <c r="A339" s="896">
        <v>3</v>
      </c>
      <c r="B339" s="1609" t="s">
        <v>213</v>
      </c>
      <c r="C339" s="1609"/>
      <c r="D339" s="1609"/>
      <c r="E339" s="1609"/>
      <c r="F339" s="1609"/>
      <c r="G339" s="1609"/>
      <c r="H339" s="1609"/>
      <c r="I339" s="897"/>
      <c r="J339" s="898"/>
      <c r="K339" s="896"/>
      <c r="L339" s="923"/>
      <c r="M339" s="899"/>
      <c r="N339" s="900" t="s">
        <v>2309</v>
      </c>
    </row>
    <row r="340" spans="1:14" s="910" customFormat="1" ht="16.5" hidden="1" customHeight="1">
      <c r="A340" s="896"/>
      <c r="B340" s="902" t="s">
        <v>3798</v>
      </c>
      <c r="C340" s="903"/>
      <c r="D340" s="954" t="s">
        <v>3825</v>
      </c>
      <c r="E340" s="905"/>
      <c r="F340" s="906"/>
      <c r="G340" s="906"/>
      <c r="H340" s="907"/>
      <c r="I340" s="908"/>
      <c r="J340" s="955"/>
      <c r="K340" s="902"/>
      <c r="L340" s="923"/>
      <c r="M340" s="902"/>
      <c r="N340" s="900" t="s">
        <v>2309</v>
      </c>
    </row>
    <row r="341" spans="1:14" s="910" customFormat="1" ht="16.5" hidden="1" customHeight="1">
      <c r="A341" s="896"/>
      <c r="B341" s="911" t="s">
        <v>3273</v>
      </c>
      <c r="C341" s="912">
        <v>1</v>
      </c>
      <c r="D341" s="913" t="s">
        <v>273</v>
      </c>
      <c r="E341" s="914">
        <v>1</v>
      </c>
      <c r="F341" s="915">
        <v>11.32</v>
      </c>
      <c r="G341" s="915">
        <v>0</v>
      </c>
      <c r="H341" s="915">
        <v>0.1</v>
      </c>
      <c r="I341" s="916">
        <f t="shared" ref="I341:I348" si="8">ROUND(IF(AND(F341:H341),C341*E341*F341*G341*H341,IF(AND(F341,G341),C341*E341*F341*G341,IF(AND(F341,H341),C341*E341*F341*H341,IF(AND(G341,H341),C341*E341*G341*H341,IF(F341,C341*E341*F341,IF(G341,C341*E341*G341,IF(H341,C341*E341*H341,C341*E341))))))),2)</f>
        <v>1.1299999999999999</v>
      </c>
      <c r="J341" s="955" t="s">
        <v>102</v>
      </c>
      <c r="K341" s="902"/>
      <c r="L341" s="923"/>
      <c r="M341" s="902"/>
      <c r="N341" s="900" t="s">
        <v>2309</v>
      </c>
    </row>
    <row r="342" spans="1:14" s="910" customFormat="1" ht="16.5" hidden="1" customHeight="1">
      <c r="A342" s="896"/>
      <c r="B342" s="911" t="s">
        <v>2522</v>
      </c>
      <c r="C342" s="912">
        <v>1</v>
      </c>
      <c r="D342" s="913" t="s">
        <v>273</v>
      </c>
      <c r="E342" s="914">
        <v>1</v>
      </c>
      <c r="F342" s="915">
        <v>1.1000000000000001</v>
      </c>
      <c r="G342" s="915">
        <v>0</v>
      </c>
      <c r="H342" s="915">
        <v>0.1</v>
      </c>
      <c r="I342" s="916">
        <f t="shared" si="8"/>
        <v>0.11</v>
      </c>
      <c r="J342" s="955" t="s">
        <v>102</v>
      </c>
      <c r="K342" s="902"/>
      <c r="L342" s="923"/>
      <c r="M342" s="902"/>
      <c r="N342" s="900" t="s">
        <v>2309</v>
      </c>
    </row>
    <row r="343" spans="1:14" s="910" customFormat="1" ht="16.5" hidden="1" customHeight="1">
      <c r="A343" s="896"/>
      <c r="B343" s="911" t="s">
        <v>818</v>
      </c>
      <c r="C343" s="912">
        <v>1</v>
      </c>
      <c r="D343" s="913" t="s">
        <v>273</v>
      </c>
      <c r="E343" s="914">
        <v>1</v>
      </c>
      <c r="F343" s="915">
        <v>1.3</v>
      </c>
      <c r="G343" s="915">
        <v>0</v>
      </c>
      <c r="H343" s="915">
        <v>0.1</v>
      </c>
      <c r="I343" s="916">
        <f t="shared" si="8"/>
        <v>0.13</v>
      </c>
      <c r="J343" s="955" t="s">
        <v>102</v>
      </c>
      <c r="K343" s="902"/>
      <c r="L343" s="923"/>
      <c r="M343" s="902"/>
      <c r="N343" s="900" t="s">
        <v>2309</v>
      </c>
    </row>
    <row r="344" spans="1:14" s="910" customFormat="1" ht="16.5" hidden="1" customHeight="1">
      <c r="A344" s="896"/>
      <c r="B344" s="911" t="s">
        <v>3671</v>
      </c>
      <c r="C344" s="912">
        <v>1</v>
      </c>
      <c r="D344" s="913" t="s">
        <v>273</v>
      </c>
      <c r="E344" s="914">
        <v>1</v>
      </c>
      <c r="F344" s="915">
        <v>10.1</v>
      </c>
      <c r="G344" s="915">
        <v>0</v>
      </c>
      <c r="H344" s="915">
        <v>0.1</v>
      </c>
      <c r="I344" s="916">
        <f t="shared" si="8"/>
        <v>1.01</v>
      </c>
      <c r="J344" s="955" t="s">
        <v>102</v>
      </c>
      <c r="K344" s="902"/>
      <c r="L344" s="923"/>
      <c r="M344" s="902"/>
      <c r="N344" s="900" t="s">
        <v>2309</v>
      </c>
    </row>
    <row r="345" spans="1:14" s="910" customFormat="1" ht="16.5" hidden="1" customHeight="1">
      <c r="A345" s="896"/>
      <c r="B345" s="911" t="s">
        <v>3672</v>
      </c>
      <c r="C345" s="912">
        <v>1</v>
      </c>
      <c r="D345" s="913" t="s">
        <v>273</v>
      </c>
      <c r="E345" s="914">
        <v>1</v>
      </c>
      <c r="F345" s="915">
        <v>11.1</v>
      </c>
      <c r="G345" s="915">
        <v>0</v>
      </c>
      <c r="H345" s="915">
        <v>0.1</v>
      </c>
      <c r="I345" s="916">
        <f t="shared" si="8"/>
        <v>1.1100000000000001</v>
      </c>
      <c r="J345" s="955" t="s">
        <v>102</v>
      </c>
      <c r="K345" s="902"/>
      <c r="L345" s="923"/>
      <c r="M345" s="902"/>
      <c r="N345" s="900" t="s">
        <v>2309</v>
      </c>
    </row>
    <row r="346" spans="1:14" s="910" customFormat="1" ht="16.5" hidden="1" customHeight="1">
      <c r="A346" s="896"/>
      <c r="B346" s="911" t="s">
        <v>3673</v>
      </c>
      <c r="C346" s="912">
        <v>1</v>
      </c>
      <c r="D346" s="913" t="s">
        <v>273</v>
      </c>
      <c r="E346" s="914">
        <v>1</v>
      </c>
      <c r="F346" s="915">
        <v>9.1999999999999993</v>
      </c>
      <c r="G346" s="915">
        <v>0</v>
      </c>
      <c r="H346" s="915">
        <v>0.1</v>
      </c>
      <c r="I346" s="916">
        <f t="shared" si="8"/>
        <v>0.92</v>
      </c>
      <c r="J346" s="955" t="s">
        <v>102</v>
      </c>
      <c r="K346" s="902"/>
      <c r="L346" s="923"/>
      <c r="M346" s="902"/>
      <c r="N346" s="900" t="s">
        <v>2309</v>
      </c>
    </row>
    <row r="347" spans="1:14" s="910" customFormat="1" ht="16.5" hidden="1" customHeight="1">
      <c r="A347" s="896"/>
      <c r="B347" s="911" t="s">
        <v>3674</v>
      </c>
      <c r="C347" s="912">
        <v>1</v>
      </c>
      <c r="D347" s="913" t="s">
        <v>273</v>
      </c>
      <c r="E347" s="914">
        <v>1</v>
      </c>
      <c r="F347" s="915">
        <v>19.399999999999999</v>
      </c>
      <c r="G347" s="915">
        <v>0</v>
      </c>
      <c r="H347" s="915">
        <v>0.1</v>
      </c>
      <c r="I347" s="916">
        <f t="shared" si="8"/>
        <v>1.94</v>
      </c>
      <c r="J347" s="955" t="s">
        <v>102</v>
      </c>
      <c r="K347" s="902"/>
      <c r="L347" s="923"/>
      <c r="M347" s="902"/>
      <c r="N347" s="900" t="s">
        <v>2309</v>
      </c>
    </row>
    <row r="348" spans="1:14" s="910" customFormat="1" ht="16.5" hidden="1" customHeight="1">
      <c r="A348" s="896"/>
      <c r="B348" s="911" t="s">
        <v>2355</v>
      </c>
      <c r="C348" s="912">
        <v>1</v>
      </c>
      <c r="D348" s="913" t="s">
        <v>273</v>
      </c>
      <c r="E348" s="914">
        <v>1</v>
      </c>
      <c r="F348" s="915">
        <v>18.2</v>
      </c>
      <c r="G348" s="915">
        <v>0</v>
      </c>
      <c r="H348" s="915">
        <v>0.1</v>
      </c>
      <c r="I348" s="916">
        <f t="shared" si="8"/>
        <v>1.82</v>
      </c>
      <c r="J348" s="955" t="s">
        <v>102</v>
      </c>
      <c r="K348" s="902"/>
      <c r="L348" s="923"/>
      <c r="M348" s="902"/>
      <c r="N348" s="900" t="s">
        <v>2309</v>
      </c>
    </row>
    <row r="349" spans="1:14" s="910" customFormat="1" ht="16.5" hidden="1" customHeight="1">
      <c r="A349" s="896"/>
      <c r="B349" s="911" t="s">
        <v>579</v>
      </c>
      <c r="C349" s="912">
        <v>1</v>
      </c>
      <c r="D349" s="913" t="s">
        <v>273</v>
      </c>
      <c r="E349" s="914">
        <v>1</v>
      </c>
      <c r="F349" s="915">
        <v>1.2</v>
      </c>
      <c r="G349" s="915">
        <v>0</v>
      </c>
      <c r="H349" s="915">
        <v>0.1</v>
      </c>
      <c r="I349" s="916">
        <f>-ROUND(IF(AND(F349:H349),C349*E349*F349*G349*H349,IF(AND(F349,G349),C349*E349*F349*G349,IF(AND(F349,H349),C349*E349*F349*H349,IF(AND(G349,H349),C349*E349*G349*H349,IF(F349,C349*E349*F349,IF(G349,C349*E349*G349,IF(H349,C349*E349*H349,C349*E349))))))),2)</f>
        <v>-0.12</v>
      </c>
      <c r="J349" s="955" t="s">
        <v>102</v>
      </c>
      <c r="K349" s="902"/>
      <c r="L349" s="923"/>
      <c r="M349" s="902"/>
      <c r="N349" s="900" t="s">
        <v>2309</v>
      </c>
    </row>
    <row r="350" spans="1:14" s="910" customFormat="1" ht="16.5" hidden="1" customHeight="1">
      <c r="A350" s="896"/>
      <c r="B350" s="911" t="s">
        <v>579</v>
      </c>
      <c r="C350" s="912">
        <v>1</v>
      </c>
      <c r="D350" s="913" t="s">
        <v>273</v>
      </c>
      <c r="E350" s="914">
        <v>1</v>
      </c>
      <c r="F350" s="915">
        <v>0.9</v>
      </c>
      <c r="G350" s="915">
        <v>0</v>
      </c>
      <c r="H350" s="915">
        <v>0.1</v>
      </c>
      <c r="I350" s="916">
        <f>-ROUND(IF(AND(F350:H350),C350*E350*F350*G350*H350,IF(AND(F350,G350),C350*E350*F350*G350,IF(AND(F350,H350),C350*E350*F350*H350,IF(AND(G350,H350),C350*E350*G350*H350,IF(F350,C350*E350*F350,IF(G350,C350*E350*G350,IF(H350,C350*E350*H350,C350*E350))))))),2)</f>
        <v>-0.09</v>
      </c>
      <c r="J350" s="955" t="s">
        <v>102</v>
      </c>
      <c r="K350" s="902"/>
      <c r="L350" s="923"/>
      <c r="M350" s="902"/>
      <c r="N350" s="900" t="s">
        <v>2309</v>
      </c>
    </row>
    <row r="351" spans="1:14" s="910" customFormat="1" ht="16.5" hidden="1" customHeight="1">
      <c r="A351" s="896"/>
      <c r="B351" s="911" t="s">
        <v>579</v>
      </c>
      <c r="C351" s="912">
        <v>2</v>
      </c>
      <c r="D351" s="913" t="s">
        <v>273</v>
      </c>
      <c r="E351" s="914">
        <v>4</v>
      </c>
      <c r="F351" s="915">
        <v>0.9</v>
      </c>
      <c r="G351" s="915">
        <v>0</v>
      </c>
      <c r="H351" s="915">
        <v>0.1</v>
      </c>
      <c r="I351" s="916">
        <f>-ROUND(IF(AND(F351:H351),C351*E351*F351*G351*H351,IF(AND(F351,G351),C351*E351*F351*G351,IF(AND(F351,H351),C351*E351*F351*H351,IF(AND(G351,H351),C351*E351*G351*H351,IF(F351,C351*E351*F351,IF(G351,C351*E351*G351,IF(H351,C351*E351*H351,C351*E351))))))),2)</f>
        <v>-0.72</v>
      </c>
      <c r="J351" s="955" t="s">
        <v>102</v>
      </c>
      <c r="K351" s="902"/>
      <c r="L351" s="923"/>
      <c r="M351" s="902"/>
      <c r="N351" s="900" t="s">
        <v>2309</v>
      </c>
    </row>
    <row r="352" spans="1:14" s="910" customFormat="1" ht="16.5" hidden="1" customHeight="1">
      <c r="A352" s="896"/>
      <c r="B352" s="911" t="s">
        <v>579</v>
      </c>
      <c r="C352" s="912">
        <v>1</v>
      </c>
      <c r="D352" s="913" t="s">
        <v>273</v>
      </c>
      <c r="E352" s="914">
        <v>3</v>
      </c>
      <c r="F352" s="915">
        <v>0.75</v>
      </c>
      <c r="G352" s="915">
        <v>0</v>
      </c>
      <c r="H352" s="915">
        <v>0.1</v>
      </c>
      <c r="I352" s="916">
        <f>-ROUND(IF(AND(F352:H352),C352*E352*F352*G352*H352,IF(AND(F352,G352),C352*E352*F352*G352,IF(AND(F352,H352),C352*E352*F352*H352,IF(AND(G352,H352),C352*E352*G352*H352,IF(F352,C352*E352*F352,IF(G352,C352*E352*G352,IF(H352,C352*E352*H352,C352*E352))))))),2)</f>
        <v>-0.23</v>
      </c>
      <c r="J352" s="955" t="s">
        <v>102</v>
      </c>
      <c r="K352" s="902"/>
      <c r="L352" s="923"/>
      <c r="M352" s="902"/>
      <c r="N352" s="900" t="s">
        <v>2309</v>
      </c>
    </row>
    <row r="353" spans="1:14" s="910" customFormat="1" ht="16.5" hidden="1" customHeight="1">
      <c r="A353" s="896"/>
      <c r="B353" s="956"/>
      <c r="C353" s="957"/>
      <c r="D353" s="958"/>
      <c r="E353" s="1268"/>
      <c r="F353" s="960"/>
      <c r="G353" s="960"/>
      <c r="H353" s="960"/>
      <c r="I353" s="916"/>
      <c r="J353" s="955"/>
      <c r="K353" s="902"/>
      <c r="L353" s="923"/>
      <c r="M353" s="902"/>
      <c r="N353" s="900" t="s">
        <v>2309</v>
      </c>
    </row>
    <row r="354" spans="1:14" ht="15.75" hidden="1">
      <c r="A354" s="896"/>
      <c r="B354" s="902"/>
      <c r="C354" s="917"/>
      <c r="D354" s="918"/>
      <c r="E354" s="919"/>
      <c r="F354" s="920"/>
      <c r="G354" s="921"/>
      <c r="H354" s="896"/>
      <c r="I354" s="916"/>
      <c r="J354" s="955" t="s">
        <v>102</v>
      </c>
      <c r="K354" s="922">
        <f>'data 2022-23'!E696</f>
        <v>1062.03</v>
      </c>
      <c r="L354" s="923" t="s">
        <v>2419</v>
      </c>
      <c r="M354" s="924">
        <f>ROUND(I354*K354,0)</f>
        <v>0</v>
      </c>
      <c r="N354" s="900" t="s">
        <v>2309</v>
      </c>
    </row>
    <row r="355" spans="1:14" ht="108" hidden="1" customHeight="1">
      <c r="A355" s="896">
        <v>27</v>
      </c>
      <c r="B355" s="1609" t="s">
        <v>665</v>
      </c>
      <c r="C355" s="1609"/>
      <c r="D355" s="1609"/>
      <c r="E355" s="1609"/>
      <c r="F355" s="1609"/>
      <c r="G355" s="1609"/>
      <c r="H355" s="1609"/>
      <c r="I355" s="897"/>
      <c r="J355" s="898"/>
      <c r="K355" s="896"/>
      <c r="L355" s="923"/>
      <c r="M355" s="899"/>
      <c r="N355" s="900" t="s">
        <v>2309</v>
      </c>
    </row>
    <row r="356" spans="1:14" s="910" customFormat="1" ht="16.5" hidden="1" customHeight="1">
      <c r="A356" s="896"/>
      <c r="B356" s="902" t="s">
        <v>3374</v>
      </c>
      <c r="C356" s="903"/>
      <c r="D356" s="904"/>
      <c r="E356" s="905"/>
      <c r="F356" s="906"/>
      <c r="G356" s="906"/>
      <c r="H356" s="907"/>
      <c r="I356" s="908"/>
      <c r="J356" s="955"/>
      <c r="K356" s="902"/>
      <c r="L356" s="923"/>
      <c r="M356" s="902"/>
      <c r="N356" s="900" t="s">
        <v>2309</v>
      </c>
    </row>
    <row r="357" spans="1:14" s="910" customFormat="1" ht="16.5" hidden="1" customHeight="1">
      <c r="A357" s="896"/>
      <c r="B357" s="911" t="s">
        <v>2162</v>
      </c>
      <c r="C357" s="912">
        <v>1</v>
      </c>
      <c r="D357" s="913" t="s">
        <v>273</v>
      </c>
      <c r="E357" s="914">
        <v>11</v>
      </c>
      <c r="F357" s="915">
        <v>1.32</v>
      </c>
      <c r="G357" s="915">
        <v>0.3</v>
      </c>
      <c r="H357" s="915">
        <v>0</v>
      </c>
      <c r="I357" s="916">
        <f>ROUND(IF(AND(F357:H357),C357*E357*F357*G357*H357,IF(AND(F357,G357),C357*E357*F357*G357,IF(AND(F357,H357),C357*E357*F357*H357,IF(AND(G357,H357),C357*E357*G357*H357,IF(F357,C357*E357*F357,IF(G357,C357*E357*G357,IF(H357,C357*E357*H357,C357*E357))))))),2)</f>
        <v>4.3600000000000003</v>
      </c>
      <c r="J357" s="955" t="s">
        <v>102</v>
      </c>
      <c r="K357" s="902"/>
      <c r="L357" s="923"/>
      <c r="M357" s="902"/>
      <c r="N357" s="900" t="s">
        <v>2309</v>
      </c>
    </row>
    <row r="358" spans="1:14" s="910" customFormat="1" ht="16.5" hidden="1" customHeight="1">
      <c r="A358" s="896"/>
      <c r="B358" s="911"/>
      <c r="C358" s="912">
        <v>1</v>
      </c>
      <c r="D358" s="913" t="s">
        <v>273</v>
      </c>
      <c r="E358" s="914">
        <v>1</v>
      </c>
      <c r="F358" s="915">
        <v>1.42</v>
      </c>
      <c r="G358" s="915">
        <v>0.56000000000000005</v>
      </c>
      <c r="H358" s="915">
        <v>0</v>
      </c>
      <c r="I358" s="916">
        <f>ROUND(IF(AND(F358:H358),C358*E358*F358*G358*H358,IF(AND(F358,G358),C358*E358*F358*G358,IF(AND(F358,H358),C358*E358*F358*H358,IF(AND(G358,H358),C358*E358*G358*H358,IF(F358,C358*E358*F358,IF(G358,C358*E358*G358,IF(H358,C358*E358*H358,C358*E358))))))),2)</f>
        <v>0.8</v>
      </c>
      <c r="J358" s="955" t="s">
        <v>102</v>
      </c>
      <c r="K358" s="902"/>
      <c r="L358" s="923"/>
      <c r="M358" s="902"/>
      <c r="N358" s="900" t="s">
        <v>2309</v>
      </c>
    </row>
    <row r="359" spans="1:14" s="910" customFormat="1" ht="16.5" hidden="1" customHeight="1">
      <c r="A359" s="896"/>
      <c r="B359" s="911" t="s">
        <v>2163</v>
      </c>
      <c r="C359" s="912">
        <v>1</v>
      </c>
      <c r="D359" s="913" t="s">
        <v>273</v>
      </c>
      <c r="E359" s="914">
        <v>12</v>
      </c>
      <c r="F359" s="915">
        <v>1.23</v>
      </c>
      <c r="G359" s="915">
        <v>0.3</v>
      </c>
      <c r="H359" s="915">
        <v>0</v>
      </c>
      <c r="I359" s="916">
        <f>ROUND(IF(AND(F359:H359),C359*E359*F359*G359*H359,IF(AND(F359,G359),C359*E359*F359*G359,IF(AND(F359,H359),C359*E359*F359*H359,IF(AND(G359,H359),C359*E359*G359*H359,IF(F359,C359*E359*F359,IF(G359,C359*E359*G359,IF(H359,C359*E359*H359,C359*E359))))))),2)</f>
        <v>4.43</v>
      </c>
      <c r="J359" s="955" t="s">
        <v>102</v>
      </c>
      <c r="K359" s="902"/>
      <c r="L359" s="923"/>
      <c r="M359" s="902"/>
      <c r="N359" s="900" t="s">
        <v>2309</v>
      </c>
    </row>
    <row r="360" spans="1:14" s="910" customFormat="1" ht="16.5" hidden="1" customHeight="1">
      <c r="A360" s="896"/>
      <c r="B360" s="956"/>
      <c r="C360" s="957"/>
      <c r="D360" s="958"/>
      <c r="E360" s="1268"/>
      <c r="F360" s="960"/>
      <c r="G360" s="960"/>
      <c r="H360" s="960"/>
      <c r="I360" s="916"/>
      <c r="J360" s="955"/>
      <c r="K360" s="902"/>
      <c r="L360" s="923"/>
      <c r="M360" s="902"/>
      <c r="N360" s="900" t="s">
        <v>2309</v>
      </c>
    </row>
    <row r="361" spans="1:14" ht="15.75" hidden="1">
      <c r="A361" s="896"/>
      <c r="B361" s="902"/>
      <c r="C361" s="917"/>
      <c r="D361" s="918"/>
      <c r="E361" s="919"/>
      <c r="F361" s="920"/>
      <c r="G361" s="921"/>
      <c r="H361" s="896"/>
      <c r="I361" s="916"/>
      <c r="J361" s="955" t="s">
        <v>102</v>
      </c>
      <c r="K361" s="922">
        <f>'data 2022-23'!E600</f>
        <v>3115.07</v>
      </c>
      <c r="L361" s="923" t="s">
        <v>2419</v>
      </c>
      <c r="M361" s="924">
        <f>ROUND(I361*K361,0)</f>
        <v>0</v>
      </c>
      <c r="N361" s="900" t="s">
        <v>2309</v>
      </c>
    </row>
    <row r="362" spans="1:14" ht="93.75" hidden="1" customHeight="1">
      <c r="A362" s="896">
        <v>28</v>
      </c>
      <c r="B362" s="1609" t="s">
        <v>671</v>
      </c>
      <c r="C362" s="1609"/>
      <c r="D362" s="1609"/>
      <c r="E362" s="1609"/>
      <c r="F362" s="1609"/>
      <c r="G362" s="1609"/>
      <c r="H362" s="1609"/>
      <c r="I362" s="897"/>
      <c r="J362" s="898"/>
      <c r="K362" s="896"/>
      <c r="L362" s="923"/>
      <c r="M362" s="899"/>
      <c r="N362" s="900" t="s">
        <v>2309</v>
      </c>
    </row>
    <row r="363" spans="1:14" s="910" customFormat="1" ht="16.5" hidden="1" customHeight="1">
      <c r="A363" s="896"/>
      <c r="B363" s="902" t="s">
        <v>3395</v>
      </c>
      <c r="C363" s="903"/>
      <c r="D363" s="904"/>
      <c r="E363" s="905"/>
      <c r="F363" s="906"/>
      <c r="G363" s="906"/>
      <c r="H363" s="907"/>
      <c r="I363" s="908"/>
      <c r="J363" s="955"/>
      <c r="K363" s="902"/>
      <c r="L363" s="896"/>
      <c r="M363" s="902"/>
      <c r="N363" s="900" t="s">
        <v>2309</v>
      </c>
    </row>
    <row r="364" spans="1:14" s="910" customFormat="1" ht="16.5" hidden="1" customHeight="1">
      <c r="A364" s="896"/>
      <c r="B364" s="956" t="s">
        <v>820</v>
      </c>
      <c r="C364" s="957">
        <v>1</v>
      </c>
      <c r="D364" s="958" t="s">
        <v>273</v>
      </c>
      <c r="E364" s="1268">
        <v>11</v>
      </c>
      <c r="F364" s="960">
        <v>1.32</v>
      </c>
      <c r="G364" s="960">
        <v>0.15</v>
      </c>
      <c r="H364" s="960">
        <v>0</v>
      </c>
      <c r="I364" s="916">
        <f>ROUND(IF(AND(F364:H364),C364*E364*F364*G364*H364,IF(AND(F364,G364),C364*E364*F364*G364,IF(AND(F364,H364),C364*E364*F364*H364,IF(AND(G364,H364),C364*E364*G364*H364,IF(F364,C364*E364*F364,IF(G364,C364*E364*G364,IF(H364,C364*E364*H364,C364*E364))))))),2)</f>
        <v>2.1800000000000002</v>
      </c>
      <c r="J364" s="955" t="s">
        <v>102</v>
      </c>
      <c r="K364" s="902"/>
      <c r="L364" s="896"/>
      <c r="M364" s="902"/>
      <c r="N364" s="900" t="s">
        <v>2309</v>
      </c>
    </row>
    <row r="365" spans="1:14" s="910" customFormat="1" ht="16.5" hidden="1" customHeight="1">
      <c r="A365" s="896"/>
      <c r="B365" s="956"/>
      <c r="C365" s="957">
        <v>1</v>
      </c>
      <c r="D365" s="958" t="s">
        <v>273</v>
      </c>
      <c r="E365" s="1268">
        <v>1</v>
      </c>
      <c r="F365" s="960">
        <v>0.5</v>
      </c>
      <c r="G365" s="960">
        <v>0</v>
      </c>
      <c r="H365" s="960">
        <v>0.14000000000000001</v>
      </c>
      <c r="I365" s="916">
        <f>ROUND(IF(AND(F365:H365),C365*E365*F365*G365*H365,IF(AND(F365,G365),C365*E365*F365*G365,IF(AND(F365,H365),C365*E365*F365*H365,IF(AND(G365,H365),C365*E365*G365*H365,IF(F365,C365*E365*F365,IF(G365,C365*E365*G365,IF(H365,C365*E365*H365,C365*E365))))))),2)</f>
        <v>7.0000000000000007E-2</v>
      </c>
      <c r="J365" s="955" t="s">
        <v>102</v>
      </c>
      <c r="K365" s="902"/>
      <c r="L365" s="896"/>
      <c r="M365" s="902"/>
      <c r="N365" s="900" t="s">
        <v>2309</v>
      </c>
    </row>
    <row r="366" spans="1:14" s="910" customFormat="1" ht="16.5" hidden="1" customHeight="1">
      <c r="A366" s="896"/>
      <c r="B366" s="956" t="s">
        <v>800</v>
      </c>
      <c r="C366" s="957">
        <v>1</v>
      </c>
      <c r="D366" s="958" t="s">
        <v>273</v>
      </c>
      <c r="E366" s="1268">
        <v>1</v>
      </c>
      <c r="F366" s="960">
        <v>4.6500000000000004</v>
      </c>
      <c r="G366" s="960">
        <v>0</v>
      </c>
      <c r="H366" s="960">
        <v>0.14000000000000001</v>
      </c>
      <c r="I366" s="916">
        <f>ROUND(IF(AND(F366:H366),C366*E366*F366*G366*H366,IF(AND(F366,G366),C366*E366*F366*G366,IF(AND(F366,H366),C366*E366*F366*H366,IF(AND(G366,H366),C366*E366*G366*H366,IF(F366,C366*E366*F366,IF(G366,C366*E366*G366,IF(H366,C366*E366*H366,C366*E366))))))),2)</f>
        <v>0.65</v>
      </c>
      <c r="J366" s="955" t="s">
        <v>102</v>
      </c>
      <c r="K366" s="902"/>
      <c r="L366" s="896"/>
      <c r="M366" s="902"/>
      <c r="N366" s="900" t="s">
        <v>2309</v>
      </c>
    </row>
    <row r="367" spans="1:14" s="910" customFormat="1" ht="16.5" hidden="1" customHeight="1">
      <c r="A367" s="896"/>
      <c r="B367" s="956"/>
      <c r="C367" s="957">
        <v>1</v>
      </c>
      <c r="D367" s="958" t="s">
        <v>273</v>
      </c>
      <c r="E367" s="1268">
        <v>12</v>
      </c>
      <c r="F367" s="960">
        <v>0.4</v>
      </c>
      <c r="G367" s="960">
        <v>0</v>
      </c>
      <c r="H367" s="960">
        <v>0.14000000000000001</v>
      </c>
      <c r="I367" s="916">
        <f>ROUND(IF(AND(F367:H367),C367*E367*F367*G367*H367,IF(AND(F367,G367),C367*E367*F367*G367,IF(AND(F367,H367),C367*E367*F367*H367,IF(AND(G367,H367),C367*E367*G367*H367,IF(F367,C367*E367*F367,IF(G367,C367*E367*G367,IF(H367,C367*E367*H367,C367*E367))))))),2)</f>
        <v>0.67</v>
      </c>
      <c r="J367" s="955" t="s">
        <v>102</v>
      </c>
      <c r="K367" s="902"/>
      <c r="L367" s="896"/>
      <c r="M367" s="902"/>
      <c r="N367" s="900" t="s">
        <v>2309</v>
      </c>
    </row>
    <row r="368" spans="1:14" s="910" customFormat="1" ht="16.5" hidden="1" customHeight="1">
      <c r="A368" s="896"/>
      <c r="B368" s="956"/>
      <c r="C368" s="957"/>
      <c r="D368" s="958"/>
      <c r="E368" s="1268"/>
      <c r="F368" s="960"/>
      <c r="G368" s="960"/>
      <c r="H368" s="960"/>
      <c r="I368" s="916"/>
      <c r="J368" s="955"/>
      <c r="K368" s="902"/>
      <c r="L368" s="923"/>
      <c r="M368" s="902"/>
      <c r="N368" s="900" t="s">
        <v>2309</v>
      </c>
    </row>
    <row r="369" spans="1:14" ht="15.75" hidden="1">
      <c r="A369" s="896"/>
      <c r="B369" s="902"/>
      <c r="C369" s="917"/>
      <c r="D369" s="918"/>
      <c r="E369" s="919"/>
      <c r="F369" s="920"/>
      <c r="G369" s="921"/>
      <c r="H369" s="896"/>
      <c r="I369" s="916"/>
      <c r="J369" s="955" t="s">
        <v>102</v>
      </c>
      <c r="K369" s="922">
        <f>'data 2022-23'!E619</f>
        <v>2905.43</v>
      </c>
      <c r="L369" s="923" t="s">
        <v>2419</v>
      </c>
      <c r="M369" s="924">
        <f>ROUND(I369*K369,0)</f>
        <v>0</v>
      </c>
      <c r="N369" s="900" t="s">
        <v>2309</v>
      </c>
    </row>
    <row r="370" spans="1:14" ht="90" hidden="1" customHeight="1">
      <c r="A370" s="896">
        <v>26</v>
      </c>
      <c r="B370" s="1609" t="s">
        <v>672</v>
      </c>
      <c r="C370" s="1609"/>
      <c r="D370" s="1609"/>
      <c r="E370" s="1609"/>
      <c r="F370" s="1609"/>
      <c r="G370" s="1609"/>
      <c r="H370" s="1609"/>
      <c r="I370" s="897"/>
      <c r="J370" s="898"/>
      <c r="K370" s="896"/>
      <c r="L370" s="923"/>
      <c r="M370" s="899"/>
      <c r="N370" s="900" t="s">
        <v>2309</v>
      </c>
    </row>
    <row r="371" spans="1:14" s="910" customFormat="1" ht="16.5" hidden="1" customHeight="1">
      <c r="A371" s="896"/>
      <c r="B371" s="956"/>
      <c r="C371" s="957">
        <v>1</v>
      </c>
      <c r="D371" s="958" t="s">
        <v>273</v>
      </c>
      <c r="E371" s="1268">
        <v>1</v>
      </c>
      <c r="F371" s="960">
        <v>2.65</v>
      </c>
      <c r="G371" s="960">
        <v>0.53</v>
      </c>
      <c r="H371" s="960">
        <v>0</v>
      </c>
      <c r="I371" s="916">
        <f>ROUND(IF(AND(F371:H371),C371*E371*F371*G371*H371,IF(AND(F371,G371),C371*E371*F371*G371,IF(AND(F371,H371),C371*E371*F371*H371,IF(AND(G371,H371),C371*E371*G371*H371,IF(F371,C371*E371*F371,IF(G371,C371*E371*G371,IF(H371,C371*E371*H371,C371*E371))))))),2)</f>
        <v>1.4</v>
      </c>
      <c r="J371" s="955" t="s">
        <v>102</v>
      </c>
      <c r="K371" s="902"/>
      <c r="L371" s="923"/>
      <c r="M371" s="902"/>
      <c r="N371" s="900" t="s">
        <v>2309</v>
      </c>
    </row>
    <row r="372" spans="1:14" s="910" customFormat="1" ht="16.5" hidden="1" customHeight="1">
      <c r="A372" s="896"/>
      <c r="B372" s="956"/>
      <c r="C372" s="957">
        <v>1</v>
      </c>
      <c r="D372" s="958" t="s">
        <v>273</v>
      </c>
      <c r="E372" s="1268">
        <v>1</v>
      </c>
      <c r="F372" s="960">
        <v>2.65</v>
      </c>
      <c r="G372" s="960">
        <v>0.9</v>
      </c>
      <c r="H372" s="960">
        <v>0</v>
      </c>
      <c r="I372" s="916">
        <f>ROUND(IF(AND(F372:H372),C372*E372*F372*G372*H372,IF(AND(F372,G372),C372*E372*F372*G372,IF(AND(F372,H372),C372*E372*F372*H372,IF(AND(G372,H372),C372*E372*G372*H372,IF(F372,C372*E372*F372,IF(G372,C372*E372*G372,IF(H372,C372*E372*H372,C372*E372))))))),2)</f>
        <v>2.39</v>
      </c>
      <c r="J372" s="955" t="s">
        <v>102</v>
      </c>
      <c r="K372" s="902"/>
      <c r="L372" s="923"/>
      <c r="M372" s="902"/>
      <c r="N372" s="900" t="s">
        <v>2309</v>
      </c>
    </row>
    <row r="373" spans="1:14" s="910" customFormat="1" ht="16.5" hidden="1" customHeight="1">
      <c r="A373" s="896"/>
      <c r="B373" s="956" t="s">
        <v>1249</v>
      </c>
      <c r="C373" s="957">
        <v>1</v>
      </c>
      <c r="D373" s="958" t="s">
        <v>273</v>
      </c>
      <c r="E373" s="1268">
        <v>4</v>
      </c>
      <c r="F373" s="960">
        <v>2.5</v>
      </c>
      <c r="G373" s="960">
        <v>0.38</v>
      </c>
      <c r="H373" s="960">
        <v>0</v>
      </c>
      <c r="I373" s="916">
        <f>ROUND(IF(AND(F373:H373),C373*E373*F373*G373*H373,IF(AND(F373,G373),C373*E373*F373*G373,IF(AND(F373,H373),C373*E373*F373*H373,IF(AND(G373,H373),C373*E373*G373*H373,IF(F373,C373*E373*F373,IF(G373,C373*E373*G373,IF(H373,C373*E373*H373,C373*E373))))))),2)</f>
        <v>3.8</v>
      </c>
      <c r="J373" s="955" t="s">
        <v>102</v>
      </c>
      <c r="K373" s="902"/>
      <c r="L373" s="923"/>
      <c r="M373" s="902"/>
      <c r="N373" s="900" t="s">
        <v>2309</v>
      </c>
    </row>
    <row r="374" spans="1:14" s="910" customFormat="1" ht="16.5" hidden="1" customHeight="1">
      <c r="A374" s="896"/>
      <c r="B374" s="956" t="s">
        <v>1250</v>
      </c>
      <c r="C374" s="957">
        <v>1</v>
      </c>
      <c r="D374" s="958" t="s">
        <v>273</v>
      </c>
      <c r="E374" s="1268">
        <v>21</v>
      </c>
      <c r="F374" s="960">
        <v>1.28</v>
      </c>
      <c r="G374" s="960">
        <v>0.3</v>
      </c>
      <c r="H374" s="960">
        <v>0</v>
      </c>
      <c r="I374" s="916">
        <f>ROUND(IF(AND(F374:H374),C374*E374*F374*G374*H374,IF(AND(F374,G374),C374*E374*F374*G374,IF(AND(F374,H374),C374*E374*F374*H374,IF(AND(G374,H374),C374*E374*G374*H374,IF(F374,C374*E374*F374,IF(G374,C374*E374*G374,IF(H374,C374*E374*H374,C374*E374))))))),2)</f>
        <v>8.06</v>
      </c>
      <c r="J374" s="955" t="s">
        <v>102</v>
      </c>
      <c r="K374" s="902"/>
      <c r="L374" s="923"/>
      <c r="M374" s="902"/>
      <c r="N374" s="900" t="s">
        <v>2309</v>
      </c>
    </row>
    <row r="375" spans="1:14" s="910" customFormat="1" ht="16.5" hidden="1" customHeight="1">
      <c r="A375" s="896"/>
      <c r="B375" s="956"/>
      <c r="C375" s="957"/>
      <c r="D375" s="958"/>
      <c r="E375" s="1268"/>
      <c r="F375" s="960"/>
      <c r="G375" s="960"/>
      <c r="H375" s="960"/>
      <c r="I375" s="916"/>
      <c r="J375" s="955"/>
      <c r="K375" s="902"/>
      <c r="L375" s="923"/>
      <c r="M375" s="902"/>
      <c r="N375" s="900" t="s">
        <v>2309</v>
      </c>
    </row>
    <row r="376" spans="1:14" ht="15.75" hidden="1">
      <c r="A376" s="896"/>
      <c r="B376" s="902"/>
      <c r="C376" s="917"/>
      <c r="D376" s="918"/>
      <c r="E376" s="919"/>
      <c r="F376" s="920"/>
      <c r="G376" s="921"/>
      <c r="H376" s="896"/>
      <c r="I376" s="916"/>
      <c r="J376" s="955" t="s">
        <v>102</v>
      </c>
      <c r="K376" s="922">
        <f>'data 2022-23'!E640</f>
        <v>744.7</v>
      </c>
      <c r="L376" s="923" t="s">
        <v>2419</v>
      </c>
      <c r="M376" s="924">
        <f>ROUND(I376*K376,0)</f>
        <v>0</v>
      </c>
      <c r="N376" s="900" t="s">
        <v>2309</v>
      </c>
    </row>
    <row r="377" spans="1:14" ht="96" hidden="1" customHeight="1">
      <c r="A377" s="896">
        <v>27</v>
      </c>
      <c r="B377" s="1609" t="s">
        <v>678</v>
      </c>
      <c r="C377" s="1609"/>
      <c r="D377" s="1609"/>
      <c r="E377" s="1609"/>
      <c r="F377" s="1609"/>
      <c r="G377" s="1609"/>
      <c r="H377" s="1609"/>
      <c r="I377" s="897"/>
      <c r="J377" s="898"/>
      <c r="K377" s="896"/>
      <c r="L377" s="923"/>
      <c r="M377" s="899"/>
      <c r="N377" s="900" t="s">
        <v>2309</v>
      </c>
    </row>
    <row r="378" spans="1:14" s="910" customFormat="1" ht="16.5" hidden="1" customHeight="1">
      <c r="A378" s="896"/>
      <c r="B378" s="902" t="s">
        <v>3353</v>
      </c>
      <c r="C378" s="903"/>
      <c r="D378" s="904"/>
      <c r="E378" s="905"/>
      <c r="F378" s="906"/>
      <c r="G378" s="906"/>
      <c r="H378" s="907"/>
      <c r="I378" s="908"/>
      <c r="J378" s="955"/>
      <c r="K378" s="902"/>
      <c r="L378" s="923"/>
      <c r="M378" s="902"/>
      <c r="N378" s="900" t="s">
        <v>2309</v>
      </c>
    </row>
    <row r="379" spans="1:14" s="910" customFormat="1" ht="16.5" hidden="1" customHeight="1">
      <c r="A379" s="896"/>
      <c r="B379" s="956" t="s">
        <v>1248</v>
      </c>
      <c r="C379" s="957">
        <v>1</v>
      </c>
      <c r="D379" s="958" t="s">
        <v>273</v>
      </c>
      <c r="E379" s="1268">
        <v>2</v>
      </c>
      <c r="F379" s="960">
        <v>5.25</v>
      </c>
      <c r="G379" s="960">
        <v>0</v>
      </c>
      <c r="H379" s="960">
        <v>0.1</v>
      </c>
      <c r="I379" s="916">
        <f>ROUND(IF(AND(F379:H379),C379*E379*F379*G379*H379,IF(AND(F379,G379),C379*E379*F379*G379,IF(AND(F379,H379),C379*E379*F379*H379,IF(AND(G379,H379),C379*E379*G379*H379,IF(F379,C379*E379*F379,IF(G379,C379*E379*G379,IF(H379,C379*E379*H379,C379*E379))))))),2)</f>
        <v>1.05</v>
      </c>
      <c r="J379" s="955" t="s">
        <v>102</v>
      </c>
      <c r="K379" s="902"/>
      <c r="L379" s="923"/>
      <c r="M379" s="902"/>
      <c r="N379" s="900" t="s">
        <v>2309</v>
      </c>
    </row>
    <row r="380" spans="1:14" s="910" customFormat="1" ht="16.5" hidden="1" customHeight="1">
      <c r="A380" s="896"/>
      <c r="B380" s="956" t="s">
        <v>1250</v>
      </c>
      <c r="C380" s="957">
        <v>1</v>
      </c>
      <c r="D380" s="958" t="s">
        <v>273</v>
      </c>
      <c r="E380" s="1268">
        <v>22</v>
      </c>
      <c r="F380" s="960">
        <v>1.28</v>
      </c>
      <c r="G380" s="960">
        <v>0</v>
      </c>
      <c r="H380" s="960">
        <v>0.15</v>
      </c>
      <c r="I380" s="916">
        <f>ROUND(IF(AND(F380:H380),C380*E380*F380*G380*H380,IF(AND(F380,G380),C380*E380*F380*G380,IF(AND(F380,H380),C380*E380*F380*H380,IF(AND(G380,H380),C380*E380*G380*H380,IF(F380,C380*E380*F380,IF(G380,C380*E380*G380,IF(H380,C380*E380*H380,C380*E380))))))),2)</f>
        <v>4.22</v>
      </c>
      <c r="J380" s="955" t="s">
        <v>102</v>
      </c>
      <c r="K380" s="902"/>
      <c r="L380" s="923"/>
      <c r="M380" s="902"/>
      <c r="N380" s="900" t="s">
        <v>2309</v>
      </c>
    </row>
    <row r="381" spans="1:14" s="910" customFormat="1" ht="16.5" hidden="1" customHeight="1">
      <c r="A381" s="896"/>
      <c r="B381" s="956" t="s">
        <v>1244</v>
      </c>
      <c r="C381" s="957">
        <v>1</v>
      </c>
      <c r="D381" s="958" t="s">
        <v>273</v>
      </c>
      <c r="E381" s="1268">
        <v>1</v>
      </c>
      <c r="F381" s="960">
        <v>10.53</v>
      </c>
      <c r="G381" s="960">
        <v>0</v>
      </c>
      <c r="H381" s="960">
        <v>0.1</v>
      </c>
      <c r="I381" s="916">
        <f>ROUND(IF(AND(F381:H381),C381*E381*F381*G381*H381,IF(AND(F381,G381),C381*E381*F381*G381,IF(AND(F381,H381),C381*E381*F381*H381,IF(AND(G381,H381),C381*E381*G381*H381,IF(F381,C381*E381*F381,IF(G381,C381*E381*G381,IF(H381,C381*E381*H381,C381*E381))))))),2)</f>
        <v>1.05</v>
      </c>
      <c r="J381" s="955" t="s">
        <v>102</v>
      </c>
      <c r="K381" s="902"/>
      <c r="L381" s="923"/>
      <c r="M381" s="902"/>
      <c r="N381" s="900" t="s">
        <v>2309</v>
      </c>
    </row>
    <row r="382" spans="1:14" s="910" customFormat="1" ht="16.5" hidden="1" customHeight="1">
      <c r="A382" s="896"/>
      <c r="B382" s="956"/>
      <c r="C382" s="957"/>
      <c r="D382" s="958"/>
      <c r="E382" s="1268"/>
      <c r="F382" s="960"/>
      <c r="G382" s="960"/>
      <c r="H382" s="960"/>
      <c r="I382" s="916"/>
      <c r="J382" s="955"/>
      <c r="K382" s="902"/>
      <c r="L382" s="923"/>
      <c r="M382" s="902"/>
      <c r="N382" s="900" t="s">
        <v>2309</v>
      </c>
    </row>
    <row r="383" spans="1:14" ht="15.75" hidden="1">
      <c r="A383" s="896"/>
      <c r="B383" s="902"/>
      <c r="C383" s="917"/>
      <c r="D383" s="918"/>
      <c r="E383" s="919"/>
      <c r="F383" s="920"/>
      <c r="G383" s="921"/>
      <c r="H383" s="896"/>
      <c r="I383" s="916"/>
      <c r="J383" s="955" t="s">
        <v>102</v>
      </c>
      <c r="K383" s="922">
        <f>'data 2022-23'!E658</f>
        <v>750.18</v>
      </c>
      <c r="L383" s="923" t="s">
        <v>2419</v>
      </c>
      <c r="M383" s="924">
        <f>ROUND(I383*K383,0)</f>
        <v>0</v>
      </c>
      <c r="N383" s="900" t="s">
        <v>2309</v>
      </c>
    </row>
    <row r="384" spans="1:14" ht="94.5" hidden="1" customHeight="1">
      <c r="A384" s="896">
        <v>4</v>
      </c>
      <c r="B384" s="1609" t="s">
        <v>211</v>
      </c>
      <c r="C384" s="1609"/>
      <c r="D384" s="1609"/>
      <c r="E384" s="1609"/>
      <c r="F384" s="1609"/>
      <c r="G384" s="1609"/>
      <c r="H384" s="1609"/>
      <c r="I384" s="897"/>
      <c r="J384" s="898"/>
      <c r="K384" s="896"/>
      <c r="L384" s="923"/>
      <c r="M384" s="899"/>
      <c r="N384" s="900" t="s">
        <v>2309</v>
      </c>
    </row>
    <row r="385" spans="1:14" s="910" customFormat="1" ht="16.5" hidden="1" customHeight="1">
      <c r="A385" s="896"/>
      <c r="B385" s="902" t="s">
        <v>3799</v>
      </c>
      <c r="C385" s="903"/>
      <c r="D385" s="954" t="s">
        <v>3825</v>
      </c>
      <c r="E385" s="905"/>
      <c r="F385" s="906"/>
      <c r="G385" s="906"/>
      <c r="H385" s="907"/>
      <c r="I385" s="908"/>
      <c r="J385" s="955"/>
      <c r="K385" s="902"/>
      <c r="L385" s="923"/>
      <c r="M385" s="902"/>
      <c r="N385" s="900" t="s">
        <v>2309</v>
      </c>
    </row>
    <row r="386" spans="1:14" s="910" customFormat="1" ht="16.5" hidden="1" customHeight="1">
      <c r="A386" s="896"/>
      <c r="B386" s="911" t="s">
        <v>3675</v>
      </c>
      <c r="C386" s="912">
        <v>1</v>
      </c>
      <c r="D386" s="913" t="s">
        <v>273</v>
      </c>
      <c r="E386" s="914">
        <v>1</v>
      </c>
      <c r="F386" s="915">
        <v>1.3</v>
      </c>
      <c r="G386" s="915">
        <v>1.58</v>
      </c>
      <c r="H386" s="915">
        <v>0</v>
      </c>
      <c r="I386" s="916">
        <f t="shared" ref="I386:I393" si="9">ROUND(IF(AND(F386:H386),C386*E386*F386*G386*H386,IF(AND(F386,G386),C386*E386*F386*G386,IF(AND(F386,H386),C386*E386*F386*H386,IF(AND(G386,H386),C386*E386*G386*H386,IF(F386,C386*E386*F386,IF(G386,C386*E386*G386,IF(H386,C386*E386*H386,C386*E386))))))),2)</f>
        <v>2.0499999999999998</v>
      </c>
      <c r="J386" s="955" t="s">
        <v>102</v>
      </c>
      <c r="K386" s="902"/>
      <c r="L386" s="923"/>
      <c r="M386" s="902"/>
      <c r="N386" s="900" t="s">
        <v>2309</v>
      </c>
    </row>
    <row r="387" spans="1:14" s="910" customFormat="1" ht="16.5" hidden="1" customHeight="1">
      <c r="A387" s="896"/>
      <c r="B387" s="911"/>
      <c r="C387" s="912">
        <v>1</v>
      </c>
      <c r="D387" s="913" t="s">
        <v>273</v>
      </c>
      <c r="E387" s="914">
        <v>1</v>
      </c>
      <c r="F387" s="915">
        <v>1.35</v>
      </c>
      <c r="G387" s="915">
        <v>1.9</v>
      </c>
      <c r="H387" s="915">
        <v>0</v>
      </c>
      <c r="I387" s="916">
        <f t="shared" si="9"/>
        <v>2.57</v>
      </c>
      <c r="J387" s="955" t="s">
        <v>102</v>
      </c>
      <c r="K387" s="902"/>
      <c r="L387" s="923"/>
      <c r="M387" s="902"/>
      <c r="N387" s="900" t="s">
        <v>2309</v>
      </c>
    </row>
    <row r="388" spans="1:14" s="910" customFormat="1" ht="16.5" hidden="1" customHeight="1">
      <c r="A388" s="896"/>
      <c r="B388" s="911" t="s">
        <v>578</v>
      </c>
      <c r="C388" s="912">
        <v>1</v>
      </c>
      <c r="D388" s="913" t="s">
        <v>273</v>
      </c>
      <c r="E388" s="914">
        <v>1</v>
      </c>
      <c r="F388" s="915">
        <v>3.1</v>
      </c>
      <c r="G388" s="915">
        <v>1.2</v>
      </c>
      <c r="H388" s="915">
        <v>0</v>
      </c>
      <c r="I388" s="916">
        <f t="shared" si="9"/>
        <v>3.72</v>
      </c>
      <c r="J388" s="955" t="s">
        <v>102</v>
      </c>
      <c r="K388" s="902"/>
      <c r="L388" s="923"/>
      <c r="M388" s="902"/>
      <c r="N388" s="900" t="s">
        <v>2309</v>
      </c>
    </row>
    <row r="389" spans="1:14" s="910" customFormat="1" ht="16.5" hidden="1" customHeight="1">
      <c r="A389" s="896"/>
      <c r="B389" s="911"/>
      <c r="C389" s="912">
        <v>1</v>
      </c>
      <c r="D389" s="913" t="s">
        <v>273</v>
      </c>
      <c r="E389" s="914">
        <v>1</v>
      </c>
      <c r="F389" s="915">
        <v>10.199999999999999</v>
      </c>
      <c r="G389" s="915">
        <v>1.2</v>
      </c>
      <c r="H389" s="915">
        <v>0</v>
      </c>
      <c r="I389" s="916">
        <f t="shared" si="9"/>
        <v>12.24</v>
      </c>
      <c r="J389" s="955" t="s">
        <v>102</v>
      </c>
      <c r="K389" s="902"/>
      <c r="L389" s="923"/>
      <c r="M389" s="902"/>
      <c r="N389" s="900" t="s">
        <v>2309</v>
      </c>
    </row>
    <row r="390" spans="1:14" s="910" customFormat="1" ht="16.5" hidden="1" customHeight="1">
      <c r="A390" s="896"/>
      <c r="B390" s="911"/>
      <c r="C390" s="912">
        <v>1</v>
      </c>
      <c r="D390" s="913" t="s">
        <v>273</v>
      </c>
      <c r="E390" s="914">
        <v>1</v>
      </c>
      <c r="F390" s="915">
        <v>4.5999999999999996</v>
      </c>
      <c r="G390" s="915">
        <v>1.2</v>
      </c>
      <c r="H390" s="915">
        <v>0</v>
      </c>
      <c r="I390" s="916">
        <f t="shared" si="9"/>
        <v>5.52</v>
      </c>
      <c r="J390" s="955" t="s">
        <v>102</v>
      </c>
      <c r="K390" s="902"/>
      <c r="L390" s="923"/>
      <c r="M390" s="902"/>
      <c r="N390" s="900" t="s">
        <v>2309</v>
      </c>
    </row>
    <row r="391" spans="1:14" s="910" customFormat="1" ht="16.5" hidden="1" customHeight="1">
      <c r="A391" s="896"/>
      <c r="B391" s="911" t="s">
        <v>3305</v>
      </c>
      <c r="C391" s="912">
        <v>1</v>
      </c>
      <c r="D391" s="913" t="s">
        <v>273</v>
      </c>
      <c r="E391" s="914">
        <v>1</v>
      </c>
      <c r="F391" s="915">
        <v>2.35</v>
      </c>
      <c r="G391" s="915">
        <v>1.2</v>
      </c>
      <c r="H391" s="915">
        <v>0</v>
      </c>
      <c r="I391" s="916">
        <f t="shared" si="9"/>
        <v>2.82</v>
      </c>
      <c r="J391" s="955" t="s">
        <v>102</v>
      </c>
      <c r="K391" s="902"/>
      <c r="L391" s="923"/>
      <c r="M391" s="902"/>
      <c r="N391" s="900" t="s">
        <v>2309</v>
      </c>
    </row>
    <row r="392" spans="1:14" s="910" customFormat="1" ht="16.5" hidden="1" customHeight="1">
      <c r="A392" s="896"/>
      <c r="B392" s="911" t="s">
        <v>2517</v>
      </c>
      <c r="C392" s="912">
        <v>1</v>
      </c>
      <c r="D392" s="913" t="s">
        <v>273</v>
      </c>
      <c r="E392" s="914">
        <v>1</v>
      </c>
      <c r="F392" s="915">
        <v>1.2</v>
      </c>
      <c r="G392" s="915">
        <v>0.3</v>
      </c>
      <c r="H392" s="915">
        <v>0</v>
      </c>
      <c r="I392" s="916">
        <f t="shared" si="9"/>
        <v>0.36</v>
      </c>
      <c r="J392" s="955" t="s">
        <v>102</v>
      </c>
      <c r="K392" s="902"/>
      <c r="L392" s="923"/>
      <c r="M392" s="902"/>
      <c r="N392" s="900" t="s">
        <v>2309</v>
      </c>
    </row>
    <row r="393" spans="1:14" s="910" customFormat="1" ht="16.5" hidden="1" customHeight="1">
      <c r="A393" s="896"/>
      <c r="B393" s="911"/>
      <c r="C393" s="912">
        <v>1</v>
      </c>
      <c r="D393" s="913" t="s">
        <v>273</v>
      </c>
      <c r="E393" s="914">
        <v>2</v>
      </c>
      <c r="F393" s="915">
        <v>1.2</v>
      </c>
      <c r="G393" s="915">
        <v>0.3</v>
      </c>
      <c r="H393" s="915">
        <v>0</v>
      </c>
      <c r="I393" s="916">
        <f t="shared" si="9"/>
        <v>0.72</v>
      </c>
      <c r="J393" s="955" t="s">
        <v>102</v>
      </c>
      <c r="K393" s="902"/>
      <c r="L393" s="923"/>
      <c r="M393" s="902"/>
      <c r="N393" s="900" t="s">
        <v>2309</v>
      </c>
    </row>
    <row r="394" spans="1:14" s="910" customFormat="1" ht="16.5" hidden="1" customHeight="1">
      <c r="A394" s="896"/>
      <c r="B394" s="956"/>
      <c r="C394" s="957"/>
      <c r="D394" s="958"/>
      <c r="E394" s="1268"/>
      <c r="F394" s="960"/>
      <c r="G394" s="960"/>
      <c r="H394" s="960"/>
      <c r="I394" s="916"/>
      <c r="J394" s="955"/>
      <c r="K394" s="902"/>
      <c r="L394" s="923"/>
      <c r="M394" s="902"/>
      <c r="N394" s="900" t="s">
        <v>2309</v>
      </c>
    </row>
    <row r="395" spans="1:14" ht="15.75" hidden="1">
      <c r="A395" s="896"/>
      <c r="B395" s="902"/>
      <c r="C395" s="917"/>
      <c r="D395" s="918"/>
      <c r="E395" s="919"/>
      <c r="F395" s="920"/>
      <c r="G395" s="921"/>
      <c r="H395" s="896"/>
      <c r="I395" s="916"/>
      <c r="J395" s="955" t="s">
        <v>102</v>
      </c>
      <c r="K395" s="922">
        <f>'data 2022-23'!E714</f>
        <v>801.83</v>
      </c>
      <c r="L395" s="923" t="s">
        <v>2419</v>
      </c>
      <c r="M395" s="924">
        <f>ROUND(I395*K395,0)</f>
        <v>0</v>
      </c>
      <c r="N395" s="900" t="s">
        <v>2309</v>
      </c>
    </row>
    <row r="396" spans="1:14" ht="94.5" hidden="1" customHeight="1">
      <c r="A396" s="896">
        <v>5</v>
      </c>
      <c r="B396" s="1609" t="s">
        <v>214</v>
      </c>
      <c r="C396" s="1609"/>
      <c r="D396" s="1609"/>
      <c r="E396" s="1609"/>
      <c r="F396" s="1609"/>
      <c r="G396" s="1609"/>
      <c r="H396" s="1609"/>
      <c r="I396" s="897"/>
      <c r="J396" s="898"/>
      <c r="K396" s="896"/>
      <c r="L396" s="923"/>
      <c r="M396" s="899"/>
      <c r="N396" s="900" t="s">
        <v>2309</v>
      </c>
    </row>
    <row r="397" spans="1:14" s="910" customFormat="1" ht="16.5" hidden="1" customHeight="1">
      <c r="A397" s="896"/>
      <c r="B397" s="902" t="s">
        <v>3800</v>
      </c>
      <c r="C397" s="903"/>
      <c r="D397" s="954" t="s">
        <v>3825</v>
      </c>
      <c r="E397" s="905"/>
      <c r="F397" s="906"/>
      <c r="G397" s="906"/>
      <c r="H397" s="907"/>
      <c r="I397" s="908"/>
      <c r="J397" s="955"/>
      <c r="K397" s="902"/>
      <c r="L397" s="896"/>
      <c r="M397" s="902"/>
      <c r="N397" s="900" t="s">
        <v>2309</v>
      </c>
    </row>
    <row r="398" spans="1:14" s="910" customFormat="1" ht="15.75" hidden="1">
      <c r="A398" s="896"/>
      <c r="B398" s="911" t="s">
        <v>578</v>
      </c>
      <c r="C398" s="912">
        <v>1</v>
      </c>
      <c r="D398" s="913" t="s">
        <v>273</v>
      </c>
      <c r="E398" s="914">
        <v>1</v>
      </c>
      <c r="F398" s="915">
        <v>1.9</v>
      </c>
      <c r="G398" s="915">
        <v>0</v>
      </c>
      <c r="H398" s="915">
        <v>0.1</v>
      </c>
      <c r="I398" s="916">
        <f t="shared" ref="I398:I404" si="10">ROUND(IF(AND(F398:H398),C398*E398*F398*G398*H398,IF(AND(F398,G398),C398*E398*F398*G398,IF(AND(F398,H398),C398*E398*F398*H398,IF(AND(G398,H398),C398*E398*G398*H398,IF(F398,C398*E398*F398,IF(G398,C398*E398*G398,IF(H398,C398*E398*H398,C398*E398))))))),2)</f>
        <v>0.19</v>
      </c>
      <c r="J398" s="955" t="s">
        <v>102</v>
      </c>
      <c r="K398" s="902"/>
      <c r="L398" s="923"/>
      <c r="M398" s="902"/>
      <c r="N398" s="900" t="s">
        <v>2309</v>
      </c>
    </row>
    <row r="399" spans="1:14" s="910" customFormat="1" ht="15.75" hidden="1">
      <c r="A399" s="896"/>
      <c r="B399" s="911"/>
      <c r="C399" s="912">
        <v>1</v>
      </c>
      <c r="D399" s="913" t="s">
        <v>273</v>
      </c>
      <c r="E399" s="914">
        <v>1</v>
      </c>
      <c r="F399" s="915">
        <v>10.199999999999999</v>
      </c>
      <c r="G399" s="915">
        <v>0</v>
      </c>
      <c r="H399" s="915">
        <v>0.1</v>
      </c>
      <c r="I399" s="916">
        <f t="shared" si="10"/>
        <v>1.02</v>
      </c>
      <c r="J399" s="955" t="s">
        <v>102</v>
      </c>
      <c r="K399" s="902"/>
      <c r="L399" s="923"/>
      <c r="M399" s="902"/>
      <c r="N399" s="900" t="s">
        <v>2309</v>
      </c>
    </row>
    <row r="400" spans="1:14" s="910" customFormat="1" ht="15.75" hidden="1">
      <c r="A400" s="896"/>
      <c r="B400" s="911"/>
      <c r="C400" s="912">
        <v>1</v>
      </c>
      <c r="D400" s="913" t="s">
        <v>273</v>
      </c>
      <c r="E400" s="914">
        <v>1</v>
      </c>
      <c r="F400" s="915">
        <v>4.5999999999999996</v>
      </c>
      <c r="G400" s="915">
        <v>0</v>
      </c>
      <c r="H400" s="915">
        <v>0.1</v>
      </c>
      <c r="I400" s="916">
        <f t="shared" si="10"/>
        <v>0.46</v>
      </c>
      <c r="J400" s="955" t="s">
        <v>102</v>
      </c>
      <c r="K400" s="902"/>
      <c r="L400" s="923"/>
      <c r="M400" s="902"/>
      <c r="N400" s="900" t="s">
        <v>2309</v>
      </c>
    </row>
    <row r="401" spans="1:14" s="910" customFormat="1" ht="15.75" hidden="1">
      <c r="A401" s="896"/>
      <c r="B401" s="911" t="s">
        <v>2523</v>
      </c>
      <c r="C401" s="912">
        <v>1</v>
      </c>
      <c r="D401" s="913" t="s">
        <v>273</v>
      </c>
      <c r="E401" s="914">
        <v>2</v>
      </c>
      <c r="F401" s="915">
        <v>1.2</v>
      </c>
      <c r="G401" s="915">
        <v>0</v>
      </c>
      <c r="H401" s="915">
        <v>0.15</v>
      </c>
      <c r="I401" s="916">
        <f t="shared" si="10"/>
        <v>0.36</v>
      </c>
      <c r="J401" s="955" t="s">
        <v>102</v>
      </c>
      <c r="K401" s="902"/>
      <c r="L401" s="923"/>
      <c r="M401" s="902"/>
      <c r="N401" s="900" t="s">
        <v>2309</v>
      </c>
    </row>
    <row r="402" spans="1:14" s="910" customFormat="1" ht="15.75" hidden="1">
      <c r="A402" s="896"/>
      <c r="B402" s="911"/>
      <c r="C402" s="912">
        <v>1</v>
      </c>
      <c r="D402" s="913" t="s">
        <v>273</v>
      </c>
      <c r="E402" s="914">
        <v>2</v>
      </c>
      <c r="F402" s="915">
        <v>1.2</v>
      </c>
      <c r="G402" s="915">
        <v>0.3</v>
      </c>
      <c r="H402" s="915">
        <v>0</v>
      </c>
      <c r="I402" s="916">
        <f t="shared" si="10"/>
        <v>0.72</v>
      </c>
      <c r="J402" s="955" t="s">
        <v>102</v>
      </c>
      <c r="K402" s="902"/>
      <c r="L402" s="923"/>
      <c r="M402" s="902"/>
      <c r="N402" s="900" t="s">
        <v>2309</v>
      </c>
    </row>
    <row r="403" spans="1:14" s="910" customFormat="1" ht="15.75" hidden="1">
      <c r="A403" s="896"/>
      <c r="B403" s="911" t="s">
        <v>3676</v>
      </c>
      <c r="C403" s="912">
        <v>1</v>
      </c>
      <c r="D403" s="913" t="s">
        <v>273</v>
      </c>
      <c r="E403" s="914">
        <v>1</v>
      </c>
      <c r="F403" s="915">
        <v>5.76</v>
      </c>
      <c r="G403" s="915">
        <v>0</v>
      </c>
      <c r="H403" s="915">
        <v>1.75</v>
      </c>
      <c r="I403" s="916">
        <f t="shared" si="10"/>
        <v>10.08</v>
      </c>
      <c r="J403" s="955" t="s">
        <v>102</v>
      </c>
      <c r="K403" s="902"/>
      <c r="L403" s="923"/>
      <c r="M403" s="902"/>
      <c r="N403" s="900" t="s">
        <v>2309</v>
      </c>
    </row>
    <row r="404" spans="1:14" s="910" customFormat="1" ht="15.75" hidden="1">
      <c r="A404" s="896"/>
      <c r="B404" s="911"/>
      <c r="C404" s="912">
        <v>1</v>
      </c>
      <c r="D404" s="913" t="s">
        <v>273</v>
      </c>
      <c r="E404" s="914">
        <v>1</v>
      </c>
      <c r="F404" s="915">
        <v>6.5</v>
      </c>
      <c r="G404" s="915">
        <v>0</v>
      </c>
      <c r="H404" s="915">
        <v>1.8</v>
      </c>
      <c r="I404" s="916">
        <f t="shared" si="10"/>
        <v>11.7</v>
      </c>
      <c r="J404" s="955" t="s">
        <v>102</v>
      </c>
      <c r="K404" s="902"/>
      <c r="L404" s="923"/>
      <c r="M404" s="902"/>
      <c r="N404" s="900" t="s">
        <v>2309</v>
      </c>
    </row>
    <row r="405" spans="1:14" s="910" customFormat="1" ht="15.75" hidden="1">
      <c r="A405" s="896"/>
      <c r="B405" s="911" t="s">
        <v>3677</v>
      </c>
      <c r="C405" s="912">
        <v>1</v>
      </c>
      <c r="D405" s="913" t="s">
        <v>273</v>
      </c>
      <c r="E405" s="914">
        <v>1</v>
      </c>
      <c r="F405" s="915">
        <v>1.2</v>
      </c>
      <c r="G405" s="915">
        <v>0</v>
      </c>
      <c r="H405" s="915">
        <v>0.1</v>
      </c>
      <c r="I405" s="916">
        <f>-ROUND(IF(AND(F405:H405),C405*E405*F405*G405*H405,IF(AND(F405,G405),C405*E405*F405*G405,IF(AND(F405,H405),C405*E405*F405*H405,IF(AND(G405,H405),C405*E405*G405*H405,IF(F405,C405*E405*F405,IF(G405,C405*E405*G405,IF(H405,C405*E405*H405,C405*E405))))))),2)</f>
        <v>-0.12</v>
      </c>
      <c r="J405" s="955" t="s">
        <v>102</v>
      </c>
      <c r="K405" s="902"/>
      <c r="L405" s="923"/>
      <c r="M405" s="902"/>
      <c r="N405" s="900" t="s">
        <v>2309</v>
      </c>
    </row>
    <row r="406" spans="1:14" s="910" customFormat="1" ht="15.75" hidden="1">
      <c r="A406" s="896"/>
      <c r="B406" s="911" t="s">
        <v>3677</v>
      </c>
      <c r="C406" s="912">
        <v>1</v>
      </c>
      <c r="D406" s="913" t="s">
        <v>273</v>
      </c>
      <c r="E406" s="914">
        <v>1</v>
      </c>
      <c r="F406" s="915">
        <v>0.9</v>
      </c>
      <c r="G406" s="915">
        <v>0</v>
      </c>
      <c r="H406" s="915">
        <v>0.1</v>
      </c>
      <c r="I406" s="916">
        <f>-ROUND(IF(AND(F406:H406),C406*E406*F406*G406*H406,IF(AND(F406,G406),C406*E406*F406*G406,IF(AND(F406,H406),C406*E406*F406*H406,IF(AND(G406,H406),C406*E406*G406*H406,IF(F406,C406*E406*F406,IF(G406,C406*E406*G406,IF(H406,C406*E406*H406,C406*E406))))))),2)</f>
        <v>-0.09</v>
      </c>
      <c r="J406" s="955" t="s">
        <v>102</v>
      </c>
      <c r="K406" s="902"/>
      <c r="L406" s="923"/>
      <c r="M406" s="902"/>
      <c r="N406" s="900" t="s">
        <v>2309</v>
      </c>
    </row>
    <row r="407" spans="1:14" s="910" customFormat="1" ht="15.75" hidden="1">
      <c r="A407" s="896"/>
      <c r="B407" s="911" t="s">
        <v>3677</v>
      </c>
      <c r="C407" s="912">
        <v>1</v>
      </c>
      <c r="D407" s="913" t="s">
        <v>273</v>
      </c>
      <c r="E407" s="914">
        <v>1</v>
      </c>
      <c r="F407" s="915">
        <v>0.75</v>
      </c>
      <c r="G407" s="915">
        <v>0</v>
      </c>
      <c r="H407" s="915">
        <v>1.75</v>
      </c>
      <c r="I407" s="916">
        <f>-ROUND(IF(AND(F407:H407),C407*E407*F407*G407*H407,IF(AND(F407,G407),C407*E407*F407*G407,IF(AND(F407,H407),C407*E407*F407*H407,IF(AND(G407,H407),C407*E407*G407*H407,IF(F407,C407*E407*F407,IF(G407,C407*E407*G407,IF(H407,C407*E407*H407,C407*E407))))))),2)</f>
        <v>-1.31</v>
      </c>
      <c r="J407" s="955" t="s">
        <v>102</v>
      </c>
      <c r="K407" s="902"/>
      <c r="L407" s="923"/>
      <c r="M407" s="902"/>
      <c r="N407" s="900" t="s">
        <v>2309</v>
      </c>
    </row>
    <row r="408" spans="1:14" s="910" customFormat="1" ht="15.75" hidden="1">
      <c r="A408" s="896"/>
      <c r="B408" s="911" t="s">
        <v>3677</v>
      </c>
      <c r="C408" s="912">
        <v>1</v>
      </c>
      <c r="D408" s="913" t="s">
        <v>273</v>
      </c>
      <c r="E408" s="914">
        <v>1</v>
      </c>
      <c r="F408" s="915">
        <v>1.35</v>
      </c>
      <c r="G408" s="915">
        <v>0</v>
      </c>
      <c r="H408" s="915">
        <v>1.8</v>
      </c>
      <c r="I408" s="916">
        <f>-ROUND(IF(AND(F408:H408),C408*E408*F408*G408*H408,IF(AND(F408,G408),C408*E408*F408*G408,IF(AND(F408,H408),C408*E408*F408*H408,IF(AND(G408,H408),C408*E408*G408*H408,IF(F408,C408*E408*F408,IF(G408,C408*E408*G408,IF(H408,C408*E408*H408,C408*E408))))))),2)</f>
        <v>-2.4300000000000002</v>
      </c>
      <c r="J408" s="955" t="s">
        <v>102</v>
      </c>
      <c r="K408" s="902"/>
      <c r="L408" s="923"/>
      <c r="M408" s="902"/>
      <c r="N408" s="900" t="s">
        <v>2309</v>
      </c>
    </row>
    <row r="409" spans="1:14" s="910" customFormat="1" ht="16.5" hidden="1" customHeight="1">
      <c r="A409" s="896"/>
      <c r="B409" s="956"/>
      <c r="C409" s="957"/>
      <c r="D409" s="958"/>
      <c r="E409" s="1268"/>
      <c r="F409" s="960"/>
      <c r="G409" s="960"/>
      <c r="H409" s="960"/>
      <c r="I409" s="916"/>
      <c r="J409" s="955"/>
      <c r="K409" s="902"/>
      <c r="L409" s="923"/>
      <c r="M409" s="902"/>
      <c r="N409" s="900" t="s">
        <v>2309</v>
      </c>
    </row>
    <row r="410" spans="1:14" ht="15.75" hidden="1">
      <c r="A410" s="896"/>
      <c r="B410" s="902"/>
      <c r="C410" s="917"/>
      <c r="D410" s="918"/>
      <c r="E410" s="919"/>
      <c r="F410" s="920"/>
      <c r="G410" s="921"/>
      <c r="H410" s="896"/>
      <c r="I410" s="916"/>
      <c r="J410" s="955" t="s">
        <v>102</v>
      </c>
      <c r="K410" s="922">
        <f>'data 2022-23'!E731</f>
        <v>518.15</v>
      </c>
      <c r="L410" s="923" t="s">
        <v>2419</v>
      </c>
      <c r="M410" s="924">
        <f>ROUND(I410*K410,0)</f>
        <v>0</v>
      </c>
      <c r="N410" s="900" t="s">
        <v>2309</v>
      </c>
    </row>
    <row r="411" spans="1:14" s="1403" customFormat="1" ht="81.75" customHeight="1">
      <c r="A411" s="1397">
        <v>1</v>
      </c>
      <c r="B411" s="1610" t="s">
        <v>1202</v>
      </c>
      <c r="C411" s="1610"/>
      <c r="D411" s="1610"/>
      <c r="E411" s="1610"/>
      <c r="F411" s="1610"/>
      <c r="G411" s="1610"/>
      <c r="H411" s="1610"/>
      <c r="I411" s="1398"/>
      <c r="J411" s="1399"/>
      <c r="K411" s="1397"/>
      <c r="L411" s="1400"/>
      <c r="M411" s="1401"/>
      <c r="N411" s="1402" t="s">
        <v>2309</v>
      </c>
    </row>
    <row r="412" spans="1:14" s="1411" customFormat="1" ht="16.5" customHeight="1">
      <c r="A412" s="1397"/>
      <c r="B412" s="1410" t="s">
        <v>3957</v>
      </c>
      <c r="C412" s="1417"/>
      <c r="D412" s="1395" t="s">
        <v>4020</v>
      </c>
      <c r="E412" s="1419"/>
      <c r="F412" s="1420"/>
      <c r="G412" s="1420"/>
      <c r="H412" s="1421"/>
      <c r="I412" s="1422"/>
      <c r="J412" s="1423"/>
      <c r="K412" s="1410"/>
      <c r="L412" s="1397"/>
      <c r="M412" s="1410"/>
      <c r="N412" s="1402" t="s">
        <v>2309</v>
      </c>
    </row>
    <row r="413" spans="1:14" s="1411" customFormat="1" ht="16.5" customHeight="1">
      <c r="A413" s="1397"/>
      <c r="B413" s="1410"/>
      <c r="C413" s="1398">
        <v>1</v>
      </c>
      <c r="D413" s="1412" t="s">
        <v>273</v>
      </c>
      <c r="E413" s="1413">
        <v>2</v>
      </c>
      <c r="F413" s="1414">
        <f>(3.05+3.65)/2</f>
        <v>3.3499999999999996</v>
      </c>
      <c r="G413" s="1414">
        <v>0.95</v>
      </c>
      <c r="H413" s="1448">
        <v>0</v>
      </c>
      <c r="I413" s="1430">
        <f t="shared" ref="I413:I414" si="11">ROUND(IF(AND(F413:H413),C413*E413*F413*G413*H413,IF(AND(F413,G413),C413*E413*F413*G413,IF(AND(F413,H413),C413*E413*F413*H413,IF(AND(G413,H413),C413*E413*G413*H413,IF(F413,C413*E413*F413,IF(G413,C413*E413*G413,IF(H413,C413*E413*H413,C413*E413))))))),2)</f>
        <v>6.37</v>
      </c>
      <c r="J413" s="1423" t="s">
        <v>102</v>
      </c>
      <c r="K413" s="1410"/>
      <c r="L413" s="1397"/>
      <c r="M413" s="1410"/>
      <c r="N413" s="1402" t="s">
        <v>2309</v>
      </c>
    </row>
    <row r="414" spans="1:14" s="1411" customFormat="1" ht="16.5" customHeight="1">
      <c r="A414" s="1397"/>
      <c r="B414" s="1410"/>
      <c r="C414" s="1398">
        <v>1</v>
      </c>
      <c r="D414" s="1412" t="s">
        <v>273</v>
      </c>
      <c r="E414" s="1413">
        <v>1</v>
      </c>
      <c r="F414" s="1414">
        <f>(16+17.2)/2</f>
        <v>16.600000000000001</v>
      </c>
      <c r="G414" s="1414">
        <v>0.95</v>
      </c>
      <c r="H414" s="1448">
        <v>0</v>
      </c>
      <c r="I414" s="1430">
        <f t="shared" si="11"/>
        <v>15.77</v>
      </c>
      <c r="J414" s="1423" t="s">
        <v>102</v>
      </c>
      <c r="K414" s="1410"/>
      <c r="L414" s="1397"/>
      <c r="M414" s="1410"/>
      <c r="N414" s="1402" t="s">
        <v>2309</v>
      </c>
    </row>
    <row r="415" spans="1:14" s="1411" customFormat="1" ht="16.5" customHeight="1">
      <c r="A415" s="1397"/>
      <c r="B415" s="1425"/>
      <c r="C415" s="1426"/>
      <c r="D415" s="1427"/>
      <c r="E415" s="1428"/>
      <c r="F415" s="1429"/>
      <c r="G415" s="1429"/>
      <c r="H415" s="1429"/>
      <c r="I415" s="1430"/>
      <c r="J415" s="1442"/>
      <c r="K415" s="1410"/>
      <c r="L415" s="1397"/>
      <c r="M415" s="1410"/>
      <c r="N415" s="1402" t="s">
        <v>2309</v>
      </c>
    </row>
    <row r="416" spans="1:14" s="1403" customFormat="1" ht="15.75">
      <c r="A416" s="1397"/>
      <c r="B416" s="1410"/>
      <c r="C416" s="1431"/>
      <c r="D416" s="1432"/>
      <c r="E416" s="1413"/>
      <c r="F416" s="1414"/>
      <c r="G416" s="1433"/>
      <c r="H416" s="1397"/>
      <c r="I416" s="1430">
        <f>SUM(I413:I415)</f>
        <v>22.14</v>
      </c>
      <c r="J416" s="1442" t="s">
        <v>102</v>
      </c>
      <c r="K416" s="1434">
        <f>'data 2022-23'!E759</f>
        <v>1017.93</v>
      </c>
      <c r="L416" s="1400" t="s">
        <v>2419</v>
      </c>
      <c r="M416" s="1435">
        <f>ROUND(I416*K416,0)</f>
        <v>22537</v>
      </c>
      <c r="N416" s="1402" t="s">
        <v>2309</v>
      </c>
    </row>
    <row r="417" spans="1:14" ht="81.75" hidden="1" customHeight="1">
      <c r="A417" s="896">
        <v>25</v>
      </c>
      <c r="B417" s="1609" t="s">
        <v>2246</v>
      </c>
      <c r="C417" s="1609"/>
      <c r="D417" s="1609"/>
      <c r="E417" s="1609"/>
      <c r="F417" s="1609"/>
      <c r="G417" s="1609"/>
      <c r="H417" s="1609"/>
      <c r="I417" s="897"/>
      <c r="J417" s="898"/>
      <c r="K417" s="896"/>
      <c r="L417" s="923"/>
      <c r="M417" s="899"/>
      <c r="N417" s="900" t="s">
        <v>2309</v>
      </c>
    </row>
    <row r="418" spans="1:14" s="910" customFormat="1" ht="16.5" hidden="1" customHeight="1">
      <c r="A418" s="896"/>
      <c r="B418" s="902" t="s">
        <v>3367</v>
      </c>
      <c r="C418" s="903"/>
      <c r="D418" s="904"/>
      <c r="E418" s="905"/>
      <c r="F418" s="906"/>
      <c r="G418" s="906"/>
      <c r="H418" s="907"/>
      <c r="I418" s="908"/>
      <c r="J418" s="955"/>
      <c r="K418" s="902"/>
      <c r="L418" s="896"/>
      <c r="M418" s="902"/>
      <c r="N418" s="900" t="s">
        <v>2309</v>
      </c>
    </row>
    <row r="419" spans="1:14" s="910" customFormat="1" ht="16.5" hidden="1" customHeight="1">
      <c r="A419" s="896"/>
      <c r="B419" s="956" t="s">
        <v>1614</v>
      </c>
      <c r="C419" s="957">
        <v>1</v>
      </c>
      <c r="D419" s="958" t="s">
        <v>273</v>
      </c>
      <c r="E419" s="1268">
        <v>2</v>
      </c>
      <c r="F419" s="960">
        <v>1</v>
      </c>
      <c r="G419" s="960">
        <v>0</v>
      </c>
      <c r="H419" s="960">
        <v>1</v>
      </c>
      <c r="I419" s="916">
        <f>ROUND(IF(AND(F419:H419),C419*E419*F419*G419*H419,IF(AND(F419,G419),C419*E419*F419*G419,IF(AND(F419,H419),C419*E419*F419*H419,IF(AND(G419,H419),C419*E419*G419*H419,IF(F419,C419*E419*F419,IF(G419,C419*E419*G419,IF(H419,C419*E419*H419,C419*E419))))))),2)</f>
        <v>2</v>
      </c>
      <c r="J419" s="955" t="s">
        <v>102</v>
      </c>
      <c r="K419" s="902"/>
      <c r="L419" s="896"/>
      <c r="M419" s="902"/>
      <c r="N419" s="900" t="s">
        <v>2309</v>
      </c>
    </row>
    <row r="420" spans="1:14" s="910" customFormat="1" ht="16.5" hidden="1" customHeight="1">
      <c r="A420" s="896"/>
      <c r="B420" s="956" t="s">
        <v>1615</v>
      </c>
      <c r="C420" s="957">
        <v>1</v>
      </c>
      <c r="D420" s="958" t="s">
        <v>273</v>
      </c>
      <c r="E420" s="1268">
        <v>2</v>
      </c>
      <c r="F420" s="960">
        <v>3.15</v>
      </c>
      <c r="G420" s="960">
        <v>0</v>
      </c>
      <c r="H420" s="960">
        <v>1</v>
      </c>
      <c r="I420" s="916">
        <f>ROUND(IF(AND(F420:H420),C420*E420*F420*G420*H420,IF(AND(F420,G420),C420*E420*F420*G420,IF(AND(F420,H420),C420*E420*F420*H420,IF(AND(G420,H420),C420*E420*G420*H420,IF(F420,C420*E420*F420,IF(G420,C420*E420*G420,IF(H420,C420*E420*H420,C420*E420))))))),2)</f>
        <v>6.3</v>
      </c>
      <c r="J420" s="955" t="s">
        <v>102</v>
      </c>
      <c r="K420" s="902"/>
      <c r="L420" s="896"/>
      <c r="M420" s="902"/>
      <c r="N420" s="900" t="s">
        <v>2309</v>
      </c>
    </row>
    <row r="421" spans="1:14" s="910" customFormat="1" ht="16.5" hidden="1" customHeight="1">
      <c r="A421" s="896"/>
      <c r="B421" s="956" t="s">
        <v>1615</v>
      </c>
      <c r="C421" s="957">
        <v>1</v>
      </c>
      <c r="D421" s="958" t="s">
        <v>273</v>
      </c>
      <c r="E421" s="1268">
        <v>2</v>
      </c>
      <c r="F421" s="960">
        <v>2</v>
      </c>
      <c r="G421" s="960">
        <v>0</v>
      </c>
      <c r="H421" s="960">
        <v>1.9</v>
      </c>
      <c r="I421" s="916">
        <f>ROUND(IF(AND(F421:H421),C421*E421*F421*G421*H421,IF(AND(F421,G421),C421*E421*F421*G421,IF(AND(F421,H421),C421*E421*F421*H421,IF(AND(G421,H421),C421*E421*G421*H421,IF(F421,C421*E421*F421,IF(G421,C421*E421*G421,IF(H421,C421*E421*H421,C421*E421))))))),2)</f>
        <v>7.6</v>
      </c>
      <c r="J421" s="955" t="s">
        <v>102</v>
      </c>
      <c r="K421" s="902"/>
      <c r="L421" s="896"/>
      <c r="M421" s="902"/>
      <c r="N421" s="900" t="s">
        <v>2309</v>
      </c>
    </row>
    <row r="422" spans="1:14" s="910" customFormat="1" ht="16.5" hidden="1" customHeight="1">
      <c r="A422" s="896"/>
      <c r="B422" s="956"/>
      <c r="C422" s="957"/>
      <c r="D422" s="958"/>
      <c r="E422" s="1268"/>
      <c r="F422" s="960"/>
      <c r="G422" s="960"/>
      <c r="H422" s="960"/>
      <c r="I422" s="916"/>
      <c r="J422" s="909"/>
      <c r="K422" s="902"/>
      <c r="L422" s="896"/>
      <c r="M422" s="902"/>
      <c r="N422" s="900" t="s">
        <v>2309</v>
      </c>
    </row>
    <row r="423" spans="1:14" ht="15.75" hidden="1">
      <c r="A423" s="896"/>
      <c r="B423" s="902"/>
      <c r="C423" s="917"/>
      <c r="D423" s="918"/>
      <c r="E423" s="919"/>
      <c r="F423" s="920"/>
      <c r="G423" s="921"/>
      <c r="H423" s="896"/>
      <c r="I423" s="916"/>
      <c r="J423" s="909" t="s">
        <v>102</v>
      </c>
      <c r="K423" s="922">
        <f>'data 2022-23'!G764</f>
        <v>610</v>
      </c>
      <c r="L423" s="923" t="s">
        <v>2419</v>
      </c>
      <c r="M423" s="924">
        <f>ROUND(I423*K423,0)</f>
        <v>0</v>
      </c>
      <c r="N423" s="900" t="s">
        <v>2309</v>
      </c>
    </row>
    <row r="424" spans="1:14" ht="96" hidden="1" customHeight="1">
      <c r="A424" s="896">
        <v>25</v>
      </c>
      <c r="B424" s="1609" t="s">
        <v>2250</v>
      </c>
      <c r="C424" s="1609"/>
      <c r="D424" s="1609"/>
      <c r="E424" s="1609"/>
      <c r="F424" s="1609"/>
      <c r="G424" s="1609"/>
      <c r="H424" s="1609"/>
      <c r="I424" s="897"/>
      <c r="J424" s="898"/>
      <c r="K424" s="896"/>
      <c r="L424" s="923"/>
      <c r="M424" s="899"/>
      <c r="N424" s="900" t="s">
        <v>2309</v>
      </c>
    </row>
    <row r="425" spans="1:14" s="910" customFormat="1" ht="16.5" hidden="1" customHeight="1">
      <c r="A425" s="896"/>
      <c r="B425" s="902" t="s">
        <v>3367</v>
      </c>
      <c r="C425" s="903"/>
      <c r="D425" s="904"/>
      <c r="E425" s="905"/>
      <c r="F425" s="906"/>
      <c r="G425" s="906"/>
      <c r="H425" s="907"/>
      <c r="I425" s="908"/>
      <c r="J425" s="955"/>
      <c r="K425" s="902"/>
      <c r="L425" s="896"/>
      <c r="M425" s="902"/>
      <c r="N425" s="900" t="s">
        <v>2309</v>
      </c>
    </row>
    <row r="426" spans="1:14" s="910" customFormat="1" ht="16.5" hidden="1" customHeight="1">
      <c r="A426" s="896"/>
      <c r="B426" s="956" t="s">
        <v>1614</v>
      </c>
      <c r="C426" s="957">
        <v>1</v>
      </c>
      <c r="D426" s="958" t="s">
        <v>273</v>
      </c>
      <c r="E426" s="1268">
        <v>2</v>
      </c>
      <c r="F426" s="960">
        <v>1</v>
      </c>
      <c r="G426" s="960">
        <v>0</v>
      </c>
      <c r="H426" s="960">
        <v>1</v>
      </c>
      <c r="I426" s="916">
        <f>ROUND(IF(AND(F426:H426),C426*E426*F426*G426*H426,IF(AND(F426,G426),C426*E426*F426*G426,IF(AND(F426,H426),C426*E426*F426*H426,IF(AND(G426,H426),C426*E426*G426*H426,IF(F426,C426*E426*F426,IF(G426,C426*E426*G426,IF(H426,C426*E426*H426,C426*E426))))))),2)</f>
        <v>2</v>
      </c>
      <c r="J426" s="955" t="s">
        <v>102</v>
      </c>
      <c r="K426" s="902"/>
      <c r="L426" s="896"/>
      <c r="M426" s="902"/>
      <c r="N426" s="900" t="s">
        <v>2309</v>
      </c>
    </row>
    <row r="427" spans="1:14" s="910" customFormat="1" ht="16.5" hidden="1" customHeight="1">
      <c r="A427" s="896"/>
      <c r="B427" s="956" t="s">
        <v>1615</v>
      </c>
      <c r="C427" s="957">
        <v>1</v>
      </c>
      <c r="D427" s="958" t="s">
        <v>273</v>
      </c>
      <c r="E427" s="1268">
        <v>2</v>
      </c>
      <c r="F427" s="960">
        <v>3.15</v>
      </c>
      <c r="G427" s="960">
        <v>0</v>
      </c>
      <c r="H427" s="960">
        <v>1</v>
      </c>
      <c r="I427" s="916">
        <f>ROUND(IF(AND(F427:H427),C427*E427*F427*G427*H427,IF(AND(F427,G427),C427*E427*F427*G427,IF(AND(F427,H427),C427*E427*F427*H427,IF(AND(G427,H427),C427*E427*G427*H427,IF(F427,C427*E427*F427,IF(G427,C427*E427*G427,IF(H427,C427*E427*H427,C427*E427))))))),2)</f>
        <v>6.3</v>
      </c>
      <c r="J427" s="955" t="s">
        <v>102</v>
      </c>
      <c r="K427" s="902"/>
      <c r="L427" s="896"/>
      <c r="M427" s="902"/>
      <c r="N427" s="900" t="s">
        <v>2309</v>
      </c>
    </row>
    <row r="428" spans="1:14" s="910" customFormat="1" ht="16.5" hidden="1" customHeight="1">
      <c r="A428" s="896"/>
      <c r="B428" s="956" t="s">
        <v>1615</v>
      </c>
      <c r="C428" s="957">
        <v>1</v>
      </c>
      <c r="D428" s="958" t="s">
        <v>273</v>
      </c>
      <c r="E428" s="1268">
        <v>2</v>
      </c>
      <c r="F428" s="960">
        <v>2</v>
      </c>
      <c r="G428" s="960">
        <v>0</v>
      </c>
      <c r="H428" s="960">
        <v>1.9</v>
      </c>
      <c r="I428" s="916">
        <f>ROUND(IF(AND(F428:H428),C428*E428*F428*G428*H428,IF(AND(F428,G428),C428*E428*F428*G428,IF(AND(F428,H428),C428*E428*F428*H428,IF(AND(G428,H428),C428*E428*G428*H428,IF(F428,C428*E428*F428,IF(G428,C428*E428*G428,IF(H428,C428*E428*H428,C428*E428))))))),2)</f>
        <v>7.6</v>
      </c>
      <c r="J428" s="955" t="s">
        <v>102</v>
      </c>
      <c r="K428" s="902"/>
      <c r="L428" s="896"/>
      <c r="M428" s="902"/>
      <c r="N428" s="900" t="s">
        <v>2309</v>
      </c>
    </row>
    <row r="429" spans="1:14" s="910" customFormat="1" ht="16.5" hidden="1" customHeight="1">
      <c r="A429" s="896"/>
      <c r="B429" s="956"/>
      <c r="C429" s="957"/>
      <c r="D429" s="958"/>
      <c r="E429" s="1268"/>
      <c r="F429" s="960"/>
      <c r="G429" s="960"/>
      <c r="H429" s="960"/>
      <c r="I429" s="916"/>
      <c r="J429" s="909"/>
      <c r="K429" s="902"/>
      <c r="L429" s="896"/>
      <c r="M429" s="902"/>
      <c r="N429" s="900" t="s">
        <v>2309</v>
      </c>
    </row>
    <row r="430" spans="1:14" ht="15.75" hidden="1">
      <c r="A430" s="896"/>
      <c r="B430" s="902"/>
      <c r="C430" s="917"/>
      <c r="D430" s="918"/>
      <c r="E430" s="919"/>
      <c r="F430" s="920"/>
      <c r="G430" s="921"/>
      <c r="H430" s="896"/>
      <c r="I430" s="916"/>
      <c r="J430" s="909" t="s">
        <v>102</v>
      </c>
      <c r="K430" s="922">
        <f>'data 2022-23'!E780</f>
        <v>345.47</v>
      </c>
      <c r="L430" s="923" t="s">
        <v>2419</v>
      </c>
      <c r="M430" s="924">
        <f>ROUND(I430*K430,0)</f>
        <v>0</v>
      </c>
      <c r="N430" s="900" t="s">
        <v>2309</v>
      </c>
    </row>
    <row r="431" spans="1:14" ht="66" hidden="1" customHeight="1">
      <c r="A431" s="896">
        <v>26</v>
      </c>
      <c r="B431" s="1609" t="s">
        <v>1192</v>
      </c>
      <c r="C431" s="1609"/>
      <c r="D431" s="1609"/>
      <c r="E431" s="1609"/>
      <c r="F431" s="1609"/>
      <c r="G431" s="1609"/>
      <c r="H431" s="1609"/>
      <c r="I431" s="897"/>
      <c r="J431" s="898"/>
      <c r="K431" s="896"/>
      <c r="L431" s="923"/>
      <c r="M431" s="899"/>
      <c r="N431" s="900" t="s">
        <v>2309</v>
      </c>
    </row>
    <row r="432" spans="1:14" s="910" customFormat="1" ht="16.5" hidden="1" customHeight="1">
      <c r="A432" s="896"/>
      <c r="B432" s="902" t="s">
        <v>3348</v>
      </c>
      <c r="C432" s="903"/>
      <c r="D432" s="904"/>
      <c r="E432" s="905"/>
      <c r="F432" s="906"/>
      <c r="G432" s="906"/>
      <c r="H432" s="907"/>
      <c r="I432" s="908"/>
      <c r="J432" s="955"/>
      <c r="K432" s="902"/>
      <c r="L432" s="923"/>
      <c r="M432" s="902"/>
      <c r="N432" s="900" t="s">
        <v>2309</v>
      </c>
    </row>
    <row r="433" spans="1:14" s="910" customFormat="1" ht="16.5" hidden="1" customHeight="1">
      <c r="A433" s="896"/>
      <c r="B433" s="902" t="s">
        <v>799</v>
      </c>
      <c r="C433" s="897">
        <v>1</v>
      </c>
      <c r="D433" s="1263" t="s">
        <v>273</v>
      </c>
      <c r="E433" s="919">
        <v>1</v>
      </c>
      <c r="F433" s="920">
        <v>8.5</v>
      </c>
      <c r="G433" s="920">
        <v>4.95</v>
      </c>
      <c r="H433" s="920">
        <v>0</v>
      </c>
      <c r="I433" s="1266">
        <f>ROUND(IF(AND(F433:H433),C433*E433*F433*G433*H433,IF(AND(F433,G433),C433*E433*F433*G433,IF(AND(F433,H433),C433*E433*F433*H433,IF(AND(G433,H433),C433*E433*G433*H433,IF(F433,C433*E433*F433,IF(G433,C433*E433*G433,IF(H433,C433*E433*H433,C433*E433))))))),2)</f>
        <v>42.08</v>
      </c>
      <c r="J433" s="955" t="s">
        <v>102</v>
      </c>
      <c r="K433" s="902"/>
      <c r="L433" s="923"/>
      <c r="M433" s="902"/>
      <c r="N433" s="900" t="s">
        <v>2309</v>
      </c>
    </row>
    <row r="434" spans="1:14" s="910" customFormat="1" ht="16.5" hidden="1" customHeight="1">
      <c r="A434" s="896"/>
      <c r="B434" s="902" t="s">
        <v>817</v>
      </c>
      <c r="C434" s="897">
        <v>1</v>
      </c>
      <c r="D434" s="1263" t="s">
        <v>273</v>
      </c>
      <c r="E434" s="919">
        <v>1</v>
      </c>
      <c r="F434" s="920">
        <v>6.25</v>
      </c>
      <c r="G434" s="920">
        <v>0</v>
      </c>
      <c r="H434" s="920">
        <v>3.6</v>
      </c>
      <c r="I434" s="1266">
        <f>ROUND(IF(AND(F434:H434),C434*E434*F434*G434*H434,IF(AND(F434,G434),C434*E434*F434*G434,IF(AND(F434,H434),C434*E434*F434*H434,IF(AND(G434,H434),C434*E434*G434*H434,IF(F434,C434*E434*F434,IF(G434,C434*E434*G434,IF(H434,C434*E434*H434,C434*E434))))))),2)</f>
        <v>22.5</v>
      </c>
      <c r="J434" s="955" t="s">
        <v>102</v>
      </c>
      <c r="K434" s="902"/>
      <c r="L434" s="923"/>
      <c r="M434" s="902"/>
      <c r="N434" s="900" t="s">
        <v>2309</v>
      </c>
    </row>
    <row r="435" spans="1:14" s="910" customFormat="1" ht="16.5" hidden="1" customHeight="1">
      <c r="A435" s="896"/>
      <c r="B435" s="902" t="s">
        <v>816</v>
      </c>
      <c r="C435" s="897">
        <v>1</v>
      </c>
      <c r="D435" s="1263" t="s">
        <v>273</v>
      </c>
      <c r="E435" s="919">
        <v>1</v>
      </c>
      <c r="F435" s="920">
        <v>5.45</v>
      </c>
      <c r="G435" s="920">
        <v>0</v>
      </c>
      <c r="H435" s="920">
        <v>3.2</v>
      </c>
      <c r="I435" s="1266">
        <f>ROUND(IF(AND(F435:H435),C435*E435*F435*G435*H435,IF(AND(F435,G435),C435*E435*F435*G435,IF(AND(F435,H435),C435*E435*F435*H435,IF(AND(G435,H435),C435*E435*G435*H435,IF(F435,C435*E435*F435,IF(G435,C435*E435*G435,IF(H435,C435*E435*H435,C435*E435))))))),2)</f>
        <v>17.440000000000001</v>
      </c>
      <c r="J435" s="955" t="s">
        <v>102</v>
      </c>
      <c r="K435" s="902"/>
      <c r="L435" s="923"/>
      <c r="M435" s="902"/>
      <c r="N435" s="900" t="s">
        <v>2309</v>
      </c>
    </row>
    <row r="436" spans="1:14" s="910" customFormat="1" ht="16.5" hidden="1" customHeight="1">
      <c r="A436" s="896"/>
      <c r="B436" s="956"/>
      <c r="C436" s="957"/>
      <c r="D436" s="958"/>
      <c r="E436" s="959"/>
      <c r="F436" s="960"/>
      <c r="G436" s="960"/>
      <c r="H436" s="960"/>
      <c r="I436" s="916"/>
      <c r="J436" s="955"/>
      <c r="K436" s="902"/>
      <c r="L436" s="923"/>
      <c r="M436" s="902"/>
      <c r="N436" s="900" t="s">
        <v>2309</v>
      </c>
    </row>
    <row r="437" spans="1:14" ht="15.75" hidden="1">
      <c r="A437" s="896"/>
      <c r="B437" s="902"/>
      <c r="C437" s="917"/>
      <c r="D437" s="918"/>
      <c r="E437" s="919"/>
      <c r="F437" s="920"/>
      <c r="G437" s="921"/>
      <c r="H437" s="896"/>
      <c r="I437" s="916"/>
      <c r="J437" s="955" t="s">
        <v>102</v>
      </c>
      <c r="K437" s="922">
        <f>'data 2022-23'!E794</f>
        <v>24.05</v>
      </c>
      <c r="L437" s="923" t="s">
        <v>2419</v>
      </c>
      <c r="M437" s="924">
        <f>ROUND(I437*K437,0)</f>
        <v>0</v>
      </c>
      <c r="N437" s="900" t="s">
        <v>2309</v>
      </c>
    </row>
    <row r="438" spans="1:14" ht="117.75" hidden="1" customHeight="1">
      <c r="A438" s="896">
        <v>4</v>
      </c>
      <c r="B438" s="1609" t="s">
        <v>891</v>
      </c>
      <c r="C438" s="1609"/>
      <c r="D438" s="1609"/>
      <c r="E438" s="1609"/>
      <c r="F438" s="1609"/>
      <c r="G438" s="1609"/>
      <c r="H438" s="1609"/>
      <c r="I438" s="897"/>
      <c r="J438" s="898"/>
      <c r="K438" s="896"/>
      <c r="L438" s="923"/>
      <c r="M438" s="899"/>
      <c r="N438" s="900" t="s">
        <v>2309</v>
      </c>
    </row>
    <row r="439" spans="1:14" s="910" customFormat="1" ht="16.5" hidden="1" customHeight="1">
      <c r="A439" s="896"/>
      <c r="B439" s="902" t="s">
        <v>3501</v>
      </c>
      <c r="C439" s="897"/>
      <c r="D439" s="1287"/>
      <c r="E439" s="919"/>
      <c r="F439" s="920"/>
      <c r="G439" s="920"/>
      <c r="H439" s="920"/>
      <c r="I439" s="1264"/>
      <c r="J439" s="955"/>
      <c r="K439" s="902"/>
      <c r="L439" s="923"/>
      <c r="M439" s="902"/>
      <c r="N439" s="900" t="s">
        <v>2309</v>
      </c>
    </row>
    <row r="440" spans="1:14" s="910" customFormat="1" ht="16.5" hidden="1" customHeight="1">
      <c r="A440" s="896"/>
      <c r="B440" s="902" t="s">
        <v>2360</v>
      </c>
      <c r="C440" s="897">
        <v>1</v>
      </c>
      <c r="D440" s="1263" t="s">
        <v>273</v>
      </c>
      <c r="E440" s="919">
        <v>1</v>
      </c>
      <c r="F440" s="920">
        <v>2.92</v>
      </c>
      <c r="G440" s="920">
        <v>2.83</v>
      </c>
      <c r="H440" s="920">
        <v>0</v>
      </c>
      <c r="I440" s="1266">
        <f>ROUND(IF(AND(F440:H440),C440*E440*F440*G440*H440,IF(AND(F440,G440),C440*E440*F440*G440,IF(AND(F440,H440),C440*E440*F440*H440,IF(AND(G440,H440),C440*E440*G440*H440,IF(F440,C440*E440*F440,IF(G440,C440*E440*G440,IF(H440,C440*E440*H440,C440*E440))))))),2)</f>
        <v>8.26</v>
      </c>
      <c r="J440" s="955" t="s">
        <v>102</v>
      </c>
      <c r="K440" s="902"/>
      <c r="L440" s="923"/>
      <c r="M440" s="902"/>
      <c r="N440" s="900" t="s">
        <v>2309</v>
      </c>
    </row>
    <row r="441" spans="1:14" s="910" customFormat="1" ht="16.5" hidden="1" customHeight="1">
      <c r="A441" s="896"/>
      <c r="B441" s="902" t="s">
        <v>3494</v>
      </c>
      <c r="C441" s="897">
        <v>1</v>
      </c>
      <c r="D441" s="1263" t="s">
        <v>273</v>
      </c>
      <c r="E441" s="919">
        <v>1</v>
      </c>
      <c r="F441" s="920">
        <v>6.55</v>
      </c>
      <c r="G441" s="920">
        <v>2.97</v>
      </c>
      <c r="H441" s="920">
        <v>0</v>
      </c>
      <c r="I441" s="1266">
        <f t="shared" ref="I441:I447" si="12">ROUND(IF(AND(F441:H441),C441*E441*F441*G441*H441,IF(AND(F441,G441),C441*E441*F441*G441,IF(AND(F441,H441),C441*E441*F441*H441,IF(AND(G441,H441),C441*E441*G441*H441,IF(F441,C441*E441*F441,IF(G441,C441*E441*G441,IF(H441,C441*E441*H441,C441*E441))))))),2)</f>
        <v>19.45</v>
      </c>
      <c r="J441" s="955" t="s">
        <v>102</v>
      </c>
      <c r="K441" s="902"/>
      <c r="L441" s="923"/>
      <c r="M441" s="902"/>
      <c r="N441" s="900" t="s">
        <v>2309</v>
      </c>
    </row>
    <row r="442" spans="1:14" s="910" customFormat="1" ht="16.5" hidden="1" customHeight="1">
      <c r="A442" s="896"/>
      <c r="B442" s="902" t="s">
        <v>3495</v>
      </c>
      <c r="C442" s="897">
        <v>1</v>
      </c>
      <c r="D442" s="1263" t="s">
        <v>273</v>
      </c>
      <c r="E442" s="919">
        <v>1</v>
      </c>
      <c r="F442" s="920">
        <v>1.1499999999999999</v>
      </c>
      <c r="G442" s="920">
        <v>1.35</v>
      </c>
      <c r="H442" s="920">
        <v>0</v>
      </c>
      <c r="I442" s="1266">
        <f t="shared" si="12"/>
        <v>1.55</v>
      </c>
      <c r="J442" s="955" t="s">
        <v>102</v>
      </c>
      <c r="K442" s="902"/>
      <c r="L442" s="923"/>
      <c r="M442" s="902"/>
      <c r="N442" s="900" t="s">
        <v>2309</v>
      </c>
    </row>
    <row r="443" spans="1:14" s="910" customFormat="1" ht="16.5" hidden="1" customHeight="1">
      <c r="A443" s="896"/>
      <c r="B443" s="902" t="s">
        <v>2521</v>
      </c>
      <c r="C443" s="897">
        <v>1</v>
      </c>
      <c r="D443" s="1263" t="s">
        <v>273</v>
      </c>
      <c r="E443" s="919">
        <v>1</v>
      </c>
      <c r="F443" s="920">
        <v>2.85</v>
      </c>
      <c r="G443" s="920">
        <v>2</v>
      </c>
      <c r="H443" s="920">
        <v>0</v>
      </c>
      <c r="I443" s="1266">
        <f t="shared" si="12"/>
        <v>5.7</v>
      </c>
      <c r="J443" s="955" t="s">
        <v>102</v>
      </c>
      <c r="K443" s="902"/>
      <c r="L443" s="923"/>
      <c r="M443" s="902"/>
      <c r="N443" s="900" t="s">
        <v>2309</v>
      </c>
    </row>
    <row r="444" spans="1:14" s="910" customFormat="1" ht="16.5" hidden="1" customHeight="1">
      <c r="A444" s="896"/>
      <c r="B444" s="902" t="s">
        <v>2448</v>
      </c>
      <c r="C444" s="897">
        <v>1</v>
      </c>
      <c r="D444" s="1263" t="s">
        <v>273</v>
      </c>
      <c r="E444" s="919">
        <v>1</v>
      </c>
      <c r="F444" s="920">
        <v>2.95</v>
      </c>
      <c r="G444" s="920">
        <v>2.82</v>
      </c>
      <c r="H444" s="920">
        <v>0</v>
      </c>
      <c r="I444" s="1266">
        <f t="shared" si="12"/>
        <v>8.32</v>
      </c>
      <c r="J444" s="955" t="s">
        <v>102</v>
      </c>
      <c r="K444" s="902"/>
      <c r="L444" s="923"/>
      <c r="M444" s="902"/>
      <c r="N444" s="900" t="s">
        <v>2309</v>
      </c>
    </row>
    <row r="445" spans="1:14" s="910" customFormat="1" ht="16.5" hidden="1" customHeight="1">
      <c r="A445" s="896"/>
      <c r="B445" s="902" t="s">
        <v>3496</v>
      </c>
      <c r="C445" s="897">
        <v>1</v>
      </c>
      <c r="D445" s="1263" t="s">
        <v>273</v>
      </c>
      <c r="E445" s="919">
        <v>1</v>
      </c>
      <c r="F445" s="920">
        <v>6.44</v>
      </c>
      <c r="G445" s="920">
        <v>2.97</v>
      </c>
      <c r="H445" s="920">
        <v>0</v>
      </c>
      <c r="I445" s="1266">
        <f t="shared" si="12"/>
        <v>19.13</v>
      </c>
      <c r="J445" s="955" t="s">
        <v>102</v>
      </c>
      <c r="K445" s="902"/>
      <c r="L445" s="923"/>
      <c r="M445" s="902"/>
      <c r="N445" s="900" t="s">
        <v>2309</v>
      </c>
    </row>
    <row r="446" spans="1:14" s="910" customFormat="1" ht="16.5" hidden="1" customHeight="1">
      <c r="A446" s="896"/>
      <c r="B446" s="902" t="s">
        <v>3489</v>
      </c>
      <c r="C446" s="897">
        <v>1</v>
      </c>
      <c r="D446" s="1263" t="s">
        <v>273</v>
      </c>
      <c r="E446" s="919">
        <v>1</v>
      </c>
      <c r="F446" s="920">
        <v>0.85</v>
      </c>
      <c r="G446" s="920">
        <v>1.45</v>
      </c>
      <c r="H446" s="920">
        <v>0</v>
      </c>
      <c r="I446" s="1266">
        <f t="shared" si="12"/>
        <v>1.23</v>
      </c>
      <c r="J446" s="955" t="s">
        <v>102</v>
      </c>
      <c r="K446" s="902"/>
      <c r="L446" s="923"/>
      <c r="M446" s="902"/>
      <c r="N446" s="900" t="s">
        <v>2309</v>
      </c>
    </row>
    <row r="447" spans="1:14" s="910" customFormat="1" ht="16.5" hidden="1" customHeight="1">
      <c r="A447" s="896"/>
      <c r="B447" s="902" t="s">
        <v>2357</v>
      </c>
      <c r="C447" s="897">
        <v>1</v>
      </c>
      <c r="D447" s="1263" t="s">
        <v>273</v>
      </c>
      <c r="E447" s="919">
        <v>1</v>
      </c>
      <c r="F447" s="920">
        <v>1.85</v>
      </c>
      <c r="G447" s="920">
        <v>1.69</v>
      </c>
      <c r="H447" s="920">
        <v>0</v>
      </c>
      <c r="I447" s="1266">
        <f t="shared" si="12"/>
        <v>3.13</v>
      </c>
      <c r="J447" s="955" t="s">
        <v>102</v>
      </c>
      <c r="K447" s="902"/>
      <c r="L447" s="923"/>
      <c r="M447" s="902"/>
      <c r="N447" s="900" t="s">
        <v>2309</v>
      </c>
    </row>
    <row r="448" spans="1:14" s="910" customFormat="1" ht="16.5" hidden="1" customHeight="1">
      <c r="A448" s="896"/>
      <c r="B448" s="902" t="s">
        <v>3475</v>
      </c>
      <c r="C448" s="897">
        <v>1</v>
      </c>
      <c r="D448" s="1263" t="s">
        <v>273</v>
      </c>
      <c r="E448" s="919">
        <v>1</v>
      </c>
      <c r="F448" s="920">
        <v>11.5</v>
      </c>
      <c r="G448" s="920">
        <v>0</v>
      </c>
      <c r="H448" s="920">
        <v>3.3</v>
      </c>
      <c r="I448" s="1266">
        <f>ROUND(IF(AND(F448:H448),C448*E448*F448*G448*H448,IF(AND(F448,G448),C448*E448*F448*G448,IF(AND(F448,H448),C448*E448*F448*H448,IF(AND(G448,H448),C448*E448*G448*H448,IF(F448,C448*E448*F448,IF(G448,C448*E448*G448,IF(H448,C448*E448*H448,C448*E448))))))),2)</f>
        <v>37.950000000000003</v>
      </c>
      <c r="J448" s="955" t="s">
        <v>102</v>
      </c>
      <c r="K448" s="902"/>
      <c r="L448" s="923"/>
      <c r="M448" s="902"/>
      <c r="N448" s="900" t="s">
        <v>2309</v>
      </c>
    </row>
    <row r="449" spans="1:14" s="910" customFormat="1" ht="16.5" hidden="1" customHeight="1">
      <c r="A449" s="896"/>
      <c r="B449" s="902" t="s">
        <v>2370</v>
      </c>
      <c r="C449" s="897">
        <v>1</v>
      </c>
      <c r="D449" s="1263" t="s">
        <v>273</v>
      </c>
      <c r="E449" s="919">
        <v>1</v>
      </c>
      <c r="F449" s="920">
        <v>1.2</v>
      </c>
      <c r="G449" s="920">
        <v>0</v>
      </c>
      <c r="H449" s="920">
        <v>1.2</v>
      </c>
      <c r="I449" s="1266">
        <f>-ROUND(IF(AND(F449:H449),C449*E449*F449*G449*H449,IF(AND(F449,G449),C449*E449*F449*G449,IF(AND(F449,H449),C449*E449*F449*H449,IF(AND(G449,H449),C449*E449*G449*H449,IF(F449,C449*E449*F449,IF(G449,C449*E449*G449,IF(H449,C449*E449*H449,C449*E449))))))),2)</f>
        <v>-1.44</v>
      </c>
      <c r="J449" s="955" t="s">
        <v>102</v>
      </c>
      <c r="K449" s="902"/>
      <c r="L449" s="923"/>
      <c r="M449" s="902"/>
      <c r="N449" s="900" t="s">
        <v>2309</v>
      </c>
    </row>
    <row r="450" spans="1:14" s="910" customFormat="1" ht="16.5" hidden="1" customHeight="1">
      <c r="A450" s="896"/>
      <c r="B450" s="902" t="s">
        <v>579</v>
      </c>
      <c r="C450" s="897">
        <v>1</v>
      </c>
      <c r="D450" s="1263" t="s">
        <v>273</v>
      </c>
      <c r="E450" s="919">
        <v>1</v>
      </c>
      <c r="F450" s="920">
        <v>0.9</v>
      </c>
      <c r="G450" s="920">
        <v>0</v>
      </c>
      <c r="H450" s="920">
        <v>2.1</v>
      </c>
      <c r="I450" s="1266">
        <f>-ROUND(IF(AND(F450:H450),C450*E450*F450*G450*H450,IF(AND(F450,G450),C450*E450*F450*G450,IF(AND(F450,H450),C450*E450*F450*H450,IF(AND(G450,H450),C450*E450*G450*H450,IF(F450,C450*E450*F450,IF(G450,C450*E450*G450,IF(H450,C450*E450*H450,C450*E450))))))),2)</f>
        <v>-1.89</v>
      </c>
      <c r="J450" s="955" t="s">
        <v>102</v>
      </c>
      <c r="K450" s="902"/>
      <c r="L450" s="923"/>
      <c r="M450" s="902"/>
      <c r="N450" s="900" t="s">
        <v>2309</v>
      </c>
    </row>
    <row r="451" spans="1:14" s="910" customFormat="1" ht="16.5" hidden="1" customHeight="1">
      <c r="A451" s="896"/>
      <c r="B451" s="902" t="s">
        <v>3476</v>
      </c>
      <c r="C451" s="897">
        <v>1</v>
      </c>
      <c r="D451" s="1263" t="s">
        <v>273</v>
      </c>
      <c r="E451" s="919">
        <v>1</v>
      </c>
      <c r="F451" s="920">
        <v>0.6</v>
      </c>
      <c r="G451" s="920">
        <v>0</v>
      </c>
      <c r="H451" s="920">
        <v>0.3</v>
      </c>
      <c r="I451" s="1266">
        <f>-ROUND(IF(AND(F451:H451),C451*E451*F451*G451*H451,IF(AND(F451,G451),C451*E451*F451*G451,IF(AND(F451,H451),C451*E451*F451*H451,IF(AND(G451,H451),C451*E451*G451*H451,IF(F451,C451*E451*F451,IF(G451,C451*E451*G451,IF(H451,C451*E451*H451,C451*E451))))))),2)</f>
        <v>-0.18</v>
      </c>
      <c r="J451" s="955" t="s">
        <v>102</v>
      </c>
      <c r="K451" s="902"/>
      <c r="L451" s="923"/>
      <c r="M451" s="902"/>
      <c r="N451" s="900" t="s">
        <v>2309</v>
      </c>
    </row>
    <row r="452" spans="1:14" s="910" customFormat="1" ht="16.5" hidden="1" customHeight="1">
      <c r="A452" s="896"/>
      <c r="B452" s="902" t="s">
        <v>3477</v>
      </c>
      <c r="C452" s="897">
        <v>1</v>
      </c>
      <c r="D452" s="1263" t="s">
        <v>273</v>
      </c>
      <c r="E452" s="919">
        <v>1</v>
      </c>
      <c r="F452" s="920">
        <v>19.04</v>
      </c>
      <c r="G452" s="920">
        <v>0</v>
      </c>
      <c r="H452" s="920">
        <v>3.3</v>
      </c>
      <c r="I452" s="1266">
        <f t="shared" ref="I452:I483" si="13">ROUND(IF(AND(F452:H452),C452*E452*F452*G452*H452,IF(AND(F452,G452),C452*E452*F452*G452,IF(AND(F452,H452),C452*E452*F452*H452,IF(AND(G452,H452),C452*E452*G452*H452,IF(F452,C452*E452*F452,IF(G452,C452*E452*G452,IF(H452,C452*E452*H452,C452*E452))))))),2)</f>
        <v>62.83</v>
      </c>
      <c r="J452" s="955" t="s">
        <v>102</v>
      </c>
      <c r="K452" s="902"/>
      <c r="L452" s="923"/>
      <c r="M452" s="902"/>
      <c r="N452" s="900" t="s">
        <v>2309</v>
      </c>
    </row>
    <row r="453" spans="1:14" s="910" customFormat="1" ht="16.5" hidden="1" customHeight="1">
      <c r="A453" s="896"/>
      <c r="B453" s="902" t="s">
        <v>579</v>
      </c>
      <c r="C453" s="897">
        <v>1</v>
      </c>
      <c r="D453" s="1263" t="s">
        <v>273</v>
      </c>
      <c r="E453" s="919">
        <v>1</v>
      </c>
      <c r="F453" s="920">
        <v>0.9</v>
      </c>
      <c r="G453" s="920">
        <v>0</v>
      </c>
      <c r="H453" s="920">
        <v>2.1</v>
      </c>
      <c r="I453" s="1266">
        <f>-ROUND(IF(AND(F453:H453),C453*E453*F453*G453*H453,IF(AND(F453,G453),C453*E453*F453*G453,IF(AND(F453,H453),C453*E453*F453*H453,IF(AND(G453,H453),C453*E453*G453*H453,IF(F453,C453*E453*F453,IF(G453,C453*E453*G453,IF(H453,C453*E453*H453,C453*E453))))))),2)</f>
        <v>-1.89</v>
      </c>
      <c r="J453" s="955" t="s">
        <v>102</v>
      </c>
      <c r="K453" s="902"/>
      <c r="L453" s="923"/>
      <c r="M453" s="902"/>
      <c r="N453" s="900" t="s">
        <v>2309</v>
      </c>
    </row>
    <row r="454" spans="1:14" s="910" customFormat="1" ht="16.5" hidden="1" customHeight="1">
      <c r="A454" s="896"/>
      <c r="B454" s="902" t="s">
        <v>2370</v>
      </c>
      <c r="C454" s="897">
        <v>1</v>
      </c>
      <c r="D454" s="1263" t="s">
        <v>273</v>
      </c>
      <c r="E454" s="919">
        <v>2</v>
      </c>
      <c r="F454" s="920">
        <v>1.2</v>
      </c>
      <c r="G454" s="920">
        <v>0</v>
      </c>
      <c r="H454" s="920">
        <v>1.2</v>
      </c>
      <c r="I454" s="1266">
        <f>-ROUND(IF(AND(F454:H454),C454*E454*F454*G454*H454,IF(AND(F454,G454),C454*E454*F454*G454,IF(AND(F454,H454),C454*E454*F454*H454,IF(AND(G454,H454),C454*E454*G454*H454,IF(F454,C454*E454*F454,IF(G454,C454*E454*G454,IF(H454,C454*E454*H454,C454*E454))))))),2)</f>
        <v>-2.88</v>
      </c>
      <c r="J454" s="955" t="s">
        <v>102</v>
      </c>
      <c r="K454" s="902"/>
      <c r="L454" s="923"/>
      <c r="M454" s="902"/>
      <c r="N454" s="900" t="s">
        <v>2309</v>
      </c>
    </row>
    <row r="455" spans="1:14" s="910" customFormat="1" ht="16.5" hidden="1" customHeight="1">
      <c r="A455" s="896"/>
      <c r="B455" s="902" t="s">
        <v>798</v>
      </c>
      <c r="C455" s="897">
        <v>1</v>
      </c>
      <c r="D455" s="1263" t="s">
        <v>273</v>
      </c>
      <c r="E455" s="919">
        <v>3</v>
      </c>
      <c r="F455" s="920">
        <v>0.6</v>
      </c>
      <c r="G455" s="920">
        <v>0</v>
      </c>
      <c r="H455" s="920">
        <v>0.3</v>
      </c>
      <c r="I455" s="1266">
        <f>-ROUND(IF(AND(F455:H455),C455*E455*F455*G455*H455,IF(AND(F455,G455),C455*E455*F455*G455,IF(AND(F455,H455),C455*E455*F455*H455,IF(AND(G455,H455),C455*E455*G455*H455,IF(F455,C455*E455*F455,IF(G455,C455*E455*G455,IF(H455,C455*E455*H455,C455*E455))))))),2)</f>
        <v>-0.54</v>
      </c>
      <c r="J455" s="955" t="s">
        <v>102</v>
      </c>
      <c r="K455" s="902"/>
      <c r="L455" s="923"/>
      <c r="M455" s="902"/>
      <c r="N455" s="900" t="s">
        <v>2309</v>
      </c>
    </row>
    <row r="456" spans="1:14" s="910" customFormat="1" ht="16.5" hidden="1" customHeight="1">
      <c r="A456" s="896"/>
      <c r="B456" s="902" t="s">
        <v>3478</v>
      </c>
      <c r="C456" s="897">
        <v>1</v>
      </c>
      <c r="D456" s="1263" t="s">
        <v>273</v>
      </c>
      <c r="E456" s="919">
        <v>1</v>
      </c>
      <c r="F456" s="920">
        <v>1.05</v>
      </c>
      <c r="G456" s="920">
        <v>0</v>
      </c>
      <c r="H456" s="920">
        <v>2.1</v>
      </c>
      <c r="I456" s="1266">
        <f>-ROUND(IF(AND(F456:H456),C456*E456*F456*G456*H456,IF(AND(F456,G456),C456*E456*F456*G456,IF(AND(F456,H456),C456*E456*F456*H456,IF(AND(G456,H456),C456*E456*G456*H456,IF(F456,C456*E456*F456,IF(G456,C456*E456*G456,IF(H456,C456*E456*H456,C456*E456))))))),2)</f>
        <v>-2.21</v>
      </c>
      <c r="J456" s="955" t="s">
        <v>102</v>
      </c>
      <c r="K456" s="902"/>
      <c r="L456" s="923"/>
      <c r="M456" s="902"/>
      <c r="N456" s="900" t="s">
        <v>2309</v>
      </c>
    </row>
    <row r="457" spans="1:14" s="910" customFormat="1" ht="16.5" hidden="1" customHeight="1">
      <c r="A457" s="896"/>
      <c r="B457" s="902" t="s">
        <v>3479</v>
      </c>
      <c r="C457" s="897">
        <v>1</v>
      </c>
      <c r="D457" s="1263" t="s">
        <v>273</v>
      </c>
      <c r="E457" s="919">
        <v>1</v>
      </c>
      <c r="F457" s="920">
        <v>1.35</v>
      </c>
      <c r="G457" s="920">
        <v>0</v>
      </c>
      <c r="H457" s="920">
        <v>3.1749999999999998</v>
      </c>
      <c r="I457" s="1266">
        <f>-ROUND(IF(AND(F457:H457),C457*E457*F457*G457*H457,IF(AND(F457,G457),C457*E457*F457*G457,IF(AND(F457,H457),C457*E457*F457*H457,IF(AND(G457,H457),C457*E457*G457*H457,IF(F457,C457*E457*F457,IF(G457,C457*E457*G457,IF(H457,C457*E457*H457,C457*E457))))))),2)</f>
        <v>-4.29</v>
      </c>
      <c r="J457" s="955" t="s">
        <v>102</v>
      </c>
      <c r="K457" s="902"/>
      <c r="L457" s="923"/>
      <c r="M457" s="902"/>
      <c r="N457" s="900" t="s">
        <v>2309</v>
      </c>
    </row>
    <row r="458" spans="1:14" s="910" customFormat="1" ht="16.5" hidden="1" customHeight="1">
      <c r="A458" s="896"/>
      <c r="B458" s="902" t="s">
        <v>3481</v>
      </c>
      <c r="C458" s="897">
        <v>1</v>
      </c>
      <c r="D458" s="1263" t="s">
        <v>273</v>
      </c>
      <c r="E458" s="919">
        <v>1</v>
      </c>
      <c r="F458" s="920">
        <v>3.65</v>
      </c>
      <c r="G458" s="920">
        <v>0</v>
      </c>
      <c r="H458" s="920">
        <v>3.3</v>
      </c>
      <c r="I458" s="1266">
        <f t="shared" si="13"/>
        <v>12.05</v>
      </c>
      <c r="J458" s="955" t="s">
        <v>102</v>
      </c>
      <c r="K458" s="902"/>
      <c r="L458" s="923"/>
      <c r="M458" s="902"/>
      <c r="N458" s="900" t="s">
        <v>2309</v>
      </c>
    </row>
    <row r="459" spans="1:14" s="910" customFormat="1" ht="16.5" hidden="1" customHeight="1">
      <c r="A459" s="896"/>
      <c r="B459" s="902" t="s">
        <v>579</v>
      </c>
      <c r="C459" s="897">
        <v>1</v>
      </c>
      <c r="D459" s="1263" t="s">
        <v>273</v>
      </c>
      <c r="E459" s="919">
        <v>1</v>
      </c>
      <c r="F459" s="920">
        <v>0.97</v>
      </c>
      <c r="G459" s="920">
        <v>0</v>
      </c>
      <c r="H459" s="920">
        <v>2.1</v>
      </c>
      <c r="I459" s="1266">
        <f>-ROUND(IF(AND(F459:H459),C459*E459*F459*G459*H459,IF(AND(F459,G459),C459*E459*F459*G459,IF(AND(F459,H459),C459*E459*F459*H459,IF(AND(G459,H459),C459*E459*G459*H459,IF(F459,C459*E459*F459,IF(G459,C459*E459*G459,IF(H459,C459*E459*H459,C459*E459))))))),2)</f>
        <v>-2.04</v>
      </c>
      <c r="J459" s="955" t="s">
        <v>102</v>
      </c>
      <c r="K459" s="902"/>
      <c r="L459" s="923"/>
      <c r="M459" s="902"/>
      <c r="N459" s="900" t="s">
        <v>2309</v>
      </c>
    </row>
    <row r="460" spans="1:14" s="910" customFormat="1" ht="16.5" hidden="1" customHeight="1">
      <c r="A460" s="896"/>
      <c r="B460" s="902" t="s">
        <v>2197</v>
      </c>
      <c r="C460" s="897">
        <v>1</v>
      </c>
      <c r="D460" s="1263" t="s">
        <v>273</v>
      </c>
      <c r="E460" s="919">
        <v>1</v>
      </c>
      <c r="F460" s="920">
        <v>0.75</v>
      </c>
      <c r="G460" s="920">
        <v>0</v>
      </c>
      <c r="H460" s="920">
        <v>2.1</v>
      </c>
      <c r="I460" s="1266">
        <f>-ROUND(IF(AND(F460:H460),C460*E460*F460*G460*H460,IF(AND(F460,G460),C460*E460*F460*G460,IF(AND(F460,H460),C460*E460*F460*H460,IF(AND(G460,H460),C460*E460*G460*H460,IF(F460,C460*E460*F460,IF(G460,C460*E460*G460,IF(H460,C460*E460*H460,C460*E460))))))),2)</f>
        <v>-1.58</v>
      </c>
      <c r="J460" s="955" t="s">
        <v>102</v>
      </c>
      <c r="K460" s="902"/>
      <c r="L460" s="923"/>
      <c r="M460" s="902"/>
      <c r="N460" s="900" t="s">
        <v>2309</v>
      </c>
    </row>
    <row r="461" spans="1:14" s="910" customFormat="1" ht="16.5" hidden="1" customHeight="1">
      <c r="A461" s="896"/>
      <c r="B461" s="902" t="s">
        <v>3482</v>
      </c>
      <c r="C461" s="897">
        <v>1</v>
      </c>
      <c r="D461" s="1263" t="s">
        <v>273</v>
      </c>
      <c r="E461" s="919">
        <v>1</v>
      </c>
      <c r="F461" s="920">
        <v>9.6999999999999993</v>
      </c>
      <c r="G461" s="920">
        <v>0</v>
      </c>
      <c r="H461" s="920">
        <v>3.3</v>
      </c>
      <c r="I461" s="1266">
        <f t="shared" si="13"/>
        <v>32.01</v>
      </c>
      <c r="J461" s="955" t="s">
        <v>102</v>
      </c>
      <c r="K461" s="902"/>
      <c r="L461" s="923"/>
      <c r="M461" s="902"/>
      <c r="N461" s="900" t="s">
        <v>2309</v>
      </c>
    </row>
    <row r="462" spans="1:14" s="910" customFormat="1" ht="16.5" hidden="1" customHeight="1">
      <c r="A462" s="896"/>
      <c r="B462" s="902" t="s">
        <v>579</v>
      </c>
      <c r="C462" s="897">
        <v>1</v>
      </c>
      <c r="D462" s="1263" t="s">
        <v>273</v>
      </c>
      <c r="E462" s="919">
        <v>1</v>
      </c>
      <c r="F462" s="920">
        <v>0.97</v>
      </c>
      <c r="G462" s="920">
        <v>0</v>
      </c>
      <c r="H462" s="920">
        <v>2.1</v>
      </c>
      <c r="I462" s="1266">
        <f>-ROUND(IF(AND(F462:H462),C462*E462*F462*G462*H462,IF(AND(F462,G462),C462*E462*F462*G462,IF(AND(F462,H462),C462*E462*F462*H462,IF(AND(G462,H462),C462*E462*G462*H462,IF(F462,C462*E462*F462,IF(G462,C462*E462*G462,IF(H462,C462*E462*H462,C462*E462))))))),2)</f>
        <v>-2.04</v>
      </c>
      <c r="J462" s="955" t="s">
        <v>102</v>
      </c>
      <c r="K462" s="902"/>
      <c r="L462" s="923"/>
      <c r="M462" s="902"/>
      <c r="N462" s="900" t="s">
        <v>2309</v>
      </c>
    </row>
    <row r="463" spans="1:14" s="910" customFormat="1" ht="16.5" hidden="1" customHeight="1">
      <c r="A463" s="896"/>
      <c r="B463" s="902" t="s">
        <v>2370</v>
      </c>
      <c r="C463" s="897">
        <v>1</v>
      </c>
      <c r="D463" s="1263" t="s">
        <v>273</v>
      </c>
      <c r="E463" s="919">
        <v>1</v>
      </c>
      <c r="F463" s="920">
        <v>1.2</v>
      </c>
      <c r="G463" s="920">
        <v>0</v>
      </c>
      <c r="H463" s="920">
        <v>1.2</v>
      </c>
      <c r="I463" s="1266">
        <f>-ROUND(IF(AND(F463:H463),C463*E463*F463*G463*H463,IF(AND(F463,G463),C463*E463*F463*G463,IF(AND(F463,H463),C463*E463*F463*H463,IF(AND(G463,H463),C463*E463*G463*H463,IF(F463,C463*E463*F463,IF(G463,C463*E463*G463,IF(H463,C463*E463*H463,C463*E463))))))),2)</f>
        <v>-1.44</v>
      </c>
      <c r="J463" s="955" t="s">
        <v>102</v>
      </c>
      <c r="K463" s="902"/>
      <c r="L463" s="923"/>
      <c r="M463" s="902"/>
      <c r="N463" s="900" t="s">
        <v>2309</v>
      </c>
    </row>
    <row r="464" spans="1:14" s="910" customFormat="1" ht="16.5" hidden="1" customHeight="1">
      <c r="A464" s="896"/>
      <c r="B464" s="902" t="s">
        <v>798</v>
      </c>
      <c r="C464" s="897">
        <v>1</v>
      </c>
      <c r="D464" s="1263" t="s">
        <v>273</v>
      </c>
      <c r="E464" s="919">
        <v>1</v>
      </c>
      <c r="F464" s="920">
        <v>0.6</v>
      </c>
      <c r="G464" s="920">
        <v>0</v>
      </c>
      <c r="H464" s="920">
        <v>0.3</v>
      </c>
      <c r="I464" s="1266">
        <f>-ROUND(IF(AND(F464:H464),C464*E464*F464*G464*H464,IF(AND(F464,G464),C464*E464*F464*G464,IF(AND(F464,H464),C464*E464*F464*H464,IF(AND(G464,H464),C464*E464*G464*H464,IF(F464,C464*E464*F464,IF(G464,C464*E464*G464,IF(H464,C464*E464*H464,C464*E464))))))),2)</f>
        <v>-0.18</v>
      </c>
      <c r="J464" s="955" t="s">
        <v>102</v>
      </c>
      <c r="K464" s="902"/>
      <c r="L464" s="923"/>
      <c r="M464" s="902"/>
      <c r="N464" s="900" t="s">
        <v>2309</v>
      </c>
    </row>
    <row r="465" spans="1:14" s="910" customFormat="1" ht="16.5" hidden="1" customHeight="1">
      <c r="A465" s="896"/>
      <c r="B465" s="902" t="s">
        <v>3483</v>
      </c>
      <c r="C465" s="897">
        <v>1</v>
      </c>
      <c r="D465" s="1263" t="s">
        <v>273</v>
      </c>
      <c r="E465" s="919">
        <v>1</v>
      </c>
      <c r="F465" s="920">
        <v>11.54</v>
      </c>
      <c r="G465" s="920">
        <v>0</v>
      </c>
      <c r="H465" s="920">
        <v>3.3</v>
      </c>
      <c r="I465" s="1266">
        <f t="shared" si="13"/>
        <v>38.08</v>
      </c>
      <c r="J465" s="955" t="s">
        <v>102</v>
      </c>
      <c r="K465" s="902"/>
      <c r="L465" s="923"/>
      <c r="M465" s="902"/>
      <c r="N465" s="900" t="s">
        <v>2309</v>
      </c>
    </row>
    <row r="466" spans="1:14" s="910" customFormat="1" ht="16.5" hidden="1" customHeight="1">
      <c r="A466" s="896"/>
      <c r="B466" s="902" t="s">
        <v>579</v>
      </c>
      <c r="C466" s="897">
        <v>1</v>
      </c>
      <c r="D466" s="1263" t="s">
        <v>273</v>
      </c>
      <c r="E466" s="919">
        <v>1</v>
      </c>
      <c r="F466" s="920">
        <v>0.9</v>
      </c>
      <c r="G466" s="920">
        <v>0</v>
      </c>
      <c r="H466" s="920">
        <v>2.1</v>
      </c>
      <c r="I466" s="1266">
        <f>-ROUND(IF(AND(F466:H466),C466*E466*F466*G466*H466,IF(AND(F466,G466),C466*E466*F466*G466,IF(AND(F466,H466),C466*E466*F466*H466,IF(AND(G466,H466),C466*E466*G466*H466,IF(F466,C466*E466*F466,IF(G466,C466*E466*G466,IF(H466,C466*E466*H466,C466*E466))))))),2)</f>
        <v>-1.89</v>
      </c>
      <c r="J466" s="955" t="s">
        <v>102</v>
      </c>
      <c r="K466" s="902"/>
      <c r="L466" s="923"/>
      <c r="M466" s="902"/>
      <c r="N466" s="900" t="s">
        <v>2309</v>
      </c>
    </row>
    <row r="467" spans="1:14" s="910" customFormat="1" ht="16.5" hidden="1" customHeight="1">
      <c r="A467" s="896"/>
      <c r="B467" s="902" t="s">
        <v>2370</v>
      </c>
      <c r="C467" s="897">
        <v>1</v>
      </c>
      <c r="D467" s="1263" t="s">
        <v>273</v>
      </c>
      <c r="E467" s="919">
        <v>1</v>
      </c>
      <c r="F467" s="920">
        <v>1.2</v>
      </c>
      <c r="G467" s="920">
        <v>0</v>
      </c>
      <c r="H467" s="920">
        <v>1.2</v>
      </c>
      <c r="I467" s="1266">
        <f>-ROUND(IF(AND(F467:H467),C467*E467*F467*G467*H467,IF(AND(F467,G467),C467*E467*F467*G467,IF(AND(F467,H467),C467*E467*F467*H467,IF(AND(G467,H467),C467*E467*G467*H467,IF(F467,C467*E467*F467,IF(G467,C467*E467*G467,IF(H467,C467*E467*H467,C467*E467))))))),2)</f>
        <v>-1.44</v>
      </c>
      <c r="J467" s="955" t="s">
        <v>102</v>
      </c>
      <c r="K467" s="902"/>
      <c r="L467" s="923"/>
      <c r="M467" s="902"/>
      <c r="N467" s="900" t="s">
        <v>2309</v>
      </c>
    </row>
    <row r="468" spans="1:14" s="910" customFormat="1" ht="16.5" hidden="1" customHeight="1">
      <c r="A468" s="896"/>
      <c r="B468" s="902" t="s">
        <v>798</v>
      </c>
      <c r="C468" s="897">
        <v>1</v>
      </c>
      <c r="D468" s="1263" t="s">
        <v>273</v>
      </c>
      <c r="E468" s="919">
        <v>1</v>
      </c>
      <c r="F468" s="920">
        <v>0.6</v>
      </c>
      <c r="G468" s="920">
        <v>0</v>
      </c>
      <c r="H468" s="920">
        <v>0.3</v>
      </c>
      <c r="I468" s="1266">
        <f>-ROUND(IF(AND(F468:H468),C468*E468*F468*G468*H468,IF(AND(F468,G468),C468*E468*F468*G468,IF(AND(F468,H468),C468*E468*F468*H468,IF(AND(G468,H468),C468*E468*G468*H468,IF(F468,C468*E468*F468,IF(G468,C468*E468*G468,IF(H468,C468*E468*H468,C468*E468))))))),2)</f>
        <v>-0.18</v>
      </c>
      <c r="J468" s="955" t="s">
        <v>102</v>
      </c>
      <c r="K468" s="902"/>
      <c r="L468" s="923"/>
      <c r="M468" s="902"/>
      <c r="N468" s="900" t="s">
        <v>2309</v>
      </c>
    </row>
    <row r="469" spans="1:14" s="910" customFormat="1" ht="16.5" hidden="1" customHeight="1">
      <c r="A469" s="896"/>
      <c r="B469" s="902" t="s">
        <v>3484</v>
      </c>
      <c r="C469" s="897">
        <v>1</v>
      </c>
      <c r="D469" s="1263" t="s">
        <v>273</v>
      </c>
      <c r="E469" s="919">
        <v>1</v>
      </c>
      <c r="F469" s="920">
        <v>18.82</v>
      </c>
      <c r="G469" s="920">
        <v>0</v>
      </c>
      <c r="H469" s="920">
        <v>3.3</v>
      </c>
      <c r="I469" s="1266">
        <f t="shared" si="13"/>
        <v>62.11</v>
      </c>
      <c r="J469" s="955" t="s">
        <v>102</v>
      </c>
      <c r="K469" s="902"/>
      <c r="L469" s="923"/>
      <c r="M469" s="902"/>
      <c r="N469" s="900" t="s">
        <v>2309</v>
      </c>
    </row>
    <row r="470" spans="1:14" s="910" customFormat="1" ht="16.5" hidden="1" customHeight="1">
      <c r="A470" s="896"/>
      <c r="B470" s="902" t="s">
        <v>3485</v>
      </c>
      <c r="C470" s="897">
        <v>1</v>
      </c>
      <c r="D470" s="1263" t="s">
        <v>273</v>
      </c>
      <c r="E470" s="919">
        <v>1</v>
      </c>
      <c r="F470" s="920">
        <v>0.9</v>
      </c>
      <c r="G470" s="920">
        <v>0</v>
      </c>
      <c r="H470" s="920">
        <v>2.1</v>
      </c>
      <c r="I470" s="1266">
        <f t="shared" ref="I470:I475" si="14">-ROUND(IF(AND(F470:H470),C470*E470*F470*G470*H470,IF(AND(F470,G470),C470*E470*F470*G470,IF(AND(F470,H470),C470*E470*F470*H470,IF(AND(G470,H470),C470*E470*G470*H470,IF(F470,C470*E470*F470,IF(G470,C470*E470*G470,IF(H470,C470*E470*H470,C470*E470))))))),2)</f>
        <v>-1.89</v>
      </c>
      <c r="J470" s="955" t="s">
        <v>102</v>
      </c>
      <c r="K470" s="902"/>
      <c r="L470" s="923"/>
      <c r="M470" s="902"/>
      <c r="N470" s="900" t="s">
        <v>2309</v>
      </c>
    </row>
    <row r="471" spans="1:14" s="910" customFormat="1" ht="16.5" hidden="1" customHeight="1">
      <c r="A471" s="896"/>
      <c r="B471" s="902" t="s">
        <v>3479</v>
      </c>
      <c r="C471" s="897">
        <v>1</v>
      </c>
      <c r="D471" s="1263" t="s">
        <v>273</v>
      </c>
      <c r="E471" s="919">
        <v>1</v>
      </c>
      <c r="F471" s="920">
        <v>1.35</v>
      </c>
      <c r="G471" s="920">
        <v>0</v>
      </c>
      <c r="H471" s="920">
        <v>3.1</v>
      </c>
      <c r="I471" s="1266">
        <f t="shared" si="14"/>
        <v>-4.1900000000000004</v>
      </c>
      <c r="J471" s="955" t="s">
        <v>102</v>
      </c>
      <c r="K471" s="902"/>
      <c r="L471" s="923"/>
      <c r="M471" s="902"/>
      <c r="N471" s="900" t="s">
        <v>2309</v>
      </c>
    </row>
    <row r="472" spans="1:14" s="910" customFormat="1" ht="16.5" hidden="1" customHeight="1">
      <c r="A472" s="896"/>
      <c r="B472" s="902" t="s">
        <v>3486</v>
      </c>
      <c r="C472" s="897">
        <v>1</v>
      </c>
      <c r="D472" s="1263" t="s">
        <v>273</v>
      </c>
      <c r="E472" s="919">
        <v>1</v>
      </c>
      <c r="F472" s="920">
        <v>0.8</v>
      </c>
      <c r="G472" s="920">
        <v>0</v>
      </c>
      <c r="H472" s="920">
        <v>2.1</v>
      </c>
      <c r="I472" s="1266">
        <f t="shared" si="14"/>
        <v>-1.68</v>
      </c>
      <c r="J472" s="955" t="s">
        <v>102</v>
      </c>
      <c r="K472" s="902"/>
      <c r="L472" s="923"/>
      <c r="M472" s="902"/>
      <c r="N472" s="900" t="s">
        <v>2309</v>
      </c>
    </row>
    <row r="473" spans="1:14" s="910" customFormat="1" ht="16.5" hidden="1" customHeight="1">
      <c r="A473" s="896"/>
      <c r="B473" s="902" t="s">
        <v>2370</v>
      </c>
      <c r="C473" s="897">
        <v>1</v>
      </c>
      <c r="D473" s="1263" t="s">
        <v>273</v>
      </c>
      <c r="E473" s="919">
        <v>2</v>
      </c>
      <c r="F473" s="920">
        <v>1.2</v>
      </c>
      <c r="G473" s="920">
        <v>0</v>
      </c>
      <c r="H473" s="920">
        <v>1.2</v>
      </c>
      <c r="I473" s="1266">
        <f t="shared" si="14"/>
        <v>-2.88</v>
      </c>
      <c r="J473" s="955" t="s">
        <v>102</v>
      </c>
      <c r="K473" s="902"/>
      <c r="L473" s="923"/>
      <c r="M473" s="902"/>
      <c r="N473" s="900" t="s">
        <v>2309</v>
      </c>
    </row>
    <row r="474" spans="1:14" s="910" customFormat="1" ht="16.5" hidden="1" customHeight="1">
      <c r="A474" s="896"/>
      <c r="B474" s="902" t="s">
        <v>3478</v>
      </c>
      <c r="C474" s="897">
        <v>1</v>
      </c>
      <c r="D474" s="1263" t="s">
        <v>273</v>
      </c>
      <c r="E474" s="919">
        <v>1</v>
      </c>
      <c r="F474" s="920">
        <v>1.07</v>
      </c>
      <c r="G474" s="920">
        <v>0</v>
      </c>
      <c r="H474" s="920">
        <v>2.1</v>
      </c>
      <c r="I474" s="1266">
        <f t="shared" si="14"/>
        <v>-2.25</v>
      </c>
      <c r="J474" s="955" t="s">
        <v>102</v>
      </c>
      <c r="K474" s="902"/>
      <c r="L474" s="923"/>
      <c r="M474" s="902"/>
      <c r="N474" s="900" t="s">
        <v>2309</v>
      </c>
    </row>
    <row r="475" spans="1:14" s="910" customFormat="1" ht="16.5" hidden="1" customHeight="1">
      <c r="A475" s="896"/>
      <c r="B475" s="902" t="s">
        <v>3487</v>
      </c>
      <c r="C475" s="897">
        <v>1</v>
      </c>
      <c r="D475" s="1263" t="s">
        <v>273</v>
      </c>
      <c r="E475" s="919">
        <v>3</v>
      </c>
      <c r="F475" s="920">
        <v>0.6</v>
      </c>
      <c r="G475" s="920">
        <v>0</v>
      </c>
      <c r="H475" s="920">
        <v>0.3</v>
      </c>
      <c r="I475" s="1266">
        <f t="shared" si="14"/>
        <v>-0.54</v>
      </c>
      <c r="J475" s="955" t="s">
        <v>102</v>
      </c>
      <c r="K475" s="902"/>
      <c r="L475" s="923"/>
      <c r="M475" s="902"/>
      <c r="N475" s="900" t="s">
        <v>2309</v>
      </c>
    </row>
    <row r="476" spans="1:14" s="910" customFormat="1" ht="16.5" hidden="1" customHeight="1">
      <c r="A476" s="896"/>
      <c r="B476" s="902" t="s">
        <v>3489</v>
      </c>
      <c r="C476" s="897">
        <v>1</v>
      </c>
      <c r="D476" s="1263" t="s">
        <v>273</v>
      </c>
      <c r="E476" s="919">
        <v>1</v>
      </c>
      <c r="F476" s="920">
        <v>3.05</v>
      </c>
      <c r="G476" s="920">
        <v>0</v>
      </c>
      <c r="H476" s="920">
        <v>3.3</v>
      </c>
      <c r="I476" s="1266">
        <f t="shared" si="13"/>
        <v>10.07</v>
      </c>
      <c r="J476" s="955" t="s">
        <v>102</v>
      </c>
      <c r="K476" s="902"/>
      <c r="L476" s="923"/>
      <c r="M476" s="902"/>
      <c r="N476" s="900" t="s">
        <v>2309</v>
      </c>
    </row>
    <row r="477" spans="1:14" s="910" customFormat="1" ht="16.5" hidden="1" customHeight="1">
      <c r="A477" s="896"/>
      <c r="B477" s="902" t="s">
        <v>579</v>
      </c>
      <c r="C477" s="897">
        <v>1</v>
      </c>
      <c r="D477" s="1263" t="s">
        <v>273</v>
      </c>
      <c r="E477" s="919">
        <v>1</v>
      </c>
      <c r="F477" s="920">
        <v>0.8</v>
      </c>
      <c r="G477" s="920">
        <v>0</v>
      </c>
      <c r="H477" s="920">
        <v>2.1</v>
      </c>
      <c r="I477" s="1266">
        <f>-ROUND(IF(AND(F477:H477),C477*E477*F477*G477*H477,IF(AND(F477,G477),C477*E477*F477*G477,IF(AND(F477,H477),C477*E477*F477*H477,IF(AND(G477,H477),C477*E477*G477*H477,IF(F477,C477*E477*F477,IF(G477,C477*E477*G477,IF(H477,C477*E477*H477,C477*E477))))))),2)</f>
        <v>-1.68</v>
      </c>
      <c r="J477" s="955" t="s">
        <v>102</v>
      </c>
      <c r="K477" s="902"/>
      <c r="L477" s="923"/>
      <c r="M477" s="902"/>
      <c r="N477" s="900" t="s">
        <v>2309</v>
      </c>
    </row>
    <row r="478" spans="1:14" s="910" customFormat="1" ht="16.5" hidden="1" customHeight="1">
      <c r="A478" s="896"/>
      <c r="B478" s="902" t="s">
        <v>3490</v>
      </c>
      <c r="C478" s="897">
        <v>1</v>
      </c>
      <c r="D478" s="1263" t="s">
        <v>273</v>
      </c>
      <c r="E478" s="919">
        <v>1</v>
      </c>
      <c r="F478" s="920">
        <v>7.08</v>
      </c>
      <c r="G478" s="920">
        <v>0</v>
      </c>
      <c r="H478" s="920">
        <v>3.3</v>
      </c>
      <c r="I478" s="1266">
        <f t="shared" si="13"/>
        <v>23.36</v>
      </c>
      <c r="J478" s="955" t="s">
        <v>102</v>
      </c>
      <c r="K478" s="902"/>
      <c r="L478" s="923"/>
      <c r="M478" s="902"/>
      <c r="N478" s="900" t="s">
        <v>2309</v>
      </c>
    </row>
    <row r="479" spans="1:14" s="910" customFormat="1" ht="16.5" hidden="1" customHeight="1">
      <c r="A479" s="896"/>
      <c r="B479" s="902" t="s">
        <v>2370</v>
      </c>
      <c r="C479" s="897">
        <v>1</v>
      </c>
      <c r="D479" s="1263" t="s">
        <v>273</v>
      </c>
      <c r="E479" s="919">
        <v>1</v>
      </c>
      <c r="F479" s="920">
        <v>1.2</v>
      </c>
      <c r="G479" s="920">
        <v>0</v>
      </c>
      <c r="H479" s="920">
        <v>1.2</v>
      </c>
      <c r="I479" s="1266">
        <f>-ROUND(IF(AND(F479:H479),C479*E479*F479*G479*H479,IF(AND(F479,G479),C479*E479*F479*G479,IF(AND(F479,H479),C479*E479*F479*H479,IF(AND(G479,H479),C479*E479*G479*H479,IF(F479,C479*E479*F479,IF(G479,C479*E479*G479,IF(H479,C479*E479*H479,C479*E479))))))),2)</f>
        <v>-1.44</v>
      </c>
      <c r="J479" s="955" t="s">
        <v>102</v>
      </c>
      <c r="K479" s="902"/>
      <c r="L479" s="923"/>
      <c r="M479" s="902"/>
      <c r="N479" s="900" t="s">
        <v>2309</v>
      </c>
    </row>
    <row r="480" spans="1:14" s="910" customFormat="1" ht="16.5" hidden="1" customHeight="1">
      <c r="A480" s="896"/>
      <c r="B480" s="902" t="s">
        <v>798</v>
      </c>
      <c r="C480" s="897">
        <v>1</v>
      </c>
      <c r="D480" s="1263" t="s">
        <v>273</v>
      </c>
      <c r="E480" s="919">
        <v>2</v>
      </c>
      <c r="F480" s="920">
        <v>0.6</v>
      </c>
      <c r="G480" s="920">
        <v>0</v>
      </c>
      <c r="H480" s="920">
        <v>0.3</v>
      </c>
      <c r="I480" s="1266">
        <f>-ROUND(IF(AND(F480:H480),C480*E480*F480*G480*H480,IF(AND(F480,G480),C480*E480*F480*G480,IF(AND(F480,H480),C480*E480*F480*H480,IF(AND(G480,H480),C480*E480*G480*H480,IF(F480,C480*E480*F480,IF(G480,C480*E480*G480,IF(H480,C480*E480*H480,C480*E480))))))),2)</f>
        <v>-0.36</v>
      </c>
      <c r="J480" s="955" t="s">
        <v>102</v>
      </c>
      <c r="K480" s="902"/>
      <c r="L480" s="923"/>
      <c r="M480" s="902"/>
      <c r="N480" s="900" t="s">
        <v>2309</v>
      </c>
    </row>
    <row r="481" spans="1:14" s="910" customFormat="1" ht="16.5" hidden="1" customHeight="1">
      <c r="A481" s="896"/>
      <c r="B481" s="902" t="s">
        <v>579</v>
      </c>
      <c r="C481" s="897">
        <v>1</v>
      </c>
      <c r="D481" s="1263" t="s">
        <v>273</v>
      </c>
      <c r="E481" s="919">
        <v>2</v>
      </c>
      <c r="F481" s="920">
        <v>0.8</v>
      </c>
      <c r="G481" s="920">
        <v>0</v>
      </c>
      <c r="H481" s="920">
        <v>2.1</v>
      </c>
      <c r="I481" s="1266">
        <f>-ROUND(IF(AND(F481:H481),C481*E481*F481*G481*H481,IF(AND(F481,G481),C481*E481*F481*G481,IF(AND(F481,H481),C481*E481*F481*H481,IF(AND(G481,H481),C481*E481*G481*H481,IF(F481,C481*E481*F481,IF(G481,C481*E481*G481,IF(H481,C481*E481*H481,C481*E481))))))),2)</f>
        <v>-3.36</v>
      </c>
      <c r="J481" s="955" t="s">
        <v>102</v>
      </c>
      <c r="K481" s="902"/>
      <c r="L481" s="923"/>
      <c r="M481" s="902"/>
      <c r="N481" s="900" t="s">
        <v>2309</v>
      </c>
    </row>
    <row r="482" spans="1:14" s="910" customFormat="1" ht="16.5" hidden="1" customHeight="1">
      <c r="A482" s="896"/>
      <c r="B482" s="902" t="s">
        <v>3491</v>
      </c>
      <c r="C482" s="897">
        <v>2</v>
      </c>
      <c r="D482" s="1263" t="s">
        <v>273</v>
      </c>
      <c r="E482" s="919">
        <v>8</v>
      </c>
      <c r="F482" s="920">
        <v>1.2</v>
      </c>
      <c r="G482" s="920">
        <v>0.23</v>
      </c>
      <c r="H482" s="920">
        <v>0</v>
      </c>
      <c r="I482" s="1266">
        <f t="shared" si="13"/>
        <v>4.42</v>
      </c>
      <c r="J482" s="955" t="s">
        <v>102</v>
      </c>
      <c r="K482" s="902"/>
      <c r="L482" s="923"/>
      <c r="M482" s="902"/>
      <c r="N482" s="900" t="s">
        <v>2309</v>
      </c>
    </row>
    <row r="483" spans="1:14" s="910" customFormat="1" ht="16.5" hidden="1" customHeight="1">
      <c r="A483" s="896"/>
      <c r="B483" s="902" t="s">
        <v>3492</v>
      </c>
      <c r="C483" s="897">
        <v>2</v>
      </c>
      <c r="D483" s="1263" t="s">
        <v>273</v>
      </c>
      <c r="E483" s="919">
        <v>8</v>
      </c>
      <c r="F483" s="920">
        <v>1.2</v>
      </c>
      <c r="G483" s="920">
        <v>0</v>
      </c>
      <c r="H483" s="920">
        <v>0.23</v>
      </c>
      <c r="I483" s="1266">
        <f t="shared" si="13"/>
        <v>4.42</v>
      </c>
      <c r="J483" s="955" t="s">
        <v>102</v>
      </c>
      <c r="K483" s="902"/>
      <c r="L483" s="923"/>
      <c r="M483" s="902"/>
      <c r="N483" s="900" t="s">
        <v>2309</v>
      </c>
    </row>
    <row r="484" spans="1:14" s="910" customFormat="1" ht="16.5" hidden="1" customHeight="1">
      <c r="A484" s="896"/>
      <c r="B484" s="956"/>
      <c r="C484" s="957"/>
      <c r="D484" s="958"/>
      <c r="E484" s="959"/>
      <c r="F484" s="960"/>
      <c r="G484" s="960"/>
      <c r="H484" s="960"/>
      <c r="I484" s="916"/>
      <c r="J484" s="955"/>
      <c r="K484" s="902"/>
      <c r="L484" s="923"/>
      <c r="M484" s="902"/>
      <c r="N484" s="900" t="s">
        <v>2309</v>
      </c>
    </row>
    <row r="485" spans="1:14" ht="15.75" hidden="1">
      <c r="A485" s="896"/>
      <c r="B485" s="902"/>
      <c r="C485" s="917"/>
      <c r="D485" s="918"/>
      <c r="E485" s="919"/>
      <c r="F485" s="920"/>
      <c r="G485" s="921"/>
      <c r="H485" s="896"/>
      <c r="I485" s="916"/>
      <c r="J485" s="955" t="s">
        <v>102</v>
      </c>
      <c r="K485" s="922">
        <f>'data 2022-23'!E809</f>
        <v>173.73</v>
      </c>
      <c r="L485" s="923" t="s">
        <v>2419</v>
      </c>
      <c r="M485" s="924">
        <f>ROUND(I485*K485,0)</f>
        <v>0</v>
      </c>
      <c r="N485" s="900" t="s">
        <v>2309</v>
      </c>
    </row>
    <row r="486" spans="1:14" s="1403" customFormat="1" ht="94.5" customHeight="1">
      <c r="A486" s="1397">
        <v>2</v>
      </c>
      <c r="B486" s="1610" t="s">
        <v>1167</v>
      </c>
      <c r="C486" s="1610"/>
      <c r="D486" s="1610"/>
      <c r="E486" s="1610"/>
      <c r="F486" s="1610"/>
      <c r="G486" s="1610"/>
      <c r="H486" s="1610"/>
      <c r="I486" s="1398"/>
      <c r="J486" s="1399"/>
      <c r="K486" s="1397"/>
      <c r="L486" s="1400"/>
      <c r="M486" s="1401"/>
      <c r="N486" s="1402" t="s">
        <v>2309</v>
      </c>
    </row>
    <row r="487" spans="1:14" s="1411" customFormat="1" ht="16.5" customHeight="1">
      <c r="A487" s="1397"/>
      <c r="B487" s="1410" t="s">
        <v>3958</v>
      </c>
      <c r="C487" s="1398"/>
      <c r="D487" s="1395" t="s">
        <v>4021</v>
      </c>
      <c r="E487" s="1413"/>
      <c r="F487" s="1414"/>
      <c r="G487" s="1414"/>
      <c r="H487" s="1414"/>
      <c r="I487" s="1463"/>
      <c r="J487" s="1423"/>
      <c r="K487" s="1410"/>
      <c r="L487" s="1400"/>
      <c r="M487" s="1410"/>
      <c r="N487" s="1402" t="s">
        <v>2309</v>
      </c>
    </row>
    <row r="488" spans="1:14" s="1411" customFormat="1" ht="16.5" customHeight="1">
      <c r="A488" s="1397"/>
      <c r="B488" s="1410" t="s">
        <v>2360</v>
      </c>
      <c r="C488" s="1398">
        <v>1</v>
      </c>
      <c r="D488" s="1412" t="s">
        <v>273</v>
      </c>
      <c r="E488" s="1413">
        <v>1</v>
      </c>
      <c r="F488" s="1414">
        <v>10.84</v>
      </c>
      <c r="G488" s="1414">
        <v>0</v>
      </c>
      <c r="H488" s="1414">
        <v>3.05</v>
      </c>
      <c r="I488" s="1415">
        <f t="shared" ref="I488:I506" si="15">ROUND(IF(AND(F488:H488),C488*E488*F488*G488*H488,IF(AND(F488,G488),C488*E488*F488*G488,IF(AND(F488,H488),C488*E488*F488*H488,IF(AND(G488,H488),C488*E488*G488*H488,IF(F488,C488*E488*F488,IF(G488,C488*E488*G488,IF(H488,C488*E488*H488,C488*E488))))))),2)</f>
        <v>33.06</v>
      </c>
      <c r="J488" s="1423" t="s">
        <v>102</v>
      </c>
      <c r="K488" s="1410"/>
      <c r="L488" s="1400"/>
      <c r="M488" s="1410"/>
      <c r="N488" s="1402" t="s">
        <v>2309</v>
      </c>
    </row>
    <row r="489" spans="1:14" s="1411" customFormat="1" ht="16.5" customHeight="1">
      <c r="A489" s="1397"/>
      <c r="B489" s="1410" t="s">
        <v>1541</v>
      </c>
      <c r="C489" s="1398">
        <v>1</v>
      </c>
      <c r="D489" s="1412" t="s">
        <v>273</v>
      </c>
      <c r="E489" s="1413">
        <v>1</v>
      </c>
      <c r="F489" s="1414">
        <v>2.7</v>
      </c>
      <c r="G489" s="1414">
        <v>2.72</v>
      </c>
      <c r="H489" s="1414">
        <v>0</v>
      </c>
      <c r="I489" s="1415">
        <f t="shared" si="15"/>
        <v>7.34</v>
      </c>
      <c r="J489" s="1423" t="s">
        <v>102</v>
      </c>
      <c r="K489" s="1410"/>
      <c r="L489" s="1400"/>
      <c r="M489" s="1410"/>
      <c r="N489" s="1402" t="s">
        <v>2309</v>
      </c>
    </row>
    <row r="490" spans="1:14" s="1411" customFormat="1" ht="16.5" customHeight="1">
      <c r="A490" s="1397"/>
      <c r="B490" s="1410" t="s">
        <v>2521</v>
      </c>
      <c r="C490" s="1398">
        <v>1</v>
      </c>
      <c r="D490" s="1412" t="s">
        <v>273</v>
      </c>
      <c r="E490" s="1413">
        <v>1</v>
      </c>
      <c r="F490" s="1414">
        <v>9.84</v>
      </c>
      <c r="G490" s="1414">
        <v>0</v>
      </c>
      <c r="H490" s="1414">
        <v>3.05</v>
      </c>
      <c r="I490" s="1415">
        <f t="shared" si="15"/>
        <v>30.01</v>
      </c>
      <c r="J490" s="1423" t="s">
        <v>102</v>
      </c>
      <c r="K490" s="1410"/>
      <c r="L490" s="1400"/>
      <c r="M490" s="1410"/>
      <c r="N490" s="1402" t="s">
        <v>2309</v>
      </c>
    </row>
    <row r="491" spans="1:14" s="1411" customFormat="1" ht="16.5" customHeight="1">
      <c r="A491" s="1397"/>
      <c r="B491" s="1410" t="s">
        <v>1541</v>
      </c>
      <c r="C491" s="1398">
        <v>1</v>
      </c>
      <c r="D491" s="1412" t="s">
        <v>273</v>
      </c>
      <c r="E491" s="1413">
        <v>1</v>
      </c>
      <c r="F491" s="1414">
        <v>2.2000000000000002</v>
      </c>
      <c r="G491" s="1414">
        <v>2.72</v>
      </c>
      <c r="H491" s="1414">
        <v>0</v>
      </c>
      <c r="I491" s="1415">
        <f t="shared" si="15"/>
        <v>5.98</v>
      </c>
      <c r="J491" s="1423" t="s">
        <v>102</v>
      </c>
      <c r="K491" s="1410"/>
      <c r="L491" s="1400"/>
      <c r="M491" s="1410"/>
      <c r="N491" s="1402" t="s">
        <v>2309</v>
      </c>
    </row>
    <row r="492" spans="1:14" s="1411" customFormat="1" ht="16.5" customHeight="1">
      <c r="A492" s="1397"/>
      <c r="B492" s="1410" t="s">
        <v>2358</v>
      </c>
      <c r="C492" s="1398">
        <v>1</v>
      </c>
      <c r="D492" s="1412" t="s">
        <v>273</v>
      </c>
      <c r="E492" s="1413">
        <v>1</v>
      </c>
      <c r="F492" s="1414">
        <v>9.84</v>
      </c>
      <c r="G492" s="1414">
        <v>0</v>
      </c>
      <c r="H492" s="1414">
        <v>3.05</v>
      </c>
      <c r="I492" s="1415">
        <f t="shared" si="15"/>
        <v>30.01</v>
      </c>
      <c r="J492" s="1423" t="s">
        <v>102</v>
      </c>
      <c r="K492" s="1410"/>
      <c r="L492" s="1400"/>
      <c r="M492" s="1410"/>
      <c r="N492" s="1402" t="s">
        <v>2309</v>
      </c>
    </row>
    <row r="493" spans="1:14" s="1411" customFormat="1" ht="16.5" customHeight="1">
      <c r="A493" s="1397"/>
      <c r="B493" s="1410" t="s">
        <v>1541</v>
      </c>
      <c r="C493" s="1398">
        <v>1</v>
      </c>
      <c r="D493" s="1412" t="s">
        <v>273</v>
      </c>
      <c r="E493" s="1413">
        <v>1</v>
      </c>
      <c r="F493" s="1414">
        <v>2.2000000000000002</v>
      </c>
      <c r="G493" s="1414">
        <v>2.72</v>
      </c>
      <c r="H493" s="1414">
        <v>0</v>
      </c>
      <c r="I493" s="1415">
        <f t="shared" si="15"/>
        <v>5.98</v>
      </c>
      <c r="J493" s="1423" t="s">
        <v>102</v>
      </c>
      <c r="K493" s="1410"/>
      <c r="L493" s="1400"/>
      <c r="M493" s="1410"/>
      <c r="N493" s="1402" t="s">
        <v>2309</v>
      </c>
    </row>
    <row r="494" spans="1:14" s="1411" customFormat="1" ht="16.5" customHeight="1">
      <c r="A494" s="1397"/>
      <c r="B494" s="1410" t="s">
        <v>2357</v>
      </c>
      <c r="C494" s="1398">
        <v>1</v>
      </c>
      <c r="D494" s="1412" t="s">
        <v>273</v>
      </c>
      <c r="E494" s="1413">
        <v>1</v>
      </c>
      <c r="F494" s="1414">
        <v>8.64</v>
      </c>
      <c r="G494" s="1414">
        <v>0</v>
      </c>
      <c r="H494" s="1414">
        <v>3.05</v>
      </c>
      <c r="I494" s="1415">
        <f t="shared" si="15"/>
        <v>26.35</v>
      </c>
      <c r="J494" s="1423" t="s">
        <v>102</v>
      </c>
      <c r="K494" s="1410"/>
      <c r="L494" s="1400"/>
      <c r="M494" s="1410"/>
      <c r="N494" s="1402" t="s">
        <v>2309</v>
      </c>
    </row>
    <row r="495" spans="1:14" s="1411" customFormat="1" ht="16.5" customHeight="1">
      <c r="A495" s="1397"/>
      <c r="B495" s="1410" t="s">
        <v>1541</v>
      </c>
      <c r="C495" s="1398">
        <v>1</v>
      </c>
      <c r="D495" s="1412" t="s">
        <v>273</v>
      </c>
      <c r="E495" s="1413">
        <v>1</v>
      </c>
      <c r="F495" s="1414">
        <v>1.6</v>
      </c>
      <c r="G495" s="1414">
        <v>2.72</v>
      </c>
      <c r="H495" s="1414">
        <v>0</v>
      </c>
      <c r="I495" s="1415">
        <f t="shared" si="15"/>
        <v>4.3499999999999996</v>
      </c>
      <c r="J495" s="1423" t="s">
        <v>102</v>
      </c>
      <c r="K495" s="1410"/>
      <c r="L495" s="1400"/>
      <c r="M495" s="1410"/>
      <c r="N495" s="1402" t="s">
        <v>2309</v>
      </c>
    </row>
    <row r="496" spans="1:14" s="1411" customFormat="1" ht="16.5" customHeight="1">
      <c r="A496" s="1397"/>
      <c r="B496" s="1410" t="s">
        <v>3670</v>
      </c>
      <c r="C496" s="1398">
        <v>1</v>
      </c>
      <c r="D496" s="1412" t="s">
        <v>273</v>
      </c>
      <c r="E496" s="1413">
        <v>1</v>
      </c>
      <c r="F496" s="1414">
        <v>19.22</v>
      </c>
      <c r="G496" s="1414">
        <v>0</v>
      </c>
      <c r="H496" s="1414">
        <v>3.05</v>
      </c>
      <c r="I496" s="1415">
        <f t="shared" si="15"/>
        <v>58.62</v>
      </c>
      <c r="J496" s="1423" t="s">
        <v>102</v>
      </c>
      <c r="K496" s="1410"/>
      <c r="L496" s="1400"/>
      <c r="M496" s="1410"/>
      <c r="N496" s="1402" t="s">
        <v>2309</v>
      </c>
    </row>
    <row r="497" spans="1:14" s="1411" customFormat="1" ht="16.5" customHeight="1">
      <c r="A497" s="1397"/>
      <c r="B497" s="1410" t="s">
        <v>1541</v>
      </c>
      <c r="C497" s="1398">
        <v>1</v>
      </c>
      <c r="D497" s="1412" t="s">
        <v>273</v>
      </c>
      <c r="E497" s="1413">
        <v>1</v>
      </c>
      <c r="F497" s="1414">
        <v>6.6</v>
      </c>
      <c r="G497" s="1414">
        <v>2.95</v>
      </c>
      <c r="H497" s="1414">
        <v>0</v>
      </c>
      <c r="I497" s="1415">
        <f t="shared" si="15"/>
        <v>19.47</v>
      </c>
      <c r="J497" s="1423" t="s">
        <v>102</v>
      </c>
      <c r="K497" s="1410"/>
      <c r="L497" s="1400"/>
      <c r="M497" s="1410"/>
      <c r="N497" s="1402" t="s">
        <v>2309</v>
      </c>
    </row>
    <row r="498" spans="1:14" s="1411" customFormat="1" ht="16.5" customHeight="1">
      <c r="A498" s="1397"/>
      <c r="B498" s="1410" t="s">
        <v>3959</v>
      </c>
      <c r="C498" s="1398">
        <v>1</v>
      </c>
      <c r="D498" s="1412" t="s">
        <v>273</v>
      </c>
      <c r="E498" s="1413">
        <v>1</v>
      </c>
      <c r="F498" s="1414">
        <v>18.100000000000001</v>
      </c>
      <c r="G498" s="1414">
        <v>0</v>
      </c>
      <c r="H498" s="1414">
        <v>3.05</v>
      </c>
      <c r="I498" s="1415">
        <f t="shared" si="15"/>
        <v>55.21</v>
      </c>
      <c r="J498" s="1423" t="s">
        <v>102</v>
      </c>
      <c r="K498" s="1410"/>
      <c r="L498" s="1400"/>
      <c r="M498" s="1410"/>
      <c r="N498" s="1402" t="s">
        <v>2309</v>
      </c>
    </row>
    <row r="499" spans="1:14" s="1411" customFormat="1" ht="16.5" customHeight="1">
      <c r="A499" s="1397"/>
      <c r="B499" s="1410" t="s">
        <v>1541</v>
      </c>
      <c r="C499" s="1398">
        <v>1</v>
      </c>
      <c r="D499" s="1412" t="s">
        <v>273</v>
      </c>
      <c r="E499" s="1413">
        <v>1</v>
      </c>
      <c r="F499" s="1414">
        <v>6.1</v>
      </c>
      <c r="G499" s="1414">
        <v>2.95</v>
      </c>
      <c r="H499" s="1414">
        <v>0</v>
      </c>
      <c r="I499" s="1415">
        <f t="shared" si="15"/>
        <v>18</v>
      </c>
      <c r="J499" s="1423" t="s">
        <v>102</v>
      </c>
      <c r="K499" s="1410"/>
      <c r="L499" s="1400"/>
      <c r="M499" s="1410"/>
      <c r="N499" s="1402" t="s">
        <v>2309</v>
      </c>
    </row>
    <row r="500" spans="1:14" s="1411" customFormat="1" ht="16.5" customHeight="1">
      <c r="A500" s="1397"/>
      <c r="B500" s="1410" t="s">
        <v>3960</v>
      </c>
      <c r="C500" s="1398">
        <v>1</v>
      </c>
      <c r="D500" s="1412" t="s">
        <v>273</v>
      </c>
      <c r="E500" s="1413">
        <v>2</v>
      </c>
      <c r="F500" s="1414">
        <v>0.6</v>
      </c>
      <c r="G500" s="1414">
        <v>0</v>
      </c>
      <c r="H500" s="1414">
        <v>0.7</v>
      </c>
      <c r="I500" s="1415">
        <f t="shared" si="15"/>
        <v>0.84</v>
      </c>
      <c r="J500" s="1423" t="s">
        <v>102</v>
      </c>
      <c r="K500" s="1410"/>
      <c r="L500" s="1400"/>
      <c r="M500" s="1410"/>
      <c r="N500" s="1402" t="s">
        <v>2309</v>
      </c>
    </row>
    <row r="501" spans="1:14" s="1411" customFormat="1" ht="16.5" customHeight="1">
      <c r="A501" s="1397"/>
      <c r="B501" s="1410"/>
      <c r="C501" s="1398">
        <v>1</v>
      </c>
      <c r="D501" s="1412" t="s">
        <v>273</v>
      </c>
      <c r="E501" s="1413">
        <v>2</v>
      </c>
      <c r="F501" s="1414">
        <v>0.5</v>
      </c>
      <c r="G501" s="1414">
        <v>0</v>
      </c>
      <c r="H501" s="1414">
        <v>0.7</v>
      </c>
      <c r="I501" s="1415">
        <f t="shared" si="15"/>
        <v>0.7</v>
      </c>
      <c r="J501" s="1423" t="s">
        <v>102</v>
      </c>
      <c r="K501" s="1410"/>
      <c r="L501" s="1400"/>
      <c r="M501" s="1410"/>
      <c r="N501" s="1402" t="s">
        <v>2309</v>
      </c>
    </row>
    <row r="502" spans="1:14" s="1411" customFormat="1" ht="16.5" customHeight="1">
      <c r="A502" s="1397"/>
      <c r="B502" s="1410"/>
      <c r="C502" s="1398">
        <v>1</v>
      </c>
      <c r="D502" s="1412" t="s">
        <v>273</v>
      </c>
      <c r="E502" s="1413">
        <v>3</v>
      </c>
      <c r="F502" s="1414">
        <v>0.35</v>
      </c>
      <c r="G502" s="1414">
        <v>0</v>
      </c>
      <c r="H502" s="1414">
        <v>0.7</v>
      </c>
      <c r="I502" s="1415">
        <f t="shared" si="15"/>
        <v>0.74</v>
      </c>
      <c r="J502" s="1423" t="s">
        <v>102</v>
      </c>
      <c r="K502" s="1410"/>
      <c r="L502" s="1400"/>
      <c r="M502" s="1410"/>
      <c r="N502" s="1402" t="s">
        <v>2309</v>
      </c>
    </row>
    <row r="503" spans="1:14" s="1411" customFormat="1" ht="16.5" customHeight="1">
      <c r="A503" s="1397"/>
      <c r="B503" s="1410" t="s">
        <v>3592</v>
      </c>
      <c r="C503" s="1398">
        <v>1</v>
      </c>
      <c r="D503" s="1412" t="s">
        <v>273</v>
      </c>
      <c r="E503" s="1413">
        <v>1</v>
      </c>
      <c r="F503" s="1414">
        <v>1.45</v>
      </c>
      <c r="G503" s="1414">
        <v>1.4</v>
      </c>
      <c r="H503" s="1414">
        <v>0</v>
      </c>
      <c r="I503" s="1415">
        <f t="shared" si="15"/>
        <v>2.0299999999999998</v>
      </c>
      <c r="J503" s="1423" t="s">
        <v>102</v>
      </c>
      <c r="K503" s="1410"/>
      <c r="L503" s="1400"/>
      <c r="M503" s="1410"/>
      <c r="N503" s="1402" t="s">
        <v>2309</v>
      </c>
    </row>
    <row r="504" spans="1:14" s="1411" customFormat="1" ht="16.5" customHeight="1">
      <c r="A504" s="1397"/>
      <c r="B504" s="1410"/>
      <c r="C504" s="1398">
        <v>1</v>
      </c>
      <c r="D504" s="1412" t="s">
        <v>273</v>
      </c>
      <c r="E504" s="1413">
        <v>1</v>
      </c>
      <c r="F504" s="1414">
        <v>1.45</v>
      </c>
      <c r="G504" s="1414">
        <v>1.25</v>
      </c>
      <c r="H504" s="1414">
        <v>0</v>
      </c>
      <c r="I504" s="1415">
        <f t="shared" si="15"/>
        <v>1.81</v>
      </c>
      <c r="J504" s="1423" t="s">
        <v>102</v>
      </c>
      <c r="K504" s="1410"/>
      <c r="L504" s="1400"/>
      <c r="M504" s="1410"/>
      <c r="N504" s="1402" t="s">
        <v>2309</v>
      </c>
    </row>
    <row r="505" spans="1:14" s="1411" customFormat="1" ht="16.5" customHeight="1">
      <c r="A505" s="1397"/>
      <c r="B505" s="1410"/>
      <c r="C505" s="1398">
        <v>1</v>
      </c>
      <c r="D505" s="1412" t="s">
        <v>273</v>
      </c>
      <c r="E505" s="1413">
        <v>1</v>
      </c>
      <c r="F505" s="1414">
        <v>5.8</v>
      </c>
      <c r="G505" s="1414">
        <v>0</v>
      </c>
      <c r="H505" s="1414">
        <v>1.1499999999999999</v>
      </c>
      <c r="I505" s="1415">
        <f t="shared" si="15"/>
        <v>6.67</v>
      </c>
      <c r="J505" s="1423" t="s">
        <v>102</v>
      </c>
      <c r="K505" s="1410"/>
      <c r="L505" s="1400"/>
      <c r="M505" s="1410"/>
      <c r="N505" s="1402" t="s">
        <v>2309</v>
      </c>
    </row>
    <row r="506" spans="1:14" s="1411" customFormat="1" ht="16.5" customHeight="1">
      <c r="A506" s="1397"/>
      <c r="B506" s="1410"/>
      <c r="C506" s="1398">
        <v>1</v>
      </c>
      <c r="D506" s="1412" t="s">
        <v>273</v>
      </c>
      <c r="E506" s="1413">
        <v>1</v>
      </c>
      <c r="F506" s="1414">
        <v>5.8</v>
      </c>
      <c r="G506" s="1414">
        <v>0</v>
      </c>
      <c r="H506" s="1414">
        <v>1.1499999999999999</v>
      </c>
      <c r="I506" s="1415">
        <f t="shared" si="15"/>
        <v>6.67</v>
      </c>
      <c r="J506" s="1423" t="s">
        <v>102</v>
      </c>
      <c r="K506" s="1410"/>
      <c r="L506" s="1400"/>
      <c r="M506" s="1410"/>
      <c r="N506" s="1402" t="s">
        <v>2309</v>
      </c>
    </row>
    <row r="507" spans="1:14" s="1411" customFormat="1" ht="16.5" customHeight="1">
      <c r="A507" s="1397"/>
      <c r="B507" s="1410" t="s">
        <v>579</v>
      </c>
      <c r="C507" s="1398">
        <v>1</v>
      </c>
      <c r="D507" s="1412" t="s">
        <v>273</v>
      </c>
      <c r="E507" s="1413">
        <v>1</v>
      </c>
      <c r="F507" s="1414">
        <v>1.2</v>
      </c>
      <c r="G507" s="1414">
        <v>0</v>
      </c>
      <c r="H507" s="1414">
        <v>2.1</v>
      </c>
      <c r="I507" s="1415">
        <f>-ROUND(IF(AND(F507:H507),C507*E507*F507*G507*H507,IF(AND(F507,G507),C507*E507*F507*G507,IF(AND(F507,H507),C507*E507*F507*H507,IF(AND(G507,H507),C507*E507*G507*H507,IF(F507,C507*E507*F507,IF(G507,C507*E507*G507,IF(H507,C507*E507*H507,C507*E507))))))),2)</f>
        <v>-2.52</v>
      </c>
      <c r="J507" s="1423" t="s">
        <v>102</v>
      </c>
      <c r="K507" s="1410"/>
      <c r="L507" s="1400"/>
      <c r="M507" s="1410"/>
      <c r="N507" s="1402" t="s">
        <v>2309</v>
      </c>
    </row>
    <row r="508" spans="1:14" s="1411" customFormat="1" ht="16.5" customHeight="1">
      <c r="A508" s="1397"/>
      <c r="B508" s="1410" t="s">
        <v>579</v>
      </c>
      <c r="C508" s="1398">
        <v>2</v>
      </c>
      <c r="D508" s="1412" t="s">
        <v>273</v>
      </c>
      <c r="E508" s="1413">
        <v>2</v>
      </c>
      <c r="F508" s="1414">
        <v>1.05</v>
      </c>
      <c r="G508" s="1414">
        <v>0</v>
      </c>
      <c r="H508" s="1414">
        <v>2.1</v>
      </c>
      <c r="I508" s="1415">
        <f t="shared" ref="I508:I514" si="16">-ROUND(IF(AND(F508:H508),C508*E508*F508*G508*H508,IF(AND(F508,G508),C508*E508*F508*G508,IF(AND(F508,H508),C508*E508*F508*H508,IF(AND(G508,H508),C508*E508*G508*H508,IF(F508,C508*E508*F508,IF(G508,C508*E508*G508,IF(H508,C508*E508*H508,C508*E508))))))),2)</f>
        <v>-8.82</v>
      </c>
      <c r="J508" s="1423" t="s">
        <v>102</v>
      </c>
      <c r="K508" s="1410"/>
      <c r="L508" s="1400"/>
      <c r="M508" s="1410"/>
      <c r="N508" s="1402" t="s">
        <v>2309</v>
      </c>
    </row>
    <row r="509" spans="1:14" s="1411" customFormat="1" ht="16.5" customHeight="1">
      <c r="A509" s="1397"/>
      <c r="B509" s="1410" t="s">
        <v>579</v>
      </c>
      <c r="C509" s="1398">
        <v>1</v>
      </c>
      <c r="D509" s="1412" t="s">
        <v>273</v>
      </c>
      <c r="E509" s="1413">
        <v>1</v>
      </c>
      <c r="F509" s="1414">
        <v>1.05</v>
      </c>
      <c r="G509" s="1414">
        <v>0</v>
      </c>
      <c r="H509" s="1414">
        <v>2.1</v>
      </c>
      <c r="I509" s="1415">
        <f t="shared" si="16"/>
        <v>-2.21</v>
      </c>
      <c r="J509" s="1423" t="s">
        <v>102</v>
      </c>
      <c r="K509" s="1410"/>
      <c r="L509" s="1400"/>
      <c r="M509" s="1410"/>
      <c r="N509" s="1402" t="s">
        <v>2309</v>
      </c>
    </row>
    <row r="510" spans="1:14" s="1411" customFormat="1" ht="16.5" customHeight="1">
      <c r="A510" s="1397"/>
      <c r="B510" s="1410" t="s">
        <v>579</v>
      </c>
      <c r="C510" s="1398">
        <v>1</v>
      </c>
      <c r="D510" s="1412" t="s">
        <v>273</v>
      </c>
      <c r="E510" s="1413">
        <v>2</v>
      </c>
      <c r="F510" s="1414">
        <v>1</v>
      </c>
      <c r="G510" s="1414">
        <v>0</v>
      </c>
      <c r="H510" s="1414">
        <v>2.1</v>
      </c>
      <c r="I510" s="1415">
        <f t="shared" si="16"/>
        <v>-4.2</v>
      </c>
      <c r="J510" s="1423" t="s">
        <v>102</v>
      </c>
      <c r="K510" s="1410"/>
      <c r="L510" s="1400"/>
      <c r="M510" s="1410"/>
      <c r="N510" s="1402" t="s">
        <v>2309</v>
      </c>
    </row>
    <row r="511" spans="1:14" s="1411" customFormat="1" ht="16.5" customHeight="1">
      <c r="A511" s="1397"/>
      <c r="B511" s="1410" t="s">
        <v>579</v>
      </c>
      <c r="C511" s="1398">
        <v>2</v>
      </c>
      <c r="D511" s="1412" t="s">
        <v>273</v>
      </c>
      <c r="E511" s="1413">
        <v>2</v>
      </c>
      <c r="F511" s="1414">
        <v>0.9</v>
      </c>
      <c r="G511" s="1414">
        <v>0</v>
      </c>
      <c r="H511" s="1414">
        <v>2.1</v>
      </c>
      <c r="I511" s="1415">
        <f t="shared" si="16"/>
        <v>-7.56</v>
      </c>
      <c r="J511" s="1423" t="s">
        <v>102</v>
      </c>
      <c r="K511" s="1410"/>
      <c r="L511" s="1400"/>
      <c r="M511" s="1410"/>
      <c r="N511" s="1402" t="s">
        <v>2309</v>
      </c>
    </row>
    <row r="512" spans="1:14" s="1411" customFormat="1" ht="16.5" customHeight="1">
      <c r="A512" s="1397"/>
      <c r="B512" s="1410" t="s">
        <v>579</v>
      </c>
      <c r="C512" s="1398">
        <v>1</v>
      </c>
      <c r="D512" s="1412" t="s">
        <v>273</v>
      </c>
      <c r="E512" s="1413">
        <v>1</v>
      </c>
      <c r="F512" s="1414">
        <v>0.9</v>
      </c>
      <c r="G512" s="1414">
        <v>0</v>
      </c>
      <c r="H512" s="1414">
        <v>2.1</v>
      </c>
      <c r="I512" s="1415">
        <f t="shared" si="16"/>
        <v>-1.89</v>
      </c>
      <c r="J512" s="1423" t="s">
        <v>102</v>
      </c>
      <c r="K512" s="1410"/>
      <c r="L512" s="1400"/>
      <c r="M512" s="1410"/>
      <c r="N512" s="1402" t="s">
        <v>2309</v>
      </c>
    </row>
    <row r="513" spans="1:14" s="1411" customFormat="1" ht="16.5" customHeight="1">
      <c r="A513" s="1397"/>
      <c r="B513" s="1410" t="s">
        <v>2370</v>
      </c>
      <c r="C513" s="1398">
        <v>1</v>
      </c>
      <c r="D513" s="1412" t="s">
        <v>273</v>
      </c>
      <c r="E513" s="1413">
        <v>11</v>
      </c>
      <c r="F513" s="1414">
        <v>1.2</v>
      </c>
      <c r="G513" s="1414">
        <v>0</v>
      </c>
      <c r="H513" s="1414">
        <v>1.2</v>
      </c>
      <c r="I513" s="1415">
        <f t="shared" si="16"/>
        <v>-15.84</v>
      </c>
      <c r="J513" s="1423" t="s">
        <v>102</v>
      </c>
      <c r="K513" s="1410"/>
      <c r="L513" s="1400"/>
      <c r="M513" s="1410"/>
      <c r="N513" s="1402" t="s">
        <v>2309</v>
      </c>
    </row>
    <row r="514" spans="1:14" s="1411" customFormat="1" ht="16.5" customHeight="1">
      <c r="A514" s="1397"/>
      <c r="B514" s="1410" t="s">
        <v>581</v>
      </c>
      <c r="C514" s="1398">
        <v>1</v>
      </c>
      <c r="D514" s="1412" t="s">
        <v>273</v>
      </c>
      <c r="E514" s="1413">
        <v>12</v>
      </c>
      <c r="F514" s="1414">
        <v>0.6</v>
      </c>
      <c r="G514" s="1414">
        <v>0</v>
      </c>
      <c r="H514" s="1414">
        <v>0.3</v>
      </c>
      <c r="I514" s="1415">
        <f t="shared" si="16"/>
        <v>-2.16</v>
      </c>
      <c r="J514" s="1423" t="s">
        <v>102</v>
      </c>
      <c r="K514" s="1410"/>
      <c r="L514" s="1400"/>
      <c r="M514" s="1410"/>
      <c r="N514" s="1402" t="s">
        <v>2309</v>
      </c>
    </row>
    <row r="515" spans="1:14" s="1411" customFormat="1" ht="16.5" customHeight="1">
      <c r="A515" s="1397"/>
      <c r="B515" s="1425"/>
      <c r="C515" s="1426"/>
      <c r="D515" s="1427"/>
      <c r="E515" s="1428"/>
      <c r="F515" s="1429"/>
      <c r="G515" s="1429"/>
      <c r="H515" s="1429"/>
      <c r="I515" s="1430"/>
      <c r="J515" s="1423"/>
      <c r="K515" s="1410"/>
      <c r="L515" s="1400"/>
      <c r="M515" s="1410"/>
      <c r="N515" s="1402" t="s">
        <v>2309</v>
      </c>
    </row>
    <row r="516" spans="1:14" s="1403" customFormat="1" ht="15.75">
      <c r="A516" s="1397"/>
      <c r="B516" s="1410"/>
      <c r="C516" s="1431"/>
      <c r="D516" s="1432"/>
      <c r="E516" s="1413"/>
      <c r="F516" s="1414"/>
      <c r="G516" s="1433"/>
      <c r="H516" s="1397"/>
      <c r="I516" s="1430">
        <f>SUM(I488:I515)</f>
        <v>268.64000000000004</v>
      </c>
      <c r="J516" s="1423" t="s">
        <v>102</v>
      </c>
      <c r="K516" s="1434">
        <f>'data 2022-23'!E844</f>
        <v>146.82</v>
      </c>
      <c r="L516" s="1400" t="s">
        <v>2419</v>
      </c>
      <c r="M516" s="1435">
        <f>ROUND(I516*K516,0)</f>
        <v>39442</v>
      </c>
      <c r="N516" s="1402" t="s">
        <v>2309</v>
      </c>
    </row>
    <row r="517" spans="1:14" s="1403" customFormat="1" ht="94.5" customHeight="1">
      <c r="A517" s="1397">
        <v>3</v>
      </c>
      <c r="B517" s="1615" t="s">
        <v>1168</v>
      </c>
      <c r="C517" s="1616"/>
      <c r="D517" s="1616"/>
      <c r="E517" s="1616"/>
      <c r="F517" s="1616"/>
      <c r="G517" s="1616"/>
      <c r="H517" s="1617"/>
      <c r="I517" s="1398"/>
      <c r="J517" s="1399"/>
      <c r="K517" s="1397"/>
      <c r="L517" s="1400"/>
      <c r="M517" s="1401"/>
      <c r="N517" s="1402" t="s">
        <v>2309</v>
      </c>
    </row>
    <row r="518" spans="1:14" s="1411" customFormat="1" ht="15.75">
      <c r="A518" s="1397"/>
      <c r="B518" s="1410" t="s">
        <v>3961</v>
      </c>
      <c r="C518" s="1398"/>
      <c r="D518" s="1395" t="s">
        <v>4021</v>
      </c>
      <c r="E518" s="1413"/>
      <c r="F518" s="1414"/>
      <c r="G518" s="1414"/>
      <c r="H518" s="1414"/>
      <c r="I518" s="1463"/>
      <c r="J518" s="1423"/>
      <c r="K518" s="1410"/>
      <c r="L518" s="1400"/>
      <c r="M518" s="1410"/>
      <c r="N518" s="1402" t="s">
        <v>2309</v>
      </c>
    </row>
    <row r="519" spans="1:14" s="1411" customFormat="1" ht="15.75">
      <c r="A519" s="1397"/>
      <c r="B519" s="1410" t="s">
        <v>2129</v>
      </c>
      <c r="C519" s="1398">
        <v>1</v>
      </c>
      <c r="D519" s="1412" t="s">
        <v>273</v>
      </c>
      <c r="E519" s="1413">
        <v>2</v>
      </c>
      <c r="F519" s="1414">
        <v>13.54</v>
      </c>
      <c r="G519" s="1414">
        <v>0</v>
      </c>
      <c r="H519" s="1414">
        <v>3.15</v>
      </c>
      <c r="I519" s="1415">
        <f t="shared" ref="I519:I535" si="17">ROUND(IF(AND(F519:H519),C519*E519*F519*G519*H519,IF(AND(F519,G519),C519*E519*F519*G519,IF(AND(F519,H519),C519*E519*F519*H519,IF(AND(G519,H519),C519*E519*G519*H519,IF(F519,C519*E519*F519,IF(G519,C519*E519*G519,IF(H519,C519*E519*H519,C519*E519))))))),2)</f>
        <v>85.3</v>
      </c>
      <c r="J519" s="1423" t="s">
        <v>102</v>
      </c>
      <c r="K519" s="1410"/>
      <c r="L519" s="1400"/>
      <c r="M519" s="1410"/>
      <c r="N519" s="1402" t="s">
        <v>2309</v>
      </c>
    </row>
    <row r="520" spans="1:14" s="1411" customFormat="1" ht="15.75">
      <c r="A520" s="1397"/>
      <c r="B520" s="1410" t="s">
        <v>2130</v>
      </c>
      <c r="C520" s="1398">
        <v>1</v>
      </c>
      <c r="D520" s="1412" t="s">
        <v>273</v>
      </c>
      <c r="E520" s="1413">
        <v>2</v>
      </c>
      <c r="F520" s="1414">
        <v>6.43</v>
      </c>
      <c r="G520" s="1414">
        <v>0</v>
      </c>
      <c r="H520" s="1414">
        <v>3.15</v>
      </c>
      <c r="I520" s="1415">
        <f t="shared" si="17"/>
        <v>40.51</v>
      </c>
      <c r="J520" s="1423" t="s">
        <v>102</v>
      </c>
      <c r="K520" s="1410"/>
      <c r="L520" s="1400"/>
      <c r="M520" s="1410"/>
      <c r="N520" s="1402" t="s">
        <v>2309</v>
      </c>
    </row>
    <row r="521" spans="1:14" s="1411" customFormat="1" ht="15.75">
      <c r="A521" s="1397"/>
      <c r="B521" s="1410" t="s">
        <v>3831</v>
      </c>
      <c r="C521" s="1398">
        <v>1</v>
      </c>
      <c r="D521" s="1412" t="s">
        <v>273</v>
      </c>
      <c r="E521" s="1413">
        <v>1</v>
      </c>
      <c r="F521" s="1414">
        <v>3.7</v>
      </c>
      <c r="G521" s="1414">
        <v>0</v>
      </c>
      <c r="H521" s="1414">
        <v>0.3</v>
      </c>
      <c r="I521" s="1415">
        <f t="shared" si="17"/>
        <v>1.1100000000000001</v>
      </c>
      <c r="J521" s="1423" t="s">
        <v>102</v>
      </c>
      <c r="K521" s="1410"/>
      <c r="L521" s="1400"/>
      <c r="M521" s="1410"/>
      <c r="N521" s="1402" t="s">
        <v>2309</v>
      </c>
    </row>
    <row r="522" spans="1:14" s="1411" customFormat="1" ht="15.75">
      <c r="A522" s="1397"/>
      <c r="B522" s="1410"/>
      <c r="C522" s="1398">
        <v>1</v>
      </c>
      <c r="D522" s="1412" t="s">
        <v>273</v>
      </c>
      <c r="E522" s="1413">
        <v>1</v>
      </c>
      <c r="F522" s="1414">
        <v>12.75</v>
      </c>
      <c r="G522" s="1414">
        <v>0</v>
      </c>
      <c r="H522" s="1414">
        <v>0.3</v>
      </c>
      <c r="I522" s="1415">
        <f t="shared" si="17"/>
        <v>3.83</v>
      </c>
      <c r="J522" s="1423" t="s">
        <v>102</v>
      </c>
      <c r="K522" s="1410"/>
      <c r="L522" s="1400"/>
      <c r="M522" s="1410"/>
      <c r="N522" s="1402" t="s">
        <v>2309</v>
      </c>
    </row>
    <row r="523" spans="1:14" s="1411" customFormat="1" ht="15.75">
      <c r="A523" s="1397"/>
      <c r="B523" s="1410" t="s">
        <v>1544</v>
      </c>
      <c r="C523" s="1398">
        <v>1</v>
      </c>
      <c r="D523" s="1412" t="s">
        <v>273</v>
      </c>
      <c r="E523" s="1413">
        <v>1</v>
      </c>
      <c r="F523" s="1414">
        <v>13.54</v>
      </c>
      <c r="G523" s="1414">
        <v>0</v>
      </c>
      <c r="H523" s="1414">
        <v>0.3</v>
      </c>
      <c r="I523" s="1415">
        <f t="shared" si="17"/>
        <v>4.0599999999999996</v>
      </c>
      <c r="J523" s="1423" t="s">
        <v>102</v>
      </c>
      <c r="K523" s="1410"/>
      <c r="L523" s="1400"/>
      <c r="M523" s="1410"/>
      <c r="N523" s="1402" t="s">
        <v>2309</v>
      </c>
    </row>
    <row r="524" spans="1:14" s="1411" customFormat="1" ht="15.75">
      <c r="A524" s="1397"/>
      <c r="B524" s="1410" t="s">
        <v>2925</v>
      </c>
      <c r="C524" s="1398">
        <v>1</v>
      </c>
      <c r="D524" s="1412" t="s">
        <v>273</v>
      </c>
      <c r="E524" s="1413">
        <v>1</v>
      </c>
      <c r="F524" s="1414">
        <v>6.43</v>
      </c>
      <c r="G524" s="1414">
        <v>0</v>
      </c>
      <c r="H524" s="1414">
        <v>0.3</v>
      </c>
      <c r="I524" s="1415">
        <f t="shared" si="17"/>
        <v>1.93</v>
      </c>
      <c r="J524" s="1423" t="s">
        <v>102</v>
      </c>
      <c r="K524" s="1410"/>
      <c r="L524" s="1400"/>
      <c r="M524" s="1410"/>
      <c r="N524" s="1402" t="s">
        <v>2309</v>
      </c>
    </row>
    <row r="525" spans="1:14" s="1411" customFormat="1" ht="15.75">
      <c r="A525" s="1397"/>
      <c r="B525" s="1410"/>
      <c r="C525" s="1398">
        <v>1</v>
      </c>
      <c r="D525" s="1412" t="s">
        <v>273</v>
      </c>
      <c r="E525" s="1413">
        <v>1</v>
      </c>
      <c r="F525" s="1414">
        <v>3.9</v>
      </c>
      <c r="G525" s="1414">
        <v>0</v>
      </c>
      <c r="H525" s="1414">
        <v>0.3</v>
      </c>
      <c r="I525" s="1415">
        <f t="shared" si="17"/>
        <v>1.17</v>
      </c>
      <c r="J525" s="1423" t="s">
        <v>102</v>
      </c>
      <c r="K525" s="1410"/>
      <c r="L525" s="1400"/>
      <c r="M525" s="1410"/>
      <c r="N525" s="1402" t="s">
        <v>2309</v>
      </c>
    </row>
    <row r="526" spans="1:14" s="1411" customFormat="1" ht="15.75">
      <c r="A526" s="1397"/>
      <c r="B526" s="1410" t="s">
        <v>3862</v>
      </c>
      <c r="C526" s="1398">
        <v>1</v>
      </c>
      <c r="D526" s="1412" t="s">
        <v>273</v>
      </c>
      <c r="E526" s="1413">
        <v>1</v>
      </c>
      <c r="F526" s="1414">
        <v>16</v>
      </c>
      <c r="G526" s="1414">
        <v>0.95</v>
      </c>
      <c r="H526" s="1414">
        <v>0</v>
      </c>
      <c r="I526" s="1415">
        <f t="shared" si="17"/>
        <v>15.2</v>
      </c>
      <c r="J526" s="1423" t="s">
        <v>102</v>
      </c>
      <c r="K526" s="1410"/>
      <c r="L526" s="1400"/>
      <c r="M526" s="1410"/>
      <c r="N526" s="1402" t="s">
        <v>2309</v>
      </c>
    </row>
    <row r="527" spans="1:14" s="1411" customFormat="1" ht="15.75">
      <c r="A527" s="1397"/>
      <c r="B527" s="1410" t="s">
        <v>3962</v>
      </c>
      <c r="C527" s="1398">
        <v>1</v>
      </c>
      <c r="D527" s="1412" t="s">
        <v>273</v>
      </c>
      <c r="E527" s="1413">
        <v>2</v>
      </c>
      <c r="F527" s="1414">
        <v>3.15</v>
      </c>
      <c r="G527" s="1414">
        <v>2.2000000000000002</v>
      </c>
      <c r="H527" s="1414">
        <v>0</v>
      </c>
      <c r="I527" s="1415">
        <f t="shared" si="17"/>
        <v>13.86</v>
      </c>
      <c r="J527" s="1423" t="s">
        <v>102</v>
      </c>
      <c r="K527" s="1410"/>
      <c r="L527" s="1400"/>
      <c r="M527" s="1410"/>
      <c r="N527" s="1402" t="s">
        <v>2309</v>
      </c>
    </row>
    <row r="528" spans="1:14" s="1411" customFormat="1" ht="15.75">
      <c r="A528" s="1397"/>
      <c r="B528" s="1410" t="s">
        <v>3837</v>
      </c>
      <c r="C528" s="1398">
        <v>1</v>
      </c>
      <c r="D528" s="1412" t="s">
        <v>273</v>
      </c>
      <c r="E528" s="1413">
        <v>1</v>
      </c>
      <c r="F528" s="1414">
        <f>(16+17.2)/2</f>
        <v>16.600000000000001</v>
      </c>
      <c r="G528" s="1414">
        <v>0.95</v>
      </c>
      <c r="H528" s="1414">
        <v>0</v>
      </c>
      <c r="I528" s="1415">
        <f t="shared" si="17"/>
        <v>15.77</v>
      </c>
      <c r="J528" s="1423" t="s">
        <v>102</v>
      </c>
      <c r="K528" s="1410"/>
      <c r="L528" s="1400"/>
      <c r="M528" s="1410"/>
      <c r="N528" s="1402" t="s">
        <v>2309</v>
      </c>
    </row>
    <row r="529" spans="1:14" s="1411" customFormat="1" ht="15.75">
      <c r="A529" s="1397"/>
      <c r="B529" s="1410" t="s">
        <v>3963</v>
      </c>
      <c r="C529" s="1398">
        <v>1</v>
      </c>
      <c r="D529" s="1412" t="s">
        <v>273</v>
      </c>
      <c r="E529" s="1413">
        <v>2</v>
      </c>
      <c r="F529" s="1414">
        <f>(3.05+3.65)/2</f>
        <v>3.3499999999999996</v>
      </c>
      <c r="G529" s="1414">
        <v>0.95</v>
      </c>
      <c r="H529" s="1414">
        <v>0</v>
      </c>
      <c r="I529" s="1415">
        <f t="shared" si="17"/>
        <v>6.37</v>
      </c>
      <c r="J529" s="1423" t="s">
        <v>102</v>
      </c>
      <c r="K529" s="1410"/>
      <c r="L529" s="1400"/>
      <c r="M529" s="1410"/>
      <c r="N529" s="1402" t="s">
        <v>2309</v>
      </c>
    </row>
    <row r="530" spans="1:14" s="1411" customFormat="1" ht="15.75">
      <c r="A530" s="1397"/>
      <c r="B530" s="1410" t="s">
        <v>3964</v>
      </c>
      <c r="C530" s="1398">
        <v>1</v>
      </c>
      <c r="D530" s="1412" t="s">
        <v>273</v>
      </c>
      <c r="E530" s="1413">
        <v>1</v>
      </c>
      <c r="F530" s="1414">
        <v>14.1</v>
      </c>
      <c r="G530" s="1414">
        <v>0.3</v>
      </c>
      <c r="H530" s="1414">
        <v>0</v>
      </c>
      <c r="I530" s="1415">
        <f t="shared" si="17"/>
        <v>4.2300000000000004</v>
      </c>
      <c r="J530" s="1423" t="s">
        <v>102</v>
      </c>
      <c r="K530" s="1410"/>
      <c r="L530" s="1400"/>
      <c r="M530" s="1410"/>
      <c r="N530" s="1402" t="s">
        <v>2309</v>
      </c>
    </row>
    <row r="531" spans="1:14" s="1411" customFormat="1" ht="15.75">
      <c r="A531" s="1397"/>
      <c r="B531" s="1410" t="s">
        <v>3965</v>
      </c>
      <c r="C531" s="1398">
        <v>1</v>
      </c>
      <c r="D531" s="1412" t="s">
        <v>273</v>
      </c>
      <c r="E531" s="1413">
        <v>2</v>
      </c>
      <c r="F531" s="1414">
        <v>3.2</v>
      </c>
      <c r="G531" s="1414">
        <v>0.3</v>
      </c>
      <c r="H531" s="1414">
        <v>0</v>
      </c>
      <c r="I531" s="1415">
        <f t="shared" si="17"/>
        <v>1.92</v>
      </c>
      <c r="J531" s="1423" t="s">
        <v>102</v>
      </c>
      <c r="K531" s="1410"/>
      <c r="L531" s="1400"/>
      <c r="M531" s="1410"/>
      <c r="N531" s="1402" t="s">
        <v>2309</v>
      </c>
    </row>
    <row r="532" spans="1:14" s="1411" customFormat="1" ht="15.75">
      <c r="A532" s="1397"/>
      <c r="B532" s="1410" t="s">
        <v>3966</v>
      </c>
      <c r="C532" s="1398">
        <v>1</v>
      </c>
      <c r="D532" s="1412" t="s">
        <v>273</v>
      </c>
      <c r="E532" s="1413">
        <v>1</v>
      </c>
      <c r="F532" s="1414">
        <v>17.2</v>
      </c>
      <c r="G532" s="1414">
        <v>0.25</v>
      </c>
      <c r="H532" s="1414">
        <v>0</v>
      </c>
      <c r="I532" s="1415">
        <f t="shared" si="17"/>
        <v>4.3</v>
      </c>
      <c r="J532" s="1423" t="s">
        <v>102</v>
      </c>
      <c r="K532" s="1410"/>
      <c r="L532" s="1400"/>
      <c r="M532" s="1410"/>
      <c r="N532" s="1402" t="s">
        <v>2309</v>
      </c>
    </row>
    <row r="533" spans="1:14" s="1411" customFormat="1" ht="15.75">
      <c r="A533" s="1397"/>
      <c r="B533" s="1410"/>
      <c r="C533" s="1398">
        <v>1</v>
      </c>
      <c r="D533" s="1412" t="s">
        <v>273</v>
      </c>
      <c r="E533" s="1413">
        <v>2</v>
      </c>
      <c r="F533" s="1414">
        <v>3.65</v>
      </c>
      <c r="G533" s="1414">
        <v>0.25</v>
      </c>
      <c r="H533" s="1414">
        <v>0</v>
      </c>
      <c r="I533" s="1415">
        <f t="shared" si="17"/>
        <v>1.83</v>
      </c>
      <c r="J533" s="1423" t="s">
        <v>102</v>
      </c>
      <c r="K533" s="1410"/>
      <c r="L533" s="1400"/>
      <c r="M533" s="1410"/>
      <c r="N533" s="1402" t="s">
        <v>2309</v>
      </c>
    </row>
    <row r="534" spans="1:14" s="1411" customFormat="1" ht="15.75">
      <c r="A534" s="1397"/>
      <c r="B534" s="1410" t="s">
        <v>3967</v>
      </c>
      <c r="C534" s="1398">
        <v>1</v>
      </c>
      <c r="D534" s="1412" t="s">
        <v>273</v>
      </c>
      <c r="E534" s="1413">
        <v>1</v>
      </c>
      <c r="F534" s="1414">
        <f>(16+17.2)/2</f>
        <v>16.600000000000001</v>
      </c>
      <c r="G534" s="1414">
        <v>0.95</v>
      </c>
      <c r="H534" s="1414">
        <v>0</v>
      </c>
      <c r="I534" s="1415">
        <f t="shared" si="17"/>
        <v>15.77</v>
      </c>
      <c r="J534" s="1423" t="s">
        <v>102</v>
      </c>
      <c r="K534" s="1410"/>
      <c r="L534" s="1400"/>
      <c r="M534" s="1410"/>
      <c r="N534" s="1402" t="s">
        <v>2309</v>
      </c>
    </row>
    <row r="535" spans="1:14" s="1411" customFormat="1" ht="15.75">
      <c r="A535" s="1397"/>
      <c r="B535" s="1410"/>
      <c r="C535" s="1398">
        <v>1</v>
      </c>
      <c r="D535" s="1412" t="s">
        <v>273</v>
      </c>
      <c r="E535" s="1413">
        <v>2</v>
      </c>
      <c r="F535" s="1414">
        <f>(3.05+3.65)/2</f>
        <v>3.3499999999999996</v>
      </c>
      <c r="G535" s="1414">
        <v>0.95</v>
      </c>
      <c r="H535" s="1414">
        <v>0</v>
      </c>
      <c r="I535" s="1415">
        <f t="shared" si="17"/>
        <v>6.37</v>
      </c>
      <c r="J535" s="1423" t="s">
        <v>102</v>
      </c>
      <c r="K535" s="1410"/>
      <c r="L535" s="1400"/>
      <c r="M535" s="1410"/>
      <c r="N535" s="1402" t="s">
        <v>2309</v>
      </c>
    </row>
    <row r="536" spans="1:14" s="1411" customFormat="1" ht="16.5" customHeight="1">
      <c r="A536" s="1397"/>
      <c r="B536" s="1425"/>
      <c r="C536" s="1426"/>
      <c r="D536" s="1427"/>
      <c r="E536" s="1428"/>
      <c r="F536" s="1429"/>
      <c r="G536" s="1429"/>
      <c r="H536" s="1429"/>
      <c r="I536" s="1430"/>
      <c r="J536" s="1423"/>
      <c r="K536" s="1410"/>
      <c r="L536" s="1400"/>
      <c r="M536" s="1410"/>
      <c r="N536" s="1402" t="s">
        <v>2309</v>
      </c>
    </row>
    <row r="537" spans="1:14" s="1403" customFormat="1" ht="15.75">
      <c r="A537" s="1397"/>
      <c r="B537" s="1410"/>
      <c r="C537" s="1431"/>
      <c r="D537" s="1432"/>
      <c r="E537" s="1413"/>
      <c r="F537" s="1414"/>
      <c r="G537" s="1433"/>
      <c r="H537" s="1397"/>
      <c r="I537" s="1430">
        <f>SUM(I519:I536)</f>
        <v>223.53</v>
      </c>
      <c r="J537" s="1423" t="s">
        <v>102</v>
      </c>
      <c r="K537" s="1434">
        <f>'data 2022-23'!E858</f>
        <v>200.84</v>
      </c>
      <c r="L537" s="1400" t="s">
        <v>2419</v>
      </c>
      <c r="M537" s="1435">
        <f>ROUND(I537*K537,0)</f>
        <v>44894</v>
      </c>
      <c r="N537" s="1402" t="s">
        <v>2309</v>
      </c>
    </row>
    <row r="538" spans="1:14" ht="66" hidden="1" customHeight="1">
      <c r="A538" s="896">
        <v>6</v>
      </c>
      <c r="B538" s="1612" t="s">
        <v>606</v>
      </c>
      <c r="C538" s="1613"/>
      <c r="D538" s="1613"/>
      <c r="E538" s="1613"/>
      <c r="F538" s="1613"/>
      <c r="G538" s="1613"/>
      <c r="H538" s="1614"/>
      <c r="I538" s="897"/>
      <c r="J538" s="898"/>
      <c r="K538" s="896"/>
      <c r="L538" s="923"/>
      <c r="M538" s="899"/>
      <c r="N538" s="900" t="s">
        <v>2309</v>
      </c>
    </row>
    <row r="539" spans="1:14" s="910" customFormat="1" ht="16.5" hidden="1" customHeight="1">
      <c r="A539" s="896"/>
      <c r="B539" s="902" t="s">
        <v>3805</v>
      </c>
      <c r="C539" s="903"/>
      <c r="D539" s="954" t="s">
        <v>3824</v>
      </c>
      <c r="E539" s="905"/>
      <c r="F539" s="906"/>
      <c r="G539" s="906"/>
      <c r="H539" s="907"/>
      <c r="I539" s="908"/>
      <c r="J539" s="955"/>
      <c r="K539" s="902"/>
      <c r="L539" s="896"/>
      <c r="M539" s="902"/>
      <c r="N539" s="900" t="s">
        <v>2309</v>
      </c>
    </row>
    <row r="540" spans="1:14" s="910" customFormat="1" ht="16.5" hidden="1" customHeight="1">
      <c r="A540" s="896"/>
      <c r="B540" s="911" t="s">
        <v>3318</v>
      </c>
      <c r="C540" s="912">
        <v>1</v>
      </c>
      <c r="D540" s="913" t="s">
        <v>273</v>
      </c>
      <c r="E540" s="1367">
        <v>2.25</v>
      </c>
      <c r="F540" s="915">
        <v>0.9</v>
      </c>
      <c r="G540" s="915">
        <v>0</v>
      </c>
      <c r="H540" s="915">
        <v>2.1</v>
      </c>
      <c r="I540" s="916">
        <f t="shared" ref="I540:I542" si="18">ROUND(IF(AND(F540:H540),C540*E540*F540*G540*H540,IF(AND(F540,G540),C540*E540*F540*G540,IF(AND(F540,H540),C540*E540*F540*H540,IF(AND(G540,H540),C540*E540*G540*H540,IF(F540,C540*E540*F540,IF(G540,C540*E540*G540,IF(H540,C540*E540*H540,C540*E540))))))),2)</f>
        <v>4.25</v>
      </c>
      <c r="J540" s="955" t="s">
        <v>102</v>
      </c>
      <c r="K540" s="902"/>
      <c r="L540" s="896"/>
      <c r="M540" s="902"/>
      <c r="N540" s="900" t="s">
        <v>2309</v>
      </c>
    </row>
    <row r="541" spans="1:14" s="910" customFormat="1" ht="16.5" hidden="1" customHeight="1">
      <c r="A541" s="896"/>
      <c r="B541" s="911" t="s">
        <v>3318</v>
      </c>
      <c r="C541" s="912">
        <v>1</v>
      </c>
      <c r="D541" s="913" t="s">
        <v>273</v>
      </c>
      <c r="E541" s="1367">
        <v>2.25</v>
      </c>
      <c r="F541" s="915">
        <v>0.75</v>
      </c>
      <c r="G541" s="915">
        <v>0</v>
      </c>
      <c r="H541" s="915">
        <v>2.1</v>
      </c>
      <c r="I541" s="916">
        <f t="shared" si="18"/>
        <v>3.54</v>
      </c>
      <c r="J541" s="955" t="s">
        <v>102</v>
      </c>
      <c r="K541" s="902"/>
      <c r="L541" s="896"/>
      <c r="M541" s="902"/>
      <c r="N541" s="900" t="s">
        <v>2309</v>
      </c>
    </row>
    <row r="542" spans="1:14" s="910" customFormat="1" ht="16.5" hidden="1" customHeight="1">
      <c r="A542" s="896"/>
      <c r="B542" s="911" t="s">
        <v>3806</v>
      </c>
      <c r="C542" s="912">
        <v>8</v>
      </c>
      <c r="D542" s="913" t="s">
        <v>273</v>
      </c>
      <c r="E542" s="1367">
        <v>0.5</v>
      </c>
      <c r="F542" s="915">
        <v>1.2</v>
      </c>
      <c r="G542" s="915">
        <v>0</v>
      </c>
      <c r="H542" s="915">
        <v>1.2</v>
      </c>
      <c r="I542" s="916">
        <f t="shared" si="18"/>
        <v>5.76</v>
      </c>
      <c r="J542" s="955" t="s">
        <v>102</v>
      </c>
      <c r="K542" s="902"/>
      <c r="L542" s="896"/>
      <c r="M542" s="902"/>
      <c r="N542" s="900" t="s">
        <v>2309</v>
      </c>
    </row>
    <row r="543" spans="1:14" s="910" customFormat="1" ht="16.5" hidden="1" customHeight="1">
      <c r="A543" s="896"/>
      <c r="B543" s="956"/>
      <c r="C543" s="957"/>
      <c r="D543" s="958"/>
      <c r="E543" s="959"/>
      <c r="F543" s="960"/>
      <c r="G543" s="960"/>
      <c r="H543" s="960"/>
      <c r="I543" s="916"/>
      <c r="J543" s="955"/>
      <c r="K543" s="902"/>
      <c r="L543" s="923"/>
      <c r="M543" s="902"/>
      <c r="N543" s="900" t="s">
        <v>2309</v>
      </c>
    </row>
    <row r="544" spans="1:14" ht="15.75" hidden="1">
      <c r="A544" s="896"/>
      <c r="B544" s="902"/>
      <c r="C544" s="917"/>
      <c r="D544" s="918"/>
      <c r="E544" s="919"/>
      <c r="F544" s="920"/>
      <c r="G544" s="921"/>
      <c r="H544" s="896"/>
      <c r="I544" s="916"/>
      <c r="J544" s="955" t="s">
        <v>102</v>
      </c>
      <c r="K544" s="922">
        <f>'data 2022-23'!G875</f>
        <v>149.86000000000001</v>
      </c>
      <c r="L544" s="923" t="s">
        <v>2419</v>
      </c>
      <c r="M544" s="924">
        <f>ROUND(I544*K544,0)</f>
        <v>0</v>
      </c>
      <c r="N544" s="900" t="s">
        <v>2309</v>
      </c>
    </row>
    <row r="545" spans="1:14" s="1403" customFormat="1" ht="181.5" customHeight="1">
      <c r="A545" s="1397">
        <v>4</v>
      </c>
      <c r="B545" s="1610" t="s">
        <v>1183</v>
      </c>
      <c r="C545" s="1610"/>
      <c r="D545" s="1610"/>
      <c r="E545" s="1610"/>
      <c r="F545" s="1610"/>
      <c r="G545" s="1610"/>
      <c r="H545" s="1610"/>
      <c r="I545" s="1398"/>
      <c r="J545" s="1399"/>
      <c r="K545" s="1397"/>
      <c r="L545" s="1400"/>
      <c r="M545" s="1401"/>
      <c r="N545" s="1402" t="s">
        <v>2309</v>
      </c>
    </row>
    <row r="546" spans="1:14" s="1411" customFormat="1" ht="16.5" customHeight="1">
      <c r="A546" s="1397"/>
      <c r="B546" s="1410" t="s">
        <v>3968</v>
      </c>
      <c r="C546" s="1417"/>
      <c r="D546" s="1395" t="s">
        <v>4021</v>
      </c>
      <c r="E546" s="1419"/>
      <c r="F546" s="1420"/>
      <c r="G546" s="1420"/>
      <c r="H546" s="1421"/>
      <c r="I546" s="1422"/>
      <c r="J546" s="1442"/>
      <c r="K546" s="1410"/>
      <c r="L546" s="1397"/>
      <c r="M546" s="1410"/>
      <c r="N546" s="1402" t="s">
        <v>2309</v>
      </c>
    </row>
    <row r="547" spans="1:14" s="1411" customFormat="1" ht="16.5" customHeight="1">
      <c r="A547" s="1397"/>
      <c r="B547" s="1458" t="s">
        <v>1621</v>
      </c>
      <c r="C547" s="1459">
        <v>1</v>
      </c>
      <c r="D547" s="1460" t="s">
        <v>273</v>
      </c>
      <c r="E547" s="1470">
        <v>2.25</v>
      </c>
      <c r="F547" s="1448">
        <v>1.2</v>
      </c>
      <c r="G547" s="1448">
        <v>0</v>
      </c>
      <c r="H547" s="1448">
        <v>2.1</v>
      </c>
      <c r="I547" s="1430">
        <f t="shared" ref="I547:I549" si="19">ROUND(IF(AND(F547:H547),C547*E547*F547*G547*H547,IF(AND(F547,G547),C547*E547*F547*G547,IF(AND(F547,H547),C547*E547*F547*H547,IF(AND(G547,H547),C547*E547*G547*H547,IF(F547,C547*E547*F547,IF(G547,C547*E547*G547,IF(H547,C547*E547*H547,C547*E547))))))),2)</f>
        <v>5.67</v>
      </c>
      <c r="J547" s="1442" t="s">
        <v>102</v>
      </c>
      <c r="K547" s="1410"/>
      <c r="L547" s="1397"/>
      <c r="M547" s="1410"/>
      <c r="N547" s="1402" t="s">
        <v>2309</v>
      </c>
    </row>
    <row r="548" spans="1:14" s="1411" customFormat="1" ht="16.5" customHeight="1">
      <c r="A548" s="1397"/>
      <c r="B548" s="1458"/>
      <c r="C548" s="1459">
        <v>1</v>
      </c>
      <c r="D548" s="1460" t="s">
        <v>273</v>
      </c>
      <c r="E548" s="1470">
        <v>2.25</v>
      </c>
      <c r="F548" s="1448">
        <v>1.05</v>
      </c>
      <c r="G548" s="1448">
        <v>0</v>
      </c>
      <c r="H548" s="1448">
        <v>2.1</v>
      </c>
      <c r="I548" s="1430">
        <f t="shared" si="19"/>
        <v>4.96</v>
      </c>
      <c r="J548" s="1442" t="s">
        <v>102</v>
      </c>
      <c r="K548" s="1410"/>
      <c r="L548" s="1397"/>
      <c r="M548" s="1410"/>
      <c r="N548" s="1402" t="s">
        <v>2309</v>
      </c>
    </row>
    <row r="549" spans="1:14" s="1411" customFormat="1" ht="16.5" customHeight="1">
      <c r="A549" s="1397"/>
      <c r="B549" s="1458"/>
      <c r="C549" s="1459">
        <v>1</v>
      </c>
      <c r="D549" s="1460" t="s">
        <v>273</v>
      </c>
      <c r="E549" s="1470">
        <v>2.25</v>
      </c>
      <c r="F549" s="1448">
        <v>0.9</v>
      </c>
      <c r="G549" s="1448">
        <v>0</v>
      </c>
      <c r="H549" s="1448">
        <v>2.1</v>
      </c>
      <c r="I549" s="1430">
        <f t="shared" si="19"/>
        <v>4.25</v>
      </c>
      <c r="J549" s="1442" t="s">
        <v>102</v>
      </c>
      <c r="K549" s="1410"/>
      <c r="L549" s="1397"/>
      <c r="M549" s="1410"/>
      <c r="N549" s="1402" t="s">
        <v>2309</v>
      </c>
    </row>
    <row r="550" spans="1:14" s="1411" customFormat="1" ht="16.5" customHeight="1">
      <c r="A550" s="1397"/>
      <c r="B550" s="1425"/>
      <c r="C550" s="1426"/>
      <c r="D550" s="1427"/>
      <c r="E550" s="1465"/>
      <c r="F550" s="1429"/>
      <c r="G550" s="1429"/>
      <c r="H550" s="1429"/>
      <c r="I550" s="1430"/>
      <c r="J550" s="1423"/>
      <c r="K550" s="1410"/>
      <c r="L550" s="1400"/>
      <c r="M550" s="1410"/>
      <c r="N550" s="1402" t="s">
        <v>2309</v>
      </c>
    </row>
    <row r="551" spans="1:14" s="1403" customFormat="1" ht="15.75">
      <c r="A551" s="1397"/>
      <c r="B551" s="1410"/>
      <c r="C551" s="1431"/>
      <c r="D551" s="1432"/>
      <c r="E551" s="1413"/>
      <c r="F551" s="1414"/>
      <c r="G551" s="1433"/>
      <c r="H551" s="1397"/>
      <c r="I551" s="1430">
        <f>SUM(I547:I550)</f>
        <v>14.879999999999999</v>
      </c>
      <c r="J551" s="1423" t="s">
        <v>102</v>
      </c>
      <c r="K551" s="1434">
        <f>'data 2022-23'!G886</f>
        <v>968.78</v>
      </c>
      <c r="L551" s="1400" t="s">
        <v>2419</v>
      </c>
      <c r="M551" s="1435">
        <f>ROUND(I551*K551,0)</f>
        <v>14415</v>
      </c>
      <c r="N551" s="1402" t="s">
        <v>2309</v>
      </c>
    </row>
    <row r="552" spans="1:14" ht="111.75" hidden="1" customHeight="1">
      <c r="A552" s="896">
        <v>32</v>
      </c>
      <c r="B552" s="1609" t="s">
        <v>680</v>
      </c>
      <c r="C552" s="1609"/>
      <c r="D552" s="1609"/>
      <c r="E552" s="1609"/>
      <c r="F552" s="1609"/>
      <c r="G552" s="1609"/>
      <c r="H552" s="1609"/>
      <c r="I552" s="897"/>
      <c r="J552" s="898"/>
      <c r="K552" s="896"/>
      <c r="L552" s="923"/>
      <c r="M552" s="899"/>
      <c r="N552" s="900" t="s">
        <v>2309</v>
      </c>
    </row>
    <row r="553" spans="1:14" s="910" customFormat="1" ht="16.5" hidden="1" customHeight="1">
      <c r="A553" s="896"/>
      <c r="B553" s="902" t="s">
        <v>3359</v>
      </c>
      <c r="C553" s="903"/>
      <c r="D553" s="904"/>
      <c r="E553" s="905"/>
      <c r="F553" s="906"/>
      <c r="G553" s="906"/>
      <c r="H553" s="907"/>
      <c r="I553" s="908"/>
      <c r="J553" s="955"/>
      <c r="K553" s="902"/>
      <c r="L553" s="923"/>
      <c r="M553" s="902"/>
      <c r="N553" s="900" t="s">
        <v>2309</v>
      </c>
    </row>
    <row r="554" spans="1:14" s="910" customFormat="1" ht="16.5" hidden="1" customHeight="1">
      <c r="A554" s="896"/>
      <c r="B554" s="911"/>
      <c r="C554" s="912">
        <v>1</v>
      </c>
      <c r="D554" s="913" t="s">
        <v>273</v>
      </c>
      <c r="E554" s="914">
        <v>1</v>
      </c>
      <c r="F554" s="1289">
        <v>2.4</v>
      </c>
      <c r="G554" s="915">
        <v>0</v>
      </c>
      <c r="H554" s="915">
        <v>2.1</v>
      </c>
      <c r="I554" s="916">
        <f>ROUND(IF(AND(F554:H554),C554*E554*F554*G554*H554,IF(AND(F554,G554),C554*E554*F554*G554,IF(AND(F554,H554),C554*E554*F554*H554,IF(AND(G554,H554),C554*E554*G554*H554,IF(F554,C554*E554*F554,IF(G554,C554*E554*G554,IF(H554,C554*E554*H554,C554*E554))))))),2)</f>
        <v>5.04</v>
      </c>
      <c r="J554" s="955" t="s">
        <v>102</v>
      </c>
      <c r="K554" s="902"/>
      <c r="L554" s="923"/>
      <c r="M554" s="902"/>
      <c r="N554" s="900" t="s">
        <v>2309</v>
      </c>
    </row>
    <row r="555" spans="1:14" s="910" customFormat="1" ht="16.5" hidden="1" customHeight="1">
      <c r="A555" s="896"/>
      <c r="B555" s="956"/>
      <c r="C555" s="957"/>
      <c r="D555" s="958"/>
      <c r="E555" s="1268"/>
      <c r="F555" s="1290"/>
      <c r="G555" s="960"/>
      <c r="H555" s="960"/>
      <c r="I555" s="916"/>
      <c r="J555" s="955"/>
      <c r="K555" s="902"/>
      <c r="L555" s="923"/>
      <c r="M555" s="902"/>
      <c r="N555" s="900" t="s">
        <v>2309</v>
      </c>
    </row>
    <row r="556" spans="1:14" ht="15.75" hidden="1">
      <c r="A556" s="896"/>
      <c r="B556" s="902"/>
      <c r="C556" s="917"/>
      <c r="D556" s="918"/>
      <c r="E556" s="919"/>
      <c r="F556" s="920"/>
      <c r="G556" s="921"/>
      <c r="H556" s="896"/>
      <c r="I556" s="916"/>
      <c r="J556" s="955" t="s">
        <v>102</v>
      </c>
      <c r="K556" s="922">
        <f>'data 2022-23'!G892</f>
        <v>4025</v>
      </c>
      <c r="L556" s="923" t="s">
        <v>2419</v>
      </c>
      <c r="M556" s="924">
        <f>ROUND(I556*K556,0)</f>
        <v>0</v>
      </c>
      <c r="N556" s="900" t="s">
        <v>2309</v>
      </c>
    </row>
    <row r="557" spans="1:14" ht="36.75" hidden="1" customHeight="1">
      <c r="A557" s="896">
        <v>6</v>
      </c>
      <c r="B557" s="1609" t="s">
        <v>952</v>
      </c>
      <c r="C557" s="1609"/>
      <c r="D557" s="1609"/>
      <c r="E557" s="1609"/>
      <c r="F557" s="1609"/>
      <c r="G557" s="1609"/>
      <c r="H557" s="1609"/>
      <c r="I557" s="897"/>
      <c r="J557" s="898"/>
      <c r="K557" s="896"/>
      <c r="L557" s="923"/>
      <c r="M557" s="899"/>
      <c r="N557" s="900" t="s">
        <v>2309</v>
      </c>
    </row>
    <row r="558" spans="1:14" s="910" customFormat="1" ht="16.5" hidden="1" customHeight="1">
      <c r="A558" s="896"/>
      <c r="B558" s="902" t="s">
        <v>3947</v>
      </c>
      <c r="C558" s="903"/>
      <c r="D558" s="954" t="s">
        <v>3874</v>
      </c>
      <c r="E558" s="905"/>
      <c r="F558" s="906"/>
      <c r="G558" s="906"/>
      <c r="H558" s="907"/>
      <c r="I558" s="908"/>
      <c r="J558" s="955"/>
      <c r="K558" s="902"/>
      <c r="L558" s="896"/>
      <c r="M558" s="902"/>
      <c r="N558" s="900" t="s">
        <v>2309</v>
      </c>
    </row>
    <row r="559" spans="1:14" s="910" customFormat="1" ht="16.5" hidden="1" customHeight="1">
      <c r="A559" s="896"/>
      <c r="B559" s="911"/>
      <c r="C559" s="912">
        <v>2</v>
      </c>
      <c r="D559" s="913" t="s">
        <v>273</v>
      </c>
      <c r="E559" s="914">
        <v>8</v>
      </c>
      <c r="F559" s="915">
        <v>0</v>
      </c>
      <c r="G559" s="915">
        <v>0</v>
      </c>
      <c r="H559" s="915">
        <v>0</v>
      </c>
      <c r="I559" s="1291">
        <f t="shared" ref="I559" si="20">ROUND(IF(AND(F559:H559),C559*E559*F559*G559*H559,IF(AND(F559,G559),C559*E559*F559*G559,IF(AND(F559,H559),C559*E559*F559*H559,IF(AND(G559,H559),C559*E559*G559*H559,IF(F559,C559*E559*F559,IF(G559,C559*E559*G559,IF(H559,C559*E559*H559,C559*E559))))))),2)</f>
        <v>16</v>
      </c>
      <c r="J559" s="955" t="s">
        <v>115</v>
      </c>
      <c r="K559" s="902"/>
      <c r="L559" s="896"/>
      <c r="M559" s="902"/>
      <c r="N559" s="900" t="s">
        <v>2309</v>
      </c>
    </row>
    <row r="560" spans="1:14" s="910" customFormat="1" ht="16.5" hidden="1" customHeight="1">
      <c r="A560" s="896"/>
      <c r="B560" s="956"/>
      <c r="C560" s="957"/>
      <c r="D560" s="958"/>
      <c r="E560" s="1268"/>
      <c r="F560" s="960"/>
      <c r="G560" s="960"/>
      <c r="H560" s="960"/>
      <c r="I560" s="1291"/>
      <c r="J560" s="955"/>
      <c r="K560" s="902"/>
      <c r="L560" s="896"/>
      <c r="M560" s="902"/>
      <c r="N560" s="900" t="s">
        <v>2309</v>
      </c>
    </row>
    <row r="561" spans="1:15" ht="15.75" hidden="1">
      <c r="A561" s="896"/>
      <c r="B561" s="902"/>
      <c r="C561" s="917"/>
      <c r="D561" s="918"/>
      <c r="E561" s="919"/>
      <c r="F561" s="920"/>
      <c r="G561" s="921"/>
      <c r="H561" s="896"/>
      <c r="I561" s="1291"/>
      <c r="J561" s="955" t="s">
        <v>115</v>
      </c>
      <c r="K561" s="922">
        <f>'data 2022-23'!G901</f>
        <v>808</v>
      </c>
      <c r="L561" s="923" t="s">
        <v>275</v>
      </c>
      <c r="M561" s="924">
        <f>ROUND(I561*K561,0)</f>
        <v>0</v>
      </c>
      <c r="N561" s="900" t="s">
        <v>2309</v>
      </c>
    </row>
    <row r="562" spans="1:15" ht="33" hidden="1" customHeight="1">
      <c r="A562" s="896">
        <v>8</v>
      </c>
      <c r="B562" s="1609" t="s">
        <v>1231</v>
      </c>
      <c r="C562" s="1609"/>
      <c r="D562" s="1609"/>
      <c r="E562" s="1609"/>
      <c r="F562" s="1609"/>
      <c r="G562" s="1609"/>
      <c r="H562" s="1609"/>
      <c r="I562" s="897"/>
      <c r="J562" s="898"/>
      <c r="K562" s="896"/>
      <c r="L562" s="923"/>
      <c r="M562" s="899"/>
      <c r="N562" s="900" t="s">
        <v>2309</v>
      </c>
    </row>
    <row r="563" spans="1:15" s="910" customFormat="1" ht="16.5" hidden="1" customHeight="1">
      <c r="A563" s="896"/>
      <c r="B563" s="902" t="s">
        <v>3501</v>
      </c>
      <c r="C563" s="903"/>
      <c r="D563" s="904"/>
      <c r="E563" s="905"/>
      <c r="F563" s="906"/>
      <c r="G563" s="906"/>
      <c r="H563" s="907"/>
      <c r="I563" s="908"/>
      <c r="J563" s="955"/>
      <c r="K563" s="902"/>
      <c r="L563" s="896"/>
      <c r="M563" s="902"/>
      <c r="N563" s="900" t="s">
        <v>2309</v>
      </c>
    </row>
    <row r="564" spans="1:15" s="910" customFormat="1" ht="16.5" hidden="1" customHeight="1">
      <c r="A564" s="896"/>
      <c r="B564" s="956"/>
      <c r="C564" s="957">
        <v>1</v>
      </c>
      <c r="D564" s="958" t="s">
        <v>273</v>
      </c>
      <c r="E564" s="1268">
        <v>7</v>
      </c>
      <c r="F564" s="960">
        <v>0</v>
      </c>
      <c r="G564" s="960">
        <v>0</v>
      </c>
      <c r="H564" s="960">
        <v>0</v>
      </c>
      <c r="I564" s="1291">
        <f>ROUND(IF(AND(F564:H564),C564*E564*F564*G564*H564,IF(AND(F564,G564),C564*E564*F564*G564,IF(AND(F564,H564),C564*E564*F564*H564,IF(AND(G564,H564),C564*E564*G564*H564,IF(F564,C564*E564*F564,IF(G564,C564*E564*G564,IF(H564,C564*E564*H564,C564*E564))))))),2)</f>
        <v>7</v>
      </c>
      <c r="J564" s="955" t="s">
        <v>115</v>
      </c>
      <c r="K564" s="902"/>
      <c r="L564" s="896"/>
      <c r="M564" s="902"/>
      <c r="N564" s="900" t="s">
        <v>2309</v>
      </c>
    </row>
    <row r="565" spans="1:15" s="910" customFormat="1" ht="16.5" hidden="1" customHeight="1">
      <c r="A565" s="896"/>
      <c r="B565" s="956"/>
      <c r="C565" s="957"/>
      <c r="D565" s="958"/>
      <c r="E565" s="1268"/>
      <c r="F565" s="960"/>
      <c r="G565" s="960"/>
      <c r="H565" s="960"/>
      <c r="I565" s="1291"/>
      <c r="J565" s="955"/>
      <c r="K565" s="902"/>
      <c r="L565" s="896"/>
      <c r="M565" s="902"/>
      <c r="N565" s="900" t="s">
        <v>2309</v>
      </c>
    </row>
    <row r="566" spans="1:15" ht="15.75" hidden="1">
      <c r="A566" s="896"/>
      <c r="B566" s="902"/>
      <c r="C566" s="917"/>
      <c r="D566" s="918"/>
      <c r="E566" s="919"/>
      <c r="F566" s="920"/>
      <c r="G566" s="921"/>
      <c r="H566" s="896"/>
      <c r="I566" s="1291"/>
      <c r="J566" s="955" t="s">
        <v>115</v>
      </c>
      <c r="K566" s="922">
        <f>'data 2022-23'!G910</f>
        <v>500</v>
      </c>
      <c r="L566" s="923" t="s">
        <v>275</v>
      </c>
      <c r="M566" s="924">
        <f>ROUND(I566*K566,0)</f>
        <v>0</v>
      </c>
      <c r="N566" s="900" t="s">
        <v>2309</v>
      </c>
    </row>
    <row r="567" spans="1:15" ht="36.75" hidden="1" customHeight="1">
      <c r="A567" s="896">
        <v>7</v>
      </c>
      <c r="B567" s="1609" t="s">
        <v>1437</v>
      </c>
      <c r="C567" s="1609"/>
      <c r="D567" s="1609"/>
      <c r="E567" s="1609"/>
      <c r="F567" s="1609"/>
      <c r="G567" s="1609"/>
      <c r="H567" s="1609"/>
      <c r="I567" s="897"/>
      <c r="J567" s="898"/>
      <c r="K567" s="896"/>
      <c r="L567" s="923"/>
      <c r="M567" s="899"/>
      <c r="N567" s="900" t="s">
        <v>2309</v>
      </c>
    </row>
    <row r="568" spans="1:15" s="910" customFormat="1" ht="16.5" hidden="1" customHeight="1">
      <c r="A568" s="896"/>
      <c r="B568" s="902" t="s">
        <v>3947</v>
      </c>
      <c r="C568" s="903"/>
      <c r="D568" s="954" t="s">
        <v>3874</v>
      </c>
      <c r="E568" s="905"/>
      <c r="F568" s="906"/>
      <c r="G568" s="906"/>
      <c r="H568" s="907"/>
      <c r="I568" s="908"/>
      <c r="J568" s="955"/>
      <c r="K568" s="902"/>
      <c r="L568" s="923"/>
      <c r="M568" s="902"/>
      <c r="N568" s="900" t="s">
        <v>2309</v>
      </c>
    </row>
    <row r="569" spans="1:15" s="910" customFormat="1" ht="16.5" hidden="1" customHeight="1">
      <c r="A569" s="896"/>
      <c r="B569" s="956"/>
      <c r="C569" s="957">
        <v>1</v>
      </c>
      <c r="D569" s="958" t="s">
        <v>273</v>
      </c>
      <c r="E569" s="1268">
        <v>2</v>
      </c>
      <c r="F569" s="960">
        <v>0</v>
      </c>
      <c r="G569" s="960">
        <v>0</v>
      </c>
      <c r="H569" s="960">
        <v>0</v>
      </c>
      <c r="I569" s="1291">
        <f>ROUND(IF(AND(F569:H569),C569*E569*F569*G569*H569,IF(AND(F569,G569),C569*E569*F569*G569,IF(AND(F569,H569),C569*E569*F569*H569,IF(AND(G569,H569),C569*E569*G569*H569,IF(F569,C569*E569*F569,IF(G569,C569*E569*G569,IF(H569,C569*E569*H569,C569*E569))))))),2)</f>
        <v>2</v>
      </c>
      <c r="J569" s="955" t="s">
        <v>115</v>
      </c>
      <c r="K569" s="902"/>
      <c r="L569" s="923"/>
      <c r="M569" s="902"/>
      <c r="N569" s="900" t="s">
        <v>2309</v>
      </c>
    </row>
    <row r="570" spans="1:15" s="910" customFormat="1" ht="16.5" hidden="1" customHeight="1">
      <c r="A570" s="896"/>
      <c r="B570" s="956"/>
      <c r="C570" s="957"/>
      <c r="D570" s="958"/>
      <c r="E570" s="1268"/>
      <c r="F570" s="960"/>
      <c r="G570" s="960"/>
      <c r="H570" s="960"/>
      <c r="I570" s="1291"/>
      <c r="J570" s="955"/>
      <c r="K570" s="902"/>
      <c r="L570" s="923"/>
      <c r="M570" s="902"/>
      <c r="N570" s="900" t="s">
        <v>2309</v>
      </c>
    </row>
    <row r="571" spans="1:15" ht="15.75" hidden="1">
      <c r="A571" s="896"/>
      <c r="B571" s="902"/>
      <c r="C571" s="917"/>
      <c r="D571" s="918"/>
      <c r="E571" s="919"/>
      <c r="F571" s="920"/>
      <c r="G571" s="921"/>
      <c r="H571" s="896"/>
      <c r="I571" s="1291"/>
      <c r="J571" s="955" t="s">
        <v>115</v>
      </c>
      <c r="K571" s="922">
        <f>'data 2022-23'!G914</f>
        <v>130</v>
      </c>
      <c r="L571" s="923" t="s">
        <v>275</v>
      </c>
      <c r="M571" s="924">
        <f>ROUND(I571*K571,0)</f>
        <v>0</v>
      </c>
      <c r="N571" s="900" t="s">
        <v>2309</v>
      </c>
    </row>
    <row r="572" spans="1:15" ht="69.75" hidden="1" customHeight="1">
      <c r="A572" s="896">
        <v>31</v>
      </c>
      <c r="B572" s="1609" t="s">
        <v>124</v>
      </c>
      <c r="C572" s="1609"/>
      <c r="D572" s="1609"/>
      <c r="E572" s="1609"/>
      <c r="F572" s="1609"/>
      <c r="G572" s="1609"/>
      <c r="H572" s="1609"/>
      <c r="I572" s="897"/>
      <c r="J572" s="898"/>
      <c r="K572" s="896"/>
      <c r="L572" s="923"/>
      <c r="M572" s="899"/>
      <c r="N572" s="900" t="s">
        <v>2309</v>
      </c>
    </row>
    <row r="573" spans="1:15" s="910" customFormat="1" ht="16.5" hidden="1" customHeight="1">
      <c r="A573" s="896"/>
      <c r="B573" s="902" t="s">
        <v>3357</v>
      </c>
      <c r="C573" s="1296" t="s">
        <v>1556</v>
      </c>
      <c r="D573" s="904"/>
      <c r="E573" s="905"/>
      <c r="F573" s="906"/>
      <c r="G573" s="906"/>
      <c r="H573" s="907"/>
      <c r="I573" s="908"/>
      <c r="J573" s="955" t="s">
        <v>141</v>
      </c>
      <c r="K573" s="902"/>
      <c r="L573" s="923"/>
      <c r="M573" s="902"/>
      <c r="N573" s="900" t="s">
        <v>2309</v>
      </c>
      <c r="O573" s="1292"/>
    </row>
    <row r="574" spans="1:15" s="910" customFormat="1" ht="16.5" hidden="1" customHeight="1">
      <c r="A574" s="896"/>
      <c r="B574" s="902" t="s">
        <v>3396</v>
      </c>
      <c r="C574" s="1296" t="s">
        <v>1556</v>
      </c>
      <c r="D574" s="904"/>
      <c r="E574" s="905"/>
      <c r="F574" s="906"/>
      <c r="G574" s="906"/>
      <c r="H574" s="907"/>
      <c r="I574" s="908"/>
      <c r="J574" s="955" t="s">
        <v>141</v>
      </c>
      <c r="K574" s="902"/>
      <c r="L574" s="923"/>
      <c r="M574" s="902"/>
      <c r="N574" s="900" t="s">
        <v>2309</v>
      </c>
      <c r="O574" s="1292"/>
    </row>
    <row r="575" spans="1:15" s="910" customFormat="1" ht="16.5" hidden="1" customHeight="1">
      <c r="A575" s="896"/>
      <c r="B575" s="902" t="s">
        <v>3369</v>
      </c>
      <c r="C575" s="1296" t="s">
        <v>1558</v>
      </c>
      <c r="D575" s="904"/>
      <c r="E575" s="905"/>
      <c r="F575" s="906"/>
      <c r="G575" s="906"/>
      <c r="H575" s="907"/>
      <c r="I575" s="908"/>
      <c r="J575" s="955" t="s">
        <v>141</v>
      </c>
      <c r="K575" s="902"/>
      <c r="L575" s="923"/>
      <c r="M575" s="902"/>
      <c r="N575" s="900" t="s">
        <v>2309</v>
      </c>
      <c r="O575" s="1292"/>
    </row>
    <row r="576" spans="1:15" s="910" customFormat="1" ht="16.5" hidden="1" customHeight="1">
      <c r="A576" s="896"/>
      <c r="B576" s="928"/>
      <c r="C576" s="1294"/>
      <c r="D576" s="904"/>
      <c r="E576" s="905"/>
      <c r="F576" s="906"/>
      <c r="G576" s="906"/>
      <c r="H576" s="907"/>
      <c r="I576" s="908"/>
      <c r="J576" s="955"/>
      <c r="K576" s="902"/>
      <c r="L576" s="923"/>
      <c r="M576" s="902"/>
      <c r="N576" s="900" t="s">
        <v>2309</v>
      </c>
      <c r="O576" s="1295"/>
    </row>
    <row r="577" spans="1:14" s="910" customFormat="1" ht="16.5" hidden="1" customHeight="1">
      <c r="A577" s="896"/>
      <c r="B577" s="902"/>
      <c r="C577" s="903"/>
      <c r="D577" s="904"/>
      <c r="E577" s="905"/>
      <c r="F577" s="906"/>
      <c r="G577" s="906"/>
      <c r="H577" s="907"/>
      <c r="I577" s="908">
        <f>SUM(I573:I576)</f>
        <v>0</v>
      </c>
      <c r="J577" s="955" t="s">
        <v>141</v>
      </c>
      <c r="K577" s="902"/>
      <c r="L577" s="923"/>
      <c r="M577" s="902"/>
      <c r="N577" s="900" t="s">
        <v>2309</v>
      </c>
    </row>
    <row r="578" spans="1:14" ht="15.75" hidden="1">
      <c r="A578" s="896"/>
      <c r="B578" s="902"/>
      <c r="C578" s="917"/>
      <c r="D578" s="918"/>
      <c r="E578" s="919"/>
      <c r="F578" s="920"/>
      <c r="G578" s="921"/>
      <c r="H578" s="896" t="s">
        <v>902</v>
      </c>
      <c r="I578" s="916">
        <f>ROUND((I577/1000)*1.05,2)</f>
        <v>0</v>
      </c>
      <c r="J578" s="955" t="s">
        <v>29</v>
      </c>
      <c r="K578" s="922">
        <f>'data 2022-23'!E283</f>
        <v>89280</v>
      </c>
      <c r="L578" s="923" t="s">
        <v>280</v>
      </c>
      <c r="M578" s="924">
        <f>ROUND(I578*K578,0)</f>
        <v>0</v>
      </c>
      <c r="N578" s="900" t="s">
        <v>2309</v>
      </c>
    </row>
    <row r="579" spans="1:14" ht="15.75" hidden="1">
      <c r="A579" s="896"/>
      <c r="B579" s="902" t="s">
        <v>2411</v>
      </c>
      <c r="C579" s="917"/>
      <c r="D579" s="918"/>
      <c r="E579" s="919"/>
      <c r="F579" s="920"/>
      <c r="G579" s="921"/>
      <c r="H579" s="896"/>
      <c r="I579" s="916"/>
      <c r="J579" s="955"/>
      <c r="K579" s="922"/>
      <c r="L579" s="923"/>
      <c r="M579" s="924"/>
      <c r="N579" s="900" t="s">
        <v>2309</v>
      </c>
    </row>
    <row r="580" spans="1:14" ht="93.75" hidden="1" customHeight="1">
      <c r="A580" s="896">
        <v>1</v>
      </c>
      <c r="B580" s="1609" t="s">
        <v>1570</v>
      </c>
      <c r="C580" s="1609"/>
      <c r="D580" s="1609"/>
      <c r="E580" s="1609"/>
      <c r="F580" s="1609"/>
      <c r="G580" s="1609"/>
      <c r="H580" s="1609"/>
      <c r="I580" s="897"/>
      <c r="J580" s="898"/>
      <c r="K580" s="896"/>
      <c r="L580" s="923"/>
      <c r="M580" s="899"/>
      <c r="N580" s="900" t="s">
        <v>2309</v>
      </c>
    </row>
    <row r="581" spans="1:14" s="910" customFormat="1" ht="16.5" hidden="1" customHeight="1">
      <c r="A581" s="896"/>
      <c r="B581" s="902" t="s">
        <v>3399</v>
      </c>
      <c r="C581" s="897"/>
      <c r="D581" s="1263"/>
      <c r="E581" s="919"/>
      <c r="F581" s="920"/>
      <c r="G581" s="920"/>
      <c r="H581" s="920"/>
      <c r="I581" s="1264"/>
      <c r="J581" s="955"/>
      <c r="K581" s="902"/>
      <c r="L581" s="896"/>
      <c r="M581" s="902"/>
      <c r="N581" s="900" t="s">
        <v>2309</v>
      </c>
    </row>
    <row r="582" spans="1:14" s="910" customFormat="1" ht="16.5" hidden="1" customHeight="1">
      <c r="A582" s="896"/>
      <c r="B582" s="902" t="s">
        <v>1491</v>
      </c>
      <c r="C582" s="897">
        <v>1</v>
      </c>
      <c r="D582" s="1263" t="s">
        <v>273</v>
      </c>
      <c r="E582" s="919">
        <v>11</v>
      </c>
      <c r="F582" s="920">
        <v>0.36</v>
      </c>
      <c r="G582" s="920">
        <v>0.48</v>
      </c>
      <c r="H582" s="920">
        <v>0.05</v>
      </c>
      <c r="I582" s="1266">
        <f>ROUND(IF(AND(F582:H582),C582*E582*F582*G582*H582,IF(AND(F582,G582),C582*E582*F582*G582,IF(AND(F582,H582),C582*E582*F582*H582,IF(AND(G582,H582),C582*E582*G582*H582,IF(F582,C582*E582*F582,IF(G582,C582*E582*G582,IF(H582,C582*E582*H582,C582*E582))))))),2)</f>
        <v>0.1</v>
      </c>
      <c r="J582" s="955" t="s">
        <v>5</v>
      </c>
      <c r="K582" s="902"/>
      <c r="L582" s="896"/>
      <c r="M582" s="902"/>
      <c r="N582" s="900" t="s">
        <v>2309</v>
      </c>
    </row>
    <row r="583" spans="1:14" s="910" customFormat="1" ht="16.5" hidden="1" customHeight="1">
      <c r="A583" s="896"/>
      <c r="B583" s="956"/>
      <c r="C583" s="957"/>
      <c r="D583" s="958"/>
      <c r="E583" s="1268"/>
      <c r="F583" s="960"/>
      <c r="G583" s="960"/>
      <c r="H583" s="960"/>
      <c r="I583" s="916"/>
      <c r="J583" s="955"/>
      <c r="K583" s="902"/>
      <c r="L583" s="923"/>
      <c r="M583" s="902"/>
      <c r="N583" s="900" t="s">
        <v>2309</v>
      </c>
    </row>
    <row r="584" spans="1:14" ht="15.75" hidden="1">
      <c r="A584" s="896"/>
      <c r="B584" s="902"/>
      <c r="C584" s="917"/>
      <c r="D584" s="918"/>
      <c r="E584" s="919"/>
      <c r="F584" s="920"/>
      <c r="G584" s="921"/>
      <c r="H584" s="896"/>
      <c r="I584" s="916"/>
      <c r="J584" s="955" t="s">
        <v>5</v>
      </c>
      <c r="K584" s="922">
        <f>'data 2022-23'!F152</f>
        <v>11192.01</v>
      </c>
      <c r="L584" s="923" t="s">
        <v>274</v>
      </c>
      <c r="M584" s="924">
        <f>ROUND(I584*K584,0)</f>
        <v>0</v>
      </c>
      <c r="N584" s="900" t="s">
        <v>2309</v>
      </c>
    </row>
    <row r="585" spans="1:14" ht="17.25" hidden="1" customHeight="1">
      <c r="A585" s="896">
        <v>2</v>
      </c>
      <c r="B585" s="1609" t="s">
        <v>303</v>
      </c>
      <c r="C585" s="1609"/>
      <c r="D585" s="1609"/>
      <c r="E585" s="1609"/>
      <c r="F585" s="1609"/>
      <c r="G585" s="1609"/>
      <c r="H585" s="1609"/>
      <c r="I585" s="897"/>
      <c r="J585" s="898"/>
      <c r="K585" s="896"/>
      <c r="L585" s="923"/>
      <c r="M585" s="899"/>
      <c r="N585" s="900" t="s">
        <v>2309</v>
      </c>
    </row>
    <row r="586" spans="1:14" s="910" customFormat="1" ht="16.5" hidden="1" customHeight="1">
      <c r="A586" s="896"/>
      <c r="B586" s="902" t="s">
        <v>3372</v>
      </c>
      <c r="C586" s="897"/>
      <c r="D586" s="1263"/>
      <c r="E586" s="919"/>
      <c r="F586" s="920"/>
      <c r="G586" s="920"/>
      <c r="H586" s="920"/>
      <c r="I586" s="1264"/>
      <c r="J586" s="955"/>
      <c r="K586" s="902"/>
      <c r="L586" s="923"/>
      <c r="M586" s="902"/>
      <c r="N586" s="900" t="s">
        <v>2309</v>
      </c>
    </row>
    <row r="587" spans="1:14" s="910" customFormat="1" ht="16.5" hidden="1" customHeight="1">
      <c r="A587" s="896"/>
      <c r="B587" s="902" t="s">
        <v>1526</v>
      </c>
      <c r="C587" s="897">
        <v>1</v>
      </c>
      <c r="D587" s="1263" t="s">
        <v>273</v>
      </c>
      <c r="E587" s="919">
        <v>1</v>
      </c>
      <c r="F587" s="920">
        <v>2.65</v>
      </c>
      <c r="G587" s="920">
        <v>0.23</v>
      </c>
      <c r="H587" s="920">
        <v>0.3</v>
      </c>
      <c r="I587" s="1266">
        <f>ROUND(IF(AND(F587:H587),C587*E587*F587*G587*H587,IF(AND(F587,G587),C587*E587*F587*G587,IF(AND(F587,H587),C587*E587*F587*H587,IF(AND(G587,H587),C587*E587*G587*H587,IF(F587,C587*E587*F587,IF(G587,C587*E587*G587,IF(H587,C587*E587*H587,C587*E587))))))),2)</f>
        <v>0.18</v>
      </c>
      <c r="J587" s="955" t="s">
        <v>5</v>
      </c>
      <c r="K587" s="902"/>
      <c r="L587" s="923"/>
      <c r="M587" s="902"/>
      <c r="N587" s="900" t="s">
        <v>2309</v>
      </c>
    </row>
    <row r="588" spans="1:14" s="910" customFormat="1" ht="16.5" hidden="1" customHeight="1">
      <c r="A588" s="896"/>
      <c r="B588" s="902" t="s">
        <v>1527</v>
      </c>
      <c r="C588" s="897">
        <v>1</v>
      </c>
      <c r="D588" s="1263" t="s">
        <v>273</v>
      </c>
      <c r="E588" s="919">
        <v>2</v>
      </c>
      <c r="F588" s="920">
        <v>1</v>
      </c>
      <c r="G588" s="920">
        <v>0.23</v>
      </c>
      <c r="H588" s="920">
        <v>0.3</v>
      </c>
      <c r="I588" s="1266">
        <f>ROUND(IF(AND(F588:H588),C588*E588*F588*G588*H588,IF(AND(F588,G588),C588*E588*F588*G588,IF(AND(F588,H588),C588*E588*F588*H588,IF(AND(G588,H588),C588*E588*G588*H588,IF(F588,C588*E588*F588,IF(G588,C588*E588*G588,IF(H588,C588*E588*H588,C588*E588))))))),2)</f>
        <v>0.14000000000000001</v>
      </c>
      <c r="J588" s="955" t="s">
        <v>5</v>
      </c>
      <c r="K588" s="902"/>
      <c r="L588" s="923"/>
      <c r="M588" s="902"/>
      <c r="N588" s="900" t="s">
        <v>2309</v>
      </c>
    </row>
    <row r="589" spans="1:14" s="910" customFormat="1" ht="16.5" hidden="1" customHeight="1">
      <c r="A589" s="896"/>
      <c r="B589" s="956"/>
      <c r="C589" s="957"/>
      <c r="D589" s="958"/>
      <c r="E589" s="1268"/>
      <c r="F589" s="960"/>
      <c r="G589" s="960"/>
      <c r="H589" s="960"/>
      <c r="I589" s="916"/>
      <c r="J589" s="955"/>
      <c r="K589" s="902"/>
      <c r="L589" s="923"/>
      <c r="M589" s="902"/>
      <c r="N589" s="900" t="s">
        <v>2309</v>
      </c>
    </row>
    <row r="590" spans="1:14" ht="15.75" hidden="1">
      <c r="A590" s="896"/>
      <c r="B590" s="902"/>
      <c r="C590" s="917"/>
      <c r="D590" s="918"/>
      <c r="E590" s="919"/>
      <c r="F590" s="920"/>
      <c r="G590" s="921"/>
      <c r="H590" s="896"/>
      <c r="I590" s="916"/>
      <c r="J590" s="955" t="s">
        <v>5</v>
      </c>
      <c r="K590" s="922">
        <f>'data 2022-23'!F179</f>
        <v>10490.18</v>
      </c>
      <c r="L590" s="923" t="s">
        <v>274</v>
      </c>
      <c r="M590" s="924">
        <f>ROUND(I590*K590,0)</f>
        <v>0</v>
      </c>
      <c r="N590" s="900" t="s">
        <v>2309</v>
      </c>
    </row>
    <row r="591" spans="1:14" ht="17.25" hidden="1" customHeight="1">
      <c r="A591" s="896">
        <v>3</v>
      </c>
      <c r="B591" s="1609" t="s">
        <v>304</v>
      </c>
      <c r="C591" s="1609"/>
      <c r="D591" s="1609"/>
      <c r="E591" s="1609"/>
      <c r="F591" s="1609"/>
      <c r="G591" s="1609"/>
      <c r="H591" s="1609"/>
      <c r="I591" s="897"/>
      <c r="J591" s="898"/>
      <c r="K591" s="896"/>
      <c r="L591" s="923"/>
      <c r="M591" s="899"/>
      <c r="N591" s="900" t="s">
        <v>2309</v>
      </c>
    </row>
    <row r="592" spans="1:14" s="910" customFormat="1" ht="16.5" hidden="1" customHeight="1">
      <c r="A592" s="896"/>
      <c r="B592" s="902" t="s">
        <v>3372</v>
      </c>
      <c r="C592" s="897"/>
      <c r="D592" s="1263"/>
      <c r="E592" s="919"/>
      <c r="F592" s="920"/>
      <c r="G592" s="920"/>
      <c r="H592" s="920"/>
      <c r="I592" s="1264"/>
      <c r="J592" s="955"/>
      <c r="K592" s="902"/>
      <c r="L592" s="896"/>
      <c r="M592" s="902"/>
      <c r="N592" s="900" t="s">
        <v>2309</v>
      </c>
    </row>
    <row r="593" spans="1:14" s="910" customFormat="1" ht="16.5" hidden="1" customHeight="1">
      <c r="A593" s="896"/>
      <c r="B593" s="902" t="s">
        <v>1623</v>
      </c>
      <c r="C593" s="897">
        <v>1</v>
      </c>
      <c r="D593" s="1263" t="s">
        <v>273</v>
      </c>
      <c r="E593" s="919">
        <v>1</v>
      </c>
      <c r="F593" s="920">
        <v>3.2</v>
      </c>
      <c r="G593" s="920">
        <v>1.22</v>
      </c>
      <c r="H593" s="920">
        <v>0</v>
      </c>
      <c r="I593" s="1266">
        <f>ROUND(IF(AND(F593:H593),C593*E593*F593*G593*H593,IF(AND(F593,G593),C593*E593*F593*G593,IF(AND(F593,H593),C593*E593*F593*H593,IF(AND(G593,H593),C593*E593*G593*H593,IF(F593,C593*E593*F593,IF(G593,C593*E593*G593,IF(H593,C593*E593*H593,C593*E593))))))),2)</f>
        <v>3.9</v>
      </c>
      <c r="J593" s="955" t="s">
        <v>102</v>
      </c>
      <c r="K593" s="902"/>
      <c r="L593" s="896"/>
      <c r="M593" s="902"/>
      <c r="N593" s="900" t="s">
        <v>2309</v>
      </c>
    </row>
    <row r="594" spans="1:14" s="910" customFormat="1" ht="16.5" hidden="1" customHeight="1">
      <c r="A594" s="896"/>
      <c r="B594" s="956"/>
      <c r="C594" s="957"/>
      <c r="D594" s="958"/>
      <c r="E594" s="1268"/>
      <c r="F594" s="960"/>
      <c r="G594" s="960"/>
      <c r="H594" s="960"/>
      <c r="I594" s="916"/>
      <c r="J594" s="955"/>
      <c r="K594" s="902"/>
      <c r="L594" s="923"/>
      <c r="M594" s="902"/>
      <c r="N594" s="900" t="s">
        <v>2309</v>
      </c>
    </row>
    <row r="595" spans="1:14" ht="15.75" hidden="1">
      <c r="A595" s="896"/>
      <c r="B595" s="902"/>
      <c r="C595" s="917"/>
      <c r="D595" s="918"/>
      <c r="E595" s="919"/>
      <c r="F595" s="920"/>
      <c r="G595" s="921"/>
      <c r="H595" s="896"/>
      <c r="I595" s="916"/>
      <c r="J595" s="955" t="s">
        <v>102</v>
      </c>
      <c r="K595" s="922">
        <f>'data 2022-23'!F200</f>
        <v>1538.77</v>
      </c>
      <c r="L595" s="923" t="s">
        <v>2419</v>
      </c>
      <c r="M595" s="924">
        <f>ROUND(I595*K595,0)</f>
        <v>0</v>
      </c>
      <c r="N595" s="900" t="s">
        <v>2309</v>
      </c>
    </row>
    <row r="596" spans="1:14" ht="17.25" hidden="1" customHeight="1">
      <c r="A596" s="896">
        <v>4</v>
      </c>
      <c r="B596" s="1609" t="s">
        <v>305</v>
      </c>
      <c r="C596" s="1609"/>
      <c r="D596" s="1609"/>
      <c r="E596" s="1609"/>
      <c r="F596" s="1609"/>
      <c r="G596" s="1609"/>
      <c r="H596" s="1609"/>
      <c r="I596" s="897"/>
      <c r="J596" s="898"/>
      <c r="K596" s="896"/>
      <c r="L596" s="923"/>
      <c r="M596" s="899"/>
      <c r="N596" s="900" t="s">
        <v>2309</v>
      </c>
    </row>
    <row r="597" spans="1:14" s="910" customFormat="1" ht="16.5" hidden="1" customHeight="1">
      <c r="A597" s="896"/>
      <c r="B597" s="902" t="s">
        <v>3400</v>
      </c>
      <c r="C597" s="897"/>
      <c r="D597" s="1263"/>
      <c r="E597" s="919"/>
      <c r="F597" s="920"/>
      <c r="G597" s="920"/>
      <c r="H597" s="920"/>
      <c r="I597" s="1264"/>
      <c r="J597" s="955"/>
      <c r="K597" s="902"/>
      <c r="L597" s="896"/>
      <c r="M597" s="902"/>
      <c r="N597" s="900" t="s">
        <v>2309</v>
      </c>
    </row>
    <row r="598" spans="1:14" s="910" customFormat="1" ht="16.5" hidden="1" customHeight="1">
      <c r="A598" s="896"/>
      <c r="B598" s="902"/>
      <c r="C598" s="897">
        <v>1</v>
      </c>
      <c r="D598" s="1263" t="s">
        <v>273</v>
      </c>
      <c r="E598" s="919">
        <v>1</v>
      </c>
      <c r="F598" s="920">
        <v>16.100000000000001</v>
      </c>
      <c r="G598" s="920">
        <v>10.15</v>
      </c>
      <c r="H598" s="920">
        <v>0</v>
      </c>
      <c r="I598" s="1266">
        <f>ROUND(IF(AND(F598:H598),C598*E598*F598*G598*H598,IF(AND(F598,G598),C598*E598*F598*G598,IF(AND(F598,H598),C598*E598*F598*H598,IF(AND(G598,H598),C598*E598*G598*H598,IF(F598,C598*E598*F598,IF(G598,C598*E598*G598,IF(H598,C598*E598*H598,C598*E598))))))),2)</f>
        <v>163.41999999999999</v>
      </c>
      <c r="J598" s="955" t="s">
        <v>102</v>
      </c>
      <c r="K598" s="902"/>
      <c r="L598" s="896"/>
      <c r="M598" s="902"/>
      <c r="N598" s="900" t="s">
        <v>2309</v>
      </c>
    </row>
    <row r="599" spans="1:14" s="910" customFormat="1" ht="16.5" hidden="1" customHeight="1">
      <c r="A599" s="896"/>
      <c r="B599" s="902" t="s">
        <v>1525</v>
      </c>
      <c r="C599" s="897">
        <v>1</v>
      </c>
      <c r="D599" s="1263" t="s">
        <v>273</v>
      </c>
      <c r="E599" s="919">
        <v>1</v>
      </c>
      <c r="F599" s="920">
        <v>3.87</v>
      </c>
      <c r="G599" s="920">
        <v>2.65</v>
      </c>
      <c r="H599" s="920">
        <v>0</v>
      </c>
      <c r="I599" s="1266">
        <f>-ROUND(IF(AND(F599:H599),C599*E599*F599*G599*H599,IF(AND(F599,G599),C599*E599*F599*G599,IF(AND(F599,H599),C599*E599*F599*H599,IF(AND(G599,H599),C599*E599*G599*H599,IF(F599,C599*E599*F599,IF(G599,C599*E599*G599,IF(H599,C599*E599*H599,C599*E599))))))),2)</f>
        <v>-10.26</v>
      </c>
      <c r="J599" s="955" t="s">
        <v>102</v>
      </c>
      <c r="K599" s="902"/>
      <c r="L599" s="896"/>
      <c r="M599" s="902"/>
      <c r="N599" s="900" t="s">
        <v>2309</v>
      </c>
    </row>
    <row r="600" spans="1:14" s="910" customFormat="1" ht="16.5" hidden="1" customHeight="1">
      <c r="A600" s="896"/>
      <c r="B600" s="1281"/>
      <c r="C600" s="1282"/>
      <c r="D600" s="1276"/>
      <c r="E600" s="1283"/>
      <c r="F600" s="1284"/>
      <c r="G600" s="1284"/>
      <c r="H600" s="1285"/>
      <c r="I600" s="1278"/>
      <c r="J600" s="955"/>
      <c r="K600" s="902"/>
      <c r="L600" s="923"/>
      <c r="M600" s="902"/>
      <c r="N600" s="900" t="s">
        <v>2309</v>
      </c>
    </row>
    <row r="601" spans="1:14" ht="15.75" hidden="1">
      <c r="A601" s="896"/>
      <c r="B601" s="902"/>
      <c r="C601" s="917"/>
      <c r="D601" s="918"/>
      <c r="E601" s="919"/>
      <c r="F601" s="920"/>
      <c r="G601" s="921"/>
      <c r="H601" s="896"/>
      <c r="I601" s="916"/>
      <c r="J601" s="955" t="s">
        <v>102</v>
      </c>
      <c r="K601" s="922">
        <f>'data 2022-23'!F193</f>
        <v>1395.89</v>
      </c>
      <c r="L601" s="923" t="s">
        <v>2419</v>
      </c>
      <c r="M601" s="924">
        <f>ROUND(I601*K601,0)</f>
        <v>0</v>
      </c>
      <c r="N601" s="900" t="s">
        <v>2309</v>
      </c>
    </row>
    <row r="602" spans="1:14" ht="17.25" hidden="1" customHeight="1">
      <c r="A602" s="896">
        <v>13</v>
      </c>
      <c r="B602" s="1609" t="s">
        <v>582</v>
      </c>
      <c r="C602" s="1609"/>
      <c r="D602" s="1609"/>
      <c r="E602" s="1609"/>
      <c r="F602" s="1609"/>
      <c r="G602" s="1609"/>
      <c r="H602" s="1609"/>
      <c r="I602" s="897"/>
      <c r="J602" s="898"/>
      <c r="K602" s="896"/>
      <c r="L602" s="923"/>
      <c r="M602" s="899"/>
      <c r="N602" s="900" t="s">
        <v>2309</v>
      </c>
    </row>
    <row r="603" spans="1:14" s="910" customFormat="1" ht="16.5" hidden="1" customHeight="1">
      <c r="A603" s="896"/>
      <c r="B603" s="902" t="s">
        <v>3401</v>
      </c>
      <c r="C603" s="897"/>
      <c r="D603" s="1263"/>
      <c r="E603" s="919"/>
      <c r="F603" s="920"/>
      <c r="G603" s="920"/>
      <c r="H603" s="920"/>
      <c r="I603" s="1264"/>
      <c r="J603" s="955"/>
      <c r="K603" s="902"/>
      <c r="L603" s="923"/>
      <c r="M603" s="902"/>
      <c r="N603" s="900" t="s">
        <v>2309</v>
      </c>
    </row>
    <row r="604" spans="1:14" s="910" customFormat="1" ht="16.5" hidden="1" customHeight="1">
      <c r="A604" s="896"/>
      <c r="B604" s="902" t="s">
        <v>1240</v>
      </c>
      <c r="C604" s="897">
        <v>1</v>
      </c>
      <c r="D604" s="1263" t="s">
        <v>273</v>
      </c>
      <c r="E604" s="919">
        <v>1</v>
      </c>
      <c r="F604" s="920">
        <v>3.95</v>
      </c>
      <c r="G604" s="920">
        <v>2.1</v>
      </c>
      <c r="H604" s="920">
        <v>0</v>
      </c>
      <c r="I604" s="1266">
        <f>ROUND(IF(AND(F604:H604),C604*E604*F604*G604*H604,IF(AND(F604,G604),C604*E604*F604*G604,IF(AND(F604,H604),C604*E604*F604*H604,IF(AND(G604,H604),C604*E604*G604*H604,IF(F604,C604*E604*F604,IF(G604,C604*E604*G604,IF(H604,C604*E604*H604,C604*E604))))))),2)</f>
        <v>8.3000000000000007</v>
      </c>
      <c r="J604" s="955" t="s">
        <v>102</v>
      </c>
      <c r="K604" s="902"/>
      <c r="L604" s="923"/>
      <c r="M604" s="902"/>
      <c r="N604" s="900" t="s">
        <v>2309</v>
      </c>
    </row>
    <row r="605" spans="1:14" s="910" customFormat="1" ht="16.5" hidden="1" customHeight="1">
      <c r="A605" s="896"/>
      <c r="B605" s="1281"/>
      <c r="C605" s="1282"/>
      <c r="D605" s="1276"/>
      <c r="E605" s="1283"/>
      <c r="F605" s="1284"/>
      <c r="G605" s="1284"/>
      <c r="H605" s="1285"/>
      <c r="I605" s="1278"/>
      <c r="J605" s="955"/>
      <c r="K605" s="902"/>
      <c r="L605" s="923"/>
      <c r="M605" s="902"/>
      <c r="N605" s="900" t="s">
        <v>2309</v>
      </c>
    </row>
    <row r="606" spans="1:14" ht="15.75" hidden="1">
      <c r="A606" s="896"/>
      <c r="B606" s="902"/>
      <c r="C606" s="917"/>
      <c r="D606" s="918"/>
      <c r="E606" s="919"/>
      <c r="F606" s="920"/>
      <c r="G606" s="921"/>
      <c r="H606" s="896"/>
      <c r="I606" s="916"/>
      <c r="J606" s="955" t="s">
        <v>102</v>
      </c>
      <c r="K606" s="922">
        <f>'data 2022-23'!F186</f>
        <v>1253.01</v>
      </c>
      <c r="L606" s="923" t="s">
        <v>2419</v>
      </c>
      <c r="M606" s="924">
        <f>ROUND(I606*K606,0)</f>
        <v>0</v>
      </c>
      <c r="N606" s="900" t="s">
        <v>2309</v>
      </c>
    </row>
    <row r="607" spans="1:14" ht="18.75" hidden="1" customHeight="1">
      <c r="A607" s="896">
        <v>16</v>
      </c>
      <c r="B607" s="1609" t="s">
        <v>1314</v>
      </c>
      <c r="C607" s="1609"/>
      <c r="D607" s="1609"/>
      <c r="E607" s="1609"/>
      <c r="F607" s="1609"/>
      <c r="G607" s="1609"/>
      <c r="H607" s="1609"/>
      <c r="I607" s="897"/>
      <c r="J607" s="898"/>
      <c r="K607" s="896"/>
      <c r="L607" s="923"/>
      <c r="M607" s="899"/>
      <c r="N607" s="900" t="s">
        <v>2309</v>
      </c>
    </row>
    <row r="608" spans="1:14" s="910" customFormat="1" ht="16.5" hidden="1" customHeight="1">
      <c r="A608" s="896"/>
      <c r="B608" s="902" t="s">
        <v>3387</v>
      </c>
      <c r="C608" s="897"/>
      <c r="D608" s="1263"/>
      <c r="E608" s="919"/>
      <c r="F608" s="920"/>
      <c r="G608" s="920"/>
      <c r="H608" s="920"/>
      <c r="I608" s="1264"/>
      <c r="J608" s="955"/>
      <c r="K608" s="902"/>
      <c r="L608" s="923"/>
      <c r="M608" s="902"/>
      <c r="N608" s="900" t="s">
        <v>2309</v>
      </c>
    </row>
    <row r="609" spans="1:14" s="910" customFormat="1" ht="16.5" hidden="1" customHeight="1">
      <c r="A609" s="896"/>
      <c r="B609" s="902" t="s">
        <v>1229</v>
      </c>
      <c r="C609" s="897">
        <v>1</v>
      </c>
      <c r="D609" s="1263" t="s">
        <v>273</v>
      </c>
      <c r="E609" s="919">
        <v>5</v>
      </c>
      <c r="F609" s="920">
        <v>1.52</v>
      </c>
      <c r="G609" s="920">
        <v>0.23</v>
      </c>
      <c r="H609" s="920">
        <v>0</v>
      </c>
      <c r="I609" s="1266">
        <f>ROUND(IF(AND(F609:H609),C609*E609*F609*G609*H609,IF(AND(F609,G609),C609*E609*F609*G609,IF(AND(F609,H609),C609*E609*F609*H609,IF(AND(G609,H609),C609*E609*G609*H609,IF(F609,C609*E609*F609,IF(G609,C609*E609*G609,IF(H609,C609*E609*H609,C609*E609))))))),2)</f>
        <v>1.75</v>
      </c>
      <c r="J609" s="955" t="s">
        <v>102</v>
      </c>
      <c r="K609" s="902"/>
      <c r="L609" s="923"/>
      <c r="M609" s="902"/>
      <c r="N609" s="900" t="s">
        <v>2309</v>
      </c>
    </row>
    <row r="610" spans="1:14" s="910" customFormat="1" ht="16.5" hidden="1" customHeight="1">
      <c r="A610" s="896"/>
      <c r="B610" s="902" t="s">
        <v>1242</v>
      </c>
      <c r="C610" s="897">
        <v>1</v>
      </c>
      <c r="D610" s="1263" t="s">
        <v>273</v>
      </c>
      <c r="E610" s="919">
        <v>1</v>
      </c>
      <c r="F610" s="920">
        <v>1.4</v>
      </c>
      <c r="G610" s="920">
        <v>1.4</v>
      </c>
      <c r="H610" s="920">
        <v>0</v>
      </c>
      <c r="I610" s="1266">
        <f>ROUND(IF(AND(F610:H610),C610*E610*F610*G610*H610,IF(AND(F610,G610),C610*E610*F610*G610,IF(AND(F610,H610),C610*E610*F610*H610,IF(AND(G610,H610),C610*E610*G610*H610,IF(F610,C610*E610*F610,IF(G610,C610*E610*G610,IF(H610,C610*E610*H610,C610*E610))))))),2)</f>
        <v>1.96</v>
      </c>
      <c r="J610" s="955" t="s">
        <v>102</v>
      </c>
      <c r="K610" s="902"/>
      <c r="L610" s="923"/>
      <c r="M610" s="902"/>
      <c r="N610" s="900" t="s">
        <v>2309</v>
      </c>
    </row>
    <row r="611" spans="1:14" s="910" customFormat="1" ht="16.5" hidden="1" customHeight="1">
      <c r="A611" s="896"/>
      <c r="B611" s="956"/>
      <c r="C611" s="957"/>
      <c r="D611" s="958"/>
      <c r="E611" s="1268"/>
      <c r="F611" s="960"/>
      <c r="G611" s="960"/>
      <c r="H611" s="960"/>
      <c r="I611" s="916"/>
      <c r="J611" s="955"/>
      <c r="K611" s="902"/>
      <c r="L611" s="923"/>
      <c r="M611" s="902"/>
      <c r="N611" s="900" t="s">
        <v>2309</v>
      </c>
    </row>
    <row r="612" spans="1:14" ht="15.75" hidden="1">
      <c r="A612" s="896"/>
      <c r="B612" s="902"/>
      <c r="C612" s="917"/>
      <c r="D612" s="918"/>
      <c r="E612" s="919"/>
      <c r="F612" s="920"/>
      <c r="G612" s="921"/>
      <c r="H612" s="896"/>
      <c r="I612" s="916"/>
      <c r="J612" s="955" t="s">
        <v>102</v>
      </c>
      <c r="K612" s="922">
        <f>'data 2022-23'!F242</f>
        <v>694.54</v>
      </c>
      <c r="L612" s="923" t="s">
        <v>2419</v>
      </c>
      <c r="M612" s="924">
        <f>ROUND(I612*K612,0)</f>
        <v>0</v>
      </c>
      <c r="N612" s="900" t="s">
        <v>2309</v>
      </c>
    </row>
    <row r="613" spans="1:14" ht="18.75" hidden="1" customHeight="1">
      <c r="A613" s="896">
        <v>16</v>
      </c>
      <c r="B613" s="1609" t="s">
        <v>1316</v>
      </c>
      <c r="C613" s="1609"/>
      <c r="D613" s="1609"/>
      <c r="E613" s="1609"/>
      <c r="F613" s="1609"/>
      <c r="G613" s="1609"/>
      <c r="H613" s="1609"/>
      <c r="I613" s="897"/>
      <c r="J613" s="898"/>
      <c r="K613" s="896"/>
      <c r="L613" s="923"/>
      <c r="M613" s="899"/>
      <c r="N613" s="900" t="s">
        <v>2309</v>
      </c>
    </row>
    <row r="614" spans="1:14" s="910" customFormat="1" ht="16.5" hidden="1" customHeight="1">
      <c r="A614" s="896"/>
      <c r="B614" s="902" t="s">
        <v>3387</v>
      </c>
      <c r="C614" s="897"/>
      <c r="D614" s="1263"/>
      <c r="E614" s="919"/>
      <c r="F614" s="920"/>
      <c r="G614" s="920"/>
      <c r="H614" s="920"/>
      <c r="I614" s="1264"/>
      <c r="J614" s="955"/>
      <c r="K614" s="902"/>
      <c r="L614" s="923"/>
      <c r="M614" s="902"/>
      <c r="N614" s="900" t="s">
        <v>2309</v>
      </c>
    </row>
    <row r="615" spans="1:14" s="910" customFormat="1" ht="16.5" hidden="1" customHeight="1">
      <c r="A615" s="896"/>
      <c r="B615" s="902" t="s">
        <v>1229</v>
      </c>
      <c r="C615" s="897">
        <v>1</v>
      </c>
      <c r="D615" s="1263" t="s">
        <v>273</v>
      </c>
      <c r="E615" s="919">
        <v>5</v>
      </c>
      <c r="F615" s="920">
        <v>1.52</v>
      </c>
      <c r="G615" s="920">
        <v>0.23</v>
      </c>
      <c r="H615" s="920">
        <v>0</v>
      </c>
      <c r="I615" s="1266">
        <f>ROUND(IF(AND(F615:H615),C615*E615*F615*G615*H615,IF(AND(F615,G615),C615*E615*F615*G615,IF(AND(F615,H615),C615*E615*F615*H615,IF(AND(G615,H615),C615*E615*G615*H615,IF(F615,C615*E615*F615,IF(G615,C615*E615*G615,IF(H615,C615*E615*H615,C615*E615))))))),2)</f>
        <v>1.75</v>
      </c>
      <c r="J615" s="955" t="s">
        <v>102</v>
      </c>
      <c r="K615" s="902"/>
      <c r="L615" s="923"/>
      <c r="M615" s="902"/>
      <c r="N615" s="900" t="s">
        <v>2309</v>
      </c>
    </row>
    <row r="616" spans="1:14" s="910" customFormat="1" ht="16.5" hidden="1" customHeight="1">
      <c r="A616" s="896"/>
      <c r="B616" s="902"/>
      <c r="C616" s="897">
        <v>1</v>
      </c>
      <c r="D616" s="1263" t="s">
        <v>273</v>
      </c>
      <c r="E616" s="919">
        <v>4</v>
      </c>
      <c r="F616" s="920">
        <v>1.83</v>
      </c>
      <c r="G616" s="920">
        <v>0.23</v>
      </c>
      <c r="H616" s="920">
        <v>0</v>
      </c>
      <c r="I616" s="1266">
        <f>ROUND(IF(AND(F616:H616),C616*E616*F616*G616*H616,IF(AND(F616,G616),C616*E616*F616*G616,IF(AND(F616,H616),C616*E616*F616*H616,IF(AND(G616,H616),C616*E616*G616*H616,IF(F616,C616*E616*F616,IF(G616,C616*E616*G616,IF(H616,C616*E616*H616,C616*E616))))))),2)</f>
        <v>1.68</v>
      </c>
      <c r="J616" s="955" t="s">
        <v>102</v>
      </c>
      <c r="K616" s="902"/>
      <c r="L616" s="923"/>
      <c r="M616" s="902"/>
      <c r="N616" s="900" t="s">
        <v>2309</v>
      </c>
    </row>
    <row r="617" spans="1:14" s="910" customFormat="1" ht="16.5" hidden="1" customHeight="1">
      <c r="A617" s="896"/>
      <c r="B617" s="956"/>
      <c r="C617" s="957"/>
      <c r="D617" s="958"/>
      <c r="E617" s="1268"/>
      <c r="F617" s="960"/>
      <c r="G617" s="960"/>
      <c r="H617" s="960"/>
      <c r="I617" s="916"/>
      <c r="J617" s="955"/>
      <c r="K617" s="902"/>
      <c r="L617" s="923"/>
      <c r="M617" s="902"/>
      <c r="N617" s="900" t="s">
        <v>2309</v>
      </c>
    </row>
    <row r="618" spans="1:14" ht="15.75" hidden="1">
      <c r="A618" s="896"/>
      <c r="B618" s="902"/>
      <c r="C618" s="917"/>
      <c r="D618" s="918"/>
      <c r="E618" s="919"/>
      <c r="F618" s="920"/>
      <c r="G618" s="921"/>
      <c r="H618" s="896"/>
      <c r="I618" s="916"/>
      <c r="J618" s="955" t="s">
        <v>102</v>
      </c>
      <c r="K618" s="922">
        <f>'data 2022-23'!F249</f>
        <v>553.39</v>
      </c>
      <c r="L618" s="923" t="s">
        <v>2419</v>
      </c>
      <c r="M618" s="924">
        <f>ROUND(I618*K618,0)</f>
        <v>0</v>
      </c>
      <c r="N618" s="900" t="s">
        <v>2309</v>
      </c>
    </row>
    <row r="619" spans="1:14" ht="89.25" hidden="1" customHeight="1">
      <c r="A619" s="896">
        <v>7</v>
      </c>
      <c r="B619" s="1609" t="s">
        <v>2057</v>
      </c>
      <c r="C619" s="1609"/>
      <c r="D619" s="1609"/>
      <c r="E619" s="1609"/>
      <c r="F619" s="1609"/>
      <c r="G619" s="1609"/>
      <c r="H619" s="1609"/>
      <c r="I619" s="897"/>
      <c r="J619" s="898"/>
      <c r="K619" s="896"/>
      <c r="L619" s="923"/>
      <c r="M619" s="899"/>
      <c r="N619" s="900" t="s">
        <v>2309</v>
      </c>
    </row>
    <row r="620" spans="1:14" s="910" customFormat="1" ht="16.5" hidden="1" customHeight="1">
      <c r="A620" s="896"/>
      <c r="B620" s="902" t="s">
        <v>3367</v>
      </c>
      <c r="C620" s="897"/>
      <c r="D620" s="1263"/>
      <c r="E620" s="919"/>
      <c r="F620" s="920"/>
      <c r="G620" s="920"/>
      <c r="H620" s="920"/>
      <c r="I620" s="1264"/>
      <c r="J620" s="955"/>
      <c r="K620" s="902"/>
      <c r="L620" s="923"/>
      <c r="M620" s="902"/>
      <c r="N620" s="900" t="s">
        <v>2309</v>
      </c>
    </row>
    <row r="621" spans="1:14" s="910" customFormat="1" ht="16.5" hidden="1" customHeight="1">
      <c r="A621" s="896"/>
      <c r="B621" s="902"/>
      <c r="C621" s="897">
        <v>1</v>
      </c>
      <c r="D621" s="1263" t="s">
        <v>273</v>
      </c>
      <c r="E621" s="919">
        <v>2</v>
      </c>
      <c r="F621" s="920">
        <v>2.8</v>
      </c>
      <c r="G621" s="920">
        <v>0.23</v>
      </c>
      <c r="H621" s="920">
        <v>0.15</v>
      </c>
      <c r="I621" s="1286">
        <f>ROUND(IF(AND(F621:H621),C621*E621*F621*G621*H621,IF(AND(F621,G621),C621*E621*F621*G621,IF(AND(F621,H621),C621*E621*F621*H621,IF(AND(G621,H621),C621*E621*G621*H621,IF(F621,C621*E621*F621,IF(G621,C621*E621*G621,IF(H621,C621*E621*H621,C621*E621))))))),2)</f>
        <v>0.19</v>
      </c>
      <c r="J621" s="955" t="s">
        <v>5</v>
      </c>
      <c r="K621" s="902"/>
      <c r="L621" s="923"/>
      <c r="M621" s="902"/>
      <c r="N621" s="900" t="s">
        <v>2309</v>
      </c>
    </row>
    <row r="622" spans="1:14" s="910" customFormat="1" ht="16.5" hidden="1" customHeight="1">
      <c r="A622" s="896"/>
      <c r="B622" s="902"/>
      <c r="C622" s="897">
        <v>1</v>
      </c>
      <c r="D622" s="1263" t="s">
        <v>273</v>
      </c>
      <c r="E622" s="919">
        <v>2</v>
      </c>
      <c r="F622" s="920">
        <v>2.8</v>
      </c>
      <c r="G622" s="920">
        <v>0.23</v>
      </c>
      <c r="H622" s="920">
        <v>0.15</v>
      </c>
      <c r="I622" s="1286">
        <f>ROUND(IF(AND(F622:H622),C622*E622*F622*G622*H622,IF(AND(F622,G622),C622*E622*F622*G622,IF(AND(F622,H622),C622*E622*F622*H622,IF(AND(G622,H622),C622*E622*G622*H622,IF(F622,C622*E622*F622,IF(G622,C622*E622*G622,IF(H622,C622*E622*H622,C622*E622))))))),2)</f>
        <v>0.19</v>
      </c>
      <c r="J622" s="955" t="s">
        <v>5</v>
      </c>
      <c r="K622" s="902"/>
      <c r="L622" s="923"/>
      <c r="M622" s="902"/>
      <c r="N622" s="900" t="s">
        <v>2309</v>
      </c>
    </row>
    <row r="623" spans="1:14" s="910" customFormat="1" ht="16.5" hidden="1" customHeight="1">
      <c r="A623" s="896"/>
      <c r="B623" s="956"/>
      <c r="C623" s="957"/>
      <c r="D623" s="958"/>
      <c r="E623" s="1268"/>
      <c r="F623" s="920"/>
      <c r="G623" s="920"/>
      <c r="H623" s="920"/>
      <c r="I623" s="916"/>
      <c r="J623" s="955"/>
      <c r="K623" s="902"/>
      <c r="L623" s="923"/>
      <c r="M623" s="902"/>
      <c r="N623" s="900" t="s">
        <v>2309</v>
      </c>
    </row>
    <row r="624" spans="1:14" ht="15.75" hidden="1">
      <c r="A624" s="896"/>
      <c r="B624" s="902"/>
      <c r="C624" s="917"/>
      <c r="D624" s="918"/>
      <c r="E624" s="919"/>
      <c r="F624" s="920"/>
      <c r="G624" s="921"/>
      <c r="H624" s="896"/>
      <c r="I624" s="916"/>
      <c r="J624" s="955" t="s">
        <v>5</v>
      </c>
      <c r="K624" s="922">
        <f>'data 2022-23'!F158</f>
        <v>11212.51</v>
      </c>
      <c r="L624" s="923" t="s">
        <v>274</v>
      </c>
      <c r="M624" s="924">
        <f>ROUND(I624*K624,0)</f>
        <v>0</v>
      </c>
      <c r="N624" s="900" t="s">
        <v>2309</v>
      </c>
    </row>
    <row r="625" spans="1:14" ht="17.25" hidden="1" customHeight="1">
      <c r="A625" s="896">
        <v>8</v>
      </c>
      <c r="B625" s="1609" t="s">
        <v>648</v>
      </c>
      <c r="C625" s="1609"/>
      <c r="D625" s="1609"/>
      <c r="E625" s="1609"/>
      <c r="F625" s="1609"/>
      <c r="G625" s="1609"/>
      <c r="H625" s="1609"/>
      <c r="I625" s="897"/>
      <c r="J625" s="898"/>
      <c r="K625" s="896"/>
      <c r="L625" s="923"/>
      <c r="M625" s="899"/>
      <c r="N625" s="900" t="s">
        <v>2309</v>
      </c>
    </row>
    <row r="626" spans="1:14" s="910" customFormat="1" ht="16.5" hidden="1" customHeight="1">
      <c r="A626" s="896"/>
      <c r="B626" s="902" t="s">
        <v>3402</v>
      </c>
      <c r="C626" s="897"/>
      <c r="D626" s="1263"/>
      <c r="E626" s="919"/>
      <c r="F626" s="920"/>
      <c r="G626" s="920"/>
      <c r="H626" s="920"/>
      <c r="I626" s="1264"/>
      <c r="J626" s="955"/>
      <c r="K626" s="902"/>
      <c r="L626" s="923"/>
      <c r="M626" s="902"/>
      <c r="N626" s="900" t="s">
        <v>2309</v>
      </c>
    </row>
    <row r="627" spans="1:14" s="910" customFormat="1" ht="16.5" hidden="1" customHeight="1">
      <c r="A627" s="896"/>
      <c r="B627" s="902"/>
      <c r="C627" s="897">
        <v>1</v>
      </c>
      <c r="D627" s="1263" t="s">
        <v>273</v>
      </c>
      <c r="E627" s="919">
        <v>7</v>
      </c>
      <c r="F627" s="920">
        <v>1.8</v>
      </c>
      <c r="G627" s="920">
        <v>0</v>
      </c>
      <c r="H627" s="920">
        <v>0</v>
      </c>
      <c r="I627" s="1266">
        <f>ROUND(IF(AND(F627:H627),C627*E627*F627*G627*H627,IF(AND(F627,G627),C627*E627*F627*G627,IF(AND(F627,H627),C627*E627*F627*H627,IF(AND(G627,H627),C627*E627*G627*H627,IF(F627,C627*E627*F627,IF(G627,C627*E627*G627,IF(H627,C627*E627*H627,C627*E627))))))),2)</f>
        <v>12.6</v>
      </c>
      <c r="J627" s="955" t="s">
        <v>277</v>
      </c>
      <c r="K627" s="902"/>
      <c r="L627" s="923"/>
      <c r="M627" s="902"/>
      <c r="N627" s="900" t="s">
        <v>2309</v>
      </c>
    </row>
    <row r="628" spans="1:14" s="910" customFormat="1" ht="16.5" hidden="1" customHeight="1">
      <c r="A628" s="896"/>
      <c r="B628" s="902"/>
      <c r="C628" s="897">
        <v>1</v>
      </c>
      <c r="D628" s="1263" t="s">
        <v>273</v>
      </c>
      <c r="E628" s="919">
        <v>1</v>
      </c>
      <c r="F628" s="920">
        <v>3</v>
      </c>
      <c r="G628" s="920">
        <v>0</v>
      </c>
      <c r="H628" s="920">
        <v>0</v>
      </c>
      <c r="I628" s="1266">
        <f>ROUND(IF(AND(F628:H628),C628*E628*F628*G628*H628,IF(AND(F628,G628),C628*E628*F628*G628,IF(AND(F628,H628),C628*E628*F628*H628,IF(AND(G628,H628),C628*E628*G628*H628,IF(F628,C628*E628*F628,IF(G628,C628*E628*G628,IF(H628,C628*E628*H628,C628*E628))))))),2)</f>
        <v>3</v>
      </c>
      <c r="J628" s="955" t="s">
        <v>277</v>
      </c>
      <c r="K628" s="902"/>
      <c r="L628" s="923"/>
      <c r="M628" s="902"/>
      <c r="N628" s="900" t="s">
        <v>2309</v>
      </c>
    </row>
    <row r="629" spans="1:14" s="910" customFormat="1" ht="15.75" hidden="1">
      <c r="A629" s="896"/>
      <c r="B629" s="956"/>
      <c r="C629" s="957"/>
      <c r="D629" s="958"/>
      <c r="E629" s="1268"/>
      <c r="F629" s="960"/>
      <c r="G629" s="960"/>
      <c r="H629" s="960"/>
      <c r="I629" s="916"/>
      <c r="J629" s="955"/>
      <c r="K629" s="902"/>
      <c r="L629" s="923"/>
      <c r="M629" s="902"/>
      <c r="N629" s="900" t="s">
        <v>2309</v>
      </c>
    </row>
    <row r="630" spans="1:14" ht="15.75" hidden="1">
      <c r="A630" s="896"/>
      <c r="B630" s="902"/>
      <c r="C630" s="917"/>
      <c r="D630" s="918"/>
      <c r="E630" s="919"/>
      <c r="F630" s="920"/>
      <c r="G630" s="921"/>
      <c r="H630" s="896"/>
      <c r="I630" s="916"/>
      <c r="J630" s="955" t="s">
        <v>277</v>
      </c>
      <c r="K630" s="922">
        <f>'data 2022-23'!F221</f>
        <v>630.35</v>
      </c>
      <c r="L630" s="923" t="s">
        <v>279</v>
      </c>
      <c r="M630" s="924">
        <f>ROUND(I630*K630,0)</f>
        <v>0</v>
      </c>
      <c r="N630" s="900" t="s">
        <v>2309</v>
      </c>
    </row>
    <row r="631" spans="1:14" ht="64.5" hidden="1" customHeight="1">
      <c r="A631" s="896">
        <v>7</v>
      </c>
      <c r="B631" s="1609" t="s">
        <v>151</v>
      </c>
      <c r="C631" s="1609"/>
      <c r="D631" s="1609"/>
      <c r="E631" s="1609"/>
      <c r="F631" s="1609"/>
      <c r="G631" s="1609"/>
      <c r="H631" s="1609"/>
      <c r="I631" s="897"/>
      <c r="J631" s="898"/>
      <c r="K631" s="896"/>
      <c r="L631" s="923"/>
      <c r="M631" s="899"/>
      <c r="N631" s="900" t="s">
        <v>2309</v>
      </c>
    </row>
    <row r="632" spans="1:14" s="910" customFormat="1" ht="16.5" hidden="1" customHeight="1">
      <c r="A632" s="896"/>
      <c r="B632" s="902" t="s">
        <v>3403</v>
      </c>
      <c r="C632" s="897"/>
      <c r="D632" s="1263"/>
      <c r="E632" s="919"/>
      <c r="F632" s="920"/>
      <c r="G632" s="920"/>
      <c r="H632" s="920"/>
      <c r="I632" s="1264"/>
      <c r="J632" s="955"/>
      <c r="K632" s="902"/>
      <c r="L632" s="896"/>
      <c r="M632" s="902"/>
      <c r="N632" s="900" t="s">
        <v>2309</v>
      </c>
    </row>
    <row r="633" spans="1:14" s="910" customFormat="1" ht="16.5" hidden="1" customHeight="1">
      <c r="A633" s="896"/>
      <c r="B633" s="902" t="s">
        <v>1624</v>
      </c>
      <c r="C633" s="897">
        <v>1</v>
      </c>
      <c r="D633" s="1263" t="s">
        <v>273</v>
      </c>
      <c r="E633" s="919">
        <v>1</v>
      </c>
      <c r="F633" s="920">
        <v>10.45</v>
      </c>
      <c r="G633" s="920">
        <v>8.85</v>
      </c>
      <c r="H633" s="920">
        <v>0</v>
      </c>
      <c r="I633" s="1266">
        <f>ROUND(IF(AND(F633:H633),C633*E633*F633*G633*H633,IF(AND(F633,G633),C633*E633*F633*G633,IF(AND(F633,H633),C633*E633*F633*H633,IF(AND(G633,H633),C633*E633*G633*H633,IF(F633,C633*E633*F633,IF(G633,C633*E633*G633,IF(H633,C633*E633*H633,C633*E633))))))),2)</f>
        <v>92.48</v>
      </c>
      <c r="J633" s="955" t="s">
        <v>102</v>
      </c>
      <c r="K633" s="902"/>
      <c r="L633" s="896"/>
      <c r="M633" s="902"/>
      <c r="N633" s="900" t="s">
        <v>2309</v>
      </c>
    </row>
    <row r="634" spans="1:14" s="910" customFormat="1" ht="16.5" hidden="1" customHeight="1">
      <c r="A634" s="896"/>
      <c r="B634" s="902"/>
      <c r="C634" s="897">
        <v>1</v>
      </c>
      <c r="D634" s="1263" t="s">
        <v>273</v>
      </c>
      <c r="E634" s="919">
        <v>1</v>
      </c>
      <c r="F634" s="920">
        <v>5.5</v>
      </c>
      <c r="G634" s="920">
        <v>5.5</v>
      </c>
      <c r="H634" s="920">
        <v>0</v>
      </c>
      <c r="I634" s="1266">
        <f>ROUND(IF(AND(F634:H634),C634*E634*F634*G634*H634,IF(AND(F634,G634),C634*E634*F634*G634,IF(AND(F634,H634),C634*E634*F634*H634,IF(AND(G634,H634),C634*E634*G634*H634,IF(F634,C634*E634*F634,IF(G634,C634*E634*G634,IF(H634,C634*E634*H634,C634*E634))))))),2)</f>
        <v>30.25</v>
      </c>
      <c r="J634" s="955" t="s">
        <v>102</v>
      </c>
      <c r="K634" s="902"/>
      <c r="L634" s="896"/>
      <c r="M634" s="902"/>
      <c r="N634" s="900" t="s">
        <v>2309</v>
      </c>
    </row>
    <row r="635" spans="1:14" s="910" customFormat="1" ht="16.5" hidden="1" customHeight="1">
      <c r="A635" s="896"/>
      <c r="B635" s="956"/>
      <c r="C635" s="957"/>
      <c r="D635" s="958"/>
      <c r="E635" s="1268"/>
      <c r="F635" s="960"/>
      <c r="G635" s="960"/>
      <c r="H635" s="960"/>
      <c r="I635" s="916"/>
      <c r="J635" s="955"/>
      <c r="K635" s="902"/>
      <c r="L635" s="923"/>
      <c r="M635" s="902"/>
      <c r="N635" s="900" t="s">
        <v>2309</v>
      </c>
    </row>
    <row r="636" spans="1:14" ht="15.75" hidden="1">
      <c r="A636" s="896"/>
      <c r="B636" s="902"/>
      <c r="C636" s="917"/>
      <c r="D636" s="918"/>
      <c r="E636" s="919"/>
      <c r="F636" s="920"/>
      <c r="G636" s="921"/>
      <c r="H636" s="896"/>
      <c r="I636" s="916"/>
      <c r="J636" s="955" t="s">
        <v>102</v>
      </c>
      <c r="K636" s="922">
        <f>'data 2022-23'!F566</f>
        <v>339.16</v>
      </c>
      <c r="L636" s="923" t="s">
        <v>2419</v>
      </c>
      <c r="M636" s="924">
        <f>ROUND(I636*K636,0)</f>
        <v>0</v>
      </c>
      <c r="N636" s="900" t="s">
        <v>2309</v>
      </c>
    </row>
    <row r="637" spans="1:14" ht="64.5" hidden="1" customHeight="1">
      <c r="A637" s="896">
        <v>13</v>
      </c>
      <c r="B637" s="1609" t="s">
        <v>1313</v>
      </c>
      <c r="C637" s="1609"/>
      <c r="D637" s="1609"/>
      <c r="E637" s="1609"/>
      <c r="F637" s="1609"/>
      <c r="G637" s="1609"/>
      <c r="H637" s="1609"/>
      <c r="I637" s="897"/>
      <c r="J637" s="898"/>
      <c r="K637" s="896"/>
      <c r="L637" s="923"/>
      <c r="M637" s="899"/>
      <c r="N637" s="900" t="s">
        <v>2309</v>
      </c>
    </row>
    <row r="638" spans="1:14" s="910" customFormat="1" ht="16.5" hidden="1" customHeight="1">
      <c r="A638" s="896"/>
      <c r="B638" s="902" t="s">
        <v>3404</v>
      </c>
      <c r="C638" s="897"/>
      <c r="D638" s="1263"/>
      <c r="E638" s="919"/>
      <c r="F638" s="920"/>
      <c r="G638" s="920"/>
      <c r="H638" s="920"/>
      <c r="I638" s="1264"/>
      <c r="J638" s="955"/>
      <c r="K638" s="902"/>
      <c r="L638" s="923"/>
      <c r="M638" s="902"/>
      <c r="N638" s="900" t="s">
        <v>2309</v>
      </c>
    </row>
    <row r="639" spans="1:14" s="910" customFormat="1" ht="16.5" hidden="1" customHeight="1">
      <c r="A639" s="896"/>
      <c r="B639" s="902"/>
      <c r="C639" s="897">
        <v>1</v>
      </c>
      <c r="D639" s="1263" t="s">
        <v>273</v>
      </c>
      <c r="E639" s="919">
        <v>1</v>
      </c>
      <c r="F639" s="920">
        <v>10.45</v>
      </c>
      <c r="G639" s="920">
        <v>12</v>
      </c>
      <c r="H639" s="920">
        <v>0</v>
      </c>
      <c r="I639" s="1266">
        <f>ROUND(IF(AND(F639:H639),C639*E639*F639*G639*H639,IF(AND(F639,G639),C639*E639*F639*G639,IF(AND(F639,H639),C639*E639*F639*H639,IF(AND(G639,H639),C639*E639*G639*H639,IF(F639,C639*E639*F639,IF(G639,C639*E639*G639,IF(H639,C639*E639*H639,C639*E639))))))),2)</f>
        <v>125.4</v>
      </c>
      <c r="J639" s="955" t="s">
        <v>102</v>
      </c>
      <c r="K639" s="902"/>
      <c r="L639" s="923"/>
      <c r="M639" s="902"/>
      <c r="N639" s="900" t="s">
        <v>2309</v>
      </c>
    </row>
    <row r="640" spans="1:14" s="910" customFormat="1" ht="16.5" hidden="1" customHeight="1">
      <c r="A640" s="896"/>
      <c r="B640" s="902"/>
      <c r="C640" s="897">
        <v>1</v>
      </c>
      <c r="D640" s="1263" t="s">
        <v>273</v>
      </c>
      <c r="E640" s="919">
        <v>1</v>
      </c>
      <c r="F640" s="920">
        <v>3.52</v>
      </c>
      <c r="G640" s="920">
        <v>0.92</v>
      </c>
      <c r="H640" s="920">
        <v>0</v>
      </c>
      <c r="I640" s="1266">
        <f>ROUND(IF(AND(F640:H640),C640*E640*F640*G640*H640,IF(AND(F640,G640),C640*E640*F640*G640,IF(AND(F640,H640),C640*E640*F640*H640,IF(AND(G640,H640),C640*E640*G640*H640,IF(F640,C640*E640*F640,IF(G640,C640*E640*G640,IF(H640,C640*E640*H640,C640*E640))))))),2)</f>
        <v>3.24</v>
      </c>
      <c r="J640" s="955" t="s">
        <v>102</v>
      </c>
      <c r="K640" s="902"/>
      <c r="L640" s="923"/>
      <c r="M640" s="902"/>
      <c r="N640" s="900" t="s">
        <v>2309</v>
      </c>
    </row>
    <row r="641" spans="1:14" s="910" customFormat="1" ht="16.5" hidden="1" customHeight="1">
      <c r="A641" s="896"/>
      <c r="B641" s="956"/>
      <c r="C641" s="957"/>
      <c r="D641" s="958"/>
      <c r="E641" s="1268"/>
      <c r="F641" s="960"/>
      <c r="G641" s="960"/>
      <c r="H641" s="960"/>
      <c r="I641" s="916"/>
      <c r="J641" s="955"/>
      <c r="K641" s="902"/>
      <c r="L641" s="923"/>
      <c r="M641" s="902"/>
      <c r="N641" s="900" t="s">
        <v>2309</v>
      </c>
    </row>
    <row r="642" spans="1:14" ht="15.75" hidden="1">
      <c r="A642" s="896"/>
      <c r="B642" s="902"/>
      <c r="C642" s="917"/>
      <c r="D642" s="918"/>
      <c r="E642" s="919"/>
      <c r="F642" s="920"/>
      <c r="G642" s="921"/>
      <c r="H642" s="896"/>
      <c r="I642" s="916"/>
      <c r="J642" s="955" t="s">
        <v>102</v>
      </c>
      <c r="K642" s="922">
        <f>'data 2022-23'!F581</f>
        <v>438.06</v>
      </c>
      <c r="L642" s="923" t="s">
        <v>2419</v>
      </c>
      <c r="M642" s="924">
        <f>ROUND(I642*K642,0)</f>
        <v>0</v>
      </c>
      <c r="N642" s="900" t="s">
        <v>2309</v>
      </c>
    </row>
    <row r="643" spans="1:14" ht="69.75" hidden="1" customHeight="1">
      <c r="A643" s="896">
        <v>15</v>
      </c>
      <c r="B643" s="1609" t="s">
        <v>306</v>
      </c>
      <c r="C643" s="1609"/>
      <c r="D643" s="1609"/>
      <c r="E643" s="1609"/>
      <c r="F643" s="1609"/>
      <c r="G643" s="1609"/>
      <c r="H643" s="1609"/>
      <c r="I643" s="897"/>
      <c r="J643" s="898"/>
      <c r="K643" s="896"/>
      <c r="L643" s="923"/>
      <c r="M643" s="899"/>
      <c r="N643" s="900" t="s">
        <v>2309</v>
      </c>
    </row>
    <row r="644" spans="1:14" s="910" customFormat="1" ht="16.5" hidden="1" customHeight="1">
      <c r="A644" s="896"/>
      <c r="B644" s="902" t="s">
        <v>3405</v>
      </c>
      <c r="C644" s="897"/>
      <c r="D644" s="1263"/>
      <c r="E644" s="919"/>
      <c r="F644" s="920"/>
      <c r="G644" s="920"/>
      <c r="H644" s="920"/>
      <c r="I644" s="1264"/>
      <c r="J644" s="955"/>
      <c r="K644" s="902"/>
      <c r="L644" s="896"/>
      <c r="M644" s="902"/>
      <c r="N644" s="900" t="s">
        <v>2309</v>
      </c>
    </row>
    <row r="645" spans="1:14" s="910" customFormat="1" ht="16.5" hidden="1" customHeight="1">
      <c r="A645" s="896"/>
      <c r="B645" s="902" t="s">
        <v>1245</v>
      </c>
      <c r="C645" s="897">
        <v>1</v>
      </c>
      <c r="D645" s="1263" t="s">
        <v>273</v>
      </c>
      <c r="E645" s="919">
        <v>1</v>
      </c>
      <c r="F645" s="920">
        <v>2.89</v>
      </c>
      <c r="G645" s="920">
        <v>0.23</v>
      </c>
      <c r="H645" s="920">
        <v>1.38</v>
      </c>
      <c r="I645" s="1266">
        <f>ROUND(IF(AND(F645:H645),C645*E645*F645*G645*H645,IF(AND(F645,G645),C645*E645*F645*G645,IF(AND(F645,H645),C645*E645*F645*H645,IF(AND(G645,H645),C645*E645*G645*H645,IF(F645,C645*E645*F645,IF(G645,C645*E645*G645,IF(H645,C645*E645*H645,C645*E645))))))),2)</f>
        <v>0.92</v>
      </c>
      <c r="J645" s="955" t="s">
        <v>5</v>
      </c>
      <c r="K645" s="902"/>
      <c r="L645" s="896"/>
      <c r="M645" s="902"/>
      <c r="N645" s="900" t="s">
        <v>2309</v>
      </c>
    </row>
    <row r="646" spans="1:14" s="910" customFormat="1" ht="16.5" hidden="1" customHeight="1">
      <c r="A646" s="896"/>
      <c r="B646" s="902" t="s">
        <v>814</v>
      </c>
      <c r="C646" s="897">
        <v>1</v>
      </c>
      <c r="D646" s="1263" t="s">
        <v>273</v>
      </c>
      <c r="E646" s="919">
        <v>1</v>
      </c>
      <c r="F646" s="920">
        <v>12.47</v>
      </c>
      <c r="G646" s="920">
        <v>0.23</v>
      </c>
      <c r="H646" s="920">
        <v>1.38</v>
      </c>
      <c r="I646" s="1266">
        <f>ROUND(IF(AND(F646:H646),C646*E646*F646*G646*H646,IF(AND(F646,G646),C646*E646*F646*G646,IF(AND(F646,H646),C646*E646*F646*H646,IF(AND(G646,H646),C646*E646*G646*H646,IF(F646,C646*E646*F646,IF(G646,C646*E646*G646,IF(H646,C646*E646*H646,C646*E646))))))),2)</f>
        <v>3.96</v>
      </c>
      <c r="J646" s="955" t="s">
        <v>5</v>
      </c>
      <c r="K646" s="902"/>
      <c r="L646" s="896"/>
      <c r="M646" s="902"/>
      <c r="N646" s="900" t="s">
        <v>2309</v>
      </c>
    </row>
    <row r="647" spans="1:14" s="910" customFormat="1" ht="16.5" hidden="1" customHeight="1">
      <c r="A647" s="896"/>
      <c r="B647" s="956"/>
      <c r="C647" s="957"/>
      <c r="D647" s="958"/>
      <c r="E647" s="1268"/>
      <c r="F647" s="960"/>
      <c r="G647" s="960"/>
      <c r="H647" s="960"/>
      <c r="I647" s="916"/>
      <c r="J647" s="955"/>
      <c r="K647" s="902"/>
      <c r="L647" s="923"/>
      <c r="M647" s="902"/>
      <c r="N647" s="900" t="s">
        <v>2309</v>
      </c>
    </row>
    <row r="648" spans="1:14" ht="15.75" hidden="1">
      <c r="A648" s="896"/>
      <c r="B648" s="902"/>
      <c r="C648" s="917"/>
      <c r="D648" s="918"/>
      <c r="E648" s="919"/>
      <c r="F648" s="920"/>
      <c r="G648" s="921"/>
      <c r="H648" s="896"/>
      <c r="I648" s="916"/>
      <c r="J648" s="955" t="s">
        <v>5</v>
      </c>
      <c r="K648" s="922">
        <f>'data 2022-23'!F391</f>
        <v>7227.5599999999995</v>
      </c>
      <c r="L648" s="923" t="s">
        <v>274</v>
      </c>
      <c r="M648" s="924">
        <f>ROUND(I648*K648,0)</f>
        <v>0</v>
      </c>
      <c r="N648" s="900" t="s">
        <v>2309</v>
      </c>
    </row>
    <row r="649" spans="1:14" ht="69.75" hidden="1" customHeight="1">
      <c r="A649" s="896">
        <v>9</v>
      </c>
      <c r="B649" s="1609" t="s">
        <v>649</v>
      </c>
      <c r="C649" s="1609"/>
      <c r="D649" s="1609"/>
      <c r="E649" s="1609"/>
      <c r="F649" s="1609"/>
      <c r="G649" s="1609"/>
      <c r="H649" s="1609"/>
      <c r="I649" s="897"/>
      <c r="J649" s="898"/>
      <c r="K649" s="896"/>
      <c r="L649" s="923"/>
      <c r="M649" s="899"/>
      <c r="N649" s="900" t="s">
        <v>2309</v>
      </c>
    </row>
    <row r="650" spans="1:14" s="910" customFormat="1" ht="16.5" hidden="1" customHeight="1">
      <c r="A650" s="896"/>
      <c r="B650" s="902" t="s">
        <v>3382</v>
      </c>
      <c r="C650" s="897"/>
      <c r="D650" s="1263"/>
      <c r="E650" s="919"/>
      <c r="F650" s="920"/>
      <c r="G650" s="920"/>
      <c r="H650" s="920"/>
      <c r="I650" s="1264"/>
      <c r="J650" s="955"/>
      <c r="K650" s="902"/>
      <c r="L650" s="923"/>
      <c r="M650" s="902"/>
      <c r="N650" s="900" t="s">
        <v>2309</v>
      </c>
    </row>
    <row r="651" spans="1:14" s="910" customFormat="1" ht="16.5" hidden="1" customHeight="1">
      <c r="A651" s="896"/>
      <c r="B651" s="902" t="s">
        <v>1528</v>
      </c>
      <c r="C651" s="897">
        <v>1</v>
      </c>
      <c r="D651" s="1263" t="s">
        <v>273</v>
      </c>
      <c r="E651" s="919">
        <v>1</v>
      </c>
      <c r="F651" s="920">
        <v>9.5250000000000004</v>
      </c>
      <c r="G651" s="920">
        <v>0.23</v>
      </c>
      <c r="H651" s="920">
        <v>0.6</v>
      </c>
      <c r="I651" s="1286">
        <f>ROUND(IF(AND(F651:H651),C651*E651*F651*G651*H651,IF(AND(F651,G651),C651*E651*F651*G651,IF(AND(F651,H651),C651*E651*F651*H651,IF(AND(G651,H651),C651*E651*G651*H651,IF(F651,C651*E651*F651,IF(G651,C651*E651*G651,IF(H651,C651*E651*H651,C651*E651))))))),2)</f>
        <v>1.31</v>
      </c>
      <c r="J651" s="955" t="s">
        <v>5</v>
      </c>
      <c r="K651" s="902"/>
      <c r="L651" s="923"/>
      <c r="M651" s="902"/>
      <c r="N651" s="900" t="s">
        <v>2309</v>
      </c>
    </row>
    <row r="652" spans="1:14" s="910" customFormat="1" ht="16.5" hidden="1" customHeight="1">
      <c r="A652" s="896"/>
      <c r="B652" s="902"/>
      <c r="C652" s="897">
        <v>1</v>
      </c>
      <c r="D652" s="1263" t="s">
        <v>273</v>
      </c>
      <c r="E652" s="919">
        <v>1</v>
      </c>
      <c r="F652" s="920">
        <v>12.47</v>
      </c>
      <c r="G652" s="920">
        <v>0.23</v>
      </c>
      <c r="H652" s="920">
        <v>0.6</v>
      </c>
      <c r="I652" s="1286">
        <f>ROUND(IF(AND(F652:H652),C652*E652*F652*G652*H652,IF(AND(F652,G652),C652*E652*F652*G652,IF(AND(F652,H652),C652*E652*F652*H652,IF(AND(G652,H652),C652*E652*G652*H652,IF(F652,C652*E652*F652,IF(G652,C652*E652*G652,IF(H652,C652*E652*H652,C652*E652))))))),2)</f>
        <v>1.72</v>
      </c>
      <c r="J652" s="955" t="s">
        <v>5</v>
      </c>
      <c r="K652" s="902"/>
      <c r="L652" s="923"/>
      <c r="M652" s="902"/>
      <c r="N652" s="900" t="s">
        <v>2309</v>
      </c>
    </row>
    <row r="653" spans="1:14" s="910" customFormat="1" ht="16.5" hidden="1" customHeight="1">
      <c r="A653" s="896"/>
      <c r="B653" s="956"/>
      <c r="C653" s="957"/>
      <c r="D653" s="958"/>
      <c r="E653" s="1268"/>
      <c r="F653" s="960"/>
      <c r="G653" s="960"/>
      <c r="H653" s="960"/>
      <c r="I653" s="916"/>
      <c r="J653" s="955"/>
      <c r="K653" s="902"/>
      <c r="L653" s="923"/>
      <c r="M653" s="902"/>
      <c r="N653" s="900" t="s">
        <v>2309</v>
      </c>
    </row>
    <row r="654" spans="1:14" ht="15.75" hidden="1">
      <c r="A654" s="896"/>
      <c r="B654" s="902"/>
      <c r="C654" s="917"/>
      <c r="D654" s="918"/>
      <c r="E654" s="919"/>
      <c r="F654" s="920"/>
      <c r="G654" s="921"/>
      <c r="H654" s="896"/>
      <c r="I654" s="916"/>
      <c r="J654" s="955" t="s">
        <v>5</v>
      </c>
      <c r="K654" s="922">
        <f>'data 2022-23'!F374</f>
        <v>7283.96</v>
      </c>
      <c r="L654" s="923" t="s">
        <v>274</v>
      </c>
      <c r="M654" s="924">
        <f>ROUND(I654*K654,0)</f>
        <v>0</v>
      </c>
      <c r="N654" s="900" t="s">
        <v>2309</v>
      </c>
    </row>
    <row r="655" spans="1:14" ht="132.75" hidden="1" customHeight="1">
      <c r="A655" s="896">
        <v>10</v>
      </c>
      <c r="B655" s="1609" t="s">
        <v>901</v>
      </c>
      <c r="C655" s="1609"/>
      <c r="D655" s="1609"/>
      <c r="E655" s="1609"/>
      <c r="F655" s="1609"/>
      <c r="G655" s="1609"/>
      <c r="H655" s="1609"/>
      <c r="I655" s="897"/>
      <c r="J655" s="898"/>
      <c r="K655" s="896"/>
      <c r="L655" s="923"/>
      <c r="M655" s="899"/>
      <c r="N655" s="900" t="s">
        <v>2309</v>
      </c>
    </row>
    <row r="656" spans="1:14" s="910" customFormat="1" ht="16.5" hidden="1" customHeight="1">
      <c r="A656" s="896"/>
      <c r="B656" s="902" t="s">
        <v>3355</v>
      </c>
      <c r="C656" s="897"/>
      <c r="D656" s="1263"/>
      <c r="E656" s="919"/>
      <c r="F656" s="920"/>
      <c r="G656" s="920"/>
      <c r="H656" s="920"/>
      <c r="I656" s="1264"/>
      <c r="J656" s="955"/>
      <c r="K656" s="902"/>
      <c r="L656" s="923"/>
      <c r="M656" s="902"/>
      <c r="N656" s="900" t="s">
        <v>2309</v>
      </c>
    </row>
    <row r="657" spans="1:14" s="910" customFormat="1" ht="16.5" hidden="1" customHeight="1">
      <c r="A657" s="896"/>
      <c r="B657" s="902" t="s">
        <v>2129</v>
      </c>
      <c r="C657" s="897">
        <v>1</v>
      </c>
      <c r="D657" s="1263" t="s">
        <v>273</v>
      </c>
      <c r="E657" s="919">
        <v>1</v>
      </c>
      <c r="F657" s="920">
        <v>12</v>
      </c>
      <c r="G657" s="920">
        <v>0</v>
      </c>
      <c r="H657" s="920">
        <v>0.6</v>
      </c>
      <c r="I657" s="1286">
        <f>ROUND(IF(AND(F657:H657),C657*E657*F657*G657*H657,IF(AND(F657,G657),C657*E657*F657*G657,IF(AND(F657,H657),C657*E657*F657*H657,IF(AND(G657,H657),C657*E657*G657*H657,IF(F657,C657*E657*F657,IF(G657,C657*E657*G657,IF(H657,C657*E657*H657,C657*E657))))))),2)</f>
        <v>7.2</v>
      </c>
      <c r="J657" s="955" t="s">
        <v>102</v>
      </c>
      <c r="K657" s="902"/>
      <c r="L657" s="923"/>
      <c r="M657" s="902"/>
      <c r="N657" s="900" t="s">
        <v>2309</v>
      </c>
    </row>
    <row r="658" spans="1:14" s="910" customFormat="1" ht="16.5" hidden="1" customHeight="1">
      <c r="A658" s="896"/>
      <c r="B658" s="902"/>
      <c r="C658" s="897">
        <v>1</v>
      </c>
      <c r="D658" s="1263" t="s">
        <v>273</v>
      </c>
      <c r="E658" s="919">
        <v>1</v>
      </c>
      <c r="F658" s="920">
        <v>9.0500000000000007</v>
      </c>
      <c r="G658" s="920">
        <v>0</v>
      </c>
      <c r="H658" s="920">
        <v>0.6</v>
      </c>
      <c r="I658" s="1286">
        <f>ROUND(IF(AND(F658:H658),C658*E658*F658*G658*H658,IF(AND(F658,G658),C658*E658*F658*G658,IF(AND(F658,H658),C658*E658*F658*H658,IF(AND(G658,H658),C658*E658*G658*H658,IF(F658,C658*E658*F658,IF(G658,C658*E658*G658,IF(H658,C658*E658*H658,C658*E658))))))),2)</f>
        <v>5.43</v>
      </c>
      <c r="J658" s="955" t="s">
        <v>102</v>
      </c>
      <c r="K658" s="902"/>
      <c r="L658" s="923"/>
      <c r="M658" s="902"/>
      <c r="N658" s="900" t="s">
        <v>2309</v>
      </c>
    </row>
    <row r="659" spans="1:14" s="910" customFormat="1" ht="16.5" hidden="1" customHeight="1">
      <c r="A659" s="896"/>
      <c r="B659" s="902" t="s">
        <v>2130</v>
      </c>
      <c r="C659" s="897">
        <v>1</v>
      </c>
      <c r="D659" s="1263" t="s">
        <v>273</v>
      </c>
      <c r="E659" s="919">
        <v>3</v>
      </c>
      <c r="F659" s="920">
        <v>3.31</v>
      </c>
      <c r="G659" s="920">
        <v>0</v>
      </c>
      <c r="H659" s="920">
        <v>0.6</v>
      </c>
      <c r="I659" s="1286">
        <f>ROUND(IF(AND(F659:H659),C659*E659*F659*G659*H659,IF(AND(F659,G659),C659*E659*F659*G659,IF(AND(F659,H659),C659*E659*F659*H659,IF(AND(G659,H659),C659*E659*G659*H659,IF(F659,C659*E659*F659,IF(G659,C659*E659*G659,IF(H659,C659*E659*H659,C659*E659))))))),2)</f>
        <v>5.96</v>
      </c>
      <c r="J659" s="955" t="s">
        <v>102</v>
      </c>
      <c r="K659" s="902"/>
      <c r="L659" s="923"/>
      <c r="M659" s="902"/>
      <c r="N659" s="900" t="s">
        <v>2309</v>
      </c>
    </row>
    <row r="660" spans="1:14" s="910" customFormat="1" ht="16.5" hidden="1" customHeight="1">
      <c r="A660" s="896"/>
      <c r="B660" s="902"/>
      <c r="C660" s="897"/>
      <c r="D660" s="1263"/>
      <c r="E660" s="919"/>
      <c r="F660" s="920"/>
      <c r="G660" s="920"/>
      <c r="H660" s="920"/>
      <c r="I660" s="1266"/>
      <c r="J660" s="955"/>
      <c r="K660" s="902"/>
      <c r="L660" s="923"/>
      <c r="M660" s="902"/>
      <c r="N660" s="900" t="s">
        <v>2309</v>
      </c>
    </row>
    <row r="661" spans="1:14" ht="15.75" hidden="1">
      <c r="A661" s="896"/>
      <c r="B661" s="902"/>
      <c r="C661" s="917"/>
      <c r="D661" s="918"/>
      <c r="E661" s="919"/>
      <c r="F661" s="920"/>
      <c r="G661" s="921"/>
      <c r="H661" s="896"/>
      <c r="I661" s="916"/>
      <c r="J661" s="955" t="s">
        <v>102</v>
      </c>
      <c r="K661" s="922">
        <f>'data 2022-23'!F409</f>
        <v>929.28</v>
      </c>
      <c r="L661" s="923" t="s">
        <v>2419</v>
      </c>
      <c r="M661" s="924">
        <f>ROUND(I661*K661/1,0)</f>
        <v>0</v>
      </c>
      <c r="N661" s="900" t="s">
        <v>2309</v>
      </c>
    </row>
    <row r="662" spans="1:14" ht="79.5" hidden="1" customHeight="1">
      <c r="A662" s="896">
        <v>20</v>
      </c>
      <c r="B662" s="1609" t="s">
        <v>1200</v>
      </c>
      <c r="C662" s="1609"/>
      <c r="D662" s="1609"/>
      <c r="E662" s="1609"/>
      <c r="F662" s="1609"/>
      <c r="G662" s="1609"/>
      <c r="H662" s="1609"/>
      <c r="I662" s="897"/>
      <c r="J662" s="898"/>
      <c r="K662" s="896"/>
      <c r="L662" s="923"/>
      <c r="M662" s="899"/>
      <c r="N662" s="900" t="s">
        <v>2309</v>
      </c>
    </row>
    <row r="663" spans="1:14" s="910" customFormat="1" ht="16.5" hidden="1" customHeight="1">
      <c r="A663" s="896"/>
      <c r="B663" s="902" t="s">
        <v>3397</v>
      </c>
      <c r="C663" s="897"/>
      <c r="D663" s="1263"/>
      <c r="E663" s="919"/>
      <c r="F663" s="920"/>
      <c r="G663" s="920"/>
      <c r="H663" s="920"/>
      <c r="I663" s="1264"/>
      <c r="J663" s="955"/>
      <c r="K663" s="902"/>
      <c r="L663" s="923"/>
      <c r="M663" s="902"/>
      <c r="N663" s="900" t="s">
        <v>2309</v>
      </c>
    </row>
    <row r="664" spans="1:14" s="910" customFormat="1" ht="16.5" hidden="1" customHeight="1">
      <c r="A664" s="896"/>
      <c r="B664" s="902" t="s">
        <v>1241</v>
      </c>
      <c r="C664" s="897">
        <v>1</v>
      </c>
      <c r="D664" s="1263" t="s">
        <v>273</v>
      </c>
      <c r="E664" s="919">
        <v>2</v>
      </c>
      <c r="F664" s="920">
        <v>0.75</v>
      </c>
      <c r="G664" s="920">
        <v>0.15</v>
      </c>
      <c r="H664" s="920">
        <v>1.05</v>
      </c>
      <c r="I664" s="1266">
        <f>ROUND(IF(AND(F664:H664),C664*E664*F664*G664*H664,IF(AND(F664,G664),C664*E664*F664*G664,IF(AND(F664,H664),C664*E664*F664*H664,IF(AND(G664,H664),C664*E664*G664*H664,IF(F664,C664*E664*F664,IF(G664,C664*E664*G664,IF(H664,C664*E664*H664,C664*E664))))))),2)</f>
        <v>0.24</v>
      </c>
      <c r="J664" s="955" t="s">
        <v>5</v>
      </c>
      <c r="K664" s="902"/>
      <c r="L664" s="923"/>
      <c r="M664" s="902"/>
      <c r="N664" s="900" t="s">
        <v>2309</v>
      </c>
    </row>
    <row r="665" spans="1:14" s="910" customFormat="1" ht="16.5" hidden="1" customHeight="1">
      <c r="A665" s="896"/>
      <c r="B665" s="902"/>
      <c r="C665" s="897">
        <v>1</v>
      </c>
      <c r="D665" s="1263" t="s">
        <v>273</v>
      </c>
      <c r="E665" s="919">
        <v>1</v>
      </c>
      <c r="F665" s="920">
        <v>2.65</v>
      </c>
      <c r="G665" s="920">
        <v>0.15</v>
      </c>
      <c r="H665" s="920">
        <v>1.2</v>
      </c>
      <c r="I665" s="1266">
        <f>ROUND(IF(AND(F665:H665),C665*E665*F665*G665*H665,IF(AND(F665,G665),C665*E665*F665*G665,IF(AND(F665,H665),C665*E665*F665*H665,IF(AND(G665,H665),C665*E665*G665*H665,IF(F665,C665*E665*F665,IF(G665,C665*E665*G665,IF(H665,C665*E665*H665,C665*E665))))))),2)</f>
        <v>0.48</v>
      </c>
      <c r="J665" s="955" t="s">
        <v>5</v>
      </c>
      <c r="K665" s="902"/>
      <c r="L665" s="923"/>
      <c r="M665" s="902"/>
      <c r="N665" s="900" t="s">
        <v>2309</v>
      </c>
    </row>
    <row r="666" spans="1:14" s="910" customFormat="1" ht="16.5" hidden="1" customHeight="1">
      <c r="A666" s="896"/>
      <c r="B666" s="902"/>
      <c r="C666" s="897">
        <v>1</v>
      </c>
      <c r="D666" s="1263" t="s">
        <v>273</v>
      </c>
      <c r="E666" s="919">
        <v>1</v>
      </c>
      <c r="F666" s="920">
        <v>2.85</v>
      </c>
      <c r="G666" s="920">
        <v>0.15</v>
      </c>
      <c r="H666" s="920">
        <v>1.2</v>
      </c>
      <c r="I666" s="1266">
        <f>ROUND(IF(AND(F666:H666),C666*E666*F666*G666*H666,IF(AND(F666,G666),C666*E666*F666*G666,IF(AND(F666,H666),C666*E666*F666*H666,IF(AND(G666,H666),C666*E666*G666*H666,IF(F666,C666*E666*F666,IF(G666,C666*E666*G666,IF(H666,C666*E666*H666,C666*E666))))))),2)</f>
        <v>0.51</v>
      </c>
      <c r="J666" s="955" t="s">
        <v>5</v>
      </c>
      <c r="K666" s="902"/>
      <c r="L666" s="923"/>
      <c r="M666" s="902"/>
      <c r="N666" s="900" t="s">
        <v>2309</v>
      </c>
    </row>
    <row r="667" spans="1:14" s="910" customFormat="1" ht="16.5" hidden="1" customHeight="1">
      <c r="A667" s="896"/>
      <c r="B667" s="956"/>
      <c r="C667" s="957"/>
      <c r="D667" s="958"/>
      <c r="E667" s="1268"/>
      <c r="F667" s="960"/>
      <c r="G667" s="960"/>
      <c r="H667" s="960"/>
      <c r="I667" s="916"/>
      <c r="J667" s="955"/>
      <c r="K667" s="902"/>
      <c r="L667" s="923"/>
      <c r="M667" s="902"/>
      <c r="N667" s="900" t="s">
        <v>2309</v>
      </c>
    </row>
    <row r="668" spans="1:14" ht="15.75" hidden="1">
      <c r="A668" s="896"/>
      <c r="B668" s="902"/>
      <c r="C668" s="917"/>
      <c r="D668" s="918"/>
      <c r="E668" s="919"/>
      <c r="F668" s="920"/>
      <c r="G668" s="921"/>
      <c r="H668" s="896"/>
      <c r="I668" s="916"/>
      <c r="J668" s="955" t="s">
        <v>5</v>
      </c>
      <c r="K668" s="922">
        <f>'data 2022-23'!F426</f>
        <v>6718.55</v>
      </c>
      <c r="L668" s="923" t="s">
        <v>274</v>
      </c>
      <c r="M668" s="924">
        <f>ROUND(I668*K668,0)</f>
        <v>0</v>
      </c>
      <c r="N668" s="900" t="s">
        <v>2309</v>
      </c>
    </row>
    <row r="669" spans="1:14" ht="103.5" hidden="1" customHeight="1">
      <c r="A669" s="896">
        <v>19</v>
      </c>
      <c r="B669" s="1609" t="s">
        <v>1171</v>
      </c>
      <c r="C669" s="1609"/>
      <c r="D669" s="1609"/>
      <c r="E669" s="1609"/>
      <c r="F669" s="1609"/>
      <c r="G669" s="1609"/>
      <c r="H669" s="1609"/>
      <c r="I669" s="897"/>
      <c r="J669" s="898"/>
      <c r="K669" s="896"/>
      <c r="L669" s="923"/>
      <c r="M669" s="899"/>
      <c r="N669" s="900" t="s">
        <v>2309</v>
      </c>
    </row>
    <row r="670" spans="1:14" s="910" customFormat="1" ht="16.5" hidden="1" customHeight="1">
      <c r="A670" s="896"/>
      <c r="B670" s="902" t="s">
        <v>3363</v>
      </c>
      <c r="C670" s="897"/>
      <c r="D670" s="1263"/>
      <c r="E670" s="919"/>
      <c r="F670" s="920"/>
      <c r="G670" s="920"/>
      <c r="H670" s="920"/>
      <c r="I670" s="1264"/>
      <c r="J670" s="955"/>
      <c r="K670" s="902"/>
      <c r="L670" s="923"/>
      <c r="M670" s="902"/>
      <c r="N670" s="900" t="s">
        <v>2309</v>
      </c>
    </row>
    <row r="671" spans="1:14" s="910" customFormat="1" ht="16.5" hidden="1" customHeight="1">
      <c r="A671" s="896"/>
      <c r="B671" s="902"/>
      <c r="C671" s="897">
        <v>1</v>
      </c>
      <c r="D671" s="1263" t="s">
        <v>273</v>
      </c>
      <c r="E671" s="919">
        <v>2</v>
      </c>
      <c r="F671" s="920">
        <v>2.0499999999999998</v>
      </c>
      <c r="G671" s="920">
        <v>1.7</v>
      </c>
      <c r="H671" s="920">
        <v>0</v>
      </c>
      <c r="I671" s="1266">
        <f>ROUND(IF(AND(F671:H671),C671*E671*F671*G671*H671,IF(AND(F671,G671),C671*E671*F671*G671,IF(AND(F671,H671),C671*E671*F671*H671,IF(AND(G671,H671),C671*E671*G671*H671,IF(F671,C671*E671*F671,IF(G671,C671*E671*G671,IF(H671,C671*E671*H671,C671*E671))))))),2)</f>
        <v>6.97</v>
      </c>
      <c r="J671" s="955" t="s">
        <v>102</v>
      </c>
      <c r="K671" s="902"/>
      <c r="L671" s="923"/>
      <c r="M671" s="902"/>
      <c r="N671" s="900" t="s">
        <v>2309</v>
      </c>
    </row>
    <row r="672" spans="1:14" s="910" customFormat="1" ht="16.5" hidden="1" customHeight="1">
      <c r="A672" s="896"/>
      <c r="B672" s="902"/>
      <c r="C672" s="897">
        <v>1</v>
      </c>
      <c r="D672" s="1263" t="s">
        <v>273</v>
      </c>
      <c r="E672" s="919">
        <v>2</v>
      </c>
      <c r="F672" s="920">
        <v>3.6</v>
      </c>
      <c r="G672" s="920">
        <v>0.95</v>
      </c>
      <c r="H672" s="920">
        <v>0</v>
      </c>
      <c r="I672" s="1266">
        <f>ROUND(IF(AND(F672:H672),C672*E672*F672*G672*H672,IF(AND(F672,G672),C672*E672*F672*G672,IF(AND(F672,H672),C672*E672*F672*H672,IF(AND(G672,H672),C672*E672*G672*H672,IF(F672,C672*E672*F672,IF(G672,C672*E672*G672,IF(H672,C672*E672*H672,C672*E672))))))),2)</f>
        <v>6.84</v>
      </c>
      <c r="J672" s="955" t="s">
        <v>102</v>
      </c>
      <c r="K672" s="902"/>
      <c r="L672" s="923"/>
      <c r="M672" s="902"/>
      <c r="N672" s="900" t="s">
        <v>2309</v>
      </c>
    </row>
    <row r="673" spans="1:14" s="910" customFormat="1" ht="16.5" hidden="1" customHeight="1">
      <c r="A673" s="896"/>
      <c r="B673" s="902"/>
      <c r="C673" s="897"/>
      <c r="D673" s="1263"/>
      <c r="E673" s="919"/>
      <c r="F673" s="920"/>
      <c r="G673" s="920"/>
      <c r="H673" s="920"/>
      <c r="I673" s="1266"/>
      <c r="J673" s="955"/>
      <c r="K673" s="902"/>
      <c r="L673" s="923"/>
      <c r="M673" s="902"/>
      <c r="N673" s="900" t="s">
        <v>2309</v>
      </c>
    </row>
    <row r="674" spans="1:14" ht="15.75" hidden="1">
      <c r="A674" s="896"/>
      <c r="B674" s="902"/>
      <c r="C674" s="917"/>
      <c r="D674" s="918"/>
      <c r="E674" s="919"/>
      <c r="F674" s="920"/>
      <c r="G674" s="921"/>
      <c r="H674" s="896"/>
      <c r="I674" s="916"/>
      <c r="J674" s="955" t="s">
        <v>102</v>
      </c>
      <c r="K674" s="922">
        <f>'data 2022-23'!F551</f>
        <v>2346.34</v>
      </c>
      <c r="L674" s="923" t="s">
        <v>2419</v>
      </c>
      <c r="M674" s="924">
        <f>ROUND(I674*K674/1,0)</f>
        <v>0</v>
      </c>
      <c r="N674" s="900" t="s">
        <v>2309</v>
      </c>
    </row>
    <row r="675" spans="1:14" ht="54.75" hidden="1" customHeight="1">
      <c r="A675" s="896">
        <v>11</v>
      </c>
      <c r="B675" s="1609" t="s">
        <v>125</v>
      </c>
      <c r="C675" s="1609"/>
      <c r="D675" s="1609"/>
      <c r="E675" s="1609"/>
      <c r="F675" s="1609"/>
      <c r="G675" s="1609"/>
      <c r="H675" s="1609"/>
      <c r="I675" s="897"/>
      <c r="J675" s="898"/>
      <c r="K675" s="896"/>
      <c r="L675" s="923"/>
      <c r="M675" s="899"/>
      <c r="N675" s="900" t="s">
        <v>2309</v>
      </c>
    </row>
    <row r="676" spans="1:14" s="910" customFormat="1" ht="16.5" hidden="1" customHeight="1">
      <c r="A676" s="896"/>
      <c r="B676" s="902" t="s">
        <v>3347</v>
      </c>
      <c r="C676" s="897"/>
      <c r="D676" s="1263"/>
      <c r="E676" s="919"/>
      <c r="F676" s="920"/>
      <c r="G676" s="920"/>
      <c r="H676" s="920"/>
      <c r="I676" s="1264"/>
      <c r="J676" s="955"/>
      <c r="K676" s="902"/>
      <c r="L676" s="923"/>
      <c r="M676" s="902"/>
      <c r="N676" s="900" t="s">
        <v>2309</v>
      </c>
    </row>
    <row r="677" spans="1:14" s="910" customFormat="1" ht="16.5" hidden="1" customHeight="1">
      <c r="A677" s="896"/>
      <c r="B677" s="902" t="s">
        <v>587</v>
      </c>
      <c r="C677" s="897">
        <v>1</v>
      </c>
      <c r="D677" s="1263" t="s">
        <v>273</v>
      </c>
      <c r="E677" s="919">
        <v>1</v>
      </c>
      <c r="F677" s="920">
        <v>3.35</v>
      </c>
      <c r="G677" s="920">
        <v>0</v>
      </c>
      <c r="H677" s="920">
        <v>3.04</v>
      </c>
      <c r="I677" s="1286">
        <f>ROUND(IF(AND(F677:H677),C677*E677*F677*G677*H677,IF(AND(F677,G677),C677*E677*F677*G677,IF(AND(F677,H677),C677*E677*F677*H677,IF(AND(G677,H677),C677*E677*G677*H677,IF(F677,C677*E677*F677,IF(G677,C677*E677*G677,IF(H677,C677*E677*H677,C677*E677))))))),2)</f>
        <v>10.18</v>
      </c>
      <c r="J677" s="955" t="s">
        <v>102</v>
      </c>
      <c r="K677" s="902"/>
      <c r="L677" s="923"/>
      <c r="M677" s="902"/>
      <c r="N677" s="900" t="s">
        <v>2309</v>
      </c>
    </row>
    <row r="678" spans="1:14" s="910" customFormat="1" ht="16.5" hidden="1" customHeight="1">
      <c r="A678" s="896"/>
      <c r="B678" s="902" t="s">
        <v>1169</v>
      </c>
      <c r="C678" s="897">
        <v>1</v>
      </c>
      <c r="D678" s="1263" t="s">
        <v>273</v>
      </c>
      <c r="E678" s="919">
        <v>1</v>
      </c>
      <c r="F678" s="920">
        <v>2.75</v>
      </c>
      <c r="G678" s="920">
        <v>2.34</v>
      </c>
      <c r="H678" s="920">
        <v>0</v>
      </c>
      <c r="I678" s="1286">
        <f>ROUND(IF(AND(F678:H678),C678*E678*F678*G678*H678,IF(AND(F678,G678),C678*E678*F678*G678,IF(AND(F678,H678),C678*E678*F678*H678,IF(AND(G678,H678),C678*E678*G678*H678,IF(F678,C678*E678*F678,IF(G678,C678*E678*G678,IF(H678,C678*E678*H678,C678*E678))))))),2)</f>
        <v>6.44</v>
      </c>
      <c r="J678" s="955" t="s">
        <v>102</v>
      </c>
      <c r="K678" s="902"/>
      <c r="L678" s="923"/>
      <c r="M678" s="902"/>
      <c r="N678" s="900" t="s">
        <v>2309</v>
      </c>
    </row>
    <row r="679" spans="1:14" s="910" customFormat="1" ht="16.5" hidden="1" customHeight="1">
      <c r="A679" s="896"/>
      <c r="B679" s="902"/>
      <c r="C679" s="897">
        <v>1</v>
      </c>
      <c r="D679" s="1263" t="s">
        <v>273</v>
      </c>
      <c r="E679" s="919">
        <v>2</v>
      </c>
      <c r="F679" s="920">
        <v>2.7</v>
      </c>
      <c r="G679" s="920">
        <v>0.3</v>
      </c>
      <c r="H679" s="920">
        <v>0</v>
      </c>
      <c r="I679" s="1286">
        <f>ROUND(IF(AND(F679:H679),C679*E679*F679*G679*H679,IF(AND(F679,G679),C679*E679*F679*G679,IF(AND(F679,H679),C679*E679*F679*H679,IF(AND(G679,H679),C679*E679*G679*H679,IF(F679,C679*E679*F679,IF(G679,C679*E679*G679,IF(H679,C679*E679*H679,C679*E679))))))),2)</f>
        <v>1.62</v>
      </c>
      <c r="J679" s="955" t="s">
        <v>102</v>
      </c>
      <c r="K679" s="902"/>
      <c r="L679" s="923"/>
      <c r="M679" s="902"/>
      <c r="N679" s="900" t="s">
        <v>2309</v>
      </c>
    </row>
    <row r="680" spans="1:14" s="910" customFormat="1" ht="16.5" hidden="1" customHeight="1">
      <c r="A680" s="896"/>
      <c r="B680" s="956"/>
      <c r="C680" s="957"/>
      <c r="D680" s="958"/>
      <c r="E680" s="1268"/>
      <c r="F680" s="960"/>
      <c r="G680" s="960"/>
      <c r="H680" s="960"/>
      <c r="I680" s="916"/>
      <c r="J680" s="955"/>
      <c r="K680" s="902"/>
      <c r="L680" s="923"/>
      <c r="M680" s="902"/>
      <c r="N680" s="900" t="s">
        <v>2309</v>
      </c>
    </row>
    <row r="681" spans="1:14" ht="15.75" hidden="1">
      <c r="A681" s="896"/>
      <c r="B681" s="902"/>
      <c r="C681" s="917"/>
      <c r="D681" s="918"/>
      <c r="E681" s="919"/>
      <c r="F681" s="920"/>
      <c r="G681" s="921"/>
      <c r="H681" s="896"/>
      <c r="I681" s="916"/>
      <c r="J681" s="955" t="s">
        <v>102</v>
      </c>
      <c r="K681" s="922">
        <f>'data 2022-23'!F442</f>
        <v>351.17</v>
      </c>
      <c r="L681" s="923" t="s">
        <v>2419</v>
      </c>
      <c r="M681" s="924">
        <f>ROUND(I681*K681,0)</f>
        <v>0</v>
      </c>
      <c r="N681" s="900" t="s">
        <v>2309</v>
      </c>
    </row>
    <row r="682" spans="1:14" ht="42" hidden="1" customHeight="1">
      <c r="A682" s="896">
        <v>12</v>
      </c>
      <c r="B682" s="1609" t="s">
        <v>126</v>
      </c>
      <c r="C682" s="1609"/>
      <c r="D682" s="1609"/>
      <c r="E682" s="1609"/>
      <c r="F682" s="1609"/>
      <c r="G682" s="1609"/>
      <c r="H682" s="1609"/>
      <c r="I682" s="897"/>
      <c r="J682" s="898"/>
      <c r="K682" s="896"/>
      <c r="L682" s="923"/>
      <c r="M682" s="899"/>
      <c r="N682" s="900" t="s">
        <v>2309</v>
      </c>
    </row>
    <row r="683" spans="1:14" s="910" customFormat="1" ht="16.5" hidden="1" customHeight="1">
      <c r="A683" s="896"/>
      <c r="B683" s="902" t="s">
        <v>3406</v>
      </c>
      <c r="C683" s="903"/>
      <c r="D683" s="904"/>
      <c r="E683" s="905"/>
      <c r="F683" s="906"/>
      <c r="G683" s="906"/>
      <c r="H683" s="907"/>
      <c r="I683" s="908"/>
      <c r="J683" s="955"/>
      <c r="K683" s="902"/>
      <c r="L683" s="923"/>
      <c r="M683" s="902"/>
      <c r="N683" s="900" t="s">
        <v>2309</v>
      </c>
    </row>
    <row r="684" spans="1:14" s="910" customFormat="1" ht="16.5" hidden="1" customHeight="1">
      <c r="A684" s="896"/>
      <c r="B684" s="902" t="s">
        <v>2157</v>
      </c>
      <c r="C684" s="897">
        <v>1</v>
      </c>
      <c r="D684" s="1263" t="s">
        <v>273</v>
      </c>
      <c r="E684" s="919">
        <v>1</v>
      </c>
      <c r="F684" s="920">
        <v>13.16</v>
      </c>
      <c r="G684" s="920">
        <v>0</v>
      </c>
      <c r="H684" s="920">
        <v>3.1</v>
      </c>
      <c r="I684" s="1286">
        <f>ROUND(IF(AND(F684:H684),C684*E684*F684*G684*H684,IF(AND(F684,G684),C684*E684*F684*G684,IF(AND(F684,H684),C684*E684*F684*H684,IF(AND(G684,H684),C684*E684*G684*H684,IF(F684,C684*E684*F684,IF(G684,C684*E684*G684,IF(H684,C684*E684*H684,C684*E684))))))),2)</f>
        <v>40.799999999999997</v>
      </c>
      <c r="J684" s="955" t="s">
        <v>102</v>
      </c>
      <c r="K684" s="902"/>
      <c r="L684" s="923"/>
      <c r="M684" s="902"/>
      <c r="N684" s="900" t="s">
        <v>2309</v>
      </c>
    </row>
    <row r="685" spans="1:14" s="910" customFormat="1" ht="16.5" hidden="1" customHeight="1">
      <c r="A685" s="896"/>
      <c r="B685" s="902" t="s">
        <v>1620</v>
      </c>
      <c r="C685" s="897">
        <v>1</v>
      </c>
      <c r="D685" s="1263" t="s">
        <v>273</v>
      </c>
      <c r="E685" s="919">
        <v>1</v>
      </c>
      <c r="F685" s="920">
        <v>12.64</v>
      </c>
      <c r="G685" s="920">
        <v>0</v>
      </c>
      <c r="H685" s="920">
        <v>3.1</v>
      </c>
      <c r="I685" s="1286">
        <f>ROUND(IF(AND(F685:H685),C685*E685*F685*G685*H685,IF(AND(F685,G685),C685*E685*F685*G685,IF(AND(F685,H685),C685*E685*F685*H685,IF(AND(G685,H685),C685*E685*G685*H685,IF(F685,C685*E685*F685,IF(G685,C685*E685*G685,IF(H685,C685*E685*H685,C685*E685))))))),2)</f>
        <v>39.18</v>
      </c>
      <c r="J685" s="955" t="s">
        <v>102</v>
      </c>
      <c r="K685" s="902"/>
      <c r="L685" s="923"/>
      <c r="M685" s="902"/>
      <c r="N685" s="900" t="s">
        <v>2309</v>
      </c>
    </row>
    <row r="686" spans="1:14" s="910" customFormat="1" ht="16.5" hidden="1" customHeight="1">
      <c r="A686" s="896"/>
      <c r="B686" s="902" t="s">
        <v>1169</v>
      </c>
      <c r="C686" s="897">
        <v>1</v>
      </c>
      <c r="D686" s="1263" t="s">
        <v>273</v>
      </c>
      <c r="E686" s="919">
        <v>1</v>
      </c>
      <c r="F686" s="920">
        <v>11.86</v>
      </c>
      <c r="G686" s="920">
        <v>0</v>
      </c>
      <c r="H686" s="920">
        <v>3.1</v>
      </c>
      <c r="I686" s="1286">
        <f>ROUND(IF(AND(F686:H686),C686*E686*F686*G686*H686,IF(AND(F686,G686),C686*E686*F686*G686,IF(AND(F686,H686),C686*E686*F686*H686,IF(AND(G686,H686),C686*E686*G686*H686,IF(F686,C686*E686*F686,IF(G686,C686*E686*G686,IF(H686,C686*E686*H686,C686*E686))))))),2)</f>
        <v>36.770000000000003</v>
      </c>
      <c r="J686" s="955" t="s">
        <v>102</v>
      </c>
      <c r="K686" s="902"/>
      <c r="L686" s="923"/>
      <c r="M686" s="902"/>
      <c r="N686" s="900" t="s">
        <v>2309</v>
      </c>
    </row>
    <row r="687" spans="1:14" s="910" customFormat="1" ht="16.5" hidden="1" customHeight="1">
      <c r="A687" s="896"/>
      <c r="B687" s="902" t="s">
        <v>2180</v>
      </c>
      <c r="C687" s="897">
        <v>1</v>
      </c>
      <c r="D687" s="1263" t="s">
        <v>273</v>
      </c>
      <c r="E687" s="919">
        <v>1</v>
      </c>
      <c r="F687" s="920">
        <v>2.95</v>
      </c>
      <c r="G687" s="920">
        <v>0</v>
      </c>
      <c r="H687" s="920">
        <v>0.15</v>
      </c>
      <c r="I687" s="1286">
        <f>-ROUND(IF(AND(F687:H687),C687*E687*F687*G687*H687,IF(AND(F687,G687),C687*E687*F687*G687,IF(AND(F687,H687),C687*E687*F687*H687,IF(AND(G687,H687),C687*E687*G687*H687,IF(F687,C687*E687*F687,IF(G687,C687*E687*G687,IF(H687,C687*E687*H687,C687*E687))))))),2)</f>
        <v>-0.44</v>
      </c>
      <c r="J687" s="955" t="s">
        <v>102</v>
      </c>
      <c r="K687" s="902"/>
      <c r="L687" s="923"/>
      <c r="M687" s="902"/>
      <c r="N687" s="900" t="s">
        <v>2309</v>
      </c>
    </row>
    <row r="688" spans="1:14" s="910" customFormat="1" ht="16.5" hidden="1" customHeight="1">
      <c r="A688" s="896"/>
      <c r="B688" s="956"/>
      <c r="C688" s="957"/>
      <c r="D688" s="958"/>
      <c r="E688" s="1268"/>
      <c r="F688" s="960"/>
      <c r="G688" s="960"/>
      <c r="H688" s="960"/>
      <c r="I688" s="916"/>
      <c r="J688" s="955"/>
      <c r="K688" s="902"/>
      <c r="L688" s="923"/>
      <c r="M688" s="902"/>
      <c r="N688" s="900" t="s">
        <v>2309</v>
      </c>
    </row>
    <row r="689" spans="1:14" ht="15.75" hidden="1">
      <c r="A689" s="896"/>
      <c r="B689" s="902"/>
      <c r="C689" s="917"/>
      <c r="D689" s="918"/>
      <c r="E689" s="919"/>
      <c r="F689" s="920"/>
      <c r="G689" s="921"/>
      <c r="H689" s="896"/>
      <c r="I689" s="916"/>
      <c r="J689" s="955" t="s">
        <v>102</v>
      </c>
      <c r="K689" s="922">
        <f>'data 2022-23'!F458</f>
        <v>323.04000000000002</v>
      </c>
      <c r="L689" s="923" t="s">
        <v>2419</v>
      </c>
      <c r="M689" s="924">
        <f>ROUND(I689*K689,0)</f>
        <v>0</v>
      </c>
      <c r="N689" s="900" t="s">
        <v>2309</v>
      </c>
    </row>
    <row r="690" spans="1:14" ht="52.5" hidden="1" customHeight="1">
      <c r="A690" s="896">
        <v>13</v>
      </c>
      <c r="B690" s="1609" t="s">
        <v>593</v>
      </c>
      <c r="C690" s="1609"/>
      <c r="D690" s="1609"/>
      <c r="E690" s="1609"/>
      <c r="F690" s="1609"/>
      <c r="G690" s="1609"/>
      <c r="H690" s="1609"/>
      <c r="I690" s="897"/>
      <c r="J690" s="898"/>
      <c r="K690" s="896"/>
      <c r="L690" s="923"/>
      <c r="M690" s="899"/>
      <c r="N690" s="900" t="s">
        <v>2309</v>
      </c>
    </row>
    <row r="691" spans="1:14" s="910" customFormat="1" ht="16.5" hidden="1" customHeight="1">
      <c r="A691" s="896"/>
      <c r="B691" s="902" t="s">
        <v>3376</v>
      </c>
      <c r="C691" s="903"/>
      <c r="D691" s="904"/>
      <c r="E691" s="905"/>
      <c r="F691" s="906"/>
      <c r="G691" s="906"/>
      <c r="H691" s="907"/>
      <c r="I691" s="908"/>
      <c r="J691" s="955"/>
      <c r="K691" s="902"/>
      <c r="L691" s="923"/>
      <c r="M691" s="902"/>
      <c r="N691" s="900" t="s">
        <v>2309</v>
      </c>
    </row>
    <row r="692" spans="1:14" s="910" customFormat="1" ht="15.75" hidden="1">
      <c r="A692" s="896"/>
      <c r="B692" s="902" t="s">
        <v>2160</v>
      </c>
      <c r="C692" s="897">
        <v>1</v>
      </c>
      <c r="D692" s="1263" t="s">
        <v>273</v>
      </c>
      <c r="E692" s="919">
        <v>1</v>
      </c>
      <c r="F692" s="920">
        <v>12.475</v>
      </c>
      <c r="G692" s="920">
        <v>0</v>
      </c>
      <c r="H692" s="920">
        <v>3.1</v>
      </c>
      <c r="I692" s="1266">
        <f>ROUND(IF(AND(F692:H692),C692*E692*F692*G692*H692,IF(AND(F692,G692),C692*E692*F692*G692,IF(AND(F692,H692),C692*E692*F692*H692,IF(AND(G692,H692),C692*E692*G692*H692,IF(F692,C692*E692*F692,IF(G692,C692*E692*G692,IF(H692,C692*E692*H692,C692*E692))))))),2)</f>
        <v>38.67</v>
      </c>
      <c r="J692" s="955" t="s">
        <v>102</v>
      </c>
      <c r="K692" s="902"/>
      <c r="L692" s="923"/>
      <c r="M692" s="902"/>
      <c r="N692" s="900" t="s">
        <v>2309</v>
      </c>
    </row>
    <row r="693" spans="1:14" s="910" customFormat="1" ht="15.75" hidden="1">
      <c r="A693" s="896"/>
      <c r="B693" s="902" t="s">
        <v>1544</v>
      </c>
      <c r="C693" s="897">
        <v>1</v>
      </c>
      <c r="D693" s="1263" t="s">
        <v>273</v>
      </c>
      <c r="E693" s="919">
        <v>1</v>
      </c>
      <c r="F693" s="920">
        <v>8.84</v>
      </c>
      <c r="G693" s="920">
        <v>0</v>
      </c>
      <c r="H693" s="920">
        <v>3.1</v>
      </c>
      <c r="I693" s="1266">
        <f>ROUND(IF(AND(F693:H693),C693*E693*F693*G693*H693,IF(AND(F693,G693),C693*E693*F693*G693,IF(AND(F693,H693),C693*E693*F693*H693,IF(AND(G693,H693),C693*E693*G693*H693,IF(F693,C693*E693*F693,IF(G693,C693*E693*G693,IF(H693,C693*E693*H693,C693*E693))))))),2)</f>
        <v>27.4</v>
      </c>
      <c r="J693" s="955" t="s">
        <v>102</v>
      </c>
      <c r="K693" s="902"/>
      <c r="L693" s="923"/>
      <c r="M693" s="902"/>
      <c r="N693" s="900" t="s">
        <v>2309</v>
      </c>
    </row>
    <row r="694" spans="1:14" s="910" customFormat="1" ht="15.75" hidden="1">
      <c r="A694" s="896"/>
      <c r="B694" s="902" t="s">
        <v>2161</v>
      </c>
      <c r="C694" s="897">
        <v>1</v>
      </c>
      <c r="D694" s="1263" t="s">
        <v>273</v>
      </c>
      <c r="E694" s="919">
        <v>6</v>
      </c>
      <c r="F694" s="920">
        <v>1.5</v>
      </c>
      <c r="G694" s="920">
        <v>0</v>
      </c>
      <c r="H694" s="920">
        <v>1.5</v>
      </c>
      <c r="I694" s="1266">
        <f>-ROUND(IF(AND(F694:H694),C694*E694*F694*G694*H694,IF(AND(F694,G694),C694*E694*F694*G694,IF(AND(F694,H694),C694*E694*F694*H694,IF(AND(G694,H694),C694*E694*G694*H694,IF(F694,C694*E694*F694,IF(G694,C694*E694*G694,IF(H694,C694*E694*H694,C694*E694))))))),2)</f>
        <v>-13.5</v>
      </c>
      <c r="J694" s="955" t="s">
        <v>102</v>
      </c>
      <c r="K694" s="902"/>
      <c r="L694" s="923"/>
      <c r="M694" s="902"/>
      <c r="N694" s="900" t="s">
        <v>2309</v>
      </c>
    </row>
    <row r="695" spans="1:14" s="910" customFormat="1" ht="15.75" hidden="1">
      <c r="A695" s="896"/>
      <c r="B695" s="902" t="s">
        <v>2134</v>
      </c>
      <c r="C695" s="897">
        <v>1</v>
      </c>
      <c r="D695" s="1263" t="s">
        <v>273</v>
      </c>
      <c r="E695" s="919">
        <v>10</v>
      </c>
      <c r="F695" s="920">
        <v>0.6</v>
      </c>
      <c r="G695" s="920">
        <v>0</v>
      </c>
      <c r="H695" s="920">
        <v>0.45</v>
      </c>
      <c r="I695" s="1266">
        <f>-ROUND(IF(AND(F695:H695),C695*E695*F695*G695*H695,IF(AND(F695,G695),C695*E695*F695*G695,IF(AND(F695,H695),C695*E695*F695*H695,IF(AND(G695,H695),C695*E695*G695*H695,IF(F695,C695*E695*F695,IF(G695,C695*E695*G695,IF(H695,C695*E695*H695,C695*E695))))))),2)</f>
        <v>-2.7</v>
      </c>
      <c r="J695" s="955" t="s">
        <v>102</v>
      </c>
      <c r="K695" s="902"/>
      <c r="L695" s="923"/>
      <c r="M695" s="902"/>
      <c r="N695" s="900" t="s">
        <v>2309</v>
      </c>
    </row>
    <row r="696" spans="1:14" s="910" customFormat="1" ht="16.5" hidden="1" customHeight="1">
      <c r="A696" s="896"/>
      <c r="B696" s="956"/>
      <c r="C696" s="957"/>
      <c r="D696" s="958"/>
      <c r="E696" s="1268"/>
      <c r="F696" s="960"/>
      <c r="G696" s="960"/>
      <c r="H696" s="960"/>
      <c r="I696" s="916"/>
      <c r="J696" s="955"/>
      <c r="K696" s="902"/>
      <c r="L696" s="923"/>
      <c r="M696" s="902"/>
      <c r="N696" s="900" t="s">
        <v>2309</v>
      </c>
    </row>
    <row r="697" spans="1:14" ht="15.75" hidden="1">
      <c r="A697" s="896"/>
      <c r="B697" s="902"/>
      <c r="C697" s="917"/>
      <c r="D697" s="918"/>
      <c r="E697" s="919"/>
      <c r="F697" s="920"/>
      <c r="G697" s="921"/>
      <c r="H697" s="896"/>
      <c r="I697" s="916"/>
      <c r="J697" s="955" t="s">
        <v>102</v>
      </c>
      <c r="K697" s="922">
        <f>'data 2022-23'!F474</f>
        <v>343.23</v>
      </c>
      <c r="L697" s="923" t="s">
        <v>2419</v>
      </c>
      <c r="M697" s="924">
        <f>ROUND(I697*K697,0)</f>
        <v>0</v>
      </c>
      <c r="N697" s="900" t="s">
        <v>2309</v>
      </c>
    </row>
    <row r="698" spans="1:14" ht="71.25" hidden="1" customHeight="1">
      <c r="A698" s="896">
        <v>12</v>
      </c>
      <c r="B698" s="1609" t="s">
        <v>808</v>
      </c>
      <c r="C698" s="1609"/>
      <c r="D698" s="1609"/>
      <c r="E698" s="1609"/>
      <c r="F698" s="1609"/>
      <c r="G698" s="1609"/>
      <c r="H698" s="1609"/>
      <c r="I698" s="897"/>
      <c r="J698" s="898"/>
      <c r="K698" s="896"/>
      <c r="L698" s="923"/>
      <c r="M698" s="899"/>
      <c r="N698" s="900" t="s">
        <v>2309</v>
      </c>
    </row>
    <row r="699" spans="1:14" s="910" customFormat="1" ht="16.5" hidden="1" customHeight="1">
      <c r="A699" s="896"/>
      <c r="B699" s="902" t="s">
        <v>3366</v>
      </c>
      <c r="C699" s="897"/>
      <c r="D699" s="1263"/>
      <c r="E699" s="919"/>
      <c r="F699" s="920"/>
      <c r="G699" s="920"/>
      <c r="H699" s="920"/>
      <c r="I699" s="1264"/>
      <c r="J699" s="955"/>
      <c r="K699" s="902"/>
      <c r="L699" s="923"/>
      <c r="M699" s="902"/>
      <c r="N699" s="900" t="s">
        <v>2309</v>
      </c>
    </row>
    <row r="700" spans="1:14" s="910" customFormat="1" ht="16.5" hidden="1" customHeight="1">
      <c r="A700" s="896"/>
      <c r="B700" s="902" t="s">
        <v>2194</v>
      </c>
      <c r="C700" s="897">
        <v>1</v>
      </c>
      <c r="D700" s="1263" t="s">
        <v>273</v>
      </c>
      <c r="E700" s="919">
        <v>1</v>
      </c>
      <c r="F700" s="920">
        <v>13.38</v>
      </c>
      <c r="G700" s="920">
        <v>0</v>
      </c>
      <c r="H700" s="920">
        <v>3.12</v>
      </c>
      <c r="I700" s="1286">
        <f>ROUND(IF(AND(F700:H700),C700*E700*F700*G700*H700,IF(AND(F700,G700),C700*E700*F700*G700,IF(AND(F700,H700),C700*E700*F700*H700,IF(AND(G700,H700),C700*E700*G700*H700,IF(F700,C700*E700*F700,IF(G700,C700*E700*G700,IF(H700,C700*E700*H700,C700*E700))))))),2)</f>
        <v>41.75</v>
      </c>
      <c r="J700" s="955" t="s">
        <v>102</v>
      </c>
      <c r="K700" s="902"/>
      <c r="L700" s="923"/>
      <c r="M700" s="902"/>
      <c r="N700" s="900" t="s">
        <v>2309</v>
      </c>
    </row>
    <row r="701" spans="1:14" s="910" customFormat="1" ht="16.5" hidden="1" customHeight="1">
      <c r="A701" s="896"/>
      <c r="B701" s="902" t="s">
        <v>1540</v>
      </c>
      <c r="C701" s="897">
        <v>1</v>
      </c>
      <c r="D701" s="1263" t="s">
        <v>273</v>
      </c>
      <c r="E701" s="919">
        <v>1</v>
      </c>
      <c r="F701" s="920">
        <v>1.5</v>
      </c>
      <c r="G701" s="920">
        <v>0</v>
      </c>
      <c r="H701" s="920">
        <v>1.35</v>
      </c>
      <c r="I701" s="1286">
        <f>-ROUND(IF(AND(F701:H701),C701*E701*F701*G701*H701,IF(AND(F701,G701),C701*E701*F701*G701,IF(AND(F701,H701),C701*E701*F701*H701,IF(AND(G701,H701),C701*E701*G701*H701,IF(F701,C701*E701*F701,IF(G701,C701*E701*G701,IF(H701,C701*E701*H701,C701*E701))))))),2)</f>
        <v>-2.0299999999999998</v>
      </c>
      <c r="J701" s="955" t="s">
        <v>102</v>
      </c>
      <c r="K701" s="902"/>
      <c r="L701" s="923"/>
      <c r="M701" s="902"/>
      <c r="N701" s="900" t="s">
        <v>2309</v>
      </c>
    </row>
    <row r="702" spans="1:14" s="910" customFormat="1" ht="16.5" hidden="1" customHeight="1">
      <c r="A702" s="896"/>
      <c r="B702" s="902" t="s">
        <v>802</v>
      </c>
      <c r="C702" s="897">
        <v>1</v>
      </c>
      <c r="D702" s="1263" t="s">
        <v>273</v>
      </c>
      <c r="E702" s="919">
        <v>1</v>
      </c>
      <c r="F702" s="920">
        <v>2.7</v>
      </c>
      <c r="G702" s="920">
        <v>0</v>
      </c>
      <c r="H702" s="920">
        <v>0.15</v>
      </c>
      <c r="I702" s="1286">
        <f>-ROUND(IF(AND(F702:H702),C702*E702*F702*G702*H702,IF(AND(F702,G702),C702*E702*F702*G702,IF(AND(F702,H702),C702*E702*F702*H702,IF(AND(G702,H702),C702*E702*G702*H702,IF(F702,C702*E702*F702,IF(G702,C702*E702*G702,IF(H702,C702*E702*H702,C702*E702))))))),2)</f>
        <v>-0.41</v>
      </c>
      <c r="J702" s="955" t="s">
        <v>102</v>
      </c>
      <c r="K702" s="902"/>
      <c r="L702" s="923"/>
      <c r="M702" s="902"/>
      <c r="N702" s="900" t="s">
        <v>2309</v>
      </c>
    </row>
    <row r="703" spans="1:14" s="910" customFormat="1" ht="16.5" hidden="1" customHeight="1">
      <c r="A703" s="896"/>
      <c r="B703" s="956"/>
      <c r="C703" s="957"/>
      <c r="D703" s="958"/>
      <c r="E703" s="1268"/>
      <c r="F703" s="960"/>
      <c r="G703" s="960"/>
      <c r="H703" s="960"/>
      <c r="I703" s="916"/>
      <c r="J703" s="955"/>
      <c r="K703" s="902"/>
      <c r="L703" s="923"/>
      <c r="M703" s="902"/>
      <c r="N703" s="900" t="s">
        <v>2309</v>
      </c>
    </row>
    <row r="704" spans="1:14" ht="15.75" hidden="1">
      <c r="A704" s="896"/>
      <c r="B704" s="902"/>
      <c r="C704" s="917"/>
      <c r="D704" s="918"/>
      <c r="E704" s="919"/>
      <c r="F704" s="920"/>
      <c r="G704" s="921"/>
      <c r="H704" s="896"/>
      <c r="I704" s="916"/>
      <c r="J704" s="955" t="s">
        <v>102</v>
      </c>
      <c r="K704" s="922">
        <f>'data 2022-23'!F510</f>
        <v>425.82</v>
      </c>
      <c r="L704" s="923" t="s">
        <v>2419</v>
      </c>
      <c r="M704" s="924">
        <f>ROUND(I704*K704,0)</f>
        <v>0</v>
      </c>
      <c r="N704" s="900" t="s">
        <v>2309</v>
      </c>
    </row>
    <row r="705" spans="1:14" ht="71.25" hidden="1" customHeight="1">
      <c r="A705" s="896">
        <v>13</v>
      </c>
      <c r="B705" s="1609" t="s">
        <v>316</v>
      </c>
      <c r="C705" s="1609"/>
      <c r="D705" s="1609"/>
      <c r="E705" s="1609"/>
      <c r="F705" s="1609"/>
      <c r="G705" s="1609"/>
      <c r="H705" s="1609"/>
      <c r="I705" s="897"/>
      <c r="J705" s="898"/>
      <c r="K705" s="896"/>
      <c r="L705" s="923"/>
      <c r="M705" s="899"/>
      <c r="N705" s="900" t="s">
        <v>2309</v>
      </c>
    </row>
    <row r="706" spans="1:14" s="910" customFormat="1" ht="15.75" hidden="1">
      <c r="A706" s="896"/>
      <c r="B706" s="902" t="s">
        <v>3361</v>
      </c>
      <c r="C706" s="897"/>
      <c r="D706" s="1263"/>
      <c r="E706" s="919"/>
      <c r="F706" s="920"/>
      <c r="G706" s="920"/>
      <c r="H706" s="920"/>
      <c r="I706" s="1264"/>
      <c r="J706" s="955"/>
      <c r="K706" s="902"/>
      <c r="L706" s="923"/>
      <c r="M706" s="902"/>
      <c r="N706" s="900" t="s">
        <v>2309</v>
      </c>
    </row>
    <row r="707" spans="1:14" s="910" customFormat="1" ht="15.75" hidden="1">
      <c r="A707" s="896"/>
      <c r="B707" s="902" t="s">
        <v>2160</v>
      </c>
      <c r="C707" s="897">
        <v>1</v>
      </c>
      <c r="D707" s="1263" t="s">
        <v>273</v>
      </c>
      <c r="E707" s="919">
        <v>1</v>
      </c>
      <c r="F707" s="920">
        <v>12.48</v>
      </c>
      <c r="G707" s="920">
        <v>0</v>
      </c>
      <c r="H707" s="920">
        <v>3.12</v>
      </c>
      <c r="I707" s="1266">
        <f>ROUND(IF(AND(F707:H707),C707*E707*F707*G707*H707,IF(AND(F707,G707),C707*E707*F707*G707,IF(AND(F707,H707),C707*E707*F707*H707,IF(AND(G707,H707),C707*E707*G707*H707,IF(F707,C707*E707*F707,IF(G707,C707*E707*G707,IF(H707,C707*E707*H707,C707*E707))))))),2)</f>
        <v>38.94</v>
      </c>
      <c r="J707" s="955" t="s">
        <v>102</v>
      </c>
      <c r="K707" s="902"/>
      <c r="L707" s="923"/>
      <c r="M707" s="902"/>
      <c r="N707" s="900" t="s">
        <v>2309</v>
      </c>
    </row>
    <row r="708" spans="1:14" s="910" customFormat="1" ht="15.75" hidden="1">
      <c r="A708" s="896"/>
      <c r="B708" s="902" t="s">
        <v>579</v>
      </c>
      <c r="C708" s="897">
        <v>1</v>
      </c>
      <c r="D708" s="1263" t="s">
        <v>273</v>
      </c>
      <c r="E708" s="919">
        <v>1</v>
      </c>
      <c r="F708" s="920">
        <v>1.2</v>
      </c>
      <c r="G708" s="920">
        <v>0</v>
      </c>
      <c r="H708" s="920">
        <v>2.13</v>
      </c>
      <c r="I708" s="1266">
        <f>-ROUND(IF(AND(F708:H708),C708*E708*F708*G708*H708,IF(AND(F708,G708),C708*E708*F708*G708,IF(AND(F708,H708),C708*E708*F708*H708,IF(AND(G708,H708),C708*E708*G708*H708,IF(F708,C708*E708*F708,IF(G708,C708*E708*G708,IF(H708,C708*E708*H708,C708*E708))))))),2)</f>
        <v>-2.56</v>
      </c>
      <c r="J708" s="955" t="s">
        <v>102</v>
      </c>
      <c r="K708" s="902"/>
      <c r="L708" s="923"/>
      <c r="M708" s="902"/>
      <c r="N708" s="900" t="s">
        <v>2309</v>
      </c>
    </row>
    <row r="709" spans="1:14" s="910" customFormat="1" ht="15.75" hidden="1">
      <c r="A709" s="896"/>
      <c r="B709" s="902" t="s">
        <v>2197</v>
      </c>
      <c r="C709" s="897">
        <v>1</v>
      </c>
      <c r="D709" s="1263" t="s">
        <v>273</v>
      </c>
      <c r="E709" s="919">
        <v>2</v>
      </c>
      <c r="F709" s="920">
        <v>0.68</v>
      </c>
      <c r="G709" s="920">
        <v>0</v>
      </c>
      <c r="H709" s="920">
        <v>1.88</v>
      </c>
      <c r="I709" s="1266">
        <f>-ROUND(IF(AND(F709:H709),C709*E709*F709*G709*H709,IF(AND(F709,G709),C709*E709*F709*G709,IF(AND(F709,H709),C709*E709*F709*H709,IF(AND(G709,H709),C709*E709*G709*H709,IF(F709,C709*E709*F709,IF(G709,C709*E709*G709,IF(H709,C709*E709*H709,C709*E709))))))),2)</f>
        <v>-2.56</v>
      </c>
      <c r="J709" s="955" t="s">
        <v>102</v>
      </c>
      <c r="K709" s="902"/>
      <c r="L709" s="923"/>
      <c r="M709" s="902"/>
      <c r="N709" s="900" t="s">
        <v>2309</v>
      </c>
    </row>
    <row r="710" spans="1:14" s="910" customFormat="1" ht="15.75" hidden="1">
      <c r="A710" s="896"/>
      <c r="B710" s="956"/>
      <c r="C710" s="957"/>
      <c r="D710" s="958"/>
      <c r="E710" s="1268"/>
      <c r="F710" s="960"/>
      <c r="G710" s="960"/>
      <c r="H710" s="960"/>
      <c r="I710" s="916"/>
      <c r="J710" s="955"/>
      <c r="K710" s="902"/>
      <c r="L710" s="923"/>
      <c r="M710" s="902"/>
      <c r="N710" s="900" t="s">
        <v>2309</v>
      </c>
    </row>
    <row r="711" spans="1:14" ht="15.75" hidden="1">
      <c r="A711" s="896"/>
      <c r="B711" s="902"/>
      <c r="C711" s="917"/>
      <c r="D711" s="918"/>
      <c r="E711" s="919"/>
      <c r="F711" s="920"/>
      <c r="G711" s="921"/>
      <c r="H711" s="896"/>
      <c r="I711" s="916"/>
      <c r="J711" s="955" t="s">
        <v>102</v>
      </c>
      <c r="K711" s="922">
        <f>'data 2022-23'!F530</f>
        <v>441.63</v>
      </c>
      <c r="L711" s="923" t="s">
        <v>2419</v>
      </c>
      <c r="M711" s="924">
        <f>ROUND(I711*K711,0)</f>
        <v>0</v>
      </c>
      <c r="N711" s="900" t="s">
        <v>2309</v>
      </c>
    </row>
    <row r="712" spans="1:14" ht="92.25" hidden="1" customHeight="1">
      <c r="A712" s="896">
        <v>12</v>
      </c>
      <c r="B712" s="1609" t="s">
        <v>2058</v>
      </c>
      <c r="C712" s="1609"/>
      <c r="D712" s="1609"/>
      <c r="E712" s="1609"/>
      <c r="F712" s="1609"/>
      <c r="G712" s="1609"/>
      <c r="H712" s="1609"/>
      <c r="I712" s="897"/>
      <c r="J712" s="898"/>
      <c r="K712" s="896"/>
      <c r="L712" s="923"/>
      <c r="M712" s="899"/>
      <c r="N712" s="900" t="s">
        <v>2309</v>
      </c>
    </row>
    <row r="713" spans="1:14" s="910" customFormat="1" ht="16.5" hidden="1" customHeight="1">
      <c r="A713" s="896"/>
      <c r="B713" s="902" t="s">
        <v>3394</v>
      </c>
      <c r="C713" s="903"/>
      <c r="D713" s="904"/>
      <c r="E713" s="905"/>
      <c r="F713" s="906"/>
      <c r="G713" s="906"/>
      <c r="H713" s="907"/>
      <c r="I713" s="908"/>
      <c r="J713" s="955"/>
      <c r="K713" s="902"/>
      <c r="L713" s="923"/>
      <c r="M713" s="902"/>
      <c r="N713" s="900" t="s">
        <v>2309</v>
      </c>
    </row>
    <row r="714" spans="1:14" s="910" customFormat="1" ht="16.5" hidden="1" customHeight="1">
      <c r="A714" s="896"/>
      <c r="B714" s="956" t="s">
        <v>1625</v>
      </c>
      <c r="C714" s="957">
        <v>10</v>
      </c>
      <c r="D714" s="958" t="s">
        <v>273</v>
      </c>
      <c r="E714" s="1288">
        <v>0.5</v>
      </c>
      <c r="F714" s="960">
        <v>1.2</v>
      </c>
      <c r="G714" s="960">
        <v>0.17</v>
      </c>
      <c r="H714" s="960">
        <v>0.12</v>
      </c>
      <c r="I714" s="916">
        <f>ROUND(IF(AND(F714:H714),C714*E714*F714*G714*H714,IF(AND(F714,G714),C714*E714*F714*G714,IF(AND(F714,H714),C714*E714*F714*H714,IF(AND(G714,H714),C714*E714*G714*H714,IF(F714,C714*E714*F714,IF(G714,C714*E714*G714,IF(H714,C714*E714*H714,C714*E714))))))),2)</f>
        <v>0.12</v>
      </c>
      <c r="J714" s="955" t="s">
        <v>5</v>
      </c>
      <c r="K714" s="902"/>
      <c r="L714" s="923"/>
      <c r="M714" s="902"/>
      <c r="N714" s="900" t="s">
        <v>2309</v>
      </c>
    </row>
    <row r="715" spans="1:14" s="910" customFormat="1" ht="16.5" hidden="1" customHeight="1">
      <c r="A715" s="896"/>
      <c r="B715" s="956"/>
      <c r="C715" s="957">
        <v>1</v>
      </c>
      <c r="D715" s="958" t="s">
        <v>273</v>
      </c>
      <c r="E715" s="1268">
        <v>1</v>
      </c>
      <c r="F715" s="960">
        <v>1.2</v>
      </c>
      <c r="G715" s="960">
        <v>0.45</v>
      </c>
      <c r="H715" s="960">
        <v>0.12</v>
      </c>
      <c r="I715" s="916">
        <f>ROUND(IF(AND(F715:H715),C715*E715*F715*G715*H715,IF(AND(F715,G715),C715*E715*F715*G715,IF(AND(F715,H715),C715*E715*F715*H715,IF(AND(G715,H715),C715*E715*G715*H715,IF(F715,C715*E715*F715,IF(G715,C715*E715*G715,IF(H715,C715*E715*H715,C715*E715))))))),2)</f>
        <v>0.06</v>
      </c>
      <c r="J715" s="955" t="s">
        <v>5</v>
      </c>
      <c r="K715" s="902"/>
      <c r="L715" s="923"/>
      <c r="M715" s="902"/>
      <c r="N715" s="900" t="s">
        <v>2309</v>
      </c>
    </row>
    <row r="716" spans="1:14" s="910" customFormat="1" ht="16.5" hidden="1" customHeight="1">
      <c r="A716" s="896"/>
      <c r="B716" s="956" t="s">
        <v>1626</v>
      </c>
      <c r="C716" s="957">
        <v>11</v>
      </c>
      <c r="D716" s="958" t="s">
        <v>273</v>
      </c>
      <c r="E716" s="1288">
        <v>0.5</v>
      </c>
      <c r="F716" s="960">
        <v>1.2</v>
      </c>
      <c r="G716" s="960">
        <v>0.17</v>
      </c>
      <c r="H716" s="960">
        <v>0.12</v>
      </c>
      <c r="I716" s="916">
        <f>ROUND(IF(AND(F716:H716),C716*E716*F716*G716*H716,IF(AND(F716,G716),C716*E716*F716*G716,IF(AND(F716,H716),C716*E716*F716*H716,IF(AND(G716,H716),C716*E716*G716*H716,IF(F716,C716*E716*F716,IF(G716,C716*E716*G716,IF(H716,C716*E716*H716,C716*E716))))))),2)</f>
        <v>0.13</v>
      </c>
      <c r="J716" s="955" t="s">
        <v>5</v>
      </c>
      <c r="K716" s="902"/>
      <c r="L716" s="923"/>
      <c r="M716" s="902"/>
      <c r="N716" s="900" t="s">
        <v>2309</v>
      </c>
    </row>
    <row r="717" spans="1:14" s="910" customFormat="1" ht="16.5" hidden="1" customHeight="1">
      <c r="A717" s="896"/>
      <c r="B717" s="956"/>
      <c r="C717" s="957"/>
      <c r="D717" s="958"/>
      <c r="E717" s="1288"/>
      <c r="F717" s="960"/>
      <c r="G717" s="960"/>
      <c r="H717" s="960"/>
      <c r="I717" s="916"/>
      <c r="J717" s="955"/>
      <c r="K717" s="902"/>
      <c r="L717" s="923"/>
      <c r="M717" s="902"/>
      <c r="N717" s="900" t="s">
        <v>2309</v>
      </c>
    </row>
    <row r="718" spans="1:14" ht="15.75" hidden="1">
      <c r="A718" s="896"/>
      <c r="B718" s="902"/>
      <c r="C718" s="917"/>
      <c r="D718" s="918"/>
      <c r="E718" s="919"/>
      <c r="F718" s="920"/>
      <c r="G718" s="921"/>
      <c r="H718" s="896"/>
      <c r="I718" s="916"/>
      <c r="J718" s="955" t="s">
        <v>5</v>
      </c>
      <c r="K718" s="922">
        <f>'data 2022-23'!F269</f>
        <v>5722.81</v>
      </c>
      <c r="L718" s="923" t="s">
        <v>274</v>
      </c>
      <c r="M718" s="924">
        <f>ROUND(I718*K718,0)</f>
        <v>0</v>
      </c>
      <c r="N718" s="900" t="s">
        <v>2309</v>
      </c>
    </row>
    <row r="719" spans="1:14" ht="106.5" hidden="1" customHeight="1">
      <c r="A719" s="896">
        <v>14</v>
      </c>
      <c r="B719" s="1609" t="s">
        <v>212</v>
      </c>
      <c r="C719" s="1609"/>
      <c r="D719" s="1609"/>
      <c r="E719" s="1609"/>
      <c r="F719" s="1609"/>
      <c r="G719" s="1609"/>
      <c r="H719" s="1609"/>
      <c r="I719" s="897"/>
      <c r="J719" s="898"/>
      <c r="K719" s="896"/>
      <c r="L719" s="923"/>
      <c r="M719" s="899"/>
      <c r="N719" s="900" t="s">
        <v>2309</v>
      </c>
    </row>
    <row r="720" spans="1:14" s="910" customFormat="1" ht="16.5" hidden="1" customHeight="1">
      <c r="A720" s="896"/>
      <c r="B720" s="902" t="s">
        <v>3377</v>
      </c>
      <c r="C720" s="903"/>
      <c r="D720" s="904"/>
      <c r="E720" s="905"/>
      <c r="F720" s="906"/>
      <c r="G720" s="906"/>
      <c r="H720" s="907"/>
      <c r="I720" s="908"/>
      <c r="J720" s="955"/>
      <c r="K720" s="902"/>
      <c r="L720" s="923"/>
      <c r="M720" s="902"/>
      <c r="N720" s="900" t="s">
        <v>2309</v>
      </c>
    </row>
    <row r="721" spans="1:14" s="910" customFormat="1" ht="16.5" hidden="1" customHeight="1">
      <c r="A721" s="896"/>
      <c r="B721" s="911" t="s">
        <v>587</v>
      </c>
      <c r="C721" s="912">
        <v>1</v>
      </c>
      <c r="D721" s="913" t="s">
        <v>273</v>
      </c>
      <c r="E721" s="914">
        <v>1</v>
      </c>
      <c r="F721" s="915">
        <v>3.35</v>
      </c>
      <c r="G721" s="915">
        <v>3.34</v>
      </c>
      <c r="H721" s="915">
        <v>0</v>
      </c>
      <c r="I721" s="916">
        <f>ROUND(IF(AND(F721:H721),C721*E721*F721*G721*H721,IF(AND(F721,G721),C721*E721*F721*G721,IF(AND(F721,H721),C721*E721*F721*H721,IF(AND(G721,H721),C721*E721*G721*H721,IF(F721,C721*E721*F721,IF(G721,C721*E721*G721,IF(H721,C721*E721*H721,C721*E721))))))),2)</f>
        <v>11.19</v>
      </c>
      <c r="J721" s="955" t="s">
        <v>102</v>
      </c>
      <c r="K721" s="902"/>
      <c r="L721" s="923"/>
      <c r="M721" s="902"/>
      <c r="N721" s="900" t="s">
        <v>2309</v>
      </c>
    </row>
    <row r="722" spans="1:14" s="910" customFormat="1" ht="16.5" hidden="1" customHeight="1">
      <c r="A722" s="896"/>
      <c r="B722" s="911" t="s">
        <v>1169</v>
      </c>
      <c r="C722" s="912">
        <v>1</v>
      </c>
      <c r="D722" s="913" t="s">
        <v>273</v>
      </c>
      <c r="E722" s="914">
        <v>1</v>
      </c>
      <c r="F722" s="915">
        <v>2.75</v>
      </c>
      <c r="G722" s="915">
        <v>3.34</v>
      </c>
      <c r="H722" s="915">
        <v>0</v>
      </c>
      <c r="I722" s="916">
        <f>ROUND(IF(AND(F722:H722),C722*E722*F722*G722*H722,IF(AND(F722,G722),C722*E722*F722*G722,IF(AND(F722,H722),C722*E722*F722*H722,IF(AND(G722,H722),C722*E722*G722*H722,IF(F722,C722*E722*F722,IF(G722,C722*E722*G722,IF(H722,C722*E722*H722,C722*E722))))))),2)</f>
        <v>9.19</v>
      </c>
      <c r="J722" s="955" t="s">
        <v>102</v>
      </c>
      <c r="K722" s="902"/>
      <c r="L722" s="923"/>
      <c r="M722" s="902"/>
      <c r="N722" s="900" t="s">
        <v>2309</v>
      </c>
    </row>
    <row r="723" spans="1:14" s="910" customFormat="1" ht="16.5" hidden="1" customHeight="1">
      <c r="A723" s="896"/>
      <c r="B723" s="911" t="s">
        <v>2199</v>
      </c>
      <c r="C723" s="912">
        <v>1</v>
      </c>
      <c r="D723" s="913" t="s">
        <v>273</v>
      </c>
      <c r="E723" s="914">
        <v>1</v>
      </c>
      <c r="F723" s="915">
        <v>2.78</v>
      </c>
      <c r="G723" s="915">
        <v>3.33</v>
      </c>
      <c r="H723" s="915">
        <v>0</v>
      </c>
      <c r="I723" s="916">
        <f>ROUND(IF(AND(F723:H723),C723*E723*F723*G723*H723,IF(AND(F723,G723),C723*E723*F723*G723,IF(AND(F723,H723),C723*E723*F723*H723,IF(AND(G723,H723),C723*E723*G723*H723,IF(F723,C723*E723*F723,IF(G723,C723*E723*G723,IF(H723,C723*E723*H723,C723*E723))))))),2)</f>
        <v>9.26</v>
      </c>
      <c r="J723" s="955" t="s">
        <v>102</v>
      </c>
      <c r="K723" s="902"/>
      <c r="L723" s="923"/>
      <c r="M723" s="902"/>
      <c r="N723" s="900" t="s">
        <v>2309</v>
      </c>
    </row>
    <row r="724" spans="1:14" s="910" customFormat="1" ht="16.5" hidden="1" customHeight="1">
      <c r="A724" s="896"/>
      <c r="B724" s="956"/>
      <c r="C724" s="957"/>
      <c r="D724" s="958"/>
      <c r="E724" s="1268"/>
      <c r="F724" s="960"/>
      <c r="G724" s="960"/>
      <c r="H724" s="960"/>
      <c r="I724" s="916"/>
      <c r="J724" s="955"/>
      <c r="K724" s="902"/>
      <c r="L724" s="923"/>
      <c r="M724" s="902"/>
      <c r="N724" s="900" t="s">
        <v>2309</v>
      </c>
    </row>
    <row r="725" spans="1:14" ht="15.75" hidden="1">
      <c r="A725" s="896"/>
      <c r="B725" s="902"/>
      <c r="C725" s="917"/>
      <c r="D725" s="918"/>
      <c r="E725" s="919"/>
      <c r="F725" s="920"/>
      <c r="G725" s="921"/>
      <c r="H725" s="896"/>
      <c r="I725" s="916"/>
      <c r="J725" s="955" t="s">
        <v>102</v>
      </c>
      <c r="K725" s="922">
        <f>'data 2022-23'!F678</f>
        <v>1103.3900000000001</v>
      </c>
      <c r="L725" s="923" t="s">
        <v>2419</v>
      </c>
      <c r="M725" s="924">
        <f>ROUND(I725*K725,0)</f>
        <v>0</v>
      </c>
      <c r="N725" s="900" t="s">
        <v>2309</v>
      </c>
    </row>
    <row r="726" spans="1:14" ht="79.5" hidden="1" customHeight="1">
      <c r="A726" s="896">
        <v>15</v>
      </c>
      <c r="B726" s="1609" t="s">
        <v>213</v>
      </c>
      <c r="C726" s="1609"/>
      <c r="D726" s="1609"/>
      <c r="E726" s="1609"/>
      <c r="F726" s="1609"/>
      <c r="G726" s="1609"/>
      <c r="H726" s="1609"/>
      <c r="I726" s="897"/>
      <c r="J726" s="898"/>
      <c r="K726" s="896"/>
      <c r="L726" s="923"/>
      <c r="M726" s="899"/>
      <c r="N726" s="900" t="s">
        <v>2309</v>
      </c>
    </row>
    <row r="727" spans="1:14" s="910" customFormat="1" ht="16.5" hidden="1" customHeight="1">
      <c r="A727" s="896"/>
      <c r="B727" s="902" t="s">
        <v>3380</v>
      </c>
      <c r="C727" s="903"/>
      <c r="D727" s="904"/>
      <c r="E727" s="905"/>
      <c r="F727" s="906"/>
      <c r="G727" s="906"/>
      <c r="H727" s="907"/>
      <c r="I727" s="908"/>
      <c r="J727" s="955"/>
      <c r="K727" s="902"/>
      <c r="L727" s="923"/>
      <c r="M727" s="902"/>
      <c r="N727" s="900" t="s">
        <v>2309</v>
      </c>
    </row>
    <row r="728" spans="1:14" s="910" customFormat="1" ht="16.5" hidden="1" customHeight="1">
      <c r="A728" s="896"/>
      <c r="B728" s="911" t="s">
        <v>587</v>
      </c>
      <c r="C728" s="912">
        <v>1</v>
      </c>
      <c r="D728" s="913" t="s">
        <v>273</v>
      </c>
      <c r="E728" s="914">
        <v>1</v>
      </c>
      <c r="F728" s="915">
        <v>12.33</v>
      </c>
      <c r="G728" s="915">
        <v>0</v>
      </c>
      <c r="H728" s="915">
        <v>0.1</v>
      </c>
      <c r="I728" s="916">
        <f>ROUND(IF(AND(F728:H728),C728*E728*F728*G728*H728,IF(AND(F728,G728),C728*E728*F728*G728,IF(AND(F728,H728),C728*E728*F728*H728,IF(AND(G728,H728),C728*E728*G728*H728,IF(F728,C728*E728*F728,IF(G728,C728*E728*G728,IF(H728,C728*E728*H728,C728*E728))))))),2)</f>
        <v>1.23</v>
      </c>
      <c r="J728" s="955" t="s">
        <v>102</v>
      </c>
      <c r="K728" s="902"/>
      <c r="L728" s="923"/>
      <c r="M728" s="902"/>
      <c r="N728" s="900" t="s">
        <v>2309</v>
      </c>
    </row>
    <row r="729" spans="1:14" s="910" customFormat="1" ht="16.5" hidden="1" customHeight="1">
      <c r="A729" s="896"/>
      <c r="B729" s="911" t="s">
        <v>1169</v>
      </c>
      <c r="C729" s="912">
        <v>1</v>
      </c>
      <c r="D729" s="913" t="s">
        <v>273</v>
      </c>
      <c r="E729" s="914">
        <v>1</v>
      </c>
      <c r="F729" s="915">
        <v>11.33</v>
      </c>
      <c r="G729" s="915">
        <v>0</v>
      </c>
      <c r="H729" s="915">
        <v>0.1</v>
      </c>
      <c r="I729" s="916">
        <f>ROUND(IF(AND(F729:H729),C729*E729*F729*G729*H729,IF(AND(F729,G729),C729*E729*F729*G729,IF(AND(F729,H729),C729*E729*F729*H729,IF(AND(G729,H729),C729*E729*G729*H729,IF(F729,C729*E729*F729,IF(G729,C729*E729*G729,IF(H729,C729*E729*H729,C729*E729))))))),2)</f>
        <v>1.1299999999999999</v>
      </c>
      <c r="J729" s="955" t="s">
        <v>102</v>
      </c>
      <c r="K729" s="902"/>
      <c r="L729" s="923"/>
      <c r="M729" s="902"/>
      <c r="N729" s="900" t="s">
        <v>2309</v>
      </c>
    </row>
    <row r="730" spans="1:14" s="910" customFormat="1" ht="16.5" hidden="1" customHeight="1">
      <c r="A730" s="896"/>
      <c r="B730" s="911" t="s">
        <v>658</v>
      </c>
      <c r="C730" s="912">
        <v>1</v>
      </c>
      <c r="D730" s="913" t="s">
        <v>273</v>
      </c>
      <c r="E730" s="914">
        <v>1</v>
      </c>
      <c r="F730" s="915">
        <v>14.8</v>
      </c>
      <c r="G730" s="915">
        <v>0</v>
      </c>
      <c r="H730" s="915">
        <v>0.1</v>
      </c>
      <c r="I730" s="916">
        <f>ROUND(IF(AND(F730:H730),C730*E730*F730*G730*H730,IF(AND(F730,G730),C730*E730*F730*G730,IF(AND(F730,H730),C730*E730*F730*H730,IF(AND(G730,H730),C730*E730*G730*H730,IF(F730,C730*E730*F730,IF(G730,C730*E730*G730,IF(H730,C730*E730*H730,C730*E730))))))),2)</f>
        <v>1.48</v>
      </c>
      <c r="J730" s="955" t="s">
        <v>102</v>
      </c>
      <c r="K730" s="902"/>
      <c r="L730" s="923"/>
      <c r="M730" s="902"/>
      <c r="N730" s="900" t="s">
        <v>2309</v>
      </c>
    </row>
    <row r="731" spans="1:14" s="910" customFormat="1" ht="16.5" hidden="1" customHeight="1">
      <c r="A731" s="896"/>
      <c r="B731" s="956"/>
      <c r="C731" s="957"/>
      <c r="D731" s="958"/>
      <c r="E731" s="1268"/>
      <c r="F731" s="960"/>
      <c r="G731" s="960"/>
      <c r="H731" s="960"/>
      <c r="I731" s="916"/>
      <c r="J731" s="955"/>
      <c r="K731" s="902"/>
      <c r="L731" s="923"/>
      <c r="M731" s="902"/>
      <c r="N731" s="900" t="s">
        <v>2309</v>
      </c>
    </row>
    <row r="732" spans="1:14" ht="15.75" hidden="1">
      <c r="A732" s="896"/>
      <c r="B732" s="902"/>
      <c r="C732" s="917"/>
      <c r="D732" s="918"/>
      <c r="E732" s="919"/>
      <c r="F732" s="920"/>
      <c r="G732" s="921"/>
      <c r="H732" s="896"/>
      <c r="I732" s="916"/>
      <c r="J732" s="955" t="s">
        <v>102</v>
      </c>
      <c r="K732" s="922">
        <f>'data 2022-23'!F696</f>
        <v>1098.05</v>
      </c>
      <c r="L732" s="923" t="s">
        <v>2419</v>
      </c>
      <c r="M732" s="924">
        <f>ROUND(I732*K732,0)</f>
        <v>0</v>
      </c>
      <c r="N732" s="900" t="s">
        <v>2309</v>
      </c>
    </row>
    <row r="733" spans="1:14" ht="108" hidden="1" customHeight="1">
      <c r="A733" s="896">
        <v>16</v>
      </c>
      <c r="B733" s="1609" t="s">
        <v>665</v>
      </c>
      <c r="C733" s="1609"/>
      <c r="D733" s="1609"/>
      <c r="E733" s="1609"/>
      <c r="F733" s="1609"/>
      <c r="G733" s="1609"/>
      <c r="H733" s="1609"/>
      <c r="I733" s="897"/>
      <c r="J733" s="898"/>
      <c r="K733" s="896"/>
      <c r="L733" s="923"/>
      <c r="M733" s="899"/>
      <c r="N733" s="900" t="s">
        <v>2309</v>
      </c>
    </row>
    <row r="734" spans="1:14" s="910" customFormat="1" ht="16.5" hidden="1" customHeight="1">
      <c r="A734" s="896"/>
      <c r="B734" s="902" t="s">
        <v>3374</v>
      </c>
      <c r="C734" s="903"/>
      <c r="D734" s="904"/>
      <c r="E734" s="905"/>
      <c r="F734" s="906"/>
      <c r="G734" s="906"/>
      <c r="H734" s="907"/>
      <c r="I734" s="908"/>
      <c r="J734" s="955"/>
      <c r="K734" s="902"/>
      <c r="L734" s="923"/>
      <c r="M734" s="902"/>
      <c r="N734" s="900" t="s">
        <v>2309</v>
      </c>
    </row>
    <row r="735" spans="1:14" s="910" customFormat="1" ht="16.5" hidden="1" customHeight="1">
      <c r="A735" s="896"/>
      <c r="B735" s="911" t="s">
        <v>2162</v>
      </c>
      <c r="C735" s="912">
        <v>1</v>
      </c>
      <c r="D735" s="913" t="s">
        <v>273</v>
      </c>
      <c r="E735" s="914">
        <v>11</v>
      </c>
      <c r="F735" s="915">
        <v>1.35</v>
      </c>
      <c r="G735" s="915">
        <v>0.3</v>
      </c>
      <c r="H735" s="915">
        <v>0</v>
      </c>
      <c r="I735" s="916">
        <f>ROUND(IF(AND(F735:H735),C735*E735*F735*G735*H735,IF(AND(F735,G735),C735*E735*F735*G735,IF(AND(F735,H735),C735*E735*F735*H735,IF(AND(G735,H735),C735*E735*G735*H735,IF(F735,C735*E735*F735,IF(G735,C735*E735*G735,IF(H735,C735*E735*H735,C735*E735))))))),2)</f>
        <v>4.46</v>
      </c>
      <c r="J735" s="955" t="s">
        <v>102</v>
      </c>
      <c r="K735" s="902"/>
      <c r="L735" s="923"/>
      <c r="M735" s="902"/>
      <c r="N735" s="900" t="s">
        <v>2309</v>
      </c>
    </row>
    <row r="736" spans="1:14" s="910" customFormat="1" ht="16.5" hidden="1" customHeight="1">
      <c r="A736" s="896"/>
      <c r="B736" s="911"/>
      <c r="C736" s="912">
        <v>1</v>
      </c>
      <c r="D736" s="913" t="s">
        <v>273</v>
      </c>
      <c r="E736" s="914">
        <v>1</v>
      </c>
      <c r="F736" s="915">
        <v>1.3</v>
      </c>
      <c r="G736" s="915">
        <v>0.3</v>
      </c>
      <c r="H736" s="915">
        <v>0</v>
      </c>
      <c r="I736" s="916">
        <f>ROUND(IF(AND(F736:H736),C736*E736*F736*G736*H736,IF(AND(F736,G736),C736*E736*F736*G736,IF(AND(F736,H736),C736*E736*F736*H736,IF(AND(G736,H736),C736*E736*G736*H736,IF(F736,C736*E736*F736,IF(G736,C736*E736*G736,IF(H736,C736*E736*H736,C736*E736))))))),2)</f>
        <v>0.39</v>
      </c>
      <c r="J736" s="955" t="s">
        <v>102</v>
      </c>
      <c r="K736" s="902"/>
      <c r="L736" s="923"/>
      <c r="M736" s="902"/>
      <c r="N736" s="900" t="s">
        <v>2309</v>
      </c>
    </row>
    <row r="737" spans="1:14" s="910" customFormat="1" ht="16.5" hidden="1" customHeight="1">
      <c r="A737" s="896"/>
      <c r="B737" s="911" t="s">
        <v>2163</v>
      </c>
      <c r="C737" s="912">
        <v>1</v>
      </c>
      <c r="D737" s="913" t="s">
        <v>273</v>
      </c>
      <c r="E737" s="914">
        <v>11</v>
      </c>
      <c r="F737" s="915">
        <v>1.32</v>
      </c>
      <c r="G737" s="915">
        <v>0.3</v>
      </c>
      <c r="H737" s="915">
        <v>0</v>
      </c>
      <c r="I737" s="916">
        <f>ROUND(IF(AND(F737:H737),C737*E737*F737*G737*H737,IF(AND(F737,G737),C737*E737*F737*G737,IF(AND(F737,H737),C737*E737*F737*H737,IF(AND(G737,H737),C737*E737*G737*H737,IF(F737,C737*E737*F737,IF(G737,C737*E737*G737,IF(H737,C737*E737*H737,C737*E737))))))),2)</f>
        <v>4.3600000000000003</v>
      </c>
      <c r="J737" s="955" t="s">
        <v>102</v>
      </c>
      <c r="K737" s="902"/>
      <c r="L737" s="923"/>
      <c r="M737" s="902"/>
      <c r="N737" s="900" t="s">
        <v>2309</v>
      </c>
    </row>
    <row r="738" spans="1:14" s="910" customFormat="1" ht="16.5" hidden="1" customHeight="1">
      <c r="A738" s="896"/>
      <c r="B738" s="911"/>
      <c r="C738" s="912"/>
      <c r="D738" s="913"/>
      <c r="E738" s="914"/>
      <c r="F738" s="915"/>
      <c r="G738" s="915"/>
      <c r="H738" s="915"/>
      <c r="I738" s="916"/>
      <c r="J738" s="955"/>
      <c r="K738" s="902"/>
      <c r="L738" s="923"/>
      <c r="M738" s="902"/>
      <c r="N738" s="900" t="s">
        <v>2309</v>
      </c>
    </row>
    <row r="739" spans="1:14" ht="15.75" hidden="1">
      <c r="A739" s="896"/>
      <c r="B739" s="902"/>
      <c r="C739" s="917"/>
      <c r="D739" s="918"/>
      <c r="E739" s="919"/>
      <c r="F739" s="920"/>
      <c r="G739" s="921"/>
      <c r="H739" s="896"/>
      <c r="I739" s="916"/>
      <c r="J739" s="955" t="s">
        <v>102</v>
      </c>
      <c r="K739" s="922">
        <f>'data 2022-23'!F600</f>
        <v>3181.62</v>
      </c>
      <c r="L739" s="923" t="s">
        <v>2419</v>
      </c>
      <c r="M739" s="924">
        <f>ROUND(I739*K739,0)</f>
        <v>0</v>
      </c>
      <c r="N739" s="900" t="s">
        <v>2309</v>
      </c>
    </row>
    <row r="740" spans="1:14" ht="93.75" hidden="1" customHeight="1">
      <c r="A740" s="896">
        <v>17</v>
      </c>
      <c r="B740" s="1609" t="s">
        <v>671</v>
      </c>
      <c r="C740" s="1609"/>
      <c r="D740" s="1609"/>
      <c r="E740" s="1609"/>
      <c r="F740" s="1609"/>
      <c r="G740" s="1609"/>
      <c r="H740" s="1609"/>
      <c r="I740" s="897"/>
      <c r="J740" s="898"/>
      <c r="K740" s="896"/>
      <c r="L740" s="923"/>
      <c r="M740" s="899"/>
      <c r="N740" s="900" t="s">
        <v>2309</v>
      </c>
    </row>
    <row r="741" spans="1:14" s="910" customFormat="1" ht="16.5" hidden="1" customHeight="1">
      <c r="A741" s="896"/>
      <c r="B741" s="902" t="s">
        <v>3395</v>
      </c>
      <c r="C741" s="903"/>
      <c r="D741" s="904"/>
      <c r="E741" s="905"/>
      <c r="F741" s="906"/>
      <c r="G741" s="906"/>
      <c r="H741" s="907"/>
      <c r="I741" s="908"/>
      <c r="J741" s="955"/>
      <c r="K741" s="902"/>
      <c r="L741" s="896"/>
      <c r="M741" s="902"/>
      <c r="N741" s="900" t="s">
        <v>2309</v>
      </c>
    </row>
    <row r="742" spans="1:14" s="910" customFormat="1" ht="16.5" hidden="1" customHeight="1">
      <c r="A742" s="896"/>
      <c r="B742" s="956" t="s">
        <v>2164</v>
      </c>
      <c r="C742" s="957">
        <v>1</v>
      </c>
      <c r="D742" s="958" t="s">
        <v>273</v>
      </c>
      <c r="E742" s="1268">
        <v>11</v>
      </c>
      <c r="F742" s="960">
        <v>1.35</v>
      </c>
      <c r="G742" s="960">
        <v>0.15</v>
      </c>
      <c r="H742" s="960">
        <v>0</v>
      </c>
      <c r="I742" s="916">
        <f>ROUND(IF(AND(F742:H742),C742*E742*F742*G742*H742,IF(AND(F742,G742),C742*E742*F742*G742,IF(AND(F742,H742),C742*E742*F742*H742,IF(AND(G742,H742),C742*E742*G742*H742,IF(F742,C742*E742*F742,IF(G742,C742*E742*G742,IF(H742,C742*E742*H742,C742*E742))))))),2)</f>
        <v>2.23</v>
      </c>
      <c r="J742" s="955" t="s">
        <v>102</v>
      </c>
      <c r="K742" s="902"/>
      <c r="L742" s="896"/>
      <c r="M742" s="902"/>
      <c r="N742" s="900" t="s">
        <v>2309</v>
      </c>
    </row>
    <row r="743" spans="1:14" s="910" customFormat="1" ht="16.5" hidden="1" customHeight="1">
      <c r="A743" s="896"/>
      <c r="B743" s="956"/>
      <c r="C743" s="957">
        <v>1</v>
      </c>
      <c r="D743" s="958" t="s">
        <v>273</v>
      </c>
      <c r="E743" s="1268">
        <v>11</v>
      </c>
      <c r="F743" s="960">
        <v>1.32</v>
      </c>
      <c r="G743" s="960">
        <v>0.15</v>
      </c>
      <c r="H743" s="960">
        <v>0</v>
      </c>
      <c r="I743" s="916">
        <f>ROUND(IF(AND(F743:H743),C743*E743*F743*G743*H743,IF(AND(F743,G743),C743*E743*F743*G743,IF(AND(F743,H743),C743*E743*F743*H743,IF(AND(G743,H743),C743*E743*G743*H743,IF(F743,C743*E743*F743,IF(G743,C743*E743*G743,IF(H743,C743*E743*H743,C743*E743))))))),2)</f>
        <v>2.1800000000000002</v>
      </c>
      <c r="J743" s="955" t="s">
        <v>102</v>
      </c>
      <c r="K743" s="902"/>
      <c r="L743" s="896"/>
      <c r="M743" s="902"/>
      <c r="N743" s="900" t="s">
        <v>2309</v>
      </c>
    </row>
    <row r="744" spans="1:14" s="910" customFormat="1" ht="16.5" hidden="1" customHeight="1">
      <c r="A744" s="896"/>
      <c r="B744" s="956" t="s">
        <v>800</v>
      </c>
      <c r="C744" s="957">
        <v>1</v>
      </c>
      <c r="D744" s="958" t="s">
        <v>273</v>
      </c>
      <c r="E744" s="1268">
        <v>11</v>
      </c>
      <c r="F744" s="960">
        <v>0.4</v>
      </c>
      <c r="G744" s="960">
        <v>0</v>
      </c>
      <c r="H744" s="960">
        <v>0.14000000000000001</v>
      </c>
      <c r="I744" s="916">
        <f>ROUND(IF(AND(F744:H744),C744*E744*F744*G744*H744,IF(AND(F744,G744),C744*E744*F744*G744,IF(AND(F744,H744),C744*E744*F744*H744,IF(AND(G744,H744),C744*E744*G744*H744,IF(F744,C744*E744*F744,IF(G744,C744*E744*G744,IF(H744,C744*E744*H744,C744*E744))))))),2)</f>
        <v>0.62</v>
      </c>
      <c r="J744" s="955" t="s">
        <v>102</v>
      </c>
      <c r="K744" s="902"/>
      <c r="L744" s="896"/>
      <c r="M744" s="902"/>
      <c r="N744" s="900" t="s">
        <v>2309</v>
      </c>
    </row>
    <row r="745" spans="1:14" s="910" customFormat="1" ht="16.5" hidden="1" customHeight="1">
      <c r="A745" s="896"/>
      <c r="B745" s="956"/>
      <c r="C745" s="957"/>
      <c r="D745" s="958"/>
      <c r="E745" s="1268"/>
      <c r="F745" s="960"/>
      <c r="G745" s="960"/>
      <c r="H745" s="960"/>
      <c r="I745" s="916"/>
      <c r="J745" s="955"/>
      <c r="K745" s="902"/>
      <c r="L745" s="923"/>
      <c r="M745" s="902"/>
      <c r="N745" s="900" t="s">
        <v>2309</v>
      </c>
    </row>
    <row r="746" spans="1:14" ht="15.75" hidden="1">
      <c r="A746" s="896"/>
      <c r="B746" s="902"/>
      <c r="C746" s="917"/>
      <c r="D746" s="918"/>
      <c r="E746" s="919"/>
      <c r="F746" s="920"/>
      <c r="G746" s="921"/>
      <c r="H746" s="896"/>
      <c r="I746" s="916"/>
      <c r="J746" s="955" t="s">
        <v>102</v>
      </c>
      <c r="K746" s="922">
        <f>'data 2022-23'!F619</f>
        <v>2950.54</v>
      </c>
      <c r="L746" s="923" t="s">
        <v>2419</v>
      </c>
      <c r="M746" s="924">
        <f>ROUND(I746*K746,0)</f>
        <v>0</v>
      </c>
      <c r="N746" s="900" t="s">
        <v>2309</v>
      </c>
    </row>
    <row r="747" spans="1:14" ht="90" hidden="1" customHeight="1">
      <c r="A747" s="896">
        <v>26</v>
      </c>
      <c r="B747" s="1609" t="s">
        <v>672</v>
      </c>
      <c r="C747" s="1609"/>
      <c r="D747" s="1609"/>
      <c r="E747" s="1609"/>
      <c r="F747" s="1609"/>
      <c r="G747" s="1609"/>
      <c r="H747" s="1609"/>
      <c r="I747" s="897"/>
      <c r="J747" s="898"/>
      <c r="K747" s="896"/>
      <c r="L747" s="923"/>
      <c r="M747" s="899"/>
      <c r="N747" s="900" t="s">
        <v>2309</v>
      </c>
    </row>
    <row r="748" spans="1:14" s="910" customFormat="1" ht="16.5" hidden="1" customHeight="1">
      <c r="A748" s="896"/>
      <c r="B748" s="902" t="s">
        <v>3347</v>
      </c>
      <c r="C748" s="903"/>
      <c r="D748" s="904"/>
      <c r="E748" s="905"/>
      <c r="F748" s="906"/>
      <c r="G748" s="906"/>
      <c r="H748" s="907"/>
      <c r="I748" s="908"/>
      <c r="J748" s="955"/>
      <c r="K748" s="902"/>
      <c r="L748" s="923"/>
      <c r="M748" s="902"/>
      <c r="N748" s="900" t="s">
        <v>2309</v>
      </c>
    </row>
    <row r="749" spans="1:14" s="910" customFormat="1" ht="16.5" hidden="1" customHeight="1">
      <c r="A749" s="896"/>
      <c r="B749" s="956" t="s">
        <v>578</v>
      </c>
      <c r="C749" s="957">
        <v>1</v>
      </c>
      <c r="D749" s="958" t="s">
        <v>273</v>
      </c>
      <c r="E749" s="1268">
        <v>1</v>
      </c>
      <c r="F749" s="960">
        <v>9.8699999999999992</v>
      </c>
      <c r="G749" s="960">
        <v>1.83</v>
      </c>
      <c r="H749" s="960">
        <v>0</v>
      </c>
      <c r="I749" s="916">
        <f>ROUND(IF(AND(F749:H749),C749*E749*F749*G749*H749,IF(AND(F749,G749),C749*E749*F749*G749,IF(AND(F749,H749),C749*E749*F749*H749,IF(AND(G749,H749),C749*E749*G749*H749,IF(F749,C749*E749*F749,IF(G749,C749*E749*G749,IF(H749,C749*E749*H749,C749*E749))))))),2)</f>
        <v>18.059999999999999</v>
      </c>
      <c r="J749" s="955" t="s">
        <v>102</v>
      </c>
      <c r="K749" s="902"/>
      <c r="L749" s="923"/>
      <c r="M749" s="902"/>
      <c r="N749" s="900" t="s">
        <v>2309</v>
      </c>
    </row>
    <row r="750" spans="1:14" s="910" customFormat="1" ht="16.5" hidden="1" customHeight="1">
      <c r="A750" s="896"/>
      <c r="B750" s="956" t="s">
        <v>654</v>
      </c>
      <c r="C750" s="957">
        <v>1</v>
      </c>
      <c r="D750" s="958" t="s">
        <v>273</v>
      </c>
      <c r="E750" s="1268">
        <v>1</v>
      </c>
      <c r="F750" s="960">
        <v>2.83</v>
      </c>
      <c r="G750" s="960">
        <v>1.55</v>
      </c>
      <c r="H750" s="960">
        <v>0</v>
      </c>
      <c r="I750" s="916">
        <f>ROUND(IF(AND(F750:H750),C750*E750*F750*G750*H750,IF(AND(F750,G750),C750*E750*F750*G750,IF(AND(F750,H750),C750*E750*F750*H750,IF(AND(G750,H750),C750*E750*G750*H750,IF(F750,C750*E750*F750,IF(G750,C750*E750*G750,IF(H750,C750*E750*H750,C750*E750))))))),2)</f>
        <v>4.3899999999999997</v>
      </c>
      <c r="J750" s="955" t="s">
        <v>102</v>
      </c>
      <c r="K750" s="902"/>
      <c r="L750" s="923"/>
      <c r="M750" s="902"/>
      <c r="N750" s="900" t="s">
        <v>2309</v>
      </c>
    </row>
    <row r="751" spans="1:14" s="910" customFormat="1" ht="16.5" hidden="1" customHeight="1">
      <c r="A751" s="896"/>
      <c r="B751" s="956"/>
      <c r="C751" s="957">
        <v>1</v>
      </c>
      <c r="D751" s="958" t="s">
        <v>273</v>
      </c>
      <c r="E751" s="1268">
        <v>1</v>
      </c>
      <c r="F751" s="960">
        <v>2.65</v>
      </c>
      <c r="G751" s="960">
        <v>0.53</v>
      </c>
      <c r="H751" s="960">
        <v>0</v>
      </c>
      <c r="I751" s="916">
        <f>ROUND(IF(AND(F751:H751),C751*E751*F751*G751*H751,IF(AND(F751,G751),C751*E751*F751*G751,IF(AND(F751,H751),C751*E751*F751*H751,IF(AND(G751,H751),C751*E751*G751*H751,IF(F751,C751*E751*F751,IF(G751,C751*E751*G751,IF(H751,C751*E751*H751,C751*E751))))))),2)</f>
        <v>1.4</v>
      </c>
      <c r="J751" s="955" t="s">
        <v>102</v>
      </c>
      <c r="K751" s="902"/>
      <c r="L751" s="923"/>
      <c r="M751" s="902"/>
      <c r="N751" s="900" t="s">
        <v>2309</v>
      </c>
    </row>
    <row r="752" spans="1:14" s="910" customFormat="1" ht="16.5" hidden="1" customHeight="1">
      <c r="A752" s="896"/>
      <c r="B752" s="956" t="s">
        <v>1250</v>
      </c>
      <c r="C752" s="957">
        <v>1</v>
      </c>
      <c r="D752" s="958" t="s">
        <v>273</v>
      </c>
      <c r="E752" s="1268">
        <v>21</v>
      </c>
      <c r="F752" s="960">
        <v>1.28</v>
      </c>
      <c r="G752" s="960">
        <v>0.3</v>
      </c>
      <c r="H752" s="960">
        <v>0</v>
      </c>
      <c r="I752" s="916">
        <f>ROUND(IF(AND(F752:H752),C752*E752*F752*G752*H752,IF(AND(F752,G752),C752*E752*F752*G752,IF(AND(F752,H752),C752*E752*F752*H752,IF(AND(G752,H752),C752*E752*G752*H752,IF(F752,C752*E752*F752,IF(G752,C752*E752*G752,IF(H752,C752*E752*H752,C752*E752))))))),2)</f>
        <v>8.06</v>
      </c>
      <c r="J752" s="955" t="s">
        <v>102</v>
      </c>
      <c r="K752" s="902"/>
      <c r="L752" s="923"/>
      <c r="M752" s="902"/>
      <c r="N752" s="900" t="s">
        <v>2309</v>
      </c>
    </row>
    <row r="753" spans="1:14" s="910" customFormat="1" ht="16.5" hidden="1" customHeight="1">
      <c r="A753" s="896"/>
      <c r="B753" s="956"/>
      <c r="C753" s="957"/>
      <c r="D753" s="958"/>
      <c r="E753" s="1268"/>
      <c r="F753" s="960"/>
      <c r="G753" s="960"/>
      <c r="H753" s="960"/>
      <c r="I753" s="916"/>
      <c r="J753" s="955"/>
      <c r="K753" s="902"/>
      <c r="L753" s="923"/>
      <c r="M753" s="902"/>
      <c r="N753" s="900" t="s">
        <v>2309</v>
      </c>
    </row>
    <row r="754" spans="1:14" ht="15.75" hidden="1">
      <c r="A754" s="896"/>
      <c r="B754" s="902"/>
      <c r="C754" s="917"/>
      <c r="D754" s="918"/>
      <c r="E754" s="919"/>
      <c r="F754" s="920"/>
      <c r="G754" s="921"/>
      <c r="H754" s="896"/>
      <c r="I754" s="916"/>
      <c r="J754" s="955" t="s">
        <v>102</v>
      </c>
      <c r="K754" s="922">
        <f>'data 2022-23'!F640</f>
        <v>780.73</v>
      </c>
      <c r="L754" s="923" t="s">
        <v>2419</v>
      </c>
      <c r="M754" s="924">
        <f>ROUND(I754*K754,0)</f>
        <v>0</v>
      </c>
      <c r="N754" s="900" t="s">
        <v>2309</v>
      </c>
    </row>
    <row r="755" spans="1:14" ht="96" hidden="1" customHeight="1">
      <c r="A755" s="896">
        <v>27</v>
      </c>
      <c r="B755" s="1609" t="s">
        <v>678</v>
      </c>
      <c r="C755" s="1609"/>
      <c r="D755" s="1609"/>
      <c r="E755" s="1609"/>
      <c r="F755" s="1609"/>
      <c r="G755" s="1609"/>
      <c r="H755" s="1609"/>
      <c r="I755" s="897"/>
      <c r="J755" s="898"/>
      <c r="K755" s="896"/>
      <c r="L755" s="923"/>
      <c r="M755" s="899"/>
      <c r="N755" s="900" t="s">
        <v>2309</v>
      </c>
    </row>
    <row r="756" spans="1:14" s="910" customFormat="1" ht="16.5" hidden="1" customHeight="1">
      <c r="A756" s="896"/>
      <c r="B756" s="902" t="s">
        <v>3353</v>
      </c>
      <c r="C756" s="903"/>
      <c r="D756" s="904"/>
      <c r="E756" s="905"/>
      <c r="F756" s="906"/>
      <c r="G756" s="906"/>
      <c r="H756" s="907"/>
      <c r="I756" s="908"/>
      <c r="J756" s="955"/>
      <c r="K756" s="902"/>
      <c r="L756" s="923"/>
      <c r="M756" s="902"/>
      <c r="N756" s="900" t="s">
        <v>2309</v>
      </c>
    </row>
    <row r="757" spans="1:14" s="910" customFormat="1" ht="16.5" hidden="1" customHeight="1">
      <c r="A757" s="896"/>
      <c r="B757" s="956" t="s">
        <v>1248</v>
      </c>
      <c r="C757" s="957">
        <v>1</v>
      </c>
      <c r="D757" s="958" t="s">
        <v>273</v>
      </c>
      <c r="E757" s="1268">
        <v>2</v>
      </c>
      <c r="F757" s="960">
        <v>5.25</v>
      </c>
      <c r="G757" s="960">
        <v>0</v>
      </c>
      <c r="H757" s="960">
        <v>0.1</v>
      </c>
      <c r="I757" s="916">
        <f>ROUND(IF(AND(F757:H757),C757*E757*F757*G757*H757,IF(AND(F757,G757),C757*E757*F757*G757,IF(AND(F757,H757),C757*E757*F757*H757,IF(AND(G757,H757),C757*E757*G757*H757,IF(F757,C757*E757*F757,IF(G757,C757*E757*G757,IF(H757,C757*E757*H757,C757*E757))))))),2)</f>
        <v>1.05</v>
      </c>
      <c r="J757" s="955" t="s">
        <v>102</v>
      </c>
      <c r="K757" s="902"/>
      <c r="L757" s="923"/>
      <c r="M757" s="902"/>
      <c r="N757" s="900" t="s">
        <v>2309</v>
      </c>
    </row>
    <row r="758" spans="1:14" s="910" customFormat="1" ht="16.5" hidden="1" customHeight="1">
      <c r="A758" s="896"/>
      <c r="B758" s="956" t="s">
        <v>578</v>
      </c>
      <c r="C758" s="957">
        <v>1</v>
      </c>
      <c r="D758" s="958" t="s">
        <v>273</v>
      </c>
      <c r="E758" s="1268">
        <v>1</v>
      </c>
      <c r="F758" s="960">
        <v>9.8699999999999992</v>
      </c>
      <c r="G758" s="960">
        <v>0</v>
      </c>
      <c r="H758" s="960">
        <v>0.1</v>
      </c>
      <c r="I758" s="916">
        <f>ROUND(IF(AND(F758:H758),C758*E758*F758*G758*H758,IF(AND(F758,G758),C758*E758*F758*G758,IF(AND(F758,H758),C758*E758*F758*H758,IF(AND(G758,H758),C758*E758*G758*H758,IF(F758,C758*E758*F758,IF(G758,C758*E758*G758,IF(H758,C758*E758*H758,C758*E758))))))),2)</f>
        <v>0.99</v>
      </c>
      <c r="J758" s="955" t="s">
        <v>102</v>
      </c>
      <c r="K758" s="902"/>
      <c r="L758" s="923"/>
      <c r="M758" s="902"/>
      <c r="N758" s="900" t="s">
        <v>2309</v>
      </c>
    </row>
    <row r="759" spans="1:14" s="910" customFormat="1" ht="16.5" hidden="1" customHeight="1">
      <c r="A759" s="896"/>
      <c r="B759" s="956" t="s">
        <v>1251</v>
      </c>
      <c r="C759" s="957">
        <v>1</v>
      </c>
      <c r="D759" s="958" t="s">
        <v>273</v>
      </c>
      <c r="E759" s="1268">
        <v>5</v>
      </c>
      <c r="F759" s="960">
        <v>2.72</v>
      </c>
      <c r="G759" s="960">
        <v>0</v>
      </c>
      <c r="H759" s="960">
        <v>0.17</v>
      </c>
      <c r="I759" s="916">
        <f>ROUND(IF(AND(F759:H759),C759*E759*F759*G759*H759,IF(AND(F759,G759),C759*E759*F759*G759,IF(AND(F759,H759),C759*E759*F759*H759,IF(AND(G759,H759),C759*E759*G759*H759,IF(F759,C759*E759*F759,IF(G759,C759*E759*G759,IF(H759,C759*E759*H759,C759*E759))))))),2)</f>
        <v>2.31</v>
      </c>
      <c r="J759" s="955" t="s">
        <v>102</v>
      </c>
      <c r="K759" s="902"/>
      <c r="L759" s="923"/>
      <c r="M759" s="902"/>
      <c r="N759" s="900" t="s">
        <v>2309</v>
      </c>
    </row>
    <row r="760" spans="1:14" s="910" customFormat="1" ht="16.5" hidden="1" customHeight="1">
      <c r="A760" s="896"/>
      <c r="B760" s="956"/>
      <c r="C760" s="957"/>
      <c r="D760" s="958"/>
      <c r="E760" s="1268"/>
      <c r="F760" s="960"/>
      <c r="G760" s="960"/>
      <c r="H760" s="960"/>
      <c r="I760" s="916"/>
      <c r="J760" s="955"/>
      <c r="K760" s="902"/>
      <c r="L760" s="923"/>
      <c r="M760" s="902"/>
      <c r="N760" s="900" t="s">
        <v>2309</v>
      </c>
    </row>
    <row r="761" spans="1:14" ht="15.75" hidden="1">
      <c r="A761" s="896"/>
      <c r="B761" s="902"/>
      <c r="C761" s="917"/>
      <c r="D761" s="918"/>
      <c r="E761" s="919"/>
      <c r="F761" s="920"/>
      <c r="G761" s="921"/>
      <c r="H761" s="896"/>
      <c r="I761" s="916"/>
      <c r="J761" s="955" t="s">
        <v>102</v>
      </c>
      <c r="K761" s="922">
        <f>'data 2022-23'!F658</f>
        <v>786.2</v>
      </c>
      <c r="L761" s="923" t="s">
        <v>2419</v>
      </c>
      <c r="M761" s="924">
        <f>ROUND(I761*K761,0)</f>
        <v>0</v>
      </c>
      <c r="N761" s="900" t="s">
        <v>2309</v>
      </c>
    </row>
    <row r="762" spans="1:14" ht="94.5" hidden="1" customHeight="1">
      <c r="A762" s="896">
        <v>17</v>
      </c>
      <c r="B762" s="1609" t="s">
        <v>211</v>
      </c>
      <c r="C762" s="1609"/>
      <c r="D762" s="1609"/>
      <c r="E762" s="1609"/>
      <c r="F762" s="1609"/>
      <c r="G762" s="1609"/>
      <c r="H762" s="1609"/>
      <c r="I762" s="897"/>
      <c r="J762" s="898"/>
      <c r="K762" s="896"/>
      <c r="L762" s="923"/>
      <c r="M762" s="899"/>
      <c r="N762" s="900" t="s">
        <v>2309</v>
      </c>
    </row>
    <row r="763" spans="1:14" s="910" customFormat="1" ht="16.5" hidden="1" customHeight="1">
      <c r="A763" s="896"/>
      <c r="B763" s="902" t="s">
        <v>3378</v>
      </c>
      <c r="C763" s="903"/>
      <c r="D763" s="904"/>
      <c r="E763" s="905"/>
      <c r="F763" s="906"/>
      <c r="G763" s="906"/>
      <c r="H763" s="907"/>
      <c r="I763" s="908"/>
      <c r="J763" s="955"/>
      <c r="K763" s="902"/>
      <c r="L763" s="923"/>
      <c r="M763" s="902"/>
      <c r="N763" s="900" t="s">
        <v>2309</v>
      </c>
    </row>
    <row r="764" spans="1:14" s="910" customFormat="1" ht="16.5" hidden="1" customHeight="1">
      <c r="A764" s="896"/>
      <c r="B764" s="911" t="s">
        <v>654</v>
      </c>
      <c r="C764" s="912">
        <v>1</v>
      </c>
      <c r="D764" s="913" t="s">
        <v>273</v>
      </c>
      <c r="E764" s="914">
        <v>1</v>
      </c>
      <c r="F764" s="915">
        <v>4.1500000000000004</v>
      </c>
      <c r="G764" s="915">
        <v>2.4</v>
      </c>
      <c r="H764" s="915">
        <v>0</v>
      </c>
      <c r="I764" s="916">
        <f>ROUND(IF(AND(F764:H764),C764*E764*F764*G764*H764,IF(AND(F764,G764),C764*E764*F764*G764,IF(AND(F764,H764),C764*E764*F764*H764,IF(AND(G764,H764),C764*E764*G764*H764,IF(F764,C764*E764*F764,IF(G764,C764*E764*G764,IF(H764,C764*E764*H764,C764*E764))))))),2)</f>
        <v>9.9600000000000009</v>
      </c>
      <c r="J764" s="955" t="s">
        <v>102</v>
      </c>
      <c r="K764" s="902"/>
      <c r="L764" s="923"/>
      <c r="M764" s="902"/>
      <c r="N764" s="900" t="s">
        <v>2309</v>
      </c>
    </row>
    <row r="765" spans="1:14" s="910" customFormat="1" ht="16.5" hidden="1" customHeight="1">
      <c r="A765" s="896"/>
      <c r="B765" s="911" t="s">
        <v>578</v>
      </c>
      <c r="C765" s="912">
        <v>1</v>
      </c>
      <c r="D765" s="913" t="s">
        <v>273</v>
      </c>
      <c r="E765" s="914">
        <v>1</v>
      </c>
      <c r="F765" s="915">
        <v>5.7</v>
      </c>
      <c r="G765" s="915">
        <v>2.4</v>
      </c>
      <c r="H765" s="915">
        <v>0</v>
      </c>
      <c r="I765" s="916">
        <f>ROUND(IF(AND(F765:H765),C765*E765*F765*G765*H765,IF(AND(F765,G765),C765*E765*F765*G765,IF(AND(F765,H765),C765*E765*F765*H765,IF(AND(G765,H765),C765*E765*G765*H765,IF(F765,C765*E765*F765,IF(G765,C765*E765*G765,IF(H765,C765*E765*H765,C765*E765))))))),2)</f>
        <v>13.68</v>
      </c>
      <c r="J765" s="955" t="s">
        <v>102</v>
      </c>
      <c r="K765" s="902"/>
      <c r="L765" s="923"/>
      <c r="M765" s="902"/>
      <c r="N765" s="900" t="s">
        <v>2309</v>
      </c>
    </row>
    <row r="766" spans="1:14" s="910" customFormat="1" ht="16.5" hidden="1" customHeight="1">
      <c r="A766" s="896"/>
      <c r="B766" s="911" t="s">
        <v>1544</v>
      </c>
      <c r="C766" s="912">
        <v>1</v>
      </c>
      <c r="D766" s="913" t="s">
        <v>273</v>
      </c>
      <c r="E766" s="914">
        <v>1</v>
      </c>
      <c r="F766" s="915">
        <v>0.7</v>
      </c>
      <c r="G766" s="915">
        <v>9.4</v>
      </c>
      <c r="H766" s="915">
        <v>0</v>
      </c>
      <c r="I766" s="916">
        <f>ROUND(IF(AND(F766:H766),C766*E766*F766*G766*H766,IF(AND(F766,G766),C766*E766*F766*G766,IF(AND(F766,H766),C766*E766*F766*H766,IF(AND(G766,H766),C766*E766*G766*H766,IF(F766,C766*E766*F766,IF(G766,C766*E766*G766,IF(H766,C766*E766*H766,C766*E766))))))),2)</f>
        <v>6.58</v>
      </c>
      <c r="J766" s="955" t="s">
        <v>102</v>
      </c>
      <c r="K766" s="902"/>
      <c r="L766" s="923"/>
      <c r="M766" s="902"/>
      <c r="N766" s="900" t="s">
        <v>2309</v>
      </c>
    </row>
    <row r="767" spans="1:14" s="910" customFormat="1" ht="16.5" hidden="1" customHeight="1">
      <c r="A767" s="896"/>
      <c r="B767" s="956"/>
      <c r="C767" s="957"/>
      <c r="D767" s="958"/>
      <c r="E767" s="1268"/>
      <c r="F767" s="960"/>
      <c r="G767" s="960"/>
      <c r="H767" s="960"/>
      <c r="I767" s="916"/>
      <c r="J767" s="955"/>
      <c r="K767" s="902"/>
      <c r="L767" s="923"/>
      <c r="M767" s="902"/>
      <c r="N767" s="900" t="s">
        <v>2309</v>
      </c>
    </row>
    <row r="768" spans="1:14" ht="15.75" hidden="1">
      <c r="A768" s="896"/>
      <c r="B768" s="902"/>
      <c r="C768" s="917"/>
      <c r="D768" s="918"/>
      <c r="E768" s="919"/>
      <c r="F768" s="920"/>
      <c r="G768" s="921"/>
      <c r="H768" s="896"/>
      <c r="I768" s="916"/>
      <c r="J768" s="955" t="s">
        <v>102</v>
      </c>
      <c r="K768" s="922">
        <f>'data 2022-23'!F714</f>
        <v>837.86</v>
      </c>
      <c r="L768" s="923" t="s">
        <v>2419</v>
      </c>
      <c r="M768" s="924">
        <f>ROUND(I768*K768,0)</f>
        <v>0</v>
      </c>
      <c r="N768" s="900" t="s">
        <v>2309</v>
      </c>
    </row>
    <row r="769" spans="1:14" ht="94.5" hidden="1" customHeight="1">
      <c r="A769" s="896">
        <v>18</v>
      </c>
      <c r="B769" s="1609" t="s">
        <v>214</v>
      </c>
      <c r="C769" s="1609"/>
      <c r="D769" s="1609"/>
      <c r="E769" s="1609"/>
      <c r="F769" s="1609"/>
      <c r="G769" s="1609"/>
      <c r="H769" s="1609"/>
      <c r="I769" s="897"/>
      <c r="J769" s="898"/>
      <c r="K769" s="896"/>
      <c r="L769" s="923"/>
      <c r="M769" s="899"/>
      <c r="N769" s="900" t="s">
        <v>2309</v>
      </c>
    </row>
    <row r="770" spans="1:14" s="910" customFormat="1" ht="15.75" hidden="1">
      <c r="A770" s="896"/>
      <c r="B770" s="902" t="s">
        <v>3407</v>
      </c>
      <c r="C770" s="903"/>
      <c r="D770" s="904"/>
      <c r="E770" s="905"/>
      <c r="F770" s="906"/>
      <c r="G770" s="906"/>
      <c r="H770" s="907"/>
      <c r="I770" s="908"/>
      <c r="J770" s="955"/>
      <c r="K770" s="902"/>
      <c r="L770" s="923"/>
      <c r="M770" s="902"/>
      <c r="N770" s="900" t="s">
        <v>2309</v>
      </c>
    </row>
    <row r="771" spans="1:14" s="910" customFormat="1" ht="15.75" hidden="1">
      <c r="A771" s="896"/>
      <c r="B771" s="911" t="s">
        <v>689</v>
      </c>
      <c r="C771" s="912">
        <v>1</v>
      </c>
      <c r="D771" s="913" t="s">
        <v>273</v>
      </c>
      <c r="E771" s="914">
        <v>1</v>
      </c>
      <c r="F771" s="915">
        <v>6.12</v>
      </c>
      <c r="G771" s="915">
        <v>1.95</v>
      </c>
      <c r="H771" s="915">
        <v>0</v>
      </c>
      <c r="I771" s="916">
        <f>ROUND(IF(AND(F771:H771),C771*E771*F771*G771*H771,IF(AND(F771,G771),C771*E771*F771*G771,IF(AND(F771,H771),C771*E771*F771*H771,IF(AND(G771,H771),C771*E771*G771*H771,IF(F771,C771*E771*F771,IF(G771,C771*E771*G771,IF(H771,C771*E771*H771,C771*E771))))))),2)</f>
        <v>11.93</v>
      </c>
      <c r="J771" s="955" t="s">
        <v>102</v>
      </c>
      <c r="K771" s="902"/>
      <c r="L771" s="923"/>
      <c r="M771" s="902"/>
      <c r="N771" s="900" t="s">
        <v>2309</v>
      </c>
    </row>
    <row r="772" spans="1:14" s="910" customFormat="1" ht="15.75" hidden="1">
      <c r="A772" s="896"/>
      <c r="B772" s="911" t="s">
        <v>659</v>
      </c>
      <c r="C772" s="912">
        <v>1</v>
      </c>
      <c r="D772" s="913" t="s">
        <v>273</v>
      </c>
      <c r="E772" s="914">
        <v>1</v>
      </c>
      <c r="F772" s="915">
        <v>6.06</v>
      </c>
      <c r="G772" s="915">
        <v>1.95</v>
      </c>
      <c r="H772" s="915">
        <v>0</v>
      </c>
      <c r="I772" s="916">
        <f>ROUND(IF(AND(F772:H772),C772*E772*F772*G772*H772,IF(AND(F772,G772),C772*E772*F772*G772,IF(AND(F772,H772),C772*E772*F772*H772,IF(AND(G772,H772),C772*E772*G772*H772,IF(F772,C772*E772*F772,IF(G772,C772*E772*G772,IF(H772,C772*E772*H772,C772*E772))))))),2)</f>
        <v>11.82</v>
      </c>
      <c r="J772" s="955" t="s">
        <v>102</v>
      </c>
      <c r="K772" s="902"/>
      <c r="L772" s="923"/>
      <c r="M772" s="902"/>
      <c r="N772" s="900" t="s">
        <v>2309</v>
      </c>
    </row>
    <row r="773" spans="1:14" s="910" customFormat="1" ht="15.75" hidden="1">
      <c r="A773" s="896"/>
      <c r="B773" s="911"/>
      <c r="C773" s="912">
        <v>3</v>
      </c>
      <c r="D773" s="913" t="s">
        <v>273</v>
      </c>
      <c r="E773" s="914">
        <v>1</v>
      </c>
      <c r="F773" s="915">
        <v>0.7</v>
      </c>
      <c r="G773" s="915">
        <v>1.92</v>
      </c>
      <c r="H773" s="915">
        <v>0</v>
      </c>
      <c r="I773" s="916">
        <f>-ROUND(IF(AND(F773:H773),C773*E773*F773*G773*H773,IF(AND(F773,G773),C773*E773*F773*G773,IF(AND(F773,H773),C773*E773*F773*H773,IF(AND(G773,H773),C773*E773*G773*H773,IF(F773,C773*E773*F773,IF(G773,C773*E773*G773,IF(H773,C773*E773*H773,C773*E773))))))),2)</f>
        <v>-4.03</v>
      </c>
      <c r="J773" s="955" t="s">
        <v>102</v>
      </c>
      <c r="K773" s="902"/>
      <c r="L773" s="923"/>
      <c r="M773" s="902"/>
      <c r="N773" s="900" t="s">
        <v>2309</v>
      </c>
    </row>
    <row r="774" spans="1:14" s="910" customFormat="1" ht="15.75" hidden="1">
      <c r="A774" s="896"/>
      <c r="B774" s="956"/>
      <c r="C774" s="957"/>
      <c r="D774" s="958"/>
      <c r="E774" s="1268"/>
      <c r="F774" s="960"/>
      <c r="G774" s="960"/>
      <c r="H774" s="960"/>
      <c r="I774" s="916"/>
      <c r="J774" s="955"/>
      <c r="K774" s="902"/>
      <c r="L774" s="923"/>
      <c r="M774" s="902"/>
      <c r="N774" s="900" t="s">
        <v>2309</v>
      </c>
    </row>
    <row r="775" spans="1:14" ht="15.75" hidden="1">
      <c r="A775" s="896"/>
      <c r="B775" s="902"/>
      <c r="C775" s="917"/>
      <c r="D775" s="918"/>
      <c r="E775" s="919"/>
      <c r="F775" s="920"/>
      <c r="G775" s="921"/>
      <c r="H775" s="896"/>
      <c r="I775" s="916"/>
      <c r="J775" s="955" t="s">
        <v>102</v>
      </c>
      <c r="K775" s="922">
        <f>'data 2022-23'!F731</f>
        <v>527.21</v>
      </c>
      <c r="L775" s="923" t="s">
        <v>2419</v>
      </c>
      <c r="M775" s="924">
        <f>ROUND(I775*K775,0)</f>
        <v>0</v>
      </c>
      <c r="N775" s="900" t="s">
        <v>2309</v>
      </c>
    </row>
    <row r="776" spans="1:14" ht="81.75" hidden="1" customHeight="1">
      <c r="A776" s="896">
        <v>27</v>
      </c>
      <c r="B776" s="1609" t="s">
        <v>1202</v>
      </c>
      <c r="C776" s="1609"/>
      <c r="D776" s="1609"/>
      <c r="E776" s="1609"/>
      <c r="F776" s="1609"/>
      <c r="G776" s="1609"/>
      <c r="H776" s="1609"/>
      <c r="I776" s="897"/>
      <c r="J776" s="898"/>
      <c r="K776" s="896"/>
      <c r="L776" s="923"/>
      <c r="M776" s="899"/>
      <c r="N776" s="900" t="s">
        <v>2309</v>
      </c>
    </row>
    <row r="777" spans="1:14" s="910" customFormat="1" ht="16.5" hidden="1" customHeight="1">
      <c r="A777" s="896"/>
      <c r="B777" s="980" t="s">
        <v>3408</v>
      </c>
      <c r="C777" s="903"/>
      <c r="D777" s="904"/>
      <c r="E777" s="905"/>
      <c r="F777" s="906"/>
      <c r="G777" s="906"/>
      <c r="H777" s="907"/>
      <c r="I777" s="908"/>
      <c r="J777" s="909"/>
      <c r="K777" s="902"/>
      <c r="L777" s="923"/>
      <c r="M777" s="902"/>
      <c r="N777" s="900" t="s">
        <v>2309</v>
      </c>
    </row>
    <row r="778" spans="1:14" s="910" customFormat="1" ht="16.5" hidden="1" customHeight="1">
      <c r="A778" s="896"/>
      <c r="B778" s="1274" t="s">
        <v>1188</v>
      </c>
      <c r="C778" s="1275">
        <v>2</v>
      </c>
      <c r="D778" s="1276" t="s">
        <v>273</v>
      </c>
      <c r="E778" s="1177">
        <v>0.5</v>
      </c>
      <c r="F778" s="1277">
        <v>0.96</v>
      </c>
      <c r="G778" s="1277">
        <v>1</v>
      </c>
      <c r="H778" s="1277">
        <v>0</v>
      </c>
      <c r="I778" s="1278">
        <f>ROUND(IF(AND(F778:H778),C778*E778*F778*G778*H778,IF(AND(F778,G778),C778*E778*F778*G778,IF(AND(F778,H778),C778*E778*F778*H778,IF(AND(G778,H778),C778*E778*G778*H778,IF(F778,C778*E778*F778,IF(G778,C778*E778*G778,IF(H778,C778*E778*H778,C778*E778))))))),2)</f>
        <v>0.96</v>
      </c>
      <c r="J778" s="909" t="s">
        <v>102</v>
      </c>
      <c r="K778" s="902"/>
      <c r="L778" s="923"/>
      <c r="M778" s="902"/>
      <c r="N778" s="900" t="s">
        <v>2309</v>
      </c>
    </row>
    <row r="779" spans="1:14" s="910" customFormat="1" ht="16.5" hidden="1" customHeight="1">
      <c r="A779" s="896"/>
      <c r="B779" s="1274"/>
      <c r="C779" s="1275">
        <v>1</v>
      </c>
      <c r="D779" s="1276" t="s">
        <v>273</v>
      </c>
      <c r="E779" s="1177">
        <v>2</v>
      </c>
      <c r="F779" s="1277">
        <v>3.6</v>
      </c>
      <c r="G779" s="1277">
        <v>1.1299999999999999</v>
      </c>
      <c r="H779" s="1277">
        <v>0</v>
      </c>
      <c r="I779" s="1278">
        <f>ROUND(IF(AND(F779:H779),C779*E779*F779*G779*H779,IF(AND(F779,G779),C779*E779*F779*G779,IF(AND(F779,H779),C779*E779*F779*H779,IF(AND(G779,H779),C779*E779*G779*H779,IF(F779,C779*E779*F779,IF(G779,C779*E779*G779,IF(H779,C779*E779*H779,C779*E779))))))),2)</f>
        <v>8.14</v>
      </c>
      <c r="J779" s="909" t="s">
        <v>102</v>
      </c>
      <c r="K779" s="902"/>
      <c r="L779" s="923"/>
      <c r="M779" s="902"/>
      <c r="N779" s="900" t="s">
        <v>2309</v>
      </c>
    </row>
    <row r="780" spans="1:14" s="910" customFormat="1" ht="16.5" hidden="1" customHeight="1">
      <c r="A780" s="896"/>
      <c r="B780" s="1274"/>
      <c r="C780" s="1275">
        <v>1</v>
      </c>
      <c r="D780" s="1276" t="s">
        <v>273</v>
      </c>
      <c r="E780" s="1177">
        <v>2</v>
      </c>
      <c r="F780" s="1277">
        <v>1.96</v>
      </c>
      <c r="G780" s="1277">
        <v>1</v>
      </c>
      <c r="H780" s="1277">
        <v>0</v>
      </c>
      <c r="I780" s="1278">
        <f>ROUND(IF(AND(F780:H780),C780*E780*F780*G780*H780,IF(AND(F780,G780),C780*E780*F780*G780,IF(AND(F780,H780),C780*E780*F780*H780,IF(AND(G780,H780),C780*E780*G780*H780,IF(F780,C780*E780*F780,IF(G780,C780*E780*G780,IF(H780,C780*E780*H780,C780*E780))))))),2)</f>
        <v>3.92</v>
      </c>
      <c r="J780" s="909" t="s">
        <v>102</v>
      </c>
      <c r="K780" s="902"/>
      <c r="L780" s="923"/>
      <c r="M780" s="902"/>
      <c r="N780" s="900" t="s">
        <v>2309</v>
      </c>
    </row>
    <row r="781" spans="1:14" s="910" customFormat="1" ht="16.5" hidden="1" customHeight="1">
      <c r="A781" s="896"/>
      <c r="B781" s="1274"/>
      <c r="C781" s="1275">
        <v>1</v>
      </c>
      <c r="D781" s="1276" t="s">
        <v>273</v>
      </c>
      <c r="E781" s="1177">
        <v>2</v>
      </c>
      <c r="F781" s="1277">
        <v>1.33</v>
      </c>
      <c r="G781" s="1277">
        <v>1.1000000000000001</v>
      </c>
      <c r="H781" s="1277">
        <v>0</v>
      </c>
      <c r="I781" s="1278">
        <f>ROUND(IF(AND(F781:H781),C781*E781*F781*G781*H781,IF(AND(F781,G781),C781*E781*F781*G781,IF(AND(F781,H781),C781*E781*F781*H781,IF(AND(G781,H781),C781*E781*G781*H781,IF(F781,C781*E781*F781,IF(G781,C781*E781*G781,IF(H781,C781*E781*H781,C781*E781))))))),2)</f>
        <v>2.93</v>
      </c>
      <c r="J781" s="909" t="s">
        <v>102</v>
      </c>
      <c r="K781" s="902"/>
      <c r="L781" s="923"/>
      <c r="M781" s="902"/>
      <c r="N781" s="900" t="s">
        <v>2309</v>
      </c>
    </row>
    <row r="782" spans="1:14" s="910" customFormat="1" ht="16.5" hidden="1" customHeight="1">
      <c r="A782" s="896"/>
      <c r="B782" s="956"/>
      <c r="C782" s="957"/>
      <c r="D782" s="958"/>
      <c r="E782" s="1268"/>
      <c r="F782" s="960"/>
      <c r="G782" s="960"/>
      <c r="H782" s="960"/>
      <c r="I782" s="916"/>
      <c r="J782" s="909"/>
      <c r="K782" s="902"/>
      <c r="L782" s="923"/>
      <c r="M782" s="902"/>
      <c r="N782" s="900" t="s">
        <v>2309</v>
      </c>
    </row>
    <row r="783" spans="1:14" ht="15.75" hidden="1">
      <c r="A783" s="896"/>
      <c r="B783" s="902"/>
      <c r="C783" s="917"/>
      <c r="D783" s="918"/>
      <c r="E783" s="919"/>
      <c r="F783" s="920"/>
      <c r="G783" s="921"/>
      <c r="H783" s="896"/>
      <c r="I783" s="916"/>
      <c r="J783" s="909" t="s">
        <v>102</v>
      </c>
      <c r="K783" s="922">
        <f>'data 2022-23'!F759</f>
        <v>1059.21</v>
      </c>
      <c r="L783" s="923" t="s">
        <v>2419</v>
      </c>
      <c r="M783" s="924">
        <f>ROUND(I783*K783,0)</f>
        <v>0</v>
      </c>
      <c r="N783" s="900" t="s">
        <v>2309</v>
      </c>
    </row>
    <row r="784" spans="1:14" ht="66" hidden="1" customHeight="1">
      <c r="A784" s="896">
        <v>26</v>
      </c>
      <c r="B784" s="1609" t="s">
        <v>1192</v>
      </c>
      <c r="C784" s="1609"/>
      <c r="D784" s="1609"/>
      <c r="E784" s="1609"/>
      <c r="F784" s="1609"/>
      <c r="G784" s="1609"/>
      <c r="H784" s="1609"/>
      <c r="I784" s="897"/>
      <c r="J784" s="898"/>
      <c r="K784" s="896"/>
      <c r="L784" s="923"/>
      <c r="M784" s="899"/>
      <c r="N784" s="900" t="s">
        <v>2309</v>
      </c>
    </row>
    <row r="785" spans="1:14" s="910" customFormat="1" ht="16.5" hidden="1" customHeight="1">
      <c r="A785" s="896"/>
      <c r="B785" s="902" t="s">
        <v>3348</v>
      </c>
      <c r="C785" s="903"/>
      <c r="D785" s="904"/>
      <c r="E785" s="905"/>
      <c r="F785" s="906"/>
      <c r="G785" s="906"/>
      <c r="H785" s="907"/>
      <c r="I785" s="908"/>
      <c r="J785" s="955"/>
      <c r="K785" s="902"/>
      <c r="L785" s="923"/>
      <c r="M785" s="902"/>
      <c r="N785" s="900" t="s">
        <v>2309</v>
      </c>
    </row>
    <row r="786" spans="1:14" s="910" customFormat="1" ht="16.5" hidden="1" customHeight="1">
      <c r="A786" s="896"/>
      <c r="B786" s="902" t="s">
        <v>799</v>
      </c>
      <c r="C786" s="897">
        <v>1</v>
      </c>
      <c r="D786" s="1263" t="s">
        <v>273</v>
      </c>
      <c r="E786" s="919">
        <v>1</v>
      </c>
      <c r="F786" s="920">
        <v>8.5</v>
      </c>
      <c r="G786" s="920">
        <v>4.95</v>
      </c>
      <c r="H786" s="920">
        <v>0</v>
      </c>
      <c r="I786" s="1266">
        <f>ROUND(IF(AND(F786:H786),C786*E786*F786*G786*H786,IF(AND(F786,G786),C786*E786*F786*G786,IF(AND(F786,H786),C786*E786*F786*H786,IF(AND(G786,H786),C786*E786*G786*H786,IF(F786,C786*E786*F786,IF(G786,C786*E786*G786,IF(H786,C786*E786*H786,C786*E786))))))),2)</f>
        <v>42.08</v>
      </c>
      <c r="J786" s="955" t="s">
        <v>102</v>
      </c>
      <c r="K786" s="902"/>
      <c r="L786" s="923"/>
      <c r="M786" s="902"/>
      <c r="N786" s="900" t="s">
        <v>2309</v>
      </c>
    </row>
    <row r="787" spans="1:14" s="910" customFormat="1" ht="16.5" hidden="1" customHeight="1">
      <c r="A787" s="896"/>
      <c r="B787" s="902" t="s">
        <v>813</v>
      </c>
      <c r="C787" s="897">
        <v>1</v>
      </c>
      <c r="D787" s="1263" t="s">
        <v>273</v>
      </c>
      <c r="E787" s="919">
        <v>1</v>
      </c>
      <c r="F787" s="920">
        <v>5.5</v>
      </c>
      <c r="G787" s="920">
        <v>2.4</v>
      </c>
      <c r="H787" s="920">
        <v>0</v>
      </c>
      <c r="I787" s="1266">
        <f>ROUND(IF(AND(F787:H787),C787*E787*F787*G787*H787,IF(AND(F787,G787),C787*E787*F787*G787,IF(AND(F787,H787),C787*E787*F787*H787,IF(AND(G787,H787),C787*E787*G787*H787,IF(F787,C787*E787*F787,IF(G787,C787*E787*G787,IF(H787,C787*E787*H787,C787*E787))))))),2)</f>
        <v>13.2</v>
      </c>
      <c r="J787" s="955" t="s">
        <v>102</v>
      </c>
      <c r="K787" s="902"/>
      <c r="L787" s="923"/>
      <c r="M787" s="902"/>
      <c r="N787" s="900" t="s">
        <v>2309</v>
      </c>
    </row>
    <row r="788" spans="1:14" s="910" customFormat="1" ht="16.5" hidden="1" customHeight="1">
      <c r="A788" s="896"/>
      <c r="B788" s="902" t="s">
        <v>814</v>
      </c>
      <c r="C788" s="897">
        <v>1</v>
      </c>
      <c r="D788" s="1263" t="s">
        <v>273</v>
      </c>
      <c r="E788" s="919">
        <v>1</v>
      </c>
      <c r="F788" s="920">
        <v>8.85</v>
      </c>
      <c r="G788" s="920">
        <v>0</v>
      </c>
      <c r="H788" s="920">
        <v>3.6</v>
      </c>
      <c r="I788" s="1266">
        <f>ROUND(IF(AND(F788:H788),C788*E788*F788*G788*H788,IF(AND(F788,G788),C788*E788*F788*G788,IF(AND(F788,H788),C788*E788*F788*H788,IF(AND(G788,H788),C788*E788*G788*H788,IF(F788,C788*E788*F788,IF(G788,C788*E788*G788,IF(H788,C788*E788*H788,C788*E788))))))),2)</f>
        <v>31.86</v>
      </c>
      <c r="J788" s="955" t="s">
        <v>102</v>
      </c>
      <c r="K788" s="902"/>
      <c r="L788" s="923"/>
      <c r="M788" s="902"/>
      <c r="N788" s="900" t="s">
        <v>2309</v>
      </c>
    </row>
    <row r="789" spans="1:14" s="910" customFormat="1" ht="16.5" hidden="1" customHeight="1">
      <c r="A789" s="896"/>
      <c r="B789" s="902" t="s">
        <v>817</v>
      </c>
      <c r="C789" s="897">
        <v>1</v>
      </c>
      <c r="D789" s="1263" t="s">
        <v>273</v>
      </c>
      <c r="E789" s="919">
        <v>1</v>
      </c>
      <c r="F789" s="920">
        <v>6.25</v>
      </c>
      <c r="G789" s="920">
        <v>0</v>
      </c>
      <c r="H789" s="920">
        <v>3.6</v>
      </c>
      <c r="I789" s="1266">
        <f>ROUND(IF(AND(F789:H789),C789*E789*F789*G789*H789,IF(AND(F789,G789),C789*E789*F789*G789,IF(AND(F789,H789),C789*E789*F789*H789,IF(AND(G789,H789),C789*E789*G789*H789,IF(F789,C789*E789*F789,IF(G789,C789*E789*G789,IF(H789,C789*E789*H789,C789*E789))))))),2)</f>
        <v>22.5</v>
      </c>
      <c r="J789" s="955" t="s">
        <v>102</v>
      </c>
      <c r="K789" s="902"/>
      <c r="L789" s="923"/>
      <c r="M789" s="902"/>
      <c r="N789" s="900" t="s">
        <v>2309</v>
      </c>
    </row>
    <row r="790" spans="1:14" s="910" customFormat="1" ht="16.5" hidden="1" customHeight="1">
      <c r="A790" s="896"/>
      <c r="B790" s="902" t="s">
        <v>816</v>
      </c>
      <c r="C790" s="897">
        <v>1</v>
      </c>
      <c r="D790" s="1263" t="s">
        <v>273</v>
      </c>
      <c r="E790" s="919">
        <v>1</v>
      </c>
      <c r="F790" s="920">
        <v>5.45</v>
      </c>
      <c r="G790" s="920">
        <v>0</v>
      </c>
      <c r="H790" s="920">
        <v>3.2</v>
      </c>
      <c r="I790" s="1266">
        <f>ROUND(IF(AND(F790:H790),C790*E790*F790*G790*H790,IF(AND(F790,G790),C790*E790*F790*G790,IF(AND(F790,H790),C790*E790*F790*H790,IF(AND(G790,H790),C790*E790*G790*H790,IF(F790,C790*E790*F790,IF(G790,C790*E790*G790,IF(H790,C790*E790*H790,C790*E790))))))),2)</f>
        <v>17.440000000000001</v>
      </c>
      <c r="J790" s="955" t="s">
        <v>102</v>
      </c>
      <c r="K790" s="902"/>
      <c r="L790" s="923"/>
      <c r="M790" s="902"/>
      <c r="N790" s="900" t="s">
        <v>2309</v>
      </c>
    </row>
    <row r="791" spans="1:14" s="910" customFormat="1" ht="16.5" hidden="1" customHeight="1">
      <c r="A791" s="896"/>
      <c r="B791" s="956"/>
      <c r="C791" s="957"/>
      <c r="D791" s="958"/>
      <c r="E791" s="959"/>
      <c r="F791" s="960"/>
      <c r="G791" s="960"/>
      <c r="H791" s="960"/>
      <c r="I791" s="916"/>
      <c r="J791" s="955"/>
      <c r="K791" s="902"/>
      <c r="L791" s="923"/>
      <c r="M791" s="902"/>
      <c r="N791" s="900" t="s">
        <v>2309</v>
      </c>
    </row>
    <row r="792" spans="1:14" ht="15.75" hidden="1">
      <c r="A792" s="896"/>
      <c r="B792" s="902"/>
      <c r="C792" s="917"/>
      <c r="D792" s="918"/>
      <c r="E792" s="919"/>
      <c r="F792" s="920"/>
      <c r="G792" s="921"/>
      <c r="H792" s="896"/>
      <c r="I792" s="916"/>
      <c r="J792" s="955" t="s">
        <v>102</v>
      </c>
      <c r="K792" s="922">
        <f>'data 2022-23'!F794</f>
        <v>25.98</v>
      </c>
      <c r="L792" s="923" t="s">
        <v>2419</v>
      </c>
      <c r="M792" s="924">
        <f>ROUND(I792*K792,0)</f>
        <v>0</v>
      </c>
      <c r="N792" s="900" t="s">
        <v>2309</v>
      </c>
    </row>
    <row r="793" spans="1:14" ht="117.75" hidden="1" customHeight="1">
      <c r="A793" s="896">
        <v>19</v>
      </c>
      <c r="B793" s="1609" t="s">
        <v>891</v>
      </c>
      <c r="C793" s="1609"/>
      <c r="D793" s="1609"/>
      <c r="E793" s="1609"/>
      <c r="F793" s="1609"/>
      <c r="G793" s="1609"/>
      <c r="H793" s="1609"/>
      <c r="I793" s="897"/>
      <c r="J793" s="898"/>
      <c r="K793" s="896"/>
      <c r="L793" s="923"/>
      <c r="M793" s="899"/>
      <c r="N793" s="900" t="s">
        <v>2309</v>
      </c>
    </row>
    <row r="794" spans="1:14" s="910" customFormat="1" ht="16.5" hidden="1" customHeight="1">
      <c r="A794" s="896"/>
      <c r="B794" s="902" t="s">
        <v>3366</v>
      </c>
      <c r="C794" s="897"/>
      <c r="D794" s="1263"/>
      <c r="E794" s="919"/>
      <c r="F794" s="920"/>
      <c r="G794" s="920"/>
      <c r="H794" s="920"/>
      <c r="I794" s="1264"/>
      <c r="J794" s="955"/>
      <c r="K794" s="902"/>
      <c r="L794" s="923"/>
      <c r="M794" s="902"/>
      <c r="N794" s="900" t="s">
        <v>2309</v>
      </c>
    </row>
    <row r="795" spans="1:14" s="910" customFormat="1" ht="16.5" hidden="1" customHeight="1">
      <c r="A795" s="896"/>
      <c r="B795" s="902" t="s">
        <v>2194</v>
      </c>
      <c r="C795" s="897">
        <v>1</v>
      </c>
      <c r="D795" s="1263" t="s">
        <v>273</v>
      </c>
      <c r="E795" s="919">
        <v>1</v>
      </c>
      <c r="F795" s="920">
        <v>13.38</v>
      </c>
      <c r="G795" s="920">
        <v>0</v>
      </c>
      <c r="H795" s="920">
        <v>3.12</v>
      </c>
      <c r="I795" s="1286">
        <f>ROUND(IF(AND(F795:H795),C795*E795*F795*G795*H795,IF(AND(F795,G795),C795*E795*F795*G795,IF(AND(F795,H795),C795*E795*F795*H795,IF(AND(G795,H795),C795*E795*G795*H795,IF(F795,C795*E795*F795,IF(G795,C795*E795*G795,IF(H795,C795*E795*H795,C795*E795))))))),2)</f>
        <v>41.75</v>
      </c>
      <c r="J795" s="955" t="s">
        <v>102</v>
      </c>
      <c r="K795" s="902"/>
      <c r="L795" s="923"/>
      <c r="M795" s="902"/>
      <c r="N795" s="900" t="s">
        <v>2309</v>
      </c>
    </row>
    <row r="796" spans="1:14" s="910" customFormat="1" ht="16.5" hidden="1" customHeight="1">
      <c r="A796" s="896"/>
      <c r="B796" s="902" t="s">
        <v>1169</v>
      </c>
      <c r="C796" s="897">
        <v>1</v>
      </c>
      <c r="D796" s="1263" t="s">
        <v>273</v>
      </c>
      <c r="E796" s="919">
        <v>1</v>
      </c>
      <c r="F796" s="920">
        <v>12.18</v>
      </c>
      <c r="G796" s="920">
        <v>0</v>
      </c>
      <c r="H796" s="920">
        <v>3.12</v>
      </c>
      <c r="I796" s="1286">
        <f>ROUND(IF(AND(F796:H796),C796*E796*F796*G796*H796,IF(AND(F796,G796),C796*E796*F796*G796,IF(AND(F796,H796),C796*E796*F796*H796,IF(AND(G796,H796),C796*E796*G796*H796,IF(F796,C796*E796*F796,IF(G796,C796*E796*G796,IF(H796,C796*E796*H796,C796*E796))))))),2)</f>
        <v>38</v>
      </c>
      <c r="J796" s="955" t="s">
        <v>102</v>
      </c>
      <c r="K796" s="902"/>
      <c r="L796" s="923"/>
      <c r="M796" s="902"/>
      <c r="N796" s="900" t="s">
        <v>2309</v>
      </c>
    </row>
    <row r="797" spans="1:14" s="910" customFormat="1" ht="16.5" hidden="1" customHeight="1">
      <c r="A797" s="896"/>
      <c r="B797" s="902" t="s">
        <v>2195</v>
      </c>
      <c r="C797" s="897">
        <v>1</v>
      </c>
      <c r="D797" s="1263" t="s">
        <v>273</v>
      </c>
      <c r="E797" s="919">
        <v>1</v>
      </c>
      <c r="F797" s="920">
        <v>12.22</v>
      </c>
      <c r="G797" s="920">
        <v>0</v>
      </c>
      <c r="H797" s="920">
        <v>3.12</v>
      </c>
      <c r="I797" s="1286">
        <f>ROUND(IF(AND(F797:H797),C797*E797*F797*G797*H797,IF(AND(F797,G797),C797*E797*F797*G797,IF(AND(F797,H797),C797*E797*F797*H797,IF(AND(G797,H797),C797*E797*G797*H797,IF(F797,C797*E797*F797,IF(G797,C797*E797*G797,IF(H797,C797*E797*H797,C797*E797))))))),2)</f>
        <v>38.130000000000003</v>
      </c>
      <c r="J797" s="955" t="s">
        <v>102</v>
      </c>
      <c r="K797" s="902"/>
      <c r="L797" s="923"/>
      <c r="M797" s="902"/>
      <c r="N797" s="900" t="s">
        <v>2309</v>
      </c>
    </row>
    <row r="798" spans="1:14" s="910" customFormat="1" ht="16.5" hidden="1" customHeight="1">
      <c r="A798" s="896"/>
      <c r="B798" s="902" t="s">
        <v>223</v>
      </c>
      <c r="C798" s="897">
        <v>1</v>
      </c>
      <c r="D798" s="1263" t="s">
        <v>273</v>
      </c>
      <c r="E798" s="919">
        <v>1</v>
      </c>
      <c r="F798" s="920">
        <v>17.34</v>
      </c>
      <c r="G798" s="920">
        <v>0</v>
      </c>
      <c r="H798" s="920">
        <v>3.12</v>
      </c>
      <c r="I798" s="1286">
        <f>ROUND(IF(AND(F798:H798),C798*E798*F798*G798*H798,IF(AND(F798,G798),C798*E798*F798*G798,IF(AND(F798,H798),C798*E798*F798*H798,IF(AND(G798,H798),C798*E798*G798*H798,IF(F798,C798*E798*F798,IF(G798,C798*E798*G798,IF(H798,C798*E798*H798,C798*E798))))))),2)</f>
        <v>54.1</v>
      </c>
      <c r="J798" s="955" t="s">
        <v>102</v>
      </c>
      <c r="K798" s="902"/>
      <c r="L798" s="923"/>
      <c r="M798" s="902"/>
      <c r="N798" s="900" t="s">
        <v>2309</v>
      </c>
    </row>
    <row r="799" spans="1:14" s="910" customFormat="1" ht="16.5" hidden="1" customHeight="1">
      <c r="A799" s="896"/>
      <c r="B799" s="902" t="s">
        <v>2196</v>
      </c>
      <c r="C799" s="897">
        <v>1</v>
      </c>
      <c r="D799" s="1263" t="s">
        <v>273</v>
      </c>
      <c r="E799" s="919">
        <v>6</v>
      </c>
      <c r="F799" s="920">
        <v>5.7</v>
      </c>
      <c r="G799" s="920">
        <v>0</v>
      </c>
      <c r="H799" s="920">
        <v>0.115</v>
      </c>
      <c r="I799" s="1286">
        <f>ROUND(IF(AND(F799:H799),C799*E799*F799*G799*H799,IF(AND(F799,G799),C799*E799*F799*G799,IF(AND(F799,H799),C799*E799*F799*H799,IF(AND(G799,H799),C799*E799*G799*H799,IF(F799,C799*E799*F799,IF(G799,C799*E799*G799,IF(H799,C799*E799*H799,C799*E799))))))),2)</f>
        <v>3.93</v>
      </c>
      <c r="J799" s="955" t="s">
        <v>102</v>
      </c>
      <c r="K799" s="902"/>
      <c r="L799" s="923"/>
      <c r="M799" s="902"/>
      <c r="N799" s="900" t="s">
        <v>2309</v>
      </c>
    </row>
    <row r="800" spans="1:14" s="910" customFormat="1" ht="16.5" hidden="1" customHeight="1">
      <c r="A800" s="896"/>
      <c r="B800" s="902"/>
      <c r="C800" s="897">
        <v>1</v>
      </c>
      <c r="D800" s="1263" t="s">
        <v>273</v>
      </c>
      <c r="E800" s="919">
        <v>2</v>
      </c>
      <c r="F800" s="920">
        <v>1.2</v>
      </c>
      <c r="G800" s="920">
        <v>0</v>
      </c>
      <c r="H800" s="920">
        <v>2.1</v>
      </c>
      <c r="I800" s="1286">
        <f>-ROUND(IF(AND(F800:H800),C800*E800*F800*G800*H800,IF(AND(F800,G800),C800*E800*F800*G800,IF(AND(F800,H800),C800*E800*F800*H800,IF(AND(G800,H800),C800*E800*G800*H800,IF(F800,C800*E800*F800,IF(G800,C800*E800*G800,IF(H800,C800*E800*H800,C800*E800))))))),2)</f>
        <v>-5.04</v>
      </c>
      <c r="J800" s="955" t="s">
        <v>102</v>
      </c>
      <c r="K800" s="902"/>
      <c r="L800" s="923"/>
      <c r="M800" s="902"/>
      <c r="N800" s="900" t="s">
        <v>2309</v>
      </c>
    </row>
    <row r="801" spans="1:14" s="910" customFormat="1" ht="16.5" hidden="1" customHeight="1">
      <c r="A801" s="896"/>
      <c r="B801" s="956"/>
      <c r="C801" s="957"/>
      <c r="D801" s="958"/>
      <c r="E801" s="959"/>
      <c r="F801" s="960"/>
      <c r="G801" s="960"/>
      <c r="H801" s="960"/>
      <c r="I801" s="916"/>
      <c r="J801" s="955"/>
      <c r="K801" s="902"/>
      <c r="L801" s="923"/>
      <c r="M801" s="902"/>
      <c r="N801" s="900" t="s">
        <v>2309</v>
      </c>
    </row>
    <row r="802" spans="1:14" ht="15.75" hidden="1">
      <c r="A802" s="896"/>
      <c r="B802" s="902"/>
      <c r="C802" s="917"/>
      <c r="D802" s="918"/>
      <c r="E802" s="919"/>
      <c r="F802" s="920"/>
      <c r="G802" s="921"/>
      <c r="H802" s="896"/>
      <c r="I802" s="916"/>
      <c r="J802" s="955" t="s">
        <v>102</v>
      </c>
      <c r="K802" s="922">
        <f>'data 2022-23'!F809</f>
        <v>184.03</v>
      </c>
      <c r="L802" s="923" t="s">
        <v>2419</v>
      </c>
      <c r="M802" s="924">
        <f>ROUND(I802*K802,0)</f>
        <v>0</v>
      </c>
      <c r="N802" s="900" t="s">
        <v>2309</v>
      </c>
    </row>
    <row r="803" spans="1:14" ht="94.5" hidden="1" customHeight="1">
      <c r="A803" s="896">
        <v>20</v>
      </c>
      <c r="B803" s="1609" t="s">
        <v>1167</v>
      </c>
      <c r="C803" s="1609"/>
      <c r="D803" s="1609"/>
      <c r="E803" s="1609"/>
      <c r="F803" s="1609"/>
      <c r="G803" s="1609"/>
      <c r="H803" s="1609"/>
      <c r="I803" s="897"/>
      <c r="J803" s="898"/>
      <c r="K803" s="896"/>
      <c r="L803" s="923"/>
      <c r="M803" s="899"/>
      <c r="N803" s="900" t="s">
        <v>2309</v>
      </c>
    </row>
    <row r="804" spans="1:14" s="910" customFormat="1" ht="16.5" hidden="1" customHeight="1">
      <c r="A804" s="896"/>
      <c r="B804" s="902" t="s">
        <v>3373</v>
      </c>
      <c r="C804" s="897"/>
      <c r="D804" s="1263"/>
      <c r="E804" s="919"/>
      <c r="F804" s="920"/>
      <c r="G804" s="920"/>
      <c r="H804" s="920"/>
      <c r="I804" s="1264"/>
      <c r="J804" s="955"/>
      <c r="K804" s="902"/>
      <c r="L804" s="923"/>
      <c r="M804" s="902"/>
      <c r="N804" s="900" t="s">
        <v>2309</v>
      </c>
    </row>
    <row r="805" spans="1:14" s="910" customFormat="1" ht="15.75" hidden="1">
      <c r="A805" s="896"/>
      <c r="B805" s="902" t="s">
        <v>2160</v>
      </c>
      <c r="C805" s="897">
        <v>1</v>
      </c>
      <c r="D805" s="1263" t="s">
        <v>273</v>
      </c>
      <c r="E805" s="919">
        <v>1</v>
      </c>
      <c r="F805" s="920">
        <v>12.48</v>
      </c>
      <c r="G805" s="920">
        <v>0</v>
      </c>
      <c r="H805" s="920">
        <v>3.12</v>
      </c>
      <c r="I805" s="1266">
        <f>ROUND(IF(AND(F805:H805),C805*E805*F805*G805*H805,IF(AND(F805,G805),C805*E805*F805*G805,IF(AND(F805,H805),C805*E805*F805*H805,IF(AND(G805,H805),C805*E805*G805*H805,IF(F805,C805*E805*F805,IF(G805,C805*E805*G805,IF(H805,C805*E805*H805,C805*E805))))))),2)</f>
        <v>38.94</v>
      </c>
      <c r="J805" s="955" t="s">
        <v>102</v>
      </c>
      <c r="K805" s="902"/>
      <c r="L805" s="923"/>
      <c r="M805" s="902"/>
      <c r="N805" s="900" t="s">
        <v>2309</v>
      </c>
    </row>
    <row r="806" spans="1:14" s="910" customFormat="1" ht="15.75" hidden="1">
      <c r="A806" s="896"/>
      <c r="B806" s="902" t="s">
        <v>2160</v>
      </c>
      <c r="C806" s="897">
        <v>1</v>
      </c>
      <c r="D806" s="1263" t="s">
        <v>273</v>
      </c>
      <c r="E806" s="919">
        <v>1</v>
      </c>
      <c r="F806" s="920">
        <v>8.92</v>
      </c>
      <c r="G806" s="920">
        <v>0</v>
      </c>
      <c r="H806" s="920">
        <v>3.12</v>
      </c>
      <c r="I806" s="1266">
        <f>ROUND(IF(AND(F806:H806),C806*E806*F806*G806*H806,IF(AND(F806,G806),C806*E806*F806*G806,IF(AND(F806,H806),C806*E806*F806*H806,IF(AND(G806,H806),C806*E806*G806*H806,IF(F806,C806*E806*F806,IF(G806,C806*E806*G806,IF(H806,C806*E806*H806,C806*E806))))))),2)</f>
        <v>27.83</v>
      </c>
      <c r="J806" s="955" t="s">
        <v>102</v>
      </c>
      <c r="K806" s="902"/>
      <c r="L806" s="923"/>
      <c r="M806" s="902"/>
      <c r="N806" s="900" t="s">
        <v>2309</v>
      </c>
    </row>
    <row r="807" spans="1:14" s="910" customFormat="1" ht="16.5" hidden="1" customHeight="1">
      <c r="A807" s="896"/>
      <c r="B807" s="902" t="s">
        <v>2160</v>
      </c>
      <c r="C807" s="897">
        <v>1</v>
      </c>
      <c r="D807" s="1263" t="s">
        <v>273</v>
      </c>
      <c r="E807" s="919">
        <v>1</v>
      </c>
      <c r="F807" s="920">
        <v>1.2</v>
      </c>
      <c r="G807" s="920">
        <v>0</v>
      </c>
      <c r="H807" s="920">
        <v>2.1</v>
      </c>
      <c r="I807" s="1266">
        <f>ROUND(IF(AND(F807:H807),C807*E807*F807*G807*H807,IF(AND(F807,G807),C807*E807*F807*G807,IF(AND(F807,H807),C807*E807*F807*H807,IF(AND(G807,H807),C807*E807*G807*H807,IF(F807,C807*E807*F807,IF(G807,C807*E807*G807,IF(H807,C807*E807*H807,C807*E807))))))),2)</f>
        <v>2.52</v>
      </c>
      <c r="J807" s="955" t="s">
        <v>102</v>
      </c>
      <c r="K807" s="902"/>
      <c r="L807" s="923"/>
      <c r="M807" s="902"/>
      <c r="N807" s="900" t="s">
        <v>2309</v>
      </c>
    </row>
    <row r="808" spans="1:14" s="910" customFormat="1" ht="16.5" hidden="1" customHeight="1">
      <c r="A808" s="896"/>
      <c r="B808" s="902" t="s">
        <v>2160</v>
      </c>
      <c r="C808" s="897">
        <v>1</v>
      </c>
      <c r="D808" s="1263" t="s">
        <v>273</v>
      </c>
      <c r="E808" s="919">
        <v>1</v>
      </c>
      <c r="F808" s="920">
        <v>1.5</v>
      </c>
      <c r="G808" s="920">
        <v>0</v>
      </c>
      <c r="H808" s="920">
        <v>1.35</v>
      </c>
      <c r="I808" s="1266">
        <f>ROUND(IF(AND(F808:H808),C808*E808*F808*G808*H808,IF(AND(F808,G808),C808*E808*F808*G808,IF(AND(F808,H808),C808*E808*F808*H808,IF(AND(G808,H808),C808*E808*G808*H808,IF(F808,C808*E808*F808,IF(G808,C808*E808*G808,IF(H808,C808*E808*H808,C808*E808))))))),2)</f>
        <v>2.0299999999999998</v>
      </c>
      <c r="J808" s="955" t="s">
        <v>102</v>
      </c>
      <c r="K808" s="902"/>
      <c r="L808" s="923"/>
      <c r="M808" s="902"/>
      <c r="N808" s="900" t="s">
        <v>2309</v>
      </c>
    </row>
    <row r="809" spans="1:14" s="910" customFormat="1" ht="16.5" hidden="1" customHeight="1">
      <c r="A809" s="896"/>
      <c r="B809" s="902" t="s">
        <v>2160</v>
      </c>
      <c r="C809" s="897">
        <v>1</v>
      </c>
      <c r="D809" s="1263" t="s">
        <v>273</v>
      </c>
      <c r="E809" s="919">
        <v>1</v>
      </c>
      <c r="F809" s="920">
        <v>2.7</v>
      </c>
      <c r="G809" s="920">
        <v>0</v>
      </c>
      <c r="H809" s="920">
        <v>0.15</v>
      </c>
      <c r="I809" s="1266">
        <f>ROUND(IF(AND(F809:H809),C809*E809*F809*G809*H809,IF(AND(F809,G809),C809*E809*F809*G809,IF(AND(F809,H809),C809*E809*F809*H809,IF(AND(G809,H809),C809*E809*G809*H809,IF(F809,C809*E809*F809,IF(G809,C809*E809*G809,IF(H809,C809*E809*H809,C809*E809))))))),2)</f>
        <v>0.41</v>
      </c>
      <c r="J809" s="955" t="s">
        <v>102</v>
      </c>
      <c r="K809" s="902"/>
      <c r="L809" s="923"/>
      <c r="M809" s="902"/>
      <c r="N809" s="900" t="s">
        <v>2309</v>
      </c>
    </row>
    <row r="810" spans="1:14" s="910" customFormat="1" ht="16.5" hidden="1" customHeight="1">
      <c r="A810" s="896"/>
      <c r="B810" s="956"/>
      <c r="C810" s="957"/>
      <c r="D810" s="958"/>
      <c r="E810" s="1268"/>
      <c r="F810" s="960"/>
      <c r="G810" s="960"/>
      <c r="H810" s="960"/>
      <c r="I810" s="916"/>
      <c r="J810" s="955"/>
      <c r="K810" s="902"/>
      <c r="L810" s="923"/>
      <c r="M810" s="902"/>
      <c r="N810" s="900" t="s">
        <v>2309</v>
      </c>
    </row>
    <row r="811" spans="1:14" ht="15.75" hidden="1">
      <c r="A811" s="896"/>
      <c r="B811" s="902"/>
      <c r="C811" s="917"/>
      <c r="D811" s="918"/>
      <c r="E811" s="919"/>
      <c r="F811" s="920"/>
      <c r="G811" s="921"/>
      <c r="H811" s="896"/>
      <c r="I811" s="916"/>
      <c r="J811" s="955" t="s">
        <v>102</v>
      </c>
      <c r="K811" s="922">
        <f>'data 2022-23'!F844</f>
        <v>158.36000000000001</v>
      </c>
      <c r="L811" s="923" t="s">
        <v>2419</v>
      </c>
      <c r="M811" s="924">
        <f>ROUND(I811*K811,0)</f>
        <v>0</v>
      </c>
      <c r="N811" s="900" t="s">
        <v>2309</v>
      </c>
    </row>
    <row r="812" spans="1:14" ht="94.5" hidden="1" customHeight="1">
      <c r="A812" s="896">
        <v>21</v>
      </c>
      <c r="B812" s="1609" t="s">
        <v>1168</v>
      </c>
      <c r="C812" s="1609"/>
      <c r="D812" s="1609"/>
      <c r="E812" s="1609"/>
      <c r="F812" s="1609"/>
      <c r="G812" s="1609"/>
      <c r="H812" s="1609"/>
      <c r="I812" s="897"/>
      <c r="J812" s="898"/>
      <c r="K812" s="896"/>
      <c r="L812" s="923"/>
      <c r="M812" s="899"/>
      <c r="N812" s="900" t="s">
        <v>2309</v>
      </c>
    </row>
    <row r="813" spans="1:14" s="910" customFormat="1" ht="15.75" hidden="1">
      <c r="A813" s="896"/>
      <c r="B813" s="902" t="s">
        <v>3379</v>
      </c>
      <c r="C813" s="897"/>
      <c r="D813" s="1263"/>
      <c r="E813" s="919"/>
      <c r="F813" s="920"/>
      <c r="G813" s="920"/>
      <c r="H813" s="920"/>
      <c r="I813" s="1264"/>
      <c r="J813" s="955"/>
      <c r="K813" s="902"/>
      <c r="L813" s="923"/>
      <c r="M813" s="902"/>
      <c r="N813" s="900" t="s">
        <v>2309</v>
      </c>
    </row>
    <row r="814" spans="1:14" s="910" customFormat="1" ht="15.75" hidden="1">
      <c r="A814" s="896"/>
      <c r="B814" s="902" t="s">
        <v>2160</v>
      </c>
      <c r="C814" s="897">
        <v>1</v>
      </c>
      <c r="D814" s="1263" t="s">
        <v>273</v>
      </c>
      <c r="E814" s="919">
        <v>1</v>
      </c>
      <c r="F814" s="920">
        <v>12.48</v>
      </c>
      <c r="G814" s="920">
        <v>0</v>
      </c>
      <c r="H814" s="920">
        <v>3.12</v>
      </c>
      <c r="I814" s="1266">
        <f>ROUND(IF(AND(F814:H814),C814*E814*F814*G814*H814,IF(AND(F814,G814),C814*E814*F814*G814,IF(AND(F814,H814),C814*E814*F814*H814,IF(AND(G814,H814),C814*E814*G814*H814,IF(F814,C814*E814*F814,IF(G814,C814*E814*G814,IF(H814,C814*E814*H814,C814*E814))))))),2)</f>
        <v>38.94</v>
      </c>
      <c r="J814" s="955" t="s">
        <v>102</v>
      </c>
      <c r="K814" s="902"/>
      <c r="L814" s="923"/>
      <c r="M814" s="902"/>
      <c r="N814" s="900" t="s">
        <v>2309</v>
      </c>
    </row>
    <row r="815" spans="1:14" s="910" customFormat="1" ht="15.75" hidden="1">
      <c r="A815" s="896"/>
      <c r="B815" s="902" t="s">
        <v>1544</v>
      </c>
      <c r="C815" s="897">
        <v>1</v>
      </c>
      <c r="D815" s="1263" t="s">
        <v>273</v>
      </c>
      <c r="E815" s="919">
        <v>1</v>
      </c>
      <c r="F815" s="920">
        <v>8.92</v>
      </c>
      <c r="G815" s="920">
        <v>0</v>
      </c>
      <c r="H815" s="920">
        <v>3.12</v>
      </c>
      <c r="I815" s="1266">
        <f>ROUND(IF(AND(F815:H815),C815*E815*F815*G815*H815,IF(AND(F815,G815),C815*E815*F815*G815,IF(AND(F815,H815),C815*E815*F815*H815,IF(AND(G815,H815),C815*E815*G815*H815,IF(F815,C815*E815*F815,IF(G815,C815*E815*G815,IF(H815,C815*E815*H815,C815*E815))))))),2)</f>
        <v>27.83</v>
      </c>
      <c r="J815" s="955" t="s">
        <v>102</v>
      </c>
      <c r="K815" s="902"/>
      <c r="L815" s="923"/>
      <c r="M815" s="902"/>
      <c r="N815" s="900" t="s">
        <v>2309</v>
      </c>
    </row>
    <row r="816" spans="1:14" s="910" customFormat="1" ht="16.5" hidden="1" customHeight="1">
      <c r="A816" s="896"/>
      <c r="B816" s="902"/>
      <c r="C816" s="897">
        <v>1</v>
      </c>
      <c r="D816" s="1263" t="s">
        <v>273</v>
      </c>
      <c r="E816" s="919">
        <v>1</v>
      </c>
      <c r="F816" s="920">
        <v>4.4000000000000004</v>
      </c>
      <c r="G816" s="920">
        <v>0.88</v>
      </c>
      <c r="H816" s="920">
        <v>0</v>
      </c>
      <c r="I816" s="1286">
        <f>ROUND(IF(AND(F816:H816),C816*E816*F816*G816*H816,IF(AND(F816,G816),C816*E816*F816*G816,IF(AND(F816,H816),C816*E816*F816*H816,IF(AND(G816,H816),C816*E816*G816*H816,IF(F816,C816*E816*F816,IF(G816,C816*E816*G816,IF(H816,C816*E816*H816,C816*E816))))))),2)</f>
        <v>3.87</v>
      </c>
      <c r="J816" s="955" t="s">
        <v>102</v>
      </c>
      <c r="K816" s="902"/>
      <c r="L816" s="923"/>
      <c r="M816" s="902"/>
      <c r="N816" s="900" t="s">
        <v>2309</v>
      </c>
    </row>
    <row r="817" spans="1:15" s="910" customFormat="1" ht="16.5" hidden="1" customHeight="1">
      <c r="A817" s="896"/>
      <c r="B817" s="956"/>
      <c r="C817" s="957"/>
      <c r="D817" s="958"/>
      <c r="E817" s="1268"/>
      <c r="F817" s="960"/>
      <c r="G817" s="960"/>
      <c r="H817" s="960"/>
      <c r="I817" s="916"/>
      <c r="J817" s="955"/>
      <c r="K817" s="902"/>
      <c r="L817" s="923"/>
      <c r="M817" s="902"/>
      <c r="N817" s="900" t="s">
        <v>2309</v>
      </c>
    </row>
    <row r="818" spans="1:15" ht="15.75" hidden="1">
      <c r="A818" s="896"/>
      <c r="B818" s="902"/>
      <c r="C818" s="917"/>
      <c r="D818" s="918"/>
      <c r="E818" s="919"/>
      <c r="F818" s="920"/>
      <c r="G818" s="921"/>
      <c r="H818" s="896"/>
      <c r="I818" s="916"/>
      <c r="J818" s="955" t="s">
        <v>102</v>
      </c>
      <c r="K818" s="922">
        <f>'data 2022-23'!F858</f>
        <v>217.22</v>
      </c>
      <c r="L818" s="923" t="s">
        <v>2419</v>
      </c>
      <c r="M818" s="924">
        <f>ROUND(I818*K818,0)</f>
        <v>0</v>
      </c>
      <c r="N818" s="900" t="s">
        <v>2309</v>
      </c>
    </row>
    <row r="819" spans="1:15" ht="69.75" hidden="1" customHeight="1">
      <c r="A819" s="896">
        <v>22</v>
      </c>
      <c r="B819" s="1609" t="s">
        <v>124</v>
      </c>
      <c r="C819" s="1609"/>
      <c r="D819" s="1609"/>
      <c r="E819" s="1609"/>
      <c r="F819" s="1609"/>
      <c r="G819" s="1609"/>
      <c r="H819" s="1609"/>
      <c r="I819" s="897"/>
      <c r="J819" s="898"/>
      <c r="K819" s="896"/>
      <c r="L819" s="923"/>
      <c r="M819" s="899"/>
      <c r="N819" s="900" t="s">
        <v>2309</v>
      </c>
    </row>
    <row r="820" spans="1:15" s="910" customFormat="1" ht="16.5" hidden="1" customHeight="1">
      <c r="A820" s="896"/>
      <c r="B820" s="902" t="s">
        <v>3409</v>
      </c>
      <c r="C820" s="1368" t="s">
        <v>1557</v>
      </c>
      <c r="D820" s="904"/>
      <c r="E820" s="905"/>
      <c r="F820" s="906"/>
      <c r="G820" s="906"/>
      <c r="H820" s="907"/>
      <c r="I820" s="908"/>
      <c r="J820" s="955" t="s">
        <v>141</v>
      </c>
      <c r="K820" s="902"/>
      <c r="L820" s="923"/>
      <c r="M820" s="902"/>
      <c r="N820" s="900" t="s">
        <v>2309</v>
      </c>
      <c r="O820" s="1292"/>
    </row>
    <row r="821" spans="1:15" s="910" customFormat="1" ht="16.5" hidden="1" customHeight="1">
      <c r="A821" s="896"/>
      <c r="B821" s="902" t="s">
        <v>3394</v>
      </c>
      <c r="C821" s="1368" t="s">
        <v>1557</v>
      </c>
      <c r="D821" s="904"/>
      <c r="E821" s="905"/>
      <c r="F821" s="906"/>
      <c r="G821" s="906"/>
      <c r="H821" s="907"/>
      <c r="I821" s="908"/>
      <c r="J821" s="955" t="s">
        <v>141</v>
      </c>
      <c r="K821" s="902"/>
      <c r="L821" s="923"/>
      <c r="M821" s="902"/>
      <c r="N821" s="900" t="s">
        <v>2309</v>
      </c>
      <c r="O821" s="1292"/>
    </row>
    <row r="822" spans="1:15" s="910" customFormat="1" ht="16.5" hidden="1" customHeight="1">
      <c r="A822" s="896"/>
      <c r="B822" s="902" t="s">
        <v>3405</v>
      </c>
      <c r="C822" s="1368" t="s">
        <v>1559</v>
      </c>
      <c r="D822" s="904"/>
      <c r="E822" s="905"/>
      <c r="F822" s="906"/>
      <c r="G822" s="906"/>
      <c r="H822" s="907"/>
      <c r="I822" s="908"/>
      <c r="J822" s="955" t="s">
        <v>141</v>
      </c>
      <c r="K822" s="902"/>
      <c r="L822" s="923"/>
      <c r="M822" s="902"/>
      <c r="N822" s="900" t="s">
        <v>2309</v>
      </c>
      <c r="O822" s="1292"/>
    </row>
    <row r="823" spans="1:15" s="910" customFormat="1" ht="16.5" hidden="1" customHeight="1">
      <c r="A823" s="896"/>
      <c r="B823" s="902"/>
      <c r="C823" s="1369"/>
      <c r="D823" s="904"/>
      <c r="E823" s="905"/>
      <c r="F823" s="906"/>
      <c r="G823" s="906"/>
      <c r="H823" s="907"/>
      <c r="I823" s="908"/>
      <c r="J823" s="955"/>
      <c r="K823" s="902"/>
      <c r="L823" s="923"/>
      <c r="M823" s="902"/>
      <c r="N823" s="900" t="s">
        <v>2309</v>
      </c>
      <c r="O823" s="1370"/>
    </row>
    <row r="824" spans="1:15" s="910" customFormat="1" ht="16.5" hidden="1" customHeight="1">
      <c r="A824" s="896"/>
      <c r="B824" s="902"/>
      <c r="C824" s="903"/>
      <c r="D824" s="904"/>
      <c r="E824" s="905"/>
      <c r="F824" s="906"/>
      <c r="G824" s="906"/>
      <c r="H824" s="907"/>
      <c r="I824" s="908">
        <f>SUM(I820:I823)</f>
        <v>0</v>
      </c>
      <c r="J824" s="955" t="s">
        <v>141</v>
      </c>
      <c r="K824" s="902"/>
      <c r="L824" s="923"/>
      <c r="M824" s="902"/>
      <c r="N824" s="900" t="s">
        <v>2309</v>
      </c>
    </row>
    <row r="825" spans="1:15" ht="15.75" hidden="1">
      <c r="A825" s="896"/>
      <c r="B825" s="902"/>
      <c r="C825" s="917"/>
      <c r="D825" s="918"/>
      <c r="E825" s="919"/>
      <c r="F825" s="920"/>
      <c r="G825" s="921"/>
      <c r="H825" s="896" t="s">
        <v>902</v>
      </c>
      <c r="I825" s="916">
        <f>ROUND((I824/1000)*1.05,2)</f>
        <v>0</v>
      </c>
      <c r="J825" s="955" t="s">
        <v>29</v>
      </c>
      <c r="K825" s="922">
        <f>'data 2022-23'!F283</f>
        <v>90555</v>
      </c>
      <c r="L825" s="923" t="s">
        <v>280</v>
      </c>
      <c r="M825" s="924">
        <f>ROUND(I825*K825,0)</f>
        <v>0</v>
      </c>
      <c r="N825" s="900" t="s">
        <v>2309</v>
      </c>
    </row>
    <row r="826" spans="1:15" ht="15.75" hidden="1">
      <c r="A826" s="896"/>
      <c r="B826" s="902" t="s">
        <v>2412</v>
      </c>
      <c r="C826" s="917"/>
      <c r="D826" s="918"/>
      <c r="E826" s="919"/>
      <c r="F826" s="920"/>
      <c r="G826" s="921"/>
      <c r="H826" s="896"/>
      <c r="I826" s="916"/>
      <c r="J826" s="955"/>
      <c r="K826" s="922"/>
      <c r="L826" s="923"/>
      <c r="M826" s="924"/>
      <c r="N826" s="900" t="s">
        <v>2309</v>
      </c>
    </row>
    <row r="827" spans="1:15" ht="93.75" hidden="1" customHeight="1">
      <c r="A827" s="896">
        <v>2</v>
      </c>
      <c r="B827" s="1609" t="s">
        <v>1570</v>
      </c>
      <c r="C827" s="1609"/>
      <c r="D827" s="1609"/>
      <c r="E827" s="1609"/>
      <c r="F827" s="1609"/>
      <c r="G827" s="1609"/>
      <c r="H827" s="1609"/>
      <c r="I827" s="897"/>
      <c r="J827" s="898"/>
      <c r="K827" s="896"/>
      <c r="L827" s="923"/>
      <c r="M827" s="899"/>
      <c r="N827" s="900" t="s">
        <v>2309</v>
      </c>
    </row>
    <row r="828" spans="1:15" s="910" customFormat="1" ht="16.5" hidden="1" customHeight="1">
      <c r="A828" s="896"/>
      <c r="B828" s="902" t="s">
        <v>3362</v>
      </c>
      <c r="C828" s="897"/>
      <c r="D828" s="1263"/>
      <c r="E828" s="919"/>
      <c r="F828" s="920"/>
      <c r="G828" s="920"/>
      <c r="H828" s="920"/>
      <c r="I828" s="1264"/>
      <c r="J828" s="955"/>
      <c r="K828" s="902"/>
      <c r="L828" s="896"/>
      <c r="M828" s="902"/>
      <c r="N828" s="900" t="s">
        <v>2309</v>
      </c>
    </row>
    <row r="829" spans="1:15" s="910" customFormat="1" ht="16.5" hidden="1" customHeight="1">
      <c r="A829" s="896"/>
      <c r="B829" s="902"/>
      <c r="C829" s="897">
        <v>1</v>
      </c>
      <c r="D829" s="1263" t="s">
        <v>273</v>
      </c>
      <c r="E829" s="919">
        <v>4</v>
      </c>
      <c r="F829" s="920">
        <v>0.23</v>
      </c>
      <c r="G829" s="920">
        <v>0.38</v>
      </c>
      <c r="H829" s="920">
        <v>2.4</v>
      </c>
      <c r="I829" s="1266">
        <f>ROUND(IF(AND(F829:H829),C829*E829*F829*G829*H829,IF(AND(F829,G829),C829*E829*F829*G829,IF(AND(F829,H829),C829*E829*F829*H829,IF(AND(G829,H829),C829*E829*G829*H829,IF(F829,C829*E829*F829,IF(G829,C829*E829*G829,IF(H829,C829*E829*H829,C829*E829))))))),2)</f>
        <v>0.84</v>
      </c>
      <c r="J829" s="955" t="s">
        <v>5</v>
      </c>
      <c r="K829" s="902"/>
      <c r="L829" s="896"/>
      <c r="M829" s="902"/>
      <c r="N829" s="900" t="s">
        <v>2309</v>
      </c>
    </row>
    <row r="830" spans="1:15" s="910" customFormat="1" ht="16.5" hidden="1" customHeight="1">
      <c r="A830" s="896"/>
      <c r="B830" s="956"/>
      <c r="C830" s="957"/>
      <c r="D830" s="958"/>
      <c r="E830" s="1268"/>
      <c r="F830" s="960"/>
      <c r="G830" s="960"/>
      <c r="H830" s="960"/>
      <c r="I830" s="916"/>
      <c r="J830" s="955"/>
      <c r="K830" s="902"/>
      <c r="L830" s="923"/>
      <c r="M830" s="902"/>
      <c r="N830" s="900" t="s">
        <v>2309</v>
      </c>
    </row>
    <row r="831" spans="1:15" ht="15.75" hidden="1">
      <c r="A831" s="896"/>
      <c r="B831" s="902"/>
      <c r="C831" s="917"/>
      <c r="D831" s="918"/>
      <c r="E831" s="919"/>
      <c r="F831" s="920"/>
      <c r="G831" s="921"/>
      <c r="H831" s="896"/>
      <c r="I831" s="916"/>
      <c r="J831" s="955" t="s">
        <v>5</v>
      </c>
      <c r="K831" s="922">
        <f>'data 2022-23'!G152</f>
        <v>12013.61</v>
      </c>
      <c r="L831" s="923" t="s">
        <v>274</v>
      </c>
      <c r="M831" s="924">
        <f>ROUND(I831*K831,0)</f>
        <v>0</v>
      </c>
      <c r="N831" s="900" t="s">
        <v>2309</v>
      </c>
    </row>
    <row r="832" spans="1:15" ht="17.25" hidden="1" customHeight="1">
      <c r="A832" s="896">
        <v>3</v>
      </c>
      <c r="B832" s="1609" t="s">
        <v>303</v>
      </c>
      <c r="C832" s="1609"/>
      <c r="D832" s="1609"/>
      <c r="E832" s="1609"/>
      <c r="F832" s="1609"/>
      <c r="G832" s="1609"/>
      <c r="H832" s="1609"/>
      <c r="I832" s="897"/>
      <c r="J832" s="898"/>
      <c r="K832" s="896"/>
      <c r="L832" s="923"/>
      <c r="M832" s="899"/>
      <c r="N832" s="900" t="s">
        <v>2309</v>
      </c>
    </row>
    <row r="833" spans="1:14" s="910" customFormat="1" ht="16.5" hidden="1" customHeight="1">
      <c r="A833" s="896"/>
      <c r="B833" s="902" t="s">
        <v>3410</v>
      </c>
      <c r="C833" s="897"/>
      <c r="D833" s="1263"/>
      <c r="E833" s="919"/>
      <c r="F833" s="920"/>
      <c r="G833" s="920"/>
      <c r="H833" s="920"/>
      <c r="I833" s="1264"/>
      <c r="J833" s="955"/>
      <c r="K833" s="902"/>
      <c r="L833" s="923"/>
      <c r="M833" s="902"/>
      <c r="N833" s="900" t="s">
        <v>2309</v>
      </c>
    </row>
    <row r="834" spans="1:14" s="910" customFormat="1" ht="16.5" hidden="1" customHeight="1">
      <c r="A834" s="896"/>
      <c r="B834" s="902" t="s">
        <v>1239</v>
      </c>
      <c r="C834" s="897">
        <v>1</v>
      </c>
      <c r="D834" s="1263" t="s">
        <v>273</v>
      </c>
      <c r="E834" s="919">
        <v>2</v>
      </c>
      <c r="F834" s="920">
        <v>2.72</v>
      </c>
      <c r="G834" s="920">
        <v>0.23</v>
      </c>
      <c r="H834" s="920">
        <v>0.3</v>
      </c>
      <c r="I834" s="1266">
        <f>ROUND(IF(AND(F834:H834),C834*E834*F834*G834*H834,IF(AND(F834,G834),C834*E834*F834*G834,IF(AND(F834,H834),C834*E834*F834*H834,IF(AND(G834,H834),C834*E834*G834*H834,IF(F834,C834*E834*F834,IF(G834,C834*E834*G834,IF(H834,C834*E834*H834,C834*E834))))))),2)</f>
        <v>0.38</v>
      </c>
      <c r="J834" s="955" t="s">
        <v>5</v>
      </c>
      <c r="K834" s="902"/>
      <c r="L834" s="923"/>
      <c r="M834" s="902"/>
      <c r="N834" s="900" t="s">
        <v>2309</v>
      </c>
    </row>
    <row r="835" spans="1:14" s="910" customFormat="1" ht="16.5" hidden="1" customHeight="1">
      <c r="A835" s="896"/>
      <c r="B835" s="902" t="s">
        <v>1239</v>
      </c>
      <c r="C835" s="897">
        <v>1</v>
      </c>
      <c r="D835" s="1263" t="s">
        <v>273</v>
      </c>
      <c r="E835" s="919">
        <v>2</v>
      </c>
      <c r="F835" s="920">
        <v>5.5</v>
      </c>
      <c r="G835" s="920">
        <v>0.23</v>
      </c>
      <c r="H835" s="920">
        <v>0.3</v>
      </c>
      <c r="I835" s="1266">
        <f>ROUND(IF(AND(F835:H835),C835*E835*F835*G835*H835,IF(AND(F835,G835),C835*E835*F835*G835,IF(AND(F835,H835),C835*E835*F835*H835,IF(AND(G835,H835),C835*E835*G835*H835,IF(F835,C835*E835*F835,IF(G835,C835*E835*G835,IF(H835,C835*E835*H835,C835*E835))))))),2)</f>
        <v>0.76</v>
      </c>
      <c r="J835" s="955" t="s">
        <v>5</v>
      </c>
      <c r="K835" s="902"/>
      <c r="L835" s="923"/>
      <c r="M835" s="902"/>
      <c r="N835" s="900" t="s">
        <v>2309</v>
      </c>
    </row>
    <row r="836" spans="1:14" s="910" customFormat="1" ht="16.5" hidden="1" customHeight="1">
      <c r="A836" s="896"/>
      <c r="B836" s="956"/>
      <c r="C836" s="957"/>
      <c r="D836" s="958"/>
      <c r="E836" s="1268"/>
      <c r="F836" s="960"/>
      <c r="G836" s="960"/>
      <c r="H836" s="960"/>
      <c r="I836" s="916"/>
      <c r="J836" s="955"/>
      <c r="K836" s="902"/>
      <c r="L836" s="923"/>
      <c r="M836" s="902"/>
      <c r="N836" s="900" t="s">
        <v>2309</v>
      </c>
    </row>
    <row r="837" spans="1:14" ht="15.75" hidden="1">
      <c r="A837" s="896"/>
      <c r="B837" s="902"/>
      <c r="C837" s="917"/>
      <c r="D837" s="918"/>
      <c r="E837" s="919"/>
      <c r="F837" s="920"/>
      <c r="G837" s="921"/>
      <c r="H837" s="896"/>
      <c r="I837" s="916"/>
      <c r="J837" s="955" t="s">
        <v>5</v>
      </c>
      <c r="K837" s="922">
        <f>'data 2022-23'!G179</f>
        <v>11098.560000000001</v>
      </c>
      <c r="L837" s="923" t="s">
        <v>274</v>
      </c>
      <c r="M837" s="924">
        <f>ROUND(I837*K837,0)</f>
        <v>0</v>
      </c>
      <c r="N837" s="900" t="s">
        <v>2309</v>
      </c>
    </row>
    <row r="838" spans="1:14" ht="17.25" hidden="1" customHeight="1">
      <c r="A838" s="896">
        <v>11</v>
      </c>
      <c r="B838" s="1609" t="s">
        <v>304</v>
      </c>
      <c r="C838" s="1609"/>
      <c r="D838" s="1609"/>
      <c r="E838" s="1609"/>
      <c r="F838" s="1609"/>
      <c r="G838" s="1609"/>
      <c r="H838" s="1609"/>
      <c r="I838" s="897"/>
      <c r="J838" s="898"/>
      <c r="K838" s="896"/>
      <c r="L838" s="923"/>
      <c r="M838" s="899"/>
      <c r="N838" s="900" t="s">
        <v>2309</v>
      </c>
    </row>
    <row r="839" spans="1:14" s="910" customFormat="1" ht="16.5" hidden="1" customHeight="1">
      <c r="A839" s="896"/>
      <c r="B839" s="902" t="s">
        <v>3411</v>
      </c>
      <c r="C839" s="897"/>
      <c r="D839" s="1263"/>
      <c r="E839" s="919"/>
      <c r="F839" s="920"/>
      <c r="G839" s="920"/>
      <c r="H839" s="920"/>
      <c r="I839" s="1264"/>
      <c r="J839" s="955"/>
      <c r="K839" s="902"/>
      <c r="L839" s="923"/>
      <c r="M839" s="902"/>
      <c r="N839" s="900" t="s">
        <v>2309</v>
      </c>
    </row>
    <row r="840" spans="1:14" s="910" customFormat="1" ht="16.5" hidden="1" customHeight="1">
      <c r="A840" s="896"/>
      <c r="B840" s="902" t="s">
        <v>267</v>
      </c>
      <c r="C840" s="897">
        <v>1</v>
      </c>
      <c r="D840" s="1263" t="s">
        <v>273</v>
      </c>
      <c r="E840" s="919">
        <v>1</v>
      </c>
      <c r="F840" s="920">
        <v>3.23</v>
      </c>
      <c r="G840" s="920">
        <v>1.28</v>
      </c>
      <c r="H840" s="920">
        <v>0</v>
      </c>
      <c r="I840" s="1266">
        <f>ROUND(IF(AND(F840:H840),C840*E840*F840*G840*H840,IF(AND(F840,G840),C840*E840*F840*G840,IF(AND(F840,H840),C840*E840*F840*H840,IF(AND(G840,H840),C840*E840*G840*H840,IF(F840,C840*E840*F840,IF(G840,C840*E840*G840,IF(H840,C840*E840*H840,C840*E840))))))),2)</f>
        <v>4.13</v>
      </c>
      <c r="J840" s="955" t="s">
        <v>102</v>
      </c>
      <c r="K840" s="902"/>
      <c r="L840" s="923"/>
      <c r="M840" s="902"/>
      <c r="N840" s="900" t="s">
        <v>2309</v>
      </c>
    </row>
    <row r="841" spans="1:14" s="910" customFormat="1" ht="16.5" hidden="1" customHeight="1">
      <c r="A841" s="896"/>
      <c r="B841" s="902" t="s">
        <v>801</v>
      </c>
      <c r="C841" s="897">
        <v>1</v>
      </c>
      <c r="D841" s="1263" t="s">
        <v>273</v>
      </c>
      <c r="E841" s="919">
        <v>1</v>
      </c>
      <c r="F841" s="920">
        <v>2.72</v>
      </c>
      <c r="G841" s="920">
        <v>1</v>
      </c>
      <c r="H841" s="920">
        <v>0</v>
      </c>
      <c r="I841" s="1266">
        <f>ROUND(IF(AND(F841:H841),C841*E841*F841*G841*H841,IF(AND(F841,G841),C841*E841*F841*G841,IF(AND(F841,H841),C841*E841*F841*H841,IF(AND(G841,H841),C841*E841*G841*H841,IF(F841,C841*E841*F841,IF(G841,C841*E841*G841,IF(H841,C841*E841*H841,C841*E841))))))),2)</f>
        <v>2.72</v>
      </c>
      <c r="J841" s="955" t="s">
        <v>102</v>
      </c>
      <c r="K841" s="902"/>
      <c r="L841" s="923"/>
      <c r="M841" s="902"/>
      <c r="N841" s="900" t="s">
        <v>2309</v>
      </c>
    </row>
    <row r="842" spans="1:14" s="910" customFormat="1" ht="16.5" hidden="1" customHeight="1">
      <c r="A842" s="896"/>
      <c r="B842" s="956"/>
      <c r="C842" s="957"/>
      <c r="D842" s="958"/>
      <c r="E842" s="1268"/>
      <c r="F842" s="960"/>
      <c r="G842" s="960"/>
      <c r="H842" s="960"/>
      <c r="I842" s="916"/>
      <c r="J842" s="955"/>
      <c r="K842" s="902"/>
      <c r="L842" s="923"/>
      <c r="M842" s="902"/>
      <c r="N842" s="900" t="s">
        <v>2309</v>
      </c>
    </row>
    <row r="843" spans="1:14" ht="15.75" hidden="1">
      <c r="A843" s="896"/>
      <c r="B843" s="902"/>
      <c r="C843" s="917"/>
      <c r="D843" s="918"/>
      <c r="E843" s="919"/>
      <c r="F843" s="920"/>
      <c r="G843" s="921"/>
      <c r="H843" s="896"/>
      <c r="I843" s="916"/>
      <c r="J843" s="955" t="s">
        <v>102</v>
      </c>
      <c r="K843" s="922">
        <f>'data 2022-23'!G200</f>
        <v>1737.05</v>
      </c>
      <c r="L843" s="923" t="s">
        <v>2419</v>
      </c>
      <c r="M843" s="924">
        <f>ROUND(I843*K843,0)</f>
        <v>0</v>
      </c>
      <c r="N843" s="900" t="s">
        <v>2309</v>
      </c>
    </row>
    <row r="844" spans="1:14" ht="17.25" hidden="1" customHeight="1">
      <c r="A844" s="896">
        <v>4</v>
      </c>
      <c r="B844" s="1609" t="s">
        <v>305</v>
      </c>
      <c r="C844" s="1609"/>
      <c r="D844" s="1609"/>
      <c r="E844" s="1609"/>
      <c r="F844" s="1609"/>
      <c r="G844" s="1609"/>
      <c r="H844" s="1609"/>
      <c r="I844" s="897"/>
      <c r="J844" s="898"/>
      <c r="K844" s="896"/>
      <c r="L844" s="923"/>
      <c r="M844" s="899"/>
      <c r="N844" s="900" t="s">
        <v>2309</v>
      </c>
    </row>
    <row r="845" spans="1:14" s="910" customFormat="1" ht="16.5" hidden="1" customHeight="1">
      <c r="A845" s="896"/>
      <c r="B845" s="902" t="s">
        <v>3381</v>
      </c>
      <c r="C845" s="897"/>
      <c r="D845" s="1263"/>
      <c r="E845" s="919"/>
      <c r="F845" s="920"/>
      <c r="G845" s="920"/>
      <c r="H845" s="920"/>
      <c r="I845" s="1264"/>
      <c r="J845" s="955"/>
      <c r="K845" s="902"/>
      <c r="L845" s="896"/>
      <c r="M845" s="902"/>
      <c r="N845" s="900" t="s">
        <v>2309</v>
      </c>
    </row>
    <row r="846" spans="1:14" s="910" customFormat="1" ht="16.5" hidden="1" customHeight="1">
      <c r="A846" s="896"/>
      <c r="B846" s="902" t="s">
        <v>1627</v>
      </c>
      <c r="C846" s="897">
        <v>1</v>
      </c>
      <c r="D846" s="1263" t="s">
        <v>273</v>
      </c>
      <c r="E846" s="919">
        <v>1</v>
      </c>
      <c r="F846" s="920">
        <v>5.5</v>
      </c>
      <c r="G846" s="920">
        <v>3.9</v>
      </c>
      <c r="H846" s="920">
        <v>0</v>
      </c>
      <c r="I846" s="1266">
        <f>ROUND(IF(AND(F846:H846),C846*E846*F846*G846*H846,IF(AND(F846,G846),C846*E846*F846*G846,IF(AND(F846,H846),C846*E846*F846*H846,IF(AND(G846,H846),C846*E846*G846*H846,IF(F846,C846*E846*F846,IF(G846,C846*E846*G846,IF(H846,C846*E846*H846,C846*E846))))))),2)</f>
        <v>21.45</v>
      </c>
      <c r="J846" s="955" t="s">
        <v>102</v>
      </c>
      <c r="K846" s="902"/>
      <c r="L846" s="896"/>
      <c r="M846" s="902"/>
      <c r="N846" s="900" t="s">
        <v>2309</v>
      </c>
    </row>
    <row r="847" spans="1:14" s="910" customFormat="1" ht="16.5" hidden="1" customHeight="1">
      <c r="A847" s="896"/>
      <c r="B847" s="1281"/>
      <c r="C847" s="1282"/>
      <c r="D847" s="1276"/>
      <c r="E847" s="1283"/>
      <c r="F847" s="1284"/>
      <c r="G847" s="1284"/>
      <c r="H847" s="1285"/>
      <c r="I847" s="1278"/>
      <c r="J847" s="955"/>
      <c r="K847" s="902"/>
      <c r="L847" s="923"/>
      <c r="M847" s="902"/>
      <c r="N847" s="900" t="s">
        <v>2309</v>
      </c>
    </row>
    <row r="848" spans="1:14" ht="15.75" hidden="1">
      <c r="A848" s="896"/>
      <c r="B848" s="902"/>
      <c r="C848" s="917"/>
      <c r="D848" s="918"/>
      <c r="E848" s="919"/>
      <c r="F848" s="920"/>
      <c r="G848" s="921"/>
      <c r="H848" s="896"/>
      <c r="I848" s="916"/>
      <c r="J848" s="955" t="s">
        <v>102</v>
      </c>
      <c r="K848" s="922">
        <f>'data 2022-23'!G193</f>
        <v>1594.17</v>
      </c>
      <c r="L848" s="923" t="s">
        <v>2419</v>
      </c>
      <c r="M848" s="924">
        <f>ROUND(I848*K848,0)</f>
        <v>0</v>
      </c>
      <c r="N848" s="900" t="s">
        <v>2309</v>
      </c>
    </row>
    <row r="849" spans="1:14" ht="17.25" hidden="1" customHeight="1">
      <c r="A849" s="896">
        <v>13</v>
      </c>
      <c r="B849" s="1609" t="s">
        <v>582</v>
      </c>
      <c r="C849" s="1609"/>
      <c r="D849" s="1609"/>
      <c r="E849" s="1609"/>
      <c r="F849" s="1609"/>
      <c r="G849" s="1609"/>
      <c r="H849" s="1609"/>
      <c r="I849" s="897"/>
      <c r="J849" s="898"/>
      <c r="K849" s="896"/>
      <c r="L849" s="923"/>
      <c r="M849" s="899"/>
      <c r="N849" s="900" t="s">
        <v>2309</v>
      </c>
    </row>
    <row r="850" spans="1:14" s="910" customFormat="1" ht="16.5" hidden="1" customHeight="1">
      <c r="A850" s="896"/>
      <c r="B850" s="902" t="s">
        <v>3401</v>
      </c>
      <c r="C850" s="897"/>
      <c r="D850" s="1263"/>
      <c r="E850" s="919"/>
      <c r="F850" s="920"/>
      <c r="G850" s="920"/>
      <c r="H850" s="920"/>
      <c r="I850" s="1264"/>
      <c r="J850" s="955"/>
      <c r="K850" s="902"/>
      <c r="L850" s="923"/>
      <c r="M850" s="902"/>
      <c r="N850" s="900" t="s">
        <v>2309</v>
      </c>
    </row>
    <row r="851" spans="1:14" s="910" customFormat="1" ht="16.5" hidden="1" customHeight="1">
      <c r="A851" s="896"/>
      <c r="B851" s="902" t="s">
        <v>1240</v>
      </c>
      <c r="C851" s="897">
        <v>1</v>
      </c>
      <c r="D851" s="1263" t="s">
        <v>273</v>
      </c>
      <c r="E851" s="919">
        <v>1</v>
      </c>
      <c r="F851" s="920">
        <v>3.95</v>
      </c>
      <c r="G851" s="920">
        <v>2.1</v>
      </c>
      <c r="H851" s="920">
        <v>0</v>
      </c>
      <c r="I851" s="1266">
        <f>ROUND(IF(AND(F851:H851),C851*E851*F851*G851*H851,IF(AND(F851,G851),C851*E851*F851*G851,IF(AND(F851,H851),C851*E851*F851*H851,IF(AND(G851,H851),C851*E851*G851*H851,IF(F851,C851*E851*F851,IF(G851,C851*E851*G851,IF(H851,C851*E851*H851,C851*E851))))))),2)</f>
        <v>8.3000000000000007</v>
      </c>
      <c r="J851" s="955" t="s">
        <v>102</v>
      </c>
      <c r="K851" s="902"/>
      <c r="L851" s="923"/>
      <c r="M851" s="902"/>
      <c r="N851" s="900" t="s">
        <v>2309</v>
      </c>
    </row>
    <row r="852" spans="1:14" s="910" customFormat="1" ht="16.5" hidden="1" customHeight="1">
      <c r="A852" s="896"/>
      <c r="B852" s="1281"/>
      <c r="C852" s="1282"/>
      <c r="D852" s="1276"/>
      <c r="E852" s="1283"/>
      <c r="F852" s="1284"/>
      <c r="G852" s="1284"/>
      <c r="H852" s="1285"/>
      <c r="I852" s="1278"/>
      <c r="J852" s="955"/>
      <c r="K852" s="902"/>
      <c r="L852" s="923"/>
      <c r="M852" s="902"/>
      <c r="N852" s="900" t="s">
        <v>2309</v>
      </c>
    </row>
    <row r="853" spans="1:14" ht="15.75" hidden="1">
      <c r="A853" s="896"/>
      <c r="B853" s="902"/>
      <c r="C853" s="917"/>
      <c r="D853" s="918"/>
      <c r="E853" s="919"/>
      <c r="F853" s="920"/>
      <c r="G853" s="921"/>
      <c r="H853" s="896"/>
      <c r="I853" s="916"/>
      <c r="J853" s="955" t="s">
        <v>102</v>
      </c>
      <c r="K853" s="922">
        <f>'data 2022-23'!G186</f>
        <v>1451.29</v>
      </c>
      <c r="L853" s="923" t="s">
        <v>2419</v>
      </c>
      <c r="M853" s="924">
        <f>ROUND(I853*K853,0)</f>
        <v>0</v>
      </c>
      <c r="N853" s="900" t="s">
        <v>2309</v>
      </c>
    </row>
    <row r="854" spans="1:14" ht="18.75" hidden="1" customHeight="1">
      <c r="A854" s="896">
        <v>16</v>
      </c>
      <c r="B854" s="1609" t="s">
        <v>1314</v>
      </c>
      <c r="C854" s="1609"/>
      <c r="D854" s="1609"/>
      <c r="E854" s="1609"/>
      <c r="F854" s="1609"/>
      <c r="G854" s="1609"/>
      <c r="H854" s="1609"/>
      <c r="I854" s="897"/>
      <c r="J854" s="898"/>
      <c r="K854" s="896"/>
      <c r="L854" s="923"/>
      <c r="M854" s="899"/>
      <c r="N854" s="900" t="s">
        <v>2309</v>
      </c>
    </row>
    <row r="855" spans="1:14" s="910" customFormat="1" ht="16.5" hidden="1" customHeight="1">
      <c r="A855" s="896"/>
      <c r="B855" s="902" t="s">
        <v>3387</v>
      </c>
      <c r="C855" s="897"/>
      <c r="D855" s="1263"/>
      <c r="E855" s="919"/>
      <c r="F855" s="920"/>
      <c r="G855" s="920"/>
      <c r="H855" s="920"/>
      <c r="I855" s="1264"/>
      <c r="J855" s="955"/>
      <c r="K855" s="902"/>
      <c r="L855" s="923"/>
      <c r="M855" s="902"/>
      <c r="N855" s="900" t="s">
        <v>2309</v>
      </c>
    </row>
    <row r="856" spans="1:14" s="910" customFormat="1" ht="16.5" hidden="1" customHeight="1">
      <c r="A856" s="896"/>
      <c r="B856" s="902" t="s">
        <v>1229</v>
      </c>
      <c r="C856" s="897">
        <v>1</v>
      </c>
      <c r="D856" s="1263" t="s">
        <v>273</v>
      </c>
      <c r="E856" s="919">
        <v>5</v>
      </c>
      <c r="F856" s="920">
        <v>1.52</v>
      </c>
      <c r="G856" s="920">
        <v>0.23</v>
      </c>
      <c r="H856" s="920">
        <v>0</v>
      </c>
      <c r="I856" s="1266">
        <f>ROUND(IF(AND(F856:H856),C856*E856*F856*G856*H856,IF(AND(F856,G856),C856*E856*F856*G856,IF(AND(F856,H856),C856*E856*F856*H856,IF(AND(G856,H856),C856*E856*G856*H856,IF(F856,C856*E856*F856,IF(G856,C856*E856*G856,IF(H856,C856*E856*H856,C856*E856))))))),2)</f>
        <v>1.75</v>
      </c>
      <c r="J856" s="955" t="s">
        <v>102</v>
      </c>
      <c r="K856" s="902"/>
      <c r="L856" s="923"/>
      <c r="M856" s="902"/>
      <c r="N856" s="900" t="s">
        <v>2309</v>
      </c>
    </row>
    <row r="857" spans="1:14" s="910" customFormat="1" ht="16.5" hidden="1" customHeight="1">
      <c r="A857" s="896"/>
      <c r="B857" s="902"/>
      <c r="C857" s="897">
        <v>1</v>
      </c>
      <c r="D857" s="1263" t="s">
        <v>273</v>
      </c>
      <c r="E857" s="919">
        <v>4</v>
      </c>
      <c r="F857" s="920">
        <v>1.83</v>
      </c>
      <c r="G857" s="920">
        <v>0.23</v>
      </c>
      <c r="H857" s="920">
        <v>0</v>
      </c>
      <c r="I857" s="1266">
        <f>ROUND(IF(AND(F857:H857),C857*E857*F857*G857*H857,IF(AND(F857,G857),C857*E857*F857*G857,IF(AND(F857,H857),C857*E857*F857*H857,IF(AND(G857,H857),C857*E857*G857*H857,IF(F857,C857*E857*F857,IF(G857,C857*E857*G857,IF(H857,C857*E857*H857,C857*E857))))))),2)</f>
        <v>1.68</v>
      </c>
      <c r="J857" s="955" t="s">
        <v>102</v>
      </c>
      <c r="K857" s="902"/>
      <c r="L857" s="923"/>
      <c r="M857" s="902"/>
      <c r="N857" s="900" t="s">
        <v>2309</v>
      </c>
    </row>
    <row r="858" spans="1:14" s="910" customFormat="1" ht="16.5" hidden="1" customHeight="1">
      <c r="A858" s="896"/>
      <c r="B858" s="956"/>
      <c r="C858" s="957"/>
      <c r="D858" s="958"/>
      <c r="E858" s="1268"/>
      <c r="F858" s="960"/>
      <c r="G858" s="960"/>
      <c r="H858" s="960"/>
      <c r="I858" s="916"/>
      <c r="J858" s="955"/>
      <c r="K858" s="902"/>
      <c r="L858" s="923"/>
      <c r="M858" s="902"/>
      <c r="N858" s="900" t="s">
        <v>2309</v>
      </c>
    </row>
    <row r="859" spans="1:14" ht="15.75" hidden="1">
      <c r="A859" s="896"/>
      <c r="B859" s="902"/>
      <c r="C859" s="917"/>
      <c r="D859" s="918"/>
      <c r="E859" s="919"/>
      <c r="F859" s="920"/>
      <c r="G859" s="921"/>
      <c r="H859" s="896"/>
      <c r="I859" s="916"/>
      <c r="J859" s="955" t="s">
        <v>102</v>
      </c>
      <c r="K859" s="922">
        <f>'data 2022-23'!G242</f>
        <v>865.17</v>
      </c>
      <c r="L859" s="923" t="s">
        <v>2419</v>
      </c>
      <c r="M859" s="924">
        <f>ROUND(I859*K859,0)</f>
        <v>0</v>
      </c>
      <c r="N859" s="900" t="s">
        <v>2309</v>
      </c>
    </row>
    <row r="860" spans="1:14" ht="18.75" hidden="1" customHeight="1">
      <c r="A860" s="896">
        <v>16</v>
      </c>
      <c r="B860" s="1609" t="s">
        <v>1316</v>
      </c>
      <c r="C860" s="1609"/>
      <c r="D860" s="1609"/>
      <c r="E860" s="1609"/>
      <c r="F860" s="1609"/>
      <c r="G860" s="1609"/>
      <c r="H860" s="1609"/>
      <c r="I860" s="897"/>
      <c r="J860" s="898"/>
      <c r="K860" s="896"/>
      <c r="L860" s="923"/>
      <c r="M860" s="899"/>
      <c r="N860" s="900" t="s">
        <v>2309</v>
      </c>
    </row>
    <row r="861" spans="1:14" s="910" customFormat="1" ht="16.5" hidden="1" customHeight="1">
      <c r="A861" s="896"/>
      <c r="B861" s="902" t="s">
        <v>3387</v>
      </c>
      <c r="C861" s="897"/>
      <c r="D861" s="1263"/>
      <c r="E861" s="919"/>
      <c r="F861" s="920"/>
      <c r="G861" s="920"/>
      <c r="H861" s="920"/>
      <c r="I861" s="1264"/>
      <c r="J861" s="955"/>
      <c r="K861" s="902"/>
      <c r="L861" s="923"/>
      <c r="M861" s="902"/>
      <c r="N861" s="900" t="s">
        <v>2309</v>
      </c>
    </row>
    <row r="862" spans="1:14" s="910" customFormat="1" ht="16.5" hidden="1" customHeight="1">
      <c r="A862" s="896"/>
      <c r="B862" s="902" t="s">
        <v>1229</v>
      </c>
      <c r="C862" s="897">
        <v>1</v>
      </c>
      <c r="D862" s="1263" t="s">
        <v>273</v>
      </c>
      <c r="E862" s="919">
        <v>5</v>
      </c>
      <c r="F862" s="920">
        <v>1.52</v>
      </c>
      <c r="G862" s="920">
        <v>0.23</v>
      </c>
      <c r="H862" s="920">
        <v>0</v>
      </c>
      <c r="I862" s="1266">
        <f>ROUND(IF(AND(F862:H862),C862*E862*F862*G862*H862,IF(AND(F862,G862),C862*E862*F862*G862,IF(AND(F862,H862),C862*E862*F862*H862,IF(AND(G862,H862),C862*E862*G862*H862,IF(F862,C862*E862*F862,IF(G862,C862*E862*G862,IF(H862,C862*E862*H862,C862*E862))))))),2)</f>
        <v>1.75</v>
      </c>
      <c r="J862" s="955" t="s">
        <v>102</v>
      </c>
      <c r="K862" s="902"/>
      <c r="L862" s="923"/>
      <c r="M862" s="902"/>
      <c r="N862" s="900" t="s">
        <v>2309</v>
      </c>
    </row>
    <row r="863" spans="1:14" s="910" customFormat="1" ht="16.5" hidden="1" customHeight="1">
      <c r="A863" s="896"/>
      <c r="B863" s="902"/>
      <c r="C863" s="897">
        <v>1</v>
      </c>
      <c r="D863" s="1263" t="s">
        <v>273</v>
      </c>
      <c r="E863" s="919">
        <v>4</v>
      </c>
      <c r="F863" s="920">
        <v>1.83</v>
      </c>
      <c r="G863" s="920">
        <v>0.23</v>
      </c>
      <c r="H863" s="920">
        <v>0</v>
      </c>
      <c r="I863" s="1266">
        <f>ROUND(IF(AND(F863:H863),C863*E863*F863*G863*H863,IF(AND(F863,G863),C863*E863*F863*G863,IF(AND(F863,H863),C863*E863*F863*H863,IF(AND(G863,H863),C863*E863*G863*H863,IF(F863,C863*E863*F863,IF(G863,C863*E863*G863,IF(H863,C863*E863*H863,C863*E863))))))),2)</f>
        <v>1.68</v>
      </c>
      <c r="J863" s="955" t="s">
        <v>102</v>
      </c>
      <c r="K863" s="902"/>
      <c r="L863" s="923"/>
      <c r="M863" s="902"/>
      <c r="N863" s="900" t="s">
        <v>2309</v>
      </c>
    </row>
    <row r="864" spans="1:14" s="910" customFormat="1" ht="16.5" hidden="1" customHeight="1">
      <c r="A864" s="896"/>
      <c r="B864" s="956"/>
      <c r="C864" s="957"/>
      <c r="D864" s="958"/>
      <c r="E864" s="1268"/>
      <c r="F864" s="960"/>
      <c r="G864" s="960"/>
      <c r="H864" s="960"/>
      <c r="I864" s="916"/>
      <c r="J864" s="955"/>
      <c r="K864" s="902"/>
      <c r="L864" s="923"/>
      <c r="M864" s="902"/>
      <c r="N864" s="900" t="s">
        <v>2309</v>
      </c>
    </row>
    <row r="865" spans="1:14" ht="15.75" hidden="1">
      <c r="A865" s="896"/>
      <c r="B865" s="902"/>
      <c r="C865" s="917"/>
      <c r="D865" s="918"/>
      <c r="E865" s="919"/>
      <c r="F865" s="920"/>
      <c r="G865" s="921"/>
      <c r="H865" s="896"/>
      <c r="I865" s="916"/>
      <c r="J865" s="955" t="s">
        <v>102</v>
      </c>
      <c r="K865" s="922">
        <f>'data 2022-23'!G249</f>
        <v>724.02</v>
      </c>
      <c r="L865" s="923" t="s">
        <v>2419</v>
      </c>
      <c r="M865" s="924">
        <f>ROUND(I865*K865,0)</f>
        <v>0</v>
      </c>
      <c r="N865" s="900" t="s">
        <v>2309</v>
      </c>
    </row>
    <row r="866" spans="1:14" ht="17.25" hidden="1" customHeight="1">
      <c r="A866" s="896">
        <v>4</v>
      </c>
      <c r="B866" s="1609" t="s">
        <v>580</v>
      </c>
      <c r="C866" s="1609"/>
      <c r="D866" s="1609"/>
      <c r="E866" s="1609"/>
      <c r="F866" s="1609"/>
      <c r="G866" s="1609"/>
      <c r="H866" s="1609"/>
      <c r="I866" s="897"/>
      <c r="J866" s="898"/>
      <c r="K866" s="896"/>
      <c r="L866" s="923"/>
      <c r="M866" s="899"/>
      <c r="N866" s="900" t="s">
        <v>2309</v>
      </c>
    </row>
    <row r="867" spans="1:14" s="910" customFormat="1" ht="16.5" hidden="1" customHeight="1">
      <c r="A867" s="896"/>
      <c r="B867" s="902" t="s">
        <v>3412</v>
      </c>
      <c r="C867" s="897"/>
      <c r="D867" s="1263"/>
      <c r="E867" s="919"/>
      <c r="F867" s="920"/>
      <c r="G867" s="920"/>
      <c r="H867" s="920"/>
      <c r="I867" s="1264"/>
      <c r="J867" s="955"/>
      <c r="K867" s="902"/>
      <c r="L867" s="923"/>
      <c r="M867" s="902"/>
      <c r="N867" s="900" t="s">
        <v>2309</v>
      </c>
    </row>
    <row r="868" spans="1:14" s="910" customFormat="1" ht="16.5" hidden="1" customHeight="1">
      <c r="A868" s="896"/>
      <c r="B868" s="902" t="s">
        <v>1628</v>
      </c>
      <c r="C868" s="897">
        <v>1</v>
      </c>
      <c r="D868" s="1263" t="s">
        <v>273</v>
      </c>
      <c r="E868" s="919">
        <v>2</v>
      </c>
      <c r="F868" s="920">
        <v>2.9</v>
      </c>
      <c r="G868" s="920">
        <v>0.23</v>
      </c>
      <c r="H868" s="920">
        <v>0.15</v>
      </c>
      <c r="I868" s="1266">
        <f>ROUND(IF(AND(F868:H868),C868*E868*F868*G868*H868,IF(AND(F868,G868),C868*E868*F868*G868,IF(AND(F868,H868),C868*E868*F868*H868,IF(AND(G868,H868),C868*E868*G868*H868,IF(F868,C868*E868*F868,IF(G868,C868*E868*G868,IF(H868,C868*E868*H868,C868*E868))))))),2)</f>
        <v>0.2</v>
      </c>
      <c r="J868" s="955" t="s">
        <v>5</v>
      </c>
      <c r="K868" s="902"/>
      <c r="L868" s="923"/>
      <c r="M868" s="902"/>
      <c r="N868" s="900" t="s">
        <v>2309</v>
      </c>
    </row>
    <row r="869" spans="1:14" s="910" customFormat="1" ht="16.5" hidden="1" customHeight="1">
      <c r="A869" s="896"/>
      <c r="B869" s="902"/>
      <c r="C869" s="897">
        <v>1</v>
      </c>
      <c r="D869" s="1263" t="s">
        <v>273</v>
      </c>
      <c r="E869" s="919">
        <v>2</v>
      </c>
      <c r="F869" s="920">
        <v>1</v>
      </c>
      <c r="G869" s="920">
        <v>0.23</v>
      </c>
      <c r="H869" s="920">
        <v>0.15</v>
      </c>
      <c r="I869" s="1266">
        <f>ROUND(IF(AND(F869:H869),C869*E869*F869*G869*H869,IF(AND(F869,G869),C869*E869*F869*G869,IF(AND(F869,H869),C869*E869*F869*H869,IF(AND(G869,H869),C869*E869*G869*H869,IF(F869,C869*E869*F869,IF(G869,C869*E869*G869,IF(H869,C869*E869*H869,C869*E869))))))),2)</f>
        <v>7.0000000000000007E-2</v>
      </c>
      <c r="J869" s="955" t="s">
        <v>5</v>
      </c>
      <c r="K869" s="902"/>
      <c r="L869" s="923"/>
      <c r="M869" s="902"/>
      <c r="N869" s="900" t="s">
        <v>2309</v>
      </c>
    </row>
    <row r="870" spans="1:14" s="910" customFormat="1" ht="16.5" hidden="1" customHeight="1">
      <c r="A870" s="896"/>
      <c r="B870" s="902"/>
      <c r="C870" s="897">
        <v>1</v>
      </c>
      <c r="D870" s="1263" t="s">
        <v>273</v>
      </c>
      <c r="E870" s="919">
        <v>1</v>
      </c>
      <c r="F870" s="920">
        <v>3.15</v>
      </c>
      <c r="G870" s="920">
        <v>0.23</v>
      </c>
      <c r="H870" s="920">
        <v>0.15</v>
      </c>
      <c r="I870" s="1266">
        <f>ROUND(IF(AND(F870:H870),C870*E870*F870*G870*H870,IF(AND(F870,G870),C870*E870*F870*G870,IF(AND(F870,H870),C870*E870*F870*H870,IF(AND(G870,H870),C870*E870*G870*H870,IF(F870,C870*E870*F870,IF(G870,C870*E870*G870,IF(H870,C870*E870*H870,C870*E870))))))),2)</f>
        <v>0.11</v>
      </c>
      <c r="J870" s="955" t="s">
        <v>5</v>
      </c>
      <c r="K870" s="902"/>
      <c r="L870" s="923"/>
      <c r="M870" s="902"/>
      <c r="N870" s="900" t="s">
        <v>2309</v>
      </c>
    </row>
    <row r="871" spans="1:14" s="910" customFormat="1" ht="16.5" hidden="1" customHeight="1">
      <c r="A871" s="896"/>
      <c r="B871" s="956"/>
      <c r="C871" s="957"/>
      <c r="D871" s="958"/>
      <c r="E871" s="1268"/>
      <c r="F871" s="920"/>
      <c r="G871" s="920"/>
      <c r="H871" s="920"/>
      <c r="I871" s="916"/>
      <c r="J871" s="955"/>
      <c r="K871" s="902"/>
      <c r="L871" s="923"/>
      <c r="M871" s="902"/>
      <c r="N871" s="900" t="s">
        <v>2309</v>
      </c>
    </row>
    <row r="872" spans="1:14" ht="15.75" hidden="1">
      <c r="A872" s="896"/>
      <c r="B872" s="902"/>
      <c r="C872" s="917"/>
      <c r="D872" s="918"/>
      <c r="E872" s="919"/>
      <c r="F872" s="920"/>
      <c r="G872" s="921"/>
      <c r="H872" s="896"/>
      <c r="I872" s="916"/>
      <c r="J872" s="955" t="s">
        <v>5</v>
      </c>
      <c r="K872" s="922">
        <f>'data 2022-23'!G158</f>
        <v>11874.810000000001</v>
      </c>
      <c r="L872" s="923" t="s">
        <v>274</v>
      </c>
      <c r="M872" s="924">
        <f>ROUND(I872*K872,0)</f>
        <v>0</v>
      </c>
      <c r="N872" s="900" t="s">
        <v>2309</v>
      </c>
    </row>
    <row r="873" spans="1:14" ht="17.25" hidden="1" customHeight="1">
      <c r="A873" s="896">
        <v>15</v>
      </c>
      <c r="B873" s="1609" t="s">
        <v>648</v>
      </c>
      <c r="C873" s="1609"/>
      <c r="D873" s="1609"/>
      <c r="E873" s="1609"/>
      <c r="F873" s="1609"/>
      <c r="G873" s="1609"/>
      <c r="H873" s="1609"/>
      <c r="I873" s="897"/>
      <c r="J873" s="898"/>
      <c r="K873" s="896"/>
      <c r="L873" s="923"/>
      <c r="M873" s="899"/>
      <c r="N873" s="900" t="s">
        <v>2309</v>
      </c>
    </row>
    <row r="874" spans="1:14" s="910" customFormat="1" ht="16.5" hidden="1" customHeight="1">
      <c r="A874" s="896"/>
      <c r="B874" s="902" t="s">
        <v>3358</v>
      </c>
      <c r="C874" s="897"/>
      <c r="D874" s="1263"/>
      <c r="E874" s="919"/>
      <c r="F874" s="920"/>
      <c r="G874" s="920"/>
      <c r="H874" s="920"/>
      <c r="I874" s="1264"/>
      <c r="J874" s="955"/>
      <c r="K874" s="902"/>
      <c r="L874" s="923"/>
      <c r="M874" s="902"/>
      <c r="N874" s="900" t="s">
        <v>2309</v>
      </c>
    </row>
    <row r="875" spans="1:14" s="910" customFormat="1" ht="16.5" hidden="1" customHeight="1">
      <c r="A875" s="896"/>
      <c r="B875" s="902"/>
      <c r="C875" s="897">
        <v>1</v>
      </c>
      <c r="D875" s="1263" t="s">
        <v>273</v>
      </c>
      <c r="E875" s="919">
        <v>6</v>
      </c>
      <c r="F875" s="920">
        <v>1.82</v>
      </c>
      <c r="G875" s="920">
        <v>0</v>
      </c>
      <c r="H875" s="920">
        <v>0</v>
      </c>
      <c r="I875" s="1266">
        <f>ROUND(IF(AND(F875:H875),C875*E875*F875*G875*H875,IF(AND(F875,G875),C875*E875*F875*G875,IF(AND(F875,H875),C875*E875*F875*H875,IF(AND(G875,H875),C875*E875*G875*H875,IF(F875,C875*E875*F875,IF(G875,C875*E875*G875,IF(H875,C875*E875*H875,C875*E875))))))),2)</f>
        <v>10.92</v>
      </c>
      <c r="J875" s="955" t="s">
        <v>277</v>
      </c>
      <c r="K875" s="902"/>
      <c r="L875" s="923"/>
      <c r="M875" s="902"/>
      <c r="N875" s="900" t="s">
        <v>2309</v>
      </c>
    </row>
    <row r="876" spans="1:14" s="910" customFormat="1" ht="16.5" hidden="1" customHeight="1">
      <c r="A876" s="896"/>
      <c r="B876" s="956"/>
      <c r="C876" s="957"/>
      <c r="D876" s="958"/>
      <c r="E876" s="1268"/>
      <c r="F876" s="960"/>
      <c r="G876" s="960"/>
      <c r="H876" s="960"/>
      <c r="I876" s="916"/>
      <c r="J876" s="955"/>
      <c r="K876" s="902"/>
      <c r="L876" s="923"/>
      <c r="M876" s="902"/>
      <c r="N876" s="900" t="s">
        <v>2309</v>
      </c>
    </row>
    <row r="877" spans="1:14" ht="15.75" hidden="1">
      <c r="A877" s="896"/>
      <c r="B877" s="902"/>
      <c r="C877" s="917"/>
      <c r="D877" s="918"/>
      <c r="E877" s="919"/>
      <c r="F877" s="920"/>
      <c r="G877" s="921"/>
      <c r="H877" s="896"/>
      <c r="I877" s="916"/>
      <c r="J877" s="955" t="s">
        <v>277</v>
      </c>
      <c r="K877" s="922">
        <f>'data 2022-23'!G221</f>
        <v>744.7299999999999</v>
      </c>
      <c r="L877" s="923" t="s">
        <v>279</v>
      </c>
      <c r="M877" s="924">
        <f>ROUND(I877*K877,0)</f>
        <v>0</v>
      </c>
      <c r="N877" s="900" t="s">
        <v>2309</v>
      </c>
    </row>
    <row r="878" spans="1:14" ht="64.5" hidden="1" customHeight="1">
      <c r="A878" s="896">
        <v>3</v>
      </c>
      <c r="B878" s="1609" t="s">
        <v>151</v>
      </c>
      <c r="C878" s="1609"/>
      <c r="D878" s="1609"/>
      <c r="E878" s="1609"/>
      <c r="F878" s="1609"/>
      <c r="G878" s="1609"/>
      <c r="H878" s="1609"/>
      <c r="I878" s="897"/>
      <c r="J878" s="898"/>
      <c r="K878" s="896"/>
      <c r="L878" s="923"/>
      <c r="M878" s="899"/>
      <c r="N878" s="900" t="s">
        <v>2309</v>
      </c>
    </row>
    <row r="879" spans="1:14" s="910" customFormat="1" ht="16.5" hidden="1" customHeight="1">
      <c r="A879" s="896"/>
      <c r="B879" s="902" t="s">
        <v>3403</v>
      </c>
      <c r="C879" s="897"/>
      <c r="D879" s="1263"/>
      <c r="E879" s="919"/>
      <c r="F879" s="920"/>
      <c r="G879" s="920"/>
      <c r="H879" s="920"/>
      <c r="I879" s="1264"/>
      <c r="J879" s="955"/>
      <c r="K879" s="902"/>
      <c r="L879" s="896"/>
      <c r="M879" s="902"/>
      <c r="N879" s="900" t="s">
        <v>2309</v>
      </c>
    </row>
    <row r="880" spans="1:14" s="910" customFormat="1" ht="16.5" hidden="1" customHeight="1">
      <c r="A880" s="896"/>
      <c r="B880" s="902" t="s">
        <v>1627</v>
      </c>
      <c r="C880" s="897">
        <v>1</v>
      </c>
      <c r="D880" s="1263" t="s">
        <v>273</v>
      </c>
      <c r="E880" s="919">
        <v>1</v>
      </c>
      <c r="F880" s="920">
        <v>4.3499999999999996</v>
      </c>
      <c r="G880" s="920">
        <v>4.2</v>
      </c>
      <c r="H880" s="920">
        <v>0</v>
      </c>
      <c r="I880" s="1266">
        <f>ROUND(IF(AND(F880:H880),C880*E880*F880*G880*H880,IF(AND(F880,G880),C880*E880*F880*G880,IF(AND(F880,H880),C880*E880*F880*H880,IF(AND(G880,H880),C880*E880*G880*H880,IF(F880,C880*E880*F880,IF(G880,C880*E880*G880,IF(H880,C880*E880*H880,C880*E880))))))),2)</f>
        <v>18.27</v>
      </c>
      <c r="J880" s="955" t="s">
        <v>102</v>
      </c>
      <c r="K880" s="902"/>
      <c r="L880" s="896"/>
      <c r="M880" s="902"/>
      <c r="N880" s="900" t="s">
        <v>2309</v>
      </c>
    </row>
    <row r="881" spans="1:14" s="910" customFormat="1" ht="16.5" hidden="1" customHeight="1">
      <c r="A881" s="896"/>
      <c r="B881" s="956"/>
      <c r="C881" s="957"/>
      <c r="D881" s="958"/>
      <c r="E881" s="1268"/>
      <c r="F881" s="960"/>
      <c r="G881" s="960"/>
      <c r="H881" s="960"/>
      <c r="I881" s="916"/>
      <c r="J881" s="955"/>
      <c r="K881" s="902"/>
      <c r="L881" s="923"/>
      <c r="M881" s="902"/>
      <c r="N881" s="900" t="s">
        <v>2309</v>
      </c>
    </row>
    <row r="882" spans="1:14" ht="15.75" hidden="1">
      <c r="A882" s="896"/>
      <c r="B882" s="902"/>
      <c r="C882" s="917"/>
      <c r="D882" s="918"/>
      <c r="E882" s="919"/>
      <c r="F882" s="920"/>
      <c r="G882" s="921"/>
      <c r="H882" s="896"/>
      <c r="I882" s="916"/>
      <c r="J882" s="955" t="s">
        <v>102</v>
      </c>
      <c r="K882" s="922">
        <f>'data 2022-23'!G566</f>
        <v>362.63</v>
      </c>
      <c r="L882" s="923" t="s">
        <v>2419</v>
      </c>
      <c r="M882" s="924">
        <f>ROUND(I882*K882,0)</f>
        <v>0</v>
      </c>
      <c r="N882" s="900" t="s">
        <v>2309</v>
      </c>
    </row>
    <row r="883" spans="1:14" ht="64.5" hidden="1" customHeight="1">
      <c r="A883" s="896">
        <v>13</v>
      </c>
      <c r="B883" s="1609" t="s">
        <v>1313</v>
      </c>
      <c r="C883" s="1609"/>
      <c r="D883" s="1609"/>
      <c r="E883" s="1609"/>
      <c r="F883" s="1609"/>
      <c r="G883" s="1609"/>
      <c r="H883" s="1609"/>
      <c r="I883" s="897"/>
      <c r="J883" s="898"/>
      <c r="K883" s="896"/>
      <c r="L883" s="923"/>
      <c r="M883" s="899"/>
      <c r="N883" s="900" t="s">
        <v>2309</v>
      </c>
    </row>
    <row r="884" spans="1:14" s="910" customFormat="1" ht="16.5" hidden="1" customHeight="1">
      <c r="A884" s="896"/>
      <c r="B884" s="902" t="s">
        <v>3404</v>
      </c>
      <c r="C884" s="897"/>
      <c r="D884" s="1263"/>
      <c r="E884" s="919"/>
      <c r="F884" s="920"/>
      <c r="G884" s="920"/>
      <c r="H884" s="920"/>
      <c r="I884" s="1264"/>
      <c r="J884" s="955"/>
      <c r="K884" s="902"/>
      <c r="L884" s="923"/>
      <c r="M884" s="902"/>
      <c r="N884" s="900" t="s">
        <v>2309</v>
      </c>
    </row>
    <row r="885" spans="1:14" s="910" customFormat="1" ht="16.5" hidden="1" customHeight="1">
      <c r="A885" s="896"/>
      <c r="B885" s="902"/>
      <c r="C885" s="897">
        <v>1</v>
      </c>
      <c r="D885" s="1263" t="s">
        <v>273</v>
      </c>
      <c r="E885" s="919">
        <v>1</v>
      </c>
      <c r="F885" s="920">
        <v>10.45</v>
      </c>
      <c r="G885" s="920">
        <v>12</v>
      </c>
      <c r="H885" s="920">
        <v>0</v>
      </c>
      <c r="I885" s="1266">
        <f>ROUND(IF(AND(F885:H885),C885*E885*F885*G885*H885,IF(AND(F885,G885),C885*E885*F885*G885,IF(AND(F885,H885),C885*E885*F885*H885,IF(AND(G885,H885),C885*E885*G885*H885,IF(F885,C885*E885*F885,IF(G885,C885*E885*G885,IF(H885,C885*E885*H885,C885*E885))))))),2)</f>
        <v>125.4</v>
      </c>
      <c r="J885" s="955" t="s">
        <v>102</v>
      </c>
      <c r="K885" s="902"/>
      <c r="L885" s="923"/>
      <c r="M885" s="902"/>
      <c r="N885" s="900" t="s">
        <v>2309</v>
      </c>
    </row>
    <row r="886" spans="1:14" s="910" customFormat="1" ht="16.5" hidden="1" customHeight="1">
      <c r="A886" s="896"/>
      <c r="B886" s="902"/>
      <c r="C886" s="897">
        <v>1</v>
      </c>
      <c r="D886" s="1263" t="s">
        <v>273</v>
      </c>
      <c r="E886" s="919">
        <v>1</v>
      </c>
      <c r="F886" s="920">
        <v>3.52</v>
      </c>
      <c r="G886" s="920">
        <v>0.92</v>
      </c>
      <c r="H886" s="920">
        <v>0</v>
      </c>
      <c r="I886" s="1266">
        <f>ROUND(IF(AND(F886:H886),C886*E886*F886*G886*H886,IF(AND(F886,G886),C886*E886*F886*G886,IF(AND(F886,H886),C886*E886*F886*H886,IF(AND(G886,H886),C886*E886*G886*H886,IF(F886,C886*E886*F886,IF(G886,C886*E886*G886,IF(H886,C886*E886*H886,C886*E886))))))),2)</f>
        <v>3.24</v>
      </c>
      <c r="J886" s="955" t="s">
        <v>102</v>
      </c>
      <c r="K886" s="902"/>
      <c r="L886" s="923"/>
      <c r="M886" s="902"/>
      <c r="N886" s="900" t="s">
        <v>2309</v>
      </c>
    </row>
    <row r="887" spans="1:14" s="910" customFormat="1" ht="16.5" hidden="1" customHeight="1">
      <c r="A887" s="896"/>
      <c r="B887" s="956"/>
      <c r="C887" s="957"/>
      <c r="D887" s="958"/>
      <c r="E887" s="1268"/>
      <c r="F887" s="960"/>
      <c r="G887" s="960"/>
      <c r="H887" s="960"/>
      <c r="I887" s="916"/>
      <c r="J887" s="955"/>
      <c r="K887" s="902"/>
      <c r="L887" s="923"/>
      <c r="M887" s="902"/>
      <c r="N887" s="900" t="s">
        <v>2309</v>
      </c>
    </row>
    <row r="888" spans="1:14" ht="15.75" hidden="1">
      <c r="A888" s="896"/>
      <c r="B888" s="902"/>
      <c r="C888" s="917"/>
      <c r="D888" s="918"/>
      <c r="E888" s="919"/>
      <c r="F888" s="920"/>
      <c r="G888" s="921"/>
      <c r="H888" s="896"/>
      <c r="I888" s="916"/>
      <c r="J888" s="955" t="s">
        <v>102</v>
      </c>
      <c r="K888" s="922">
        <f>'data 2022-23'!G581</f>
        <v>470.34</v>
      </c>
      <c r="L888" s="923" t="s">
        <v>2419</v>
      </c>
      <c r="M888" s="924">
        <f>ROUND(I888*K888,0)</f>
        <v>0</v>
      </c>
      <c r="N888" s="900" t="s">
        <v>2309</v>
      </c>
    </row>
    <row r="889" spans="1:14" ht="69.75" hidden="1" customHeight="1">
      <c r="A889" s="896">
        <v>15</v>
      </c>
      <c r="B889" s="1609" t="s">
        <v>306</v>
      </c>
      <c r="C889" s="1609"/>
      <c r="D889" s="1609"/>
      <c r="E889" s="1609"/>
      <c r="F889" s="1609"/>
      <c r="G889" s="1609"/>
      <c r="H889" s="1609"/>
      <c r="I889" s="897"/>
      <c r="J889" s="898"/>
      <c r="K889" s="896"/>
      <c r="L889" s="923"/>
      <c r="M889" s="899"/>
      <c r="N889" s="900" t="s">
        <v>2309</v>
      </c>
    </row>
    <row r="890" spans="1:14" s="910" customFormat="1" ht="16.5" hidden="1" customHeight="1">
      <c r="A890" s="896"/>
      <c r="B890" s="902" t="s">
        <v>3356</v>
      </c>
      <c r="C890" s="897"/>
      <c r="D890" s="1263"/>
      <c r="E890" s="919"/>
      <c r="F890" s="920"/>
      <c r="G890" s="920"/>
      <c r="H890" s="920"/>
      <c r="I890" s="1264"/>
      <c r="J890" s="955"/>
      <c r="K890" s="902"/>
      <c r="L890" s="923"/>
      <c r="M890" s="902"/>
      <c r="N890" s="900" t="s">
        <v>2309</v>
      </c>
    </row>
    <row r="891" spans="1:14" s="910" customFormat="1" ht="16.5" hidden="1" customHeight="1">
      <c r="A891" s="896"/>
      <c r="B891" s="902" t="s">
        <v>809</v>
      </c>
      <c r="C891" s="897">
        <v>1</v>
      </c>
      <c r="D891" s="1263" t="s">
        <v>273</v>
      </c>
      <c r="E891" s="919">
        <v>1</v>
      </c>
      <c r="F891" s="920">
        <v>12.73</v>
      </c>
      <c r="G891" s="920">
        <v>0.45</v>
      </c>
      <c r="H891" s="920">
        <v>1.3</v>
      </c>
      <c r="I891" s="1266">
        <f>ROUND(IF(AND(F891:H891),C891*E891*F891*G891*H891,IF(AND(F891,G891),C891*E891*F891*G891,IF(AND(F891,H891),C891*E891*F891*H891,IF(AND(G891,H891),C891*E891*G891*H891,IF(F891,C891*E891*F891,IF(G891,C891*E891*G891,IF(H891,C891*E891*H891,C891*E891))))))),2)</f>
        <v>7.45</v>
      </c>
      <c r="J891" s="955" t="s">
        <v>5</v>
      </c>
      <c r="K891" s="902"/>
      <c r="L891" s="923"/>
      <c r="M891" s="902"/>
      <c r="N891" s="900" t="s">
        <v>2309</v>
      </c>
    </row>
    <row r="892" spans="1:14" s="910" customFormat="1" ht="16.5" hidden="1" customHeight="1">
      <c r="A892" s="896"/>
      <c r="B892" s="902" t="s">
        <v>810</v>
      </c>
      <c r="C892" s="897">
        <v>1</v>
      </c>
      <c r="D892" s="1263" t="s">
        <v>273</v>
      </c>
      <c r="E892" s="919">
        <v>1</v>
      </c>
      <c r="F892" s="920">
        <v>5.45</v>
      </c>
      <c r="G892" s="920">
        <v>0.9</v>
      </c>
      <c r="H892" s="920">
        <v>0.35</v>
      </c>
      <c r="I892" s="1266">
        <f>ROUND(IF(AND(F892:H892),C892*E892*F892*G892*H892,IF(AND(F892,G892),C892*E892*F892*G892,IF(AND(F892,H892),C892*E892*F892*H892,IF(AND(G892,H892),C892*E892*G892*H892,IF(F892,C892*E892*F892,IF(G892,C892*E892*G892,IF(H892,C892*E892*H892,C892*E892))))))),2)</f>
        <v>1.72</v>
      </c>
      <c r="J892" s="955" t="s">
        <v>5</v>
      </c>
      <c r="K892" s="902"/>
      <c r="L892" s="923"/>
      <c r="M892" s="902"/>
      <c r="N892" s="900" t="s">
        <v>2309</v>
      </c>
    </row>
    <row r="893" spans="1:14" s="910" customFormat="1" ht="16.5" hidden="1" customHeight="1">
      <c r="A893" s="896"/>
      <c r="B893" s="902" t="s">
        <v>811</v>
      </c>
      <c r="C893" s="897">
        <v>1</v>
      </c>
      <c r="D893" s="1263" t="s">
        <v>273</v>
      </c>
      <c r="E893" s="919">
        <v>1</v>
      </c>
      <c r="F893" s="920">
        <v>5.45</v>
      </c>
      <c r="G893" s="920">
        <v>0.6</v>
      </c>
      <c r="H893" s="920">
        <v>0.15</v>
      </c>
      <c r="I893" s="1266">
        <f>ROUND(IF(AND(F893:H893),C893*E893*F893*G893*H893,IF(AND(F893,G893),C893*E893*F893*G893,IF(AND(F893,H893),C893*E893*F893*H893,IF(AND(G893,H893),C893*E893*G893*H893,IF(F893,C893*E893*F893,IF(G893,C893*E893*G893,IF(H893,C893*E893*H893,C893*E893))))))),2)</f>
        <v>0.49</v>
      </c>
      <c r="J893" s="955" t="s">
        <v>5</v>
      </c>
      <c r="K893" s="902"/>
      <c r="L893" s="923"/>
      <c r="M893" s="902"/>
      <c r="N893" s="900" t="s">
        <v>2309</v>
      </c>
    </row>
    <row r="894" spans="1:14" s="910" customFormat="1" ht="16.5" hidden="1" customHeight="1">
      <c r="A894" s="896"/>
      <c r="B894" s="902" t="s">
        <v>812</v>
      </c>
      <c r="C894" s="897">
        <v>1</v>
      </c>
      <c r="D894" s="1263" t="s">
        <v>273</v>
      </c>
      <c r="E894" s="919">
        <v>1</v>
      </c>
      <c r="F894" s="920">
        <v>5.45</v>
      </c>
      <c r="G894" s="920">
        <v>0.3</v>
      </c>
      <c r="H894" s="920">
        <v>0.15</v>
      </c>
      <c r="I894" s="1266">
        <f>ROUND(IF(AND(F894:H894),C894*E894*F894*G894*H894,IF(AND(F894,G894),C894*E894*F894*G894,IF(AND(F894,H894),C894*E894*F894*H894,IF(AND(G894,H894),C894*E894*G894*H894,IF(F894,C894*E894*F894,IF(G894,C894*E894*G894,IF(H894,C894*E894*H894,C894*E894))))))),2)</f>
        <v>0.25</v>
      </c>
      <c r="J894" s="955" t="s">
        <v>5</v>
      </c>
      <c r="K894" s="902"/>
      <c r="L894" s="923"/>
      <c r="M894" s="902"/>
      <c r="N894" s="900" t="s">
        <v>2309</v>
      </c>
    </row>
    <row r="895" spans="1:14" s="910" customFormat="1" ht="16.5" hidden="1" customHeight="1">
      <c r="A895" s="896"/>
      <c r="B895" s="956"/>
      <c r="C895" s="957"/>
      <c r="D895" s="958"/>
      <c r="E895" s="1268"/>
      <c r="F895" s="960"/>
      <c r="G895" s="960"/>
      <c r="H895" s="960"/>
      <c r="I895" s="916"/>
      <c r="J895" s="955"/>
      <c r="K895" s="902"/>
      <c r="L895" s="923"/>
      <c r="M895" s="902"/>
      <c r="N895" s="900" t="s">
        <v>2309</v>
      </c>
    </row>
    <row r="896" spans="1:14" ht="15.75" hidden="1">
      <c r="A896" s="896"/>
      <c r="B896" s="902"/>
      <c r="C896" s="917"/>
      <c r="D896" s="918"/>
      <c r="E896" s="919"/>
      <c r="F896" s="920"/>
      <c r="G896" s="921"/>
      <c r="H896" s="896"/>
      <c r="I896" s="916"/>
      <c r="J896" s="955" t="s">
        <v>5</v>
      </c>
      <c r="K896" s="922">
        <f>'data 2022-23'!G391</f>
        <v>7616.9999999999991</v>
      </c>
      <c r="L896" s="923" t="s">
        <v>274</v>
      </c>
      <c r="M896" s="924">
        <f>ROUND(I896*K896,0)</f>
        <v>0</v>
      </c>
      <c r="N896" s="900" t="s">
        <v>2309</v>
      </c>
    </row>
    <row r="897" spans="1:14" ht="69.75" hidden="1" customHeight="1">
      <c r="A897" s="896">
        <v>5</v>
      </c>
      <c r="B897" s="1609" t="s">
        <v>649</v>
      </c>
      <c r="C897" s="1609"/>
      <c r="D897" s="1609"/>
      <c r="E897" s="1609"/>
      <c r="F897" s="1609"/>
      <c r="G897" s="1609"/>
      <c r="H897" s="1609"/>
      <c r="I897" s="897"/>
      <c r="J897" s="898"/>
      <c r="K897" s="896"/>
      <c r="L897" s="923"/>
      <c r="M897" s="899"/>
      <c r="N897" s="900" t="s">
        <v>2309</v>
      </c>
    </row>
    <row r="898" spans="1:14" s="910" customFormat="1" ht="16.5" hidden="1" customHeight="1">
      <c r="A898" s="896"/>
      <c r="B898" s="902" t="s">
        <v>3385</v>
      </c>
      <c r="C898" s="897"/>
      <c r="D898" s="1263"/>
      <c r="E898" s="919"/>
      <c r="F898" s="920"/>
      <c r="G898" s="920"/>
      <c r="H898" s="920"/>
      <c r="I898" s="1264"/>
      <c r="J898" s="955"/>
      <c r="K898" s="902"/>
      <c r="L898" s="923"/>
      <c r="M898" s="902"/>
      <c r="N898" s="900" t="s">
        <v>2309</v>
      </c>
    </row>
    <row r="899" spans="1:14" s="910" customFormat="1" ht="16.5" hidden="1" customHeight="1">
      <c r="A899" s="896"/>
      <c r="B899" s="902"/>
      <c r="C899" s="897">
        <v>1</v>
      </c>
      <c r="D899" s="1263" t="s">
        <v>273</v>
      </c>
      <c r="E899" s="919">
        <v>1</v>
      </c>
      <c r="F899" s="920">
        <v>3.16</v>
      </c>
      <c r="G899" s="920">
        <v>0.23</v>
      </c>
      <c r="H899" s="920">
        <v>2.4</v>
      </c>
      <c r="I899" s="1286">
        <f>ROUND(IF(AND(F899:H899),C899*E899*F899*G899*H899,IF(AND(F899,G899),C899*E899*F899*G899,IF(AND(F899,H899),C899*E899*F899*H899,IF(AND(G899,H899),C899*E899*G899*H899,IF(F899,C899*E899*F899,IF(G899,C899*E899*G899,IF(H899,C899*E899*H899,C899*E899))))))),2)</f>
        <v>1.74</v>
      </c>
      <c r="J899" s="955" t="s">
        <v>5</v>
      </c>
      <c r="K899" s="902"/>
      <c r="L899" s="923"/>
      <c r="M899" s="902"/>
      <c r="N899" s="900" t="s">
        <v>2309</v>
      </c>
    </row>
    <row r="900" spans="1:14" s="910" customFormat="1" ht="16.5" hidden="1" customHeight="1">
      <c r="A900" s="896"/>
      <c r="B900" s="956"/>
      <c r="C900" s="957"/>
      <c r="D900" s="958"/>
      <c r="E900" s="1268"/>
      <c r="F900" s="960"/>
      <c r="G900" s="960"/>
      <c r="H900" s="960"/>
      <c r="I900" s="916"/>
      <c r="J900" s="955"/>
      <c r="K900" s="902"/>
      <c r="L900" s="923"/>
      <c r="M900" s="902"/>
      <c r="N900" s="900" t="s">
        <v>2309</v>
      </c>
    </row>
    <row r="901" spans="1:14" ht="15.75" hidden="1">
      <c r="A901" s="896"/>
      <c r="B901" s="902"/>
      <c r="C901" s="917"/>
      <c r="D901" s="918"/>
      <c r="E901" s="919"/>
      <c r="F901" s="920"/>
      <c r="G901" s="921"/>
      <c r="H901" s="896"/>
      <c r="I901" s="916"/>
      <c r="J901" s="955" t="s">
        <v>5</v>
      </c>
      <c r="K901" s="922">
        <f>'data 2022-23'!G374</f>
        <v>7673.4</v>
      </c>
      <c r="L901" s="923" t="s">
        <v>274</v>
      </c>
      <c r="M901" s="924">
        <f>ROUND(I901*K901,0)</f>
        <v>0</v>
      </c>
      <c r="N901" s="900" t="s">
        <v>2309</v>
      </c>
    </row>
    <row r="902" spans="1:14" ht="132.75" hidden="1" customHeight="1">
      <c r="A902" s="896">
        <v>6</v>
      </c>
      <c r="B902" s="1609" t="s">
        <v>901</v>
      </c>
      <c r="C902" s="1609"/>
      <c r="D902" s="1609"/>
      <c r="E902" s="1609"/>
      <c r="F902" s="1609"/>
      <c r="G902" s="1609"/>
      <c r="H902" s="1609"/>
      <c r="I902" s="897"/>
      <c r="J902" s="898"/>
      <c r="K902" s="896"/>
      <c r="L902" s="923"/>
      <c r="M902" s="899"/>
      <c r="N902" s="900" t="s">
        <v>2309</v>
      </c>
    </row>
    <row r="903" spans="1:14" s="910" customFormat="1" ht="16.5" hidden="1" customHeight="1">
      <c r="A903" s="896"/>
      <c r="B903" s="902" t="s">
        <v>3413</v>
      </c>
      <c r="C903" s="897"/>
      <c r="D903" s="1263"/>
      <c r="E903" s="919"/>
      <c r="F903" s="920"/>
      <c r="G903" s="920"/>
      <c r="H903" s="920"/>
      <c r="I903" s="1264"/>
      <c r="J903" s="955"/>
      <c r="K903" s="902"/>
      <c r="L903" s="923"/>
      <c r="M903" s="902"/>
      <c r="N903" s="900" t="s">
        <v>2309</v>
      </c>
    </row>
    <row r="904" spans="1:14" s="910" customFormat="1" ht="16.5" hidden="1" customHeight="1">
      <c r="A904" s="896"/>
      <c r="B904" s="902" t="s">
        <v>1529</v>
      </c>
      <c r="C904" s="897">
        <v>1</v>
      </c>
      <c r="D904" s="1263" t="s">
        <v>273</v>
      </c>
      <c r="E904" s="919">
        <v>1</v>
      </c>
      <c r="F904" s="920">
        <v>2.72</v>
      </c>
      <c r="G904" s="920">
        <v>0</v>
      </c>
      <c r="H904" s="920">
        <v>2.4</v>
      </c>
      <c r="I904" s="1286">
        <f>ROUND(IF(AND(F904:H904),C904*E904*F904*G904*H904,IF(AND(F904,G904),C904*E904*F904*G904,IF(AND(F904,H904),C904*E904*F904*H904,IF(AND(G904,H904),C904*E904*G904*H904,IF(F904,C904*E904*F904,IF(G904,C904*E904*G904,IF(H904,C904*E904*H904,C904*E904))))))),2)</f>
        <v>6.53</v>
      </c>
      <c r="J904" s="955" t="s">
        <v>102</v>
      </c>
      <c r="K904" s="902"/>
      <c r="L904" s="923"/>
      <c r="M904" s="902"/>
      <c r="N904" s="900" t="s">
        <v>2309</v>
      </c>
    </row>
    <row r="905" spans="1:14" s="910" customFormat="1" ht="16.5" hidden="1" customHeight="1">
      <c r="A905" s="896"/>
      <c r="B905" s="902"/>
      <c r="C905" s="897">
        <v>1</v>
      </c>
      <c r="D905" s="1263" t="s">
        <v>273</v>
      </c>
      <c r="E905" s="919">
        <v>2</v>
      </c>
      <c r="F905" s="920">
        <v>1</v>
      </c>
      <c r="G905" s="920">
        <v>0</v>
      </c>
      <c r="H905" s="920">
        <v>2.7</v>
      </c>
      <c r="I905" s="1286">
        <f>ROUND(IF(AND(F905:H905),C905*E905*F905*G905*H905,IF(AND(F905,G905),C905*E905*F905*G905,IF(AND(F905,H905),C905*E905*F905*H905,IF(AND(G905,H905),C905*E905*G905*H905,IF(F905,C905*E905*F905,IF(G905,C905*E905*G905,IF(H905,C905*E905*H905,C905*E905))))))),2)</f>
        <v>5.4</v>
      </c>
      <c r="J905" s="955" t="s">
        <v>102</v>
      </c>
      <c r="K905" s="902"/>
      <c r="L905" s="923"/>
      <c r="M905" s="902"/>
      <c r="N905" s="900" t="s">
        <v>2309</v>
      </c>
    </row>
    <row r="906" spans="1:14" s="910" customFormat="1" ht="16.5" hidden="1" customHeight="1">
      <c r="A906" s="896"/>
      <c r="B906" s="902"/>
      <c r="C906" s="897"/>
      <c r="D906" s="1263"/>
      <c r="E906" s="919"/>
      <c r="F906" s="920"/>
      <c r="G906" s="920"/>
      <c r="H906" s="920"/>
      <c r="I906" s="1266"/>
      <c r="J906" s="955"/>
      <c r="K906" s="902"/>
      <c r="L906" s="923"/>
      <c r="M906" s="902"/>
      <c r="N906" s="900" t="s">
        <v>2309</v>
      </c>
    </row>
    <row r="907" spans="1:14" ht="15.75" hidden="1">
      <c r="A907" s="896"/>
      <c r="B907" s="902"/>
      <c r="C907" s="917"/>
      <c r="D907" s="918"/>
      <c r="E907" s="919"/>
      <c r="F907" s="920"/>
      <c r="G907" s="921"/>
      <c r="H907" s="896"/>
      <c r="I907" s="916"/>
      <c r="J907" s="955" t="s">
        <v>102</v>
      </c>
      <c r="K907" s="922">
        <f>'data 2022-23'!G409</f>
        <v>999.57</v>
      </c>
      <c r="L907" s="923" t="s">
        <v>2419</v>
      </c>
      <c r="M907" s="924">
        <f>ROUND(I907*K907/1,0)</f>
        <v>0</v>
      </c>
      <c r="N907" s="900" t="s">
        <v>2309</v>
      </c>
    </row>
    <row r="908" spans="1:14" ht="79.5" hidden="1" customHeight="1">
      <c r="A908" s="896">
        <v>20</v>
      </c>
      <c r="B908" s="1609" t="s">
        <v>1200</v>
      </c>
      <c r="C908" s="1609"/>
      <c r="D908" s="1609"/>
      <c r="E908" s="1609"/>
      <c r="F908" s="1609"/>
      <c r="G908" s="1609"/>
      <c r="H908" s="1609"/>
      <c r="I908" s="897"/>
      <c r="J908" s="898"/>
      <c r="K908" s="896"/>
      <c r="L908" s="923"/>
      <c r="M908" s="899"/>
      <c r="N908" s="900" t="s">
        <v>2309</v>
      </c>
    </row>
    <row r="909" spans="1:14" s="910" customFormat="1" ht="16.5" hidden="1" customHeight="1">
      <c r="A909" s="896"/>
      <c r="B909" s="902" t="s">
        <v>3397</v>
      </c>
      <c r="C909" s="897"/>
      <c r="D909" s="1263"/>
      <c r="E909" s="919"/>
      <c r="F909" s="920"/>
      <c r="G909" s="920"/>
      <c r="H909" s="920"/>
      <c r="I909" s="1264"/>
      <c r="J909" s="955"/>
      <c r="K909" s="902"/>
      <c r="L909" s="923"/>
      <c r="M909" s="902"/>
      <c r="N909" s="900" t="s">
        <v>2309</v>
      </c>
    </row>
    <row r="910" spans="1:14" s="910" customFormat="1" ht="16.5" hidden="1" customHeight="1">
      <c r="A910" s="896"/>
      <c r="B910" s="902" t="s">
        <v>1241</v>
      </c>
      <c r="C910" s="897">
        <v>1</v>
      </c>
      <c r="D910" s="1263" t="s">
        <v>273</v>
      </c>
      <c r="E910" s="919">
        <v>2</v>
      </c>
      <c r="F910" s="920">
        <v>0.75</v>
      </c>
      <c r="G910" s="920">
        <v>0.15</v>
      </c>
      <c r="H910" s="920">
        <v>1.05</v>
      </c>
      <c r="I910" s="1266">
        <f>ROUND(IF(AND(F910:H910),C910*E910*F910*G910*H910,IF(AND(F910,G910),C910*E910*F910*G910,IF(AND(F910,H910),C910*E910*F910*H910,IF(AND(G910,H910),C910*E910*G910*H910,IF(F910,C910*E910*F910,IF(G910,C910*E910*G910,IF(H910,C910*E910*H910,C910*E910))))))),2)</f>
        <v>0.24</v>
      </c>
      <c r="J910" s="955" t="s">
        <v>5</v>
      </c>
      <c r="K910" s="902"/>
      <c r="L910" s="923"/>
      <c r="M910" s="902"/>
      <c r="N910" s="900" t="s">
        <v>2309</v>
      </c>
    </row>
    <row r="911" spans="1:14" s="910" customFormat="1" ht="16.5" hidden="1" customHeight="1">
      <c r="A911" s="896"/>
      <c r="B911" s="902"/>
      <c r="C911" s="897">
        <v>1</v>
      </c>
      <c r="D911" s="1263" t="s">
        <v>273</v>
      </c>
      <c r="E911" s="919">
        <v>1</v>
      </c>
      <c r="F911" s="920">
        <v>1.2</v>
      </c>
      <c r="G911" s="920">
        <v>0.15</v>
      </c>
      <c r="H911" s="920">
        <v>0.75</v>
      </c>
      <c r="I911" s="1266">
        <f>ROUND(IF(AND(F911:H911),C911*E911*F911*G911*H911,IF(AND(F911,G911),C911*E911*F911*G911,IF(AND(F911,H911),C911*E911*F911*H911,IF(AND(G911,H911),C911*E911*G911*H911,IF(F911,C911*E911*F911,IF(G911,C911*E911*G911,IF(H911,C911*E911*H911,C911*E911))))))),2)</f>
        <v>0.14000000000000001</v>
      </c>
      <c r="J911" s="955" t="s">
        <v>5</v>
      </c>
      <c r="K911" s="902"/>
      <c r="L911" s="923"/>
      <c r="M911" s="902"/>
      <c r="N911" s="900" t="s">
        <v>2309</v>
      </c>
    </row>
    <row r="912" spans="1:14" s="910" customFormat="1" ht="16.5" hidden="1" customHeight="1">
      <c r="A912" s="896"/>
      <c r="B912" s="902"/>
      <c r="C912" s="897">
        <v>1</v>
      </c>
      <c r="D912" s="1263" t="s">
        <v>273</v>
      </c>
      <c r="E912" s="919">
        <v>1</v>
      </c>
      <c r="F912" s="920">
        <v>2.85</v>
      </c>
      <c r="G912" s="920">
        <v>0.15</v>
      </c>
      <c r="H912" s="920">
        <v>1.2</v>
      </c>
      <c r="I912" s="1266">
        <f>ROUND(IF(AND(F912:H912),C912*E912*F912*G912*H912,IF(AND(F912,G912),C912*E912*F912*G912,IF(AND(F912,H912),C912*E912*F912*H912,IF(AND(G912,H912),C912*E912*G912*H912,IF(F912,C912*E912*F912,IF(G912,C912*E912*G912,IF(H912,C912*E912*H912,C912*E912))))))),2)</f>
        <v>0.51</v>
      </c>
      <c r="J912" s="955" t="s">
        <v>5</v>
      </c>
      <c r="K912" s="902"/>
      <c r="L912" s="923"/>
      <c r="M912" s="902"/>
      <c r="N912" s="900" t="s">
        <v>2309</v>
      </c>
    </row>
    <row r="913" spans="1:14" s="910" customFormat="1" ht="16.5" hidden="1" customHeight="1">
      <c r="A913" s="896"/>
      <c r="B913" s="956"/>
      <c r="C913" s="957"/>
      <c r="D913" s="958"/>
      <c r="E913" s="1268"/>
      <c r="F913" s="960"/>
      <c r="G913" s="960"/>
      <c r="H913" s="960"/>
      <c r="I913" s="916"/>
      <c r="J913" s="955"/>
      <c r="K913" s="902"/>
      <c r="L913" s="923"/>
      <c r="M913" s="902"/>
      <c r="N913" s="900" t="s">
        <v>2309</v>
      </c>
    </row>
    <row r="914" spans="1:14" ht="15.75" hidden="1">
      <c r="A914" s="896"/>
      <c r="B914" s="902"/>
      <c r="C914" s="917"/>
      <c r="D914" s="918"/>
      <c r="E914" s="919"/>
      <c r="F914" s="920"/>
      <c r="G914" s="921"/>
      <c r="H914" s="896"/>
      <c r="I914" s="916"/>
      <c r="J914" s="955" t="s">
        <v>5</v>
      </c>
      <c r="K914" s="922">
        <f>'data 2022-23'!G426</f>
        <v>7187.4500000000007</v>
      </c>
      <c r="L914" s="923" t="s">
        <v>274</v>
      </c>
      <c r="M914" s="924">
        <f>ROUND(I914*K914,0)</f>
        <v>0</v>
      </c>
      <c r="N914" s="900" t="s">
        <v>2309</v>
      </c>
    </row>
    <row r="915" spans="1:14" ht="54.75" hidden="1" customHeight="1">
      <c r="A915" s="896">
        <v>7</v>
      </c>
      <c r="B915" s="1609" t="s">
        <v>125</v>
      </c>
      <c r="C915" s="1609"/>
      <c r="D915" s="1609"/>
      <c r="E915" s="1609"/>
      <c r="F915" s="1609"/>
      <c r="G915" s="1609"/>
      <c r="H915" s="1609"/>
      <c r="I915" s="897"/>
      <c r="J915" s="898"/>
      <c r="K915" s="896"/>
      <c r="L915" s="923"/>
      <c r="M915" s="899"/>
      <c r="N915" s="900" t="s">
        <v>2309</v>
      </c>
    </row>
    <row r="916" spans="1:14" s="910" customFormat="1" ht="16.5" hidden="1" customHeight="1">
      <c r="A916" s="896"/>
      <c r="B916" s="902" t="s">
        <v>3348</v>
      </c>
      <c r="C916" s="897"/>
      <c r="D916" s="1263"/>
      <c r="E916" s="919"/>
      <c r="F916" s="920"/>
      <c r="G916" s="920"/>
      <c r="H916" s="920"/>
      <c r="I916" s="1264"/>
      <c r="J916" s="955"/>
      <c r="K916" s="902"/>
      <c r="L916" s="923"/>
      <c r="M916" s="902"/>
      <c r="N916" s="900" t="s">
        <v>2309</v>
      </c>
    </row>
    <row r="917" spans="1:14" s="910" customFormat="1" ht="16.5" hidden="1" customHeight="1">
      <c r="A917" s="896"/>
      <c r="B917" s="902" t="s">
        <v>1529</v>
      </c>
      <c r="C917" s="897">
        <v>1</v>
      </c>
      <c r="D917" s="1263" t="s">
        <v>273</v>
      </c>
      <c r="E917" s="919">
        <v>1</v>
      </c>
      <c r="F917" s="920">
        <v>2.93</v>
      </c>
      <c r="G917" s="920">
        <v>0.87</v>
      </c>
      <c r="H917" s="920">
        <v>0</v>
      </c>
      <c r="I917" s="1286">
        <f>ROUND(IF(AND(F917:H917),C917*E917*F917*G917*H917,IF(AND(F917,G917),C917*E917*F917*G917,IF(AND(F917,H917),C917*E917*F917*H917,IF(AND(G917,H917),C917*E917*G917*H917,IF(F917,C917*E917*F917,IF(G917,C917*E917*G917,IF(H917,C917*E917*H917,C917*E917))))))),2)</f>
        <v>2.5499999999999998</v>
      </c>
      <c r="J917" s="955" t="s">
        <v>102</v>
      </c>
      <c r="K917" s="902"/>
      <c r="L917" s="923"/>
      <c r="M917" s="902"/>
      <c r="N917" s="900" t="s">
        <v>2309</v>
      </c>
    </row>
    <row r="918" spans="1:14" s="910" customFormat="1" ht="16.5" hidden="1" customHeight="1">
      <c r="A918" s="896"/>
      <c r="B918" s="902" t="s">
        <v>1243</v>
      </c>
      <c r="C918" s="897">
        <v>1</v>
      </c>
      <c r="D918" s="1263" t="s">
        <v>273</v>
      </c>
      <c r="E918" s="919">
        <v>2</v>
      </c>
      <c r="F918" s="920">
        <v>2.7</v>
      </c>
      <c r="G918" s="920">
        <v>0.3</v>
      </c>
      <c r="H918" s="920">
        <v>0</v>
      </c>
      <c r="I918" s="1286">
        <f>ROUND(IF(AND(F918:H918),C918*E918*F918*G918*H918,IF(AND(F918,G918),C918*E918*F918*G918,IF(AND(F918,H918),C918*E918*F918*H918,IF(AND(G918,H918),C918*E918*G918*H918,IF(F918,C918*E918*F918,IF(G918,C918*E918*G918,IF(H918,C918*E918*H918,C918*E918))))))),2)</f>
        <v>1.62</v>
      </c>
      <c r="J918" s="955" t="s">
        <v>102</v>
      </c>
      <c r="K918" s="902"/>
      <c r="L918" s="923"/>
      <c r="M918" s="902"/>
      <c r="N918" s="900" t="s">
        <v>2309</v>
      </c>
    </row>
    <row r="919" spans="1:14" s="910" customFormat="1" ht="16.5" hidden="1" customHeight="1">
      <c r="A919" s="896"/>
      <c r="B919" s="902" t="s">
        <v>2159</v>
      </c>
      <c r="C919" s="897">
        <v>1</v>
      </c>
      <c r="D919" s="1263" t="s">
        <v>273</v>
      </c>
      <c r="E919" s="919">
        <v>2</v>
      </c>
      <c r="F919" s="920">
        <v>0.88</v>
      </c>
      <c r="G919" s="920">
        <v>4.5999999999999996</v>
      </c>
      <c r="H919" s="920">
        <v>0</v>
      </c>
      <c r="I919" s="1286">
        <f>ROUND(IF(AND(F919:H919),C919*E919*F919*G919*H919,IF(AND(F919,G919),C919*E919*F919*G919,IF(AND(F919,H919),C919*E919*F919*H919,IF(AND(G919,H919),C919*E919*G919*H919,IF(F919,C919*E919*F919,IF(G919,C919*E919*G919,IF(H919,C919*E919*H919,C919*E919))))))),2)</f>
        <v>8.1</v>
      </c>
      <c r="J919" s="955" t="s">
        <v>102</v>
      </c>
      <c r="K919" s="902"/>
      <c r="L919" s="923"/>
      <c r="M919" s="902"/>
      <c r="N919" s="900" t="s">
        <v>2309</v>
      </c>
    </row>
    <row r="920" spans="1:14" s="910" customFormat="1" ht="16.5" hidden="1" customHeight="1">
      <c r="A920" s="896"/>
      <c r="B920" s="956"/>
      <c r="C920" s="957"/>
      <c r="D920" s="958"/>
      <c r="E920" s="1268"/>
      <c r="F920" s="960"/>
      <c r="G920" s="960"/>
      <c r="H920" s="960"/>
      <c r="I920" s="916"/>
      <c r="J920" s="955"/>
      <c r="K920" s="902"/>
      <c r="L920" s="923"/>
      <c r="M920" s="902"/>
      <c r="N920" s="900" t="s">
        <v>2309</v>
      </c>
    </row>
    <row r="921" spans="1:14" ht="15.75" hidden="1">
      <c r="A921" s="896"/>
      <c r="B921" s="902"/>
      <c r="C921" s="917"/>
      <c r="D921" s="918"/>
      <c r="E921" s="919"/>
      <c r="F921" s="920"/>
      <c r="G921" s="921"/>
      <c r="H921" s="896"/>
      <c r="I921" s="916"/>
      <c r="J921" s="955" t="s">
        <v>102</v>
      </c>
      <c r="K921" s="922">
        <f>'data 2022-23'!G442</f>
        <v>385.55</v>
      </c>
      <c r="L921" s="923" t="s">
        <v>2419</v>
      </c>
      <c r="M921" s="924">
        <f>ROUND(I921*K921,0)</f>
        <v>0</v>
      </c>
      <c r="N921" s="900" t="s">
        <v>2309</v>
      </c>
    </row>
    <row r="922" spans="1:14" ht="42" hidden="1" customHeight="1">
      <c r="A922" s="896">
        <v>8</v>
      </c>
      <c r="B922" s="1609" t="s">
        <v>126</v>
      </c>
      <c r="C922" s="1609"/>
      <c r="D922" s="1609"/>
      <c r="E922" s="1609"/>
      <c r="F922" s="1609"/>
      <c r="G922" s="1609"/>
      <c r="H922" s="1609"/>
      <c r="I922" s="897"/>
      <c r="J922" s="898"/>
      <c r="K922" s="896"/>
      <c r="L922" s="923"/>
      <c r="M922" s="899"/>
      <c r="N922" s="900" t="s">
        <v>2309</v>
      </c>
    </row>
    <row r="923" spans="1:14" s="910" customFormat="1" ht="16.5" hidden="1" customHeight="1">
      <c r="A923" s="896"/>
      <c r="B923" s="902" t="s">
        <v>3406</v>
      </c>
      <c r="C923" s="903"/>
      <c r="D923" s="904"/>
      <c r="E923" s="905"/>
      <c r="F923" s="906"/>
      <c r="G923" s="906"/>
      <c r="H923" s="907"/>
      <c r="I923" s="908"/>
      <c r="J923" s="955"/>
      <c r="K923" s="902"/>
      <c r="L923" s="923"/>
      <c r="M923" s="902"/>
      <c r="N923" s="900" t="s">
        <v>2309</v>
      </c>
    </row>
    <row r="924" spans="1:14" s="910" customFormat="1" ht="16.5" hidden="1" customHeight="1">
      <c r="A924" s="896"/>
      <c r="B924" s="902" t="s">
        <v>1542</v>
      </c>
      <c r="C924" s="897">
        <v>1</v>
      </c>
      <c r="D924" s="1263" t="s">
        <v>273</v>
      </c>
      <c r="E924" s="919">
        <v>2</v>
      </c>
      <c r="F924" s="920">
        <v>4.37</v>
      </c>
      <c r="G924" s="920">
        <v>0</v>
      </c>
      <c r="H924" s="920">
        <v>2.65</v>
      </c>
      <c r="I924" s="1286">
        <f>ROUND(IF(AND(F924:H924),C924*E924*F924*G924*H924,IF(AND(F924,G924),C924*E924*F924*G924,IF(AND(F924,H924),C924*E924*F924*H924,IF(AND(G924,H924),C924*E924*G924*H924,IF(F924,C924*E924*F924,IF(G924,C924*E924*G924,IF(H924,C924*E924*H924,C924*E924))))))),2)</f>
        <v>23.16</v>
      </c>
      <c r="J924" s="955" t="s">
        <v>102</v>
      </c>
      <c r="K924" s="902"/>
      <c r="L924" s="923"/>
      <c r="M924" s="902"/>
      <c r="N924" s="900" t="s">
        <v>2309</v>
      </c>
    </row>
    <row r="925" spans="1:14" s="910" customFormat="1" ht="16.5" hidden="1" customHeight="1">
      <c r="A925" s="896"/>
      <c r="B925" s="902" t="s">
        <v>579</v>
      </c>
      <c r="C925" s="897">
        <v>1</v>
      </c>
      <c r="D925" s="1263" t="s">
        <v>273</v>
      </c>
      <c r="E925" s="919">
        <v>1</v>
      </c>
      <c r="F925" s="920">
        <v>0.9</v>
      </c>
      <c r="G925" s="920">
        <v>0</v>
      </c>
      <c r="H925" s="920">
        <v>2.08</v>
      </c>
      <c r="I925" s="1286">
        <f>-ROUND(IF(AND(F925:H925),C925*E925*F925*G925*H925,IF(AND(F925,G925),C925*E925*F925*G925,IF(AND(F925,H925),C925*E925*F925*H925,IF(AND(G925,H925),C925*E925*G925*H925,IF(F925,C925*E925*F925,IF(G925,C925*E925*G925,IF(H925,C925*E925*H925,C925*E925))))))),2)</f>
        <v>-1.87</v>
      </c>
      <c r="J925" s="955" t="s">
        <v>102</v>
      </c>
      <c r="K925" s="902"/>
      <c r="L925" s="923"/>
      <c r="M925" s="902"/>
      <c r="N925" s="900" t="s">
        <v>2309</v>
      </c>
    </row>
    <row r="926" spans="1:14" s="910" customFormat="1" ht="16.5" hidden="1" customHeight="1">
      <c r="A926" s="896"/>
      <c r="B926" s="902" t="s">
        <v>1490</v>
      </c>
      <c r="C926" s="897">
        <v>1</v>
      </c>
      <c r="D926" s="1263" t="s">
        <v>273</v>
      </c>
      <c r="E926" s="919">
        <v>1</v>
      </c>
      <c r="F926" s="920">
        <v>38.15</v>
      </c>
      <c r="G926" s="920">
        <v>0</v>
      </c>
      <c r="H926" s="920">
        <v>0.7</v>
      </c>
      <c r="I926" s="1286">
        <f>ROUND(IF(AND(F926:H926),C926*E926*F926*G926*H926,IF(AND(F926,G926),C926*E926*F926*G926,IF(AND(F926,H926),C926*E926*F926*H926,IF(AND(G926,H926),C926*E926*G926*H926,IF(F926,C926*E926*F926,IF(G926,C926*E926*G926,IF(H926,C926*E926*H926,C926*E926))))))),2)</f>
        <v>26.71</v>
      </c>
      <c r="J926" s="955" t="s">
        <v>102</v>
      </c>
      <c r="K926" s="902"/>
      <c r="L926" s="923"/>
      <c r="M926" s="902"/>
      <c r="N926" s="900" t="s">
        <v>2309</v>
      </c>
    </row>
    <row r="927" spans="1:14" s="910" customFormat="1" ht="16.5" hidden="1" customHeight="1">
      <c r="A927" s="896"/>
      <c r="B927" s="902" t="s">
        <v>2158</v>
      </c>
      <c r="C927" s="897">
        <v>8</v>
      </c>
      <c r="D927" s="1263" t="s">
        <v>273</v>
      </c>
      <c r="E927" s="919">
        <v>2</v>
      </c>
      <c r="F927" s="920">
        <v>0.115</v>
      </c>
      <c r="G927" s="920">
        <v>0</v>
      </c>
      <c r="H927" s="920">
        <v>0.7</v>
      </c>
      <c r="I927" s="1286">
        <f>ROUND(IF(AND(F927:H927),C927*E927*F927*G927*H927,IF(AND(F927,G927),C927*E927*F927*G927,IF(AND(F927,H927),C927*E927*F927*H927,IF(AND(G927,H927),C927*E927*G927*H927,IF(F927,C927*E927*F927,IF(G927,C927*E927*G927,IF(H927,C927*E927*H927,C927*E927))))))),2)</f>
        <v>1.29</v>
      </c>
      <c r="J927" s="955" t="s">
        <v>102</v>
      </c>
      <c r="K927" s="902"/>
      <c r="L927" s="923"/>
      <c r="M927" s="902"/>
      <c r="N927" s="900" t="s">
        <v>2309</v>
      </c>
    </row>
    <row r="928" spans="1:14" s="910" customFormat="1" ht="16.5" hidden="1" customHeight="1">
      <c r="A928" s="896"/>
      <c r="B928" s="956"/>
      <c r="C928" s="957"/>
      <c r="D928" s="958"/>
      <c r="E928" s="1268"/>
      <c r="F928" s="960"/>
      <c r="G928" s="960"/>
      <c r="H928" s="960"/>
      <c r="I928" s="916"/>
      <c r="J928" s="955"/>
      <c r="K928" s="902"/>
      <c r="L928" s="923"/>
      <c r="M928" s="902"/>
      <c r="N928" s="900" t="s">
        <v>2309</v>
      </c>
    </row>
    <row r="929" spans="1:14" ht="15.75" hidden="1">
      <c r="A929" s="896"/>
      <c r="B929" s="902"/>
      <c r="C929" s="917"/>
      <c r="D929" s="918"/>
      <c r="E929" s="919"/>
      <c r="F929" s="920"/>
      <c r="G929" s="921"/>
      <c r="H929" s="896"/>
      <c r="I929" s="916"/>
      <c r="J929" s="955" t="s">
        <v>102</v>
      </c>
      <c r="K929" s="922">
        <f>'data 2022-23'!G458</f>
        <v>352.1</v>
      </c>
      <c r="L929" s="923" t="s">
        <v>2419</v>
      </c>
      <c r="M929" s="924">
        <f>ROUND(I929*K929,0)</f>
        <v>0</v>
      </c>
      <c r="N929" s="900" t="s">
        <v>2309</v>
      </c>
    </row>
    <row r="930" spans="1:14" ht="52.5" hidden="1" customHeight="1">
      <c r="A930" s="896">
        <v>9</v>
      </c>
      <c r="B930" s="1609" t="s">
        <v>593</v>
      </c>
      <c r="C930" s="1609"/>
      <c r="D930" s="1609"/>
      <c r="E930" s="1609"/>
      <c r="F930" s="1609"/>
      <c r="G930" s="1609"/>
      <c r="H930" s="1609"/>
      <c r="I930" s="897"/>
      <c r="J930" s="898"/>
      <c r="K930" s="896"/>
      <c r="L930" s="923"/>
      <c r="M930" s="899"/>
      <c r="N930" s="900" t="s">
        <v>2309</v>
      </c>
    </row>
    <row r="931" spans="1:14" s="910" customFormat="1" ht="16.5" hidden="1" customHeight="1">
      <c r="A931" s="896"/>
      <c r="B931" s="902" t="s">
        <v>3370</v>
      </c>
      <c r="C931" s="903"/>
      <c r="D931" s="904"/>
      <c r="E931" s="905"/>
      <c r="F931" s="906"/>
      <c r="G931" s="906"/>
      <c r="H931" s="907"/>
      <c r="I931" s="908"/>
      <c r="J931" s="955"/>
      <c r="K931" s="902"/>
      <c r="L931" s="923"/>
      <c r="M931" s="902"/>
      <c r="N931" s="900" t="s">
        <v>2309</v>
      </c>
    </row>
    <row r="932" spans="1:14" s="910" customFormat="1" ht="15.75" hidden="1">
      <c r="A932" s="896"/>
      <c r="B932" s="902"/>
      <c r="C932" s="897">
        <v>1</v>
      </c>
      <c r="D932" s="1263" t="s">
        <v>273</v>
      </c>
      <c r="E932" s="919">
        <v>2</v>
      </c>
      <c r="F932" s="920">
        <v>3.25</v>
      </c>
      <c r="G932" s="920">
        <v>0</v>
      </c>
      <c r="H932" s="920">
        <v>2.6</v>
      </c>
      <c r="I932" s="1266">
        <f>ROUND(IF(AND(F932:H932),C932*E932*F932*G932*H932,IF(AND(F932,G932),C932*E932*F932*G932,IF(AND(F932,H932),C932*E932*F932*H932,IF(AND(G932,H932),C932*E932*G932*H932,IF(F932,C932*E932*F932,IF(G932,C932*E932*G932,IF(H932,C932*E932*H932,C932*E932))))))),2)</f>
        <v>16.899999999999999</v>
      </c>
      <c r="J932" s="955" t="s">
        <v>102</v>
      </c>
      <c r="K932" s="902"/>
      <c r="L932" s="923"/>
      <c r="M932" s="902"/>
      <c r="N932" s="900" t="s">
        <v>2309</v>
      </c>
    </row>
    <row r="933" spans="1:14" s="910" customFormat="1" ht="15.75" hidden="1">
      <c r="A933" s="896"/>
      <c r="B933" s="902"/>
      <c r="C933" s="897">
        <v>1</v>
      </c>
      <c r="D933" s="1263" t="s">
        <v>273</v>
      </c>
      <c r="E933" s="919">
        <v>2</v>
      </c>
      <c r="F933" s="920">
        <v>4.62</v>
      </c>
      <c r="G933" s="920">
        <v>0</v>
      </c>
      <c r="H933" s="920">
        <v>2.6</v>
      </c>
      <c r="I933" s="1266">
        <f>ROUND(IF(AND(F933:H933),C933*E933*F933*G933*H933,IF(AND(F933,G933),C933*E933*F933*G933,IF(AND(F933,H933),C933*E933*F933*H933,IF(AND(G933,H933),C933*E933*G933*H933,IF(F933,C933*E933*F933,IF(G933,C933*E933*G933,IF(H933,C933*E933*H933,C933*E933))))))),2)</f>
        <v>24.02</v>
      </c>
      <c r="J933" s="955" t="s">
        <v>102</v>
      </c>
      <c r="K933" s="902"/>
      <c r="L933" s="923"/>
      <c r="M933" s="902"/>
      <c r="N933" s="900" t="s">
        <v>2309</v>
      </c>
    </row>
    <row r="934" spans="1:14" s="910" customFormat="1" ht="15.75" hidden="1">
      <c r="A934" s="896"/>
      <c r="B934" s="902" t="s">
        <v>579</v>
      </c>
      <c r="C934" s="897">
        <v>1</v>
      </c>
      <c r="D934" s="1263" t="s">
        <v>273</v>
      </c>
      <c r="E934" s="919">
        <v>1</v>
      </c>
      <c r="F934" s="920">
        <v>0.9</v>
      </c>
      <c r="G934" s="920">
        <v>0</v>
      </c>
      <c r="H934" s="920">
        <v>2.08</v>
      </c>
      <c r="I934" s="1266">
        <f>-ROUND(IF(AND(F934:H934),C934*E934*F934*G934*H934,IF(AND(F934,G934),C934*E934*F934*G934,IF(AND(F934,H934),C934*E934*F934*H934,IF(AND(G934,H934),C934*E934*G934*H934,IF(F934,C934*E934*F934,IF(G934,C934*E934*G934,IF(H934,C934*E934*H934,C934*E934))))))),2)</f>
        <v>-1.87</v>
      </c>
      <c r="J934" s="955" t="s">
        <v>102</v>
      </c>
      <c r="K934" s="902"/>
      <c r="L934" s="923"/>
      <c r="M934" s="902"/>
      <c r="N934" s="900" t="s">
        <v>2309</v>
      </c>
    </row>
    <row r="935" spans="1:14" s="910" customFormat="1" ht="15.75" hidden="1">
      <c r="A935" s="896"/>
      <c r="B935" s="902" t="s">
        <v>1490</v>
      </c>
      <c r="C935" s="897">
        <v>1</v>
      </c>
      <c r="D935" s="1263" t="s">
        <v>273</v>
      </c>
      <c r="E935" s="919">
        <v>1</v>
      </c>
      <c r="F935" s="920">
        <v>1.2</v>
      </c>
      <c r="G935" s="920">
        <v>0</v>
      </c>
      <c r="H935" s="920">
        <v>1.2</v>
      </c>
      <c r="I935" s="1266">
        <f>-ROUND(IF(AND(F935:H935),C935*E935*F935*G935*H935,IF(AND(F935,G935),C935*E935*F935*G935,IF(AND(F935,H935),C935*E935*F935*H935,IF(AND(G935,H935),C935*E935*G935*H935,IF(F935,C935*E935*F935,IF(G935,C935*E935*G935,IF(H935,C935*E935*H935,C935*E935))))))),2)</f>
        <v>-1.44</v>
      </c>
      <c r="J935" s="955" t="s">
        <v>102</v>
      </c>
      <c r="K935" s="902"/>
      <c r="L935" s="923"/>
      <c r="M935" s="902"/>
      <c r="N935" s="900" t="s">
        <v>2309</v>
      </c>
    </row>
    <row r="936" spans="1:14" s="910" customFormat="1" ht="16.5" hidden="1" customHeight="1">
      <c r="A936" s="896"/>
      <c r="B936" s="956"/>
      <c r="C936" s="957"/>
      <c r="D936" s="958"/>
      <c r="E936" s="1268"/>
      <c r="F936" s="960"/>
      <c r="G936" s="960"/>
      <c r="H936" s="960"/>
      <c r="I936" s="916"/>
      <c r="J936" s="955"/>
      <c r="K936" s="902"/>
      <c r="L936" s="923"/>
      <c r="M936" s="902"/>
      <c r="N936" s="900" t="s">
        <v>2309</v>
      </c>
    </row>
    <row r="937" spans="1:14" ht="15.75" hidden="1">
      <c r="A937" s="896"/>
      <c r="B937" s="902"/>
      <c r="C937" s="917"/>
      <c r="D937" s="918"/>
      <c r="E937" s="919"/>
      <c r="F937" s="920"/>
      <c r="G937" s="921"/>
      <c r="H937" s="896"/>
      <c r="I937" s="916"/>
      <c r="J937" s="955" t="s">
        <v>102</v>
      </c>
      <c r="K937" s="922">
        <f>'data 2022-23'!G474</f>
        <v>372.29</v>
      </c>
      <c r="L937" s="923" t="s">
        <v>2419</v>
      </c>
      <c r="M937" s="924">
        <f>ROUND(I937*K937,0)</f>
        <v>0</v>
      </c>
      <c r="N937" s="900" t="s">
        <v>2309</v>
      </c>
    </row>
    <row r="938" spans="1:14" ht="71.25" hidden="1" customHeight="1">
      <c r="A938" s="896">
        <v>8</v>
      </c>
      <c r="B938" s="1609" t="s">
        <v>808</v>
      </c>
      <c r="C938" s="1609"/>
      <c r="D938" s="1609"/>
      <c r="E938" s="1609"/>
      <c r="F938" s="1609"/>
      <c r="G938" s="1609"/>
      <c r="H938" s="1609"/>
      <c r="I938" s="897"/>
      <c r="J938" s="898"/>
      <c r="K938" s="896"/>
      <c r="L938" s="923"/>
      <c r="M938" s="899"/>
      <c r="N938" s="900" t="s">
        <v>2309</v>
      </c>
    </row>
    <row r="939" spans="1:14" s="910" customFormat="1" ht="16.5" hidden="1" customHeight="1">
      <c r="A939" s="896"/>
      <c r="B939" s="902" t="s">
        <v>3348</v>
      </c>
      <c r="C939" s="897"/>
      <c r="D939" s="1263"/>
      <c r="E939" s="919"/>
      <c r="F939" s="920"/>
      <c r="G939" s="920"/>
      <c r="H939" s="920"/>
      <c r="I939" s="1264"/>
      <c r="J939" s="955"/>
      <c r="K939" s="902"/>
      <c r="L939" s="923"/>
      <c r="M939" s="902"/>
      <c r="N939" s="900" t="s">
        <v>2309</v>
      </c>
    </row>
    <row r="940" spans="1:14" s="910" customFormat="1" ht="16.5" hidden="1" customHeight="1">
      <c r="A940" s="896"/>
      <c r="B940" s="902" t="s">
        <v>1542</v>
      </c>
      <c r="C940" s="897">
        <v>1</v>
      </c>
      <c r="D940" s="1263" t="s">
        <v>273</v>
      </c>
      <c r="E940" s="919">
        <v>2</v>
      </c>
      <c r="F940" s="920">
        <v>4.6399999999999997</v>
      </c>
      <c r="G940" s="920">
        <v>0</v>
      </c>
      <c r="H940" s="920">
        <v>2.7</v>
      </c>
      <c r="I940" s="1286">
        <f>ROUND(IF(AND(F940:H940),C940*E940*F940*G940*H940,IF(AND(F940,G940),C940*E940*F940*G940,IF(AND(F940,H940),C940*E940*F940*H940,IF(AND(G940,H940),C940*E940*G940*H940,IF(F940,C940*E940*F940,IF(G940,C940*E940*G940,IF(H940,C940*E940*H940,C940*E940))))))),2)</f>
        <v>25.06</v>
      </c>
      <c r="J940" s="955" t="s">
        <v>102</v>
      </c>
      <c r="K940" s="902"/>
      <c r="L940" s="923"/>
      <c r="M940" s="902"/>
      <c r="N940" s="900" t="s">
        <v>2309</v>
      </c>
    </row>
    <row r="941" spans="1:14" s="910" customFormat="1" ht="16.5" hidden="1" customHeight="1">
      <c r="A941" s="896"/>
      <c r="B941" s="902" t="s">
        <v>579</v>
      </c>
      <c r="C941" s="897">
        <v>1</v>
      </c>
      <c r="D941" s="1263" t="s">
        <v>273</v>
      </c>
      <c r="E941" s="919">
        <v>1</v>
      </c>
      <c r="F941" s="920">
        <v>1.07</v>
      </c>
      <c r="G941" s="920">
        <v>0</v>
      </c>
      <c r="H941" s="920">
        <v>2.12</v>
      </c>
      <c r="I941" s="1286">
        <f>-ROUND(IF(AND(F941:H941),C941*E941*F941*G941*H941,IF(AND(F941,G941),C941*E941*F941*G941,IF(AND(F941,H941),C941*E941*F941*H941,IF(AND(G941,H941),C941*E941*G941*H941,IF(F941,C941*E941*F941,IF(G941,C941*E941*G941,IF(H941,C941*E941*H941,C941*E941))))))),2)</f>
        <v>-2.27</v>
      </c>
      <c r="J941" s="955" t="s">
        <v>102</v>
      </c>
      <c r="K941" s="902"/>
      <c r="L941" s="923"/>
      <c r="M941" s="902"/>
      <c r="N941" s="900" t="s">
        <v>2309</v>
      </c>
    </row>
    <row r="942" spans="1:14" s="910" customFormat="1" ht="16.5" hidden="1" customHeight="1">
      <c r="A942" s="896"/>
      <c r="B942" s="902" t="s">
        <v>1490</v>
      </c>
      <c r="C942" s="897">
        <v>1</v>
      </c>
      <c r="D942" s="1263" t="s">
        <v>273</v>
      </c>
      <c r="E942" s="919">
        <v>1</v>
      </c>
      <c r="F942" s="920">
        <v>37.799999999999997</v>
      </c>
      <c r="G942" s="920">
        <v>0</v>
      </c>
      <c r="H942" s="920">
        <v>0.88</v>
      </c>
      <c r="I942" s="1286">
        <f>ROUND(IF(AND(F942:H942),C942*E942*F942*G942*H942,IF(AND(F942,G942),C942*E942*F942*G942,IF(AND(F942,H942),C942*E942*F942*H942,IF(AND(G942,H942),C942*E942*G942*H942,IF(F942,C942*E942*F942,IF(G942,C942*E942*G942,IF(H942,C942*E942*H942,C942*E942))))))),2)</f>
        <v>33.26</v>
      </c>
      <c r="J942" s="955" t="s">
        <v>102</v>
      </c>
      <c r="K942" s="902"/>
      <c r="L942" s="923"/>
      <c r="M942" s="902"/>
      <c r="N942" s="900" t="s">
        <v>2309</v>
      </c>
    </row>
    <row r="943" spans="1:14" s="910" customFormat="1" ht="16.5" hidden="1" customHeight="1">
      <c r="A943" s="896"/>
      <c r="B943" s="956"/>
      <c r="C943" s="957"/>
      <c r="D943" s="958"/>
      <c r="E943" s="1268"/>
      <c r="F943" s="960"/>
      <c r="G943" s="960"/>
      <c r="H943" s="960"/>
      <c r="I943" s="916"/>
      <c r="J943" s="955"/>
      <c r="K943" s="902"/>
      <c r="L943" s="923"/>
      <c r="M943" s="902"/>
      <c r="N943" s="900" t="s">
        <v>2309</v>
      </c>
    </row>
    <row r="944" spans="1:14" ht="15.75" hidden="1">
      <c r="A944" s="896"/>
      <c r="B944" s="902"/>
      <c r="C944" s="917"/>
      <c r="D944" s="918"/>
      <c r="E944" s="919"/>
      <c r="F944" s="920"/>
      <c r="G944" s="921"/>
      <c r="H944" s="896"/>
      <c r="I944" s="916"/>
      <c r="J944" s="955" t="s">
        <v>102</v>
      </c>
      <c r="K944" s="922">
        <f>'data 2022-23'!G510</f>
        <v>464.16</v>
      </c>
      <c r="L944" s="923" t="s">
        <v>2419</v>
      </c>
      <c r="M944" s="924">
        <f>ROUND(I944*K944,0)</f>
        <v>0</v>
      </c>
      <c r="N944" s="900" t="s">
        <v>2309</v>
      </c>
    </row>
    <row r="945" spans="1:14" ht="71.25" hidden="1" customHeight="1">
      <c r="A945" s="896">
        <v>9</v>
      </c>
      <c r="B945" s="1609" t="s">
        <v>316</v>
      </c>
      <c r="C945" s="1609"/>
      <c r="D945" s="1609"/>
      <c r="E945" s="1609"/>
      <c r="F945" s="1609"/>
      <c r="G945" s="1609"/>
      <c r="H945" s="1609"/>
      <c r="I945" s="897"/>
      <c r="J945" s="898"/>
      <c r="K945" s="896"/>
      <c r="L945" s="923"/>
      <c r="M945" s="899"/>
      <c r="N945" s="900" t="s">
        <v>2309</v>
      </c>
    </row>
    <row r="946" spans="1:14" s="910" customFormat="1" ht="15.75" hidden="1">
      <c r="A946" s="896"/>
      <c r="B946" s="902" t="s">
        <v>3352</v>
      </c>
      <c r="C946" s="897"/>
      <c r="D946" s="1263"/>
      <c r="E946" s="919"/>
      <c r="F946" s="920"/>
      <c r="G946" s="920"/>
      <c r="H946" s="920"/>
      <c r="I946" s="1264"/>
      <c r="J946" s="955"/>
      <c r="K946" s="902"/>
      <c r="L946" s="923"/>
      <c r="M946" s="902"/>
      <c r="N946" s="900" t="s">
        <v>2309</v>
      </c>
    </row>
    <row r="947" spans="1:14" s="910" customFormat="1" ht="15.75" hidden="1">
      <c r="A947" s="896"/>
      <c r="B947" s="902"/>
      <c r="C947" s="897">
        <v>1</v>
      </c>
      <c r="D947" s="1263" t="s">
        <v>273</v>
      </c>
      <c r="E947" s="919">
        <v>2</v>
      </c>
      <c r="F947" s="920">
        <v>3.25</v>
      </c>
      <c r="G947" s="920">
        <v>0</v>
      </c>
      <c r="H947" s="920">
        <v>2.7</v>
      </c>
      <c r="I947" s="1266">
        <f>ROUND(IF(AND(F947:H947),C947*E947*F947*G947*H947,IF(AND(F947,G947),C947*E947*F947*G947,IF(AND(F947,H947),C947*E947*F947*H947,IF(AND(G947,H947),C947*E947*G947*H947,IF(F947,C947*E947*F947,IF(G947,C947*E947*G947,IF(H947,C947*E947*H947,C947*E947))))))),2)</f>
        <v>17.55</v>
      </c>
      <c r="J947" s="955" t="s">
        <v>102</v>
      </c>
      <c r="K947" s="902"/>
      <c r="L947" s="923"/>
      <c r="M947" s="902"/>
      <c r="N947" s="900" t="s">
        <v>2309</v>
      </c>
    </row>
    <row r="948" spans="1:14" s="910" customFormat="1" ht="15.75" hidden="1">
      <c r="A948" s="896"/>
      <c r="B948" s="902"/>
      <c r="C948" s="897">
        <v>1</v>
      </c>
      <c r="D948" s="1263" t="s">
        <v>273</v>
      </c>
      <c r="E948" s="919">
        <v>2</v>
      </c>
      <c r="F948" s="920">
        <v>4.74</v>
      </c>
      <c r="G948" s="920">
        <v>0</v>
      </c>
      <c r="H948" s="920">
        <v>2.7</v>
      </c>
      <c r="I948" s="1266">
        <f>ROUND(IF(AND(F948:H948),C948*E948*F948*G948*H948,IF(AND(F948,G948),C948*E948*F948*G948,IF(AND(F948,H948),C948*E948*F948*H948,IF(AND(G948,H948),C948*E948*G948*H948,IF(F948,C948*E948*F948,IF(G948,C948*E948*G948,IF(H948,C948*E948*H948,C948*E948))))))),2)</f>
        <v>25.6</v>
      </c>
      <c r="J948" s="955" t="s">
        <v>102</v>
      </c>
      <c r="K948" s="902"/>
      <c r="L948" s="923"/>
      <c r="M948" s="902"/>
      <c r="N948" s="900" t="s">
        <v>2309</v>
      </c>
    </row>
    <row r="949" spans="1:14" s="910" customFormat="1" ht="15.75" hidden="1">
      <c r="A949" s="896"/>
      <c r="B949" s="902" t="s">
        <v>1490</v>
      </c>
      <c r="C949" s="897">
        <v>1</v>
      </c>
      <c r="D949" s="1263" t="s">
        <v>273</v>
      </c>
      <c r="E949" s="919">
        <v>1</v>
      </c>
      <c r="F949" s="920">
        <v>1.5</v>
      </c>
      <c r="G949" s="920">
        <v>0</v>
      </c>
      <c r="H949" s="920">
        <v>1.35</v>
      </c>
      <c r="I949" s="1266">
        <f>-ROUND(IF(AND(F949:H949),C949*E949*F949*G949*H949,IF(AND(F949,G949),C949*E949*F949*G949,IF(AND(F949,H949),C949*E949*F949*H949,IF(AND(G949,H949),C949*E949*G949*H949,IF(F949,C949*E949*F949,IF(G949,C949*E949*G949,IF(H949,C949*E949*H949,C949*E949))))))),2)</f>
        <v>-2.0299999999999998</v>
      </c>
      <c r="J949" s="955" t="s">
        <v>102</v>
      </c>
      <c r="K949" s="902"/>
      <c r="L949" s="923"/>
      <c r="M949" s="902"/>
      <c r="N949" s="900" t="s">
        <v>2309</v>
      </c>
    </row>
    <row r="950" spans="1:14" s="910" customFormat="1" ht="15.75" hidden="1">
      <c r="A950" s="896"/>
      <c r="B950" s="956"/>
      <c r="C950" s="957"/>
      <c r="D950" s="958"/>
      <c r="E950" s="1268"/>
      <c r="F950" s="960"/>
      <c r="G950" s="960"/>
      <c r="H950" s="960"/>
      <c r="I950" s="916"/>
      <c r="J950" s="955"/>
      <c r="K950" s="902"/>
      <c r="L950" s="923"/>
      <c r="M950" s="902"/>
      <c r="N950" s="900" t="s">
        <v>2309</v>
      </c>
    </row>
    <row r="951" spans="1:14" ht="15.75" hidden="1">
      <c r="A951" s="896"/>
      <c r="B951" s="902"/>
      <c r="C951" s="917"/>
      <c r="D951" s="918"/>
      <c r="E951" s="919"/>
      <c r="F951" s="920"/>
      <c r="G951" s="921"/>
      <c r="H951" s="896"/>
      <c r="I951" s="916"/>
      <c r="J951" s="955" t="s">
        <v>102</v>
      </c>
      <c r="K951" s="922">
        <f>'data 2022-23'!G530</f>
        <v>479.98</v>
      </c>
      <c r="L951" s="923" t="s">
        <v>2419</v>
      </c>
      <c r="M951" s="924">
        <f>ROUND(I951*K951,0)</f>
        <v>0</v>
      </c>
      <c r="N951" s="900" t="s">
        <v>2309</v>
      </c>
    </row>
    <row r="952" spans="1:14" ht="92.25" hidden="1" customHeight="1">
      <c r="A952" s="896">
        <v>13</v>
      </c>
      <c r="B952" s="1609" t="s">
        <v>1435</v>
      </c>
      <c r="C952" s="1609"/>
      <c r="D952" s="1609"/>
      <c r="E952" s="1609"/>
      <c r="F952" s="1609"/>
      <c r="G952" s="1609"/>
      <c r="H952" s="1609"/>
      <c r="I952" s="897"/>
      <c r="J952" s="898"/>
      <c r="K952" s="896"/>
      <c r="L952" s="923"/>
      <c r="M952" s="899"/>
      <c r="N952" s="900" t="s">
        <v>2309</v>
      </c>
    </row>
    <row r="953" spans="1:14" s="910" customFormat="1" ht="16.5" hidden="1" customHeight="1">
      <c r="A953" s="896"/>
      <c r="B953" s="980" t="s">
        <v>3414</v>
      </c>
      <c r="C953" s="903"/>
      <c r="D953" s="904"/>
      <c r="E953" s="905"/>
      <c r="F953" s="906"/>
      <c r="G953" s="906"/>
      <c r="H953" s="907"/>
      <c r="I953" s="908"/>
      <c r="J953" s="955"/>
      <c r="K953" s="902"/>
      <c r="L953" s="923"/>
      <c r="M953" s="902"/>
      <c r="N953" s="900" t="s">
        <v>2309</v>
      </c>
    </row>
    <row r="954" spans="1:14" s="910" customFormat="1" ht="16.5" hidden="1" customHeight="1">
      <c r="A954" s="896"/>
      <c r="B954" s="956"/>
      <c r="C954" s="957">
        <v>11</v>
      </c>
      <c r="D954" s="958" t="s">
        <v>273</v>
      </c>
      <c r="E954" s="1288">
        <v>0.5</v>
      </c>
      <c r="F954" s="960">
        <v>1.8</v>
      </c>
      <c r="G954" s="960">
        <v>0.3</v>
      </c>
      <c r="H954" s="960">
        <v>0.15</v>
      </c>
      <c r="I954" s="916">
        <f>ROUND(IF(AND(F954:H954),C954*E954*F954*G954*H954,IF(AND(F954,G954),C954*E954*F954*G954,IF(AND(F954,H954),C954*E954*F954*H954,IF(AND(G954,H954),C954*E954*G954*H954,IF(F954,C954*E954*F954,IF(G954,C954*E954*G954,IF(H954,C954*E954*H954,C954*E954))))))),2)</f>
        <v>0.45</v>
      </c>
      <c r="J954" s="955" t="s">
        <v>5</v>
      </c>
      <c r="K954" s="902"/>
      <c r="L954" s="923"/>
      <c r="M954" s="902"/>
      <c r="N954" s="900" t="s">
        <v>2309</v>
      </c>
    </row>
    <row r="955" spans="1:14" s="910" customFormat="1" ht="16.5" hidden="1" customHeight="1">
      <c r="A955" s="896"/>
      <c r="B955" s="956"/>
      <c r="C955" s="957"/>
      <c r="D955" s="958"/>
      <c r="E955" s="1288"/>
      <c r="F955" s="960"/>
      <c r="G955" s="960"/>
      <c r="H955" s="960"/>
      <c r="I955" s="916"/>
      <c r="J955" s="955"/>
      <c r="K955" s="902"/>
      <c r="L955" s="923"/>
      <c r="M955" s="902"/>
      <c r="N955" s="900" t="s">
        <v>2309</v>
      </c>
    </row>
    <row r="956" spans="1:14" ht="15.75" hidden="1">
      <c r="A956" s="896"/>
      <c r="B956" s="902"/>
      <c r="C956" s="917"/>
      <c r="D956" s="918"/>
      <c r="E956" s="919"/>
      <c r="F956" s="920"/>
      <c r="G956" s="921"/>
      <c r="H956" s="896"/>
      <c r="I956" s="916"/>
      <c r="J956" s="955" t="s">
        <v>5</v>
      </c>
      <c r="K956" s="922">
        <f>'data 2022-23'!G269</f>
        <v>5843.9400000000005</v>
      </c>
      <c r="L956" s="923" t="s">
        <v>274</v>
      </c>
      <c r="M956" s="924">
        <f>ROUND(I956*K956,0)</f>
        <v>0</v>
      </c>
      <c r="N956" s="900" t="s">
        <v>2309</v>
      </c>
    </row>
    <row r="957" spans="1:14" ht="106.5" hidden="1" customHeight="1">
      <c r="A957" s="896">
        <v>10</v>
      </c>
      <c r="B957" s="1609" t="s">
        <v>212</v>
      </c>
      <c r="C957" s="1609"/>
      <c r="D957" s="1609"/>
      <c r="E957" s="1609"/>
      <c r="F957" s="1609"/>
      <c r="G957" s="1609"/>
      <c r="H957" s="1609"/>
      <c r="I957" s="897"/>
      <c r="J957" s="898"/>
      <c r="K957" s="896"/>
      <c r="L957" s="923"/>
      <c r="M957" s="899"/>
      <c r="N957" s="900" t="s">
        <v>2309</v>
      </c>
    </row>
    <row r="958" spans="1:14" s="910" customFormat="1" ht="16.5" hidden="1" customHeight="1">
      <c r="A958" s="896"/>
      <c r="B958" s="902" t="s">
        <v>3415</v>
      </c>
      <c r="C958" s="903"/>
      <c r="D958" s="904"/>
      <c r="E958" s="905"/>
      <c r="F958" s="906"/>
      <c r="G958" s="906"/>
      <c r="H958" s="907"/>
      <c r="I958" s="908"/>
      <c r="J958" s="955"/>
      <c r="K958" s="902"/>
      <c r="L958" s="896"/>
      <c r="M958" s="902"/>
      <c r="N958" s="900" t="s">
        <v>2309</v>
      </c>
    </row>
    <row r="959" spans="1:14" s="910" customFormat="1" ht="16.5" hidden="1" customHeight="1">
      <c r="A959" s="896"/>
      <c r="B959" s="956" t="s">
        <v>1629</v>
      </c>
      <c r="C959" s="957">
        <v>1</v>
      </c>
      <c r="D959" s="958" t="s">
        <v>273</v>
      </c>
      <c r="E959" s="1268">
        <v>1</v>
      </c>
      <c r="F959" s="960">
        <v>4</v>
      </c>
      <c r="G959" s="960">
        <v>2.57</v>
      </c>
      <c r="H959" s="960">
        <v>0</v>
      </c>
      <c r="I959" s="916">
        <f>ROUND(IF(AND(F959:H959),C959*E959*F959*G959*H959,IF(AND(F959,G959),C959*E959*F959*G959,IF(AND(F959,H959),C959*E959*F959*H959,IF(AND(G959,H959),C959*E959*G959*H959,IF(F959,C959*E959*F959,IF(G959,C959*E959*G959,IF(H959,C959*E959*H959,C959*E959))))))),2)</f>
        <v>10.28</v>
      </c>
      <c r="J959" s="955" t="s">
        <v>102</v>
      </c>
      <c r="K959" s="902"/>
      <c r="L959" s="896"/>
      <c r="M959" s="902"/>
      <c r="N959" s="900" t="s">
        <v>2309</v>
      </c>
    </row>
    <row r="960" spans="1:14" s="910" customFormat="1" ht="16.5" hidden="1" customHeight="1">
      <c r="A960" s="896"/>
      <c r="B960" s="956" t="s">
        <v>281</v>
      </c>
      <c r="C960" s="957">
        <v>1</v>
      </c>
      <c r="D960" s="958" t="s">
        <v>273</v>
      </c>
      <c r="E960" s="1268">
        <v>2</v>
      </c>
      <c r="F960" s="960">
        <v>0.44</v>
      </c>
      <c r="G960" s="960">
        <v>0.26</v>
      </c>
      <c r="H960" s="960">
        <v>0</v>
      </c>
      <c r="I960" s="916">
        <f>-ROUND(IF(AND(F960:H960),C960*E960*F960*G960*H960,IF(AND(F960,G960),C960*E960*F960*G960,IF(AND(F960,H960),C960*E960*F960*H960,IF(AND(G960,H960),C960*E960*G960*H960,IF(F960,C960*E960*F960,IF(G960,C960*E960*G960,IF(H960,C960*E960*H960,C960*E960))))))),2)</f>
        <v>-0.23</v>
      </c>
      <c r="J960" s="955" t="s">
        <v>102</v>
      </c>
      <c r="K960" s="902"/>
      <c r="L960" s="896"/>
      <c r="M960" s="902"/>
      <c r="N960" s="900" t="s">
        <v>2309</v>
      </c>
    </row>
    <row r="961" spans="1:14" s="910" customFormat="1" ht="16.5" hidden="1" customHeight="1">
      <c r="A961" s="896"/>
      <c r="B961" s="956"/>
      <c r="C961" s="957"/>
      <c r="D961" s="958"/>
      <c r="E961" s="1268"/>
      <c r="F961" s="960"/>
      <c r="G961" s="960"/>
      <c r="H961" s="960"/>
      <c r="I961" s="916"/>
      <c r="J961" s="955"/>
      <c r="K961" s="902"/>
      <c r="L961" s="923"/>
      <c r="M961" s="902"/>
      <c r="N961" s="900" t="s">
        <v>2309</v>
      </c>
    </row>
    <row r="962" spans="1:14" ht="15.75" hidden="1">
      <c r="A962" s="896"/>
      <c r="B962" s="902"/>
      <c r="C962" s="917"/>
      <c r="D962" s="918"/>
      <c r="E962" s="919"/>
      <c r="F962" s="920"/>
      <c r="G962" s="921"/>
      <c r="H962" s="896"/>
      <c r="I962" s="916"/>
      <c r="J962" s="955" t="s">
        <v>102</v>
      </c>
      <c r="K962" s="922">
        <f>'data 2022-23'!G678</f>
        <v>1139.42</v>
      </c>
      <c r="L962" s="923" t="s">
        <v>2419</v>
      </c>
      <c r="M962" s="924">
        <f>ROUND(I962*K962,0)</f>
        <v>0</v>
      </c>
      <c r="N962" s="900" t="s">
        <v>2309</v>
      </c>
    </row>
    <row r="963" spans="1:14" ht="79.5" hidden="1" customHeight="1">
      <c r="A963" s="896">
        <v>25</v>
      </c>
      <c r="B963" s="1609" t="s">
        <v>213</v>
      </c>
      <c r="C963" s="1609"/>
      <c r="D963" s="1609"/>
      <c r="E963" s="1609"/>
      <c r="F963" s="1609"/>
      <c r="G963" s="1609"/>
      <c r="H963" s="1609"/>
      <c r="I963" s="897"/>
      <c r="J963" s="898"/>
      <c r="K963" s="896"/>
      <c r="L963" s="923"/>
      <c r="M963" s="899"/>
      <c r="N963" s="900" t="s">
        <v>2309</v>
      </c>
    </row>
    <row r="964" spans="1:14" s="910" customFormat="1" ht="16.5" hidden="1" customHeight="1">
      <c r="A964" s="896"/>
      <c r="B964" s="902" t="s">
        <v>3345</v>
      </c>
      <c r="C964" s="903"/>
      <c r="D964" s="904"/>
      <c r="E964" s="905"/>
      <c r="F964" s="906"/>
      <c r="G964" s="906"/>
      <c r="H964" s="907"/>
      <c r="I964" s="908"/>
      <c r="J964" s="955"/>
      <c r="K964" s="902"/>
      <c r="L964" s="923"/>
      <c r="M964" s="902"/>
      <c r="N964" s="900" t="s">
        <v>2309</v>
      </c>
    </row>
    <row r="965" spans="1:14" s="910" customFormat="1" ht="16.5" hidden="1" customHeight="1">
      <c r="A965" s="896"/>
      <c r="B965" s="956" t="s">
        <v>1247</v>
      </c>
      <c r="C965" s="957">
        <v>1</v>
      </c>
      <c r="D965" s="958" t="s">
        <v>273</v>
      </c>
      <c r="E965" s="1268">
        <v>1</v>
      </c>
      <c r="F965" s="960">
        <v>26.94</v>
      </c>
      <c r="G965" s="960">
        <v>0</v>
      </c>
      <c r="H965" s="960">
        <v>0.1</v>
      </c>
      <c r="I965" s="916">
        <f>ROUND(IF(AND(F965:H965),C965*E965*F965*G965*H965,IF(AND(F965,G965),C965*E965*F965*G965,IF(AND(F965,H965),C965*E965*F965*H965,IF(AND(G965,H965),C965*E965*G965*H965,IF(F965,C965*E965*F965,IF(G965,C965*E965*G965,IF(H965,C965*E965*H965,C965*E965))))))),2)</f>
        <v>2.69</v>
      </c>
      <c r="J965" s="955" t="s">
        <v>102</v>
      </c>
      <c r="K965" s="902"/>
      <c r="L965" s="923"/>
      <c r="M965" s="902"/>
      <c r="N965" s="900" t="s">
        <v>2309</v>
      </c>
    </row>
    <row r="966" spans="1:14" s="910" customFormat="1" ht="16.5" hidden="1" customHeight="1">
      <c r="A966" s="896"/>
      <c r="B966" s="956" t="s">
        <v>660</v>
      </c>
      <c r="C966" s="957">
        <v>1</v>
      </c>
      <c r="D966" s="958" t="s">
        <v>273</v>
      </c>
      <c r="E966" s="1268">
        <v>1</v>
      </c>
      <c r="F966" s="960">
        <v>23.1</v>
      </c>
      <c r="G966" s="960">
        <v>0</v>
      </c>
      <c r="H966" s="960">
        <v>0.1</v>
      </c>
      <c r="I966" s="916">
        <f>ROUND(IF(AND(F966:H966),C966*E966*F966*G966*H966,IF(AND(F966,G966),C966*E966*F966*G966,IF(AND(F966,H966),C966*E966*F966*H966,IF(AND(G966,H966),C966*E966*G966*H966,IF(F966,C966*E966*F966,IF(G966,C966*E966*G966,IF(H966,C966*E966*H966,C966*E966))))))),2)</f>
        <v>2.31</v>
      </c>
      <c r="J966" s="955" t="s">
        <v>102</v>
      </c>
      <c r="K966" s="902"/>
      <c r="L966" s="923"/>
      <c r="M966" s="902"/>
      <c r="N966" s="900" t="s">
        <v>2309</v>
      </c>
    </row>
    <row r="967" spans="1:14" s="910" customFormat="1" ht="16.5" hidden="1" customHeight="1">
      <c r="A967" s="896"/>
      <c r="B967" s="956" t="s">
        <v>1246</v>
      </c>
      <c r="C967" s="957">
        <v>1</v>
      </c>
      <c r="D967" s="958" t="s">
        <v>273</v>
      </c>
      <c r="E967" s="1268">
        <v>1</v>
      </c>
      <c r="F967" s="960">
        <v>6.32</v>
      </c>
      <c r="G967" s="960">
        <v>0</v>
      </c>
      <c r="H967" s="960">
        <v>0.1</v>
      </c>
      <c r="I967" s="916">
        <f>ROUND(IF(AND(F967:H967),C967*E967*F967*G967*H967,IF(AND(F967,G967),C967*E967*F967*G967,IF(AND(F967,H967),C967*E967*F967*H967,IF(AND(G967,H967),C967*E967*G967*H967,IF(F967,C967*E967*F967,IF(G967,C967*E967*G967,IF(H967,C967*E967*H967,C967*E967))))))),2)</f>
        <v>0.63</v>
      </c>
      <c r="J967" s="955" t="s">
        <v>102</v>
      </c>
      <c r="K967" s="902"/>
      <c r="L967" s="923"/>
      <c r="M967" s="902"/>
      <c r="N967" s="900" t="s">
        <v>2309</v>
      </c>
    </row>
    <row r="968" spans="1:14" s="910" customFormat="1" ht="16.5" hidden="1" customHeight="1">
      <c r="A968" s="896"/>
      <c r="B968" s="956"/>
      <c r="C968" s="957"/>
      <c r="D968" s="958"/>
      <c r="E968" s="1268"/>
      <c r="F968" s="960"/>
      <c r="G968" s="960"/>
      <c r="H968" s="960"/>
      <c r="I968" s="916"/>
      <c r="J968" s="955"/>
      <c r="K968" s="902"/>
      <c r="L968" s="923"/>
      <c r="M968" s="902"/>
      <c r="N968" s="900" t="s">
        <v>2309</v>
      </c>
    </row>
    <row r="969" spans="1:14" ht="15.75" hidden="1">
      <c r="A969" s="896"/>
      <c r="B969" s="902"/>
      <c r="C969" s="917"/>
      <c r="D969" s="918"/>
      <c r="E969" s="919"/>
      <c r="F969" s="920"/>
      <c r="G969" s="921"/>
      <c r="H969" s="896"/>
      <c r="I969" s="916"/>
      <c r="J969" s="955" t="s">
        <v>102</v>
      </c>
      <c r="K969" s="922">
        <f>'data 2022-23'!G696</f>
        <v>1134.08</v>
      </c>
      <c r="L969" s="923" t="s">
        <v>2419</v>
      </c>
      <c r="M969" s="924">
        <f>ROUND(I969*K969,0)</f>
        <v>0</v>
      </c>
      <c r="N969" s="900" t="s">
        <v>2309</v>
      </c>
    </row>
    <row r="970" spans="1:14" ht="108" hidden="1" customHeight="1">
      <c r="A970" s="896">
        <v>23</v>
      </c>
      <c r="B970" s="1609" t="s">
        <v>665</v>
      </c>
      <c r="C970" s="1609"/>
      <c r="D970" s="1609"/>
      <c r="E970" s="1609"/>
      <c r="F970" s="1609"/>
      <c r="G970" s="1609"/>
      <c r="H970" s="1609"/>
      <c r="I970" s="897"/>
      <c r="J970" s="898"/>
      <c r="K970" s="896"/>
      <c r="L970" s="923"/>
      <c r="M970" s="899"/>
      <c r="N970" s="900" t="s">
        <v>2309</v>
      </c>
    </row>
    <row r="971" spans="1:14" s="910" customFormat="1" ht="16.5" hidden="1" customHeight="1">
      <c r="A971" s="896"/>
      <c r="B971" s="902" t="s">
        <v>3359</v>
      </c>
      <c r="C971" s="903"/>
      <c r="D971" s="904"/>
      <c r="E971" s="905"/>
      <c r="F971" s="906"/>
      <c r="G971" s="906"/>
      <c r="H971" s="907"/>
      <c r="I971" s="908"/>
      <c r="J971" s="955"/>
      <c r="K971" s="902"/>
      <c r="L971" s="923"/>
      <c r="M971" s="902"/>
      <c r="N971" s="900" t="s">
        <v>2309</v>
      </c>
    </row>
    <row r="972" spans="1:14" s="910" customFormat="1" ht="16.5" hidden="1" customHeight="1">
      <c r="A972" s="896"/>
      <c r="B972" s="956"/>
      <c r="C972" s="957">
        <v>1</v>
      </c>
      <c r="D972" s="958" t="s">
        <v>273</v>
      </c>
      <c r="E972" s="1268">
        <v>2</v>
      </c>
      <c r="F972" s="960">
        <v>3.1</v>
      </c>
      <c r="G972" s="960">
        <v>1.08</v>
      </c>
      <c r="H972" s="960">
        <v>0</v>
      </c>
      <c r="I972" s="916">
        <f>ROUND(IF(AND(F972:H972),C972*E972*F972*G972*H972,IF(AND(F972,G972),C972*E972*F972*G972,IF(AND(F972,H972),C972*E972*F972*H972,IF(AND(G972,H972),C972*E972*G972*H972,IF(F972,C972*E972*F972,IF(G972,C972*E972*G972,IF(H972,C972*E972*H972,C972*E972))))))),2)</f>
        <v>6.7</v>
      </c>
      <c r="J972" s="955" t="s">
        <v>102</v>
      </c>
      <c r="K972" s="902"/>
      <c r="L972" s="923"/>
      <c r="M972" s="902"/>
      <c r="N972" s="900" t="s">
        <v>2309</v>
      </c>
    </row>
    <row r="973" spans="1:14" s="910" customFormat="1" ht="16.5" hidden="1" customHeight="1">
      <c r="A973" s="896"/>
      <c r="B973" s="956"/>
      <c r="C973" s="957">
        <v>1</v>
      </c>
      <c r="D973" s="958" t="s">
        <v>273</v>
      </c>
      <c r="E973" s="1268">
        <v>1</v>
      </c>
      <c r="F973" s="960">
        <v>3.69</v>
      </c>
      <c r="G973" s="960">
        <v>2</v>
      </c>
      <c r="H973" s="960">
        <v>0</v>
      </c>
      <c r="I973" s="916">
        <f>ROUND(IF(AND(F973:H973),C973*E973*F973*G973*H973,IF(AND(F973,G973),C973*E973*F973*G973,IF(AND(F973,H973),C973*E973*F973*H973,IF(AND(G973,H973),C973*E973*G973*H973,IF(F973,C973*E973*F973,IF(G973,C973*E973*G973,IF(H973,C973*E973*H973,C973*E973))))))),2)</f>
        <v>7.38</v>
      </c>
      <c r="J973" s="955" t="s">
        <v>102</v>
      </c>
      <c r="K973" s="902"/>
      <c r="L973" s="923"/>
      <c r="M973" s="902"/>
      <c r="N973" s="900" t="s">
        <v>2309</v>
      </c>
    </row>
    <row r="974" spans="1:14" s="910" customFormat="1" ht="16.5" hidden="1" customHeight="1">
      <c r="A974" s="896"/>
      <c r="B974" s="956"/>
      <c r="C974" s="957">
        <v>4</v>
      </c>
      <c r="D974" s="958" t="s">
        <v>273</v>
      </c>
      <c r="E974" s="1371">
        <v>0.78500000000000003</v>
      </c>
      <c r="F974" s="960">
        <v>0.23</v>
      </c>
      <c r="G974" s="960">
        <v>0.23</v>
      </c>
      <c r="H974" s="960">
        <v>0</v>
      </c>
      <c r="I974" s="916">
        <f>-ROUND(IF(AND(F974:H974),C974*E974*F974*G974*H974,IF(AND(F974,G974),C974*E974*F974*G974,IF(AND(F974,H974),C974*E974*F974*H974,IF(AND(G974,H974),C974*E974*G974*H974,IF(F974,C974*E974*F974,IF(G974,C974*E974*G974,IF(H974,C974*E974*H974,C974*E974))))))),2)</f>
        <v>-0.17</v>
      </c>
      <c r="J974" s="955" t="s">
        <v>102</v>
      </c>
      <c r="K974" s="902"/>
      <c r="L974" s="923"/>
      <c r="M974" s="902"/>
      <c r="N974" s="900" t="s">
        <v>2309</v>
      </c>
    </row>
    <row r="975" spans="1:14" s="910" customFormat="1" ht="16.5" hidden="1" customHeight="1">
      <c r="A975" s="896"/>
      <c r="B975" s="956"/>
      <c r="C975" s="957"/>
      <c r="D975" s="958"/>
      <c r="E975" s="1268"/>
      <c r="F975" s="960"/>
      <c r="G975" s="960"/>
      <c r="H975" s="960"/>
      <c r="I975" s="916"/>
      <c r="J975" s="955"/>
      <c r="K975" s="902"/>
      <c r="L975" s="923"/>
      <c r="M975" s="902"/>
      <c r="N975" s="900" t="s">
        <v>2309</v>
      </c>
    </row>
    <row r="976" spans="1:14" ht="15.75" hidden="1">
      <c r="A976" s="896"/>
      <c r="B976" s="902"/>
      <c r="C976" s="917"/>
      <c r="D976" s="918"/>
      <c r="E976" s="919"/>
      <c r="F976" s="920"/>
      <c r="G976" s="921"/>
      <c r="H976" s="896"/>
      <c r="I976" s="916"/>
      <c r="J976" s="955" t="s">
        <v>102</v>
      </c>
      <c r="K976" s="922">
        <f>'data 2022-23'!G600</f>
        <v>3248.17</v>
      </c>
      <c r="L976" s="923" t="s">
        <v>2419</v>
      </c>
      <c r="M976" s="924">
        <f>ROUND(I976*K976,0)</f>
        <v>0</v>
      </c>
      <c r="N976" s="900" t="s">
        <v>2309</v>
      </c>
    </row>
    <row r="977" spans="1:14" ht="93.75" hidden="1" customHeight="1">
      <c r="A977" s="896">
        <v>24</v>
      </c>
      <c r="B977" s="1609" t="s">
        <v>671</v>
      </c>
      <c r="C977" s="1609"/>
      <c r="D977" s="1609"/>
      <c r="E977" s="1609"/>
      <c r="F977" s="1609"/>
      <c r="G977" s="1609"/>
      <c r="H977" s="1609"/>
      <c r="I977" s="897"/>
      <c r="J977" s="898"/>
      <c r="K977" s="896"/>
      <c r="L977" s="923"/>
      <c r="M977" s="899"/>
      <c r="N977" s="900" t="s">
        <v>2309</v>
      </c>
    </row>
    <row r="978" spans="1:14" s="910" customFormat="1" ht="16.5" hidden="1" customHeight="1">
      <c r="A978" s="896"/>
      <c r="B978" s="902" t="s">
        <v>3360</v>
      </c>
      <c r="C978" s="903"/>
      <c r="D978" s="904"/>
      <c r="E978" s="905"/>
      <c r="F978" s="906"/>
      <c r="G978" s="906"/>
      <c r="H978" s="907"/>
      <c r="I978" s="908"/>
      <c r="J978" s="955"/>
      <c r="K978" s="902"/>
      <c r="L978" s="923"/>
      <c r="M978" s="902"/>
      <c r="N978" s="900" t="s">
        <v>2309</v>
      </c>
    </row>
    <row r="979" spans="1:14" s="910" customFormat="1" ht="16.5" hidden="1" customHeight="1">
      <c r="A979" s="896"/>
      <c r="B979" s="956" t="s">
        <v>819</v>
      </c>
      <c r="C979" s="957">
        <v>1</v>
      </c>
      <c r="D979" s="958" t="s">
        <v>273</v>
      </c>
      <c r="E979" s="1268">
        <v>1</v>
      </c>
      <c r="F979" s="960">
        <v>6</v>
      </c>
      <c r="G979" s="960">
        <v>0</v>
      </c>
      <c r="H979" s="960">
        <v>0.15</v>
      </c>
      <c r="I979" s="916">
        <f>ROUND(IF(AND(F979:H979),C979*E979*F979*G979*H979,IF(AND(F979,G979),C979*E979*F979*G979,IF(AND(F979,H979),C979*E979*F979*H979,IF(AND(G979,H979),C979*E979*G979*H979,IF(F979,C979*E979*F979,IF(G979,C979*E979*G979,IF(H979,C979*E979*H979,C979*E979))))))),2)</f>
        <v>0.9</v>
      </c>
      <c r="J979" s="955" t="s">
        <v>102</v>
      </c>
      <c r="K979" s="902"/>
      <c r="L979" s="923"/>
      <c r="M979" s="902"/>
      <c r="N979" s="900" t="s">
        <v>2309</v>
      </c>
    </row>
    <row r="980" spans="1:14" s="910" customFormat="1" ht="16.5" hidden="1" customHeight="1">
      <c r="A980" s="896"/>
      <c r="B980" s="956"/>
      <c r="C980" s="957">
        <v>1</v>
      </c>
      <c r="D980" s="958" t="s">
        <v>273</v>
      </c>
      <c r="E980" s="1268">
        <v>1</v>
      </c>
      <c r="F980" s="960">
        <v>6</v>
      </c>
      <c r="G980" s="960">
        <v>0</v>
      </c>
      <c r="H980" s="960">
        <v>0.15</v>
      </c>
      <c r="I980" s="916">
        <f>ROUND(IF(AND(F980:H980),C980*E980*F980*G980*H980,IF(AND(F980,G980),C980*E980*F980*G980,IF(AND(F980,H980),C980*E980*F980*H980,IF(AND(G980,H980),C980*E980*G980*H980,IF(F980,C980*E980*F980,IF(G980,C980*E980*G980,IF(H980,C980*E980*H980,C980*E980))))))),2)</f>
        <v>0.9</v>
      </c>
      <c r="J980" s="955" t="s">
        <v>102</v>
      </c>
      <c r="K980" s="902"/>
      <c r="L980" s="923"/>
      <c r="M980" s="902"/>
      <c r="N980" s="900" t="s">
        <v>2309</v>
      </c>
    </row>
    <row r="981" spans="1:14" s="910" customFormat="1" ht="16.5" hidden="1" customHeight="1">
      <c r="A981" s="896"/>
      <c r="B981" s="956" t="s">
        <v>821</v>
      </c>
      <c r="C981" s="957">
        <v>1</v>
      </c>
      <c r="D981" s="958" t="s">
        <v>273</v>
      </c>
      <c r="E981" s="1268">
        <v>11</v>
      </c>
      <c r="F981" s="960">
        <v>1.35</v>
      </c>
      <c r="G981" s="960">
        <v>0</v>
      </c>
      <c r="H981" s="960">
        <v>0.15</v>
      </c>
      <c r="I981" s="916">
        <f>ROUND(IF(AND(F981:H981),C981*E981*F981*G981*H981,IF(AND(F981,G981),C981*E981*F981*G981,IF(AND(F981,H981),C981*E981*F981*H981,IF(AND(G981,H981),C981*E981*G981*H981,IF(F981,C981*E981*F981,IF(G981,C981*E981*G981,IF(H981,C981*E981*H981,C981*E981))))))),2)</f>
        <v>2.23</v>
      </c>
      <c r="J981" s="955" t="s">
        <v>102</v>
      </c>
      <c r="K981" s="902"/>
      <c r="L981" s="923"/>
      <c r="M981" s="902"/>
      <c r="N981" s="900" t="s">
        <v>2309</v>
      </c>
    </row>
    <row r="982" spans="1:14" s="910" customFormat="1" ht="16.5" hidden="1" customHeight="1">
      <c r="A982" s="896"/>
      <c r="B982" s="956"/>
      <c r="C982" s="957"/>
      <c r="D982" s="958"/>
      <c r="E982" s="1268"/>
      <c r="F982" s="960"/>
      <c r="G982" s="960"/>
      <c r="H982" s="960"/>
      <c r="I982" s="916"/>
      <c r="J982" s="955"/>
      <c r="K982" s="902"/>
      <c r="L982" s="923"/>
      <c r="M982" s="902"/>
      <c r="N982" s="900" t="s">
        <v>2309</v>
      </c>
    </row>
    <row r="983" spans="1:14" ht="15.75" hidden="1">
      <c r="A983" s="896"/>
      <c r="B983" s="902"/>
      <c r="C983" s="917"/>
      <c r="D983" s="918"/>
      <c r="E983" s="919"/>
      <c r="F983" s="920"/>
      <c r="G983" s="921"/>
      <c r="H983" s="896"/>
      <c r="I983" s="916"/>
      <c r="J983" s="955" t="s">
        <v>102</v>
      </c>
      <c r="K983" s="922">
        <f>'data 2022-23'!G619</f>
        <v>2995.66</v>
      </c>
      <c r="L983" s="923" t="s">
        <v>2419</v>
      </c>
      <c r="M983" s="924">
        <f>ROUND(I983*K983,0)</f>
        <v>0</v>
      </c>
      <c r="N983" s="900" t="s">
        <v>2309</v>
      </c>
    </row>
    <row r="984" spans="1:14" ht="90" hidden="1" customHeight="1">
      <c r="A984" s="896">
        <v>26</v>
      </c>
      <c r="B984" s="1609" t="s">
        <v>672</v>
      </c>
      <c r="C984" s="1609"/>
      <c r="D984" s="1609"/>
      <c r="E984" s="1609"/>
      <c r="F984" s="1609"/>
      <c r="G984" s="1609"/>
      <c r="H984" s="1609"/>
      <c r="I984" s="897"/>
      <c r="J984" s="898"/>
      <c r="K984" s="896"/>
      <c r="L984" s="923"/>
      <c r="M984" s="899"/>
      <c r="N984" s="900" t="s">
        <v>2309</v>
      </c>
    </row>
    <row r="985" spans="1:14" s="910" customFormat="1" ht="16.5" hidden="1" customHeight="1">
      <c r="A985" s="896"/>
      <c r="B985" s="902" t="s">
        <v>3347</v>
      </c>
      <c r="C985" s="903"/>
      <c r="D985" s="904"/>
      <c r="E985" s="905"/>
      <c r="F985" s="906"/>
      <c r="G985" s="906"/>
      <c r="H985" s="907"/>
      <c r="I985" s="908"/>
      <c r="J985" s="955"/>
      <c r="K985" s="902"/>
      <c r="L985" s="923"/>
      <c r="M985" s="902"/>
      <c r="N985" s="900" t="s">
        <v>2309</v>
      </c>
    </row>
    <row r="986" spans="1:14" s="910" customFormat="1" ht="16.5" hidden="1" customHeight="1">
      <c r="A986" s="896"/>
      <c r="B986" s="956" t="s">
        <v>578</v>
      </c>
      <c r="C986" s="957">
        <v>1</v>
      </c>
      <c r="D986" s="958" t="s">
        <v>273</v>
      </c>
      <c r="E986" s="1268">
        <v>1</v>
      </c>
      <c r="F986" s="960">
        <v>9.8699999999999992</v>
      </c>
      <c r="G986" s="960">
        <v>1.83</v>
      </c>
      <c r="H986" s="960">
        <v>0</v>
      </c>
      <c r="I986" s="916">
        <f>ROUND(IF(AND(F986:H986),C986*E986*F986*G986*H986,IF(AND(F986,G986),C986*E986*F986*G986,IF(AND(F986,H986),C986*E986*F986*H986,IF(AND(G986,H986),C986*E986*G986*H986,IF(F986,C986*E986*F986,IF(G986,C986*E986*G986,IF(H986,C986*E986*H986,C986*E986))))))),2)</f>
        <v>18.059999999999999</v>
      </c>
      <c r="J986" s="955" t="s">
        <v>102</v>
      </c>
      <c r="K986" s="902"/>
      <c r="L986" s="923"/>
      <c r="M986" s="902"/>
      <c r="N986" s="900" t="s">
        <v>2309</v>
      </c>
    </row>
    <row r="987" spans="1:14" s="910" customFormat="1" ht="16.5" hidden="1" customHeight="1">
      <c r="A987" s="896"/>
      <c r="B987" s="956" t="s">
        <v>654</v>
      </c>
      <c r="C987" s="957">
        <v>1</v>
      </c>
      <c r="D987" s="958" t="s">
        <v>273</v>
      </c>
      <c r="E987" s="1268">
        <v>1</v>
      </c>
      <c r="F987" s="960">
        <v>2.83</v>
      </c>
      <c r="G987" s="960">
        <v>1.55</v>
      </c>
      <c r="H987" s="960">
        <v>0</v>
      </c>
      <c r="I987" s="916">
        <f>ROUND(IF(AND(F987:H987),C987*E987*F987*G987*H987,IF(AND(F987,G987),C987*E987*F987*G987,IF(AND(F987,H987),C987*E987*F987*H987,IF(AND(G987,H987),C987*E987*G987*H987,IF(F987,C987*E987*F987,IF(G987,C987*E987*G987,IF(H987,C987*E987*H987,C987*E987))))))),2)</f>
        <v>4.3899999999999997</v>
      </c>
      <c r="J987" s="955" t="s">
        <v>102</v>
      </c>
      <c r="K987" s="902"/>
      <c r="L987" s="923"/>
      <c r="M987" s="902"/>
      <c r="N987" s="900" t="s">
        <v>2309</v>
      </c>
    </row>
    <row r="988" spans="1:14" s="910" customFormat="1" ht="16.5" hidden="1" customHeight="1">
      <c r="A988" s="896"/>
      <c r="B988" s="956" t="s">
        <v>1250</v>
      </c>
      <c r="C988" s="957">
        <v>1</v>
      </c>
      <c r="D988" s="958" t="s">
        <v>273</v>
      </c>
      <c r="E988" s="1268">
        <v>21</v>
      </c>
      <c r="F988" s="960">
        <v>1.28</v>
      </c>
      <c r="G988" s="960">
        <v>0.3</v>
      </c>
      <c r="H988" s="960">
        <v>0</v>
      </c>
      <c r="I988" s="916">
        <f>ROUND(IF(AND(F988:H988),C988*E988*F988*G988*H988,IF(AND(F988,G988),C988*E988*F988*G988,IF(AND(F988,H988),C988*E988*F988*H988,IF(AND(G988,H988),C988*E988*G988*H988,IF(F988,C988*E988*F988,IF(G988,C988*E988*G988,IF(H988,C988*E988*H988,C988*E988))))))),2)</f>
        <v>8.06</v>
      </c>
      <c r="J988" s="955" t="s">
        <v>102</v>
      </c>
      <c r="K988" s="902"/>
      <c r="L988" s="923"/>
      <c r="M988" s="902"/>
      <c r="N988" s="900" t="s">
        <v>2309</v>
      </c>
    </row>
    <row r="989" spans="1:14" s="910" customFormat="1" ht="16.5" hidden="1" customHeight="1">
      <c r="A989" s="896"/>
      <c r="B989" s="956"/>
      <c r="C989" s="957"/>
      <c r="D989" s="958"/>
      <c r="E989" s="1268"/>
      <c r="F989" s="960"/>
      <c r="G989" s="960"/>
      <c r="H989" s="960"/>
      <c r="I989" s="916"/>
      <c r="J989" s="955"/>
      <c r="K989" s="902"/>
      <c r="L989" s="923"/>
      <c r="M989" s="902"/>
      <c r="N989" s="900" t="s">
        <v>2309</v>
      </c>
    </row>
    <row r="990" spans="1:14" ht="15.75" hidden="1">
      <c r="A990" s="896"/>
      <c r="B990" s="902"/>
      <c r="C990" s="917"/>
      <c r="D990" s="918"/>
      <c r="E990" s="919"/>
      <c r="F990" s="920"/>
      <c r="G990" s="921"/>
      <c r="H990" s="896"/>
      <c r="I990" s="916"/>
      <c r="J990" s="955" t="s">
        <v>102</v>
      </c>
      <c r="K990" s="922">
        <f>'data 2022-23'!G640</f>
        <v>816.76</v>
      </c>
      <c r="L990" s="923" t="s">
        <v>2419</v>
      </c>
      <c r="M990" s="924">
        <f>ROUND(I990*K990,0)</f>
        <v>0</v>
      </c>
      <c r="N990" s="900" t="s">
        <v>2309</v>
      </c>
    </row>
    <row r="991" spans="1:14" ht="96" hidden="1" customHeight="1">
      <c r="A991" s="896">
        <v>27</v>
      </c>
      <c r="B991" s="1609" t="s">
        <v>678</v>
      </c>
      <c r="C991" s="1609"/>
      <c r="D991" s="1609"/>
      <c r="E991" s="1609"/>
      <c r="F991" s="1609"/>
      <c r="G991" s="1609"/>
      <c r="H991" s="1609"/>
      <c r="I991" s="897"/>
      <c r="J991" s="898"/>
      <c r="K991" s="896"/>
      <c r="L991" s="923"/>
      <c r="M991" s="899"/>
      <c r="N991" s="900" t="s">
        <v>2309</v>
      </c>
    </row>
    <row r="992" spans="1:14" s="910" customFormat="1" ht="16.5" hidden="1" customHeight="1">
      <c r="A992" s="896"/>
      <c r="B992" s="902" t="s">
        <v>3353</v>
      </c>
      <c r="C992" s="903"/>
      <c r="D992" s="904"/>
      <c r="E992" s="905"/>
      <c r="F992" s="906"/>
      <c r="G992" s="906"/>
      <c r="H992" s="907"/>
      <c r="I992" s="908"/>
      <c r="J992" s="955"/>
      <c r="K992" s="902"/>
      <c r="L992" s="923"/>
      <c r="M992" s="902"/>
      <c r="N992" s="900" t="s">
        <v>2309</v>
      </c>
    </row>
    <row r="993" spans="1:14" s="910" customFormat="1" ht="16.5" hidden="1" customHeight="1">
      <c r="A993" s="896"/>
      <c r="B993" s="956" t="s">
        <v>1248</v>
      </c>
      <c r="C993" s="957">
        <v>1</v>
      </c>
      <c r="D993" s="958" t="s">
        <v>273</v>
      </c>
      <c r="E993" s="1268">
        <v>2</v>
      </c>
      <c r="F993" s="960">
        <v>5.25</v>
      </c>
      <c r="G993" s="960">
        <v>0</v>
      </c>
      <c r="H993" s="960">
        <v>0.1</v>
      </c>
      <c r="I993" s="916">
        <f>ROUND(IF(AND(F993:H993),C993*E993*F993*G993*H993,IF(AND(F993,G993),C993*E993*F993*G993,IF(AND(F993,H993),C993*E993*F993*H993,IF(AND(G993,H993),C993*E993*G993*H993,IF(F993,C993*E993*F993,IF(G993,C993*E993*G993,IF(H993,C993*E993*H993,C993*E993))))))),2)</f>
        <v>1.05</v>
      </c>
      <c r="J993" s="955" t="s">
        <v>102</v>
      </c>
      <c r="K993" s="902"/>
      <c r="L993" s="923"/>
      <c r="M993" s="902"/>
      <c r="N993" s="900" t="s">
        <v>2309</v>
      </c>
    </row>
    <row r="994" spans="1:14" s="910" customFormat="1" ht="16.5" hidden="1" customHeight="1">
      <c r="A994" s="896"/>
      <c r="B994" s="956" t="s">
        <v>578</v>
      </c>
      <c r="C994" s="957">
        <v>1</v>
      </c>
      <c r="D994" s="958" t="s">
        <v>273</v>
      </c>
      <c r="E994" s="1268">
        <v>1</v>
      </c>
      <c r="F994" s="960">
        <v>9.8699999999999992</v>
      </c>
      <c r="G994" s="960">
        <v>0</v>
      </c>
      <c r="H994" s="960">
        <v>0.1</v>
      </c>
      <c r="I994" s="916">
        <f>ROUND(IF(AND(F994:H994),C994*E994*F994*G994*H994,IF(AND(F994,G994),C994*E994*F994*G994,IF(AND(F994,H994),C994*E994*F994*H994,IF(AND(G994,H994),C994*E994*G994*H994,IF(F994,C994*E994*F994,IF(G994,C994*E994*G994,IF(H994,C994*E994*H994,C994*E994))))))),2)</f>
        <v>0.99</v>
      </c>
      <c r="J994" s="955" t="s">
        <v>102</v>
      </c>
      <c r="K994" s="902"/>
      <c r="L994" s="923"/>
      <c r="M994" s="902"/>
      <c r="N994" s="900" t="s">
        <v>2309</v>
      </c>
    </row>
    <row r="995" spans="1:14" s="910" customFormat="1" ht="16.5" hidden="1" customHeight="1">
      <c r="A995" s="896"/>
      <c r="B995" s="956" t="s">
        <v>1244</v>
      </c>
      <c r="C995" s="957">
        <v>1</v>
      </c>
      <c r="D995" s="958" t="s">
        <v>273</v>
      </c>
      <c r="E995" s="1268">
        <v>1</v>
      </c>
      <c r="F995" s="960">
        <v>10.53</v>
      </c>
      <c r="G995" s="960">
        <v>0</v>
      </c>
      <c r="H995" s="960">
        <v>0.1</v>
      </c>
      <c r="I995" s="916">
        <f>ROUND(IF(AND(F995:H995),C995*E995*F995*G995*H995,IF(AND(F995,G995),C995*E995*F995*G995,IF(AND(F995,H995),C995*E995*F995*H995,IF(AND(G995,H995),C995*E995*G995*H995,IF(F995,C995*E995*F995,IF(G995,C995*E995*G995,IF(H995,C995*E995*H995,C995*E995))))))),2)</f>
        <v>1.05</v>
      </c>
      <c r="J995" s="955" t="s">
        <v>102</v>
      </c>
      <c r="K995" s="902"/>
      <c r="L995" s="923"/>
      <c r="M995" s="902"/>
      <c r="N995" s="900" t="s">
        <v>2309</v>
      </c>
    </row>
    <row r="996" spans="1:14" s="910" customFormat="1" ht="16.5" hidden="1" customHeight="1">
      <c r="A996" s="896"/>
      <c r="B996" s="956"/>
      <c r="C996" s="957"/>
      <c r="D996" s="958"/>
      <c r="E996" s="1268"/>
      <c r="F996" s="960"/>
      <c r="G996" s="960"/>
      <c r="H996" s="960"/>
      <c r="I996" s="916"/>
      <c r="J996" s="955"/>
      <c r="K996" s="902"/>
      <c r="L996" s="923"/>
      <c r="M996" s="902"/>
      <c r="N996" s="900" t="s">
        <v>2309</v>
      </c>
    </row>
    <row r="997" spans="1:14" ht="15.75" hidden="1">
      <c r="A997" s="896"/>
      <c r="B997" s="902"/>
      <c r="C997" s="917"/>
      <c r="D997" s="918"/>
      <c r="E997" s="919"/>
      <c r="F997" s="920"/>
      <c r="G997" s="921"/>
      <c r="H997" s="896"/>
      <c r="I997" s="916"/>
      <c r="J997" s="955" t="s">
        <v>102</v>
      </c>
      <c r="K997" s="922">
        <f>'data 2022-23'!G658</f>
        <v>822.23</v>
      </c>
      <c r="L997" s="923" t="s">
        <v>2419</v>
      </c>
      <c r="M997" s="924">
        <f>ROUND(I997*K997,0)</f>
        <v>0</v>
      </c>
      <c r="N997" s="900" t="s">
        <v>2309</v>
      </c>
    </row>
    <row r="998" spans="1:14" ht="94.5" hidden="1" customHeight="1">
      <c r="A998" s="896">
        <v>19</v>
      </c>
      <c r="B998" s="1609" t="s">
        <v>211</v>
      </c>
      <c r="C998" s="1609"/>
      <c r="D998" s="1609"/>
      <c r="E998" s="1609"/>
      <c r="F998" s="1609"/>
      <c r="G998" s="1609"/>
      <c r="H998" s="1609"/>
      <c r="I998" s="897"/>
      <c r="J998" s="898"/>
      <c r="K998" s="896"/>
      <c r="L998" s="923"/>
      <c r="M998" s="899"/>
      <c r="N998" s="900" t="s">
        <v>2309</v>
      </c>
    </row>
    <row r="999" spans="1:14" s="910" customFormat="1" ht="16.5" hidden="1" customHeight="1">
      <c r="A999" s="896"/>
      <c r="B999" s="1274" t="s">
        <v>3416</v>
      </c>
      <c r="C999" s="903"/>
      <c r="D999" s="904"/>
      <c r="E999" s="905"/>
      <c r="F999" s="906"/>
      <c r="G999" s="906"/>
      <c r="H999" s="907"/>
      <c r="I999" s="908"/>
      <c r="J999" s="955"/>
      <c r="K999" s="902"/>
      <c r="L999" s="923"/>
      <c r="M999" s="902"/>
      <c r="N999" s="900" t="s">
        <v>2309</v>
      </c>
    </row>
    <row r="1000" spans="1:14" s="910" customFormat="1" ht="16.5" hidden="1" customHeight="1">
      <c r="A1000" s="896"/>
      <c r="B1000" s="956"/>
      <c r="C1000" s="957">
        <v>1</v>
      </c>
      <c r="D1000" s="958" t="s">
        <v>273</v>
      </c>
      <c r="E1000" s="1268">
        <v>1</v>
      </c>
      <c r="F1000" s="960">
        <v>9.86</v>
      </c>
      <c r="G1000" s="960">
        <v>1.1499999999999999</v>
      </c>
      <c r="H1000" s="960">
        <v>0</v>
      </c>
      <c r="I1000" s="916">
        <f>ROUND(IF(AND(F1000:H1000),C1000*E1000*F1000*G1000*H1000,IF(AND(F1000,G1000),C1000*E1000*F1000*G1000,IF(AND(F1000,H1000),C1000*E1000*F1000*H1000,IF(AND(G1000,H1000),C1000*E1000*G1000*H1000,IF(F1000,C1000*E1000*F1000,IF(G1000,C1000*E1000*G1000,IF(H1000,C1000*E1000*H1000,C1000*E1000))))))),2)</f>
        <v>11.34</v>
      </c>
      <c r="J1000" s="955" t="s">
        <v>102</v>
      </c>
      <c r="K1000" s="902"/>
      <c r="L1000" s="923"/>
      <c r="M1000" s="902"/>
      <c r="N1000" s="900" t="s">
        <v>2309</v>
      </c>
    </row>
    <row r="1001" spans="1:14" s="910" customFormat="1" ht="16.5" hidden="1" customHeight="1">
      <c r="A1001" s="896"/>
      <c r="B1001" s="956"/>
      <c r="C1001" s="957">
        <v>1</v>
      </c>
      <c r="D1001" s="958" t="s">
        <v>273</v>
      </c>
      <c r="E1001" s="1268">
        <v>1</v>
      </c>
      <c r="F1001" s="960">
        <v>3.1</v>
      </c>
      <c r="G1001" s="960">
        <v>0.4</v>
      </c>
      <c r="H1001" s="960">
        <v>0</v>
      </c>
      <c r="I1001" s="916">
        <f>ROUND(IF(AND(F1001:H1001),C1001*E1001*F1001*G1001*H1001,IF(AND(F1001,G1001),C1001*E1001*F1001*G1001,IF(AND(F1001,H1001),C1001*E1001*F1001*H1001,IF(AND(G1001,H1001),C1001*E1001*G1001*H1001,IF(F1001,C1001*E1001*F1001,IF(G1001,C1001*E1001*G1001,IF(H1001,C1001*E1001*H1001,C1001*E1001))))))),2)</f>
        <v>1.24</v>
      </c>
      <c r="J1001" s="955" t="s">
        <v>102</v>
      </c>
      <c r="K1001" s="902"/>
      <c r="L1001" s="923"/>
      <c r="M1001" s="902"/>
      <c r="N1001" s="900" t="s">
        <v>2309</v>
      </c>
    </row>
    <row r="1002" spans="1:14" s="910" customFormat="1" ht="16.5" hidden="1" customHeight="1">
      <c r="A1002" s="896"/>
      <c r="B1002" s="956"/>
      <c r="C1002" s="957">
        <v>1</v>
      </c>
      <c r="D1002" s="958" t="s">
        <v>273</v>
      </c>
      <c r="E1002" s="1268">
        <v>1</v>
      </c>
      <c r="F1002" s="960">
        <v>3.1</v>
      </c>
      <c r="G1002" s="960">
        <v>1.18</v>
      </c>
      <c r="H1002" s="960">
        <v>0</v>
      </c>
      <c r="I1002" s="916">
        <f>ROUND(IF(AND(F1002:H1002),C1002*E1002*F1002*G1002*H1002,IF(AND(F1002,G1002),C1002*E1002*F1002*G1002,IF(AND(F1002,H1002),C1002*E1002*F1002*H1002,IF(AND(G1002,H1002),C1002*E1002*G1002*H1002,IF(F1002,C1002*E1002*F1002,IF(G1002,C1002*E1002*G1002,IF(H1002,C1002*E1002*H1002,C1002*E1002))))))),2)</f>
        <v>3.66</v>
      </c>
      <c r="J1002" s="955" t="s">
        <v>102</v>
      </c>
      <c r="K1002" s="902"/>
      <c r="L1002" s="923"/>
      <c r="M1002" s="902"/>
      <c r="N1002" s="900" t="s">
        <v>2309</v>
      </c>
    </row>
    <row r="1003" spans="1:14" s="910" customFormat="1" ht="16.5" hidden="1" customHeight="1">
      <c r="A1003" s="896"/>
      <c r="B1003" s="956"/>
      <c r="C1003" s="957"/>
      <c r="D1003" s="958"/>
      <c r="E1003" s="1268"/>
      <c r="F1003" s="960"/>
      <c r="G1003" s="960"/>
      <c r="H1003" s="960"/>
      <c r="I1003" s="916"/>
      <c r="J1003" s="955"/>
      <c r="K1003" s="902"/>
      <c r="L1003" s="923"/>
      <c r="M1003" s="902"/>
      <c r="N1003" s="900" t="s">
        <v>2309</v>
      </c>
    </row>
    <row r="1004" spans="1:14" ht="15.75" hidden="1">
      <c r="A1004" s="896"/>
      <c r="B1004" s="902"/>
      <c r="C1004" s="917"/>
      <c r="D1004" s="918"/>
      <c r="E1004" s="919"/>
      <c r="F1004" s="920"/>
      <c r="G1004" s="921"/>
      <c r="H1004" s="896"/>
      <c r="I1004" s="916"/>
      <c r="J1004" s="955" t="s">
        <v>102</v>
      </c>
      <c r="K1004" s="922">
        <f>'data 2022-23'!G714</f>
        <v>873.89</v>
      </c>
      <c r="L1004" s="923" t="s">
        <v>2419</v>
      </c>
      <c r="M1004" s="924">
        <f>ROUND(I1004*K1004,0)</f>
        <v>0</v>
      </c>
      <c r="N1004" s="900" t="s">
        <v>2309</v>
      </c>
    </row>
    <row r="1005" spans="1:14" ht="94.5" hidden="1" customHeight="1">
      <c r="A1005" s="896">
        <v>20</v>
      </c>
      <c r="B1005" s="1609" t="s">
        <v>214</v>
      </c>
      <c r="C1005" s="1609"/>
      <c r="D1005" s="1609"/>
      <c r="E1005" s="1609"/>
      <c r="F1005" s="1609"/>
      <c r="G1005" s="1609"/>
      <c r="H1005" s="1609"/>
      <c r="I1005" s="897"/>
      <c r="J1005" s="898"/>
      <c r="K1005" s="896"/>
      <c r="L1005" s="923"/>
      <c r="M1005" s="899"/>
      <c r="N1005" s="900" t="s">
        <v>2309</v>
      </c>
    </row>
    <row r="1006" spans="1:14" s="910" customFormat="1" ht="16.5" hidden="1" customHeight="1">
      <c r="A1006" s="896"/>
      <c r="B1006" s="980" t="s">
        <v>3417</v>
      </c>
      <c r="C1006" s="903"/>
      <c r="D1006" s="904"/>
      <c r="E1006" s="905"/>
      <c r="F1006" s="906"/>
      <c r="G1006" s="906"/>
      <c r="H1006" s="907"/>
      <c r="I1006" s="908"/>
      <c r="J1006" s="955"/>
      <c r="K1006" s="902"/>
      <c r="L1006" s="923"/>
      <c r="M1006" s="902"/>
      <c r="N1006" s="900" t="s">
        <v>2309</v>
      </c>
    </row>
    <row r="1007" spans="1:14" s="910" customFormat="1" ht="16.5" hidden="1" customHeight="1">
      <c r="A1007" s="896"/>
      <c r="B1007" s="956"/>
      <c r="C1007" s="957">
        <v>1</v>
      </c>
      <c r="D1007" s="958" t="s">
        <v>273</v>
      </c>
      <c r="E1007" s="1268">
        <v>1</v>
      </c>
      <c r="F1007" s="960">
        <v>8.6300000000000008</v>
      </c>
      <c r="G1007" s="960">
        <v>0</v>
      </c>
      <c r="H1007" s="960">
        <v>0.1</v>
      </c>
      <c r="I1007" s="916">
        <f>ROUND(IF(AND(F1007:H1007),C1007*E1007*F1007*G1007*H1007,IF(AND(F1007,G1007),C1007*E1007*F1007*G1007,IF(AND(F1007,H1007),C1007*E1007*F1007*H1007,IF(AND(G1007,H1007),C1007*E1007*G1007*H1007,IF(F1007,C1007*E1007*F1007,IF(G1007,C1007*E1007*G1007,IF(H1007,C1007*E1007*H1007,C1007*E1007))))))),2)</f>
        <v>0.86</v>
      </c>
      <c r="J1007" s="955" t="s">
        <v>102</v>
      </c>
      <c r="K1007" s="902"/>
      <c r="L1007" s="923"/>
      <c r="M1007" s="902"/>
      <c r="N1007" s="900" t="s">
        <v>2309</v>
      </c>
    </row>
    <row r="1008" spans="1:14" s="910" customFormat="1" ht="16.5" hidden="1" customHeight="1">
      <c r="A1008" s="896"/>
      <c r="B1008" s="956"/>
      <c r="C1008" s="957">
        <v>1</v>
      </c>
      <c r="D1008" s="958" t="s">
        <v>273</v>
      </c>
      <c r="E1008" s="1268">
        <v>4</v>
      </c>
      <c r="F1008" s="960">
        <v>3.6</v>
      </c>
      <c r="G1008" s="960">
        <v>0</v>
      </c>
      <c r="H1008" s="960">
        <v>0.18</v>
      </c>
      <c r="I1008" s="916">
        <f>ROUND(IF(AND(F1008:H1008),C1008*E1008*F1008*G1008*H1008,IF(AND(F1008,G1008),C1008*E1008*F1008*G1008,IF(AND(F1008,H1008),C1008*E1008*F1008*H1008,IF(AND(G1008,H1008),C1008*E1008*G1008*H1008,IF(F1008,C1008*E1008*F1008,IF(G1008,C1008*E1008*G1008,IF(H1008,C1008*E1008*H1008,C1008*E1008))))))),2)</f>
        <v>2.59</v>
      </c>
      <c r="J1008" s="955" t="s">
        <v>102</v>
      </c>
      <c r="K1008" s="902"/>
      <c r="L1008" s="923"/>
      <c r="M1008" s="902"/>
      <c r="N1008" s="900" t="s">
        <v>2309</v>
      </c>
    </row>
    <row r="1009" spans="1:14" s="910" customFormat="1" ht="16.5" hidden="1" customHeight="1">
      <c r="A1009" s="896"/>
      <c r="B1009" s="956"/>
      <c r="C1009" s="957"/>
      <c r="D1009" s="958"/>
      <c r="E1009" s="1268"/>
      <c r="F1009" s="960"/>
      <c r="G1009" s="960"/>
      <c r="H1009" s="960"/>
      <c r="I1009" s="916"/>
      <c r="J1009" s="955"/>
      <c r="K1009" s="902"/>
      <c r="L1009" s="923"/>
      <c r="M1009" s="902"/>
      <c r="N1009" s="900" t="s">
        <v>2309</v>
      </c>
    </row>
    <row r="1010" spans="1:14" ht="15.75" hidden="1">
      <c r="A1010" s="896"/>
      <c r="B1010" s="902"/>
      <c r="C1010" s="917"/>
      <c r="D1010" s="918"/>
      <c r="E1010" s="919"/>
      <c r="F1010" s="920"/>
      <c r="G1010" s="921"/>
      <c r="H1010" s="896"/>
      <c r="I1010" s="916"/>
      <c r="J1010" s="955" t="s">
        <v>102</v>
      </c>
      <c r="K1010" s="922">
        <f>'data 2022-23'!G731</f>
        <v>536.26</v>
      </c>
      <c r="L1010" s="923" t="s">
        <v>2419</v>
      </c>
      <c r="M1010" s="924">
        <f>ROUND(I1010*K1010,0)</f>
        <v>0</v>
      </c>
      <c r="N1010" s="900" t="s">
        <v>2309</v>
      </c>
    </row>
    <row r="1011" spans="1:14" ht="81.75" hidden="1" customHeight="1">
      <c r="A1011" s="896">
        <v>27</v>
      </c>
      <c r="B1011" s="1609" t="s">
        <v>1202</v>
      </c>
      <c r="C1011" s="1609"/>
      <c r="D1011" s="1609"/>
      <c r="E1011" s="1609"/>
      <c r="F1011" s="1609"/>
      <c r="G1011" s="1609"/>
      <c r="H1011" s="1609"/>
      <c r="I1011" s="897"/>
      <c r="J1011" s="898"/>
      <c r="K1011" s="896"/>
      <c r="L1011" s="923"/>
      <c r="M1011" s="899"/>
      <c r="N1011" s="900" t="s">
        <v>2309</v>
      </c>
    </row>
    <row r="1012" spans="1:14" s="910" customFormat="1" ht="16.5" hidden="1" customHeight="1">
      <c r="A1012" s="896"/>
      <c r="B1012" s="980" t="s">
        <v>3408</v>
      </c>
      <c r="C1012" s="903"/>
      <c r="D1012" s="904"/>
      <c r="E1012" s="905"/>
      <c r="F1012" s="906"/>
      <c r="G1012" s="906"/>
      <c r="H1012" s="907"/>
      <c r="I1012" s="908"/>
      <c r="J1012" s="909"/>
      <c r="K1012" s="902"/>
      <c r="L1012" s="923"/>
      <c r="M1012" s="902"/>
      <c r="N1012" s="900" t="s">
        <v>2309</v>
      </c>
    </row>
    <row r="1013" spans="1:14" s="910" customFormat="1" ht="16.5" hidden="1" customHeight="1">
      <c r="A1013" s="896"/>
      <c r="B1013" s="1274" t="s">
        <v>1188</v>
      </c>
      <c r="C1013" s="1275">
        <v>2</v>
      </c>
      <c r="D1013" s="1276" t="s">
        <v>273</v>
      </c>
      <c r="E1013" s="1177">
        <v>0.5</v>
      </c>
      <c r="F1013" s="1277">
        <v>0.96</v>
      </c>
      <c r="G1013" s="1277">
        <v>1</v>
      </c>
      <c r="H1013" s="1277">
        <v>0</v>
      </c>
      <c r="I1013" s="1278">
        <f>ROUND(IF(AND(F1013:H1013),C1013*E1013*F1013*G1013*H1013,IF(AND(F1013,G1013),C1013*E1013*F1013*G1013,IF(AND(F1013,H1013),C1013*E1013*F1013*H1013,IF(AND(G1013,H1013),C1013*E1013*G1013*H1013,IF(F1013,C1013*E1013*F1013,IF(G1013,C1013*E1013*G1013,IF(H1013,C1013*E1013*H1013,C1013*E1013))))))),2)</f>
        <v>0.96</v>
      </c>
      <c r="J1013" s="909" t="s">
        <v>102</v>
      </c>
      <c r="K1013" s="902"/>
      <c r="L1013" s="923"/>
      <c r="M1013" s="902"/>
      <c r="N1013" s="900" t="s">
        <v>2309</v>
      </c>
    </row>
    <row r="1014" spans="1:14" s="910" customFormat="1" ht="16.5" hidden="1" customHeight="1">
      <c r="A1014" s="896"/>
      <c r="B1014" s="1274"/>
      <c r="C1014" s="1275">
        <v>1</v>
      </c>
      <c r="D1014" s="1276" t="s">
        <v>273</v>
      </c>
      <c r="E1014" s="1177">
        <v>2</v>
      </c>
      <c r="F1014" s="1277">
        <v>3.6</v>
      </c>
      <c r="G1014" s="1277">
        <v>1.1299999999999999</v>
      </c>
      <c r="H1014" s="1277">
        <v>0</v>
      </c>
      <c r="I1014" s="1278">
        <f>ROUND(IF(AND(F1014:H1014),C1014*E1014*F1014*G1014*H1014,IF(AND(F1014,G1014),C1014*E1014*F1014*G1014,IF(AND(F1014,H1014),C1014*E1014*F1014*H1014,IF(AND(G1014,H1014),C1014*E1014*G1014*H1014,IF(F1014,C1014*E1014*F1014,IF(G1014,C1014*E1014*G1014,IF(H1014,C1014*E1014*H1014,C1014*E1014))))))),2)</f>
        <v>8.14</v>
      </c>
      <c r="J1014" s="909" t="s">
        <v>102</v>
      </c>
      <c r="K1014" s="902"/>
      <c r="L1014" s="923"/>
      <c r="M1014" s="902"/>
      <c r="N1014" s="900" t="s">
        <v>2309</v>
      </c>
    </row>
    <row r="1015" spans="1:14" s="910" customFormat="1" ht="16.5" hidden="1" customHeight="1">
      <c r="A1015" s="896"/>
      <c r="B1015" s="956"/>
      <c r="C1015" s="957"/>
      <c r="D1015" s="958"/>
      <c r="E1015" s="1268"/>
      <c r="F1015" s="960"/>
      <c r="G1015" s="960"/>
      <c r="H1015" s="960"/>
      <c r="I1015" s="916"/>
      <c r="J1015" s="909"/>
      <c r="K1015" s="902"/>
      <c r="L1015" s="923"/>
      <c r="M1015" s="902"/>
      <c r="N1015" s="900" t="s">
        <v>2309</v>
      </c>
    </row>
    <row r="1016" spans="1:14" ht="15.75" hidden="1">
      <c r="A1016" s="896"/>
      <c r="B1016" s="902"/>
      <c r="C1016" s="917"/>
      <c r="D1016" s="918"/>
      <c r="E1016" s="919"/>
      <c r="F1016" s="920"/>
      <c r="G1016" s="921"/>
      <c r="H1016" s="896"/>
      <c r="I1016" s="916"/>
      <c r="J1016" s="909" t="s">
        <v>102</v>
      </c>
      <c r="K1016" s="922">
        <f>'data 2022-23'!G759</f>
        <v>1100.49</v>
      </c>
      <c r="L1016" s="923" t="s">
        <v>2419</v>
      </c>
      <c r="M1016" s="924">
        <f>ROUND(I1016*K1016,0)</f>
        <v>0</v>
      </c>
      <c r="N1016" s="900" t="s">
        <v>2309</v>
      </c>
    </row>
    <row r="1017" spans="1:14" ht="66" hidden="1" customHeight="1">
      <c r="A1017" s="896">
        <v>26</v>
      </c>
      <c r="B1017" s="1609" t="s">
        <v>1192</v>
      </c>
      <c r="C1017" s="1609"/>
      <c r="D1017" s="1609"/>
      <c r="E1017" s="1609"/>
      <c r="F1017" s="1609"/>
      <c r="G1017" s="1609"/>
      <c r="H1017" s="1609"/>
      <c r="I1017" s="897"/>
      <c r="J1017" s="898"/>
      <c r="K1017" s="896"/>
      <c r="L1017" s="923"/>
      <c r="M1017" s="899"/>
      <c r="N1017" s="900" t="s">
        <v>2309</v>
      </c>
    </row>
    <row r="1018" spans="1:14" s="910" customFormat="1" ht="16.5" hidden="1" customHeight="1">
      <c r="A1018" s="896"/>
      <c r="B1018" s="902" t="s">
        <v>3348</v>
      </c>
      <c r="C1018" s="903"/>
      <c r="D1018" s="904"/>
      <c r="E1018" s="905"/>
      <c r="F1018" s="906"/>
      <c r="G1018" s="906"/>
      <c r="H1018" s="907"/>
      <c r="I1018" s="908"/>
      <c r="J1018" s="955"/>
      <c r="K1018" s="902"/>
      <c r="L1018" s="923"/>
      <c r="M1018" s="902"/>
      <c r="N1018" s="900" t="s">
        <v>2309</v>
      </c>
    </row>
    <row r="1019" spans="1:14" s="910" customFormat="1" ht="16.5" hidden="1" customHeight="1">
      <c r="A1019" s="896"/>
      <c r="B1019" s="902" t="s">
        <v>799</v>
      </c>
      <c r="C1019" s="897">
        <v>1</v>
      </c>
      <c r="D1019" s="1263" t="s">
        <v>273</v>
      </c>
      <c r="E1019" s="919">
        <v>1</v>
      </c>
      <c r="F1019" s="920">
        <v>8.5</v>
      </c>
      <c r="G1019" s="920">
        <v>4.95</v>
      </c>
      <c r="H1019" s="920">
        <v>0</v>
      </c>
      <c r="I1019" s="1266">
        <f>ROUND(IF(AND(F1019:H1019),C1019*E1019*F1019*G1019*H1019,IF(AND(F1019,G1019),C1019*E1019*F1019*G1019,IF(AND(F1019,H1019),C1019*E1019*F1019*H1019,IF(AND(G1019,H1019),C1019*E1019*G1019*H1019,IF(F1019,C1019*E1019*F1019,IF(G1019,C1019*E1019*G1019,IF(H1019,C1019*E1019*H1019,C1019*E1019))))))),2)</f>
        <v>42.08</v>
      </c>
      <c r="J1019" s="955" t="s">
        <v>102</v>
      </c>
      <c r="K1019" s="902"/>
      <c r="L1019" s="923"/>
      <c r="M1019" s="902"/>
      <c r="N1019" s="900" t="s">
        <v>2309</v>
      </c>
    </row>
    <row r="1020" spans="1:14" s="910" customFormat="1" ht="16.5" hidden="1" customHeight="1">
      <c r="A1020" s="896"/>
      <c r="B1020" s="902" t="s">
        <v>813</v>
      </c>
      <c r="C1020" s="897">
        <v>1</v>
      </c>
      <c r="D1020" s="1263" t="s">
        <v>273</v>
      </c>
      <c r="E1020" s="919">
        <v>1</v>
      </c>
      <c r="F1020" s="920">
        <v>5.5</v>
      </c>
      <c r="G1020" s="920">
        <v>2.4</v>
      </c>
      <c r="H1020" s="920">
        <v>0</v>
      </c>
      <c r="I1020" s="1266">
        <f>ROUND(IF(AND(F1020:H1020),C1020*E1020*F1020*G1020*H1020,IF(AND(F1020,G1020),C1020*E1020*F1020*G1020,IF(AND(F1020,H1020),C1020*E1020*F1020*H1020,IF(AND(G1020,H1020),C1020*E1020*G1020*H1020,IF(F1020,C1020*E1020*F1020,IF(G1020,C1020*E1020*G1020,IF(H1020,C1020*E1020*H1020,C1020*E1020))))))),2)</f>
        <v>13.2</v>
      </c>
      <c r="J1020" s="955" t="s">
        <v>102</v>
      </c>
      <c r="K1020" s="902"/>
      <c r="L1020" s="923"/>
      <c r="M1020" s="902"/>
      <c r="N1020" s="900" t="s">
        <v>2309</v>
      </c>
    </row>
    <row r="1021" spans="1:14" s="910" customFormat="1" ht="16.5" hidden="1" customHeight="1">
      <c r="A1021" s="896"/>
      <c r="B1021" s="902" t="s">
        <v>815</v>
      </c>
      <c r="C1021" s="897">
        <v>1</v>
      </c>
      <c r="D1021" s="1263" t="s">
        <v>273</v>
      </c>
      <c r="E1021" s="919">
        <v>1</v>
      </c>
      <c r="F1021" s="920">
        <v>3.15</v>
      </c>
      <c r="G1021" s="920">
        <v>2.85</v>
      </c>
      <c r="H1021" s="920">
        <v>0</v>
      </c>
      <c r="I1021" s="1266">
        <f>ROUND(IF(AND(F1021:H1021),C1021*E1021*F1021*G1021*H1021,IF(AND(F1021,G1021),C1021*E1021*F1021*G1021,IF(AND(F1021,H1021),C1021*E1021*F1021*H1021,IF(AND(G1021,H1021),C1021*E1021*G1021*H1021,IF(F1021,C1021*E1021*F1021,IF(G1021,C1021*E1021*G1021,IF(H1021,C1021*E1021*H1021,C1021*E1021))))))),2)</f>
        <v>8.98</v>
      </c>
      <c r="J1021" s="955" t="s">
        <v>102</v>
      </c>
      <c r="K1021" s="902"/>
      <c r="L1021" s="923"/>
      <c r="M1021" s="902"/>
      <c r="N1021" s="900" t="s">
        <v>2309</v>
      </c>
    </row>
    <row r="1022" spans="1:14" s="910" customFormat="1" ht="16.5" hidden="1" customHeight="1">
      <c r="A1022" s="896"/>
      <c r="B1022" s="902" t="s">
        <v>816</v>
      </c>
      <c r="C1022" s="897">
        <v>1</v>
      </c>
      <c r="D1022" s="1263" t="s">
        <v>273</v>
      </c>
      <c r="E1022" s="919">
        <v>1</v>
      </c>
      <c r="F1022" s="920">
        <v>5.45</v>
      </c>
      <c r="G1022" s="920">
        <v>0</v>
      </c>
      <c r="H1022" s="920">
        <v>3.2</v>
      </c>
      <c r="I1022" s="1266">
        <f>ROUND(IF(AND(F1022:H1022),C1022*E1022*F1022*G1022*H1022,IF(AND(F1022,G1022),C1022*E1022*F1022*G1022,IF(AND(F1022,H1022),C1022*E1022*F1022*H1022,IF(AND(G1022,H1022),C1022*E1022*G1022*H1022,IF(F1022,C1022*E1022*F1022,IF(G1022,C1022*E1022*G1022,IF(H1022,C1022*E1022*H1022,C1022*E1022))))))),2)</f>
        <v>17.440000000000001</v>
      </c>
      <c r="J1022" s="955" t="s">
        <v>102</v>
      </c>
      <c r="K1022" s="902"/>
      <c r="L1022" s="923"/>
      <c r="M1022" s="902"/>
      <c r="N1022" s="900" t="s">
        <v>2309</v>
      </c>
    </row>
    <row r="1023" spans="1:14" s="910" customFormat="1" ht="16.5" hidden="1" customHeight="1">
      <c r="A1023" s="896"/>
      <c r="B1023" s="956"/>
      <c r="C1023" s="957"/>
      <c r="D1023" s="958"/>
      <c r="E1023" s="959"/>
      <c r="F1023" s="960"/>
      <c r="G1023" s="960"/>
      <c r="H1023" s="960"/>
      <c r="I1023" s="916"/>
      <c r="J1023" s="955"/>
      <c r="K1023" s="902"/>
      <c r="L1023" s="923"/>
      <c r="M1023" s="902"/>
      <c r="N1023" s="900" t="s">
        <v>2309</v>
      </c>
    </row>
    <row r="1024" spans="1:14" ht="15.75" hidden="1">
      <c r="A1024" s="896"/>
      <c r="B1024" s="902"/>
      <c r="C1024" s="917"/>
      <c r="D1024" s="918"/>
      <c r="E1024" s="919"/>
      <c r="F1024" s="920"/>
      <c r="G1024" s="921"/>
      <c r="H1024" s="896"/>
      <c r="I1024" s="916"/>
      <c r="J1024" s="955" t="s">
        <v>102</v>
      </c>
      <c r="K1024" s="922">
        <f>'data 2022-23'!G794</f>
        <v>27.91</v>
      </c>
      <c r="L1024" s="923" t="s">
        <v>2419</v>
      </c>
      <c r="M1024" s="924">
        <f>ROUND(I1024*K1024,0)</f>
        <v>0</v>
      </c>
      <c r="N1024" s="900" t="s">
        <v>2309</v>
      </c>
    </row>
    <row r="1025" spans="1:14" ht="117.75" hidden="1" customHeight="1">
      <c r="A1025" s="896">
        <v>10</v>
      </c>
      <c r="B1025" s="1609" t="s">
        <v>891</v>
      </c>
      <c r="C1025" s="1609"/>
      <c r="D1025" s="1609"/>
      <c r="E1025" s="1609"/>
      <c r="F1025" s="1609"/>
      <c r="G1025" s="1609"/>
      <c r="H1025" s="1609"/>
      <c r="I1025" s="897"/>
      <c r="J1025" s="898"/>
      <c r="K1025" s="896"/>
      <c r="L1025" s="923"/>
      <c r="M1025" s="899"/>
      <c r="N1025" s="900" t="s">
        <v>2309</v>
      </c>
    </row>
    <row r="1026" spans="1:14" s="910" customFormat="1" ht="16.5" hidden="1" customHeight="1">
      <c r="A1026" s="896"/>
      <c r="B1026" s="902" t="s">
        <v>3349</v>
      </c>
      <c r="C1026" s="897"/>
      <c r="D1026" s="1263"/>
      <c r="E1026" s="919"/>
      <c r="F1026" s="920"/>
      <c r="G1026" s="920"/>
      <c r="H1026" s="920"/>
      <c r="I1026" s="1264"/>
      <c r="J1026" s="955"/>
      <c r="K1026" s="902"/>
      <c r="L1026" s="923"/>
      <c r="M1026" s="902"/>
      <c r="N1026" s="900" t="s">
        <v>2309</v>
      </c>
    </row>
    <row r="1027" spans="1:14" s="910" customFormat="1" ht="16.5" hidden="1" customHeight="1">
      <c r="A1027" s="896"/>
      <c r="B1027" s="902" t="s">
        <v>1542</v>
      </c>
      <c r="C1027" s="897">
        <v>1</v>
      </c>
      <c r="D1027" s="1263" t="s">
        <v>273</v>
      </c>
      <c r="E1027" s="919">
        <v>2</v>
      </c>
      <c r="F1027" s="920">
        <v>4.37</v>
      </c>
      <c r="G1027" s="920">
        <v>0</v>
      </c>
      <c r="H1027" s="920">
        <v>2.65</v>
      </c>
      <c r="I1027" s="1286">
        <f>ROUND(IF(AND(F1027:H1027),C1027*E1027*F1027*G1027*H1027,IF(AND(F1027,G1027),C1027*E1027*F1027*G1027,IF(AND(F1027,H1027),C1027*E1027*F1027*H1027,IF(AND(G1027,H1027),C1027*E1027*G1027*H1027,IF(F1027,C1027*E1027*F1027,IF(G1027,C1027*E1027*G1027,IF(H1027,C1027*E1027*H1027,C1027*E1027))))))),2)</f>
        <v>23.16</v>
      </c>
      <c r="J1027" s="955" t="s">
        <v>102</v>
      </c>
      <c r="K1027" s="902"/>
      <c r="L1027" s="923"/>
      <c r="M1027" s="902"/>
      <c r="N1027" s="900" t="s">
        <v>2309</v>
      </c>
    </row>
    <row r="1028" spans="1:14" s="910" customFormat="1" ht="16.5" hidden="1" customHeight="1">
      <c r="A1028" s="896"/>
      <c r="B1028" s="902" t="s">
        <v>1543</v>
      </c>
      <c r="C1028" s="897">
        <v>1</v>
      </c>
      <c r="D1028" s="1263" t="s">
        <v>273</v>
      </c>
      <c r="E1028" s="919">
        <v>2</v>
      </c>
      <c r="F1028" s="920">
        <v>2.94</v>
      </c>
      <c r="G1028" s="920">
        <v>0</v>
      </c>
      <c r="H1028" s="920">
        <v>2.65</v>
      </c>
      <c r="I1028" s="1286">
        <f>ROUND(IF(AND(F1028:H1028),C1028*E1028*F1028*G1028*H1028,IF(AND(F1028,G1028),C1028*E1028*F1028*G1028,IF(AND(F1028,H1028),C1028*E1028*F1028*H1028,IF(AND(G1028,H1028),C1028*E1028*G1028*H1028,IF(F1028,C1028*E1028*F1028,IF(G1028,C1028*E1028*G1028,IF(H1028,C1028*E1028*H1028,C1028*E1028))))))),2)</f>
        <v>15.58</v>
      </c>
      <c r="J1028" s="955" t="s">
        <v>102</v>
      </c>
      <c r="K1028" s="902"/>
      <c r="L1028" s="923"/>
      <c r="M1028" s="902"/>
      <c r="N1028" s="900" t="s">
        <v>2309</v>
      </c>
    </row>
    <row r="1029" spans="1:14" s="910" customFormat="1" ht="16.5" hidden="1" customHeight="1">
      <c r="A1029" s="896"/>
      <c r="B1029" s="902" t="s">
        <v>1533</v>
      </c>
      <c r="C1029" s="897">
        <v>1</v>
      </c>
      <c r="D1029" s="1263" t="s">
        <v>273</v>
      </c>
      <c r="E1029" s="919">
        <v>1</v>
      </c>
      <c r="F1029" s="920">
        <v>1.2</v>
      </c>
      <c r="G1029" s="920">
        <v>0</v>
      </c>
      <c r="H1029" s="920">
        <v>1.2</v>
      </c>
      <c r="I1029" s="1286">
        <f>-ROUND(IF(AND(F1029:H1029),C1029*E1029*F1029*G1029*H1029,IF(AND(F1029,G1029),C1029*E1029*F1029*G1029,IF(AND(F1029,H1029),C1029*E1029*F1029*H1029,IF(AND(G1029,H1029),C1029*E1029*G1029*H1029,IF(F1029,C1029*E1029*F1029,IF(G1029,C1029*E1029*G1029,IF(H1029,C1029*E1029*H1029,C1029*E1029))))))),2)</f>
        <v>-1.44</v>
      </c>
      <c r="J1029" s="955" t="s">
        <v>102</v>
      </c>
      <c r="K1029" s="902"/>
      <c r="L1029" s="923"/>
      <c r="M1029" s="902"/>
      <c r="N1029" s="900" t="s">
        <v>2309</v>
      </c>
    </row>
    <row r="1030" spans="1:14" s="910" customFormat="1" ht="16.5" hidden="1" customHeight="1">
      <c r="A1030" s="896"/>
      <c r="B1030" s="902" t="s">
        <v>579</v>
      </c>
      <c r="C1030" s="897">
        <v>1</v>
      </c>
      <c r="D1030" s="1263" t="s">
        <v>273</v>
      </c>
      <c r="E1030" s="919">
        <v>1</v>
      </c>
      <c r="F1030" s="920">
        <v>0.9</v>
      </c>
      <c r="G1030" s="920">
        <v>0</v>
      </c>
      <c r="H1030" s="920">
        <v>2.08</v>
      </c>
      <c r="I1030" s="1286">
        <f>-ROUND(IF(AND(F1030:H1030),C1030*E1030*F1030*G1030*H1030,IF(AND(F1030,G1030),C1030*E1030*F1030*G1030,IF(AND(F1030,H1030),C1030*E1030*F1030*H1030,IF(AND(G1030,H1030),C1030*E1030*G1030*H1030,IF(F1030,C1030*E1030*F1030,IF(G1030,C1030*E1030*G1030,IF(H1030,C1030*E1030*H1030,C1030*E1030))))))),2)</f>
        <v>-1.87</v>
      </c>
      <c r="J1030" s="955" t="s">
        <v>102</v>
      </c>
      <c r="K1030" s="902"/>
      <c r="L1030" s="923"/>
      <c r="M1030" s="902"/>
      <c r="N1030" s="900" t="s">
        <v>2309</v>
      </c>
    </row>
    <row r="1031" spans="1:14" s="910" customFormat="1" ht="16.5" hidden="1" customHeight="1">
      <c r="A1031" s="896"/>
      <c r="B1031" s="956"/>
      <c r="C1031" s="957"/>
      <c r="D1031" s="958"/>
      <c r="E1031" s="959"/>
      <c r="F1031" s="960"/>
      <c r="G1031" s="960"/>
      <c r="H1031" s="960"/>
      <c r="I1031" s="916"/>
      <c r="J1031" s="955"/>
      <c r="K1031" s="902"/>
      <c r="L1031" s="923"/>
      <c r="M1031" s="902"/>
      <c r="N1031" s="900" t="s">
        <v>2309</v>
      </c>
    </row>
    <row r="1032" spans="1:14" ht="15.75" hidden="1">
      <c r="A1032" s="896"/>
      <c r="B1032" s="902"/>
      <c r="C1032" s="917"/>
      <c r="D1032" s="918"/>
      <c r="E1032" s="919"/>
      <c r="F1032" s="920"/>
      <c r="G1032" s="921"/>
      <c r="H1032" s="896"/>
      <c r="I1032" s="916"/>
      <c r="J1032" s="955" t="s">
        <v>102</v>
      </c>
      <c r="K1032" s="922">
        <f>'data 2022-23'!G809</f>
        <v>194.34</v>
      </c>
      <c r="L1032" s="923" t="s">
        <v>2419</v>
      </c>
      <c r="M1032" s="924">
        <f>ROUND(I1032*K1032,0)</f>
        <v>0</v>
      </c>
      <c r="N1032" s="900" t="s">
        <v>2309</v>
      </c>
    </row>
    <row r="1033" spans="1:14" ht="94.5" hidden="1" customHeight="1">
      <c r="A1033" s="896">
        <v>10</v>
      </c>
      <c r="B1033" s="1609" t="s">
        <v>1167</v>
      </c>
      <c r="C1033" s="1609"/>
      <c r="D1033" s="1609"/>
      <c r="E1033" s="1609"/>
      <c r="F1033" s="1609"/>
      <c r="G1033" s="1609"/>
      <c r="H1033" s="1609"/>
      <c r="I1033" s="897"/>
      <c r="J1033" s="898"/>
      <c r="K1033" s="896"/>
      <c r="L1033" s="923"/>
      <c r="M1033" s="899"/>
      <c r="N1033" s="900" t="s">
        <v>2309</v>
      </c>
    </row>
    <row r="1034" spans="1:14" s="910" customFormat="1" ht="16.5" hidden="1" customHeight="1">
      <c r="A1034" s="896"/>
      <c r="B1034" s="902" t="s">
        <v>3393</v>
      </c>
      <c r="C1034" s="897"/>
      <c r="D1034" s="1263"/>
      <c r="E1034" s="919"/>
      <c r="F1034" s="920"/>
      <c r="G1034" s="920"/>
      <c r="H1034" s="920"/>
      <c r="I1034" s="1264"/>
      <c r="J1034" s="955"/>
      <c r="K1034" s="902"/>
      <c r="L1034" s="923"/>
      <c r="M1034" s="902"/>
      <c r="N1034" s="900" t="s">
        <v>2309</v>
      </c>
    </row>
    <row r="1035" spans="1:14" s="910" customFormat="1" ht="16.5" hidden="1" customHeight="1">
      <c r="A1035" s="896"/>
      <c r="B1035" s="902" t="s">
        <v>1529</v>
      </c>
      <c r="C1035" s="897">
        <v>1</v>
      </c>
      <c r="D1035" s="1263" t="s">
        <v>273</v>
      </c>
      <c r="E1035" s="919">
        <v>1</v>
      </c>
      <c r="F1035" s="920">
        <v>2.93</v>
      </c>
      <c r="G1035" s="920">
        <v>0.87</v>
      </c>
      <c r="H1035" s="920">
        <v>0</v>
      </c>
      <c r="I1035" s="1286">
        <f>ROUND(IF(AND(F1035:H1035),C1035*E1035*F1035*G1035*H1035,IF(AND(F1035,G1035),C1035*E1035*F1035*G1035,IF(AND(F1035,H1035),C1035*E1035*F1035*H1035,IF(AND(G1035,H1035),C1035*E1035*G1035*H1035,IF(F1035,C1035*E1035*F1035,IF(G1035,C1035*E1035*G1035,IF(H1035,C1035*E1035*H1035,C1035*E1035))))))),2)</f>
        <v>2.5499999999999998</v>
      </c>
      <c r="J1035" s="955" t="s">
        <v>102</v>
      </c>
      <c r="K1035" s="902"/>
      <c r="L1035" s="923"/>
      <c r="M1035" s="902"/>
      <c r="N1035" s="900" t="s">
        <v>2309</v>
      </c>
    </row>
    <row r="1036" spans="1:14" s="910" customFormat="1" ht="16.5" hidden="1" customHeight="1">
      <c r="A1036" s="896"/>
      <c r="B1036" s="902" t="s">
        <v>1243</v>
      </c>
      <c r="C1036" s="897">
        <v>1</v>
      </c>
      <c r="D1036" s="1263" t="s">
        <v>273</v>
      </c>
      <c r="E1036" s="919">
        <v>2</v>
      </c>
      <c r="F1036" s="920">
        <v>2.7</v>
      </c>
      <c r="G1036" s="920">
        <v>0.3</v>
      </c>
      <c r="H1036" s="920">
        <v>0</v>
      </c>
      <c r="I1036" s="1286">
        <f>ROUND(IF(AND(F1036:H1036),C1036*E1036*F1036*G1036*H1036,IF(AND(F1036,G1036),C1036*E1036*F1036*G1036,IF(AND(F1036,H1036),C1036*E1036*F1036*H1036,IF(AND(G1036,H1036),C1036*E1036*G1036*H1036,IF(F1036,C1036*E1036*F1036,IF(G1036,C1036*E1036*G1036,IF(H1036,C1036*E1036*H1036,C1036*E1036))))))),2)</f>
        <v>1.62</v>
      </c>
      <c r="J1036" s="955" t="s">
        <v>102</v>
      </c>
      <c r="K1036" s="902"/>
      <c r="L1036" s="923"/>
      <c r="M1036" s="902"/>
      <c r="N1036" s="900" t="s">
        <v>2309</v>
      </c>
    </row>
    <row r="1037" spans="1:14" s="910" customFormat="1" ht="16.5" hidden="1" customHeight="1">
      <c r="A1037" s="896"/>
      <c r="B1037" s="902" t="s">
        <v>1541</v>
      </c>
      <c r="C1037" s="897">
        <v>1</v>
      </c>
      <c r="D1037" s="1263" t="s">
        <v>273</v>
      </c>
      <c r="E1037" s="919">
        <v>1</v>
      </c>
      <c r="F1037" s="920">
        <v>2.7</v>
      </c>
      <c r="G1037" s="920">
        <v>3.3</v>
      </c>
      <c r="H1037" s="920">
        <v>0</v>
      </c>
      <c r="I1037" s="1286">
        <f>ROUND(IF(AND(F1037:H1037),C1037*E1037*F1037*G1037*H1037,IF(AND(F1037,G1037),C1037*E1037*F1037*G1037,IF(AND(F1037,H1037),C1037*E1037*F1037*H1037,IF(AND(G1037,H1037),C1037*E1037*G1037*H1037,IF(F1037,C1037*E1037*F1037,IF(G1037,C1037*E1037*G1037,IF(H1037,C1037*E1037*H1037,C1037*E1037))))))),2)</f>
        <v>8.91</v>
      </c>
      <c r="J1037" s="955" t="s">
        <v>102</v>
      </c>
      <c r="K1037" s="902"/>
      <c r="L1037" s="923"/>
      <c r="M1037" s="902"/>
      <c r="N1037" s="900" t="s">
        <v>2309</v>
      </c>
    </row>
    <row r="1038" spans="1:14" s="910" customFormat="1" ht="16.5" hidden="1" customHeight="1">
      <c r="A1038" s="896"/>
      <c r="B1038" s="902" t="s">
        <v>1490</v>
      </c>
      <c r="C1038" s="897">
        <v>1</v>
      </c>
      <c r="D1038" s="1263" t="s">
        <v>273</v>
      </c>
      <c r="E1038" s="919">
        <v>1</v>
      </c>
      <c r="F1038" s="920">
        <v>37.799999999999997</v>
      </c>
      <c r="G1038" s="920">
        <v>0</v>
      </c>
      <c r="H1038" s="920">
        <v>0.88</v>
      </c>
      <c r="I1038" s="1286">
        <f>ROUND(IF(AND(F1038:H1038),C1038*E1038*F1038*G1038*H1038,IF(AND(F1038,G1038),C1038*E1038*F1038*G1038,IF(AND(F1038,H1038),C1038*E1038*F1038*H1038,IF(AND(G1038,H1038),C1038*E1038*G1038*H1038,IF(F1038,C1038*E1038*F1038,IF(G1038,C1038*E1038*G1038,IF(H1038,C1038*E1038*H1038,C1038*E1038))))))),2)</f>
        <v>33.26</v>
      </c>
      <c r="J1038" s="955" t="s">
        <v>102</v>
      </c>
      <c r="K1038" s="902"/>
      <c r="L1038" s="923"/>
      <c r="M1038" s="902"/>
      <c r="N1038" s="900" t="s">
        <v>2309</v>
      </c>
    </row>
    <row r="1039" spans="1:14" s="910" customFormat="1" ht="16.5" hidden="1" customHeight="1">
      <c r="A1039" s="896"/>
      <c r="B1039" s="956"/>
      <c r="C1039" s="957"/>
      <c r="D1039" s="958"/>
      <c r="E1039" s="1268"/>
      <c r="F1039" s="960"/>
      <c r="G1039" s="960"/>
      <c r="H1039" s="960"/>
      <c r="I1039" s="916"/>
      <c r="J1039" s="955"/>
      <c r="K1039" s="902"/>
      <c r="L1039" s="923"/>
      <c r="M1039" s="902"/>
      <c r="N1039" s="900" t="s">
        <v>2309</v>
      </c>
    </row>
    <row r="1040" spans="1:14" ht="15.75" hidden="1">
      <c r="A1040" s="896"/>
      <c r="B1040" s="902"/>
      <c r="C1040" s="917"/>
      <c r="D1040" s="918"/>
      <c r="E1040" s="919"/>
      <c r="F1040" s="920"/>
      <c r="G1040" s="921"/>
      <c r="H1040" s="896"/>
      <c r="I1040" s="916"/>
      <c r="J1040" s="955" t="s">
        <v>102</v>
      </c>
      <c r="K1040" s="922">
        <f>'data 2022-23'!G844</f>
        <v>169.89</v>
      </c>
      <c r="L1040" s="923" t="s">
        <v>2419</v>
      </c>
      <c r="M1040" s="924">
        <f>ROUND(I1040*K1040,0)</f>
        <v>0</v>
      </c>
      <c r="N1040" s="900" t="s">
        <v>2309</v>
      </c>
    </row>
    <row r="1041" spans="1:15" ht="94.5" hidden="1" customHeight="1">
      <c r="A1041" s="896">
        <v>11</v>
      </c>
      <c r="B1041" s="1609" t="s">
        <v>1168</v>
      </c>
      <c r="C1041" s="1609"/>
      <c r="D1041" s="1609"/>
      <c r="E1041" s="1609"/>
      <c r="F1041" s="1609"/>
      <c r="G1041" s="1609"/>
      <c r="H1041" s="1609"/>
      <c r="I1041" s="897"/>
      <c r="J1041" s="898"/>
      <c r="K1041" s="896"/>
      <c r="L1041" s="923"/>
      <c r="M1041" s="899"/>
      <c r="N1041" s="900" t="s">
        <v>2309</v>
      </c>
    </row>
    <row r="1042" spans="1:15" s="910" customFormat="1" ht="15.75" hidden="1">
      <c r="A1042" s="896"/>
      <c r="B1042" s="902" t="s">
        <v>3352</v>
      </c>
      <c r="C1042" s="897"/>
      <c r="D1042" s="1263"/>
      <c r="E1042" s="919"/>
      <c r="F1042" s="920"/>
      <c r="G1042" s="920"/>
      <c r="H1042" s="920"/>
      <c r="I1042" s="1264"/>
      <c r="J1042" s="955"/>
      <c r="K1042" s="902"/>
      <c r="L1042" s="923"/>
      <c r="M1042" s="902"/>
      <c r="N1042" s="900" t="s">
        <v>2309</v>
      </c>
    </row>
    <row r="1043" spans="1:15" s="910" customFormat="1" ht="15.75" hidden="1">
      <c r="A1043" s="896"/>
      <c r="B1043" s="902"/>
      <c r="C1043" s="897">
        <v>1</v>
      </c>
      <c r="D1043" s="1263" t="s">
        <v>273</v>
      </c>
      <c r="E1043" s="919">
        <v>2</v>
      </c>
      <c r="F1043" s="920">
        <v>3.25</v>
      </c>
      <c r="G1043" s="920">
        <v>0</v>
      </c>
      <c r="H1043" s="920">
        <v>2.7</v>
      </c>
      <c r="I1043" s="1266">
        <f>ROUND(IF(AND(F1043:H1043),C1043*E1043*F1043*G1043*H1043,IF(AND(F1043,G1043),C1043*E1043*F1043*G1043,IF(AND(F1043,H1043),C1043*E1043*F1043*H1043,IF(AND(G1043,H1043),C1043*E1043*G1043*H1043,IF(F1043,C1043*E1043*F1043,IF(G1043,C1043*E1043*G1043,IF(H1043,C1043*E1043*H1043,C1043*E1043))))))),2)</f>
        <v>17.55</v>
      </c>
      <c r="J1043" s="955" t="s">
        <v>102</v>
      </c>
      <c r="K1043" s="902"/>
      <c r="L1043" s="923"/>
      <c r="M1043" s="902"/>
      <c r="N1043" s="900" t="s">
        <v>2309</v>
      </c>
    </row>
    <row r="1044" spans="1:15" s="910" customFormat="1" ht="15.75" hidden="1">
      <c r="A1044" s="896"/>
      <c r="B1044" s="902"/>
      <c r="C1044" s="897">
        <v>1</v>
      </c>
      <c r="D1044" s="1263" t="s">
        <v>273</v>
      </c>
      <c r="E1044" s="919">
        <v>2</v>
      </c>
      <c r="F1044" s="920">
        <v>4.74</v>
      </c>
      <c r="G1044" s="920">
        <v>0</v>
      </c>
      <c r="H1044" s="920">
        <v>2.7</v>
      </c>
      <c r="I1044" s="1266">
        <f>ROUND(IF(AND(F1044:H1044),C1044*E1044*F1044*G1044*H1044,IF(AND(F1044,G1044),C1044*E1044*F1044*G1044,IF(AND(F1044,H1044),C1044*E1044*F1044*H1044,IF(AND(G1044,H1044),C1044*E1044*G1044*H1044,IF(F1044,C1044*E1044*F1044,IF(G1044,C1044*E1044*G1044,IF(H1044,C1044*E1044*H1044,C1044*E1044))))))),2)</f>
        <v>25.6</v>
      </c>
      <c r="J1044" s="955" t="s">
        <v>102</v>
      </c>
      <c r="K1044" s="902"/>
      <c r="L1044" s="923"/>
      <c r="M1044" s="902"/>
      <c r="N1044" s="900" t="s">
        <v>2309</v>
      </c>
    </row>
    <row r="1045" spans="1:15" s="910" customFormat="1" ht="15.75" hidden="1">
      <c r="A1045" s="896"/>
      <c r="B1045" s="902" t="s">
        <v>2198</v>
      </c>
      <c r="C1045" s="897">
        <v>1</v>
      </c>
      <c r="D1045" s="1263" t="s">
        <v>273</v>
      </c>
      <c r="E1045" s="919">
        <v>1</v>
      </c>
      <c r="F1045" s="920">
        <v>37.799999999999997</v>
      </c>
      <c r="G1045" s="920">
        <v>0</v>
      </c>
      <c r="H1045" s="920">
        <v>1.76</v>
      </c>
      <c r="I1045" s="1266">
        <f>ROUND(IF(AND(F1045:H1045),C1045*E1045*F1045*G1045*H1045,IF(AND(F1045,G1045),C1045*E1045*F1045*G1045,IF(AND(F1045,H1045),C1045*E1045*F1045*H1045,IF(AND(G1045,H1045),C1045*E1045*G1045*H1045,IF(F1045,C1045*E1045*F1045,IF(G1045,C1045*E1045*G1045,IF(H1045,C1045*E1045*H1045,C1045*E1045))))))),2)</f>
        <v>66.53</v>
      </c>
      <c r="J1045" s="955" t="s">
        <v>102</v>
      </c>
      <c r="K1045" s="902"/>
      <c r="L1045" s="923"/>
      <c r="M1045" s="902"/>
      <c r="N1045" s="900" t="s">
        <v>2309</v>
      </c>
    </row>
    <row r="1046" spans="1:15" s="910" customFormat="1" ht="16.5" hidden="1" customHeight="1">
      <c r="A1046" s="896"/>
      <c r="B1046" s="956"/>
      <c r="C1046" s="957"/>
      <c r="D1046" s="958"/>
      <c r="E1046" s="1268"/>
      <c r="F1046" s="960"/>
      <c r="G1046" s="960"/>
      <c r="H1046" s="960"/>
      <c r="I1046" s="916"/>
      <c r="J1046" s="955"/>
      <c r="K1046" s="902"/>
      <c r="L1046" s="923"/>
      <c r="M1046" s="902"/>
      <c r="N1046" s="900" t="s">
        <v>2309</v>
      </c>
    </row>
    <row r="1047" spans="1:15" ht="15.75" hidden="1">
      <c r="A1047" s="896"/>
      <c r="B1047" s="902"/>
      <c r="C1047" s="917"/>
      <c r="D1047" s="918"/>
      <c r="E1047" s="919"/>
      <c r="F1047" s="920"/>
      <c r="G1047" s="921"/>
      <c r="H1047" s="896"/>
      <c r="I1047" s="916"/>
      <c r="J1047" s="955" t="s">
        <v>102</v>
      </c>
      <c r="K1047" s="922">
        <f>'data 2022-23'!G858</f>
        <v>233.59</v>
      </c>
      <c r="L1047" s="923" t="s">
        <v>2419</v>
      </c>
      <c r="M1047" s="924">
        <f>ROUND(I1047*K1047,0)</f>
        <v>0</v>
      </c>
      <c r="N1047" s="900" t="s">
        <v>2309</v>
      </c>
    </row>
    <row r="1048" spans="1:15" ht="69.75" hidden="1" customHeight="1">
      <c r="A1048" s="896">
        <v>12</v>
      </c>
      <c r="B1048" s="1609" t="s">
        <v>124</v>
      </c>
      <c r="C1048" s="1609"/>
      <c r="D1048" s="1609"/>
      <c r="E1048" s="1609"/>
      <c r="F1048" s="1609"/>
      <c r="G1048" s="1609"/>
      <c r="H1048" s="1609"/>
      <c r="I1048" s="897"/>
      <c r="J1048" s="898"/>
      <c r="K1048" s="896"/>
      <c r="L1048" s="923"/>
      <c r="M1048" s="899"/>
      <c r="N1048" s="900" t="s">
        <v>2309</v>
      </c>
    </row>
    <row r="1049" spans="1:15" s="910" customFormat="1" ht="16.5" hidden="1" customHeight="1">
      <c r="A1049" s="896"/>
      <c r="B1049" s="902" t="s">
        <v>3418</v>
      </c>
      <c r="C1049" s="1296" t="s">
        <v>1555</v>
      </c>
      <c r="D1049" s="904"/>
      <c r="E1049" s="905"/>
      <c r="F1049" s="906"/>
      <c r="G1049" s="906"/>
      <c r="H1049" s="907"/>
      <c r="I1049" s="1372"/>
      <c r="J1049" s="955" t="s">
        <v>141</v>
      </c>
      <c r="K1049" s="902"/>
      <c r="L1049" s="923"/>
      <c r="M1049" s="902"/>
      <c r="N1049" s="900" t="s">
        <v>2309</v>
      </c>
      <c r="O1049" s="1292"/>
    </row>
    <row r="1050" spans="1:15" s="910" customFormat="1" ht="16.5" hidden="1" customHeight="1">
      <c r="A1050" s="896"/>
      <c r="B1050" s="902" t="s">
        <v>3419</v>
      </c>
      <c r="C1050" s="903" t="s">
        <v>1622</v>
      </c>
      <c r="D1050" s="904"/>
      <c r="E1050" s="905"/>
      <c r="F1050" s="906"/>
      <c r="G1050" s="906"/>
      <c r="H1050" s="907"/>
      <c r="I1050" s="908"/>
      <c r="J1050" s="955" t="s">
        <v>141</v>
      </c>
      <c r="K1050" s="902"/>
      <c r="L1050" s="896"/>
      <c r="M1050" s="902"/>
      <c r="N1050" s="900" t="s">
        <v>2309</v>
      </c>
    </row>
    <row r="1051" spans="1:15" s="910" customFormat="1" ht="16.5" hidden="1" customHeight="1">
      <c r="A1051" s="896"/>
      <c r="B1051" s="902"/>
      <c r="C1051" s="903"/>
      <c r="D1051" s="904"/>
      <c r="E1051" s="905"/>
      <c r="F1051" s="906"/>
      <c r="G1051" s="906"/>
      <c r="H1051" s="907"/>
      <c r="I1051" s="908"/>
      <c r="J1051" s="955"/>
      <c r="K1051" s="902"/>
      <c r="L1051" s="896"/>
      <c r="M1051" s="902"/>
      <c r="N1051" s="900" t="s">
        <v>2309</v>
      </c>
    </row>
    <row r="1052" spans="1:15" s="910" customFormat="1" ht="16.5" hidden="1" customHeight="1">
      <c r="A1052" s="896"/>
      <c r="B1052" s="902"/>
      <c r="C1052" s="903"/>
      <c r="D1052" s="904"/>
      <c r="E1052" s="905"/>
      <c r="F1052" s="906"/>
      <c r="G1052" s="906"/>
      <c r="H1052" s="907"/>
      <c r="I1052" s="908">
        <f>SUM(I1049:I1051)</f>
        <v>0</v>
      </c>
      <c r="J1052" s="955" t="s">
        <v>141</v>
      </c>
      <c r="K1052" s="902"/>
      <c r="L1052" s="923"/>
      <c r="M1052" s="902"/>
      <c r="N1052" s="900" t="s">
        <v>2309</v>
      </c>
    </row>
    <row r="1053" spans="1:15" ht="15.75" hidden="1">
      <c r="A1053" s="896"/>
      <c r="B1053" s="902"/>
      <c r="C1053" s="917"/>
      <c r="D1053" s="918"/>
      <c r="E1053" s="919"/>
      <c r="F1053" s="920"/>
      <c r="G1053" s="921"/>
      <c r="H1053" s="896" t="s">
        <v>902</v>
      </c>
      <c r="I1053" s="916">
        <f>ROUND((I1052/1000)*1.05,2)</f>
        <v>0</v>
      </c>
      <c r="J1053" s="955" t="s">
        <v>29</v>
      </c>
      <c r="K1053" s="922">
        <f>'data 2022-23'!G283</f>
        <v>91830</v>
      </c>
      <c r="L1053" s="923" t="s">
        <v>2420</v>
      </c>
      <c r="M1053" s="924">
        <f>ROUND(I1053*K1053,0)</f>
        <v>0</v>
      </c>
      <c r="N1053" s="900" t="s">
        <v>2309</v>
      </c>
    </row>
    <row r="1054" spans="1:15" s="1253" customFormat="1" ht="15.75" hidden="1">
      <c r="A1054" s="967"/>
      <c r="B1054" s="967" t="s">
        <v>2413</v>
      </c>
      <c r="C1054" s="967"/>
      <c r="D1054" s="967"/>
      <c r="E1054" s="967"/>
      <c r="F1054" s="988"/>
      <c r="G1054" s="988"/>
      <c r="H1054" s="967"/>
      <c r="I1054" s="1261"/>
      <c r="J1054" s="1262"/>
      <c r="K1054" s="967"/>
      <c r="L1054" s="967"/>
      <c r="M1054" s="967"/>
      <c r="N1054" s="900" t="s">
        <v>2309</v>
      </c>
    </row>
    <row r="1055" spans="1:15" s="1403" customFormat="1" ht="72" customHeight="1">
      <c r="A1055" s="1397">
        <v>5</v>
      </c>
      <c r="B1055" s="1610" t="s">
        <v>803</v>
      </c>
      <c r="C1055" s="1610"/>
      <c r="D1055" s="1610"/>
      <c r="E1055" s="1610"/>
      <c r="F1055" s="1610"/>
      <c r="G1055" s="1610"/>
      <c r="H1055" s="1610"/>
      <c r="I1055" s="1398"/>
      <c r="J1055" s="1399"/>
      <c r="K1055" s="1397"/>
      <c r="L1055" s="1397"/>
      <c r="M1055" s="1401"/>
      <c r="N1055" s="1402" t="s">
        <v>2309</v>
      </c>
    </row>
    <row r="1056" spans="1:15" s="1411" customFormat="1" ht="15.75">
      <c r="A1056" s="1397"/>
      <c r="B1056" s="1410" t="s">
        <v>3948</v>
      </c>
      <c r="C1056" s="1398"/>
      <c r="D1056" s="1395" t="s">
        <v>4020</v>
      </c>
      <c r="E1056" s="1413"/>
      <c r="F1056" s="1414"/>
      <c r="G1056" s="1414"/>
      <c r="H1056" s="1414"/>
      <c r="I1056" s="1463"/>
      <c r="J1056" s="1423"/>
      <c r="K1056" s="1410"/>
      <c r="L1056" s="1397"/>
      <c r="M1056" s="1410"/>
      <c r="N1056" s="1402" t="s">
        <v>2309</v>
      </c>
    </row>
    <row r="1057" spans="1:14" s="1411" customFormat="1" ht="15.75">
      <c r="A1057" s="1397"/>
      <c r="B1057" s="1458"/>
      <c r="C1057" s="1459">
        <v>1</v>
      </c>
      <c r="D1057" s="1460" t="s">
        <v>273</v>
      </c>
      <c r="E1057" s="1461">
        <v>1</v>
      </c>
      <c r="F1057" s="1448">
        <v>0</v>
      </c>
      <c r="G1057" s="1448">
        <v>0</v>
      </c>
      <c r="H1057" s="1448">
        <v>0</v>
      </c>
      <c r="I1057" s="1468">
        <f>ROUND(IF(AND(F1057:H1057),C1057*E1057*F1057*G1057*H1057,IF(AND(F1057,G1057),C1057*E1057*F1057*G1057,IF(AND(F1057,H1057),C1057*E1057*F1057*H1057,IF(AND(G1057,H1057),C1057*E1057*G1057*H1057,IF(F1057,C1057*E1057*F1057,IF(G1057,C1057*E1057*G1057,IF(H1057,C1057*E1057*H1057,C1057*E1057))))))),2)</f>
        <v>1</v>
      </c>
      <c r="J1057" s="1423" t="s">
        <v>115</v>
      </c>
      <c r="K1057" s="1410"/>
      <c r="L1057" s="1397"/>
      <c r="M1057" s="1410"/>
      <c r="N1057" s="1402" t="s">
        <v>2309</v>
      </c>
    </row>
    <row r="1058" spans="1:14" s="1411" customFormat="1" ht="15.75">
      <c r="A1058" s="1397"/>
      <c r="B1058" s="1425"/>
      <c r="C1058" s="1426"/>
      <c r="D1058" s="1427"/>
      <c r="E1058" s="1428"/>
      <c r="F1058" s="1429"/>
      <c r="G1058" s="1429"/>
      <c r="H1058" s="1429"/>
      <c r="I1058" s="1430"/>
      <c r="J1058" s="1423"/>
      <c r="K1058" s="1410"/>
      <c r="L1058" s="1397"/>
      <c r="M1058" s="1410"/>
      <c r="N1058" s="1402" t="s">
        <v>2309</v>
      </c>
    </row>
    <row r="1059" spans="1:14" s="1403" customFormat="1" ht="15.75">
      <c r="A1059" s="1397"/>
      <c r="B1059" s="1410"/>
      <c r="C1059" s="1431"/>
      <c r="D1059" s="1432"/>
      <c r="E1059" s="1413"/>
      <c r="F1059" s="1414"/>
      <c r="G1059" s="1433"/>
      <c r="H1059" s="1397"/>
      <c r="I1059" s="1468">
        <f>SUM(I1057:I1058)</f>
        <v>1</v>
      </c>
      <c r="J1059" s="1423" t="s">
        <v>115</v>
      </c>
      <c r="K1059" s="1434">
        <f>'door 2022-23'!H24</f>
        <v>22903.660000000003</v>
      </c>
      <c r="L1059" s="1400" t="s">
        <v>275</v>
      </c>
      <c r="M1059" s="1435">
        <f>ROUND(I1059*K1059,0)</f>
        <v>22904</v>
      </c>
      <c r="N1059" s="1402" t="s">
        <v>2309</v>
      </c>
    </row>
    <row r="1060" spans="1:14" ht="72" hidden="1" customHeight="1">
      <c r="A1060" s="896">
        <v>1</v>
      </c>
      <c r="B1060" s="1609" t="s">
        <v>2773</v>
      </c>
      <c r="C1060" s="1609"/>
      <c r="D1060" s="1609"/>
      <c r="E1060" s="1609"/>
      <c r="F1060" s="1609"/>
      <c r="G1060" s="1609"/>
      <c r="H1060" s="1609"/>
      <c r="I1060" s="897"/>
      <c r="J1060" s="898"/>
      <c r="K1060" s="896"/>
      <c r="L1060" s="896"/>
      <c r="M1060" s="899"/>
      <c r="N1060" s="900" t="s">
        <v>2309</v>
      </c>
    </row>
    <row r="1061" spans="1:14" s="910" customFormat="1" ht="15.75" hidden="1">
      <c r="A1061" s="896"/>
      <c r="B1061" s="902" t="s">
        <v>2754</v>
      </c>
      <c r="C1061" s="903"/>
      <c r="D1061" s="904"/>
      <c r="E1061" s="905"/>
      <c r="F1061" s="906"/>
      <c r="G1061" s="906"/>
      <c r="H1061" s="907"/>
      <c r="I1061" s="908"/>
      <c r="J1061" s="955"/>
      <c r="K1061" s="902"/>
      <c r="L1061" s="896"/>
      <c r="M1061" s="902"/>
      <c r="N1061" s="900" t="s">
        <v>2309</v>
      </c>
    </row>
    <row r="1062" spans="1:14" s="910" customFormat="1" ht="15.75" hidden="1">
      <c r="A1062" s="896"/>
      <c r="B1062" s="956"/>
      <c r="C1062" s="957">
        <v>1</v>
      </c>
      <c r="D1062" s="958" t="s">
        <v>273</v>
      </c>
      <c r="E1062" s="1268">
        <v>3</v>
      </c>
      <c r="F1062" s="960">
        <v>0</v>
      </c>
      <c r="G1062" s="960">
        <v>0</v>
      </c>
      <c r="H1062" s="960">
        <v>0</v>
      </c>
      <c r="I1062" s="1291">
        <f>ROUND(IF(AND(F1062:H1062),C1062*E1062*F1062*G1062*H1062,IF(AND(F1062,G1062),C1062*E1062*F1062*G1062,IF(AND(F1062,H1062),C1062*E1062*F1062*H1062,IF(AND(G1062,H1062),C1062*E1062*G1062*H1062,IF(F1062,C1062*E1062*F1062,IF(G1062,C1062*E1062*G1062,IF(H1062,C1062*E1062*H1062,C1062*E1062))))))),2)</f>
        <v>3</v>
      </c>
      <c r="J1062" s="955" t="s">
        <v>115</v>
      </c>
      <c r="K1062" s="902"/>
      <c r="L1062" s="896"/>
      <c r="M1062" s="902"/>
      <c r="N1062" s="900" t="s">
        <v>2309</v>
      </c>
    </row>
    <row r="1063" spans="1:14" s="910" customFormat="1" ht="15.75" hidden="1">
      <c r="A1063" s="896"/>
      <c r="B1063" s="956"/>
      <c r="C1063" s="957"/>
      <c r="D1063" s="958"/>
      <c r="E1063" s="1268"/>
      <c r="F1063" s="960"/>
      <c r="G1063" s="960"/>
      <c r="H1063" s="960"/>
      <c r="I1063" s="1291"/>
      <c r="J1063" s="955"/>
      <c r="K1063" s="902"/>
      <c r="L1063" s="896"/>
      <c r="M1063" s="902"/>
      <c r="N1063" s="900" t="s">
        <v>2309</v>
      </c>
    </row>
    <row r="1064" spans="1:14" ht="15.75" hidden="1">
      <c r="A1064" s="896"/>
      <c r="B1064" s="902"/>
      <c r="C1064" s="917"/>
      <c r="D1064" s="918"/>
      <c r="E1064" s="919"/>
      <c r="F1064" s="920"/>
      <c r="G1064" s="921"/>
      <c r="H1064" s="896"/>
      <c r="I1064" s="1291"/>
      <c r="J1064" s="955" t="s">
        <v>115</v>
      </c>
      <c r="K1064" s="922">
        <f>'door 2022-23'!H42</f>
        <v>7927.96</v>
      </c>
      <c r="L1064" s="923" t="s">
        <v>275</v>
      </c>
      <c r="M1064" s="924">
        <f>ROUND(I1064*K1064,0)</f>
        <v>0</v>
      </c>
      <c r="N1064" s="900" t="s">
        <v>2309</v>
      </c>
    </row>
    <row r="1065" spans="1:14" ht="72" hidden="1" customHeight="1">
      <c r="A1065" s="896">
        <v>3</v>
      </c>
      <c r="B1065" s="1609" t="s">
        <v>2200</v>
      </c>
      <c r="C1065" s="1609"/>
      <c r="D1065" s="1609"/>
      <c r="E1065" s="1609"/>
      <c r="F1065" s="1609"/>
      <c r="G1065" s="1609"/>
      <c r="H1065" s="1609"/>
      <c r="I1065" s="897"/>
      <c r="J1065" s="898"/>
      <c r="K1065" s="896"/>
      <c r="L1065" s="896"/>
      <c r="M1065" s="899"/>
      <c r="N1065" s="900" t="s">
        <v>2309</v>
      </c>
    </row>
    <row r="1066" spans="1:14" s="910" customFormat="1" ht="15.75" hidden="1">
      <c r="A1066" s="896"/>
      <c r="B1066" s="902" t="s">
        <v>3420</v>
      </c>
      <c r="C1066" s="903"/>
      <c r="D1066" s="904"/>
      <c r="E1066" s="905"/>
      <c r="F1066" s="906"/>
      <c r="G1066" s="906"/>
      <c r="H1066" s="907"/>
      <c r="I1066" s="908"/>
      <c r="J1066" s="955"/>
      <c r="K1066" s="902"/>
      <c r="L1066" s="896"/>
      <c r="M1066" s="902"/>
      <c r="N1066" s="900" t="s">
        <v>2309</v>
      </c>
    </row>
    <row r="1067" spans="1:14" s="910" customFormat="1" ht="15.75" hidden="1">
      <c r="A1067" s="896"/>
      <c r="B1067" s="956"/>
      <c r="C1067" s="957">
        <v>1</v>
      </c>
      <c r="D1067" s="958" t="s">
        <v>273</v>
      </c>
      <c r="E1067" s="1268">
        <v>1</v>
      </c>
      <c r="F1067" s="960">
        <v>0</v>
      </c>
      <c r="G1067" s="960">
        <v>0</v>
      </c>
      <c r="H1067" s="960">
        <v>0</v>
      </c>
      <c r="I1067" s="1291">
        <f>ROUND(IF(AND(F1067:H1067),C1067*E1067*F1067*G1067*H1067,IF(AND(F1067,G1067),C1067*E1067*F1067*G1067,IF(AND(F1067,H1067),C1067*E1067*F1067*H1067,IF(AND(G1067,H1067),C1067*E1067*G1067*H1067,IF(F1067,C1067*E1067*F1067,IF(G1067,C1067*E1067*G1067,IF(H1067,C1067*E1067*H1067,C1067*E1067))))))),2)</f>
        <v>1</v>
      </c>
      <c r="J1067" s="955" t="s">
        <v>115</v>
      </c>
      <c r="K1067" s="902"/>
      <c r="L1067" s="896"/>
      <c r="M1067" s="902"/>
      <c r="N1067" s="900" t="s">
        <v>2309</v>
      </c>
    </row>
    <row r="1068" spans="1:14" s="910" customFormat="1" ht="15.75" hidden="1">
      <c r="A1068" s="896"/>
      <c r="B1068" s="956"/>
      <c r="C1068" s="957"/>
      <c r="D1068" s="958"/>
      <c r="E1068" s="1268"/>
      <c r="F1068" s="960"/>
      <c r="G1068" s="960"/>
      <c r="H1068" s="960"/>
      <c r="I1068" s="1291"/>
      <c r="J1068" s="955"/>
      <c r="K1068" s="902"/>
      <c r="L1068" s="896"/>
      <c r="M1068" s="902"/>
      <c r="N1068" s="900" t="s">
        <v>2309</v>
      </c>
    </row>
    <row r="1069" spans="1:14" ht="15.75" hidden="1">
      <c r="A1069" s="896"/>
      <c r="B1069" s="902"/>
      <c r="C1069" s="917"/>
      <c r="D1069" s="918"/>
      <c r="E1069" s="919"/>
      <c r="F1069" s="920"/>
      <c r="G1069" s="921"/>
      <c r="H1069" s="896"/>
      <c r="I1069" s="1291"/>
      <c r="J1069" s="955" t="s">
        <v>115</v>
      </c>
      <c r="K1069" s="922">
        <f>'door 2022-23'!H60</f>
        <v>11442.58</v>
      </c>
      <c r="L1069" s="923" t="s">
        <v>275</v>
      </c>
      <c r="M1069" s="924">
        <f>ROUND(I1069*K1069,0)</f>
        <v>0</v>
      </c>
      <c r="N1069" s="900" t="s">
        <v>2309</v>
      </c>
    </row>
    <row r="1070" spans="1:14" ht="71.25" hidden="1" customHeight="1">
      <c r="A1070" s="896">
        <v>2</v>
      </c>
      <c r="B1070" s="1609" t="s">
        <v>1630</v>
      </c>
      <c r="C1070" s="1609"/>
      <c r="D1070" s="1609"/>
      <c r="E1070" s="1609"/>
      <c r="F1070" s="1609"/>
      <c r="G1070" s="1609"/>
      <c r="H1070" s="1609"/>
      <c r="I1070" s="897"/>
      <c r="J1070" s="898"/>
      <c r="K1070" s="896"/>
      <c r="L1070" s="896"/>
      <c r="M1070" s="899"/>
      <c r="N1070" s="900" t="s">
        <v>2309</v>
      </c>
    </row>
    <row r="1071" spans="1:14" s="910" customFormat="1" ht="15.75" hidden="1">
      <c r="A1071" s="896"/>
      <c r="B1071" s="928" t="s">
        <v>3355</v>
      </c>
      <c r="C1071" s="903"/>
      <c r="D1071" s="904"/>
      <c r="E1071" s="905"/>
      <c r="F1071" s="906"/>
      <c r="G1071" s="906"/>
      <c r="H1071" s="907"/>
      <c r="I1071" s="908"/>
      <c r="J1071" s="955"/>
      <c r="K1071" s="902"/>
      <c r="L1071" s="896"/>
      <c r="M1071" s="902"/>
      <c r="N1071" s="900" t="s">
        <v>2309</v>
      </c>
    </row>
    <row r="1072" spans="1:14" s="910" customFormat="1" ht="15.75" hidden="1">
      <c r="A1072" s="896"/>
      <c r="B1072" s="956" t="s">
        <v>583</v>
      </c>
      <c r="C1072" s="957">
        <v>1</v>
      </c>
      <c r="D1072" s="958" t="s">
        <v>273</v>
      </c>
      <c r="E1072" s="1268">
        <v>1</v>
      </c>
      <c r="F1072" s="960">
        <v>0</v>
      </c>
      <c r="G1072" s="960">
        <v>0</v>
      </c>
      <c r="H1072" s="960">
        <v>0</v>
      </c>
      <c r="I1072" s="916">
        <f>ROUND(IF(AND(F1072:H1072),C1072*E1072*F1072*G1072*H1072,IF(AND(F1072,G1072),C1072*E1072*F1072*G1072,IF(AND(F1072,H1072),C1072*E1072*F1072*H1072,IF(AND(G1072,H1072),C1072*E1072*G1072*H1072,IF(F1072,C1072*E1072*F1072,IF(G1072,C1072*E1072*G1072,IF(H1072,C1072*E1072*H1072,C1072*E1072))))))),2)</f>
        <v>1</v>
      </c>
      <c r="J1072" s="955" t="s">
        <v>115</v>
      </c>
      <c r="K1072" s="902"/>
      <c r="L1072" s="896"/>
      <c r="M1072" s="902"/>
      <c r="N1072" s="900" t="s">
        <v>2309</v>
      </c>
    </row>
    <row r="1073" spans="1:14" s="910" customFormat="1" ht="15.75" hidden="1">
      <c r="A1073" s="896"/>
      <c r="B1073" s="956"/>
      <c r="C1073" s="957"/>
      <c r="D1073" s="958"/>
      <c r="E1073" s="1268"/>
      <c r="F1073" s="960"/>
      <c r="G1073" s="960"/>
      <c r="H1073" s="960"/>
      <c r="I1073" s="916"/>
      <c r="J1073" s="955"/>
      <c r="K1073" s="902"/>
      <c r="L1073" s="896"/>
      <c r="M1073" s="902"/>
      <c r="N1073" s="900" t="s">
        <v>2309</v>
      </c>
    </row>
    <row r="1074" spans="1:14" ht="15.75" hidden="1">
      <c r="A1074" s="896"/>
      <c r="B1074" s="902"/>
      <c r="C1074" s="917"/>
      <c r="D1074" s="918"/>
      <c r="E1074" s="919"/>
      <c r="F1074" s="920"/>
      <c r="G1074" s="921"/>
      <c r="H1074" s="896"/>
      <c r="I1074" s="916"/>
      <c r="J1074" s="955" t="s">
        <v>115</v>
      </c>
      <c r="K1074" s="922">
        <f>'door 2022-23'!H79</f>
        <v>15875.19</v>
      </c>
      <c r="L1074" s="923" t="s">
        <v>275</v>
      </c>
      <c r="M1074" s="924">
        <f>ROUND(I1074*K1074,0)</f>
        <v>0</v>
      </c>
      <c r="N1074" s="900" t="s">
        <v>2309</v>
      </c>
    </row>
    <row r="1075" spans="1:14" ht="71.25" hidden="1" customHeight="1">
      <c r="A1075" s="896">
        <v>3</v>
      </c>
      <c r="B1075" s="1609" t="s">
        <v>1631</v>
      </c>
      <c r="C1075" s="1609"/>
      <c r="D1075" s="1609"/>
      <c r="E1075" s="1609"/>
      <c r="F1075" s="1609"/>
      <c r="G1075" s="1609"/>
      <c r="H1075" s="1609"/>
      <c r="I1075" s="897"/>
      <c r="J1075" s="898"/>
      <c r="K1075" s="896"/>
      <c r="L1075" s="896"/>
      <c r="M1075" s="899"/>
      <c r="N1075" s="900" t="s">
        <v>2309</v>
      </c>
    </row>
    <row r="1076" spans="1:14" s="910" customFormat="1" ht="15.75" hidden="1">
      <c r="A1076" s="896"/>
      <c r="B1076" s="928" t="s">
        <v>3387</v>
      </c>
      <c r="C1076" s="903"/>
      <c r="D1076" s="904"/>
      <c r="E1076" s="905"/>
      <c r="F1076" s="906"/>
      <c r="G1076" s="906"/>
      <c r="H1076" s="907"/>
      <c r="I1076" s="908"/>
      <c r="J1076" s="955"/>
      <c r="K1076" s="902"/>
      <c r="L1076" s="896"/>
      <c r="M1076" s="902"/>
      <c r="N1076" s="900" t="s">
        <v>2309</v>
      </c>
    </row>
    <row r="1077" spans="1:14" s="910" customFormat="1" ht="15.75" hidden="1">
      <c r="A1077" s="896"/>
      <c r="B1077" s="956" t="s">
        <v>583</v>
      </c>
      <c r="C1077" s="957">
        <v>1</v>
      </c>
      <c r="D1077" s="958" t="s">
        <v>273</v>
      </c>
      <c r="E1077" s="1268">
        <v>1</v>
      </c>
      <c r="F1077" s="960">
        <v>0</v>
      </c>
      <c r="G1077" s="960">
        <v>0</v>
      </c>
      <c r="H1077" s="960">
        <v>0</v>
      </c>
      <c r="I1077" s="916">
        <f>ROUND(IF(AND(F1077:H1077),C1077*E1077*F1077*G1077*H1077,IF(AND(F1077,G1077),C1077*E1077*F1077*G1077,IF(AND(F1077,H1077),C1077*E1077*F1077*H1077,IF(AND(G1077,H1077),C1077*E1077*G1077*H1077,IF(F1077,C1077*E1077*F1077,IF(G1077,C1077*E1077*G1077,IF(H1077,C1077*E1077*H1077,C1077*E1077))))))),2)</f>
        <v>1</v>
      </c>
      <c r="J1077" s="955" t="s">
        <v>115</v>
      </c>
      <c r="K1077" s="902"/>
      <c r="L1077" s="896"/>
      <c r="M1077" s="902"/>
      <c r="N1077" s="900" t="s">
        <v>2309</v>
      </c>
    </row>
    <row r="1078" spans="1:14" s="910" customFormat="1" ht="15.75" hidden="1">
      <c r="A1078" s="896"/>
      <c r="B1078" s="956"/>
      <c r="C1078" s="957"/>
      <c r="D1078" s="958"/>
      <c r="E1078" s="1268"/>
      <c r="F1078" s="960"/>
      <c r="G1078" s="960"/>
      <c r="H1078" s="960"/>
      <c r="I1078" s="916"/>
      <c r="J1078" s="955"/>
      <c r="K1078" s="902"/>
      <c r="L1078" s="896"/>
      <c r="M1078" s="902"/>
      <c r="N1078" s="900" t="s">
        <v>2309</v>
      </c>
    </row>
    <row r="1079" spans="1:14" ht="15.75" hidden="1">
      <c r="A1079" s="896"/>
      <c r="B1079" s="902"/>
      <c r="C1079" s="917"/>
      <c r="D1079" s="918"/>
      <c r="E1079" s="919"/>
      <c r="F1079" s="920"/>
      <c r="G1079" s="921"/>
      <c r="H1079" s="896"/>
      <c r="I1079" s="916"/>
      <c r="J1079" s="955" t="s">
        <v>115</v>
      </c>
      <c r="K1079" s="922">
        <f>'door 2022-23'!H98</f>
        <v>15037.220000000001</v>
      </c>
      <c r="L1079" s="923" t="s">
        <v>275</v>
      </c>
      <c r="M1079" s="924">
        <f>ROUND(I1079*K1079,0)</f>
        <v>0</v>
      </c>
      <c r="N1079" s="900" t="s">
        <v>2309</v>
      </c>
    </row>
    <row r="1080" spans="1:14" ht="71.25" hidden="1" customHeight="1">
      <c r="A1080" s="896">
        <v>9</v>
      </c>
      <c r="B1080" s="1609" t="s">
        <v>3863</v>
      </c>
      <c r="C1080" s="1609"/>
      <c r="D1080" s="1609"/>
      <c r="E1080" s="1609"/>
      <c r="F1080" s="1609"/>
      <c r="G1080" s="1609"/>
      <c r="H1080" s="1609"/>
      <c r="I1080" s="897"/>
      <c r="J1080" s="898"/>
      <c r="K1080" s="896"/>
      <c r="L1080" s="896"/>
      <c r="M1080" s="899"/>
      <c r="N1080" s="900" t="s">
        <v>2309</v>
      </c>
    </row>
    <row r="1081" spans="1:14" s="910" customFormat="1" ht="15.75" hidden="1">
      <c r="A1081" s="896"/>
      <c r="B1081" s="902" t="s">
        <v>3949</v>
      </c>
      <c r="C1081" s="903"/>
      <c r="D1081" s="954" t="s">
        <v>3875</v>
      </c>
      <c r="E1081" s="905"/>
      <c r="F1081" s="906"/>
      <c r="G1081" s="906"/>
      <c r="H1081" s="907"/>
      <c r="I1081" s="908"/>
      <c r="J1081" s="955"/>
      <c r="K1081" s="902"/>
      <c r="L1081" s="896"/>
      <c r="M1081" s="902"/>
      <c r="N1081" s="900" t="s">
        <v>2309</v>
      </c>
    </row>
    <row r="1082" spans="1:14" s="910" customFormat="1" ht="15.75" hidden="1">
      <c r="A1082" s="896"/>
      <c r="B1082" s="956"/>
      <c r="C1082" s="957">
        <v>1</v>
      </c>
      <c r="D1082" s="958" t="s">
        <v>273</v>
      </c>
      <c r="E1082" s="1268">
        <v>2</v>
      </c>
      <c r="F1082" s="960">
        <v>0</v>
      </c>
      <c r="G1082" s="960">
        <v>0</v>
      </c>
      <c r="H1082" s="960">
        <v>0</v>
      </c>
      <c r="I1082" s="1291">
        <f>ROUND(IF(AND(F1082:H1082),C1082*E1082*F1082*G1082*H1082,IF(AND(F1082,G1082),C1082*E1082*F1082*G1082,IF(AND(F1082,H1082),C1082*E1082*F1082*H1082,IF(AND(G1082,H1082),C1082*E1082*G1082*H1082,IF(F1082,C1082*E1082*F1082,IF(G1082,C1082*E1082*G1082,IF(H1082,C1082*E1082*H1082,C1082*E1082))))))),2)</f>
        <v>2</v>
      </c>
      <c r="J1082" s="955" t="s">
        <v>115</v>
      </c>
      <c r="K1082" s="902"/>
      <c r="L1082" s="896"/>
      <c r="M1082" s="902"/>
      <c r="N1082" s="900" t="s">
        <v>2309</v>
      </c>
    </row>
    <row r="1083" spans="1:14" s="910" customFormat="1" ht="15.75" hidden="1">
      <c r="A1083" s="896"/>
      <c r="B1083" s="956"/>
      <c r="C1083" s="957"/>
      <c r="D1083" s="958"/>
      <c r="E1083" s="1268"/>
      <c r="F1083" s="960"/>
      <c r="G1083" s="960"/>
      <c r="H1083" s="960"/>
      <c r="I1083" s="1291"/>
      <c r="J1083" s="955"/>
      <c r="K1083" s="902"/>
      <c r="L1083" s="896"/>
      <c r="M1083" s="902"/>
      <c r="N1083" s="900" t="s">
        <v>2309</v>
      </c>
    </row>
    <row r="1084" spans="1:14" ht="15.75" hidden="1">
      <c r="A1084" s="896"/>
      <c r="B1084" s="902"/>
      <c r="C1084" s="917"/>
      <c r="D1084" s="918"/>
      <c r="E1084" s="919"/>
      <c r="F1084" s="920"/>
      <c r="G1084" s="921"/>
      <c r="H1084" s="896"/>
      <c r="I1084" s="1291"/>
      <c r="J1084" s="955" t="s">
        <v>115</v>
      </c>
      <c r="K1084" s="922">
        <f>'door 2022-23'!H212</f>
        <v>11732.029999999999</v>
      </c>
      <c r="L1084" s="923" t="s">
        <v>275</v>
      </c>
      <c r="M1084" s="924">
        <f>ROUND(I1084*K1084,0)</f>
        <v>0</v>
      </c>
      <c r="N1084" s="900" t="s">
        <v>2309</v>
      </c>
    </row>
    <row r="1085" spans="1:14" s="1403" customFormat="1" ht="71.25" customHeight="1">
      <c r="A1085" s="1397">
        <v>6</v>
      </c>
      <c r="B1085" s="1610" t="s">
        <v>3319</v>
      </c>
      <c r="C1085" s="1610"/>
      <c r="D1085" s="1610"/>
      <c r="E1085" s="1610"/>
      <c r="F1085" s="1610"/>
      <c r="G1085" s="1610"/>
      <c r="H1085" s="1610"/>
      <c r="I1085" s="1398"/>
      <c r="J1085" s="1399"/>
      <c r="K1085" s="1397"/>
      <c r="L1085" s="1397"/>
      <c r="M1085" s="1401"/>
      <c r="N1085" s="1402" t="s">
        <v>2309</v>
      </c>
    </row>
    <row r="1086" spans="1:14" s="1411" customFormat="1" ht="15.75">
      <c r="A1086" s="1397"/>
      <c r="B1086" s="1410" t="s">
        <v>3950</v>
      </c>
      <c r="C1086" s="1417"/>
      <c r="D1086" s="1395" t="s">
        <v>4020</v>
      </c>
      <c r="E1086" s="1419"/>
      <c r="F1086" s="1420"/>
      <c r="G1086" s="1420"/>
      <c r="H1086" s="1421"/>
      <c r="I1086" s="1422"/>
      <c r="J1086" s="1423"/>
      <c r="K1086" s="1410"/>
      <c r="L1086" s="1397"/>
      <c r="M1086" s="1410"/>
      <c r="N1086" s="1402" t="s">
        <v>2309</v>
      </c>
    </row>
    <row r="1087" spans="1:14" s="1411" customFormat="1" ht="15.75">
      <c r="A1087" s="1397"/>
      <c r="B1087" s="1458"/>
      <c r="C1087" s="1459">
        <v>1</v>
      </c>
      <c r="D1087" s="1460" t="s">
        <v>273</v>
      </c>
      <c r="E1087" s="1461">
        <v>1</v>
      </c>
      <c r="F1087" s="1448">
        <v>0</v>
      </c>
      <c r="G1087" s="1448">
        <v>0</v>
      </c>
      <c r="H1087" s="1448">
        <v>0</v>
      </c>
      <c r="I1087" s="1468">
        <f>ROUND(IF(AND(F1087:H1087),C1087*E1087*F1087*G1087*H1087,IF(AND(F1087,G1087),C1087*E1087*F1087*G1087,IF(AND(F1087,H1087),C1087*E1087*F1087*H1087,IF(AND(G1087,H1087),C1087*E1087*G1087*H1087,IF(F1087,C1087*E1087*F1087,IF(G1087,C1087*E1087*G1087,IF(H1087,C1087*E1087*H1087,C1087*E1087))))))),2)</f>
        <v>1</v>
      </c>
      <c r="J1087" s="1423" t="s">
        <v>115</v>
      </c>
      <c r="K1087" s="1410"/>
      <c r="L1087" s="1397"/>
      <c r="M1087" s="1410"/>
      <c r="N1087" s="1402" t="s">
        <v>2309</v>
      </c>
    </row>
    <row r="1088" spans="1:14" s="1411" customFormat="1" ht="15.75">
      <c r="A1088" s="1397"/>
      <c r="B1088" s="1425"/>
      <c r="C1088" s="1426"/>
      <c r="D1088" s="1427"/>
      <c r="E1088" s="1428"/>
      <c r="F1088" s="1429"/>
      <c r="G1088" s="1429"/>
      <c r="H1088" s="1429"/>
      <c r="I1088" s="1430"/>
      <c r="J1088" s="1423"/>
      <c r="K1088" s="1410"/>
      <c r="L1088" s="1397"/>
      <c r="M1088" s="1410"/>
      <c r="N1088" s="1402" t="s">
        <v>2309</v>
      </c>
    </row>
    <row r="1089" spans="1:15" s="1403" customFormat="1" ht="15.75">
      <c r="A1089" s="1397"/>
      <c r="B1089" s="1410"/>
      <c r="C1089" s="1431"/>
      <c r="D1089" s="1432"/>
      <c r="E1089" s="1413"/>
      <c r="F1089" s="1414"/>
      <c r="G1089" s="1433"/>
      <c r="H1089" s="1397"/>
      <c r="I1089" s="1468">
        <f>SUM(I1087:I1088)</f>
        <v>1</v>
      </c>
      <c r="J1089" s="1423" t="s">
        <v>115</v>
      </c>
      <c r="K1089" s="1434">
        <f>'door 2022-23'!H136</f>
        <v>7651.36</v>
      </c>
      <c r="L1089" s="1400" t="s">
        <v>275</v>
      </c>
      <c r="M1089" s="1435">
        <f>ROUND(I1089*K1089,0)</f>
        <v>7651</v>
      </c>
      <c r="N1089" s="1402" t="s">
        <v>2309</v>
      </c>
    </row>
    <row r="1090" spans="1:15" s="1403" customFormat="1" ht="71.25" customHeight="1">
      <c r="A1090" s="1397">
        <v>7</v>
      </c>
      <c r="B1090" s="1610" t="s">
        <v>3944</v>
      </c>
      <c r="C1090" s="1610"/>
      <c r="D1090" s="1610"/>
      <c r="E1090" s="1610"/>
      <c r="F1090" s="1610"/>
      <c r="G1090" s="1610"/>
      <c r="H1090" s="1610"/>
      <c r="I1090" s="1398"/>
      <c r="J1090" s="1399"/>
      <c r="K1090" s="1397"/>
      <c r="L1090" s="1397"/>
      <c r="M1090" s="1401"/>
      <c r="N1090" s="1402" t="s">
        <v>2309</v>
      </c>
    </row>
    <row r="1091" spans="1:15" s="1411" customFormat="1" ht="15.75">
      <c r="A1091" s="1397"/>
      <c r="B1091" s="1410" t="s">
        <v>3955</v>
      </c>
      <c r="C1091" s="1417"/>
      <c r="D1091" s="1395" t="s">
        <v>4020</v>
      </c>
      <c r="E1091" s="1419"/>
      <c r="F1091" s="1420"/>
      <c r="G1091" s="1420"/>
      <c r="H1091" s="1421"/>
      <c r="I1091" s="1422"/>
      <c r="J1091" s="1423"/>
      <c r="K1091" s="1410"/>
      <c r="L1091" s="1397"/>
      <c r="M1091" s="1410"/>
      <c r="N1091" s="1402" t="s">
        <v>2309</v>
      </c>
    </row>
    <row r="1092" spans="1:15" s="1411" customFormat="1" ht="15.75">
      <c r="A1092" s="1397"/>
      <c r="B1092" s="1458"/>
      <c r="C1092" s="1459">
        <v>1</v>
      </c>
      <c r="D1092" s="1460" t="s">
        <v>273</v>
      </c>
      <c r="E1092" s="1461">
        <v>1</v>
      </c>
      <c r="F1092" s="1448">
        <v>0</v>
      </c>
      <c r="G1092" s="1448">
        <v>0</v>
      </c>
      <c r="H1092" s="1448">
        <v>0</v>
      </c>
      <c r="I1092" s="1468">
        <f>ROUND(IF(AND(F1092:H1092),C1092*E1092*F1092*G1092*H1092,IF(AND(F1092,G1092),C1092*E1092*F1092*G1092,IF(AND(F1092,H1092),C1092*E1092*F1092*H1092,IF(AND(G1092,H1092),C1092*E1092*G1092*H1092,IF(F1092,C1092*E1092*F1092,IF(G1092,C1092*E1092*G1092,IF(H1092,C1092*E1092*H1092,C1092*E1092))))))),2)</f>
        <v>1</v>
      </c>
      <c r="J1092" s="1423" t="s">
        <v>115</v>
      </c>
      <c r="K1092" s="1410"/>
      <c r="L1092" s="1397"/>
      <c r="M1092" s="1410"/>
      <c r="N1092" s="1402" t="s">
        <v>2309</v>
      </c>
    </row>
    <row r="1093" spans="1:15" s="1411" customFormat="1" ht="15.75">
      <c r="A1093" s="1397"/>
      <c r="B1093" s="1425"/>
      <c r="C1093" s="1426"/>
      <c r="D1093" s="1427"/>
      <c r="E1093" s="1428"/>
      <c r="F1093" s="1429"/>
      <c r="G1093" s="1429"/>
      <c r="H1093" s="1429"/>
      <c r="I1093" s="1468"/>
      <c r="J1093" s="1423"/>
      <c r="K1093" s="1410"/>
      <c r="L1093" s="1397"/>
      <c r="M1093" s="1410"/>
      <c r="N1093" s="1402" t="s">
        <v>2309</v>
      </c>
    </row>
    <row r="1094" spans="1:15" s="1403" customFormat="1" ht="15.75">
      <c r="A1094" s="1397"/>
      <c r="B1094" s="1410"/>
      <c r="C1094" s="1431"/>
      <c r="D1094" s="1432"/>
      <c r="E1094" s="1413"/>
      <c r="F1094" s="1414"/>
      <c r="G1094" s="1433"/>
      <c r="H1094" s="1397"/>
      <c r="I1094" s="1468">
        <f>SUM(I1092:I1093)</f>
        <v>1</v>
      </c>
      <c r="J1094" s="1423" t="s">
        <v>115</v>
      </c>
      <c r="K1094" s="1434">
        <f>'door 2022-23'!H155</f>
        <v>8519.25</v>
      </c>
      <c r="L1094" s="1400" t="s">
        <v>275</v>
      </c>
      <c r="M1094" s="1435">
        <f>ROUND(I1094*K1094,0)</f>
        <v>8519</v>
      </c>
      <c r="N1094" s="1402" t="s">
        <v>2309</v>
      </c>
    </row>
    <row r="1095" spans="1:15" ht="71.25" hidden="1" customHeight="1">
      <c r="A1095" s="896">
        <v>2</v>
      </c>
      <c r="B1095" s="1609" t="s">
        <v>2774</v>
      </c>
      <c r="C1095" s="1609"/>
      <c r="D1095" s="1609"/>
      <c r="E1095" s="1609"/>
      <c r="F1095" s="1609"/>
      <c r="G1095" s="1609"/>
      <c r="H1095" s="1609"/>
      <c r="I1095" s="897"/>
      <c r="J1095" s="898"/>
      <c r="K1095" s="896"/>
      <c r="L1095" s="896"/>
      <c r="M1095" s="899"/>
      <c r="N1095" s="900" t="s">
        <v>2309</v>
      </c>
    </row>
    <row r="1096" spans="1:15" s="910" customFormat="1" ht="15.75" hidden="1">
      <c r="A1096" s="896"/>
      <c r="B1096" s="902" t="s">
        <v>2754</v>
      </c>
      <c r="C1096" s="903"/>
      <c r="D1096" s="904"/>
      <c r="E1096" s="905"/>
      <c r="F1096" s="906"/>
      <c r="G1096" s="906"/>
      <c r="H1096" s="907"/>
      <c r="I1096" s="908"/>
      <c r="J1096" s="955"/>
      <c r="K1096" s="902"/>
      <c r="L1096" s="896"/>
      <c r="M1096" s="902"/>
      <c r="N1096" s="900" t="s">
        <v>2309</v>
      </c>
    </row>
    <row r="1097" spans="1:15" s="910" customFormat="1" ht="15.75" hidden="1">
      <c r="A1097" s="896"/>
      <c r="B1097" s="956"/>
      <c r="C1097" s="957">
        <v>1</v>
      </c>
      <c r="D1097" s="958" t="s">
        <v>273</v>
      </c>
      <c r="E1097" s="1268">
        <v>5</v>
      </c>
      <c r="F1097" s="960">
        <v>0</v>
      </c>
      <c r="G1097" s="960">
        <v>0</v>
      </c>
      <c r="H1097" s="960">
        <v>0</v>
      </c>
      <c r="I1097" s="1291">
        <f>ROUND(IF(AND(F1097:H1097),C1097*E1097*F1097*G1097*H1097,IF(AND(F1097,G1097),C1097*E1097*F1097*G1097,IF(AND(F1097,H1097),C1097*E1097*F1097*H1097,IF(AND(G1097,H1097),C1097*E1097*G1097*H1097,IF(F1097,C1097*E1097*F1097,IF(G1097,C1097*E1097*G1097,IF(H1097,C1097*E1097*H1097,C1097*E1097))))))),2)</f>
        <v>5</v>
      </c>
      <c r="J1097" s="955" t="s">
        <v>115</v>
      </c>
      <c r="K1097" s="902"/>
      <c r="L1097" s="896"/>
      <c r="M1097" s="902"/>
      <c r="N1097" s="900" t="s">
        <v>2309</v>
      </c>
    </row>
    <row r="1098" spans="1:15" s="910" customFormat="1" ht="15.75" hidden="1">
      <c r="A1098" s="896"/>
      <c r="B1098" s="956"/>
      <c r="C1098" s="957"/>
      <c r="D1098" s="958"/>
      <c r="E1098" s="1268"/>
      <c r="F1098" s="960"/>
      <c r="G1098" s="960"/>
      <c r="H1098" s="960"/>
      <c r="I1098" s="1291"/>
      <c r="J1098" s="955"/>
      <c r="K1098" s="902"/>
      <c r="L1098" s="896"/>
      <c r="M1098" s="902"/>
      <c r="N1098" s="900" t="s">
        <v>2309</v>
      </c>
    </row>
    <row r="1099" spans="1:15" ht="15.75" hidden="1">
      <c r="A1099" s="896"/>
      <c r="B1099" s="902"/>
      <c r="C1099" s="917"/>
      <c r="D1099" s="918"/>
      <c r="E1099" s="919"/>
      <c r="F1099" s="920"/>
      <c r="G1099" s="921"/>
      <c r="H1099" s="896"/>
      <c r="I1099" s="1291"/>
      <c r="J1099" s="955" t="s">
        <v>115</v>
      </c>
      <c r="K1099" s="922">
        <f>'door 2022-23'!H193</f>
        <v>7005.16</v>
      </c>
      <c r="L1099" s="923" t="s">
        <v>275</v>
      </c>
      <c r="M1099" s="924">
        <f>ROUND(I1099*K1099,0)</f>
        <v>0</v>
      </c>
      <c r="N1099" s="900" t="s">
        <v>2309</v>
      </c>
    </row>
    <row r="1100" spans="1:15" ht="148.5" hidden="1" customHeight="1">
      <c r="A1100" s="896">
        <v>5</v>
      </c>
      <c r="B1100" s="1609" t="s">
        <v>910</v>
      </c>
      <c r="C1100" s="1609"/>
      <c r="D1100" s="1609"/>
      <c r="E1100" s="1609"/>
      <c r="F1100" s="1609"/>
      <c r="G1100" s="1609"/>
      <c r="H1100" s="1609"/>
      <c r="I1100" s="897"/>
      <c r="J1100" s="898"/>
      <c r="K1100" s="896"/>
      <c r="L1100" s="896"/>
      <c r="M1100" s="899"/>
      <c r="N1100" s="900" t="s">
        <v>2309</v>
      </c>
    </row>
    <row r="1101" spans="1:15" s="910" customFormat="1" ht="16.5" hidden="1" customHeight="1">
      <c r="A1101" s="896"/>
      <c r="B1101" s="902" t="s">
        <v>3612</v>
      </c>
      <c r="C1101" s="903"/>
      <c r="D1101" s="954" t="s">
        <v>3647</v>
      </c>
      <c r="E1101" s="905"/>
      <c r="F1101" s="906"/>
      <c r="G1101" s="906"/>
      <c r="H1101" s="907"/>
      <c r="I1101" s="908"/>
      <c r="J1101" s="955"/>
      <c r="K1101" s="902"/>
      <c r="L1101" s="896"/>
      <c r="M1101" s="902"/>
      <c r="N1101" s="900" t="s">
        <v>2309</v>
      </c>
    </row>
    <row r="1102" spans="1:15" s="910" customFormat="1" ht="16.5" hidden="1" customHeight="1">
      <c r="A1102" s="896"/>
      <c r="B1102" s="911" t="s">
        <v>3613</v>
      </c>
      <c r="C1102" s="912">
        <v>1</v>
      </c>
      <c r="D1102" s="913" t="s">
        <v>273</v>
      </c>
      <c r="E1102" s="914">
        <v>1</v>
      </c>
      <c r="F1102" s="915">
        <v>0.8</v>
      </c>
      <c r="G1102" s="915">
        <v>0</v>
      </c>
      <c r="H1102" s="915">
        <v>2.1</v>
      </c>
      <c r="I1102" s="916">
        <f>ROUND(IF(AND(F1102:H1102),C1102*E1102*F1102*G1102*H1102,IF(AND(F1102,G1102),C1102*E1102*F1102*G1102,IF(AND(F1102,H1102),C1102*E1102*F1102*H1102,IF(AND(G1102,H1102),C1102*E1102*G1102*H1102,IF(F1102,C1102*E1102*F1102,IF(G1102,C1102*E1102*G1102,IF(H1102,C1102*E1102*H1102,C1102*E1102))))))),2)</f>
        <v>1.68</v>
      </c>
      <c r="J1102" s="955" t="s">
        <v>102</v>
      </c>
      <c r="K1102" s="902"/>
      <c r="L1102" s="896"/>
      <c r="M1102" s="902"/>
      <c r="N1102" s="900" t="s">
        <v>2309</v>
      </c>
      <c r="O1102" s="1268">
        <v>2</v>
      </c>
    </row>
    <row r="1103" spans="1:15" s="910" customFormat="1" ht="16.5" hidden="1" customHeight="1">
      <c r="A1103" s="896"/>
      <c r="B1103" s="911" t="s">
        <v>2450</v>
      </c>
      <c r="C1103" s="912">
        <v>1</v>
      </c>
      <c r="D1103" s="913" t="s">
        <v>273</v>
      </c>
      <c r="E1103" s="914">
        <v>2</v>
      </c>
      <c r="F1103" s="915">
        <v>0.8</v>
      </c>
      <c r="G1103" s="915">
        <v>0</v>
      </c>
      <c r="H1103" s="915">
        <v>1.9</v>
      </c>
      <c r="I1103" s="916">
        <f>ROUND(IF(AND(F1103:H1103),C1103*E1103*F1103*G1103*H1103,IF(AND(F1103,G1103),C1103*E1103*F1103*G1103,IF(AND(F1103,H1103),C1103*E1103*F1103*H1103,IF(AND(G1103,H1103),C1103*E1103*G1103*H1103,IF(F1103,C1103*E1103*F1103,IF(G1103,C1103*E1103*G1103,IF(H1103,C1103*E1103*H1103,C1103*E1103))))))),2)</f>
        <v>3.04</v>
      </c>
      <c r="J1103" s="955" t="s">
        <v>102</v>
      </c>
      <c r="K1103" s="902"/>
      <c r="L1103" s="896"/>
      <c r="M1103" s="902"/>
      <c r="N1103" s="900" t="s">
        <v>2309</v>
      </c>
      <c r="O1103" s="1268">
        <v>2</v>
      </c>
    </row>
    <row r="1104" spans="1:15" s="910" customFormat="1" ht="16.5" hidden="1" customHeight="1">
      <c r="A1104" s="896"/>
      <c r="B1104" s="911" t="s">
        <v>3614</v>
      </c>
      <c r="C1104" s="912">
        <v>1</v>
      </c>
      <c r="D1104" s="913" t="s">
        <v>273</v>
      </c>
      <c r="E1104" s="914">
        <v>1</v>
      </c>
      <c r="F1104" s="915">
        <v>1</v>
      </c>
      <c r="G1104" s="915">
        <v>0</v>
      </c>
      <c r="H1104" s="915">
        <v>2.1</v>
      </c>
      <c r="I1104" s="916">
        <f>ROUND(IF(AND(F1104:H1104),C1104*E1104*F1104*G1104*H1104,IF(AND(F1104,G1104),C1104*E1104*F1104*G1104,IF(AND(F1104,H1104),C1104*E1104*F1104*H1104,IF(AND(G1104,H1104),C1104*E1104*G1104*H1104,IF(F1104,C1104*E1104*F1104,IF(G1104,C1104*E1104*G1104,IF(H1104,C1104*E1104*H1104,C1104*E1104))))))),2)</f>
        <v>2.1</v>
      </c>
      <c r="J1104" s="955" t="s">
        <v>102</v>
      </c>
      <c r="K1104" s="902"/>
      <c r="L1104" s="896"/>
      <c r="M1104" s="902"/>
      <c r="N1104" s="900" t="s">
        <v>2309</v>
      </c>
      <c r="O1104" s="1268">
        <v>2</v>
      </c>
    </row>
    <row r="1105" spans="1:15" s="910" customFormat="1" ht="16.5" hidden="1" customHeight="1">
      <c r="A1105" s="896"/>
      <c r="B1105" s="956"/>
      <c r="C1105" s="957"/>
      <c r="D1105" s="958"/>
      <c r="E1105" s="1268"/>
      <c r="F1105" s="960"/>
      <c r="G1105" s="960"/>
      <c r="H1105" s="960"/>
      <c r="I1105" s="916"/>
      <c r="J1105" s="955"/>
      <c r="K1105" s="902"/>
      <c r="L1105" s="896"/>
      <c r="M1105" s="902"/>
      <c r="N1105" s="900" t="s">
        <v>2309</v>
      </c>
      <c r="O1105" s="1268"/>
    </row>
    <row r="1106" spans="1:15" ht="15.75" hidden="1">
      <c r="A1106" s="896"/>
      <c r="B1106" s="902"/>
      <c r="C1106" s="917"/>
      <c r="D1106" s="918"/>
      <c r="E1106" s="919"/>
      <c r="F1106" s="920"/>
      <c r="G1106" s="921"/>
      <c r="H1106" s="896"/>
      <c r="I1106" s="916"/>
      <c r="J1106" s="955" t="s">
        <v>102</v>
      </c>
      <c r="K1106" s="922">
        <f>'door 2022-23'!H236</f>
        <v>6846.88</v>
      </c>
      <c r="L1106" s="923" t="s">
        <v>2419</v>
      </c>
      <c r="M1106" s="924">
        <f>ROUND(I1106*K1106,0)</f>
        <v>0</v>
      </c>
      <c r="N1106" s="900" t="s">
        <v>2309</v>
      </c>
    </row>
    <row r="1107" spans="1:15" ht="148.5" hidden="1" customHeight="1">
      <c r="A1107" s="896">
        <v>11</v>
      </c>
      <c r="B1107" s="1609" t="s">
        <v>910</v>
      </c>
      <c r="C1107" s="1609"/>
      <c r="D1107" s="1609"/>
      <c r="E1107" s="1609"/>
      <c r="F1107" s="1609"/>
      <c r="G1107" s="1609"/>
      <c r="H1107" s="1609"/>
      <c r="I1107" s="897"/>
      <c r="J1107" s="898"/>
      <c r="K1107" s="896"/>
      <c r="L1107" s="896"/>
      <c r="M1107" s="899"/>
      <c r="N1107" s="900" t="s">
        <v>2309</v>
      </c>
    </row>
    <row r="1108" spans="1:15" s="910" customFormat="1" ht="16.5" hidden="1" customHeight="1">
      <c r="A1108" s="896"/>
      <c r="B1108" s="902" t="s">
        <v>2524</v>
      </c>
      <c r="C1108" s="903"/>
      <c r="D1108" s="904"/>
      <c r="E1108" s="905"/>
      <c r="F1108" s="906"/>
      <c r="G1108" s="906"/>
      <c r="H1108" s="907"/>
      <c r="I1108" s="908"/>
      <c r="J1108" s="955"/>
      <c r="K1108" s="902"/>
      <c r="L1108" s="896"/>
      <c r="M1108" s="902"/>
      <c r="N1108" s="900" t="s">
        <v>2309</v>
      </c>
    </row>
    <row r="1109" spans="1:15" s="910" customFormat="1" ht="16.5" hidden="1" customHeight="1">
      <c r="A1109" s="896"/>
      <c r="B1109" s="911" t="s">
        <v>2450</v>
      </c>
      <c r="C1109" s="912">
        <v>1</v>
      </c>
      <c r="D1109" s="913" t="s">
        <v>273</v>
      </c>
      <c r="E1109" s="914">
        <v>1</v>
      </c>
      <c r="F1109" s="915">
        <v>0.81</v>
      </c>
      <c r="G1109" s="915">
        <v>0</v>
      </c>
      <c r="H1109" s="915">
        <v>2.0499999999999998</v>
      </c>
      <c r="I1109" s="916">
        <f>ROUND(IF(AND(F1109:H1109),C1109*E1109*F1109*G1109*H1109,IF(AND(F1109,G1109),C1109*E1109*F1109*G1109,IF(AND(F1109,H1109),C1109*E1109*F1109*H1109,IF(AND(G1109,H1109),C1109*E1109*G1109*H1109,IF(F1109,C1109*E1109*F1109,IF(G1109,C1109*E1109*G1109,IF(H1109,C1109*E1109*H1109,C1109*E1109))))))),2)</f>
        <v>1.66</v>
      </c>
      <c r="J1109" s="955" t="s">
        <v>102</v>
      </c>
      <c r="K1109" s="902"/>
      <c r="L1109" s="896"/>
      <c r="M1109" s="902"/>
      <c r="N1109" s="900" t="s">
        <v>2309</v>
      </c>
      <c r="O1109" s="1268">
        <v>2</v>
      </c>
    </row>
    <row r="1110" spans="1:15" s="910" customFormat="1" ht="16.5" hidden="1" customHeight="1">
      <c r="A1110" s="896"/>
      <c r="B1110" s="911" t="s">
        <v>2450</v>
      </c>
      <c r="C1110" s="912">
        <v>1</v>
      </c>
      <c r="D1110" s="913" t="s">
        <v>273</v>
      </c>
      <c r="E1110" s="914">
        <v>1</v>
      </c>
      <c r="F1110" s="915">
        <v>0.83</v>
      </c>
      <c r="G1110" s="915">
        <v>0</v>
      </c>
      <c r="H1110" s="915">
        <v>1.98</v>
      </c>
      <c r="I1110" s="916">
        <f>ROUND(IF(AND(F1110:H1110),C1110*E1110*F1110*G1110*H1110,IF(AND(F1110,G1110),C1110*E1110*F1110*G1110,IF(AND(F1110,H1110),C1110*E1110*F1110*H1110,IF(AND(G1110,H1110),C1110*E1110*G1110*H1110,IF(F1110,C1110*E1110*F1110,IF(G1110,C1110*E1110*G1110,IF(H1110,C1110*E1110*H1110,C1110*E1110))))))),2)</f>
        <v>1.64</v>
      </c>
      <c r="J1110" s="955" t="s">
        <v>102</v>
      </c>
      <c r="K1110" s="902"/>
      <c r="L1110" s="896"/>
      <c r="M1110" s="902"/>
      <c r="N1110" s="900" t="s">
        <v>2309</v>
      </c>
      <c r="O1110" s="1268">
        <v>2</v>
      </c>
    </row>
    <row r="1111" spans="1:15" s="910" customFormat="1" ht="16.5" hidden="1" customHeight="1">
      <c r="A1111" s="896"/>
      <c r="B1111" s="911"/>
      <c r="C1111" s="912"/>
      <c r="D1111" s="913"/>
      <c r="E1111" s="914"/>
      <c r="F1111" s="915"/>
      <c r="G1111" s="915"/>
      <c r="H1111" s="915"/>
      <c r="I1111" s="916"/>
      <c r="J1111" s="955"/>
      <c r="K1111" s="902"/>
      <c r="L1111" s="896"/>
      <c r="M1111" s="902"/>
      <c r="N1111" s="900" t="s">
        <v>2309</v>
      </c>
      <c r="O1111" s="1303"/>
    </row>
    <row r="1112" spans="1:15" ht="15.75" hidden="1">
      <c r="A1112" s="896"/>
      <c r="B1112" s="902"/>
      <c r="C1112" s="917"/>
      <c r="D1112" s="918"/>
      <c r="E1112" s="919"/>
      <c r="F1112" s="920"/>
      <c r="G1112" s="921"/>
      <c r="H1112" s="896"/>
      <c r="I1112" s="916"/>
      <c r="J1112" s="955" t="s">
        <v>102</v>
      </c>
      <c r="K1112" s="922">
        <f>'door 2022-23'!H248</f>
        <v>6132.48</v>
      </c>
      <c r="L1112" s="923" t="s">
        <v>2419</v>
      </c>
      <c r="M1112" s="924">
        <f>ROUND(I1112*K1112,0)</f>
        <v>0</v>
      </c>
      <c r="N1112" s="900" t="s">
        <v>2309</v>
      </c>
    </row>
    <row r="1113" spans="1:15" ht="70.5" hidden="1" customHeight="1">
      <c r="A1113" s="896">
        <v>11</v>
      </c>
      <c r="B1113" s="1609" t="s">
        <v>2452</v>
      </c>
      <c r="C1113" s="1609"/>
      <c r="D1113" s="1609"/>
      <c r="E1113" s="1609"/>
      <c r="F1113" s="1609"/>
      <c r="G1113" s="1609"/>
      <c r="H1113" s="1609"/>
      <c r="I1113" s="897"/>
      <c r="J1113" s="898"/>
      <c r="K1113" s="896"/>
      <c r="L1113" s="896"/>
      <c r="M1113" s="899"/>
      <c r="N1113" s="900" t="s">
        <v>2309</v>
      </c>
    </row>
    <row r="1114" spans="1:15" s="910" customFormat="1" ht="16.5" hidden="1" customHeight="1">
      <c r="A1114" s="896"/>
      <c r="B1114" s="902" t="s">
        <v>2524</v>
      </c>
      <c r="C1114" s="903"/>
      <c r="D1114" s="904"/>
      <c r="E1114" s="905"/>
      <c r="F1114" s="906"/>
      <c r="G1114" s="906"/>
      <c r="H1114" s="907"/>
      <c r="I1114" s="908"/>
      <c r="J1114" s="955"/>
      <c r="K1114" s="902"/>
      <c r="L1114" s="896"/>
      <c r="M1114" s="902"/>
      <c r="N1114" s="900" t="s">
        <v>2309</v>
      </c>
    </row>
    <row r="1115" spans="1:15" s="910" customFormat="1" ht="16.5" hidden="1" customHeight="1">
      <c r="A1115" s="896"/>
      <c r="B1115" s="911" t="s">
        <v>2450</v>
      </c>
      <c r="C1115" s="912">
        <v>1</v>
      </c>
      <c r="D1115" s="913" t="s">
        <v>273</v>
      </c>
      <c r="E1115" s="914">
        <v>1</v>
      </c>
      <c r="F1115" s="915">
        <v>0.81</v>
      </c>
      <c r="G1115" s="915">
        <v>0</v>
      </c>
      <c r="H1115" s="915">
        <v>2.0499999999999998</v>
      </c>
      <c r="I1115" s="916">
        <f>ROUND(IF(AND(F1115:H1115),C1115*E1115*F1115*G1115*H1115,IF(AND(F1115,G1115),C1115*E1115*F1115*G1115,IF(AND(F1115,H1115),C1115*E1115*F1115*H1115,IF(AND(G1115,H1115),C1115*E1115*G1115*H1115,IF(F1115,C1115*E1115*F1115,IF(G1115,C1115*E1115*G1115,IF(H1115,C1115*E1115*H1115,C1115*E1115))))))),2)</f>
        <v>1.66</v>
      </c>
      <c r="J1115" s="955" t="s">
        <v>102</v>
      </c>
      <c r="K1115" s="902"/>
      <c r="L1115" s="896"/>
      <c r="M1115" s="902"/>
      <c r="N1115" s="900" t="s">
        <v>2309</v>
      </c>
      <c r="O1115" s="1268">
        <v>2</v>
      </c>
    </row>
    <row r="1116" spans="1:15" s="910" customFormat="1" ht="16.5" hidden="1" customHeight="1">
      <c r="A1116" s="896"/>
      <c r="B1116" s="911" t="s">
        <v>2450</v>
      </c>
      <c r="C1116" s="912">
        <v>1</v>
      </c>
      <c r="D1116" s="913" t="s">
        <v>273</v>
      </c>
      <c r="E1116" s="914">
        <v>1</v>
      </c>
      <c r="F1116" s="915">
        <v>0.83</v>
      </c>
      <c r="G1116" s="915">
        <v>0</v>
      </c>
      <c r="H1116" s="915">
        <v>1.98</v>
      </c>
      <c r="I1116" s="916">
        <f>ROUND(IF(AND(F1116:H1116),C1116*E1116*F1116*G1116*H1116,IF(AND(F1116,G1116),C1116*E1116*F1116*G1116,IF(AND(F1116,H1116),C1116*E1116*F1116*H1116,IF(AND(G1116,H1116),C1116*E1116*G1116*H1116,IF(F1116,C1116*E1116*F1116,IF(G1116,C1116*E1116*G1116,IF(H1116,C1116*E1116*H1116,C1116*E1116))))))),2)</f>
        <v>1.64</v>
      </c>
      <c r="J1116" s="955" t="s">
        <v>102</v>
      </c>
      <c r="K1116" s="902"/>
      <c r="L1116" s="896"/>
      <c r="M1116" s="902"/>
      <c r="N1116" s="900" t="s">
        <v>2309</v>
      </c>
      <c r="O1116" s="1268">
        <v>2</v>
      </c>
    </row>
    <row r="1117" spans="1:15" s="910" customFormat="1" ht="16.5" hidden="1" customHeight="1">
      <c r="A1117" s="896"/>
      <c r="B1117" s="911"/>
      <c r="C1117" s="912"/>
      <c r="D1117" s="913"/>
      <c r="E1117" s="914"/>
      <c r="F1117" s="915"/>
      <c r="G1117" s="915"/>
      <c r="H1117" s="915"/>
      <c r="I1117" s="916"/>
      <c r="J1117" s="955"/>
      <c r="K1117" s="902"/>
      <c r="L1117" s="896"/>
      <c r="M1117" s="902"/>
      <c r="N1117" s="900" t="s">
        <v>2309</v>
      </c>
      <c r="O1117" s="1303"/>
    </row>
    <row r="1118" spans="1:15" ht="15.75" hidden="1">
      <c r="A1118" s="896"/>
      <c r="B1118" s="902"/>
      <c r="C1118" s="917"/>
      <c r="D1118" s="918"/>
      <c r="E1118" s="919"/>
      <c r="F1118" s="920"/>
      <c r="G1118" s="921"/>
      <c r="H1118" s="896"/>
      <c r="I1118" s="916"/>
      <c r="J1118" s="955" t="s">
        <v>102</v>
      </c>
      <c r="K1118" s="922">
        <f>'door 2022-23'!H258</f>
        <v>4105.7700000000004</v>
      </c>
      <c r="L1118" s="923" t="s">
        <v>2419</v>
      </c>
      <c r="M1118" s="924">
        <f>ROUND(I1118*K1118,0)</f>
        <v>0</v>
      </c>
      <c r="N1118" s="900" t="s">
        <v>2309</v>
      </c>
    </row>
    <row r="1119" spans="1:15" s="1403" customFormat="1" ht="148.5" customHeight="1">
      <c r="A1119" s="1397">
        <v>8</v>
      </c>
      <c r="B1119" s="1646" t="s">
        <v>3615</v>
      </c>
      <c r="C1119" s="1646"/>
      <c r="D1119" s="1646"/>
      <c r="E1119" s="1646"/>
      <c r="F1119" s="1646"/>
      <c r="G1119" s="1646"/>
      <c r="H1119" s="1646"/>
      <c r="I1119" s="1398"/>
      <c r="J1119" s="1399"/>
      <c r="K1119" s="1397"/>
      <c r="L1119" s="1397"/>
      <c r="M1119" s="1401"/>
      <c r="N1119" s="1402" t="s">
        <v>2309</v>
      </c>
    </row>
    <row r="1120" spans="1:15" s="1411" customFormat="1" ht="16.5" customHeight="1">
      <c r="A1120" s="1397"/>
      <c r="B1120" s="1410" t="s">
        <v>3956</v>
      </c>
      <c r="C1120" s="1417"/>
      <c r="D1120" s="1395" t="s">
        <v>4020</v>
      </c>
      <c r="E1120" s="1419"/>
      <c r="F1120" s="1420"/>
      <c r="G1120" s="1420"/>
      <c r="H1120" s="1421"/>
      <c r="I1120" s="1422"/>
      <c r="J1120" s="1423"/>
      <c r="K1120" s="1410"/>
      <c r="L1120" s="1397"/>
      <c r="M1120" s="1410"/>
      <c r="N1120" s="1402" t="s">
        <v>2309</v>
      </c>
    </row>
    <row r="1121" spans="1:16" s="1411" customFormat="1" ht="16.5" customHeight="1">
      <c r="A1121" s="1397"/>
      <c r="B1121" s="1458"/>
      <c r="C1121" s="1459">
        <v>1</v>
      </c>
      <c r="D1121" s="1460" t="s">
        <v>273</v>
      </c>
      <c r="E1121" s="1461">
        <v>4</v>
      </c>
      <c r="F1121" s="1448">
        <v>1.2</v>
      </c>
      <c r="G1121" s="1448">
        <v>0</v>
      </c>
      <c r="H1121" s="1448">
        <v>1.2</v>
      </c>
      <c r="I1121" s="1430">
        <f>ROUND(IF(AND(F1121:H1121),C1121*E1121*F1121*G1121*H1121,IF(AND(F1121,G1121),C1121*E1121*F1121*G1121,IF(AND(F1121,H1121),C1121*E1121*F1121*H1121,IF(AND(G1121,H1121),C1121*E1121*G1121*H1121,IF(F1121,C1121*E1121*F1121,IF(G1121,C1121*E1121*G1121,IF(H1121,C1121*E1121*H1121,C1121*E1121))))))),2)</f>
        <v>5.76</v>
      </c>
      <c r="J1121" s="1423" t="s">
        <v>102</v>
      </c>
      <c r="K1121" s="1410"/>
      <c r="L1121" s="1397"/>
      <c r="M1121" s="1410"/>
      <c r="N1121" s="1402" t="s">
        <v>2309</v>
      </c>
    </row>
    <row r="1122" spans="1:16" s="1411" customFormat="1" ht="16.5" customHeight="1">
      <c r="A1122" s="1397"/>
      <c r="B1122" s="1425"/>
      <c r="C1122" s="1426"/>
      <c r="D1122" s="1427"/>
      <c r="E1122" s="1428"/>
      <c r="F1122" s="1429"/>
      <c r="G1122" s="1429"/>
      <c r="H1122" s="1429"/>
      <c r="I1122" s="1430"/>
      <c r="J1122" s="1423"/>
      <c r="K1122" s="1410"/>
      <c r="L1122" s="1397"/>
      <c r="M1122" s="1410"/>
      <c r="N1122" s="1402" t="s">
        <v>2309</v>
      </c>
      <c r="P1122" s="1469">
        <f>N1575</f>
        <v>12299</v>
      </c>
    </row>
    <row r="1123" spans="1:16" s="1403" customFormat="1" ht="15.75">
      <c r="A1123" s="1397"/>
      <c r="B1123" s="1410"/>
      <c r="C1123" s="1431"/>
      <c r="D1123" s="1432"/>
      <c r="E1123" s="1413"/>
      <c r="F1123" s="1414"/>
      <c r="G1123" s="1433"/>
      <c r="H1123" s="1397"/>
      <c r="I1123" s="1430">
        <f>SUM(I1121:I1122)</f>
        <v>5.76</v>
      </c>
      <c r="J1123" s="1423" t="s">
        <v>102</v>
      </c>
      <c r="K1123" s="1434">
        <f>'door 2022-23'!H263</f>
        <v>8622</v>
      </c>
      <c r="L1123" s="1400" t="s">
        <v>2419</v>
      </c>
      <c r="M1123" s="1435">
        <f>ROUND(I1123*K1123,0)</f>
        <v>49663</v>
      </c>
      <c r="N1123" s="1402" t="s">
        <v>2309</v>
      </c>
    </row>
    <row r="1124" spans="1:16" s="910" customFormat="1" ht="16.5" hidden="1" customHeight="1">
      <c r="A1124" s="896">
        <v>6</v>
      </c>
      <c r="B1124" s="902" t="s">
        <v>3421</v>
      </c>
      <c r="C1124" s="903" t="s">
        <v>1549</v>
      </c>
      <c r="D1124" s="904"/>
      <c r="E1124" s="905"/>
      <c r="F1124" s="906"/>
      <c r="G1124" s="906"/>
      <c r="H1124" s="907"/>
      <c r="I1124" s="908"/>
      <c r="J1124" s="955"/>
      <c r="K1124" s="902"/>
      <c r="L1124" s="896"/>
      <c r="M1124" s="902"/>
      <c r="N1124" s="900" t="s">
        <v>2309</v>
      </c>
    </row>
    <row r="1125" spans="1:16" s="910" customFormat="1" ht="16.5" hidden="1" customHeight="1">
      <c r="A1125" s="896"/>
      <c r="B1125" s="911"/>
      <c r="C1125" s="912">
        <v>1</v>
      </c>
      <c r="D1125" s="913" t="s">
        <v>273</v>
      </c>
      <c r="E1125" s="914">
        <v>2</v>
      </c>
      <c r="F1125" s="915">
        <v>1.5</v>
      </c>
      <c r="G1125" s="915">
        <v>0</v>
      </c>
      <c r="H1125" s="915">
        <v>1.35</v>
      </c>
      <c r="I1125" s="916">
        <f>ROUND(IF(AND(F1125:H1125),C1125*E1125*F1125*G1125*H1125,IF(AND(F1125,G1125),C1125*E1125*F1125*G1125,IF(AND(F1125,H1125),C1125*E1125*F1125*H1125,IF(AND(G1125,H1125),C1125*E1125*G1125*H1125,IF(F1125,C1125*E1125*F1125,IF(G1125,C1125*E1125*G1125,IF(H1125,C1125*E1125*H1125,C1125*E1125))))))),2)</f>
        <v>4.05</v>
      </c>
      <c r="J1125" s="955" t="s">
        <v>102</v>
      </c>
      <c r="K1125" s="902"/>
      <c r="L1125" s="896"/>
      <c r="M1125" s="902"/>
      <c r="N1125" s="900" t="s">
        <v>2309</v>
      </c>
    </row>
    <row r="1126" spans="1:16" s="910" customFormat="1" ht="16.5" hidden="1" customHeight="1">
      <c r="A1126" s="896"/>
      <c r="B1126" s="956"/>
      <c r="C1126" s="957"/>
      <c r="D1126" s="958"/>
      <c r="E1126" s="1268"/>
      <c r="F1126" s="960"/>
      <c r="G1126" s="960"/>
      <c r="H1126" s="960"/>
      <c r="I1126" s="916"/>
      <c r="J1126" s="955"/>
      <c r="K1126" s="902"/>
      <c r="L1126" s="896"/>
      <c r="M1126" s="902"/>
      <c r="N1126" s="900" t="s">
        <v>2309</v>
      </c>
    </row>
    <row r="1127" spans="1:16" ht="15.75" hidden="1">
      <c r="A1127" s="896"/>
      <c r="B1127" s="902"/>
      <c r="C1127" s="917"/>
      <c r="D1127" s="918"/>
      <c r="E1127" s="919"/>
      <c r="F1127" s="920"/>
      <c r="G1127" s="921"/>
      <c r="H1127" s="896"/>
      <c r="I1127" s="916"/>
      <c r="J1127" s="955" t="s">
        <v>102</v>
      </c>
      <c r="K1127" s="922">
        <f>'door 2022-23'!H261</f>
        <v>6460</v>
      </c>
      <c r="L1127" s="923" t="s">
        <v>2419</v>
      </c>
      <c r="M1127" s="924">
        <f>ROUND(I1127*K1127,0)</f>
        <v>0</v>
      </c>
      <c r="N1127" s="900" t="s">
        <v>2309</v>
      </c>
    </row>
    <row r="1128" spans="1:16" s="910" customFormat="1" ht="16.5" hidden="1" customHeight="1">
      <c r="A1128" s="896">
        <v>3</v>
      </c>
      <c r="B1128" s="1212" t="s">
        <v>3422</v>
      </c>
      <c r="C1128" s="903" t="s">
        <v>1633</v>
      </c>
      <c r="D1128" s="904"/>
      <c r="E1128" s="905"/>
      <c r="F1128" s="906"/>
      <c r="G1128" s="906"/>
      <c r="H1128" s="907"/>
      <c r="I1128" s="908"/>
      <c r="J1128" s="955"/>
      <c r="K1128" s="902"/>
      <c r="L1128" s="896"/>
      <c r="M1128" s="902"/>
      <c r="N1128" s="900" t="s">
        <v>2309</v>
      </c>
    </row>
    <row r="1129" spans="1:16" s="910" customFormat="1" ht="16.5" hidden="1" customHeight="1">
      <c r="A1129" s="896"/>
      <c r="B1129" s="956"/>
      <c r="C1129" s="957">
        <v>1</v>
      </c>
      <c r="D1129" s="958" t="s">
        <v>273</v>
      </c>
      <c r="E1129" s="1268">
        <v>1</v>
      </c>
      <c r="F1129" s="960">
        <v>1.51</v>
      </c>
      <c r="G1129" s="960">
        <v>0</v>
      </c>
      <c r="H1129" s="960">
        <v>1.2</v>
      </c>
      <c r="I1129" s="916">
        <f>ROUND(IF(AND(F1129:H1129),C1129*E1129*F1129*G1129*H1129,IF(AND(F1129,G1129),C1129*E1129*F1129*G1129,IF(AND(F1129,H1129),C1129*E1129*F1129*H1129,IF(AND(G1129,H1129),C1129*E1129*G1129*H1129,IF(F1129,C1129*E1129*F1129,IF(G1129,C1129*E1129*G1129,IF(H1129,C1129*E1129*H1129,C1129*E1129))))))),2)</f>
        <v>1.81</v>
      </c>
      <c r="J1129" s="955" t="s">
        <v>102</v>
      </c>
      <c r="K1129" s="902"/>
      <c r="L1129" s="896"/>
      <c r="M1129" s="902"/>
      <c r="N1129" s="900" t="s">
        <v>2309</v>
      </c>
      <c r="O1129" s="1268">
        <v>1</v>
      </c>
    </row>
    <row r="1130" spans="1:16" s="910" customFormat="1" ht="16.5" hidden="1" customHeight="1">
      <c r="A1130" s="896"/>
      <c r="B1130" s="956"/>
      <c r="C1130" s="957"/>
      <c r="D1130" s="958"/>
      <c r="E1130" s="1268"/>
      <c r="F1130" s="960"/>
      <c r="G1130" s="960"/>
      <c r="H1130" s="960"/>
      <c r="I1130" s="916"/>
      <c r="J1130" s="955"/>
      <c r="K1130" s="902"/>
      <c r="L1130" s="896"/>
      <c r="M1130" s="902"/>
      <c r="N1130" s="900" t="s">
        <v>2309</v>
      </c>
      <c r="O1130" s="1268"/>
    </row>
    <row r="1131" spans="1:16" ht="15.75" hidden="1">
      <c r="A1131" s="896"/>
      <c r="B1131" s="902"/>
      <c r="C1131" s="917"/>
      <c r="D1131" s="918"/>
      <c r="E1131" s="919"/>
      <c r="F1131" s="920"/>
      <c r="G1131" s="921"/>
      <c r="H1131" s="896"/>
      <c r="I1131" s="916"/>
      <c r="J1131" s="955" t="s">
        <v>102</v>
      </c>
      <c r="K1131" s="922">
        <f>'door 2022-23'!H265</f>
        <v>6238</v>
      </c>
      <c r="L1131" s="923" t="s">
        <v>2419</v>
      </c>
      <c r="M1131" s="924">
        <f>ROUND(I1131*K1131,0)</f>
        <v>0</v>
      </c>
      <c r="N1131" s="900" t="s">
        <v>2309</v>
      </c>
    </row>
    <row r="1132" spans="1:16" ht="27" hidden="1" customHeight="1">
      <c r="A1132" s="896">
        <v>6</v>
      </c>
      <c r="B1132" s="1609" t="s">
        <v>2284</v>
      </c>
      <c r="C1132" s="1609"/>
      <c r="D1132" s="1609"/>
      <c r="E1132" s="1609"/>
      <c r="F1132" s="1609"/>
      <c r="G1132" s="1609"/>
      <c r="H1132" s="1609"/>
      <c r="I1132" s="897"/>
      <c r="J1132" s="898"/>
      <c r="K1132" s="896"/>
      <c r="L1132" s="896"/>
      <c r="M1132" s="899"/>
      <c r="N1132" s="900" t="s">
        <v>2309</v>
      </c>
    </row>
    <row r="1133" spans="1:16" s="910" customFormat="1" ht="16.5" hidden="1" customHeight="1">
      <c r="A1133" s="896"/>
      <c r="B1133" s="980" t="s">
        <v>3423</v>
      </c>
      <c r="C1133" s="903"/>
      <c r="D1133" s="904"/>
      <c r="E1133" s="905"/>
      <c r="F1133" s="906"/>
      <c r="G1133" s="906"/>
      <c r="H1133" s="907"/>
      <c r="I1133" s="908"/>
      <c r="J1133" s="955"/>
      <c r="K1133" s="902"/>
      <c r="L1133" s="896"/>
      <c r="M1133" s="902"/>
      <c r="N1133" s="900" t="s">
        <v>2309</v>
      </c>
    </row>
    <row r="1134" spans="1:16" s="910" customFormat="1" ht="16.5" hidden="1" customHeight="1">
      <c r="A1134" s="896"/>
      <c r="B1134" s="956"/>
      <c r="C1134" s="957">
        <v>1</v>
      </c>
      <c r="D1134" s="958" t="s">
        <v>273</v>
      </c>
      <c r="E1134" s="1268">
        <v>1</v>
      </c>
      <c r="F1134" s="960">
        <v>1.2</v>
      </c>
      <c r="G1134" s="960">
        <v>0</v>
      </c>
      <c r="H1134" s="960">
        <v>0.3</v>
      </c>
      <c r="I1134" s="916">
        <f>ROUND(IF(AND(F1134:H1134),C1134*E1134*F1134*G1134*H1134,IF(AND(F1134,G1134),C1134*E1134*F1134*G1134,IF(AND(F1134,H1134),C1134*E1134*F1134*H1134,IF(AND(G1134,H1134),C1134*E1134*G1134*H1134,IF(F1134,C1134*E1134*F1134,IF(G1134,C1134*E1134*G1134,IF(H1134,C1134*E1134*H1134,C1134*E1134))))))),2)</f>
        <v>0.36</v>
      </c>
      <c r="J1134" s="955" t="s">
        <v>102</v>
      </c>
      <c r="K1134" s="902"/>
      <c r="L1134" s="896"/>
      <c r="M1134" s="902"/>
      <c r="N1134" s="900" t="s">
        <v>2309</v>
      </c>
    </row>
    <row r="1135" spans="1:16" s="910" customFormat="1" ht="16.5" hidden="1" customHeight="1">
      <c r="A1135" s="896"/>
      <c r="B1135" s="956"/>
      <c r="C1135" s="957"/>
      <c r="D1135" s="958"/>
      <c r="E1135" s="1268"/>
      <c r="F1135" s="960"/>
      <c r="G1135" s="960"/>
      <c r="H1135" s="960"/>
      <c r="I1135" s="916"/>
      <c r="J1135" s="955"/>
      <c r="K1135" s="902"/>
      <c r="L1135" s="896"/>
      <c r="M1135" s="902"/>
      <c r="N1135" s="900" t="s">
        <v>2309</v>
      </c>
    </row>
    <row r="1136" spans="1:16" ht="15.75" hidden="1">
      <c r="A1136" s="896"/>
      <c r="B1136" s="902"/>
      <c r="C1136" s="917"/>
      <c r="D1136" s="918"/>
      <c r="E1136" s="919"/>
      <c r="F1136" s="920"/>
      <c r="G1136" s="921"/>
      <c r="H1136" s="896"/>
      <c r="I1136" s="916"/>
      <c r="J1136" s="955" t="s">
        <v>102</v>
      </c>
      <c r="K1136" s="922">
        <f>'door 2022-23'!H268</f>
        <v>4062</v>
      </c>
      <c r="L1136" s="923" t="s">
        <v>2419</v>
      </c>
      <c r="M1136" s="924">
        <f>ROUND(I1136*K1136,0)</f>
        <v>0</v>
      </c>
      <c r="N1136" s="900" t="s">
        <v>2309</v>
      </c>
    </row>
    <row r="1137" spans="1:14" ht="27" hidden="1" customHeight="1">
      <c r="A1137" s="896">
        <v>6</v>
      </c>
      <c r="B1137" s="1609" t="s">
        <v>1199</v>
      </c>
      <c r="C1137" s="1609"/>
      <c r="D1137" s="1609"/>
      <c r="E1137" s="1609"/>
      <c r="F1137" s="1609"/>
      <c r="G1137" s="1609"/>
      <c r="H1137" s="1609"/>
      <c r="I1137" s="897"/>
      <c r="J1137" s="898"/>
      <c r="K1137" s="896"/>
      <c r="L1137" s="896"/>
      <c r="M1137" s="899"/>
      <c r="N1137" s="900" t="s">
        <v>2309</v>
      </c>
    </row>
    <row r="1138" spans="1:14" s="910" customFormat="1" ht="16.5" hidden="1" customHeight="1">
      <c r="A1138" s="896"/>
      <c r="B1138" s="980" t="s">
        <v>3423</v>
      </c>
      <c r="C1138" s="903"/>
      <c r="D1138" s="904"/>
      <c r="E1138" s="905"/>
      <c r="F1138" s="906"/>
      <c r="G1138" s="906"/>
      <c r="H1138" s="907"/>
      <c r="I1138" s="908"/>
      <c r="J1138" s="955"/>
      <c r="K1138" s="902"/>
      <c r="L1138" s="896"/>
      <c r="M1138" s="902"/>
      <c r="N1138" s="900" t="s">
        <v>2309</v>
      </c>
    </row>
    <row r="1139" spans="1:14" s="910" customFormat="1" ht="16.5" hidden="1" customHeight="1">
      <c r="A1139" s="896"/>
      <c r="B1139" s="956"/>
      <c r="C1139" s="957">
        <v>1</v>
      </c>
      <c r="D1139" s="958" t="s">
        <v>273</v>
      </c>
      <c r="E1139" s="1268">
        <v>16</v>
      </c>
      <c r="F1139" s="960">
        <v>0</v>
      </c>
      <c r="G1139" s="960">
        <v>0</v>
      </c>
      <c r="H1139" s="960">
        <v>0</v>
      </c>
      <c r="I1139" s="1291">
        <f>ROUND(IF(AND(F1139:H1139),C1139*E1139*F1139*G1139*H1139,IF(AND(F1139,G1139),C1139*E1139*F1139*G1139,IF(AND(F1139,H1139),C1139*E1139*F1139*H1139,IF(AND(G1139,H1139),C1139*E1139*G1139*H1139,IF(F1139,C1139*E1139*F1139,IF(G1139,C1139*E1139*G1139,IF(H1139,C1139*E1139*H1139,C1139*E1139))))))),2)</f>
        <v>16</v>
      </c>
      <c r="J1139" s="955" t="s">
        <v>115</v>
      </c>
      <c r="K1139" s="902"/>
      <c r="L1139" s="896"/>
      <c r="M1139" s="902"/>
      <c r="N1139" s="900" t="s">
        <v>2309</v>
      </c>
    </row>
    <row r="1140" spans="1:14" s="910" customFormat="1" ht="16.5" hidden="1" customHeight="1">
      <c r="A1140" s="896"/>
      <c r="B1140" s="956"/>
      <c r="C1140" s="957"/>
      <c r="D1140" s="958"/>
      <c r="E1140" s="1268"/>
      <c r="F1140" s="960"/>
      <c r="G1140" s="960"/>
      <c r="H1140" s="960"/>
      <c r="I1140" s="1291"/>
      <c r="J1140" s="955"/>
      <c r="K1140" s="902"/>
      <c r="L1140" s="896"/>
      <c r="M1140" s="902"/>
      <c r="N1140" s="900" t="s">
        <v>2309</v>
      </c>
    </row>
    <row r="1141" spans="1:14" ht="15.75" hidden="1">
      <c r="A1141" s="896"/>
      <c r="B1141" s="902"/>
      <c r="C1141" s="917"/>
      <c r="D1141" s="918"/>
      <c r="E1141" s="919"/>
      <c r="F1141" s="920"/>
      <c r="G1141" s="921"/>
      <c r="H1141" s="896"/>
      <c r="I1141" s="1291"/>
      <c r="J1141" s="955" t="s">
        <v>115</v>
      </c>
      <c r="K1141" s="922">
        <f>'door 2022-23'!H218</f>
        <v>577.28</v>
      </c>
      <c r="L1141" s="923" t="s">
        <v>275</v>
      </c>
      <c r="M1141" s="924">
        <f>ROUND(I1141*K1141,0)</f>
        <v>0</v>
      </c>
      <c r="N1141" s="900" t="s">
        <v>2309</v>
      </c>
    </row>
    <row r="1142" spans="1:14" ht="27" hidden="1" customHeight="1">
      <c r="A1142" s="896">
        <v>4</v>
      </c>
      <c r="B1142" s="1609" t="s">
        <v>932</v>
      </c>
      <c r="C1142" s="1609"/>
      <c r="D1142" s="1609"/>
      <c r="E1142" s="1609"/>
      <c r="F1142" s="1609"/>
      <c r="G1142" s="1609"/>
      <c r="H1142" s="1609"/>
      <c r="I1142" s="897"/>
      <c r="J1142" s="898"/>
      <c r="K1142" s="896"/>
      <c r="L1142" s="896"/>
      <c r="M1142" s="899"/>
      <c r="N1142" s="900" t="s">
        <v>2309</v>
      </c>
    </row>
    <row r="1143" spans="1:14" s="910" customFormat="1" ht="16.5" hidden="1" customHeight="1">
      <c r="A1143" s="896"/>
      <c r="B1143" s="1212" t="s">
        <v>3424</v>
      </c>
      <c r="C1143" s="903"/>
      <c r="D1143" s="904"/>
      <c r="E1143" s="905"/>
      <c r="F1143" s="906"/>
      <c r="G1143" s="906"/>
      <c r="H1143" s="907"/>
      <c r="I1143" s="908"/>
      <c r="J1143" s="955"/>
      <c r="K1143" s="902"/>
      <c r="L1143" s="896"/>
      <c r="M1143" s="902"/>
      <c r="N1143" s="900" t="s">
        <v>2309</v>
      </c>
    </row>
    <row r="1144" spans="1:14" s="910" customFormat="1" ht="16.5" hidden="1" customHeight="1">
      <c r="A1144" s="896"/>
      <c r="B1144" s="956"/>
      <c r="C1144" s="957">
        <v>1</v>
      </c>
      <c r="D1144" s="958" t="s">
        <v>273</v>
      </c>
      <c r="E1144" s="1268">
        <v>19</v>
      </c>
      <c r="F1144" s="960">
        <v>0.6</v>
      </c>
      <c r="G1144" s="960">
        <v>0</v>
      </c>
      <c r="H1144" s="960">
        <v>0.3</v>
      </c>
      <c r="I1144" s="916">
        <f>ROUND(IF(AND(F1144:H1144),C1144*E1144*F1144*G1144*H1144,IF(AND(F1144,G1144),C1144*E1144*F1144*G1144,IF(AND(F1144,H1144),C1144*E1144*F1144*H1144,IF(AND(G1144,H1144),C1144*E1144*G1144*H1144,IF(F1144,C1144*E1144*F1144,IF(G1144,C1144*E1144*G1144,IF(H1144,C1144*E1144*H1144,C1144*E1144))))))),2)</f>
        <v>3.42</v>
      </c>
      <c r="J1144" s="955" t="s">
        <v>102</v>
      </c>
      <c r="K1144" s="902"/>
      <c r="L1144" s="896"/>
      <c r="M1144" s="902"/>
      <c r="N1144" s="900" t="s">
        <v>2309</v>
      </c>
    </row>
    <row r="1145" spans="1:14" s="910" customFormat="1" ht="16.5" hidden="1" customHeight="1">
      <c r="A1145" s="896"/>
      <c r="B1145" s="956"/>
      <c r="C1145" s="957"/>
      <c r="D1145" s="958"/>
      <c r="E1145" s="1268"/>
      <c r="F1145" s="960"/>
      <c r="G1145" s="960"/>
      <c r="H1145" s="960"/>
      <c r="I1145" s="916"/>
      <c r="J1145" s="955"/>
      <c r="K1145" s="902"/>
      <c r="L1145" s="896"/>
      <c r="M1145" s="902"/>
      <c r="N1145" s="900" t="s">
        <v>2309</v>
      </c>
    </row>
    <row r="1146" spans="1:14" ht="15.75" hidden="1">
      <c r="A1146" s="896"/>
      <c r="B1146" s="902"/>
      <c r="C1146" s="917"/>
      <c r="D1146" s="918"/>
      <c r="E1146" s="919"/>
      <c r="F1146" s="920"/>
      <c r="G1146" s="921"/>
      <c r="H1146" s="896"/>
      <c r="I1146" s="916"/>
      <c r="J1146" s="955" t="s">
        <v>102</v>
      </c>
      <c r="K1146" s="922">
        <f>'door 2022-23'!H224</f>
        <v>604.07999999999993</v>
      </c>
      <c r="L1146" s="923" t="s">
        <v>2419</v>
      </c>
      <c r="M1146" s="924">
        <f>ROUND(I1146*K1146,0)</f>
        <v>0</v>
      </c>
      <c r="N1146" s="900" t="s">
        <v>2309</v>
      </c>
    </row>
    <row r="1147" spans="1:14" ht="46.5" hidden="1" customHeight="1">
      <c r="A1147" s="896">
        <v>10</v>
      </c>
      <c r="B1147" s="1609" t="s">
        <v>185</v>
      </c>
      <c r="C1147" s="1609"/>
      <c r="D1147" s="1609"/>
      <c r="E1147" s="1609"/>
      <c r="F1147" s="1609"/>
      <c r="G1147" s="1609"/>
      <c r="H1147" s="1609"/>
      <c r="I1147" s="897"/>
      <c r="J1147" s="898"/>
      <c r="K1147" s="896"/>
      <c r="L1147" s="896"/>
      <c r="M1147" s="899"/>
      <c r="N1147" s="900" t="s">
        <v>2309</v>
      </c>
    </row>
    <row r="1148" spans="1:14" s="910" customFormat="1" ht="16.5" hidden="1" customHeight="1">
      <c r="A1148" s="896"/>
      <c r="B1148" s="902" t="s">
        <v>3368</v>
      </c>
      <c r="C1148" s="897"/>
      <c r="D1148" s="1263" t="s">
        <v>3470</v>
      </c>
      <c r="E1148" s="905"/>
      <c r="F1148" s="906"/>
      <c r="G1148" s="906"/>
      <c r="H1148" s="907"/>
      <c r="I1148" s="908"/>
      <c r="J1148" s="955"/>
      <c r="K1148" s="902"/>
      <c r="L1148" s="896"/>
      <c r="M1148" s="902"/>
      <c r="N1148" s="900" t="s">
        <v>2309</v>
      </c>
    </row>
    <row r="1149" spans="1:14" s="910" customFormat="1" ht="16.5" hidden="1" customHeight="1">
      <c r="A1149" s="896"/>
      <c r="B1149" s="911"/>
      <c r="C1149" s="897">
        <v>1</v>
      </c>
      <c r="D1149" s="1263" t="s">
        <v>273</v>
      </c>
      <c r="E1149" s="919">
        <v>5</v>
      </c>
      <c r="F1149" s="920">
        <v>32.14</v>
      </c>
      <c r="G1149" s="920">
        <v>0</v>
      </c>
      <c r="H1149" s="920">
        <v>0</v>
      </c>
      <c r="I1149" s="1266">
        <f>ROUND(IF(AND(F1149:H1149),C1149*E1149*F1149*G1149*H1149,IF(AND(F1149,G1149),C1149*E1149*F1149*G1149,IF(AND(F1149,H1149),C1149*E1149*F1149*H1149,IF(AND(G1149,H1149),C1149*E1149*G1149*H1149,IF(F1149,C1149*E1149*F1149,IF(G1149,C1149*E1149*G1149,IF(H1149,C1149*E1149*H1149,C1149*E1149))))))),2)</f>
        <v>160.69999999999999</v>
      </c>
      <c r="J1149" s="955" t="s">
        <v>141</v>
      </c>
      <c r="K1149" s="902"/>
      <c r="L1149" s="896"/>
      <c r="M1149" s="902"/>
      <c r="N1149" s="900" t="s">
        <v>2309</v>
      </c>
    </row>
    <row r="1150" spans="1:14" s="910" customFormat="1" ht="16.5" hidden="1" customHeight="1">
      <c r="A1150" s="896"/>
      <c r="B1150" s="956"/>
      <c r="C1150" s="957"/>
      <c r="D1150" s="958"/>
      <c r="E1150" s="1268"/>
      <c r="F1150" s="960"/>
      <c r="G1150" s="960"/>
      <c r="H1150" s="960"/>
      <c r="I1150" s="916"/>
      <c r="J1150" s="955"/>
      <c r="K1150" s="902"/>
      <c r="L1150" s="896"/>
      <c r="M1150" s="902"/>
      <c r="N1150" s="900" t="s">
        <v>2309</v>
      </c>
    </row>
    <row r="1151" spans="1:14" ht="15.75" hidden="1">
      <c r="A1151" s="896"/>
      <c r="B1151" s="902"/>
      <c r="C1151" s="917"/>
      <c r="D1151" s="918"/>
      <c r="E1151" s="919"/>
      <c r="F1151" s="920"/>
      <c r="G1151" s="921"/>
      <c r="H1151" s="896"/>
      <c r="I1151" s="916"/>
      <c r="J1151" s="955" t="s">
        <v>4</v>
      </c>
      <c r="K1151" s="922">
        <f>'data 2022-23'!G303</f>
        <v>110.38</v>
      </c>
      <c r="L1151" s="923" t="s">
        <v>2421</v>
      </c>
      <c r="M1151" s="924">
        <f>ROUND(I1151*K1151,0)</f>
        <v>0</v>
      </c>
      <c r="N1151" s="900" t="s">
        <v>2309</v>
      </c>
    </row>
    <row r="1152" spans="1:14" ht="65.25" hidden="1" customHeight="1">
      <c r="A1152" s="896">
        <v>7</v>
      </c>
      <c r="B1152" s="1609" t="s">
        <v>933</v>
      </c>
      <c r="C1152" s="1609"/>
      <c r="D1152" s="1609"/>
      <c r="E1152" s="1609"/>
      <c r="F1152" s="1609"/>
      <c r="G1152" s="1609"/>
      <c r="H1152" s="1609"/>
      <c r="I1152" s="897"/>
      <c r="J1152" s="898"/>
      <c r="K1152" s="896"/>
      <c r="L1152" s="896"/>
      <c r="M1152" s="899"/>
      <c r="N1152" s="900" t="s">
        <v>2309</v>
      </c>
    </row>
    <row r="1153" spans="1:14" s="910" customFormat="1" ht="16.5" hidden="1" customHeight="1">
      <c r="A1153" s="896"/>
      <c r="B1153" s="902" t="s">
        <v>3425</v>
      </c>
      <c r="C1153" s="903"/>
      <c r="D1153" s="904"/>
      <c r="E1153" s="905"/>
      <c r="F1153" s="906"/>
      <c r="G1153" s="906"/>
      <c r="H1153" s="907"/>
      <c r="I1153" s="908"/>
      <c r="J1153" s="955"/>
      <c r="K1153" s="902"/>
      <c r="L1153" s="896"/>
      <c r="M1153" s="902"/>
      <c r="N1153" s="900" t="s">
        <v>2309</v>
      </c>
    </row>
    <row r="1154" spans="1:14" s="910" customFormat="1" ht="16.5" hidden="1" customHeight="1">
      <c r="A1154" s="896"/>
      <c r="B1154" s="911" t="s">
        <v>1535</v>
      </c>
      <c r="C1154" s="912">
        <v>1</v>
      </c>
      <c r="D1154" s="913" t="s">
        <v>273</v>
      </c>
      <c r="E1154" s="914">
        <v>11</v>
      </c>
      <c r="F1154" s="915">
        <v>1.5</v>
      </c>
      <c r="G1154" s="915">
        <v>0</v>
      </c>
      <c r="H1154" s="915">
        <v>1.35</v>
      </c>
      <c r="I1154" s="916">
        <f>ROUND(IF(AND(F1154:H1154),C1154*E1154*F1154*G1154*H1154,IF(AND(F1154,G1154),C1154*E1154*F1154*G1154,IF(AND(F1154,H1154),C1154*E1154*F1154*H1154,IF(AND(G1154,H1154),C1154*E1154*G1154*H1154,IF(F1154,C1154*E1154*F1154,IF(G1154,C1154*E1154*G1154,IF(H1154,C1154*E1154*H1154,C1154*E1154))))))),2)</f>
        <v>22.28</v>
      </c>
      <c r="J1154" s="955" t="s">
        <v>102</v>
      </c>
      <c r="K1154" s="902"/>
      <c r="L1154" s="896"/>
      <c r="M1154" s="902"/>
      <c r="N1154" s="900" t="s">
        <v>2309</v>
      </c>
    </row>
    <row r="1155" spans="1:14" s="910" customFormat="1" ht="16.5" hidden="1" customHeight="1">
      <c r="A1155" s="896"/>
      <c r="B1155" s="911"/>
      <c r="C1155" s="912">
        <v>1</v>
      </c>
      <c r="D1155" s="913" t="s">
        <v>273</v>
      </c>
      <c r="E1155" s="914">
        <v>1</v>
      </c>
      <c r="F1155" s="915">
        <v>1.59</v>
      </c>
      <c r="G1155" s="915">
        <v>0</v>
      </c>
      <c r="H1155" s="915">
        <v>1.35</v>
      </c>
      <c r="I1155" s="916">
        <f>ROUND(IF(AND(F1155:H1155),C1155*E1155*F1155*G1155*H1155,IF(AND(F1155,G1155),C1155*E1155*F1155*G1155,IF(AND(F1155,H1155),C1155*E1155*F1155*H1155,IF(AND(G1155,H1155),C1155*E1155*G1155*H1155,IF(F1155,C1155*E1155*F1155,IF(G1155,C1155*E1155*G1155,IF(H1155,C1155*E1155*H1155,C1155*E1155))))))),2)</f>
        <v>2.15</v>
      </c>
      <c r="J1155" s="955" t="s">
        <v>102</v>
      </c>
      <c r="K1155" s="902"/>
      <c r="L1155" s="896"/>
      <c r="M1155" s="902"/>
      <c r="N1155" s="900" t="s">
        <v>2309</v>
      </c>
    </row>
    <row r="1156" spans="1:14" s="910" customFormat="1" ht="16.5" hidden="1" customHeight="1">
      <c r="A1156" s="896"/>
      <c r="B1156" s="911"/>
      <c r="C1156" s="912">
        <v>1</v>
      </c>
      <c r="D1156" s="913" t="s">
        <v>273</v>
      </c>
      <c r="E1156" s="914">
        <v>2</v>
      </c>
      <c r="F1156" s="915">
        <v>1.5</v>
      </c>
      <c r="G1156" s="915">
        <v>0</v>
      </c>
      <c r="H1156" s="915">
        <v>1.35</v>
      </c>
      <c r="I1156" s="916">
        <f>ROUND(IF(AND(F1156:H1156),C1156*E1156*F1156*G1156*H1156,IF(AND(F1156,G1156),C1156*E1156*F1156*G1156,IF(AND(F1156,H1156),C1156*E1156*F1156*H1156,IF(AND(G1156,H1156),C1156*E1156*G1156*H1156,IF(F1156,C1156*E1156*F1156,IF(G1156,C1156*E1156*G1156,IF(H1156,C1156*E1156*H1156,C1156*E1156))))))),2)</f>
        <v>4.05</v>
      </c>
      <c r="J1156" s="955" t="s">
        <v>102</v>
      </c>
      <c r="K1156" s="902"/>
      <c r="L1156" s="896"/>
      <c r="M1156" s="902"/>
      <c r="N1156" s="900" t="s">
        <v>2309</v>
      </c>
    </row>
    <row r="1157" spans="1:14" s="910" customFormat="1" ht="16.5" hidden="1" customHeight="1">
      <c r="A1157" s="896"/>
      <c r="B1157" s="956"/>
      <c r="C1157" s="957"/>
      <c r="D1157" s="958"/>
      <c r="E1157" s="1268"/>
      <c r="F1157" s="960"/>
      <c r="G1157" s="960"/>
      <c r="H1157" s="960"/>
      <c r="I1157" s="916"/>
      <c r="J1157" s="955"/>
      <c r="K1157" s="902"/>
      <c r="L1157" s="896"/>
      <c r="M1157" s="902"/>
      <c r="N1157" s="900" t="s">
        <v>2309</v>
      </c>
    </row>
    <row r="1158" spans="1:14" ht="15.75" hidden="1">
      <c r="A1158" s="896"/>
      <c r="B1158" s="902"/>
      <c r="C1158" s="917"/>
      <c r="D1158" s="918"/>
      <c r="E1158" s="919"/>
      <c r="F1158" s="920"/>
      <c r="G1158" s="921"/>
      <c r="H1158" s="896"/>
      <c r="I1158" s="916"/>
      <c r="J1158" s="955" t="s">
        <v>102</v>
      </c>
      <c r="K1158" s="922">
        <f>'data 2022-23'!G311</f>
        <v>3130</v>
      </c>
      <c r="L1158" s="923" t="s">
        <v>2419</v>
      </c>
      <c r="M1158" s="924">
        <f>ROUND(I1158*K1158,0)</f>
        <v>0</v>
      </c>
      <c r="N1158" s="900" t="s">
        <v>2309</v>
      </c>
    </row>
    <row r="1159" spans="1:14" ht="42.75" hidden="1" customHeight="1">
      <c r="A1159" s="896">
        <v>51</v>
      </c>
      <c r="B1159" s="1609" t="s">
        <v>626</v>
      </c>
      <c r="C1159" s="1609"/>
      <c r="D1159" s="1609"/>
      <c r="E1159" s="1609"/>
      <c r="F1159" s="1609"/>
      <c r="G1159" s="1609"/>
      <c r="H1159" s="1609"/>
      <c r="I1159" s="897"/>
      <c r="J1159" s="898"/>
      <c r="K1159" s="896"/>
      <c r="L1159" s="896"/>
      <c r="M1159" s="899"/>
      <c r="N1159" s="900" t="s">
        <v>2309</v>
      </c>
    </row>
    <row r="1160" spans="1:14" s="910" customFormat="1" ht="16.5" hidden="1" customHeight="1">
      <c r="A1160" s="896"/>
      <c r="B1160" s="902" t="s">
        <v>3013</v>
      </c>
      <c r="C1160" s="903"/>
      <c r="D1160" s="904"/>
      <c r="E1160" s="905"/>
      <c r="F1160" s="906"/>
      <c r="G1160" s="906"/>
      <c r="H1160" s="907"/>
      <c r="I1160" s="908"/>
      <c r="J1160" s="955"/>
      <c r="K1160" s="902"/>
      <c r="L1160" s="896"/>
      <c r="M1160" s="902"/>
      <c r="N1160" s="900" t="s">
        <v>2309</v>
      </c>
    </row>
    <row r="1161" spans="1:14" s="910" customFormat="1" ht="16.5" hidden="1" customHeight="1">
      <c r="A1161" s="896"/>
      <c r="B1161" s="956" t="s">
        <v>3012</v>
      </c>
      <c r="C1161" s="957">
        <v>1</v>
      </c>
      <c r="D1161" s="958" t="s">
        <v>273</v>
      </c>
      <c r="E1161" s="1268">
        <v>1</v>
      </c>
      <c r="F1161" s="1290">
        <v>295</v>
      </c>
      <c r="G1161" s="960">
        <v>0</v>
      </c>
      <c r="H1161" s="960">
        <v>0</v>
      </c>
      <c r="I1161" s="916">
        <f>ROUND(IF(AND(F1161:H1161),C1161*E1161*F1161*G1161*H1161,IF(AND(F1161,G1161),C1161*E1161*F1161*G1161,IF(AND(F1161,H1161),C1161*E1161*F1161*H1161,IF(AND(G1161,H1161),C1161*E1161*G1161*H1161,IF(F1161,C1161*E1161*F1161,IF(G1161,C1161*E1161*G1161,IF(H1161,C1161*E1161*H1161,C1161*E1161))))))),2)</f>
        <v>295</v>
      </c>
      <c r="J1161" s="955" t="s">
        <v>141</v>
      </c>
      <c r="K1161" s="902"/>
      <c r="L1161" s="896"/>
      <c r="M1161" s="902"/>
      <c r="N1161" s="900" t="s">
        <v>2309</v>
      </c>
    </row>
    <row r="1162" spans="1:14" s="910" customFormat="1" ht="16.5" hidden="1" customHeight="1">
      <c r="A1162" s="896"/>
      <c r="B1162" s="956"/>
      <c r="C1162" s="957"/>
      <c r="D1162" s="958"/>
      <c r="E1162" s="1268"/>
      <c r="F1162" s="1290"/>
      <c r="G1162" s="960"/>
      <c r="H1162" s="960"/>
      <c r="I1162" s="916"/>
      <c r="J1162" s="955"/>
      <c r="K1162" s="902"/>
      <c r="L1162" s="896"/>
      <c r="M1162" s="902"/>
      <c r="N1162" s="900" t="s">
        <v>2309</v>
      </c>
    </row>
    <row r="1163" spans="1:14" ht="15.75" hidden="1">
      <c r="A1163" s="896"/>
      <c r="B1163" s="902"/>
      <c r="C1163" s="917"/>
      <c r="D1163" s="918"/>
      <c r="E1163" s="919"/>
      <c r="F1163" s="920"/>
      <c r="G1163" s="921"/>
      <c r="H1163" s="896"/>
      <c r="I1163" s="916"/>
      <c r="J1163" s="955" t="s">
        <v>141</v>
      </c>
      <c r="K1163" s="922">
        <f>'data 2022-23'!G318</f>
        <v>126.9</v>
      </c>
      <c r="L1163" s="923" t="s">
        <v>2421</v>
      </c>
      <c r="M1163" s="924">
        <f>ROUND(I1163*K1163,0)</f>
        <v>0</v>
      </c>
      <c r="N1163" s="900" t="s">
        <v>2309</v>
      </c>
    </row>
    <row r="1164" spans="1:14" ht="132" hidden="1" customHeight="1">
      <c r="A1164" s="896">
        <v>9</v>
      </c>
      <c r="B1164" s="1609" t="s">
        <v>928</v>
      </c>
      <c r="C1164" s="1609"/>
      <c r="D1164" s="1609"/>
      <c r="E1164" s="1609"/>
      <c r="F1164" s="1609"/>
      <c r="G1164" s="1609"/>
      <c r="H1164" s="1609"/>
      <c r="I1164" s="897"/>
      <c r="J1164" s="898"/>
      <c r="K1164" s="896"/>
      <c r="L1164" s="896"/>
      <c r="M1164" s="899"/>
      <c r="N1164" s="900" t="s">
        <v>2309</v>
      </c>
    </row>
    <row r="1165" spans="1:14" s="910" customFormat="1" ht="16.5" hidden="1" customHeight="1">
      <c r="A1165" s="896"/>
      <c r="B1165" s="902" t="s">
        <v>3801</v>
      </c>
      <c r="C1165" s="903"/>
      <c r="D1165" s="954" t="s">
        <v>3825</v>
      </c>
      <c r="E1165" s="905"/>
      <c r="F1165" s="906"/>
      <c r="G1165" s="906"/>
      <c r="H1165" s="907"/>
      <c r="I1165" s="908"/>
      <c r="J1165" s="955"/>
      <c r="K1165" s="902"/>
      <c r="L1165" s="896"/>
      <c r="M1165" s="902"/>
      <c r="N1165" s="900" t="s">
        <v>2309</v>
      </c>
    </row>
    <row r="1166" spans="1:14" s="910" customFormat="1" ht="16.5" hidden="1" customHeight="1">
      <c r="A1166" s="896"/>
      <c r="B1166" s="911" t="s">
        <v>578</v>
      </c>
      <c r="C1166" s="912">
        <v>1</v>
      </c>
      <c r="D1166" s="913" t="s">
        <v>273</v>
      </c>
      <c r="E1166" s="914">
        <v>1</v>
      </c>
      <c r="F1166" s="1289">
        <v>4.3</v>
      </c>
      <c r="G1166" s="915">
        <v>0</v>
      </c>
      <c r="H1166" s="915">
        <v>0.9</v>
      </c>
      <c r="I1166" s="916">
        <f>ROUND(IF(AND(F1166:H1166),C1166*E1166*F1166*G1166*H1166,IF(AND(F1166,G1166),C1166*E1166*F1166*G1166,IF(AND(F1166,H1166),C1166*E1166*F1166*H1166,IF(AND(G1166,H1166),C1166*E1166*G1166*H1166,IF(F1166,C1166*E1166*F1166,IF(G1166,C1166*E1166*G1166,IF(H1166,C1166*E1166*H1166,C1166*E1166))))))),2)</f>
        <v>3.87</v>
      </c>
      <c r="J1166" s="955" t="s">
        <v>102</v>
      </c>
      <c r="K1166" s="902"/>
      <c r="L1166" s="896"/>
      <c r="M1166" s="902"/>
      <c r="N1166" s="900" t="s">
        <v>2309</v>
      </c>
    </row>
    <row r="1167" spans="1:14" s="910" customFormat="1" ht="16.5" hidden="1" customHeight="1">
      <c r="A1167" s="896"/>
      <c r="B1167" s="911"/>
      <c r="C1167" s="912">
        <v>1</v>
      </c>
      <c r="D1167" s="913" t="s">
        <v>273</v>
      </c>
      <c r="E1167" s="914">
        <v>1</v>
      </c>
      <c r="F1167" s="1289">
        <v>11.4</v>
      </c>
      <c r="G1167" s="915">
        <v>0</v>
      </c>
      <c r="H1167" s="915">
        <v>0.9</v>
      </c>
      <c r="I1167" s="916">
        <f t="shared" ref="I1167:I1169" si="21">ROUND(IF(AND(F1167:H1167),C1167*E1167*F1167*G1167*H1167,IF(AND(F1167,G1167),C1167*E1167*F1167*G1167,IF(AND(F1167,H1167),C1167*E1167*F1167*H1167,IF(AND(G1167,H1167),C1167*E1167*G1167*H1167,IF(F1167,C1167*E1167*F1167,IF(G1167,C1167*E1167*G1167,IF(H1167,C1167*E1167*H1167,C1167*E1167))))))),2)</f>
        <v>10.26</v>
      </c>
      <c r="J1167" s="955" t="s">
        <v>102</v>
      </c>
      <c r="K1167" s="902"/>
      <c r="L1167" s="896"/>
      <c r="M1167" s="902"/>
      <c r="N1167" s="900" t="s">
        <v>2309</v>
      </c>
    </row>
    <row r="1168" spans="1:14" s="910" customFormat="1" ht="16.5" hidden="1" customHeight="1">
      <c r="A1168" s="896"/>
      <c r="B1168" s="911"/>
      <c r="C1168" s="912">
        <v>1</v>
      </c>
      <c r="D1168" s="913" t="s">
        <v>273</v>
      </c>
      <c r="E1168" s="914">
        <v>1</v>
      </c>
      <c r="F1168" s="1289">
        <v>4.5999999999999996</v>
      </c>
      <c r="G1168" s="915">
        <v>0</v>
      </c>
      <c r="H1168" s="915">
        <v>0.9</v>
      </c>
      <c r="I1168" s="916">
        <f t="shared" si="21"/>
        <v>4.1399999999999997</v>
      </c>
      <c r="J1168" s="955" t="s">
        <v>102</v>
      </c>
      <c r="K1168" s="902"/>
      <c r="L1168" s="896"/>
      <c r="M1168" s="902"/>
      <c r="N1168" s="900" t="s">
        <v>2309</v>
      </c>
    </row>
    <row r="1169" spans="1:14" s="910" customFormat="1" ht="16.5" hidden="1" customHeight="1">
      <c r="A1169" s="896"/>
      <c r="B1169" s="911" t="s">
        <v>3103</v>
      </c>
      <c r="C1169" s="912">
        <v>1</v>
      </c>
      <c r="D1169" s="913" t="s">
        <v>273</v>
      </c>
      <c r="E1169" s="914">
        <v>4</v>
      </c>
      <c r="F1169" s="1289">
        <v>0.6</v>
      </c>
      <c r="G1169" s="915">
        <v>0</v>
      </c>
      <c r="H1169" s="915">
        <v>0.9</v>
      </c>
      <c r="I1169" s="916">
        <f t="shared" si="21"/>
        <v>2.16</v>
      </c>
      <c r="J1169" s="955" t="s">
        <v>102</v>
      </c>
      <c r="K1169" s="902"/>
      <c r="L1169" s="896"/>
      <c r="M1169" s="902"/>
      <c r="N1169" s="900" t="s">
        <v>2309</v>
      </c>
    </row>
    <row r="1170" spans="1:14" s="910" customFormat="1" ht="16.5" hidden="1" customHeight="1">
      <c r="A1170" s="896"/>
      <c r="B1170" s="911" t="s">
        <v>579</v>
      </c>
      <c r="C1170" s="912">
        <v>1</v>
      </c>
      <c r="D1170" s="913" t="s">
        <v>273</v>
      </c>
      <c r="E1170" s="914">
        <v>2</v>
      </c>
      <c r="F1170" s="1289">
        <v>1.2</v>
      </c>
      <c r="G1170" s="915">
        <v>0</v>
      </c>
      <c r="H1170" s="915">
        <v>0.9</v>
      </c>
      <c r="I1170" s="916">
        <f>-ROUND(IF(AND(F1170:H1170),C1170*E1170*F1170*G1170*H1170,IF(AND(F1170,G1170),C1170*E1170*F1170*G1170,IF(AND(F1170,H1170),C1170*E1170*F1170*H1170,IF(AND(G1170,H1170),C1170*E1170*G1170*H1170,IF(F1170,C1170*E1170*F1170,IF(G1170,C1170*E1170*G1170,IF(H1170,C1170*E1170*H1170,C1170*E1170))))))),2)</f>
        <v>-2.16</v>
      </c>
      <c r="J1170" s="955" t="s">
        <v>102</v>
      </c>
      <c r="K1170" s="902"/>
      <c r="L1170" s="896"/>
      <c r="M1170" s="902"/>
      <c r="N1170" s="900" t="s">
        <v>2309</v>
      </c>
    </row>
    <row r="1171" spans="1:14" s="910" customFormat="1" ht="16.5" hidden="1" customHeight="1">
      <c r="A1171" s="896"/>
      <c r="B1171" s="956"/>
      <c r="C1171" s="957"/>
      <c r="D1171" s="958"/>
      <c r="E1171" s="1268"/>
      <c r="F1171" s="1290"/>
      <c r="G1171" s="960"/>
      <c r="H1171" s="960"/>
      <c r="I1171" s="916"/>
      <c r="J1171" s="955"/>
      <c r="K1171" s="902"/>
      <c r="L1171" s="896"/>
      <c r="M1171" s="902"/>
      <c r="N1171" s="900" t="s">
        <v>2309</v>
      </c>
    </row>
    <row r="1172" spans="1:14" ht="15.75" hidden="1">
      <c r="A1172" s="896"/>
      <c r="B1172" s="902"/>
      <c r="C1172" s="917"/>
      <c r="D1172" s="918"/>
      <c r="E1172" s="919"/>
      <c r="F1172" s="920"/>
      <c r="G1172" s="921"/>
      <c r="H1172" s="896"/>
      <c r="I1172" s="916"/>
      <c r="J1172" s="955" t="s">
        <v>102</v>
      </c>
      <c r="K1172" s="922">
        <f>'data 2022-23'!G332</f>
        <v>3345.94</v>
      </c>
      <c r="L1172" s="923" t="s">
        <v>2419</v>
      </c>
      <c r="M1172" s="924">
        <f>ROUND(I1172*K1172,0)</f>
        <v>0</v>
      </c>
      <c r="N1172" s="900" t="s">
        <v>2309</v>
      </c>
    </row>
    <row r="1173" spans="1:14" ht="96.75" hidden="1" customHeight="1">
      <c r="A1173" s="896">
        <v>4</v>
      </c>
      <c r="B1173" s="1609" t="s">
        <v>1634</v>
      </c>
      <c r="C1173" s="1609"/>
      <c r="D1173" s="1609"/>
      <c r="E1173" s="1609"/>
      <c r="F1173" s="1609"/>
      <c r="G1173" s="1609"/>
      <c r="H1173" s="1609"/>
      <c r="I1173" s="897"/>
      <c r="J1173" s="898"/>
      <c r="K1173" s="896"/>
      <c r="L1173" s="896"/>
      <c r="M1173" s="899"/>
      <c r="N1173" s="900" t="s">
        <v>2309</v>
      </c>
    </row>
    <row r="1174" spans="1:14" s="910" customFormat="1" ht="16.5" hidden="1" customHeight="1">
      <c r="A1174" s="896"/>
      <c r="B1174" s="902" t="s">
        <v>3426</v>
      </c>
      <c r="C1174" s="903"/>
      <c r="D1174" s="904"/>
      <c r="E1174" s="905"/>
      <c r="F1174" s="906"/>
      <c r="G1174" s="906"/>
      <c r="H1174" s="907"/>
      <c r="I1174" s="908"/>
      <c r="J1174" s="955"/>
      <c r="K1174" s="902"/>
      <c r="L1174" s="896"/>
      <c r="M1174" s="902"/>
      <c r="N1174" s="900" t="s">
        <v>2309</v>
      </c>
    </row>
    <row r="1175" spans="1:14" s="910" customFormat="1" ht="16.5" hidden="1" customHeight="1">
      <c r="A1175" s="896"/>
      <c r="B1175" s="956" t="s">
        <v>578</v>
      </c>
      <c r="C1175" s="957">
        <v>1</v>
      </c>
      <c r="D1175" s="958" t="s">
        <v>273</v>
      </c>
      <c r="E1175" s="1268">
        <v>1</v>
      </c>
      <c r="F1175" s="1290">
        <v>3.3</v>
      </c>
      <c r="G1175" s="960">
        <v>0</v>
      </c>
      <c r="H1175" s="960">
        <v>0.87</v>
      </c>
      <c r="I1175" s="916">
        <f>ROUND(IF(AND(F1175:H1175),C1175*E1175*F1175*G1175*H1175,IF(AND(F1175,G1175),C1175*E1175*F1175*G1175,IF(AND(F1175,H1175),C1175*E1175*F1175*H1175,IF(AND(G1175,H1175),C1175*E1175*G1175*H1175,IF(F1175,C1175*E1175*F1175,IF(G1175,C1175*E1175*G1175,IF(H1175,C1175*E1175*H1175,C1175*E1175))))))),2)</f>
        <v>2.87</v>
      </c>
      <c r="J1175" s="955" t="s">
        <v>102</v>
      </c>
      <c r="K1175" s="902"/>
      <c r="L1175" s="896"/>
      <c r="M1175" s="902"/>
      <c r="N1175" s="900" t="s">
        <v>2309</v>
      </c>
    </row>
    <row r="1176" spans="1:14" s="910" customFormat="1" ht="16.5" hidden="1" customHeight="1">
      <c r="A1176" s="896"/>
      <c r="B1176" s="956"/>
      <c r="C1176" s="957">
        <v>1</v>
      </c>
      <c r="D1176" s="958" t="s">
        <v>273</v>
      </c>
      <c r="E1176" s="1268">
        <v>1</v>
      </c>
      <c r="F1176" s="1290">
        <v>1</v>
      </c>
      <c r="G1176" s="960">
        <v>0</v>
      </c>
      <c r="H1176" s="960">
        <v>0.87</v>
      </c>
      <c r="I1176" s="916">
        <f>ROUND(IF(AND(F1176:H1176),C1176*E1176*F1176*G1176*H1176,IF(AND(F1176,G1176),C1176*E1176*F1176*G1176,IF(AND(F1176,H1176),C1176*E1176*F1176*H1176,IF(AND(G1176,H1176),C1176*E1176*G1176*H1176,IF(F1176,C1176*E1176*F1176,IF(G1176,C1176*E1176*G1176,IF(H1176,C1176*E1176*H1176,C1176*E1176))))))),2)</f>
        <v>0.87</v>
      </c>
      <c r="J1176" s="955" t="s">
        <v>102</v>
      </c>
      <c r="K1176" s="902"/>
      <c r="L1176" s="896"/>
      <c r="M1176" s="902"/>
      <c r="N1176" s="900" t="s">
        <v>2309</v>
      </c>
    </row>
    <row r="1177" spans="1:14" s="910" customFormat="1" ht="16.5" hidden="1" customHeight="1">
      <c r="A1177" s="896"/>
      <c r="B1177" s="956" t="s">
        <v>654</v>
      </c>
      <c r="C1177" s="957">
        <v>1</v>
      </c>
      <c r="D1177" s="958" t="s">
        <v>273</v>
      </c>
      <c r="E1177" s="1268">
        <v>1</v>
      </c>
      <c r="F1177" s="1290">
        <v>1.45</v>
      </c>
      <c r="G1177" s="960">
        <v>0</v>
      </c>
      <c r="H1177" s="960">
        <v>0.87</v>
      </c>
      <c r="I1177" s="916">
        <f>ROUND(IF(AND(F1177:H1177),C1177*E1177*F1177*G1177*H1177,IF(AND(F1177,G1177),C1177*E1177*F1177*G1177,IF(AND(F1177,H1177),C1177*E1177*F1177*H1177,IF(AND(G1177,H1177),C1177*E1177*G1177*H1177,IF(F1177,C1177*E1177*F1177,IF(G1177,C1177*E1177*G1177,IF(H1177,C1177*E1177*H1177,C1177*E1177))))))),2)</f>
        <v>1.26</v>
      </c>
      <c r="J1177" s="955" t="s">
        <v>102</v>
      </c>
      <c r="K1177" s="902"/>
      <c r="L1177" s="896"/>
      <c r="M1177" s="902"/>
      <c r="N1177" s="900" t="s">
        <v>2309</v>
      </c>
    </row>
    <row r="1178" spans="1:14" s="910" customFormat="1" ht="16.5" hidden="1" customHeight="1">
      <c r="A1178" s="896"/>
      <c r="B1178" s="956"/>
      <c r="C1178" s="957">
        <v>1</v>
      </c>
      <c r="D1178" s="958" t="s">
        <v>273</v>
      </c>
      <c r="E1178" s="1268">
        <v>1</v>
      </c>
      <c r="F1178" s="1290">
        <v>2.57</v>
      </c>
      <c r="G1178" s="960">
        <v>0</v>
      </c>
      <c r="H1178" s="960">
        <v>0.87</v>
      </c>
      <c r="I1178" s="916">
        <f>ROUND(IF(AND(F1178:H1178),C1178*E1178*F1178*G1178*H1178,IF(AND(F1178,G1178),C1178*E1178*F1178*G1178,IF(AND(F1178,H1178),C1178*E1178*F1178*H1178,IF(AND(G1178,H1178),C1178*E1178*G1178*H1178,IF(F1178,C1178*E1178*F1178,IF(G1178,C1178*E1178*G1178,IF(H1178,C1178*E1178*H1178,C1178*E1178))))))),2)</f>
        <v>2.2400000000000002</v>
      </c>
      <c r="J1178" s="955" t="s">
        <v>102</v>
      </c>
      <c r="K1178" s="902"/>
      <c r="L1178" s="896"/>
      <c r="M1178" s="902"/>
      <c r="N1178" s="900" t="s">
        <v>2309</v>
      </c>
    </row>
    <row r="1179" spans="1:14" s="910" customFormat="1" ht="16.5" hidden="1" customHeight="1">
      <c r="A1179" s="896"/>
      <c r="B1179" s="956"/>
      <c r="C1179" s="957"/>
      <c r="D1179" s="958"/>
      <c r="E1179" s="1268"/>
      <c r="F1179" s="1290"/>
      <c r="G1179" s="960"/>
      <c r="H1179" s="960"/>
      <c r="I1179" s="916"/>
      <c r="J1179" s="955"/>
      <c r="K1179" s="902"/>
      <c r="L1179" s="896"/>
      <c r="M1179" s="902"/>
      <c r="N1179" s="900" t="s">
        <v>2309</v>
      </c>
    </row>
    <row r="1180" spans="1:14" ht="15.75" hidden="1">
      <c r="A1180" s="896"/>
      <c r="B1180" s="902"/>
      <c r="C1180" s="917"/>
      <c r="D1180" s="918"/>
      <c r="E1180" s="919"/>
      <c r="F1180" s="920"/>
      <c r="G1180" s="921"/>
      <c r="H1180" s="896"/>
      <c r="I1180" s="916"/>
      <c r="J1180" s="955" t="s">
        <v>102</v>
      </c>
      <c r="K1180" s="922">
        <f>'data 2022-23'!G343</f>
        <v>1514.34</v>
      </c>
      <c r="L1180" s="923" t="s">
        <v>2419</v>
      </c>
      <c r="M1180" s="924">
        <f>ROUND(I1180*K1180,0)</f>
        <v>0</v>
      </c>
      <c r="N1180" s="900" t="s">
        <v>2309</v>
      </c>
    </row>
    <row r="1181" spans="1:14" ht="31.5" hidden="1" customHeight="1">
      <c r="A1181" s="896">
        <v>4</v>
      </c>
      <c r="B1181" s="1609" t="s">
        <v>2286</v>
      </c>
      <c r="C1181" s="1609"/>
      <c r="D1181" s="1609"/>
      <c r="E1181" s="1609"/>
      <c r="F1181" s="1609"/>
      <c r="G1181" s="1609"/>
      <c r="H1181" s="1609"/>
      <c r="I1181" s="897"/>
      <c r="J1181" s="898"/>
      <c r="K1181" s="896"/>
      <c r="L1181" s="896"/>
      <c r="M1181" s="899"/>
      <c r="N1181" s="900" t="s">
        <v>2309</v>
      </c>
    </row>
    <row r="1182" spans="1:14" s="910" customFormat="1" ht="16.5" hidden="1" customHeight="1">
      <c r="A1182" s="896"/>
      <c r="B1182" s="902" t="s">
        <v>3426</v>
      </c>
      <c r="C1182" s="903"/>
      <c r="D1182" s="904"/>
      <c r="E1182" s="905"/>
      <c r="F1182" s="906"/>
      <c r="G1182" s="906"/>
      <c r="H1182" s="907"/>
      <c r="I1182" s="908"/>
      <c r="J1182" s="955"/>
      <c r="K1182" s="902"/>
      <c r="L1182" s="896"/>
      <c r="M1182" s="902"/>
      <c r="N1182" s="900" t="s">
        <v>2309</v>
      </c>
    </row>
    <row r="1183" spans="1:14" s="910" customFormat="1" ht="16.5" hidden="1" customHeight="1">
      <c r="A1183" s="896"/>
      <c r="B1183" s="956"/>
      <c r="C1183" s="957">
        <v>1</v>
      </c>
      <c r="D1183" s="958" t="s">
        <v>273</v>
      </c>
      <c r="E1183" s="1268">
        <v>1</v>
      </c>
      <c r="F1183" s="1290">
        <v>0.5</v>
      </c>
      <c r="G1183" s="960">
        <v>0</v>
      </c>
      <c r="H1183" s="960">
        <v>0</v>
      </c>
      <c r="I1183" s="916">
        <f>ROUND(IF(AND(F1183:H1183),C1183*E1183*F1183*G1183*H1183,IF(AND(F1183,G1183),C1183*E1183*F1183*G1183,IF(AND(F1183,H1183),C1183*E1183*F1183*H1183,IF(AND(G1183,H1183),C1183*E1183*G1183*H1183,IF(F1183,C1183*E1183*F1183,IF(G1183,C1183*E1183*G1183,IF(H1183,C1183*E1183*H1183,C1183*E1183))))))),2)</f>
        <v>0.5</v>
      </c>
      <c r="J1183" s="955" t="s">
        <v>4</v>
      </c>
      <c r="K1183" s="902"/>
      <c r="L1183" s="896"/>
      <c r="M1183" s="902"/>
      <c r="N1183" s="900" t="s">
        <v>2309</v>
      </c>
    </row>
    <row r="1184" spans="1:14" s="910" customFormat="1" ht="16.5" hidden="1" customHeight="1">
      <c r="A1184" s="896"/>
      <c r="B1184" s="956"/>
      <c r="C1184" s="957"/>
      <c r="D1184" s="958"/>
      <c r="E1184" s="1268"/>
      <c r="F1184" s="1290"/>
      <c r="G1184" s="960"/>
      <c r="H1184" s="960"/>
      <c r="I1184" s="916"/>
      <c r="J1184" s="955"/>
      <c r="K1184" s="902"/>
      <c r="L1184" s="896"/>
      <c r="M1184" s="902"/>
      <c r="N1184" s="900" t="s">
        <v>2309</v>
      </c>
    </row>
    <row r="1185" spans="1:14" ht="15.75" hidden="1">
      <c r="A1185" s="896"/>
      <c r="B1185" s="902"/>
      <c r="C1185" s="917"/>
      <c r="D1185" s="918"/>
      <c r="E1185" s="919"/>
      <c r="F1185" s="920"/>
      <c r="G1185" s="921"/>
      <c r="H1185" s="896"/>
      <c r="I1185" s="916"/>
      <c r="J1185" s="955" t="s">
        <v>4</v>
      </c>
      <c r="K1185" s="922">
        <f>'data 2022-23'!G347</f>
        <v>568.35</v>
      </c>
      <c r="L1185" s="923" t="s">
        <v>2421</v>
      </c>
      <c r="M1185" s="924">
        <f>ROUND(I1185*K1185,0)</f>
        <v>0</v>
      </c>
      <c r="N1185" s="900" t="s">
        <v>2309</v>
      </c>
    </row>
    <row r="1186" spans="1:14" ht="30.75" hidden="1" customHeight="1">
      <c r="A1186" s="896">
        <v>7</v>
      </c>
      <c r="B1186" s="1609" t="s">
        <v>958</v>
      </c>
      <c r="C1186" s="1609"/>
      <c r="D1186" s="1609"/>
      <c r="E1186" s="1609"/>
      <c r="F1186" s="1609"/>
      <c r="G1186" s="1609"/>
      <c r="H1186" s="1609"/>
      <c r="I1186" s="897"/>
      <c r="J1186" s="898"/>
      <c r="K1186" s="896"/>
      <c r="L1186" s="896"/>
      <c r="M1186" s="899"/>
      <c r="N1186" s="900" t="s">
        <v>2309</v>
      </c>
    </row>
    <row r="1187" spans="1:14" s="910" customFormat="1" ht="16.5" hidden="1" customHeight="1">
      <c r="A1187" s="896"/>
      <c r="B1187" s="902" t="s">
        <v>2100</v>
      </c>
      <c r="C1187" s="903"/>
      <c r="D1187" s="904"/>
      <c r="E1187" s="905"/>
      <c r="F1187" s="906"/>
      <c r="G1187" s="906"/>
      <c r="H1187" s="907"/>
      <c r="I1187" s="908"/>
      <c r="J1187" s="955"/>
      <c r="K1187" s="902"/>
      <c r="L1187" s="896"/>
      <c r="M1187" s="902"/>
      <c r="N1187" s="900" t="s">
        <v>2309</v>
      </c>
    </row>
    <row r="1188" spans="1:14" s="910" customFormat="1" ht="16.5" hidden="1" customHeight="1">
      <c r="A1188" s="896"/>
      <c r="B1188" s="956" t="s">
        <v>939</v>
      </c>
      <c r="C1188" s="957">
        <v>1</v>
      </c>
      <c r="D1188" s="958" t="s">
        <v>273</v>
      </c>
      <c r="E1188" s="1268">
        <v>11</v>
      </c>
      <c r="F1188" s="1290">
        <v>1.25</v>
      </c>
      <c r="G1188" s="960">
        <v>0</v>
      </c>
      <c r="H1188" s="960">
        <v>0</v>
      </c>
      <c r="I1188" s="916">
        <f>ROUND(IF(AND(F1188:H1188),C1188*E1188*F1188*G1188*H1188,IF(AND(F1188,G1188),C1188*E1188*F1188*G1188,IF(AND(F1188,H1188),C1188*E1188*F1188*H1188,IF(AND(G1188,H1188),C1188*E1188*G1188*H1188,IF(F1188,C1188*E1188*F1188,IF(G1188,C1188*E1188*G1188,IF(H1188,C1188*E1188*H1188,C1188*E1188))))))),2)</f>
        <v>13.75</v>
      </c>
      <c r="J1188" s="955" t="s">
        <v>277</v>
      </c>
      <c r="K1188" s="902"/>
      <c r="L1188" s="896"/>
      <c r="M1188" s="902"/>
      <c r="N1188" s="900" t="s">
        <v>2309</v>
      </c>
    </row>
    <row r="1189" spans="1:14" s="910" customFormat="1" ht="16.5" hidden="1" customHeight="1">
      <c r="A1189" s="896"/>
      <c r="B1189" s="956" t="s">
        <v>940</v>
      </c>
      <c r="C1189" s="957">
        <v>1</v>
      </c>
      <c r="D1189" s="958" t="s">
        <v>273</v>
      </c>
      <c r="E1189" s="1268">
        <v>11</v>
      </c>
      <c r="F1189" s="1290">
        <v>1.25</v>
      </c>
      <c r="G1189" s="960">
        <v>0</v>
      </c>
      <c r="H1189" s="960">
        <v>0</v>
      </c>
      <c r="I1189" s="916">
        <f>ROUND(IF(AND(F1189:H1189),C1189*E1189*F1189*G1189*H1189,IF(AND(F1189,G1189),C1189*E1189*F1189*G1189,IF(AND(F1189,H1189),C1189*E1189*F1189*H1189,IF(AND(G1189,H1189),C1189*E1189*G1189*H1189,IF(F1189,C1189*E1189*F1189,IF(G1189,C1189*E1189*G1189,IF(H1189,C1189*E1189*H1189,C1189*E1189))))))),2)</f>
        <v>13.75</v>
      </c>
      <c r="J1189" s="955" t="s">
        <v>277</v>
      </c>
      <c r="K1189" s="902"/>
      <c r="L1189" s="896"/>
      <c r="M1189" s="902"/>
      <c r="N1189" s="900" t="s">
        <v>2309</v>
      </c>
    </row>
    <row r="1190" spans="1:14" s="910" customFormat="1" ht="16.5" hidden="1" customHeight="1">
      <c r="A1190" s="896"/>
      <c r="B1190" s="980" t="s">
        <v>584</v>
      </c>
      <c r="C1190" s="903"/>
      <c r="D1190" s="904"/>
      <c r="E1190" s="905"/>
      <c r="F1190" s="906"/>
      <c r="G1190" s="906"/>
      <c r="H1190" s="907"/>
      <c r="I1190" s="908"/>
      <c r="J1190" s="955"/>
      <c r="K1190" s="902"/>
      <c r="L1190" s="896"/>
      <c r="M1190" s="902"/>
      <c r="N1190" s="900" t="s">
        <v>2309</v>
      </c>
    </row>
    <row r="1191" spans="1:14" s="910" customFormat="1" ht="16.5" hidden="1" customHeight="1">
      <c r="A1191" s="896"/>
      <c r="B1191" s="956" t="s">
        <v>939</v>
      </c>
      <c r="C1191" s="957">
        <v>1</v>
      </c>
      <c r="D1191" s="958" t="s">
        <v>273</v>
      </c>
      <c r="E1191" s="1268">
        <v>7</v>
      </c>
      <c r="F1191" s="1290">
        <v>1.25</v>
      </c>
      <c r="G1191" s="960">
        <v>0</v>
      </c>
      <c r="H1191" s="960">
        <v>0</v>
      </c>
      <c r="I1191" s="916">
        <f>ROUND(IF(AND(F1191:H1191),C1191*E1191*F1191*G1191*H1191,IF(AND(F1191,G1191),C1191*E1191*F1191*G1191,IF(AND(F1191,H1191),C1191*E1191*F1191*H1191,IF(AND(G1191,H1191),C1191*E1191*G1191*H1191,IF(F1191,C1191*E1191*F1191,IF(G1191,C1191*E1191*G1191,IF(H1191,C1191*E1191*H1191,C1191*E1191))))))),2)</f>
        <v>8.75</v>
      </c>
      <c r="J1191" s="955" t="s">
        <v>277</v>
      </c>
      <c r="K1191" s="902"/>
      <c r="L1191" s="896"/>
      <c r="M1191" s="902"/>
      <c r="N1191" s="900" t="s">
        <v>2309</v>
      </c>
    </row>
    <row r="1192" spans="1:14" s="910" customFormat="1" ht="16.5" hidden="1" customHeight="1">
      <c r="A1192" s="896"/>
      <c r="B1192" s="956"/>
      <c r="C1192" s="957"/>
      <c r="D1192" s="958"/>
      <c r="E1192" s="1268"/>
      <c r="F1192" s="1290"/>
      <c r="G1192" s="960"/>
      <c r="H1192" s="960"/>
      <c r="I1192" s="916"/>
      <c r="J1192" s="955"/>
      <c r="K1192" s="902"/>
      <c r="L1192" s="896"/>
      <c r="M1192" s="902"/>
      <c r="N1192" s="900" t="s">
        <v>2309</v>
      </c>
    </row>
    <row r="1193" spans="1:14" ht="15.75" hidden="1">
      <c r="A1193" s="896"/>
      <c r="B1193" s="902"/>
      <c r="C1193" s="917"/>
      <c r="D1193" s="918"/>
      <c r="E1193" s="919"/>
      <c r="F1193" s="920"/>
      <c r="G1193" s="921"/>
      <c r="H1193" s="896"/>
      <c r="I1193" s="916"/>
      <c r="J1193" s="955" t="s">
        <v>277</v>
      </c>
      <c r="K1193" s="922">
        <f>'data 2022-23'!G622</f>
        <v>453</v>
      </c>
      <c r="L1193" s="923" t="s">
        <v>279</v>
      </c>
      <c r="M1193" s="924">
        <f>ROUND(I1193*K1193,0)</f>
        <v>0</v>
      </c>
      <c r="N1193" s="900" t="s">
        <v>2309</v>
      </c>
    </row>
    <row r="1194" spans="1:14" ht="15.75" hidden="1">
      <c r="A1194" s="896"/>
      <c r="B1194" s="902" t="s">
        <v>2414</v>
      </c>
      <c r="C1194" s="917"/>
      <c r="D1194" s="918"/>
      <c r="E1194" s="919"/>
      <c r="F1194" s="920"/>
      <c r="G1194" s="921"/>
      <c r="H1194" s="896"/>
      <c r="I1194" s="916"/>
      <c r="J1194" s="955"/>
      <c r="K1194" s="922"/>
      <c r="L1194" s="923"/>
      <c r="M1194" s="924"/>
      <c r="N1194" s="900" t="s">
        <v>2309</v>
      </c>
    </row>
    <row r="1195" spans="1:14" ht="63.75" hidden="1" customHeight="1">
      <c r="A1195" s="896">
        <v>10</v>
      </c>
      <c r="B1195" s="1609" t="s">
        <v>308</v>
      </c>
      <c r="C1195" s="1609"/>
      <c r="D1195" s="1609"/>
      <c r="E1195" s="1609"/>
      <c r="F1195" s="1609"/>
      <c r="G1195" s="1609"/>
      <c r="H1195" s="1609"/>
      <c r="I1195" s="897"/>
      <c r="J1195" s="898"/>
      <c r="K1195" s="896"/>
      <c r="L1195" s="896"/>
      <c r="M1195" s="899"/>
      <c r="N1195" s="900" t="s">
        <v>2309</v>
      </c>
    </row>
    <row r="1196" spans="1:14" s="910" customFormat="1" ht="16.5" hidden="1" customHeight="1">
      <c r="A1196" s="896"/>
      <c r="B1196" s="902" t="s">
        <v>3802</v>
      </c>
      <c r="C1196" s="903"/>
      <c r="D1196" s="954" t="s">
        <v>3826</v>
      </c>
      <c r="E1196" s="905"/>
      <c r="F1196" s="906"/>
      <c r="G1196" s="906"/>
      <c r="H1196" s="907"/>
      <c r="I1196" s="908"/>
      <c r="J1196" s="909"/>
      <c r="K1196" s="902"/>
      <c r="L1196" s="896"/>
      <c r="M1196" s="902"/>
      <c r="N1196" s="900" t="s">
        <v>2309</v>
      </c>
    </row>
    <row r="1197" spans="1:14" s="910" customFormat="1" ht="16.5" hidden="1" customHeight="1">
      <c r="A1197" s="896"/>
      <c r="B1197" s="911"/>
      <c r="C1197" s="912">
        <v>1</v>
      </c>
      <c r="D1197" s="913" t="s">
        <v>273</v>
      </c>
      <c r="E1197" s="914">
        <v>1</v>
      </c>
      <c r="F1197" s="915">
        <v>24</v>
      </c>
      <c r="G1197" s="915">
        <v>0</v>
      </c>
      <c r="H1197" s="915">
        <v>0</v>
      </c>
      <c r="I1197" s="916">
        <f>ROUND(IF(AND(F1197:H1197),C1197*E1197*F1197*G1197*H1197,IF(AND(F1197,G1197),C1197*E1197*F1197*G1197,IF(AND(F1197,H1197),C1197*E1197*F1197*H1197,IF(AND(G1197,H1197),C1197*E1197*G1197*H1197,IF(F1197,C1197*E1197*F1197,IF(G1197,C1197*E1197*G1197,IF(H1197,C1197*E1197*H1197,C1197*E1197))))))),2)</f>
        <v>24</v>
      </c>
      <c r="J1197" s="909" t="s">
        <v>277</v>
      </c>
      <c r="K1197" s="902"/>
      <c r="L1197" s="896"/>
      <c r="M1197" s="902"/>
      <c r="N1197" s="900" t="s">
        <v>2309</v>
      </c>
    </row>
    <row r="1198" spans="1:14" s="910" customFormat="1" ht="16.5" hidden="1" customHeight="1">
      <c r="A1198" s="896"/>
      <c r="B1198" s="956"/>
      <c r="C1198" s="957"/>
      <c r="D1198" s="958"/>
      <c r="E1198" s="1268"/>
      <c r="F1198" s="960"/>
      <c r="G1198" s="960"/>
      <c r="H1198" s="960"/>
      <c r="I1198" s="916"/>
      <c r="J1198" s="909"/>
      <c r="K1198" s="902"/>
      <c r="L1198" s="896"/>
      <c r="M1198" s="902"/>
      <c r="N1198" s="900" t="s">
        <v>2309</v>
      </c>
    </row>
    <row r="1199" spans="1:14" ht="15.75" hidden="1">
      <c r="A1199" s="896"/>
      <c r="B1199" s="902"/>
      <c r="C1199" s="917"/>
      <c r="D1199" s="918"/>
      <c r="E1199" s="919"/>
      <c r="F1199" s="920"/>
      <c r="G1199" s="921"/>
      <c r="H1199" s="896"/>
      <c r="I1199" s="916"/>
      <c r="J1199" s="909" t="s">
        <v>277</v>
      </c>
      <c r="K1199" s="922">
        <f>'SANI 2022-23'!G82</f>
        <v>214</v>
      </c>
      <c r="L1199" s="923" t="s">
        <v>279</v>
      </c>
      <c r="M1199" s="924">
        <f>ROUND(I1199*K1199,0)</f>
        <v>0</v>
      </c>
      <c r="N1199" s="900" t="s">
        <v>2309</v>
      </c>
    </row>
    <row r="1200" spans="1:14" s="1403" customFormat="1" ht="63.75" customHeight="1">
      <c r="A1200" s="1397">
        <v>9</v>
      </c>
      <c r="B1200" s="1610" t="s">
        <v>309</v>
      </c>
      <c r="C1200" s="1610"/>
      <c r="D1200" s="1610"/>
      <c r="E1200" s="1610"/>
      <c r="F1200" s="1610"/>
      <c r="G1200" s="1610"/>
      <c r="H1200" s="1610"/>
      <c r="I1200" s="1398"/>
      <c r="J1200" s="1399"/>
      <c r="K1200" s="1397"/>
      <c r="L1200" s="1397"/>
      <c r="M1200" s="1401"/>
      <c r="N1200" s="1402" t="s">
        <v>2309</v>
      </c>
    </row>
    <row r="1201" spans="1:14" s="1411" customFormat="1" ht="16.5" customHeight="1">
      <c r="A1201" s="1397"/>
      <c r="B1201" s="1410" t="s">
        <v>3969</v>
      </c>
      <c r="C1201" s="1417"/>
      <c r="D1201" s="1395" t="s">
        <v>4022</v>
      </c>
      <c r="E1201" s="1419"/>
      <c r="F1201" s="1420"/>
      <c r="G1201" s="1420"/>
      <c r="H1201" s="1421"/>
      <c r="I1201" s="1422"/>
      <c r="J1201" s="1442"/>
      <c r="K1201" s="1410"/>
      <c r="L1201" s="1397"/>
      <c r="M1201" s="1410"/>
      <c r="N1201" s="1402" t="s">
        <v>2309</v>
      </c>
    </row>
    <row r="1202" spans="1:14" s="1411" customFormat="1" ht="15.75">
      <c r="A1202" s="1397"/>
      <c r="B1202" s="1458"/>
      <c r="C1202" s="1459">
        <v>1</v>
      </c>
      <c r="D1202" s="1460" t="s">
        <v>273</v>
      </c>
      <c r="E1202" s="1461">
        <v>1</v>
      </c>
      <c r="F1202" s="1448">
        <v>25</v>
      </c>
      <c r="G1202" s="1448">
        <v>0</v>
      </c>
      <c r="H1202" s="1448">
        <v>0</v>
      </c>
      <c r="I1202" s="1430">
        <f>ROUND(IF(AND(F1202:H1202),C1202*E1202*F1202*G1202*H1202,IF(AND(F1202,G1202),C1202*E1202*F1202*G1202,IF(AND(F1202,H1202),C1202*E1202*F1202*H1202,IF(AND(G1202,H1202),C1202*E1202*G1202*H1202,IF(F1202,C1202*E1202*F1202,IF(G1202,C1202*E1202*G1202,IF(H1202,C1202*E1202*H1202,C1202*E1202))))))),2)</f>
        <v>25</v>
      </c>
      <c r="J1202" s="1442" t="s">
        <v>277</v>
      </c>
      <c r="K1202" s="1410"/>
      <c r="L1202" s="1397"/>
      <c r="M1202" s="1410"/>
      <c r="N1202" s="1402" t="s">
        <v>2309</v>
      </c>
    </row>
    <row r="1203" spans="1:14" s="1411" customFormat="1" ht="15.75">
      <c r="A1203" s="1397"/>
      <c r="B1203" s="1458"/>
      <c r="C1203" s="1459">
        <v>1</v>
      </c>
      <c r="D1203" s="1460" t="s">
        <v>273</v>
      </c>
      <c r="E1203" s="1461">
        <v>1</v>
      </c>
      <c r="F1203" s="1448">
        <v>15</v>
      </c>
      <c r="G1203" s="1448">
        <v>0</v>
      </c>
      <c r="H1203" s="1448">
        <v>0</v>
      </c>
      <c r="I1203" s="1430">
        <f>ROUND(IF(AND(F1203:H1203),C1203*E1203*F1203*G1203*H1203,IF(AND(F1203,G1203),C1203*E1203*F1203*G1203,IF(AND(F1203,H1203),C1203*E1203*F1203*H1203,IF(AND(G1203,H1203),C1203*E1203*G1203*H1203,IF(F1203,C1203*E1203*F1203,IF(G1203,C1203*E1203*G1203,IF(H1203,C1203*E1203*H1203,C1203*E1203))))))),2)</f>
        <v>15</v>
      </c>
      <c r="J1203" s="1442" t="s">
        <v>277</v>
      </c>
      <c r="K1203" s="1410"/>
      <c r="L1203" s="1397"/>
      <c r="M1203" s="1410"/>
      <c r="N1203" s="1402" t="s">
        <v>2309</v>
      </c>
    </row>
    <row r="1204" spans="1:14" s="1411" customFormat="1" ht="15.75">
      <c r="A1204" s="1397"/>
      <c r="B1204" s="1425"/>
      <c r="C1204" s="1426"/>
      <c r="D1204" s="1427"/>
      <c r="E1204" s="1428"/>
      <c r="F1204" s="1429"/>
      <c r="G1204" s="1429"/>
      <c r="H1204" s="1429"/>
      <c r="I1204" s="1430"/>
      <c r="J1204" s="1442"/>
      <c r="K1204" s="1410"/>
      <c r="L1204" s="1397"/>
      <c r="M1204" s="1410"/>
      <c r="N1204" s="1402" t="s">
        <v>2309</v>
      </c>
    </row>
    <row r="1205" spans="1:14" s="1403" customFormat="1" ht="15.75">
      <c r="A1205" s="1397"/>
      <c r="B1205" s="1410"/>
      <c r="C1205" s="1431"/>
      <c r="D1205" s="1432"/>
      <c r="E1205" s="1413"/>
      <c r="F1205" s="1414"/>
      <c r="G1205" s="1433"/>
      <c r="H1205" s="1397"/>
      <c r="I1205" s="1430">
        <f>SUM(I1202:I1204)</f>
        <v>40</v>
      </c>
      <c r="J1205" s="1442" t="s">
        <v>277</v>
      </c>
      <c r="K1205" s="1434">
        <f>'SANI 2022-23'!G79</f>
        <v>136</v>
      </c>
      <c r="L1205" s="1400" t="s">
        <v>279</v>
      </c>
      <c r="M1205" s="1435">
        <f>ROUND(I1205*K1205,0)</f>
        <v>5440</v>
      </c>
      <c r="N1205" s="1402" t="s">
        <v>2309</v>
      </c>
    </row>
    <row r="1206" spans="1:14" ht="63.75" hidden="1" customHeight="1">
      <c r="A1206" s="896">
        <v>10</v>
      </c>
      <c r="B1206" s="1609" t="s">
        <v>1635</v>
      </c>
      <c r="C1206" s="1609"/>
      <c r="D1206" s="1609"/>
      <c r="E1206" s="1609"/>
      <c r="F1206" s="1609"/>
      <c r="G1206" s="1609"/>
      <c r="H1206" s="1609"/>
      <c r="I1206" s="897"/>
      <c r="J1206" s="898"/>
      <c r="K1206" s="896"/>
      <c r="L1206" s="896"/>
      <c r="M1206" s="899"/>
      <c r="N1206" s="900" t="s">
        <v>2309</v>
      </c>
    </row>
    <row r="1207" spans="1:14" s="910" customFormat="1" ht="16.5" hidden="1" customHeight="1">
      <c r="A1207" s="896"/>
      <c r="B1207" s="902" t="s">
        <v>3008</v>
      </c>
      <c r="C1207" s="903"/>
      <c r="D1207" s="904"/>
      <c r="E1207" s="905"/>
      <c r="F1207" s="906"/>
      <c r="G1207" s="906"/>
      <c r="H1207" s="907"/>
      <c r="I1207" s="908"/>
      <c r="J1207" s="909"/>
      <c r="K1207" s="902"/>
      <c r="L1207" s="896"/>
      <c r="M1207" s="902"/>
      <c r="N1207" s="900" t="s">
        <v>2309</v>
      </c>
    </row>
    <row r="1208" spans="1:14" s="910" customFormat="1" ht="16.5" hidden="1" customHeight="1">
      <c r="A1208" s="896"/>
      <c r="B1208" s="956"/>
      <c r="C1208" s="957">
        <v>1</v>
      </c>
      <c r="D1208" s="958" t="s">
        <v>273</v>
      </c>
      <c r="E1208" s="1268">
        <v>1</v>
      </c>
      <c r="F1208" s="1290">
        <v>40</v>
      </c>
      <c r="G1208" s="960">
        <v>0</v>
      </c>
      <c r="H1208" s="960">
        <v>0</v>
      </c>
      <c r="I1208" s="916">
        <f>ROUND(IF(AND(F1208:H1208),C1208*E1208*F1208*G1208*H1208,IF(AND(F1208,G1208),C1208*E1208*F1208*G1208,IF(AND(F1208,H1208),C1208*E1208*F1208*H1208,IF(AND(G1208,H1208),C1208*E1208*G1208*H1208,IF(F1208,C1208*E1208*F1208,IF(G1208,C1208*E1208*G1208,IF(H1208,C1208*E1208*H1208,C1208*E1208))))))),2)</f>
        <v>40</v>
      </c>
      <c r="J1208" s="909" t="s">
        <v>277</v>
      </c>
      <c r="K1208" s="902"/>
      <c r="L1208" s="896"/>
      <c r="M1208" s="902"/>
      <c r="N1208" s="900" t="s">
        <v>2309</v>
      </c>
    </row>
    <row r="1209" spans="1:14" s="910" customFormat="1" ht="16.5" hidden="1" customHeight="1">
      <c r="A1209" s="896"/>
      <c r="B1209" s="956"/>
      <c r="C1209" s="957"/>
      <c r="D1209" s="958"/>
      <c r="E1209" s="1268"/>
      <c r="F1209" s="960"/>
      <c r="G1209" s="960"/>
      <c r="H1209" s="960"/>
      <c r="I1209" s="916"/>
      <c r="J1209" s="909"/>
      <c r="K1209" s="902"/>
      <c r="L1209" s="896"/>
      <c r="M1209" s="902"/>
      <c r="N1209" s="900" t="s">
        <v>2309</v>
      </c>
    </row>
    <row r="1210" spans="1:14" ht="15.75" hidden="1">
      <c r="A1210" s="896"/>
      <c r="B1210" s="902"/>
      <c r="C1210" s="917"/>
      <c r="D1210" s="918"/>
      <c r="E1210" s="919"/>
      <c r="F1210" s="920"/>
      <c r="G1210" s="921"/>
      <c r="H1210" s="896"/>
      <c r="I1210" s="916"/>
      <c r="J1210" s="909" t="s">
        <v>277</v>
      </c>
      <c r="K1210" s="922">
        <f>'SANI 2022-23'!G76</f>
        <v>94</v>
      </c>
      <c r="L1210" s="923" t="s">
        <v>279</v>
      </c>
      <c r="M1210" s="924">
        <f>ROUND(I1210*K1210,0)</f>
        <v>0</v>
      </c>
      <c r="N1210" s="900" t="s">
        <v>2309</v>
      </c>
    </row>
    <row r="1211" spans="1:14" ht="63.75" hidden="1" customHeight="1">
      <c r="A1211" s="896">
        <v>10</v>
      </c>
      <c r="B1211" s="1609" t="s">
        <v>3009</v>
      </c>
      <c r="C1211" s="1609"/>
      <c r="D1211" s="1609"/>
      <c r="E1211" s="1609"/>
      <c r="F1211" s="1609"/>
      <c r="G1211" s="1609"/>
      <c r="H1211" s="1609"/>
      <c r="I1211" s="897"/>
      <c r="J1211" s="898"/>
      <c r="K1211" s="896"/>
      <c r="L1211" s="896"/>
      <c r="M1211" s="899"/>
      <c r="N1211" s="900" t="s">
        <v>2309</v>
      </c>
    </row>
    <row r="1212" spans="1:14" s="910" customFormat="1" ht="16.5" hidden="1" customHeight="1">
      <c r="A1212" s="896"/>
      <c r="B1212" s="1212" t="s">
        <v>3371</v>
      </c>
      <c r="C1212" s="903"/>
      <c r="D1212" s="904"/>
      <c r="E1212" s="905"/>
      <c r="F1212" s="906"/>
      <c r="G1212" s="906"/>
      <c r="H1212" s="907"/>
      <c r="I1212" s="908"/>
      <c r="J1212" s="909"/>
      <c r="K1212" s="902"/>
      <c r="L1212" s="896"/>
      <c r="M1212" s="902"/>
      <c r="N1212" s="900" t="s">
        <v>2309</v>
      </c>
    </row>
    <row r="1213" spans="1:14" s="910" customFormat="1" ht="16.5" hidden="1" customHeight="1">
      <c r="A1213" s="896"/>
      <c r="B1213" s="956"/>
      <c r="C1213" s="957">
        <v>1</v>
      </c>
      <c r="D1213" s="958" t="s">
        <v>273</v>
      </c>
      <c r="E1213" s="1268">
        <v>1</v>
      </c>
      <c r="F1213" s="1290">
        <v>40</v>
      </c>
      <c r="G1213" s="960">
        <v>0</v>
      </c>
      <c r="H1213" s="960">
        <v>0</v>
      </c>
      <c r="I1213" s="916">
        <f>ROUND(IF(AND(F1213:H1213),C1213*E1213*F1213*G1213*H1213,IF(AND(F1213,G1213),C1213*E1213*F1213*G1213,IF(AND(F1213,H1213),C1213*E1213*F1213*H1213,IF(AND(G1213,H1213),C1213*E1213*G1213*H1213,IF(F1213,C1213*E1213*F1213,IF(G1213,C1213*E1213*G1213,IF(H1213,C1213*E1213*H1213,C1213*E1213))))))),2)</f>
        <v>40</v>
      </c>
      <c r="J1213" s="909" t="s">
        <v>277</v>
      </c>
      <c r="K1213" s="902"/>
      <c r="L1213" s="896"/>
      <c r="M1213" s="902"/>
      <c r="N1213" s="900" t="s">
        <v>2309</v>
      </c>
    </row>
    <row r="1214" spans="1:14" s="910" customFormat="1" ht="16.5" hidden="1" customHeight="1">
      <c r="A1214" s="896"/>
      <c r="B1214" s="956"/>
      <c r="C1214" s="957"/>
      <c r="D1214" s="958"/>
      <c r="E1214" s="1268"/>
      <c r="F1214" s="960"/>
      <c r="G1214" s="960"/>
      <c r="H1214" s="960"/>
      <c r="I1214" s="916"/>
      <c r="J1214" s="909"/>
      <c r="K1214" s="902"/>
      <c r="L1214" s="896"/>
      <c r="M1214" s="902"/>
      <c r="N1214" s="900" t="s">
        <v>2309</v>
      </c>
    </row>
    <row r="1215" spans="1:14" ht="15.75" hidden="1">
      <c r="A1215" s="896"/>
      <c r="B1215" s="902"/>
      <c r="C1215" s="917"/>
      <c r="D1215" s="918"/>
      <c r="E1215" s="919"/>
      <c r="F1215" s="920"/>
      <c r="G1215" s="921"/>
      <c r="H1215" s="896"/>
      <c r="I1215" s="916">
        <f>SUM(I1213:I1214)</f>
        <v>40</v>
      </c>
      <c r="J1215" s="909" t="s">
        <v>277</v>
      </c>
      <c r="K1215" s="922"/>
      <c r="L1215" s="923" t="s">
        <v>279</v>
      </c>
      <c r="M1215" s="924">
        <f>ROUND(I1215*K1215,0)</f>
        <v>0</v>
      </c>
      <c r="N1215" s="900" t="s">
        <v>2309</v>
      </c>
    </row>
    <row r="1216" spans="1:14" ht="41.25" hidden="1" customHeight="1">
      <c r="A1216" s="896">
        <v>2</v>
      </c>
      <c r="B1216" s="1609" t="s">
        <v>1252</v>
      </c>
      <c r="C1216" s="1609"/>
      <c r="D1216" s="1609"/>
      <c r="E1216" s="1609"/>
      <c r="F1216" s="1609"/>
      <c r="G1216" s="1609"/>
      <c r="H1216" s="1609"/>
      <c r="I1216" s="897"/>
      <c r="J1216" s="898"/>
      <c r="K1216" s="896"/>
      <c r="L1216" s="896"/>
      <c r="M1216" s="899"/>
      <c r="N1216" s="900" t="s">
        <v>2309</v>
      </c>
    </row>
    <row r="1217" spans="1:14" s="910" customFormat="1" ht="16.5" hidden="1" customHeight="1">
      <c r="A1217" s="896"/>
      <c r="B1217" s="902" t="s">
        <v>3371</v>
      </c>
      <c r="C1217" s="903"/>
      <c r="D1217" s="904"/>
      <c r="E1217" s="905"/>
      <c r="F1217" s="906"/>
      <c r="G1217" s="906"/>
      <c r="H1217" s="907"/>
      <c r="I1217" s="908"/>
      <c r="J1217" s="909"/>
      <c r="K1217" s="902"/>
      <c r="L1217" s="896"/>
      <c r="M1217" s="902"/>
      <c r="N1217" s="900" t="s">
        <v>2309</v>
      </c>
    </row>
    <row r="1218" spans="1:14" s="910" customFormat="1" ht="16.5" hidden="1" customHeight="1">
      <c r="A1218" s="896"/>
      <c r="B1218" s="956"/>
      <c r="C1218" s="957">
        <v>1</v>
      </c>
      <c r="D1218" s="958" t="s">
        <v>273</v>
      </c>
      <c r="E1218" s="1268">
        <v>1</v>
      </c>
      <c r="F1218" s="960">
        <v>85</v>
      </c>
      <c r="G1218" s="960">
        <v>0</v>
      </c>
      <c r="H1218" s="960">
        <v>0</v>
      </c>
      <c r="I1218" s="916">
        <f>ROUND(IF(AND(F1218:H1218),C1218*E1218*F1218*G1218*H1218,IF(AND(F1218,G1218),C1218*E1218*F1218*G1218,IF(AND(F1218,H1218),C1218*E1218*F1218*H1218,IF(AND(G1218,H1218),C1218*E1218*G1218*H1218,IF(F1218,C1218*E1218*F1218,IF(G1218,C1218*E1218*G1218,IF(H1218,C1218*E1218*H1218,C1218*E1218))))))),2)</f>
        <v>85</v>
      </c>
      <c r="J1218" s="909" t="s">
        <v>277</v>
      </c>
      <c r="K1218" s="902"/>
      <c r="L1218" s="896"/>
      <c r="M1218" s="902"/>
      <c r="N1218" s="900" t="s">
        <v>2309</v>
      </c>
    </row>
    <row r="1219" spans="1:14" s="910" customFormat="1" ht="16.5" hidden="1" customHeight="1">
      <c r="A1219" s="896"/>
      <c r="B1219" s="956"/>
      <c r="C1219" s="957"/>
      <c r="D1219" s="958"/>
      <c r="E1219" s="1268"/>
      <c r="F1219" s="960"/>
      <c r="G1219" s="960"/>
      <c r="H1219" s="960"/>
      <c r="I1219" s="916"/>
      <c r="J1219" s="909"/>
      <c r="K1219" s="902"/>
      <c r="L1219" s="896"/>
      <c r="M1219" s="902"/>
      <c r="N1219" s="900" t="s">
        <v>2309</v>
      </c>
    </row>
    <row r="1220" spans="1:14" ht="15.75" hidden="1">
      <c r="A1220" s="896"/>
      <c r="B1220" s="902"/>
      <c r="C1220" s="917"/>
      <c r="D1220" s="918"/>
      <c r="E1220" s="919"/>
      <c r="F1220" s="920"/>
      <c r="G1220" s="921"/>
      <c r="H1220" s="896"/>
      <c r="I1220" s="916"/>
      <c r="J1220" s="909" t="s">
        <v>277</v>
      </c>
      <c r="K1220" s="922">
        <f>'SANI 2022-23'!G86</f>
        <v>35</v>
      </c>
      <c r="L1220" s="923" t="s">
        <v>279</v>
      </c>
      <c r="M1220" s="924">
        <f>ROUND(I1220*K1220,0)</f>
        <v>0</v>
      </c>
      <c r="N1220" s="900" t="s">
        <v>2309</v>
      </c>
    </row>
    <row r="1221" spans="1:14" s="1403" customFormat="1" ht="63.75" customHeight="1">
      <c r="A1221" s="1397">
        <v>10</v>
      </c>
      <c r="B1221" s="1610" t="s">
        <v>278</v>
      </c>
      <c r="C1221" s="1610"/>
      <c r="D1221" s="1610"/>
      <c r="E1221" s="1610"/>
      <c r="F1221" s="1610"/>
      <c r="G1221" s="1610"/>
      <c r="H1221" s="1610"/>
      <c r="I1221" s="1398"/>
      <c r="J1221" s="1399"/>
      <c r="K1221" s="1397"/>
      <c r="L1221" s="1397"/>
      <c r="M1221" s="1401"/>
      <c r="N1221" s="1402" t="s">
        <v>2309</v>
      </c>
    </row>
    <row r="1222" spans="1:14" s="1411" customFormat="1" ht="16.5" customHeight="1">
      <c r="A1222" s="1397"/>
      <c r="B1222" s="1410" t="s">
        <v>3970</v>
      </c>
      <c r="C1222" s="1417"/>
      <c r="D1222" s="1395" t="s">
        <v>4022</v>
      </c>
      <c r="E1222" s="1419"/>
      <c r="F1222" s="1420"/>
      <c r="G1222" s="1420"/>
      <c r="H1222" s="1421"/>
      <c r="I1222" s="1422"/>
      <c r="J1222" s="1442"/>
      <c r="K1222" s="1410"/>
      <c r="L1222" s="1397"/>
      <c r="M1222" s="1410"/>
      <c r="N1222" s="1402" t="s">
        <v>2309</v>
      </c>
    </row>
    <row r="1223" spans="1:14" s="1411" customFormat="1" ht="16.5" customHeight="1">
      <c r="A1223" s="1397"/>
      <c r="B1223" s="1458" t="s">
        <v>419</v>
      </c>
      <c r="C1223" s="1459">
        <v>1</v>
      </c>
      <c r="D1223" s="1460" t="s">
        <v>273</v>
      </c>
      <c r="E1223" s="1461">
        <v>1</v>
      </c>
      <c r="F1223" s="1448">
        <v>25</v>
      </c>
      <c r="G1223" s="1448">
        <v>0</v>
      </c>
      <c r="H1223" s="1448">
        <v>0</v>
      </c>
      <c r="I1223" s="1430">
        <f>ROUND(IF(AND(F1223:H1223),C1223*E1223*F1223*G1223*H1223,IF(AND(F1223,G1223),C1223*E1223*F1223*G1223,IF(AND(F1223,H1223),C1223*E1223*F1223*H1223,IF(AND(G1223,H1223),C1223*E1223*G1223*H1223,IF(F1223,C1223*E1223*F1223,IF(G1223,C1223*E1223*G1223,IF(H1223,C1223*E1223*H1223,C1223*E1223))))))),2)</f>
        <v>25</v>
      </c>
      <c r="J1223" s="1442" t="s">
        <v>277</v>
      </c>
      <c r="K1223" s="1410"/>
      <c r="L1223" s="1397"/>
      <c r="M1223" s="1410"/>
      <c r="N1223" s="1402" t="s">
        <v>2309</v>
      </c>
    </row>
    <row r="1224" spans="1:14" s="1411" customFormat="1" ht="16.5" customHeight="1">
      <c r="A1224" s="1397"/>
      <c r="B1224" s="1458"/>
      <c r="C1224" s="1459">
        <v>1</v>
      </c>
      <c r="D1224" s="1460" t="s">
        <v>273</v>
      </c>
      <c r="E1224" s="1461">
        <v>1</v>
      </c>
      <c r="F1224" s="1448">
        <v>15</v>
      </c>
      <c r="G1224" s="1448">
        <v>0</v>
      </c>
      <c r="H1224" s="1448">
        <v>0</v>
      </c>
      <c r="I1224" s="1430">
        <f>ROUND(IF(AND(F1224:H1224),C1224*E1224*F1224*G1224*H1224,IF(AND(F1224,G1224),C1224*E1224*F1224*G1224,IF(AND(F1224,H1224),C1224*E1224*F1224*H1224,IF(AND(G1224,H1224),C1224*E1224*G1224*H1224,IF(F1224,C1224*E1224*F1224,IF(G1224,C1224*E1224*G1224,IF(H1224,C1224*E1224*H1224,C1224*E1224))))))),2)</f>
        <v>15</v>
      </c>
      <c r="J1224" s="1442" t="s">
        <v>277</v>
      </c>
      <c r="K1224" s="1410"/>
      <c r="L1224" s="1397"/>
      <c r="M1224" s="1410"/>
      <c r="N1224" s="1402" t="s">
        <v>2309</v>
      </c>
    </row>
    <row r="1225" spans="1:14" s="1411" customFormat="1" ht="16.5" customHeight="1">
      <c r="A1225" s="1397"/>
      <c r="B1225" s="1458"/>
      <c r="C1225" s="1459"/>
      <c r="D1225" s="1460"/>
      <c r="E1225" s="1461"/>
      <c r="F1225" s="1462"/>
      <c r="G1225" s="1448"/>
      <c r="H1225" s="1448"/>
      <c r="I1225" s="1430"/>
      <c r="J1225" s="1442"/>
      <c r="K1225" s="1410"/>
      <c r="L1225" s="1397"/>
      <c r="M1225" s="1410"/>
      <c r="N1225" s="1402" t="s">
        <v>2309</v>
      </c>
    </row>
    <row r="1226" spans="1:14" s="1403" customFormat="1" ht="15.75">
      <c r="A1226" s="1397"/>
      <c r="B1226" s="1410"/>
      <c r="C1226" s="1431"/>
      <c r="D1226" s="1432"/>
      <c r="E1226" s="1413"/>
      <c r="F1226" s="1414"/>
      <c r="G1226" s="1433"/>
      <c r="H1226" s="1397"/>
      <c r="I1226" s="1430">
        <f>SUM(I1223:I1225)</f>
        <v>40</v>
      </c>
      <c r="J1226" s="1442" t="s">
        <v>277</v>
      </c>
      <c r="K1226" s="1434">
        <f>'SANI 2022-23'!G90</f>
        <v>33</v>
      </c>
      <c r="L1226" s="1400" t="s">
        <v>279</v>
      </c>
      <c r="M1226" s="1435">
        <f>ROUND(I1226*K1226,0)</f>
        <v>1320</v>
      </c>
      <c r="N1226" s="1402" t="s">
        <v>2309</v>
      </c>
    </row>
    <row r="1227" spans="1:14" ht="39.75" hidden="1" customHeight="1">
      <c r="A1227" s="896">
        <v>13</v>
      </c>
      <c r="B1227" s="1609" t="s">
        <v>352</v>
      </c>
      <c r="C1227" s="1609"/>
      <c r="D1227" s="1609"/>
      <c r="E1227" s="1609"/>
      <c r="F1227" s="1609"/>
      <c r="G1227" s="1609"/>
      <c r="H1227" s="1609"/>
      <c r="I1227" s="897"/>
      <c r="J1227" s="898"/>
      <c r="K1227" s="896"/>
      <c r="L1227" s="896"/>
      <c r="M1227" s="899"/>
      <c r="N1227" s="900" t="s">
        <v>2309</v>
      </c>
    </row>
    <row r="1228" spans="1:14" s="910" customFormat="1" ht="16.5" hidden="1" customHeight="1">
      <c r="A1228" s="896"/>
      <c r="B1228" s="902" t="s">
        <v>3951</v>
      </c>
      <c r="C1228" s="903"/>
      <c r="D1228" s="954" t="s">
        <v>3875</v>
      </c>
      <c r="E1228" s="905"/>
      <c r="F1228" s="906"/>
      <c r="G1228" s="906"/>
      <c r="H1228" s="907"/>
      <c r="I1228" s="908"/>
      <c r="J1228" s="909"/>
      <c r="K1228" s="902"/>
      <c r="L1228" s="896"/>
      <c r="M1228" s="902"/>
      <c r="N1228" s="900" t="s">
        <v>2309</v>
      </c>
    </row>
    <row r="1229" spans="1:14" s="910" customFormat="1" ht="16.5" hidden="1" customHeight="1">
      <c r="A1229" s="896"/>
      <c r="B1229" s="911"/>
      <c r="C1229" s="912">
        <v>1</v>
      </c>
      <c r="D1229" s="913" t="s">
        <v>273</v>
      </c>
      <c r="E1229" s="914">
        <v>10</v>
      </c>
      <c r="F1229" s="915">
        <v>0</v>
      </c>
      <c r="G1229" s="915">
        <v>0</v>
      </c>
      <c r="H1229" s="915">
        <v>0</v>
      </c>
      <c r="I1229" s="1291">
        <f>ROUND(IF(AND(F1229:H1229),C1229*E1229*F1229*G1229*H1229,IF(AND(F1229,G1229),C1229*E1229*F1229*G1229,IF(AND(F1229,H1229),C1229*E1229*F1229*H1229,IF(AND(G1229,H1229),C1229*E1229*G1229*H1229,IF(F1229,C1229*E1229*F1229,IF(G1229,C1229*E1229*G1229,IF(H1229,C1229*E1229*H1229,C1229*E1229))))))),2)</f>
        <v>10</v>
      </c>
      <c r="J1229" s="909" t="s">
        <v>115</v>
      </c>
      <c r="K1229" s="902"/>
      <c r="L1229" s="896"/>
      <c r="M1229" s="902"/>
      <c r="N1229" s="900" t="s">
        <v>2309</v>
      </c>
    </row>
    <row r="1230" spans="1:14" s="910" customFormat="1" ht="16.5" hidden="1" customHeight="1">
      <c r="A1230" s="896"/>
      <c r="B1230" s="956"/>
      <c r="C1230" s="957"/>
      <c r="D1230" s="958"/>
      <c r="E1230" s="1268"/>
      <c r="F1230" s="960"/>
      <c r="G1230" s="960"/>
      <c r="H1230" s="960"/>
      <c r="I1230" s="1291"/>
      <c r="J1230" s="909"/>
      <c r="K1230" s="902"/>
      <c r="L1230" s="896"/>
      <c r="M1230" s="902"/>
      <c r="N1230" s="900" t="s">
        <v>2309</v>
      </c>
    </row>
    <row r="1231" spans="1:14" ht="15.75" hidden="1">
      <c r="A1231" s="896"/>
      <c r="B1231" s="902"/>
      <c r="C1231" s="917"/>
      <c r="D1231" s="918"/>
      <c r="E1231" s="919"/>
      <c r="F1231" s="920"/>
      <c r="G1231" s="921"/>
      <c r="H1231" s="896"/>
      <c r="I1231" s="1291"/>
      <c r="J1231" s="909" t="s">
        <v>115</v>
      </c>
      <c r="K1231" s="922">
        <f>'SANI 2022-23'!G59</f>
        <v>387</v>
      </c>
      <c r="L1231" s="923" t="s">
        <v>275</v>
      </c>
      <c r="M1231" s="924">
        <f>ROUND(I1231*K1231,0)</f>
        <v>0</v>
      </c>
      <c r="N1231" s="900" t="s">
        <v>2309</v>
      </c>
    </row>
    <row r="1232" spans="1:14" ht="28.5" hidden="1" customHeight="1">
      <c r="A1232" s="896">
        <v>4</v>
      </c>
      <c r="B1232" s="1609" t="s">
        <v>685</v>
      </c>
      <c r="C1232" s="1609"/>
      <c r="D1232" s="1609"/>
      <c r="E1232" s="1609"/>
      <c r="F1232" s="1609"/>
      <c r="G1232" s="1609"/>
      <c r="H1232" s="1609"/>
      <c r="I1232" s="897"/>
      <c r="J1232" s="898"/>
      <c r="K1232" s="896"/>
      <c r="L1232" s="896"/>
      <c r="M1232" s="899"/>
      <c r="N1232" s="900" t="s">
        <v>2309</v>
      </c>
    </row>
    <row r="1233" spans="1:14" s="910" customFormat="1" ht="16.5" hidden="1" customHeight="1">
      <c r="A1233" s="896"/>
      <c r="B1233" s="980" t="s">
        <v>607</v>
      </c>
      <c r="C1233" s="903"/>
      <c r="D1233" s="904"/>
      <c r="E1233" s="905"/>
      <c r="F1233" s="906"/>
      <c r="G1233" s="906"/>
      <c r="H1233" s="907"/>
      <c r="I1233" s="908"/>
      <c r="J1233" s="909"/>
      <c r="K1233" s="902"/>
      <c r="L1233" s="896"/>
      <c r="M1233" s="902"/>
      <c r="N1233" s="900" t="s">
        <v>2309</v>
      </c>
    </row>
    <row r="1234" spans="1:14" s="910" customFormat="1" ht="16.5" hidden="1" customHeight="1">
      <c r="A1234" s="896"/>
      <c r="B1234" s="956"/>
      <c r="C1234" s="957">
        <v>1</v>
      </c>
      <c r="D1234" s="958" t="s">
        <v>273</v>
      </c>
      <c r="E1234" s="1268">
        <v>2</v>
      </c>
      <c r="F1234" s="960">
        <f>I1227</f>
        <v>0</v>
      </c>
      <c r="G1234" s="960">
        <v>0</v>
      </c>
      <c r="H1234" s="960">
        <v>0</v>
      </c>
      <c r="I1234" s="1291">
        <f>ROUND(IF(AND(F1234:H1234),C1234*E1234*F1234*G1234*H1234,IF(AND(F1234,G1234),C1234*E1234*F1234*G1234,IF(AND(F1234,H1234),C1234*E1234*F1234*H1234,IF(AND(G1234,H1234),C1234*E1234*G1234*H1234,IF(F1234,C1234*E1234*F1234,IF(G1234,C1234*E1234*G1234,IF(H1234,C1234*E1234*H1234,C1234*E1234))))))),2)</f>
        <v>2</v>
      </c>
      <c r="J1234" s="909" t="s">
        <v>115</v>
      </c>
      <c r="K1234" s="902"/>
      <c r="L1234" s="896"/>
      <c r="M1234" s="902"/>
      <c r="N1234" s="900" t="s">
        <v>2309</v>
      </c>
    </row>
    <row r="1235" spans="1:14" s="910" customFormat="1" ht="16.5" hidden="1" customHeight="1">
      <c r="A1235" s="896"/>
      <c r="B1235" s="956"/>
      <c r="C1235" s="957"/>
      <c r="D1235" s="958"/>
      <c r="E1235" s="1268"/>
      <c r="F1235" s="960"/>
      <c r="G1235" s="960"/>
      <c r="H1235" s="960"/>
      <c r="I1235" s="1291"/>
      <c r="J1235" s="909"/>
      <c r="K1235" s="902"/>
      <c r="L1235" s="896"/>
      <c r="M1235" s="902"/>
      <c r="N1235" s="900" t="s">
        <v>2309</v>
      </c>
    </row>
    <row r="1236" spans="1:14" ht="15.75" hidden="1">
      <c r="A1236" s="896"/>
      <c r="B1236" s="902"/>
      <c r="C1236" s="917"/>
      <c r="D1236" s="918"/>
      <c r="E1236" s="919"/>
      <c r="F1236" s="920"/>
      <c r="G1236" s="921"/>
      <c r="H1236" s="896"/>
      <c r="I1236" s="1291"/>
      <c r="J1236" s="909" t="s">
        <v>115</v>
      </c>
      <c r="K1236" s="922">
        <f>'SANI 2022-23'!G55</f>
        <v>1644</v>
      </c>
      <c r="L1236" s="923" t="s">
        <v>275</v>
      </c>
      <c r="M1236" s="924">
        <f>ROUND(I1236*K1236,0)</f>
        <v>0</v>
      </c>
      <c r="N1236" s="900" t="s">
        <v>2309</v>
      </c>
    </row>
    <row r="1237" spans="1:14" s="1403" customFormat="1" ht="29.25" customHeight="1">
      <c r="A1237" s="1397">
        <v>11</v>
      </c>
      <c r="B1237" s="1610" t="s">
        <v>341</v>
      </c>
      <c r="C1237" s="1610"/>
      <c r="D1237" s="1610"/>
      <c r="E1237" s="1610"/>
      <c r="F1237" s="1610"/>
      <c r="G1237" s="1610"/>
      <c r="H1237" s="1610"/>
      <c r="I1237" s="1398"/>
      <c r="J1237" s="1399"/>
      <c r="K1237" s="1397"/>
      <c r="L1237" s="1397"/>
      <c r="M1237" s="1401"/>
      <c r="N1237" s="1402" t="s">
        <v>2309</v>
      </c>
    </row>
    <row r="1238" spans="1:14" s="1411" customFormat="1" ht="16.5" customHeight="1">
      <c r="A1238" s="1397"/>
      <c r="B1238" s="1410" t="s">
        <v>3971</v>
      </c>
      <c r="C1238" s="1417"/>
      <c r="D1238" s="1395" t="s">
        <v>4022</v>
      </c>
      <c r="E1238" s="1419"/>
      <c r="F1238" s="1420"/>
      <c r="G1238" s="1420"/>
      <c r="H1238" s="1421"/>
      <c r="I1238" s="1422"/>
      <c r="J1238" s="1442"/>
      <c r="K1238" s="1410"/>
      <c r="L1238" s="1397"/>
      <c r="M1238" s="1410"/>
      <c r="N1238" s="1402" t="s">
        <v>2309</v>
      </c>
    </row>
    <row r="1239" spans="1:14" s="1411" customFormat="1" ht="16.5" customHeight="1">
      <c r="A1239" s="1397"/>
      <c r="B1239" s="1458"/>
      <c r="C1239" s="1459">
        <v>1</v>
      </c>
      <c r="D1239" s="1460" t="s">
        <v>273</v>
      </c>
      <c r="E1239" s="1461">
        <v>1</v>
      </c>
      <c r="F1239" s="1448">
        <v>10</v>
      </c>
      <c r="G1239" s="1448">
        <v>0</v>
      </c>
      <c r="H1239" s="1448">
        <v>0</v>
      </c>
      <c r="I1239" s="1430">
        <f>ROUND(IF(AND(F1239:H1239),C1239*E1239*F1239*G1239*H1239,IF(AND(F1239,G1239),C1239*E1239*F1239*G1239,IF(AND(F1239,H1239),C1239*E1239*F1239*H1239,IF(AND(G1239,H1239),C1239*E1239*G1239*H1239,IF(F1239,C1239*E1239*F1239,IF(G1239,C1239*E1239*G1239,IF(H1239,C1239*E1239*H1239,C1239*E1239))))))),2)</f>
        <v>10</v>
      </c>
      <c r="J1239" s="1442" t="s">
        <v>277</v>
      </c>
      <c r="K1239" s="1410"/>
      <c r="L1239" s="1397"/>
      <c r="M1239" s="1410"/>
      <c r="N1239" s="1402" t="s">
        <v>2309</v>
      </c>
    </row>
    <row r="1240" spans="1:14" s="1411" customFormat="1" ht="16.5" customHeight="1">
      <c r="A1240" s="1397"/>
      <c r="B1240" s="1425"/>
      <c r="C1240" s="1426"/>
      <c r="D1240" s="1427"/>
      <c r="E1240" s="1428"/>
      <c r="F1240" s="1429"/>
      <c r="G1240" s="1429"/>
      <c r="H1240" s="1429"/>
      <c r="I1240" s="1430"/>
      <c r="J1240" s="1442"/>
      <c r="K1240" s="1410"/>
      <c r="L1240" s="1397"/>
      <c r="M1240" s="1410"/>
      <c r="N1240" s="1402" t="s">
        <v>2309</v>
      </c>
    </row>
    <row r="1241" spans="1:14" s="1403" customFormat="1" ht="15.75">
      <c r="A1241" s="1397"/>
      <c r="B1241" s="1410"/>
      <c r="C1241" s="1431"/>
      <c r="D1241" s="1432"/>
      <c r="E1241" s="1413"/>
      <c r="F1241" s="1414"/>
      <c r="G1241" s="1433"/>
      <c r="H1241" s="1397"/>
      <c r="I1241" s="1430">
        <f>SUM(I1239:I1240)</f>
        <v>10</v>
      </c>
      <c r="J1241" s="1442" t="s">
        <v>277</v>
      </c>
      <c r="K1241" s="1434">
        <f>'SANI 2022-23'!G35</f>
        <v>149</v>
      </c>
      <c r="L1241" s="1400" t="s">
        <v>279</v>
      </c>
      <c r="M1241" s="1435">
        <f>ROUND(I1241*K1241,0)</f>
        <v>1490</v>
      </c>
      <c r="N1241" s="1402" t="s">
        <v>2309</v>
      </c>
    </row>
    <row r="1242" spans="1:14" ht="29.25" hidden="1" customHeight="1">
      <c r="A1242" s="896">
        <v>4</v>
      </c>
      <c r="B1242" s="1609" t="s">
        <v>346</v>
      </c>
      <c r="C1242" s="1609"/>
      <c r="D1242" s="1609"/>
      <c r="E1242" s="1609"/>
      <c r="F1242" s="1609"/>
      <c r="G1242" s="1609"/>
      <c r="H1242" s="1609"/>
      <c r="I1242" s="897"/>
      <c r="J1242" s="898"/>
      <c r="K1242" s="896"/>
      <c r="L1242" s="896"/>
      <c r="M1242" s="899"/>
      <c r="N1242" s="900" t="s">
        <v>2309</v>
      </c>
    </row>
    <row r="1243" spans="1:14" s="910" customFormat="1" ht="16.5" hidden="1" customHeight="1">
      <c r="A1243" s="896"/>
      <c r="B1243" s="902" t="s">
        <v>3007</v>
      </c>
      <c r="C1243" s="903"/>
      <c r="D1243" s="904"/>
      <c r="E1243" s="905"/>
      <c r="F1243" s="906"/>
      <c r="G1243" s="906"/>
      <c r="H1243" s="907"/>
      <c r="I1243" s="908"/>
      <c r="J1243" s="909"/>
      <c r="K1243" s="902"/>
      <c r="L1243" s="896"/>
      <c r="M1243" s="902"/>
      <c r="N1243" s="900" t="s">
        <v>2309</v>
      </c>
    </row>
    <row r="1244" spans="1:14" s="910" customFormat="1" ht="16.5" hidden="1" customHeight="1">
      <c r="A1244" s="896"/>
      <c r="B1244" s="911"/>
      <c r="C1244" s="912">
        <v>1</v>
      </c>
      <c r="D1244" s="913" t="s">
        <v>273</v>
      </c>
      <c r="E1244" s="914">
        <v>1</v>
      </c>
      <c r="F1244" s="915">
        <v>12</v>
      </c>
      <c r="G1244" s="915">
        <v>0</v>
      </c>
      <c r="H1244" s="915">
        <v>0</v>
      </c>
      <c r="I1244" s="916">
        <f>ROUND(IF(AND(F1244:H1244),C1244*E1244*F1244*G1244*H1244,IF(AND(F1244,G1244),C1244*E1244*F1244*G1244,IF(AND(F1244,H1244),C1244*E1244*F1244*H1244,IF(AND(G1244,H1244),C1244*E1244*G1244*H1244,IF(F1244,C1244*E1244*F1244,IF(G1244,C1244*E1244*G1244,IF(H1244,C1244*E1244*H1244,C1244*E1244))))))),2)</f>
        <v>12</v>
      </c>
      <c r="J1244" s="909" t="s">
        <v>277</v>
      </c>
      <c r="K1244" s="902"/>
      <c r="L1244" s="896"/>
      <c r="M1244" s="902"/>
      <c r="N1244" s="900" t="s">
        <v>2309</v>
      </c>
    </row>
    <row r="1245" spans="1:14" s="910" customFormat="1" ht="16.5" hidden="1" customHeight="1">
      <c r="A1245" s="896"/>
      <c r="B1245" s="911"/>
      <c r="C1245" s="912"/>
      <c r="D1245" s="913"/>
      <c r="E1245" s="914"/>
      <c r="F1245" s="915"/>
      <c r="G1245" s="915"/>
      <c r="H1245" s="915"/>
      <c r="I1245" s="916"/>
      <c r="J1245" s="909"/>
      <c r="K1245" s="902"/>
      <c r="L1245" s="896"/>
      <c r="M1245" s="902"/>
      <c r="N1245" s="900" t="s">
        <v>2309</v>
      </c>
    </row>
    <row r="1246" spans="1:14" ht="15.75" hidden="1">
      <c r="A1246" s="896"/>
      <c r="B1246" s="902"/>
      <c r="C1246" s="917"/>
      <c r="D1246" s="918"/>
      <c r="E1246" s="919"/>
      <c r="F1246" s="920"/>
      <c r="G1246" s="921"/>
      <c r="H1246" s="896"/>
      <c r="I1246" s="916"/>
      <c r="J1246" s="909" t="s">
        <v>277</v>
      </c>
      <c r="K1246" s="922">
        <f>'SANI 2022-23'!G41</f>
        <v>141.66666666666666</v>
      </c>
      <c r="L1246" s="923" t="s">
        <v>279</v>
      </c>
      <c r="M1246" s="924">
        <f>ROUND(I1246*K1246,0)</f>
        <v>0</v>
      </c>
      <c r="N1246" s="900" t="s">
        <v>2309</v>
      </c>
    </row>
    <row r="1247" spans="1:14" s="1403" customFormat="1" ht="29.25" customHeight="1">
      <c r="A1247" s="1397">
        <v>12</v>
      </c>
      <c r="B1247" s="1610" t="s">
        <v>348</v>
      </c>
      <c r="C1247" s="1610"/>
      <c r="D1247" s="1610"/>
      <c r="E1247" s="1610"/>
      <c r="F1247" s="1610"/>
      <c r="G1247" s="1610"/>
      <c r="H1247" s="1610"/>
      <c r="I1247" s="1398"/>
      <c r="J1247" s="1399"/>
      <c r="K1247" s="1397"/>
      <c r="L1247" s="1397"/>
      <c r="M1247" s="1401"/>
      <c r="N1247" s="1402" t="s">
        <v>2309</v>
      </c>
    </row>
    <row r="1248" spans="1:14" s="1411" customFormat="1" ht="16.5" customHeight="1">
      <c r="A1248" s="1397"/>
      <c r="B1248" s="1410" t="s">
        <v>3971</v>
      </c>
      <c r="C1248" s="1417"/>
      <c r="D1248" s="1395" t="s">
        <v>4022</v>
      </c>
      <c r="E1248" s="1419"/>
      <c r="F1248" s="1420"/>
      <c r="G1248" s="1420"/>
      <c r="H1248" s="1421"/>
      <c r="I1248" s="1422"/>
      <c r="J1248" s="1442"/>
      <c r="K1248" s="1410"/>
      <c r="L1248" s="1397"/>
      <c r="M1248" s="1410"/>
      <c r="N1248" s="1402" t="s">
        <v>2309</v>
      </c>
    </row>
    <row r="1249" spans="1:14" s="1411" customFormat="1" ht="16.5" customHeight="1">
      <c r="A1249" s="1397"/>
      <c r="B1249" s="1458"/>
      <c r="C1249" s="1459">
        <v>1</v>
      </c>
      <c r="D1249" s="1460" t="s">
        <v>273</v>
      </c>
      <c r="E1249" s="1461">
        <v>1</v>
      </c>
      <c r="F1249" s="1448">
        <v>10</v>
      </c>
      <c r="G1249" s="1448">
        <v>0</v>
      </c>
      <c r="H1249" s="1448">
        <v>0</v>
      </c>
      <c r="I1249" s="1430">
        <f>ROUND(IF(AND(F1249:H1249),C1249*E1249*F1249*G1249*H1249,IF(AND(F1249,G1249),C1249*E1249*F1249*G1249,IF(AND(F1249,H1249),C1249*E1249*F1249*H1249,IF(AND(G1249,H1249),C1249*E1249*G1249*H1249,IF(F1249,C1249*E1249*F1249,IF(G1249,C1249*E1249*G1249,IF(H1249,C1249*E1249*H1249,C1249*E1249))))))),2)</f>
        <v>10</v>
      </c>
      <c r="J1249" s="1442" t="s">
        <v>277</v>
      </c>
      <c r="K1249" s="1410"/>
      <c r="L1249" s="1397"/>
      <c r="M1249" s="1410"/>
      <c r="N1249" s="1402" t="s">
        <v>2309</v>
      </c>
    </row>
    <row r="1250" spans="1:14" s="1411" customFormat="1" ht="16.5" customHeight="1">
      <c r="A1250" s="1397"/>
      <c r="B1250" s="1425"/>
      <c r="C1250" s="1426"/>
      <c r="D1250" s="1427"/>
      <c r="E1250" s="1428"/>
      <c r="F1250" s="1429"/>
      <c r="G1250" s="1429"/>
      <c r="H1250" s="1429"/>
      <c r="I1250" s="1430"/>
      <c r="J1250" s="1442"/>
      <c r="K1250" s="1410"/>
      <c r="L1250" s="1397"/>
      <c r="M1250" s="1410"/>
      <c r="N1250" s="1402" t="s">
        <v>2309</v>
      </c>
    </row>
    <row r="1251" spans="1:14" s="1403" customFormat="1" ht="15.75">
      <c r="A1251" s="1397"/>
      <c r="B1251" s="1410"/>
      <c r="C1251" s="1431"/>
      <c r="D1251" s="1432"/>
      <c r="E1251" s="1413"/>
      <c r="F1251" s="1414"/>
      <c r="G1251" s="1433"/>
      <c r="H1251" s="1397"/>
      <c r="I1251" s="1430">
        <f>SUM(I1249:I1250)</f>
        <v>10</v>
      </c>
      <c r="J1251" s="1442" t="s">
        <v>277</v>
      </c>
      <c r="K1251" s="1434">
        <f>'SANI 2022-23'!G47</f>
        <v>89</v>
      </c>
      <c r="L1251" s="1400" t="s">
        <v>279</v>
      </c>
      <c r="M1251" s="1435">
        <f>ROUND(I1251*K1251,0)</f>
        <v>890</v>
      </c>
      <c r="N1251" s="1402" t="s">
        <v>2309</v>
      </c>
    </row>
    <row r="1252" spans="1:14" s="1403" customFormat="1" ht="53.25" customHeight="1">
      <c r="A1252" s="1397">
        <v>13</v>
      </c>
      <c r="B1252" s="1610" t="s">
        <v>350</v>
      </c>
      <c r="C1252" s="1610"/>
      <c r="D1252" s="1610"/>
      <c r="E1252" s="1610"/>
      <c r="F1252" s="1610"/>
      <c r="G1252" s="1610"/>
      <c r="H1252" s="1610"/>
      <c r="I1252" s="1398"/>
      <c r="J1252" s="1399"/>
      <c r="K1252" s="1397"/>
      <c r="L1252" s="1397"/>
      <c r="M1252" s="1401"/>
      <c r="N1252" s="1402" t="s">
        <v>2309</v>
      </c>
    </row>
    <row r="1253" spans="1:14" s="1411" customFormat="1" ht="16.5" customHeight="1">
      <c r="A1253" s="1397"/>
      <c r="B1253" s="1410" t="s">
        <v>3972</v>
      </c>
      <c r="C1253" s="1417"/>
      <c r="D1253" s="1395" t="s">
        <v>4022</v>
      </c>
      <c r="E1253" s="1419"/>
      <c r="F1253" s="1420"/>
      <c r="G1253" s="1420"/>
      <c r="H1253" s="1421"/>
      <c r="I1253" s="1422"/>
      <c r="J1253" s="1442"/>
      <c r="K1253" s="1410"/>
      <c r="L1253" s="1397"/>
      <c r="M1253" s="1410"/>
      <c r="N1253" s="1402" t="s">
        <v>2309</v>
      </c>
    </row>
    <row r="1254" spans="1:14" s="1411" customFormat="1" ht="16.5" customHeight="1">
      <c r="A1254" s="1397"/>
      <c r="B1254" s="1458" t="s">
        <v>425</v>
      </c>
      <c r="C1254" s="1459">
        <v>1</v>
      </c>
      <c r="D1254" s="1460" t="s">
        <v>273</v>
      </c>
      <c r="E1254" s="1461">
        <v>1</v>
      </c>
      <c r="F1254" s="1448">
        <v>10</v>
      </c>
      <c r="G1254" s="1448">
        <v>0</v>
      </c>
      <c r="H1254" s="1448">
        <v>0</v>
      </c>
      <c r="I1254" s="1430">
        <f>ROUND(IF(AND(F1254:H1254),C1254*E1254*F1254*G1254*H1254,IF(AND(F1254,G1254),C1254*E1254*F1254*G1254,IF(AND(F1254,H1254),C1254*E1254*F1254*H1254,IF(AND(G1254,H1254),C1254*E1254*G1254*H1254,IF(F1254,C1254*E1254*F1254,IF(G1254,C1254*E1254*G1254,IF(H1254,C1254*E1254*H1254,C1254*E1254))))))),2)</f>
        <v>10</v>
      </c>
      <c r="J1254" s="1442" t="s">
        <v>277</v>
      </c>
      <c r="K1254" s="1410"/>
      <c r="L1254" s="1397"/>
      <c r="M1254" s="1410"/>
      <c r="N1254" s="1402" t="s">
        <v>2309</v>
      </c>
    </row>
    <row r="1255" spans="1:14" s="1411" customFormat="1" ht="16.5" customHeight="1">
      <c r="A1255" s="1397"/>
      <c r="B1255" s="1458" t="s">
        <v>3890</v>
      </c>
      <c r="C1255" s="1459">
        <v>1</v>
      </c>
      <c r="D1255" s="1460" t="s">
        <v>273</v>
      </c>
      <c r="E1255" s="1461">
        <v>1</v>
      </c>
      <c r="F1255" s="1448">
        <v>10</v>
      </c>
      <c r="G1255" s="1448">
        <v>0</v>
      </c>
      <c r="H1255" s="1448">
        <v>0</v>
      </c>
      <c r="I1255" s="1430">
        <f>ROUND(IF(AND(F1255:H1255),C1255*E1255*F1255*G1255*H1255,IF(AND(F1255,G1255),C1255*E1255*F1255*G1255,IF(AND(F1255,H1255),C1255*E1255*F1255*H1255,IF(AND(G1255,H1255),C1255*E1255*G1255*H1255,IF(F1255,C1255*E1255*F1255,IF(G1255,C1255*E1255*G1255,IF(H1255,C1255*E1255*H1255,C1255*E1255))))))),2)</f>
        <v>10</v>
      </c>
      <c r="J1255" s="1442" t="s">
        <v>277</v>
      </c>
      <c r="K1255" s="1410"/>
      <c r="L1255" s="1397"/>
      <c r="M1255" s="1410"/>
      <c r="N1255" s="1402" t="s">
        <v>2309</v>
      </c>
    </row>
    <row r="1256" spans="1:14" s="1411" customFormat="1" ht="16.5" customHeight="1">
      <c r="A1256" s="1397"/>
      <c r="B1256" s="1425"/>
      <c r="C1256" s="1426"/>
      <c r="D1256" s="1427"/>
      <c r="E1256" s="1428"/>
      <c r="F1256" s="1429"/>
      <c r="G1256" s="1429"/>
      <c r="H1256" s="1429"/>
      <c r="I1256" s="1430"/>
      <c r="J1256" s="1442"/>
      <c r="K1256" s="1410"/>
      <c r="L1256" s="1397"/>
      <c r="M1256" s="1410"/>
      <c r="N1256" s="1402" t="s">
        <v>2309</v>
      </c>
    </row>
    <row r="1257" spans="1:14" s="1403" customFormat="1" ht="15.75">
      <c r="A1257" s="1397"/>
      <c r="B1257" s="1410"/>
      <c r="C1257" s="1431"/>
      <c r="D1257" s="1432"/>
      <c r="E1257" s="1413"/>
      <c r="F1257" s="1414"/>
      <c r="G1257" s="1433"/>
      <c r="H1257" s="1397"/>
      <c r="I1257" s="1430">
        <f>SUM(I1254:I1256)</f>
        <v>20</v>
      </c>
      <c r="J1257" s="1442" t="s">
        <v>277</v>
      </c>
      <c r="K1257" s="1434">
        <f>'SANI 2022-23'!G51</f>
        <v>79</v>
      </c>
      <c r="L1257" s="1400" t="s">
        <v>279</v>
      </c>
      <c r="M1257" s="1435">
        <f>ROUND(I1257*K1257,0)</f>
        <v>1580</v>
      </c>
      <c r="N1257" s="1402" t="s">
        <v>2309</v>
      </c>
    </row>
    <row r="1258" spans="1:14" s="1403" customFormat="1" ht="66" customHeight="1">
      <c r="A1258" s="1397">
        <v>14</v>
      </c>
      <c r="B1258" s="1610" t="s">
        <v>328</v>
      </c>
      <c r="C1258" s="1610"/>
      <c r="D1258" s="1610"/>
      <c r="E1258" s="1610"/>
      <c r="F1258" s="1610"/>
      <c r="G1258" s="1610"/>
      <c r="H1258" s="1610"/>
      <c r="I1258" s="1398"/>
      <c r="J1258" s="1399"/>
      <c r="K1258" s="1397"/>
      <c r="L1258" s="1397"/>
      <c r="M1258" s="1401"/>
      <c r="N1258" s="1402" t="s">
        <v>2309</v>
      </c>
    </row>
    <row r="1259" spans="1:14" s="1411" customFormat="1" ht="16.5" customHeight="1">
      <c r="A1259" s="1397"/>
      <c r="B1259" s="1410" t="s">
        <v>3973</v>
      </c>
      <c r="C1259" s="1417"/>
      <c r="D1259" s="1395" t="s">
        <v>4022</v>
      </c>
      <c r="E1259" s="1419"/>
      <c r="F1259" s="1420"/>
      <c r="G1259" s="1420"/>
      <c r="H1259" s="1421"/>
      <c r="I1259" s="1422"/>
      <c r="J1259" s="1442"/>
      <c r="K1259" s="1410"/>
      <c r="L1259" s="1397"/>
      <c r="M1259" s="1410"/>
      <c r="N1259" s="1402" t="s">
        <v>2309</v>
      </c>
    </row>
    <row r="1260" spans="1:14" s="1411" customFormat="1" ht="16.5" customHeight="1">
      <c r="A1260" s="1397"/>
      <c r="B1260" s="1458" t="s">
        <v>310</v>
      </c>
      <c r="C1260" s="1459">
        <v>1</v>
      </c>
      <c r="D1260" s="1460" t="s">
        <v>273</v>
      </c>
      <c r="E1260" s="1461">
        <v>2</v>
      </c>
      <c r="F1260" s="1448">
        <v>0</v>
      </c>
      <c r="G1260" s="1448">
        <v>0</v>
      </c>
      <c r="H1260" s="1448">
        <v>0</v>
      </c>
      <c r="I1260" s="1468">
        <f>ROUND(IF(AND(F1260:H1260),C1260*E1260*F1260*G1260*H1260,IF(AND(F1260,G1260),C1260*E1260*F1260*G1260,IF(AND(F1260,H1260),C1260*E1260*F1260*H1260,IF(AND(G1260,H1260),C1260*E1260*G1260*H1260,IF(F1260,C1260*E1260*F1260,IF(G1260,C1260*E1260*G1260,IF(H1260,C1260*E1260*H1260,C1260*E1260))))))),2)</f>
        <v>2</v>
      </c>
      <c r="J1260" s="1442" t="s">
        <v>115</v>
      </c>
      <c r="K1260" s="1410"/>
      <c r="L1260" s="1397"/>
      <c r="M1260" s="1410"/>
      <c r="N1260" s="1402" t="s">
        <v>2309</v>
      </c>
    </row>
    <row r="1261" spans="1:14" s="1411" customFormat="1" ht="16.5" customHeight="1">
      <c r="A1261" s="1397"/>
      <c r="B1261" s="1425"/>
      <c r="C1261" s="1426"/>
      <c r="D1261" s="1427"/>
      <c r="E1261" s="1428"/>
      <c r="F1261" s="1429"/>
      <c r="G1261" s="1429"/>
      <c r="H1261" s="1429"/>
      <c r="I1261" s="1468"/>
      <c r="J1261" s="1442"/>
      <c r="K1261" s="1410"/>
      <c r="L1261" s="1397"/>
      <c r="M1261" s="1410"/>
      <c r="N1261" s="1402" t="s">
        <v>2309</v>
      </c>
    </row>
    <row r="1262" spans="1:14" s="1403" customFormat="1" ht="15.75">
      <c r="A1262" s="1397"/>
      <c r="B1262" s="1410"/>
      <c r="C1262" s="1431"/>
      <c r="D1262" s="1432"/>
      <c r="E1262" s="1413"/>
      <c r="F1262" s="1414"/>
      <c r="G1262" s="1433"/>
      <c r="H1262" s="1397"/>
      <c r="I1262" s="1468">
        <f>SUM(I1260:I1261)</f>
        <v>2</v>
      </c>
      <c r="J1262" s="1442" t="s">
        <v>115</v>
      </c>
      <c r="K1262" s="1434">
        <f>'SANI 2022-23'!G11</f>
        <v>5297</v>
      </c>
      <c r="L1262" s="1400" t="s">
        <v>275</v>
      </c>
      <c r="M1262" s="1435">
        <f>ROUND(I1262*K1262,0)</f>
        <v>10594</v>
      </c>
      <c r="N1262" s="1402" t="s">
        <v>2309</v>
      </c>
    </row>
    <row r="1263" spans="1:14" ht="36" hidden="1" customHeight="1">
      <c r="A1263" s="896">
        <v>8</v>
      </c>
      <c r="B1263" s="1609" t="s">
        <v>608</v>
      </c>
      <c r="C1263" s="1609"/>
      <c r="D1263" s="1609"/>
      <c r="E1263" s="1609"/>
      <c r="F1263" s="1609"/>
      <c r="G1263" s="1609"/>
      <c r="H1263" s="1609"/>
      <c r="I1263" s="897"/>
      <c r="J1263" s="898"/>
      <c r="K1263" s="896"/>
      <c r="L1263" s="896"/>
      <c r="M1263" s="899"/>
      <c r="N1263" s="900" t="s">
        <v>2309</v>
      </c>
    </row>
    <row r="1264" spans="1:14" s="910" customFormat="1" ht="16.5" hidden="1" customHeight="1">
      <c r="A1264" s="896"/>
      <c r="B1264" s="980" t="s">
        <v>607</v>
      </c>
      <c r="C1264" s="903"/>
      <c r="D1264" s="904"/>
      <c r="E1264" s="905"/>
      <c r="F1264" s="906"/>
      <c r="G1264" s="906"/>
      <c r="H1264" s="907"/>
      <c r="I1264" s="908"/>
      <c r="J1264" s="909"/>
      <c r="K1264" s="902"/>
      <c r="L1264" s="896"/>
      <c r="M1264" s="902"/>
      <c r="N1264" s="900" t="s">
        <v>2309</v>
      </c>
    </row>
    <row r="1265" spans="1:14" s="910" customFormat="1" ht="16.5" hidden="1" customHeight="1">
      <c r="A1265" s="896"/>
      <c r="B1265" s="956" t="s">
        <v>310</v>
      </c>
      <c r="C1265" s="957">
        <v>1</v>
      </c>
      <c r="D1265" s="958" t="s">
        <v>273</v>
      </c>
      <c r="E1265" s="1268">
        <v>1</v>
      </c>
      <c r="F1265" s="960">
        <v>0</v>
      </c>
      <c r="G1265" s="960">
        <v>0</v>
      </c>
      <c r="H1265" s="960">
        <v>0</v>
      </c>
      <c r="I1265" s="1291">
        <f>ROUND(IF(AND(F1265:H1265),C1265*E1265*F1265*G1265*H1265,IF(AND(F1265,G1265),C1265*E1265*F1265*G1265,IF(AND(F1265,H1265),C1265*E1265*F1265*H1265,IF(AND(G1265,H1265),C1265*E1265*G1265*H1265,IF(F1265,C1265*E1265*F1265,IF(G1265,C1265*E1265*G1265,IF(H1265,C1265*E1265*H1265,C1265*E1265))))))),2)</f>
        <v>1</v>
      </c>
      <c r="J1265" s="909" t="s">
        <v>115</v>
      </c>
      <c r="K1265" s="902"/>
      <c r="L1265" s="896"/>
      <c r="M1265" s="902"/>
      <c r="N1265" s="900" t="s">
        <v>2309</v>
      </c>
    </row>
    <row r="1266" spans="1:14" s="910" customFormat="1" ht="16.5" hidden="1" customHeight="1">
      <c r="A1266" s="896"/>
      <c r="B1266" s="956"/>
      <c r="C1266" s="957"/>
      <c r="D1266" s="958"/>
      <c r="E1266" s="1268"/>
      <c r="F1266" s="960"/>
      <c r="G1266" s="960"/>
      <c r="H1266" s="960"/>
      <c r="I1266" s="1291"/>
      <c r="J1266" s="909"/>
      <c r="K1266" s="902"/>
      <c r="L1266" s="896"/>
      <c r="M1266" s="902"/>
      <c r="N1266" s="900" t="s">
        <v>2309</v>
      </c>
    </row>
    <row r="1267" spans="1:14" ht="15.75" hidden="1">
      <c r="A1267" s="896"/>
      <c r="B1267" s="902"/>
      <c r="C1267" s="917"/>
      <c r="D1267" s="918"/>
      <c r="E1267" s="919"/>
      <c r="F1267" s="920"/>
      <c r="G1267" s="921"/>
      <c r="H1267" s="896"/>
      <c r="I1267" s="1291"/>
      <c r="J1267" s="909" t="s">
        <v>115</v>
      </c>
      <c r="K1267" s="922">
        <f>'SANI 2022-23'!G14</f>
        <v>1036</v>
      </c>
      <c r="L1267" s="923" t="s">
        <v>275</v>
      </c>
      <c r="M1267" s="924">
        <f>ROUND(I1267*K1267,0)</f>
        <v>0</v>
      </c>
      <c r="N1267" s="900" t="s">
        <v>2309</v>
      </c>
    </row>
    <row r="1268" spans="1:14" ht="57" hidden="1" customHeight="1">
      <c r="A1268" s="896">
        <v>8</v>
      </c>
      <c r="B1268" s="1609" t="s">
        <v>1253</v>
      </c>
      <c r="C1268" s="1609"/>
      <c r="D1268" s="1609"/>
      <c r="E1268" s="1609"/>
      <c r="F1268" s="1609"/>
      <c r="G1268" s="1609"/>
      <c r="H1268" s="1609"/>
      <c r="I1268" s="897"/>
      <c r="J1268" s="898"/>
      <c r="K1268" s="896"/>
      <c r="L1268" s="896"/>
      <c r="M1268" s="899"/>
      <c r="N1268" s="900" t="s">
        <v>2309</v>
      </c>
    </row>
    <row r="1269" spans="1:14" s="910" customFormat="1" ht="16.5" hidden="1" customHeight="1">
      <c r="A1269" s="896"/>
      <c r="B1269" s="902" t="s">
        <v>3427</v>
      </c>
      <c r="C1269" s="903"/>
      <c r="D1269" s="904"/>
      <c r="E1269" s="905"/>
      <c r="F1269" s="906"/>
      <c r="G1269" s="906"/>
      <c r="H1269" s="907"/>
      <c r="I1269" s="908"/>
      <c r="J1269" s="909"/>
      <c r="K1269" s="902"/>
      <c r="L1269" s="896"/>
      <c r="M1269" s="902"/>
      <c r="N1269" s="900" t="s">
        <v>2309</v>
      </c>
    </row>
    <row r="1270" spans="1:14" s="910" customFormat="1" ht="16.5" hidden="1" customHeight="1">
      <c r="A1270" s="896"/>
      <c r="B1270" s="956" t="s">
        <v>688</v>
      </c>
      <c r="C1270" s="957">
        <v>1</v>
      </c>
      <c r="D1270" s="958" t="s">
        <v>273</v>
      </c>
      <c r="E1270" s="1268">
        <v>1</v>
      </c>
      <c r="F1270" s="960">
        <v>0</v>
      </c>
      <c r="G1270" s="960">
        <v>0</v>
      </c>
      <c r="H1270" s="960">
        <v>0</v>
      </c>
      <c r="I1270" s="1291">
        <f>ROUND(IF(AND(F1270:H1270),C1270*E1270*F1270*G1270*H1270,IF(AND(F1270,G1270),C1270*E1270*F1270*G1270,IF(AND(F1270,H1270),C1270*E1270*F1270*H1270,IF(AND(G1270,H1270),C1270*E1270*G1270*H1270,IF(F1270,C1270*E1270*F1270,IF(G1270,C1270*E1270*G1270,IF(H1270,C1270*E1270*H1270,C1270*E1270))))))),2)</f>
        <v>1</v>
      </c>
      <c r="J1270" s="909" t="s">
        <v>115</v>
      </c>
      <c r="K1270" s="902"/>
      <c r="L1270" s="896"/>
      <c r="M1270" s="902"/>
      <c r="N1270" s="900" t="s">
        <v>2309</v>
      </c>
    </row>
    <row r="1271" spans="1:14" s="910" customFormat="1" ht="16.5" hidden="1" customHeight="1">
      <c r="A1271" s="896"/>
      <c r="B1271" s="956"/>
      <c r="C1271" s="957"/>
      <c r="D1271" s="958"/>
      <c r="E1271" s="1268"/>
      <c r="F1271" s="960"/>
      <c r="G1271" s="960"/>
      <c r="H1271" s="960"/>
      <c r="I1271" s="1291"/>
      <c r="J1271" s="909"/>
      <c r="K1271" s="902"/>
      <c r="L1271" s="896"/>
      <c r="M1271" s="902"/>
      <c r="N1271" s="900" t="s">
        <v>2309</v>
      </c>
    </row>
    <row r="1272" spans="1:14" ht="15.75" hidden="1">
      <c r="A1272" s="896"/>
      <c r="B1272" s="902"/>
      <c r="C1272" s="917"/>
      <c r="D1272" s="918"/>
      <c r="E1272" s="919"/>
      <c r="F1272" s="920"/>
      <c r="G1272" s="921"/>
      <c r="H1272" s="896"/>
      <c r="I1272" s="1291"/>
      <c r="J1272" s="909" t="s">
        <v>115</v>
      </c>
      <c r="K1272" s="922">
        <f>'SANI 2022-23'!G17</f>
        <v>2644</v>
      </c>
      <c r="L1272" s="923" t="s">
        <v>275</v>
      </c>
      <c r="M1272" s="924">
        <f>ROUND(I1272*K1272,0)</f>
        <v>0</v>
      </c>
      <c r="N1272" s="900" t="s">
        <v>2309</v>
      </c>
    </row>
    <row r="1273" spans="1:14" s="1403" customFormat="1" ht="132.75" customHeight="1">
      <c r="A1273" s="1397">
        <v>15</v>
      </c>
      <c r="B1273" s="1610" t="s">
        <v>333</v>
      </c>
      <c r="C1273" s="1610"/>
      <c r="D1273" s="1610"/>
      <c r="E1273" s="1610"/>
      <c r="F1273" s="1610"/>
      <c r="G1273" s="1610"/>
      <c r="H1273" s="1610"/>
      <c r="I1273" s="1398"/>
      <c r="J1273" s="1399"/>
      <c r="K1273" s="1397"/>
      <c r="L1273" s="1397"/>
      <c r="M1273" s="1401"/>
      <c r="N1273" s="1402" t="s">
        <v>2309</v>
      </c>
    </row>
    <row r="1274" spans="1:14" s="1411" customFormat="1" ht="16.5" customHeight="1">
      <c r="A1274" s="1397"/>
      <c r="B1274" s="1410" t="s">
        <v>3974</v>
      </c>
      <c r="C1274" s="1417"/>
      <c r="D1274" s="1395" t="s">
        <v>4022</v>
      </c>
      <c r="E1274" s="1419"/>
      <c r="F1274" s="1420"/>
      <c r="G1274" s="1420"/>
      <c r="H1274" s="1421"/>
      <c r="I1274" s="1422"/>
      <c r="J1274" s="1442"/>
      <c r="K1274" s="1410"/>
      <c r="L1274" s="1397"/>
      <c r="M1274" s="1410"/>
      <c r="N1274" s="1402" t="s">
        <v>2309</v>
      </c>
    </row>
    <row r="1275" spans="1:14" s="1411" customFormat="1" ht="16.5" customHeight="1">
      <c r="A1275" s="1397"/>
      <c r="B1275" s="1458"/>
      <c r="C1275" s="1459">
        <v>1</v>
      </c>
      <c r="D1275" s="1460" t="s">
        <v>273</v>
      </c>
      <c r="E1275" s="1461">
        <v>2</v>
      </c>
      <c r="F1275" s="1448">
        <v>0</v>
      </c>
      <c r="G1275" s="1448">
        <v>0</v>
      </c>
      <c r="H1275" s="1448">
        <v>0</v>
      </c>
      <c r="I1275" s="1468">
        <f>ROUND(IF(AND(F1275:H1275),C1275*E1275*F1275*G1275*H1275,IF(AND(F1275,G1275),C1275*E1275*F1275*G1275,IF(AND(F1275,H1275),C1275*E1275*F1275*H1275,IF(AND(G1275,H1275),C1275*E1275*G1275*H1275,IF(F1275,C1275*E1275*F1275,IF(G1275,C1275*E1275*G1275,IF(H1275,C1275*E1275*H1275,C1275*E1275))))))),2)</f>
        <v>2</v>
      </c>
      <c r="J1275" s="1442" t="s">
        <v>115</v>
      </c>
      <c r="K1275" s="1410"/>
      <c r="L1275" s="1397"/>
      <c r="M1275" s="1410"/>
      <c r="N1275" s="1402" t="s">
        <v>2309</v>
      </c>
    </row>
    <row r="1276" spans="1:14" s="1411" customFormat="1" ht="16.5" customHeight="1">
      <c r="A1276" s="1397"/>
      <c r="B1276" s="1458"/>
      <c r="C1276" s="1459"/>
      <c r="D1276" s="1460"/>
      <c r="E1276" s="1461"/>
      <c r="F1276" s="1448"/>
      <c r="G1276" s="1448"/>
      <c r="H1276" s="1448"/>
      <c r="I1276" s="1468"/>
      <c r="J1276" s="1442"/>
      <c r="K1276" s="1410"/>
      <c r="L1276" s="1397"/>
      <c r="M1276" s="1410"/>
      <c r="N1276" s="1402" t="s">
        <v>2309</v>
      </c>
    </row>
    <row r="1277" spans="1:14" s="1403" customFormat="1" ht="15.75">
      <c r="A1277" s="1397"/>
      <c r="B1277" s="1410"/>
      <c r="C1277" s="1431"/>
      <c r="D1277" s="1432"/>
      <c r="E1277" s="1413"/>
      <c r="F1277" s="1414"/>
      <c r="G1277" s="1433"/>
      <c r="H1277" s="1397"/>
      <c r="I1277" s="1468">
        <f>SUM(I1275:I1276)</f>
        <v>2</v>
      </c>
      <c r="J1277" s="1442" t="s">
        <v>115</v>
      </c>
      <c r="K1277" s="1434">
        <f>'SANI 2022-23'!G25</f>
        <v>2025</v>
      </c>
      <c r="L1277" s="1400" t="s">
        <v>275</v>
      </c>
      <c r="M1277" s="1435">
        <f>ROUND(I1277*K1277,0)</f>
        <v>4050</v>
      </c>
      <c r="N1277" s="1402" t="s">
        <v>2309</v>
      </c>
    </row>
    <row r="1278" spans="1:14" ht="21.75" hidden="1" customHeight="1">
      <c r="A1278" s="896">
        <v>19</v>
      </c>
      <c r="B1278" s="1612" t="s">
        <v>718</v>
      </c>
      <c r="C1278" s="1613"/>
      <c r="D1278" s="1613"/>
      <c r="E1278" s="1613"/>
      <c r="F1278" s="1613"/>
      <c r="G1278" s="1613"/>
      <c r="H1278" s="1614"/>
      <c r="I1278" s="1291"/>
      <c r="J1278" s="898"/>
      <c r="K1278" s="896"/>
      <c r="L1278" s="896"/>
      <c r="M1278" s="899"/>
      <c r="N1278" s="900" t="s">
        <v>2309</v>
      </c>
    </row>
    <row r="1279" spans="1:14" s="910" customFormat="1" ht="16.5" hidden="1" customHeight="1">
      <c r="A1279" s="896"/>
      <c r="B1279" s="902" t="s">
        <v>3951</v>
      </c>
      <c r="C1279" s="903"/>
      <c r="D1279" s="954" t="s">
        <v>3875</v>
      </c>
      <c r="E1279" s="905"/>
      <c r="F1279" s="906"/>
      <c r="G1279" s="906"/>
      <c r="H1279" s="907"/>
      <c r="I1279" s="1302"/>
      <c r="J1279" s="909"/>
      <c r="K1279" s="902"/>
      <c r="L1279" s="896"/>
      <c r="M1279" s="902"/>
      <c r="N1279" s="900" t="s">
        <v>2309</v>
      </c>
    </row>
    <row r="1280" spans="1:14" s="910" customFormat="1" ht="16.5" hidden="1" customHeight="1">
      <c r="A1280" s="896"/>
      <c r="B1280" s="911"/>
      <c r="C1280" s="912">
        <v>1</v>
      </c>
      <c r="D1280" s="913" t="s">
        <v>273</v>
      </c>
      <c r="E1280" s="914">
        <v>2</v>
      </c>
      <c r="F1280" s="915">
        <v>0</v>
      </c>
      <c r="G1280" s="915">
        <v>0</v>
      </c>
      <c r="H1280" s="915">
        <v>0</v>
      </c>
      <c r="I1280" s="1291">
        <f>ROUND(IF(AND(F1280:H1280),C1280*E1280*F1280*G1280*H1280,IF(AND(F1280,G1280),C1280*E1280*F1280*G1280,IF(AND(F1280,H1280),C1280*E1280*F1280*H1280,IF(AND(G1280,H1280),C1280*E1280*G1280*H1280,IF(F1280,C1280*E1280*F1280,IF(G1280,C1280*E1280*G1280,IF(H1280,C1280*E1280*H1280,C1280*E1280))))))),2)</f>
        <v>2</v>
      </c>
      <c r="J1280" s="909" t="s">
        <v>115</v>
      </c>
      <c r="K1280" s="902"/>
      <c r="L1280" s="896"/>
      <c r="M1280" s="902"/>
      <c r="N1280" s="900" t="s">
        <v>2309</v>
      </c>
    </row>
    <row r="1281" spans="1:14" s="910" customFormat="1" ht="16.5" hidden="1" customHeight="1">
      <c r="A1281" s="896"/>
      <c r="B1281" s="956"/>
      <c r="C1281" s="957"/>
      <c r="D1281" s="958"/>
      <c r="E1281" s="1268"/>
      <c r="F1281" s="960"/>
      <c r="G1281" s="960"/>
      <c r="H1281" s="960"/>
      <c r="I1281" s="1291"/>
      <c r="J1281" s="909"/>
      <c r="K1281" s="902"/>
      <c r="L1281" s="896"/>
      <c r="M1281" s="902"/>
      <c r="N1281" s="900" t="s">
        <v>2309</v>
      </c>
    </row>
    <row r="1282" spans="1:14" ht="15.75" hidden="1">
      <c r="A1282" s="896"/>
      <c r="B1282" s="902"/>
      <c r="C1282" s="917"/>
      <c r="D1282" s="918"/>
      <c r="E1282" s="919"/>
      <c r="F1282" s="920"/>
      <c r="G1282" s="921"/>
      <c r="H1282" s="896"/>
      <c r="I1282" s="1291"/>
      <c r="J1282" s="909" t="s">
        <v>115</v>
      </c>
      <c r="K1282" s="922">
        <f>'SANI 2022-23'!G147</f>
        <v>93</v>
      </c>
      <c r="L1282" s="923" t="s">
        <v>275</v>
      </c>
      <c r="M1282" s="924">
        <f>ROUND(I1282*K1282,0)</f>
        <v>0</v>
      </c>
      <c r="N1282" s="900" t="s">
        <v>2309</v>
      </c>
    </row>
    <row r="1283" spans="1:14" s="1403" customFormat="1" ht="58.5" customHeight="1">
      <c r="A1283" s="1397">
        <v>16</v>
      </c>
      <c r="B1283" s="1610" t="s">
        <v>290</v>
      </c>
      <c r="C1283" s="1610"/>
      <c r="D1283" s="1610"/>
      <c r="E1283" s="1610"/>
      <c r="F1283" s="1610"/>
      <c r="G1283" s="1610"/>
      <c r="H1283" s="1610"/>
      <c r="I1283" s="1398"/>
      <c r="J1283" s="1399"/>
      <c r="K1283" s="1397"/>
      <c r="L1283" s="1397"/>
      <c r="M1283" s="1401"/>
      <c r="N1283" s="1402" t="s">
        <v>2309</v>
      </c>
    </row>
    <row r="1284" spans="1:14" s="1411" customFormat="1" ht="16.5" customHeight="1">
      <c r="A1284" s="1397"/>
      <c r="B1284" s="1410" t="s">
        <v>3975</v>
      </c>
      <c r="C1284" s="1417"/>
      <c r="D1284" s="1395" t="s">
        <v>4022</v>
      </c>
      <c r="E1284" s="1419"/>
      <c r="F1284" s="1420"/>
      <c r="G1284" s="1420"/>
      <c r="H1284" s="1421"/>
      <c r="I1284" s="1422"/>
      <c r="J1284" s="1442"/>
      <c r="K1284" s="1410"/>
      <c r="L1284" s="1397"/>
      <c r="M1284" s="1410"/>
      <c r="N1284" s="1402" t="s">
        <v>2309</v>
      </c>
    </row>
    <row r="1285" spans="1:14" s="1411" customFormat="1" ht="16.5" customHeight="1">
      <c r="A1285" s="1397"/>
      <c r="B1285" s="1458"/>
      <c r="C1285" s="1459">
        <v>1</v>
      </c>
      <c r="D1285" s="1460" t="s">
        <v>273</v>
      </c>
      <c r="E1285" s="1461">
        <v>1</v>
      </c>
      <c r="F1285" s="1471">
        <v>500</v>
      </c>
      <c r="G1285" s="1448">
        <v>0</v>
      </c>
      <c r="H1285" s="1448">
        <v>0</v>
      </c>
      <c r="I1285" s="1430">
        <f>ROUND(IF(AND(F1285:H1285),C1285*E1285*F1285*G1285*H1285,IF(AND(F1285,G1285),C1285*E1285*F1285*G1285,IF(AND(F1285,H1285),C1285*E1285*F1285*H1285,IF(AND(G1285,H1285),C1285*E1285*G1285*H1285,IF(F1285,C1285*E1285*F1285,IF(G1285,C1285*E1285*G1285,IF(H1285,C1285*E1285*H1285,C1285*E1285))))))),2)</f>
        <v>500</v>
      </c>
      <c r="J1285" s="1442" t="s">
        <v>291</v>
      </c>
      <c r="K1285" s="1410"/>
      <c r="L1285" s="1397"/>
      <c r="M1285" s="1410"/>
      <c r="N1285" s="1402" t="s">
        <v>2309</v>
      </c>
    </row>
    <row r="1286" spans="1:14" s="1411" customFormat="1" ht="16.5" customHeight="1">
      <c r="A1286" s="1397"/>
      <c r="B1286" s="1458"/>
      <c r="C1286" s="1459"/>
      <c r="D1286" s="1460"/>
      <c r="E1286" s="1461"/>
      <c r="F1286" s="1471"/>
      <c r="G1286" s="1448"/>
      <c r="H1286" s="1448"/>
      <c r="I1286" s="1430"/>
      <c r="J1286" s="1442"/>
      <c r="K1286" s="1410"/>
      <c r="L1286" s="1397"/>
      <c r="M1286" s="1410"/>
      <c r="N1286" s="1402" t="s">
        <v>2309</v>
      </c>
    </row>
    <row r="1287" spans="1:14" s="1403" customFormat="1" ht="15.75">
      <c r="A1287" s="1397"/>
      <c r="B1287" s="1410"/>
      <c r="C1287" s="1431"/>
      <c r="D1287" s="1432"/>
      <c r="E1287" s="1413"/>
      <c r="F1287" s="1414"/>
      <c r="G1287" s="1433"/>
      <c r="H1287" s="1397"/>
      <c r="I1287" s="1430">
        <f>SUM(I1285:I1286)</f>
        <v>500</v>
      </c>
      <c r="J1287" s="1442" t="s">
        <v>291</v>
      </c>
      <c r="K1287" s="1434">
        <f>'SANI 2022-23'!G69</f>
        <v>9.5</v>
      </c>
      <c r="L1287" s="1400" t="s">
        <v>2422</v>
      </c>
      <c r="M1287" s="1435">
        <f>ROUND(I1287*K1287,0)</f>
        <v>4750</v>
      </c>
      <c r="N1287" s="1402" t="s">
        <v>2309</v>
      </c>
    </row>
    <row r="1288" spans="1:14" ht="146.25" hidden="1" customHeight="1">
      <c r="A1288" s="896">
        <v>10</v>
      </c>
      <c r="B1288" s="1609" t="s">
        <v>448</v>
      </c>
      <c r="C1288" s="1609"/>
      <c r="D1288" s="1609"/>
      <c r="E1288" s="1609"/>
      <c r="F1288" s="1609"/>
      <c r="G1288" s="1609"/>
      <c r="H1288" s="1609"/>
      <c r="I1288" s="897"/>
      <c r="J1288" s="898"/>
      <c r="K1288" s="896"/>
      <c r="L1288" s="896"/>
      <c r="M1288" s="899"/>
      <c r="N1288" s="900" t="s">
        <v>2309</v>
      </c>
    </row>
    <row r="1289" spans="1:14" s="910" customFormat="1" ht="16.5" hidden="1" customHeight="1">
      <c r="A1289" s="896"/>
      <c r="B1289" s="1212" t="s">
        <v>3428</v>
      </c>
      <c r="C1289" s="903"/>
      <c r="D1289" s="904"/>
      <c r="E1289" s="905"/>
      <c r="F1289" s="906"/>
      <c r="G1289" s="906"/>
      <c r="H1289" s="907"/>
      <c r="I1289" s="908"/>
      <c r="J1289" s="909"/>
      <c r="K1289" s="902"/>
      <c r="L1289" s="896"/>
      <c r="M1289" s="902"/>
      <c r="N1289" s="900" t="s">
        <v>2309</v>
      </c>
    </row>
    <row r="1290" spans="1:14" s="910" customFormat="1" ht="16.5" hidden="1" customHeight="1">
      <c r="A1290" s="896"/>
      <c r="B1290" s="911" t="s">
        <v>588</v>
      </c>
      <c r="C1290" s="912">
        <v>1</v>
      </c>
      <c r="D1290" s="913" t="s">
        <v>273</v>
      </c>
      <c r="E1290" s="914">
        <v>1</v>
      </c>
      <c r="F1290" s="1289">
        <v>58.85</v>
      </c>
      <c r="G1290" s="915">
        <v>0</v>
      </c>
      <c r="H1290" s="915">
        <v>0</v>
      </c>
      <c r="I1290" s="916"/>
      <c r="J1290" s="909" t="s">
        <v>277</v>
      </c>
      <c r="K1290" s="969">
        <f>'SANI 2022-23'!G108</f>
        <v>446.4</v>
      </c>
      <c r="L1290" s="923" t="s">
        <v>279</v>
      </c>
      <c r="M1290" s="924">
        <f>ROUND(I1290*K1290,0)</f>
        <v>0</v>
      </c>
      <c r="N1290" s="900" t="s">
        <v>2309</v>
      </c>
    </row>
    <row r="1291" spans="1:14" s="910" customFormat="1" ht="16.5" hidden="1" customHeight="1">
      <c r="A1291" s="896"/>
      <c r="B1291" s="956" t="s">
        <v>589</v>
      </c>
      <c r="C1291" s="957">
        <v>1</v>
      </c>
      <c r="D1291" s="958" t="s">
        <v>273</v>
      </c>
      <c r="E1291" s="1268">
        <v>1</v>
      </c>
      <c r="F1291" s="1306">
        <v>60</v>
      </c>
      <c r="G1291" s="960">
        <v>0</v>
      </c>
      <c r="H1291" s="960">
        <v>0</v>
      </c>
      <c r="I1291" s="916"/>
      <c r="J1291" s="909" t="s">
        <v>277</v>
      </c>
      <c r="K1291" s="969">
        <f>'SANI 2022-23'!G110</f>
        <v>477.6</v>
      </c>
      <c r="L1291" s="923" t="s">
        <v>279</v>
      </c>
      <c r="M1291" s="924">
        <f>ROUND(I1291*K1291,0)</f>
        <v>0</v>
      </c>
      <c r="N1291" s="900" t="s">
        <v>2309</v>
      </c>
    </row>
    <row r="1292" spans="1:14" s="910" customFormat="1" ht="16.5" hidden="1" customHeight="1">
      <c r="A1292" s="896"/>
      <c r="B1292" s="956" t="s">
        <v>590</v>
      </c>
      <c r="C1292" s="957">
        <v>1</v>
      </c>
      <c r="D1292" s="958" t="s">
        <v>273</v>
      </c>
      <c r="E1292" s="1268">
        <v>1</v>
      </c>
      <c r="F1292" s="1306">
        <v>60</v>
      </c>
      <c r="G1292" s="960">
        <v>0</v>
      </c>
      <c r="H1292" s="960">
        <v>0</v>
      </c>
      <c r="I1292" s="916"/>
      <c r="J1292" s="909" t="s">
        <v>277</v>
      </c>
      <c r="K1292" s="969">
        <f>'SANI 2022-23'!G112</f>
        <v>535.70000000000005</v>
      </c>
      <c r="L1292" s="923" t="s">
        <v>279</v>
      </c>
      <c r="M1292" s="924">
        <f>ROUND(I1292*K1292,0)</f>
        <v>0</v>
      </c>
      <c r="N1292" s="900" t="s">
        <v>2309</v>
      </c>
    </row>
    <row r="1293" spans="1:14" ht="15.75" hidden="1">
      <c r="A1293" s="896"/>
      <c r="B1293" s="902"/>
      <c r="C1293" s="917"/>
      <c r="D1293" s="918"/>
      <c r="E1293" s="919"/>
      <c r="F1293" s="920"/>
      <c r="G1293" s="921"/>
      <c r="H1293" s="896"/>
      <c r="I1293" s="916"/>
      <c r="J1293" s="909"/>
      <c r="K1293" s="922"/>
      <c r="L1293" s="922"/>
      <c r="M1293" s="924"/>
      <c r="N1293" s="900" t="s">
        <v>2309</v>
      </c>
    </row>
    <row r="1294" spans="1:14" ht="43.5" hidden="1" customHeight="1">
      <c r="A1294" s="896">
        <v>11</v>
      </c>
      <c r="B1294" s="1609" t="s">
        <v>449</v>
      </c>
      <c r="C1294" s="1609"/>
      <c r="D1294" s="1609"/>
      <c r="E1294" s="1609"/>
      <c r="F1294" s="1609"/>
      <c r="G1294" s="1609"/>
      <c r="H1294" s="1609"/>
      <c r="I1294" s="897"/>
      <c r="J1294" s="898"/>
      <c r="K1294" s="896"/>
      <c r="L1294" s="896"/>
      <c r="M1294" s="899"/>
      <c r="N1294" s="900" t="s">
        <v>2309</v>
      </c>
    </row>
    <row r="1295" spans="1:14" s="910" customFormat="1" ht="16.5" hidden="1" customHeight="1">
      <c r="A1295" s="896"/>
      <c r="B1295" s="1212" t="s">
        <v>3428</v>
      </c>
      <c r="C1295" s="903"/>
      <c r="D1295" s="904"/>
      <c r="E1295" s="905"/>
      <c r="F1295" s="906"/>
      <c r="G1295" s="906"/>
      <c r="H1295" s="907"/>
      <c r="I1295" s="908"/>
      <c r="J1295" s="909"/>
      <c r="K1295" s="902"/>
      <c r="L1295" s="896"/>
      <c r="M1295" s="902"/>
      <c r="N1295" s="900" t="s">
        <v>2309</v>
      </c>
    </row>
    <row r="1296" spans="1:14" s="910" customFormat="1" ht="16.5" hidden="1" customHeight="1">
      <c r="A1296" s="896"/>
      <c r="B1296" s="911"/>
      <c r="C1296" s="912">
        <v>1</v>
      </c>
      <c r="D1296" s="913" t="s">
        <v>273</v>
      </c>
      <c r="E1296" s="914">
        <v>1</v>
      </c>
      <c r="F1296" s="1289">
        <v>6</v>
      </c>
      <c r="G1296" s="915">
        <v>0</v>
      </c>
      <c r="H1296" s="915">
        <v>0</v>
      </c>
      <c r="I1296" s="916">
        <f>ROUND(IF(AND(F1296:H1296),C1296*E1296*F1296*G1296*H1296,IF(AND(F1296,G1296),C1296*E1296*F1296*G1296,IF(AND(F1296,H1296),C1296*E1296*F1296*H1296,IF(AND(G1296,H1296),C1296*E1296*G1296*H1296,IF(F1296,C1296*E1296*F1296,IF(G1296,C1296*E1296*G1296,IF(H1296,C1296*E1296*H1296,C1296*E1296))))))),2)</f>
        <v>6</v>
      </c>
      <c r="J1296" s="909" t="s">
        <v>277</v>
      </c>
      <c r="K1296" s="902"/>
      <c r="L1296" s="896"/>
      <c r="M1296" s="902"/>
      <c r="N1296" s="900" t="s">
        <v>2309</v>
      </c>
    </row>
    <row r="1297" spans="1:17" s="910" customFormat="1" ht="16.5" hidden="1" customHeight="1">
      <c r="A1297" s="896"/>
      <c r="B1297" s="911"/>
      <c r="C1297" s="912"/>
      <c r="D1297" s="913"/>
      <c r="E1297" s="914"/>
      <c r="F1297" s="1289"/>
      <c r="G1297" s="915"/>
      <c r="H1297" s="915"/>
      <c r="I1297" s="916"/>
      <c r="J1297" s="909"/>
      <c r="K1297" s="902"/>
      <c r="L1297" s="896"/>
      <c r="M1297" s="902"/>
      <c r="N1297" s="900" t="s">
        <v>2309</v>
      </c>
    </row>
    <row r="1298" spans="1:17" ht="15.75" hidden="1">
      <c r="A1298" s="896"/>
      <c r="B1298" s="902"/>
      <c r="C1298" s="917"/>
      <c r="D1298" s="918"/>
      <c r="E1298" s="919"/>
      <c r="F1298" s="920"/>
      <c r="G1298" s="921"/>
      <c r="H1298" s="896"/>
      <c r="I1298" s="916"/>
      <c r="J1298" s="909" t="s">
        <v>277</v>
      </c>
      <c r="K1298" s="922">
        <f>'SANI 2022-23'!G122</f>
        <v>325</v>
      </c>
      <c r="L1298" s="923" t="s">
        <v>279</v>
      </c>
      <c r="M1298" s="924">
        <f>ROUND(I1298*K1298,0)</f>
        <v>0</v>
      </c>
      <c r="N1298" s="900" t="s">
        <v>2309</v>
      </c>
    </row>
    <row r="1299" spans="1:17" s="1310" customFormat="1" ht="44.25" hidden="1" customHeight="1">
      <c r="A1299" s="1307">
        <v>12</v>
      </c>
      <c r="B1299" s="1630" t="s">
        <v>1534</v>
      </c>
      <c r="C1299" s="1630"/>
      <c r="D1299" s="1630"/>
      <c r="E1299" s="1630"/>
      <c r="F1299" s="1630"/>
      <c r="G1299" s="1630"/>
      <c r="H1299" s="1630"/>
      <c r="I1299" s="1308"/>
      <c r="J1299" s="1177"/>
      <c r="K1299" s="1307"/>
      <c r="L1299" s="1307"/>
      <c r="M1299" s="1309"/>
      <c r="N1299" s="900" t="s">
        <v>2309</v>
      </c>
      <c r="O1299" s="1310" t="s">
        <v>0</v>
      </c>
      <c r="Q1299" s="1310" t="s">
        <v>0</v>
      </c>
    </row>
    <row r="1300" spans="1:17" s="910" customFormat="1" ht="16.5" hidden="1" customHeight="1">
      <c r="A1300" s="896"/>
      <c r="B1300" s="1212" t="s">
        <v>3429</v>
      </c>
      <c r="C1300" s="903"/>
      <c r="D1300" s="904"/>
      <c r="E1300" s="905"/>
      <c r="F1300" s="906"/>
      <c r="G1300" s="906"/>
      <c r="H1300" s="907"/>
      <c r="I1300" s="908"/>
      <c r="J1300" s="909"/>
      <c r="K1300" s="902"/>
      <c r="L1300" s="896"/>
      <c r="M1300" s="902"/>
      <c r="N1300" s="900" t="s">
        <v>2309</v>
      </c>
    </row>
    <row r="1301" spans="1:17" s="1310" customFormat="1" ht="15.75" hidden="1">
      <c r="A1301" s="1307"/>
      <c r="B1301" s="1274"/>
      <c r="C1301" s="1311">
        <v>1</v>
      </c>
      <c r="D1301" s="1276" t="s">
        <v>273</v>
      </c>
      <c r="E1301" s="1177">
        <v>1</v>
      </c>
      <c r="F1301" s="1277">
        <v>0</v>
      </c>
      <c r="G1301" s="1208">
        <v>0</v>
      </c>
      <c r="H1301" s="1277">
        <v>0</v>
      </c>
      <c r="I1301" s="1312">
        <f>ROUND(IF(AND(F1301:H1301),C1301*E1301*F1301*G1301*H1301,IF(AND(F1301,G1301),C1301*E1301*F1301*G1301,IF(AND(F1301,H1301),C1301*E1301*F1301*H1301,IF(AND(G1301,H1301),C1301*E1301*G1301*H1301,IF(F1301,C1301*E1301*F1301,IF(G1301,C1301*E1301*G1301,IF(H1301,C1301*E1301*H1301,C1301*E1301))))))),2)</f>
        <v>1</v>
      </c>
      <c r="J1301" s="1148" t="s">
        <v>115</v>
      </c>
      <c r="K1301" s="1307"/>
      <c r="L1301" s="1307"/>
      <c r="M1301" s="1309"/>
      <c r="N1301" s="900" t="s">
        <v>2309</v>
      </c>
    </row>
    <row r="1302" spans="1:17" s="1310" customFormat="1" ht="15.75" hidden="1">
      <c r="A1302" s="1307"/>
      <c r="B1302" s="1274"/>
      <c r="C1302" s="1311"/>
      <c r="D1302" s="1276"/>
      <c r="E1302" s="1177"/>
      <c r="F1302" s="1277"/>
      <c r="G1302" s="1208"/>
      <c r="H1302" s="1277"/>
      <c r="I1302" s="1312"/>
      <c r="J1302" s="1148"/>
      <c r="K1302" s="1307"/>
      <c r="L1302" s="1307"/>
      <c r="M1302" s="1309"/>
      <c r="N1302" s="900" t="s">
        <v>2309</v>
      </c>
    </row>
    <row r="1303" spans="1:17" s="1310" customFormat="1" ht="15.75" hidden="1">
      <c r="A1303" s="1307"/>
      <c r="B1303" s="1383"/>
      <c r="C1303" s="1313"/>
      <c r="D1303" s="1314"/>
      <c r="E1303" s="1177"/>
      <c r="F1303" s="1315"/>
      <c r="G1303" s="1316"/>
      <c r="H1303" s="1315"/>
      <c r="I1303" s="1317"/>
      <c r="J1303" s="1148" t="s">
        <v>115</v>
      </c>
      <c r="K1303" s="1208">
        <f>'SANI 2022-23'!G119</f>
        <v>18370</v>
      </c>
      <c r="L1303" s="923" t="s">
        <v>275</v>
      </c>
      <c r="M1303" s="1318">
        <f>ROUND(I1303*K1303,0)</f>
        <v>0</v>
      </c>
      <c r="N1303" s="900" t="s">
        <v>2309</v>
      </c>
      <c r="O1303" s="1310" t="s">
        <v>0</v>
      </c>
    </row>
    <row r="1304" spans="1:17" s="1310" customFormat="1" ht="30.75" hidden="1" customHeight="1">
      <c r="A1304" s="1307">
        <v>13</v>
      </c>
      <c r="B1304" s="1630" t="s">
        <v>591</v>
      </c>
      <c r="C1304" s="1630"/>
      <c r="D1304" s="1630"/>
      <c r="E1304" s="1630"/>
      <c r="F1304" s="1630"/>
      <c r="G1304" s="1630"/>
      <c r="H1304" s="1630"/>
      <c r="I1304" s="1308"/>
      <c r="J1304" s="1177"/>
      <c r="K1304" s="1307"/>
      <c r="L1304" s="1307"/>
      <c r="M1304" s="1309"/>
      <c r="N1304" s="900" t="s">
        <v>2309</v>
      </c>
      <c r="O1304" s="1310" t="s">
        <v>0</v>
      </c>
      <c r="Q1304" s="1310" t="s">
        <v>0</v>
      </c>
    </row>
    <row r="1305" spans="1:17" s="910" customFormat="1" ht="16.5" hidden="1" customHeight="1">
      <c r="A1305" s="896"/>
      <c r="B1305" s="1212" t="s">
        <v>3429</v>
      </c>
      <c r="C1305" s="903"/>
      <c r="D1305" s="904"/>
      <c r="E1305" s="905"/>
      <c r="F1305" s="906"/>
      <c r="G1305" s="906"/>
      <c r="H1305" s="907"/>
      <c r="I1305" s="908"/>
      <c r="J1305" s="909"/>
      <c r="K1305" s="902"/>
      <c r="L1305" s="896"/>
      <c r="M1305" s="902"/>
      <c r="N1305" s="900" t="s">
        <v>2309</v>
      </c>
    </row>
    <row r="1306" spans="1:17" s="1310" customFormat="1" ht="15.75" hidden="1">
      <c r="A1306" s="1307"/>
      <c r="B1306" s="1274"/>
      <c r="C1306" s="1311">
        <v>1</v>
      </c>
      <c r="D1306" s="1276" t="s">
        <v>273</v>
      </c>
      <c r="E1306" s="1177">
        <v>1</v>
      </c>
      <c r="F1306" s="1319">
        <v>58</v>
      </c>
      <c r="G1306" s="1208">
        <v>0</v>
      </c>
      <c r="H1306" s="1277">
        <v>0</v>
      </c>
      <c r="I1306" s="1320">
        <f>ROUND(IF(AND(F1306:H1306),C1306*E1306*F1306*G1306*H1306,IF(AND(F1306,G1306),C1306*E1306*F1306*G1306,IF(AND(F1306,H1306),C1306*E1306*F1306*H1306,IF(AND(G1306,H1306),C1306*E1306*G1306*H1306,IF(F1306,C1306*E1306*F1306,IF(G1306,C1306*E1306*G1306,IF(H1306,C1306*E1306*H1306,C1306*E1306))))))),2)</f>
        <v>58</v>
      </c>
      <c r="J1306" s="1148" t="s">
        <v>277</v>
      </c>
      <c r="K1306" s="1307"/>
      <c r="L1306" s="1307"/>
      <c r="M1306" s="1309"/>
      <c r="N1306" s="900" t="s">
        <v>2309</v>
      </c>
    </row>
    <row r="1307" spans="1:17" s="1310" customFormat="1" ht="15.75" hidden="1">
      <c r="A1307" s="1307"/>
      <c r="B1307" s="1274"/>
      <c r="C1307" s="1311"/>
      <c r="D1307" s="1276"/>
      <c r="E1307" s="1177"/>
      <c r="F1307" s="1319"/>
      <c r="G1307" s="1208"/>
      <c r="H1307" s="1277"/>
      <c r="I1307" s="1320"/>
      <c r="J1307" s="1148"/>
      <c r="K1307" s="1307"/>
      <c r="L1307" s="1307"/>
      <c r="M1307" s="1309"/>
      <c r="N1307" s="900" t="s">
        <v>2309</v>
      </c>
    </row>
    <row r="1308" spans="1:17" s="1310" customFormat="1" ht="15.75" hidden="1">
      <c r="A1308" s="1307"/>
      <c r="B1308" s="1383"/>
      <c r="C1308" s="1313"/>
      <c r="D1308" s="1314"/>
      <c r="E1308" s="1177"/>
      <c r="F1308" s="1315"/>
      <c r="G1308" s="1316"/>
      <c r="H1308" s="1315"/>
      <c r="I1308" s="1207"/>
      <c r="J1308" s="1148" t="s">
        <v>277</v>
      </c>
      <c r="K1308" s="1208">
        <f>'SANI 2022-23'!G125</f>
        <v>85</v>
      </c>
      <c r="L1308" s="923" t="s">
        <v>279</v>
      </c>
      <c r="M1308" s="1318">
        <f>ROUND(I1308*K1308,0)</f>
        <v>0</v>
      </c>
      <c r="N1308" s="900" t="s">
        <v>2309</v>
      </c>
      <c r="O1308" s="1310" t="s">
        <v>0</v>
      </c>
    </row>
    <row r="1309" spans="1:17" s="1310" customFormat="1" ht="20.25" hidden="1" customHeight="1">
      <c r="A1309" s="1307">
        <v>14</v>
      </c>
      <c r="B1309" s="1630" t="s">
        <v>284</v>
      </c>
      <c r="C1309" s="1630"/>
      <c r="D1309" s="1630"/>
      <c r="E1309" s="1630"/>
      <c r="F1309" s="1630"/>
      <c r="G1309" s="1630"/>
      <c r="H1309" s="1630"/>
      <c r="I1309" s="1308"/>
      <c r="J1309" s="1177"/>
      <c r="K1309" s="1307"/>
      <c r="L1309" s="1307"/>
      <c r="M1309" s="1309"/>
      <c r="N1309" s="900" t="s">
        <v>2309</v>
      </c>
      <c r="O1309" s="1310" t="s">
        <v>0</v>
      </c>
      <c r="Q1309" s="1310" t="s">
        <v>0</v>
      </c>
    </row>
    <row r="1310" spans="1:17" s="910" customFormat="1" ht="16.5" hidden="1" customHeight="1">
      <c r="A1310" s="896"/>
      <c r="B1310" s="1212" t="s">
        <v>3429</v>
      </c>
      <c r="C1310" s="903"/>
      <c r="D1310" s="904"/>
      <c r="E1310" s="905"/>
      <c r="F1310" s="906"/>
      <c r="G1310" s="906"/>
      <c r="H1310" s="907"/>
      <c r="I1310" s="908"/>
      <c r="J1310" s="909"/>
      <c r="K1310" s="902"/>
      <c r="L1310" s="896"/>
      <c r="M1310" s="902"/>
      <c r="N1310" s="900" t="s">
        <v>2309</v>
      </c>
    </row>
    <row r="1311" spans="1:17" s="1310" customFormat="1" ht="15.75" hidden="1">
      <c r="A1311" s="1307"/>
      <c r="B1311" s="1274"/>
      <c r="C1311" s="1311">
        <v>1</v>
      </c>
      <c r="D1311" s="1276" t="s">
        <v>273</v>
      </c>
      <c r="E1311" s="1177">
        <v>1</v>
      </c>
      <c r="F1311" s="1277">
        <v>0</v>
      </c>
      <c r="G1311" s="1208">
        <v>0</v>
      </c>
      <c r="H1311" s="1277">
        <v>0</v>
      </c>
      <c r="I1311" s="1312">
        <f>ROUND(IF(AND(F1311:H1311),C1311*E1311*F1311*G1311*H1311,IF(AND(F1311,G1311),C1311*E1311*F1311*G1311,IF(AND(F1311,H1311),C1311*E1311*F1311*H1311,IF(AND(G1311,H1311),C1311*E1311*G1311*H1311,IF(F1311,C1311*E1311*F1311,IF(G1311,C1311*E1311*G1311,IF(H1311,C1311*E1311*H1311,C1311*E1311))))))),2)</f>
        <v>1</v>
      </c>
      <c r="J1311" s="1148" t="s">
        <v>115</v>
      </c>
      <c r="K1311" s="1307"/>
      <c r="L1311" s="1307"/>
      <c r="M1311" s="1309"/>
      <c r="N1311" s="900" t="s">
        <v>2309</v>
      </c>
    </row>
    <row r="1312" spans="1:17" s="1310" customFormat="1" ht="15.75" hidden="1">
      <c r="A1312" s="1307"/>
      <c r="B1312" s="1274"/>
      <c r="C1312" s="1311"/>
      <c r="D1312" s="1276"/>
      <c r="E1312" s="1177"/>
      <c r="F1312" s="1277"/>
      <c r="G1312" s="1208"/>
      <c r="H1312" s="1277"/>
      <c r="I1312" s="1312"/>
      <c r="J1312" s="1148"/>
      <c r="K1312" s="1307"/>
      <c r="L1312" s="1307"/>
      <c r="M1312" s="1309"/>
      <c r="N1312" s="900" t="s">
        <v>2309</v>
      </c>
    </row>
    <row r="1313" spans="1:17" s="1310" customFormat="1" ht="15.75" hidden="1">
      <c r="A1313" s="1307"/>
      <c r="B1313" s="1383"/>
      <c r="C1313" s="1313"/>
      <c r="D1313" s="1314"/>
      <c r="E1313" s="1177"/>
      <c r="F1313" s="1315"/>
      <c r="G1313" s="1316"/>
      <c r="H1313" s="1315"/>
      <c r="I1313" s="1317"/>
      <c r="J1313" s="1148" t="s">
        <v>115</v>
      </c>
      <c r="K1313" s="1208">
        <f>'SANI 2022-23'!G131</f>
        <v>300</v>
      </c>
      <c r="L1313" s="923" t="s">
        <v>275</v>
      </c>
      <c r="M1313" s="1318">
        <f>ROUND(I1313*K1313,0)</f>
        <v>0</v>
      </c>
      <c r="N1313" s="900" t="s">
        <v>2309</v>
      </c>
      <c r="O1313" s="1310" t="s">
        <v>0</v>
      </c>
    </row>
    <row r="1314" spans="1:17" s="1310" customFormat="1" ht="20.25" hidden="1" customHeight="1">
      <c r="A1314" s="1307">
        <v>15</v>
      </c>
      <c r="B1314" s="1630" t="s">
        <v>285</v>
      </c>
      <c r="C1314" s="1630"/>
      <c r="D1314" s="1630"/>
      <c r="E1314" s="1630"/>
      <c r="F1314" s="1630"/>
      <c r="G1314" s="1630"/>
      <c r="H1314" s="1630"/>
      <c r="I1314" s="1308"/>
      <c r="J1314" s="1177"/>
      <c r="K1314" s="1307"/>
      <c r="L1314" s="1307"/>
      <c r="M1314" s="1309"/>
      <c r="N1314" s="900" t="s">
        <v>2309</v>
      </c>
      <c r="O1314" s="1310" t="s">
        <v>0</v>
      </c>
      <c r="Q1314" s="1310" t="s">
        <v>0</v>
      </c>
    </row>
    <row r="1315" spans="1:17" s="910" customFormat="1" ht="16.5" hidden="1" customHeight="1">
      <c r="A1315" s="896"/>
      <c r="B1315" s="902" t="s">
        <v>2135</v>
      </c>
      <c r="C1315" s="903"/>
      <c r="D1315" s="904"/>
      <c r="E1315" s="905"/>
      <c r="F1315" s="906"/>
      <c r="G1315" s="906"/>
      <c r="H1315" s="907"/>
      <c r="I1315" s="908"/>
      <c r="J1315" s="909"/>
      <c r="K1315" s="902"/>
      <c r="L1315" s="896"/>
      <c r="M1315" s="902"/>
      <c r="N1315" s="900" t="s">
        <v>2309</v>
      </c>
    </row>
    <row r="1316" spans="1:17" s="1310" customFormat="1" ht="15.75" hidden="1">
      <c r="A1316" s="1307"/>
      <c r="B1316" s="1274"/>
      <c r="C1316" s="1311">
        <v>1</v>
      </c>
      <c r="D1316" s="1276" t="s">
        <v>273</v>
      </c>
      <c r="E1316" s="1177">
        <v>1</v>
      </c>
      <c r="F1316" s="1277">
        <v>0.5</v>
      </c>
      <c r="G1316" s="1208">
        <v>0</v>
      </c>
      <c r="H1316" s="1277">
        <v>0</v>
      </c>
      <c r="I1316" s="1320">
        <f>ROUND(IF(AND(F1316:H1316),C1316*E1316*F1316*G1316*H1316,IF(AND(F1316,G1316),C1316*E1316*F1316*G1316,IF(AND(F1316,H1316),C1316*E1316*F1316*H1316,IF(AND(G1316,H1316),C1316*E1316*G1316*H1316,IF(F1316,C1316*E1316*F1316,IF(G1316,C1316*E1316*G1316,IF(H1316,C1316*E1316*H1316,C1316*E1316))))))),2)</f>
        <v>0.5</v>
      </c>
      <c r="J1316" s="1148" t="s">
        <v>277</v>
      </c>
      <c r="K1316" s="1307"/>
      <c r="L1316" s="1307"/>
      <c r="M1316" s="1309"/>
      <c r="N1316" s="900" t="s">
        <v>2309</v>
      </c>
    </row>
    <row r="1317" spans="1:17" s="1310" customFormat="1" ht="15.75" hidden="1">
      <c r="A1317" s="1307"/>
      <c r="B1317" s="1274"/>
      <c r="C1317" s="1311"/>
      <c r="D1317" s="1276"/>
      <c r="E1317" s="1177"/>
      <c r="F1317" s="1277"/>
      <c r="G1317" s="1208"/>
      <c r="H1317" s="1277"/>
      <c r="I1317" s="1320"/>
      <c r="J1317" s="1148"/>
      <c r="K1317" s="1307"/>
      <c r="L1317" s="1307"/>
      <c r="M1317" s="1309"/>
      <c r="N1317" s="900" t="s">
        <v>2309</v>
      </c>
    </row>
    <row r="1318" spans="1:17" s="1310" customFormat="1" ht="15.75" hidden="1">
      <c r="A1318" s="1307"/>
      <c r="B1318" s="1383"/>
      <c r="C1318" s="1313"/>
      <c r="D1318" s="1314"/>
      <c r="E1318" s="1177"/>
      <c r="F1318" s="1315"/>
      <c r="G1318" s="1316"/>
      <c r="H1318" s="1315"/>
      <c r="I1318" s="1207"/>
      <c r="J1318" s="1148" t="s">
        <v>277</v>
      </c>
      <c r="K1318" s="1208">
        <f>'SANI 2022-23'!G134</f>
        <v>400</v>
      </c>
      <c r="L1318" s="923" t="s">
        <v>279</v>
      </c>
      <c r="M1318" s="1318">
        <f>ROUND(I1318*K1318,0)</f>
        <v>0</v>
      </c>
      <c r="N1318" s="900" t="s">
        <v>2309</v>
      </c>
      <c r="O1318" s="1310" t="s">
        <v>0</v>
      </c>
    </row>
    <row r="1319" spans="1:17" s="1310" customFormat="1" ht="20.25" hidden="1" customHeight="1">
      <c r="A1319" s="1307">
        <v>17</v>
      </c>
      <c r="B1319" s="1630" t="s">
        <v>286</v>
      </c>
      <c r="C1319" s="1630"/>
      <c r="D1319" s="1630"/>
      <c r="E1319" s="1630"/>
      <c r="F1319" s="1630"/>
      <c r="G1319" s="1630"/>
      <c r="H1319" s="1630"/>
      <c r="I1319" s="1308"/>
      <c r="J1319" s="1177"/>
      <c r="K1319" s="1307"/>
      <c r="L1319" s="1307"/>
      <c r="M1319" s="1309"/>
      <c r="N1319" s="900" t="s">
        <v>2309</v>
      </c>
      <c r="O1319" s="1310" t="s">
        <v>0</v>
      </c>
      <c r="Q1319" s="1310" t="s">
        <v>0</v>
      </c>
    </row>
    <row r="1320" spans="1:17" s="910" customFormat="1" ht="16.5" hidden="1" customHeight="1">
      <c r="A1320" s="896"/>
      <c r="B1320" s="902" t="s">
        <v>3430</v>
      </c>
      <c r="C1320" s="903"/>
      <c r="D1320" s="904"/>
      <c r="E1320" s="905"/>
      <c r="F1320" s="906"/>
      <c r="G1320" s="906"/>
      <c r="H1320" s="907"/>
      <c r="I1320" s="908"/>
      <c r="J1320" s="909"/>
      <c r="K1320" s="902"/>
      <c r="L1320" s="896"/>
      <c r="M1320" s="902"/>
      <c r="N1320" s="900" t="s">
        <v>2309</v>
      </c>
    </row>
    <row r="1321" spans="1:17" s="1310" customFormat="1" ht="15.75" hidden="1">
      <c r="A1321" s="1307"/>
      <c r="B1321" s="1274"/>
      <c r="C1321" s="1311">
        <v>1</v>
      </c>
      <c r="D1321" s="1276" t="s">
        <v>273</v>
      </c>
      <c r="E1321" s="1177">
        <v>1</v>
      </c>
      <c r="F1321" s="1277">
        <v>0</v>
      </c>
      <c r="G1321" s="1208">
        <v>0</v>
      </c>
      <c r="H1321" s="1277">
        <v>0</v>
      </c>
      <c r="I1321" s="1312">
        <f>ROUND(IF(AND(F1321:H1321),C1321*E1321*F1321*G1321*H1321,IF(AND(F1321,G1321),C1321*E1321*F1321*G1321,IF(AND(F1321,H1321),C1321*E1321*F1321*H1321,IF(AND(G1321,H1321),C1321*E1321*G1321*H1321,IF(F1321,C1321*E1321*F1321,IF(G1321,C1321*E1321*G1321,IF(H1321,C1321*E1321*H1321,C1321*E1321))))))),2)</f>
        <v>1</v>
      </c>
      <c r="J1321" s="1148" t="s">
        <v>115</v>
      </c>
      <c r="K1321" s="1307"/>
      <c r="L1321" s="1307"/>
      <c r="M1321" s="1309"/>
      <c r="N1321" s="900" t="s">
        <v>2309</v>
      </c>
    </row>
    <row r="1322" spans="1:17" s="1310" customFormat="1" ht="15.75" hidden="1">
      <c r="A1322" s="1307"/>
      <c r="B1322" s="1274"/>
      <c r="C1322" s="1311"/>
      <c r="D1322" s="1276"/>
      <c r="E1322" s="1177"/>
      <c r="F1322" s="1277"/>
      <c r="G1322" s="1208"/>
      <c r="H1322" s="1277"/>
      <c r="I1322" s="1312"/>
      <c r="J1322" s="1148"/>
      <c r="K1322" s="1307"/>
      <c r="L1322" s="1307"/>
      <c r="M1322" s="1309"/>
      <c r="N1322" s="900" t="s">
        <v>2309</v>
      </c>
    </row>
    <row r="1323" spans="1:17" s="1310" customFormat="1" ht="15.75" hidden="1">
      <c r="A1323" s="1307"/>
      <c r="B1323" s="1383"/>
      <c r="C1323" s="1313"/>
      <c r="D1323" s="1314"/>
      <c r="E1323" s="1177"/>
      <c r="F1323" s="1315"/>
      <c r="G1323" s="1316"/>
      <c r="H1323" s="1315"/>
      <c r="I1323" s="1317"/>
      <c r="J1323" s="1148" t="s">
        <v>115</v>
      </c>
      <c r="K1323" s="1208">
        <f>'SANI 2022-23'!G137</f>
        <v>77</v>
      </c>
      <c r="L1323" s="923" t="s">
        <v>275</v>
      </c>
      <c r="M1323" s="1318">
        <f>ROUND(I1323*K1323,0)</f>
        <v>0</v>
      </c>
      <c r="N1323" s="900" t="s">
        <v>2309</v>
      </c>
      <c r="O1323" s="1310" t="s">
        <v>0</v>
      </c>
    </row>
    <row r="1324" spans="1:17" s="1310" customFormat="1" ht="20.25" hidden="1" customHeight="1">
      <c r="A1324" s="1307">
        <v>18</v>
      </c>
      <c r="B1324" s="1630" t="s">
        <v>287</v>
      </c>
      <c r="C1324" s="1630"/>
      <c r="D1324" s="1630"/>
      <c r="E1324" s="1630"/>
      <c r="F1324" s="1630"/>
      <c r="G1324" s="1630"/>
      <c r="H1324" s="1630"/>
      <c r="I1324" s="1308"/>
      <c r="J1324" s="1177"/>
      <c r="K1324" s="1307"/>
      <c r="L1324" s="1307"/>
      <c r="M1324" s="1309"/>
      <c r="N1324" s="900" t="s">
        <v>2309</v>
      </c>
      <c r="O1324" s="1310" t="s">
        <v>0</v>
      </c>
      <c r="Q1324" s="1310" t="s">
        <v>0</v>
      </c>
    </row>
    <row r="1325" spans="1:17" s="910" customFormat="1" ht="16.5" hidden="1" customHeight="1">
      <c r="A1325" s="896"/>
      <c r="B1325" s="1212" t="s">
        <v>3431</v>
      </c>
      <c r="C1325" s="903"/>
      <c r="D1325" s="904"/>
      <c r="E1325" s="905"/>
      <c r="F1325" s="906"/>
      <c r="G1325" s="906"/>
      <c r="H1325" s="907"/>
      <c r="I1325" s="908"/>
      <c r="J1325" s="909"/>
      <c r="K1325" s="902"/>
      <c r="L1325" s="896"/>
      <c r="M1325" s="902"/>
      <c r="N1325" s="900" t="s">
        <v>2309</v>
      </c>
    </row>
    <row r="1326" spans="1:17" s="1310" customFormat="1" ht="15.75" hidden="1">
      <c r="A1326" s="1307"/>
      <c r="B1326" s="1274"/>
      <c r="C1326" s="1311">
        <v>1</v>
      </c>
      <c r="D1326" s="1276" t="s">
        <v>273</v>
      </c>
      <c r="E1326" s="1177">
        <v>1</v>
      </c>
      <c r="F1326" s="1277">
        <v>0</v>
      </c>
      <c r="G1326" s="1208">
        <v>0</v>
      </c>
      <c r="H1326" s="1277">
        <v>0</v>
      </c>
      <c r="I1326" s="1312">
        <f>ROUND(IF(AND(F1326:H1326),C1326*E1326*F1326*G1326*H1326,IF(AND(F1326,G1326),C1326*E1326*F1326*G1326,IF(AND(F1326,H1326),C1326*E1326*F1326*H1326,IF(AND(G1326,H1326),C1326*E1326*G1326*H1326,IF(F1326,C1326*E1326*F1326,IF(G1326,C1326*E1326*G1326,IF(H1326,C1326*E1326*H1326,C1326*E1326))))))),2)</f>
        <v>1</v>
      </c>
      <c r="J1326" s="1148" t="s">
        <v>115</v>
      </c>
      <c r="K1326" s="1307"/>
      <c r="L1326" s="1307"/>
      <c r="M1326" s="1309"/>
      <c r="N1326" s="900" t="s">
        <v>2309</v>
      </c>
    </row>
    <row r="1327" spans="1:17" s="1310" customFormat="1" ht="15.75" hidden="1">
      <c r="A1327" s="1307"/>
      <c r="B1327" s="1274"/>
      <c r="C1327" s="1311"/>
      <c r="D1327" s="1276"/>
      <c r="E1327" s="1177"/>
      <c r="F1327" s="1277"/>
      <c r="G1327" s="1208"/>
      <c r="H1327" s="1277"/>
      <c r="I1327" s="1312"/>
      <c r="J1327" s="1148"/>
      <c r="K1327" s="1307"/>
      <c r="L1327" s="1307"/>
      <c r="M1327" s="1309"/>
      <c r="N1327" s="900" t="s">
        <v>2309</v>
      </c>
    </row>
    <row r="1328" spans="1:17" s="1310" customFormat="1" ht="15.75" hidden="1">
      <c r="A1328" s="1307"/>
      <c r="B1328" s="1383"/>
      <c r="C1328" s="1313"/>
      <c r="D1328" s="1314"/>
      <c r="E1328" s="1177"/>
      <c r="F1328" s="1315"/>
      <c r="G1328" s="1316"/>
      <c r="H1328" s="1315"/>
      <c r="I1328" s="1317"/>
      <c r="J1328" s="1148" t="s">
        <v>115</v>
      </c>
      <c r="K1328" s="1208">
        <f>'SANI 2022-23'!G128</f>
        <v>194</v>
      </c>
      <c r="L1328" s="923" t="s">
        <v>275</v>
      </c>
      <c r="M1328" s="1318">
        <f>ROUND(I1328*K1328,0)</f>
        <v>0</v>
      </c>
      <c r="N1328" s="900" t="s">
        <v>2309</v>
      </c>
      <c r="O1328" s="1310" t="s">
        <v>0</v>
      </c>
    </row>
    <row r="1329" spans="1:17" s="1310" customFormat="1" ht="48" hidden="1" customHeight="1">
      <c r="A1329" s="1307">
        <v>16</v>
      </c>
      <c r="B1329" s="1630" t="s">
        <v>288</v>
      </c>
      <c r="C1329" s="1630"/>
      <c r="D1329" s="1630"/>
      <c r="E1329" s="1630"/>
      <c r="F1329" s="1630"/>
      <c r="G1329" s="1630"/>
      <c r="H1329" s="1630"/>
      <c r="I1329" s="1308"/>
      <c r="J1329" s="1177"/>
      <c r="K1329" s="1307"/>
      <c r="L1329" s="1307"/>
      <c r="M1329" s="1309"/>
      <c r="N1329" s="900" t="s">
        <v>2309</v>
      </c>
      <c r="O1329" s="1310" t="s">
        <v>0</v>
      </c>
      <c r="Q1329" s="1310" t="s">
        <v>0</v>
      </c>
    </row>
    <row r="1330" spans="1:17" s="910" customFormat="1" ht="16.5" hidden="1" customHeight="1">
      <c r="A1330" s="896"/>
      <c r="B1330" s="1212" t="s">
        <v>3429</v>
      </c>
      <c r="C1330" s="903"/>
      <c r="D1330" s="904"/>
      <c r="E1330" s="905"/>
      <c r="F1330" s="906"/>
      <c r="G1330" s="906"/>
      <c r="H1330" s="907"/>
      <c r="I1330" s="908"/>
      <c r="J1330" s="909"/>
      <c r="K1330" s="902"/>
      <c r="L1330" s="896"/>
      <c r="M1330" s="902"/>
      <c r="N1330" s="900" t="s">
        <v>2309</v>
      </c>
    </row>
    <row r="1331" spans="1:17" s="1310" customFormat="1" ht="15.75" hidden="1">
      <c r="A1331" s="1307"/>
      <c r="B1331" s="1274"/>
      <c r="C1331" s="1311">
        <v>1</v>
      </c>
      <c r="D1331" s="1276" t="s">
        <v>273</v>
      </c>
      <c r="E1331" s="1177">
        <v>1</v>
      </c>
      <c r="F1331" s="1208">
        <v>96</v>
      </c>
      <c r="G1331" s="1208">
        <v>0</v>
      </c>
      <c r="H1331" s="1277">
        <v>0</v>
      </c>
      <c r="I1331" s="1320">
        <f>ROUND(IF(AND(F1331:H1331),C1331*E1331*F1331*G1331*H1331,IF(AND(F1331,G1331),C1331*E1331*F1331*G1331,IF(AND(F1331,H1331),C1331*E1331*F1331*H1331,IF(AND(G1331,H1331),C1331*E1331*G1331*H1331,IF(F1331,C1331*E1331*F1331,IF(G1331,C1331*E1331*G1331,IF(H1331,C1331*E1331*H1331,C1331*E1331))))))),2)</f>
        <v>96</v>
      </c>
      <c r="J1331" s="1148" t="s">
        <v>277</v>
      </c>
      <c r="K1331" s="1307"/>
      <c r="L1331" s="1307"/>
      <c r="M1331" s="1309"/>
      <c r="N1331" s="900" t="s">
        <v>2309</v>
      </c>
    </row>
    <row r="1332" spans="1:17" s="1310" customFormat="1" ht="15.75" hidden="1">
      <c r="A1332" s="1307"/>
      <c r="B1332" s="1274"/>
      <c r="C1332" s="1311"/>
      <c r="D1332" s="1276"/>
      <c r="E1332" s="1177"/>
      <c r="F1332" s="1208"/>
      <c r="G1332" s="1208"/>
      <c r="H1332" s="1277"/>
      <c r="I1332" s="1320"/>
      <c r="J1332" s="1148"/>
      <c r="K1332" s="1307"/>
      <c r="L1332" s="1307"/>
      <c r="M1332" s="1309"/>
      <c r="N1332" s="900" t="s">
        <v>2309</v>
      </c>
    </row>
    <row r="1333" spans="1:17" s="1310" customFormat="1" ht="17.25" hidden="1" customHeight="1">
      <c r="A1333" s="1307"/>
      <c r="B1333" s="1383"/>
      <c r="C1333" s="1313"/>
      <c r="D1333" s="1314"/>
      <c r="E1333" s="1177"/>
      <c r="F1333" s="1315"/>
      <c r="G1333" s="1316"/>
      <c r="H1333" s="1315"/>
      <c r="I1333" s="1207"/>
      <c r="J1333" s="1148" t="s">
        <v>277</v>
      </c>
      <c r="K1333" s="1208">
        <f>'SANI 2022-23'!G140</f>
        <v>105</v>
      </c>
      <c r="L1333" s="923" t="s">
        <v>279</v>
      </c>
      <c r="M1333" s="1318">
        <f>ROUND(I1333*K1333,0)</f>
        <v>0</v>
      </c>
      <c r="N1333" s="900" t="s">
        <v>2309</v>
      </c>
      <c r="O1333" s="1310" t="s">
        <v>0</v>
      </c>
    </row>
    <row r="1334" spans="1:17" s="1310" customFormat="1" ht="81" hidden="1" customHeight="1">
      <c r="A1334" s="1307">
        <v>17</v>
      </c>
      <c r="B1334" s="1631" t="s">
        <v>381</v>
      </c>
      <c r="C1334" s="1630"/>
      <c r="D1334" s="1630"/>
      <c r="E1334" s="1630"/>
      <c r="F1334" s="1630"/>
      <c r="G1334" s="1630"/>
      <c r="H1334" s="1630"/>
      <c r="I1334" s="1308"/>
      <c r="J1334" s="1177"/>
      <c r="K1334" s="1307"/>
      <c r="L1334" s="1307"/>
      <c r="M1334" s="1309"/>
      <c r="N1334" s="900" t="s">
        <v>2309</v>
      </c>
      <c r="O1334" s="1310" t="s">
        <v>0</v>
      </c>
      <c r="Q1334" s="1310" t="s">
        <v>0</v>
      </c>
    </row>
    <row r="1335" spans="1:17" s="910" customFormat="1" ht="16.5" hidden="1" customHeight="1">
      <c r="A1335" s="896"/>
      <c r="B1335" s="1212" t="s">
        <v>3431</v>
      </c>
      <c r="C1335" s="903"/>
      <c r="D1335" s="904"/>
      <c r="E1335" s="905"/>
      <c r="F1335" s="906"/>
      <c r="G1335" s="906"/>
      <c r="H1335" s="907"/>
      <c r="I1335" s="908"/>
      <c r="J1335" s="909"/>
      <c r="K1335" s="902"/>
      <c r="L1335" s="896"/>
      <c r="M1335" s="902"/>
      <c r="N1335" s="900" t="s">
        <v>2309</v>
      </c>
    </row>
    <row r="1336" spans="1:17" s="1310" customFormat="1" ht="15.75" hidden="1">
      <c r="A1336" s="1307"/>
      <c r="B1336" s="1274"/>
      <c r="C1336" s="1311">
        <v>1</v>
      </c>
      <c r="D1336" s="1276" t="s">
        <v>273</v>
      </c>
      <c r="E1336" s="1177">
        <v>1</v>
      </c>
      <c r="F1336" s="1277">
        <v>0</v>
      </c>
      <c r="G1336" s="1208">
        <v>0</v>
      </c>
      <c r="H1336" s="1277">
        <v>0</v>
      </c>
      <c r="I1336" s="1312">
        <f>ROUND(IF(AND(F1336:H1336),C1336*E1336*F1336*G1336*H1336,IF(AND(F1336,G1336),C1336*E1336*F1336*G1336,IF(AND(F1336,H1336),C1336*E1336*F1336*H1336,IF(AND(G1336,H1336),C1336*E1336*G1336*H1336,IF(F1336,C1336*E1336*F1336,IF(G1336,C1336*E1336*G1336,IF(H1336,C1336*E1336*H1336,C1336*E1336))))))),2)</f>
        <v>1</v>
      </c>
      <c r="J1336" s="1148" t="s">
        <v>115</v>
      </c>
      <c r="K1336" s="1307"/>
      <c r="L1336" s="1307"/>
      <c r="M1336" s="1309"/>
      <c r="N1336" s="900" t="s">
        <v>2309</v>
      </c>
    </row>
    <row r="1337" spans="1:17" s="1310" customFormat="1" ht="15.75" hidden="1">
      <c r="A1337" s="1307"/>
      <c r="B1337" s="1274"/>
      <c r="C1337" s="1311"/>
      <c r="D1337" s="1276"/>
      <c r="E1337" s="1177"/>
      <c r="F1337" s="1277"/>
      <c r="G1337" s="1208"/>
      <c r="H1337" s="1277"/>
      <c r="I1337" s="1312"/>
      <c r="J1337" s="1148"/>
      <c r="K1337" s="1307"/>
      <c r="L1337" s="1307"/>
      <c r="M1337" s="1309"/>
      <c r="N1337" s="900" t="s">
        <v>2309</v>
      </c>
    </row>
    <row r="1338" spans="1:17" s="1310" customFormat="1" ht="17.25" hidden="1" customHeight="1">
      <c r="A1338" s="1307"/>
      <c r="B1338" s="1383"/>
      <c r="C1338" s="1313"/>
      <c r="D1338" s="1314"/>
      <c r="E1338" s="1177"/>
      <c r="F1338" s="1315"/>
      <c r="G1338" s="1316"/>
      <c r="H1338" s="1315"/>
      <c r="I1338" s="1317"/>
      <c r="J1338" s="1148" t="s">
        <v>115</v>
      </c>
      <c r="K1338" s="1208">
        <f>'SANI 2022-23'!G143</f>
        <v>5445</v>
      </c>
      <c r="L1338" s="923" t="s">
        <v>275</v>
      </c>
      <c r="M1338" s="1318">
        <f>ROUND(I1338*K1338,0)</f>
        <v>0</v>
      </c>
      <c r="N1338" s="900" t="s">
        <v>2309</v>
      </c>
      <c r="O1338" s="1310" t="s">
        <v>0</v>
      </c>
    </row>
    <row r="1339" spans="1:17" s="1310" customFormat="1" ht="17.25" hidden="1" customHeight="1">
      <c r="A1339" s="1307"/>
      <c r="B1339" s="1383" t="s">
        <v>2415</v>
      </c>
      <c r="C1339" s="1313"/>
      <c r="D1339" s="1314"/>
      <c r="E1339" s="1177"/>
      <c r="F1339" s="1315"/>
      <c r="G1339" s="1316"/>
      <c r="H1339" s="1315"/>
      <c r="I1339" s="1317"/>
      <c r="J1339" s="1148"/>
      <c r="K1339" s="1208"/>
      <c r="L1339" s="923"/>
      <c r="M1339" s="1318"/>
      <c r="N1339" s="900" t="s">
        <v>2309</v>
      </c>
    </row>
    <row r="1340" spans="1:17" ht="56.25" hidden="1" customHeight="1">
      <c r="A1340" s="896">
        <v>2</v>
      </c>
      <c r="B1340" s="1609" t="s">
        <v>585</v>
      </c>
      <c r="C1340" s="1609"/>
      <c r="D1340" s="1609"/>
      <c r="E1340" s="1609"/>
      <c r="F1340" s="1609"/>
      <c r="G1340" s="1609"/>
      <c r="H1340" s="1609"/>
      <c r="I1340" s="897"/>
      <c r="J1340" s="898"/>
      <c r="K1340" s="896"/>
      <c r="L1340" s="896"/>
      <c r="M1340" s="899"/>
      <c r="N1340" s="900" t="s">
        <v>2309</v>
      </c>
    </row>
    <row r="1341" spans="1:17" s="910" customFormat="1" ht="16.5" hidden="1" customHeight="1">
      <c r="A1341" s="896"/>
      <c r="B1341" s="902" t="s">
        <v>3346</v>
      </c>
      <c r="C1341" s="1338"/>
      <c r="D1341" s="1339"/>
      <c r="E1341" s="1340"/>
      <c r="F1341" s="1341"/>
      <c r="G1341" s="906"/>
      <c r="H1341" s="907"/>
      <c r="I1341" s="908"/>
      <c r="J1341" s="909"/>
      <c r="K1341" s="902"/>
      <c r="L1341" s="896"/>
      <c r="M1341" s="902"/>
      <c r="N1341" s="900" t="s">
        <v>2309</v>
      </c>
    </row>
    <row r="1342" spans="1:17" s="910" customFormat="1" ht="16.5" hidden="1" customHeight="1">
      <c r="A1342" s="896"/>
      <c r="B1342" s="1329" t="s">
        <v>650</v>
      </c>
      <c r="C1342" s="1330">
        <v>1</v>
      </c>
      <c r="D1342" s="1331" t="s">
        <v>273</v>
      </c>
      <c r="E1342" s="1332">
        <v>1</v>
      </c>
      <c r="F1342" s="1333">
        <v>8.5</v>
      </c>
      <c r="G1342" s="915">
        <v>0</v>
      </c>
      <c r="H1342" s="915">
        <v>0</v>
      </c>
      <c r="I1342" s="916">
        <f>ROUND(IF(AND(F1342:H1342),C1342*E1342*F1342*G1342*H1342,IF(AND(F1342,G1342),C1342*E1342*F1342*G1342,IF(AND(F1342,H1342),C1342*E1342*F1342*H1342,IF(AND(G1342,H1342),C1342*E1342*G1342*H1342,IF(F1342,C1342*E1342*F1342,IF(G1342,C1342*E1342*G1342,IF(H1342,C1342*E1342*H1342,C1342*E1342))))))),2)</f>
        <v>8.5</v>
      </c>
      <c r="J1342" s="909" t="s">
        <v>277</v>
      </c>
      <c r="K1342" s="902"/>
      <c r="L1342" s="896"/>
      <c r="M1342" s="902"/>
      <c r="N1342" s="900" t="s">
        <v>2309</v>
      </c>
    </row>
    <row r="1343" spans="1:17" s="910" customFormat="1" ht="16.5" hidden="1" customHeight="1">
      <c r="A1343" s="896"/>
      <c r="B1343" s="1329"/>
      <c r="C1343" s="1334"/>
      <c r="D1343" s="1335"/>
      <c r="E1343" s="1336"/>
      <c r="F1343" s="1337"/>
      <c r="G1343" s="960"/>
      <c r="H1343" s="960"/>
      <c r="I1343" s="916"/>
      <c r="J1343" s="909"/>
      <c r="K1343" s="902"/>
      <c r="L1343" s="896"/>
      <c r="M1343" s="902"/>
      <c r="N1343" s="900" t="s">
        <v>2309</v>
      </c>
    </row>
    <row r="1344" spans="1:17" ht="15.75" hidden="1">
      <c r="A1344" s="896"/>
      <c r="B1344" s="902"/>
      <c r="C1344" s="917"/>
      <c r="D1344" s="918"/>
      <c r="E1344" s="919"/>
      <c r="F1344" s="920"/>
      <c r="G1344" s="921"/>
      <c r="H1344" s="896"/>
      <c r="I1344" s="916"/>
      <c r="J1344" s="909" t="s">
        <v>277</v>
      </c>
      <c r="K1344" s="922">
        <f>'Ele 2022-23'!I16</f>
        <v>73.94</v>
      </c>
      <c r="L1344" s="923" t="s">
        <v>279</v>
      </c>
      <c r="M1344" s="924">
        <f>ROUND(I1344*K1344,0)</f>
        <v>0</v>
      </c>
      <c r="N1344" s="900" t="s">
        <v>2309</v>
      </c>
    </row>
    <row r="1345" spans="1:14" s="1403" customFormat="1" ht="56.25" customHeight="1">
      <c r="A1345" s="1397">
        <v>17</v>
      </c>
      <c r="B1345" s="1610" t="s">
        <v>307</v>
      </c>
      <c r="C1345" s="1610"/>
      <c r="D1345" s="1610"/>
      <c r="E1345" s="1610"/>
      <c r="F1345" s="1610"/>
      <c r="G1345" s="1610"/>
      <c r="H1345" s="1610"/>
      <c r="I1345" s="1398"/>
      <c r="J1345" s="1399"/>
      <c r="K1345" s="1397"/>
      <c r="L1345" s="1397"/>
      <c r="M1345" s="1401"/>
      <c r="N1345" s="1402" t="s">
        <v>2309</v>
      </c>
    </row>
    <row r="1346" spans="1:14" s="1411" customFormat="1" ht="16.5" customHeight="1">
      <c r="A1346" s="1397"/>
      <c r="B1346" s="1410" t="s">
        <v>3976</v>
      </c>
      <c r="C1346" s="1417"/>
      <c r="D1346" s="1395" t="s">
        <v>4022</v>
      </c>
      <c r="E1346" s="1419"/>
      <c r="F1346" s="1420"/>
      <c r="G1346" s="1420"/>
      <c r="H1346" s="1421"/>
      <c r="I1346" s="1422"/>
      <c r="J1346" s="1442"/>
      <c r="K1346" s="1410"/>
      <c r="L1346" s="1397"/>
      <c r="M1346" s="1410"/>
      <c r="N1346" s="1402" t="s">
        <v>2309</v>
      </c>
    </row>
    <row r="1347" spans="1:14" s="1411" customFormat="1" ht="16.5" customHeight="1">
      <c r="A1347" s="1397"/>
      <c r="B1347" s="1458" t="s">
        <v>2360</v>
      </c>
      <c r="C1347" s="1459">
        <v>1</v>
      </c>
      <c r="D1347" s="1460" t="s">
        <v>273</v>
      </c>
      <c r="E1347" s="1461">
        <v>1</v>
      </c>
      <c r="F1347" s="1462">
        <v>5</v>
      </c>
      <c r="G1347" s="1448">
        <v>0</v>
      </c>
      <c r="H1347" s="1448">
        <v>0</v>
      </c>
      <c r="I1347" s="1430">
        <f>ROUND(IF(AND(F1347:H1347),C1347*E1347*F1347*G1347*H1347,IF(AND(F1347,G1347),C1347*E1347*F1347*G1347,IF(AND(F1347,H1347),C1347*E1347*F1347*H1347,IF(AND(G1347,H1347),C1347*E1347*G1347*H1347,IF(F1347,C1347*E1347*F1347,IF(G1347,C1347*E1347*G1347,IF(H1347,C1347*E1347*H1347,C1347*E1347))))))),2)</f>
        <v>5</v>
      </c>
      <c r="J1347" s="1442" t="s">
        <v>277</v>
      </c>
      <c r="K1347" s="1410"/>
      <c r="L1347" s="1397"/>
      <c r="M1347" s="1410"/>
      <c r="N1347" s="1402" t="s">
        <v>2309</v>
      </c>
    </row>
    <row r="1348" spans="1:14" s="1411" customFormat="1" ht="16.5" customHeight="1">
      <c r="A1348" s="1397"/>
      <c r="B1348" s="1458" t="s">
        <v>2521</v>
      </c>
      <c r="C1348" s="1459">
        <v>1</v>
      </c>
      <c r="D1348" s="1460" t="s">
        <v>273</v>
      </c>
      <c r="E1348" s="1461">
        <v>1</v>
      </c>
      <c r="F1348" s="1462">
        <v>5</v>
      </c>
      <c r="G1348" s="1448">
        <v>0</v>
      </c>
      <c r="H1348" s="1448">
        <v>0</v>
      </c>
      <c r="I1348" s="1430">
        <f t="shared" ref="I1348:I1352" si="22">ROUND(IF(AND(F1348:H1348),C1348*E1348*F1348*G1348*H1348,IF(AND(F1348,G1348),C1348*E1348*F1348*G1348,IF(AND(F1348,H1348),C1348*E1348*F1348*H1348,IF(AND(G1348,H1348),C1348*E1348*G1348*H1348,IF(F1348,C1348*E1348*F1348,IF(G1348,C1348*E1348*G1348,IF(H1348,C1348*E1348*H1348,C1348*E1348))))))),2)</f>
        <v>5</v>
      </c>
      <c r="J1348" s="1442" t="s">
        <v>277</v>
      </c>
      <c r="K1348" s="1410"/>
      <c r="L1348" s="1397"/>
      <c r="M1348" s="1410"/>
      <c r="N1348" s="1402" t="s">
        <v>2309</v>
      </c>
    </row>
    <row r="1349" spans="1:14" s="1411" customFormat="1" ht="16.5" customHeight="1">
      <c r="A1349" s="1397"/>
      <c r="B1349" s="1458" t="s">
        <v>2358</v>
      </c>
      <c r="C1349" s="1459">
        <v>1</v>
      </c>
      <c r="D1349" s="1460" t="s">
        <v>273</v>
      </c>
      <c r="E1349" s="1461">
        <v>1</v>
      </c>
      <c r="F1349" s="1462">
        <v>5</v>
      </c>
      <c r="G1349" s="1448">
        <v>0</v>
      </c>
      <c r="H1349" s="1448">
        <v>0</v>
      </c>
      <c r="I1349" s="1430">
        <f t="shared" si="22"/>
        <v>5</v>
      </c>
      <c r="J1349" s="1442" t="s">
        <v>277</v>
      </c>
      <c r="K1349" s="1410"/>
      <c r="L1349" s="1397"/>
      <c r="M1349" s="1410"/>
      <c r="N1349" s="1402" t="s">
        <v>2309</v>
      </c>
    </row>
    <row r="1350" spans="1:14" s="1411" customFormat="1" ht="16.5" customHeight="1">
      <c r="A1350" s="1397"/>
      <c r="B1350" s="1458" t="s">
        <v>2357</v>
      </c>
      <c r="C1350" s="1459">
        <v>1</v>
      </c>
      <c r="D1350" s="1460" t="s">
        <v>273</v>
      </c>
      <c r="E1350" s="1461">
        <v>1</v>
      </c>
      <c r="F1350" s="1462">
        <v>5</v>
      </c>
      <c r="G1350" s="1448">
        <v>0</v>
      </c>
      <c r="H1350" s="1448">
        <v>0</v>
      </c>
      <c r="I1350" s="1430">
        <f t="shared" si="22"/>
        <v>5</v>
      </c>
      <c r="J1350" s="1442" t="s">
        <v>277</v>
      </c>
      <c r="K1350" s="1410"/>
      <c r="L1350" s="1397"/>
      <c r="M1350" s="1410"/>
      <c r="N1350" s="1402" t="s">
        <v>2309</v>
      </c>
    </row>
    <row r="1351" spans="1:14" s="1411" customFormat="1" ht="16.5" customHeight="1">
      <c r="A1351" s="1397"/>
      <c r="B1351" s="1458" t="s">
        <v>3892</v>
      </c>
      <c r="C1351" s="1459">
        <v>1</v>
      </c>
      <c r="D1351" s="1460" t="s">
        <v>273</v>
      </c>
      <c r="E1351" s="1461">
        <v>1</v>
      </c>
      <c r="F1351" s="1462">
        <v>10</v>
      </c>
      <c r="G1351" s="1448">
        <v>0</v>
      </c>
      <c r="H1351" s="1448">
        <v>0</v>
      </c>
      <c r="I1351" s="1430">
        <f t="shared" si="22"/>
        <v>10</v>
      </c>
      <c r="J1351" s="1442" t="s">
        <v>277</v>
      </c>
      <c r="K1351" s="1410"/>
      <c r="L1351" s="1397"/>
      <c r="M1351" s="1410"/>
      <c r="N1351" s="1402" t="s">
        <v>2309</v>
      </c>
    </row>
    <row r="1352" spans="1:14" s="1411" customFormat="1" ht="16.5" customHeight="1">
      <c r="A1352" s="1397"/>
      <c r="B1352" s="1458" t="s">
        <v>2355</v>
      </c>
      <c r="C1352" s="1459">
        <v>1</v>
      </c>
      <c r="D1352" s="1460" t="s">
        <v>273</v>
      </c>
      <c r="E1352" s="1461">
        <v>1</v>
      </c>
      <c r="F1352" s="1462">
        <v>10</v>
      </c>
      <c r="G1352" s="1448">
        <v>0</v>
      </c>
      <c r="H1352" s="1448">
        <v>0</v>
      </c>
      <c r="I1352" s="1430">
        <f t="shared" si="22"/>
        <v>10</v>
      </c>
      <c r="J1352" s="1442" t="s">
        <v>277</v>
      </c>
      <c r="K1352" s="1410"/>
      <c r="L1352" s="1397"/>
      <c r="M1352" s="1410"/>
      <c r="N1352" s="1402" t="s">
        <v>2309</v>
      </c>
    </row>
    <row r="1353" spans="1:14" s="1411" customFormat="1" ht="16.5" customHeight="1">
      <c r="A1353" s="1397"/>
      <c r="B1353" s="1425"/>
      <c r="C1353" s="1426"/>
      <c r="D1353" s="1427"/>
      <c r="E1353" s="1428"/>
      <c r="F1353" s="1429"/>
      <c r="G1353" s="1429"/>
      <c r="H1353" s="1429"/>
      <c r="I1353" s="1430"/>
      <c r="J1353" s="1442"/>
      <c r="K1353" s="1410"/>
      <c r="L1353" s="1397"/>
      <c r="M1353" s="1410"/>
      <c r="N1353" s="1402" t="s">
        <v>2309</v>
      </c>
    </row>
    <row r="1354" spans="1:14" s="1403" customFormat="1" ht="15.75">
      <c r="A1354" s="1397"/>
      <c r="B1354" s="1410"/>
      <c r="C1354" s="1431"/>
      <c r="D1354" s="1432"/>
      <c r="E1354" s="1413"/>
      <c r="F1354" s="1414"/>
      <c r="G1354" s="1433"/>
      <c r="H1354" s="1397"/>
      <c r="I1354" s="1430">
        <f>SUM(I1347:I1353)</f>
        <v>40</v>
      </c>
      <c r="J1354" s="1442" t="s">
        <v>277</v>
      </c>
      <c r="K1354" s="1434">
        <f>'Ele 2022-23'!I31</f>
        <v>89.61</v>
      </c>
      <c r="L1354" s="1400" t="s">
        <v>279</v>
      </c>
      <c r="M1354" s="1435">
        <f>ROUND(I1354*K1354,0)</f>
        <v>3584</v>
      </c>
      <c r="N1354" s="1402" t="s">
        <v>2309</v>
      </c>
    </row>
    <row r="1355" spans="1:14" ht="17.25" hidden="1" customHeight="1">
      <c r="A1355" s="896">
        <v>3</v>
      </c>
      <c r="B1355" s="1609" t="s">
        <v>389</v>
      </c>
      <c r="C1355" s="1609"/>
      <c r="D1355" s="1609"/>
      <c r="E1355" s="1609"/>
      <c r="F1355" s="1609"/>
      <c r="G1355" s="1609"/>
      <c r="H1355" s="1609"/>
      <c r="I1355" s="897"/>
      <c r="J1355" s="898"/>
      <c r="K1355" s="896"/>
      <c r="L1355" s="896"/>
      <c r="M1355" s="899"/>
      <c r="N1355" s="900" t="s">
        <v>2309</v>
      </c>
    </row>
    <row r="1356" spans="1:14" s="910" customFormat="1" ht="16.5" hidden="1" customHeight="1">
      <c r="A1356" s="896"/>
      <c r="B1356" s="1274" t="s">
        <v>740</v>
      </c>
      <c r="C1356" s="903"/>
      <c r="D1356" s="904"/>
      <c r="E1356" s="905"/>
      <c r="F1356" s="906"/>
      <c r="G1356" s="906"/>
      <c r="H1356" s="907"/>
      <c r="I1356" s="908"/>
      <c r="J1356" s="909"/>
      <c r="K1356" s="902"/>
      <c r="L1356" s="896"/>
      <c r="M1356" s="902"/>
      <c r="N1356" s="900" t="s">
        <v>2309</v>
      </c>
    </row>
    <row r="1357" spans="1:14" s="910" customFormat="1" ht="16.5" hidden="1" customHeight="1">
      <c r="A1357" s="896"/>
      <c r="B1357" s="956" t="s">
        <v>687</v>
      </c>
      <c r="C1357" s="957"/>
      <c r="D1357" s="958"/>
      <c r="E1357" s="1268"/>
      <c r="F1357" s="960"/>
      <c r="G1357" s="960"/>
      <c r="H1357" s="960"/>
      <c r="I1357" s="916"/>
      <c r="J1357" s="909"/>
      <c r="K1357" s="902"/>
      <c r="L1357" s="896"/>
      <c r="M1357" s="902"/>
      <c r="N1357" s="900" t="s">
        <v>2309</v>
      </c>
    </row>
    <row r="1358" spans="1:14" s="910" customFormat="1" ht="16.5" hidden="1" customHeight="1">
      <c r="A1358" s="896"/>
      <c r="B1358" s="956" t="s">
        <v>659</v>
      </c>
      <c r="C1358" s="957">
        <v>1</v>
      </c>
      <c r="D1358" s="958" t="s">
        <v>273</v>
      </c>
      <c r="E1358" s="1268">
        <v>1</v>
      </c>
      <c r="F1358" s="960">
        <v>4</v>
      </c>
      <c r="G1358" s="960">
        <v>0</v>
      </c>
      <c r="H1358" s="960">
        <v>0</v>
      </c>
      <c r="I1358" s="916">
        <f>ROUND(IF(AND(F1358:H1358),C1358*E1358*F1358*G1358*H1358,IF(AND(F1358,G1358),C1358*E1358*F1358*G1358,IF(AND(F1358,H1358),C1358*E1358*F1358*H1358,IF(AND(G1358,H1358),C1358*E1358*G1358*H1358,IF(F1358,C1358*E1358*F1358,IF(G1358,C1358*E1358*G1358,IF(H1358,C1358*E1358*H1358,C1358*E1358))))))),2)</f>
        <v>4</v>
      </c>
      <c r="J1358" s="909" t="s">
        <v>277</v>
      </c>
      <c r="K1358" s="902"/>
      <c r="L1358" s="896"/>
      <c r="M1358" s="902"/>
      <c r="N1358" s="900" t="s">
        <v>2309</v>
      </c>
    </row>
    <row r="1359" spans="1:14" s="910" customFormat="1" ht="16.5" hidden="1" customHeight="1">
      <c r="A1359" s="896"/>
      <c r="B1359" s="980" t="s">
        <v>688</v>
      </c>
      <c r="C1359" s="957">
        <v>1</v>
      </c>
      <c r="D1359" s="958" t="s">
        <v>273</v>
      </c>
      <c r="E1359" s="1268">
        <v>1</v>
      </c>
      <c r="F1359" s="960">
        <v>1.8</v>
      </c>
      <c r="G1359" s="960">
        <v>0</v>
      </c>
      <c r="H1359" s="960">
        <v>0</v>
      </c>
      <c r="I1359" s="916">
        <f>ROUND(IF(AND(F1359:H1359),C1359*E1359*F1359*G1359*H1359,IF(AND(F1359,G1359),C1359*E1359*F1359*G1359,IF(AND(F1359,H1359),C1359*E1359*F1359*H1359,IF(AND(G1359,H1359),C1359*E1359*G1359*H1359,IF(F1359,C1359*E1359*F1359,IF(G1359,C1359*E1359*G1359,IF(H1359,C1359*E1359*H1359,C1359*E1359))))))),2)</f>
        <v>1.8</v>
      </c>
      <c r="J1359" s="909" t="s">
        <v>277</v>
      </c>
      <c r="K1359" s="902"/>
      <c r="L1359" s="896"/>
      <c r="M1359" s="902"/>
      <c r="N1359" s="900" t="s">
        <v>2309</v>
      </c>
    </row>
    <row r="1360" spans="1:14" s="910" customFormat="1" ht="16.5" hidden="1" customHeight="1">
      <c r="A1360" s="896"/>
      <c r="B1360" s="956" t="s">
        <v>689</v>
      </c>
      <c r="C1360" s="957">
        <v>1</v>
      </c>
      <c r="D1360" s="958" t="s">
        <v>273</v>
      </c>
      <c r="E1360" s="1268">
        <v>1</v>
      </c>
      <c r="F1360" s="960">
        <v>2</v>
      </c>
      <c r="G1360" s="960">
        <v>0</v>
      </c>
      <c r="H1360" s="960">
        <v>0</v>
      </c>
      <c r="I1360" s="916">
        <f>ROUND(IF(AND(F1360:H1360),C1360*E1360*F1360*G1360*H1360,IF(AND(F1360,G1360),C1360*E1360*F1360*G1360,IF(AND(F1360,H1360),C1360*E1360*F1360*H1360,IF(AND(G1360,H1360),C1360*E1360*G1360*H1360,IF(F1360,C1360*E1360*F1360,IF(G1360,C1360*E1360*G1360,IF(H1360,C1360*E1360*H1360,C1360*E1360))))))),2)</f>
        <v>2</v>
      </c>
      <c r="J1360" s="909" t="s">
        <v>277</v>
      </c>
      <c r="K1360" s="902"/>
      <c r="L1360" s="896"/>
      <c r="M1360" s="902"/>
      <c r="N1360" s="900" t="s">
        <v>2309</v>
      </c>
    </row>
    <row r="1361" spans="1:14" s="910" customFormat="1" ht="16.5" hidden="1" customHeight="1">
      <c r="A1361" s="896"/>
      <c r="B1361" s="956"/>
      <c r="C1361" s="957"/>
      <c r="D1361" s="958"/>
      <c r="E1361" s="1268"/>
      <c r="F1361" s="960"/>
      <c r="G1361" s="960"/>
      <c r="H1361" s="960"/>
      <c r="I1361" s="916"/>
      <c r="J1361" s="909"/>
      <c r="K1361" s="902"/>
      <c r="L1361" s="896"/>
      <c r="M1361" s="902"/>
      <c r="N1361" s="900" t="s">
        <v>2309</v>
      </c>
    </row>
    <row r="1362" spans="1:14" ht="15.75" hidden="1">
      <c r="A1362" s="896"/>
      <c r="B1362" s="902"/>
      <c r="C1362" s="917"/>
      <c r="D1362" s="918"/>
      <c r="E1362" s="919"/>
      <c r="F1362" s="920"/>
      <c r="G1362" s="921"/>
      <c r="H1362" s="896"/>
      <c r="I1362" s="916"/>
      <c r="J1362" s="909" t="s">
        <v>277</v>
      </c>
      <c r="K1362" s="922">
        <f>'Ele 2022-23'!I35</f>
        <v>64</v>
      </c>
      <c r="L1362" s="923" t="s">
        <v>279</v>
      </c>
      <c r="M1362" s="924">
        <f>ROUND(I1362*K1362,0)</f>
        <v>0</v>
      </c>
      <c r="N1362" s="900" t="s">
        <v>2309</v>
      </c>
    </row>
    <row r="1363" spans="1:14" s="1403" customFormat="1" ht="27" customHeight="1">
      <c r="A1363" s="1397">
        <v>18</v>
      </c>
      <c r="B1363" s="1610" t="s">
        <v>427</v>
      </c>
      <c r="C1363" s="1610"/>
      <c r="D1363" s="1610"/>
      <c r="E1363" s="1610"/>
      <c r="F1363" s="1610"/>
      <c r="G1363" s="1610"/>
      <c r="H1363" s="1610"/>
      <c r="I1363" s="1398"/>
      <c r="J1363" s="1399"/>
      <c r="K1363" s="1397"/>
      <c r="L1363" s="1397"/>
      <c r="M1363" s="1401"/>
      <c r="N1363" s="1402" t="s">
        <v>2309</v>
      </c>
    </row>
    <row r="1364" spans="1:14" s="1411" customFormat="1" ht="16.5" customHeight="1">
      <c r="A1364" s="1397"/>
      <c r="B1364" s="1410" t="s">
        <v>3978</v>
      </c>
      <c r="C1364" s="1417"/>
      <c r="D1364" s="1395" t="s">
        <v>4022</v>
      </c>
      <c r="E1364" s="1419"/>
      <c r="F1364" s="1420"/>
      <c r="G1364" s="1420"/>
      <c r="H1364" s="1421"/>
      <c r="I1364" s="1422"/>
      <c r="J1364" s="1442"/>
      <c r="K1364" s="1410"/>
      <c r="L1364" s="1397"/>
      <c r="M1364" s="1410"/>
      <c r="N1364" s="1402" t="s">
        <v>2309</v>
      </c>
    </row>
    <row r="1365" spans="1:14" s="1411" customFormat="1" ht="16.5" customHeight="1">
      <c r="A1365" s="1397"/>
      <c r="B1365" s="1472"/>
      <c r="C1365" s="1459">
        <v>1</v>
      </c>
      <c r="D1365" s="1460" t="s">
        <v>273</v>
      </c>
      <c r="E1365" s="1461">
        <v>3</v>
      </c>
      <c r="F1365" s="1448">
        <v>0</v>
      </c>
      <c r="G1365" s="1448">
        <v>0</v>
      </c>
      <c r="H1365" s="1448">
        <v>0</v>
      </c>
      <c r="I1365" s="1468">
        <f>ROUND(IF(AND(F1365:H1365),C1365*E1365*F1365*G1365*H1365,IF(AND(F1365,G1365),C1365*E1365*F1365*G1365,IF(AND(F1365,H1365),C1365*E1365*F1365*H1365,IF(AND(G1365,H1365),C1365*E1365*G1365*H1365,IF(F1365,C1365*E1365*F1365,IF(G1365,C1365*E1365*G1365,IF(H1365,C1365*E1365*H1365,C1365*E1365))))))),2)</f>
        <v>3</v>
      </c>
      <c r="J1365" s="1442" t="s">
        <v>115</v>
      </c>
      <c r="K1365" s="1410"/>
      <c r="L1365" s="1397"/>
      <c r="M1365" s="1410"/>
      <c r="N1365" s="1402" t="s">
        <v>2309</v>
      </c>
    </row>
    <row r="1366" spans="1:14" s="1411" customFormat="1" ht="16.5" customHeight="1">
      <c r="A1366" s="1397"/>
      <c r="B1366" s="1472"/>
      <c r="C1366" s="1426"/>
      <c r="D1366" s="1427"/>
      <c r="E1366" s="1428"/>
      <c r="F1366" s="1429"/>
      <c r="G1366" s="1429"/>
      <c r="H1366" s="1429"/>
      <c r="I1366" s="1468"/>
      <c r="J1366" s="1442"/>
      <c r="K1366" s="1410"/>
      <c r="L1366" s="1397"/>
      <c r="M1366" s="1410"/>
      <c r="N1366" s="1402" t="s">
        <v>2309</v>
      </c>
    </row>
    <row r="1367" spans="1:14" s="1403" customFormat="1" ht="15.75">
      <c r="A1367" s="1397"/>
      <c r="B1367" s="1410"/>
      <c r="C1367" s="1431"/>
      <c r="D1367" s="1432"/>
      <c r="E1367" s="1413"/>
      <c r="F1367" s="1414"/>
      <c r="G1367" s="1433"/>
      <c r="H1367" s="1397"/>
      <c r="I1367" s="1468">
        <f>SUM(I1365:I1366)</f>
        <v>3</v>
      </c>
      <c r="J1367" s="1442" t="s">
        <v>115</v>
      </c>
      <c r="K1367" s="1434">
        <f>'Ele 2022-23'!I38</f>
        <v>245</v>
      </c>
      <c r="L1367" s="1400" t="s">
        <v>275</v>
      </c>
      <c r="M1367" s="1435">
        <f>ROUND(I1367*K1367,0)</f>
        <v>735</v>
      </c>
      <c r="N1367" s="1402" t="s">
        <v>2309</v>
      </c>
    </row>
    <row r="1368" spans="1:14" s="1403" customFormat="1" ht="27" customHeight="1">
      <c r="A1368" s="1397">
        <v>19</v>
      </c>
      <c r="B1368" s="1610" t="s">
        <v>610</v>
      </c>
      <c r="C1368" s="1610"/>
      <c r="D1368" s="1610"/>
      <c r="E1368" s="1610"/>
      <c r="F1368" s="1610"/>
      <c r="G1368" s="1610"/>
      <c r="H1368" s="1610"/>
      <c r="I1368" s="1398"/>
      <c r="J1368" s="1399"/>
      <c r="K1368" s="1397"/>
      <c r="L1368" s="1397"/>
      <c r="M1368" s="1401"/>
      <c r="N1368" s="1402" t="s">
        <v>2309</v>
      </c>
    </row>
    <row r="1369" spans="1:14" s="1411" customFormat="1" ht="16.5" customHeight="1">
      <c r="A1369" s="1397"/>
      <c r="B1369" s="1410" t="s">
        <v>3978</v>
      </c>
      <c r="C1369" s="1417"/>
      <c r="D1369" s="1395" t="s">
        <v>4022</v>
      </c>
      <c r="E1369" s="1419"/>
      <c r="F1369" s="1420"/>
      <c r="G1369" s="1420"/>
      <c r="H1369" s="1421"/>
      <c r="I1369" s="1422"/>
      <c r="J1369" s="1442"/>
      <c r="K1369" s="1410"/>
      <c r="L1369" s="1397"/>
      <c r="M1369" s="1410"/>
      <c r="N1369" s="1402" t="s">
        <v>2309</v>
      </c>
    </row>
    <row r="1370" spans="1:14" s="1411" customFormat="1" ht="16.5" customHeight="1">
      <c r="A1370" s="1397"/>
      <c r="B1370" s="1472"/>
      <c r="C1370" s="1459">
        <v>1</v>
      </c>
      <c r="D1370" s="1460" t="s">
        <v>273</v>
      </c>
      <c r="E1370" s="1461">
        <v>2</v>
      </c>
      <c r="F1370" s="1448">
        <v>0</v>
      </c>
      <c r="G1370" s="1448">
        <v>0</v>
      </c>
      <c r="H1370" s="1448">
        <v>0</v>
      </c>
      <c r="I1370" s="1468">
        <f>ROUND(IF(AND(F1370:H1370),C1370*E1370*F1370*G1370*H1370,IF(AND(F1370,G1370),C1370*E1370*F1370*G1370,IF(AND(F1370,H1370),C1370*E1370*F1370*H1370,IF(AND(G1370,H1370),C1370*E1370*G1370*H1370,IF(F1370,C1370*E1370*F1370,IF(G1370,C1370*E1370*G1370,IF(H1370,C1370*E1370*H1370,C1370*E1370))))))),2)</f>
        <v>2</v>
      </c>
      <c r="J1370" s="1442" t="s">
        <v>115</v>
      </c>
      <c r="K1370" s="1410"/>
      <c r="L1370" s="1397"/>
      <c r="M1370" s="1410"/>
      <c r="N1370" s="1402" t="s">
        <v>2309</v>
      </c>
    </row>
    <row r="1371" spans="1:14" s="1411" customFormat="1" ht="16.5" customHeight="1">
      <c r="A1371" s="1397"/>
      <c r="B1371" s="1472"/>
      <c r="C1371" s="1426"/>
      <c r="D1371" s="1427"/>
      <c r="E1371" s="1428"/>
      <c r="F1371" s="1429"/>
      <c r="G1371" s="1429"/>
      <c r="H1371" s="1429"/>
      <c r="I1371" s="1430"/>
      <c r="J1371" s="1442"/>
      <c r="K1371" s="1410"/>
      <c r="L1371" s="1397"/>
      <c r="M1371" s="1410"/>
      <c r="N1371" s="1402" t="s">
        <v>2309</v>
      </c>
    </row>
    <row r="1372" spans="1:14" s="1403" customFormat="1" ht="15.75">
      <c r="A1372" s="1397"/>
      <c r="B1372" s="1410"/>
      <c r="C1372" s="1431"/>
      <c r="D1372" s="1432"/>
      <c r="E1372" s="1413"/>
      <c r="F1372" s="1414"/>
      <c r="G1372" s="1433"/>
      <c r="H1372" s="1397"/>
      <c r="I1372" s="1468">
        <f>SUM(I1370:I1371)</f>
        <v>2</v>
      </c>
      <c r="J1372" s="1442" t="s">
        <v>115</v>
      </c>
      <c r="K1372" s="1434">
        <f>'Ele 2022-23'!I41</f>
        <v>203</v>
      </c>
      <c r="L1372" s="1400" t="s">
        <v>275</v>
      </c>
      <c r="M1372" s="1435">
        <f>ROUND(I1372*K1372,0)</f>
        <v>406</v>
      </c>
      <c r="N1372" s="1402" t="s">
        <v>2309</v>
      </c>
    </row>
    <row r="1373" spans="1:14" ht="27" hidden="1" customHeight="1">
      <c r="A1373" s="896">
        <v>24</v>
      </c>
      <c r="B1373" s="1609" t="s">
        <v>690</v>
      </c>
      <c r="C1373" s="1609"/>
      <c r="D1373" s="1609"/>
      <c r="E1373" s="1609"/>
      <c r="F1373" s="1609"/>
      <c r="G1373" s="1609"/>
      <c r="H1373" s="1609"/>
      <c r="I1373" s="897"/>
      <c r="J1373" s="898"/>
      <c r="K1373" s="896"/>
      <c r="L1373" s="896"/>
      <c r="M1373" s="899"/>
      <c r="N1373" s="900" t="s">
        <v>2309</v>
      </c>
    </row>
    <row r="1374" spans="1:14" s="910" customFormat="1" ht="16.5" hidden="1" customHeight="1">
      <c r="A1374" s="896"/>
      <c r="B1374" s="902" t="s">
        <v>3952</v>
      </c>
      <c r="C1374" s="903"/>
      <c r="D1374" s="954" t="s">
        <v>3874</v>
      </c>
      <c r="E1374" s="905"/>
      <c r="F1374" s="906"/>
      <c r="G1374" s="906"/>
      <c r="H1374" s="907"/>
      <c r="I1374" s="908"/>
      <c r="J1374" s="909"/>
      <c r="K1374" s="902"/>
      <c r="L1374" s="896"/>
      <c r="M1374" s="902"/>
      <c r="N1374" s="900" t="s">
        <v>2309</v>
      </c>
    </row>
    <row r="1375" spans="1:14" s="910" customFormat="1" ht="16.5" hidden="1" customHeight="1">
      <c r="A1375" s="896"/>
      <c r="B1375" s="980"/>
      <c r="C1375" s="957">
        <v>1</v>
      </c>
      <c r="D1375" s="958" t="s">
        <v>273</v>
      </c>
      <c r="E1375" s="1268">
        <v>5</v>
      </c>
      <c r="F1375" s="960">
        <v>0</v>
      </c>
      <c r="G1375" s="960">
        <v>0</v>
      </c>
      <c r="H1375" s="960">
        <v>0</v>
      </c>
      <c r="I1375" s="1291">
        <f>ROUND(IF(AND(F1375:H1375),C1375*E1375*F1375*G1375*H1375,IF(AND(F1375,G1375),C1375*E1375*F1375*G1375,IF(AND(F1375,H1375),C1375*E1375*F1375*H1375,IF(AND(G1375,H1375),C1375*E1375*G1375*H1375,IF(F1375,C1375*E1375*F1375,IF(G1375,C1375*E1375*G1375,IF(H1375,C1375*E1375*H1375,C1375*E1375))))))),2)</f>
        <v>5</v>
      </c>
      <c r="J1375" s="909" t="s">
        <v>115</v>
      </c>
      <c r="K1375" s="902"/>
      <c r="L1375" s="896"/>
      <c r="M1375" s="902"/>
      <c r="N1375" s="900" t="s">
        <v>2309</v>
      </c>
    </row>
    <row r="1376" spans="1:14" s="910" customFormat="1" ht="16.5" hidden="1" customHeight="1">
      <c r="A1376" s="896"/>
      <c r="B1376" s="980"/>
      <c r="C1376" s="957"/>
      <c r="D1376" s="958"/>
      <c r="E1376" s="1268"/>
      <c r="F1376" s="960"/>
      <c r="G1376" s="960"/>
      <c r="H1376" s="960"/>
      <c r="I1376" s="916"/>
      <c r="J1376" s="909"/>
      <c r="K1376" s="902"/>
      <c r="L1376" s="896"/>
      <c r="M1376" s="902"/>
      <c r="N1376" s="900" t="s">
        <v>2309</v>
      </c>
    </row>
    <row r="1377" spans="1:14" ht="15.75" hidden="1">
      <c r="A1377" s="896"/>
      <c r="B1377" s="902"/>
      <c r="C1377" s="917"/>
      <c r="D1377" s="918"/>
      <c r="E1377" s="919"/>
      <c r="F1377" s="920"/>
      <c r="G1377" s="921"/>
      <c r="H1377" s="896"/>
      <c r="I1377" s="1291"/>
      <c r="J1377" s="909" t="s">
        <v>115</v>
      </c>
      <c r="K1377" s="922">
        <f>'Ele 2022-23'!I44</f>
        <v>155</v>
      </c>
      <c r="L1377" s="923" t="s">
        <v>275</v>
      </c>
      <c r="M1377" s="924">
        <f>ROUND(I1377*K1377,0)</f>
        <v>0</v>
      </c>
      <c r="N1377" s="900" t="s">
        <v>2309</v>
      </c>
    </row>
    <row r="1378" spans="1:14" s="1403" customFormat="1" ht="27" customHeight="1">
      <c r="A1378" s="1397">
        <v>20</v>
      </c>
      <c r="B1378" s="1610" t="s">
        <v>1510</v>
      </c>
      <c r="C1378" s="1610"/>
      <c r="D1378" s="1610"/>
      <c r="E1378" s="1610"/>
      <c r="F1378" s="1610"/>
      <c r="G1378" s="1610"/>
      <c r="H1378" s="1610"/>
      <c r="I1378" s="1398"/>
      <c r="J1378" s="1399"/>
      <c r="K1378" s="1397"/>
      <c r="L1378" s="1397"/>
      <c r="M1378" s="1401"/>
      <c r="N1378" s="1402" t="s">
        <v>2309</v>
      </c>
    </row>
    <row r="1379" spans="1:14" s="1411" customFormat="1" ht="16.5" customHeight="1">
      <c r="A1379" s="1397"/>
      <c r="B1379" s="1410" t="s">
        <v>3977</v>
      </c>
      <c r="C1379" s="1417"/>
      <c r="D1379" s="1395" t="s">
        <v>4022</v>
      </c>
      <c r="E1379" s="1419"/>
      <c r="F1379" s="1420"/>
      <c r="G1379" s="1420"/>
      <c r="H1379" s="1421"/>
      <c r="I1379" s="1422"/>
      <c r="J1379" s="1442"/>
      <c r="K1379" s="1410"/>
      <c r="L1379" s="1397"/>
      <c r="M1379" s="1410"/>
      <c r="N1379" s="1402" t="s">
        <v>2309</v>
      </c>
    </row>
    <row r="1380" spans="1:14" s="1411" customFormat="1" ht="16.5" customHeight="1">
      <c r="A1380" s="1397"/>
      <c r="B1380" s="1472"/>
      <c r="C1380" s="1459">
        <v>1</v>
      </c>
      <c r="D1380" s="1460" t="s">
        <v>273</v>
      </c>
      <c r="E1380" s="1461">
        <v>3</v>
      </c>
      <c r="F1380" s="1448">
        <v>0</v>
      </c>
      <c r="G1380" s="1448">
        <v>0</v>
      </c>
      <c r="H1380" s="1448">
        <v>0</v>
      </c>
      <c r="I1380" s="1468">
        <f>ROUND(IF(AND(F1380:H1380),C1380*E1380*F1380*G1380*H1380,IF(AND(F1380,G1380),C1380*E1380*F1380*G1380,IF(AND(F1380,H1380),C1380*E1380*F1380*H1380,IF(AND(G1380,H1380),C1380*E1380*G1380*H1380,IF(F1380,C1380*E1380*F1380,IF(G1380,C1380*E1380*G1380,IF(H1380,C1380*E1380*H1380,C1380*E1380))))))),2)</f>
        <v>3</v>
      </c>
      <c r="J1380" s="1442" t="s">
        <v>115</v>
      </c>
      <c r="K1380" s="1410"/>
      <c r="L1380" s="1397"/>
      <c r="M1380" s="1410"/>
      <c r="N1380" s="1402" t="s">
        <v>2309</v>
      </c>
    </row>
    <row r="1381" spans="1:14" s="1411" customFormat="1" ht="16.5" customHeight="1">
      <c r="A1381" s="1397"/>
      <c r="B1381" s="1472"/>
      <c r="C1381" s="1426"/>
      <c r="D1381" s="1427"/>
      <c r="E1381" s="1428"/>
      <c r="F1381" s="1429"/>
      <c r="G1381" s="1429"/>
      <c r="H1381" s="1429"/>
      <c r="I1381" s="1468"/>
      <c r="J1381" s="1442"/>
      <c r="K1381" s="1410"/>
      <c r="L1381" s="1397"/>
      <c r="M1381" s="1410"/>
      <c r="N1381" s="1402" t="s">
        <v>2309</v>
      </c>
    </row>
    <row r="1382" spans="1:14" s="1403" customFormat="1" ht="15.75">
      <c r="A1382" s="1397"/>
      <c r="B1382" s="1410"/>
      <c r="C1382" s="1431"/>
      <c r="D1382" s="1432"/>
      <c r="E1382" s="1413"/>
      <c r="F1382" s="1414"/>
      <c r="G1382" s="1433"/>
      <c r="H1382" s="1397"/>
      <c r="I1382" s="1468">
        <f>SUM(I1380:I1381)</f>
        <v>3</v>
      </c>
      <c r="J1382" s="1442" t="s">
        <v>115</v>
      </c>
      <c r="K1382" s="1434">
        <f>'Ele 2022-23'!I55</f>
        <v>359</v>
      </c>
      <c r="L1382" s="1400" t="s">
        <v>275</v>
      </c>
      <c r="M1382" s="1435">
        <f>ROUND(I1382*K1382,0)</f>
        <v>1077</v>
      </c>
      <c r="N1382" s="1402" t="s">
        <v>2309</v>
      </c>
    </row>
    <row r="1383" spans="1:14" ht="27" hidden="1" customHeight="1">
      <c r="A1383" s="896">
        <v>6</v>
      </c>
      <c r="B1383" s="1609" t="s">
        <v>612</v>
      </c>
      <c r="C1383" s="1609"/>
      <c r="D1383" s="1609"/>
      <c r="E1383" s="1609"/>
      <c r="F1383" s="1609"/>
      <c r="G1383" s="1609"/>
      <c r="H1383" s="1609"/>
      <c r="I1383" s="897"/>
      <c r="J1383" s="898"/>
      <c r="K1383" s="896"/>
      <c r="L1383" s="896"/>
      <c r="M1383" s="899"/>
      <c r="N1383" s="900" t="s">
        <v>2309</v>
      </c>
    </row>
    <row r="1384" spans="1:14" s="910" customFormat="1" ht="16.5" hidden="1" customHeight="1">
      <c r="A1384" s="896"/>
      <c r="B1384" s="980" t="s">
        <v>607</v>
      </c>
      <c r="C1384" s="903"/>
      <c r="D1384" s="904"/>
      <c r="E1384" s="905"/>
      <c r="F1384" s="906"/>
      <c r="G1384" s="906"/>
      <c r="H1384" s="907"/>
      <c r="I1384" s="908"/>
      <c r="J1384" s="909"/>
      <c r="K1384" s="902"/>
      <c r="L1384" s="896"/>
      <c r="M1384" s="902"/>
      <c r="N1384" s="900" t="s">
        <v>2309</v>
      </c>
    </row>
    <row r="1385" spans="1:14" s="910" customFormat="1" ht="16.5" hidden="1" customHeight="1">
      <c r="A1385" s="896"/>
      <c r="B1385" s="980" t="s">
        <v>1216</v>
      </c>
      <c r="C1385" s="957">
        <v>2</v>
      </c>
      <c r="D1385" s="958" t="s">
        <v>273</v>
      </c>
      <c r="E1385" s="1268">
        <v>1</v>
      </c>
      <c r="F1385" s="960">
        <v>0</v>
      </c>
      <c r="G1385" s="960">
        <v>0</v>
      </c>
      <c r="H1385" s="960">
        <v>0</v>
      </c>
      <c r="I1385" s="1291">
        <f>ROUND(IF(AND(F1385:H1385),C1385*E1385*F1385*G1385*H1385,IF(AND(F1385,G1385),C1385*E1385*F1385*G1385,IF(AND(F1385,H1385),C1385*E1385*F1385*H1385,IF(AND(G1385,H1385),C1385*E1385*G1385*H1385,IF(F1385,C1385*E1385*F1385,IF(G1385,C1385*E1385*G1385,IF(H1385,C1385*E1385*H1385,C1385*E1385))))))),2)</f>
        <v>2</v>
      </c>
      <c r="J1385" s="909" t="s">
        <v>115</v>
      </c>
      <c r="K1385" s="902"/>
      <c r="L1385" s="896"/>
      <c r="M1385" s="902"/>
      <c r="N1385" s="900" t="s">
        <v>2309</v>
      </c>
    </row>
    <row r="1386" spans="1:14" s="910" customFormat="1" ht="16.5" hidden="1" customHeight="1">
      <c r="A1386" s="896"/>
      <c r="B1386" s="980"/>
      <c r="C1386" s="957"/>
      <c r="D1386" s="958"/>
      <c r="E1386" s="1268"/>
      <c r="F1386" s="960"/>
      <c r="G1386" s="960"/>
      <c r="H1386" s="960"/>
      <c r="I1386" s="1291"/>
      <c r="J1386" s="909"/>
      <c r="K1386" s="902"/>
      <c r="L1386" s="896"/>
      <c r="M1386" s="902"/>
      <c r="N1386" s="900" t="s">
        <v>2309</v>
      </c>
    </row>
    <row r="1387" spans="1:14" ht="15.75" hidden="1">
      <c r="A1387" s="896"/>
      <c r="B1387" s="902"/>
      <c r="C1387" s="917"/>
      <c r="D1387" s="918"/>
      <c r="E1387" s="919"/>
      <c r="F1387" s="920"/>
      <c r="G1387" s="921"/>
      <c r="H1387" s="896"/>
      <c r="I1387" s="1291"/>
      <c r="J1387" s="909" t="s">
        <v>115</v>
      </c>
      <c r="K1387" s="922">
        <f>'Ele 2022-23'!I51</f>
        <v>400</v>
      </c>
      <c r="L1387" s="923" t="s">
        <v>275</v>
      </c>
      <c r="M1387" s="924">
        <f>ROUND(I1387*K1387,0)</f>
        <v>0</v>
      </c>
      <c r="N1387" s="900" t="s">
        <v>2309</v>
      </c>
    </row>
    <row r="1388" spans="1:14" ht="27" hidden="1" customHeight="1">
      <c r="A1388" s="896">
        <v>25</v>
      </c>
      <c r="B1388" s="1609" t="s">
        <v>790</v>
      </c>
      <c r="C1388" s="1609"/>
      <c r="D1388" s="1609"/>
      <c r="E1388" s="1609"/>
      <c r="F1388" s="1609"/>
      <c r="G1388" s="1609"/>
      <c r="H1388" s="1609"/>
      <c r="I1388" s="897"/>
      <c r="J1388" s="898"/>
      <c r="K1388" s="896"/>
      <c r="L1388" s="896"/>
      <c r="M1388" s="899"/>
      <c r="N1388" s="900" t="s">
        <v>2309</v>
      </c>
    </row>
    <row r="1389" spans="1:14" s="910" customFormat="1" ht="16.5" hidden="1" customHeight="1">
      <c r="A1389" s="896"/>
      <c r="B1389" s="902" t="s">
        <v>3952</v>
      </c>
      <c r="C1389" s="903"/>
      <c r="D1389" s="954" t="s">
        <v>3874</v>
      </c>
      <c r="E1389" s="905"/>
      <c r="F1389" s="906"/>
      <c r="G1389" s="906"/>
      <c r="H1389" s="907"/>
      <c r="I1389" s="908"/>
      <c r="J1389" s="909"/>
      <c r="K1389" s="902"/>
      <c r="L1389" s="896"/>
      <c r="M1389" s="902"/>
      <c r="N1389" s="900" t="s">
        <v>2309</v>
      </c>
    </row>
    <row r="1390" spans="1:14" s="910" customFormat="1" ht="16.5" hidden="1" customHeight="1">
      <c r="A1390" s="896"/>
      <c r="B1390" s="980"/>
      <c r="C1390" s="957">
        <v>1</v>
      </c>
      <c r="D1390" s="958" t="s">
        <v>273</v>
      </c>
      <c r="E1390" s="1268">
        <v>4</v>
      </c>
      <c r="F1390" s="960">
        <v>0</v>
      </c>
      <c r="G1390" s="960">
        <v>0</v>
      </c>
      <c r="H1390" s="960">
        <v>0</v>
      </c>
      <c r="I1390" s="1291">
        <f>ROUND(IF(AND(F1390:H1390),C1390*E1390*F1390*G1390*H1390,IF(AND(F1390,G1390),C1390*E1390*F1390*G1390,IF(AND(F1390,H1390),C1390*E1390*F1390*H1390,IF(AND(G1390,H1390),C1390*E1390*G1390*H1390,IF(F1390,C1390*E1390*F1390,IF(G1390,C1390*E1390*G1390,IF(H1390,C1390*E1390*H1390,C1390*E1390))))))),2)</f>
        <v>4</v>
      </c>
      <c r="J1390" s="909" t="s">
        <v>115</v>
      </c>
      <c r="K1390" s="902"/>
      <c r="L1390" s="896"/>
      <c r="M1390" s="902"/>
      <c r="N1390" s="900" t="s">
        <v>2309</v>
      </c>
    </row>
    <row r="1391" spans="1:14" s="910" customFormat="1" ht="16.5" hidden="1" customHeight="1">
      <c r="A1391" s="896"/>
      <c r="B1391" s="980"/>
      <c r="C1391" s="957"/>
      <c r="D1391" s="958"/>
      <c r="E1391" s="1268"/>
      <c r="F1391" s="960"/>
      <c r="G1391" s="960"/>
      <c r="H1391" s="960"/>
      <c r="I1391" s="1291"/>
      <c r="J1391" s="909"/>
      <c r="K1391" s="902"/>
      <c r="L1391" s="896"/>
      <c r="M1391" s="902"/>
      <c r="N1391" s="900" t="s">
        <v>2309</v>
      </c>
    </row>
    <row r="1392" spans="1:14" ht="15.75" hidden="1">
      <c r="A1392" s="896"/>
      <c r="B1392" s="902"/>
      <c r="C1392" s="917"/>
      <c r="D1392" s="918"/>
      <c r="E1392" s="919"/>
      <c r="F1392" s="920"/>
      <c r="G1392" s="921"/>
      <c r="H1392" s="896"/>
      <c r="I1392" s="1291"/>
      <c r="J1392" s="909" t="s">
        <v>115</v>
      </c>
      <c r="K1392" s="922">
        <f>'Ele 2022-23'!I47</f>
        <v>114</v>
      </c>
      <c r="L1392" s="923" t="s">
        <v>275</v>
      </c>
      <c r="M1392" s="924">
        <f>ROUND(I1392*K1392,0)</f>
        <v>0</v>
      </c>
      <c r="N1392" s="900" t="s">
        <v>2309</v>
      </c>
    </row>
    <row r="1393" spans="1:14" ht="27" hidden="1" customHeight="1">
      <c r="A1393" s="896">
        <v>20</v>
      </c>
      <c r="B1393" s="1609" t="s">
        <v>428</v>
      </c>
      <c r="C1393" s="1609"/>
      <c r="D1393" s="1609"/>
      <c r="E1393" s="1609"/>
      <c r="F1393" s="1609"/>
      <c r="G1393" s="1609"/>
      <c r="H1393" s="1609"/>
      <c r="I1393" s="897"/>
      <c r="J1393" s="898"/>
      <c r="K1393" s="896"/>
      <c r="L1393" s="896"/>
      <c r="M1393" s="899"/>
      <c r="N1393" s="900" t="s">
        <v>2309</v>
      </c>
    </row>
    <row r="1394" spans="1:14" s="910" customFormat="1" ht="16.5" hidden="1" customHeight="1">
      <c r="A1394" s="896"/>
      <c r="B1394" s="902" t="s">
        <v>3501</v>
      </c>
      <c r="C1394" s="903"/>
      <c r="D1394" s="904"/>
      <c r="E1394" s="905"/>
      <c r="F1394" s="906"/>
      <c r="G1394" s="906"/>
      <c r="H1394" s="907"/>
      <c r="I1394" s="908"/>
      <c r="J1394" s="909"/>
      <c r="K1394" s="902"/>
      <c r="L1394" s="896"/>
      <c r="M1394" s="902"/>
      <c r="N1394" s="900" t="s">
        <v>2309</v>
      </c>
    </row>
    <row r="1395" spans="1:14" s="910" customFormat="1" ht="16.5" hidden="1" customHeight="1">
      <c r="A1395" s="896"/>
      <c r="B1395" s="980"/>
      <c r="C1395" s="957">
        <v>1</v>
      </c>
      <c r="D1395" s="958" t="s">
        <v>273</v>
      </c>
      <c r="E1395" s="1268">
        <v>1</v>
      </c>
      <c r="F1395" s="960">
        <v>0</v>
      </c>
      <c r="G1395" s="960">
        <v>0</v>
      </c>
      <c r="H1395" s="960">
        <v>0</v>
      </c>
      <c r="I1395" s="1291">
        <f>ROUND(IF(AND(F1395:H1395),C1395*E1395*F1395*G1395*H1395,IF(AND(F1395,G1395),C1395*E1395*F1395*G1395,IF(AND(F1395,H1395),C1395*E1395*F1395*H1395,IF(AND(G1395,H1395),C1395*E1395*G1395*H1395,IF(F1395,C1395*E1395*F1395,IF(G1395,C1395*E1395*G1395,IF(H1395,C1395*E1395*H1395,C1395*E1395))))))),2)</f>
        <v>1</v>
      </c>
      <c r="J1395" s="909" t="s">
        <v>115</v>
      </c>
      <c r="K1395" s="902"/>
      <c r="L1395" s="896"/>
      <c r="M1395" s="902"/>
      <c r="N1395" s="900" t="s">
        <v>2309</v>
      </c>
    </row>
    <row r="1396" spans="1:14" s="910" customFormat="1" ht="16.5" hidden="1" customHeight="1">
      <c r="A1396" s="896"/>
      <c r="B1396" s="980"/>
      <c r="C1396" s="957"/>
      <c r="D1396" s="958"/>
      <c r="E1396" s="1268"/>
      <c r="F1396" s="960"/>
      <c r="G1396" s="960"/>
      <c r="H1396" s="960"/>
      <c r="I1396" s="1291"/>
      <c r="J1396" s="909"/>
      <c r="K1396" s="902"/>
      <c r="L1396" s="896"/>
      <c r="M1396" s="902"/>
      <c r="N1396" s="900" t="s">
        <v>2309</v>
      </c>
    </row>
    <row r="1397" spans="1:14" ht="15.75" hidden="1">
      <c r="A1397" s="896"/>
      <c r="B1397" s="902"/>
      <c r="C1397" s="917"/>
      <c r="D1397" s="918"/>
      <c r="E1397" s="919"/>
      <c r="F1397" s="920"/>
      <c r="G1397" s="921"/>
      <c r="H1397" s="896"/>
      <c r="I1397" s="1291"/>
      <c r="J1397" s="909" t="s">
        <v>115</v>
      </c>
      <c r="K1397" s="922">
        <f>'Ele 2022-23'!I58</f>
        <v>68</v>
      </c>
      <c r="L1397" s="923" t="s">
        <v>275</v>
      </c>
      <c r="M1397" s="924">
        <f>ROUND(I1397*K1397,0)</f>
        <v>0</v>
      </c>
      <c r="N1397" s="900" t="s">
        <v>2309</v>
      </c>
    </row>
    <row r="1398" spans="1:14" s="1403" customFormat="1" ht="64.5" customHeight="1">
      <c r="A1398" s="1397">
        <v>21</v>
      </c>
      <c r="B1398" s="1610" t="s">
        <v>692</v>
      </c>
      <c r="C1398" s="1610"/>
      <c r="D1398" s="1610"/>
      <c r="E1398" s="1610"/>
      <c r="F1398" s="1610"/>
      <c r="G1398" s="1610"/>
      <c r="H1398" s="1610"/>
      <c r="I1398" s="1398"/>
      <c r="J1398" s="1399"/>
      <c r="K1398" s="1397"/>
      <c r="L1398" s="1397"/>
      <c r="M1398" s="1401"/>
      <c r="N1398" s="1402" t="s">
        <v>2309</v>
      </c>
    </row>
    <row r="1399" spans="1:14" s="1411" customFormat="1" ht="16.5" customHeight="1">
      <c r="A1399" s="1397"/>
      <c r="B1399" s="1410" t="s">
        <v>3979</v>
      </c>
      <c r="C1399" s="1417"/>
      <c r="D1399" s="1395" t="s">
        <v>4022</v>
      </c>
      <c r="E1399" s="1419"/>
      <c r="F1399" s="1420"/>
      <c r="G1399" s="1420"/>
      <c r="H1399" s="1421"/>
      <c r="I1399" s="1422"/>
      <c r="J1399" s="1442"/>
      <c r="K1399" s="1410"/>
      <c r="L1399" s="1397"/>
      <c r="M1399" s="1410"/>
      <c r="N1399" s="1402" t="s">
        <v>2309</v>
      </c>
    </row>
    <row r="1400" spans="1:14" s="1411" customFormat="1" ht="16.5" customHeight="1">
      <c r="A1400" s="1397"/>
      <c r="B1400" s="1472" t="s">
        <v>3678</v>
      </c>
      <c r="C1400" s="1459">
        <v>1</v>
      </c>
      <c r="D1400" s="1460" t="s">
        <v>273</v>
      </c>
      <c r="E1400" s="1461">
        <v>8</v>
      </c>
      <c r="F1400" s="1448">
        <v>0</v>
      </c>
      <c r="G1400" s="1448">
        <v>0</v>
      </c>
      <c r="H1400" s="1448">
        <v>0</v>
      </c>
      <c r="I1400" s="1468">
        <f>ROUND(IF(AND(F1400:H1400),C1400*E1400*F1400*G1400*H1400,IF(AND(F1400,G1400),C1400*E1400*F1400*G1400,IF(AND(F1400,H1400),C1400*E1400*F1400*H1400,IF(AND(G1400,H1400),C1400*E1400*G1400*H1400,IF(F1400,C1400*E1400*F1400,IF(G1400,C1400*E1400*G1400,IF(H1400,C1400*E1400*H1400,C1400*E1400))))))),2)</f>
        <v>8</v>
      </c>
      <c r="J1400" s="1442" t="s">
        <v>431</v>
      </c>
      <c r="K1400" s="1410"/>
      <c r="L1400" s="1397"/>
      <c r="M1400" s="1410"/>
      <c r="N1400" s="1402" t="s">
        <v>2309</v>
      </c>
    </row>
    <row r="1401" spans="1:14" s="1411" customFormat="1" ht="16.5" customHeight="1">
      <c r="A1401" s="1397"/>
      <c r="B1401" s="1472" t="s">
        <v>2451</v>
      </c>
      <c r="C1401" s="1459">
        <v>1</v>
      </c>
      <c r="D1401" s="1460" t="s">
        <v>273</v>
      </c>
      <c r="E1401" s="1461">
        <v>14</v>
      </c>
      <c r="F1401" s="1448">
        <v>0</v>
      </c>
      <c r="G1401" s="1448">
        <v>0</v>
      </c>
      <c r="H1401" s="1448">
        <v>0</v>
      </c>
      <c r="I1401" s="1468">
        <f>ROUND(IF(AND(F1401:H1401),C1401*E1401*F1401*G1401*H1401,IF(AND(F1401,G1401),C1401*E1401*F1401*G1401,IF(AND(F1401,H1401),C1401*E1401*F1401*H1401,IF(AND(G1401,H1401),C1401*E1401*G1401*H1401,IF(F1401,C1401*E1401*F1401,IF(G1401,C1401*E1401*G1401,IF(H1401,C1401*E1401*H1401,C1401*E1401))))))),2)</f>
        <v>14</v>
      </c>
      <c r="J1401" s="1442" t="s">
        <v>431</v>
      </c>
      <c r="K1401" s="1410"/>
      <c r="L1401" s="1397"/>
      <c r="M1401" s="1410"/>
      <c r="N1401" s="1402" t="s">
        <v>2309</v>
      </c>
    </row>
    <row r="1402" spans="1:14" s="1411" customFormat="1" ht="16.5" customHeight="1">
      <c r="A1402" s="1397"/>
      <c r="B1402" s="1472"/>
      <c r="C1402" s="1426"/>
      <c r="D1402" s="1427"/>
      <c r="E1402" s="1428"/>
      <c r="F1402" s="1429"/>
      <c r="G1402" s="1429"/>
      <c r="H1402" s="1429"/>
      <c r="I1402" s="1468"/>
      <c r="J1402" s="1442"/>
      <c r="K1402" s="1410"/>
      <c r="L1402" s="1397"/>
      <c r="M1402" s="1410"/>
      <c r="N1402" s="1402" t="s">
        <v>2309</v>
      </c>
    </row>
    <row r="1403" spans="1:14" s="1403" customFormat="1" ht="15.75">
      <c r="A1403" s="1397"/>
      <c r="B1403" s="1410"/>
      <c r="C1403" s="1431"/>
      <c r="D1403" s="1432"/>
      <c r="E1403" s="1413"/>
      <c r="F1403" s="1414"/>
      <c r="G1403" s="1433"/>
      <c r="H1403" s="1397"/>
      <c r="I1403" s="1468">
        <f>SUM(I1400:I1402)</f>
        <v>22</v>
      </c>
      <c r="J1403" s="1442" t="s">
        <v>431</v>
      </c>
      <c r="K1403" s="1434">
        <f>'Ele 2022-23'!I96</f>
        <v>481.67</v>
      </c>
      <c r="L1403" s="1400" t="s">
        <v>2423</v>
      </c>
      <c r="M1403" s="1435">
        <f>ROUND(I1403*K1403,0)</f>
        <v>10597</v>
      </c>
      <c r="N1403" s="1402" t="s">
        <v>2309</v>
      </c>
    </row>
    <row r="1404" spans="1:14" s="1403" customFormat="1" ht="67.5" customHeight="1">
      <c r="A1404" s="1397">
        <v>22</v>
      </c>
      <c r="B1404" s="1610" t="s">
        <v>693</v>
      </c>
      <c r="C1404" s="1610"/>
      <c r="D1404" s="1610"/>
      <c r="E1404" s="1610"/>
      <c r="F1404" s="1610"/>
      <c r="G1404" s="1610"/>
      <c r="H1404" s="1610"/>
      <c r="I1404" s="1398"/>
      <c r="J1404" s="1399"/>
      <c r="K1404" s="1397"/>
      <c r="L1404" s="1397"/>
      <c r="M1404" s="1401"/>
      <c r="N1404" s="1402" t="s">
        <v>2309</v>
      </c>
    </row>
    <row r="1405" spans="1:14" s="1411" customFormat="1" ht="16.5" customHeight="1">
      <c r="A1405" s="1397"/>
      <c r="B1405" s="1410" t="s">
        <v>3980</v>
      </c>
      <c r="C1405" s="1417"/>
      <c r="D1405" s="1395" t="s">
        <v>4022</v>
      </c>
      <c r="E1405" s="1419"/>
      <c r="F1405" s="1420"/>
      <c r="G1405" s="1420"/>
      <c r="H1405" s="1421"/>
      <c r="I1405" s="1422"/>
      <c r="J1405" s="1442"/>
      <c r="K1405" s="1410"/>
      <c r="L1405" s="1397"/>
      <c r="M1405" s="1410"/>
      <c r="N1405" s="1402" t="s">
        <v>2309</v>
      </c>
    </row>
    <row r="1406" spans="1:14" s="1411" customFormat="1" ht="16.5" customHeight="1">
      <c r="A1406" s="1397"/>
      <c r="B1406" s="1472" t="s">
        <v>3620</v>
      </c>
      <c r="C1406" s="1459">
        <v>1</v>
      </c>
      <c r="D1406" s="1460" t="s">
        <v>273</v>
      </c>
      <c r="E1406" s="1461">
        <v>6</v>
      </c>
      <c r="F1406" s="1448">
        <v>0</v>
      </c>
      <c r="G1406" s="1448">
        <v>0</v>
      </c>
      <c r="H1406" s="1448">
        <v>0</v>
      </c>
      <c r="I1406" s="1468">
        <f t="shared" ref="I1406" si="23">ROUND(IF(AND(F1406:H1406),C1406*E1406*F1406*G1406*H1406,IF(AND(F1406,G1406),C1406*E1406*F1406*G1406,IF(AND(F1406,H1406),C1406*E1406*F1406*H1406,IF(AND(G1406,H1406),C1406*E1406*G1406*H1406,IF(F1406,C1406*E1406*F1406,IF(G1406,C1406*E1406*G1406,IF(H1406,C1406*E1406*H1406,C1406*E1406))))))),2)</f>
        <v>6</v>
      </c>
      <c r="J1406" s="1442" t="s">
        <v>431</v>
      </c>
      <c r="K1406" s="1410"/>
      <c r="L1406" s="1397"/>
      <c r="M1406" s="1410"/>
      <c r="N1406" s="1402" t="s">
        <v>2309</v>
      </c>
    </row>
    <row r="1407" spans="1:14" s="1411" customFormat="1" ht="16.5" customHeight="1">
      <c r="A1407" s="1397"/>
      <c r="B1407" s="1472"/>
      <c r="C1407" s="1426"/>
      <c r="D1407" s="1427"/>
      <c r="E1407" s="1428"/>
      <c r="F1407" s="1429"/>
      <c r="G1407" s="1429"/>
      <c r="H1407" s="1429"/>
      <c r="I1407" s="1430"/>
      <c r="J1407" s="1442"/>
      <c r="K1407" s="1410"/>
      <c r="L1407" s="1397"/>
      <c r="M1407" s="1410"/>
      <c r="N1407" s="1402" t="s">
        <v>2309</v>
      </c>
    </row>
    <row r="1408" spans="1:14" s="1403" customFormat="1" ht="15.75">
      <c r="A1408" s="1397"/>
      <c r="B1408" s="1410"/>
      <c r="C1408" s="1431"/>
      <c r="D1408" s="1432"/>
      <c r="E1408" s="1413"/>
      <c r="F1408" s="1414"/>
      <c r="G1408" s="1433"/>
      <c r="H1408" s="1397"/>
      <c r="I1408" s="1468">
        <f>SUM(I1406:I1407)</f>
        <v>6</v>
      </c>
      <c r="J1408" s="1442" t="s">
        <v>431</v>
      </c>
      <c r="K1408" s="1434">
        <f>'Ele 2022-23'!I109</f>
        <v>503.67</v>
      </c>
      <c r="L1408" s="1400" t="s">
        <v>2423</v>
      </c>
      <c r="M1408" s="1435">
        <f>ROUND(I1408*K1408,0)</f>
        <v>3022</v>
      </c>
      <c r="N1408" s="1402" t="s">
        <v>2309</v>
      </c>
    </row>
    <row r="1409" spans="1:14" ht="44.25" hidden="1" customHeight="1">
      <c r="A1409" s="896">
        <v>8</v>
      </c>
      <c r="B1409" s="1609" t="s">
        <v>2086</v>
      </c>
      <c r="C1409" s="1609"/>
      <c r="D1409" s="1609"/>
      <c r="E1409" s="1609"/>
      <c r="F1409" s="1609"/>
      <c r="G1409" s="1609"/>
      <c r="H1409" s="1609"/>
      <c r="I1409" s="897"/>
      <c r="J1409" s="898"/>
      <c r="K1409" s="896"/>
      <c r="L1409" s="896"/>
      <c r="M1409" s="899"/>
      <c r="N1409" s="900" t="s">
        <v>2309</v>
      </c>
    </row>
    <row r="1410" spans="1:14" s="910" customFormat="1" ht="16.5" hidden="1" customHeight="1">
      <c r="A1410" s="896"/>
      <c r="B1410" s="902" t="s">
        <v>3350</v>
      </c>
      <c r="C1410" s="903"/>
      <c r="D1410" s="904"/>
      <c r="E1410" s="905"/>
      <c r="F1410" s="906"/>
      <c r="G1410" s="906"/>
      <c r="H1410" s="907"/>
      <c r="I1410" s="908"/>
      <c r="J1410" s="909"/>
      <c r="K1410" s="902"/>
      <c r="L1410" s="896"/>
      <c r="M1410" s="902"/>
      <c r="N1410" s="900" t="s">
        <v>2309</v>
      </c>
    </row>
    <row r="1411" spans="1:14" s="910" customFormat="1" ht="16.5" hidden="1" customHeight="1">
      <c r="A1411" s="896"/>
      <c r="B1411" s="902" t="s">
        <v>2087</v>
      </c>
      <c r="C1411" s="903"/>
      <c r="D1411" s="904"/>
      <c r="E1411" s="905"/>
      <c r="F1411" s="906"/>
      <c r="G1411" s="906"/>
      <c r="H1411" s="907"/>
      <c r="I1411" s="908"/>
      <c r="J1411" s="909"/>
      <c r="K1411" s="902"/>
      <c r="L1411" s="896"/>
      <c r="M1411" s="902"/>
      <c r="N1411" s="900" t="s">
        <v>2309</v>
      </c>
    </row>
    <row r="1412" spans="1:14" s="910" customFormat="1" ht="16.5" hidden="1" customHeight="1">
      <c r="A1412" s="896"/>
      <c r="B1412" s="980"/>
      <c r="C1412" s="912">
        <v>1</v>
      </c>
      <c r="D1412" s="913" t="s">
        <v>273</v>
      </c>
      <c r="E1412" s="914">
        <v>1</v>
      </c>
      <c r="F1412" s="1289">
        <v>55</v>
      </c>
      <c r="G1412" s="915">
        <v>0</v>
      </c>
      <c r="H1412" s="915">
        <v>0</v>
      </c>
      <c r="I1412" s="916">
        <f>ROUND(IF(AND(F1412:H1412),C1412*E1412*F1412*G1412*H1412,IF(AND(F1412,G1412),C1412*E1412*F1412*G1412,IF(AND(F1412,H1412),C1412*E1412*F1412*H1412,IF(AND(G1412,H1412),C1412*E1412*G1412*H1412,IF(F1412,C1412*E1412*F1412,IF(G1412,C1412*E1412*G1412,IF(H1412,C1412*E1412*H1412,C1412*E1412))))))),2)</f>
        <v>55</v>
      </c>
      <c r="J1412" s="909" t="s">
        <v>277</v>
      </c>
      <c r="K1412" s="902"/>
      <c r="L1412" s="896"/>
      <c r="M1412" s="902"/>
      <c r="N1412" s="900" t="s">
        <v>2309</v>
      </c>
    </row>
    <row r="1413" spans="1:14" s="910" customFormat="1" ht="16.5" hidden="1" customHeight="1">
      <c r="A1413" s="896"/>
      <c r="B1413" s="980"/>
      <c r="C1413" s="957"/>
      <c r="D1413" s="958"/>
      <c r="E1413" s="1268"/>
      <c r="F1413" s="1290"/>
      <c r="G1413" s="960"/>
      <c r="H1413" s="960"/>
      <c r="I1413" s="916"/>
      <c r="J1413" s="909"/>
      <c r="K1413" s="902"/>
      <c r="L1413" s="896"/>
      <c r="M1413" s="902"/>
      <c r="N1413" s="900" t="s">
        <v>2309</v>
      </c>
    </row>
    <row r="1414" spans="1:14" ht="15.75" hidden="1">
      <c r="A1414" s="896"/>
      <c r="B1414" s="902"/>
      <c r="C1414" s="917"/>
      <c r="D1414" s="918"/>
      <c r="E1414" s="919"/>
      <c r="F1414" s="920"/>
      <c r="G1414" s="921"/>
      <c r="H1414" s="896"/>
      <c r="I1414" s="916"/>
      <c r="J1414" s="909" t="s">
        <v>277</v>
      </c>
      <c r="K1414" s="922">
        <f>'Ele 2022-23'!I154</f>
        <v>23.55</v>
      </c>
      <c r="L1414" s="923" t="s">
        <v>279</v>
      </c>
      <c r="M1414" s="924">
        <f>ROUND(I1414*K1414,0)</f>
        <v>0</v>
      </c>
      <c r="N1414" s="900" t="s">
        <v>2309</v>
      </c>
    </row>
    <row r="1415" spans="1:14" ht="44.25" hidden="1" customHeight="1">
      <c r="A1415" s="896">
        <v>9</v>
      </c>
      <c r="B1415" s="1609" t="s">
        <v>2255</v>
      </c>
      <c r="C1415" s="1609"/>
      <c r="D1415" s="1609"/>
      <c r="E1415" s="1609"/>
      <c r="F1415" s="1609"/>
      <c r="G1415" s="1609"/>
      <c r="H1415" s="1609"/>
      <c r="I1415" s="897"/>
      <c r="J1415" s="898"/>
      <c r="K1415" s="896"/>
      <c r="L1415" s="896"/>
      <c r="M1415" s="899"/>
      <c r="N1415" s="900" t="s">
        <v>2309</v>
      </c>
    </row>
    <row r="1416" spans="1:14" s="910" customFormat="1" ht="16.5" hidden="1" customHeight="1">
      <c r="A1416" s="896"/>
      <c r="B1416" s="902" t="s">
        <v>3350</v>
      </c>
      <c r="C1416" s="903"/>
      <c r="D1416" s="904"/>
      <c r="E1416" s="905"/>
      <c r="F1416" s="906"/>
      <c r="G1416" s="906"/>
      <c r="H1416" s="907"/>
      <c r="I1416" s="908"/>
      <c r="J1416" s="909"/>
      <c r="K1416" s="902"/>
      <c r="L1416" s="896"/>
      <c r="M1416" s="902"/>
      <c r="N1416" s="900" t="s">
        <v>2309</v>
      </c>
    </row>
    <row r="1417" spans="1:14" s="910" customFormat="1" ht="16.5" hidden="1" customHeight="1">
      <c r="A1417" s="896"/>
      <c r="B1417" s="980"/>
      <c r="C1417" s="912">
        <v>1</v>
      </c>
      <c r="D1417" s="913" t="s">
        <v>273</v>
      </c>
      <c r="E1417" s="914">
        <v>1</v>
      </c>
      <c r="F1417" s="1289">
        <v>150</v>
      </c>
      <c r="G1417" s="915">
        <v>0</v>
      </c>
      <c r="H1417" s="915">
        <v>0</v>
      </c>
      <c r="I1417" s="916">
        <f>ROUND(IF(AND(F1417:H1417),C1417*E1417*F1417*G1417*H1417,IF(AND(F1417,G1417),C1417*E1417*F1417*G1417,IF(AND(F1417,H1417),C1417*E1417*F1417*H1417,IF(AND(G1417,H1417),C1417*E1417*G1417*H1417,IF(F1417,C1417*E1417*F1417,IF(G1417,C1417*E1417*G1417,IF(H1417,C1417*E1417*H1417,C1417*E1417))))))),2)</f>
        <v>150</v>
      </c>
      <c r="J1417" s="909" t="s">
        <v>277</v>
      </c>
      <c r="K1417" s="902"/>
      <c r="L1417" s="896"/>
      <c r="M1417" s="902"/>
      <c r="N1417" s="900" t="s">
        <v>2309</v>
      </c>
    </row>
    <row r="1418" spans="1:14" s="910" customFormat="1" ht="16.5" hidden="1" customHeight="1">
      <c r="A1418" s="896"/>
      <c r="B1418" s="980"/>
      <c r="C1418" s="957"/>
      <c r="D1418" s="958"/>
      <c r="E1418" s="1268"/>
      <c r="F1418" s="1290"/>
      <c r="G1418" s="960"/>
      <c r="H1418" s="960"/>
      <c r="I1418" s="916"/>
      <c r="J1418" s="909"/>
      <c r="K1418" s="902"/>
      <c r="L1418" s="896"/>
      <c r="M1418" s="902"/>
      <c r="N1418" s="900" t="s">
        <v>2309</v>
      </c>
    </row>
    <row r="1419" spans="1:14" ht="15.75" hidden="1">
      <c r="A1419" s="896"/>
      <c r="B1419" s="902"/>
      <c r="C1419" s="917"/>
      <c r="D1419" s="918"/>
      <c r="E1419" s="919"/>
      <c r="F1419" s="920"/>
      <c r="G1419" s="921"/>
      <c r="H1419" s="896"/>
      <c r="I1419" s="916"/>
      <c r="J1419" s="909" t="s">
        <v>277</v>
      </c>
      <c r="K1419" s="922">
        <f>'Ele 2022-23'!I146</f>
        <v>79.48</v>
      </c>
      <c r="L1419" s="923" t="s">
        <v>279</v>
      </c>
      <c r="M1419" s="924">
        <f>ROUND(I1419*K1419,0)</f>
        <v>0</v>
      </c>
      <c r="N1419" s="900" t="s">
        <v>2309</v>
      </c>
    </row>
    <row r="1420" spans="1:14" s="1403" customFormat="1" ht="44.25" customHeight="1">
      <c r="A1420" s="1397">
        <v>23</v>
      </c>
      <c r="B1420" s="1610" t="s">
        <v>3807</v>
      </c>
      <c r="C1420" s="1610"/>
      <c r="D1420" s="1610"/>
      <c r="E1420" s="1610"/>
      <c r="F1420" s="1610"/>
      <c r="G1420" s="1610"/>
      <c r="H1420" s="1610"/>
      <c r="I1420" s="1398"/>
      <c r="J1420" s="1399"/>
      <c r="K1420" s="1397"/>
      <c r="L1420" s="1397"/>
      <c r="M1420" s="1401"/>
      <c r="N1420" s="1402" t="s">
        <v>2309</v>
      </c>
    </row>
    <row r="1421" spans="1:14" s="1411" customFormat="1" ht="16.5" customHeight="1">
      <c r="A1421" s="1397"/>
      <c r="B1421" s="1410" t="s">
        <v>3981</v>
      </c>
      <c r="C1421" s="1417"/>
      <c r="D1421" s="1395" t="s">
        <v>4022</v>
      </c>
      <c r="E1421" s="1419"/>
      <c r="F1421" s="1420"/>
      <c r="G1421" s="1420"/>
      <c r="H1421" s="1421"/>
      <c r="I1421" s="1422"/>
      <c r="J1421" s="1442"/>
      <c r="K1421" s="1410"/>
      <c r="L1421" s="1397"/>
      <c r="M1421" s="1410"/>
      <c r="N1421" s="1402" t="s">
        <v>2309</v>
      </c>
    </row>
    <row r="1422" spans="1:14" s="1411" customFormat="1" ht="16.5" customHeight="1">
      <c r="A1422" s="1397"/>
      <c r="B1422" s="1472" t="s">
        <v>3273</v>
      </c>
      <c r="C1422" s="1459">
        <v>1</v>
      </c>
      <c r="D1422" s="1460" t="s">
        <v>273</v>
      </c>
      <c r="E1422" s="1461">
        <v>1</v>
      </c>
      <c r="F1422" s="1462">
        <v>5</v>
      </c>
      <c r="G1422" s="1448">
        <v>0</v>
      </c>
      <c r="H1422" s="1448">
        <v>0</v>
      </c>
      <c r="I1422" s="1430">
        <f t="shared" ref="I1422:I1427" si="24">ROUND(IF(AND(F1422:H1422),C1422*E1422*F1422*G1422*H1422,IF(AND(F1422,G1422),C1422*E1422*F1422*G1422,IF(AND(F1422,H1422),C1422*E1422*F1422*H1422,IF(AND(G1422,H1422),C1422*E1422*G1422*H1422,IF(F1422,C1422*E1422*F1422,IF(G1422,C1422*E1422*G1422,IF(H1422,C1422*E1422*H1422,C1422*E1422))))))),2)</f>
        <v>5</v>
      </c>
      <c r="J1422" s="1442" t="s">
        <v>277</v>
      </c>
      <c r="K1422" s="1410"/>
      <c r="L1422" s="1397"/>
      <c r="M1422" s="1410"/>
      <c r="N1422" s="1402" t="s">
        <v>2309</v>
      </c>
    </row>
    <row r="1423" spans="1:14" s="1411" customFormat="1" ht="16.5" customHeight="1">
      <c r="A1423" s="1397"/>
      <c r="B1423" s="1472" t="s">
        <v>2521</v>
      </c>
      <c r="C1423" s="1459">
        <v>1</v>
      </c>
      <c r="D1423" s="1460" t="s">
        <v>273</v>
      </c>
      <c r="E1423" s="1461">
        <v>1</v>
      </c>
      <c r="F1423" s="1462">
        <v>5</v>
      </c>
      <c r="G1423" s="1448">
        <v>0</v>
      </c>
      <c r="H1423" s="1448">
        <v>0</v>
      </c>
      <c r="I1423" s="1430">
        <f t="shared" si="24"/>
        <v>5</v>
      </c>
      <c r="J1423" s="1442" t="s">
        <v>277</v>
      </c>
      <c r="K1423" s="1410"/>
      <c r="L1423" s="1397"/>
      <c r="M1423" s="1410"/>
      <c r="N1423" s="1402" t="s">
        <v>2309</v>
      </c>
    </row>
    <row r="1424" spans="1:14" s="1411" customFormat="1" ht="16.5" customHeight="1">
      <c r="A1424" s="1397"/>
      <c r="B1424" s="1472" t="s">
        <v>3891</v>
      </c>
      <c r="C1424" s="1459">
        <v>1</v>
      </c>
      <c r="D1424" s="1460" t="s">
        <v>273</v>
      </c>
      <c r="E1424" s="1461">
        <v>1</v>
      </c>
      <c r="F1424" s="1462">
        <v>5</v>
      </c>
      <c r="G1424" s="1448">
        <v>0</v>
      </c>
      <c r="H1424" s="1448">
        <v>0</v>
      </c>
      <c r="I1424" s="1430">
        <f t="shared" si="24"/>
        <v>5</v>
      </c>
      <c r="J1424" s="1442" t="s">
        <v>277</v>
      </c>
      <c r="K1424" s="1410"/>
      <c r="L1424" s="1397"/>
      <c r="M1424" s="1410"/>
      <c r="N1424" s="1402" t="s">
        <v>2309</v>
      </c>
    </row>
    <row r="1425" spans="1:14" s="1411" customFormat="1" ht="16.5" customHeight="1">
      <c r="A1425" s="1397"/>
      <c r="B1425" s="1472" t="s">
        <v>2357</v>
      </c>
      <c r="C1425" s="1459">
        <v>1</v>
      </c>
      <c r="D1425" s="1460" t="s">
        <v>273</v>
      </c>
      <c r="E1425" s="1461">
        <v>1</v>
      </c>
      <c r="F1425" s="1462">
        <v>5</v>
      </c>
      <c r="G1425" s="1448">
        <v>0</v>
      </c>
      <c r="H1425" s="1448">
        <v>0</v>
      </c>
      <c r="I1425" s="1430">
        <f t="shared" si="24"/>
        <v>5</v>
      </c>
      <c r="J1425" s="1442" t="s">
        <v>277</v>
      </c>
      <c r="K1425" s="1410"/>
      <c r="L1425" s="1397"/>
      <c r="M1425" s="1410"/>
      <c r="N1425" s="1402" t="s">
        <v>2309</v>
      </c>
    </row>
    <row r="1426" spans="1:14" s="1411" customFormat="1" ht="16.5" customHeight="1">
      <c r="A1426" s="1397"/>
      <c r="B1426" s="1472" t="s">
        <v>3892</v>
      </c>
      <c r="C1426" s="1459">
        <v>1</v>
      </c>
      <c r="D1426" s="1460" t="s">
        <v>273</v>
      </c>
      <c r="E1426" s="1461">
        <v>1</v>
      </c>
      <c r="F1426" s="1462">
        <v>10</v>
      </c>
      <c r="G1426" s="1448">
        <v>0</v>
      </c>
      <c r="H1426" s="1448">
        <v>0</v>
      </c>
      <c r="I1426" s="1430">
        <f t="shared" si="24"/>
        <v>10</v>
      </c>
      <c r="J1426" s="1442" t="s">
        <v>277</v>
      </c>
      <c r="K1426" s="1410"/>
      <c r="L1426" s="1397"/>
      <c r="M1426" s="1410"/>
      <c r="N1426" s="1402" t="s">
        <v>2309</v>
      </c>
    </row>
    <row r="1427" spans="1:14" s="1411" customFormat="1" ht="16.5" customHeight="1">
      <c r="A1427" s="1397"/>
      <c r="B1427" s="1472" t="s">
        <v>2355</v>
      </c>
      <c r="C1427" s="1459">
        <v>1</v>
      </c>
      <c r="D1427" s="1460" t="s">
        <v>273</v>
      </c>
      <c r="E1427" s="1461">
        <v>1</v>
      </c>
      <c r="F1427" s="1462">
        <v>10</v>
      </c>
      <c r="G1427" s="1448">
        <v>0</v>
      </c>
      <c r="H1427" s="1448">
        <v>0</v>
      </c>
      <c r="I1427" s="1430">
        <f t="shared" si="24"/>
        <v>10</v>
      </c>
      <c r="J1427" s="1442" t="s">
        <v>277</v>
      </c>
      <c r="K1427" s="1410"/>
      <c r="L1427" s="1397"/>
      <c r="M1427" s="1410"/>
      <c r="N1427" s="1402" t="s">
        <v>2309</v>
      </c>
    </row>
    <row r="1428" spans="1:14" s="1411" customFormat="1" ht="16.5" customHeight="1">
      <c r="A1428" s="1397"/>
      <c r="B1428" s="1458"/>
      <c r="C1428" s="1459"/>
      <c r="D1428" s="1460"/>
      <c r="E1428" s="1461"/>
      <c r="F1428" s="1448"/>
      <c r="G1428" s="1448"/>
      <c r="H1428" s="1448"/>
      <c r="I1428" s="1430"/>
      <c r="J1428" s="1442"/>
      <c r="K1428" s="1410"/>
      <c r="L1428" s="1397"/>
      <c r="M1428" s="1410"/>
      <c r="N1428" s="1402" t="s">
        <v>2309</v>
      </c>
    </row>
    <row r="1429" spans="1:14" s="1403" customFormat="1" ht="15.75">
      <c r="A1429" s="1397"/>
      <c r="B1429" s="1410"/>
      <c r="C1429" s="1431"/>
      <c r="D1429" s="1432"/>
      <c r="E1429" s="1413"/>
      <c r="F1429" s="1414"/>
      <c r="G1429" s="1433"/>
      <c r="H1429" s="1397"/>
      <c r="I1429" s="1430">
        <f>SUM(I1422:I1428)</f>
        <v>40</v>
      </c>
      <c r="J1429" s="1442" t="s">
        <v>277</v>
      </c>
      <c r="K1429" s="1434">
        <f>'Ele 2022-23'!I164</f>
        <v>83.333500000000001</v>
      </c>
      <c r="L1429" s="1400" t="s">
        <v>279</v>
      </c>
      <c r="M1429" s="1435">
        <f>ROUND(I1429*K1429,0)</f>
        <v>3333</v>
      </c>
      <c r="N1429" s="1402" t="s">
        <v>2309</v>
      </c>
    </row>
    <row r="1430" spans="1:14" ht="44.25" hidden="1" customHeight="1">
      <c r="A1430" s="896">
        <v>10</v>
      </c>
      <c r="B1430" s="1609" t="s">
        <v>430</v>
      </c>
      <c r="C1430" s="1609"/>
      <c r="D1430" s="1609"/>
      <c r="E1430" s="1609"/>
      <c r="F1430" s="1609"/>
      <c r="G1430" s="1609"/>
      <c r="H1430" s="1609"/>
      <c r="I1430" s="897"/>
      <c r="J1430" s="898"/>
      <c r="K1430" s="896"/>
      <c r="L1430" s="896"/>
      <c r="M1430" s="899"/>
      <c r="N1430" s="900" t="s">
        <v>2309</v>
      </c>
    </row>
    <row r="1431" spans="1:14" s="910" customFormat="1" ht="16.5" hidden="1" customHeight="1">
      <c r="A1431" s="896"/>
      <c r="B1431" s="902" t="s">
        <v>2100</v>
      </c>
      <c r="C1431" s="903"/>
      <c r="D1431" s="904"/>
      <c r="E1431" s="905"/>
      <c r="F1431" s="906"/>
      <c r="G1431" s="906"/>
      <c r="H1431" s="907"/>
      <c r="I1431" s="908"/>
      <c r="J1431" s="909"/>
      <c r="K1431" s="902"/>
      <c r="L1431" s="896"/>
      <c r="M1431" s="902"/>
      <c r="N1431" s="900" t="s">
        <v>2309</v>
      </c>
    </row>
    <row r="1432" spans="1:14" s="910" customFormat="1" ht="16.5" hidden="1" customHeight="1">
      <c r="A1432" s="896"/>
      <c r="B1432" s="980"/>
      <c r="C1432" s="957">
        <v>1</v>
      </c>
      <c r="D1432" s="958" t="s">
        <v>273</v>
      </c>
      <c r="E1432" s="1268">
        <v>1</v>
      </c>
      <c r="F1432" s="1290">
        <v>25</v>
      </c>
      <c r="G1432" s="960">
        <v>0</v>
      </c>
      <c r="H1432" s="960">
        <v>0</v>
      </c>
      <c r="I1432" s="916">
        <f>ROUND(IF(AND(F1432:H1432),C1432*E1432*F1432*G1432*H1432,IF(AND(F1432,G1432),C1432*E1432*F1432*G1432,IF(AND(F1432,H1432),C1432*E1432*F1432*H1432,IF(AND(G1432,H1432),C1432*E1432*G1432*H1432,IF(F1432,C1432*E1432*F1432,IF(G1432,C1432*E1432*G1432,IF(H1432,C1432*E1432*H1432,C1432*E1432))))))),2)</f>
        <v>25</v>
      </c>
      <c r="J1432" s="909" t="s">
        <v>277</v>
      </c>
      <c r="K1432" s="902"/>
      <c r="L1432" s="896"/>
      <c r="M1432" s="902"/>
      <c r="N1432" s="900" t="s">
        <v>2309</v>
      </c>
    </row>
    <row r="1433" spans="1:14" s="910" customFormat="1" ht="16.5" hidden="1" customHeight="1">
      <c r="A1433" s="896"/>
      <c r="B1433" s="980"/>
      <c r="C1433" s="957"/>
      <c r="D1433" s="958"/>
      <c r="E1433" s="1268"/>
      <c r="F1433" s="1290"/>
      <c r="G1433" s="960"/>
      <c r="H1433" s="960"/>
      <c r="I1433" s="916"/>
      <c r="J1433" s="909"/>
      <c r="K1433" s="902"/>
      <c r="L1433" s="896"/>
      <c r="M1433" s="902"/>
      <c r="N1433" s="900" t="s">
        <v>2309</v>
      </c>
    </row>
    <row r="1434" spans="1:14" ht="15.75" hidden="1">
      <c r="A1434" s="896"/>
      <c r="B1434" s="902"/>
      <c r="C1434" s="917"/>
      <c r="D1434" s="918"/>
      <c r="E1434" s="919"/>
      <c r="F1434" s="920"/>
      <c r="G1434" s="921"/>
      <c r="H1434" s="896"/>
      <c r="I1434" s="916"/>
      <c r="J1434" s="909" t="s">
        <v>277</v>
      </c>
      <c r="K1434" s="922">
        <f>'Ele 2022-23'!I174</f>
        <v>126.65</v>
      </c>
      <c r="L1434" s="923" t="s">
        <v>279</v>
      </c>
      <c r="M1434" s="924">
        <f>ROUND(I1434*K1434,0)</f>
        <v>0</v>
      </c>
      <c r="N1434" s="900" t="s">
        <v>2309</v>
      </c>
    </row>
    <row r="1435" spans="1:14" ht="44.25" hidden="1" customHeight="1">
      <c r="A1435" s="896">
        <v>10</v>
      </c>
      <c r="B1435" s="1609" t="s">
        <v>882</v>
      </c>
      <c r="C1435" s="1609"/>
      <c r="D1435" s="1609"/>
      <c r="E1435" s="1609"/>
      <c r="F1435" s="1609"/>
      <c r="G1435" s="1609"/>
      <c r="H1435" s="1609"/>
      <c r="I1435" s="897"/>
      <c r="J1435" s="898"/>
      <c r="K1435" s="896"/>
      <c r="L1435" s="896"/>
      <c r="M1435" s="899"/>
      <c r="N1435" s="900" t="s">
        <v>2309</v>
      </c>
    </row>
    <row r="1436" spans="1:14" s="910" customFormat="1" ht="16.5" hidden="1" customHeight="1">
      <c r="A1436" s="896"/>
      <c r="B1436" s="902" t="s">
        <v>3354</v>
      </c>
      <c r="C1436" s="903"/>
      <c r="D1436" s="904"/>
      <c r="E1436" s="905"/>
      <c r="F1436" s="906"/>
      <c r="G1436" s="906"/>
      <c r="H1436" s="907"/>
      <c r="I1436" s="908"/>
      <c r="J1436" s="909"/>
      <c r="K1436" s="902"/>
      <c r="L1436" s="896"/>
      <c r="M1436" s="902"/>
      <c r="N1436" s="900" t="s">
        <v>2309</v>
      </c>
    </row>
    <row r="1437" spans="1:14" s="910" customFormat="1" ht="16.5" hidden="1" customHeight="1">
      <c r="A1437" s="896"/>
      <c r="B1437" s="980"/>
      <c r="C1437" s="912">
        <v>1</v>
      </c>
      <c r="D1437" s="913" t="s">
        <v>273</v>
      </c>
      <c r="E1437" s="914">
        <v>1</v>
      </c>
      <c r="F1437" s="1289">
        <v>30</v>
      </c>
      <c r="G1437" s="915">
        <v>0</v>
      </c>
      <c r="H1437" s="915">
        <v>0</v>
      </c>
      <c r="I1437" s="916">
        <f>ROUND(IF(AND(F1437:H1437),C1437*E1437*F1437*G1437*H1437,IF(AND(F1437,G1437),C1437*E1437*F1437*G1437,IF(AND(F1437,H1437),C1437*E1437*F1437*H1437,IF(AND(G1437,H1437),C1437*E1437*G1437*H1437,IF(F1437,C1437*E1437*F1437,IF(G1437,C1437*E1437*G1437,IF(H1437,C1437*E1437*H1437,C1437*E1437))))))),2)</f>
        <v>30</v>
      </c>
      <c r="J1437" s="909" t="s">
        <v>277</v>
      </c>
      <c r="K1437" s="902"/>
      <c r="L1437" s="896"/>
      <c r="M1437" s="902"/>
      <c r="N1437" s="900" t="s">
        <v>2309</v>
      </c>
    </row>
    <row r="1438" spans="1:14" s="910" customFormat="1" ht="16.5" hidden="1" customHeight="1">
      <c r="A1438" s="896"/>
      <c r="B1438" s="980"/>
      <c r="C1438" s="912"/>
      <c r="D1438" s="913"/>
      <c r="E1438" s="914"/>
      <c r="F1438" s="1289"/>
      <c r="G1438" s="915"/>
      <c r="H1438" s="915"/>
      <c r="I1438" s="916"/>
      <c r="J1438" s="909"/>
      <c r="K1438" s="902"/>
      <c r="L1438" s="896"/>
      <c r="M1438" s="902"/>
      <c r="N1438" s="900" t="s">
        <v>2309</v>
      </c>
    </row>
    <row r="1439" spans="1:14" ht="15.75" hidden="1">
      <c r="A1439" s="896"/>
      <c r="B1439" s="902"/>
      <c r="C1439" s="917"/>
      <c r="D1439" s="918"/>
      <c r="E1439" s="919"/>
      <c r="F1439" s="920"/>
      <c r="G1439" s="921"/>
      <c r="H1439" s="896"/>
      <c r="I1439" s="916"/>
      <c r="J1439" s="909" t="s">
        <v>277</v>
      </c>
      <c r="K1439" s="922">
        <f>'Ele 2022-23'!I185</f>
        <v>64.563000000000002</v>
      </c>
      <c r="L1439" s="923" t="s">
        <v>279</v>
      </c>
      <c r="M1439" s="924">
        <f>ROUND(I1439*K1439,0)</f>
        <v>0</v>
      </c>
      <c r="N1439" s="900" t="s">
        <v>2309</v>
      </c>
    </row>
    <row r="1440" spans="1:14" s="1403" customFormat="1" ht="22.5" customHeight="1">
      <c r="A1440" s="1397">
        <v>24</v>
      </c>
      <c r="B1440" s="1610" t="s">
        <v>437</v>
      </c>
      <c r="C1440" s="1610"/>
      <c r="D1440" s="1610"/>
      <c r="E1440" s="1610"/>
      <c r="F1440" s="1610"/>
      <c r="G1440" s="1610"/>
      <c r="H1440" s="1610"/>
      <c r="I1440" s="1398"/>
      <c r="J1440" s="1399"/>
      <c r="K1440" s="1397"/>
      <c r="L1440" s="1397"/>
      <c r="M1440" s="1401"/>
      <c r="N1440" s="1402" t="s">
        <v>2309</v>
      </c>
    </row>
    <row r="1441" spans="1:14" s="1411" customFormat="1" ht="16.5" customHeight="1">
      <c r="A1441" s="1397"/>
      <c r="B1441" s="1410" t="s">
        <v>3983</v>
      </c>
      <c r="C1441" s="1417"/>
      <c r="D1441" s="1395" t="s">
        <v>4022</v>
      </c>
      <c r="E1441" s="1419"/>
      <c r="F1441" s="1420"/>
      <c r="G1441" s="1420"/>
      <c r="H1441" s="1421"/>
      <c r="I1441" s="1422"/>
      <c r="J1441" s="1442"/>
      <c r="K1441" s="1410"/>
      <c r="L1441" s="1397"/>
      <c r="M1441" s="1410"/>
      <c r="N1441" s="1402" t="s">
        <v>2309</v>
      </c>
    </row>
    <row r="1442" spans="1:14" s="1411" customFormat="1" ht="16.5" customHeight="1">
      <c r="A1442" s="1397"/>
      <c r="B1442" s="1472"/>
      <c r="C1442" s="1459">
        <v>1</v>
      </c>
      <c r="D1442" s="1460" t="s">
        <v>273</v>
      </c>
      <c r="E1442" s="1461">
        <v>3</v>
      </c>
      <c r="F1442" s="1448">
        <v>0</v>
      </c>
      <c r="G1442" s="1448">
        <v>0</v>
      </c>
      <c r="H1442" s="1448">
        <v>0</v>
      </c>
      <c r="I1442" s="1468">
        <f t="shared" ref="I1442" si="25">ROUND(IF(AND(F1442:H1442),C1442*E1442*F1442*G1442*H1442,IF(AND(F1442,G1442),C1442*E1442*F1442*G1442,IF(AND(F1442,H1442),C1442*E1442*F1442*H1442,IF(AND(G1442,H1442),C1442*E1442*G1442*H1442,IF(F1442,C1442*E1442*F1442,IF(G1442,C1442*E1442*G1442,IF(H1442,C1442*E1442*H1442,C1442*E1442))))))),2)</f>
        <v>3</v>
      </c>
      <c r="J1442" s="1442" t="s">
        <v>115</v>
      </c>
      <c r="K1442" s="1410"/>
      <c r="L1442" s="1397"/>
      <c r="M1442" s="1410"/>
      <c r="N1442" s="1402" t="s">
        <v>2309</v>
      </c>
    </row>
    <row r="1443" spans="1:14" s="1411" customFormat="1" ht="16.5" customHeight="1">
      <c r="A1443" s="1397"/>
      <c r="B1443" s="1472"/>
      <c r="C1443" s="1426"/>
      <c r="D1443" s="1427"/>
      <c r="E1443" s="1428"/>
      <c r="F1443" s="1429"/>
      <c r="G1443" s="1429"/>
      <c r="H1443" s="1429"/>
      <c r="I1443" s="1430"/>
      <c r="J1443" s="1442"/>
      <c r="K1443" s="1410"/>
      <c r="L1443" s="1397"/>
      <c r="M1443" s="1410"/>
      <c r="N1443" s="1402" t="s">
        <v>2309</v>
      </c>
    </row>
    <row r="1444" spans="1:14" s="1403" customFormat="1" ht="15.75">
      <c r="A1444" s="1397"/>
      <c r="B1444" s="1410"/>
      <c r="C1444" s="1431"/>
      <c r="D1444" s="1432"/>
      <c r="E1444" s="1413"/>
      <c r="F1444" s="1414"/>
      <c r="G1444" s="1433"/>
      <c r="H1444" s="1397"/>
      <c r="I1444" s="1468">
        <f>SUM(I1442:I1443)</f>
        <v>3</v>
      </c>
      <c r="J1444" s="1442" t="s">
        <v>115</v>
      </c>
      <c r="K1444" s="1434">
        <f>'Ele 2022-23'!I61</f>
        <v>209</v>
      </c>
      <c r="L1444" s="1400" t="s">
        <v>275</v>
      </c>
      <c r="M1444" s="1435">
        <f>ROUND(I1444*K1444,0)</f>
        <v>627</v>
      </c>
      <c r="N1444" s="1402" t="s">
        <v>2309</v>
      </c>
    </row>
    <row r="1445" spans="1:14" s="1403" customFormat="1" ht="22.5" customHeight="1">
      <c r="A1445" s="1397">
        <v>25</v>
      </c>
      <c r="B1445" s="1610" t="s">
        <v>615</v>
      </c>
      <c r="C1445" s="1610"/>
      <c r="D1445" s="1610"/>
      <c r="E1445" s="1610"/>
      <c r="F1445" s="1610"/>
      <c r="G1445" s="1610"/>
      <c r="H1445" s="1610"/>
      <c r="I1445" s="1398"/>
      <c r="J1445" s="1399"/>
      <c r="K1445" s="1397"/>
      <c r="L1445" s="1397"/>
      <c r="M1445" s="1401"/>
      <c r="N1445" s="1402" t="s">
        <v>2309</v>
      </c>
    </row>
    <row r="1446" spans="1:14" s="1411" customFormat="1" ht="16.5" customHeight="1">
      <c r="A1446" s="1397"/>
      <c r="B1446" s="1410" t="s">
        <v>3984</v>
      </c>
      <c r="C1446" s="1417"/>
      <c r="D1446" s="1395" t="s">
        <v>4022</v>
      </c>
      <c r="E1446" s="1419"/>
      <c r="F1446" s="1420"/>
      <c r="G1446" s="1420"/>
      <c r="H1446" s="1421"/>
      <c r="I1446" s="1422"/>
      <c r="J1446" s="1442"/>
      <c r="K1446" s="1410"/>
      <c r="L1446" s="1397"/>
      <c r="M1446" s="1410"/>
      <c r="N1446" s="1402" t="s">
        <v>2309</v>
      </c>
    </row>
    <row r="1447" spans="1:14" s="1411" customFormat="1" ht="16.5" customHeight="1">
      <c r="A1447" s="1397"/>
      <c r="B1447" s="1472"/>
      <c r="C1447" s="1459">
        <v>1</v>
      </c>
      <c r="D1447" s="1460" t="s">
        <v>273</v>
      </c>
      <c r="E1447" s="1461">
        <v>2</v>
      </c>
      <c r="F1447" s="1448">
        <v>0</v>
      </c>
      <c r="G1447" s="1448">
        <v>0</v>
      </c>
      <c r="H1447" s="1448">
        <v>0</v>
      </c>
      <c r="I1447" s="1468">
        <f>ROUND(IF(AND(F1447:H1447),C1447*E1447*F1447*G1447*H1447,IF(AND(F1447,G1447),C1447*E1447*F1447*G1447,IF(AND(F1447,H1447),C1447*E1447*F1447*H1447,IF(AND(G1447,H1447),C1447*E1447*G1447*H1447,IF(F1447,C1447*E1447*F1447,IF(G1447,C1447*E1447*G1447,IF(H1447,C1447*E1447*H1447,C1447*E1447))))))),2)</f>
        <v>2</v>
      </c>
      <c r="J1447" s="1442" t="s">
        <v>115</v>
      </c>
      <c r="K1447" s="1410"/>
      <c r="L1447" s="1397"/>
      <c r="M1447" s="1410"/>
      <c r="N1447" s="1402" t="s">
        <v>2309</v>
      </c>
    </row>
    <row r="1448" spans="1:14" s="1411" customFormat="1" ht="16.5" customHeight="1">
      <c r="A1448" s="1397"/>
      <c r="B1448" s="1472"/>
      <c r="C1448" s="1426"/>
      <c r="D1448" s="1427"/>
      <c r="E1448" s="1428"/>
      <c r="F1448" s="1429"/>
      <c r="G1448" s="1429"/>
      <c r="H1448" s="1429"/>
      <c r="I1448" s="1430"/>
      <c r="J1448" s="1442"/>
      <c r="K1448" s="1410"/>
      <c r="L1448" s="1397"/>
      <c r="M1448" s="1410"/>
      <c r="N1448" s="1402" t="s">
        <v>2309</v>
      </c>
    </row>
    <row r="1449" spans="1:14" s="1403" customFormat="1" ht="15.75">
      <c r="A1449" s="1397"/>
      <c r="B1449" s="1410"/>
      <c r="C1449" s="1431"/>
      <c r="D1449" s="1432"/>
      <c r="E1449" s="1413"/>
      <c r="F1449" s="1414"/>
      <c r="G1449" s="1433"/>
      <c r="H1449" s="1397"/>
      <c r="I1449" s="1468">
        <f>SUM(I1447:I1448)</f>
        <v>2</v>
      </c>
      <c r="J1449" s="1442" t="s">
        <v>115</v>
      </c>
      <c r="K1449" s="1434">
        <f>'Ele 2022-23'!I64</f>
        <v>171</v>
      </c>
      <c r="L1449" s="1400" t="s">
        <v>275</v>
      </c>
      <c r="M1449" s="1435">
        <f>ROUND(I1449*K1449,0)</f>
        <v>342</v>
      </c>
      <c r="N1449" s="1402" t="s">
        <v>2309</v>
      </c>
    </row>
    <row r="1450" spans="1:14" ht="22.5" hidden="1" customHeight="1">
      <c r="A1450" s="896">
        <v>31</v>
      </c>
      <c r="B1450" s="1609" t="s">
        <v>694</v>
      </c>
      <c r="C1450" s="1609"/>
      <c r="D1450" s="1609"/>
      <c r="E1450" s="1609"/>
      <c r="F1450" s="1609"/>
      <c r="G1450" s="1609"/>
      <c r="H1450" s="1609"/>
      <c r="I1450" s="897"/>
      <c r="J1450" s="898"/>
      <c r="K1450" s="896"/>
      <c r="L1450" s="896"/>
      <c r="M1450" s="899"/>
      <c r="N1450" s="900" t="s">
        <v>2309</v>
      </c>
    </row>
    <row r="1451" spans="1:14" s="910" customFormat="1" ht="16.5" hidden="1" customHeight="1">
      <c r="A1451" s="896"/>
      <c r="B1451" s="902" t="s">
        <v>3953</v>
      </c>
      <c r="C1451" s="903"/>
      <c r="D1451" s="954" t="s">
        <v>3874</v>
      </c>
      <c r="E1451" s="905"/>
      <c r="F1451" s="906"/>
      <c r="G1451" s="906"/>
      <c r="H1451" s="907"/>
      <c r="I1451" s="908"/>
      <c r="J1451" s="909"/>
      <c r="K1451" s="902"/>
      <c r="L1451" s="896"/>
      <c r="M1451" s="902"/>
      <c r="N1451" s="900" t="s">
        <v>2309</v>
      </c>
    </row>
    <row r="1452" spans="1:14" s="910" customFormat="1" ht="16.5" hidden="1" customHeight="1">
      <c r="A1452" s="896"/>
      <c r="B1452" s="980"/>
      <c r="C1452" s="957">
        <v>1</v>
      </c>
      <c r="D1452" s="958" t="s">
        <v>273</v>
      </c>
      <c r="E1452" s="1268">
        <v>5</v>
      </c>
      <c r="F1452" s="960">
        <v>0</v>
      </c>
      <c r="G1452" s="960">
        <v>0</v>
      </c>
      <c r="H1452" s="960">
        <v>0</v>
      </c>
      <c r="I1452" s="1291">
        <f>ROUND(IF(AND(F1452:H1452),C1452*E1452*F1452*G1452*H1452,IF(AND(F1452,G1452),C1452*E1452*F1452*G1452,IF(AND(F1452,H1452),C1452*E1452*F1452*H1452,IF(AND(G1452,H1452),C1452*E1452*G1452*H1452,IF(F1452,C1452*E1452*F1452,IF(G1452,C1452*E1452*G1452,IF(H1452,C1452*E1452*H1452,C1452*E1452))))))),2)</f>
        <v>5</v>
      </c>
      <c r="J1452" s="909" t="s">
        <v>115</v>
      </c>
      <c r="K1452" s="902"/>
      <c r="L1452" s="896"/>
      <c r="M1452" s="902"/>
      <c r="N1452" s="900" t="s">
        <v>2309</v>
      </c>
    </row>
    <row r="1453" spans="1:14" s="910" customFormat="1" ht="16.5" hidden="1" customHeight="1">
      <c r="A1453" s="896"/>
      <c r="B1453" s="980"/>
      <c r="C1453" s="957"/>
      <c r="D1453" s="958"/>
      <c r="E1453" s="1268"/>
      <c r="F1453" s="960"/>
      <c r="G1453" s="960"/>
      <c r="H1453" s="960"/>
      <c r="I1453" s="916"/>
      <c r="J1453" s="909"/>
      <c r="K1453" s="902"/>
      <c r="L1453" s="896"/>
      <c r="M1453" s="902"/>
      <c r="N1453" s="900" t="s">
        <v>2309</v>
      </c>
    </row>
    <row r="1454" spans="1:14" ht="21" hidden="1" customHeight="1">
      <c r="A1454" s="896"/>
      <c r="B1454" s="902"/>
      <c r="C1454" s="917"/>
      <c r="D1454" s="918"/>
      <c r="E1454" s="919"/>
      <c r="F1454" s="920"/>
      <c r="G1454" s="921"/>
      <c r="H1454" s="896"/>
      <c r="I1454" s="1291"/>
      <c r="J1454" s="909" t="s">
        <v>115</v>
      </c>
      <c r="K1454" s="922">
        <f>'Ele 2022-23'!I67</f>
        <v>132</v>
      </c>
      <c r="L1454" s="923" t="s">
        <v>275</v>
      </c>
      <c r="M1454" s="924">
        <f>ROUND(I1454*K1454,0)</f>
        <v>0</v>
      </c>
      <c r="N1454" s="900" t="s">
        <v>2309</v>
      </c>
    </row>
    <row r="1455" spans="1:14" s="1403" customFormat="1" ht="15" customHeight="1">
      <c r="A1455" s="1397">
        <v>26</v>
      </c>
      <c r="B1455" s="1610" t="s">
        <v>3982</v>
      </c>
      <c r="C1455" s="1610"/>
      <c r="D1455" s="1610"/>
      <c r="E1455" s="1610"/>
      <c r="F1455" s="1610"/>
      <c r="G1455" s="1610"/>
      <c r="H1455" s="1610"/>
      <c r="I1455" s="1398"/>
      <c r="J1455" s="1399"/>
      <c r="K1455" s="1397"/>
      <c r="L1455" s="1397"/>
      <c r="M1455" s="1401"/>
      <c r="N1455" s="1402" t="s">
        <v>2309</v>
      </c>
    </row>
    <row r="1456" spans="1:14" s="1411" customFormat="1" ht="16.5" customHeight="1">
      <c r="A1456" s="1397"/>
      <c r="B1456" s="1410" t="s">
        <v>3981</v>
      </c>
      <c r="C1456" s="1417"/>
      <c r="D1456" s="1395" t="s">
        <v>4022</v>
      </c>
      <c r="E1456" s="1419"/>
      <c r="F1456" s="1420"/>
      <c r="G1456" s="1420"/>
      <c r="H1456" s="1421"/>
      <c r="I1456" s="1422"/>
      <c r="J1456" s="1442"/>
      <c r="K1456" s="1410"/>
      <c r="L1456" s="1397"/>
      <c r="M1456" s="1410"/>
      <c r="N1456" s="1402" t="s">
        <v>2309</v>
      </c>
    </row>
    <row r="1457" spans="1:14" s="1411" customFormat="1" ht="16.5" customHeight="1">
      <c r="A1457" s="1397"/>
      <c r="B1457" s="1472"/>
      <c r="C1457" s="1459">
        <v>1</v>
      </c>
      <c r="D1457" s="1460" t="s">
        <v>273</v>
      </c>
      <c r="E1457" s="1461">
        <v>3</v>
      </c>
      <c r="F1457" s="1448">
        <v>0</v>
      </c>
      <c r="G1457" s="1448">
        <v>0</v>
      </c>
      <c r="H1457" s="1448">
        <v>0</v>
      </c>
      <c r="I1457" s="1468">
        <f>ROUND(IF(AND(F1457:H1457),C1457*E1457*F1457*G1457*H1457,IF(AND(F1457,G1457),C1457*E1457*F1457*G1457,IF(AND(F1457,H1457),C1457*E1457*F1457*H1457,IF(AND(G1457,H1457),C1457*E1457*G1457*H1457,IF(F1457,C1457*E1457*F1457,IF(G1457,C1457*E1457*G1457,IF(H1457,C1457*E1457*H1457,C1457*E1457))))))),2)</f>
        <v>3</v>
      </c>
      <c r="J1457" s="1442" t="s">
        <v>115</v>
      </c>
      <c r="K1457" s="1410"/>
      <c r="L1457" s="1397"/>
      <c r="M1457" s="1410"/>
      <c r="N1457" s="1402" t="s">
        <v>2309</v>
      </c>
    </row>
    <row r="1458" spans="1:14" s="1411" customFormat="1" ht="16.5" customHeight="1">
      <c r="A1458" s="1397"/>
      <c r="B1458" s="1472"/>
      <c r="C1458" s="1426"/>
      <c r="D1458" s="1427"/>
      <c r="E1458" s="1428"/>
      <c r="F1458" s="1429"/>
      <c r="G1458" s="1429"/>
      <c r="H1458" s="1429"/>
      <c r="I1458" s="1468"/>
      <c r="J1458" s="1442"/>
      <c r="K1458" s="1410"/>
      <c r="L1458" s="1397"/>
      <c r="M1458" s="1410"/>
      <c r="N1458" s="1402" t="s">
        <v>2309</v>
      </c>
    </row>
    <row r="1459" spans="1:14" s="1403" customFormat="1" ht="15.75">
      <c r="A1459" s="1397"/>
      <c r="B1459" s="1410"/>
      <c r="C1459" s="1431"/>
      <c r="D1459" s="1432"/>
      <c r="E1459" s="1413"/>
      <c r="F1459" s="1414"/>
      <c r="G1459" s="1433"/>
      <c r="H1459" s="1397"/>
      <c r="I1459" s="1468">
        <f>SUM(I1457:I1458)</f>
        <v>3</v>
      </c>
      <c r="J1459" s="1442" t="s">
        <v>115</v>
      </c>
      <c r="K1459" s="1434">
        <f>'Ele 2022-23'!I74</f>
        <v>297</v>
      </c>
      <c r="L1459" s="1400" t="s">
        <v>275</v>
      </c>
      <c r="M1459" s="1435">
        <f>ROUND(I1459*K1459,0)</f>
        <v>891</v>
      </c>
      <c r="N1459" s="1402" t="s">
        <v>2309</v>
      </c>
    </row>
    <row r="1460" spans="1:14" ht="22.5" hidden="1" customHeight="1">
      <c r="A1460" s="896">
        <v>32</v>
      </c>
      <c r="B1460" s="1609" t="s">
        <v>792</v>
      </c>
      <c r="C1460" s="1609"/>
      <c r="D1460" s="1609"/>
      <c r="E1460" s="1609"/>
      <c r="F1460" s="1609"/>
      <c r="G1460" s="1609"/>
      <c r="H1460" s="1609"/>
      <c r="I1460" s="897"/>
      <c r="J1460" s="898"/>
      <c r="K1460" s="896"/>
      <c r="L1460" s="896"/>
      <c r="M1460" s="899"/>
      <c r="N1460" s="900" t="s">
        <v>2309</v>
      </c>
    </row>
    <row r="1461" spans="1:14" s="910" customFormat="1" ht="16.5" hidden="1" customHeight="1">
      <c r="A1461" s="896"/>
      <c r="B1461" s="902" t="s">
        <v>3953</v>
      </c>
      <c r="C1461" s="903"/>
      <c r="D1461" s="954" t="s">
        <v>3874</v>
      </c>
      <c r="E1461" s="905"/>
      <c r="F1461" s="906"/>
      <c r="G1461" s="906"/>
      <c r="H1461" s="907"/>
      <c r="I1461" s="908"/>
      <c r="J1461" s="909"/>
      <c r="K1461" s="902"/>
      <c r="L1461" s="896"/>
      <c r="M1461" s="902"/>
      <c r="N1461" s="900" t="s">
        <v>2309</v>
      </c>
    </row>
    <row r="1462" spans="1:14" s="910" customFormat="1" ht="16.5" hidden="1" customHeight="1">
      <c r="A1462" s="896"/>
      <c r="B1462" s="980"/>
      <c r="C1462" s="957">
        <v>1</v>
      </c>
      <c r="D1462" s="958" t="s">
        <v>273</v>
      </c>
      <c r="E1462" s="1268">
        <v>4</v>
      </c>
      <c r="F1462" s="960">
        <v>0</v>
      </c>
      <c r="G1462" s="960">
        <v>0</v>
      </c>
      <c r="H1462" s="960">
        <v>0</v>
      </c>
      <c r="I1462" s="1291">
        <f>ROUND(IF(AND(F1462:H1462),C1462*E1462*F1462*G1462*H1462,IF(AND(F1462,G1462),C1462*E1462*F1462*G1462,IF(AND(F1462,H1462),C1462*E1462*F1462*H1462,IF(AND(G1462,H1462),C1462*E1462*G1462*H1462,IF(F1462,C1462*E1462*F1462,IF(G1462,C1462*E1462*G1462,IF(H1462,C1462*E1462*H1462,C1462*E1462))))))),2)</f>
        <v>4</v>
      </c>
      <c r="J1462" s="909" t="s">
        <v>115</v>
      </c>
      <c r="K1462" s="902"/>
      <c r="L1462" s="896"/>
      <c r="M1462" s="902"/>
      <c r="N1462" s="900" t="s">
        <v>2309</v>
      </c>
    </row>
    <row r="1463" spans="1:14" s="910" customFormat="1" ht="16.5" hidden="1" customHeight="1">
      <c r="A1463" s="896"/>
      <c r="B1463" s="980"/>
      <c r="C1463" s="957"/>
      <c r="D1463" s="958"/>
      <c r="E1463" s="1268"/>
      <c r="F1463" s="960"/>
      <c r="G1463" s="960"/>
      <c r="H1463" s="960"/>
      <c r="I1463" s="1291"/>
      <c r="J1463" s="909"/>
      <c r="K1463" s="902"/>
      <c r="L1463" s="896"/>
      <c r="M1463" s="902"/>
      <c r="N1463" s="900" t="s">
        <v>2309</v>
      </c>
    </row>
    <row r="1464" spans="1:14" ht="15.75" hidden="1">
      <c r="A1464" s="896"/>
      <c r="B1464" s="902"/>
      <c r="C1464" s="917"/>
      <c r="D1464" s="918"/>
      <c r="E1464" s="919"/>
      <c r="F1464" s="920"/>
      <c r="G1464" s="921"/>
      <c r="H1464" s="896"/>
      <c r="I1464" s="1291"/>
      <c r="J1464" s="909" t="s">
        <v>115</v>
      </c>
      <c r="K1464" s="922">
        <f>'Ele 2022-23'!I70</f>
        <v>88</v>
      </c>
      <c r="L1464" s="923" t="s">
        <v>275</v>
      </c>
      <c r="M1464" s="924">
        <f>ROUND(I1464*K1464,0)</f>
        <v>0</v>
      </c>
      <c r="N1464" s="900" t="s">
        <v>2309</v>
      </c>
    </row>
    <row r="1465" spans="1:14" ht="22.5" hidden="1" customHeight="1">
      <c r="A1465" s="896">
        <v>34</v>
      </c>
      <c r="B1465" s="1609" t="s">
        <v>439</v>
      </c>
      <c r="C1465" s="1609"/>
      <c r="D1465" s="1609"/>
      <c r="E1465" s="1609"/>
      <c r="F1465" s="1609"/>
      <c r="G1465" s="1609"/>
      <c r="H1465" s="1609"/>
      <c r="I1465" s="897"/>
      <c r="J1465" s="898"/>
      <c r="K1465" s="896"/>
      <c r="L1465" s="896"/>
      <c r="M1465" s="899"/>
      <c r="N1465" s="900" t="s">
        <v>2309</v>
      </c>
    </row>
    <row r="1466" spans="1:14" s="910" customFormat="1" ht="16.5" hidden="1" customHeight="1">
      <c r="A1466" s="896"/>
      <c r="B1466" s="902" t="s">
        <v>2525</v>
      </c>
      <c r="C1466" s="903"/>
      <c r="D1466" s="904"/>
      <c r="E1466" s="905"/>
      <c r="F1466" s="906"/>
      <c r="G1466" s="906"/>
      <c r="H1466" s="907"/>
      <c r="I1466" s="908"/>
      <c r="J1466" s="909"/>
      <c r="K1466" s="902"/>
      <c r="L1466" s="896"/>
      <c r="M1466" s="902"/>
      <c r="N1466" s="900" t="s">
        <v>2309</v>
      </c>
    </row>
    <row r="1467" spans="1:14" s="910" customFormat="1" ht="16.5" hidden="1" customHeight="1">
      <c r="A1467" s="896"/>
      <c r="B1467" s="980"/>
      <c r="C1467" s="957">
        <v>1</v>
      </c>
      <c r="D1467" s="958" t="s">
        <v>273</v>
      </c>
      <c r="E1467" s="1268">
        <v>1</v>
      </c>
      <c r="F1467" s="960">
        <v>0</v>
      </c>
      <c r="G1467" s="960">
        <v>0</v>
      </c>
      <c r="H1467" s="960">
        <v>0</v>
      </c>
      <c r="I1467" s="1291">
        <f>ROUND(IF(AND(F1467:H1467),C1467*E1467*F1467*G1467*H1467,IF(AND(F1467,G1467),C1467*E1467*F1467*G1467,IF(AND(F1467,H1467),C1467*E1467*F1467*H1467,IF(AND(G1467,H1467),C1467*E1467*G1467*H1467,IF(F1467,C1467*E1467*F1467,IF(G1467,C1467*E1467*G1467,IF(H1467,C1467*E1467*H1467,C1467*E1467))))))),2)</f>
        <v>1</v>
      </c>
      <c r="J1467" s="909" t="s">
        <v>115</v>
      </c>
      <c r="K1467" s="902"/>
      <c r="L1467" s="896"/>
      <c r="M1467" s="902"/>
      <c r="N1467" s="900" t="s">
        <v>2309</v>
      </c>
    </row>
    <row r="1468" spans="1:14" s="910" customFormat="1" ht="16.5" hidden="1" customHeight="1">
      <c r="A1468" s="896"/>
      <c r="B1468" s="980"/>
      <c r="C1468" s="957"/>
      <c r="D1468" s="958"/>
      <c r="E1468" s="1268"/>
      <c r="F1468" s="960"/>
      <c r="G1468" s="960"/>
      <c r="H1468" s="960"/>
      <c r="I1468" s="916"/>
      <c r="J1468" s="909"/>
      <c r="K1468" s="902"/>
      <c r="L1468" s="896"/>
      <c r="M1468" s="902"/>
      <c r="N1468" s="900" t="s">
        <v>2309</v>
      </c>
    </row>
    <row r="1469" spans="1:14" ht="15.75" hidden="1">
      <c r="A1469" s="896"/>
      <c r="B1469" s="902"/>
      <c r="C1469" s="917"/>
      <c r="D1469" s="918"/>
      <c r="E1469" s="919"/>
      <c r="F1469" s="920"/>
      <c r="G1469" s="921"/>
      <c r="H1469" s="896"/>
      <c r="I1469" s="1291"/>
      <c r="J1469" s="909" t="s">
        <v>115</v>
      </c>
      <c r="K1469" s="922">
        <f>'Ele 2022-23'!I77</f>
        <v>66</v>
      </c>
      <c r="L1469" s="923" t="s">
        <v>275</v>
      </c>
      <c r="M1469" s="924">
        <f>ROUND(I1469*K1469,0)</f>
        <v>0</v>
      </c>
      <c r="N1469" s="900" t="s">
        <v>2309</v>
      </c>
    </row>
    <row r="1470" spans="1:14" ht="43.5" hidden="1" customHeight="1">
      <c r="A1470" s="896">
        <v>35</v>
      </c>
      <c r="B1470" s="1609" t="s">
        <v>1237</v>
      </c>
      <c r="C1470" s="1609"/>
      <c r="D1470" s="1609"/>
      <c r="E1470" s="1609"/>
      <c r="F1470" s="1609"/>
      <c r="G1470" s="1609"/>
      <c r="H1470" s="1609"/>
      <c r="I1470" s="897"/>
      <c r="J1470" s="898"/>
      <c r="K1470" s="896"/>
      <c r="L1470" s="896"/>
      <c r="M1470" s="899"/>
      <c r="N1470" s="900" t="s">
        <v>2309</v>
      </c>
    </row>
    <row r="1471" spans="1:14" s="910" customFormat="1" ht="16.5" hidden="1" customHeight="1">
      <c r="A1471" s="896"/>
      <c r="B1471" s="902" t="s">
        <v>2526</v>
      </c>
      <c r="C1471" s="903"/>
      <c r="D1471" s="904"/>
      <c r="E1471" s="905"/>
      <c r="F1471" s="906"/>
      <c r="G1471" s="906"/>
      <c r="H1471" s="907"/>
      <c r="I1471" s="908"/>
      <c r="J1471" s="909"/>
      <c r="K1471" s="902"/>
      <c r="L1471" s="896"/>
      <c r="M1471" s="902"/>
      <c r="N1471" s="900" t="s">
        <v>2309</v>
      </c>
    </row>
    <row r="1472" spans="1:14" s="910" customFormat="1" ht="16.5" hidden="1" customHeight="1">
      <c r="A1472" s="896"/>
      <c r="B1472" s="980"/>
      <c r="C1472" s="912">
        <v>1</v>
      </c>
      <c r="D1472" s="913" t="s">
        <v>273</v>
      </c>
      <c r="E1472" s="914">
        <v>4</v>
      </c>
      <c r="F1472" s="915">
        <v>0</v>
      </c>
      <c r="G1472" s="915">
        <v>0</v>
      </c>
      <c r="H1472" s="915">
        <v>0</v>
      </c>
      <c r="I1472" s="1291">
        <f>ROUND(IF(AND(F1472:H1472),C1472*E1472*F1472*G1472*H1472,IF(AND(F1472,G1472),C1472*E1472*F1472*G1472,IF(AND(F1472,H1472),C1472*E1472*F1472*H1472,IF(AND(G1472,H1472),C1472*E1472*G1472*H1472,IF(F1472,C1472*E1472*F1472,IF(G1472,C1472*E1472*G1472,IF(H1472,C1472*E1472*H1472,C1472*E1472))))))),2)</f>
        <v>4</v>
      </c>
      <c r="J1472" s="909" t="s">
        <v>115</v>
      </c>
      <c r="K1472" s="902"/>
      <c r="L1472" s="896"/>
      <c r="M1472" s="902"/>
      <c r="N1472" s="900" t="s">
        <v>2309</v>
      </c>
    </row>
    <row r="1473" spans="1:14" s="910" customFormat="1" ht="16.5" hidden="1" customHeight="1">
      <c r="A1473" s="896"/>
      <c r="B1473" s="980"/>
      <c r="C1473" s="957"/>
      <c r="D1473" s="958"/>
      <c r="E1473" s="1268"/>
      <c r="F1473" s="960"/>
      <c r="G1473" s="960"/>
      <c r="H1473" s="960"/>
      <c r="I1473" s="916"/>
      <c r="J1473" s="909"/>
      <c r="K1473" s="902"/>
      <c r="L1473" s="896"/>
      <c r="M1473" s="902"/>
      <c r="N1473" s="900" t="s">
        <v>2309</v>
      </c>
    </row>
    <row r="1474" spans="1:14" ht="15.75" hidden="1">
      <c r="A1474" s="896"/>
      <c r="B1474" s="902"/>
      <c r="C1474" s="917"/>
      <c r="D1474" s="918"/>
      <c r="E1474" s="919"/>
      <c r="F1474" s="920"/>
      <c r="G1474" s="921"/>
      <c r="H1474" s="896"/>
      <c r="I1474" s="1291"/>
      <c r="J1474" s="909" t="s">
        <v>115</v>
      </c>
      <c r="K1474" s="922">
        <f>'Ele 2022-23'!I126</f>
        <v>422.5</v>
      </c>
      <c r="L1474" s="923" t="s">
        <v>275</v>
      </c>
      <c r="M1474" s="924">
        <f>ROUND(I1474*K1474,0)</f>
        <v>0</v>
      </c>
      <c r="N1474" s="900" t="s">
        <v>2309</v>
      </c>
    </row>
    <row r="1475" spans="1:14" s="1403" customFormat="1" ht="43.5" customHeight="1">
      <c r="A1475" s="1397">
        <v>27</v>
      </c>
      <c r="B1475" s="1610" t="s">
        <v>432</v>
      </c>
      <c r="C1475" s="1610"/>
      <c r="D1475" s="1610"/>
      <c r="E1475" s="1610"/>
      <c r="F1475" s="1610"/>
      <c r="G1475" s="1610"/>
      <c r="H1475" s="1610"/>
      <c r="I1475" s="1398"/>
      <c r="J1475" s="1399"/>
      <c r="K1475" s="1397"/>
      <c r="L1475" s="1397"/>
      <c r="M1475" s="1401"/>
      <c r="N1475" s="1402" t="s">
        <v>2309</v>
      </c>
    </row>
    <row r="1476" spans="1:14" s="1411" customFormat="1" ht="16.5" customHeight="1">
      <c r="A1476" s="1397"/>
      <c r="B1476" s="1410" t="s">
        <v>3984</v>
      </c>
      <c r="C1476" s="1417"/>
      <c r="D1476" s="1395" t="s">
        <v>4022</v>
      </c>
      <c r="E1476" s="1419"/>
      <c r="F1476" s="1420"/>
      <c r="G1476" s="1420"/>
      <c r="H1476" s="1421"/>
      <c r="I1476" s="1422"/>
      <c r="J1476" s="1442"/>
      <c r="K1476" s="1410"/>
      <c r="L1476" s="1397"/>
      <c r="M1476" s="1410"/>
      <c r="N1476" s="1402" t="s">
        <v>2309</v>
      </c>
    </row>
    <row r="1477" spans="1:14" s="1411" customFormat="1" ht="16.5" customHeight="1">
      <c r="A1477" s="1397"/>
      <c r="B1477" s="1472"/>
      <c r="C1477" s="1459">
        <v>1</v>
      </c>
      <c r="D1477" s="1460" t="s">
        <v>273</v>
      </c>
      <c r="E1477" s="1461">
        <v>11</v>
      </c>
      <c r="F1477" s="1448">
        <v>0</v>
      </c>
      <c r="G1477" s="1448">
        <v>0</v>
      </c>
      <c r="H1477" s="1448">
        <v>0</v>
      </c>
      <c r="I1477" s="1468">
        <f>ROUND(IF(AND(F1477:H1477),C1477*E1477*F1477*G1477*H1477,IF(AND(F1477,G1477),C1477*E1477*F1477*G1477,IF(AND(F1477,H1477),C1477*E1477*F1477*H1477,IF(AND(G1477,H1477),C1477*E1477*G1477*H1477,IF(F1477,C1477*E1477*F1477,IF(G1477,C1477*E1477*G1477,IF(H1477,C1477*E1477*H1477,C1477*E1477))))))),2)</f>
        <v>11</v>
      </c>
      <c r="J1477" s="1442" t="s">
        <v>115</v>
      </c>
      <c r="K1477" s="1410"/>
      <c r="L1477" s="1397"/>
      <c r="M1477" s="1410"/>
      <c r="N1477" s="1402" t="s">
        <v>2309</v>
      </c>
    </row>
    <row r="1478" spans="1:14" s="1411" customFormat="1" ht="16.5" customHeight="1">
      <c r="A1478" s="1397"/>
      <c r="B1478" s="1472"/>
      <c r="C1478" s="1426"/>
      <c r="D1478" s="1427"/>
      <c r="E1478" s="1428"/>
      <c r="F1478" s="1429"/>
      <c r="G1478" s="1429"/>
      <c r="H1478" s="1429"/>
      <c r="I1478" s="1468"/>
      <c r="J1478" s="1442"/>
      <c r="K1478" s="1410"/>
      <c r="L1478" s="1397"/>
      <c r="M1478" s="1410"/>
      <c r="N1478" s="1402" t="s">
        <v>2309</v>
      </c>
    </row>
    <row r="1479" spans="1:14" s="1403" customFormat="1" ht="15.75">
      <c r="A1479" s="1397"/>
      <c r="B1479" s="1410"/>
      <c r="C1479" s="1431"/>
      <c r="D1479" s="1432"/>
      <c r="E1479" s="1413"/>
      <c r="F1479" s="1414"/>
      <c r="G1479" s="1433"/>
      <c r="H1479" s="1397"/>
      <c r="I1479" s="1468">
        <f>SUM(I1477:I1478)</f>
        <v>11</v>
      </c>
      <c r="J1479" s="1442" t="s">
        <v>115</v>
      </c>
      <c r="K1479" s="1434">
        <f>'Ele 2022-23'!I117</f>
        <v>125.73500000000001</v>
      </c>
      <c r="L1479" s="1400" t="s">
        <v>275</v>
      </c>
      <c r="M1479" s="1435">
        <f>ROUND(I1479*K1479,0)</f>
        <v>1383</v>
      </c>
      <c r="N1479" s="1402" t="s">
        <v>2309</v>
      </c>
    </row>
    <row r="1480" spans="1:14" s="1403" customFormat="1" ht="43.5" customHeight="1">
      <c r="A1480" s="1397">
        <v>28</v>
      </c>
      <c r="B1480" s="1610" t="s">
        <v>620</v>
      </c>
      <c r="C1480" s="1610"/>
      <c r="D1480" s="1610"/>
      <c r="E1480" s="1610"/>
      <c r="F1480" s="1610"/>
      <c r="G1480" s="1610"/>
      <c r="H1480" s="1610"/>
      <c r="I1480" s="1398"/>
      <c r="J1480" s="1399"/>
      <c r="K1480" s="1397"/>
      <c r="L1480" s="1397"/>
      <c r="M1480" s="1401"/>
      <c r="N1480" s="1402" t="s">
        <v>2309</v>
      </c>
    </row>
    <row r="1481" spans="1:14" s="1411" customFormat="1" ht="16.5" customHeight="1">
      <c r="A1481" s="1397"/>
      <c r="B1481" s="1410" t="s">
        <v>3984</v>
      </c>
      <c r="C1481" s="1417"/>
      <c r="D1481" s="1395" t="s">
        <v>4022</v>
      </c>
      <c r="E1481" s="1419"/>
      <c r="F1481" s="1420"/>
      <c r="G1481" s="1420"/>
      <c r="H1481" s="1421"/>
      <c r="I1481" s="1422"/>
      <c r="J1481" s="1442"/>
      <c r="K1481" s="1410"/>
      <c r="L1481" s="1397"/>
      <c r="M1481" s="1410"/>
      <c r="N1481" s="1402" t="s">
        <v>2309</v>
      </c>
    </row>
    <row r="1482" spans="1:14" s="1411" customFormat="1" ht="16.5" customHeight="1">
      <c r="A1482" s="1397"/>
      <c r="B1482" s="1472"/>
      <c r="C1482" s="1459">
        <v>1</v>
      </c>
      <c r="D1482" s="1460" t="s">
        <v>273</v>
      </c>
      <c r="E1482" s="1461">
        <v>3</v>
      </c>
      <c r="F1482" s="1448">
        <v>0</v>
      </c>
      <c r="G1482" s="1448">
        <v>0</v>
      </c>
      <c r="H1482" s="1448">
        <v>0</v>
      </c>
      <c r="I1482" s="1468">
        <f>ROUND(IF(AND(F1482:H1482),C1482*E1482*F1482*G1482*H1482,IF(AND(F1482,G1482),C1482*E1482*F1482*G1482,IF(AND(F1482,H1482),C1482*E1482*F1482*H1482,IF(AND(G1482,H1482),C1482*E1482*G1482*H1482,IF(F1482,C1482*E1482*F1482,IF(G1482,C1482*E1482*G1482,IF(H1482,C1482*E1482*H1482,C1482*E1482))))))),2)</f>
        <v>3</v>
      </c>
      <c r="J1482" s="1442" t="s">
        <v>115</v>
      </c>
      <c r="K1482" s="1410"/>
      <c r="L1482" s="1397"/>
      <c r="M1482" s="1410"/>
      <c r="N1482" s="1402" t="s">
        <v>2309</v>
      </c>
    </row>
    <row r="1483" spans="1:14" s="1411" customFormat="1" ht="16.5" customHeight="1">
      <c r="A1483" s="1397"/>
      <c r="B1483" s="1472"/>
      <c r="C1483" s="1426"/>
      <c r="D1483" s="1427"/>
      <c r="E1483" s="1428"/>
      <c r="F1483" s="1429"/>
      <c r="G1483" s="1429"/>
      <c r="H1483" s="1429"/>
      <c r="I1483" s="1468"/>
      <c r="J1483" s="1442"/>
      <c r="K1483" s="1410"/>
      <c r="L1483" s="1397"/>
      <c r="M1483" s="1410"/>
      <c r="N1483" s="1402" t="s">
        <v>2309</v>
      </c>
    </row>
    <row r="1484" spans="1:14" s="1403" customFormat="1" ht="15.75">
      <c r="A1484" s="1397"/>
      <c r="B1484" s="1410"/>
      <c r="C1484" s="1431"/>
      <c r="D1484" s="1432"/>
      <c r="E1484" s="1413"/>
      <c r="F1484" s="1414"/>
      <c r="G1484" s="1433"/>
      <c r="H1484" s="1397"/>
      <c r="I1484" s="1468">
        <f>SUM(I1482:I1483)</f>
        <v>3</v>
      </c>
      <c r="J1484" s="1442" t="s">
        <v>115</v>
      </c>
      <c r="K1484" s="1434">
        <f>'Ele 2022-23'!I134</f>
        <v>119.73500000000001</v>
      </c>
      <c r="L1484" s="1400" t="s">
        <v>275</v>
      </c>
      <c r="M1484" s="1435">
        <f>ROUND(I1484*K1484,0)</f>
        <v>359</v>
      </c>
      <c r="N1484" s="1402" t="s">
        <v>2309</v>
      </c>
    </row>
    <row r="1485" spans="1:14" ht="19.5" hidden="1" customHeight="1">
      <c r="A1485" s="896">
        <v>38</v>
      </c>
      <c r="B1485" s="1609" t="s">
        <v>624</v>
      </c>
      <c r="C1485" s="1609"/>
      <c r="D1485" s="1609"/>
      <c r="E1485" s="1609"/>
      <c r="F1485" s="1609"/>
      <c r="G1485" s="1609"/>
      <c r="H1485" s="1609"/>
      <c r="I1485" s="897"/>
      <c r="J1485" s="898"/>
      <c r="K1485" s="896"/>
      <c r="L1485" s="896"/>
      <c r="M1485" s="899"/>
      <c r="N1485" s="900" t="s">
        <v>2309</v>
      </c>
    </row>
    <row r="1486" spans="1:14" s="910" customFormat="1" ht="16.5" hidden="1" customHeight="1">
      <c r="A1486" s="896"/>
      <c r="B1486" s="902" t="s">
        <v>2527</v>
      </c>
      <c r="C1486" s="903"/>
      <c r="D1486" s="904"/>
      <c r="E1486" s="905"/>
      <c r="F1486" s="906"/>
      <c r="G1486" s="906"/>
      <c r="H1486" s="907"/>
      <c r="I1486" s="908"/>
      <c r="J1486" s="909"/>
      <c r="K1486" s="902"/>
      <c r="L1486" s="896"/>
      <c r="M1486" s="902"/>
      <c r="N1486" s="900" t="s">
        <v>2309</v>
      </c>
    </row>
    <row r="1487" spans="1:14" s="910" customFormat="1" ht="16.5" hidden="1" customHeight="1">
      <c r="A1487" s="896"/>
      <c r="B1487" s="980"/>
      <c r="C1487" s="957">
        <v>1</v>
      </c>
      <c r="D1487" s="958" t="s">
        <v>273</v>
      </c>
      <c r="E1487" s="1268">
        <v>8</v>
      </c>
      <c r="F1487" s="960">
        <v>0</v>
      </c>
      <c r="G1487" s="960">
        <v>0</v>
      </c>
      <c r="H1487" s="960">
        <v>0</v>
      </c>
      <c r="I1487" s="1291">
        <f>ROUND(IF(AND(F1487:H1487),C1487*E1487*F1487*G1487*H1487,IF(AND(F1487,G1487),C1487*E1487*F1487*G1487,IF(AND(F1487,H1487),C1487*E1487*F1487*H1487,IF(AND(G1487,H1487),C1487*E1487*G1487*H1487,IF(F1487,C1487*E1487*F1487,IF(G1487,C1487*E1487*G1487,IF(H1487,C1487*E1487*H1487,C1487*E1487))))))),2)</f>
        <v>8</v>
      </c>
      <c r="J1487" s="909" t="s">
        <v>115</v>
      </c>
      <c r="K1487" s="902"/>
      <c r="L1487" s="896"/>
      <c r="M1487" s="902"/>
      <c r="N1487" s="900" t="s">
        <v>2309</v>
      </c>
    </row>
    <row r="1488" spans="1:14" s="910" customFormat="1" ht="16.5" hidden="1" customHeight="1">
      <c r="A1488" s="896"/>
      <c r="B1488" s="980"/>
      <c r="C1488" s="957"/>
      <c r="D1488" s="958"/>
      <c r="E1488" s="1268"/>
      <c r="F1488" s="960"/>
      <c r="G1488" s="960"/>
      <c r="H1488" s="960"/>
      <c r="I1488" s="916"/>
      <c r="J1488" s="909"/>
      <c r="K1488" s="902"/>
      <c r="L1488" s="896"/>
      <c r="M1488" s="902"/>
      <c r="N1488" s="900" t="s">
        <v>2309</v>
      </c>
    </row>
    <row r="1489" spans="1:14" ht="15.75" hidden="1">
      <c r="A1489" s="896"/>
      <c r="B1489" s="902"/>
      <c r="C1489" s="917"/>
      <c r="D1489" s="918"/>
      <c r="E1489" s="919"/>
      <c r="F1489" s="920"/>
      <c r="G1489" s="921"/>
      <c r="H1489" s="896"/>
      <c r="I1489" s="1291"/>
      <c r="J1489" s="909" t="s">
        <v>115</v>
      </c>
      <c r="K1489" s="922">
        <f>'Ele 2022-23'!I81</f>
        <v>21</v>
      </c>
      <c r="L1489" s="923" t="s">
        <v>275</v>
      </c>
      <c r="M1489" s="924">
        <f>ROUND(I1489*K1489,0)</f>
        <v>0</v>
      </c>
      <c r="N1489" s="900" t="s">
        <v>2309</v>
      </c>
    </row>
    <row r="1490" spans="1:14" s="1403" customFormat="1" ht="30" customHeight="1">
      <c r="A1490" s="1397">
        <v>29</v>
      </c>
      <c r="B1490" s="1610" t="s">
        <v>1267</v>
      </c>
      <c r="C1490" s="1610"/>
      <c r="D1490" s="1610"/>
      <c r="E1490" s="1610"/>
      <c r="F1490" s="1610"/>
      <c r="G1490" s="1610"/>
      <c r="H1490" s="1610"/>
      <c r="I1490" s="1398"/>
      <c r="J1490" s="1399"/>
      <c r="K1490" s="1397"/>
      <c r="L1490" s="1397"/>
      <c r="M1490" s="1401"/>
      <c r="N1490" s="1402" t="s">
        <v>2309</v>
      </c>
    </row>
    <row r="1491" spans="1:14" s="1411" customFormat="1" ht="16.5" customHeight="1">
      <c r="A1491" s="1397"/>
      <c r="B1491" s="1410" t="s">
        <v>3985</v>
      </c>
      <c r="C1491" s="1417"/>
      <c r="D1491" s="1395" t="s">
        <v>4022</v>
      </c>
      <c r="E1491" s="1419"/>
      <c r="F1491" s="1420"/>
      <c r="G1491" s="1420"/>
      <c r="H1491" s="1421"/>
      <c r="I1491" s="1422"/>
      <c r="J1491" s="1442"/>
      <c r="K1491" s="1410"/>
      <c r="L1491" s="1397"/>
      <c r="M1491" s="1410"/>
      <c r="N1491" s="1402" t="s">
        <v>2309</v>
      </c>
    </row>
    <row r="1492" spans="1:14" s="1411" customFormat="1" ht="16.5" customHeight="1">
      <c r="A1492" s="1397"/>
      <c r="B1492" s="1472"/>
      <c r="C1492" s="1473">
        <v>1</v>
      </c>
      <c r="D1492" s="1460" t="s">
        <v>273</v>
      </c>
      <c r="E1492" s="1461">
        <v>14</v>
      </c>
      <c r="F1492" s="1448">
        <v>0</v>
      </c>
      <c r="G1492" s="1448">
        <v>0</v>
      </c>
      <c r="H1492" s="1448">
        <v>0</v>
      </c>
      <c r="I1492" s="1468">
        <f t="shared" ref="I1492" si="26">ROUND(IF(AND(F1492:H1492),C1492*E1492*F1492*G1492*H1492,IF(AND(F1492,G1492),C1492*E1492*F1492*G1492,IF(AND(F1492,H1492),C1492*E1492*F1492*H1492,IF(AND(G1492,H1492),C1492*E1492*G1492*H1492,IF(F1492,C1492*E1492*F1492,IF(G1492,C1492*E1492*G1492,IF(H1492,C1492*E1492*H1492,C1492*E1492))))))),2)</f>
        <v>14</v>
      </c>
      <c r="J1492" s="1442" t="s">
        <v>115</v>
      </c>
      <c r="K1492" s="1410"/>
      <c r="L1492" s="1397"/>
      <c r="M1492" s="1410"/>
      <c r="N1492" s="1402" t="s">
        <v>2309</v>
      </c>
    </row>
    <row r="1493" spans="1:14" s="1411" customFormat="1" ht="16.5" customHeight="1">
      <c r="A1493" s="1397"/>
      <c r="B1493" s="1472"/>
      <c r="C1493" s="1426"/>
      <c r="D1493" s="1427"/>
      <c r="E1493" s="1428"/>
      <c r="F1493" s="1429"/>
      <c r="G1493" s="1429"/>
      <c r="H1493" s="1429"/>
      <c r="I1493" s="1468"/>
      <c r="J1493" s="1442"/>
      <c r="K1493" s="1410"/>
      <c r="L1493" s="1397"/>
      <c r="M1493" s="1410"/>
      <c r="N1493" s="1402" t="s">
        <v>2309</v>
      </c>
    </row>
    <row r="1494" spans="1:14" s="1403" customFormat="1" ht="15.75">
      <c r="A1494" s="1397"/>
      <c r="B1494" s="1410"/>
      <c r="C1494" s="1431"/>
      <c r="D1494" s="1432"/>
      <c r="E1494" s="1413"/>
      <c r="F1494" s="1414"/>
      <c r="G1494" s="1433"/>
      <c r="H1494" s="1397"/>
      <c r="I1494" s="1468">
        <f>SUM(I1492:I1493)</f>
        <v>14</v>
      </c>
      <c r="J1494" s="1442" t="s">
        <v>115</v>
      </c>
      <c r="K1494" s="1434">
        <f>'Ele 2022-23'!I194</f>
        <v>127.25</v>
      </c>
      <c r="L1494" s="1400" t="s">
        <v>275</v>
      </c>
      <c r="M1494" s="1435">
        <f>ROUND(I1494*K1494,0)</f>
        <v>1782</v>
      </c>
      <c r="N1494" s="1402" t="s">
        <v>2309</v>
      </c>
    </row>
    <row r="1495" spans="1:14" s="1403" customFormat="1" ht="43.5" customHeight="1">
      <c r="A1495" s="1397">
        <v>30</v>
      </c>
      <c r="B1495" s="1610" t="s">
        <v>2075</v>
      </c>
      <c r="C1495" s="1610"/>
      <c r="D1495" s="1610"/>
      <c r="E1495" s="1610"/>
      <c r="F1495" s="1610"/>
      <c r="G1495" s="1610"/>
      <c r="H1495" s="1610"/>
      <c r="I1495" s="1398"/>
      <c r="J1495" s="1399"/>
      <c r="K1495" s="1397"/>
      <c r="L1495" s="1397"/>
      <c r="M1495" s="1401"/>
      <c r="N1495" s="1402" t="s">
        <v>2309</v>
      </c>
    </row>
    <row r="1496" spans="1:14" s="1411" customFormat="1" ht="16.5" customHeight="1">
      <c r="A1496" s="1397"/>
      <c r="B1496" s="1410" t="s">
        <v>3985</v>
      </c>
      <c r="C1496" s="1417"/>
      <c r="D1496" s="1395" t="s">
        <v>4022</v>
      </c>
      <c r="E1496" s="1419"/>
      <c r="F1496" s="1420"/>
      <c r="G1496" s="1420"/>
      <c r="H1496" s="1421"/>
      <c r="I1496" s="1422"/>
      <c r="J1496" s="1442"/>
      <c r="K1496" s="1410"/>
      <c r="L1496" s="1397"/>
      <c r="M1496" s="1410"/>
      <c r="N1496" s="1402" t="s">
        <v>2309</v>
      </c>
    </row>
    <row r="1497" spans="1:14" s="1411" customFormat="1" ht="16.5" customHeight="1">
      <c r="A1497" s="1397"/>
      <c r="B1497" s="1472"/>
      <c r="C1497" s="1459">
        <v>1</v>
      </c>
      <c r="D1497" s="1460" t="s">
        <v>273</v>
      </c>
      <c r="E1497" s="1461">
        <v>6</v>
      </c>
      <c r="F1497" s="1448">
        <v>0</v>
      </c>
      <c r="G1497" s="1448">
        <v>0</v>
      </c>
      <c r="H1497" s="1448">
        <v>0</v>
      </c>
      <c r="I1497" s="1468">
        <f t="shared" ref="I1497" si="27">ROUND(IF(AND(F1497:H1497),C1497*E1497*F1497*G1497*H1497,IF(AND(F1497,G1497),C1497*E1497*F1497*G1497,IF(AND(F1497,H1497),C1497*E1497*F1497*H1497,IF(AND(G1497,H1497),C1497*E1497*G1497*H1497,IF(F1497,C1497*E1497*F1497,IF(G1497,C1497*E1497*G1497,IF(H1497,C1497*E1497*H1497,C1497*E1497))))))),2)</f>
        <v>6</v>
      </c>
      <c r="J1497" s="1442" t="s">
        <v>115</v>
      </c>
      <c r="K1497" s="1410"/>
      <c r="L1497" s="1397"/>
      <c r="M1497" s="1410"/>
      <c r="N1497" s="1402" t="s">
        <v>2309</v>
      </c>
    </row>
    <row r="1498" spans="1:14" s="1411" customFormat="1" ht="16.5" customHeight="1">
      <c r="A1498" s="1397"/>
      <c r="B1498" s="1472"/>
      <c r="C1498" s="1426"/>
      <c r="D1498" s="1427"/>
      <c r="E1498" s="1428"/>
      <c r="F1498" s="1429"/>
      <c r="G1498" s="1429"/>
      <c r="H1498" s="1429"/>
      <c r="I1498" s="1468"/>
      <c r="J1498" s="1442"/>
      <c r="K1498" s="1410"/>
      <c r="L1498" s="1397"/>
      <c r="M1498" s="1410"/>
      <c r="N1498" s="1402" t="s">
        <v>2309</v>
      </c>
    </row>
    <row r="1499" spans="1:14" s="1403" customFormat="1" ht="17.25" customHeight="1">
      <c r="A1499" s="1397"/>
      <c r="B1499" s="1410"/>
      <c r="C1499" s="1431"/>
      <c r="D1499" s="1432"/>
      <c r="E1499" s="1413"/>
      <c r="F1499" s="1414"/>
      <c r="G1499" s="1433"/>
      <c r="H1499" s="1397"/>
      <c r="I1499" s="1468">
        <f>SUM(I1497:I1498)</f>
        <v>6</v>
      </c>
      <c r="J1499" s="1442" t="s">
        <v>115</v>
      </c>
      <c r="K1499" s="1434">
        <f>'Ele 2022-23'!I206</f>
        <v>3312.1849999999999</v>
      </c>
      <c r="L1499" s="1400" t="s">
        <v>275</v>
      </c>
      <c r="M1499" s="1435">
        <f>ROUND(I1499*K1499,0)</f>
        <v>19873</v>
      </c>
      <c r="N1499" s="1402" t="s">
        <v>2309</v>
      </c>
    </row>
    <row r="1500" spans="1:14" ht="21" hidden="1" customHeight="1">
      <c r="A1500" s="896">
        <v>23</v>
      </c>
      <c r="B1500" s="1609" t="s">
        <v>1571</v>
      </c>
      <c r="C1500" s="1609"/>
      <c r="D1500" s="1609"/>
      <c r="E1500" s="1609"/>
      <c r="F1500" s="1609"/>
      <c r="G1500" s="1609"/>
      <c r="H1500" s="1609"/>
      <c r="I1500" s="897"/>
      <c r="J1500" s="898"/>
      <c r="K1500" s="896"/>
      <c r="L1500" s="896"/>
      <c r="M1500" s="899"/>
      <c r="N1500" s="900" t="s">
        <v>2309</v>
      </c>
    </row>
    <row r="1501" spans="1:14" s="910" customFormat="1" ht="16.5" hidden="1" customHeight="1">
      <c r="A1501" s="896"/>
      <c r="B1501" s="902" t="s">
        <v>3616</v>
      </c>
      <c r="C1501" s="903"/>
      <c r="D1501" s="954" t="s">
        <v>3647</v>
      </c>
      <c r="E1501" s="905"/>
      <c r="F1501" s="906"/>
      <c r="G1501" s="906"/>
      <c r="H1501" s="907"/>
      <c r="I1501" s="908"/>
      <c r="J1501" s="909"/>
      <c r="K1501" s="902"/>
      <c r="L1501" s="896"/>
      <c r="M1501" s="902"/>
      <c r="N1501" s="900" t="s">
        <v>2309</v>
      </c>
    </row>
    <row r="1502" spans="1:14" s="910" customFormat="1" ht="16.5" hidden="1" customHeight="1">
      <c r="A1502" s="896"/>
      <c r="B1502" s="980"/>
      <c r="C1502" s="912">
        <v>1</v>
      </c>
      <c r="D1502" s="913" t="s">
        <v>273</v>
      </c>
      <c r="E1502" s="914">
        <v>5</v>
      </c>
      <c r="F1502" s="915">
        <v>0</v>
      </c>
      <c r="G1502" s="915">
        <v>0</v>
      </c>
      <c r="H1502" s="915">
        <v>0</v>
      </c>
      <c r="I1502" s="1291">
        <f>ROUND(IF(AND(F1502:H1502),C1502*E1502*F1502*G1502*H1502,IF(AND(F1502,G1502),C1502*E1502*F1502*G1502,IF(AND(F1502,H1502),C1502*E1502*F1502*H1502,IF(AND(G1502,H1502),C1502*E1502*G1502*H1502,IF(F1502,C1502*E1502*F1502,IF(G1502,C1502*E1502*G1502,IF(H1502,C1502*E1502*H1502,C1502*E1502))))))),2)</f>
        <v>5</v>
      </c>
      <c r="J1502" s="909" t="s">
        <v>115</v>
      </c>
      <c r="K1502" s="902"/>
      <c r="L1502" s="896"/>
      <c r="M1502" s="902"/>
      <c r="N1502" s="900" t="s">
        <v>2309</v>
      </c>
    </row>
    <row r="1503" spans="1:14" s="910" customFormat="1" ht="16.5" hidden="1" customHeight="1">
      <c r="A1503" s="896"/>
      <c r="B1503" s="980"/>
      <c r="C1503" s="957"/>
      <c r="D1503" s="958"/>
      <c r="E1503" s="1268"/>
      <c r="F1503" s="960"/>
      <c r="G1503" s="960"/>
      <c r="H1503" s="960"/>
      <c r="I1503" s="916"/>
      <c r="J1503" s="909"/>
      <c r="K1503" s="902"/>
      <c r="L1503" s="896"/>
      <c r="M1503" s="902"/>
      <c r="N1503" s="900" t="s">
        <v>2309</v>
      </c>
    </row>
    <row r="1504" spans="1:14" ht="15.75" hidden="1">
      <c r="A1504" s="896"/>
      <c r="B1504" s="902"/>
      <c r="C1504" s="917"/>
      <c r="D1504" s="918"/>
      <c r="E1504" s="919"/>
      <c r="F1504" s="920"/>
      <c r="G1504" s="921"/>
      <c r="H1504" s="896"/>
      <c r="I1504" s="1291"/>
      <c r="J1504" s="909" t="s">
        <v>115</v>
      </c>
      <c r="K1504" s="922">
        <f>'Ele 2022-23'!I233</f>
        <v>227.41000000000003</v>
      </c>
      <c r="L1504" s="923" t="s">
        <v>275</v>
      </c>
      <c r="M1504" s="924">
        <f>ROUND(I1504*K1504,0)</f>
        <v>0</v>
      </c>
      <c r="N1504" s="900" t="s">
        <v>2309</v>
      </c>
    </row>
    <row r="1505" spans="1:14" ht="43.5" hidden="1" customHeight="1">
      <c r="A1505" s="896">
        <v>19</v>
      </c>
      <c r="B1505" s="1609" t="s">
        <v>946</v>
      </c>
      <c r="C1505" s="1609"/>
      <c r="D1505" s="1609"/>
      <c r="E1505" s="1609"/>
      <c r="F1505" s="1609"/>
      <c r="G1505" s="1609"/>
      <c r="H1505" s="1609"/>
      <c r="I1505" s="897"/>
      <c r="J1505" s="898"/>
      <c r="K1505" s="896"/>
      <c r="L1505" s="896"/>
      <c r="M1505" s="899"/>
      <c r="N1505" s="900" t="s">
        <v>2309</v>
      </c>
    </row>
    <row r="1506" spans="1:14" s="910" customFormat="1" ht="16.5" hidden="1" customHeight="1">
      <c r="A1506" s="896"/>
      <c r="B1506" s="902" t="s">
        <v>3351</v>
      </c>
      <c r="C1506" s="903"/>
      <c r="D1506" s="904"/>
      <c r="E1506" s="905"/>
      <c r="F1506" s="906"/>
      <c r="G1506" s="906"/>
      <c r="H1506" s="907"/>
      <c r="I1506" s="908"/>
      <c r="J1506" s="909"/>
      <c r="K1506" s="902"/>
      <c r="L1506" s="896"/>
      <c r="M1506" s="902"/>
      <c r="N1506" s="900" t="s">
        <v>2309</v>
      </c>
    </row>
    <row r="1507" spans="1:14" s="910" customFormat="1" ht="16.5" hidden="1" customHeight="1">
      <c r="A1507" s="896"/>
      <c r="B1507" s="980"/>
      <c r="C1507" s="912">
        <v>1</v>
      </c>
      <c r="D1507" s="913" t="s">
        <v>273</v>
      </c>
      <c r="E1507" s="914">
        <v>9</v>
      </c>
      <c r="F1507" s="915">
        <v>0</v>
      </c>
      <c r="G1507" s="915">
        <v>0</v>
      </c>
      <c r="H1507" s="915">
        <v>0</v>
      </c>
      <c r="I1507" s="1291">
        <f>ROUND(IF(AND(F1507:H1507),C1507*E1507*F1507*G1507*H1507,IF(AND(F1507,G1507),C1507*E1507*F1507*G1507,IF(AND(F1507,H1507),C1507*E1507*F1507*H1507,IF(AND(G1507,H1507),C1507*E1507*G1507*H1507,IF(F1507,C1507*E1507*F1507,IF(G1507,C1507*E1507*G1507,IF(H1507,C1507*E1507*H1507,C1507*E1507))))))),2)</f>
        <v>9</v>
      </c>
      <c r="J1507" s="909" t="s">
        <v>115</v>
      </c>
      <c r="K1507" s="902"/>
      <c r="L1507" s="896"/>
      <c r="M1507" s="902"/>
      <c r="N1507" s="900" t="s">
        <v>2309</v>
      </c>
    </row>
    <row r="1508" spans="1:14" s="910" customFormat="1" ht="16.5" hidden="1" customHeight="1">
      <c r="A1508" s="896"/>
      <c r="B1508" s="980"/>
      <c r="C1508" s="957"/>
      <c r="D1508" s="958"/>
      <c r="E1508" s="1268"/>
      <c r="F1508" s="960"/>
      <c r="G1508" s="960"/>
      <c r="H1508" s="960"/>
      <c r="I1508" s="1291"/>
      <c r="J1508" s="909"/>
      <c r="K1508" s="902"/>
      <c r="L1508" s="896"/>
      <c r="M1508" s="902"/>
      <c r="N1508" s="900" t="s">
        <v>2309</v>
      </c>
    </row>
    <row r="1509" spans="1:14" ht="15.75" hidden="1">
      <c r="A1509" s="896"/>
      <c r="B1509" s="902"/>
      <c r="C1509" s="917"/>
      <c r="D1509" s="918"/>
      <c r="E1509" s="919"/>
      <c r="F1509" s="920"/>
      <c r="G1509" s="921"/>
      <c r="H1509" s="896"/>
      <c r="I1509" s="1291"/>
      <c r="J1509" s="909" t="s">
        <v>115</v>
      </c>
      <c r="K1509" s="922">
        <f>'Ele 2022-23'!I210</f>
        <v>2941.12</v>
      </c>
      <c r="L1509" s="923" t="s">
        <v>275</v>
      </c>
      <c r="M1509" s="924">
        <f>ROUND(I1509*K1509,0)</f>
        <v>0</v>
      </c>
      <c r="N1509" s="900" t="s">
        <v>2309</v>
      </c>
    </row>
    <row r="1510" spans="1:14" ht="30.75" hidden="1" customHeight="1">
      <c r="A1510" s="896">
        <v>20</v>
      </c>
      <c r="B1510" s="1609" t="s">
        <v>947</v>
      </c>
      <c r="C1510" s="1609"/>
      <c r="D1510" s="1609"/>
      <c r="E1510" s="1609"/>
      <c r="F1510" s="1609"/>
      <c r="G1510" s="1609"/>
      <c r="H1510" s="1609"/>
      <c r="I1510" s="1291"/>
      <c r="J1510" s="898"/>
      <c r="K1510" s="896"/>
      <c r="L1510" s="896"/>
      <c r="M1510" s="899"/>
      <c r="N1510" s="900" t="s">
        <v>2309</v>
      </c>
    </row>
    <row r="1511" spans="1:14" s="910" customFormat="1" ht="16.5" hidden="1" customHeight="1">
      <c r="A1511" s="896"/>
      <c r="B1511" s="902" t="s">
        <v>3351</v>
      </c>
      <c r="C1511" s="903"/>
      <c r="D1511" s="904"/>
      <c r="E1511" s="905"/>
      <c r="F1511" s="906"/>
      <c r="G1511" s="906"/>
      <c r="H1511" s="907"/>
      <c r="I1511" s="908"/>
      <c r="J1511" s="909"/>
      <c r="K1511" s="902"/>
      <c r="L1511" s="896"/>
      <c r="M1511" s="902"/>
      <c r="N1511" s="900" t="s">
        <v>2309</v>
      </c>
    </row>
    <row r="1512" spans="1:14" s="910" customFormat="1" ht="16.5" hidden="1" customHeight="1">
      <c r="A1512" s="896"/>
      <c r="B1512" s="980"/>
      <c r="C1512" s="957">
        <v>1</v>
      </c>
      <c r="D1512" s="958" t="s">
        <v>273</v>
      </c>
      <c r="E1512" s="1268">
        <v>12</v>
      </c>
      <c r="F1512" s="960">
        <v>0</v>
      </c>
      <c r="G1512" s="960">
        <v>0</v>
      </c>
      <c r="H1512" s="960">
        <v>0</v>
      </c>
      <c r="I1512" s="1291">
        <f>ROUND(IF(AND(F1512:H1512),C1512*E1512*F1512*G1512*H1512,IF(AND(F1512,G1512),C1512*E1512*F1512*G1512,IF(AND(F1512,H1512),C1512*E1512*F1512*H1512,IF(AND(G1512,H1512),C1512*E1512*G1512*H1512,IF(F1512,C1512*E1512*F1512,IF(G1512,C1512*E1512*G1512,IF(H1512,C1512*E1512*H1512,C1512*E1512))))))),2)</f>
        <v>12</v>
      </c>
      <c r="J1512" s="909" t="s">
        <v>115</v>
      </c>
      <c r="K1512" s="902"/>
      <c r="L1512" s="896"/>
      <c r="M1512" s="902"/>
      <c r="N1512" s="900" t="s">
        <v>2309</v>
      </c>
    </row>
    <row r="1513" spans="1:14" s="910" customFormat="1" ht="16.5" hidden="1" customHeight="1">
      <c r="A1513" s="896"/>
      <c r="B1513" s="980"/>
      <c r="C1513" s="957"/>
      <c r="D1513" s="958"/>
      <c r="E1513" s="1268"/>
      <c r="F1513" s="960"/>
      <c r="G1513" s="960"/>
      <c r="H1513" s="960"/>
      <c r="I1513" s="1291"/>
      <c r="J1513" s="909"/>
      <c r="K1513" s="902"/>
      <c r="L1513" s="896"/>
      <c r="M1513" s="902"/>
      <c r="N1513" s="900" t="s">
        <v>2309</v>
      </c>
    </row>
    <row r="1514" spans="1:14" ht="15.75" hidden="1">
      <c r="A1514" s="896"/>
      <c r="B1514" s="902"/>
      <c r="C1514" s="917"/>
      <c r="D1514" s="918"/>
      <c r="E1514" s="919"/>
      <c r="F1514" s="920"/>
      <c r="G1514" s="921"/>
      <c r="H1514" s="896"/>
      <c r="I1514" s="1291"/>
      <c r="J1514" s="909" t="s">
        <v>115</v>
      </c>
      <c r="K1514" s="922">
        <f>'Ele 2022-23'!I215</f>
        <v>278</v>
      </c>
      <c r="L1514" s="923" t="s">
        <v>275</v>
      </c>
      <c r="M1514" s="924">
        <f>ROUND(I1514*K1514,0)</f>
        <v>0</v>
      </c>
      <c r="N1514" s="900" t="s">
        <v>2309</v>
      </c>
    </row>
    <row r="1515" spans="1:14" ht="30.75" hidden="1" customHeight="1">
      <c r="A1515" s="896">
        <v>21</v>
      </c>
      <c r="B1515" s="1609" t="s">
        <v>948</v>
      </c>
      <c r="C1515" s="1609"/>
      <c r="D1515" s="1609"/>
      <c r="E1515" s="1609"/>
      <c r="F1515" s="1609"/>
      <c r="G1515" s="1609"/>
      <c r="H1515" s="1609"/>
      <c r="I1515" s="897"/>
      <c r="J1515" s="898"/>
      <c r="K1515" s="896"/>
      <c r="L1515" s="896"/>
      <c r="M1515" s="899"/>
      <c r="N1515" s="900" t="s">
        <v>2309</v>
      </c>
    </row>
    <row r="1516" spans="1:14" s="910" customFormat="1" ht="16.5" hidden="1" customHeight="1">
      <c r="A1516" s="896"/>
      <c r="B1516" s="902" t="s">
        <v>3351</v>
      </c>
      <c r="C1516" s="903"/>
      <c r="D1516" s="904"/>
      <c r="E1516" s="905"/>
      <c r="F1516" s="906"/>
      <c r="G1516" s="906"/>
      <c r="H1516" s="907"/>
      <c r="I1516" s="908"/>
      <c r="J1516" s="909"/>
      <c r="K1516" s="902"/>
      <c r="L1516" s="896"/>
      <c r="M1516" s="902"/>
      <c r="N1516" s="900" t="s">
        <v>2309</v>
      </c>
    </row>
    <row r="1517" spans="1:14" s="910" customFormat="1" ht="16.5" hidden="1" customHeight="1">
      <c r="A1517" s="896"/>
      <c r="B1517" s="980"/>
      <c r="C1517" s="957">
        <v>1</v>
      </c>
      <c r="D1517" s="958" t="s">
        <v>273</v>
      </c>
      <c r="E1517" s="1268">
        <v>7</v>
      </c>
      <c r="F1517" s="960">
        <v>0</v>
      </c>
      <c r="G1517" s="960">
        <v>0</v>
      </c>
      <c r="H1517" s="960">
        <v>0</v>
      </c>
      <c r="I1517" s="1291">
        <f>ROUND(IF(AND(F1517:H1517),C1517*E1517*F1517*G1517*H1517,IF(AND(F1517,G1517),C1517*E1517*F1517*G1517,IF(AND(F1517,H1517),C1517*E1517*F1517*H1517,IF(AND(G1517,H1517),C1517*E1517*G1517*H1517,IF(F1517,C1517*E1517*F1517,IF(G1517,C1517*E1517*G1517,IF(H1517,C1517*E1517*H1517,C1517*E1517))))))),2)</f>
        <v>7</v>
      </c>
      <c r="J1517" s="909" t="s">
        <v>115</v>
      </c>
      <c r="K1517" s="902"/>
      <c r="L1517" s="896"/>
      <c r="M1517" s="902"/>
      <c r="N1517" s="900" t="s">
        <v>2309</v>
      </c>
    </row>
    <row r="1518" spans="1:14" s="910" customFormat="1" ht="16.5" hidden="1" customHeight="1">
      <c r="A1518" s="896"/>
      <c r="B1518" s="980"/>
      <c r="C1518" s="957"/>
      <c r="D1518" s="958"/>
      <c r="E1518" s="1268"/>
      <c r="F1518" s="960"/>
      <c r="G1518" s="960"/>
      <c r="H1518" s="960"/>
      <c r="I1518" s="1291"/>
      <c r="J1518" s="909"/>
      <c r="K1518" s="902"/>
      <c r="L1518" s="896"/>
      <c r="M1518" s="902"/>
      <c r="N1518" s="900" t="s">
        <v>2309</v>
      </c>
    </row>
    <row r="1519" spans="1:14" ht="15.75" hidden="1">
      <c r="A1519" s="896"/>
      <c r="B1519" s="902"/>
      <c r="C1519" s="917"/>
      <c r="D1519" s="918"/>
      <c r="E1519" s="919"/>
      <c r="F1519" s="920"/>
      <c r="G1519" s="921"/>
      <c r="H1519" s="896"/>
      <c r="I1519" s="1291"/>
      <c r="J1519" s="909" t="s">
        <v>115</v>
      </c>
      <c r="K1519" s="922">
        <f>'Ele 2022-23'!I222</f>
        <v>163.065</v>
      </c>
      <c r="L1519" s="923" t="s">
        <v>275</v>
      </c>
      <c r="M1519" s="924">
        <f>ROUND(I1519*K1519,0)</f>
        <v>0</v>
      </c>
      <c r="N1519" s="900" t="s">
        <v>2309</v>
      </c>
    </row>
    <row r="1520" spans="1:14" ht="30.75" hidden="1" customHeight="1">
      <c r="A1520" s="896">
        <v>15</v>
      </c>
      <c r="B1520" s="1609" t="s">
        <v>950</v>
      </c>
      <c r="C1520" s="1609"/>
      <c r="D1520" s="1609"/>
      <c r="E1520" s="1609"/>
      <c r="F1520" s="1609"/>
      <c r="G1520" s="1609"/>
      <c r="H1520" s="1609"/>
      <c r="I1520" s="897"/>
      <c r="J1520" s="898"/>
      <c r="K1520" s="896"/>
      <c r="L1520" s="896"/>
      <c r="M1520" s="899"/>
      <c r="N1520" s="900" t="s">
        <v>2309</v>
      </c>
    </row>
    <row r="1521" spans="1:14" s="910" customFormat="1" ht="16.5" hidden="1" customHeight="1">
      <c r="A1521" s="896"/>
      <c r="B1521" s="902" t="s">
        <v>3398</v>
      </c>
      <c r="C1521" s="903"/>
      <c r="D1521" s="904"/>
      <c r="E1521" s="905"/>
      <c r="F1521" s="906"/>
      <c r="G1521" s="906"/>
      <c r="H1521" s="907"/>
      <c r="I1521" s="908"/>
      <c r="J1521" s="909"/>
      <c r="K1521" s="902"/>
      <c r="L1521" s="896"/>
      <c r="M1521" s="902"/>
      <c r="N1521" s="900" t="s">
        <v>2309</v>
      </c>
    </row>
    <row r="1522" spans="1:14" s="910" customFormat="1" ht="16.5" hidden="1" customHeight="1">
      <c r="A1522" s="896"/>
      <c r="B1522" s="980" t="s">
        <v>660</v>
      </c>
      <c r="C1522" s="957">
        <v>1</v>
      </c>
      <c r="D1522" s="958" t="s">
        <v>273</v>
      </c>
      <c r="E1522" s="1268">
        <v>2</v>
      </c>
      <c r="F1522" s="960">
        <v>0</v>
      </c>
      <c r="G1522" s="960">
        <v>0</v>
      </c>
      <c r="H1522" s="960">
        <v>0</v>
      </c>
      <c r="I1522" s="1291">
        <f>ROUND(IF(AND(F1522:H1522),C1522*E1522*F1522*G1522*H1522,IF(AND(F1522,G1522),C1522*E1522*F1522*G1522,IF(AND(F1522,H1522),C1522*E1522*F1522*H1522,IF(AND(G1522,H1522),C1522*E1522*G1522*H1522,IF(F1522,C1522*E1522*F1522,IF(G1522,C1522*E1522*G1522,IF(H1522,C1522*E1522*H1522,C1522*E1522))))))),2)</f>
        <v>2</v>
      </c>
      <c r="J1522" s="909" t="s">
        <v>115</v>
      </c>
      <c r="K1522" s="902"/>
      <c r="L1522" s="896"/>
      <c r="M1522" s="902"/>
      <c r="N1522" s="900" t="s">
        <v>2309</v>
      </c>
    </row>
    <row r="1523" spans="1:14" s="910" customFormat="1" ht="16.5" hidden="1" customHeight="1">
      <c r="A1523" s="896"/>
      <c r="B1523" s="980" t="s">
        <v>650</v>
      </c>
      <c r="C1523" s="957">
        <v>1</v>
      </c>
      <c r="D1523" s="958" t="s">
        <v>273</v>
      </c>
      <c r="E1523" s="1268">
        <v>1</v>
      </c>
      <c r="F1523" s="960">
        <v>0</v>
      </c>
      <c r="G1523" s="960">
        <v>0</v>
      </c>
      <c r="H1523" s="960">
        <v>0</v>
      </c>
      <c r="I1523" s="1291">
        <f>ROUND(IF(AND(F1523:H1523),C1523*E1523*F1523*G1523*H1523,IF(AND(F1523,G1523),C1523*E1523*F1523*G1523,IF(AND(F1523,H1523),C1523*E1523*F1523*H1523,IF(AND(G1523,H1523),C1523*E1523*G1523*H1523,IF(F1523,C1523*E1523*F1523,IF(G1523,C1523*E1523*G1523,IF(H1523,C1523*E1523*H1523,C1523*E1523))))))),2)</f>
        <v>1</v>
      </c>
      <c r="J1523" s="909" t="s">
        <v>115</v>
      </c>
      <c r="K1523" s="902"/>
      <c r="L1523" s="896"/>
      <c r="M1523" s="902"/>
      <c r="N1523" s="900" t="s">
        <v>2309</v>
      </c>
    </row>
    <row r="1524" spans="1:14" s="910" customFormat="1" ht="16.5" hidden="1" customHeight="1">
      <c r="A1524" s="896"/>
      <c r="B1524" s="980" t="s">
        <v>1170</v>
      </c>
      <c r="C1524" s="957">
        <v>1</v>
      </c>
      <c r="D1524" s="958" t="s">
        <v>273</v>
      </c>
      <c r="E1524" s="1268">
        <v>1</v>
      </c>
      <c r="F1524" s="960">
        <v>0</v>
      </c>
      <c r="G1524" s="960">
        <v>0</v>
      </c>
      <c r="H1524" s="960">
        <v>0</v>
      </c>
      <c r="I1524" s="1291">
        <f>ROUND(IF(AND(F1524:H1524),C1524*E1524*F1524*G1524*H1524,IF(AND(F1524,G1524),C1524*E1524*F1524*G1524,IF(AND(F1524,H1524),C1524*E1524*F1524*H1524,IF(AND(G1524,H1524),C1524*E1524*G1524*H1524,IF(F1524,C1524*E1524*F1524,IF(G1524,C1524*E1524*G1524,IF(H1524,C1524*E1524*H1524,C1524*E1524))))))),2)</f>
        <v>1</v>
      </c>
      <c r="J1524" s="909" t="s">
        <v>115</v>
      </c>
      <c r="K1524" s="902"/>
      <c r="L1524" s="896"/>
      <c r="M1524" s="902"/>
      <c r="N1524" s="900" t="s">
        <v>2309</v>
      </c>
    </row>
    <row r="1525" spans="1:14" s="910" customFormat="1" ht="16.5" hidden="1" customHeight="1">
      <c r="A1525" s="896"/>
      <c r="B1525" s="980"/>
      <c r="C1525" s="957"/>
      <c r="D1525" s="958"/>
      <c r="E1525" s="1268"/>
      <c r="F1525" s="960"/>
      <c r="G1525" s="960"/>
      <c r="H1525" s="960"/>
      <c r="I1525" s="1291"/>
      <c r="J1525" s="909"/>
      <c r="K1525" s="902"/>
      <c r="L1525" s="896"/>
      <c r="M1525" s="902"/>
      <c r="N1525" s="900" t="s">
        <v>2309</v>
      </c>
    </row>
    <row r="1526" spans="1:14" ht="15.75" hidden="1">
      <c r="A1526" s="896"/>
      <c r="B1526" s="902"/>
      <c r="C1526" s="917"/>
      <c r="D1526" s="918"/>
      <c r="E1526" s="919"/>
      <c r="F1526" s="920"/>
      <c r="G1526" s="921"/>
      <c r="H1526" s="896"/>
      <c r="I1526" s="1291"/>
      <c r="J1526" s="909" t="s">
        <v>115</v>
      </c>
      <c r="K1526" s="922">
        <f>'Ele 2022-23'!I228</f>
        <v>161.5</v>
      </c>
      <c r="L1526" s="923" t="s">
        <v>275</v>
      </c>
      <c r="M1526" s="924">
        <f>ROUND(I1526*K1526,0)</f>
        <v>0</v>
      </c>
      <c r="N1526" s="900" t="s">
        <v>2309</v>
      </c>
    </row>
    <row r="1527" spans="1:14" s="1403" customFormat="1" ht="41.25" customHeight="1">
      <c r="A1527" s="1397">
        <v>31</v>
      </c>
      <c r="B1527" s="1610" t="s">
        <v>442</v>
      </c>
      <c r="C1527" s="1610"/>
      <c r="D1527" s="1610"/>
      <c r="E1527" s="1610"/>
      <c r="F1527" s="1610"/>
      <c r="G1527" s="1610"/>
      <c r="H1527" s="1610"/>
      <c r="I1527" s="1398"/>
      <c r="J1527" s="1399"/>
      <c r="K1527" s="1397"/>
      <c r="L1527" s="1397"/>
      <c r="M1527" s="1401"/>
      <c r="N1527" s="1402" t="s">
        <v>2309</v>
      </c>
    </row>
    <row r="1528" spans="1:14" s="1411" customFormat="1" ht="16.5" customHeight="1">
      <c r="A1528" s="1397"/>
      <c r="B1528" s="1410" t="s">
        <v>3986</v>
      </c>
      <c r="C1528" s="1417"/>
      <c r="D1528" s="1395" t="s">
        <v>4022</v>
      </c>
      <c r="E1528" s="1419"/>
      <c r="F1528" s="1420"/>
      <c r="G1528" s="1420"/>
      <c r="H1528" s="1421"/>
      <c r="I1528" s="1422"/>
      <c r="J1528" s="1442"/>
      <c r="K1528" s="1410"/>
      <c r="L1528" s="1397"/>
      <c r="M1528" s="1410"/>
      <c r="N1528" s="1402" t="s">
        <v>2309</v>
      </c>
    </row>
    <row r="1529" spans="1:14" s="1411" customFormat="1" ht="16.5" customHeight="1">
      <c r="A1529" s="1397"/>
      <c r="B1529" s="1472"/>
      <c r="C1529" s="1459">
        <v>1</v>
      </c>
      <c r="D1529" s="1460" t="s">
        <v>273</v>
      </c>
      <c r="E1529" s="1461">
        <v>8</v>
      </c>
      <c r="F1529" s="1448">
        <v>0</v>
      </c>
      <c r="G1529" s="1448">
        <v>0</v>
      </c>
      <c r="H1529" s="1448">
        <v>0</v>
      </c>
      <c r="I1529" s="1468">
        <f>ROUND(IF(AND(F1529:H1529),C1529*E1529*F1529*G1529*H1529,IF(AND(F1529,G1529),C1529*E1529*F1529*G1529,IF(AND(F1529,H1529),C1529*E1529*F1529*H1529,IF(AND(G1529,H1529),C1529*E1529*G1529*H1529,IF(F1529,C1529*E1529*F1529,IF(G1529,C1529*E1529*G1529,IF(H1529,C1529*E1529*H1529,C1529*E1529))))))),2)</f>
        <v>8</v>
      </c>
      <c r="J1529" s="1442" t="s">
        <v>115</v>
      </c>
      <c r="K1529" s="1410"/>
      <c r="L1529" s="1397"/>
      <c r="M1529" s="1410"/>
      <c r="N1529" s="1402" t="s">
        <v>2309</v>
      </c>
    </row>
    <row r="1530" spans="1:14" s="1411" customFormat="1" ht="16.5" customHeight="1">
      <c r="A1530" s="1397"/>
      <c r="B1530" s="1472"/>
      <c r="C1530" s="1426"/>
      <c r="D1530" s="1427"/>
      <c r="E1530" s="1428"/>
      <c r="F1530" s="1429"/>
      <c r="G1530" s="1429"/>
      <c r="H1530" s="1429"/>
      <c r="I1530" s="1468"/>
      <c r="J1530" s="1442"/>
      <c r="K1530" s="1410"/>
      <c r="L1530" s="1397"/>
      <c r="M1530" s="1410"/>
      <c r="N1530" s="1402" t="s">
        <v>2309</v>
      </c>
    </row>
    <row r="1531" spans="1:14" s="1403" customFormat="1" ht="15.75">
      <c r="A1531" s="1397"/>
      <c r="B1531" s="1410"/>
      <c r="C1531" s="1431"/>
      <c r="D1531" s="1432"/>
      <c r="E1531" s="1413"/>
      <c r="F1531" s="1414"/>
      <c r="G1531" s="1433"/>
      <c r="H1531" s="1397"/>
      <c r="I1531" s="1468">
        <f>SUM(I1529:I1530)</f>
        <v>8</v>
      </c>
      <c r="J1531" s="1442" t="s">
        <v>115</v>
      </c>
      <c r="K1531" s="1434">
        <f>'Ele 2022-23'!I241</f>
        <v>399.94</v>
      </c>
      <c r="L1531" s="1400" t="s">
        <v>275</v>
      </c>
      <c r="M1531" s="1435">
        <f>ROUND(I1531*K1531,0)</f>
        <v>3200</v>
      </c>
      <c r="N1531" s="1402" t="s">
        <v>2309</v>
      </c>
    </row>
    <row r="1532" spans="1:14" ht="66.75" hidden="1" customHeight="1">
      <c r="A1532" s="896">
        <v>23</v>
      </c>
      <c r="B1532" s="1609" t="s">
        <v>2090</v>
      </c>
      <c r="C1532" s="1609"/>
      <c r="D1532" s="1609"/>
      <c r="E1532" s="1609"/>
      <c r="F1532" s="1609"/>
      <c r="G1532" s="1609"/>
      <c r="H1532" s="1609"/>
      <c r="I1532" s="897"/>
      <c r="J1532" s="898"/>
      <c r="K1532" s="896"/>
      <c r="L1532" s="896"/>
      <c r="M1532" s="899"/>
      <c r="N1532" s="900" t="s">
        <v>2309</v>
      </c>
    </row>
    <row r="1533" spans="1:14" s="910" customFormat="1" ht="16.5" hidden="1" customHeight="1">
      <c r="A1533" s="896"/>
      <c r="B1533" s="902" t="s">
        <v>2100</v>
      </c>
      <c r="C1533" s="903"/>
      <c r="D1533" s="904"/>
      <c r="E1533" s="905"/>
      <c r="F1533" s="906"/>
      <c r="G1533" s="906"/>
      <c r="H1533" s="907"/>
      <c r="I1533" s="908"/>
      <c r="J1533" s="909"/>
      <c r="K1533" s="902"/>
      <c r="L1533" s="896"/>
      <c r="M1533" s="902"/>
      <c r="N1533" s="900" t="s">
        <v>2309</v>
      </c>
    </row>
    <row r="1534" spans="1:14" s="910" customFormat="1" ht="16.5" hidden="1" customHeight="1">
      <c r="A1534" s="896"/>
      <c r="B1534" s="980"/>
      <c r="C1534" s="957">
        <v>1</v>
      </c>
      <c r="D1534" s="958" t="s">
        <v>273</v>
      </c>
      <c r="E1534" s="1268">
        <v>1</v>
      </c>
      <c r="F1534" s="960">
        <v>0</v>
      </c>
      <c r="G1534" s="960">
        <v>0</v>
      </c>
      <c r="H1534" s="960">
        <v>0</v>
      </c>
      <c r="I1534" s="1291">
        <f>ROUND(IF(AND(F1534:H1534),C1534*E1534*F1534*G1534*H1534,IF(AND(F1534,G1534),C1534*E1534*F1534*G1534,IF(AND(F1534,H1534),C1534*E1534*F1534*H1534,IF(AND(G1534,H1534),C1534*E1534*G1534*H1534,IF(F1534,C1534*E1534*F1534,IF(G1534,C1534*E1534*G1534,IF(H1534,C1534*E1534*H1534,C1534*E1534))))))),2)</f>
        <v>1</v>
      </c>
      <c r="J1534" s="909" t="s">
        <v>115</v>
      </c>
      <c r="K1534" s="902"/>
      <c r="L1534" s="896"/>
      <c r="M1534" s="902"/>
      <c r="N1534" s="900" t="s">
        <v>2309</v>
      </c>
    </row>
    <row r="1535" spans="1:14" s="910" customFormat="1" ht="16.5" hidden="1" customHeight="1">
      <c r="A1535" s="896"/>
      <c r="B1535" s="980"/>
      <c r="C1535" s="957"/>
      <c r="D1535" s="958"/>
      <c r="E1535" s="1268"/>
      <c r="F1535" s="960"/>
      <c r="G1535" s="960"/>
      <c r="H1535" s="960"/>
      <c r="I1535" s="1291"/>
      <c r="J1535" s="909"/>
      <c r="K1535" s="902"/>
      <c r="L1535" s="896"/>
      <c r="M1535" s="902"/>
      <c r="N1535" s="900" t="s">
        <v>2309</v>
      </c>
    </row>
    <row r="1536" spans="1:14" ht="15.75" hidden="1">
      <c r="A1536" s="896"/>
      <c r="B1536" s="902"/>
      <c r="C1536" s="917"/>
      <c r="D1536" s="918"/>
      <c r="E1536" s="919"/>
      <c r="F1536" s="920"/>
      <c r="G1536" s="921"/>
      <c r="H1536" s="896"/>
      <c r="I1536" s="1291"/>
      <c r="J1536" s="909" t="s">
        <v>115</v>
      </c>
      <c r="K1536" s="922">
        <f>'Ele 2022-23'!I284</f>
        <v>1822</v>
      </c>
      <c r="L1536" s="923" t="s">
        <v>275</v>
      </c>
      <c r="M1536" s="924">
        <f>ROUND(I1536*K1536,0)</f>
        <v>0</v>
      </c>
      <c r="N1536" s="900" t="s">
        <v>2309</v>
      </c>
    </row>
    <row r="1537" spans="1:14" ht="110.25" hidden="1" customHeight="1">
      <c r="A1537" s="896">
        <v>29</v>
      </c>
      <c r="B1537" s="1609" t="s">
        <v>2254</v>
      </c>
      <c r="C1537" s="1609"/>
      <c r="D1537" s="1609"/>
      <c r="E1537" s="1609"/>
      <c r="F1537" s="1609"/>
      <c r="G1537" s="1609"/>
      <c r="H1537" s="1609"/>
      <c r="I1537" s="897"/>
      <c r="J1537" s="898"/>
      <c r="K1537" s="896"/>
      <c r="L1537" s="896"/>
      <c r="M1537" s="899"/>
      <c r="N1537" s="900" t="s">
        <v>2309</v>
      </c>
    </row>
    <row r="1538" spans="1:14" s="910" customFormat="1" ht="16.5" hidden="1" customHeight="1">
      <c r="A1538" s="896"/>
      <c r="B1538" s="902" t="s">
        <v>3803</v>
      </c>
      <c r="C1538" s="903"/>
      <c r="D1538" s="954" t="s">
        <v>3824</v>
      </c>
      <c r="E1538" s="905"/>
      <c r="F1538" s="906"/>
      <c r="G1538" s="906"/>
      <c r="H1538" s="907"/>
      <c r="I1538" s="908"/>
      <c r="J1538" s="909"/>
      <c r="K1538" s="902"/>
      <c r="L1538" s="896"/>
      <c r="M1538" s="902"/>
      <c r="N1538" s="900" t="s">
        <v>2309</v>
      </c>
    </row>
    <row r="1539" spans="1:14" s="910" customFormat="1" ht="16.5" hidden="1" customHeight="1">
      <c r="A1539" s="896"/>
      <c r="B1539" s="980"/>
      <c r="C1539" s="912">
        <v>1</v>
      </c>
      <c r="D1539" s="913" t="s">
        <v>273</v>
      </c>
      <c r="E1539" s="914">
        <v>1</v>
      </c>
      <c r="F1539" s="915">
        <v>0</v>
      </c>
      <c r="G1539" s="915">
        <v>0</v>
      </c>
      <c r="H1539" s="915">
        <v>0</v>
      </c>
      <c r="I1539" s="1291">
        <f>ROUND(IF(AND(F1539:H1539),C1539*E1539*F1539*G1539*H1539,IF(AND(F1539,G1539),C1539*E1539*F1539*G1539,IF(AND(F1539,H1539),C1539*E1539*F1539*H1539,IF(AND(G1539,H1539),C1539*E1539*G1539*H1539,IF(F1539,C1539*E1539*F1539,IF(G1539,C1539*E1539*G1539,IF(H1539,C1539*E1539*H1539,C1539*E1539))))))),2)</f>
        <v>1</v>
      </c>
      <c r="J1539" s="909" t="s">
        <v>115</v>
      </c>
      <c r="K1539" s="902"/>
      <c r="L1539" s="896"/>
      <c r="M1539" s="902"/>
      <c r="N1539" s="900" t="s">
        <v>2309</v>
      </c>
    </row>
    <row r="1540" spans="1:14" s="910" customFormat="1" ht="16.5" hidden="1" customHeight="1">
      <c r="A1540" s="896"/>
      <c r="B1540" s="980"/>
      <c r="C1540" s="957"/>
      <c r="D1540" s="958"/>
      <c r="E1540" s="1268"/>
      <c r="F1540" s="960"/>
      <c r="G1540" s="960"/>
      <c r="H1540" s="960"/>
      <c r="I1540" s="1291"/>
      <c r="J1540" s="909"/>
      <c r="K1540" s="902"/>
      <c r="L1540" s="896"/>
      <c r="M1540" s="902"/>
      <c r="N1540" s="900" t="s">
        <v>2309</v>
      </c>
    </row>
    <row r="1541" spans="1:14" ht="15.75" hidden="1">
      <c r="A1541" s="896"/>
      <c r="B1541" s="902"/>
      <c r="C1541" s="917"/>
      <c r="D1541" s="918"/>
      <c r="E1541" s="919"/>
      <c r="F1541" s="920"/>
      <c r="G1541" s="921"/>
      <c r="H1541" s="896"/>
      <c r="I1541" s="1291"/>
      <c r="J1541" s="909" t="s">
        <v>115</v>
      </c>
      <c r="K1541" s="922">
        <f>'Ele 2022-23'!I287</f>
        <v>5428</v>
      </c>
      <c r="L1541" s="923" t="s">
        <v>275</v>
      </c>
      <c r="M1541" s="924">
        <f>ROUND(I1541*K1541,0)</f>
        <v>0</v>
      </c>
      <c r="N1541" s="900" t="s">
        <v>2309</v>
      </c>
    </row>
    <row r="1542" spans="1:14" ht="43.5" hidden="1" customHeight="1">
      <c r="A1542" s="896">
        <v>16</v>
      </c>
      <c r="B1542" s="1609" t="s">
        <v>794</v>
      </c>
      <c r="C1542" s="1609"/>
      <c r="D1542" s="1609"/>
      <c r="E1542" s="1609"/>
      <c r="F1542" s="1609"/>
      <c r="G1542" s="1609"/>
      <c r="H1542" s="1609"/>
      <c r="I1542" s="897"/>
      <c r="J1542" s="898"/>
      <c r="K1542" s="896"/>
      <c r="L1542" s="896"/>
      <c r="M1542" s="899"/>
      <c r="N1542" s="900" t="s">
        <v>2309</v>
      </c>
    </row>
    <row r="1543" spans="1:14" s="910" customFormat="1" ht="16.5" hidden="1" customHeight="1">
      <c r="A1543" s="896"/>
      <c r="B1543" s="980" t="s">
        <v>424</v>
      </c>
      <c r="C1543" s="903"/>
      <c r="D1543" s="904"/>
      <c r="E1543" s="905"/>
      <c r="F1543" s="906"/>
      <c r="G1543" s="906"/>
      <c r="H1543" s="907"/>
      <c r="I1543" s="908"/>
      <c r="J1543" s="909"/>
      <c r="K1543" s="902"/>
      <c r="L1543" s="896"/>
      <c r="M1543" s="902"/>
      <c r="N1543" s="900" t="s">
        <v>2309</v>
      </c>
    </row>
    <row r="1544" spans="1:14" s="910" customFormat="1" ht="16.5" hidden="1" customHeight="1">
      <c r="A1544" s="896"/>
      <c r="B1544" s="980"/>
      <c r="C1544" s="957">
        <v>1</v>
      </c>
      <c r="D1544" s="958" t="s">
        <v>273</v>
      </c>
      <c r="E1544" s="1268">
        <v>1</v>
      </c>
      <c r="F1544" s="960">
        <v>0</v>
      </c>
      <c r="G1544" s="960">
        <v>0</v>
      </c>
      <c r="H1544" s="960">
        <v>0</v>
      </c>
      <c r="I1544" s="1291">
        <f>ROUND(IF(AND(F1544:H1544),C1544*E1544*F1544*G1544*H1544,IF(AND(F1544,G1544),C1544*E1544*F1544*G1544,IF(AND(F1544,H1544),C1544*E1544*F1544*H1544,IF(AND(G1544,H1544),C1544*E1544*G1544*H1544,IF(F1544,C1544*E1544*F1544,IF(G1544,C1544*E1544*G1544,IF(H1544,C1544*E1544*H1544,C1544*E1544))))))),2)</f>
        <v>1</v>
      </c>
      <c r="J1544" s="909" t="s">
        <v>115</v>
      </c>
      <c r="K1544" s="902"/>
      <c r="L1544" s="896"/>
      <c r="M1544" s="902"/>
      <c r="N1544" s="900" t="s">
        <v>2309</v>
      </c>
    </row>
    <row r="1545" spans="1:14" s="910" customFormat="1" ht="16.5" hidden="1" customHeight="1">
      <c r="A1545" s="896"/>
      <c r="B1545" s="980"/>
      <c r="C1545" s="957"/>
      <c r="D1545" s="958"/>
      <c r="E1545" s="1268"/>
      <c r="F1545" s="960"/>
      <c r="G1545" s="960"/>
      <c r="H1545" s="960"/>
      <c r="I1545" s="1291"/>
      <c r="J1545" s="909"/>
      <c r="K1545" s="902"/>
      <c r="L1545" s="896"/>
      <c r="M1545" s="902"/>
      <c r="N1545" s="900" t="s">
        <v>2309</v>
      </c>
    </row>
    <row r="1546" spans="1:14" ht="15.75" hidden="1">
      <c r="A1546" s="896"/>
      <c r="B1546" s="902"/>
      <c r="C1546" s="917"/>
      <c r="D1546" s="918"/>
      <c r="E1546" s="919"/>
      <c r="F1546" s="920"/>
      <c r="G1546" s="921"/>
      <c r="H1546" s="896"/>
      <c r="I1546" s="1291"/>
      <c r="J1546" s="909" t="s">
        <v>115</v>
      </c>
      <c r="K1546" s="922">
        <f>'Ele 2022-23'!I84</f>
        <v>1634</v>
      </c>
      <c r="L1546" s="923" t="s">
        <v>275</v>
      </c>
      <c r="M1546" s="924">
        <f>ROUND(I1546*K1546,0)</f>
        <v>0</v>
      </c>
      <c r="N1546" s="900" t="s">
        <v>2309</v>
      </c>
    </row>
    <row r="1547" spans="1:14" s="1403" customFormat="1" ht="66" customHeight="1">
      <c r="A1547" s="1397">
        <v>32</v>
      </c>
      <c r="B1547" s="1610" t="s">
        <v>698</v>
      </c>
      <c r="C1547" s="1610"/>
      <c r="D1547" s="1610"/>
      <c r="E1547" s="1610"/>
      <c r="F1547" s="1610"/>
      <c r="G1547" s="1610"/>
      <c r="H1547" s="1610"/>
      <c r="I1547" s="1398"/>
      <c r="J1547" s="1399"/>
      <c r="K1547" s="1397"/>
      <c r="L1547" s="1397"/>
      <c r="M1547" s="1401"/>
      <c r="N1547" s="1402" t="s">
        <v>2309</v>
      </c>
    </row>
    <row r="1548" spans="1:14" s="1411" customFormat="1" ht="16.5" customHeight="1">
      <c r="A1548" s="1397"/>
      <c r="B1548" s="1410" t="s">
        <v>3986</v>
      </c>
      <c r="C1548" s="1417"/>
      <c r="D1548" s="1395" t="s">
        <v>4022</v>
      </c>
      <c r="E1548" s="1419"/>
      <c r="F1548" s="1420"/>
      <c r="G1548" s="1420"/>
      <c r="H1548" s="1421"/>
      <c r="I1548" s="1422"/>
      <c r="J1548" s="1442"/>
      <c r="K1548" s="1410"/>
      <c r="L1548" s="1397"/>
      <c r="M1548" s="1410"/>
      <c r="N1548" s="1402" t="s">
        <v>2309</v>
      </c>
    </row>
    <row r="1549" spans="1:14" s="1411" customFormat="1" ht="16.5" customHeight="1">
      <c r="A1549" s="1397"/>
      <c r="B1549" s="1472"/>
      <c r="C1549" s="1459">
        <v>1</v>
      </c>
      <c r="D1549" s="1460" t="s">
        <v>273</v>
      </c>
      <c r="E1549" s="1461">
        <v>1</v>
      </c>
      <c r="F1549" s="1448">
        <v>0</v>
      </c>
      <c r="G1549" s="1448">
        <v>0</v>
      </c>
      <c r="H1549" s="1448">
        <v>0</v>
      </c>
      <c r="I1549" s="1468">
        <f>ROUND(IF(AND(F1549:H1549),C1549*E1549*F1549*G1549*H1549,IF(AND(F1549,G1549),C1549*E1549*F1549*G1549,IF(AND(F1549,H1549),C1549*E1549*F1549*H1549,IF(AND(G1549,H1549),C1549*E1549*G1549*H1549,IF(F1549,C1549*E1549*F1549,IF(G1549,C1549*E1549*G1549,IF(H1549,C1549*E1549*H1549,C1549*E1549))))))),2)</f>
        <v>1</v>
      </c>
      <c r="J1549" s="1442" t="s">
        <v>115</v>
      </c>
      <c r="K1549" s="1410"/>
      <c r="L1549" s="1397"/>
      <c r="M1549" s="1410"/>
      <c r="N1549" s="1402" t="s">
        <v>2309</v>
      </c>
    </row>
    <row r="1550" spans="1:14" s="1411" customFormat="1" ht="16.5" customHeight="1">
      <c r="A1550" s="1397"/>
      <c r="B1550" s="1472"/>
      <c r="C1550" s="1426"/>
      <c r="D1550" s="1427"/>
      <c r="E1550" s="1428"/>
      <c r="F1550" s="1429"/>
      <c r="G1550" s="1429"/>
      <c r="H1550" s="1429"/>
      <c r="I1550" s="1430"/>
      <c r="J1550" s="1442"/>
      <c r="K1550" s="1410"/>
      <c r="L1550" s="1397"/>
      <c r="M1550" s="1410"/>
      <c r="N1550" s="1402" t="s">
        <v>2309</v>
      </c>
    </row>
    <row r="1551" spans="1:14" s="1403" customFormat="1" ht="15.75">
      <c r="A1551" s="1397"/>
      <c r="B1551" s="1410"/>
      <c r="C1551" s="1431"/>
      <c r="D1551" s="1432"/>
      <c r="E1551" s="1413"/>
      <c r="F1551" s="1414"/>
      <c r="G1551" s="1433"/>
      <c r="H1551" s="1397"/>
      <c r="I1551" s="1468">
        <f>SUM(I1549:I1550)</f>
        <v>1</v>
      </c>
      <c r="J1551" s="1442" t="s">
        <v>115</v>
      </c>
      <c r="K1551" s="1434">
        <f>'Ele 2022-23'!I252</f>
        <v>3662</v>
      </c>
      <c r="L1551" s="1400" t="s">
        <v>275</v>
      </c>
      <c r="M1551" s="1435">
        <f>ROUND(I1551*K1551,0)</f>
        <v>3662</v>
      </c>
      <c r="N1551" s="1402" t="s">
        <v>2309</v>
      </c>
    </row>
    <row r="1552" spans="1:14" s="1403" customFormat="1" ht="44.25" customHeight="1">
      <c r="A1552" s="1397">
        <v>33</v>
      </c>
      <c r="B1552" s="1610" t="s">
        <v>941</v>
      </c>
      <c r="C1552" s="1610"/>
      <c r="D1552" s="1610"/>
      <c r="E1552" s="1610"/>
      <c r="F1552" s="1610"/>
      <c r="G1552" s="1610"/>
      <c r="H1552" s="1610"/>
      <c r="I1552" s="1398"/>
      <c r="J1552" s="1399"/>
      <c r="K1552" s="1397"/>
      <c r="L1552" s="1397"/>
      <c r="M1552" s="1401"/>
      <c r="N1552" s="1402" t="s">
        <v>2309</v>
      </c>
    </row>
    <row r="1553" spans="1:14" s="1411" customFormat="1" ht="16.5" customHeight="1">
      <c r="A1553" s="1397"/>
      <c r="B1553" s="1410" t="s">
        <v>3986</v>
      </c>
      <c r="C1553" s="1417"/>
      <c r="D1553" s="1395" t="s">
        <v>4022</v>
      </c>
      <c r="E1553" s="1419"/>
      <c r="F1553" s="1420"/>
      <c r="G1553" s="1420"/>
      <c r="H1553" s="1421"/>
      <c r="I1553" s="1422"/>
      <c r="J1553" s="1442"/>
      <c r="K1553" s="1410"/>
      <c r="L1553" s="1397"/>
      <c r="M1553" s="1410"/>
      <c r="N1553" s="1402" t="s">
        <v>2309</v>
      </c>
    </row>
    <row r="1554" spans="1:14" s="1411" customFormat="1" ht="16.5" customHeight="1">
      <c r="A1554" s="1397"/>
      <c r="B1554" s="1472"/>
      <c r="C1554" s="1459">
        <v>1</v>
      </c>
      <c r="D1554" s="1460" t="s">
        <v>273</v>
      </c>
      <c r="E1554" s="1461">
        <v>1</v>
      </c>
      <c r="F1554" s="1448">
        <v>0</v>
      </c>
      <c r="G1554" s="1448">
        <v>0</v>
      </c>
      <c r="H1554" s="1448">
        <v>0</v>
      </c>
      <c r="I1554" s="1468">
        <f>ROUND(IF(AND(F1554:H1554),C1554*E1554*F1554*G1554*H1554,IF(AND(F1554,G1554),C1554*E1554*F1554*G1554,IF(AND(F1554,H1554),C1554*E1554*F1554*H1554,IF(AND(G1554,H1554),C1554*E1554*G1554*H1554,IF(F1554,C1554*E1554*F1554,IF(G1554,C1554*E1554*G1554,IF(H1554,C1554*E1554*H1554,C1554*E1554))))))),2)</f>
        <v>1</v>
      </c>
      <c r="J1554" s="1442" t="s">
        <v>115</v>
      </c>
      <c r="K1554" s="1410"/>
      <c r="L1554" s="1397"/>
      <c r="M1554" s="1410"/>
      <c r="N1554" s="1402" t="s">
        <v>2309</v>
      </c>
    </row>
    <row r="1555" spans="1:14" s="1411" customFormat="1" ht="16.5" customHeight="1">
      <c r="A1555" s="1397"/>
      <c r="B1555" s="1472"/>
      <c r="C1555" s="1426"/>
      <c r="D1555" s="1427"/>
      <c r="E1555" s="1428"/>
      <c r="F1555" s="1429"/>
      <c r="G1555" s="1429"/>
      <c r="H1555" s="1429"/>
      <c r="I1555" s="1430"/>
      <c r="J1555" s="1442"/>
      <c r="K1555" s="1410"/>
      <c r="L1555" s="1397"/>
      <c r="M1555" s="1410"/>
      <c r="N1555" s="1402" t="s">
        <v>2309</v>
      </c>
    </row>
    <row r="1556" spans="1:14" s="1403" customFormat="1" ht="15.75">
      <c r="A1556" s="1397"/>
      <c r="B1556" s="1410"/>
      <c r="C1556" s="1431"/>
      <c r="D1556" s="1432"/>
      <c r="E1556" s="1413"/>
      <c r="F1556" s="1414"/>
      <c r="G1556" s="1433"/>
      <c r="H1556" s="1397"/>
      <c r="I1556" s="1468">
        <f>SUM(I1554:I1555)</f>
        <v>1</v>
      </c>
      <c r="J1556" s="1442" t="s">
        <v>115</v>
      </c>
      <c r="K1556" s="1434">
        <f>'Ele 2022-23'!I262</f>
        <v>1089.96</v>
      </c>
      <c r="L1556" s="1400" t="s">
        <v>275</v>
      </c>
      <c r="M1556" s="1435">
        <f>ROUND(I1556*K1556,0)</f>
        <v>1090</v>
      </c>
      <c r="N1556" s="1402" t="s">
        <v>2309</v>
      </c>
    </row>
    <row r="1557" spans="1:14" ht="78" hidden="1" customHeight="1">
      <c r="A1557" s="896">
        <v>32</v>
      </c>
      <c r="B1557" s="1609" t="s">
        <v>450</v>
      </c>
      <c r="C1557" s="1609"/>
      <c r="D1557" s="1609"/>
      <c r="E1557" s="1609"/>
      <c r="F1557" s="1609"/>
      <c r="G1557" s="1609"/>
      <c r="H1557" s="1609"/>
      <c r="I1557" s="897"/>
      <c r="J1557" s="898"/>
      <c r="K1557" s="896"/>
      <c r="L1557" s="896"/>
      <c r="M1557" s="899"/>
      <c r="N1557" s="900" t="s">
        <v>2309</v>
      </c>
    </row>
    <row r="1558" spans="1:14" s="910" customFormat="1" ht="16.5" hidden="1" customHeight="1">
      <c r="A1558" s="896"/>
      <c r="B1558" s="902" t="s">
        <v>3804</v>
      </c>
      <c r="C1558" s="903"/>
      <c r="D1558" s="954" t="s">
        <v>3824</v>
      </c>
      <c r="E1558" s="905"/>
      <c r="F1558" s="906"/>
      <c r="G1558" s="906"/>
      <c r="H1558" s="907"/>
      <c r="I1558" s="908"/>
      <c r="J1558" s="909"/>
      <c r="K1558" s="902"/>
      <c r="L1558" s="896"/>
      <c r="M1558" s="902"/>
      <c r="N1558" s="900" t="s">
        <v>2309</v>
      </c>
    </row>
    <row r="1559" spans="1:14" s="910" customFormat="1" ht="16.5" hidden="1" customHeight="1">
      <c r="A1559" s="896"/>
      <c r="B1559" s="980"/>
      <c r="C1559" s="912">
        <v>1</v>
      </c>
      <c r="D1559" s="913" t="s">
        <v>273</v>
      </c>
      <c r="E1559" s="914">
        <v>1</v>
      </c>
      <c r="F1559" s="915">
        <v>0</v>
      </c>
      <c r="G1559" s="915">
        <v>0</v>
      </c>
      <c r="H1559" s="915">
        <v>0</v>
      </c>
      <c r="I1559" s="1291">
        <f>ROUND(IF(AND(F1559:H1559),C1559*E1559*F1559*G1559*H1559,IF(AND(F1559,G1559),C1559*E1559*F1559*G1559,IF(AND(F1559,H1559),C1559*E1559*F1559*H1559,IF(AND(G1559,H1559),C1559*E1559*G1559*H1559,IF(F1559,C1559*E1559*F1559,IF(G1559,C1559*E1559*G1559,IF(H1559,C1559*E1559*H1559,C1559*E1559))))))),2)</f>
        <v>1</v>
      </c>
      <c r="J1559" s="909" t="s">
        <v>115</v>
      </c>
      <c r="K1559" s="902"/>
      <c r="L1559" s="896"/>
      <c r="M1559" s="902"/>
      <c r="N1559" s="900" t="s">
        <v>2309</v>
      </c>
    </row>
    <row r="1560" spans="1:14" s="910" customFormat="1" ht="16.5" hidden="1" customHeight="1">
      <c r="A1560" s="896"/>
      <c r="B1560" s="980"/>
      <c r="C1560" s="957"/>
      <c r="D1560" s="958"/>
      <c r="E1560" s="1268"/>
      <c r="F1560" s="960"/>
      <c r="G1560" s="960"/>
      <c r="H1560" s="960"/>
      <c r="I1560" s="1291"/>
      <c r="J1560" s="909"/>
      <c r="K1560" s="902"/>
      <c r="L1560" s="896"/>
      <c r="M1560" s="902"/>
      <c r="N1560" s="900" t="s">
        <v>2309</v>
      </c>
    </row>
    <row r="1561" spans="1:14" ht="15.75" hidden="1">
      <c r="A1561" s="896"/>
      <c r="B1561" s="902"/>
      <c r="C1561" s="917"/>
      <c r="D1561" s="918"/>
      <c r="E1561" s="919"/>
      <c r="F1561" s="920"/>
      <c r="G1561" s="921"/>
      <c r="H1561" s="896"/>
      <c r="I1561" s="1291"/>
      <c r="J1561" s="909" t="s">
        <v>115</v>
      </c>
      <c r="K1561" s="922">
        <f>'Ele 2022-23'!I281</f>
        <v>4142.4250000000002</v>
      </c>
      <c r="L1561" s="923" t="s">
        <v>275</v>
      </c>
      <c r="M1561" s="924">
        <f>ROUND(I1561*K1561,0)</f>
        <v>0</v>
      </c>
      <c r="N1561" s="900" t="s">
        <v>2309</v>
      </c>
    </row>
    <row r="1562" spans="1:14" s="1403" customFormat="1" ht="66" customHeight="1">
      <c r="A1562" s="1397">
        <v>34</v>
      </c>
      <c r="B1562" s="1615" t="s">
        <v>3320</v>
      </c>
      <c r="C1562" s="1616"/>
      <c r="D1562" s="1616"/>
      <c r="E1562" s="1616"/>
      <c r="F1562" s="1616"/>
      <c r="G1562" s="1616"/>
      <c r="H1562" s="1617"/>
      <c r="I1562" s="1398"/>
      <c r="J1562" s="1399"/>
      <c r="K1562" s="1397"/>
      <c r="L1562" s="1400"/>
      <c r="M1562" s="1401"/>
      <c r="N1562" s="1402" t="s">
        <v>2309</v>
      </c>
    </row>
    <row r="1563" spans="1:14" s="1411" customFormat="1" ht="16.5" customHeight="1">
      <c r="A1563" s="1397"/>
      <c r="B1563" s="1410" t="s">
        <v>3987</v>
      </c>
      <c r="C1563" s="1417"/>
      <c r="D1563" s="1395" t="s">
        <v>4023</v>
      </c>
      <c r="E1563" s="1419"/>
      <c r="F1563" s="1420"/>
      <c r="G1563" s="1420"/>
      <c r="H1563" s="1421"/>
      <c r="I1563" s="1422"/>
      <c r="J1563" s="1423"/>
      <c r="K1563" s="1410"/>
      <c r="L1563" s="1397"/>
      <c r="M1563" s="1410"/>
      <c r="N1563" s="1402" t="s">
        <v>2309</v>
      </c>
    </row>
    <row r="1564" spans="1:14" s="1411" customFormat="1" ht="16.5" customHeight="1">
      <c r="A1564" s="1397"/>
      <c r="B1564" s="1458" t="s">
        <v>1245</v>
      </c>
      <c r="C1564" s="1459">
        <v>1</v>
      </c>
      <c r="D1564" s="1460" t="s">
        <v>273</v>
      </c>
      <c r="E1564" s="1461">
        <v>1</v>
      </c>
      <c r="F1564" s="1448">
        <v>13.54</v>
      </c>
      <c r="G1564" s="1448">
        <v>3</v>
      </c>
      <c r="H1564" s="1448">
        <v>0</v>
      </c>
      <c r="I1564" s="1430">
        <f t="shared" ref="I1564:I1565" si="28">ROUND(IF(AND(F1564:H1564),C1564*E1564*F1564*G1564*H1564,IF(AND(F1564,G1564),C1564*E1564*F1564*G1564,IF(AND(F1564,H1564),C1564*E1564*F1564*H1564,IF(AND(G1564,H1564),C1564*E1564*G1564*H1564,IF(F1564,C1564*E1564*F1564,IF(G1564,C1564*E1564*G1564,IF(H1564,C1564*E1564*H1564,C1564*E1564))))))),2)</f>
        <v>40.619999999999997</v>
      </c>
      <c r="J1564" s="1423" t="s">
        <v>102</v>
      </c>
      <c r="K1564" s="1410"/>
      <c r="L1564" s="1400"/>
      <c r="M1564" s="1410"/>
      <c r="N1564" s="1402" t="s">
        <v>2309</v>
      </c>
    </row>
    <row r="1565" spans="1:14" s="1411" customFormat="1" ht="16.5" customHeight="1">
      <c r="A1565" s="1397"/>
      <c r="B1565" s="1458" t="s">
        <v>3893</v>
      </c>
      <c r="C1565" s="1459">
        <v>1</v>
      </c>
      <c r="D1565" s="1460" t="s">
        <v>273</v>
      </c>
      <c r="E1565" s="1461">
        <v>1</v>
      </c>
      <c r="F1565" s="1448">
        <v>13.54</v>
      </c>
      <c r="G1565" s="1448">
        <v>0.75</v>
      </c>
      <c r="H1565" s="1448">
        <v>0</v>
      </c>
      <c r="I1565" s="1430">
        <f t="shared" si="28"/>
        <v>10.16</v>
      </c>
      <c r="J1565" s="1423" t="s">
        <v>102</v>
      </c>
      <c r="K1565" s="1410"/>
      <c r="L1565" s="1400"/>
      <c r="M1565" s="1410"/>
      <c r="N1565" s="1402" t="s">
        <v>2309</v>
      </c>
    </row>
    <row r="1566" spans="1:14" s="1411" customFormat="1" ht="16.5" customHeight="1">
      <c r="A1566" s="1397"/>
      <c r="B1566" s="1458"/>
      <c r="C1566" s="1459"/>
      <c r="D1566" s="1460"/>
      <c r="E1566" s="1461"/>
      <c r="F1566" s="1448"/>
      <c r="G1566" s="1448"/>
      <c r="H1566" s="1448"/>
      <c r="I1566" s="1430">
        <f>SUM(I1564:I1565)</f>
        <v>50.78</v>
      </c>
      <c r="J1566" s="1423" t="s">
        <v>102</v>
      </c>
      <c r="K1566" s="1410"/>
      <c r="L1566" s="1400"/>
      <c r="M1566" s="1410"/>
      <c r="N1566" s="1402" t="s">
        <v>2309</v>
      </c>
    </row>
    <row r="1567" spans="1:14" s="1403" customFormat="1" ht="15.75">
      <c r="A1567" s="1397"/>
      <c r="B1567" s="1410"/>
      <c r="C1567" s="1431"/>
      <c r="D1567" s="1432"/>
      <c r="E1567" s="1413"/>
      <c r="F1567" s="1414"/>
      <c r="G1567" s="1433"/>
      <c r="H1567" s="1397" t="s">
        <v>3114</v>
      </c>
      <c r="I1567" s="1474">
        <v>31.745999999999999</v>
      </c>
      <c r="J1567" s="1423" t="s">
        <v>102</v>
      </c>
      <c r="K1567" s="1434">
        <f>'data 2022-23'!G889</f>
        <v>630</v>
      </c>
      <c r="L1567" s="1400" t="s">
        <v>2419</v>
      </c>
      <c r="M1567" s="1435">
        <f>ROUND(I1567*K1567,0)</f>
        <v>20000</v>
      </c>
      <c r="N1567" s="1402" t="s">
        <v>2309</v>
      </c>
    </row>
    <row r="1568" spans="1:14" ht="15.75" hidden="1">
      <c r="A1568" s="896"/>
      <c r="B1568" s="902"/>
      <c r="C1568" s="917"/>
      <c r="D1568" s="918"/>
      <c r="E1568" s="919"/>
      <c r="F1568" s="920"/>
      <c r="G1568" s="921"/>
      <c r="H1568" s="896"/>
      <c r="I1568" s="916"/>
      <c r="J1568" s="955"/>
      <c r="K1568" s="922"/>
      <c r="L1568" s="923"/>
      <c r="M1568" s="924"/>
      <c r="N1568" s="900" t="s">
        <v>2309</v>
      </c>
    </row>
    <row r="1569" spans="1:15" ht="23.25" hidden="1" customHeight="1">
      <c r="A1569" s="896">
        <v>40</v>
      </c>
      <c r="B1569" s="1609" t="s">
        <v>3954</v>
      </c>
      <c r="C1569" s="1609"/>
      <c r="D1569" s="1609"/>
      <c r="E1569" s="1609"/>
      <c r="F1569" s="1609"/>
      <c r="G1569" s="1609"/>
      <c r="H1569" s="1609"/>
      <c r="I1569" s="961"/>
      <c r="J1569" s="955" t="s">
        <v>115</v>
      </c>
      <c r="K1569" s="923">
        <v>10000</v>
      </c>
      <c r="L1569" s="923" t="s">
        <v>275</v>
      </c>
      <c r="M1569" s="924">
        <f>ROUND(I1569*K1569,0)</f>
        <v>0</v>
      </c>
      <c r="N1569" s="900" t="s">
        <v>2309</v>
      </c>
    </row>
    <row r="1570" spans="1:15">
      <c r="A1570" s="896"/>
      <c r="B1570" s="902"/>
      <c r="C1570" s="917"/>
      <c r="D1570" s="918"/>
      <c r="E1570" s="919"/>
      <c r="F1570" s="920"/>
      <c r="G1570" s="921"/>
      <c r="H1570" s="896"/>
      <c r="I1570" s="961"/>
      <c r="J1570" s="955"/>
      <c r="K1570" s="922"/>
      <c r="L1570" s="923"/>
      <c r="M1570" s="924"/>
    </row>
    <row r="1571" spans="1:15">
      <c r="A1571" s="896"/>
      <c r="B1571" s="1382"/>
      <c r="C1571" s="1261"/>
      <c r="D1571" s="1384"/>
      <c r="E1571" s="1365"/>
      <c r="F1571" s="1366"/>
      <c r="G1571" s="1366"/>
      <c r="H1571" s="1382"/>
      <c r="I1571" s="916"/>
      <c r="J1571" s="1343"/>
      <c r="K1571" s="922"/>
      <c r="L1571" s="923"/>
      <c r="M1571" s="1344">
        <f>SUM(M8:M1570)</f>
        <v>316102</v>
      </c>
      <c r="N1571" s="1019"/>
      <c r="O1571" s="1019"/>
    </row>
    <row r="1572" spans="1:15" s="1349" customFormat="1" ht="20.25" customHeight="1">
      <c r="A1572" s="1345">
        <v>35</v>
      </c>
      <c r="B1572" s="1626" t="s">
        <v>3321</v>
      </c>
      <c r="C1572" s="1626"/>
      <c r="D1572" s="1626"/>
      <c r="E1572" s="1626"/>
      <c r="F1572" s="1626"/>
      <c r="G1572" s="1626"/>
      <c r="H1572" s="1626"/>
      <c r="I1572" s="1373"/>
      <c r="J1572" s="1347"/>
      <c r="K1572" s="1345"/>
      <c r="L1572" s="1345"/>
      <c r="M1572" s="1374">
        <f>'SEIG P-B'!H49</f>
        <v>18</v>
      </c>
    </row>
    <row r="1573" spans="1:15" s="1349" customFormat="1" ht="20.25" customHeight="1">
      <c r="A1573" s="1345"/>
      <c r="B1573" s="1386"/>
      <c r="C1573" s="1386"/>
      <c r="D1573" s="1386"/>
      <c r="E1573" s="1386"/>
      <c r="F1573" s="1386"/>
      <c r="G1573" s="1386"/>
      <c r="H1573" s="1386"/>
      <c r="I1573" s="1373"/>
      <c r="J1573" s="1347"/>
      <c r="K1573" s="1345"/>
      <c r="L1573" s="1345"/>
      <c r="M1573" s="1375">
        <f>SUM(M1571:M1572)</f>
        <v>316120</v>
      </c>
    </row>
    <row r="1574" spans="1:15" s="1349" customFormat="1" ht="20.25" customHeight="1">
      <c r="A1574" s="1345">
        <v>36</v>
      </c>
      <c r="B1574" s="1626" t="s">
        <v>2418</v>
      </c>
      <c r="C1574" s="1626"/>
      <c r="D1574" s="1626"/>
      <c r="E1574" s="1626"/>
      <c r="F1574" s="1626"/>
      <c r="G1574" s="1626"/>
      <c r="H1574" s="1626"/>
      <c r="I1574" s="1346">
        <f>M1571</f>
        <v>316102</v>
      </c>
      <c r="J1574" s="1347"/>
      <c r="K1574" s="1345"/>
      <c r="L1574" s="1345"/>
      <c r="M1574" s="1374">
        <f>ROUND(I1574*0.5%,0)</f>
        <v>1581</v>
      </c>
    </row>
    <row r="1575" spans="1:15" s="1349" customFormat="1" ht="20.25" customHeight="1">
      <c r="A1575" s="1345">
        <v>37</v>
      </c>
      <c r="B1575" s="1626" t="s">
        <v>292</v>
      </c>
      <c r="C1575" s="1626"/>
      <c r="D1575" s="1626"/>
      <c r="E1575" s="1626"/>
      <c r="F1575" s="1626"/>
      <c r="G1575" s="1626"/>
      <c r="H1575" s="1626"/>
      <c r="I1575" s="1373"/>
      <c r="J1575" s="1347"/>
      <c r="K1575" s="1345"/>
      <c r="L1575" s="1345"/>
      <c r="M1575" s="1374">
        <f>N1575</f>
        <v>12299</v>
      </c>
      <c r="N1575" s="1350">
        <f>N1576-M1573-M1574</f>
        <v>12299</v>
      </c>
    </row>
    <row r="1576" spans="1:15" s="1349" customFormat="1" ht="20.25" customHeight="1">
      <c r="A1576" s="1345"/>
      <c r="B1576" s="1643" t="s">
        <v>3322</v>
      </c>
      <c r="C1576" s="1644"/>
      <c r="D1576" s="1644"/>
      <c r="E1576" s="1644"/>
      <c r="F1576" s="1644"/>
      <c r="G1576" s="1644"/>
      <c r="H1576" s="1645"/>
      <c r="I1576" s="1373"/>
      <c r="J1576" s="1347"/>
      <c r="K1576" s="1345"/>
      <c r="L1576" s="1345"/>
      <c r="M1576" s="1375">
        <f>SUM(M1573:M1575)</f>
        <v>330000</v>
      </c>
      <c r="N1576" s="1349">
        <v>330000</v>
      </c>
    </row>
    <row r="1577" spans="1:15">
      <c r="M1577" s="1376"/>
    </row>
    <row r="1578" spans="1:15">
      <c r="H1578" s="901"/>
      <c r="I1578" s="901"/>
      <c r="J1578" s="901"/>
      <c r="M1578" s="1019"/>
    </row>
    <row r="1579" spans="1:15">
      <c r="H1579" s="901"/>
      <c r="I1579" s="901"/>
      <c r="J1579" s="901"/>
      <c r="M1579" s="1019"/>
    </row>
    <row r="1580" spans="1:15">
      <c r="H1580" s="901"/>
      <c r="I1580" s="901"/>
      <c r="J1580" s="901"/>
      <c r="M1580" s="1019"/>
    </row>
    <row r="1581" spans="1:15">
      <c r="H1581" s="950" t="str">
        <f>'lead 19-20'!$H$31</f>
        <v>Deputy Executive Engineer</v>
      </c>
      <c r="I1581" s="1360"/>
      <c r="J1581" s="1360"/>
      <c r="K1581" s="1361"/>
      <c r="L1581" s="1362" t="str">
        <f>'lead 19-20'!$K$31</f>
        <v>Assistant  Engineer</v>
      </c>
    </row>
    <row r="1582" spans="1:15">
      <c r="H1582" s="950" t="str">
        <f>'lead 19-20'!$H$32</f>
        <v>PRI Sub Division</v>
      </c>
      <c r="I1582" s="1360"/>
      <c r="J1582" s="1360"/>
      <c r="K1582" s="1361"/>
      <c r="L1582" s="1362" t="str">
        <f>'lead 19-20'!$K$32</f>
        <v>Mandal Praja parishad</v>
      </c>
    </row>
    <row r="1583" spans="1:15">
      <c r="H1583" s="950" t="str">
        <f>'lead 19-20'!$H$33</f>
        <v>Kanigiri</v>
      </c>
      <c r="I1583" s="964"/>
      <c r="J1583" s="964"/>
      <c r="K1583" s="1255"/>
      <c r="L1583" s="1362" t="str">
        <f>'lead 19-20'!$K$33</f>
        <v>Kanigiri</v>
      </c>
    </row>
    <row r="1589" spans="3:12" s="965" customFormat="1">
      <c r="C1589" s="901"/>
      <c r="E1589" s="1356"/>
      <c r="F1589" s="1357"/>
      <c r="G1589" s="1358"/>
      <c r="H1589" s="964"/>
      <c r="K1589" s="1363"/>
      <c r="L1589" s="1359"/>
    </row>
  </sheetData>
  <autoFilter ref="A6:N1569">
    <filterColumn colId="0">
      <colorFilter dxfId="7"/>
    </filterColumn>
    <filterColumn colId="2" showButton="0"/>
    <filterColumn colId="3" showButton="0"/>
  </autoFilter>
  <mergeCells count="238">
    <mergeCell ref="L3:M3"/>
    <mergeCell ref="A1:M1"/>
    <mergeCell ref="A2:B2"/>
    <mergeCell ref="C2:M2"/>
    <mergeCell ref="L4:L5"/>
    <mergeCell ref="M4:M5"/>
    <mergeCell ref="C6:E6"/>
    <mergeCell ref="K4:K5"/>
    <mergeCell ref="B1152:H1152"/>
    <mergeCell ref="B1147:H1147"/>
    <mergeCell ref="B1005:H1005"/>
    <mergeCell ref="B991:H991"/>
    <mergeCell ref="B486:H486"/>
    <mergeCell ref="B675:H675"/>
    <mergeCell ref="B662:H662"/>
    <mergeCell ref="B649:H649"/>
    <mergeCell ref="B655:H655"/>
    <mergeCell ref="B562:H562"/>
    <mergeCell ref="B567:H567"/>
    <mergeCell ref="B1132:H1132"/>
    <mergeCell ref="B1137:H1137"/>
    <mergeCell ref="B1142:H1142"/>
    <mergeCell ref="B1065:H1065"/>
    <mergeCell ref="B1070:H1070"/>
    <mergeCell ref="B1569:H1569"/>
    <mergeCell ref="B1373:H1373"/>
    <mergeCell ref="B1378:H1378"/>
    <mergeCell ref="B1383:H1383"/>
    <mergeCell ref="A4:A5"/>
    <mergeCell ref="B4:B5"/>
    <mergeCell ref="C4:E5"/>
    <mergeCell ref="F4:H4"/>
    <mergeCell ref="I4:J5"/>
    <mergeCell ref="B1398:H1398"/>
    <mergeCell ref="B1345:H1345"/>
    <mergeCell ref="B1355:H1355"/>
    <mergeCell ref="B1363:H1363"/>
    <mergeCell ref="B1368:H1368"/>
    <mergeCell ref="B1324:H1324"/>
    <mergeCell ref="B1294:H1294"/>
    <mergeCell ref="B1299:H1299"/>
    <mergeCell ref="B1304:H1304"/>
    <mergeCell ref="B1309:H1309"/>
    <mergeCell ref="B1314:H1314"/>
    <mergeCell ref="B1547:H1547"/>
    <mergeCell ref="B1404:H1404"/>
    <mergeCell ref="B1409:H1409"/>
    <mergeCell ref="B1475:H1475"/>
    <mergeCell ref="B1415:H1415"/>
    <mergeCell ref="B1420:H1420"/>
    <mergeCell ref="B1430:H1430"/>
    <mergeCell ref="B1435:H1435"/>
    <mergeCell ref="B1440:H1440"/>
    <mergeCell ref="B1445:H1445"/>
    <mergeCell ref="B1495:H1495"/>
    <mergeCell ref="B1500:H1500"/>
    <mergeCell ref="B1505:H1505"/>
    <mergeCell ref="B1450:H1450"/>
    <mergeCell ref="B1455:H1455"/>
    <mergeCell ref="B1460:H1460"/>
    <mergeCell ref="B1465:H1465"/>
    <mergeCell ref="B1470:H1470"/>
    <mergeCell ref="B1490:H1490"/>
    <mergeCell ref="B1480:H1480"/>
    <mergeCell ref="B1485:H1485"/>
    <mergeCell ref="B1552:H1552"/>
    <mergeCell ref="B1557:H1557"/>
    <mergeCell ref="B1510:H1510"/>
    <mergeCell ref="B1515:H1515"/>
    <mergeCell ref="B1527:H1527"/>
    <mergeCell ref="B1532:H1532"/>
    <mergeCell ref="B1537:H1537"/>
    <mergeCell ref="B1520:H1520"/>
    <mergeCell ref="B1542:H1542"/>
    <mergeCell ref="B1329:H1329"/>
    <mergeCell ref="B1195:H1195"/>
    <mergeCell ref="B1200:H1200"/>
    <mergeCell ref="B1206:H1206"/>
    <mergeCell ref="B1216:H1216"/>
    <mergeCell ref="B1221:H1221"/>
    <mergeCell ref="B1227:H1227"/>
    <mergeCell ref="B1232:H1232"/>
    <mergeCell ref="B1319:H1319"/>
    <mergeCell ref="B1288:H1288"/>
    <mergeCell ref="B1252:H1252"/>
    <mergeCell ref="B1258:H1258"/>
    <mergeCell ref="B1263:H1263"/>
    <mergeCell ref="B1211:H1211"/>
    <mergeCell ref="B1273:H1273"/>
    <mergeCell ref="B1278:H1278"/>
    <mergeCell ref="B1268:H1268"/>
    <mergeCell ref="B1247:H1247"/>
    <mergeCell ref="B1080:H1080"/>
    <mergeCell ref="B1090:H1090"/>
    <mergeCell ref="B1095:H1095"/>
    <mergeCell ref="B1085:H1085"/>
    <mergeCell ref="B1075:H1075"/>
    <mergeCell ref="B1107:H1107"/>
    <mergeCell ref="B1113:H1113"/>
    <mergeCell ref="B1237:H1237"/>
    <mergeCell ref="B1242:H1242"/>
    <mergeCell ref="B1159:H1159"/>
    <mergeCell ref="B1164:H1164"/>
    <mergeCell ref="B1173:H1173"/>
    <mergeCell ref="B1181:H1181"/>
    <mergeCell ref="B1033:H1033"/>
    <mergeCell ref="B1017:H1017"/>
    <mergeCell ref="B945:H945"/>
    <mergeCell ref="B819:H819"/>
    <mergeCell ref="B517:H517"/>
    <mergeCell ref="B538:H538"/>
    <mergeCell ref="B844:H844"/>
    <mergeCell ref="B849:H849"/>
    <mergeCell ref="B930:H930"/>
    <mergeCell ref="B915:H915"/>
    <mergeCell ref="B922:H922"/>
    <mergeCell ref="B908:H908"/>
    <mergeCell ref="B897:H897"/>
    <mergeCell ref="B902:H902"/>
    <mergeCell ref="B878:H878"/>
    <mergeCell ref="B883:H883"/>
    <mergeCell ref="B552:H552"/>
    <mergeCell ref="B572:H572"/>
    <mergeCell ref="B762:H762"/>
    <mergeCell ref="B747:H747"/>
    <mergeCell ref="B733:H733"/>
    <mergeCell ref="B690:H690"/>
    <mergeCell ref="B602:H602"/>
    <mergeCell ref="B591:H591"/>
    <mergeCell ref="B984:H984"/>
    <mergeCell ref="B889:H889"/>
    <mergeCell ref="B970:H970"/>
    <mergeCell ref="B977:H977"/>
    <mergeCell ref="B1562:H1562"/>
    <mergeCell ref="B705:H705"/>
    <mergeCell ref="B698:H698"/>
    <mergeCell ref="B682:H682"/>
    <mergeCell ref="B669:H669"/>
    <mergeCell ref="B1283:H1283"/>
    <mergeCell ref="B1186:H1186"/>
    <mergeCell ref="B952:H952"/>
    <mergeCell ref="B938:H938"/>
    <mergeCell ref="B1100:H1100"/>
    <mergeCell ref="B1055:H1055"/>
    <mergeCell ref="B998:H998"/>
    <mergeCell ref="B1388:H1388"/>
    <mergeCell ref="B1393:H1393"/>
    <mergeCell ref="B1340:H1340"/>
    <mergeCell ref="B1334:H1334"/>
    <mergeCell ref="B1060:H1060"/>
    <mergeCell ref="B1119:H1119"/>
    <mergeCell ref="B1041:H1041"/>
    <mergeCell ref="B1048:H1048"/>
    <mergeCell ref="B769:H769"/>
    <mergeCell ref="B832:H832"/>
    <mergeCell ref="B755:H755"/>
    <mergeCell ref="B557:H557"/>
    <mergeCell ref="B793:H793"/>
    <mergeCell ref="B838:H838"/>
    <mergeCell ref="B957:H957"/>
    <mergeCell ref="B963:H963"/>
    <mergeCell ref="B740:H740"/>
    <mergeCell ref="B580:H580"/>
    <mergeCell ref="B585:H585"/>
    <mergeCell ref="B803:H803"/>
    <mergeCell ref="B812:H812"/>
    <mergeCell ref="B305:H305"/>
    <mergeCell ref="B323:H323"/>
    <mergeCell ref="B396:H396"/>
    <mergeCell ref="B355:H355"/>
    <mergeCell ref="B1025:H1025"/>
    <mergeCell ref="B1011:H1011"/>
    <mergeCell ref="B827:H827"/>
    <mergeCell ref="B424:H424"/>
    <mergeCell ref="B643:H643"/>
    <mergeCell ref="B631:H631"/>
    <mergeCell ref="B637:H637"/>
    <mergeCell ref="B625:H625"/>
    <mergeCell ref="B438:H438"/>
    <mergeCell ref="B873:H873"/>
    <mergeCell ref="B860:H860"/>
    <mergeCell ref="B866:H866"/>
    <mergeCell ref="B854:H854"/>
    <mergeCell ref="B613:H613"/>
    <mergeCell ref="B619:H619"/>
    <mergeCell ref="B726:H726"/>
    <mergeCell ref="B712:H712"/>
    <mergeCell ref="B719:H719"/>
    <mergeCell ref="B776:H776"/>
    <mergeCell ref="B784:H784"/>
    <mergeCell ref="B20:H20"/>
    <mergeCell ref="B9:H9"/>
    <mergeCell ref="B15:H15"/>
    <mergeCell ref="B224:H224"/>
    <mergeCell ref="B339:H339"/>
    <mergeCell ref="B370:H370"/>
    <mergeCell ref="B298:H298"/>
    <mergeCell ref="B234:H234"/>
    <mergeCell ref="B252:H252"/>
    <mergeCell ref="B59:H59"/>
    <mergeCell ref="B46:H46"/>
    <mergeCell ref="B52:H52"/>
    <mergeCell ref="B103:H103"/>
    <mergeCell ref="B89:H89"/>
    <mergeCell ref="B97:H97"/>
    <mergeCell ref="B83:H83"/>
    <mergeCell ref="B64:H64"/>
    <mergeCell ref="B69:H69"/>
    <mergeCell ref="B109:H109"/>
    <mergeCell ref="B115:H115"/>
    <mergeCell ref="B193:H193"/>
    <mergeCell ref="B200:H200"/>
    <mergeCell ref="B185:H185"/>
    <mergeCell ref="B170:H170"/>
    <mergeCell ref="B1572:H1572"/>
    <mergeCell ref="B1574:H1574"/>
    <mergeCell ref="B1575:H1575"/>
    <mergeCell ref="B1576:H1576"/>
    <mergeCell ref="B362:H362"/>
    <mergeCell ref="B411:H411"/>
    <mergeCell ref="B417:H417"/>
    <mergeCell ref="B40:H40"/>
    <mergeCell ref="B25:H25"/>
    <mergeCell ref="B34:H34"/>
    <mergeCell ref="B607:H607"/>
    <mergeCell ref="B596:H596"/>
    <mergeCell ref="B545:H545"/>
    <mergeCell ref="B377:H377"/>
    <mergeCell ref="B384:H384"/>
    <mergeCell ref="B431:H431"/>
    <mergeCell ref="B178:H178"/>
    <mergeCell ref="B162:H162"/>
    <mergeCell ref="B149:H149"/>
    <mergeCell ref="B155:H155"/>
    <mergeCell ref="B143:H143"/>
    <mergeCell ref="B128:H128"/>
    <mergeCell ref="B137:H137"/>
    <mergeCell ref="B121:H121"/>
  </mergeCells>
  <printOptions horizontalCentered="1"/>
  <pageMargins left="0.15" right="0.1" top="0.2" bottom="0.23" header="0.25" footer="0.08"/>
  <pageSetup paperSize="9" scale="95" pageOrder="overThenDown" orientation="portrait" r:id="rId1"/>
  <headerFooter alignWithMargins="0"/>
</worksheet>
</file>

<file path=xl/worksheets/sheet13.xml><?xml version="1.0" encoding="utf-8"?>
<worksheet xmlns="http://schemas.openxmlformats.org/spreadsheetml/2006/main" xmlns:r="http://schemas.openxmlformats.org/officeDocument/2006/relationships">
  <dimension ref="A1:H21"/>
  <sheetViews>
    <sheetView topLeftCell="A4" zoomScale="115" zoomScaleNormal="115" workbookViewId="0">
      <selection activeCell="H13" sqref="H13"/>
    </sheetView>
  </sheetViews>
  <sheetFormatPr defaultColWidth="9.140625" defaultRowHeight="12.75"/>
  <cols>
    <col min="1" max="1" width="9.140625" style="449"/>
    <col min="2" max="2" width="9.42578125" style="450" bestFit="1" customWidth="1"/>
    <col min="3" max="6" width="9.140625" style="450"/>
    <col min="7" max="7" width="9.140625" style="448"/>
    <col min="8" max="8" width="9.42578125" style="448" bestFit="1" customWidth="1"/>
    <col min="9" max="16384" width="9.140625" style="448"/>
  </cols>
  <sheetData>
    <row r="1" spans="1:8" s="880" customFormat="1">
      <c r="A1" s="878" t="s">
        <v>975</v>
      </c>
      <c r="B1" s="879" t="s">
        <v>1551</v>
      </c>
      <c r="C1" s="879" t="s">
        <v>1552</v>
      </c>
      <c r="D1" s="879" t="s">
        <v>784</v>
      </c>
      <c r="E1" s="879" t="s">
        <v>1553</v>
      </c>
      <c r="F1" s="879" t="s">
        <v>783</v>
      </c>
    </row>
    <row r="2" spans="1:8" s="880" customFormat="1">
      <c r="A2" s="878">
        <v>5</v>
      </c>
      <c r="B2" s="879">
        <v>1266</v>
      </c>
      <c r="C2" s="879">
        <v>56.7</v>
      </c>
      <c r="D2" s="879">
        <v>1144.9000000000001</v>
      </c>
      <c r="E2" s="879">
        <v>146</v>
      </c>
      <c r="F2" s="879">
        <v>0</v>
      </c>
      <c r="H2" s="881"/>
    </row>
    <row r="3" spans="1:8" s="880" customFormat="1">
      <c r="A3" s="878"/>
      <c r="B3" s="879">
        <f>ROUND(B2*0.39,2)</f>
        <v>493.74</v>
      </c>
      <c r="C3" s="879">
        <f>ROUND(C2*0.62,2)</f>
        <v>35.15</v>
      </c>
      <c r="D3" s="879">
        <f>ROUND(D2*0.89,2)</f>
        <v>1018.96</v>
      </c>
      <c r="E3" s="879">
        <f>ROUND(E2*1.58,2)</f>
        <v>230.68</v>
      </c>
      <c r="F3" s="879">
        <f>ROUND(F2*2.47,2)</f>
        <v>0</v>
      </c>
      <c r="G3" s="880" t="s">
        <v>152</v>
      </c>
      <c r="H3" s="882">
        <f>SUM(B3:F3)</f>
        <v>1778.53</v>
      </c>
    </row>
    <row r="4" spans="1:8" s="880" customFormat="1">
      <c r="A4" s="878"/>
      <c r="B4" s="879"/>
      <c r="C4" s="879"/>
      <c r="D4" s="879"/>
      <c r="E4" s="879"/>
      <c r="F4" s="879"/>
      <c r="H4" s="883"/>
    </row>
    <row r="5" spans="1:8" s="880" customFormat="1">
      <c r="A5" s="878">
        <v>22</v>
      </c>
      <c r="B5" s="879">
        <v>1280.8499999999999</v>
      </c>
      <c r="C5" s="879">
        <v>0</v>
      </c>
      <c r="D5" s="879">
        <v>352.76</v>
      </c>
      <c r="E5" s="879">
        <v>84.4</v>
      </c>
      <c r="F5" s="879">
        <v>0</v>
      </c>
      <c r="H5" s="881"/>
    </row>
    <row r="6" spans="1:8" s="880" customFormat="1">
      <c r="A6" s="878"/>
      <c r="B6" s="879">
        <f>ROUND(B5*0.39,2)</f>
        <v>499.53</v>
      </c>
      <c r="C6" s="879">
        <f>ROUND(C5*0.62,2)</f>
        <v>0</v>
      </c>
      <c r="D6" s="879">
        <f>ROUND(D5*0.89,2)</f>
        <v>313.95999999999998</v>
      </c>
      <c r="E6" s="879">
        <f>ROUND(E5*1.58,2)</f>
        <v>133.35</v>
      </c>
      <c r="F6" s="879">
        <f>ROUND(F5*2.47,2)</f>
        <v>0</v>
      </c>
      <c r="G6" s="880" t="s">
        <v>1554</v>
      </c>
      <c r="H6" s="882">
        <f>SUM(B6:F6)</f>
        <v>946.84</v>
      </c>
    </row>
    <row r="7" spans="1:8" s="880" customFormat="1" ht="17.25" customHeight="1">
      <c r="A7" s="878"/>
      <c r="B7" s="879"/>
      <c r="C7" s="879"/>
      <c r="D7" s="879"/>
      <c r="E7" s="879"/>
      <c r="F7" s="879"/>
      <c r="H7" s="882"/>
    </row>
    <row r="8" spans="1:8" s="880" customFormat="1">
      <c r="A8" s="878">
        <v>39</v>
      </c>
      <c r="B8" s="879">
        <v>3528.72</v>
      </c>
      <c r="C8" s="879">
        <v>284.5</v>
      </c>
      <c r="D8" s="879">
        <v>398.7</v>
      </c>
      <c r="E8" s="879">
        <v>209.15</v>
      </c>
      <c r="F8" s="879">
        <v>0</v>
      </c>
      <c r="H8" s="881"/>
    </row>
    <row r="9" spans="1:8" s="880" customFormat="1">
      <c r="A9" s="878"/>
      <c r="B9" s="879">
        <f>ROUND(B8*0.39,2)</f>
        <v>1376.2</v>
      </c>
      <c r="C9" s="879">
        <f>ROUND(C8*0.62,2)</f>
        <v>176.39</v>
      </c>
      <c r="D9" s="879">
        <f>ROUND(D8*0.89,2)</f>
        <v>354.84</v>
      </c>
      <c r="E9" s="879">
        <f>ROUND(E8*1.58,2)</f>
        <v>330.46</v>
      </c>
      <c r="F9" s="879">
        <f>ROUND(F8*2.47,2)</f>
        <v>0</v>
      </c>
      <c r="G9" s="880" t="s">
        <v>3449</v>
      </c>
      <c r="H9" s="882">
        <f>SUM(B9:F9)</f>
        <v>2237.89</v>
      </c>
    </row>
    <row r="10" spans="1:8" s="880" customFormat="1">
      <c r="A10" s="878"/>
      <c r="B10" s="879"/>
      <c r="C10" s="879"/>
      <c r="D10" s="879"/>
      <c r="E10" s="879"/>
      <c r="F10" s="879"/>
    </row>
    <row r="11" spans="1:8" s="880" customFormat="1">
      <c r="A11" s="878"/>
      <c r="B11" s="879"/>
      <c r="C11" s="879"/>
      <c r="D11" s="879"/>
      <c r="E11" s="879"/>
      <c r="F11" s="879"/>
      <c r="H11" s="882"/>
    </row>
    <row r="12" spans="1:8" s="880" customFormat="1">
      <c r="A12" s="878">
        <v>51</v>
      </c>
      <c r="B12" s="879">
        <v>256.5</v>
      </c>
      <c r="C12" s="879">
        <v>0</v>
      </c>
      <c r="D12" s="879">
        <v>234.6</v>
      </c>
      <c r="E12" s="879">
        <v>0</v>
      </c>
      <c r="F12" s="879">
        <v>0</v>
      </c>
      <c r="H12" s="881"/>
    </row>
    <row r="13" spans="1:8" s="880" customFormat="1">
      <c r="A13" s="878"/>
      <c r="B13" s="879">
        <f>ROUND(B12*0.39,2)</f>
        <v>100.04</v>
      </c>
      <c r="C13" s="879">
        <f>ROUND(C12*0.62,2)</f>
        <v>0</v>
      </c>
      <c r="D13" s="879">
        <f>ROUND(D12*0.89,2)</f>
        <v>208.79</v>
      </c>
      <c r="E13" s="879">
        <f>ROUND(E12*1.58,2)</f>
        <v>0</v>
      </c>
      <c r="F13" s="879">
        <f>ROUND(F12*2.47,2)</f>
        <v>0</v>
      </c>
      <c r="G13" s="880" t="s">
        <v>3468</v>
      </c>
      <c r="H13" s="882">
        <f>SUM(B13:F13)</f>
        <v>308.83</v>
      </c>
    </row>
    <row r="14" spans="1:8" s="880" customFormat="1">
      <c r="A14" s="878"/>
      <c r="B14" s="879"/>
      <c r="C14" s="879"/>
      <c r="D14" s="879"/>
      <c r="E14" s="879"/>
      <c r="F14" s="879"/>
      <c r="H14" s="882"/>
    </row>
    <row r="15" spans="1:8">
      <c r="A15" s="449">
        <v>52</v>
      </c>
      <c r="B15" s="450">
        <v>0</v>
      </c>
      <c r="C15" s="450">
        <v>39.840000000000003</v>
      </c>
      <c r="D15" s="450">
        <v>68.760000000000005</v>
      </c>
      <c r="E15" s="450">
        <v>0</v>
      </c>
      <c r="F15" s="450">
        <v>0</v>
      </c>
      <c r="H15" s="877"/>
    </row>
    <row r="16" spans="1:8">
      <c r="B16" s="879">
        <f>ROUND(B15*0.39,2)</f>
        <v>0</v>
      </c>
      <c r="C16" s="879">
        <f>ROUND(C15*0.62,2)</f>
        <v>24.7</v>
      </c>
      <c r="D16" s="879">
        <f>ROUND(D15*0.89,2)</f>
        <v>61.2</v>
      </c>
      <c r="E16" s="879">
        <f>ROUND(E15*1.58,2)</f>
        <v>0</v>
      </c>
      <c r="F16" s="879">
        <f>ROUND(F15*2.47,2)</f>
        <v>0</v>
      </c>
      <c r="G16" s="448" t="s">
        <v>3462</v>
      </c>
      <c r="H16" s="603">
        <f>SUM(B16:F16)</f>
        <v>85.9</v>
      </c>
    </row>
    <row r="17" spans="2:8">
      <c r="H17" s="603"/>
    </row>
    <row r="21" spans="2:8">
      <c r="B21" s="450" t="e">
        <f>B2+B5+B8+B15+#REF!+B12+#REF!+#REF!+#REF!+#REF!+#REF!+#REF!+#REF!+#REF!+#REF!+#REF!+#REF!+#REF!+#REF!</f>
        <v>#REF!</v>
      </c>
      <c r="C21" s="450" t="e">
        <f>C2+C5+C8+C15+#REF!+C12+#REF!+#REF!+#REF!+#REF!+#REF!+#REF!+#REF!+#REF!+#REF!+#REF!+#REF!+#REF!+#REF!</f>
        <v>#REF!</v>
      </c>
      <c r="D21" s="450" t="e">
        <f>D2+D5+D8+D15+#REF!+D12+#REF!+#REF!+#REF!+#REF!+#REF!+#REF!+#REF!+#REF!+#REF!+#REF!+#REF!+#REF!+#REF!</f>
        <v>#REF!</v>
      </c>
      <c r="E21" s="450" t="e">
        <f>E2+E5+E8+E15+#REF!+E12+#REF!+#REF!+#REF!+#REF!+#REF!+#REF!+#REF!+#REF!+#REF!+#REF!+#REF!+#REF!+#REF!</f>
        <v>#REF!</v>
      </c>
      <c r="F21" s="450" t="e">
        <f>F2+F5+F8+F15+#REF!+F12+#REF!+#REF!+#REF!+#REF!+#REF!+#REF!+#REF!+#REF!+#REF!+#REF!+#REF!+#REF!+#REF!</f>
        <v>#REF!</v>
      </c>
    </row>
  </sheetData>
  <pageMargins left="0.7" right="0.7" top="0.75" bottom="0.75" header="0.3" footer="0.3"/>
  <pageSetup orientation="portrait" verticalDpi="0" r:id="rId1"/>
</worksheet>
</file>

<file path=xl/worksheets/sheet14.xml><?xml version="1.0" encoding="utf-8"?>
<worksheet xmlns="http://schemas.openxmlformats.org/spreadsheetml/2006/main" xmlns:r="http://schemas.openxmlformats.org/officeDocument/2006/relationships">
  <sheetPr filterMode="1">
    <tabColor rgb="FF00B050"/>
  </sheetPr>
  <dimension ref="A1:U631"/>
  <sheetViews>
    <sheetView showZeros="0" view="pageBreakPreview" zoomScaleSheetLayoutView="100" workbookViewId="0">
      <pane ySplit="3" topLeftCell="A4" activePane="bottomLeft" state="frozen"/>
      <selection activeCell="H25" sqref="H25"/>
      <selection pane="bottomLeft" activeCell="C179" sqref="C179"/>
    </sheetView>
  </sheetViews>
  <sheetFormatPr defaultColWidth="9.140625" defaultRowHeight="12.75"/>
  <cols>
    <col min="1" max="1" width="3.28515625" style="60" customWidth="1"/>
    <col min="2" max="2" width="22.28515625" style="60" bestFit="1" customWidth="1"/>
    <col min="3" max="5" width="7.7109375" style="60" customWidth="1"/>
    <col min="6" max="6" width="7.7109375" style="60" bestFit="1" customWidth="1"/>
    <col min="7" max="7" width="3.42578125" style="60" customWidth="1"/>
    <col min="8" max="8" width="8" style="60" customWidth="1"/>
    <col min="9" max="10" width="8.7109375" style="60" customWidth="1"/>
    <col min="11" max="11" width="6.42578125" style="60" bestFit="1" customWidth="1"/>
    <col min="12" max="12" width="7.140625" style="60" customWidth="1"/>
    <col min="13" max="13" width="6.28515625" style="60" customWidth="1"/>
    <col min="14" max="14" width="7.7109375" style="60" customWidth="1"/>
    <col min="15" max="16" width="6.42578125" style="60" customWidth="1"/>
    <col min="17" max="17" width="6" style="60" customWidth="1"/>
    <col min="18" max="18" width="5.42578125" style="60" customWidth="1"/>
    <col min="19" max="19" width="9.140625" style="60" bestFit="1" customWidth="1"/>
    <col min="20" max="20" width="7.7109375" style="60" bestFit="1" customWidth="1"/>
    <col min="21" max="21" width="3.28515625" style="60" bestFit="1" customWidth="1"/>
    <col min="22" max="16384" width="9.140625" style="60"/>
  </cols>
  <sheetData>
    <row r="1" spans="1:21" ht="21">
      <c r="A1" s="1648" t="s">
        <v>3827</v>
      </c>
      <c r="B1" s="1648"/>
      <c r="C1" s="1648"/>
      <c r="D1" s="1648"/>
      <c r="E1" s="1648"/>
      <c r="F1" s="1648"/>
      <c r="G1" s="1648"/>
      <c r="H1" s="1648"/>
      <c r="I1" s="1648"/>
      <c r="J1" s="1648"/>
      <c r="K1" s="1648"/>
      <c r="L1" s="1648"/>
      <c r="M1" s="1648"/>
      <c r="N1" s="1648"/>
      <c r="O1" s="1648"/>
      <c r="P1" s="1648"/>
      <c r="Q1" s="1648"/>
      <c r="R1" s="1648"/>
      <c r="S1" s="1648"/>
      <c r="T1" s="1648"/>
      <c r="U1" s="1648"/>
    </row>
    <row r="2" spans="1:21" ht="15.75" customHeight="1">
      <c r="A2" s="887" t="str">
        <f>'lead 19-20'!B2&amp;'lead 19-20'!C2</f>
        <v>Name of the Work: Providing Additional Space for Health Staff in Grama Sachivalayam of Baduguleru GP of Kanigiri Mandal</v>
      </c>
      <c r="B2" s="616"/>
      <c r="C2" s="616"/>
      <c r="D2" s="616"/>
      <c r="E2" s="616"/>
      <c r="F2" s="616"/>
      <c r="G2" s="616"/>
      <c r="H2" s="616"/>
      <c r="I2" s="616"/>
      <c r="J2" s="616"/>
      <c r="K2" s="616"/>
      <c r="L2" s="616"/>
      <c r="M2" s="616"/>
      <c r="N2" s="616"/>
      <c r="O2" s="616"/>
      <c r="P2" s="616"/>
      <c r="Q2" s="616"/>
      <c r="R2" s="616"/>
      <c r="S2" s="616"/>
      <c r="T2" s="616"/>
      <c r="U2" s="616"/>
    </row>
    <row r="3" spans="1:21" ht="38.25">
      <c r="A3" s="617" t="s">
        <v>23</v>
      </c>
      <c r="B3" s="617" t="s">
        <v>7</v>
      </c>
      <c r="C3" s="617" t="s">
        <v>220</v>
      </c>
      <c r="D3" s="617" t="s">
        <v>224</v>
      </c>
      <c r="E3" s="617" t="s">
        <v>905</v>
      </c>
      <c r="F3" s="1649" t="s">
        <v>227</v>
      </c>
      <c r="G3" s="1649"/>
      <c r="H3" s="617" t="s">
        <v>228</v>
      </c>
      <c r="I3" s="617" t="s">
        <v>229</v>
      </c>
      <c r="J3" s="617" t="s">
        <v>230</v>
      </c>
      <c r="K3" s="617" t="s">
        <v>234</v>
      </c>
      <c r="L3" s="219" t="s">
        <v>232</v>
      </c>
      <c r="M3" s="219" t="s">
        <v>231</v>
      </c>
      <c r="N3" s="219" t="s">
        <v>233</v>
      </c>
      <c r="O3" s="219" t="s">
        <v>135</v>
      </c>
      <c r="P3" s="219" t="s">
        <v>1190</v>
      </c>
      <c r="Q3" s="617" t="s">
        <v>41</v>
      </c>
      <c r="R3" s="617" t="s">
        <v>664</v>
      </c>
      <c r="S3" s="617" t="s">
        <v>420</v>
      </c>
      <c r="T3" s="617" t="s">
        <v>136</v>
      </c>
      <c r="U3" s="207"/>
    </row>
    <row r="4" spans="1:21" s="533" customFormat="1" ht="15.75">
      <c r="A4" s="888"/>
      <c r="B4" s="889" t="s">
        <v>2015</v>
      </c>
      <c r="C4" s="890"/>
      <c r="D4" s="891"/>
      <c r="E4" s="892"/>
      <c r="F4" s="619">
        <v>1</v>
      </c>
      <c r="G4" s="893"/>
      <c r="H4" s="888"/>
      <c r="I4" s="894"/>
      <c r="J4" s="895"/>
      <c r="K4" s="888"/>
      <c r="L4" s="893"/>
      <c r="M4" s="888"/>
    </row>
    <row r="5" spans="1:21" ht="18" hidden="1" customHeight="1">
      <c r="A5" s="283">
        <v>1</v>
      </c>
      <c r="B5" s="207" t="s">
        <v>101</v>
      </c>
      <c r="C5" s="284"/>
      <c r="D5" s="207"/>
      <c r="E5" s="207"/>
      <c r="F5" s="285">
        <f>C5+D5</f>
        <v>0</v>
      </c>
      <c r="G5" s="285" t="s">
        <v>421</v>
      </c>
      <c r="H5" s="283">
        <v>0</v>
      </c>
      <c r="I5" s="283">
        <v>0</v>
      </c>
      <c r="J5" s="283">
        <v>0</v>
      </c>
      <c r="K5" s="283">
        <v>0</v>
      </c>
      <c r="L5" s="283">
        <v>0</v>
      </c>
      <c r="M5" s="283">
        <v>0</v>
      </c>
      <c r="N5" s="283">
        <v>0</v>
      </c>
      <c r="O5" s="286">
        <v>0</v>
      </c>
      <c r="P5" s="286">
        <v>0</v>
      </c>
      <c r="Q5" s="283">
        <v>0</v>
      </c>
      <c r="R5" s="15">
        <f>F5</f>
        <v>0</v>
      </c>
      <c r="S5" s="287">
        <v>0</v>
      </c>
      <c r="T5" s="207">
        <v>0</v>
      </c>
      <c r="U5" s="207"/>
    </row>
    <row r="6" spans="1:21" ht="20.100000000000001" customHeight="1">
      <c r="A6" s="283">
        <v>1</v>
      </c>
      <c r="B6" s="207" t="s">
        <v>135</v>
      </c>
      <c r="C6" s="285">
        <f>'PART-A'!I248</f>
        <v>87.509999999999991</v>
      </c>
      <c r="D6" s="207"/>
      <c r="E6" s="207"/>
      <c r="F6" s="285">
        <f t="shared" ref="F6:F46" si="0">SUM(C6:E6)</f>
        <v>87.509999999999991</v>
      </c>
      <c r="G6" s="285" t="s">
        <v>421</v>
      </c>
      <c r="H6" s="283">
        <v>0</v>
      </c>
      <c r="I6" s="283">
        <v>0</v>
      </c>
      <c r="J6" s="283">
        <v>0</v>
      </c>
      <c r="K6" s="283">
        <v>0</v>
      </c>
      <c r="L6" s="283">
        <v>0</v>
      </c>
      <c r="M6" s="283">
        <v>0</v>
      </c>
      <c r="N6" s="283">
        <v>0</v>
      </c>
      <c r="O6" s="15">
        <f>F6</f>
        <v>87.509999999999991</v>
      </c>
      <c r="P6" s="286">
        <v>0</v>
      </c>
      <c r="Q6" s="283">
        <v>0</v>
      </c>
      <c r="R6" s="286">
        <v>0</v>
      </c>
      <c r="S6" s="287">
        <v>0</v>
      </c>
      <c r="T6" s="207">
        <v>0</v>
      </c>
      <c r="U6" s="207"/>
    </row>
    <row r="7" spans="1:21" ht="20.100000000000001" customHeight="1">
      <c r="A7" s="283">
        <v>2</v>
      </c>
      <c r="B7" s="207" t="s">
        <v>1191</v>
      </c>
      <c r="C7" s="285">
        <f>'PART-A'!I189</f>
        <v>17.93</v>
      </c>
      <c r="D7" s="207"/>
      <c r="E7" s="207"/>
      <c r="F7" s="285">
        <f t="shared" si="0"/>
        <v>17.93</v>
      </c>
      <c r="G7" s="285" t="s">
        <v>421</v>
      </c>
      <c r="H7" s="283">
        <v>0</v>
      </c>
      <c r="I7" s="283">
        <v>0</v>
      </c>
      <c r="J7" s="283">
        <v>0</v>
      </c>
      <c r="K7" s="283">
        <v>0</v>
      </c>
      <c r="L7" s="283">
        <v>0</v>
      </c>
      <c r="M7" s="283">
        <v>0</v>
      </c>
      <c r="N7" s="283">
        <v>0</v>
      </c>
      <c r="O7" s="286">
        <v>0</v>
      </c>
      <c r="P7" s="15">
        <f>F7</f>
        <v>17.93</v>
      </c>
      <c r="Q7" s="283">
        <v>0</v>
      </c>
      <c r="R7" s="286">
        <v>0</v>
      </c>
      <c r="S7" s="287">
        <v>0</v>
      </c>
      <c r="T7" s="207">
        <v>0</v>
      </c>
      <c r="U7" s="207"/>
    </row>
    <row r="8" spans="1:21" ht="20.100000000000001" hidden="1" customHeight="1">
      <c r="A8" s="283">
        <v>4</v>
      </c>
      <c r="B8" s="207" t="s">
        <v>663</v>
      </c>
      <c r="C8" s="285">
        <f>'PART-A'!I213</f>
        <v>0</v>
      </c>
      <c r="D8" s="207"/>
      <c r="E8" s="207"/>
      <c r="F8" s="285">
        <f t="shared" si="0"/>
        <v>0</v>
      </c>
      <c r="G8" s="285" t="s">
        <v>421</v>
      </c>
      <c r="H8" s="283">
        <v>0</v>
      </c>
      <c r="I8" s="283">
        <v>0</v>
      </c>
      <c r="J8" s="283">
        <v>0</v>
      </c>
      <c r="K8" s="283">
        <v>0</v>
      </c>
      <c r="L8" s="283">
        <v>0</v>
      </c>
      <c r="M8" s="283">
        <v>0</v>
      </c>
      <c r="N8" s="283">
        <v>0</v>
      </c>
      <c r="O8" s="286">
        <v>0</v>
      </c>
      <c r="P8" s="15"/>
      <c r="Q8" s="283">
        <v>0</v>
      </c>
      <c r="R8" s="15">
        <f>F8</f>
        <v>0</v>
      </c>
      <c r="S8" s="287">
        <v>0</v>
      </c>
      <c r="T8" s="207">
        <v>0</v>
      </c>
      <c r="U8" s="207"/>
    </row>
    <row r="9" spans="1:21" ht="20.100000000000001" customHeight="1">
      <c r="A9" s="283">
        <v>3</v>
      </c>
      <c r="B9" s="207" t="s">
        <v>235</v>
      </c>
      <c r="C9" s="285">
        <f>'PART-A'!I108</f>
        <v>20.59</v>
      </c>
      <c r="D9" s="207"/>
      <c r="E9" s="207"/>
      <c r="F9" s="285">
        <f t="shared" si="0"/>
        <v>20.59</v>
      </c>
      <c r="G9" s="285" t="s">
        <v>421</v>
      </c>
      <c r="H9" s="15">
        <f>ROUND(F9*0.9,2)</f>
        <v>18.53</v>
      </c>
      <c r="I9" s="286">
        <v>0</v>
      </c>
      <c r="J9" s="286">
        <v>0</v>
      </c>
      <c r="K9" s="283">
        <v>0</v>
      </c>
      <c r="L9" s="15">
        <f>ROUND(F9*0.45,2)</f>
        <v>9.27</v>
      </c>
      <c r="M9" s="283">
        <v>0</v>
      </c>
      <c r="N9" s="283">
        <v>0</v>
      </c>
      <c r="O9" s="286">
        <v>0</v>
      </c>
      <c r="P9" s="286">
        <v>0</v>
      </c>
      <c r="Q9" s="286">
        <v>0</v>
      </c>
      <c r="R9" s="286">
        <v>0</v>
      </c>
      <c r="S9" s="288">
        <f t="shared" ref="S9:S46" si="1">ROUND(F9*T9/50,2)</f>
        <v>66.709999999999994</v>
      </c>
      <c r="T9" s="285">
        <v>162</v>
      </c>
      <c r="U9" s="15" t="s">
        <v>4</v>
      </c>
    </row>
    <row r="10" spans="1:21" ht="20.100000000000001" hidden="1" customHeight="1">
      <c r="A10" s="283">
        <v>6</v>
      </c>
      <c r="B10" s="207" t="s">
        <v>446</v>
      </c>
      <c r="C10" s="285">
        <f>'PART-A'!I155</f>
        <v>0</v>
      </c>
      <c r="D10" s="207"/>
      <c r="E10" s="207"/>
      <c r="F10" s="285">
        <f t="shared" si="0"/>
        <v>0</v>
      </c>
      <c r="G10" s="285" t="s">
        <v>421</v>
      </c>
      <c r="H10" s="15">
        <f>ROUND(F10*0.9,2)</f>
        <v>0</v>
      </c>
      <c r="I10" s="286">
        <v>0</v>
      </c>
      <c r="J10" s="286">
        <v>0</v>
      </c>
      <c r="K10" s="283">
        <v>0</v>
      </c>
      <c r="L10" s="15">
        <f>ROUND(F10*0.45,2)</f>
        <v>0</v>
      </c>
      <c r="M10" s="283">
        <v>0</v>
      </c>
      <c r="N10" s="283">
        <v>0</v>
      </c>
      <c r="O10" s="286">
        <v>0</v>
      </c>
      <c r="P10" s="286">
        <v>0</v>
      </c>
      <c r="Q10" s="286">
        <v>0</v>
      </c>
      <c r="R10" s="286">
        <v>0</v>
      </c>
      <c r="S10" s="288">
        <f t="shared" si="1"/>
        <v>0</v>
      </c>
      <c r="T10" s="285">
        <v>129.6</v>
      </c>
      <c r="U10" s="15" t="s">
        <v>4</v>
      </c>
    </row>
    <row r="11" spans="1:21" ht="20.100000000000001" customHeight="1">
      <c r="A11" s="283">
        <v>4</v>
      </c>
      <c r="B11" s="207" t="s">
        <v>132</v>
      </c>
      <c r="C11" s="285">
        <f>'PART-A'!I325</f>
        <v>9.44</v>
      </c>
      <c r="D11" s="207"/>
      <c r="E11" s="207"/>
      <c r="F11" s="285">
        <f t="shared" si="0"/>
        <v>9.44</v>
      </c>
      <c r="G11" s="285" t="s">
        <v>421</v>
      </c>
      <c r="H11" s="286">
        <v>0</v>
      </c>
      <c r="I11" s="15">
        <f t="shared" ref="I11:I21" si="2">ROUND(F11*0.8,2)</f>
        <v>7.55</v>
      </c>
      <c r="J11" s="286">
        <v>0</v>
      </c>
      <c r="K11" s="283">
        <v>0</v>
      </c>
      <c r="L11" s="15">
        <f t="shared" ref="L11:L21" si="3">ROUND(F11*0.4,2)</f>
        <v>3.78</v>
      </c>
      <c r="M11" s="283">
        <v>0</v>
      </c>
      <c r="N11" s="283">
        <v>0</v>
      </c>
      <c r="O11" s="286">
        <v>0</v>
      </c>
      <c r="P11" s="286">
        <v>0</v>
      </c>
      <c r="Q11" s="286">
        <v>0</v>
      </c>
      <c r="R11" s="286">
        <v>0</v>
      </c>
      <c r="S11" s="288">
        <f t="shared" si="1"/>
        <v>64.19</v>
      </c>
      <c r="T11" s="285">
        <f>data!E110</f>
        <v>340</v>
      </c>
      <c r="U11" s="15" t="s">
        <v>4</v>
      </c>
    </row>
    <row r="12" spans="1:21" ht="20.100000000000001" customHeight="1">
      <c r="A12" s="283">
        <v>5</v>
      </c>
      <c r="B12" s="207" t="s">
        <v>133</v>
      </c>
      <c r="C12" s="285">
        <f>'PART-A'!I348</f>
        <v>1.37</v>
      </c>
      <c r="D12" s="207"/>
      <c r="E12" s="207"/>
      <c r="F12" s="285">
        <f t="shared" si="0"/>
        <v>1.37</v>
      </c>
      <c r="G12" s="285" t="s">
        <v>421</v>
      </c>
      <c r="H12" s="286">
        <v>0</v>
      </c>
      <c r="I12" s="15">
        <f t="shared" si="2"/>
        <v>1.1000000000000001</v>
      </c>
      <c r="J12" s="286">
        <v>0</v>
      </c>
      <c r="K12" s="283">
        <v>0</v>
      </c>
      <c r="L12" s="15">
        <f t="shared" si="3"/>
        <v>0.55000000000000004</v>
      </c>
      <c r="M12" s="283">
        <v>0</v>
      </c>
      <c r="N12" s="283">
        <v>0</v>
      </c>
      <c r="O12" s="286">
        <v>0</v>
      </c>
      <c r="P12" s="286">
        <v>0</v>
      </c>
      <c r="Q12" s="286">
        <v>0</v>
      </c>
      <c r="R12" s="286">
        <v>0</v>
      </c>
      <c r="S12" s="288">
        <f t="shared" si="1"/>
        <v>9.32</v>
      </c>
      <c r="T12" s="285">
        <f>$T$11</f>
        <v>340</v>
      </c>
      <c r="U12" s="15" t="s">
        <v>4</v>
      </c>
    </row>
    <row r="13" spans="1:21" ht="20.100000000000001" customHeight="1">
      <c r="A13" s="283">
        <v>6</v>
      </c>
      <c r="B13" s="207" t="s">
        <v>127</v>
      </c>
      <c r="C13" s="285">
        <f>'PART-A'!I376</f>
        <v>5.64</v>
      </c>
      <c r="D13" s="285">
        <f>FF!I16</f>
        <v>0</v>
      </c>
      <c r="E13" s="285">
        <f>SF!I14</f>
        <v>0</v>
      </c>
      <c r="F13" s="285">
        <f t="shared" si="0"/>
        <v>5.64</v>
      </c>
      <c r="G13" s="285" t="s">
        <v>421</v>
      </c>
      <c r="H13" s="286">
        <v>0</v>
      </c>
      <c r="I13" s="15">
        <f t="shared" si="2"/>
        <v>4.51</v>
      </c>
      <c r="J13" s="286">
        <v>0</v>
      </c>
      <c r="K13" s="283">
        <v>0</v>
      </c>
      <c r="L13" s="15">
        <f t="shared" si="3"/>
        <v>2.2599999999999998</v>
      </c>
      <c r="M13" s="283">
        <v>0</v>
      </c>
      <c r="N13" s="283">
        <v>0</v>
      </c>
      <c r="O13" s="286">
        <v>0</v>
      </c>
      <c r="P13" s="286">
        <v>0</v>
      </c>
      <c r="Q13" s="286">
        <v>0</v>
      </c>
      <c r="R13" s="286">
        <v>0</v>
      </c>
      <c r="S13" s="288">
        <f t="shared" si="1"/>
        <v>38.35</v>
      </c>
      <c r="T13" s="285">
        <f>$T$11</f>
        <v>340</v>
      </c>
      <c r="U13" s="15" t="s">
        <v>4</v>
      </c>
    </row>
    <row r="14" spans="1:21" ht="20.100000000000001" customHeight="1">
      <c r="A14" s="283">
        <v>7</v>
      </c>
      <c r="B14" s="207" t="s">
        <v>128</v>
      </c>
      <c r="C14" s="285">
        <f>'PART-A'!I430</f>
        <v>6.1499999999999995</v>
      </c>
      <c r="D14" s="207"/>
      <c r="E14" s="207"/>
      <c r="F14" s="285">
        <f t="shared" si="0"/>
        <v>6.1499999999999995</v>
      </c>
      <c r="G14" s="285" t="s">
        <v>421</v>
      </c>
      <c r="H14" s="286">
        <v>0</v>
      </c>
      <c r="I14" s="15">
        <f t="shared" si="2"/>
        <v>4.92</v>
      </c>
      <c r="J14" s="286">
        <v>0</v>
      </c>
      <c r="K14" s="283">
        <v>0</v>
      </c>
      <c r="L14" s="15">
        <f t="shared" si="3"/>
        <v>2.46</v>
      </c>
      <c r="M14" s="283">
        <v>0</v>
      </c>
      <c r="N14" s="283">
        <v>0</v>
      </c>
      <c r="O14" s="286">
        <v>0</v>
      </c>
      <c r="P14" s="286">
        <v>0</v>
      </c>
      <c r="Q14" s="286">
        <v>0</v>
      </c>
      <c r="R14" s="286">
        <v>0</v>
      </c>
      <c r="S14" s="288">
        <f t="shared" si="1"/>
        <v>41.82</v>
      </c>
      <c r="T14" s="285">
        <f>$T$11</f>
        <v>340</v>
      </c>
      <c r="U14" s="15" t="s">
        <v>4</v>
      </c>
    </row>
    <row r="15" spans="1:21" ht="20.100000000000001" customHeight="1">
      <c r="A15" s="283">
        <v>8</v>
      </c>
      <c r="B15" s="207" t="s">
        <v>131</v>
      </c>
      <c r="C15" s="285">
        <f>'PART-A'!I477</f>
        <v>6.9400000000000022</v>
      </c>
      <c r="D15" s="285">
        <f>FF!I59</f>
        <v>0</v>
      </c>
      <c r="E15" s="285">
        <f>SF!I39</f>
        <v>0</v>
      </c>
      <c r="F15" s="285">
        <f t="shared" si="0"/>
        <v>6.9400000000000022</v>
      </c>
      <c r="G15" s="285" t="s">
        <v>421</v>
      </c>
      <c r="H15" s="286">
        <v>0</v>
      </c>
      <c r="I15" s="15">
        <f t="shared" si="2"/>
        <v>5.55</v>
      </c>
      <c r="J15" s="286">
        <v>0</v>
      </c>
      <c r="K15" s="283">
        <v>0</v>
      </c>
      <c r="L15" s="15">
        <f t="shared" si="3"/>
        <v>2.78</v>
      </c>
      <c r="M15" s="283">
        <v>0</v>
      </c>
      <c r="N15" s="283">
        <v>0</v>
      </c>
      <c r="O15" s="286">
        <v>0</v>
      </c>
      <c r="P15" s="286">
        <v>0</v>
      </c>
      <c r="Q15" s="286">
        <v>0</v>
      </c>
      <c r="R15" s="286">
        <v>0</v>
      </c>
      <c r="S15" s="288">
        <f t="shared" si="1"/>
        <v>47.19</v>
      </c>
      <c r="T15" s="285">
        <f>$T$11</f>
        <v>340</v>
      </c>
      <c r="U15" s="15" t="s">
        <v>4</v>
      </c>
    </row>
    <row r="16" spans="1:21" ht="20.100000000000001" hidden="1" customHeight="1">
      <c r="A16" s="283">
        <v>9</v>
      </c>
      <c r="B16" s="289" t="s">
        <v>236</v>
      </c>
      <c r="C16" s="285">
        <f>ROUND('PART-A'!I544*0.15,2)</f>
        <v>0</v>
      </c>
      <c r="D16" s="285">
        <f>ROUND(FF!I112*0.15,2)</f>
        <v>0</v>
      </c>
      <c r="E16" s="285">
        <f>ROUND(SF!I63*0.15,2)</f>
        <v>0</v>
      </c>
      <c r="F16" s="285">
        <f t="shared" si="0"/>
        <v>0</v>
      </c>
      <c r="G16" s="285" t="s">
        <v>422</v>
      </c>
      <c r="H16" s="286">
        <v>0</v>
      </c>
      <c r="I16" s="15">
        <f t="shared" si="2"/>
        <v>0</v>
      </c>
      <c r="J16" s="286">
        <v>0</v>
      </c>
      <c r="K16" s="283">
        <v>0</v>
      </c>
      <c r="L16" s="15">
        <f t="shared" si="3"/>
        <v>0</v>
      </c>
      <c r="M16" s="283">
        <v>0</v>
      </c>
      <c r="N16" s="283">
        <v>0</v>
      </c>
      <c r="O16" s="286">
        <v>0</v>
      </c>
      <c r="P16" s="286">
        <v>0</v>
      </c>
      <c r="Q16" s="286">
        <v>0</v>
      </c>
      <c r="R16" s="286">
        <v>0</v>
      </c>
      <c r="S16" s="288">
        <f t="shared" si="1"/>
        <v>0</v>
      </c>
      <c r="T16" s="285">
        <f>ROUND(T15,2)</f>
        <v>340</v>
      </c>
      <c r="U16" s="15" t="s">
        <v>4</v>
      </c>
    </row>
    <row r="17" spans="1:21" ht="20.100000000000001" customHeight="1">
      <c r="A17" s="283">
        <v>9</v>
      </c>
      <c r="B17" s="289" t="s">
        <v>237</v>
      </c>
      <c r="C17" s="285">
        <f>ROUND('PART-A'!I567*0.125,2)</f>
        <v>14.76</v>
      </c>
      <c r="D17" s="285">
        <f>ROUND(FF!I140*0.125,2)</f>
        <v>0</v>
      </c>
      <c r="E17" s="285">
        <f>ROUND(SF!I86*0.125,2)</f>
        <v>0</v>
      </c>
      <c r="F17" s="285">
        <f t="shared" si="0"/>
        <v>14.76</v>
      </c>
      <c r="G17" s="285" t="s">
        <v>422</v>
      </c>
      <c r="H17" s="286">
        <v>0</v>
      </c>
      <c r="I17" s="15">
        <f t="shared" si="2"/>
        <v>11.81</v>
      </c>
      <c r="J17" s="286">
        <v>0</v>
      </c>
      <c r="K17" s="283">
        <v>0</v>
      </c>
      <c r="L17" s="15">
        <f t="shared" si="3"/>
        <v>5.9</v>
      </c>
      <c r="M17" s="283">
        <v>0</v>
      </c>
      <c r="N17" s="283">
        <v>0</v>
      </c>
      <c r="O17" s="286">
        <v>0</v>
      </c>
      <c r="P17" s="286">
        <v>0</v>
      </c>
      <c r="Q17" s="286">
        <v>0</v>
      </c>
      <c r="R17" s="286">
        <v>0</v>
      </c>
      <c r="S17" s="288">
        <f t="shared" si="1"/>
        <v>100.37</v>
      </c>
      <c r="T17" s="285">
        <f>ROUND(T15,2)</f>
        <v>340</v>
      </c>
      <c r="U17" s="15" t="s">
        <v>4</v>
      </c>
    </row>
    <row r="18" spans="1:21" ht="20.100000000000001" customHeight="1">
      <c r="A18" s="283">
        <v>10</v>
      </c>
      <c r="B18" s="289" t="s">
        <v>605</v>
      </c>
      <c r="C18" s="285">
        <f>ROUND('PART-A'!I592*0.1,2)</f>
        <v>2.21</v>
      </c>
      <c r="D18" s="285">
        <f>ROUND(FF!I164*0.1,2)</f>
        <v>0</v>
      </c>
      <c r="E18" s="285">
        <f>ROUND(SF!I106*0.1,2)</f>
        <v>0</v>
      </c>
      <c r="F18" s="285">
        <f t="shared" si="0"/>
        <v>2.21</v>
      </c>
      <c r="G18" s="285" t="s">
        <v>422</v>
      </c>
      <c r="H18" s="286">
        <v>0</v>
      </c>
      <c r="I18" s="15">
        <f t="shared" si="2"/>
        <v>1.77</v>
      </c>
      <c r="J18" s="286">
        <v>0</v>
      </c>
      <c r="K18" s="283">
        <v>0</v>
      </c>
      <c r="L18" s="15">
        <f t="shared" si="3"/>
        <v>0.88</v>
      </c>
      <c r="M18" s="283">
        <v>0</v>
      </c>
      <c r="N18" s="283">
        <v>0</v>
      </c>
      <c r="O18" s="286">
        <v>0</v>
      </c>
      <c r="P18" s="286">
        <v>0</v>
      </c>
      <c r="Q18" s="286">
        <v>0</v>
      </c>
      <c r="R18" s="286">
        <v>0</v>
      </c>
      <c r="S18" s="288">
        <f t="shared" si="1"/>
        <v>15.03</v>
      </c>
      <c r="T18" s="285">
        <f>T17</f>
        <v>340</v>
      </c>
      <c r="U18" s="15" t="s">
        <v>4</v>
      </c>
    </row>
    <row r="19" spans="1:21" ht="20.100000000000001" hidden="1" customHeight="1">
      <c r="A19" s="283">
        <v>9</v>
      </c>
      <c r="B19" s="289" t="s">
        <v>1230</v>
      </c>
      <c r="C19" s="285">
        <f>ROUND('PART-A'!I616*0.05,2)</f>
        <v>0</v>
      </c>
      <c r="D19" s="285">
        <f>ROUND(FF!I185*0.05,2)</f>
        <v>0</v>
      </c>
      <c r="E19" s="285">
        <f>ROUND(SF!I127*0.05,2)</f>
        <v>0</v>
      </c>
      <c r="F19" s="285">
        <f t="shared" si="0"/>
        <v>0</v>
      </c>
      <c r="G19" s="285" t="s">
        <v>422</v>
      </c>
      <c r="H19" s="286">
        <v>0</v>
      </c>
      <c r="I19" s="15">
        <f t="shared" si="2"/>
        <v>0</v>
      </c>
      <c r="J19" s="286">
        <v>0</v>
      </c>
      <c r="K19" s="283">
        <v>0</v>
      </c>
      <c r="L19" s="15">
        <f t="shared" si="3"/>
        <v>0</v>
      </c>
      <c r="M19" s="283">
        <v>0</v>
      </c>
      <c r="N19" s="283">
        <v>0</v>
      </c>
      <c r="O19" s="286">
        <v>0</v>
      </c>
      <c r="P19" s="286">
        <v>0</v>
      </c>
      <c r="Q19" s="286">
        <v>0</v>
      </c>
      <c r="R19" s="286">
        <v>0</v>
      </c>
      <c r="S19" s="288">
        <f t="shared" si="1"/>
        <v>0</v>
      </c>
      <c r="T19" s="285">
        <f>T18</f>
        <v>340</v>
      </c>
      <c r="U19" s="15" t="s">
        <v>4</v>
      </c>
    </row>
    <row r="20" spans="1:21" ht="20.100000000000001" hidden="1" customHeight="1">
      <c r="A20" s="283">
        <v>16</v>
      </c>
      <c r="B20" s="289" t="s">
        <v>1438</v>
      </c>
      <c r="C20" s="285">
        <f>ROUND('PART-A'!I641*0.025,2)</f>
        <v>0</v>
      </c>
      <c r="D20" s="285">
        <f>ROUND(FF!I209*0.025,2)</f>
        <v>0</v>
      </c>
      <c r="E20" s="285">
        <f>ROUND(SF!I151*0.025,2)</f>
        <v>0</v>
      </c>
      <c r="F20" s="285">
        <f t="shared" si="0"/>
        <v>0</v>
      </c>
      <c r="G20" s="285" t="s">
        <v>422</v>
      </c>
      <c r="H20" s="286">
        <v>0</v>
      </c>
      <c r="I20" s="15">
        <f t="shared" si="2"/>
        <v>0</v>
      </c>
      <c r="J20" s="286">
        <v>0</v>
      </c>
      <c r="K20" s="283">
        <v>0</v>
      </c>
      <c r="L20" s="15">
        <f t="shared" si="3"/>
        <v>0</v>
      </c>
      <c r="M20" s="283">
        <v>0</v>
      </c>
      <c r="N20" s="283">
        <v>0</v>
      </c>
      <c r="O20" s="286">
        <v>0</v>
      </c>
      <c r="P20" s="286">
        <v>0</v>
      </c>
      <c r="Q20" s="286">
        <v>0</v>
      </c>
      <c r="R20" s="286">
        <v>0</v>
      </c>
      <c r="S20" s="288">
        <f t="shared" si="1"/>
        <v>0</v>
      </c>
      <c r="T20" s="285">
        <f>T19</f>
        <v>340</v>
      </c>
      <c r="U20" s="15" t="s">
        <v>4</v>
      </c>
    </row>
    <row r="21" spans="1:21" ht="20.100000000000001" customHeight="1">
      <c r="A21" s="283">
        <v>11</v>
      </c>
      <c r="B21" s="207" t="s">
        <v>129</v>
      </c>
      <c r="C21" s="285">
        <f>'PART-A'!I672</f>
        <v>1.21</v>
      </c>
      <c r="D21" s="285">
        <f>FF!I238</f>
        <v>0</v>
      </c>
      <c r="E21" s="285">
        <f>SF!I176</f>
        <v>0</v>
      </c>
      <c r="F21" s="285">
        <f t="shared" si="0"/>
        <v>1.21</v>
      </c>
      <c r="G21" s="285" t="s">
        <v>421</v>
      </c>
      <c r="H21" s="286">
        <v>0</v>
      </c>
      <c r="I21" s="15">
        <f t="shared" si="2"/>
        <v>0.97</v>
      </c>
      <c r="J21" s="286">
        <v>0</v>
      </c>
      <c r="K21" s="283">
        <v>0</v>
      </c>
      <c r="L21" s="15">
        <f t="shared" si="3"/>
        <v>0.48</v>
      </c>
      <c r="M21" s="283">
        <v>0</v>
      </c>
      <c r="N21" s="283">
        <v>0</v>
      </c>
      <c r="O21" s="286">
        <v>0</v>
      </c>
      <c r="P21" s="286">
        <v>0</v>
      </c>
      <c r="Q21" s="286">
        <v>0</v>
      </c>
      <c r="R21" s="286">
        <v>0</v>
      </c>
      <c r="S21" s="288">
        <f t="shared" si="1"/>
        <v>8.23</v>
      </c>
      <c r="T21" s="285">
        <f>$T$11</f>
        <v>340</v>
      </c>
      <c r="U21" s="15" t="s">
        <v>4</v>
      </c>
    </row>
    <row r="22" spans="1:21" ht="20.100000000000001" customHeight="1">
      <c r="A22" s="283">
        <v>12</v>
      </c>
      <c r="B22" s="207" t="s">
        <v>130</v>
      </c>
      <c r="C22" s="285">
        <f>'PART-A'!I767</f>
        <v>7.5</v>
      </c>
      <c r="D22" s="285">
        <f>FF!I282</f>
        <v>0</v>
      </c>
      <c r="E22" s="285">
        <f>SF!I202</f>
        <v>0</v>
      </c>
      <c r="F22" s="285">
        <f t="shared" si="0"/>
        <v>7.5</v>
      </c>
      <c r="G22" s="285" t="s">
        <v>82</v>
      </c>
      <c r="H22" s="286">
        <v>0</v>
      </c>
      <c r="I22" s="15">
        <f>ROUND(F22*0.0375*0.8,2)</f>
        <v>0.23</v>
      </c>
      <c r="J22" s="286">
        <v>0</v>
      </c>
      <c r="K22" s="283">
        <v>0</v>
      </c>
      <c r="L22" s="15">
        <f>ROUND(F22*0.0375*0.4,2)</f>
        <v>0.11</v>
      </c>
      <c r="M22" s="283">
        <v>0</v>
      </c>
      <c r="N22" s="283">
        <v>0</v>
      </c>
      <c r="O22" s="286">
        <v>0</v>
      </c>
      <c r="P22" s="286">
        <v>0</v>
      </c>
      <c r="Q22" s="286">
        <v>0</v>
      </c>
      <c r="R22" s="286">
        <v>0</v>
      </c>
      <c r="S22" s="288">
        <f t="shared" si="1"/>
        <v>1.91</v>
      </c>
      <c r="T22" s="290">
        <f>ROUND(T21*0.0375,2)</f>
        <v>12.75</v>
      </c>
      <c r="U22" s="15" t="s">
        <v>4</v>
      </c>
    </row>
    <row r="23" spans="1:21" ht="20.100000000000001" hidden="1" customHeight="1">
      <c r="A23" s="283">
        <v>13</v>
      </c>
      <c r="B23" s="289" t="s">
        <v>1439</v>
      </c>
      <c r="C23" s="285">
        <f>'PART-A'!I790</f>
        <v>0</v>
      </c>
      <c r="D23" s="285">
        <f>FF!I307</f>
        <v>0</v>
      </c>
      <c r="E23" s="285">
        <f>SF!I222</f>
        <v>0</v>
      </c>
      <c r="F23" s="285">
        <f t="shared" si="0"/>
        <v>0</v>
      </c>
      <c r="G23" s="285" t="s">
        <v>422</v>
      </c>
      <c r="H23" s="286">
        <v>0</v>
      </c>
      <c r="I23" s="286">
        <v>0</v>
      </c>
      <c r="J23" s="286">
        <v>0</v>
      </c>
      <c r="K23" s="283">
        <v>0</v>
      </c>
      <c r="L23" s="286">
        <v>0</v>
      </c>
      <c r="M23" s="283">
        <v>0</v>
      </c>
      <c r="N23" s="15">
        <f>ROUND(F23*0.015*1.05,2)</f>
        <v>0</v>
      </c>
      <c r="O23" s="286">
        <v>0</v>
      </c>
      <c r="P23" s="286">
        <v>0</v>
      </c>
      <c r="Q23" s="286">
        <v>0</v>
      </c>
      <c r="R23" s="286">
        <v>0</v>
      </c>
      <c r="S23" s="288">
        <f t="shared" si="1"/>
        <v>0</v>
      </c>
      <c r="T23" s="285">
        <v>7.2</v>
      </c>
      <c r="U23" s="15" t="s">
        <v>4</v>
      </c>
    </row>
    <row r="24" spans="1:21" ht="20.100000000000001" hidden="1" customHeight="1">
      <c r="A24" s="283">
        <v>12</v>
      </c>
      <c r="B24" s="289" t="s">
        <v>1225</v>
      </c>
      <c r="C24" s="285">
        <f>'PART-A'!I815</f>
        <v>0</v>
      </c>
      <c r="D24" s="285">
        <f>FF!I332</f>
        <v>0</v>
      </c>
      <c r="E24" s="285">
        <f>SF!I243</f>
        <v>0</v>
      </c>
      <c r="F24" s="285">
        <f t="shared" si="0"/>
        <v>0</v>
      </c>
      <c r="G24" s="285" t="s">
        <v>422</v>
      </c>
      <c r="H24" s="286">
        <v>0</v>
      </c>
      <c r="I24" s="286">
        <v>0</v>
      </c>
      <c r="J24" s="286">
        <v>0</v>
      </c>
      <c r="K24" s="283">
        <v>0</v>
      </c>
      <c r="L24" s="286">
        <v>0</v>
      </c>
      <c r="M24" s="283">
        <v>0</v>
      </c>
      <c r="N24" s="15">
        <f>ROUND(F24*0.021*1.05,2)</f>
        <v>0</v>
      </c>
      <c r="O24" s="286">
        <v>0</v>
      </c>
      <c r="P24" s="286">
        <v>0</v>
      </c>
      <c r="Q24" s="286">
        <v>0</v>
      </c>
      <c r="R24" s="286">
        <v>0</v>
      </c>
      <c r="S24" s="288">
        <f t="shared" si="1"/>
        <v>0</v>
      </c>
      <c r="T24" s="285">
        <v>10.08</v>
      </c>
      <c r="U24" s="15" t="s">
        <v>4</v>
      </c>
    </row>
    <row r="25" spans="1:21" ht="20.100000000000001" hidden="1" customHeight="1">
      <c r="A25" s="283">
        <v>13</v>
      </c>
      <c r="B25" s="207" t="s">
        <v>1193</v>
      </c>
      <c r="C25" s="285">
        <f>'PART-A'!I841</f>
        <v>0</v>
      </c>
      <c r="D25" s="285"/>
      <c r="E25" s="285"/>
      <c r="F25" s="285">
        <f t="shared" si="0"/>
        <v>0</v>
      </c>
      <c r="G25" s="285" t="s">
        <v>421</v>
      </c>
      <c r="H25" s="286">
        <v>0</v>
      </c>
      <c r="I25" s="286">
        <v>0</v>
      </c>
      <c r="J25" s="286">
        <v>0</v>
      </c>
      <c r="K25" s="15">
        <f>ROUND(F25*1.1,2)</f>
        <v>0</v>
      </c>
      <c r="L25" s="286">
        <v>0</v>
      </c>
      <c r="M25" s="15">
        <f>ROUND(F25*0.33,2)</f>
        <v>0</v>
      </c>
      <c r="N25" s="286">
        <v>0</v>
      </c>
      <c r="O25" s="286">
        <v>0</v>
      </c>
      <c r="P25" s="286">
        <v>0</v>
      </c>
      <c r="Q25" s="15"/>
      <c r="R25" s="286">
        <v>0</v>
      </c>
      <c r="S25" s="288">
        <f t="shared" si="1"/>
        <v>0</v>
      </c>
      <c r="T25" s="285">
        <v>59.4</v>
      </c>
      <c r="U25" s="15" t="s">
        <v>4</v>
      </c>
    </row>
    <row r="26" spans="1:21" ht="20.100000000000001" customHeight="1">
      <c r="A26" s="283">
        <v>13</v>
      </c>
      <c r="B26" s="207" t="s">
        <v>134</v>
      </c>
      <c r="C26" s="285">
        <f>'PART-A'!I876</f>
        <v>22.569999999999997</v>
      </c>
      <c r="D26" s="285">
        <f>FF!I356</f>
        <v>0</v>
      </c>
      <c r="E26" s="285">
        <f>SF!I269</f>
        <v>0</v>
      </c>
      <c r="F26" s="285">
        <f t="shared" si="0"/>
        <v>22.569999999999997</v>
      </c>
      <c r="G26" s="285" t="s">
        <v>421</v>
      </c>
      <c r="H26" s="286">
        <v>0</v>
      </c>
      <c r="I26" s="286">
        <v>0</v>
      </c>
      <c r="J26" s="286">
        <v>0</v>
      </c>
      <c r="K26" s="283">
        <v>0</v>
      </c>
      <c r="L26" s="286">
        <v>0</v>
      </c>
      <c r="M26" s="15">
        <f>ROUND(F26*0.2,2)</f>
        <v>4.51</v>
      </c>
      <c r="N26" s="286">
        <v>0</v>
      </c>
      <c r="O26" s="286">
        <v>0</v>
      </c>
      <c r="P26" s="286">
        <v>0</v>
      </c>
      <c r="Q26" s="15">
        <f>ROUND(F26*512/1000,2)</f>
        <v>11.56</v>
      </c>
      <c r="R26" s="286">
        <v>0</v>
      </c>
      <c r="S26" s="288">
        <f t="shared" si="1"/>
        <v>16.25</v>
      </c>
      <c r="T26" s="285">
        <v>36</v>
      </c>
      <c r="U26" s="15" t="s">
        <v>4</v>
      </c>
    </row>
    <row r="27" spans="1:21" ht="20.100000000000001" customHeight="1">
      <c r="A27" s="283">
        <v>14</v>
      </c>
      <c r="B27" s="207" t="s">
        <v>906</v>
      </c>
      <c r="C27" s="285">
        <f>'PART-A'!I934</f>
        <v>17.52</v>
      </c>
      <c r="D27" s="285">
        <f>FF!I396</f>
        <v>0</v>
      </c>
      <c r="E27" s="285">
        <f>SF!I298</f>
        <v>0</v>
      </c>
      <c r="F27" s="285">
        <f t="shared" si="0"/>
        <v>17.52</v>
      </c>
      <c r="G27" s="285" t="s">
        <v>421</v>
      </c>
      <c r="H27" s="286">
        <v>0</v>
      </c>
      <c r="I27" s="286">
        <v>0</v>
      </c>
      <c r="J27" s="286">
        <v>0</v>
      </c>
      <c r="K27" s="283">
        <v>0</v>
      </c>
      <c r="L27" s="286">
        <v>0</v>
      </c>
      <c r="M27" s="15">
        <f>ROUND(F27*0.2,2)</f>
        <v>3.5</v>
      </c>
      <c r="N27" s="286">
        <v>0</v>
      </c>
      <c r="O27" s="286">
        <v>0</v>
      </c>
      <c r="P27" s="286">
        <v>0</v>
      </c>
      <c r="Q27" s="15">
        <f>ROUND(F27*512/1000,2)</f>
        <v>8.9700000000000006</v>
      </c>
      <c r="R27" s="286">
        <v>0</v>
      </c>
      <c r="S27" s="288">
        <f t="shared" si="1"/>
        <v>16.82</v>
      </c>
      <c r="T27" s="285">
        <v>48</v>
      </c>
      <c r="U27" s="15" t="s">
        <v>4</v>
      </c>
    </row>
    <row r="28" spans="1:21" ht="20.100000000000001" customHeight="1">
      <c r="A28" s="283">
        <v>15</v>
      </c>
      <c r="B28" s="207" t="s">
        <v>3686</v>
      </c>
      <c r="C28" s="285">
        <f>'PART-A'!I1037</f>
        <v>78.33</v>
      </c>
      <c r="D28" s="285">
        <f>FF!I487</f>
        <v>0</v>
      </c>
      <c r="E28" s="285">
        <f>SF!I328</f>
        <v>0</v>
      </c>
      <c r="F28" s="285">
        <f t="shared" si="0"/>
        <v>78.33</v>
      </c>
      <c r="G28" s="285" t="s">
        <v>422</v>
      </c>
      <c r="H28" s="286">
        <v>0</v>
      </c>
      <c r="I28" s="15"/>
      <c r="J28" s="286">
        <v>0</v>
      </c>
      <c r="K28" s="283">
        <v>0</v>
      </c>
      <c r="L28" s="286">
        <v>0</v>
      </c>
      <c r="M28" s="15">
        <f>ROUND(F28*0.022,2)</f>
        <v>1.72</v>
      </c>
      <c r="N28" s="286">
        <v>0</v>
      </c>
      <c r="O28" s="286">
        <v>0</v>
      </c>
      <c r="P28" s="286">
        <v>0</v>
      </c>
      <c r="Q28" s="15">
        <f>ROUND(F28*512*0.1/1000,2)</f>
        <v>4.01</v>
      </c>
      <c r="R28" s="286">
        <v>0</v>
      </c>
      <c r="S28" s="288">
        <f t="shared" si="1"/>
        <v>11.28</v>
      </c>
      <c r="T28" s="285">
        <v>7.2</v>
      </c>
      <c r="U28" s="15" t="s">
        <v>4</v>
      </c>
    </row>
    <row r="29" spans="1:21" ht="20.100000000000001" hidden="1" customHeight="1">
      <c r="A29" s="283">
        <v>16</v>
      </c>
      <c r="B29" s="207" t="s">
        <v>1213</v>
      </c>
      <c r="C29" s="285">
        <f>'PART-A'!I1129</f>
        <v>0</v>
      </c>
      <c r="D29" s="285">
        <f>FF!I557</f>
        <v>0</v>
      </c>
      <c r="E29" s="285">
        <f>SF!I354</f>
        <v>0</v>
      </c>
      <c r="F29" s="285">
        <f t="shared" si="0"/>
        <v>0</v>
      </c>
      <c r="G29" s="285" t="s">
        <v>421</v>
      </c>
      <c r="H29" s="286">
        <v>0</v>
      </c>
      <c r="I29" s="286">
        <v>0</v>
      </c>
      <c r="J29" s="286">
        <v>0</v>
      </c>
      <c r="K29" s="283">
        <v>0</v>
      </c>
      <c r="L29" s="286">
        <v>0</v>
      </c>
      <c r="M29" s="15">
        <f>ROUND(F29*0.1*1.05,2)</f>
        <v>0</v>
      </c>
      <c r="N29" s="286">
        <v>0</v>
      </c>
      <c r="O29" s="286">
        <v>0</v>
      </c>
      <c r="P29" s="286">
        <v>0</v>
      </c>
      <c r="Q29" s="15">
        <f>ROUND(F29*110/1000,2)</f>
        <v>0</v>
      </c>
      <c r="R29" s="286">
        <v>0</v>
      </c>
      <c r="S29" s="288">
        <f t="shared" si="1"/>
        <v>0</v>
      </c>
      <c r="T29" s="285">
        <v>24</v>
      </c>
      <c r="U29" s="15" t="s">
        <v>4</v>
      </c>
    </row>
    <row r="30" spans="1:21" ht="20.100000000000001" hidden="1" customHeight="1">
      <c r="A30" s="283">
        <v>15</v>
      </c>
      <c r="B30" s="289" t="s">
        <v>1214</v>
      </c>
      <c r="C30" s="285">
        <f>'PART-A'!I1159</f>
        <v>0</v>
      </c>
      <c r="D30" s="285">
        <f>FF!I584</f>
        <v>0</v>
      </c>
      <c r="E30" s="285"/>
      <c r="F30" s="285">
        <f t="shared" si="0"/>
        <v>0</v>
      </c>
      <c r="G30" s="285" t="s">
        <v>422</v>
      </c>
      <c r="H30" s="286">
        <v>0</v>
      </c>
      <c r="I30" s="286">
        <v>0</v>
      </c>
      <c r="J30" s="286">
        <v>0</v>
      </c>
      <c r="K30" s="283">
        <v>0</v>
      </c>
      <c r="L30" s="286">
        <v>0</v>
      </c>
      <c r="M30" s="286">
        <v>0</v>
      </c>
      <c r="N30" s="15">
        <f>ROUND(F30*((0.015*1.05)+(0.025*1.05)),2)</f>
        <v>0</v>
      </c>
      <c r="O30" s="286">
        <v>0</v>
      </c>
      <c r="P30" s="286">
        <v>0</v>
      </c>
      <c r="Q30" s="286">
        <v>0</v>
      </c>
      <c r="R30" s="286">
        <v>0</v>
      </c>
      <c r="S30" s="288">
        <f t="shared" si="1"/>
        <v>0</v>
      </c>
      <c r="T30" s="285">
        <v>20.89</v>
      </c>
      <c r="U30" s="15" t="s">
        <v>4</v>
      </c>
    </row>
    <row r="31" spans="1:21" ht="20.100000000000001" customHeight="1">
      <c r="A31" s="283">
        <v>16</v>
      </c>
      <c r="B31" s="289" t="s">
        <v>137</v>
      </c>
      <c r="C31" s="285">
        <f>'PART-A'!I1200</f>
        <v>134.56000000000003</v>
      </c>
      <c r="D31" s="285">
        <f>FF!I621</f>
        <v>0</v>
      </c>
      <c r="E31" s="285">
        <f>SF!I382</f>
        <v>0</v>
      </c>
      <c r="F31" s="285">
        <f t="shared" si="0"/>
        <v>134.56000000000003</v>
      </c>
      <c r="G31" s="285" t="s">
        <v>422</v>
      </c>
      <c r="H31" s="286">
        <v>0</v>
      </c>
      <c r="I31" s="286">
        <v>0</v>
      </c>
      <c r="J31" s="286">
        <v>0</v>
      </c>
      <c r="K31" s="283">
        <v>0</v>
      </c>
      <c r="L31" s="286">
        <v>0</v>
      </c>
      <c r="M31" s="286">
        <v>0</v>
      </c>
      <c r="N31" s="15">
        <f>ROUND(F31*0.015*1.05,2)</f>
        <v>2.12</v>
      </c>
      <c r="O31" s="286">
        <v>0</v>
      </c>
      <c r="P31" s="286">
        <v>0</v>
      </c>
      <c r="Q31" s="286">
        <v>0</v>
      </c>
      <c r="R31" s="286">
        <v>0</v>
      </c>
      <c r="S31" s="288">
        <f t="shared" si="1"/>
        <v>19.38</v>
      </c>
      <c r="T31" s="285">
        <v>7.2</v>
      </c>
      <c r="U31" s="15" t="s">
        <v>4</v>
      </c>
    </row>
    <row r="32" spans="1:21" ht="20.100000000000001" hidden="1" customHeight="1">
      <c r="A32" s="283">
        <v>2</v>
      </c>
      <c r="B32" s="289" t="s">
        <v>238</v>
      </c>
      <c r="C32" s="285">
        <f>'PART-A'!I1272</f>
        <v>0</v>
      </c>
      <c r="D32" s="285">
        <f>FF!I686</f>
        <v>0</v>
      </c>
      <c r="E32" s="285">
        <f>SF!I412</f>
        <v>0</v>
      </c>
      <c r="F32" s="285">
        <f t="shared" si="0"/>
        <v>0</v>
      </c>
      <c r="G32" s="285" t="s">
        <v>422</v>
      </c>
      <c r="H32" s="286">
        <v>0</v>
      </c>
      <c r="I32" s="286">
        <v>0</v>
      </c>
      <c r="J32" s="286">
        <v>0</v>
      </c>
      <c r="K32" s="283">
        <v>0</v>
      </c>
      <c r="L32" s="286">
        <v>0</v>
      </c>
      <c r="M32" s="286">
        <v>0</v>
      </c>
      <c r="N32" s="15">
        <f>ROUND(F32*0.015*1.05,2)</f>
        <v>0</v>
      </c>
      <c r="O32" s="286">
        <v>0</v>
      </c>
      <c r="P32" s="286">
        <v>0</v>
      </c>
      <c r="Q32" s="286">
        <v>0</v>
      </c>
      <c r="R32" s="286">
        <v>0</v>
      </c>
      <c r="S32" s="288">
        <f t="shared" si="1"/>
        <v>0</v>
      </c>
      <c r="T32" s="285">
        <v>4.32</v>
      </c>
      <c r="U32" s="15" t="s">
        <v>4</v>
      </c>
    </row>
    <row r="33" spans="1:21" ht="20.100000000000001" hidden="1" customHeight="1">
      <c r="A33" s="283">
        <v>18</v>
      </c>
      <c r="B33" s="289" t="s">
        <v>604</v>
      </c>
      <c r="C33" s="285">
        <f>'PART-A'!I1299</f>
        <v>0</v>
      </c>
      <c r="D33" s="285">
        <f>FF!I718</f>
        <v>0</v>
      </c>
      <c r="E33" s="285">
        <f>SF!I444</f>
        <v>0</v>
      </c>
      <c r="F33" s="285">
        <f t="shared" si="0"/>
        <v>0</v>
      </c>
      <c r="G33" s="285" t="s">
        <v>422</v>
      </c>
      <c r="H33" s="286">
        <v>0</v>
      </c>
      <c r="I33" s="286">
        <v>0</v>
      </c>
      <c r="J33" s="286">
        <v>0</v>
      </c>
      <c r="K33" s="283">
        <v>0</v>
      </c>
      <c r="L33" s="286">
        <v>0</v>
      </c>
      <c r="M33" s="286">
        <v>0</v>
      </c>
      <c r="N33" s="15">
        <f>ROUND(F33*0.021*1.05,2)</f>
        <v>0</v>
      </c>
      <c r="O33" s="286">
        <v>0</v>
      </c>
      <c r="P33" s="286">
        <v>0</v>
      </c>
      <c r="Q33" s="286">
        <v>0</v>
      </c>
      <c r="R33" s="286">
        <v>0</v>
      </c>
      <c r="S33" s="288">
        <f t="shared" si="1"/>
        <v>0</v>
      </c>
      <c r="T33" s="285">
        <v>6.05</v>
      </c>
      <c r="U33" s="15" t="s">
        <v>4</v>
      </c>
    </row>
    <row r="34" spans="1:21" ht="20.100000000000001" customHeight="1">
      <c r="A34" s="283">
        <v>17</v>
      </c>
      <c r="B34" s="289" t="s">
        <v>904</v>
      </c>
      <c r="C34" s="285">
        <f>'PART-A'!I1350</f>
        <v>263.17999999999995</v>
      </c>
      <c r="D34" s="285">
        <f>FF!I770</f>
        <v>0</v>
      </c>
      <c r="E34" s="285">
        <f>SF!I480</f>
        <v>0</v>
      </c>
      <c r="F34" s="285">
        <f t="shared" si="0"/>
        <v>263.17999999999995</v>
      </c>
      <c r="G34" s="285" t="s">
        <v>422</v>
      </c>
      <c r="H34" s="286">
        <v>0</v>
      </c>
      <c r="I34" s="286">
        <v>0</v>
      </c>
      <c r="J34" s="286">
        <v>0</v>
      </c>
      <c r="K34" s="283">
        <v>0</v>
      </c>
      <c r="L34" s="286">
        <v>0</v>
      </c>
      <c r="M34" s="286">
        <v>0</v>
      </c>
      <c r="N34" s="15">
        <f>ROUND(F34*0.015*1,2)</f>
        <v>3.95</v>
      </c>
      <c r="O34" s="286">
        <v>0</v>
      </c>
      <c r="P34" s="286">
        <v>0</v>
      </c>
      <c r="Q34" s="286">
        <v>0</v>
      </c>
      <c r="R34" s="286">
        <v>0</v>
      </c>
      <c r="S34" s="288">
        <f t="shared" si="1"/>
        <v>26.79</v>
      </c>
      <c r="T34" s="285">
        <v>5.09</v>
      </c>
      <c r="U34" s="15" t="s">
        <v>4</v>
      </c>
    </row>
    <row r="35" spans="1:21" ht="20.100000000000001" customHeight="1">
      <c r="A35" s="283">
        <v>18</v>
      </c>
      <c r="B35" s="289" t="s">
        <v>603</v>
      </c>
      <c r="C35" s="285">
        <f>'PART-A'!I1457</f>
        <v>125.81</v>
      </c>
      <c r="D35" s="285">
        <f>FF!I865</f>
        <v>0</v>
      </c>
      <c r="E35" s="285">
        <f>SF!I515</f>
        <v>0</v>
      </c>
      <c r="F35" s="285">
        <f t="shared" si="0"/>
        <v>125.81</v>
      </c>
      <c r="G35" s="285" t="s">
        <v>422</v>
      </c>
      <c r="H35" s="286">
        <v>0</v>
      </c>
      <c r="I35" s="286">
        <v>0</v>
      </c>
      <c r="J35" s="286">
        <v>0</v>
      </c>
      <c r="K35" s="283">
        <v>0</v>
      </c>
      <c r="L35" s="286">
        <v>0</v>
      </c>
      <c r="M35" s="286">
        <v>0</v>
      </c>
      <c r="N35" s="15">
        <f>ROUND(F35*0.022*1,2)</f>
        <v>2.77</v>
      </c>
      <c r="O35" s="286">
        <v>0</v>
      </c>
      <c r="P35" s="286">
        <v>0</v>
      </c>
      <c r="Q35" s="286">
        <v>0</v>
      </c>
      <c r="R35" s="286">
        <v>0</v>
      </c>
      <c r="S35" s="288">
        <f t="shared" si="1"/>
        <v>14.47</v>
      </c>
      <c r="T35" s="285">
        <v>5.75</v>
      </c>
      <c r="U35" s="15" t="s">
        <v>4</v>
      </c>
    </row>
    <row r="36" spans="1:21" ht="20.100000000000001" hidden="1" customHeight="1">
      <c r="A36" s="283">
        <v>21</v>
      </c>
      <c r="B36" s="207" t="s">
        <v>447</v>
      </c>
      <c r="C36" s="285">
        <f>'PART-A'!I1509</f>
        <v>0</v>
      </c>
      <c r="D36" s="285">
        <f>FF!I911</f>
        <v>0</v>
      </c>
      <c r="E36" s="285">
        <f>SF!I544</f>
        <v>0</v>
      </c>
      <c r="F36" s="285">
        <f t="shared" si="0"/>
        <v>0</v>
      </c>
      <c r="G36" s="285" t="s">
        <v>421</v>
      </c>
      <c r="H36" s="286">
        <v>0</v>
      </c>
      <c r="I36" s="15">
        <f>ROUND(F36*0.8,2)</f>
        <v>0</v>
      </c>
      <c r="J36" s="286">
        <v>0</v>
      </c>
      <c r="K36" s="283">
        <v>0</v>
      </c>
      <c r="L36" s="15">
        <f>ROUND(F36*0.4,2)</f>
        <v>0</v>
      </c>
      <c r="M36" s="283">
        <v>0</v>
      </c>
      <c r="N36" s="283">
        <v>0</v>
      </c>
      <c r="O36" s="286">
        <v>0</v>
      </c>
      <c r="P36" s="286">
        <v>0</v>
      </c>
      <c r="Q36" s="286">
        <v>0</v>
      </c>
      <c r="R36" s="286">
        <v>0</v>
      </c>
      <c r="S36" s="288">
        <f t="shared" si="1"/>
        <v>0</v>
      </c>
      <c r="T36" s="285">
        <f>$T$11</f>
        <v>340</v>
      </c>
      <c r="U36" s="15" t="s">
        <v>4</v>
      </c>
    </row>
    <row r="37" spans="1:21" ht="20.100000000000001" hidden="1" customHeight="1">
      <c r="A37" s="283">
        <v>7</v>
      </c>
      <c r="B37" s="289" t="s">
        <v>241</v>
      </c>
      <c r="C37" s="285">
        <f>'PART-A'!I1544</f>
        <v>0</v>
      </c>
      <c r="D37" s="285">
        <f>FF!I939</f>
        <v>0</v>
      </c>
      <c r="E37" s="285">
        <f>SF!I565</f>
        <v>0</v>
      </c>
      <c r="F37" s="285">
        <f t="shared" si="0"/>
        <v>0</v>
      </c>
      <c r="G37" s="285" t="s">
        <v>422</v>
      </c>
      <c r="H37" s="286">
        <v>0</v>
      </c>
      <c r="I37" s="286">
        <v>0</v>
      </c>
      <c r="J37" s="286">
        <v>0</v>
      </c>
      <c r="K37" s="283">
        <v>0</v>
      </c>
      <c r="L37" s="286">
        <v>0</v>
      </c>
      <c r="M37" s="15">
        <f>ROUND(F37*0.014,2)</f>
        <v>0</v>
      </c>
      <c r="N37" s="286">
        <v>0</v>
      </c>
      <c r="O37" s="286">
        <v>0</v>
      </c>
      <c r="P37" s="286">
        <v>0</v>
      </c>
      <c r="Q37" s="286">
        <v>0</v>
      </c>
      <c r="R37" s="286">
        <v>0</v>
      </c>
      <c r="S37" s="288">
        <f t="shared" si="1"/>
        <v>0</v>
      </c>
      <c r="T37" s="285">
        <v>6.06</v>
      </c>
      <c r="U37" s="15" t="s">
        <v>4</v>
      </c>
    </row>
    <row r="38" spans="1:21" ht="20.100000000000001" hidden="1" customHeight="1">
      <c r="A38" s="283">
        <v>8</v>
      </c>
      <c r="B38" s="289" t="s">
        <v>242</v>
      </c>
      <c r="C38" s="285">
        <f>'PART-A'!I1600</f>
        <v>0</v>
      </c>
      <c r="D38" s="285">
        <f>FF!I970</f>
        <v>0</v>
      </c>
      <c r="E38" s="285">
        <f>SF!I590</f>
        <v>0</v>
      </c>
      <c r="F38" s="285">
        <f t="shared" si="0"/>
        <v>0</v>
      </c>
      <c r="G38" s="285" t="s">
        <v>422</v>
      </c>
      <c r="H38" s="286">
        <v>0</v>
      </c>
      <c r="I38" s="286">
        <v>0</v>
      </c>
      <c r="J38" s="286">
        <v>0</v>
      </c>
      <c r="K38" s="283">
        <v>0</v>
      </c>
      <c r="L38" s="286">
        <v>0</v>
      </c>
      <c r="M38" s="15">
        <f>ROUND(F38*0.012,2)</f>
        <v>0</v>
      </c>
      <c r="N38" s="286">
        <v>0</v>
      </c>
      <c r="O38" s="286">
        <v>0</v>
      </c>
      <c r="P38" s="286">
        <v>0</v>
      </c>
      <c r="Q38" s="286">
        <v>0</v>
      </c>
      <c r="R38" s="286">
        <v>0</v>
      </c>
      <c r="S38" s="288">
        <f t="shared" si="1"/>
        <v>0</v>
      </c>
      <c r="T38" s="290">
        <v>6.7560000000000002</v>
      </c>
      <c r="U38" s="15" t="s">
        <v>4</v>
      </c>
    </row>
    <row r="39" spans="1:21" ht="20.100000000000001" hidden="1" customHeight="1">
      <c r="A39" s="283">
        <v>19</v>
      </c>
      <c r="B39" s="289" t="s">
        <v>681</v>
      </c>
      <c r="C39" s="285">
        <f>'PART-A'!I1671</f>
        <v>0</v>
      </c>
      <c r="D39" s="285">
        <f>FF!I1009</f>
        <v>0</v>
      </c>
      <c r="E39" s="285">
        <f>SF!I618</f>
        <v>0</v>
      </c>
      <c r="F39" s="285">
        <f t="shared" si="0"/>
        <v>0</v>
      </c>
      <c r="G39" s="285" t="s">
        <v>422</v>
      </c>
      <c r="H39" s="286">
        <v>0</v>
      </c>
      <c r="I39" s="286">
        <v>0</v>
      </c>
      <c r="J39" s="286">
        <v>0</v>
      </c>
      <c r="K39" s="283">
        <v>0</v>
      </c>
      <c r="L39" s="286">
        <v>0</v>
      </c>
      <c r="M39" s="15">
        <f>ROUND(F39*0.014,2)</f>
        <v>0</v>
      </c>
      <c r="N39" s="286">
        <v>0</v>
      </c>
      <c r="O39" s="286">
        <v>0</v>
      </c>
      <c r="P39" s="286">
        <v>0</v>
      </c>
      <c r="Q39" s="286">
        <v>0</v>
      </c>
      <c r="R39" s="286">
        <v>0</v>
      </c>
      <c r="S39" s="288">
        <f t="shared" si="1"/>
        <v>0</v>
      </c>
      <c r="T39" s="285">
        <v>7.5</v>
      </c>
      <c r="U39" s="15" t="s">
        <v>4</v>
      </c>
    </row>
    <row r="40" spans="1:21" ht="20.100000000000001" hidden="1" customHeight="1">
      <c r="A40" s="283">
        <v>20</v>
      </c>
      <c r="B40" s="289" t="s">
        <v>682</v>
      </c>
      <c r="C40" s="285">
        <f>'PART-A'!I1724</f>
        <v>0</v>
      </c>
      <c r="D40" s="285">
        <f>FF!I1048</f>
        <v>0</v>
      </c>
      <c r="E40" s="285">
        <f>SF!I646</f>
        <v>0</v>
      </c>
      <c r="F40" s="285">
        <f t="shared" si="0"/>
        <v>0</v>
      </c>
      <c r="G40" s="285" t="s">
        <v>422</v>
      </c>
      <c r="H40" s="286">
        <v>0</v>
      </c>
      <c r="I40" s="286">
        <v>0</v>
      </c>
      <c r="J40" s="286">
        <v>0</v>
      </c>
      <c r="K40" s="283">
        <v>0</v>
      </c>
      <c r="L40" s="286">
        <v>0</v>
      </c>
      <c r="M40" s="15">
        <f>ROUND(F40*0.012,2)</f>
        <v>0</v>
      </c>
      <c r="N40" s="286">
        <v>0</v>
      </c>
      <c r="O40" s="286">
        <v>0</v>
      </c>
      <c r="P40" s="286">
        <v>0</v>
      </c>
      <c r="Q40" s="286">
        <v>0</v>
      </c>
      <c r="R40" s="286">
        <v>0</v>
      </c>
      <c r="S40" s="288">
        <f t="shared" si="1"/>
        <v>0</v>
      </c>
      <c r="T40" s="290">
        <v>9.06</v>
      </c>
      <c r="U40" s="15" t="s">
        <v>4</v>
      </c>
    </row>
    <row r="41" spans="1:21" ht="20.100000000000001" hidden="1" customHeight="1">
      <c r="A41" s="283">
        <v>37</v>
      </c>
      <c r="B41" s="289" t="s">
        <v>683</v>
      </c>
      <c r="C41" s="285">
        <f>'PART-A'!I1768</f>
        <v>0</v>
      </c>
      <c r="D41" s="285">
        <f>FF!I1089</f>
        <v>0</v>
      </c>
      <c r="E41" s="285">
        <f>SF!I674</f>
        <v>0</v>
      </c>
      <c r="F41" s="285">
        <f t="shared" si="0"/>
        <v>0</v>
      </c>
      <c r="G41" s="285" t="s">
        <v>422</v>
      </c>
      <c r="H41" s="286">
        <v>0</v>
      </c>
      <c r="I41" s="286">
        <v>0</v>
      </c>
      <c r="J41" s="286">
        <v>0</v>
      </c>
      <c r="K41" s="283">
        <v>0</v>
      </c>
      <c r="L41" s="286">
        <v>0</v>
      </c>
      <c r="M41" s="15">
        <f>ROUND(F41*0.014,2)</f>
        <v>0</v>
      </c>
      <c r="N41" s="286">
        <v>0</v>
      </c>
      <c r="O41" s="286">
        <v>0</v>
      </c>
      <c r="P41" s="286">
        <v>0</v>
      </c>
      <c r="Q41" s="286">
        <v>0</v>
      </c>
      <c r="R41" s="286">
        <v>0</v>
      </c>
      <c r="S41" s="288">
        <f t="shared" si="1"/>
        <v>0</v>
      </c>
      <c r="T41" s="285">
        <v>7.5</v>
      </c>
      <c r="U41" s="15" t="s">
        <v>4</v>
      </c>
    </row>
    <row r="42" spans="1:21" ht="20.100000000000001" hidden="1" customHeight="1">
      <c r="A42" s="283">
        <v>38</v>
      </c>
      <c r="B42" s="289" t="s">
        <v>684</v>
      </c>
      <c r="C42" s="285">
        <f>'PART-A'!I1798</f>
        <v>0</v>
      </c>
      <c r="D42" s="285">
        <f>FF!I1123</f>
        <v>0</v>
      </c>
      <c r="E42" s="285">
        <f>SF!I702</f>
        <v>0</v>
      </c>
      <c r="F42" s="285">
        <f t="shared" si="0"/>
        <v>0</v>
      </c>
      <c r="G42" s="285" t="s">
        <v>422</v>
      </c>
      <c r="H42" s="286">
        <v>0</v>
      </c>
      <c r="I42" s="286">
        <v>0</v>
      </c>
      <c r="J42" s="286">
        <v>0</v>
      </c>
      <c r="K42" s="283">
        <v>0</v>
      </c>
      <c r="L42" s="286">
        <v>0</v>
      </c>
      <c r="M42" s="15">
        <f>ROUND(F42*0.012,2)</f>
        <v>0</v>
      </c>
      <c r="N42" s="286">
        <v>0</v>
      </c>
      <c r="O42" s="286">
        <v>0</v>
      </c>
      <c r="P42" s="286">
        <v>0</v>
      </c>
      <c r="Q42" s="286">
        <v>0</v>
      </c>
      <c r="R42" s="286">
        <v>0</v>
      </c>
      <c r="S42" s="288">
        <f t="shared" si="1"/>
        <v>0</v>
      </c>
      <c r="T42" s="290">
        <v>6.7560000000000002</v>
      </c>
      <c r="U42" s="15" t="s">
        <v>4</v>
      </c>
    </row>
    <row r="43" spans="1:21" ht="20.100000000000001" hidden="1" customHeight="1">
      <c r="A43" s="283">
        <v>11</v>
      </c>
      <c r="B43" s="289" t="s">
        <v>239</v>
      </c>
      <c r="C43" s="285">
        <f>'PART-A'!I1825</f>
        <v>0</v>
      </c>
      <c r="D43" s="285">
        <f>FF!I1155</f>
        <v>0</v>
      </c>
      <c r="E43" s="285">
        <f>SF!I730</f>
        <v>0</v>
      </c>
      <c r="F43" s="285">
        <f t="shared" si="0"/>
        <v>0</v>
      </c>
      <c r="G43" s="285" t="s">
        <v>422</v>
      </c>
      <c r="H43" s="286">
        <v>0</v>
      </c>
      <c r="I43" s="286">
        <v>0</v>
      </c>
      <c r="J43" s="286">
        <v>0</v>
      </c>
      <c r="K43" s="283">
        <v>0</v>
      </c>
      <c r="L43" s="286">
        <v>0</v>
      </c>
      <c r="M43" s="15">
        <f>ROUND(F43*0.012,2)</f>
        <v>0</v>
      </c>
      <c r="N43" s="286">
        <v>0</v>
      </c>
      <c r="O43" s="286">
        <v>0</v>
      </c>
      <c r="P43" s="286">
        <v>0</v>
      </c>
      <c r="Q43" s="286">
        <v>0</v>
      </c>
      <c r="R43" s="286">
        <v>0</v>
      </c>
      <c r="S43" s="288">
        <f t="shared" si="1"/>
        <v>0</v>
      </c>
      <c r="T43" s="285">
        <v>5.46</v>
      </c>
      <c r="U43" s="15" t="s">
        <v>4</v>
      </c>
    </row>
    <row r="44" spans="1:21" ht="20.100000000000001" hidden="1" customHeight="1">
      <c r="A44" s="283">
        <v>12</v>
      </c>
      <c r="B44" s="289" t="s">
        <v>240</v>
      </c>
      <c r="C44" s="285">
        <f>'PART-A'!I1849</f>
        <v>0</v>
      </c>
      <c r="D44" s="285">
        <f>FF!I1182</f>
        <v>0</v>
      </c>
      <c r="E44" s="285">
        <f>SF!I757</f>
        <v>0</v>
      </c>
      <c r="F44" s="285">
        <f t="shared" si="0"/>
        <v>0</v>
      </c>
      <c r="G44" s="285" t="s">
        <v>422</v>
      </c>
      <c r="H44" s="286">
        <v>0</v>
      </c>
      <c r="I44" s="286">
        <v>0</v>
      </c>
      <c r="J44" s="286">
        <v>0</v>
      </c>
      <c r="K44" s="283">
        <v>0</v>
      </c>
      <c r="L44" s="286">
        <v>0</v>
      </c>
      <c r="M44" s="15">
        <f>ROUND(F44*0.012,2)</f>
        <v>0</v>
      </c>
      <c r="N44" s="286">
        <v>0</v>
      </c>
      <c r="O44" s="286">
        <v>0</v>
      </c>
      <c r="P44" s="286">
        <v>0</v>
      </c>
      <c r="Q44" s="286">
        <v>0</v>
      </c>
      <c r="R44" s="286">
        <v>0</v>
      </c>
      <c r="S44" s="288">
        <f t="shared" si="1"/>
        <v>0</v>
      </c>
      <c r="T44" s="285">
        <v>9.06</v>
      </c>
      <c r="U44" s="15" t="s">
        <v>4</v>
      </c>
    </row>
    <row r="45" spans="1:21" ht="20.100000000000001" hidden="1" customHeight="1">
      <c r="A45" s="283">
        <v>21</v>
      </c>
      <c r="B45" s="289" t="s">
        <v>1215</v>
      </c>
      <c r="C45" s="285">
        <f>'PART-A'!I1876</f>
        <v>0</v>
      </c>
      <c r="D45" s="285">
        <f>FF!I1217</f>
        <v>0</v>
      </c>
      <c r="E45" s="285">
        <f>SF!I781</f>
        <v>0</v>
      </c>
      <c r="F45" s="285">
        <f t="shared" si="0"/>
        <v>0</v>
      </c>
      <c r="G45" s="285" t="s">
        <v>422</v>
      </c>
      <c r="H45" s="286">
        <v>0</v>
      </c>
      <c r="I45" s="286">
        <v>0</v>
      </c>
      <c r="J45" s="286">
        <v>0</v>
      </c>
      <c r="K45" s="283">
        <v>0</v>
      </c>
      <c r="L45" s="286">
        <v>0</v>
      </c>
      <c r="M45" s="15">
        <f>ROUND(F45*0.008*1,2)</f>
        <v>0</v>
      </c>
      <c r="N45" s="286">
        <v>0</v>
      </c>
      <c r="O45" s="286">
        <v>0</v>
      </c>
      <c r="P45" s="286">
        <v>0</v>
      </c>
      <c r="Q45" s="286">
        <v>0</v>
      </c>
      <c r="R45" s="286">
        <v>0</v>
      </c>
      <c r="S45" s="288">
        <f t="shared" si="1"/>
        <v>0</v>
      </c>
      <c r="T45" s="285">
        <v>2.76</v>
      </c>
      <c r="U45" s="15" t="s">
        <v>4</v>
      </c>
    </row>
    <row r="46" spans="1:21" ht="20.100000000000001" hidden="1" customHeight="1">
      <c r="A46" s="283">
        <v>5</v>
      </c>
      <c r="B46" s="207" t="s">
        <v>2270</v>
      </c>
      <c r="C46" s="285">
        <f>'PART-A'!I1931</f>
        <v>0</v>
      </c>
      <c r="D46" s="285"/>
      <c r="E46" s="285"/>
      <c r="F46" s="285">
        <f t="shared" si="0"/>
        <v>0</v>
      </c>
      <c r="G46" s="285" t="s">
        <v>421</v>
      </c>
      <c r="H46" s="286">
        <v>0</v>
      </c>
      <c r="I46" s="15">
        <f>ROUND(F46*0.017,2)</f>
        <v>0</v>
      </c>
      <c r="J46" s="286">
        <v>0</v>
      </c>
      <c r="K46" s="283">
        <v>0</v>
      </c>
      <c r="L46" s="15">
        <f>ROUND(F46*0.009,2)</f>
        <v>0</v>
      </c>
      <c r="M46" s="283">
        <v>0</v>
      </c>
      <c r="N46" s="283">
        <v>0</v>
      </c>
      <c r="O46" s="286">
        <v>0</v>
      </c>
      <c r="P46" s="286">
        <v>0</v>
      </c>
      <c r="Q46" s="286">
        <v>0</v>
      </c>
      <c r="R46" s="286">
        <v>0</v>
      </c>
      <c r="S46" s="288">
        <f t="shared" si="1"/>
        <v>0</v>
      </c>
      <c r="T46" s="285">
        <v>12</v>
      </c>
      <c r="U46" s="15" t="s">
        <v>4</v>
      </c>
    </row>
    <row r="47" spans="1:21" ht="18" hidden="1" customHeight="1">
      <c r="A47" s="283"/>
      <c r="B47" s="289"/>
      <c r="C47" s="289"/>
      <c r="D47" s="289"/>
      <c r="E47" s="289"/>
      <c r="F47" s="285"/>
      <c r="G47" s="285"/>
      <c r="H47" s="15"/>
      <c r="I47" s="15"/>
      <c r="J47" s="15"/>
      <c r="K47" s="15"/>
      <c r="L47" s="15"/>
      <c r="M47" s="15"/>
      <c r="N47" s="286"/>
      <c r="O47" s="15"/>
      <c r="P47" s="15"/>
      <c r="Q47" s="286"/>
      <c r="R47" s="15"/>
      <c r="S47" s="15"/>
      <c r="T47" s="285"/>
      <c r="U47" s="15"/>
    </row>
    <row r="48" spans="1:21">
      <c r="A48" s="207"/>
      <c r="B48" s="82" t="s">
        <v>103</v>
      </c>
      <c r="C48" s="207"/>
      <c r="D48" s="207"/>
      <c r="E48" s="207"/>
      <c r="F48" s="619">
        <v>1</v>
      </c>
      <c r="G48" s="207"/>
      <c r="H48" s="210">
        <f t="shared" ref="H48:S48" si="4">SUM(H5:H47)</f>
        <v>18.53</v>
      </c>
      <c r="I48" s="210">
        <f t="shared" si="4"/>
        <v>38.409999999999997</v>
      </c>
      <c r="J48" s="210">
        <f t="shared" si="4"/>
        <v>0</v>
      </c>
      <c r="K48" s="210">
        <f t="shared" si="4"/>
        <v>0</v>
      </c>
      <c r="L48" s="210">
        <f t="shared" si="4"/>
        <v>28.47</v>
      </c>
      <c r="M48" s="210">
        <f t="shared" si="4"/>
        <v>9.73</v>
      </c>
      <c r="N48" s="210">
        <f t="shared" si="4"/>
        <v>8.84</v>
      </c>
      <c r="O48" s="210">
        <f t="shared" si="4"/>
        <v>87.509999999999991</v>
      </c>
      <c r="P48" s="210">
        <f t="shared" si="4"/>
        <v>17.93</v>
      </c>
      <c r="Q48" s="210">
        <f t="shared" si="4"/>
        <v>24.54</v>
      </c>
      <c r="R48" s="210">
        <f t="shared" si="4"/>
        <v>0</v>
      </c>
      <c r="S48" s="210">
        <f t="shared" si="4"/>
        <v>498.10999999999996</v>
      </c>
      <c r="T48" s="291" t="s">
        <v>142</v>
      </c>
      <c r="U48" s="207"/>
    </row>
    <row r="49" spans="1:21" s="533" customFormat="1" ht="15.75" hidden="1">
      <c r="A49" s="888"/>
      <c r="B49" s="889" t="s">
        <v>2016</v>
      </c>
      <c r="C49" s="890"/>
      <c r="D49" s="891"/>
      <c r="E49" s="892"/>
      <c r="F49" s="619">
        <v>1</v>
      </c>
      <c r="G49" s="893"/>
      <c r="H49" s="888"/>
      <c r="I49" s="894"/>
      <c r="J49" s="895"/>
      <c r="K49" s="888"/>
      <c r="L49" s="893"/>
      <c r="M49" s="888"/>
    </row>
    <row r="50" spans="1:21" ht="18" hidden="1" customHeight="1">
      <c r="A50" s="283">
        <v>1</v>
      </c>
      <c r="B50" s="207" t="s">
        <v>101</v>
      </c>
      <c r="C50" s="284"/>
      <c r="D50" s="207"/>
      <c r="E50" s="207"/>
      <c r="F50" s="285">
        <f>C50+D50</f>
        <v>0</v>
      </c>
      <c r="G50" s="285" t="s">
        <v>421</v>
      </c>
      <c r="H50" s="283">
        <v>0</v>
      </c>
      <c r="I50" s="283">
        <v>0</v>
      </c>
      <c r="J50" s="283">
        <v>0</v>
      </c>
      <c r="K50" s="283">
        <v>0</v>
      </c>
      <c r="L50" s="283">
        <v>0</v>
      </c>
      <c r="M50" s="283">
        <v>0</v>
      </c>
      <c r="N50" s="283">
        <v>0</v>
      </c>
      <c r="O50" s="286">
        <v>0</v>
      </c>
      <c r="P50" s="286">
        <v>0</v>
      </c>
      <c r="Q50" s="283">
        <v>0</v>
      </c>
      <c r="R50" s="15">
        <f>F50</f>
        <v>0</v>
      </c>
      <c r="S50" s="287">
        <v>0</v>
      </c>
      <c r="T50" s="207">
        <v>0</v>
      </c>
      <c r="U50" s="207"/>
    </row>
    <row r="51" spans="1:21" ht="20.100000000000001" hidden="1" customHeight="1">
      <c r="A51" s="283">
        <v>1</v>
      </c>
      <c r="B51" s="207" t="s">
        <v>135</v>
      </c>
      <c r="C51" s="285">
        <f>'PART-A'!I264</f>
        <v>0</v>
      </c>
      <c r="D51" s="207"/>
      <c r="E51" s="207"/>
      <c r="F51" s="285">
        <f t="shared" ref="F51:F91" si="5">SUM(C51:E51)</f>
        <v>0</v>
      </c>
      <c r="G51" s="285" t="s">
        <v>421</v>
      </c>
      <c r="H51" s="283">
        <v>0</v>
      </c>
      <c r="I51" s="283">
        <v>0</v>
      </c>
      <c r="J51" s="283">
        <v>0</v>
      </c>
      <c r="K51" s="283">
        <v>0</v>
      </c>
      <c r="L51" s="283">
        <v>0</v>
      </c>
      <c r="M51" s="283">
        <v>0</v>
      </c>
      <c r="N51" s="283">
        <v>0</v>
      </c>
      <c r="O51" s="15">
        <f>F51</f>
        <v>0</v>
      </c>
      <c r="P51" s="286">
        <v>0</v>
      </c>
      <c r="Q51" s="283">
        <v>0</v>
      </c>
      <c r="R51" s="286">
        <v>0</v>
      </c>
      <c r="S51" s="287">
        <v>0</v>
      </c>
      <c r="T51" s="207">
        <v>0</v>
      </c>
      <c r="U51" s="207"/>
    </row>
    <row r="52" spans="1:21" ht="20.100000000000001" hidden="1" customHeight="1">
      <c r="A52" s="283">
        <v>8</v>
      </c>
      <c r="B52" s="207" t="s">
        <v>1191</v>
      </c>
      <c r="C52" s="285">
        <f>'PART-A'!I195</f>
        <v>0</v>
      </c>
      <c r="D52" s="207"/>
      <c r="E52" s="207"/>
      <c r="F52" s="285">
        <f t="shared" si="5"/>
        <v>0</v>
      </c>
      <c r="G52" s="285" t="s">
        <v>421</v>
      </c>
      <c r="H52" s="283">
        <v>0</v>
      </c>
      <c r="I52" s="283">
        <v>0</v>
      </c>
      <c r="J52" s="283">
        <v>0</v>
      </c>
      <c r="K52" s="283">
        <v>0</v>
      </c>
      <c r="L52" s="283">
        <v>0</v>
      </c>
      <c r="M52" s="283">
        <v>0</v>
      </c>
      <c r="N52" s="283">
        <v>0</v>
      </c>
      <c r="O52" s="286">
        <v>0</v>
      </c>
      <c r="P52" s="15">
        <f>F52</f>
        <v>0</v>
      </c>
      <c r="Q52" s="283">
        <v>0</v>
      </c>
      <c r="R52" s="286">
        <v>0</v>
      </c>
      <c r="S52" s="287">
        <v>0</v>
      </c>
      <c r="T52" s="207">
        <v>0</v>
      </c>
      <c r="U52" s="207"/>
    </row>
    <row r="53" spans="1:21" ht="20.100000000000001" hidden="1" customHeight="1">
      <c r="A53" s="283">
        <v>4</v>
      </c>
      <c r="B53" s="207" t="s">
        <v>663</v>
      </c>
      <c r="C53" s="285">
        <f>'PART-A'!I219</f>
        <v>0</v>
      </c>
      <c r="D53" s="207"/>
      <c r="E53" s="207"/>
      <c r="F53" s="285">
        <f t="shared" si="5"/>
        <v>0</v>
      </c>
      <c r="G53" s="285" t="s">
        <v>421</v>
      </c>
      <c r="H53" s="283">
        <v>0</v>
      </c>
      <c r="I53" s="283">
        <v>0</v>
      </c>
      <c r="J53" s="283">
        <v>0</v>
      </c>
      <c r="K53" s="283">
        <v>0</v>
      </c>
      <c r="L53" s="283">
        <v>0</v>
      </c>
      <c r="M53" s="283">
        <v>0</v>
      </c>
      <c r="N53" s="283">
        <v>0</v>
      </c>
      <c r="O53" s="286">
        <v>0</v>
      </c>
      <c r="P53" s="15"/>
      <c r="Q53" s="283">
        <v>0</v>
      </c>
      <c r="R53" s="15">
        <f>F53</f>
        <v>0</v>
      </c>
      <c r="S53" s="287">
        <v>0</v>
      </c>
      <c r="T53" s="207">
        <v>0</v>
      </c>
      <c r="U53" s="207"/>
    </row>
    <row r="54" spans="1:21" ht="20.100000000000001" hidden="1" customHeight="1">
      <c r="A54" s="283">
        <v>9</v>
      </c>
      <c r="B54" s="207" t="s">
        <v>235</v>
      </c>
      <c r="C54" s="285">
        <f>'PART-A'!I127</f>
        <v>0</v>
      </c>
      <c r="D54" s="207"/>
      <c r="E54" s="207"/>
      <c r="F54" s="285">
        <f t="shared" si="5"/>
        <v>0</v>
      </c>
      <c r="G54" s="285" t="s">
        <v>421</v>
      </c>
      <c r="H54" s="15">
        <f>ROUND(F54*0.9,2)</f>
        <v>0</v>
      </c>
      <c r="I54" s="286">
        <v>0</v>
      </c>
      <c r="J54" s="286">
        <v>0</v>
      </c>
      <c r="K54" s="283">
        <v>0</v>
      </c>
      <c r="L54" s="15">
        <f>ROUND(F54*0.45,2)</f>
        <v>0</v>
      </c>
      <c r="M54" s="283">
        <v>0</v>
      </c>
      <c r="N54" s="283">
        <v>0</v>
      </c>
      <c r="O54" s="286">
        <v>0</v>
      </c>
      <c r="P54" s="286">
        <v>0</v>
      </c>
      <c r="Q54" s="286">
        <v>0</v>
      </c>
      <c r="R54" s="286">
        <v>0</v>
      </c>
      <c r="S54" s="288">
        <f t="shared" ref="S54:S91" si="6">ROUND(F54*T54/50,2)</f>
        <v>0</v>
      </c>
      <c r="T54" s="285">
        <v>162</v>
      </c>
      <c r="U54" s="15" t="s">
        <v>4</v>
      </c>
    </row>
    <row r="55" spans="1:21" ht="20.100000000000001" hidden="1" customHeight="1">
      <c r="A55" s="283">
        <v>6</v>
      </c>
      <c r="B55" s="207" t="s">
        <v>446</v>
      </c>
      <c r="C55" s="285">
        <f>'PART-A'!I164</f>
        <v>0</v>
      </c>
      <c r="D55" s="207"/>
      <c r="E55" s="207"/>
      <c r="F55" s="285">
        <f t="shared" si="5"/>
        <v>0</v>
      </c>
      <c r="G55" s="285" t="s">
        <v>421</v>
      </c>
      <c r="H55" s="15">
        <f>ROUND(F55*0.9,2)</f>
        <v>0</v>
      </c>
      <c r="I55" s="286">
        <v>0</v>
      </c>
      <c r="J55" s="286">
        <v>0</v>
      </c>
      <c r="K55" s="283">
        <v>0</v>
      </c>
      <c r="L55" s="15">
        <f>ROUND(F55*0.45,2)</f>
        <v>0</v>
      </c>
      <c r="M55" s="283">
        <v>0</v>
      </c>
      <c r="N55" s="283">
        <v>0</v>
      </c>
      <c r="O55" s="286">
        <v>0</v>
      </c>
      <c r="P55" s="286">
        <v>0</v>
      </c>
      <c r="Q55" s="286">
        <v>0</v>
      </c>
      <c r="R55" s="286">
        <v>0</v>
      </c>
      <c r="S55" s="288">
        <f t="shared" si="6"/>
        <v>0</v>
      </c>
      <c r="T55" s="285">
        <v>129.6</v>
      </c>
      <c r="U55" s="15" t="s">
        <v>4</v>
      </c>
    </row>
    <row r="56" spans="1:21" ht="20.100000000000001" hidden="1" customHeight="1">
      <c r="A56" s="283">
        <v>3</v>
      </c>
      <c r="B56" s="207" t="s">
        <v>132</v>
      </c>
      <c r="C56" s="285">
        <f>'PART-A'!I332</f>
        <v>0</v>
      </c>
      <c r="D56" s="207"/>
      <c r="E56" s="207"/>
      <c r="F56" s="285">
        <f t="shared" si="5"/>
        <v>0</v>
      </c>
      <c r="G56" s="285" t="s">
        <v>421</v>
      </c>
      <c r="H56" s="286">
        <v>0</v>
      </c>
      <c r="I56" s="15">
        <f t="shared" ref="I56:I66" si="7">ROUND(F56*0.8,2)</f>
        <v>0</v>
      </c>
      <c r="J56" s="286">
        <v>0</v>
      </c>
      <c r="K56" s="283">
        <v>0</v>
      </c>
      <c r="L56" s="15">
        <f t="shared" ref="L56:L66" si="8">ROUND(F56*0.4,2)</f>
        <v>0</v>
      </c>
      <c r="M56" s="283">
        <v>0</v>
      </c>
      <c r="N56" s="283">
        <v>0</v>
      </c>
      <c r="O56" s="286">
        <v>0</v>
      </c>
      <c r="P56" s="286">
        <v>0</v>
      </c>
      <c r="Q56" s="286">
        <v>0</v>
      </c>
      <c r="R56" s="286">
        <v>0</v>
      </c>
      <c r="S56" s="288">
        <f t="shared" si="6"/>
        <v>0</v>
      </c>
      <c r="T56" s="285">
        <f>data!E1026</f>
        <v>340</v>
      </c>
      <c r="U56" s="15" t="s">
        <v>4</v>
      </c>
    </row>
    <row r="57" spans="1:21" ht="20.100000000000001" hidden="1" customHeight="1">
      <c r="A57" s="283">
        <v>4</v>
      </c>
      <c r="B57" s="207" t="s">
        <v>133</v>
      </c>
      <c r="C57" s="285">
        <f>'PART-A'!I353</f>
        <v>0</v>
      </c>
      <c r="D57" s="207"/>
      <c r="E57" s="207"/>
      <c r="F57" s="285">
        <f t="shared" si="5"/>
        <v>0</v>
      </c>
      <c r="G57" s="285" t="s">
        <v>421</v>
      </c>
      <c r="H57" s="286">
        <v>0</v>
      </c>
      <c r="I57" s="15">
        <f t="shared" si="7"/>
        <v>0</v>
      </c>
      <c r="J57" s="286">
        <v>0</v>
      </c>
      <c r="K57" s="283">
        <v>0</v>
      </c>
      <c r="L57" s="15">
        <f t="shared" si="8"/>
        <v>0</v>
      </c>
      <c r="M57" s="283">
        <v>0</v>
      </c>
      <c r="N57" s="283">
        <v>0</v>
      </c>
      <c r="O57" s="286">
        <v>0</v>
      </c>
      <c r="P57" s="286">
        <v>0</v>
      </c>
      <c r="Q57" s="286">
        <v>0</v>
      </c>
      <c r="R57" s="286">
        <v>0</v>
      </c>
      <c r="S57" s="288">
        <f t="shared" si="6"/>
        <v>0</v>
      </c>
      <c r="T57" s="285">
        <f>$T$56</f>
        <v>340</v>
      </c>
      <c r="U57" s="15" t="s">
        <v>4</v>
      </c>
    </row>
    <row r="58" spans="1:21" ht="20.100000000000001" hidden="1" customHeight="1">
      <c r="A58" s="283">
        <v>5</v>
      </c>
      <c r="B58" s="207" t="s">
        <v>127</v>
      </c>
      <c r="C58" s="285">
        <f>'PART-A'!I387</f>
        <v>0</v>
      </c>
      <c r="D58" s="285">
        <f>FF!I21</f>
        <v>0</v>
      </c>
      <c r="E58" s="285">
        <f>SF!I21</f>
        <v>0</v>
      </c>
      <c r="F58" s="285">
        <f t="shared" si="5"/>
        <v>0</v>
      </c>
      <c r="G58" s="285" t="s">
        <v>421</v>
      </c>
      <c r="H58" s="286">
        <v>0</v>
      </c>
      <c r="I58" s="15">
        <f t="shared" si="7"/>
        <v>0</v>
      </c>
      <c r="J58" s="286">
        <v>0</v>
      </c>
      <c r="K58" s="283">
        <v>0</v>
      </c>
      <c r="L58" s="15">
        <f t="shared" si="8"/>
        <v>0</v>
      </c>
      <c r="M58" s="283">
        <v>0</v>
      </c>
      <c r="N58" s="283">
        <v>0</v>
      </c>
      <c r="O58" s="286">
        <v>0</v>
      </c>
      <c r="P58" s="286">
        <v>0</v>
      </c>
      <c r="Q58" s="286">
        <v>0</v>
      </c>
      <c r="R58" s="286">
        <v>0</v>
      </c>
      <c r="S58" s="288">
        <f t="shared" si="6"/>
        <v>0</v>
      </c>
      <c r="T58" s="285">
        <f>$T$56</f>
        <v>340</v>
      </c>
      <c r="U58" s="15" t="s">
        <v>4</v>
      </c>
    </row>
    <row r="59" spans="1:21" ht="20.100000000000001" hidden="1" customHeight="1">
      <c r="A59" s="283">
        <v>6</v>
      </c>
      <c r="B59" s="207" t="s">
        <v>128</v>
      </c>
      <c r="C59" s="285">
        <f>'PART-A'!I441</f>
        <v>0</v>
      </c>
      <c r="D59" s="207"/>
      <c r="E59" s="207"/>
      <c r="F59" s="285">
        <f t="shared" si="5"/>
        <v>0</v>
      </c>
      <c r="G59" s="285" t="s">
        <v>421</v>
      </c>
      <c r="H59" s="286">
        <v>0</v>
      </c>
      <c r="I59" s="15">
        <f t="shared" si="7"/>
        <v>0</v>
      </c>
      <c r="J59" s="286">
        <v>0</v>
      </c>
      <c r="K59" s="283">
        <v>0</v>
      </c>
      <c r="L59" s="15">
        <f t="shared" si="8"/>
        <v>0</v>
      </c>
      <c r="M59" s="283">
        <v>0</v>
      </c>
      <c r="N59" s="283">
        <v>0</v>
      </c>
      <c r="O59" s="286">
        <v>0</v>
      </c>
      <c r="P59" s="286">
        <v>0</v>
      </c>
      <c r="Q59" s="286">
        <v>0</v>
      </c>
      <c r="R59" s="286">
        <v>0</v>
      </c>
      <c r="S59" s="288">
        <f t="shared" si="6"/>
        <v>0</v>
      </c>
      <c r="T59" s="285">
        <f>$T$56</f>
        <v>340</v>
      </c>
      <c r="U59" s="15" t="s">
        <v>4</v>
      </c>
    </row>
    <row r="60" spans="1:21" ht="20.100000000000001" hidden="1" customHeight="1">
      <c r="A60" s="283">
        <v>10</v>
      </c>
      <c r="B60" s="207" t="s">
        <v>131</v>
      </c>
      <c r="C60" s="285">
        <f>'PART-A'!I501</f>
        <v>0</v>
      </c>
      <c r="D60" s="285">
        <f>FF!I74</f>
        <v>0</v>
      </c>
      <c r="E60" s="285">
        <f>SF!I45</f>
        <v>0</v>
      </c>
      <c r="F60" s="285">
        <f t="shared" si="5"/>
        <v>0</v>
      </c>
      <c r="G60" s="285" t="s">
        <v>421</v>
      </c>
      <c r="H60" s="286">
        <v>0</v>
      </c>
      <c r="I60" s="15">
        <f t="shared" si="7"/>
        <v>0</v>
      </c>
      <c r="J60" s="286">
        <v>0</v>
      </c>
      <c r="K60" s="283">
        <v>0</v>
      </c>
      <c r="L60" s="15">
        <f t="shared" si="8"/>
        <v>0</v>
      </c>
      <c r="M60" s="283">
        <v>0</v>
      </c>
      <c r="N60" s="283">
        <v>0</v>
      </c>
      <c r="O60" s="286">
        <v>0</v>
      </c>
      <c r="P60" s="286">
        <v>0</v>
      </c>
      <c r="Q60" s="286">
        <v>0</v>
      </c>
      <c r="R60" s="286">
        <v>0</v>
      </c>
      <c r="S60" s="288">
        <f t="shared" si="6"/>
        <v>0</v>
      </c>
      <c r="T60" s="285">
        <f>$T$56</f>
        <v>340</v>
      </c>
      <c r="U60" s="15" t="s">
        <v>4</v>
      </c>
    </row>
    <row r="61" spans="1:21" ht="20.100000000000001" hidden="1" customHeight="1">
      <c r="A61" s="283">
        <v>14</v>
      </c>
      <c r="B61" s="289" t="s">
        <v>236</v>
      </c>
      <c r="C61" s="285">
        <f>ROUND('PART-A'!I550*0.15,2)</f>
        <v>0</v>
      </c>
      <c r="D61" s="285">
        <f>ROUND(FF!I120*0.15,2)</f>
        <v>0</v>
      </c>
      <c r="E61" s="285">
        <f>ROUND(SF!I69*0.15,2)</f>
        <v>0</v>
      </c>
      <c r="F61" s="285">
        <f t="shared" si="5"/>
        <v>0</v>
      </c>
      <c r="G61" s="285" t="s">
        <v>422</v>
      </c>
      <c r="H61" s="286">
        <v>0</v>
      </c>
      <c r="I61" s="15">
        <f t="shared" si="7"/>
        <v>0</v>
      </c>
      <c r="J61" s="286">
        <v>0</v>
      </c>
      <c r="K61" s="283">
        <v>0</v>
      </c>
      <c r="L61" s="15">
        <f t="shared" si="8"/>
        <v>0</v>
      </c>
      <c r="M61" s="283">
        <v>0</v>
      </c>
      <c r="N61" s="283">
        <v>0</v>
      </c>
      <c r="O61" s="286">
        <v>0</v>
      </c>
      <c r="P61" s="286">
        <v>0</v>
      </c>
      <c r="Q61" s="286">
        <v>0</v>
      </c>
      <c r="R61" s="286">
        <v>0</v>
      </c>
      <c r="S61" s="288">
        <f t="shared" si="6"/>
        <v>0</v>
      </c>
      <c r="T61" s="285">
        <f>ROUND(T60,2)</f>
        <v>340</v>
      </c>
      <c r="U61" s="15" t="s">
        <v>4</v>
      </c>
    </row>
    <row r="62" spans="1:21" ht="20.100000000000001" hidden="1" customHeight="1">
      <c r="A62" s="283">
        <v>11</v>
      </c>
      <c r="B62" s="289" t="s">
        <v>237</v>
      </c>
      <c r="C62" s="285">
        <f>ROUND('PART-A'!I573*0.125,2)</f>
        <v>0</v>
      </c>
      <c r="D62" s="285">
        <f>ROUND(FF!I146*0.125,2)</f>
        <v>0</v>
      </c>
      <c r="E62" s="285">
        <f>ROUND(SF!I91*0.125,2)</f>
        <v>0</v>
      </c>
      <c r="F62" s="285">
        <f t="shared" si="5"/>
        <v>0</v>
      </c>
      <c r="G62" s="285" t="s">
        <v>422</v>
      </c>
      <c r="H62" s="286">
        <v>0</v>
      </c>
      <c r="I62" s="15">
        <f t="shared" si="7"/>
        <v>0</v>
      </c>
      <c r="J62" s="286">
        <v>0</v>
      </c>
      <c r="K62" s="283">
        <v>0</v>
      </c>
      <c r="L62" s="15">
        <f t="shared" si="8"/>
        <v>0</v>
      </c>
      <c r="M62" s="283">
        <v>0</v>
      </c>
      <c r="N62" s="283">
        <v>0</v>
      </c>
      <c r="O62" s="286">
        <v>0</v>
      </c>
      <c r="P62" s="286">
        <v>0</v>
      </c>
      <c r="Q62" s="286">
        <v>0</v>
      </c>
      <c r="R62" s="286">
        <v>0</v>
      </c>
      <c r="S62" s="288">
        <f t="shared" si="6"/>
        <v>0</v>
      </c>
      <c r="T62" s="285">
        <f>ROUND(T60,2)</f>
        <v>340</v>
      </c>
      <c r="U62" s="15" t="s">
        <v>4</v>
      </c>
    </row>
    <row r="63" spans="1:21" ht="20.100000000000001" hidden="1" customHeight="1">
      <c r="A63" s="283">
        <v>12</v>
      </c>
      <c r="B63" s="289" t="s">
        <v>605</v>
      </c>
      <c r="C63" s="285">
        <f>ROUND('PART-A'!I598*0.1,2)</f>
        <v>0</v>
      </c>
      <c r="D63" s="285">
        <f>ROUND(FF!I169*0.1,2)</f>
        <v>0</v>
      </c>
      <c r="E63" s="285">
        <f>ROUND(SF!I111*0.1,2)</f>
        <v>0</v>
      </c>
      <c r="F63" s="285">
        <f t="shared" si="5"/>
        <v>0</v>
      </c>
      <c r="G63" s="285" t="s">
        <v>422</v>
      </c>
      <c r="H63" s="286">
        <v>0</v>
      </c>
      <c r="I63" s="15">
        <f t="shared" si="7"/>
        <v>0</v>
      </c>
      <c r="J63" s="286">
        <v>0</v>
      </c>
      <c r="K63" s="283">
        <v>0</v>
      </c>
      <c r="L63" s="15">
        <f t="shared" si="8"/>
        <v>0</v>
      </c>
      <c r="M63" s="283">
        <v>0</v>
      </c>
      <c r="N63" s="283">
        <v>0</v>
      </c>
      <c r="O63" s="286">
        <v>0</v>
      </c>
      <c r="P63" s="286">
        <v>0</v>
      </c>
      <c r="Q63" s="286">
        <v>0</v>
      </c>
      <c r="R63" s="286">
        <v>0</v>
      </c>
      <c r="S63" s="288">
        <f t="shared" si="6"/>
        <v>0</v>
      </c>
      <c r="T63" s="285">
        <f>T62</f>
        <v>340</v>
      </c>
      <c r="U63" s="15" t="s">
        <v>4</v>
      </c>
    </row>
    <row r="64" spans="1:21" ht="20.100000000000001" hidden="1" customHeight="1">
      <c r="A64" s="283">
        <v>9</v>
      </c>
      <c r="B64" s="289" t="s">
        <v>1230</v>
      </c>
      <c r="C64" s="285">
        <f>ROUND('PART-A'!I622*0.05,2)</f>
        <v>0</v>
      </c>
      <c r="D64" s="285">
        <f>ROUND(FF!I191*0.05,2)</f>
        <v>0</v>
      </c>
      <c r="E64" s="285">
        <f>ROUND(SF!I133*0.05,2)</f>
        <v>0</v>
      </c>
      <c r="F64" s="285">
        <f t="shared" si="5"/>
        <v>0</v>
      </c>
      <c r="G64" s="285" t="s">
        <v>422</v>
      </c>
      <c r="H64" s="286">
        <v>0</v>
      </c>
      <c r="I64" s="15">
        <f t="shared" si="7"/>
        <v>0</v>
      </c>
      <c r="J64" s="286">
        <v>0</v>
      </c>
      <c r="K64" s="283">
        <v>0</v>
      </c>
      <c r="L64" s="15">
        <f t="shared" si="8"/>
        <v>0</v>
      </c>
      <c r="M64" s="283">
        <v>0</v>
      </c>
      <c r="N64" s="283">
        <v>0</v>
      </c>
      <c r="O64" s="286">
        <v>0</v>
      </c>
      <c r="P64" s="286">
        <v>0</v>
      </c>
      <c r="Q64" s="286">
        <v>0</v>
      </c>
      <c r="R64" s="286">
        <v>0</v>
      </c>
      <c r="S64" s="288">
        <f t="shared" si="6"/>
        <v>0</v>
      </c>
      <c r="T64" s="285">
        <f>T63</f>
        <v>340</v>
      </c>
      <c r="U64" s="15" t="s">
        <v>4</v>
      </c>
    </row>
    <row r="65" spans="1:21" ht="20.100000000000001" hidden="1" customHeight="1">
      <c r="A65" s="283">
        <v>16</v>
      </c>
      <c r="B65" s="289" t="s">
        <v>1438</v>
      </c>
      <c r="C65" s="285">
        <f>ROUND('PART-A'!I648*0.025,2)</f>
        <v>0</v>
      </c>
      <c r="D65" s="285">
        <f>ROUND(FF!I215*0.025,2)</f>
        <v>0</v>
      </c>
      <c r="E65" s="285">
        <f>ROUND(SF!I157*0.025,2)</f>
        <v>0</v>
      </c>
      <c r="F65" s="285">
        <f t="shared" si="5"/>
        <v>0</v>
      </c>
      <c r="G65" s="285" t="s">
        <v>422</v>
      </c>
      <c r="H65" s="286">
        <v>0</v>
      </c>
      <c r="I65" s="15">
        <f t="shared" si="7"/>
        <v>0</v>
      </c>
      <c r="J65" s="286">
        <v>0</v>
      </c>
      <c r="K65" s="283">
        <v>0</v>
      </c>
      <c r="L65" s="15">
        <f t="shared" si="8"/>
        <v>0</v>
      </c>
      <c r="M65" s="283">
        <v>0</v>
      </c>
      <c r="N65" s="283">
        <v>0</v>
      </c>
      <c r="O65" s="286">
        <v>0</v>
      </c>
      <c r="P65" s="286">
        <v>0</v>
      </c>
      <c r="Q65" s="286">
        <v>0</v>
      </c>
      <c r="R65" s="286">
        <v>0</v>
      </c>
      <c r="S65" s="288">
        <f t="shared" si="6"/>
        <v>0</v>
      </c>
      <c r="T65" s="285">
        <f>T64</f>
        <v>340</v>
      </c>
      <c r="U65" s="15" t="s">
        <v>4</v>
      </c>
    </row>
    <row r="66" spans="1:21" ht="20.100000000000001" hidden="1" customHeight="1">
      <c r="A66" s="283">
        <v>13</v>
      </c>
      <c r="B66" s="207" t="s">
        <v>129</v>
      </c>
      <c r="C66" s="285">
        <f>'PART-A'!I684</f>
        <v>0</v>
      </c>
      <c r="D66" s="285">
        <f>FF!I259</f>
        <v>0</v>
      </c>
      <c r="E66" s="285">
        <f>SF!I183</f>
        <v>0</v>
      </c>
      <c r="F66" s="285">
        <f t="shared" si="5"/>
        <v>0</v>
      </c>
      <c r="G66" s="285" t="s">
        <v>421</v>
      </c>
      <c r="H66" s="286">
        <v>0</v>
      </c>
      <c r="I66" s="15">
        <f t="shared" si="7"/>
        <v>0</v>
      </c>
      <c r="J66" s="286">
        <v>0</v>
      </c>
      <c r="K66" s="283">
        <v>0</v>
      </c>
      <c r="L66" s="15">
        <f t="shared" si="8"/>
        <v>0</v>
      </c>
      <c r="M66" s="283">
        <v>0</v>
      </c>
      <c r="N66" s="283">
        <v>0</v>
      </c>
      <c r="O66" s="286">
        <v>0</v>
      </c>
      <c r="P66" s="286">
        <v>0</v>
      </c>
      <c r="Q66" s="286">
        <v>0</v>
      </c>
      <c r="R66" s="286">
        <v>0</v>
      </c>
      <c r="S66" s="288">
        <f t="shared" si="6"/>
        <v>0</v>
      </c>
      <c r="T66" s="285">
        <f>$T$56</f>
        <v>340</v>
      </c>
      <c r="U66" s="15" t="s">
        <v>4</v>
      </c>
    </row>
    <row r="67" spans="1:21" ht="20.100000000000001" hidden="1" customHeight="1">
      <c r="A67" s="283">
        <v>14</v>
      </c>
      <c r="B67" s="207" t="s">
        <v>130</v>
      </c>
      <c r="C67" s="285">
        <f>'PART-A'!I772</f>
        <v>0</v>
      </c>
      <c r="D67" s="285">
        <f>FF!I288</f>
        <v>0</v>
      </c>
      <c r="E67" s="285">
        <f>SF!I207</f>
        <v>0</v>
      </c>
      <c r="F67" s="285">
        <f t="shared" si="5"/>
        <v>0</v>
      </c>
      <c r="G67" s="285" t="s">
        <v>82</v>
      </c>
      <c r="H67" s="286">
        <v>0</v>
      </c>
      <c r="I67" s="15">
        <f>ROUND(F67*0.0375*0.8,2)</f>
        <v>0</v>
      </c>
      <c r="J67" s="286">
        <v>0</v>
      </c>
      <c r="K67" s="283">
        <v>0</v>
      </c>
      <c r="L67" s="15">
        <f>ROUND(F67*0.0375*0.4,2)</f>
        <v>0</v>
      </c>
      <c r="M67" s="283">
        <v>0</v>
      </c>
      <c r="N67" s="283">
        <v>0</v>
      </c>
      <c r="O67" s="286">
        <v>0</v>
      </c>
      <c r="P67" s="286">
        <v>0</v>
      </c>
      <c r="Q67" s="286">
        <v>0</v>
      </c>
      <c r="R67" s="286">
        <v>0</v>
      </c>
      <c r="S67" s="288">
        <f t="shared" si="6"/>
        <v>0</v>
      </c>
      <c r="T67" s="290">
        <f>ROUND(T66*0.0375,2)</f>
        <v>12.75</v>
      </c>
      <c r="U67" s="15" t="s">
        <v>4</v>
      </c>
    </row>
    <row r="68" spans="1:21" ht="20.100000000000001" hidden="1" customHeight="1">
      <c r="A68" s="283">
        <v>15</v>
      </c>
      <c r="B68" s="289" t="s">
        <v>1439</v>
      </c>
      <c r="C68" s="285">
        <f>'PART-A'!I797</f>
        <v>0</v>
      </c>
      <c r="D68" s="285">
        <f>FF!I314</f>
        <v>0</v>
      </c>
      <c r="E68" s="285">
        <f>SF!I227</f>
        <v>0</v>
      </c>
      <c r="F68" s="285">
        <f t="shared" si="5"/>
        <v>0</v>
      </c>
      <c r="G68" s="285" t="s">
        <v>422</v>
      </c>
      <c r="H68" s="286">
        <v>0</v>
      </c>
      <c r="I68" s="286">
        <v>0</v>
      </c>
      <c r="J68" s="286">
        <v>0</v>
      </c>
      <c r="K68" s="283">
        <v>0</v>
      </c>
      <c r="L68" s="286">
        <v>0</v>
      </c>
      <c r="M68" s="283">
        <v>0</v>
      </c>
      <c r="N68" s="15">
        <f>ROUND(F68*0.015*1.05,2)</f>
        <v>0</v>
      </c>
      <c r="O68" s="286">
        <v>0</v>
      </c>
      <c r="P68" s="286">
        <v>0</v>
      </c>
      <c r="Q68" s="286">
        <v>0</v>
      </c>
      <c r="R68" s="286">
        <v>0</v>
      </c>
      <c r="S68" s="288">
        <f t="shared" si="6"/>
        <v>0</v>
      </c>
      <c r="T68" s="285">
        <v>7.2</v>
      </c>
      <c r="U68" s="15" t="s">
        <v>4</v>
      </c>
    </row>
    <row r="69" spans="1:21" ht="20.100000000000001" hidden="1" customHeight="1">
      <c r="A69" s="283">
        <v>12</v>
      </c>
      <c r="B69" s="289" t="s">
        <v>1225</v>
      </c>
      <c r="C69" s="285">
        <f>'PART-A'!I822</f>
        <v>0</v>
      </c>
      <c r="D69" s="285">
        <f>FF!I338</f>
        <v>0</v>
      </c>
      <c r="E69" s="285">
        <f>SF!I249</f>
        <v>0</v>
      </c>
      <c r="F69" s="285">
        <f t="shared" si="5"/>
        <v>0</v>
      </c>
      <c r="G69" s="285" t="s">
        <v>422</v>
      </c>
      <c r="H69" s="286">
        <v>0</v>
      </c>
      <c r="I69" s="286">
        <v>0</v>
      </c>
      <c r="J69" s="286">
        <v>0</v>
      </c>
      <c r="K69" s="283">
        <v>0</v>
      </c>
      <c r="L69" s="286">
        <v>0</v>
      </c>
      <c r="M69" s="283">
        <v>0</v>
      </c>
      <c r="N69" s="15">
        <f>ROUND(F69*0.021*1.05,2)</f>
        <v>0</v>
      </c>
      <c r="O69" s="286">
        <v>0</v>
      </c>
      <c r="P69" s="286">
        <v>0</v>
      </c>
      <c r="Q69" s="286">
        <v>0</v>
      </c>
      <c r="R69" s="286">
        <v>0</v>
      </c>
      <c r="S69" s="288">
        <f t="shared" si="6"/>
        <v>0</v>
      </c>
      <c r="T69" s="285">
        <v>10.08</v>
      </c>
      <c r="U69" s="15" t="s">
        <v>4</v>
      </c>
    </row>
    <row r="70" spans="1:21" ht="20.100000000000001" hidden="1" customHeight="1">
      <c r="A70" s="283">
        <v>13</v>
      </c>
      <c r="B70" s="207" t="s">
        <v>1193</v>
      </c>
      <c r="C70" s="285">
        <f>'PART-A'!I848</f>
        <v>0</v>
      </c>
      <c r="D70" s="285"/>
      <c r="E70" s="285"/>
      <c r="F70" s="285">
        <f t="shared" si="5"/>
        <v>0</v>
      </c>
      <c r="G70" s="285" t="s">
        <v>421</v>
      </c>
      <c r="H70" s="286">
        <v>0</v>
      </c>
      <c r="I70" s="286">
        <v>0</v>
      </c>
      <c r="J70" s="286">
        <v>0</v>
      </c>
      <c r="K70" s="15">
        <f>ROUND(F70*1.1,2)</f>
        <v>0</v>
      </c>
      <c r="L70" s="286">
        <v>0</v>
      </c>
      <c r="M70" s="15">
        <f>ROUND(F70*0.33,2)</f>
        <v>0</v>
      </c>
      <c r="N70" s="286">
        <v>0</v>
      </c>
      <c r="O70" s="286">
        <v>0</v>
      </c>
      <c r="P70" s="286">
        <v>0</v>
      </c>
      <c r="Q70" s="15"/>
      <c r="R70" s="286">
        <v>0</v>
      </c>
      <c r="S70" s="288">
        <f t="shared" si="6"/>
        <v>0</v>
      </c>
      <c r="T70" s="285">
        <v>59.4</v>
      </c>
      <c r="U70" s="15" t="s">
        <v>4</v>
      </c>
    </row>
    <row r="71" spans="1:21" ht="20.100000000000001" hidden="1" customHeight="1">
      <c r="A71" s="283">
        <v>16</v>
      </c>
      <c r="B71" s="207" t="s">
        <v>134</v>
      </c>
      <c r="C71" s="285">
        <f>'PART-A'!I885</f>
        <v>0</v>
      </c>
      <c r="D71" s="285">
        <f>FF!I362</f>
        <v>0</v>
      </c>
      <c r="E71" s="285">
        <f>SF!I274</f>
        <v>0</v>
      </c>
      <c r="F71" s="285">
        <f t="shared" si="5"/>
        <v>0</v>
      </c>
      <c r="G71" s="285" t="s">
        <v>421</v>
      </c>
      <c r="H71" s="286">
        <v>0</v>
      </c>
      <c r="I71" s="286">
        <v>0</v>
      </c>
      <c r="J71" s="286">
        <v>0</v>
      </c>
      <c r="K71" s="283">
        <v>0</v>
      </c>
      <c r="L71" s="286">
        <v>0</v>
      </c>
      <c r="M71" s="15">
        <f>ROUND(F71*0.2,2)</f>
        <v>0</v>
      </c>
      <c r="N71" s="286">
        <v>0</v>
      </c>
      <c r="O71" s="286">
        <v>0</v>
      </c>
      <c r="P71" s="286">
        <v>0</v>
      </c>
      <c r="Q71" s="15">
        <f>ROUND(F71*512/1000,2)</f>
        <v>0</v>
      </c>
      <c r="R71" s="286">
        <v>0</v>
      </c>
      <c r="S71" s="288">
        <f t="shared" si="6"/>
        <v>0</v>
      </c>
      <c r="T71" s="285">
        <v>36</v>
      </c>
      <c r="U71" s="15" t="s">
        <v>4</v>
      </c>
    </row>
    <row r="72" spans="1:21" ht="20.100000000000001" hidden="1" customHeight="1">
      <c r="A72" s="283">
        <v>17</v>
      </c>
      <c r="B72" s="207" t="s">
        <v>906</v>
      </c>
      <c r="C72" s="285">
        <f>'PART-A'!I950</f>
        <v>0</v>
      </c>
      <c r="D72" s="285">
        <f>FF!I435</f>
        <v>0</v>
      </c>
      <c r="E72" s="285">
        <f>SF!I307</f>
        <v>0</v>
      </c>
      <c r="F72" s="285">
        <f t="shared" si="5"/>
        <v>0</v>
      </c>
      <c r="G72" s="285" t="s">
        <v>421</v>
      </c>
      <c r="H72" s="286">
        <v>0</v>
      </c>
      <c r="I72" s="286">
        <v>0</v>
      </c>
      <c r="J72" s="286">
        <v>0</v>
      </c>
      <c r="K72" s="283">
        <v>0</v>
      </c>
      <c r="L72" s="286">
        <v>0</v>
      </c>
      <c r="M72" s="15">
        <f>ROUND(F72*0.2,2)</f>
        <v>0</v>
      </c>
      <c r="N72" s="286">
        <v>0</v>
      </c>
      <c r="O72" s="286">
        <v>0</v>
      </c>
      <c r="P72" s="286">
        <v>0</v>
      </c>
      <c r="Q72" s="15">
        <f>ROUND(F72*512/1000,2)</f>
        <v>0</v>
      </c>
      <c r="R72" s="286">
        <v>0</v>
      </c>
      <c r="S72" s="288">
        <f t="shared" si="6"/>
        <v>0</v>
      </c>
      <c r="T72" s="285">
        <v>48</v>
      </c>
      <c r="U72" s="15" t="s">
        <v>4</v>
      </c>
    </row>
    <row r="73" spans="1:21" ht="20.100000000000001" hidden="1" customHeight="1">
      <c r="A73" s="283">
        <v>18</v>
      </c>
      <c r="B73" s="207" t="s">
        <v>3686</v>
      </c>
      <c r="C73" s="285">
        <f>'PART-A'!I1060</f>
        <v>0</v>
      </c>
      <c r="D73" s="285">
        <f>FF!I520</f>
        <v>0</v>
      </c>
      <c r="E73" s="285">
        <f>SF!I333</f>
        <v>0</v>
      </c>
      <c r="F73" s="285">
        <f t="shared" si="5"/>
        <v>0</v>
      </c>
      <c r="G73" s="285" t="s">
        <v>422</v>
      </c>
      <c r="H73" s="286">
        <v>0</v>
      </c>
      <c r="I73" s="15"/>
      <c r="J73" s="286">
        <v>0</v>
      </c>
      <c r="K73" s="283">
        <v>0</v>
      </c>
      <c r="L73" s="286">
        <v>0</v>
      </c>
      <c r="M73" s="15">
        <f>ROUND(F73*0.022,2)</f>
        <v>0</v>
      </c>
      <c r="N73" s="286">
        <v>0</v>
      </c>
      <c r="O73" s="286">
        <v>0</v>
      </c>
      <c r="P73" s="286">
        <v>0</v>
      </c>
      <c r="Q73" s="15">
        <f>ROUND(F73*512*0.1/1000,2)</f>
        <v>0</v>
      </c>
      <c r="R73" s="286">
        <v>0</v>
      </c>
      <c r="S73" s="288">
        <f t="shared" si="6"/>
        <v>0</v>
      </c>
      <c r="T73" s="285">
        <v>7.2</v>
      </c>
      <c r="U73" s="15" t="s">
        <v>4</v>
      </c>
    </row>
    <row r="74" spans="1:21" ht="20.100000000000001" hidden="1" customHeight="1">
      <c r="A74" s="283">
        <v>16</v>
      </c>
      <c r="B74" s="207" t="s">
        <v>1213</v>
      </c>
      <c r="C74" s="285">
        <f>'PART-A'!I1137</f>
        <v>0</v>
      </c>
      <c r="D74" s="285">
        <f>FF!I564</f>
        <v>0</v>
      </c>
      <c r="E74" s="285">
        <f>SF!I361</f>
        <v>0</v>
      </c>
      <c r="F74" s="285">
        <f t="shared" si="5"/>
        <v>0</v>
      </c>
      <c r="G74" s="285" t="s">
        <v>421</v>
      </c>
      <c r="H74" s="286">
        <v>0</v>
      </c>
      <c r="I74" s="286">
        <v>0</v>
      </c>
      <c r="J74" s="286">
        <v>0</v>
      </c>
      <c r="K74" s="283">
        <v>0</v>
      </c>
      <c r="L74" s="286">
        <v>0</v>
      </c>
      <c r="M74" s="15">
        <f>ROUND(F74*0.1*1.05,2)</f>
        <v>0</v>
      </c>
      <c r="N74" s="286">
        <v>0</v>
      </c>
      <c r="O74" s="286">
        <v>0</v>
      </c>
      <c r="P74" s="286">
        <v>0</v>
      </c>
      <c r="Q74" s="15">
        <f>ROUND(F74*110/1000,2)</f>
        <v>0</v>
      </c>
      <c r="R74" s="286">
        <v>0</v>
      </c>
      <c r="S74" s="288">
        <f t="shared" si="6"/>
        <v>0</v>
      </c>
      <c r="T74" s="285">
        <v>24</v>
      </c>
      <c r="U74" s="15" t="s">
        <v>4</v>
      </c>
    </row>
    <row r="75" spans="1:21" ht="20.100000000000001" hidden="1" customHeight="1">
      <c r="A75" s="283">
        <v>14</v>
      </c>
      <c r="B75" s="289" t="s">
        <v>1214</v>
      </c>
      <c r="C75" s="285">
        <f>'PART-A'!I1166</f>
        <v>0</v>
      </c>
      <c r="D75" s="285">
        <f>FF!I590</f>
        <v>0</v>
      </c>
      <c r="E75" s="285"/>
      <c r="F75" s="285">
        <f t="shared" si="5"/>
        <v>0</v>
      </c>
      <c r="G75" s="285" t="s">
        <v>422</v>
      </c>
      <c r="H75" s="286">
        <v>0</v>
      </c>
      <c r="I75" s="286">
        <v>0</v>
      </c>
      <c r="J75" s="286">
        <v>0</v>
      </c>
      <c r="K75" s="283">
        <v>0</v>
      </c>
      <c r="L75" s="286">
        <v>0</v>
      </c>
      <c r="M75" s="286">
        <v>0</v>
      </c>
      <c r="N75" s="15">
        <f>ROUND(F75*((0.015*1.05)+(0.025*1.05)),2)</f>
        <v>0</v>
      </c>
      <c r="O75" s="286">
        <v>0</v>
      </c>
      <c r="P75" s="286">
        <v>0</v>
      </c>
      <c r="Q75" s="286">
        <v>0</v>
      </c>
      <c r="R75" s="286">
        <v>0</v>
      </c>
      <c r="S75" s="288">
        <f t="shared" si="6"/>
        <v>0</v>
      </c>
      <c r="T75" s="285">
        <v>20.89</v>
      </c>
      <c r="U75" s="15" t="s">
        <v>4</v>
      </c>
    </row>
    <row r="76" spans="1:21" ht="20.100000000000001" hidden="1" customHeight="1">
      <c r="A76" s="283">
        <v>19</v>
      </c>
      <c r="B76" s="289" t="s">
        <v>137</v>
      </c>
      <c r="C76" s="285">
        <f>'PART-A'!I1220</f>
        <v>0</v>
      </c>
      <c r="D76" s="285">
        <f>FF!I652</f>
        <v>0</v>
      </c>
      <c r="E76" s="285">
        <f>SF!I390</f>
        <v>0</v>
      </c>
      <c r="F76" s="285">
        <f t="shared" si="5"/>
        <v>0</v>
      </c>
      <c r="G76" s="285" t="s">
        <v>422</v>
      </c>
      <c r="H76" s="286">
        <v>0</v>
      </c>
      <c r="I76" s="286">
        <v>0</v>
      </c>
      <c r="J76" s="286">
        <v>0</v>
      </c>
      <c r="K76" s="283">
        <v>0</v>
      </c>
      <c r="L76" s="286">
        <v>0</v>
      </c>
      <c r="M76" s="286">
        <v>0</v>
      </c>
      <c r="N76" s="15">
        <f>ROUND(F76*0.015*1.05,2)</f>
        <v>0</v>
      </c>
      <c r="O76" s="286">
        <v>0</v>
      </c>
      <c r="P76" s="286">
        <v>0</v>
      </c>
      <c r="Q76" s="286">
        <v>0</v>
      </c>
      <c r="R76" s="286">
        <v>0</v>
      </c>
      <c r="S76" s="288">
        <f t="shared" si="6"/>
        <v>0</v>
      </c>
      <c r="T76" s="285">
        <v>7.2</v>
      </c>
      <c r="U76" s="15" t="s">
        <v>4</v>
      </c>
    </row>
    <row r="77" spans="1:21" ht="20.100000000000001" hidden="1" customHeight="1">
      <c r="A77" s="283">
        <v>2</v>
      </c>
      <c r="B77" s="289" t="s">
        <v>238</v>
      </c>
      <c r="C77" s="285">
        <f>'PART-A'!I1279</f>
        <v>0</v>
      </c>
      <c r="D77" s="285">
        <f>FF!I694</f>
        <v>0</v>
      </c>
      <c r="E77" s="285">
        <f>SF!I420</f>
        <v>0</v>
      </c>
      <c r="F77" s="285">
        <f t="shared" si="5"/>
        <v>0</v>
      </c>
      <c r="G77" s="285" t="s">
        <v>422</v>
      </c>
      <c r="H77" s="286">
        <v>0</v>
      </c>
      <c r="I77" s="286">
        <v>0</v>
      </c>
      <c r="J77" s="286">
        <v>0</v>
      </c>
      <c r="K77" s="283">
        <v>0</v>
      </c>
      <c r="L77" s="286">
        <v>0</v>
      </c>
      <c r="M77" s="286">
        <v>0</v>
      </c>
      <c r="N77" s="15">
        <f>ROUND(F77*0.015*1.05,2)</f>
        <v>0</v>
      </c>
      <c r="O77" s="286">
        <v>0</v>
      </c>
      <c r="P77" s="286">
        <v>0</v>
      </c>
      <c r="Q77" s="286">
        <v>0</v>
      </c>
      <c r="R77" s="286">
        <v>0</v>
      </c>
      <c r="S77" s="288">
        <f t="shared" si="6"/>
        <v>0</v>
      </c>
      <c r="T77" s="285">
        <v>4.32</v>
      </c>
      <c r="U77" s="15" t="s">
        <v>4</v>
      </c>
    </row>
    <row r="78" spans="1:21" ht="20.100000000000001" hidden="1" customHeight="1">
      <c r="A78" s="283">
        <v>3</v>
      </c>
      <c r="B78" s="289" t="s">
        <v>604</v>
      </c>
      <c r="C78" s="285">
        <f>'PART-A'!I1306</f>
        <v>0</v>
      </c>
      <c r="D78" s="285">
        <f>FF!I726</f>
        <v>0</v>
      </c>
      <c r="E78" s="285">
        <f>SF!I452</f>
        <v>0</v>
      </c>
      <c r="F78" s="285">
        <f t="shared" si="5"/>
        <v>0</v>
      </c>
      <c r="G78" s="285" t="s">
        <v>422</v>
      </c>
      <c r="H78" s="286">
        <v>0</v>
      </c>
      <c r="I78" s="286">
        <v>0</v>
      </c>
      <c r="J78" s="286">
        <v>0</v>
      </c>
      <c r="K78" s="283">
        <v>0</v>
      </c>
      <c r="L78" s="286">
        <v>0</v>
      </c>
      <c r="M78" s="286">
        <v>0</v>
      </c>
      <c r="N78" s="15">
        <f>ROUND(F78*0.021*1.05,2)</f>
        <v>0</v>
      </c>
      <c r="O78" s="286">
        <v>0</v>
      </c>
      <c r="P78" s="286">
        <v>0</v>
      </c>
      <c r="Q78" s="286">
        <v>0</v>
      </c>
      <c r="R78" s="286">
        <v>0</v>
      </c>
      <c r="S78" s="288">
        <f t="shared" si="6"/>
        <v>0</v>
      </c>
      <c r="T78" s="285">
        <v>6.05</v>
      </c>
      <c r="U78" s="15" t="s">
        <v>4</v>
      </c>
    </row>
    <row r="79" spans="1:21" ht="20.100000000000001" hidden="1" customHeight="1">
      <c r="A79" s="283">
        <v>20</v>
      </c>
      <c r="B79" s="289" t="s">
        <v>904</v>
      </c>
      <c r="C79" s="285">
        <f>'PART-A'!I1379</f>
        <v>0</v>
      </c>
      <c r="D79" s="285">
        <f>FF!I823</f>
        <v>0</v>
      </c>
      <c r="E79" s="285">
        <f>SF!I489</f>
        <v>0</v>
      </c>
      <c r="F79" s="285">
        <f t="shared" si="5"/>
        <v>0</v>
      </c>
      <c r="G79" s="285" t="s">
        <v>422</v>
      </c>
      <c r="H79" s="286">
        <v>0</v>
      </c>
      <c r="I79" s="286">
        <v>0</v>
      </c>
      <c r="J79" s="286">
        <v>0</v>
      </c>
      <c r="K79" s="283">
        <v>0</v>
      </c>
      <c r="L79" s="286">
        <v>0</v>
      </c>
      <c r="M79" s="286">
        <v>0</v>
      </c>
      <c r="N79" s="15">
        <f>ROUND(F79*0.015*1,2)</f>
        <v>0</v>
      </c>
      <c r="O79" s="286">
        <v>0</v>
      </c>
      <c r="P79" s="286">
        <v>0</v>
      </c>
      <c r="Q79" s="286">
        <v>0</v>
      </c>
      <c r="R79" s="286">
        <v>0</v>
      </c>
      <c r="S79" s="288">
        <f t="shared" si="6"/>
        <v>0</v>
      </c>
      <c r="T79" s="285">
        <v>5.09</v>
      </c>
      <c r="U79" s="15" t="s">
        <v>4</v>
      </c>
    </row>
    <row r="80" spans="1:21" ht="20.100000000000001" hidden="1" customHeight="1">
      <c r="A80" s="283">
        <v>21</v>
      </c>
      <c r="B80" s="289" t="s">
        <v>603</v>
      </c>
      <c r="C80" s="285">
        <f>'PART-A'!I1463</f>
        <v>0</v>
      </c>
      <c r="D80" s="285">
        <f>FF!I890</f>
        <v>0</v>
      </c>
      <c r="E80" s="285">
        <f>SF!I525</f>
        <v>0</v>
      </c>
      <c r="F80" s="285">
        <f t="shared" si="5"/>
        <v>0</v>
      </c>
      <c r="G80" s="285" t="s">
        <v>422</v>
      </c>
      <c r="H80" s="286">
        <v>0</v>
      </c>
      <c r="I80" s="286">
        <v>0</v>
      </c>
      <c r="J80" s="286">
        <v>0</v>
      </c>
      <c r="K80" s="283">
        <v>0</v>
      </c>
      <c r="L80" s="286">
        <v>0</v>
      </c>
      <c r="M80" s="286">
        <v>0</v>
      </c>
      <c r="N80" s="15">
        <f>ROUND(F80*0.022*1,2)</f>
        <v>0</v>
      </c>
      <c r="O80" s="286">
        <v>0</v>
      </c>
      <c r="P80" s="286">
        <v>0</v>
      </c>
      <c r="Q80" s="286">
        <v>0</v>
      </c>
      <c r="R80" s="286">
        <v>0</v>
      </c>
      <c r="S80" s="288">
        <f t="shared" si="6"/>
        <v>0</v>
      </c>
      <c r="T80" s="285">
        <v>5.75</v>
      </c>
      <c r="U80" s="15" t="s">
        <v>4</v>
      </c>
    </row>
    <row r="81" spans="1:21" ht="20.100000000000001" hidden="1" customHeight="1">
      <c r="A81" s="283">
        <v>19</v>
      </c>
      <c r="B81" s="207" t="s">
        <v>447</v>
      </c>
      <c r="C81" s="285">
        <f>'PART-A'!I1516</f>
        <v>0</v>
      </c>
      <c r="D81" s="285">
        <f>FF!I918</f>
        <v>0</v>
      </c>
      <c r="E81" s="285">
        <f>SF!I549</f>
        <v>0</v>
      </c>
      <c r="F81" s="285">
        <f t="shared" si="5"/>
        <v>0</v>
      </c>
      <c r="G81" s="285" t="s">
        <v>421</v>
      </c>
      <c r="H81" s="286">
        <v>0</v>
      </c>
      <c r="I81" s="15">
        <f>ROUND(F81*0.8,2)</f>
        <v>0</v>
      </c>
      <c r="J81" s="286">
        <v>0</v>
      </c>
      <c r="K81" s="283">
        <v>0</v>
      </c>
      <c r="L81" s="15">
        <f>ROUND(F81*0.4,2)</f>
        <v>0</v>
      </c>
      <c r="M81" s="283">
        <v>0</v>
      </c>
      <c r="N81" s="283">
        <v>0</v>
      </c>
      <c r="O81" s="286">
        <v>0</v>
      </c>
      <c r="P81" s="286">
        <v>0</v>
      </c>
      <c r="Q81" s="286">
        <v>0</v>
      </c>
      <c r="R81" s="286">
        <v>0</v>
      </c>
      <c r="S81" s="288">
        <f t="shared" si="6"/>
        <v>0</v>
      </c>
      <c r="T81" s="285">
        <f>$T$56</f>
        <v>340</v>
      </c>
      <c r="U81" s="15" t="s">
        <v>4</v>
      </c>
    </row>
    <row r="82" spans="1:21" ht="20.100000000000001" hidden="1" customHeight="1">
      <c r="A82" s="283">
        <v>19</v>
      </c>
      <c r="B82" s="289" t="s">
        <v>241</v>
      </c>
      <c r="C82" s="285">
        <f>'PART-A'!I1556</f>
        <v>0</v>
      </c>
      <c r="D82" s="285">
        <f>FF!I949</f>
        <v>0</v>
      </c>
      <c r="E82" s="285">
        <f>SF!I571</f>
        <v>0</v>
      </c>
      <c r="F82" s="285">
        <f t="shared" si="5"/>
        <v>0</v>
      </c>
      <c r="G82" s="285" t="s">
        <v>422</v>
      </c>
      <c r="H82" s="286">
        <v>0</v>
      </c>
      <c r="I82" s="286">
        <v>0</v>
      </c>
      <c r="J82" s="286">
        <v>0</v>
      </c>
      <c r="K82" s="283">
        <v>0</v>
      </c>
      <c r="L82" s="286">
        <v>0</v>
      </c>
      <c r="M82" s="15">
        <f>ROUND(F82*0.014,2)</f>
        <v>0</v>
      </c>
      <c r="N82" s="286">
        <v>0</v>
      </c>
      <c r="O82" s="286">
        <v>0</v>
      </c>
      <c r="P82" s="286">
        <v>0</v>
      </c>
      <c r="Q82" s="286">
        <v>0</v>
      </c>
      <c r="R82" s="286">
        <v>0</v>
      </c>
      <c r="S82" s="288">
        <f t="shared" si="6"/>
        <v>0</v>
      </c>
      <c r="T82" s="285">
        <v>6.06</v>
      </c>
      <c r="U82" s="15" t="s">
        <v>4</v>
      </c>
    </row>
    <row r="83" spans="1:21" ht="20.100000000000001" hidden="1" customHeight="1">
      <c r="A83" s="283">
        <v>20</v>
      </c>
      <c r="B83" s="289" t="s">
        <v>242</v>
      </c>
      <c r="C83" s="285">
        <f>'PART-A'!I1625</f>
        <v>0</v>
      </c>
      <c r="D83" s="285">
        <f>FF!I988</f>
        <v>0</v>
      </c>
      <c r="E83" s="285">
        <f>SF!I597</f>
        <v>0</v>
      </c>
      <c r="F83" s="285">
        <f t="shared" si="5"/>
        <v>0</v>
      </c>
      <c r="G83" s="285" t="s">
        <v>422</v>
      </c>
      <c r="H83" s="286">
        <v>0</v>
      </c>
      <c r="I83" s="286">
        <v>0</v>
      </c>
      <c r="J83" s="286">
        <v>0</v>
      </c>
      <c r="K83" s="283">
        <v>0</v>
      </c>
      <c r="L83" s="286">
        <v>0</v>
      </c>
      <c r="M83" s="15">
        <f>ROUND(F83*0.012,2)</f>
        <v>0</v>
      </c>
      <c r="N83" s="286">
        <v>0</v>
      </c>
      <c r="O83" s="286">
        <v>0</v>
      </c>
      <c r="P83" s="286">
        <v>0</v>
      </c>
      <c r="Q83" s="286">
        <v>0</v>
      </c>
      <c r="R83" s="286">
        <v>0</v>
      </c>
      <c r="S83" s="288">
        <f t="shared" si="6"/>
        <v>0</v>
      </c>
      <c r="T83" s="290">
        <v>6.7560000000000002</v>
      </c>
      <c r="U83" s="15" t="s">
        <v>4</v>
      </c>
    </row>
    <row r="84" spans="1:21" ht="20.100000000000001" hidden="1" customHeight="1">
      <c r="A84" s="283">
        <v>27</v>
      </c>
      <c r="B84" s="289" t="s">
        <v>681</v>
      </c>
      <c r="C84" s="285">
        <f>'PART-A'!I1681</f>
        <v>0</v>
      </c>
      <c r="D84" s="285">
        <f>FF!I1017</f>
        <v>0</v>
      </c>
      <c r="E84" s="285">
        <f>SF!I625</f>
        <v>0</v>
      </c>
      <c r="F84" s="285">
        <f t="shared" si="5"/>
        <v>0</v>
      </c>
      <c r="G84" s="285" t="s">
        <v>422</v>
      </c>
      <c r="H84" s="286">
        <v>0</v>
      </c>
      <c r="I84" s="286">
        <v>0</v>
      </c>
      <c r="J84" s="286">
        <v>0</v>
      </c>
      <c r="K84" s="283">
        <v>0</v>
      </c>
      <c r="L84" s="286">
        <v>0</v>
      </c>
      <c r="M84" s="15">
        <f>ROUND(F84*0.014,2)</f>
        <v>0</v>
      </c>
      <c r="N84" s="286">
        <v>0</v>
      </c>
      <c r="O84" s="286">
        <v>0</v>
      </c>
      <c r="P84" s="286">
        <v>0</v>
      </c>
      <c r="Q84" s="286">
        <v>0</v>
      </c>
      <c r="R84" s="286">
        <v>0</v>
      </c>
      <c r="S84" s="288">
        <f t="shared" si="6"/>
        <v>0</v>
      </c>
      <c r="T84" s="285">
        <v>7.5</v>
      </c>
      <c r="U84" s="15" t="s">
        <v>4</v>
      </c>
    </row>
    <row r="85" spans="1:21" ht="20.100000000000001" hidden="1" customHeight="1">
      <c r="A85" s="283">
        <v>25</v>
      </c>
      <c r="B85" s="289" t="s">
        <v>682</v>
      </c>
      <c r="C85" s="285">
        <f>'PART-A'!I1735</f>
        <v>0</v>
      </c>
      <c r="D85" s="285">
        <f>FF!I1057</f>
        <v>0</v>
      </c>
      <c r="E85" s="285">
        <f>SF!I653</f>
        <v>0</v>
      </c>
      <c r="F85" s="285">
        <f t="shared" si="5"/>
        <v>0</v>
      </c>
      <c r="G85" s="285" t="s">
        <v>422</v>
      </c>
      <c r="H85" s="286">
        <v>0</v>
      </c>
      <c r="I85" s="286">
        <v>0</v>
      </c>
      <c r="J85" s="286">
        <v>0</v>
      </c>
      <c r="K85" s="283">
        <v>0</v>
      </c>
      <c r="L85" s="286">
        <v>0</v>
      </c>
      <c r="M85" s="15">
        <f>ROUND(F85*0.012,2)</f>
        <v>0</v>
      </c>
      <c r="N85" s="286">
        <v>0</v>
      </c>
      <c r="O85" s="286">
        <v>0</v>
      </c>
      <c r="P85" s="286">
        <v>0</v>
      </c>
      <c r="Q85" s="286">
        <v>0</v>
      </c>
      <c r="R85" s="286">
        <v>0</v>
      </c>
      <c r="S85" s="288">
        <f t="shared" si="6"/>
        <v>0</v>
      </c>
      <c r="T85" s="290">
        <v>9.06</v>
      </c>
      <c r="U85" s="15" t="s">
        <v>4</v>
      </c>
    </row>
    <row r="86" spans="1:21" ht="20.100000000000001" hidden="1" customHeight="1">
      <c r="A86" s="283">
        <v>21</v>
      </c>
      <c r="B86" s="289" t="s">
        <v>683</v>
      </c>
      <c r="C86" s="285">
        <f>'PART-A'!I1777</f>
        <v>0</v>
      </c>
      <c r="D86" s="285">
        <f>FF!I1100</f>
        <v>0</v>
      </c>
      <c r="E86" s="285">
        <f>SF!I681</f>
        <v>0</v>
      </c>
      <c r="F86" s="285">
        <f t="shared" si="5"/>
        <v>0</v>
      </c>
      <c r="G86" s="285" t="s">
        <v>422</v>
      </c>
      <c r="H86" s="286">
        <v>0</v>
      </c>
      <c r="I86" s="286">
        <v>0</v>
      </c>
      <c r="J86" s="286">
        <v>0</v>
      </c>
      <c r="K86" s="283">
        <v>0</v>
      </c>
      <c r="L86" s="286">
        <v>0</v>
      </c>
      <c r="M86" s="15">
        <f>ROUND(F86*0.014,2)</f>
        <v>0</v>
      </c>
      <c r="N86" s="286">
        <v>0</v>
      </c>
      <c r="O86" s="286">
        <v>0</v>
      </c>
      <c r="P86" s="286">
        <v>0</v>
      </c>
      <c r="Q86" s="286">
        <v>0</v>
      </c>
      <c r="R86" s="286">
        <v>0</v>
      </c>
      <c r="S86" s="288">
        <f t="shared" si="6"/>
        <v>0</v>
      </c>
      <c r="T86" s="285">
        <v>7.5</v>
      </c>
      <c r="U86" s="15" t="s">
        <v>4</v>
      </c>
    </row>
    <row r="87" spans="1:21" ht="20.100000000000001" hidden="1" customHeight="1">
      <c r="A87" s="283">
        <v>22</v>
      </c>
      <c r="B87" s="289" t="s">
        <v>684</v>
      </c>
      <c r="C87" s="285">
        <f>'PART-A'!I1805</f>
        <v>0</v>
      </c>
      <c r="D87" s="285">
        <f>FF!I1134</f>
        <v>0</v>
      </c>
      <c r="E87" s="285">
        <f>SF!I709</f>
        <v>0</v>
      </c>
      <c r="F87" s="285">
        <f t="shared" si="5"/>
        <v>0</v>
      </c>
      <c r="G87" s="285" t="s">
        <v>422</v>
      </c>
      <c r="H87" s="286">
        <v>0</v>
      </c>
      <c r="I87" s="286">
        <v>0</v>
      </c>
      <c r="J87" s="286">
        <v>0</v>
      </c>
      <c r="K87" s="283">
        <v>0</v>
      </c>
      <c r="L87" s="286">
        <v>0</v>
      </c>
      <c r="M87" s="15">
        <f>ROUND(F87*0.012,2)</f>
        <v>0</v>
      </c>
      <c r="N87" s="286">
        <v>0</v>
      </c>
      <c r="O87" s="286">
        <v>0</v>
      </c>
      <c r="P87" s="286">
        <v>0</v>
      </c>
      <c r="Q87" s="286">
        <v>0</v>
      </c>
      <c r="R87" s="286">
        <v>0</v>
      </c>
      <c r="S87" s="288">
        <f t="shared" si="6"/>
        <v>0</v>
      </c>
      <c r="T87" s="290">
        <v>6.7560000000000002</v>
      </c>
      <c r="U87" s="15" t="s">
        <v>4</v>
      </c>
    </row>
    <row r="88" spans="1:21" ht="20.100000000000001" hidden="1" customHeight="1">
      <c r="A88" s="283">
        <v>28</v>
      </c>
      <c r="B88" s="289" t="s">
        <v>239</v>
      </c>
      <c r="C88" s="285">
        <f>'PART-A'!I1830</f>
        <v>0</v>
      </c>
      <c r="D88" s="285">
        <f>FF!I1163</f>
        <v>0</v>
      </c>
      <c r="E88" s="285">
        <f>SF!I737</f>
        <v>0</v>
      </c>
      <c r="F88" s="285">
        <f t="shared" si="5"/>
        <v>0</v>
      </c>
      <c r="G88" s="285" t="s">
        <v>422</v>
      </c>
      <c r="H88" s="286">
        <v>0</v>
      </c>
      <c r="I88" s="286">
        <v>0</v>
      </c>
      <c r="J88" s="286">
        <v>0</v>
      </c>
      <c r="K88" s="283">
        <v>0</v>
      </c>
      <c r="L88" s="286">
        <v>0</v>
      </c>
      <c r="M88" s="15">
        <f>ROUND(F88*0.012,2)</f>
        <v>0</v>
      </c>
      <c r="N88" s="286">
        <v>0</v>
      </c>
      <c r="O88" s="286">
        <v>0</v>
      </c>
      <c r="P88" s="286">
        <v>0</v>
      </c>
      <c r="Q88" s="286">
        <v>0</v>
      </c>
      <c r="R88" s="286">
        <v>0</v>
      </c>
      <c r="S88" s="288">
        <f t="shared" si="6"/>
        <v>0</v>
      </c>
      <c r="T88" s="285">
        <v>5.46</v>
      </c>
      <c r="U88" s="15" t="s">
        <v>4</v>
      </c>
    </row>
    <row r="89" spans="1:21" ht="20.100000000000001" hidden="1" customHeight="1">
      <c r="A89" s="283">
        <v>29</v>
      </c>
      <c r="B89" s="289" t="s">
        <v>240</v>
      </c>
      <c r="C89" s="285">
        <f>'PART-A'!I1856</f>
        <v>0</v>
      </c>
      <c r="D89" s="285">
        <f>FF!I1190</f>
        <v>0</v>
      </c>
      <c r="E89" s="285">
        <f>SF!I763</f>
        <v>0</v>
      </c>
      <c r="F89" s="285">
        <f t="shared" si="5"/>
        <v>0</v>
      </c>
      <c r="G89" s="285" t="s">
        <v>422</v>
      </c>
      <c r="H89" s="286">
        <v>0</v>
      </c>
      <c r="I89" s="286">
        <v>0</v>
      </c>
      <c r="J89" s="286">
        <v>0</v>
      </c>
      <c r="K89" s="283">
        <v>0</v>
      </c>
      <c r="L89" s="286">
        <v>0</v>
      </c>
      <c r="M89" s="15">
        <f>ROUND(F89*0.012,2)</f>
        <v>0</v>
      </c>
      <c r="N89" s="286">
        <v>0</v>
      </c>
      <c r="O89" s="286">
        <v>0</v>
      </c>
      <c r="P89" s="286">
        <v>0</v>
      </c>
      <c r="Q89" s="286">
        <v>0</v>
      </c>
      <c r="R89" s="286">
        <v>0</v>
      </c>
      <c r="S89" s="288">
        <f t="shared" si="6"/>
        <v>0</v>
      </c>
      <c r="T89" s="285">
        <v>9.06</v>
      </c>
      <c r="U89" s="15" t="s">
        <v>4</v>
      </c>
    </row>
    <row r="90" spans="1:21" ht="20.100000000000001" hidden="1" customHeight="1">
      <c r="A90" s="283">
        <v>22</v>
      </c>
      <c r="B90" s="289" t="s">
        <v>1215</v>
      </c>
      <c r="C90" s="285">
        <f>'PART-A'!I1883</f>
        <v>0</v>
      </c>
      <c r="D90" s="285">
        <f>FF!I1225</f>
        <v>0</v>
      </c>
      <c r="E90" s="285">
        <f>SF!I787</f>
        <v>0</v>
      </c>
      <c r="F90" s="285">
        <f t="shared" si="5"/>
        <v>0</v>
      </c>
      <c r="G90" s="285" t="s">
        <v>422</v>
      </c>
      <c r="H90" s="286">
        <v>0</v>
      </c>
      <c r="I90" s="286">
        <v>0</v>
      </c>
      <c r="J90" s="286">
        <v>0</v>
      </c>
      <c r="K90" s="283">
        <v>0</v>
      </c>
      <c r="L90" s="286">
        <v>0</v>
      </c>
      <c r="M90" s="15">
        <f>ROUND(F90*0.008*1,2)</f>
        <v>0</v>
      </c>
      <c r="N90" s="286">
        <v>0</v>
      </c>
      <c r="O90" s="286">
        <v>0</v>
      </c>
      <c r="P90" s="286">
        <v>0</v>
      </c>
      <c r="Q90" s="286">
        <v>0</v>
      </c>
      <c r="R90" s="286">
        <v>0</v>
      </c>
      <c r="S90" s="288">
        <f t="shared" si="6"/>
        <v>0</v>
      </c>
      <c r="T90" s="285">
        <v>2.76</v>
      </c>
      <c r="U90" s="15" t="s">
        <v>4</v>
      </c>
    </row>
    <row r="91" spans="1:21" ht="20.100000000000001" hidden="1" customHeight="1">
      <c r="A91" s="283">
        <v>5</v>
      </c>
      <c r="B91" s="207" t="s">
        <v>2270</v>
      </c>
      <c r="C91" s="285">
        <f>'PART-A'!I1938</f>
        <v>0</v>
      </c>
      <c r="D91" s="285"/>
      <c r="E91" s="285"/>
      <c r="F91" s="285">
        <f t="shared" si="5"/>
        <v>0</v>
      </c>
      <c r="G91" s="285" t="s">
        <v>421</v>
      </c>
      <c r="H91" s="286">
        <v>0</v>
      </c>
      <c r="I91" s="15">
        <f>ROUND(F91*0.017,2)</f>
        <v>0</v>
      </c>
      <c r="J91" s="286">
        <v>0</v>
      </c>
      <c r="K91" s="283">
        <v>0</v>
      </c>
      <c r="L91" s="15">
        <f>ROUND(F91*0.009,2)</f>
        <v>0</v>
      </c>
      <c r="M91" s="283">
        <v>0</v>
      </c>
      <c r="N91" s="283">
        <v>0</v>
      </c>
      <c r="O91" s="286">
        <v>0</v>
      </c>
      <c r="P91" s="286">
        <v>0</v>
      </c>
      <c r="Q91" s="286">
        <v>0</v>
      </c>
      <c r="R91" s="286">
        <v>0</v>
      </c>
      <c r="S91" s="288">
        <f t="shared" si="6"/>
        <v>0</v>
      </c>
      <c r="T91" s="285">
        <v>12</v>
      </c>
      <c r="U91" s="15" t="s">
        <v>4</v>
      </c>
    </row>
    <row r="92" spans="1:21" ht="18" hidden="1" customHeight="1">
      <c r="A92" s="283"/>
      <c r="B92" s="289"/>
      <c r="C92" s="289"/>
      <c r="D92" s="289"/>
      <c r="E92" s="289"/>
      <c r="F92" s="285"/>
      <c r="G92" s="285"/>
      <c r="H92" s="15"/>
      <c r="I92" s="15"/>
      <c r="J92" s="15"/>
      <c r="K92" s="15"/>
      <c r="L92" s="15"/>
      <c r="M92" s="15"/>
      <c r="N92" s="286"/>
      <c r="O92" s="15"/>
      <c r="P92" s="15"/>
      <c r="Q92" s="286"/>
      <c r="R92" s="15"/>
      <c r="S92" s="15"/>
      <c r="T92" s="285"/>
      <c r="U92" s="15"/>
    </row>
    <row r="93" spans="1:21" hidden="1">
      <c r="A93" s="207"/>
      <c r="B93" s="82" t="s">
        <v>103</v>
      </c>
      <c r="C93" s="207"/>
      <c r="D93" s="207"/>
      <c r="E93" s="207"/>
      <c r="F93" s="619">
        <v>1</v>
      </c>
      <c r="G93" s="207"/>
      <c r="H93" s="210">
        <f t="shared" ref="H93:S93" si="9">SUM(H50:H92)</f>
        <v>0</v>
      </c>
      <c r="I93" s="210">
        <f t="shared" si="9"/>
        <v>0</v>
      </c>
      <c r="J93" s="210">
        <f t="shared" si="9"/>
        <v>0</v>
      </c>
      <c r="K93" s="210">
        <f t="shared" si="9"/>
        <v>0</v>
      </c>
      <c r="L93" s="210">
        <f t="shared" si="9"/>
        <v>0</v>
      </c>
      <c r="M93" s="210">
        <f t="shared" si="9"/>
        <v>0</v>
      </c>
      <c r="N93" s="210">
        <f t="shared" si="9"/>
        <v>0</v>
      </c>
      <c r="O93" s="210">
        <f t="shared" si="9"/>
        <v>0</v>
      </c>
      <c r="P93" s="210">
        <f t="shared" si="9"/>
        <v>0</v>
      </c>
      <c r="Q93" s="210">
        <f t="shared" si="9"/>
        <v>0</v>
      </c>
      <c r="R93" s="210">
        <f t="shared" si="9"/>
        <v>0</v>
      </c>
      <c r="S93" s="210">
        <f t="shared" si="9"/>
        <v>0</v>
      </c>
      <c r="T93" s="291" t="s">
        <v>142</v>
      </c>
      <c r="U93" s="207"/>
    </row>
    <row r="94" spans="1:21" s="533" customFormat="1" ht="15.75" hidden="1">
      <c r="A94" s="888"/>
      <c r="B94" s="889" t="s">
        <v>2310</v>
      </c>
      <c r="C94" s="890"/>
      <c r="D94" s="891"/>
      <c r="E94" s="892"/>
      <c r="F94" s="619">
        <v>1</v>
      </c>
      <c r="G94" s="893"/>
      <c r="H94" s="888"/>
      <c r="I94" s="894"/>
      <c r="J94" s="895"/>
      <c r="K94" s="888"/>
      <c r="L94" s="893"/>
      <c r="M94" s="888"/>
    </row>
    <row r="95" spans="1:21" ht="18" hidden="1" customHeight="1">
      <c r="A95" s="283">
        <v>1</v>
      </c>
      <c r="B95" s="207" t="s">
        <v>101</v>
      </c>
      <c r="C95" s="284"/>
      <c r="D95" s="207"/>
      <c r="E95" s="207"/>
      <c r="F95" s="285">
        <f>C95+D95</f>
        <v>0</v>
      </c>
      <c r="G95" s="285" t="s">
        <v>421</v>
      </c>
      <c r="H95" s="283">
        <v>0</v>
      </c>
      <c r="I95" s="283">
        <v>0</v>
      </c>
      <c r="J95" s="283">
        <v>0</v>
      </c>
      <c r="K95" s="283">
        <v>0</v>
      </c>
      <c r="L95" s="283">
        <v>0</v>
      </c>
      <c r="M95" s="283">
        <v>0</v>
      </c>
      <c r="N95" s="283">
        <v>0</v>
      </c>
      <c r="O95" s="286">
        <v>0</v>
      </c>
      <c r="P95" s="286">
        <v>0</v>
      </c>
      <c r="Q95" s="283">
        <v>0</v>
      </c>
      <c r="R95" s="15">
        <f>F95</f>
        <v>0</v>
      </c>
      <c r="S95" s="287">
        <v>0</v>
      </c>
      <c r="T95" s="207">
        <v>0</v>
      </c>
      <c r="U95" s="207"/>
    </row>
    <row r="96" spans="1:21" ht="20.100000000000001" hidden="1" customHeight="1">
      <c r="A96" s="283">
        <v>1</v>
      </c>
      <c r="B96" s="207" t="s">
        <v>135</v>
      </c>
      <c r="C96" s="285">
        <f>'PART-A'!I270</f>
        <v>0</v>
      </c>
      <c r="D96" s="207"/>
      <c r="E96" s="207"/>
      <c r="F96" s="285">
        <f t="shared" ref="F96:F136" si="10">SUM(C96:E96)</f>
        <v>0</v>
      </c>
      <c r="G96" s="285" t="s">
        <v>421</v>
      </c>
      <c r="H96" s="283">
        <v>0</v>
      </c>
      <c r="I96" s="283">
        <v>0</v>
      </c>
      <c r="J96" s="283">
        <v>0</v>
      </c>
      <c r="K96" s="283">
        <v>0</v>
      </c>
      <c r="L96" s="283">
        <v>0</v>
      </c>
      <c r="M96" s="283">
        <v>0</v>
      </c>
      <c r="N96" s="283">
        <v>0</v>
      </c>
      <c r="O96" s="15">
        <f>F96</f>
        <v>0</v>
      </c>
      <c r="P96" s="286">
        <v>0</v>
      </c>
      <c r="Q96" s="283">
        <v>0</v>
      </c>
      <c r="R96" s="286">
        <v>0</v>
      </c>
      <c r="S96" s="287">
        <v>0</v>
      </c>
      <c r="T96" s="207">
        <v>0</v>
      </c>
      <c r="U96" s="207"/>
    </row>
    <row r="97" spans="1:21" ht="20.100000000000001" hidden="1" customHeight="1">
      <c r="A97" s="283">
        <v>2</v>
      </c>
      <c r="B97" s="207" t="s">
        <v>1191</v>
      </c>
      <c r="C97" s="285">
        <f>'PART-A'!I201</f>
        <v>0</v>
      </c>
      <c r="D97" s="207"/>
      <c r="E97" s="207"/>
      <c r="F97" s="285">
        <f t="shared" si="10"/>
        <v>0</v>
      </c>
      <c r="G97" s="285" t="s">
        <v>421</v>
      </c>
      <c r="H97" s="283">
        <v>0</v>
      </c>
      <c r="I97" s="283">
        <v>0</v>
      </c>
      <c r="J97" s="283">
        <v>0</v>
      </c>
      <c r="K97" s="283">
        <v>0</v>
      </c>
      <c r="L97" s="283">
        <v>0</v>
      </c>
      <c r="M97" s="283">
        <v>0</v>
      </c>
      <c r="N97" s="283">
        <v>0</v>
      </c>
      <c r="O97" s="286">
        <v>0</v>
      </c>
      <c r="P97" s="15">
        <f>F97</f>
        <v>0</v>
      </c>
      <c r="Q97" s="283">
        <v>0</v>
      </c>
      <c r="R97" s="286">
        <v>0</v>
      </c>
      <c r="S97" s="287">
        <v>0</v>
      </c>
      <c r="T97" s="207">
        <v>0</v>
      </c>
      <c r="U97" s="207"/>
    </row>
    <row r="98" spans="1:21" ht="20.100000000000001" hidden="1" customHeight="1">
      <c r="A98" s="283">
        <v>4</v>
      </c>
      <c r="B98" s="207" t="s">
        <v>663</v>
      </c>
      <c r="C98" s="285">
        <f>'PART-A'!I225</f>
        <v>0</v>
      </c>
      <c r="D98" s="207"/>
      <c r="E98" s="207"/>
      <c r="F98" s="285">
        <f t="shared" si="10"/>
        <v>0</v>
      </c>
      <c r="G98" s="285" t="s">
        <v>421</v>
      </c>
      <c r="H98" s="283">
        <v>0</v>
      </c>
      <c r="I98" s="283">
        <v>0</v>
      </c>
      <c r="J98" s="283">
        <v>0</v>
      </c>
      <c r="K98" s="283">
        <v>0</v>
      </c>
      <c r="L98" s="283">
        <v>0</v>
      </c>
      <c r="M98" s="283">
        <v>0</v>
      </c>
      <c r="N98" s="283">
        <v>0</v>
      </c>
      <c r="O98" s="286">
        <v>0</v>
      </c>
      <c r="P98" s="15"/>
      <c r="Q98" s="283">
        <v>0</v>
      </c>
      <c r="R98" s="15">
        <f>F98</f>
        <v>0</v>
      </c>
      <c r="S98" s="287">
        <v>0</v>
      </c>
      <c r="T98" s="207">
        <v>0</v>
      </c>
      <c r="U98" s="207"/>
    </row>
    <row r="99" spans="1:21" ht="20.100000000000001" hidden="1" customHeight="1">
      <c r="A99" s="283">
        <v>22</v>
      </c>
      <c r="B99" s="207" t="s">
        <v>235</v>
      </c>
      <c r="C99" s="285">
        <f>'PART-A'!I133</f>
        <v>0</v>
      </c>
      <c r="D99" s="207"/>
      <c r="E99" s="207"/>
      <c r="F99" s="285">
        <f t="shared" si="10"/>
        <v>0</v>
      </c>
      <c r="G99" s="285" t="s">
        <v>421</v>
      </c>
      <c r="H99" s="15">
        <f>ROUND(F99*0.9,2)</f>
        <v>0</v>
      </c>
      <c r="I99" s="286">
        <v>0</v>
      </c>
      <c r="J99" s="286">
        <v>0</v>
      </c>
      <c r="K99" s="283">
        <v>0</v>
      </c>
      <c r="L99" s="15">
        <f>ROUND(F99*0.45,2)</f>
        <v>0</v>
      </c>
      <c r="M99" s="283">
        <v>0</v>
      </c>
      <c r="N99" s="283">
        <v>0</v>
      </c>
      <c r="O99" s="286">
        <v>0</v>
      </c>
      <c r="P99" s="286">
        <v>0</v>
      </c>
      <c r="Q99" s="286">
        <v>0</v>
      </c>
      <c r="R99" s="286">
        <v>0</v>
      </c>
      <c r="S99" s="288">
        <f t="shared" ref="S99:S136" si="11">ROUND(F99*T99/50,2)</f>
        <v>0</v>
      </c>
      <c r="T99" s="285">
        <v>162</v>
      </c>
      <c r="U99" s="15" t="s">
        <v>4</v>
      </c>
    </row>
    <row r="100" spans="1:21" ht="20.100000000000001" hidden="1" customHeight="1">
      <c r="A100" s="283">
        <v>6</v>
      </c>
      <c r="B100" s="207" t="s">
        <v>446</v>
      </c>
      <c r="C100" s="285">
        <f>'PART-A'!I173</f>
        <v>0</v>
      </c>
      <c r="D100" s="207"/>
      <c r="E100" s="207"/>
      <c r="F100" s="285">
        <f t="shared" si="10"/>
        <v>0</v>
      </c>
      <c r="G100" s="285" t="s">
        <v>421</v>
      </c>
      <c r="H100" s="15">
        <f>ROUND(F100*0.9,2)</f>
        <v>0</v>
      </c>
      <c r="I100" s="286">
        <v>0</v>
      </c>
      <c r="J100" s="286">
        <v>0</v>
      </c>
      <c r="K100" s="283">
        <v>0</v>
      </c>
      <c r="L100" s="15">
        <f>ROUND(F100*0.45,2)</f>
        <v>0</v>
      </c>
      <c r="M100" s="283">
        <v>0</v>
      </c>
      <c r="N100" s="283">
        <v>0</v>
      </c>
      <c r="O100" s="286">
        <v>0</v>
      </c>
      <c r="P100" s="286">
        <v>0</v>
      </c>
      <c r="Q100" s="286">
        <v>0</v>
      </c>
      <c r="R100" s="286">
        <v>0</v>
      </c>
      <c r="S100" s="288">
        <f t="shared" si="11"/>
        <v>0</v>
      </c>
      <c r="T100" s="285">
        <v>129.6</v>
      </c>
      <c r="U100" s="15" t="s">
        <v>4</v>
      </c>
    </row>
    <row r="101" spans="1:21" ht="20.100000000000001" hidden="1" customHeight="1">
      <c r="A101" s="283">
        <v>23</v>
      </c>
      <c r="B101" s="207" t="s">
        <v>132</v>
      </c>
      <c r="C101" s="285">
        <f>'PART-A'!I338</f>
        <v>0</v>
      </c>
      <c r="D101" s="207"/>
      <c r="E101" s="207"/>
      <c r="F101" s="285">
        <f t="shared" si="10"/>
        <v>0</v>
      </c>
      <c r="G101" s="285" t="s">
        <v>421</v>
      </c>
      <c r="H101" s="286">
        <v>0</v>
      </c>
      <c r="I101" s="15">
        <f t="shared" ref="I101:I111" si="12">ROUND(F101*0.8,2)</f>
        <v>0</v>
      </c>
      <c r="J101" s="286">
        <v>0</v>
      </c>
      <c r="K101" s="283">
        <v>0</v>
      </c>
      <c r="L101" s="15">
        <f t="shared" ref="L101:L111" si="13">ROUND(F101*0.4,2)</f>
        <v>0</v>
      </c>
      <c r="M101" s="283">
        <v>0</v>
      </c>
      <c r="N101" s="283">
        <v>0</v>
      </c>
      <c r="O101" s="286">
        <v>0</v>
      </c>
      <c r="P101" s="286">
        <v>0</v>
      </c>
      <c r="Q101" s="286">
        <v>0</v>
      </c>
      <c r="R101" s="286">
        <v>0</v>
      </c>
      <c r="S101" s="288">
        <f t="shared" si="11"/>
        <v>0</v>
      </c>
      <c r="T101" s="285">
        <f>data!E1943</f>
        <v>340</v>
      </c>
      <c r="U101" s="15" t="s">
        <v>4</v>
      </c>
    </row>
    <row r="102" spans="1:21" ht="20.100000000000001" hidden="1" customHeight="1">
      <c r="A102" s="283">
        <v>5</v>
      </c>
      <c r="B102" s="207" t="s">
        <v>133</v>
      </c>
      <c r="C102" s="285">
        <f>'PART-A'!I358</f>
        <v>0</v>
      </c>
      <c r="D102" s="207"/>
      <c r="E102" s="207"/>
      <c r="F102" s="285">
        <f t="shared" si="10"/>
        <v>0</v>
      </c>
      <c r="G102" s="285" t="s">
        <v>421</v>
      </c>
      <c r="H102" s="286">
        <v>0</v>
      </c>
      <c r="I102" s="15">
        <f t="shared" si="12"/>
        <v>0</v>
      </c>
      <c r="J102" s="286">
        <v>0</v>
      </c>
      <c r="K102" s="283">
        <v>0</v>
      </c>
      <c r="L102" s="15">
        <f t="shared" si="13"/>
        <v>0</v>
      </c>
      <c r="M102" s="283">
        <v>0</v>
      </c>
      <c r="N102" s="283">
        <v>0</v>
      </c>
      <c r="O102" s="286">
        <v>0</v>
      </c>
      <c r="P102" s="286">
        <v>0</v>
      </c>
      <c r="Q102" s="286">
        <v>0</v>
      </c>
      <c r="R102" s="286">
        <v>0</v>
      </c>
      <c r="S102" s="288">
        <f t="shared" si="11"/>
        <v>0</v>
      </c>
      <c r="T102" s="285">
        <f>$T$101</f>
        <v>340</v>
      </c>
      <c r="U102" s="15" t="s">
        <v>4</v>
      </c>
    </row>
    <row r="103" spans="1:21" ht="20.100000000000001" hidden="1" customHeight="1">
      <c r="A103" s="283">
        <v>2</v>
      </c>
      <c r="B103" s="207" t="s">
        <v>127</v>
      </c>
      <c r="C103" s="285">
        <f>'PART-A'!I399</f>
        <v>0</v>
      </c>
      <c r="D103" s="285">
        <f>FF!I30</f>
        <v>0</v>
      </c>
      <c r="E103" s="285">
        <f>SF!I28</f>
        <v>0</v>
      </c>
      <c r="F103" s="285">
        <f t="shared" si="10"/>
        <v>0</v>
      </c>
      <c r="G103" s="285" t="s">
        <v>421</v>
      </c>
      <c r="H103" s="286">
        <v>0</v>
      </c>
      <c r="I103" s="15">
        <f t="shared" si="12"/>
        <v>0</v>
      </c>
      <c r="J103" s="286">
        <v>0</v>
      </c>
      <c r="K103" s="283">
        <v>0</v>
      </c>
      <c r="L103" s="15">
        <f t="shared" si="13"/>
        <v>0</v>
      </c>
      <c r="M103" s="283">
        <v>0</v>
      </c>
      <c r="N103" s="283">
        <v>0</v>
      </c>
      <c r="O103" s="286">
        <v>0</v>
      </c>
      <c r="P103" s="286">
        <v>0</v>
      </c>
      <c r="Q103" s="286">
        <v>0</v>
      </c>
      <c r="R103" s="286">
        <v>0</v>
      </c>
      <c r="S103" s="288">
        <f t="shared" si="11"/>
        <v>0</v>
      </c>
      <c r="T103" s="285">
        <f>$T$101</f>
        <v>340</v>
      </c>
      <c r="U103" s="15" t="s">
        <v>4</v>
      </c>
    </row>
    <row r="104" spans="1:21" ht="20.100000000000001" hidden="1" customHeight="1">
      <c r="A104" s="283">
        <v>7</v>
      </c>
      <c r="B104" s="207" t="s">
        <v>128</v>
      </c>
      <c r="C104" s="285">
        <f>'PART-A'!I447</f>
        <v>0</v>
      </c>
      <c r="D104" s="207"/>
      <c r="E104" s="207"/>
      <c r="F104" s="285">
        <f t="shared" si="10"/>
        <v>0</v>
      </c>
      <c r="G104" s="285" t="s">
        <v>421</v>
      </c>
      <c r="H104" s="286">
        <v>0</v>
      </c>
      <c r="I104" s="15">
        <f t="shared" si="12"/>
        <v>0</v>
      </c>
      <c r="J104" s="286">
        <v>0</v>
      </c>
      <c r="K104" s="283">
        <v>0</v>
      </c>
      <c r="L104" s="15">
        <f t="shared" si="13"/>
        <v>0</v>
      </c>
      <c r="M104" s="283">
        <v>0</v>
      </c>
      <c r="N104" s="283">
        <v>0</v>
      </c>
      <c r="O104" s="286">
        <v>0</v>
      </c>
      <c r="P104" s="286">
        <v>0</v>
      </c>
      <c r="Q104" s="286">
        <v>0</v>
      </c>
      <c r="R104" s="286">
        <v>0</v>
      </c>
      <c r="S104" s="288">
        <f t="shared" si="11"/>
        <v>0</v>
      </c>
      <c r="T104" s="285">
        <f>$T$101</f>
        <v>340</v>
      </c>
      <c r="U104" s="15" t="s">
        <v>4</v>
      </c>
    </row>
    <row r="105" spans="1:21" ht="20.100000000000001" hidden="1" customHeight="1">
      <c r="A105" s="283">
        <v>3</v>
      </c>
      <c r="B105" s="207" t="s">
        <v>131</v>
      </c>
      <c r="C105" s="285">
        <f>'PART-A'!I528</f>
        <v>0</v>
      </c>
      <c r="D105" s="285">
        <f>FF!I98</f>
        <v>0</v>
      </c>
      <c r="E105" s="285">
        <f>SF!I51</f>
        <v>0</v>
      </c>
      <c r="F105" s="285">
        <f t="shared" si="10"/>
        <v>0</v>
      </c>
      <c r="G105" s="285" t="s">
        <v>421</v>
      </c>
      <c r="H105" s="286">
        <v>0</v>
      </c>
      <c r="I105" s="15">
        <f t="shared" si="12"/>
        <v>0</v>
      </c>
      <c r="J105" s="286">
        <v>0</v>
      </c>
      <c r="K105" s="283">
        <v>0</v>
      </c>
      <c r="L105" s="15">
        <f t="shared" si="13"/>
        <v>0</v>
      </c>
      <c r="M105" s="283">
        <v>0</v>
      </c>
      <c r="N105" s="283">
        <v>0</v>
      </c>
      <c r="O105" s="286">
        <v>0</v>
      </c>
      <c r="P105" s="286">
        <v>0</v>
      </c>
      <c r="Q105" s="286">
        <v>0</v>
      </c>
      <c r="R105" s="286">
        <v>0</v>
      </c>
      <c r="S105" s="288">
        <f t="shared" si="11"/>
        <v>0</v>
      </c>
      <c r="T105" s="285">
        <f>$T$101</f>
        <v>340</v>
      </c>
      <c r="U105" s="15" t="s">
        <v>4</v>
      </c>
    </row>
    <row r="106" spans="1:21" ht="20.100000000000001" hidden="1" customHeight="1">
      <c r="A106" s="283">
        <v>9</v>
      </c>
      <c r="B106" s="289" t="s">
        <v>236</v>
      </c>
      <c r="C106" s="285">
        <f>ROUND('PART-A'!I555*0.15,2)</f>
        <v>0</v>
      </c>
      <c r="D106" s="285">
        <f>ROUND(FF!I128*0.15,2)</f>
        <v>0</v>
      </c>
      <c r="E106" s="285">
        <f>ROUND(SF!I75*0.15,2)</f>
        <v>0</v>
      </c>
      <c r="F106" s="285">
        <f t="shared" si="10"/>
        <v>0</v>
      </c>
      <c r="G106" s="285" t="s">
        <v>422</v>
      </c>
      <c r="H106" s="286">
        <v>0</v>
      </c>
      <c r="I106" s="15">
        <f t="shared" si="12"/>
        <v>0</v>
      </c>
      <c r="J106" s="286">
        <v>0</v>
      </c>
      <c r="K106" s="283">
        <v>0</v>
      </c>
      <c r="L106" s="15">
        <f t="shared" si="13"/>
        <v>0</v>
      </c>
      <c r="M106" s="283">
        <v>0</v>
      </c>
      <c r="N106" s="283">
        <v>0</v>
      </c>
      <c r="O106" s="286">
        <v>0</v>
      </c>
      <c r="P106" s="286">
        <v>0</v>
      </c>
      <c r="Q106" s="286">
        <v>0</v>
      </c>
      <c r="R106" s="286">
        <v>0</v>
      </c>
      <c r="S106" s="288">
        <f t="shared" si="11"/>
        <v>0</v>
      </c>
      <c r="T106" s="285">
        <f>ROUND(T105,2)</f>
        <v>340</v>
      </c>
      <c r="U106" s="15" t="s">
        <v>4</v>
      </c>
    </row>
    <row r="107" spans="1:21" ht="20.100000000000001" hidden="1" customHeight="1">
      <c r="A107" s="283">
        <v>4</v>
      </c>
      <c r="B107" s="289" t="s">
        <v>237</v>
      </c>
      <c r="C107" s="285">
        <f>ROUND('PART-A'!I580*0.125,2)</f>
        <v>0</v>
      </c>
      <c r="D107" s="285">
        <f>ROUND(FF!I153*0.125,2)</f>
        <v>0</v>
      </c>
      <c r="E107" s="285">
        <f>ROUND(SF!I96*0.125,2)</f>
        <v>0</v>
      </c>
      <c r="F107" s="285">
        <f t="shared" si="10"/>
        <v>0</v>
      </c>
      <c r="G107" s="285" t="s">
        <v>422</v>
      </c>
      <c r="H107" s="286">
        <v>0</v>
      </c>
      <c r="I107" s="15">
        <f t="shared" si="12"/>
        <v>0</v>
      </c>
      <c r="J107" s="286">
        <v>0</v>
      </c>
      <c r="K107" s="283">
        <v>0</v>
      </c>
      <c r="L107" s="15">
        <f t="shared" si="13"/>
        <v>0</v>
      </c>
      <c r="M107" s="283">
        <v>0</v>
      </c>
      <c r="N107" s="283">
        <v>0</v>
      </c>
      <c r="O107" s="286">
        <v>0</v>
      </c>
      <c r="P107" s="286">
        <v>0</v>
      </c>
      <c r="Q107" s="286">
        <v>0</v>
      </c>
      <c r="R107" s="286">
        <v>0</v>
      </c>
      <c r="S107" s="288">
        <f t="shared" si="11"/>
        <v>0</v>
      </c>
      <c r="T107" s="285">
        <f>ROUND(T105,2)</f>
        <v>340</v>
      </c>
      <c r="U107" s="15" t="s">
        <v>4</v>
      </c>
    </row>
    <row r="108" spans="1:21" ht="20.100000000000001" hidden="1" customHeight="1">
      <c r="A108" s="283">
        <v>9</v>
      </c>
      <c r="B108" s="289" t="s">
        <v>605</v>
      </c>
      <c r="C108" s="285">
        <f>ROUND('PART-A'!I604*0.1,2)</f>
        <v>0</v>
      </c>
      <c r="D108" s="285">
        <f>ROUND(FF!I174*0.1,2)</f>
        <v>0</v>
      </c>
      <c r="E108" s="285">
        <f>ROUND(SF!I116*0.1,2)</f>
        <v>0</v>
      </c>
      <c r="F108" s="285">
        <f t="shared" si="10"/>
        <v>0</v>
      </c>
      <c r="G108" s="285" t="s">
        <v>422</v>
      </c>
      <c r="H108" s="286">
        <v>0</v>
      </c>
      <c r="I108" s="15">
        <f t="shared" si="12"/>
        <v>0</v>
      </c>
      <c r="J108" s="286">
        <v>0</v>
      </c>
      <c r="K108" s="283">
        <v>0</v>
      </c>
      <c r="L108" s="15">
        <f t="shared" si="13"/>
        <v>0</v>
      </c>
      <c r="M108" s="283">
        <v>0</v>
      </c>
      <c r="N108" s="283">
        <v>0</v>
      </c>
      <c r="O108" s="286">
        <v>0</v>
      </c>
      <c r="P108" s="286">
        <v>0</v>
      </c>
      <c r="Q108" s="286">
        <v>0</v>
      </c>
      <c r="R108" s="286">
        <v>0</v>
      </c>
      <c r="S108" s="288">
        <f t="shared" si="11"/>
        <v>0</v>
      </c>
      <c r="T108" s="285">
        <f>T107</f>
        <v>340</v>
      </c>
      <c r="U108" s="15" t="s">
        <v>4</v>
      </c>
    </row>
    <row r="109" spans="1:21" ht="20.100000000000001" hidden="1" customHeight="1">
      <c r="A109" s="283">
        <v>9</v>
      </c>
      <c r="B109" s="289" t="s">
        <v>1230</v>
      </c>
      <c r="C109" s="285">
        <f>ROUND('PART-A'!I628*0.05,2)</f>
        <v>0</v>
      </c>
      <c r="D109" s="285">
        <f>ROUND(FF!I197*0.05,2)</f>
        <v>0</v>
      </c>
      <c r="E109" s="285">
        <f>ROUND(SF!I139*0.05,2)</f>
        <v>0</v>
      </c>
      <c r="F109" s="285">
        <f t="shared" si="10"/>
        <v>0</v>
      </c>
      <c r="G109" s="285" t="s">
        <v>422</v>
      </c>
      <c r="H109" s="286">
        <v>0</v>
      </c>
      <c r="I109" s="15">
        <f t="shared" si="12"/>
        <v>0</v>
      </c>
      <c r="J109" s="286">
        <v>0</v>
      </c>
      <c r="K109" s="283">
        <v>0</v>
      </c>
      <c r="L109" s="15">
        <f t="shared" si="13"/>
        <v>0</v>
      </c>
      <c r="M109" s="283">
        <v>0</v>
      </c>
      <c r="N109" s="283">
        <v>0</v>
      </c>
      <c r="O109" s="286">
        <v>0</v>
      </c>
      <c r="P109" s="286">
        <v>0</v>
      </c>
      <c r="Q109" s="286">
        <v>0</v>
      </c>
      <c r="R109" s="286">
        <v>0</v>
      </c>
      <c r="S109" s="288">
        <f t="shared" si="11"/>
        <v>0</v>
      </c>
      <c r="T109" s="285">
        <f>T108</f>
        <v>340</v>
      </c>
      <c r="U109" s="15" t="s">
        <v>4</v>
      </c>
    </row>
    <row r="110" spans="1:21" ht="20.100000000000001" hidden="1" customHeight="1">
      <c r="A110" s="283">
        <v>16</v>
      </c>
      <c r="B110" s="289" t="s">
        <v>1438</v>
      </c>
      <c r="C110" s="285">
        <f>ROUND('PART-A'!I655*0.025,2)</f>
        <v>0</v>
      </c>
      <c r="D110" s="285">
        <f>ROUND(FF!I221*0.025,2)</f>
        <v>0</v>
      </c>
      <c r="E110" s="285">
        <f>ROUND(SF!I163*0.025,2)</f>
        <v>0</v>
      </c>
      <c r="F110" s="285">
        <f t="shared" si="10"/>
        <v>0</v>
      </c>
      <c r="G110" s="285" t="s">
        <v>422</v>
      </c>
      <c r="H110" s="286">
        <v>0</v>
      </c>
      <c r="I110" s="15">
        <f t="shared" si="12"/>
        <v>0</v>
      </c>
      <c r="J110" s="286">
        <v>0</v>
      </c>
      <c r="K110" s="283">
        <v>0</v>
      </c>
      <c r="L110" s="15">
        <f t="shared" si="13"/>
        <v>0</v>
      </c>
      <c r="M110" s="283">
        <v>0</v>
      </c>
      <c r="N110" s="283">
        <v>0</v>
      </c>
      <c r="O110" s="286">
        <v>0</v>
      </c>
      <c r="P110" s="286">
        <v>0</v>
      </c>
      <c r="Q110" s="286">
        <v>0</v>
      </c>
      <c r="R110" s="286">
        <v>0</v>
      </c>
      <c r="S110" s="288">
        <f t="shared" si="11"/>
        <v>0</v>
      </c>
      <c r="T110" s="285">
        <f>T109</f>
        <v>340</v>
      </c>
      <c r="U110" s="15" t="s">
        <v>4</v>
      </c>
    </row>
    <row r="111" spans="1:21" ht="20.100000000000001" hidden="1" customHeight="1">
      <c r="A111" s="283">
        <v>5</v>
      </c>
      <c r="B111" s="207" t="s">
        <v>129</v>
      </c>
      <c r="C111" s="285">
        <f>'PART-A'!I693</f>
        <v>0</v>
      </c>
      <c r="D111" s="285">
        <f>FF!I270</f>
        <v>0</v>
      </c>
      <c r="E111" s="285">
        <f>SF!I190</f>
        <v>0</v>
      </c>
      <c r="F111" s="285">
        <f t="shared" si="10"/>
        <v>0</v>
      </c>
      <c r="G111" s="285" t="s">
        <v>421</v>
      </c>
      <c r="H111" s="286">
        <v>0</v>
      </c>
      <c r="I111" s="15">
        <f t="shared" si="12"/>
        <v>0</v>
      </c>
      <c r="J111" s="286">
        <v>0</v>
      </c>
      <c r="K111" s="283">
        <v>0</v>
      </c>
      <c r="L111" s="15">
        <f t="shared" si="13"/>
        <v>0</v>
      </c>
      <c r="M111" s="283">
        <v>0</v>
      </c>
      <c r="N111" s="283">
        <v>0</v>
      </c>
      <c r="O111" s="286">
        <v>0</v>
      </c>
      <c r="P111" s="286">
        <v>0</v>
      </c>
      <c r="Q111" s="286">
        <v>0</v>
      </c>
      <c r="R111" s="286">
        <v>0</v>
      </c>
      <c r="S111" s="288">
        <f t="shared" si="11"/>
        <v>0</v>
      </c>
      <c r="T111" s="285">
        <f>$T$101</f>
        <v>340</v>
      </c>
      <c r="U111" s="15" t="s">
        <v>4</v>
      </c>
    </row>
    <row r="112" spans="1:21" ht="20.100000000000001" hidden="1" customHeight="1">
      <c r="A112" s="283">
        <v>6</v>
      </c>
      <c r="B112" s="207" t="s">
        <v>130</v>
      </c>
      <c r="C112" s="285">
        <f>'PART-A'!I778</f>
        <v>0</v>
      </c>
      <c r="D112" s="285">
        <f>FF!I295</f>
        <v>0</v>
      </c>
      <c r="E112" s="285">
        <f>SF!I212</f>
        <v>0</v>
      </c>
      <c r="F112" s="285">
        <f t="shared" si="10"/>
        <v>0</v>
      </c>
      <c r="G112" s="285" t="s">
        <v>82</v>
      </c>
      <c r="H112" s="286">
        <v>0</v>
      </c>
      <c r="I112" s="15">
        <f>ROUND(F112*0.0375*0.8,2)</f>
        <v>0</v>
      </c>
      <c r="J112" s="286">
        <v>0</v>
      </c>
      <c r="K112" s="283">
        <v>0</v>
      </c>
      <c r="L112" s="15">
        <f>ROUND(F112*0.0375*0.4,2)</f>
        <v>0</v>
      </c>
      <c r="M112" s="283">
        <v>0</v>
      </c>
      <c r="N112" s="283">
        <v>0</v>
      </c>
      <c r="O112" s="286">
        <v>0</v>
      </c>
      <c r="P112" s="286">
        <v>0</v>
      </c>
      <c r="Q112" s="286">
        <v>0</v>
      </c>
      <c r="R112" s="286">
        <v>0</v>
      </c>
      <c r="S112" s="288">
        <f t="shared" si="11"/>
        <v>0</v>
      </c>
      <c r="T112" s="290">
        <f>ROUND(T111*0.0375,2)</f>
        <v>12.75</v>
      </c>
      <c r="U112" s="15" t="s">
        <v>4</v>
      </c>
    </row>
    <row r="113" spans="1:21" ht="20.100000000000001" hidden="1" customHeight="1">
      <c r="A113" s="283">
        <v>4</v>
      </c>
      <c r="B113" s="289" t="s">
        <v>1439</v>
      </c>
      <c r="C113" s="285">
        <f>'PART-A'!I803</f>
        <v>0</v>
      </c>
      <c r="D113" s="285">
        <f>FF!I320</f>
        <v>0</v>
      </c>
      <c r="E113" s="285">
        <f>SF!I232</f>
        <v>0</v>
      </c>
      <c r="F113" s="285">
        <f t="shared" si="10"/>
        <v>0</v>
      </c>
      <c r="G113" s="285" t="s">
        <v>422</v>
      </c>
      <c r="H113" s="286">
        <v>0</v>
      </c>
      <c r="I113" s="286">
        <v>0</v>
      </c>
      <c r="J113" s="286">
        <v>0</v>
      </c>
      <c r="K113" s="283">
        <v>0</v>
      </c>
      <c r="L113" s="286">
        <v>0</v>
      </c>
      <c r="M113" s="283">
        <v>0</v>
      </c>
      <c r="N113" s="15">
        <f>ROUND(F113*0.015*1.05,2)</f>
        <v>0</v>
      </c>
      <c r="O113" s="286">
        <v>0</v>
      </c>
      <c r="P113" s="286">
        <v>0</v>
      </c>
      <c r="Q113" s="286">
        <v>0</v>
      </c>
      <c r="R113" s="286">
        <v>0</v>
      </c>
      <c r="S113" s="288">
        <f t="shared" si="11"/>
        <v>0</v>
      </c>
      <c r="T113" s="285">
        <v>7.2</v>
      </c>
      <c r="U113" s="15" t="s">
        <v>4</v>
      </c>
    </row>
    <row r="114" spans="1:21" ht="20.100000000000001" hidden="1" customHeight="1">
      <c r="A114" s="283">
        <v>12</v>
      </c>
      <c r="B114" s="289" t="s">
        <v>1225</v>
      </c>
      <c r="C114" s="285">
        <f>'PART-A'!I828</f>
        <v>0</v>
      </c>
      <c r="D114" s="285">
        <f>FF!I344</f>
        <v>0</v>
      </c>
      <c r="E114" s="285">
        <f>SF!I255</f>
        <v>0</v>
      </c>
      <c r="F114" s="285">
        <f t="shared" si="10"/>
        <v>0</v>
      </c>
      <c r="G114" s="285" t="s">
        <v>422</v>
      </c>
      <c r="H114" s="286">
        <v>0</v>
      </c>
      <c r="I114" s="286">
        <v>0</v>
      </c>
      <c r="J114" s="286">
        <v>0</v>
      </c>
      <c r="K114" s="283">
        <v>0</v>
      </c>
      <c r="L114" s="286">
        <v>0</v>
      </c>
      <c r="M114" s="283">
        <v>0</v>
      </c>
      <c r="N114" s="15">
        <f>ROUND(F114*0.021*1.05,2)</f>
        <v>0</v>
      </c>
      <c r="O114" s="286">
        <v>0</v>
      </c>
      <c r="P114" s="286">
        <v>0</v>
      </c>
      <c r="Q114" s="286">
        <v>0</v>
      </c>
      <c r="R114" s="286">
        <v>0</v>
      </c>
      <c r="S114" s="288">
        <f t="shared" si="11"/>
        <v>0</v>
      </c>
      <c r="T114" s="285">
        <v>10.08</v>
      </c>
      <c r="U114" s="15" t="s">
        <v>4</v>
      </c>
    </row>
    <row r="115" spans="1:21" ht="20.100000000000001" hidden="1" customHeight="1">
      <c r="A115" s="283">
        <v>13</v>
      </c>
      <c r="B115" s="207" t="s">
        <v>1193</v>
      </c>
      <c r="C115" s="285">
        <f>'PART-A'!I855</f>
        <v>0</v>
      </c>
      <c r="D115" s="285"/>
      <c r="E115" s="285"/>
      <c r="F115" s="285">
        <f t="shared" si="10"/>
        <v>0</v>
      </c>
      <c r="G115" s="285" t="s">
        <v>421</v>
      </c>
      <c r="H115" s="286">
        <v>0</v>
      </c>
      <c r="I115" s="286">
        <v>0</v>
      </c>
      <c r="J115" s="286">
        <v>0</v>
      </c>
      <c r="K115" s="15">
        <f>ROUND(F115*1.1,2)</f>
        <v>0</v>
      </c>
      <c r="L115" s="286">
        <v>0</v>
      </c>
      <c r="M115" s="15">
        <f>ROUND(F115*0.33,2)</f>
        <v>0</v>
      </c>
      <c r="N115" s="286">
        <v>0</v>
      </c>
      <c r="O115" s="286">
        <v>0</v>
      </c>
      <c r="P115" s="286">
        <v>0</v>
      </c>
      <c r="Q115" s="15"/>
      <c r="R115" s="286">
        <v>0</v>
      </c>
      <c r="S115" s="288">
        <f t="shared" si="11"/>
        <v>0</v>
      </c>
      <c r="T115" s="285">
        <v>59.4</v>
      </c>
      <c r="U115" s="15" t="s">
        <v>4</v>
      </c>
    </row>
    <row r="116" spans="1:21" ht="20.100000000000001" hidden="1" customHeight="1">
      <c r="A116" s="283">
        <v>24</v>
      </c>
      <c r="B116" s="207" t="s">
        <v>134</v>
      </c>
      <c r="C116" s="285">
        <f>'PART-A'!I896</f>
        <v>0</v>
      </c>
      <c r="D116" s="285">
        <f>FF!I368</f>
        <v>0</v>
      </c>
      <c r="E116" s="285">
        <f>SF!I282</f>
        <v>0</v>
      </c>
      <c r="F116" s="285">
        <f t="shared" si="10"/>
        <v>0</v>
      </c>
      <c r="G116" s="285" t="s">
        <v>421</v>
      </c>
      <c r="H116" s="286">
        <v>0</v>
      </c>
      <c r="I116" s="286">
        <v>0</v>
      </c>
      <c r="J116" s="286">
        <v>0</v>
      </c>
      <c r="K116" s="283">
        <v>0</v>
      </c>
      <c r="L116" s="286">
        <v>0</v>
      </c>
      <c r="M116" s="15">
        <f>ROUND(F116*0.2,2)</f>
        <v>0</v>
      </c>
      <c r="N116" s="286">
        <v>0</v>
      </c>
      <c r="O116" s="286">
        <v>0</v>
      </c>
      <c r="P116" s="286">
        <v>0</v>
      </c>
      <c r="Q116" s="15">
        <f>ROUND(F116*512/1000,2)</f>
        <v>0</v>
      </c>
      <c r="R116" s="286">
        <v>0</v>
      </c>
      <c r="S116" s="288">
        <f t="shared" si="11"/>
        <v>0</v>
      </c>
      <c r="T116" s="285">
        <v>36</v>
      </c>
      <c r="U116" s="15" t="s">
        <v>4</v>
      </c>
    </row>
    <row r="117" spans="1:21" ht="20.100000000000001" hidden="1" customHeight="1">
      <c r="A117" s="283">
        <v>19</v>
      </c>
      <c r="B117" s="207" t="s">
        <v>906</v>
      </c>
      <c r="C117" s="285">
        <f>'PART-A'!I956</f>
        <v>0</v>
      </c>
      <c r="D117" s="285">
        <f>FF!I454</f>
        <v>0</v>
      </c>
      <c r="E117" s="285">
        <f>SF!I312</f>
        <v>0</v>
      </c>
      <c r="F117" s="285">
        <f t="shared" si="10"/>
        <v>0</v>
      </c>
      <c r="G117" s="285" t="s">
        <v>421</v>
      </c>
      <c r="H117" s="286">
        <v>0</v>
      </c>
      <c r="I117" s="286">
        <v>0</v>
      </c>
      <c r="J117" s="286">
        <v>0</v>
      </c>
      <c r="K117" s="283">
        <v>0</v>
      </c>
      <c r="L117" s="286">
        <v>0</v>
      </c>
      <c r="M117" s="15">
        <f>ROUND(F117*0.2,2)</f>
        <v>0</v>
      </c>
      <c r="N117" s="286">
        <v>0</v>
      </c>
      <c r="O117" s="286">
        <v>0</v>
      </c>
      <c r="P117" s="286">
        <v>0</v>
      </c>
      <c r="Q117" s="15">
        <f>ROUND(F117*512/1000,2)</f>
        <v>0</v>
      </c>
      <c r="R117" s="286">
        <v>0</v>
      </c>
      <c r="S117" s="288">
        <f t="shared" si="11"/>
        <v>0</v>
      </c>
      <c r="T117" s="285">
        <v>48</v>
      </c>
      <c r="U117" s="15" t="s">
        <v>4</v>
      </c>
    </row>
    <row r="118" spans="1:21" ht="20.100000000000001" hidden="1" customHeight="1">
      <c r="A118" s="283">
        <v>9</v>
      </c>
      <c r="B118" s="207" t="s">
        <v>3686</v>
      </c>
      <c r="C118" s="285">
        <f>'PART-A'!I1067</f>
        <v>0</v>
      </c>
      <c r="D118" s="285">
        <f>FF!I541</f>
        <v>0</v>
      </c>
      <c r="E118" s="285">
        <f>SF!I339</f>
        <v>0</v>
      </c>
      <c r="F118" s="285">
        <f t="shared" si="10"/>
        <v>0</v>
      </c>
      <c r="G118" s="285" t="s">
        <v>422</v>
      </c>
      <c r="H118" s="286">
        <v>0</v>
      </c>
      <c r="I118" s="15"/>
      <c r="J118" s="286">
        <v>0</v>
      </c>
      <c r="K118" s="283">
        <v>0</v>
      </c>
      <c r="L118" s="286">
        <v>0</v>
      </c>
      <c r="M118" s="15">
        <f>ROUND(F118*0.022,2)</f>
        <v>0</v>
      </c>
      <c r="N118" s="286">
        <v>0</v>
      </c>
      <c r="O118" s="286">
        <v>0</v>
      </c>
      <c r="P118" s="286">
        <v>0</v>
      </c>
      <c r="Q118" s="15">
        <f>ROUND(F118*512*0.1/1000,2)</f>
        <v>0</v>
      </c>
      <c r="R118" s="286">
        <v>0</v>
      </c>
      <c r="S118" s="288">
        <f t="shared" si="11"/>
        <v>0</v>
      </c>
      <c r="T118" s="285">
        <v>7.2</v>
      </c>
      <c r="U118" s="15" t="s">
        <v>4</v>
      </c>
    </row>
    <row r="119" spans="1:21" ht="20.100000000000001" hidden="1" customHeight="1">
      <c r="A119" s="283">
        <v>16</v>
      </c>
      <c r="B119" s="207" t="s">
        <v>1213</v>
      </c>
      <c r="C119" s="285">
        <f>'PART-A'!I1145</f>
        <v>0</v>
      </c>
      <c r="D119" s="285">
        <f>FF!I571</f>
        <v>0</v>
      </c>
      <c r="E119" s="285">
        <f>SF!I368</f>
        <v>0</v>
      </c>
      <c r="F119" s="285">
        <f t="shared" si="10"/>
        <v>0</v>
      </c>
      <c r="G119" s="285" t="s">
        <v>421</v>
      </c>
      <c r="H119" s="286">
        <v>0</v>
      </c>
      <c r="I119" s="286">
        <v>0</v>
      </c>
      <c r="J119" s="286">
        <v>0</v>
      </c>
      <c r="K119" s="283">
        <v>0</v>
      </c>
      <c r="L119" s="286">
        <v>0</v>
      </c>
      <c r="M119" s="15">
        <f>ROUND(F119*0.1*1.05,2)</f>
        <v>0</v>
      </c>
      <c r="N119" s="286">
        <v>0</v>
      </c>
      <c r="O119" s="286">
        <v>0</v>
      </c>
      <c r="P119" s="286">
        <v>0</v>
      </c>
      <c r="Q119" s="15">
        <f>ROUND(F119*110/1000,2)</f>
        <v>0</v>
      </c>
      <c r="R119" s="286">
        <v>0</v>
      </c>
      <c r="S119" s="288">
        <f t="shared" si="11"/>
        <v>0</v>
      </c>
      <c r="T119" s="285">
        <v>24</v>
      </c>
      <c r="U119" s="15" t="s">
        <v>4</v>
      </c>
    </row>
    <row r="120" spans="1:21" ht="20.100000000000001" hidden="1" customHeight="1">
      <c r="A120" s="283">
        <v>20</v>
      </c>
      <c r="B120" s="289" t="s">
        <v>1214</v>
      </c>
      <c r="C120" s="285">
        <f>'PART-A'!I1171</f>
        <v>0</v>
      </c>
      <c r="D120" s="285">
        <f>FF!I596</f>
        <v>0</v>
      </c>
      <c r="E120" s="285"/>
      <c r="F120" s="285">
        <f t="shared" si="10"/>
        <v>0</v>
      </c>
      <c r="G120" s="285" t="s">
        <v>422</v>
      </c>
      <c r="H120" s="286">
        <v>0</v>
      </c>
      <c r="I120" s="286">
        <v>0</v>
      </c>
      <c r="J120" s="286">
        <v>0</v>
      </c>
      <c r="K120" s="283">
        <v>0</v>
      </c>
      <c r="L120" s="286">
        <v>0</v>
      </c>
      <c r="M120" s="286">
        <v>0</v>
      </c>
      <c r="N120" s="15">
        <f>ROUND(F120*((0.015*1.05)+(0.025*1.05)),2)</f>
        <v>0</v>
      </c>
      <c r="O120" s="286">
        <v>0</v>
      </c>
      <c r="P120" s="286">
        <v>0</v>
      </c>
      <c r="Q120" s="286">
        <v>0</v>
      </c>
      <c r="R120" s="286">
        <v>0</v>
      </c>
      <c r="S120" s="288">
        <f t="shared" si="11"/>
        <v>0</v>
      </c>
      <c r="T120" s="285">
        <v>20.89</v>
      </c>
      <c r="U120" s="15" t="s">
        <v>4</v>
      </c>
    </row>
    <row r="121" spans="1:21" ht="20.100000000000001" hidden="1" customHeight="1">
      <c r="A121" s="283">
        <v>21</v>
      </c>
      <c r="B121" s="289" t="s">
        <v>137</v>
      </c>
      <c r="C121" s="285">
        <f>'PART-A'!I1247</f>
        <v>0</v>
      </c>
      <c r="D121" s="285">
        <f>FF!I659</f>
        <v>0</v>
      </c>
      <c r="E121" s="285">
        <f>SF!I397</f>
        <v>0</v>
      </c>
      <c r="F121" s="285">
        <f t="shared" si="10"/>
        <v>0</v>
      </c>
      <c r="G121" s="285" t="s">
        <v>422</v>
      </c>
      <c r="H121" s="286">
        <v>0</v>
      </c>
      <c r="I121" s="286">
        <v>0</v>
      </c>
      <c r="J121" s="286">
        <v>0</v>
      </c>
      <c r="K121" s="283">
        <v>0</v>
      </c>
      <c r="L121" s="286">
        <v>0</v>
      </c>
      <c r="M121" s="286">
        <v>0</v>
      </c>
      <c r="N121" s="15">
        <f>ROUND(F121*0.015*1.05,2)</f>
        <v>0</v>
      </c>
      <c r="O121" s="286">
        <v>0</v>
      </c>
      <c r="P121" s="286">
        <v>0</v>
      </c>
      <c r="Q121" s="286">
        <v>0</v>
      </c>
      <c r="R121" s="286">
        <v>0</v>
      </c>
      <c r="S121" s="288">
        <f t="shared" si="11"/>
        <v>0</v>
      </c>
      <c r="T121" s="285">
        <v>7.2</v>
      </c>
      <c r="U121" s="15" t="s">
        <v>4</v>
      </c>
    </row>
    <row r="122" spans="1:21" ht="20.100000000000001" hidden="1" customHeight="1">
      <c r="A122" s="283">
        <v>25</v>
      </c>
      <c r="B122" s="289" t="s">
        <v>238</v>
      </c>
      <c r="C122" s="285">
        <f>'PART-A'!I1287</f>
        <v>0</v>
      </c>
      <c r="D122" s="285">
        <f>FF!I702</f>
        <v>0</v>
      </c>
      <c r="E122" s="285">
        <f>SF!I428</f>
        <v>0</v>
      </c>
      <c r="F122" s="285">
        <f t="shared" si="10"/>
        <v>0</v>
      </c>
      <c r="G122" s="285" t="s">
        <v>422</v>
      </c>
      <c r="H122" s="286">
        <v>0</v>
      </c>
      <c r="I122" s="286">
        <v>0</v>
      </c>
      <c r="J122" s="286">
        <v>0</v>
      </c>
      <c r="K122" s="283">
        <v>0</v>
      </c>
      <c r="L122" s="286">
        <v>0</v>
      </c>
      <c r="M122" s="286">
        <v>0</v>
      </c>
      <c r="N122" s="15">
        <f>ROUND(F122*0.015*1.05,2)</f>
        <v>0</v>
      </c>
      <c r="O122" s="286">
        <v>0</v>
      </c>
      <c r="P122" s="286">
        <v>0</v>
      </c>
      <c r="Q122" s="286">
        <v>0</v>
      </c>
      <c r="R122" s="286">
        <v>0</v>
      </c>
      <c r="S122" s="288">
        <f t="shared" si="11"/>
        <v>0</v>
      </c>
      <c r="T122" s="285">
        <v>4.32</v>
      </c>
      <c r="U122" s="15" t="s">
        <v>4</v>
      </c>
    </row>
    <row r="123" spans="1:21" ht="20.100000000000001" hidden="1" customHeight="1">
      <c r="A123" s="283">
        <v>3</v>
      </c>
      <c r="B123" s="289" t="s">
        <v>604</v>
      </c>
      <c r="C123" s="285">
        <f>'PART-A'!I1313</f>
        <v>0</v>
      </c>
      <c r="D123" s="285">
        <f>FF!I734</f>
        <v>0</v>
      </c>
      <c r="E123" s="285">
        <f>SF!I460</f>
        <v>0</v>
      </c>
      <c r="F123" s="285">
        <f t="shared" si="10"/>
        <v>0</v>
      </c>
      <c r="G123" s="285" t="s">
        <v>422</v>
      </c>
      <c r="H123" s="286">
        <v>0</v>
      </c>
      <c r="I123" s="286">
        <v>0</v>
      </c>
      <c r="J123" s="286">
        <v>0</v>
      </c>
      <c r="K123" s="283">
        <v>0</v>
      </c>
      <c r="L123" s="286">
        <v>0</v>
      </c>
      <c r="M123" s="286">
        <v>0</v>
      </c>
      <c r="N123" s="15">
        <f>ROUND(F123*0.021*1.05,2)</f>
        <v>0</v>
      </c>
      <c r="O123" s="286">
        <v>0</v>
      </c>
      <c r="P123" s="286">
        <v>0</v>
      </c>
      <c r="Q123" s="286">
        <v>0</v>
      </c>
      <c r="R123" s="286">
        <v>0</v>
      </c>
      <c r="S123" s="288">
        <f t="shared" si="11"/>
        <v>0</v>
      </c>
      <c r="T123" s="285">
        <v>6.05</v>
      </c>
      <c r="U123" s="15" t="s">
        <v>4</v>
      </c>
    </row>
    <row r="124" spans="1:21" ht="20.100000000000001" hidden="1" customHeight="1">
      <c r="A124" s="283">
        <v>22</v>
      </c>
      <c r="B124" s="289" t="s">
        <v>904</v>
      </c>
      <c r="C124" s="285">
        <f>'PART-A'!I1431</f>
        <v>0</v>
      </c>
      <c r="D124" s="285">
        <f>FF!I830</f>
        <v>0</v>
      </c>
      <c r="E124" s="285">
        <f>SF!I496</f>
        <v>0</v>
      </c>
      <c r="F124" s="285">
        <f t="shared" si="10"/>
        <v>0</v>
      </c>
      <c r="G124" s="285" t="s">
        <v>422</v>
      </c>
      <c r="H124" s="286">
        <v>0</v>
      </c>
      <c r="I124" s="286">
        <v>0</v>
      </c>
      <c r="J124" s="286">
        <v>0</v>
      </c>
      <c r="K124" s="283">
        <v>0</v>
      </c>
      <c r="L124" s="286">
        <v>0</v>
      </c>
      <c r="M124" s="286">
        <v>0</v>
      </c>
      <c r="N124" s="15">
        <f>ROUND(F124*0.015*1,2)</f>
        <v>0</v>
      </c>
      <c r="O124" s="286">
        <v>0</v>
      </c>
      <c r="P124" s="286">
        <v>0</v>
      </c>
      <c r="Q124" s="286">
        <v>0</v>
      </c>
      <c r="R124" s="286">
        <v>0</v>
      </c>
      <c r="S124" s="288">
        <f t="shared" si="11"/>
        <v>0</v>
      </c>
      <c r="T124" s="285">
        <v>5.09</v>
      </c>
      <c r="U124" s="15" t="s">
        <v>4</v>
      </c>
    </row>
    <row r="125" spans="1:21" ht="20.100000000000001" hidden="1" customHeight="1">
      <c r="A125" s="283">
        <v>23</v>
      </c>
      <c r="B125" s="289" t="s">
        <v>603</v>
      </c>
      <c r="C125" s="285">
        <f>'PART-A'!I1482</f>
        <v>0</v>
      </c>
      <c r="D125" s="285">
        <f>FF!I897</f>
        <v>0</v>
      </c>
      <c r="E125" s="285">
        <f>SF!I532</f>
        <v>0</v>
      </c>
      <c r="F125" s="285">
        <f t="shared" si="10"/>
        <v>0</v>
      </c>
      <c r="G125" s="285" t="s">
        <v>422</v>
      </c>
      <c r="H125" s="286">
        <v>0</v>
      </c>
      <c r="I125" s="286">
        <v>0</v>
      </c>
      <c r="J125" s="286">
        <v>0</v>
      </c>
      <c r="K125" s="283">
        <v>0</v>
      </c>
      <c r="L125" s="286">
        <v>0</v>
      </c>
      <c r="M125" s="286">
        <v>0</v>
      </c>
      <c r="N125" s="15">
        <f>ROUND(F125*0.022*1,2)</f>
        <v>0</v>
      </c>
      <c r="O125" s="286">
        <v>0</v>
      </c>
      <c r="P125" s="286">
        <v>0</v>
      </c>
      <c r="Q125" s="286">
        <v>0</v>
      </c>
      <c r="R125" s="286">
        <v>0</v>
      </c>
      <c r="S125" s="288">
        <f t="shared" si="11"/>
        <v>0</v>
      </c>
      <c r="T125" s="285">
        <v>5.75</v>
      </c>
      <c r="U125" s="15" t="s">
        <v>4</v>
      </c>
    </row>
    <row r="126" spans="1:21" ht="20.100000000000001" hidden="1" customHeight="1">
      <c r="A126" s="283">
        <v>19</v>
      </c>
      <c r="B126" s="207" t="s">
        <v>447</v>
      </c>
      <c r="C126" s="285">
        <f>'PART-A'!I1523</f>
        <v>0</v>
      </c>
      <c r="D126" s="285">
        <f>FF!I925</f>
        <v>0</v>
      </c>
      <c r="E126" s="285">
        <f>SF!I554</f>
        <v>0</v>
      </c>
      <c r="F126" s="285">
        <f t="shared" si="10"/>
        <v>0</v>
      </c>
      <c r="G126" s="285" t="s">
        <v>421</v>
      </c>
      <c r="H126" s="286">
        <v>0</v>
      </c>
      <c r="I126" s="15">
        <f>ROUND(F126*0.8,2)</f>
        <v>0</v>
      </c>
      <c r="J126" s="286">
        <v>0</v>
      </c>
      <c r="K126" s="283">
        <v>0</v>
      </c>
      <c r="L126" s="15">
        <f>ROUND(F126*0.4,2)</f>
        <v>0</v>
      </c>
      <c r="M126" s="283">
        <v>0</v>
      </c>
      <c r="N126" s="283">
        <v>0</v>
      </c>
      <c r="O126" s="286">
        <v>0</v>
      </c>
      <c r="P126" s="286">
        <v>0</v>
      </c>
      <c r="Q126" s="286">
        <v>0</v>
      </c>
      <c r="R126" s="286">
        <v>0</v>
      </c>
      <c r="S126" s="288">
        <f t="shared" si="11"/>
        <v>0</v>
      </c>
      <c r="T126" s="285">
        <f>$T$101</f>
        <v>340</v>
      </c>
      <c r="U126" s="15" t="s">
        <v>4</v>
      </c>
    </row>
    <row r="127" spans="1:21" ht="20.100000000000001" hidden="1" customHeight="1">
      <c r="A127" s="283">
        <v>7</v>
      </c>
      <c r="B127" s="289" t="s">
        <v>241</v>
      </c>
      <c r="C127" s="285">
        <f>'PART-A'!I1563</f>
        <v>0</v>
      </c>
      <c r="D127" s="285">
        <f>FF!I956</f>
        <v>0</v>
      </c>
      <c r="E127" s="285">
        <f>SF!I577</f>
        <v>0</v>
      </c>
      <c r="F127" s="285">
        <f t="shared" si="10"/>
        <v>0</v>
      </c>
      <c r="G127" s="285" t="s">
        <v>422</v>
      </c>
      <c r="H127" s="286">
        <v>0</v>
      </c>
      <c r="I127" s="286">
        <v>0</v>
      </c>
      <c r="J127" s="286">
        <v>0</v>
      </c>
      <c r="K127" s="283">
        <v>0</v>
      </c>
      <c r="L127" s="286">
        <v>0</v>
      </c>
      <c r="M127" s="15">
        <f>ROUND(F127*0.014,2)</f>
        <v>0</v>
      </c>
      <c r="N127" s="286">
        <v>0</v>
      </c>
      <c r="O127" s="286">
        <v>0</v>
      </c>
      <c r="P127" s="286">
        <v>0</v>
      </c>
      <c r="Q127" s="286">
        <v>0</v>
      </c>
      <c r="R127" s="286">
        <v>0</v>
      </c>
      <c r="S127" s="288">
        <f t="shared" si="11"/>
        <v>0</v>
      </c>
      <c r="T127" s="285">
        <v>6.06</v>
      </c>
      <c r="U127" s="15" t="s">
        <v>4</v>
      </c>
    </row>
    <row r="128" spans="1:21" ht="20.100000000000001" hidden="1" customHeight="1">
      <c r="A128" s="283">
        <v>8</v>
      </c>
      <c r="B128" s="289" t="s">
        <v>242</v>
      </c>
      <c r="C128" s="285">
        <f>'PART-A'!I1632</f>
        <v>0</v>
      </c>
      <c r="D128" s="285">
        <f>FF!I995</f>
        <v>0</v>
      </c>
      <c r="E128" s="285">
        <f>SF!I604</f>
        <v>0</v>
      </c>
      <c r="F128" s="285">
        <f t="shared" si="10"/>
        <v>0</v>
      </c>
      <c r="G128" s="285" t="s">
        <v>422</v>
      </c>
      <c r="H128" s="286">
        <v>0</v>
      </c>
      <c r="I128" s="286">
        <v>0</v>
      </c>
      <c r="J128" s="286">
        <v>0</v>
      </c>
      <c r="K128" s="283">
        <v>0</v>
      </c>
      <c r="L128" s="286">
        <v>0</v>
      </c>
      <c r="M128" s="15">
        <f>ROUND(F128*0.012,2)</f>
        <v>0</v>
      </c>
      <c r="N128" s="286">
        <v>0</v>
      </c>
      <c r="O128" s="286">
        <v>0</v>
      </c>
      <c r="P128" s="286">
        <v>0</v>
      </c>
      <c r="Q128" s="286">
        <v>0</v>
      </c>
      <c r="R128" s="286">
        <v>0</v>
      </c>
      <c r="S128" s="288">
        <f t="shared" si="11"/>
        <v>0</v>
      </c>
      <c r="T128" s="290">
        <v>6.7560000000000002</v>
      </c>
      <c r="U128" s="15" t="s">
        <v>4</v>
      </c>
    </row>
    <row r="129" spans="1:21" ht="20.100000000000001" hidden="1" customHeight="1">
      <c r="A129" s="283">
        <v>9</v>
      </c>
      <c r="B129" s="289" t="s">
        <v>681</v>
      </c>
      <c r="C129" s="285">
        <f>'PART-A'!I1688</f>
        <v>0</v>
      </c>
      <c r="D129" s="285">
        <f>FF!I1024</f>
        <v>0</v>
      </c>
      <c r="E129" s="285">
        <f>SF!I632</f>
        <v>0</v>
      </c>
      <c r="F129" s="285">
        <f t="shared" si="10"/>
        <v>0</v>
      </c>
      <c r="G129" s="285" t="s">
        <v>422</v>
      </c>
      <c r="H129" s="286">
        <v>0</v>
      </c>
      <c r="I129" s="286">
        <v>0</v>
      </c>
      <c r="J129" s="286">
        <v>0</v>
      </c>
      <c r="K129" s="283">
        <v>0</v>
      </c>
      <c r="L129" s="286">
        <v>0</v>
      </c>
      <c r="M129" s="15">
        <f>ROUND(F129*0.014,2)</f>
        <v>0</v>
      </c>
      <c r="N129" s="286">
        <v>0</v>
      </c>
      <c r="O129" s="286">
        <v>0</v>
      </c>
      <c r="P129" s="286">
        <v>0</v>
      </c>
      <c r="Q129" s="286">
        <v>0</v>
      </c>
      <c r="R129" s="286">
        <v>0</v>
      </c>
      <c r="S129" s="288">
        <f t="shared" si="11"/>
        <v>0</v>
      </c>
      <c r="T129" s="285">
        <v>7.5</v>
      </c>
      <c r="U129" s="15" t="s">
        <v>4</v>
      </c>
    </row>
    <row r="130" spans="1:21" ht="20.100000000000001" hidden="1" customHeight="1">
      <c r="A130" s="283">
        <v>10</v>
      </c>
      <c r="B130" s="289" t="s">
        <v>682</v>
      </c>
      <c r="C130" s="285">
        <f>'PART-A'!I1743</f>
        <v>0</v>
      </c>
      <c r="D130" s="285">
        <f>FF!I1064</f>
        <v>0</v>
      </c>
      <c r="E130" s="285">
        <f>SF!I660</f>
        <v>0</v>
      </c>
      <c r="F130" s="285">
        <f t="shared" si="10"/>
        <v>0</v>
      </c>
      <c r="G130" s="285" t="s">
        <v>422</v>
      </c>
      <c r="H130" s="286">
        <v>0</v>
      </c>
      <c r="I130" s="286">
        <v>0</v>
      </c>
      <c r="J130" s="286">
        <v>0</v>
      </c>
      <c r="K130" s="283">
        <v>0</v>
      </c>
      <c r="L130" s="286">
        <v>0</v>
      </c>
      <c r="M130" s="15">
        <f>ROUND(F130*0.012,2)</f>
        <v>0</v>
      </c>
      <c r="N130" s="286">
        <v>0</v>
      </c>
      <c r="O130" s="286">
        <v>0</v>
      </c>
      <c r="P130" s="286">
        <v>0</v>
      </c>
      <c r="Q130" s="286">
        <v>0</v>
      </c>
      <c r="R130" s="286">
        <v>0</v>
      </c>
      <c r="S130" s="288">
        <f t="shared" si="11"/>
        <v>0</v>
      </c>
      <c r="T130" s="290">
        <v>9.06</v>
      </c>
      <c r="U130" s="15" t="s">
        <v>4</v>
      </c>
    </row>
    <row r="131" spans="1:21" ht="20.100000000000001" hidden="1" customHeight="1">
      <c r="A131" s="283">
        <v>37</v>
      </c>
      <c r="B131" s="289" t="s">
        <v>683</v>
      </c>
      <c r="C131" s="285">
        <f>'PART-A'!I1784</f>
        <v>0</v>
      </c>
      <c r="D131" s="285">
        <f>FF!I1108</f>
        <v>0</v>
      </c>
      <c r="E131" s="285">
        <f>SF!I688</f>
        <v>0</v>
      </c>
      <c r="F131" s="285">
        <f t="shared" si="10"/>
        <v>0</v>
      </c>
      <c r="G131" s="285" t="s">
        <v>422</v>
      </c>
      <c r="H131" s="286">
        <v>0</v>
      </c>
      <c r="I131" s="286">
        <v>0</v>
      </c>
      <c r="J131" s="286">
        <v>0</v>
      </c>
      <c r="K131" s="283">
        <v>0</v>
      </c>
      <c r="L131" s="286">
        <v>0</v>
      </c>
      <c r="M131" s="15">
        <f>ROUND(F131*0.014,2)</f>
        <v>0</v>
      </c>
      <c r="N131" s="286">
        <v>0</v>
      </c>
      <c r="O131" s="286">
        <v>0</v>
      </c>
      <c r="P131" s="286">
        <v>0</v>
      </c>
      <c r="Q131" s="286">
        <v>0</v>
      </c>
      <c r="R131" s="286">
        <v>0</v>
      </c>
      <c r="S131" s="288">
        <f t="shared" si="11"/>
        <v>0</v>
      </c>
      <c r="T131" s="285">
        <v>7.5</v>
      </c>
      <c r="U131" s="15" t="s">
        <v>4</v>
      </c>
    </row>
    <row r="132" spans="1:21" ht="20.100000000000001" hidden="1" customHeight="1">
      <c r="A132" s="283">
        <v>38</v>
      </c>
      <c r="B132" s="289" t="s">
        <v>684</v>
      </c>
      <c r="C132" s="285">
        <f>'PART-A'!I1812</f>
        <v>0</v>
      </c>
      <c r="D132" s="285">
        <f>FF!I1141</f>
        <v>0</v>
      </c>
      <c r="E132" s="285">
        <f>SF!I716</f>
        <v>0</v>
      </c>
      <c r="F132" s="285">
        <f t="shared" si="10"/>
        <v>0</v>
      </c>
      <c r="G132" s="285" t="s">
        <v>422</v>
      </c>
      <c r="H132" s="286">
        <v>0</v>
      </c>
      <c r="I132" s="286">
        <v>0</v>
      </c>
      <c r="J132" s="286">
        <v>0</v>
      </c>
      <c r="K132" s="283">
        <v>0</v>
      </c>
      <c r="L132" s="286">
        <v>0</v>
      </c>
      <c r="M132" s="15">
        <f>ROUND(F132*0.012,2)</f>
        <v>0</v>
      </c>
      <c r="N132" s="286">
        <v>0</v>
      </c>
      <c r="O132" s="286">
        <v>0</v>
      </c>
      <c r="P132" s="286">
        <v>0</v>
      </c>
      <c r="Q132" s="286">
        <v>0</v>
      </c>
      <c r="R132" s="286">
        <v>0</v>
      </c>
      <c r="S132" s="288">
        <f t="shared" si="11"/>
        <v>0</v>
      </c>
      <c r="T132" s="290">
        <v>6.7560000000000002</v>
      </c>
      <c r="U132" s="15" t="s">
        <v>4</v>
      </c>
    </row>
    <row r="133" spans="1:21" ht="20.100000000000001" hidden="1" customHeight="1">
      <c r="A133" s="283">
        <v>11</v>
      </c>
      <c r="B133" s="289" t="s">
        <v>239</v>
      </c>
      <c r="C133" s="285">
        <f>'PART-A'!I1836</f>
        <v>0</v>
      </c>
      <c r="D133" s="285">
        <f>FF!I1170</f>
        <v>0</v>
      </c>
      <c r="E133" s="285">
        <f>SF!I744</f>
        <v>0</v>
      </c>
      <c r="F133" s="285">
        <f t="shared" si="10"/>
        <v>0</v>
      </c>
      <c r="G133" s="285" t="s">
        <v>422</v>
      </c>
      <c r="H133" s="286">
        <v>0</v>
      </c>
      <c r="I133" s="286">
        <v>0</v>
      </c>
      <c r="J133" s="286">
        <v>0</v>
      </c>
      <c r="K133" s="283">
        <v>0</v>
      </c>
      <c r="L133" s="286">
        <v>0</v>
      </c>
      <c r="M133" s="15">
        <f>ROUND(F133*0.012,2)</f>
        <v>0</v>
      </c>
      <c r="N133" s="286">
        <v>0</v>
      </c>
      <c r="O133" s="286">
        <v>0</v>
      </c>
      <c r="P133" s="286">
        <v>0</v>
      </c>
      <c r="Q133" s="286">
        <v>0</v>
      </c>
      <c r="R133" s="286">
        <v>0</v>
      </c>
      <c r="S133" s="288">
        <f t="shared" si="11"/>
        <v>0</v>
      </c>
      <c r="T133" s="285">
        <v>5.46</v>
      </c>
      <c r="U133" s="15" t="s">
        <v>4</v>
      </c>
    </row>
    <row r="134" spans="1:21" ht="20.100000000000001" hidden="1" customHeight="1">
      <c r="A134" s="283">
        <v>12</v>
      </c>
      <c r="B134" s="289" t="s">
        <v>240</v>
      </c>
      <c r="C134" s="285">
        <f>'PART-A'!I1863</f>
        <v>0</v>
      </c>
      <c r="D134" s="285">
        <f>FF!I1197</f>
        <v>0</v>
      </c>
      <c r="E134" s="285">
        <f>SF!I769</f>
        <v>0</v>
      </c>
      <c r="F134" s="285">
        <f t="shared" si="10"/>
        <v>0</v>
      </c>
      <c r="G134" s="285" t="s">
        <v>422</v>
      </c>
      <c r="H134" s="286">
        <v>0</v>
      </c>
      <c r="I134" s="286">
        <v>0</v>
      </c>
      <c r="J134" s="286">
        <v>0</v>
      </c>
      <c r="K134" s="283">
        <v>0</v>
      </c>
      <c r="L134" s="286">
        <v>0</v>
      </c>
      <c r="M134" s="15">
        <f>ROUND(F134*0.012,2)</f>
        <v>0</v>
      </c>
      <c r="N134" s="286">
        <v>0</v>
      </c>
      <c r="O134" s="286">
        <v>0</v>
      </c>
      <c r="P134" s="286">
        <v>0</v>
      </c>
      <c r="Q134" s="286">
        <v>0</v>
      </c>
      <c r="R134" s="286">
        <v>0</v>
      </c>
      <c r="S134" s="288">
        <f t="shared" si="11"/>
        <v>0</v>
      </c>
      <c r="T134" s="285">
        <v>9.06</v>
      </c>
      <c r="U134" s="15" t="s">
        <v>4</v>
      </c>
    </row>
    <row r="135" spans="1:21" ht="20.100000000000001" hidden="1" customHeight="1">
      <c r="A135" s="283">
        <v>26</v>
      </c>
      <c r="B135" s="289" t="s">
        <v>1215</v>
      </c>
      <c r="C135" s="285">
        <f>'PART-A'!I1889</f>
        <v>0</v>
      </c>
      <c r="D135" s="285">
        <f>FF!I1233</f>
        <v>0</v>
      </c>
      <c r="E135" s="285">
        <f>SF!I793</f>
        <v>0</v>
      </c>
      <c r="F135" s="285">
        <f t="shared" si="10"/>
        <v>0</v>
      </c>
      <c r="G135" s="285" t="s">
        <v>422</v>
      </c>
      <c r="H135" s="286">
        <v>0</v>
      </c>
      <c r="I135" s="286">
        <v>0</v>
      </c>
      <c r="J135" s="286">
        <v>0</v>
      </c>
      <c r="K135" s="283">
        <v>0</v>
      </c>
      <c r="L135" s="286">
        <v>0</v>
      </c>
      <c r="M135" s="15">
        <f>ROUND(F135*0.008*1,2)</f>
        <v>0</v>
      </c>
      <c r="N135" s="286">
        <v>0</v>
      </c>
      <c r="O135" s="286">
        <v>0</v>
      </c>
      <c r="P135" s="286">
        <v>0</v>
      </c>
      <c r="Q135" s="286">
        <v>0</v>
      </c>
      <c r="R135" s="286">
        <v>0</v>
      </c>
      <c r="S135" s="288">
        <f t="shared" si="11"/>
        <v>0</v>
      </c>
      <c r="T135" s="285">
        <v>2.76</v>
      </c>
      <c r="U135" s="15" t="s">
        <v>4</v>
      </c>
    </row>
    <row r="136" spans="1:21" ht="20.100000000000001" hidden="1" customHeight="1">
      <c r="A136" s="283">
        <v>5</v>
      </c>
      <c r="B136" s="207" t="s">
        <v>2270</v>
      </c>
      <c r="C136" s="285">
        <f>'PART-A'!I1945</f>
        <v>0</v>
      </c>
      <c r="D136" s="285"/>
      <c r="E136" s="285"/>
      <c r="F136" s="285">
        <f t="shared" si="10"/>
        <v>0</v>
      </c>
      <c r="G136" s="285" t="s">
        <v>421</v>
      </c>
      <c r="H136" s="286">
        <v>0</v>
      </c>
      <c r="I136" s="15">
        <f>ROUND(F136*0.017,2)</f>
        <v>0</v>
      </c>
      <c r="J136" s="286">
        <v>0</v>
      </c>
      <c r="K136" s="283">
        <v>0</v>
      </c>
      <c r="L136" s="15">
        <f>ROUND(F136*0.009,2)</f>
        <v>0</v>
      </c>
      <c r="M136" s="283">
        <v>0</v>
      </c>
      <c r="N136" s="283">
        <v>0</v>
      </c>
      <c r="O136" s="286">
        <v>0</v>
      </c>
      <c r="P136" s="286">
        <v>0</v>
      </c>
      <c r="Q136" s="286">
        <v>0</v>
      </c>
      <c r="R136" s="286">
        <v>0</v>
      </c>
      <c r="S136" s="288">
        <f t="shared" si="11"/>
        <v>0</v>
      </c>
      <c r="T136" s="285">
        <v>12</v>
      </c>
      <c r="U136" s="15" t="s">
        <v>4</v>
      </c>
    </row>
    <row r="137" spans="1:21" ht="18" hidden="1" customHeight="1">
      <c r="A137" s="283"/>
      <c r="B137" s="289"/>
      <c r="C137" s="289"/>
      <c r="D137" s="289"/>
      <c r="E137" s="289"/>
      <c r="F137" s="285"/>
      <c r="G137" s="285"/>
      <c r="H137" s="15"/>
      <c r="I137" s="15"/>
      <c r="J137" s="15"/>
      <c r="K137" s="15"/>
      <c r="L137" s="15"/>
      <c r="M137" s="15"/>
      <c r="N137" s="286"/>
      <c r="O137" s="15"/>
      <c r="P137" s="15"/>
      <c r="Q137" s="286"/>
      <c r="R137" s="15"/>
      <c r="S137" s="15"/>
      <c r="T137" s="285"/>
      <c r="U137" s="15"/>
    </row>
    <row r="138" spans="1:21" hidden="1">
      <c r="A138" s="207"/>
      <c r="B138" s="82" t="s">
        <v>103</v>
      </c>
      <c r="C138" s="207"/>
      <c r="D138" s="207"/>
      <c r="E138" s="207"/>
      <c r="F138" s="619">
        <v>1</v>
      </c>
      <c r="G138" s="207"/>
      <c r="H138" s="210">
        <f t="shared" ref="H138:S138" si="14">SUM(H95:H137)</f>
        <v>0</v>
      </c>
      <c r="I138" s="210">
        <f t="shared" si="14"/>
        <v>0</v>
      </c>
      <c r="J138" s="210">
        <f t="shared" si="14"/>
        <v>0</v>
      </c>
      <c r="K138" s="210">
        <f t="shared" si="14"/>
        <v>0</v>
      </c>
      <c r="L138" s="210">
        <f t="shared" si="14"/>
        <v>0</v>
      </c>
      <c r="M138" s="210">
        <f t="shared" si="14"/>
        <v>0</v>
      </c>
      <c r="N138" s="210">
        <f t="shared" si="14"/>
        <v>0</v>
      </c>
      <c r="O138" s="210">
        <f t="shared" si="14"/>
        <v>0</v>
      </c>
      <c r="P138" s="210">
        <f t="shared" si="14"/>
        <v>0</v>
      </c>
      <c r="Q138" s="210">
        <f t="shared" si="14"/>
        <v>0</v>
      </c>
      <c r="R138" s="210">
        <f t="shared" si="14"/>
        <v>0</v>
      </c>
      <c r="S138" s="210">
        <f t="shared" si="14"/>
        <v>0</v>
      </c>
      <c r="T138" s="291" t="s">
        <v>142</v>
      </c>
      <c r="U138" s="207"/>
    </row>
    <row r="139" spans="1:21" s="533" customFormat="1" ht="15.75">
      <c r="A139" s="888"/>
      <c r="B139" s="889" t="s">
        <v>2311</v>
      </c>
      <c r="C139" s="890"/>
      <c r="D139" s="891"/>
      <c r="E139" s="892"/>
      <c r="F139" s="619">
        <v>1</v>
      </c>
      <c r="G139" s="893"/>
      <c r="H139" s="888"/>
      <c r="I139" s="894"/>
      <c r="J139" s="895"/>
      <c r="K139" s="888"/>
      <c r="L139" s="893"/>
      <c r="M139" s="888"/>
    </row>
    <row r="140" spans="1:21" ht="18" hidden="1" customHeight="1">
      <c r="A140" s="283">
        <v>1</v>
      </c>
      <c r="B140" s="207" t="s">
        <v>101</v>
      </c>
      <c r="C140" s="284"/>
      <c r="D140" s="207"/>
      <c r="E140" s="207"/>
      <c r="F140" s="285">
        <f>C140+D140</f>
        <v>0</v>
      </c>
      <c r="G140" s="285" t="s">
        <v>421</v>
      </c>
      <c r="H140" s="283">
        <v>0</v>
      </c>
      <c r="I140" s="283">
        <v>0</v>
      </c>
      <c r="J140" s="283">
        <v>0</v>
      </c>
      <c r="K140" s="283">
        <v>0</v>
      </c>
      <c r="L140" s="283">
        <v>0</v>
      </c>
      <c r="M140" s="283">
        <v>0</v>
      </c>
      <c r="N140" s="283">
        <v>0</v>
      </c>
      <c r="O140" s="286">
        <v>0</v>
      </c>
      <c r="P140" s="286">
        <v>0</v>
      </c>
      <c r="Q140" s="283">
        <v>0</v>
      </c>
      <c r="R140" s="15">
        <f>F140</f>
        <v>0</v>
      </c>
      <c r="S140" s="287">
        <v>0</v>
      </c>
      <c r="T140" s="207">
        <v>0</v>
      </c>
      <c r="U140" s="207"/>
    </row>
    <row r="141" spans="1:21" ht="20.100000000000001" hidden="1" customHeight="1">
      <c r="A141" s="283">
        <v>1</v>
      </c>
      <c r="B141" s="207" t="s">
        <v>135</v>
      </c>
      <c r="C141" s="285">
        <f>'PART-A'!I276</f>
        <v>0</v>
      </c>
      <c r="D141" s="207"/>
      <c r="E141" s="207"/>
      <c r="F141" s="285">
        <f t="shared" ref="F141:F181" si="15">SUM(C141:E141)</f>
        <v>0</v>
      </c>
      <c r="G141" s="285" t="s">
        <v>421</v>
      </c>
      <c r="H141" s="283">
        <v>0</v>
      </c>
      <c r="I141" s="283">
        <v>0</v>
      </c>
      <c r="J141" s="283">
        <v>0</v>
      </c>
      <c r="K141" s="283">
        <v>0</v>
      </c>
      <c r="L141" s="283">
        <v>0</v>
      </c>
      <c r="M141" s="283">
        <v>0</v>
      </c>
      <c r="N141" s="283">
        <v>0</v>
      </c>
      <c r="O141" s="15">
        <f>F141</f>
        <v>0</v>
      </c>
      <c r="P141" s="286">
        <v>0</v>
      </c>
      <c r="Q141" s="283">
        <v>0</v>
      </c>
      <c r="R141" s="286">
        <v>0</v>
      </c>
      <c r="S141" s="287">
        <v>0</v>
      </c>
      <c r="T141" s="207">
        <v>0</v>
      </c>
      <c r="U141" s="207"/>
    </row>
    <row r="142" spans="1:21" ht="20.100000000000001" hidden="1" customHeight="1">
      <c r="A142" s="283">
        <v>2</v>
      </c>
      <c r="B142" s="207" t="s">
        <v>1191</v>
      </c>
      <c r="C142" s="285">
        <f>'PART-A'!I207</f>
        <v>0</v>
      </c>
      <c r="D142" s="207"/>
      <c r="E142" s="207"/>
      <c r="F142" s="285">
        <f t="shared" si="15"/>
        <v>0</v>
      </c>
      <c r="G142" s="285" t="s">
        <v>421</v>
      </c>
      <c r="H142" s="283">
        <v>0</v>
      </c>
      <c r="I142" s="283">
        <v>0</v>
      </c>
      <c r="J142" s="283">
        <v>0</v>
      </c>
      <c r="K142" s="283">
        <v>0</v>
      </c>
      <c r="L142" s="283">
        <v>0</v>
      </c>
      <c r="M142" s="283">
        <v>0</v>
      </c>
      <c r="N142" s="283">
        <v>0</v>
      </c>
      <c r="O142" s="286">
        <v>0</v>
      </c>
      <c r="P142" s="15">
        <f>F142</f>
        <v>0</v>
      </c>
      <c r="Q142" s="283">
        <v>0</v>
      </c>
      <c r="R142" s="286">
        <v>0</v>
      </c>
      <c r="S142" s="287">
        <v>0</v>
      </c>
      <c r="T142" s="207">
        <v>0</v>
      </c>
      <c r="U142" s="207"/>
    </row>
    <row r="143" spans="1:21" ht="20.100000000000001" hidden="1" customHeight="1">
      <c r="A143" s="283">
        <v>4</v>
      </c>
      <c r="B143" s="207" t="s">
        <v>663</v>
      </c>
      <c r="C143" s="285">
        <f>'PART-A'!I231</f>
        <v>0</v>
      </c>
      <c r="D143" s="207"/>
      <c r="E143" s="207"/>
      <c r="F143" s="285">
        <f t="shared" si="15"/>
        <v>0</v>
      </c>
      <c r="G143" s="285" t="s">
        <v>421</v>
      </c>
      <c r="H143" s="283">
        <v>0</v>
      </c>
      <c r="I143" s="283">
        <v>0</v>
      </c>
      <c r="J143" s="283">
        <v>0</v>
      </c>
      <c r="K143" s="283">
        <v>0</v>
      </c>
      <c r="L143" s="283">
        <v>0</v>
      </c>
      <c r="M143" s="283">
        <v>0</v>
      </c>
      <c r="N143" s="283">
        <v>0</v>
      </c>
      <c r="O143" s="286">
        <v>0</v>
      </c>
      <c r="P143" s="15"/>
      <c r="Q143" s="283">
        <v>0</v>
      </c>
      <c r="R143" s="15">
        <f>F143</f>
        <v>0</v>
      </c>
      <c r="S143" s="287">
        <v>0</v>
      </c>
      <c r="T143" s="207">
        <v>0</v>
      </c>
      <c r="U143" s="207"/>
    </row>
    <row r="144" spans="1:21" ht="20.100000000000001" hidden="1" customHeight="1">
      <c r="A144" s="283">
        <v>1</v>
      </c>
      <c r="B144" s="207" t="s">
        <v>235</v>
      </c>
      <c r="C144" s="285">
        <f>'PART-A'!I146</f>
        <v>0</v>
      </c>
      <c r="D144" s="207"/>
      <c r="E144" s="207"/>
      <c r="F144" s="285">
        <f t="shared" si="15"/>
        <v>0</v>
      </c>
      <c r="G144" s="285" t="s">
        <v>421</v>
      </c>
      <c r="H144" s="15">
        <f>ROUND(F144*0.9,2)</f>
        <v>0</v>
      </c>
      <c r="I144" s="286">
        <v>0</v>
      </c>
      <c r="J144" s="286">
        <v>0</v>
      </c>
      <c r="K144" s="283">
        <v>0</v>
      </c>
      <c r="L144" s="15">
        <f>ROUND(F144*0.45,2)</f>
        <v>0</v>
      </c>
      <c r="M144" s="283">
        <v>0</v>
      </c>
      <c r="N144" s="283">
        <v>0</v>
      </c>
      <c r="O144" s="286">
        <v>0</v>
      </c>
      <c r="P144" s="286">
        <v>0</v>
      </c>
      <c r="Q144" s="286">
        <v>0</v>
      </c>
      <c r="R144" s="286">
        <v>0</v>
      </c>
      <c r="S144" s="288">
        <f t="shared" ref="S144:S181" si="16">ROUND(F144*T144/50,2)</f>
        <v>0</v>
      </c>
      <c r="T144" s="285">
        <v>162</v>
      </c>
      <c r="U144" s="15" t="s">
        <v>4</v>
      </c>
    </row>
    <row r="145" spans="1:21" ht="20.100000000000001" hidden="1" customHeight="1">
      <c r="A145" s="283">
        <v>6</v>
      </c>
      <c r="B145" s="207" t="s">
        <v>446</v>
      </c>
      <c r="C145" s="285">
        <f>'PART-A'!I182</f>
        <v>0</v>
      </c>
      <c r="D145" s="207"/>
      <c r="E145" s="207"/>
      <c r="F145" s="285">
        <f t="shared" si="15"/>
        <v>0</v>
      </c>
      <c r="G145" s="285" t="s">
        <v>421</v>
      </c>
      <c r="H145" s="15">
        <f>ROUND(F145*0.9,2)</f>
        <v>0</v>
      </c>
      <c r="I145" s="286">
        <v>0</v>
      </c>
      <c r="J145" s="286">
        <v>0</v>
      </c>
      <c r="K145" s="283">
        <v>0</v>
      </c>
      <c r="L145" s="15">
        <f>ROUND(F145*0.45,2)</f>
        <v>0</v>
      </c>
      <c r="M145" s="283">
        <v>0</v>
      </c>
      <c r="N145" s="283">
        <v>0</v>
      </c>
      <c r="O145" s="286">
        <v>0</v>
      </c>
      <c r="P145" s="286">
        <v>0</v>
      </c>
      <c r="Q145" s="286">
        <v>0</v>
      </c>
      <c r="R145" s="286">
        <v>0</v>
      </c>
      <c r="S145" s="288">
        <f t="shared" si="16"/>
        <v>0</v>
      </c>
      <c r="T145" s="285">
        <v>129.6</v>
      </c>
      <c r="U145" s="15" t="s">
        <v>4</v>
      </c>
    </row>
    <row r="146" spans="1:21" ht="20.100000000000001" hidden="1" customHeight="1">
      <c r="A146" s="283">
        <v>4</v>
      </c>
      <c r="B146" s="207" t="s">
        <v>132</v>
      </c>
      <c r="C146" s="285">
        <f>'PART-A'!I343</f>
        <v>0</v>
      </c>
      <c r="D146" s="207"/>
      <c r="E146" s="207"/>
      <c r="F146" s="285">
        <f t="shared" si="15"/>
        <v>0</v>
      </c>
      <c r="G146" s="285" t="s">
        <v>421</v>
      </c>
      <c r="H146" s="286">
        <v>0</v>
      </c>
      <c r="I146" s="15">
        <f t="shared" ref="I146:I156" si="17">ROUND(F146*0.8,2)</f>
        <v>0</v>
      </c>
      <c r="J146" s="286">
        <v>0</v>
      </c>
      <c r="K146" s="283">
        <v>0</v>
      </c>
      <c r="L146" s="15">
        <f t="shared" ref="L146:L156" si="18">ROUND(F146*0.4,2)</f>
        <v>0</v>
      </c>
      <c r="M146" s="283">
        <v>0</v>
      </c>
      <c r="N146" s="283">
        <v>0</v>
      </c>
      <c r="O146" s="286">
        <v>0</v>
      </c>
      <c r="P146" s="286">
        <v>0</v>
      </c>
      <c r="Q146" s="286">
        <v>0</v>
      </c>
      <c r="R146" s="286">
        <v>0</v>
      </c>
      <c r="S146" s="288">
        <f t="shared" si="16"/>
        <v>0</v>
      </c>
      <c r="T146" s="285">
        <f>data!E2860</f>
        <v>340</v>
      </c>
      <c r="U146" s="15" t="s">
        <v>4</v>
      </c>
    </row>
    <row r="147" spans="1:21" ht="20.100000000000001" hidden="1" customHeight="1">
      <c r="A147" s="283">
        <v>5</v>
      </c>
      <c r="B147" s="207" t="s">
        <v>133</v>
      </c>
      <c r="C147" s="285">
        <f>'PART-A'!I363</f>
        <v>0</v>
      </c>
      <c r="D147" s="207"/>
      <c r="E147" s="207"/>
      <c r="F147" s="285">
        <f t="shared" si="15"/>
        <v>0</v>
      </c>
      <c r="G147" s="285" t="s">
        <v>421</v>
      </c>
      <c r="H147" s="286">
        <v>0</v>
      </c>
      <c r="I147" s="15">
        <f t="shared" si="17"/>
        <v>0</v>
      </c>
      <c r="J147" s="286">
        <v>0</v>
      </c>
      <c r="K147" s="283">
        <v>0</v>
      </c>
      <c r="L147" s="15">
        <f t="shared" si="18"/>
        <v>0</v>
      </c>
      <c r="M147" s="283">
        <v>0</v>
      </c>
      <c r="N147" s="283">
        <v>0</v>
      </c>
      <c r="O147" s="286">
        <v>0</v>
      </c>
      <c r="P147" s="286">
        <v>0</v>
      </c>
      <c r="Q147" s="286">
        <v>0</v>
      </c>
      <c r="R147" s="286">
        <v>0</v>
      </c>
      <c r="S147" s="288">
        <f t="shared" si="16"/>
        <v>0</v>
      </c>
      <c r="T147" s="285">
        <f>$T$146</f>
        <v>340</v>
      </c>
      <c r="U147" s="15" t="s">
        <v>4</v>
      </c>
    </row>
    <row r="148" spans="1:21" ht="20.100000000000001" hidden="1" customHeight="1">
      <c r="A148" s="283">
        <v>2</v>
      </c>
      <c r="B148" s="207" t="s">
        <v>127</v>
      </c>
      <c r="C148" s="285">
        <f>'PART-A'!I411</f>
        <v>0</v>
      </c>
      <c r="D148" s="285">
        <f>FF!I35</f>
        <v>0</v>
      </c>
      <c r="E148" s="285">
        <f>SF!I33</f>
        <v>0</v>
      </c>
      <c r="F148" s="285">
        <f t="shared" si="15"/>
        <v>0</v>
      </c>
      <c r="G148" s="285" t="s">
        <v>421</v>
      </c>
      <c r="H148" s="286">
        <v>0</v>
      </c>
      <c r="I148" s="15">
        <f t="shared" si="17"/>
        <v>0</v>
      </c>
      <c r="J148" s="286">
        <v>0</v>
      </c>
      <c r="K148" s="283">
        <v>0</v>
      </c>
      <c r="L148" s="15">
        <f t="shared" si="18"/>
        <v>0</v>
      </c>
      <c r="M148" s="283">
        <v>0</v>
      </c>
      <c r="N148" s="283">
        <v>0</v>
      </c>
      <c r="O148" s="286">
        <v>0</v>
      </c>
      <c r="P148" s="286">
        <v>0</v>
      </c>
      <c r="Q148" s="286">
        <v>0</v>
      </c>
      <c r="R148" s="286">
        <v>0</v>
      </c>
      <c r="S148" s="288">
        <f t="shared" si="16"/>
        <v>0</v>
      </c>
      <c r="T148" s="285">
        <f>$T$146</f>
        <v>340</v>
      </c>
      <c r="U148" s="15" t="s">
        <v>4</v>
      </c>
    </row>
    <row r="149" spans="1:21" ht="20.100000000000001" hidden="1" customHeight="1">
      <c r="A149" s="283">
        <v>7</v>
      </c>
      <c r="B149" s="207" t="s">
        <v>128</v>
      </c>
      <c r="C149" s="285">
        <f>'PART-A'!I453</f>
        <v>0</v>
      </c>
      <c r="D149" s="207"/>
      <c r="E149" s="207"/>
      <c r="F149" s="285">
        <f t="shared" si="15"/>
        <v>0</v>
      </c>
      <c r="G149" s="285" t="s">
        <v>421</v>
      </c>
      <c r="H149" s="286">
        <v>0</v>
      </c>
      <c r="I149" s="15">
        <f t="shared" si="17"/>
        <v>0</v>
      </c>
      <c r="J149" s="286">
        <v>0</v>
      </c>
      <c r="K149" s="283">
        <v>0</v>
      </c>
      <c r="L149" s="15">
        <f t="shared" si="18"/>
        <v>0</v>
      </c>
      <c r="M149" s="283">
        <v>0</v>
      </c>
      <c r="N149" s="283">
        <v>0</v>
      </c>
      <c r="O149" s="286">
        <v>0</v>
      </c>
      <c r="P149" s="286">
        <v>0</v>
      </c>
      <c r="Q149" s="286">
        <v>0</v>
      </c>
      <c r="R149" s="286">
        <v>0</v>
      </c>
      <c r="S149" s="288">
        <f t="shared" si="16"/>
        <v>0</v>
      </c>
      <c r="T149" s="285">
        <f>$T$146</f>
        <v>340</v>
      </c>
      <c r="U149" s="15" t="s">
        <v>4</v>
      </c>
    </row>
    <row r="150" spans="1:21" ht="20.100000000000001" hidden="1" customHeight="1">
      <c r="A150" s="283">
        <v>3</v>
      </c>
      <c r="B150" s="207" t="s">
        <v>131</v>
      </c>
      <c r="C150" s="285">
        <f>'PART-A'!I536</f>
        <v>0</v>
      </c>
      <c r="D150" s="285">
        <f>FF!I104</f>
        <v>0</v>
      </c>
      <c r="E150" s="285">
        <f>SF!I57</f>
        <v>0</v>
      </c>
      <c r="F150" s="285">
        <f t="shared" si="15"/>
        <v>0</v>
      </c>
      <c r="G150" s="285" t="s">
        <v>421</v>
      </c>
      <c r="H150" s="286">
        <v>0</v>
      </c>
      <c r="I150" s="15">
        <f t="shared" si="17"/>
        <v>0</v>
      </c>
      <c r="J150" s="286">
        <v>0</v>
      </c>
      <c r="K150" s="283">
        <v>0</v>
      </c>
      <c r="L150" s="15">
        <f t="shared" si="18"/>
        <v>0</v>
      </c>
      <c r="M150" s="283">
        <v>0</v>
      </c>
      <c r="N150" s="283">
        <v>0</v>
      </c>
      <c r="O150" s="286">
        <v>0</v>
      </c>
      <c r="P150" s="286">
        <v>0</v>
      </c>
      <c r="Q150" s="286">
        <v>0</v>
      </c>
      <c r="R150" s="286">
        <v>0</v>
      </c>
      <c r="S150" s="288">
        <f t="shared" si="16"/>
        <v>0</v>
      </c>
      <c r="T150" s="285">
        <f>$T$146</f>
        <v>340</v>
      </c>
      <c r="U150" s="15" t="s">
        <v>4</v>
      </c>
    </row>
    <row r="151" spans="1:21" ht="20.100000000000001" hidden="1" customHeight="1">
      <c r="A151" s="283">
        <v>9</v>
      </c>
      <c r="B151" s="289" t="s">
        <v>236</v>
      </c>
      <c r="C151" s="285">
        <f>ROUND('PART-A'!I561*0.15,2)</f>
        <v>0</v>
      </c>
      <c r="D151" s="285">
        <f>ROUND(FF!I133*0.15,2)</f>
        <v>0</v>
      </c>
      <c r="E151" s="285">
        <f>ROUND(SF!I81*0.15,2)</f>
        <v>0</v>
      </c>
      <c r="F151" s="285">
        <f t="shared" si="15"/>
        <v>0</v>
      </c>
      <c r="G151" s="285" t="s">
        <v>422</v>
      </c>
      <c r="H151" s="286">
        <v>0</v>
      </c>
      <c r="I151" s="15">
        <f t="shared" si="17"/>
        <v>0</v>
      </c>
      <c r="J151" s="286">
        <v>0</v>
      </c>
      <c r="K151" s="283">
        <v>0</v>
      </c>
      <c r="L151" s="15">
        <f t="shared" si="18"/>
        <v>0</v>
      </c>
      <c r="M151" s="283">
        <v>0</v>
      </c>
      <c r="N151" s="283">
        <v>0</v>
      </c>
      <c r="O151" s="286">
        <v>0</v>
      </c>
      <c r="P151" s="286">
        <v>0</v>
      </c>
      <c r="Q151" s="286">
        <v>0</v>
      </c>
      <c r="R151" s="286">
        <v>0</v>
      </c>
      <c r="S151" s="288">
        <f t="shared" si="16"/>
        <v>0</v>
      </c>
      <c r="T151" s="285">
        <f>ROUND(T150,2)</f>
        <v>340</v>
      </c>
      <c r="U151" s="15" t="s">
        <v>4</v>
      </c>
    </row>
    <row r="152" spans="1:21" ht="20.100000000000001" hidden="1" customHeight="1">
      <c r="A152" s="283">
        <v>4</v>
      </c>
      <c r="B152" s="289" t="s">
        <v>237</v>
      </c>
      <c r="C152" s="285">
        <f>ROUND('PART-A'!I586*0.125,2)</f>
        <v>0</v>
      </c>
      <c r="D152" s="285">
        <f>ROUND(FF!I159*0.125,2)</f>
        <v>0</v>
      </c>
      <c r="E152" s="285">
        <f>ROUND(SF!I101*0.125,2)</f>
        <v>0</v>
      </c>
      <c r="F152" s="285">
        <f t="shared" si="15"/>
        <v>0</v>
      </c>
      <c r="G152" s="285" t="s">
        <v>422</v>
      </c>
      <c r="H152" s="286">
        <v>0</v>
      </c>
      <c r="I152" s="15">
        <f t="shared" si="17"/>
        <v>0</v>
      </c>
      <c r="J152" s="286">
        <v>0</v>
      </c>
      <c r="K152" s="283">
        <v>0</v>
      </c>
      <c r="L152" s="15">
        <f t="shared" si="18"/>
        <v>0</v>
      </c>
      <c r="M152" s="283">
        <v>0</v>
      </c>
      <c r="N152" s="283">
        <v>0</v>
      </c>
      <c r="O152" s="286">
        <v>0</v>
      </c>
      <c r="P152" s="286">
        <v>0</v>
      </c>
      <c r="Q152" s="286">
        <v>0</v>
      </c>
      <c r="R152" s="286">
        <v>0</v>
      </c>
      <c r="S152" s="288">
        <f t="shared" si="16"/>
        <v>0</v>
      </c>
      <c r="T152" s="285">
        <f>ROUND(T150,2)</f>
        <v>340</v>
      </c>
      <c r="U152" s="15" t="s">
        <v>4</v>
      </c>
    </row>
    <row r="153" spans="1:21" ht="20.100000000000001" hidden="1" customHeight="1">
      <c r="A153" s="283">
        <v>9</v>
      </c>
      <c r="B153" s="289" t="s">
        <v>605</v>
      </c>
      <c r="C153" s="285">
        <f>ROUND('PART-A'!I610*0.1,2)</f>
        <v>0</v>
      </c>
      <c r="D153" s="285">
        <f>ROUND(FF!I179*0.1,2)</f>
        <v>0</v>
      </c>
      <c r="E153" s="285">
        <f>ROUND(SF!I121*0.1,2)</f>
        <v>0</v>
      </c>
      <c r="F153" s="285">
        <f t="shared" si="15"/>
        <v>0</v>
      </c>
      <c r="G153" s="285" t="s">
        <v>422</v>
      </c>
      <c r="H153" s="286">
        <v>0</v>
      </c>
      <c r="I153" s="15">
        <f t="shared" si="17"/>
        <v>0</v>
      </c>
      <c r="J153" s="286">
        <v>0</v>
      </c>
      <c r="K153" s="283">
        <v>0</v>
      </c>
      <c r="L153" s="15">
        <f t="shared" si="18"/>
        <v>0</v>
      </c>
      <c r="M153" s="283">
        <v>0</v>
      </c>
      <c r="N153" s="283">
        <v>0</v>
      </c>
      <c r="O153" s="286">
        <v>0</v>
      </c>
      <c r="P153" s="286">
        <v>0</v>
      </c>
      <c r="Q153" s="286">
        <v>0</v>
      </c>
      <c r="R153" s="286">
        <v>0</v>
      </c>
      <c r="S153" s="288">
        <f t="shared" si="16"/>
        <v>0</v>
      </c>
      <c r="T153" s="285">
        <f>T152</f>
        <v>340</v>
      </c>
      <c r="U153" s="15" t="s">
        <v>4</v>
      </c>
    </row>
    <row r="154" spans="1:21" ht="20.100000000000001" hidden="1" customHeight="1">
      <c r="A154" s="283">
        <v>9</v>
      </c>
      <c r="B154" s="289" t="s">
        <v>1230</v>
      </c>
      <c r="C154" s="285">
        <f>ROUND('PART-A'!I634*0.05,2)</f>
        <v>0</v>
      </c>
      <c r="D154" s="285">
        <f>ROUND(FF!I203*0.05,2)</f>
        <v>0</v>
      </c>
      <c r="E154" s="285">
        <f>ROUND(SF!I145*0.05,2)</f>
        <v>0</v>
      </c>
      <c r="F154" s="285">
        <f t="shared" si="15"/>
        <v>0</v>
      </c>
      <c r="G154" s="285" t="s">
        <v>422</v>
      </c>
      <c r="H154" s="286">
        <v>0</v>
      </c>
      <c r="I154" s="15">
        <f t="shared" si="17"/>
        <v>0</v>
      </c>
      <c r="J154" s="286">
        <v>0</v>
      </c>
      <c r="K154" s="283">
        <v>0</v>
      </c>
      <c r="L154" s="15">
        <f t="shared" si="18"/>
        <v>0</v>
      </c>
      <c r="M154" s="283">
        <v>0</v>
      </c>
      <c r="N154" s="283">
        <v>0</v>
      </c>
      <c r="O154" s="286">
        <v>0</v>
      </c>
      <c r="P154" s="286">
        <v>0</v>
      </c>
      <c r="Q154" s="286">
        <v>0</v>
      </c>
      <c r="R154" s="286">
        <v>0</v>
      </c>
      <c r="S154" s="288">
        <f t="shared" si="16"/>
        <v>0</v>
      </c>
      <c r="T154" s="285">
        <f>T153</f>
        <v>340</v>
      </c>
      <c r="U154" s="15" t="s">
        <v>4</v>
      </c>
    </row>
    <row r="155" spans="1:21" ht="20.100000000000001" hidden="1" customHeight="1">
      <c r="A155" s="283">
        <v>16</v>
      </c>
      <c r="B155" s="289" t="s">
        <v>1438</v>
      </c>
      <c r="C155" s="285">
        <f>ROUND('PART-A'!I662*0.025,2)</f>
        <v>0</v>
      </c>
      <c r="D155" s="285">
        <f>ROUND(FF!I227*0.025,2)</f>
        <v>0</v>
      </c>
      <c r="E155" s="285">
        <f>ROUND(SF!I169*0.025,2)</f>
        <v>0</v>
      </c>
      <c r="F155" s="285">
        <f t="shared" si="15"/>
        <v>0</v>
      </c>
      <c r="G155" s="285" t="s">
        <v>422</v>
      </c>
      <c r="H155" s="286">
        <v>0</v>
      </c>
      <c r="I155" s="15">
        <f t="shared" si="17"/>
        <v>0</v>
      </c>
      <c r="J155" s="286">
        <v>0</v>
      </c>
      <c r="K155" s="283">
        <v>0</v>
      </c>
      <c r="L155" s="15">
        <f t="shared" si="18"/>
        <v>0</v>
      </c>
      <c r="M155" s="283">
        <v>0</v>
      </c>
      <c r="N155" s="283">
        <v>0</v>
      </c>
      <c r="O155" s="286">
        <v>0</v>
      </c>
      <c r="P155" s="286">
        <v>0</v>
      </c>
      <c r="Q155" s="286">
        <v>0</v>
      </c>
      <c r="R155" s="286">
        <v>0</v>
      </c>
      <c r="S155" s="288">
        <f t="shared" si="16"/>
        <v>0</v>
      </c>
      <c r="T155" s="285">
        <f>T154</f>
        <v>340</v>
      </c>
      <c r="U155" s="15" t="s">
        <v>4</v>
      </c>
    </row>
    <row r="156" spans="1:21" ht="20.100000000000001" hidden="1" customHeight="1">
      <c r="A156" s="283">
        <v>13</v>
      </c>
      <c r="B156" s="207" t="s">
        <v>129</v>
      </c>
      <c r="C156" s="285">
        <f>'PART-A'!I762</f>
        <v>0</v>
      </c>
      <c r="D156" s="285">
        <f>FF!I276</f>
        <v>0</v>
      </c>
      <c r="E156" s="285">
        <f>SF!I197</f>
        <v>0</v>
      </c>
      <c r="F156" s="285">
        <f t="shared" si="15"/>
        <v>0</v>
      </c>
      <c r="G156" s="285" t="s">
        <v>421</v>
      </c>
      <c r="H156" s="286">
        <v>0</v>
      </c>
      <c r="I156" s="15">
        <f t="shared" si="17"/>
        <v>0</v>
      </c>
      <c r="J156" s="286">
        <v>0</v>
      </c>
      <c r="K156" s="283">
        <v>0</v>
      </c>
      <c r="L156" s="15">
        <f t="shared" si="18"/>
        <v>0</v>
      </c>
      <c r="M156" s="283">
        <v>0</v>
      </c>
      <c r="N156" s="283">
        <v>0</v>
      </c>
      <c r="O156" s="286">
        <v>0</v>
      </c>
      <c r="P156" s="286">
        <v>0</v>
      </c>
      <c r="Q156" s="286">
        <v>0</v>
      </c>
      <c r="R156" s="286">
        <v>0</v>
      </c>
      <c r="S156" s="288">
        <f t="shared" si="16"/>
        <v>0</v>
      </c>
      <c r="T156" s="285">
        <f>$T$146</f>
        <v>340</v>
      </c>
      <c r="U156" s="15" t="s">
        <v>4</v>
      </c>
    </row>
    <row r="157" spans="1:21" ht="20.100000000000001" hidden="1" customHeight="1">
      <c r="A157" s="283">
        <v>14</v>
      </c>
      <c r="B157" s="207" t="s">
        <v>130</v>
      </c>
      <c r="C157" s="285">
        <f>'PART-A'!I783</f>
        <v>0</v>
      </c>
      <c r="D157" s="285">
        <f>FF!I301</f>
        <v>0</v>
      </c>
      <c r="E157" s="285">
        <f>SF!I217</f>
        <v>0</v>
      </c>
      <c r="F157" s="285">
        <f t="shared" si="15"/>
        <v>0</v>
      </c>
      <c r="G157" s="285" t="s">
        <v>82</v>
      </c>
      <c r="H157" s="286">
        <v>0</v>
      </c>
      <c r="I157" s="15">
        <f>ROUND(F157*0.0375*0.8,2)</f>
        <v>0</v>
      </c>
      <c r="J157" s="286">
        <v>0</v>
      </c>
      <c r="K157" s="283">
        <v>0</v>
      </c>
      <c r="L157" s="15">
        <f>ROUND(F157*0.0375*0.4,2)</f>
        <v>0</v>
      </c>
      <c r="M157" s="283">
        <v>0</v>
      </c>
      <c r="N157" s="283">
        <v>0</v>
      </c>
      <c r="O157" s="286">
        <v>0</v>
      </c>
      <c r="P157" s="286">
        <v>0</v>
      </c>
      <c r="Q157" s="286">
        <v>0</v>
      </c>
      <c r="R157" s="286">
        <v>0</v>
      </c>
      <c r="S157" s="288">
        <f t="shared" si="16"/>
        <v>0</v>
      </c>
      <c r="T157" s="290">
        <f>ROUND(T156*0.0375,2)</f>
        <v>12.75</v>
      </c>
      <c r="U157" s="15" t="s">
        <v>4</v>
      </c>
    </row>
    <row r="158" spans="1:21" ht="20.100000000000001" hidden="1" customHeight="1">
      <c r="A158" s="283">
        <v>4</v>
      </c>
      <c r="B158" s="289" t="s">
        <v>1439</v>
      </c>
      <c r="C158" s="285">
        <f>'PART-A'!I809</f>
        <v>0</v>
      </c>
      <c r="D158" s="285">
        <f>FF!I326</f>
        <v>0</v>
      </c>
      <c r="E158" s="285">
        <f>SF!I237</f>
        <v>0</v>
      </c>
      <c r="F158" s="285">
        <f t="shared" si="15"/>
        <v>0</v>
      </c>
      <c r="G158" s="285" t="s">
        <v>422</v>
      </c>
      <c r="H158" s="286">
        <v>0</v>
      </c>
      <c r="I158" s="286">
        <v>0</v>
      </c>
      <c r="J158" s="286">
        <v>0</v>
      </c>
      <c r="K158" s="283">
        <v>0</v>
      </c>
      <c r="L158" s="286">
        <v>0</v>
      </c>
      <c r="M158" s="283">
        <v>0</v>
      </c>
      <c r="N158" s="15">
        <f>ROUND(F158*0.015*1.05,2)</f>
        <v>0</v>
      </c>
      <c r="O158" s="286">
        <v>0</v>
      </c>
      <c r="P158" s="286">
        <v>0</v>
      </c>
      <c r="Q158" s="286">
        <v>0</v>
      </c>
      <c r="R158" s="286">
        <v>0</v>
      </c>
      <c r="S158" s="288">
        <f t="shared" si="16"/>
        <v>0</v>
      </c>
      <c r="T158" s="285">
        <v>7.2</v>
      </c>
      <c r="U158" s="15" t="s">
        <v>4</v>
      </c>
    </row>
    <row r="159" spans="1:21" ht="20.100000000000001" hidden="1" customHeight="1">
      <c r="A159" s="283">
        <v>12</v>
      </c>
      <c r="B159" s="289" t="s">
        <v>1225</v>
      </c>
      <c r="C159" s="285">
        <f>'PART-A'!I834</f>
        <v>0</v>
      </c>
      <c r="D159" s="285">
        <f>FF!I350</f>
        <v>0</v>
      </c>
      <c r="E159" s="285">
        <f>SF!I261</f>
        <v>0</v>
      </c>
      <c r="F159" s="285">
        <f t="shared" si="15"/>
        <v>0</v>
      </c>
      <c r="G159" s="285" t="s">
        <v>422</v>
      </c>
      <c r="H159" s="286">
        <v>0</v>
      </c>
      <c r="I159" s="286">
        <v>0</v>
      </c>
      <c r="J159" s="286">
        <v>0</v>
      </c>
      <c r="K159" s="283">
        <v>0</v>
      </c>
      <c r="L159" s="286">
        <v>0</v>
      </c>
      <c r="M159" s="283">
        <v>0</v>
      </c>
      <c r="N159" s="15">
        <f>ROUND(F159*0.021*1.05,2)</f>
        <v>0</v>
      </c>
      <c r="O159" s="286">
        <v>0</v>
      </c>
      <c r="P159" s="286">
        <v>0</v>
      </c>
      <c r="Q159" s="286">
        <v>0</v>
      </c>
      <c r="R159" s="286">
        <v>0</v>
      </c>
      <c r="S159" s="288">
        <f t="shared" si="16"/>
        <v>0</v>
      </c>
      <c r="T159" s="285">
        <v>10.08</v>
      </c>
      <c r="U159" s="15" t="s">
        <v>4</v>
      </c>
    </row>
    <row r="160" spans="1:21" ht="20.100000000000001" hidden="1" customHeight="1">
      <c r="A160" s="283">
        <v>13</v>
      </c>
      <c r="B160" s="207" t="s">
        <v>1193</v>
      </c>
      <c r="C160" s="285">
        <f>'PART-A'!I862</f>
        <v>0</v>
      </c>
      <c r="D160" s="285"/>
      <c r="E160" s="285"/>
      <c r="F160" s="285">
        <f t="shared" si="15"/>
        <v>0</v>
      </c>
      <c r="G160" s="285" t="s">
        <v>421</v>
      </c>
      <c r="H160" s="286">
        <v>0</v>
      </c>
      <c r="I160" s="286">
        <v>0</v>
      </c>
      <c r="J160" s="286">
        <v>0</v>
      </c>
      <c r="K160" s="15">
        <f>ROUND(F160*1.1,2)</f>
        <v>0</v>
      </c>
      <c r="L160" s="286">
        <v>0</v>
      </c>
      <c r="M160" s="15">
        <f>ROUND(F160*0.33,2)</f>
        <v>0</v>
      </c>
      <c r="N160" s="286">
        <v>0</v>
      </c>
      <c r="O160" s="286">
        <v>0</v>
      </c>
      <c r="P160" s="286">
        <v>0</v>
      </c>
      <c r="Q160" s="15"/>
      <c r="R160" s="286">
        <v>0</v>
      </c>
      <c r="S160" s="288">
        <f t="shared" si="16"/>
        <v>0</v>
      </c>
      <c r="T160" s="285">
        <v>59.4</v>
      </c>
      <c r="U160" s="15" t="s">
        <v>4</v>
      </c>
    </row>
    <row r="161" spans="1:21" ht="20.100000000000001" hidden="1" customHeight="1">
      <c r="A161" s="283">
        <v>2</v>
      </c>
      <c r="B161" s="207" t="s">
        <v>134</v>
      </c>
      <c r="C161" s="285">
        <f>'PART-A'!I914</f>
        <v>0</v>
      </c>
      <c r="D161" s="285">
        <f>FF!I374</f>
        <v>0</v>
      </c>
      <c r="E161" s="285">
        <f>SF!I290</f>
        <v>0</v>
      </c>
      <c r="F161" s="285">
        <f t="shared" si="15"/>
        <v>0</v>
      </c>
      <c r="G161" s="285" t="s">
        <v>421</v>
      </c>
      <c r="H161" s="286">
        <v>0</v>
      </c>
      <c r="I161" s="286">
        <v>0</v>
      </c>
      <c r="J161" s="286">
        <v>0</v>
      </c>
      <c r="K161" s="283">
        <v>0</v>
      </c>
      <c r="L161" s="286">
        <v>0</v>
      </c>
      <c r="M161" s="15">
        <f>ROUND(F161*0.2,2)</f>
        <v>0</v>
      </c>
      <c r="N161" s="286">
        <v>0</v>
      </c>
      <c r="O161" s="286">
        <v>0</v>
      </c>
      <c r="P161" s="286">
        <v>0</v>
      </c>
      <c r="Q161" s="15">
        <f>ROUND(F161*512/1000,2)</f>
        <v>0</v>
      </c>
      <c r="R161" s="286">
        <v>0</v>
      </c>
      <c r="S161" s="288">
        <f t="shared" si="16"/>
        <v>0</v>
      </c>
      <c r="T161" s="285">
        <v>36</v>
      </c>
      <c r="U161" s="15" t="s">
        <v>4</v>
      </c>
    </row>
    <row r="162" spans="1:21" ht="20.100000000000001" hidden="1" customHeight="1">
      <c r="A162" s="283">
        <v>15</v>
      </c>
      <c r="B162" s="207" t="s">
        <v>906</v>
      </c>
      <c r="C162" s="285">
        <f>'PART-A'!I1010</f>
        <v>0</v>
      </c>
      <c r="D162" s="285">
        <f>FF!I460</f>
        <v>0</v>
      </c>
      <c r="E162" s="285">
        <f>SF!I320</f>
        <v>0</v>
      </c>
      <c r="F162" s="285">
        <f t="shared" si="15"/>
        <v>0</v>
      </c>
      <c r="G162" s="285" t="s">
        <v>421</v>
      </c>
      <c r="H162" s="286">
        <v>0</v>
      </c>
      <c r="I162" s="286">
        <v>0</v>
      </c>
      <c r="J162" s="286">
        <v>0</v>
      </c>
      <c r="K162" s="283">
        <v>0</v>
      </c>
      <c r="L162" s="286">
        <v>0</v>
      </c>
      <c r="M162" s="15">
        <f>ROUND(F162*0.2,2)</f>
        <v>0</v>
      </c>
      <c r="N162" s="286">
        <v>0</v>
      </c>
      <c r="O162" s="286">
        <v>0</v>
      </c>
      <c r="P162" s="286">
        <v>0</v>
      </c>
      <c r="Q162" s="15">
        <f>ROUND(F162*512/1000,2)</f>
        <v>0</v>
      </c>
      <c r="R162" s="286">
        <v>0</v>
      </c>
      <c r="S162" s="288">
        <f t="shared" si="16"/>
        <v>0</v>
      </c>
      <c r="T162" s="285">
        <v>48</v>
      </c>
      <c r="U162" s="15" t="s">
        <v>4</v>
      </c>
    </row>
    <row r="163" spans="1:21" ht="20.100000000000001" hidden="1" customHeight="1">
      <c r="A163" s="283">
        <v>16</v>
      </c>
      <c r="B163" s="207" t="s">
        <v>3686</v>
      </c>
      <c r="C163" s="285">
        <f>'PART-A'!I1121</f>
        <v>0</v>
      </c>
      <c r="D163" s="285">
        <f>FF!I550</f>
        <v>0</v>
      </c>
      <c r="E163" s="285">
        <f>SF!I347</f>
        <v>0</v>
      </c>
      <c r="F163" s="285">
        <f t="shared" si="15"/>
        <v>0</v>
      </c>
      <c r="G163" s="285" t="s">
        <v>422</v>
      </c>
      <c r="H163" s="286">
        <v>0</v>
      </c>
      <c r="I163" s="15"/>
      <c r="J163" s="286">
        <v>0</v>
      </c>
      <c r="K163" s="283">
        <v>0</v>
      </c>
      <c r="L163" s="286">
        <v>0</v>
      </c>
      <c r="M163" s="15">
        <f>ROUND(F163*0.022,2)</f>
        <v>0</v>
      </c>
      <c r="N163" s="286">
        <v>0</v>
      </c>
      <c r="O163" s="286">
        <v>0</v>
      </c>
      <c r="P163" s="286">
        <v>0</v>
      </c>
      <c r="Q163" s="15">
        <f>ROUND(F163*512*0.1/1000,2)</f>
        <v>0</v>
      </c>
      <c r="R163" s="286">
        <v>0</v>
      </c>
      <c r="S163" s="288">
        <f t="shared" si="16"/>
        <v>0</v>
      </c>
      <c r="T163" s="285">
        <v>7.2</v>
      </c>
      <c r="U163" s="15" t="s">
        <v>4</v>
      </c>
    </row>
    <row r="164" spans="1:21" ht="20.100000000000001" hidden="1" customHeight="1">
      <c r="A164" s="283">
        <v>16</v>
      </c>
      <c r="B164" s="207" t="s">
        <v>1213</v>
      </c>
      <c r="C164" s="285">
        <f>'PART-A'!I1153</f>
        <v>0</v>
      </c>
      <c r="D164" s="285">
        <f>FF!I578</f>
        <v>0</v>
      </c>
      <c r="E164" s="285">
        <f>SF!I375</f>
        <v>0</v>
      </c>
      <c r="F164" s="285">
        <f t="shared" si="15"/>
        <v>0</v>
      </c>
      <c r="G164" s="285" t="s">
        <v>421</v>
      </c>
      <c r="H164" s="286">
        <v>0</v>
      </c>
      <c r="I164" s="286">
        <v>0</v>
      </c>
      <c r="J164" s="286">
        <v>0</v>
      </c>
      <c r="K164" s="283">
        <v>0</v>
      </c>
      <c r="L164" s="286">
        <v>0</v>
      </c>
      <c r="M164" s="15">
        <f>ROUND(F164*0.1*1.05,2)</f>
        <v>0</v>
      </c>
      <c r="N164" s="286">
        <v>0</v>
      </c>
      <c r="O164" s="286">
        <v>0</v>
      </c>
      <c r="P164" s="286">
        <v>0</v>
      </c>
      <c r="Q164" s="15">
        <f>ROUND(F164*110/1000,2)</f>
        <v>0</v>
      </c>
      <c r="R164" s="286">
        <v>0</v>
      </c>
      <c r="S164" s="288">
        <f t="shared" si="16"/>
        <v>0</v>
      </c>
      <c r="T164" s="285">
        <v>24</v>
      </c>
      <c r="U164" s="15" t="s">
        <v>4</v>
      </c>
    </row>
    <row r="165" spans="1:21" ht="20.100000000000001" hidden="1" customHeight="1">
      <c r="A165" s="283">
        <v>14</v>
      </c>
      <c r="B165" s="289" t="s">
        <v>1214</v>
      </c>
      <c r="C165" s="285">
        <f>'PART-A'!I1178</f>
        <v>0</v>
      </c>
      <c r="D165" s="285">
        <f>FF!I602</f>
        <v>0</v>
      </c>
      <c r="E165" s="285"/>
      <c r="F165" s="285">
        <f t="shared" si="15"/>
        <v>0</v>
      </c>
      <c r="G165" s="285" t="s">
        <v>422</v>
      </c>
      <c r="H165" s="286">
        <v>0</v>
      </c>
      <c r="I165" s="286">
        <v>0</v>
      </c>
      <c r="J165" s="286">
        <v>0</v>
      </c>
      <c r="K165" s="283">
        <v>0</v>
      </c>
      <c r="L165" s="286">
        <v>0</v>
      </c>
      <c r="M165" s="286">
        <v>0</v>
      </c>
      <c r="N165" s="15">
        <f>ROUND(F165*((0.015*1.05)+(0.025*1.05)),2)</f>
        <v>0</v>
      </c>
      <c r="O165" s="286">
        <v>0</v>
      </c>
      <c r="P165" s="286">
        <v>0</v>
      </c>
      <c r="Q165" s="286">
        <v>0</v>
      </c>
      <c r="R165" s="286">
        <v>0</v>
      </c>
      <c r="S165" s="288">
        <f t="shared" si="16"/>
        <v>0</v>
      </c>
      <c r="T165" s="285">
        <v>20.89</v>
      </c>
      <c r="U165" s="15" t="s">
        <v>4</v>
      </c>
    </row>
    <row r="166" spans="1:21" ht="20.100000000000001" hidden="1" customHeight="1">
      <c r="A166" s="283">
        <v>4</v>
      </c>
      <c r="B166" s="289" t="s">
        <v>137</v>
      </c>
      <c r="C166" s="285">
        <f>'PART-A'!I1265</f>
        <v>0</v>
      </c>
      <c r="D166" s="285">
        <f>FF!I678</f>
        <v>0</v>
      </c>
      <c r="E166" s="285">
        <f>SF!I404</f>
        <v>0</v>
      </c>
      <c r="F166" s="285">
        <f t="shared" si="15"/>
        <v>0</v>
      </c>
      <c r="G166" s="285" t="s">
        <v>422</v>
      </c>
      <c r="H166" s="286">
        <v>0</v>
      </c>
      <c r="I166" s="286">
        <v>0</v>
      </c>
      <c r="J166" s="286">
        <v>0</v>
      </c>
      <c r="K166" s="283">
        <v>0</v>
      </c>
      <c r="L166" s="286">
        <v>0</v>
      </c>
      <c r="M166" s="286">
        <v>0</v>
      </c>
      <c r="N166" s="15">
        <f>ROUND(F166*0.015*1.05,2)</f>
        <v>0</v>
      </c>
      <c r="O166" s="286">
        <v>0</v>
      </c>
      <c r="P166" s="286">
        <v>0</v>
      </c>
      <c r="Q166" s="286">
        <v>0</v>
      </c>
      <c r="R166" s="286">
        <v>0</v>
      </c>
      <c r="S166" s="288">
        <f t="shared" si="16"/>
        <v>0</v>
      </c>
      <c r="T166" s="285">
        <v>7.2</v>
      </c>
      <c r="U166" s="15" t="s">
        <v>4</v>
      </c>
    </row>
    <row r="167" spans="1:21" ht="20.100000000000001" hidden="1" customHeight="1">
      <c r="A167" s="283">
        <v>2</v>
      </c>
      <c r="B167" s="289" t="s">
        <v>238</v>
      </c>
      <c r="C167" s="285">
        <f>'PART-A'!I1294</f>
        <v>0</v>
      </c>
      <c r="D167" s="285">
        <f>FF!I710</f>
        <v>0</v>
      </c>
      <c r="E167" s="285">
        <f>SF!I436</f>
        <v>0</v>
      </c>
      <c r="F167" s="285">
        <f t="shared" si="15"/>
        <v>0</v>
      </c>
      <c r="G167" s="285" t="s">
        <v>422</v>
      </c>
      <c r="H167" s="286">
        <v>0</v>
      </c>
      <c r="I167" s="286">
        <v>0</v>
      </c>
      <c r="J167" s="286">
        <v>0</v>
      </c>
      <c r="K167" s="283">
        <v>0</v>
      </c>
      <c r="L167" s="286">
        <v>0</v>
      </c>
      <c r="M167" s="286">
        <v>0</v>
      </c>
      <c r="N167" s="15">
        <f>ROUND(F167*0.015*1.05,2)</f>
        <v>0</v>
      </c>
      <c r="O167" s="286">
        <v>0</v>
      </c>
      <c r="P167" s="286">
        <v>0</v>
      </c>
      <c r="Q167" s="286">
        <v>0</v>
      </c>
      <c r="R167" s="286">
        <v>0</v>
      </c>
      <c r="S167" s="288">
        <f t="shared" si="16"/>
        <v>0</v>
      </c>
      <c r="T167" s="285">
        <v>4.32</v>
      </c>
      <c r="U167" s="15" t="s">
        <v>4</v>
      </c>
    </row>
    <row r="168" spans="1:21" ht="20.100000000000001" hidden="1" customHeight="1">
      <c r="A168" s="283">
        <v>3</v>
      </c>
      <c r="B168" s="289" t="s">
        <v>604</v>
      </c>
      <c r="C168" s="285">
        <f>'PART-A'!I1318</f>
        <v>0</v>
      </c>
      <c r="D168" s="285">
        <f>FF!I742</f>
        <v>0</v>
      </c>
      <c r="E168" s="285">
        <f>SF!I468</f>
        <v>0</v>
      </c>
      <c r="F168" s="285">
        <f t="shared" si="15"/>
        <v>0</v>
      </c>
      <c r="G168" s="285" t="s">
        <v>422</v>
      </c>
      <c r="H168" s="286">
        <v>0</v>
      </c>
      <c r="I168" s="286">
        <v>0</v>
      </c>
      <c r="J168" s="286">
        <v>0</v>
      </c>
      <c r="K168" s="283">
        <v>0</v>
      </c>
      <c r="L168" s="286">
        <v>0</v>
      </c>
      <c r="M168" s="286">
        <v>0</v>
      </c>
      <c r="N168" s="15">
        <f>ROUND(F168*0.021*1.05,2)</f>
        <v>0</v>
      </c>
      <c r="O168" s="286">
        <v>0</v>
      </c>
      <c r="P168" s="286">
        <v>0</v>
      </c>
      <c r="Q168" s="286">
        <v>0</v>
      </c>
      <c r="R168" s="286">
        <v>0</v>
      </c>
      <c r="S168" s="288">
        <f t="shared" si="16"/>
        <v>0</v>
      </c>
      <c r="T168" s="285">
        <v>6.05</v>
      </c>
      <c r="U168" s="15" t="s">
        <v>4</v>
      </c>
    </row>
    <row r="169" spans="1:21" ht="20.100000000000001" hidden="1" customHeight="1">
      <c r="A169" s="283">
        <v>5</v>
      </c>
      <c r="B169" s="289" t="s">
        <v>904</v>
      </c>
      <c r="C169" s="285">
        <f>'PART-A'!I1451</f>
        <v>0</v>
      </c>
      <c r="D169" s="285">
        <f>FF!I858</f>
        <v>0</v>
      </c>
      <c r="E169" s="285">
        <f>SF!I508</f>
        <v>0</v>
      </c>
      <c r="F169" s="285">
        <f t="shared" si="15"/>
        <v>0</v>
      </c>
      <c r="G169" s="285" t="s">
        <v>422</v>
      </c>
      <c r="H169" s="286">
        <v>0</v>
      </c>
      <c r="I169" s="286">
        <v>0</v>
      </c>
      <c r="J169" s="286">
        <v>0</v>
      </c>
      <c r="K169" s="283">
        <v>0</v>
      </c>
      <c r="L169" s="286">
        <v>0</v>
      </c>
      <c r="M169" s="286">
        <v>0</v>
      </c>
      <c r="N169" s="15">
        <f>ROUND(F169*0.015*1,2)</f>
        <v>0</v>
      </c>
      <c r="O169" s="286">
        <v>0</v>
      </c>
      <c r="P169" s="286">
        <v>0</v>
      </c>
      <c r="Q169" s="286">
        <v>0</v>
      </c>
      <c r="R169" s="286">
        <v>0</v>
      </c>
      <c r="S169" s="288">
        <f t="shared" si="16"/>
        <v>0</v>
      </c>
      <c r="T169" s="285">
        <v>5.09</v>
      </c>
      <c r="U169" s="15" t="s">
        <v>4</v>
      </c>
    </row>
    <row r="170" spans="1:21" ht="20.100000000000001" hidden="1" customHeight="1">
      <c r="A170" s="283">
        <v>17</v>
      </c>
      <c r="B170" s="289" t="s">
        <v>603</v>
      </c>
      <c r="C170" s="285">
        <f>'PART-A'!I1504</f>
        <v>0</v>
      </c>
      <c r="D170" s="285">
        <f>FF!I904</f>
        <v>0</v>
      </c>
      <c r="E170" s="285">
        <f>SF!I539</f>
        <v>0</v>
      </c>
      <c r="F170" s="285">
        <f t="shared" si="15"/>
        <v>0</v>
      </c>
      <c r="G170" s="285" t="s">
        <v>422</v>
      </c>
      <c r="H170" s="286">
        <v>0</v>
      </c>
      <c r="I170" s="286">
        <v>0</v>
      </c>
      <c r="J170" s="286">
        <v>0</v>
      </c>
      <c r="K170" s="283">
        <v>0</v>
      </c>
      <c r="L170" s="286">
        <v>0</v>
      </c>
      <c r="M170" s="286">
        <v>0</v>
      </c>
      <c r="N170" s="15">
        <f>ROUND(F170*0.022*1,2)</f>
        <v>0</v>
      </c>
      <c r="O170" s="286">
        <v>0</v>
      </c>
      <c r="P170" s="286">
        <v>0</v>
      </c>
      <c r="Q170" s="286">
        <v>0</v>
      </c>
      <c r="R170" s="286">
        <v>0</v>
      </c>
      <c r="S170" s="288">
        <f t="shared" si="16"/>
        <v>0</v>
      </c>
      <c r="T170" s="285">
        <v>5.75</v>
      </c>
      <c r="U170" s="15" t="s">
        <v>4</v>
      </c>
    </row>
    <row r="171" spans="1:21" ht="20.100000000000001" hidden="1" customHeight="1">
      <c r="A171" s="283">
        <v>19</v>
      </c>
      <c r="B171" s="207" t="s">
        <v>447</v>
      </c>
      <c r="C171" s="285">
        <f>'PART-A'!I1528</f>
        <v>0</v>
      </c>
      <c r="D171" s="285">
        <f>FF!I932</f>
        <v>0</v>
      </c>
      <c r="E171" s="285">
        <f>SF!I559</f>
        <v>0</v>
      </c>
      <c r="F171" s="285">
        <f t="shared" si="15"/>
        <v>0</v>
      </c>
      <c r="G171" s="285" t="s">
        <v>421</v>
      </c>
      <c r="H171" s="286">
        <v>0</v>
      </c>
      <c r="I171" s="15">
        <f>ROUND(F171*0.8,2)</f>
        <v>0</v>
      </c>
      <c r="J171" s="286">
        <v>0</v>
      </c>
      <c r="K171" s="283">
        <v>0</v>
      </c>
      <c r="L171" s="15">
        <f>ROUND(F171*0.4,2)</f>
        <v>0</v>
      </c>
      <c r="M171" s="283">
        <v>0</v>
      </c>
      <c r="N171" s="283">
        <v>0</v>
      </c>
      <c r="O171" s="286">
        <v>0</v>
      </c>
      <c r="P171" s="286">
        <v>0</v>
      </c>
      <c r="Q171" s="286">
        <v>0</v>
      </c>
      <c r="R171" s="286">
        <v>0</v>
      </c>
      <c r="S171" s="288">
        <f t="shared" si="16"/>
        <v>0</v>
      </c>
      <c r="T171" s="285">
        <f>$T$146</f>
        <v>340</v>
      </c>
      <c r="U171" s="15" t="s">
        <v>4</v>
      </c>
    </row>
    <row r="172" spans="1:21" ht="20.100000000000001" hidden="1" customHeight="1">
      <c r="A172" s="283">
        <v>20</v>
      </c>
      <c r="B172" s="289" t="s">
        <v>241</v>
      </c>
      <c r="C172" s="285">
        <f>'PART-A'!I1579</f>
        <v>0</v>
      </c>
      <c r="D172" s="285">
        <f>FF!I963</f>
        <v>0</v>
      </c>
      <c r="E172" s="285">
        <f>SF!I583</f>
        <v>0</v>
      </c>
      <c r="F172" s="285">
        <f t="shared" si="15"/>
        <v>0</v>
      </c>
      <c r="G172" s="285" t="s">
        <v>422</v>
      </c>
      <c r="H172" s="286">
        <v>0</v>
      </c>
      <c r="I172" s="286">
        <v>0</v>
      </c>
      <c r="J172" s="286">
        <v>0</v>
      </c>
      <c r="K172" s="283">
        <v>0</v>
      </c>
      <c r="L172" s="286">
        <v>0</v>
      </c>
      <c r="M172" s="15">
        <f>ROUND(F172*0.014,2)</f>
        <v>0</v>
      </c>
      <c r="N172" s="286">
        <v>0</v>
      </c>
      <c r="O172" s="286">
        <v>0</v>
      </c>
      <c r="P172" s="286">
        <v>0</v>
      </c>
      <c r="Q172" s="286">
        <v>0</v>
      </c>
      <c r="R172" s="286">
        <v>0</v>
      </c>
      <c r="S172" s="288">
        <f t="shared" si="16"/>
        <v>0</v>
      </c>
      <c r="T172" s="285">
        <v>6.06</v>
      </c>
      <c r="U172" s="15" t="s">
        <v>4</v>
      </c>
    </row>
    <row r="173" spans="1:21" ht="20.100000000000001" hidden="1" customHeight="1">
      <c r="A173" s="283">
        <v>21</v>
      </c>
      <c r="B173" s="289" t="s">
        <v>242</v>
      </c>
      <c r="C173" s="285">
        <f>'PART-A'!I1653</f>
        <v>0</v>
      </c>
      <c r="D173" s="285">
        <f>FF!I1002</f>
        <v>0</v>
      </c>
      <c r="E173" s="285">
        <f>SF!I611</f>
        <v>0</v>
      </c>
      <c r="F173" s="285">
        <f t="shared" si="15"/>
        <v>0</v>
      </c>
      <c r="G173" s="285" t="s">
        <v>422</v>
      </c>
      <c r="H173" s="286">
        <v>0</v>
      </c>
      <c r="I173" s="286">
        <v>0</v>
      </c>
      <c r="J173" s="286">
        <v>0</v>
      </c>
      <c r="K173" s="283">
        <v>0</v>
      </c>
      <c r="L173" s="286">
        <v>0</v>
      </c>
      <c r="M173" s="15">
        <f>ROUND(F173*0.012,2)</f>
        <v>0</v>
      </c>
      <c r="N173" s="286">
        <v>0</v>
      </c>
      <c r="O173" s="286">
        <v>0</v>
      </c>
      <c r="P173" s="286">
        <v>0</v>
      </c>
      <c r="Q173" s="286">
        <v>0</v>
      </c>
      <c r="R173" s="286">
        <v>0</v>
      </c>
      <c r="S173" s="288">
        <f t="shared" si="16"/>
        <v>0</v>
      </c>
      <c r="T173" s="290">
        <v>6.7560000000000002</v>
      </c>
      <c r="U173" s="15" t="s">
        <v>4</v>
      </c>
    </row>
    <row r="174" spans="1:21" ht="20.100000000000001" customHeight="1">
      <c r="A174" s="283">
        <v>19</v>
      </c>
      <c r="B174" s="289" t="s">
        <v>681</v>
      </c>
      <c r="C174" s="285">
        <f>'PART-A'!I1706</f>
        <v>87.660000000000011</v>
      </c>
      <c r="D174" s="285">
        <f>FF!I1041</f>
        <v>0</v>
      </c>
      <c r="E174" s="285">
        <f>SF!I639</f>
        <v>0</v>
      </c>
      <c r="F174" s="285">
        <f t="shared" si="15"/>
        <v>87.660000000000011</v>
      </c>
      <c r="G174" s="285" t="s">
        <v>422</v>
      </c>
      <c r="H174" s="286">
        <v>0</v>
      </c>
      <c r="I174" s="286">
        <v>0</v>
      </c>
      <c r="J174" s="286">
        <v>0</v>
      </c>
      <c r="K174" s="283">
        <v>0</v>
      </c>
      <c r="L174" s="286">
        <v>0</v>
      </c>
      <c r="M174" s="15">
        <f>ROUND(F174*0.014,2)</f>
        <v>1.23</v>
      </c>
      <c r="N174" s="286">
        <v>0</v>
      </c>
      <c r="O174" s="286">
        <v>0</v>
      </c>
      <c r="P174" s="286">
        <v>0</v>
      </c>
      <c r="Q174" s="286">
        <v>0</v>
      </c>
      <c r="R174" s="286">
        <v>0</v>
      </c>
      <c r="S174" s="288">
        <f t="shared" si="16"/>
        <v>13.15</v>
      </c>
      <c r="T174" s="285">
        <v>7.5</v>
      </c>
      <c r="U174" s="15" t="s">
        <v>4</v>
      </c>
    </row>
    <row r="175" spans="1:21" ht="20.100000000000001" customHeight="1">
      <c r="A175" s="283">
        <v>20</v>
      </c>
      <c r="B175" s="289" t="s">
        <v>682</v>
      </c>
      <c r="C175" s="285">
        <f>'PART-A'!I1761</f>
        <v>6.7299999999999995</v>
      </c>
      <c r="D175" s="285">
        <f>FF!I1081</f>
        <v>0</v>
      </c>
      <c r="E175" s="285">
        <f>SF!I667</f>
        <v>0</v>
      </c>
      <c r="F175" s="285">
        <f t="shared" si="15"/>
        <v>6.7299999999999995</v>
      </c>
      <c r="G175" s="285" t="s">
        <v>422</v>
      </c>
      <c r="H175" s="286">
        <v>0</v>
      </c>
      <c r="I175" s="286">
        <v>0</v>
      </c>
      <c r="J175" s="286">
        <v>0</v>
      </c>
      <c r="K175" s="283">
        <v>0</v>
      </c>
      <c r="L175" s="286">
        <v>0</v>
      </c>
      <c r="M175" s="15">
        <f>ROUND(F175*0.012,2)</f>
        <v>0.08</v>
      </c>
      <c r="N175" s="286">
        <v>0</v>
      </c>
      <c r="O175" s="286">
        <v>0</v>
      </c>
      <c r="P175" s="286">
        <v>0</v>
      </c>
      <c r="Q175" s="286">
        <v>0</v>
      </c>
      <c r="R175" s="286">
        <v>0</v>
      </c>
      <c r="S175" s="288">
        <f t="shared" si="16"/>
        <v>1.22</v>
      </c>
      <c r="T175" s="290">
        <v>9.06</v>
      </c>
      <c r="U175" s="15" t="s">
        <v>4</v>
      </c>
    </row>
    <row r="176" spans="1:21" ht="20.100000000000001" hidden="1" customHeight="1">
      <c r="A176" s="283">
        <v>37</v>
      </c>
      <c r="B176" s="289" t="s">
        <v>683</v>
      </c>
      <c r="C176" s="285">
        <f>'PART-A'!I1791</f>
        <v>0</v>
      </c>
      <c r="D176" s="285">
        <f>FF!I1116</f>
        <v>0</v>
      </c>
      <c r="E176" s="285">
        <f>SF!I695</f>
        <v>0</v>
      </c>
      <c r="F176" s="285">
        <f t="shared" si="15"/>
        <v>0</v>
      </c>
      <c r="G176" s="285" t="s">
        <v>422</v>
      </c>
      <c r="H176" s="286">
        <v>0</v>
      </c>
      <c r="I176" s="286">
        <v>0</v>
      </c>
      <c r="J176" s="286">
        <v>0</v>
      </c>
      <c r="K176" s="283">
        <v>0</v>
      </c>
      <c r="L176" s="286">
        <v>0</v>
      </c>
      <c r="M176" s="15">
        <f>ROUND(F176*0.014,2)</f>
        <v>0</v>
      </c>
      <c r="N176" s="286">
        <v>0</v>
      </c>
      <c r="O176" s="286">
        <v>0</v>
      </c>
      <c r="P176" s="286">
        <v>0</v>
      </c>
      <c r="Q176" s="286">
        <v>0</v>
      </c>
      <c r="R176" s="286">
        <v>0</v>
      </c>
      <c r="S176" s="288">
        <f t="shared" si="16"/>
        <v>0</v>
      </c>
      <c r="T176" s="285">
        <v>7.5</v>
      </c>
      <c r="U176" s="15" t="s">
        <v>4</v>
      </c>
    </row>
    <row r="177" spans="1:21" ht="20.100000000000001" hidden="1" customHeight="1">
      <c r="A177" s="283">
        <v>38</v>
      </c>
      <c r="B177" s="289" t="s">
        <v>684</v>
      </c>
      <c r="C177" s="285">
        <f>'PART-A'!I1819</f>
        <v>0</v>
      </c>
      <c r="D177" s="285">
        <f>FF!I1148</f>
        <v>0</v>
      </c>
      <c r="E177" s="285">
        <f>SF!I723</f>
        <v>0</v>
      </c>
      <c r="F177" s="285">
        <f t="shared" si="15"/>
        <v>0</v>
      </c>
      <c r="G177" s="285" t="s">
        <v>422</v>
      </c>
      <c r="H177" s="286">
        <v>0</v>
      </c>
      <c r="I177" s="286">
        <v>0</v>
      </c>
      <c r="J177" s="286">
        <v>0</v>
      </c>
      <c r="K177" s="283">
        <v>0</v>
      </c>
      <c r="L177" s="286">
        <v>0</v>
      </c>
      <c r="M177" s="15">
        <f>ROUND(F177*0.012,2)</f>
        <v>0</v>
      </c>
      <c r="N177" s="286">
        <v>0</v>
      </c>
      <c r="O177" s="286">
        <v>0</v>
      </c>
      <c r="P177" s="286">
        <v>0</v>
      </c>
      <c r="Q177" s="286">
        <v>0</v>
      </c>
      <c r="R177" s="286">
        <v>0</v>
      </c>
      <c r="S177" s="288">
        <f t="shared" si="16"/>
        <v>0</v>
      </c>
      <c r="T177" s="290">
        <v>6.7560000000000002</v>
      </c>
      <c r="U177" s="15" t="s">
        <v>4</v>
      </c>
    </row>
    <row r="178" spans="1:21" ht="20.100000000000001" customHeight="1">
      <c r="A178" s="283">
        <v>21</v>
      </c>
      <c r="B178" s="289" t="s">
        <v>239</v>
      </c>
      <c r="C178" s="285">
        <f>'PART-A'!I1842</f>
        <v>4.2</v>
      </c>
      <c r="D178" s="285">
        <f>FF!I1175</f>
        <v>0</v>
      </c>
      <c r="E178" s="285">
        <f>SF!I751</f>
        <v>0</v>
      </c>
      <c r="F178" s="285">
        <f t="shared" si="15"/>
        <v>4.2</v>
      </c>
      <c r="G178" s="285" t="s">
        <v>422</v>
      </c>
      <c r="H178" s="286">
        <v>0</v>
      </c>
      <c r="I178" s="286">
        <v>0</v>
      </c>
      <c r="J178" s="286">
        <v>0</v>
      </c>
      <c r="K178" s="283">
        <v>0</v>
      </c>
      <c r="L178" s="286">
        <v>0</v>
      </c>
      <c r="M178" s="15">
        <f>ROUND(F178*0.012,2)</f>
        <v>0.05</v>
      </c>
      <c r="N178" s="286">
        <v>0</v>
      </c>
      <c r="O178" s="286">
        <v>0</v>
      </c>
      <c r="P178" s="286">
        <v>0</v>
      </c>
      <c r="Q178" s="286">
        <v>0</v>
      </c>
      <c r="R178" s="286">
        <v>0</v>
      </c>
      <c r="S178" s="288">
        <f t="shared" si="16"/>
        <v>0.46</v>
      </c>
      <c r="T178" s="285">
        <v>5.46</v>
      </c>
      <c r="U178" s="15" t="s">
        <v>4</v>
      </c>
    </row>
    <row r="179" spans="1:21" ht="20.100000000000001" customHeight="1">
      <c r="A179" s="283">
        <v>22</v>
      </c>
      <c r="B179" s="289" t="s">
        <v>240</v>
      </c>
      <c r="C179" s="285">
        <f>'PART-A'!I1870</f>
        <v>17.670000000000002</v>
      </c>
      <c r="D179" s="285">
        <f>FF!I1209</f>
        <v>0</v>
      </c>
      <c r="E179" s="285">
        <f>SF!I775</f>
        <v>0</v>
      </c>
      <c r="F179" s="285">
        <f t="shared" si="15"/>
        <v>17.670000000000002</v>
      </c>
      <c r="G179" s="285" t="s">
        <v>422</v>
      </c>
      <c r="H179" s="286">
        <v>0</v>
      </c>
      <c r="I179" s="286">
        <v>0</v>
      </c>
      <c r="J179" s="286">
        <v>0</v>
      </c>
      <c r="K179" s="283">
        <v>0</v>
      </c>
      <c r="L179" s="286">
        <v>0</v>
      </c>
      <c r="M179" s="15">
        <f>ROUND(F179*0.012,2)</f>
        <v>0.21</v>
      </c>
      <c r="N179" s="286">
        <v>0</v>
      </c>
      <c r="O179" s="286">
        <v>0</v>
      </c>
      <c r="P179" s="286">
        <v>0</v>
      </c>
      <c r="Q179" s="286">
        <v>0</v>
      </c>
      <c r="R179" s="286">
        <v>0</v>
      </c>
      <c r="S179" s="288">
        <f t="shared" si="16"/>
        <v>3.2</v>
      </c>
      <c r="T179" s="285">
        <v>9.06</v>
      </c>
      <c r="U179" s="15" t="s">
        <v>4</v>
      </c>
    </row>
    <row r="180" spans="1:21" ht="20.100000000000001" hidden="1" customHeight="1">
      <c r="A180" s="283">
        <v>22</v>
      </c>
      <c r="B180" s="289" t="s">
        <v>1215</v>
      </c>
      <c r="C180" s="285">
        <f>'PART-A'!I1896</f>
        <v>0</v>
      </c>
      <c r="D180" s="285">
        <f>FF!I1241</f>
        <v>0</v>
      </c>
      <c r="E180" s="285">
        <f>SF!I799</f>
        <v>0</v>
      </c>
      <c r="F180" s="285">
        <f t="shared" si="15"/>
        <v>0</v>
      </c>
      <c r="G180" s="285" t="s">
        <v>422</v>
      </c>
      <c r="H180" s="286">
        <v>0</v>
      </c>
      <c r="I180" s="286">
        <v>0</v>
      </c>
      <c r="J180" s="286">
        <v>0</v>
      </c>
      <c r="K180" s="283">
        <v>0</v>
      </c>
      <c r="L180" s="286">
        <v>0</v>
      </c>
      <c r="M180" s="15">
        <f>ROUND(F180*0.008*1,2)</f>
        <v>0</v>
      </c>
      <c r="N180" s="286">
        <v>0</v>
      </c>
      <c r="O180" s="286">
        <v>0</v>
      </c>
      <c r="P180" s="286">
        <v>0</v>
      </c>
      <c r="Q180" s="286">
        <v>0</v>
      </c>
      <c r="R180" s="286">
        <v>0</v>
      </c>
      <c r="S180" s="288">
        <f t="shared" si="16"/>
        <v>0</v>
      </c>
      <c r="T180" s="285">
        <v>2.76</v>
      </c>
      <c r="U180" s="15" t="s">
        <v>4</v>
      </c>
    </row>
    <row r="181" spans="1:21" ht="20.100000000000001" hidden="1" customHeight="1">
      <c r="A181" s="283">
        <v>5</v>
      </c>
      <c r="B181" s="207" t="s">
        <v>2270</v>
      </c>
      <c r="C181" s="285">
        <f>'PART-A'!I1952</f>
        <v>0</v>
      </c>
      <c r="D181" s="285"/>
      <c r="E181" s="285"/>
      <c r="F181" s="285">
        <f t="shared" si="15"/>
        <v>0</v>
      </c>
      <c r="G181" s="285" t="s">
        <v>421</v>
      </c>
      <c r="H181" s="286">
        <v>0</v>
      </c>
      <c r="I181" s="15">
        <f>ROUND(F181*0.017,2)</f>
        <v>0</v>
      </c>
      <c r="J181" s="286">
        <v>0</v>
      </c>
      <c r="K181" s="283">
        <v>0</v>
      </c>
      <c r="L181" s="15">
        <f>ROUND(F181*0.009,2)</f>
        <v>0</v>
      </c>
      <c r="M181" s="283">
        <v>0</v>
      </c>
      <c r="N181" s="283">
        <v>0</v>
      </c>
      <c r="O181" s="286">
        <v>0</v>
      </c>
      <c r="P181" s="286">
        <v>0</v>
      </c>
      <c r="Q181" s="286">
        <v>0</v>
      </c>
      <c r="R181" s="286">
        <v>0</v>
      </c>
      <c r="S181" s="288">
        <f t="shared" si="16"/>
        <v>0</v>
      </c>
      <c r="T181" s="285">
        <v>12</v>
      </c>
      <c r="U181" s="15" t="s">
        <v>4</v>
      </c>
    </row>
    <row r="182" spans="1:21" ht="18" hidden="1" customHeight="1">
      <c r="A182" s="283"/>
      <c r="B182" s="289"/>
      <c r="C182" s="289"/>
      <c r="D182" s="289"/>
      <c r="E182" s="289"/>
      <c r="F182" s="285"/>
      <c r="G182" s="285"/>
      <c r="H182" s="15"/>
      <c r="I182" s="15"/>
      <c r="J182" s="15"/>
      <c r="K182" s="15"/>
      <c r="L182" s="15"/>
      <c r="M182" s="15"/>
      <c r="N182" s="286"/>
      <c r="O182" s="15"/>
      <c r="P182" s="15"/>
      <c r="Q182" s="286"/>
      <c r="R182" s="15"/>
      <c r="S182" s="15"/>
      <c r="T182" s="285"/>
      <c r="U182" s="15"/>
    </row>
    <row r="183" spans="1:21">
      <c r="A183" s="207"/>
      <c r="B183" s="82" t="s">
        <v>103</v>
      </c>
      <c r="C183" s="207"/>
      <c r="D183" s="207"/>
      <c r="E183" s="207"/>
      <c r="F183" s="619">
        <v>1</v>
      </c>
      <c r="G183" s="207"/>
      <c r="H183" s="210">
        <f t="shared" ref="H183:S183" si="19">SUM(H140:H182)</f>
        <v>0</v>
      </c>
      <c r="I183" s="210">
        <f t="shared" si="19"/>
        <v>0</v>
      </c>
      <c r="J183" s="210">
        <f t="shared" si="19"/>
        <v>0</v>
      </c>
      <c r="K183" s="210">
        <f t="shared" si="19"/>
        <v>0</v>
      </c>
      <c r="L183" s="210">
        <f t="shared" si="19"/>
        <v>0</v>
      </c>
      <c r="M183" s="210">
        <f t="shared" si="19"/>
        <v>1.57</v>
      </c>
      <c r="N183" s="210">
        <f t="shared" si="19"/>
        <v>0</v>
      </c>
      <c r="O183" s="210">
        <f t="shared" si="19"/>
        <v>0</v>
      </c>
      <c r="P183" s="210">
        <f t="shared" si="19"/>
        <v>0</v>
      </c>
      <c r="Q183" s="210">
        <f t="shared" si="19"/>
        <v>0</v>
      </c>
      <c r="R183" s="210">
        <f t="shared" si="19"/>
        <v>0</v>
      </c>
      <c r="S183" s="210">
        <f t="shared" si="19"/>
        <v>18.03</v>
      </c>
      <c r="T183" s="291" t="s">
        <v>142</v>
      </c>
      <c r="U183" s="207"/>
    </row>
    <row r="184" spans="1:21">
      <c r="A184" s="207"/>
      <c r="B184" s="82" t="s">
        <v>2314</v>
      </c>
      <c r="C184" s="207"/>
      <c r="D184" s="207"/>
      <c r="E184" s="207"/>
      <c r="F184" s="619">
        <v>1</v>
      </c>
      <c r="G184" s="207"/>
      <c r="H184" s="210">
        <f t="shared" ref="H184:S184" si="20">H48+H93+H138+H183</f>
        <v>18.53</v>
      </c>
      <c r="I184" s="210">
        <f t="shared" si="20"/>
        <v>38.409999999999997</v>
      </c>
      <c r="J184" s="210">
        <f t="shared" si="20"/>
        <v>0</v>
      </c>
      <c r="K184" s="210">
        <f t="shared" si="20"/>
        <v>0</v>
      </c>
      <c r="L184" s="210">
        <f t="shared" si="20"/>
        <v>28.47</v>
      </c>
      <c r="M184" s="210">
        <f t="shared" si="20"/>
        <v>11.3</v>
      </c>
      <c r="N184" s="210">
        <f t="shared" si="20"/>
        <v>8.84</v>
      </c>
      <c r="O184" s="210">
        <f t="shared" si="20"/>
        <v>87.509999999999991</v>
      </c>
      <c r="P184" s="210">
        <f t="shared" si="20"/>
        <v>17.93</v>
      </c>
      <c r="Q184" s="210">
        <f t="shared" si="20"/>
        <v>24.54</v>
      </c>
      <c r="R184" s="210">
        <f t="shared" si="20"/>
        <v>0</v>
      </c>
      <c r="S184" s="210">
        <f t="shared" si="20"/>
        <v>516.14</v>
      </c>
      <c r="T184" s="291"/>
      <c r="U184" s="207"/>
    </row>
    <row r="185" spans="1:21" ht="27.75">
      <c r="A185" s="207"/>
      <c r="B185" s="207"/>
      <c r="C185" s="207"/>
      <c r="D185" s="207"/>
      <c r="E185" s="207"/>
      <c r="F185" s="82" t="s">
        <v>423</v>
      </c>
      <c r="G185" s="207"/>
      <c r="H185" s="292">
        <v>90</v>
      </c>
      <c r="I185" s="292">
        <v>90</v>
      </c>
      <c r="J185" s="292">
        <v>90</v>
      </c>
      <c r="K185" s="292">
        <v>90</v>
      </c>
      <c r="L185" s="292">
        <v>100</v>
      </c>
      <c r="M185" s="292">
        <v>100</v>
      </c>
      <c r="N185" s="292">
        <v>100</v>
      </c>
      <c r="O185" s="292">
        <v>100</v>
      </c>
      <c r="P185" s="292">
        <v>45</v>
      </c>
      <c r="Q185" s="292">
        <v>80</v>
      </c>
      <c r="R185" s="292">
        <v>45</v>
      </c>
      <c r="S185" s="369">
        <f>ROUND((S184*50)/1000,2)</f>
        <v>25.81</v>
      </c>
      <c r="T185" s="291" t="s">
        <v>29</v>
      </c>
      <c r="U185" s="207"/>
    </row>
    <row r="186" spans="1:21" ht="20.100000000000001" customHeight="1">
      <c r="A186" s="207"/>
      <c r="B186" s="207"/>
      <c r="C186" s="207"/>
      <c r="D186" s="207"/>
      <c r="E186" s="207"/>
      <c r="F186" s="207"/>
      <c r="G186" s="82" t="s">
        <v>104</v>
      </c>
      <c r="H186" s="209">
        <f t="shared" ref="H186:R186" si="21">ROUND(H184*H185,0)</f>
        <v>1668</v>
      </c>
      <c r="I186" s="209">
        <f t="shared" si="21"/>
        <v>3457</v>
      </c>
      <c r="J186" s="209">
        <f t="shared" si="21"/>
        <v>0</v>
      </c>
      <c r="K186" s="209">
        <f t="shared" si="21"/>
        <v>0</v>
      </c>
      <c r="L186" s="209">
        <f t="shared" si="21"/>
        <v>2847</v>
      </c>
      <c r="M186" s="209">
        <f t="shared" si="21"/>
        <v>1130</v>
      </c>
      <c r="N186" s="209">
        <f t="shared" si="21"/>
        <v>884</v>
      </c>
      <c r="O186" s="209">
        <f t="shared" si="21"/>
        <v>8751</v>
      </c>
      <c r="P186" s="209">
        <f t="shared" si="21"/>
        <v>807</v>
      </c>
      <c r="Q186" s="209">
        <f t="shared" si="21"/>
        <v>1963</v>
      </c>
      <c r="R186" s="209">
        <f t="shared" si="21"/>
        <v>0</v>
      </c>
      <c r="S186" s="369"/>
      <c r="T186" s="291"/>
      <c r="U186" s="207"/>
    </row>
    <row r="187" spans="1:21">
      <c r="A187" s="207"/>
      <c r="B187" s="207"/>
      <c r="C187" s="207"/>
      <c r="D187" s="207"/>
      <c r="E187" s="207"/>
      <c r="F187" s="291" t="s">
        <v>140</v>
      </c>
      <c r="G187" s="293" t="s">
        <v>104</v>
      </c>
      <c r="H187" s="294">
        <f>SUM(H186:R186)</f>
        <v>21507</v>
      </c>
      <c r="I187" s="294"/>
      <c r="J187" s="294"/>
      <c r="K187" s="294"/>
      <c r="L187" s="207"/>
      <c r="M187" s="207"/>
      <c r="N187" s="207"/>
      <c r="O187" s="207"/>
      <c r="P187" s="207"/>
      <c r="Q187" s="207"/>
      <c r="R187" s="207"/>
      <c r="S187" s="295"/>
      <c r="T187" s="296"/>
      <c r="U187" s="207"/>
    </row>
    <row r="190" spans="1:21">
      <c r="N190" s="212"/>
      <c r="O190" s="212"/>
      <c r="P190" s="212"/>
      <c r="Q190" s="212"/>
      <c r="R190" s="212"/>
      <c r="S190" s="212"/>
      <c r="T190" s="212"/>
      <c r="U190" s="212"/>
    </row>
    <row r="191" spans="1:21">
      <c r="M191" s="55" t="str">
        <f>'lead 19-20'!$H$31</f>
        <v>Deputy Executive Engineer</v>
      </c>
      <c r="R191" s="55" t="str">
        <f>'lead 19-20'!$K$31</f>
        <v>Assistant  Engineer</v>
      </c>
    </row>
    <row r="192" spans="1:21">
      <c r="M192" s="55" t="str">
        <f>'lead 19-20'!$H$32</f>
        <v>PRI Sub Division</v>
      </c>
      <c r="N192" s="212"/>
      <c r="O192" s="212"/>
      <c r="P192" s="212"/>
      <c r="Q192" s="212"/>
      <c r="R192" s="55" t="str">
        <f>'lead 19-20'!$K$32</f>
        <v>Mandal Praja parishad</v>
      </c>
      <c r="S192" s="212"/>
      <c r="T192" s="212"/>
      <c r="U192" s="212"/>
    </row>
    <row r="193" spans="13:21">
      <c r="M193" s="55" t="str">
        <f>'lead 19-20'!$H$33</f>
        <v>Kanigiri</v>
      </c>
      <c r="N193" s="212"/>
      <c r="O193" s="212"/>
      <c r="P193" s="212"/>
      <c r="Q193" s="212"/>
      <c r="R193" s="55" t="str">
        <f>'lead 19-20'!$K$33</f>
        <v>Kanigiri</v>
      </c>
      <c r="S193" s="212"/>
      <c r="T193" s="212"/>
      <c r="U193" s="212"/>
    </row>
    <row r="631" spans="16:16">
      <c r="P631" s="60" t="s">
        <v>0</v>
      </c>
    </row>
  </sheetData>
  <autoFilter ref="A3:U184">
    <filterColumn colId="5" showButton="0">
      <customFilters>
        <customFilter operator="notEqual" val=" "/>
      </customFilters>
    </filterColumn>
  </autoFilter>
  <mergeCells count="2">
    <mergeCell ref="A1:U1"/>
    <mergeCell ref="F3:G3"/>
  </mergeCells>
  <printOptions horizontalCentered="1"/>
  <pageMargins left="0.5" right="0.21" top="0.22" bottom="0.23" header="0.22" footer="0.16"/>
  <pageSetup paperSize="9" scale="90" orientation="landscape" r:id="rId1"/>
  <rowBreaks count="1" manualBreakCount="1">
    <brk id="178" max="20" man="1"/>
  </rowBreaks>
</worksheet>
</file>

<file path=xl/worksheets/sheet15.xml><?xml version="1.0" encoding="utf-8"?>
<worksheet xmlns="http://schemas.openxmlformats.org/spreadsheetml/2006/main" xmlns:r="http://schemas.openxmlformats.org/officeDocument/2006/relationships">
  <sheetPr filterMode="1">
    <tabColor rgb="FF00B050"/>
  </sheetPr>
  <dimension ref="A1:U493"/>
  <sheetViews>
    <sheetView showZeros="0" view="pageBreakPreview" zoomScale="130" zoomScaleSheetLayoutView="130" workbookViewId="0">
      <pane ySplit="3" topLeftCell="A4" activePane="bottomLeft" state="frozen"/>
      <selection activeCell="H25" sqref="H25"/>
      <selection pane="bottomLeft" activeCell="F44" sqref="F44"/>
    </sheetView>
  </sheetViews>
  <sheetFormatPr defaultColWidth="9.140625" defaultRowHeight="12.75"/>
  <cols>
    <col min="1" max="1" width="3.28515625" style="925" customWidth="1"/>
    <col min="2" max="2" width="22.28515625" style="925" bestFit="1" customWidth="1"/>
    <col min="3" max="5" width="7.7109375" style="925" customWidth="1"/>
    <col min="6" max="6" width="7.7109375" style="925" bestFit="1" customWidth="1"/>
    <col min="7" max="7" width="3.42578125" style="925" customWidth="1"/>
    <col min="8" max="8" width="8" style="925" customWidth="1"/>
    <col min="9" max="10" width="8.7109375" style="925" customWidth="1"/>
    <col min="11" max="11" width="6.42578125" style="925" bestFit="1" customWidth="1"/>
    <col min="12" max="12" width="7.140625" style="925" customWidth="1"/>
    <col min="13" max="13" width="6.28515625" style="925" customWidth="1"/>
    <col min="14" max="14" width="7.7109375" style="925" customWidth="1"/>
    <col min="15" max="16" width="6.42578125" style="925" customWidth="1"/>
    <col min="17" max="17" width="6" style="925" customWidth="1"/>
    <col min="18" max="18" width="5.42578125" style="925" customWidth="1"/>
    <col min="19" max="19" width="9.140625" style="925" bestFit="1" customWidth="1"/>
    <col min="20" max="20" width="7.7109375" style="925" bestFit="1" customWidth="1"/>
    <col min="21" max="21" width="3.28515625" style="925" bestFit="1" customWidth="1"/>
    <col min="22" max="16384" width="9.140625" style="925"/>
  </cols>
  <sheetData>
    <row r="1" spans="1:21" ht="21">
      <c r="A1" s="1648" t="s">
        <v>2531</v>
      </c>
      <c r="B1" s="1648"/>
      <c r="C1" s="1648"/>
      <c r="D1" s="1648"/>
      <c r="E1" s="1648"/>
      <c r="F1" s="1648"/>
      <c r="G1" s="1648"/>
      <c r="H1" s="1648"/>
      <c r="I1" s="1648"/>
      <c r="J1" s="1648"/>
      <c r="K1" s="1648"/>
      <c r="L1" s="1648"/>
      <c r="M1" s="1648"/>
      <c r="N1" s="1648"/>
      <c r="O1" s="1648"/>
      <c r="P1" s="1648"/>
      <c r="Q1" s="1648"/>
      <c r="R1" s="1648"/>
      <c r="S1" s="1648"/>
      <c r="T1" s="1648"/>
      <c r="U1" s="1648"/>
    </row>
    <row r="2" spans="1:21" ht="15.75" customHeight="1">
      <c r="A2" s="1651" t="str">
        <f>'SEIG P-A '!A2</f>
        <v>Name of the Work: Providing Additional Space for Health Staff in Grama Sachivalayam of Baduguleru GP of Kanigiri Mandal</v>
      </c>
      <c r="B2" s="1651"/>
      <c r="C2" s="1651"/>
      <c r="D2" s="1651"/>
      <c r="E2" s="1651"/>
      <c r="F2" s="1651"/>
      <c r="G2" s="1651"/>
      <c r="H2" s="1651"/>
      <c r="I2" s="1651"/>
      <c r="J2" s="1651"/>
      <c r="K2" s="1651"/>
      <c r="L2" s="1651"/>
      <c r="M2" s="1651"/>
      <c r="N2" s="1651"/>
      <c r="O2" s="1651"/>
      <c r="P2" s="1651"/>
      <c r="Q2" s="1651"/>
      <c r="R2" s="1651"/>
      <c r="S2" s="1651"/>
      <c r="T2" s="1651"/>
      <c r="U2" s="1651"/>
    </row>
    <row r="3" spans="1:21" ht="38.25">
      <c r="A3" s="926" t="s">
        <v>23</v>
      </c>
      <c r="B3" s="926" t="s">
        <v>7</v>
      </c>
      <c r="C3" s="926" t="s">
        <v>220</v>
      </c>
      <c r="D3" s="926" t="s">
        <v>224</v>
      </c>
      <c r="E3" s="926" t="s">
        <v>905</v>
      </c>
      <c r="F3" s="1650" t="s">
        <v>227</v>
      </c>
      <c r="G3" s="1650"/>
      <c r="H3" s="926" t="s">
        <v>228</v>
      </c>
      <c r="I3" s="926" t="s">
        <v>229</v>
      </c>
      <c r="J3" s="926" t="s">
        <v>230</v>
      </c>
      <c r="K3" s="926" t="s">
        <v>234</v>
      </c>
      <c r="L3" s="927" t="s">
        <v>232</v>
      </c>
      <c r="M3" s="927" t="s">
        <v>231</v>
      </c>
      <c r="N3" s="927" t="s">
        <v>233</v>
      </c>
      <c r="O3" s="927" t="s">
        <v>135</v>
      </c>
      <c r="P3" s="927" t="s">
        <v>1190</v>
      </c>
      <c r="Q3" s="926" t="s">
        <v>41</v>
      </c>
      <c r="R3" s="926" t="s">
        <v>664</v>
      </c>
      <c r="S3" s="926" t="s">
        <v>420</v>
      </c>
      <c r="T3" s="926" t="s">
        <v>136</v>
      </c>
      <c r="U3" s="928"/>
    </row>
    <row r="4" spans="1:21" ht="18" hidden="1" customHeight="1">
      <c r="A4" s="929">
        <v>1</v>
      </c>
      <c r="B4" s="928" t="s">
        <v>101</v>
      </c>
      <c r="C4" s="930"/>
      <c r="D4" s="928"/>
      <c r="E4" s="928"/>
      <c r="F4" s="931">
        <f>C4+D4</f>
        <v>0</v>
      </c>
      <c r="G4" s="931" t="s">
        <v>421</v>
      </c>
      <c r="H4" s="929">
        <v>0</v>
      </c>
      <c r="I4" s="929">
        <v>0</v>
      </c>
      <c r="J4" s="929">
        <v>0</v>
      </c>
      <c r="K4" s="929">
        <v>0</v>
      </c>
      <c r="L4" s="929">
        <v>0</v>
      </c>
      <c r="M4" s="929">
        <v>0</v>
      </c>
      <c r="N4" s="929">
        <v>0</v>
      </c>
      <c r="O4" s="932">
        <v>0</v>
      </c>
      <c r="P4" s="932">
        <v>0</v>
      </c>
      <c r="Q4" s="929">
        <v>0</v>
      </c>
      <c r="R4" s="933">
        <f>F4</f>
        <v>0</v>
      </c>
      <c r="S4" s="934">
        <v>0</v>
      </c>
      <c r="T4" s="928">
        <v>0</v>
      </c>
      <c r="U4" s="928"/>
    </row>
    <row r="5" spans="1:21" ht="20.100000000000001" hidden="1" customHeight="1">
      <c r="A5" s="929">
        <v>1</v>
      </c>
      <c r="B5" s="928" t="s">
        <v>135</v>
      </c>
      <c r="C5" s="931">
        <f>'PART-B'!I51</f>
        <v>0</v>
      </c>
      <c r="D5" s="928"/>
      <c r="E5" s="928"/>
      <c r="F5" s="931">
        <f t="shared" ref="F5:F45" si="0">SUM(C5:E5)</f>
        <v>0</v>
      </c>
      <c r="G5" s="931" t="s">
        <v>421</v>
      </c>
      <c r="H5" s="929">
        <v>0</v>
      </c>
      <c r="I5" s="929">
        <v>0</v>
      </c>
      <c r="J5" s="929">
        <v>0</v>
      </c>
      <c r="K5" s="929">
        <v>0</v>
      </c>
      <c r="L5" s="929">
        <v>0</v>
      </c>
      <c r="M5" s="929">
        <v>0</v>
      </c>
      <c r="N5" s="929">
        <v>0</v>
      </c>
      <c r="O5" s="933">
        <f>F5</f>
        <v>0</v>
      </c>
      <c r="P5" s="932">
        <v>0</v>
      </c>
      <c r="Q5" s="929">
        <v>0</v>
      </c>
      <c r="R5" s="932">
        <v>0</v>
      </c>
      <c r="S5" s="934">
        <v>0</v>
      </c>
      <c r="T5" s="928">
        <v>0</v>
      </c>
      <c r="U5" s="928"/>
    </row>
    <row r="6" spans="1:21" ht="20.100000000000001" hidden="1" customHeight="1">
      <c r="A6" s="929">
        <v>2</v>
      </c>
      <c r="B6" s="928" t="s">
        <v>1191</v>
      </c>
      <c r="C6" s="931">
        <f>'PART-B'!I39</f>
        <v>0</v>
      </c>
      <c r="D6" s="928"/>
      <c r="E6" s="928"/>
      <c r="F6" s="931">
        <f t="shared" si="0"/>
        <v>0</v>
      </c>
      <c r="G6" s="931" t="s">
        <v>421</v>
      </c>
      <c r="H6" s="929">
        <v>0</v>
      </c>
      <c r="I6" s="929">
        <v>0</v>
      </c>
      <c r="J6" s="929">
        <v>0</v>
      </c>
      <c r="K6" s="929">
        <v>0</v>
      </c>
      <c r="L6" s="929">
        <v>0</v>
      </c>
      <c r="M6" s="929">
        <v>0</v>
      </c>
      <c r="N6" s="929">
        <v>0</v>
      </c>
      <c r="O6" s="932">
        <v>0</v>
      </c>
      <c r="P6" s="933">
        <f>F6</f>
        <v>0</v>
      </c>
      <c r="Q6" s="929">
        <v>0</v>
      </c>
      <c r="R6" s="932">
        <v>0</v>
      </c>
      <c r="S6" s="934">
        <v>0</v>
      </c>
      <c r="T6" s="928">
        <v>0</v>
      </c>
      <c r="U6" s="928"/>
    </row>
    <row r="7" spans="1:21" ht="20.100000000000001" hidden="1" customHeight="1">
      <c r="A7" s="929">
        <v>4</v>
      </c>
      <c r="B7" s="928" t="s">
        <v>663</v>
      </c>
      <c r="C7" s="931">
        <f>'PART-B'!I45</f>
        <v>0</v>
      </c>
      <c r="D7" s="928"/>
      <c r="E7" s="928"/>
      <c r="F7" s="931">
        <f t="shared" si="0"/>
        <v>0</v>
      </c>
      <c r="G7" s="931" t="s">
        <v>421</v>
      </c>
      <c r="H7" s="929">
        <v>0</v>
      </c>
      <c r="I7" s="929">
        <v>0</v>
      </c>
      <c r="J7" s="929">
        <v>0</v>
      </c>
      <c r="K7" s="929">
        <v>0</v>
      </c>
      <c r="L7" s="929">
        <v>0</v>
      </c>
      <c r="M7" s="929">
        <v>0</v>
      </c>
      <c r="N7" s="929">
        <v>0</v>
      </c>
      <c r="O7" s="932">
        <v>0</v>
      </c>
      <c r="P7" s="933"/>
      <c r="Q7" s="929">
        <v>0</v>
      </c>
      <c r="R7" s="933">
        <f>F7</f>
        <v>0</v>
      </c>
      <c r="S7" s="934">
        <v>0</v>
      </c>
      <c r="T7" s="928">
        <v>0</v>
      </c>
      <c r="U7" s="928"/>
    </row>
    <row r="8" spans="1:21" ht="20.100000000000001" hidden="1" customHeight="1">
      <c r="A8" s="929">
        <v>1</v>
      </c>
      <c r="B8" s="928" t="s">
        <v>235</v>
      </c>
      <c r="C8" s="931">
        <f>'PART-B'!I24</f>
        <v>0</v>
      </c>
      <c r="D8" s="928"/>
      <c r="E8" s="928"/>
      <c r="F8" s="931">
        <f t="shared" si="0"/>
        <v>0</v>
      </c>
      <c r="G8" s="931" t="s">
        <v>421</v>
      </c>
      <c r="H8" s="933">
        <f>ROUND(F8*0.9,2)</f>
        <v>0</v>
      </c>
      <c r="I8" s="932">
        <v>0</v>
      </c>
      <c r="J8" s="932">
        <v>0</v>
      </c>
      <c r="K8" s="929">
        <v>0</v>
      </c>
      <c r="L8" s="933">
        <f>ROUND(F8*0.45,2)</f>
        <v>0</v>
      </c>
      <c r="M8" s="929">
        <v>0</v>
      </c>
      <c r="N8" s="929">
        <v>0</v>
      </c>
      <c r="O8" s="932">
        <v>0</v>
      </c>
      <c r="P8" s="932">
        <v>0</v>
      </c>
      <c r="Q8" s="932">
        <v>0</v>
      </c>
      <c r="R8" s="932">
        <v>0</v>
      </c>
      <c r="S8" s="935">
        <f t="shared" ref="S8:S45" si="1">ROUND(F8*T8/50,2)</f>
        <v>0</v>
      </c>
      <c r="T8" s="931">
        <v>162</v>
      </c>
      <c r="U8" s="933" t="s">
        <v>4</v>
      </c>
    </row>
    <row r="9" spans="1:21" ht="20.100000000000001" hidden="1" customHeight="1">
      <c r="A9" s="929">
        <v>6</v>
      </c>
      <c r="B9" s="928" t="s">
        <v>446</v>
      </c>
      <c r="C9" s="931">
        <f>'PART-B'!I33</f>
        <v>0</v>
      </c>
      <c r="D9" s="928"/>
      <c r="E9" s="928"/>
      <c r="F9" s="931">
        <f t="shared" si="0"/>
        <v>0</v>
      </c>
      <c r="G9" s="931" t="s">
        <v>421</v>
      </c>
      <c r="H9" s="933">
        <f>ROUND(F9*0.9,2)</f>
        <v>0</v>
      </c>
      <c r="I9" s="932">
        <v>0</v>
      </c>
      <c r="J9" s="932">
        <v>0</v>
      </c>
      <c r="K9" s="929">
        <v>0</v>
      </c>
      <c r="L9" s="933">
        <f>ROUND(F9*0.45,2)</f>
        <v>0</v>
      </c>
      <c r="M9" s="929">
        <v>0</v>
      </c>
      <c r="N9" s="929">
        <v>0</v>
      </c>
      <c r="O9" s="932">
        <v>0</v>
      </c>
      <c r="P9" s="932">
        <v>0</v>
      </c>
      <c r="Q9" s="932">
        <v>0</v>
      </c>
      <c r="R9" s="932">
        <v>0</v>
      </c>
      <c r="S9" s="935">
        <f t="shared" si="1"/>
        <v>0</v>
      </c>
      <c r="T9" s="931">
        <v>129.6</v>
      </c>
      <c r="U9" s="933" t="s">
        <v>4</v>
      </c>
    </row>
    <row r="10" spans="1:21" ht="20.100000000000001" hidden="1" customHeight="1">
      <c r="A10" s="929">
        <v>4</v>
      </c>
      <c r="B10" s="928" t="s">
        <v>132</v>
      </c>
      <c r="C10" s="931">
        <f>'PART-B'!I63</f>
        <v>0</v>
      </c>
      <c r="D10" s="928"/>
      <c r="E10" s="928"/>
      <c r="F10" s="931">
        <f t="shared" si="0"/>
        <v>0</v>
      </c>
      <c r="G10" s="931" t="s">
        <v>421</v>
      </c>
      <c r="H10" s="932">
        <v>0</v>
      </c>
      <c r="I10" s="933">
        <f t="shared" ref="I10:I20" si="2">ROUND(F10*0.8,2)</f>
        <v>0</v>
      </c>
      <c r="J10" s="932">
        <v>0</v>
      </c>
      <c r="K10" s="929">
        <v>0</v>
      </c>
      <c r="L10" s="933">
        <f t="shared" ref="L10:L20" si="3">ROUND(F10*0.4,2)</f>
        <v>0</v>
      </c>
      <c r="M10" s="929">
        <v>0</v>
      </c>
      <c r="N10" s="929">
        <v>0</v>
      </c>
      <c r="O10" s="932">
        <v>0</v>
      </c>
      <c r="P10" s="932">
        <v>0</v>
      </c>
      <c r="Q10" s="932">
        <v>0</v>
      </c>
      <c r="R10" s="932">
        <v>0</v>
      </c>
      <c r="S10" s="935">
        <f t="shared" si="1"/>
        <v>0</v>
      </c>
      <c r="T10" s="931">
        <f>'data 2022-23'!E107</f>
        <v>340</v>
      </c>
      <c r="U10" s="933" t="s">
        <v>4</v>
      </c>
    </row>
    <row r="11" spans="1:21" ht="20.100000000000001" hidden="1" customHeight="1">
      <c r="A11" s="929">
        <v>5</v>
      </c>
      <c r="B11" s="928" t="s">
        <v>133</v>
      </c>
      <c r="C11" s="931">
        <f>'PART-B'!I68</f>
        <v>0</v>
      </c>
      <c r="D11" s="928"/>
      <c r="E11" s="928"/>
      <c r="F11" s="931">
        <f t="shared" si="0"/>
        <v>0</v>
      </c>
      <c r="G11" s="931" t="s">
        <v>421</v>
      </c>
      <c r="H11" s="932">
        <v>0</v>
      </c>
      <c r="I11" s="933">
        <f t="shared" si="2"/>
        <v>0</v>
      </c>
      <c r="J11" s="932">
        <v>0</v>
      </c>
      <c r="K11" s="929">
        <v>0</v>
      </c>
      <c r="L11" s="933">
        <f t="shared" si="3"/>
        <v>0</v>
      </c>
      <c r="M11" s="929">
        <v>0</v>
      </c>
      <c r="N11" s="929">
        <v>0</v>
      </c>
      <c r="O11" s="932">
        <v>0</v>
      </c>
      <c r="P11" s="932">
        <v>0</v>
      </c>
      <c r="Q11" s="932">
        <v>0</v>
      </c>
      <c r="R11" s="932">
        <v>0</v>
      </c>
      <c r="S11" s="935">
        <f t="shared" si="1"/>
        <v>0</v>
      </c>
      <c r="T11" s="931">
        <f>$T$10</f>
        <v>340</v>
      </c>
      <c r="U11" s="933" t="s">
        <v>4</v>
      </c>
    </row>
    <row r="12" spans="1:21" ht="20.100000000000001" hidden="1" customHeight="1">
      <c r="A12" s="929">
        <v>2</v>
      </c>
      <c r="B12" s="928" t="s">
        <v>127</v>
      </c>
      <c r="C12" s="931">
        <f>'PART-B'!I80</f>
        <v>0</v>
      </c>
      <c r="D12" s="931">
        <f>'PART-B'!I584</f>
        <v>0</v>
      </c>
      <c r="E12" s="931">
        <f>'PART-B'!I831</f>
        <v>0</v>
      </c>
      <c r="F12" s="931">
        <f t="shared" si="0"/>
        <v>0</v>
      </c>
      <c r="G12" s="931" t="s">
        <v>421</v>
      </c>
      <c r="H12" s="932">
        <v>0</v>
      </c>
      <c r="I12" s="933">
        <f t="shared" si="2"/>
        <v>0</v>
      </c>
      <c r="J12" s="932">
        <v>0</v>
      </c>
      <c r="K12" s="929">
        <v>0</v>
      </c>
      <c r="L12" s="933">
        <f t="shared" si="3"/>
        <v>0</v>
      </c>
      <c r="M12" s="929">
        <v>0</v>
      </c>
      <c r="N12" s="929">
        <v>0</v>
      </c>
      <c r="O12" s="932">
        <v>0</v>
      </c>
      <c r="P12" s="932">
        <v>0</v>
      </c>
      <c r="Q12" s="932">
        <v>0</v>
      </c>
      <c r="R12" s="932">
        <v>0</v>
      </c>
      <c r="S12" s="935">
        <f t="shared" si="1"/>
        <v>0</v>
      </c>
      <c r="T12" s="931">
        <f>$T$10</f>
        <v>340</v>
      </c>
      <c r="U12" s="933" t="s">
        <v>4</v>
      </c>
    </row>
    <row r="13" spans="1:21" ht="20.100000000000001" hidden="1" customHeight="1">
      <c r="A13" s="929">
        <v>7</v>
      </c>
      <c r="B13" s="928" t="s">
        <v>128</v>
      </c>
      <c r="C13" s="931">
        <f>'PART-B'!I88</f>
        <v>0</v>
      </c>
      <c r="D13" s="928"/>
      <c r="E13" s="928"/>
      <c r="F13" s="931">
        <f t="shared" si="0"/>
        <v>0</v>
      </c>
      <c r="G13" s="931" t="s">
        <v>421</v>
      </c>
      <c r="H13" s="932">
        <v>0</v>
      </c>
      <c r="I13" s="933">
        <f t="shared" si="2"/>
        <v>0</v>
      </c>
      <c r="J13" s="932">
        <v>0</v>
      </c>
      <c r="K13" s="929">
        <v>0</v>
      </c>
      <c r="L13" s="933">
        <f t="shared" si="3"/>
        <v>0</v>
      </c>
      <c r="M13" s="929">
        <v>0</v>
      </c>
      <c r="N13" s="929">
        <v>0</v>
      </c>
      <c r="O13" s="932">
        <v>0</v>
      </c>
      <c r="P13" s="932">
        <v>0</v>
      </c>
      <c r="Q13" s="932">
        <v>0</v>
      </c>
      <c r="R13" s="932">
        <v>0</v>
      </c>
      <c r="S13" s="935">
        <f t="shared" si="1"/>
        <v>0</v>
      </c>
      <c r="T13" s="931">
        <f>$T$10</f>
        <v>340</v>
      </c>
      <c r="U13" s="933" t="s">
        <v>4</v>
      </c>
    </row>
    <row r="14" spans="1:21" ht="20.100000000000001" hidden="1" customHeight="1">
      <c r="A14" s="929">
        <v>3</v>
      </c>
      <c r="B14" s="928" t="s">
        <v>131</v>
      </c>
      <c r="C14" s="931">
        <f>'PART-B'!I96</f>
        <v>0</v>
      </c>
      <c r="D14" s="931">
        <f>'PART-B'!I590</f>
        <v>0</v>
      </c>
      <c r="E14" s="931">
        <f>'PART-B'!I837</f>
        <v>0</v>
      </c>
      <c r="F14" s="931">
        <f t="shared" si="0"/>
        <v>0</v>
      </c>
      <c r="G14" s="931" t="s">
        <v>421</v>
      </c>
      <c r="H14" s="932">
        <v>0</v>
      </c>
      <c r="I14" s="933">
        <f t="shared" si="2"/>
        <v>0</v>
      </c>
      <c r="J14" s="932">
        <v>0</v>
      </c>
      <c r="K14" s="929">
        <v>0</v>
      </c>
      <c r="L14" s="933">
        <f t="shared" si="3"/>
        <v>0</v>
      </c>
      <c r="M14" s="929">
        <v>0</v>
      </c>
      <c r="N14" s="929">
        <v>0</v>
      </c>
      <c r="O14" s="932">
        <v>0</v>
      </c>
      <c r="P14" s="932">
        <v>0</v>
      </c>
      <c r="Q14" s="932">
        <v>0</v>
      </c>
      <c r="R14" s="932">
        <v>0</v>
      </c>
      <c r="S14" s="935">
        <f t="shared" si="1"/>
        <v>0</v>
      </c>
      <c r="T14" s="931">
        <f>$T$10</f>
        <v>340</v>
      </c>
      <c r="U14" s="933" t="s">
        <v>4</v>
      </c>
    </row>
    <row r="15" spans="1:21" ht="20.100000000000001" hidden="1" customHeight="1">
      <c r="A15" s="929">
        <v>9</v>
      </c>
      <c r="B15" s="936" t="s">
        <v>236</v>
      </c>
      <c r="C15" s="931">
        <f>ROUND('PART-B'!I102*0.15,2)</f>
        <v>0</v>
      </c>
      <c r="D15" s="931">
        <f>ROUND('PART-B'!I595*0.15,2)</f>
        <v>0</v>
      </c>
      <c r="E15" s="931">
        <f>ROUND('PART-B'!I843*0.15,2)</f>
        <v>0</v>
      </c>
      <c r="F15" s="931">
        <f t="shared" si="0"/>
        <v>0</v>
      </c>
      <c r="G15" s="931" t="s">
        <v>422</v>
      </c>
      <c r="H15" s="932">
        <v>0</v>
      </c>
      <c r="I15" s="933">
        <f t="shared" si="2"/>
        <v>0</v>
      </c>
      <c r="J15" s="932">
        <v>0</v>
      </c>
      <c r="K15" s="929">
        <v>0</v>
      </c>
      <c r="L15" s="933">
        <f t="shared" si="3"/>
        <v>0</v>
      </c>
      <c r="M15" s="929">
        <v>0</v>
      </c>
      <c r="N15" s="929">
        <v>0</v>
      </c>
      <c r="O15" s="932">
        <v>0</v>
      </c>
      <c r="P15" s="932">
        <v>0</v>
      </c>
      <c r="Q15" s="932">
        <v>0</v>
      </c>
      <c r="R15" s="932">
        <v>0</v>
      </c>
      <c r="S15" s="935">
        <f t="shared" si="1"/>
        <v>0</v>
      </c>
      <c r="T15" s="931">
        <f>ROUND(T14,2)</f>
        <v>340</v>
      </c>
      <c r="U15" s="933" t="s">
        <v>4</v>
      </c>
    </row>
    <row r="16" spans="1:21" ht="20.100000000000001" hidden="1" customHeight="1">
      <c r="A16" s="929">
        <v>4</v>
      </c>
      <c r="B16" s="936" t="s">
        <v>237</v>
      </c>
      <c r="C16" s="931">
        <f>ROUND('PART-B'!I108*0.125,2)</f>
        <v>0</v>
      </c>
      <c r="D16" s="931">
        <f>ROUND('PART-B'!I601*0.125,2)</f>
        <v>0</v>
      </c>
      <c r="E16" s="931">
        <f>ROUND('PART-B'!I848*0.125,2)</f>
        <v>0</v>
      </c>
      <c r="F16" s="931">
        <f t="shared" si="0"/>
        <v>0</v>
      </c>
      <c r="G16" s="931" t="s">
        <v>422</v>
      </c>
      <c r="H16" s="932">
        <v>0</v>
      </c>
      <c r="I16" s="933">
        <f t="shared" si="2"/>
        <v>0</v>
      </c>
      <c r="J16" s="932">
        <v>0</v>
      </c>
      <c r="K16" s="929">
        <v>0</v>
      </c>
      <c r="L16" s="933">
        <f t="shared" si="3"/>
        <v>0</v>
      </c>
      <c r="M16" s="929">
        <v>0</v>
      </c>
      <c r="N16" s="929">
        <v>0</v>
      </c>
      <c r="O16" s="932">
        <v>0</v>
      </c>
      <c r="P16" s="932">
        <v>0</v>
      </c>
      <c r="Q16" s="932">
        <v>0</v>
      </c>
      <c r="R16" s="932">
        <v>0</v>
      </c>
      <c r="S16" s="935">
        <f t="shared" si="1"/>
        <v>0</v>
      </c>
      <c r="T16" s="931">
        <f>ROUND(T14,2)</f>
        <v>340</v>
      </c>
      <c r="U16" s="933" t="s">
        <v>4</v>
      </c>
    </row>
    <row r="17" spans="1:21" ht="20.100000000000001" hidden="1" customHeight="1">
      <c r="A17" s="929">
        <v>9</v>
      </c>
      <c r="B17" s="936" t="s">
        <v>605</v>
      </c>
      <c r="C17" s="931">
        <f>ROUND('PART-B'!I114*0.1,2)</f>
        <v>0</v>
      </c>
      <c r="D17" s="931">
        <f>ROUND('PART-B'!I606*0.1,2)</f>
        <v>0</v>
      </c>
      <c r="E17" s="931">
        <f>ROUND('PART-B'!I853*0.1,2)</f>
        <v>0</v>
      </c>
      <c r="F17" s="931">
        <f t="shared" si="0"/>
        <v>0</v>
      </c>
      <c r="G17" s="931" t="s">
        <v>422</v>
      </c>
      <c r="H17" s="932">
        <v>0</v>
      </c>
      <c r="I17" s="933">
        <f t="shared" si="2"/>
        <v>0</v>
      </c>
      <c r="J17" s="932">
        <v>0</v>
      </c>
      <c r="K17" s="929">
        <v>0</v>
      </c>
      <c r="L17" s="933">
        <f t="shared" si="3"/>
        <v>0</v>
      </c>
      <c r="M17" s="929">
        <v>0</v>
      </c>
      <c r="N17" s="929">
        <v>0</v>
      </c>
      <c r="O17" s="932">
        <v>0</v>
      </c>
      <c r="P17" s="932">
        <v>0</v>
      </c>
      <c r="Q17" s="932">
        <v>0</v>
      </c>
      <c r="R17" s="932">
        <v>0</v>
      </c>
      <c r="S17" s="935">
        <f t="shared" si="1"/>
        <v>0</v>
      </c>
      <c r="T17" s="931">
        <f>T16</f>
        <v>340</v>
      </c>
      <c r="U17" s="933" t="s">
        <v>4</v>
      </c>
    </row>
    <row r="18" spans="1:21" ht="20.100000000000001" hidden="1" customHeight="1">
      <c r="A18" s="929">
        <v>9</v>
      </c>
      <c r="B18" s="936" t="s">
        <v>1230</v>
      </c>
      <c r="C18" s="931">
        <f>ROUND('PART-B'!I120*0.05,2)</f>
        <v>0</v>
      </c>
      <c r="D18" s="931">
        <f>ROUND('PART-B'!I612*0.05,2)</f>
        <v>0</v>
      </c>
      <c r="E18" s="931">
        <f>ROUND('PART-B'!I859*0.05,2)</f>
        <v>0</v>
      </c>
      <c r="F18" s="931">
        <f t="shared" si="0"/>
        <v>0</v>
      </c>
      <c r="G18" s="931" t="s">
        <v>422</v>
      </c>
      <c r="H18" s="932">
        <v>0</v>
      </c>
      <c r="I18" s="933">
        <f t="shared" si="2"/>
        <v>0</v>
      </c>
      <c r="J18" s="932">
        <v>0</v>
      </c>
      <c r="K18" s="929">
        <v>0</v>
      </c>
      <c r="L18" s="933">
        <f t="shared" si="3"/>
        <v>0</v>
      </c>
      <c r="M18" s="929">
        <v>0</v>
      </c>
      <c r="N18" s="929">
        <v>0</v>
      </c>
      <c r="O18" s="932">
        <v>0</v>
      </c>
      <c r="P18" s="932">
        <v>0</v>
      </c>
      <c r="Q18" s="932">
        <v>0</v>
      </c>
      <c r="R18" s="932">
        <v>0</v>
      </c>
      <c r="S18" s="935">
        <f t="shared" si="1"/>
        <v>0</v>
      </c>
      <c r="T18" s="931">
        <f>T17</f>
        <v>340</v>
      </c>
      <c r="U18" s="933" t="s">
        <v>4</v>
      </c>
    </row>
    <row r="19" spans="1:21" ht="20.100000000000001" hidden="1" customHeight="1">
      <c r="A19" s="929">
        <v>16</v>
      </c>
      <c r="B19" s="936" t="s">
        <v>1438</v>
      </c>
      <c r="C19" s="931">
        <f>ROUND('PART-B'!I127*0.025,2)</f>
        <v>0</v>
      </c>
      <c r="D19" s="931">
        <f>ROUND('PART-B'!I618*0.025,2)</f>
        <v>0</v>
      </c>
      <c r="E19" s="931">
        <f>ROUND('PART-B'!I865*0.025,2)</f>
        <v>0</v>
      </c>
      <c r="F19" s="931">
        <f t="shared" si="0"/>
        <v>0</v>
      </c>
      <c r="G19" s="931" t="s">
        <v>422</v>
      </c>
      <c r="H19" s="932">
        <v>0</v>
      </c>
      <c r="I19" s="933">
        <f t="shared" si="2"/>
        <v>0</v>
      </c>
      <c r="J19" s="932">
        <v>0</v>
      </c>
      <c r="K19" s="929">
        <v>0</v>
      </c>
      <c r="L19" s="933">
        <f t="shared" si="3"/>
        <v>0</v>
      </c>
      <c r="M19" s="929">
        <v>0</v>
      </c>
      <c r="N19" s="929">
        <v>0</v>
      </c>
      <c r="O19" s="932">
        <v>0</v>
      </c>
      <c r="P19" s="932">
        <v>0</v>
      </c>
      <c r="Q19" s="932">
        <v>0</v>
      </c>
      <c r="R19" s="932">
        <v>0</v>
      </c>
      <c r="S19" s="935">
        <f t="shared" si="1"/>
        <v>0</v>
      </c>
      <c r="T19" s="931">
        <f>T18</f>
        <v>340</v>
      </c>
      <c r="U19" s="933" t="s">
        <v>4</v>
      </c>
    </row>
    <row r="20" spans="1:21" ht="20.100000000000001" hidden="1" customHeight="1">
      <c r="A20" s="929">
        <v>5</v>
      </c>
      <c r="B20" s="928" t="s">
        <v>129</v>
      </c>
      <c r="C20" s="931">
        <f>'PART-B'!I136</f>
        <v>0</v>
      </c>
      <c r="D20" s="931">
        <f>'PART-B'!I624</f>
        <v>0</v>
      </c>
      <c r="E20" s="931">
        <f>'PART-B'!I872</f>
        <v>0</v>
      </c>
      <c r="F20" s="931">
        <f t="shared" si="0"/>
        <v>0</v>
      </c>
      <c r="G20" s="931" t="s">
        <v>421</v>
      </c>
      <c r="H20" s="932">
        <v>0</v>
      </c>
      <c r="I20" s="933">
        <f t="shared" si="2"/>
        <v>0</v>
      </c>
      <c r="J20" s="932">
        <v>0</v>
      </c>
      <c r="K20" s="929">
        <v>0</v>
      </c>
      <c r="L20" s="933">
        <f t="shared" si="3"/>
        <v>0</v>
      </c>
      <c r="M20" s="929">
        <v>0</v>
      </c>
      <c r="N20" s="929">
        <v>0</v>
      </c>
      <c r="O20" s="932">
        <v>0</v>
      </c>
      <c r="P20" s="932">
        <v>0</v>
      </c>
      <c r="Q20" s="932">
        <v>0</v>
      </c>
      <c r="R20" s="932">
        <v>0</v>
      </c>
      <c r="S20" s="935">
        <f t="shared" si="1"/>
        <v>0</v>
      </c>
      <c r="T20" s="931">
        <f>$T$10</f>
        <v>340</v>
      </c>
      <c r="U20" s="933" t="s">
        <v>4</v>
      </c>
    </row>
    <row r="21" spans="1:21" ht="20.100000000000001" hidden="1" customHeight="1">
      <c r="A21" s="929">
        <v>6</v>
      </c>
      <c r="B21" s="928" t="s">
        <v>130</v>
      </c>
      <c r="C21" s="931">
        <f>'PART-B'!I142</f>
        <v>0</v>
      </c>
      <c r="D21" s="931">
        <f>'PART-B'!I630</f>
        <v>0</v>
      </c>
      <c r="E21" s="931">
        <f>'PART-B'!I877</f>
        <v>0</v>
      </c>
      <c r="F21" s="931">
        <f t="shared" si="0"/>
        <v>0</v>
      </c>
      <c r="G21" s="931" t="s">
        <v>82</v>
      </c>
      <c r="H21" s="932">
        <v>0</v>
      </c>
      <c r="I21" s="933">
        <f>ROUND(F21*0.0375*0.8,2)</f>
        <v>0</v>
      </c>
      <c r="J21" s="932">
        <v>0</v>
      </c>
      <c r="K21" s="929">
        <v>0</v>
      </c>
      <c r="L21" s="933">
        <f>ROUND(F21*0.0375*0.4,2)</f>
        <v>0</v>
      </c>
      <c r="M21" s="929">
        <v>0</v>
      </c>
      <c r="N21" s="929">
        <v>0</v>
      </c>
      <c r="O21" s="932">
        <v>0</v>
      </c>
      <c r="P21" s="932">
        <v>0</v>
      </c>
      <c r="Q21" s="932">
        <v>0</v>
      </c>
      <c r="R21" s="932">
        <v>0</v>
      </c>
      <c r="S21" s="935">
        <f t="shared" si="1"/>
        <v>0</v>
      </c>
      <c r="T21" s="937">
        <f>ROUND(T20*0.0375,2)</f>
        <v>12.75</v>
      </c>
      <c r="U21" s="933" t="s">
        <v>4</v>
      </c>
    </row>
    <row r="22" spans="1:21" ht="20.100000000000001" hidden="1" customHeight="1">
      <c r="A22" s="929">
        <v>4</v>
      </c>
      <c r="B22" s="936" t="s">
        <v>1439</v>
      </c>
      <c r="C22" s="931">
        <f>'PART-B'!I148</f>
        <v>0</v>
      </c>
      <c r="D22" s="931">
        <f>'PART-B'!I636</f>
        <v>0</v>
      </c>
      <c r="E22" s="931">
        <f>'PART-B'!I882</f>
        <v>0</v>
      </c>
      <c r="F22" s="931">
        <f t="shared" si="0"/>
        <v>0</v>
      </c>
      <c r="G22" s="931" t="s">
        <v>422</v>
      </c>
      <c r="H22" s="932">
        <v>0</v>
      </c>
      <c r="I22" s="932">
        <v>0</v>
      </c>
      <c r="J22" s="932">
        <v>0</v>
      </c>
      <c r="K22" s="929">
        <v>0</v>
      </c>
      <c r="L22" s="932">
        <v>0</v>
      </c>
      <c r="M22" s="929">
        <v>0</v>
      </c>
      <c r="N22" s="933">
        <f>ROUND(F22*0.015*1.05,2)</f>
        <v>0</v>
      </c>
      <c r="O22" s="932">
        <v>0</v>
      </c>
      <c r="P22" s="932">
        <v>0</v>
      </c>
      <c r="Q22" s="932">
        <v>0</v>
      </c>
      <c r="R22" s="932">
        <v>0</v>
      </c>
      <c r="S22" s="935">
        <f t="shared" si="1"/>
        <v>0</v>
      </c>
      <c r="T22" s="931">
        <v>7.2</v>
      </c>
      <c r="U22" s="933" t="s">
        <v>4</v>
      </c>
    </row>
    <row r="23" spans="1:21" ht="20.100000000000001" hidden="1" customHeight="1">
      <c r="A23" s="929">
        <v>12</v>
      </c>
      <c r="B23" s="936" t="s">
        <v>1225</v>
      </c>
      <c r="C23" s="931">
        <f>'PART-B'!I154</f>
        <v>0</v>
      </c>
      <c r="D23" s="931">
        <f>'PART-B'!I642</f>
        <v>0</v>
      </c>
      <c r="E23" s="931">
        <f>'PART-B'!I888</f>
        <v>0</v>
      </c>
      <c r="F23" s="931">
        <f t="shared" si="0"/>
        <v>0</v>
      </c>
      <c r="G23" s="931" t="s">
        <v>422</v>
      </c>
      <c r="H23" s="932">
        <v>0</v>
      </c>
      <c r="I23" s="932">
        <v>0</v>
      </c>
      <c r="J23" s="932">
        <v>0</v>
      </c>
      <c r="K23" s="929">
        <v>0</v>
      </c>
      <c r="L23" s="932">
        <v>0</v>
      </c>
      <c r="M23" s="929">
        <v>0</v>
      </c>
      <c r="N23" s="933">
        <f>ROUND(F23*0.021*1.05,2)</f>
        <v>0</v>
      </c>
      <c r="O23" s="932">
        <v>0</v>
      </c>
      <c r="P23" s="932">
        <v>0</v>
      </c>
      <c r="Q23" s="932">
        <v>0</v>
      </c>
      <c r="R23" s="932">
        <v>0</v>
      </c>
      <c r="S23" s="935">
        <f t="shared" si="1"/>
        <v>0</v>
      </c>
      <c r="T23" s="931">
        <v>10.08</v>
      </c>
      <c r="U23" s="933" t="s">
        <v>4</v>
      </c>
    </row>
    <row r="24" spans="1:21" ht="20.100000000000001" hidden="1" customHeight="1">
      <c r="A24" s="929">
        <v>13</v>
      </c>
      <c r="B24" s="928" t="s">
        <v>1193</v>
      </c>
      <c r="C24" s="931">
        <f>'PART-B'!I161</f>
        <v>0</v>
      </c>
      <c r="D24" s="931"/>
      <c r="E24" s="931"/>
      <c r="F24" s="931">
        <f t="shared" si="0"/>
        <v>0</v>
      </c>
      <c r="G24" s="931" t="s">
        <v>421</v>
      </c>
      <c r="H24" s="932">
        <v>0</v>
      </c>
      <c r="I24" s="932">
        <v>0</v>
      </c>
      <c r="J24" s="932">
        <v>0</v>
      </c>
      <c r="K24" s="933">
        <f>ROUND(F24*1.1,2)</f>
        <v>0</v>
      </c>
      <c r="L24" s="932">
        <v>0</v>
      </c>
      <c r="M24" s="933">
        <f>ROUND(F24*0.33,2)</f>
        <v>0</v>
      </c>
      <c r="N24" s="932">
        <v>0</v>
      </c>
      <c r="O24" s="932">
        <v>0</v>
      </c>
      <c r="P24" s="932">
        <v>0</v>
      </c>
      <c r="Q24" s="933"/>
      <c r="R24" s="932">
        <v>0</v>
      </c>
      <c r="S24" s="935">
        <f t="shared" si="1"/>
        <v>0</v>
      </c>
      <c r="T24" s="931">
        <v>59.4</v>
      </c>
      <c r="U24" s="933" t="s">
        <v>4</v>
      </c>
    </row>
    <row r="25" spans="1:21" ht="20.100000000000001" hidden="1" customHeight="1">
      <c r="A25" s="929">
        <v>2</v>
      </c>
      <c r="B25" s="928" t="s">
        <v>134</v>
      </c>
      <c r="C25" s="931">
        <f>'PART-B'!I169</f>
        <v>0</v>
      </c>
      <c r="D25" s="931">
        <f>'PART-B'!I648</f>
        <v>0</v>
      </c>
      <c r="E25" s="931">
        <f>'PART-B'!I896</f>
        <v>0</v>
      </c>
      <c r="F25" s="931">
        <f t="shared" si="0"/>
        <v>0</v>
      </c>
      <c r="G25" s="931" t="s">
        <v>421</v>
      </c>
      <c r="H25" s="932">
        <v>0</v>
      </c>
      <c r="I25" s="932">
        <v>0</v>
      </c>
      <c r="J25" s="932">
        <v>0</v>
      </c>
      <c r="K25" s="929">
        <v>0</v>
      </c>
      <c r="L25" s="932">
        <v>0</v>
      </c>
      <c r="M25" s="933">
        <f>ROUND(F25*0.2,2)</f>
        <v>0</v>
      </c>
      <c r="N25" s="932">
        <v>0</v>
      </c>
      <c r="O25" s="932">
        <v>0</v>
      </c>
      <c r="P25" s="932">
        <v>0</v>
      </c>
      <c r="Q25" s="933">
        <f>ROUND(F25*512/1000,2)</f>
        <v>0</v>
      </c>
      <c r="R25" s="932">
        <v>0</v>
      </c>
      <c r="S25" s="935">
        <f t="shared" si="1"/>
        <v>0</v>
      </c>
      <c r="T25" s="931">
        <v>36</v>
      </c>
      <c r="U25" s="933" t="s">
        <v>4</v>
      </c>
    </row>
    <row r="26" spans="1:21" ht="20.100000000000001" hidden="1" customHeight="1">
      <c r="A26" s="929">
        <v>2</v>
      </c>
      <c r="B26" s="928" t="s">
        <v>906</v>
      </c>
      <c r="C26" s="931">
        <f>'PART-B'!I177</f>
        <v>0</v>
      </c>
      <c r="D26" s="931">
        <f>'PART-B'!I654</f>
        <v>0</v>
      </c>
      <c r="E26" s="931">
        <f>'PART-B'!I901</f>
        <v>0</v>
      </c>
      <c r="F26" s="931">
        <f t="shared" si="0"/>
        <v>0</v>
      </c>
      <c r="G26" s="931" t="s">
        <v>421</v>
      </c>
      <c r="H26" s="932">
        <v>0</v>
      </c>
      <c r="I26" s="932">
        <v>0</v>
      </c>
      <c r="J26" s="932">
        <v>0</v>
      </c>
      <c r="K26" s="929">
        <v>0</v>
      </c>
      <c r="L26" s="932">
        <v>0</v>
      </c>
      <c r="M26" s="933">
        <f>ROUND(F26*0.2,2)</f>
        <v>0</v>
      </c>
      <c r="N26" s="932">
        <v>0</v>
      </c>
      <c r="O26" s="932">
        <v>0</v>
      </c>
      <c r="P26" s="932">
        <v>0</v>
      </c>
      <c r="Q26" s="933">
        <f>ROUND(F26*512/1000,2)</f>
        <v>0</v>
      </c>
      <c r="R26" s="932">
        <v>0</v>
      </c>
      <c r="S26" s="935">
        <f t="shared" si="1"/>
        <v>0</v>
      </c>
      <c r="T26" s="931">
        <v>48</v>
      </c>
      <c r="U26" s="933" t="s">
        <v>4</v>
      </c>
    </row>
    <row r="27" spans="1:21" ht="20.100000000000001" hidden="1" customHeight="1">
      <c r="A27" s="929">
        <v>9</v>
      </c>
      <c r="B27" s="928" t="s">
        <v>3686</v>
      </c>
      <c r="C27" s="931">
        <f>'PART-B'!I184</f>
        <v>0</v>
      </c>
      <c r="D27" s="931">
        <f>'PART-B'!I661</f>
        <v>0</v>
      </c>
      <c r="E27" s="931">
        <f>'PART-B'!I907</f>
        <v>0</v>
      </c>
      <c r="F27" s="931">
        <f t="shared" si="0"/>
        <v>0</v>
      </c>
      <c r="G27" s="931" t="s">
        <v>422</v>
      </c>
      <c r="H27" s="932">
        <v>0</v>
      </c>
      <c r="I27" s="933"/>
      <c r="J27" s="932">
        <v>0</v>
      </c>
      <c r="K27" s="929">
        <v>0</v>
      </c>
      <c r="L27" s="932">
        <v>0</v>
      </c>
      <c r="M27" s="933">
        <f>ROUND(F27*0.022,2)</f>
        <v>0</v>
      </c>
      <c r="N27" s="932">
        <v>0</v>
      </c>
      <c r="O27" s="932">
        <v>0</v>
      </c>
      <c r="P27" s="932">
        <v>0</v>
      </c>
      <c r="Q27" s="933">
        <f>ROUND(F27*512*0.1/1000,2)</f>
        <v>0</v>
      </c>
      <c r="R27" s="932">
        <v>0</v>
      </c>
      <c r="S27" s="935">
        <f t="shared" si="1"/>
        <v>0</v>
      </c>
      <c r="T27" s="931">
        <v>7.2</v>
      </c>
      <c r="U27" s="933" t="s">
        <v>4</v>
      </c>
    </row>
    <row r="28" spans="1:21" ht="20.100000000000001" hidden="1" customHeight="1">
      <c r="A28" s="929">
        <v>16</v>
      </c>
      <c r="B28" s="928" t="s">
        <v>1213</v>
      </c>
      <c r="C28" s="931">
        <f>'PART-B'!I192</f>
        <v>0</v>
      </c>
      <c r="D28" s="931">
        <f>'PART-B'!I668</f>
        <v>0</v>
      </c>
      <c r="E28" s="931">
        <f>'PART-B'!I914</f>
        <v>0</v>
      </c>
      <c r="F28" s="931">
        <f t="shared" si="0"/>
        <v>0</v>
      </c>
      <c r="G28" s="931" t="s">
        <v>421</v>
      </c>
      <c r="H28" s="932">
        <v>0</v>
      </c>
      <c r="I28" s="932">
        <v>0</v>
      </c>
      <c r="J28" s="932">
        <v>0</v>
      </c>
      <c r="K28" s="929">
        <v>0</v>
      </c>
      <c r="L28" s="932">
        <v>0</v>
      </c>
      <c r="M28" s="933">
        <f>ROUND(F28*0.1*1.05,2)</f>
        <v>0</v>
      </c>
      <c r="N28" s="932">
        <v>0</v>
      </c>
      <c r="O28" s="932">
        <v>0</v>
      </c>
      <c r="P28" s="932">
        <v>0</v>
      </c>
      <c r="Q28" s="933">
        <f>ROUND(F28*110/1000,2)</f>
        <v>0</v>
      </c>
      <c r="R28" s="932">
        <v>0</v>
      </c>
      <c r="S28" s="935">
        <f t="shared" si="1"/>
        <v>0</v>
      </c>
      <c r="T28" s="931">
        <v>24</v>
      </c>
      <c r="U28" s="933" t="s">
        <v>4</v>
      </c>
    </row>
    <row r="29" spans="1:21" ht="20.100000000000001" hidden="1" customHeight="1">
      <c r="A29" s="929">
        <v>14</v>
      </c>
      <c r="B29" s="936" t="s">
        <v>1214</v>
      </c>
      <c r="C29" s="931">
        <f>'PART-B'!I199</f>
        <v>0</v>
      </c>
      <c r="D29" s="931">
        <f>'PART-B'!I674</f>
        <v>0</v>
      </c>
      <c r="E29" s="931"/>
      <c r="F29" s="931">
        <f t="shared" si="0"/>
        <v>0</v>
      </c>
      <c r="G29" s="931" t="s">
        <v>422</v>
      </c>
      <c r="H29" s="932">
        <v>0</v>
      </c>
      <c r="I29" s="932">
        <v>0</v>
      </c>
      <c r="J29" s="932">
        <v>0</v>
      </c>
      <c r="K29" s="929">
        <v>0</v>
      </c>
      <c r="L29" s="932">
        <v>0</v>
      </c>
      <c r="M29" s="932">
        <v>0</v>
      </c>
      <c r="N29" s="933">
        <f>ROUND(F29*((0.015*1.05)+(0.025*1.05)),2)</f>
        <v>0</v>
      </c>
      <c r="O29" s="932">
        <v>0</v>
      </c>
      <c r="P29" s="932">
        <v>0</v>
      </c>
      <c r="Q29" s="932">
        <v>0</v>
      </c>
      <c r="R29" s="932">
        <v>0</v>
      </c>
      <c r="S29" s="935">
        <f t="shared" si="1"/>
        <v>0</v>
      </c>
      <c r="T29" s="931">
        <v>20.89</v>
      </c>
      <c r="U29" s="933" t="s">
        <v>4</v>
      </c>
    </row>
    <row r="30" spans="1:21" ht="20.100000000000001" hidden="1" customHeight="1">
      <c r="A30" s="929">
        <v>2</v>
      </c>
      <c r="B30" s="936" t="s">
        <v>137</v>
      </c>
      <c r="C30" s="931">
        <f>'PART-B'!I223</f>
        <v>0</v>
      </c>
      <c r="D30" s="931">
        <f>'PART-B'!I681</f>
        <v>0</v>
      </c>
      <c r="E30" s="931">
        <f>'PART-B'!I921</f>
        <v>0</v>
      </c>
      <c r="F30" s="931">
        <f t="shared" si="0"/>
        <v>0</v>
      </c>
      <c r="G30" s="931" t="s">
        <v>422</v>
      </c>
      <c r="H30" s="932">
        <v>0</v>
      </c>
      <c r="I30" s="932">
        <v>0</v>
      </c>
      <c r="J30" s="932">
        <v>0</v>
      </c>
      <c r="K30" s="929">
        <v>0</v>
      </c>
      <c r="L30" s="932">
        <v>0</v>
      </c>
      <c r="M30" s="932">
        <v>0</v>
      </c>
      <c r="N30" s="933">
        <f>ROUND(F30*0.015*1.05,2)</f>
        <v>0</v>
      </c>
      <c r="O30" s="932">
        <v>0</v>
      </c>
      <c r="P30" s="932">
        <v>0</v>
      </c>
      <c r="Q30" s="932">
        <v>0</v>
      </c>
      <c r="R30" s="932">
        <v>0</v>
      </c>
      <c r="S30" s="935">
        <f t="shared" si="1"/>
        <v>0</v>
      </c>
      <c r="T30" s="931">
        <v>7.2</v>
      </c>
      <c r="U30" s="933" t="s">
        <v>4</v>
      </c>
    </row>
    <row r="31" spans="1:21" ht="20.100000000000001" hidden="1" customHeight="1">
      <c r="A31" s="929">
        <v>3</v>
      </c>
      <c r="B31" s="936" t="s">
        <v>238</v>
      </c>
      <c r="C31" s="931">
        <f>'PART-B'!I233</f>
        <v>0</v>
      </c>
      <c r="D31" s="931">
        <f>'PART-B'!I689</f>
        <v>0</v>
      </c>
      <c r="E31" s="931">
        <f>'PART-B'!I929</f>
        <v>0</v>
      </c>
      <c r="F31" s="931">
        <f t="shared" si="0"/>
        <v>0</v>
      </c>
      <c r="G31" s="931" t="s">
        <v>422</v>
      </c>
      <c r="H31" s="932">
        <v>0</v>
      </c>
      <c r="I31" s="932">
        <v>0</v>
      </c>
      <c r="J31" s="932">
        <v>0</v>
      </c>
      <c r="K31" s="929">
        <v>0</v>
      </c>
      <c r="L31" s="932">
        <v>0</v>
      </c>
      <c r="M31" s="932">
        <v>0</v>
      </c>
      <c r="N31" s="933">
        <f>ROUND(F31*0.015*1.05,2)</f>
        <v>0</v>
      </c>
      <c r="O31" s="932">
        <v>0</v>
      </c>
      <c r="P31" s="932">
        <v>0</v>
      </c>
      <c r="Q31" s="932">
        <v>0</v>
      </c>
      <c r="R31" s="932">
        <v>0</v>
      </c>
      <c r="S31" s="935">
        <f t="shared" si="1"/>
        <v>0</v>
      </c>
      <c r="T31" s="931">
        <v>4.32</v>
      </c>
      <c r="U31" s="933" t="s">
        <v>4</v>
      </c>
    </row>
    <row r="32" spans="1:21" ht="20.100000000000001" hidden="1" customHeight="1">
      <c r="A32" s="929">
        <v>1</v>
      </c>
      <c r="B32" s="936" t="s">
        <v>604</v>
      </c>
      <c r="C32" s="931">
        <f>'PART-B'!I251</f>
        <v>0</v>
      </c>
      <c r="D32" s="931">
        <f>'PART-B'!I697</f>
        <v>0</v>
      </c>
      <c r="E32" s="931">
        <f>'PART-B'!I937</f>
        <v>0</v>
      </c>
      <c r="F32" s="931">
        <f t="shared" si="0"/>
        <v>0</v>
      </c>
      <c r="G32" s="931" t="s">
        <v>422</v>
      </c>
      <c r="H32" s="932">
        <v>0</v>
      </c>
      <c r="I32" s="932">
        <v>0</v>
      </c>
      <c r="J32" s="932">
        <v>0</v>
      </c>
      <c r="K32" s="929">
        <v>0</v>
      </c>
      <c r="L32" s="932">
        <v>0</v>
      </c>
      <c r="M32" s="932">
        <v>0</v>
      </c>
      <c r="N32" s="933">
        <f>ROUND(F32*0.021*1.05,2)</f>
        <v>0</v>
      </c>
      <c r="O32" s="932">
        <v>0</v>
      </c>
      <c r="P32" s="932">
        <v>0</v>
      </c>
      <c r="Q32" s="932">
        <v>0</v>
      </c>
      <c r="R32" s="932">
        <v>0</v>
      </c>
      <c r="S32" s="935">
        <f t="shared" si="1"/>
        <v>0</v>
      </c>
      <c r="T32" s="931">
        <v>6.05</v>
      </c>
      <c r="U32" s="933" t="s">
        <v>4</v>
      </c>
    </row>
    <row r="33" spans="1:21" ht="20.100000000000001" hidden="1" customHeight="1">
      <c r="A33" s="929">
        <v>3</v>
      </c>
      <c r="B33" s="936" t="s">
        <v>904</v>
      </c>
      <c r="C33" s="931">
        <f>'PART-B'!I297</f>
        <v>0</v>
      </c>
      <c r="D33" s="931">
        <f>'PART-B'!I704</f>
        <v>0</v>
      </c>
      <c r="E33" s="931">
        <f>'PART-B'!I944</f>
        <v>0</v>
      </c>
      <c r="F33" s="931">
        <f t="shared" si="0"/>
        <v>0</v>
      </c>
      <c r="G33" s="931" t="s">
        <v>422</v>
      </c>
      <c r="H33" s="932">
        <v>0</v>
      </c>
      <c r="I33" s="932">
        <v>0</v>
      </c>
      <c r="J33" s="932">
        <v>0</v>
      </c>
      <c r="K33" s="929">
        <v>0</v>
      </c>
      <c r="L33" s="932">
        <v>0</v>
      </c>
      <c r="M33" s="932">
        <v>0</v>
      </c>
      <c r="N33" s="933">
        <f>ROUND(F33*0.015*1,2)</f>
        <v>0</v>
      </c>
      <c r="O33" s="932">
        <v>0</v>
      </c>
      <c r="P33" s="932">
        <v>0</v>
      </c>
      <c r="Q33" s="932">
        <v>0</v>
      </c>
      <c r="R33" s="932">
        <v>0</v>
      </c>
      <c r="S33" s="935">
        <f t="shared" si="1"/>
        <v>0</v>
      </c>
      <c r="T33" s="931">
        <v>5.09</v>
      </c>
      <c r="U33" s="933" t="s">
        <v>4</v>
      </c>
    </row>
    <row r="34" spans="1:21" ht="20.100000000000001" hidden="1" customHeight="1">
      <c r="A34" s="929">
        <v>6</v>
      </c>
      <c r="B34" s="936" t="s">
        <v>603</v>
      </c>
      <c r="C34" s="931">
        <f>'PART-B'!I304</f>
        <v>0</v>
      </c>
      <c r="D34" s="931">
        <f>'PART-B'!I711</f>
        <v>0</v>
      </c>
      <c r="E34" s="931">
        <f>'PART-B'!I951</f>
        <v>0</v>
      </c>
      <c r="F34" s="931">
        <f t="shared" si="0"/>
        <v>0</v>
      </c>
      <c r="G34" s="931" t="s">
        <v>422</v>
      </c>
      <c r="H34" s="932">
        <v>0</v>
      </c>
      <c r="I34" s="932">
        <v>0</v>
      </c>
      <c r="J34" s="932">
        <v>0</v>
      </c>
      <c r="K34" s="929">
        <v>0</v>
      </c>
      <c r="L34" s="932">
        <v>0</v>
      </c>
      <c r="M34" s="932">
        <v>0</v>
      </c>
      <c r="N34" s="933">
        <f>ROUND(F34*0.022*1,2)</f>
        <v>0</v>
      </c>
      <c r="O34" s="932">
        <v>0</v>
      </c>
      <c r="P34" s="932">
        <v>0</v>
      </c>
      <c r="Q34" s="932">
        <v>0</v>
      </c>
      <c r="R34" s="932">
        <v>0</v>
      </c>
      <c r="S34" s="935">
        <f t="shared" si="1"/>
        <v>0</v>
      </c>
      <c r="T34" s="931">
        <v>5.75</v>
      </c>
      <c r="U34" s="933" t="s">
        <v>4</v>
      </c>
    </row>
    <row r="35" spans="1:21" ht="20.100000000000001" hidden="1" customHeight="1">
      <c r="A35" s="929">
        <v>2</v>
      </c>
      <c r="B35" s="928" t="s">
        <v>447</v>
      </c>
      <c r="C35" s="931">
        <f>'PART-B'!I322</f>
        <v>0</v>
      </c>
      <c r="D35" s="931">
        <f>'PART-B'!I718</f>
        <v>0</v>
      </c>
      <c r="E35" s="931">
        <f>'PART-B'!I956</f>
        <v>0</v>
      </c>
      <c r="F35" s="931">
        <f t="shared" si="0"/>
        <v>0</v>
      </c>
      <c r="G35" s="931" t="s">
        <v>421</v>
      </c>
      <c r="H35" s="932">
        <v>0</v>
      </c>
      <c r="I35" s="933">
        <f>ROUND(F35*0.8,2)</f>
        <v>0</v>
      </c>
      <c r="J35" s="932">
        <v>0</v>
      </c>
      <c r="K35" s="929">
        <v>0</v>
      </c>
      <c r="L35" s="933">
        <f>ROUND(F35*0.4,2)</f>
        <v>0</v>
      </c>
      <c r="M35" s="929">
        <v>0</v>
      </c>
      <c r="N35" s="929">
        <v>0</v>
      </c>
      <c r="O35" s="932">
        <v>0</v>
      </c>
      <c r="P35" s="932">
        <v>0</v>
      </c>
      <c r="Q35" s="932">
        <v>0</v>
      </c>
      <c r="R35" s="932">
        <v>0</v>
      </c>
      <c r="S35" s="935">
        <f t="shared" si="1"/>
        <v>0</v>
      </c>
      <c r="T35" s="931">
        <f>$T$10</f>
        <v>340</v>
      </c>
      <c r="U35" s="933" t="s">
        <v>4</v>
      </c>
    </row>
    <row r="36" spans="1:21" ht="20.100000000000001" hidden="1" customHeight="1">
      <c r="A36" s="929">
        <v>1</v>
      </c>
      <c r="B36" s="936" t="s">
        <v>241</v>
      </c>
      <c r="C36" s="931">
        <f>'PART-B'!I338</f>
        <v>0</v>
      </c>
      <c r="D36" s="931">
        <f>'PART-B'!I725</f>
        <v>0</v>
      </c>
      <c r="E36" s="931">
        <f>'PART-B'!I962</f>
        <v>0</v>
      </c>
      <c r="F36" s="931">
        <f t="shared" si="0"/>
        <v>0</v>
      </c>
      <c r="G36" s="931" t="s">
        <v>422</v>
      </c>
      <c r="H36" s="932">
        <v>0</v>
      </c>
      <c r="I36" s="932">
        <v>0</v>
      </c>
      <c r="J36" s="932">
        <v>0</v>
      </c>
      <c r="K36" s="929">
        <v>0</v>
      </c>
      <c r="L36" s="932">
        <v>0</v>
      </c>
      <c r="M36" s="933">
        <f>ROUND(F36*0.014,2)</f>
        <v>0</v>
      </c>
      <c r="N36" s="932">
        <v>0</v>
      </c>
      <c r="O36" s="932">
        <v>0</v>
      </c>
      <c r="P36" s="932">
        <v>0</v>
      </c>
      <c r="Q36" s="932">
        <v>0</v>
      </c>
      <c r="R36" s="932">
        <v>0</v>
      </c>
      <c r="S36" s="935">
        <f t="shared" si="1"/>
        <v>0</v>
      </c>
      <c r="T36" s="931">
        <v>6.06</v>
      </c>
      <c r="U36" s="933" t="s">
        <v>4</v>
      </c>
    </row>
    <row r="37" spans="1:21" ht="20.100000000000001" hidden="1" customHeight="1">
      <c r="A37" s="929">
        <v>2</v>
      </c>
      <c r="B37" s="936" t="s">
        <v>242</v>
      </c>
      <c r="C37" s="931">
        <f>'PART-B'!I354</f>
        <v>0</v>
      </c>
      <c r="D37" s="931">
        <f>'PART-B'!I732</f>
        <v>0</v>
      </c>
      <c r="E37" s="931">
        <f>'PART-B'!I969</f>
        <v>0</v>
      </c>
      <c r="F37" s="931">
        <f t="shared" si="0"/>
        <v>0</v>
      </c>
      <c r="G37" s="931" t="s">
        <v>422</v>
      </c>
      <c r="H37" s="932">
        <v>0</v>
      </c>
      <c r="I37" s="932">
        <v>0</v>
      </c>
      <c r="J37" s="932">
        <v>0</v>
      </c>
      <c r="K37" s="929">
        <v>0</v>
      </c>
      <c r="L37" s="932">
        <v>0</v>
      </c>
      <c r="M37" s="933">
        <f>ROUND(F37*0.012,2)</f>
        <v>0</v>
      </c>
      <c r="N37" s="932">
        <v>0</v>
      </c>
      <c r="O37" s="932">
        <v>0</v>
      </c>
      <c r="P37" s="932">
        <v>0</v>
      </c>
      <c r="Q37" s="932">
        <v>0</v>
      </c>
      <c r="R37" s="932">
        <v>0</v>
      </c>
      <c r="S37" s="935">
        <f t="shared" si="1"/>
        <v>0</v>
      </c>
      <c r="T37" s="937">
        <v>6.7560000000000002</v>
      </c>
      <c r="U37" s="933" t="s">
        <v>4</v>
      </c>
    </row>
    <row r="38" spans="1:21" ht="20.100000000000001" hidden="1" customHeight="1">
      <c r="A38" s="929">
        <v>9</v>
      </c>
      <c r="B38" s="936" t="s">
        <v>681</v>
      </c>
      <c r="C38" s="931">
        <f>'PART-B'!I361</f>
        <v>0</v>
      </c>
      <c r="D38" s="931">
        <f>'PART-B'!I739</f>
        <v>0</v>
      </c>
      <c r="E38" s="931">
        <f>'PART-B'!I976</f>
        <v>0</v>
      </c>
      <c r="F38" s="931">
        <f t="shared" si="0"/>
        <v>0</v>
      </c>
      <c r="G38" s="931" t="s">
        <v>422</v>
      </c>
      <c r="H38" s="932">
        <v>0</v>
      </c>
      <c r="I38" s="932">
        <v>0</v>
      </c>
      <c r="J38" s="932">
        <v>0</v>
      </c>
      <c r="K38" s="929">
        <v>0</v>
      </c>
      <c r="L38" s="932">
        <v>0</v>
      </c>
      <c r="M38" s="933">
        <f>ROUND(F38*0.014,2)</f>
        <v>0</v>
      </c>
      <c r="N38" s="932">
        <v>0</v>
      </c>
      <c r="O38" s="932">
        <v>0</v>
      </c>
      <c r="P38" s="932">
        <v>0</v>
      </c>
      <c r="Q38" s="932">
        <v>0</v>
      </c>
      <c r="R38" s="932">
        <v>0</v>
      </c>
      <c r="S38" s="935">
        <f t="shared" si="1"/>
        <v>0</v>
      </c>
      <c r="T38" s="931">
        <v>7.5</v>
      </c>
      <c r="U38" s="933" t="s">
        <v>4</v>
      </c>
    </row>
    <row r="39" spans="1:21" ht="20.100000000000001" hidden="1" customHeight="1">
      <c r="A39" s="929">
        <v>10</v>
      </c>
      <c r="B39" s="936" t="s">
        <v>682</v>
      </c>
      <c r="C39" s="931">
        <f>'PART-B'!I369</f>
        <v>0</v>
      </c>
      <c r="D39" s="931">
        <f>'PART-B'!I746</f>
        <v>0</v>
      </c>
      <c r="E39" s="931">
        <f>'PART-B'!I983</f>
        <v>0</v>
      </c>
      <c r="F39" s="931">
        <f t="shared" si="0"/>
        <v>0</v>
      </c>
      <c r="G39" s="931" t="s">
        <v>422</v>
      </c>
      <c r="H39" s="932">
        <v>0</v>
      </c>
      <c r="I39" s="932">
        <v>0</v>
      </c>
      <c r="J39" s="932">
        <v>0</v>
      </c>
      <c r="K39" s="929">
        <v>0</v>
      </c>
      <c r="L39" s="932">
        <v>0</v>
      </c>
      <c r="M39" s="933">
        <f>ROUND(F39*0.012,2)</f>
        <v>0</v>
      </c>
      <c r="N39" s="932">
        <v>0</v>
      </c>
      <c r="O39" s="932">
        <v>0</v>
      </c>
      <c r="P39" s="932">
        <v>0</v>
      </c>
      <c r="Q39" s="932">
        <v>0</v>
      </c>
      <c r="R39" s="932">
        <v>0</v>
      </c>
      <c r="S39" s="935">
        <f t="shared" si="1"/>
        <v>0</v>
      </c>
      <c r="T39" s="937">
        <v>9.06</v>
      </c>
      <c r="U39" s="933" t="s">
        <v>4</v>
      </c>
    </row>
    <row r="40" spans="1:21" ht="20.100000000000001" hidden="1" customHeight="1">
      <c r="A40" s="929">
        <v>37</v>
      </c>
      <c r="B40" s="936" t="s">
        <v>683</v>
      </c>
      <c r="C40" s="931">
        <f>'PART-B'!I376</f>
        <v>0</v>
      </c>
      <c r="D40" s="931">
        <f>'PART-B'!I754</f>
        <v>0</v>
      </c>
      <c r="E40" s="931">
        <f>'PART-B'!I990</f>
        <v>0</v>
      </c>
      <c r="F40" s="931">
        <f t="shared" si="0"/>
        <v>0</v>
      </c>
      <c r="G40" s="931" t="s">
        <v>422</v>
      </c>
      <c r="H40" s="932">
        <v>0</v>
      </c>
      <c r="I40" s="932">
        <v>0</v>
      </c>
      <c r="J40" s="932">
        <v>0</v>
      </c>
      <c r="K40" s="929">
        <v>0</v>
      </c>
      <c r="L40" s="932">
        <v>0</v>
      </c>
      <c r="M40" s="933">
        <f>ROUND(F40*0.014,2)</f>
        <v>0</v>
      </c>
      <c r="N40" s="932">
        <v>0</v>
      </c>
      <c r="O40" s="932">
        <v>0</v>
      </c>
      <c r="P40" s="932">
        <v>0</v>
      </c>
      <c r="Q40" s="932">
        <v>0</v>
      </c>
      <c r="R40" s="932">
        <v>0</v>
      </c>
      <c r="S40" s="935">
        <f t="shared" si="1"/>
        <v>0</v>
      </c>
      <c r="T40" s="931">
        <v>7.5</v>
      </c>
      <c r="U40" s="933" t="s">
        <v>4</v>
      </c>
    </row>
    <row r="41" spans="1:21" ht="20.100000000000001" hidden="1" customHeight="1">
      <c r="A41" s="929">
        <v>38</v>
      </c>
      <c r="B41" s="936" t="s">
        <v>684</v>
      </c>
      <c r="C41" s="931">
        <f>'PART-B'!I383</f>
        <v>0</v>
      </c>
      <c r="D41" s="931">
        <f>'PART-B'!I761</f>
        <v>0</v>
      </c>
      <c r="E41" s="931">
        <f>'PART-B'!I997</f>
        <v>0</v>
      </c>
      <c r="F41" s="931">
        <f t="shared" si="0"/>
        <v>0</v>
      </c>
      <c r="G41" s="931" t="s">
        <v>422</v>
      </c>
      <c r="H41" s="932">
        <v>0</v>
      </c>
      <c r="I41" s="932">
        <v>0</v>
      </c>
      <c r="J41" s="932">
        <v>0</v>
      </c>
      <c r="K41" s="929">
        <v>0</v>
      </c>
      <c r="L41" s="932">
        <v>0</v>
      </c>
      <c r="M41" s="933">
        <f>ROUND(F41*0.012,2)</f>
        <v>0</v>
      </c>
      <c r="N41" s="932">
        <v>0</v>
      </c>
      <c r="O41" s="932">
        <v>0</v>
      </c>
      <c r="P41" s="932">
        <v>0</v>
      </c>
      <c r="Q41" s="932">
        <v>0</v>
      </c>
      <c r="R41" s="932">
        <v>0</v>
      </c>
      <c r="S41" s="935">
        <f t="shared" si="1"/>
        <v>0</v>
      </c>
      <c r="T41" s="937">
        <v>6.7560000000000002</v>
      </c>
      <c r="U41" s="933" t="s">
        <v>4</v>
      </c>
    </row>
    <row r="42" spans="1:21" ht="20.100000000000001" hidden="1" customHeight="1">
      <c r="A42" s="929">
        <v>3</v>
      </c>
      <c r="B42" s="936" t="s">
        <v>239</v>
      </c>
      <c r="C42" s="931">
        <f>'PART-B'!I395</f>
        <v>0</v>
      </c>
      <c r="D42" s="931">
        <f>'PART-B'!I768</f>
        <v>0</v>
      </c>
      <c r="E42" s="931">
        <f>'PART-B'!I1004</f>
        <v>0</v>
      </c>
      <c r="F42" s="931">
        <f t="shared" si="0"/>
        <v>0</v>
      </c>
      <c r="G42" s="931" t="s">
        <v>422</v>
      </c>
      <c r="H42" s="932">
        <v>0</v>
      </c>
      <c r="I42" s="932">
        <v>0</v>
      </c>
      <c r="J42" s="932">
        <v>0</v>
      </c>
      <c r="K42" s="929">
        <v>0</v>
      </c>
      <c r="L42" s="932">
        <v>0</v>
      </c>
      <c r="M42" s="933">
        <f>ROUND(F42*0.012,2)</f>
        <v>0</v>
      </c>
      <c r="N42" s="932">
        <v>0</v>
      </c>
      <c r="O42" s="932">
        <v>0</v>
      </c>
      <c r="P42" s="932">
        <v>0</v>
      </c>
      <c r="Q42" s="932">
        <v>0</v>
      </c>
      <c r="R42" s="932">
        <v>0</v>
      </c>
      <c r="S42" s="935">
        <f t="shared" si="1"/>
        <v>0</v>
      </c>
      <c r="T42" s="931">
        <v>5.46</v>
      </c>
      <c r="U42" s="933" t="s">
        <v>4</v>
      </c>
    </row>
    <row r="43" spans="1:21" ht="20.100000000000001" hidden="1" customHeight="1">
      <c r="A43" s="929">
        <v>4</v>
      </c>
      <c r="B43" s="936" t="s">
        <v>240</v>
      </c>
      <c r="C43" s="931">
        <f>'PART-B'!I410</f>
        <v>0</v>
      </c>
      <c r="D43" s="931">
        <f>'PART-B'!I775</f>
        <v>0</v>
      </c>
      <c r="E43" s="931">
        <f>'PART-B'!I1010</f>
        <v>0</v>
      </c>
      <c r="F43" s="931">
        <f t="shared" si="0"/>
        <v>0</v>
      </c>
      <c r="G43" s="931" t="s">
        <v>422</v>
      </c>
      <c r="H43" s="932">
        <v>0</v>
      </c>
      <c r="I43" s="932">
        <v>0</v>
      </c>
      <c r="J43" s="932">
        <v>0</v>
      </c>
      <c r="K43" s="929">
        <v>0</v>
      </c>
      <c r="L43" s="932">
        <v>0</v>
      </c>
      <c r="M43" s="933">
        <f>ROUND(F43*0.012,2)</f>
        <v>0</v>
      </c>
      <c r="N43" s="932">
        <v>0</v>
      </c>
      <c r="O43" s="932">
        <v>0</v>
      </c>
      <c r="P43" s="932">
        <v>0</v>
      </c>
      <c r="Q43" s="932">
        <v>0</v>
      </c>
      <c r="R43" s="932">
        <v>0</v>
      </c>
      <c r="S43" s="935">
        <f t="shared" si="1"/>
        <v>0</v>
      </c>
      <c r="T43" s="931">
        <v>9.06</v>
      </c>
      <c r="U43" s="933" t="s">
        <v>4</v>
      </c>
    </row>
    <row r="44" spans="1:21" ht="20.100000000000001" customHeight="1">
      <c r="A44" s="929">
        <v>1</v>
      </c>
      <c r="B44" s="936" t="s">
        <v>1215</v>
      </c>
      <c r="C44" s="931">
        <f>'PART-B'!I416</f>
        <v>22.14</v>
      </c>
      <c r="D44" s="931">
        <f>'PART-B'!I783</f>
        <v>0</v>
      </c>
      <c r="E44" s="931">
        <f>'PART-B'!I1016</f>
        <v>0</v>
      </c>
      <c r="F44" s="931">
        <f t="shared" si="0"/>
        <v>22.14</v>
      </c>
      <c r="G44" s="931" t="s">
        <v>422</v>
      </c>
      <c r="H44" s="932">
        <v>0</v>
      </c>
      <c r="I44" s="932">
        <v>0</v>
      </c>
      <c r="J44" s="932">
        <v>0</v>
      </c>
      <c r="K44" s="929">
        <v>0</v>
      </c>
      <c r="L44" s="932">
        <v>0</v>
      </c>
      <c r="M44" s="933">
        <f>ROUND(F44*0.008*1,2)</f>
        <v>0.18</v>
      </c>
      <c r="N44" s="932">
        <v>0</v>
      </c>
      <c r="O44" s="932">
        <v>0</v>
      </c>
      <c r="P44" s="932">
        <v>0</v>
      </c>
      <c r="Q44" s="932">
        <v>0</v>
      </c>
      <c r="R44" s="932">
        <v>0</v>
      </c>
      <c r="S44" s="935">
        <f t="shared" si="1"/>
        <v>1.22</v>
      </c>
      <c r="T44" s="931">
        <v>2.76</v>
      </c>
      <c r="U44" s="933" t="s">
        <v>4</v>
      </c>
    </row>
    <row r="45" spans="1:21" ht="20.100000000000001" hidden="1" customHeight="1">
      <c r="A45" s="929">
        <v>5</v>
      </c>
      <c r="B45" s="928" t="s">
        <v>2270</v>
      </c>
      <c r="C45" s="931">
        <f>'PART-B'!I430</f>
        <v>0</v>
      </c>
      <c r="D45" s="931"/>
      <c r="E45" s="931"/>
      <c r="F45" s="931">
        <f t="shared" si="0"/>
        <v>0</v>
      </c>
      <c r="G45" s="931" t="s">
        <v>421</v>
      </c>
      <c r="H45" s="932">
        <v>0</v>
      </c>
      <c r="I45" s="933">
        <f>ROUND(F45*0.017,2)</f>
        <v>0</v>
      </c>
      <c r="J45" s="932">
        <v>0</v>
      </c>
      <c r="K45" s="929">
        <v>0</v>
      </c>
      <c r="L45" s="933">
        <f>ROUND(F45*0.009,2)</f>
        <v>0</v>
      </c>
      <c r="M45" s="929">
        <v>0</v>
      </c>
      <c r="N45" s="929">
        <v>0</v>
      </c>
      <c r="O45" s="932">
        <v>0</v>
      </c>
      <c r="P45" s="932">
        <v>0</v>
      </c>
      <c r="Q45" s="932">
        <v>0</v>
      </c>
      <c r="R45" s="932">
        <v>0</v>
      </c>
      <c r="S45" s="935">
        <f t="shared" si="1"/>
        <v>0</v>
      </c>
      <c r="T45" s="931">
        <v>12</v>
      </c>
      <c r="U45" s="933" t="s">
        <v>4</v>
      </c>
    </row>
    <row r="46" spans="1:21">
      <c r="A46" s="928"/>
      <c r="B46" s="938" t="s">
        <v>103</v>
      </c>
      <c r="C46" s="928"/>
      <c r="D46" s="928"/>
      <c r="E46" s="928"/>
      <c r="F46" s="939">
        <v>1</v>
      </c>
      <c r="G46" s="928"/>
      <c r="H46" s="940">
        <f>SUM(H4:H45)</f>
        <v>0</v>
      </c>
      <c r="I46" s="940">
        <f t="shared" ref="I46:S46" si="4">SUM(I4:I45)</f>
        <v>0</v>
      </c>
      <c r="J46" s="940">
        <f t="shared" si="4"/>
        <v>0</v>
      </c>
      <c r="K46" s="940">
        <f t="shared" si="4"/>
        <v>0</v>
      </c>
      <c r="L46" s="940">
        <f t="shared" si="4"/>
        <v>0</v>
      </c>
      <c r="M46" s="940">
        <f t="shared" si="4"/>
        <v>0.18</v>
      </c>
      <c r="N46" s="940">
        <f t="shared" si="4"/>
        <v>0</v>
      </c>
      <c r="O46" s="940">
        <f t="shared" si="4"/>
        <v>0</v>
      </c>
      <c r="P46" s="940">
        <f t="shared" si="4"/>
        <v>0</v>
      </c>
      <c r="Q46" s="940">
        <f t="shared" si="4"/>
        <v>0</v>
      </c>
      <c r="R46" s="940">
        <f t="shared" si="4"/>
        <v>0</v>
      </c>
      <c r="S46" s="940">
        <f t="shared" si="4"/>
        <v>1.22</v>
      </c>
      <c r="T46" s="941" t="s">
        <v>142</v>
      </c>
      <c r="U46" s="928"/>
    </row>
    <row r="47" spans="1:21" ht="27.75">
      <c r="A47" s="928"/>
      <c r="B47" s="928"/>
      <c r="C47" s="928"/>
      <c r="D47" s="928"/>
      <c r="E47" s="928"/>
      <c r="F47" s="938" t="s">
        <v>423</v>
      </c>
      <c r="G47" s="928"/>
      <c r="H47" s="942">
        <v>90</v>
      </c>
      <c r="I47" s="942">
        <v>90</v>
      </c>
      <c r="J47" s="942">
        <v>90</v>
      </c>
      <c r="K47" s="942">
        <v>90</v>
      </c>
      <c r="L47" s="942">
        <v>100</v>
      </c>
      <c r="M47" s="942">
        <v>100</v>
      </c>
      <c r="N47" s="942">
        <v>100</v>
      </c>
      <c r="O47" s="942">
        <v>100</v>
      </c>
      <c r="P47" s="942">
        <v>45</v>
      </c>
      <c r="Q47" s="942">
        <v>80</v>
      </c>
      <c r="R47" s="942">
        <v>45</v>
      </c>
      <c r="S47" s="943">
        <f>ROUND(('SEIG P-B'!S46*50)/1000,2)</f>
        <v>0.06</v>
      </c>
      <c r="T47" s="941" t="s">
        <v>29</v>
      </c>
      <c r="U47" s="928"/>
    </row>
    <row r="48" spans="1:21" ht="20.100000000000001" hidden="1" customHeight="1">
      <c r="A48" s="928"/>
      <c r="B48" s="928"/>
      <c r="C48" s="928"/>
      <c r="D48" s="928"/>
      <c r="E48" s="928"/>
      <c r="F48" s="928"/>
      <c r="G48" s="938" t="s">
        <v>104</v>
      </c>
      <c r="H48" s="944">
        <f>ROUND('SEIG P-B'!H46*H47,0)</f>
        <v>0</v>
      </c>
      <c r="I48" s="944">
        <f>ROUND('SEIG P-B'!I46*I47,0)</f>
        <v>0</v>
      </c>
      <c r="J48" s="944">
        <f>ROUND('SEIG P-B'!J46*J47,0)</f>
        <v>0</v>
      </c>
      <c r="K48" s="944">
        <f>ROUND('SEIG P-B'!K46*K47,0)</f>
        <v>0</v>
      </c>
      <c r="L48" s="944">
        <f>ROUND('SEIG P-B'!L46*L47,0)</f>
        <v>0</v>
      </c>
      <c r="M48" s="944">
        <f>ROUND('SEIG P-B'!M46*M47,0)</f>
        <v>18</v>
      </c>
      <c r="N48" s="944">
        <f>ROUND('SEIG P-B'!N46*N47,0)</f>
        <v>0</v>
      </c>
      <c r="O48" s="944">
        <f>ROUND('SEIG P-B'!O46*O47,0)</f>
        <v>0</v>
      </c>
      <c r="P48" s="944">
        <f>ROUND('SEIG P-B'!P46*P47,0)</f>
        <v>0</v>
      </c>
      <c r="Q48" s="944">
        <f>ROUND('SEIG P-B'!Q46*Q47,0)</f>
        <v>0</v>
      </c>
      <c r="R48" s="944">
        <f>ROUND('SEIG P-B'!R46*R47,0)</f>
        <v>0</v>
      </c>
      <c r="S48" s="943"/>
      <c r="T48" s="941"/>
      <c r="U48" s="928"/>
    </row>
    <row r="49" spans="1:21">
      <c r="A49" s="928"/>
      <c r="B49" s="928"/>
      <c r="C49" s="928"/>
      <c r="D49" s="928"/>
      <c r="E49" s="928"/>
      <c r="F49" s="941" t="s">
        <v>140</v>
      </c>
      <c r="G49" s="945" t="s">
        <v>104</v>
      </c>
      <c r="H49" s="946">
        <f>SUM(H48:R48)</f>
        <v>18</v>
      </c>
      <c r="I49" s="946"/>
      <c r="J49" s="946"/>
      <c r="K49" s="946"/>
      <c r="L49" s="928"/>
      <c r="M49" s="928"/>
      <c r="N49" s="928"/>
      <c r="O49" s="928"/>
      <c r="P49" s="928"/>
      <c r="Q49" s="928"/>
      <c r="R49" s="928"/>
      <c r="S49" s="947"/>
      <c r="T49" s="948"/>
      <c r="U49" s="928"/>
    </row>
    <row r="52" spans="1:21">
      <c r="N52" s="949"/>
      <c r="O52" s="949"/>
      <c r="P52" s="949"/>
      <c r="Q52" s="949"/>
      <c r="R52" s="949"/>
      <c r="S52" s="949"/>
      <c r="T52" s="949"/>
      <c r="U52" s="949"/>
    </row>
    <row r="53" spans="1:21">
      <c r="M53" s="950" t="str">
        <f>'lead 22-23 P-B'!H31</f>
        <v>Deputy Executive Engineer</v>
      </c>
      <c r="R53" s="950" t="str">
        <f>'lead 22-23 P-B'!K31</f>
        <v>Assistant  Engineer</v>
      </c>
    </row>
    <row r="54" spans="1:21">
      <c r="M54" s="950" t="str">
        <f>'lead 22-23 P-B'!H32</f>
        <v>PRI Sub Division</v>
      </c>
      <c r="N54" s="949"/>
      <c r="O54" s="949"/>
      <c r="P54" s="949"/>
      <c r="Q54" s="949"/>
      <c r="R54" s="950" t="str">
        <f>'lead 22-23 P-B'!K32</f>
        <v>Mandal Praja parishad</v>
      </c>
      <c r="S54" s="949"/>
      <c r="T54" s="949"/>
      <c r="U54" s="949"/>
    </row>
    <row r="55" spans="1:21">
      <c r="M55" s="950" t="str">
        <f>'lead 22-23 P-B'!H33</f>
        <v>Kanigiri</v>
      </c>
      <c r="N55" s="949"/>
      <c r="O55" s="949"/>
      <c r="P55" s="949"/>
      <c r="Q55" s="949"/>
      <c r="R55" s="950" t="str">
        <f>'lead 22-23 P-B'!K33</f>
        <v>Kanigiri</v>
      </c>
      <c r="S55" s="949"/>
      <c r="T55" s="949"/>
      <c r="U55" s="949"/>
    </row>
    <row r="493" spans="16:16">
      <c r="P493" s="925" t="s">
        <v>0</v>
      </c>
    </row>
  </sheetData>
  <autoFilter ref="A3:U49">
    <filterColumn colId="5" showButton="0">
      <customFilters>
        <customFilter operator="notEqual" val=" "/>
      </customFilters>
    </filterColumn>
  </autoFilter>
  <mergeCells count="3">
    <mergeCell ref="A1:U1"/>
    <mergeCell ref="F3:G3"/>
    <mergeCell ref="A2:U2"/>
  </mergeCells>
  <printOptions horizontalCentered="1"/>
  <pageMargins left="0.5" right="0.21" top="0.22" bottom="0.23" header="0.22" footer="0.16"/>
  <pageSetup paperSize="9" scale="71" orientation="landscape" r:id="rId1"/>
</worksheet>
</file>

<file path=xl/worksheets/sheet16.xml><?xml version="1.0" encoding="utf-8"?>
<worksheet xmlns="http://schemas.openxmlformats.org/spreadsheetml/2006/main" xmlns:r="http://schemas.openxmlformats.org/officeDocument/2006/relationships">
  <sheetPr>
    <tabColor rgb="FFFFFF00"/>
  </sheetPr>
  <dimension ref="A1:K216"/>
  <sheetViews>
    <sheetView defaultGridColor="0" view="pageBreakPreview" topLeftCell="A63" colorId="22" zoomScale="115" zoomScaleSheetLayoutView="115" workbookViewId="0">
      <selection activeCell="C59" sqref="C59"/>
    </sheetView>
  </sheetViews>
  <sheetFormatPr defaultRowHeight="12.75"/>
  <cols>
    <col min="1" max="1" width="6.5703125" style="61" customWidth="1"/>
    <col min="2" max="2" width="32.7109375" style="61" customWidth="1"/>
    <col min="3" max="4" width="14.5703125" style="80" customWidth="1"/>
    <col min="5" max="5" width="13.28515625" style="61" customWidth="1"/>
    <col min="6" max="6" width="14.7109375" style="61" customWidth="1"/>
    <col min="7" max="7" width="9.140625" style="61"/>
    <col min="8" max="8" width="10.140625" style="61" bestFit="1" customWidth="1"/>
    <col min="9" max="9" width="9.5703125" style="61" bestFit="1" customWidth="1"/>
    <col min="10" max="250" width="9.140625" style="61"/>
    <col min="251" max="251" width="5" style="61" customWidth="1"/>
    <col min="252" max="252" width="21.85546875" style="61" customWidth="1"/>
    <col min="253" max="253" width="6.7109375" style="61" customWidth="1"/>
    <col min="254" max="254" width="9.5703125" style="61" customWidth="1"/>
    <col min="255" max="255" width="3.7109375" style="61" customWidth="1"/>
    <col min="256" max="256" width="18" style="61" customWidth="1"/>
    <col min="257" max="257" width="3.5703125" style="61" customWidth="1"/>
    <col min="258" max="258" width="11.7109375" style="61" customWidth="1"/>
    <col min="259" max="259" width="10.7109375" style="61" customWidth="1"/>
    <col min="260" max="260" width="11.140625" style="61" customWidth="1"/>
    <col min="261" max="261" width="10.5703125" style="61" customWidth="1"/>
    <col min="262" max="262" width="9.7109375" style="61" bestFit="1" customWidth="1"/>
    <col min="263" max="506" width="9.140625" style="61"/>
    <col min="507" max="507" width="5" style="61" customWidth="1"/>
    <col min="508" max="508" width="21.85546875" style="61" customWidth="1"/>
    <col min="509" max="509" width="6.7109375" style="61" customWidth="1"/>
    <col min="510" max="510" width="9.5703125" style="61" customWidth="1"/>
    <col min="511" max="511" width="3.7109375" style="61" customWidth="1"/>
    <col min="512" max="512" width="18" style="61" customWidth="1"/>
    <col min="513" max="513" width="3.5703125" style="61" customWidth="1"/>
    <col min="514" max="514" width="11.7109375" style="61" customWidth="1"/>
    <col min="515" max="515" width="10.7109375" style="61" customWidth="1"/>
    <col min="516" max="516" width="11.140625" style="61" customWidth="1"/>
    <col min="517" max="517" width="10.5703125" style="61" customWidth="1"/>
    <col min="518" max="518" width="9.7109375" style="61" bestFit="1" customWidth="1"/>
    <col min="519" max="762" width="9.140625" style="61"/>
    <col min="763" max="763" width="5" style="61" customWidth="1"/>
    <col min="764" max="764" width="21.85546875" style="61" customWidth="1"/>
    <col min="765" max="765" width="6.7109375" style="61" customWidth="1"/>
    <col min="766" max="766" width="9.5703125" style="61" customWidth="1"/>
    <col min="767" max="767" width="3.7109375" style="61" customWidth="1"/>
    <col min="768" max="768" width="18" style="61" customWidth="1"/>
    <col min="769" max="769" width="3.5703125" style="61" customWidth="1"/>
    <col min="770" max="770" width="11.7109375" style="61" customWidth="1"/>
    <col min="771" max="771" width="10.7109375" style="61" customWidth="1"/>
    <col min="772" max="772" width="11.140625" style="61" customWidth="1"/>
    <col min="773" max="773" width="10.5703125" style="61" customWidth="1"/>
    <col min="774" max="774" width="9.7109375" style="61" bestFit="1" customWidth="1"/>
    <col min="775" max="1018" width="9.140625" style="61"/>
    <col min="1019" max="1019" width="5" style="61" customWidth="1"/>
    <col min="1020" max="1020" width="21.85546875" style="61" customWidth="1"/>
    <col min="1021" max="1021" width="6.7109375" style="61" customWidth="1"/>
    <col min="1022" max="1022" width="9.5703125" style="61" customWidth="1"/>
    <col min="1023" max="1023" width="3.7109375" style="61" customWidth="1"/>
    <col min="1024" max="1024" width="18" style="61" customWidth="1"/>
    <col min="1025" max="1025" width="3.5703125" style="61" customWidth="1"/>
    <col min="1026" max="1026" width="11.7109375" style="61" customWidth="1"/>
    <col min="1027" max="1027" width="10.7109375" style="61" customWidth="1"/>
    <col min="1028" max="1028" width="11.140625" style="61" customWidth="1"/>
    <col min="1029" max="1029" width="10.5703125" style="61" customWidth="1"/>
    <col min="1030" max="1030" width="9.7109375" style="61" bestFit="1" customWidth="1"/>
    <col min="1031" max="1274" width="9.140625" style="61"/>
    <col min="1275" max="1275" width="5" style="61" customWidth="1"/>
    <col min="1276" max="1276" width="21.85546875" style="61" customWidth="1"/>
    <col min="1277" max="1277" width="6.7109375" style="61" customWidth="1"/>
    <col min="1278" max="1278" width="9.5703125" style="61" customWidth="1"/>
    <col min="1279" max="1279" width="3.7109375" style="61" customWidth="1"/>
    <col min="1280" max="1280" width="18" style="61" customWidth="1"/>
    <col min="1281" max="1281" width="3.5703125" style="61" customWidth="1"/>
    <col min="1282" max="1282" width="11.7109375" style="61" customWidth="1"/>
    <col min="1283" max="1283" width="10.7109375" style="61" customWidth="1"/>
    <col min="1284" max="1284" width="11.140625" style="61" customWidth="1"/>
    <col min="1285" max="1285" width="10.5703125" style="61" customWidth="1"/>
    <col min="1286" max="1286" width="9.7109375" style="61" bestFit="1" customWidth="1"/>
    <col min="1287" max="1530" width="9.140625" style="61"/>
    <col min="1531" max="1531" width="5" style="61" customWidth="1"/>
    <col min="1532" max="1532" width="21.85546875" style="61" customWidth="1"/>
    <col min="1533" max="1533" width="6.7109375" style="61" customWidth="1"/>
    <col min="1534" max="1534" width="9.5703125" style="61" customWidth="1"/>
    <col min="1535" max="1535" width="3.7109375" style="61" customWidth="1"/>
    <col min="1536" max="1536" width="18" style="61" customWidth="1"/>
    <col min="1537" max="1537" width="3.5703125" style="61" customWidth="1"/>
    <col min="1538" max="1538" width="11.7109375" style="61" customWidth="1"/>
    <col min="1539" max="1539" width="10.7109375" style="61" customWidth="1"/>
    <col min="1540" max="1540" width="11.140625" style="61" customWidth="1"/>
    <col min="1541" max="1541" width="10.5703125" style="61" customWidth="1"/>
    <col min="1542" max="1542" width="9.7109375" style="61" bestFit="1" customWidth="1"/>
    <col min="1543" max="1786" width="9.140625" style="61"/>
    <col min="1787" max="1787" width="5" style="61" customWidth="1"/>
    <col min="1788" max="1788" width="21.85546875" style="61" customWidth="1"/>
    <col min="1789" max="1789" width="6.7109375" style="61" customWidth="1"/>
    <col min="1790" max="1790" width="9.5703125" style="61" customWidth="1"/>
    <col min="1791" max="1791" width="3.7109375" style="61" customWidth="1"/>
    <col min="1792" max="1792" width="18" style="61" customWidth="1"/>
    <col min="1793" max="1793" width="3.5703125" style="61" customWidth="1"/>
    <col min="1794" max="1794" width="11.7109375" style="61" customWidth="1"/>
    <col min="1795" max="1795" width="10.7109375" style="61" customWidth="1"/>
    <col min="1796" max="1796" width="11.140625" style="61" customWidth="1"/>
    <col min="1797" max="1797" width="10.5703125" style="61" customWidth="1"/>
    <col min="1798" max="1798" width="9.7109375" style="61" bestFit="1" customWidth="1"/>
    <col min="1799" max="2042" width="9.140625" style="61"/>
    <col min="2043" max="2043" width="5" style="61" customWidth="1"/>
    <col min="2044" max="2044" width="21.85546875" style="61" customWidth="1"/>
    <col min="2045" max="2045" width="6.7109375" style="61" customWidth="1"/>
    <col min="2046" max="2046" width="9.5703125" style="61" customWidth="1"/>
    <col min="2047" max="2047" width="3.7109375" style="61" customWidth="1"/>
    <col min="2048" max="2048" width="18" style="61" customWidth="1"/>
    <col min="2049" max="2049" width="3.5703125" style="61" customWidth="1"/>
    <col min="2050" max="2050" width="11.7109375" style="61" customWidth="1"/>
    <col min="2051" max="2051" width="10.7109375" style="61" customWidth="1"/>
    <col min="2052" max="2052" width="11.140625" style="61" customWidth="1"/>
    <col min="2053" max="2053" width="10.5703125" style="61" customWidth="1"/>
    <col min="2054" max="2054" width="9.7109375" style="61" bestFit="1" customWidth="1"/>
    <col min="2055" max="2298" width="9.140625" style="61"/>
    <col min="2299" max="2299" width="5" style="61" customWidth="1"/>
    <col min="2300" max="2300" width="21.85546875" style="61" customWidth="1"/>
    <col min="2301" max="2301" width="6.7109375" style="61" customWidth="1"/>
    <col min="2302" max="2302" width="9.5703125" style="61" customWidth="1"/>
    <col min="2303" max="2303" width="3.7109375" style="61" customWidth="1"/>
    <col min="2304" max="2304" width="18" style="61" customWidth="1"/>
    <col min="2305" max="2305" width="3.5703125" style="61" customWidth="1"/>
    <col min="2306" max="2306" width="11.7109375" style="61" customWidth="1"/>
    <col min="2307" max="2307" width="10.7109375" style="61" customWidth="1"/>
    <col min="2308" max="2308" width="11.140625" style="61" customWidth="1"/>
    <col min="2309" max="2309" width="10.5703125" style="61" customWidth="1"/>
    <col min="2310" max="2310" width="9.7109375" style="61" bestFit="1" customWidth="1"/>
    <col min="2311" max="2554" width="9.140625" style="61"/>
    <col min="2555" max="2555" width="5" style="61" customWidth="1"/>
    <col min="2556" max="2556" width="21.85546875" style="61" customWidth="1"/>
    <col min="2557" max="2557" width="6.7109375" style="61" customWidth="1"/>
    <col min="2558" max="2558" width="9.5703125" style="61" customWidth="1"/>
    <col min="2559" max="2559" width="3.7109375" style="61" customWidth="1"/>
    <col min="2560" max="2560" width="18" style="61" customWidth="1"/>
    <col min="2561" max="2561" width="3.5703125" style="61" customWidth="1"/>
    <col min="2562" max="2562" width="11.7109375" style="61" customWidth="1"/>
    <col min="2563" max="2563" width="10.7109375" style="61" customWidth="1"/>
    <col min="2564" max="2564" width="11.140625" style="61" customWidth="1"/>
    <col min="2565" max="2565" width="10.5703125" style="61" customWidth="1"/>
    <col min="2566" max="2566" width="9.7109375" style="61" bestFit="1" customWidth="1"/>
    <col min="2567" max="2810" width="9.140625" style="61"/>
    <col min="2811" max="2811" width="5" style="61" customWidth="1"/>
    <col min="2812" max="2812" width="21.85546875" style="61" customWidth="1"/>
    <col min="2813" max="2813" width="6.7109375" style="61" customWidth="1"/>
    <col min="2814" max="2814" width="9.5703125" style="61" customWidth="1"/>
    <col min="2815" max="2815" width="3.7109375" style="61" customWidth="1"/>
    <col min="2816" max="2816" width="18" style="61" customWidth="1"/>
    <col min="2817" max="2817" width="3.5703125" style="61" customWidth="1"/>
    <col min="2818" max="2818" width="11.7109375" style="61" customWidth="1"/>
    <col min="2819" max="2819" width="10.7109375" style="61" customWidth="1"/>
    <col min="2820" max="2820" width="11.140625" style="61" customWidth="1"/>
    <col min="2821" max="2821" width="10.5703125" style="61" customWidth="1"/>
    <col min="2822" max="2822" width="9.7109375" style="61" bestFit="1" customWidth="1"/>
    <col min="2823" max="3066" width="9.140625" style="61"/>
    <col min="3067" max="3067" width="5" style="61" customWidth="1"/>
    <col min="3068" max="3068" width="21.85546875" style="61" customWidth="1"/>
    <col min="3069" max="3069" width="6.7109375" style="61" customWidth="1"/>
    <col min="3070" max="3070" width="9.5703125" style="61" customWidth="1"/>
    <col min="3071" max="3071" width="3.7109375" style="61" customWidth="1"/>
    <col min="3072" max="3072" width="18" style="61" customWidth="1"/>
    <col min="3073" max="3073" width="3.5703125" style="61" customWidth="1"/>
    <col min="3074" max="3074" width="11.7109375" style="61" customWidth="1"/>
    <col min="3075" max="3075" width="10.7109375" style="61" customWidth="1"/>
    <col min="3076" max="3076" width="11.140625" style="61" customWidth="1"/>
    <col min="3077" max="3077" width="10.5703125" style="61" customWidth="1"/>
    <col min="3078" max="3078" width="9.7109375" style="61" bestFit="1" customWidth="1"/>
    <col min="3079" max="3322" width="9.140625" style="61"/>
    <col min="3323" max="3323" width="5" style="61" customWidth="1"/>
    <col min="3324" max="3324" width="21.85546875" style="61" customWidth="1"/>
    <col min="3325" max="3325" width="6.7109375" style="61" customWidth="1"/>
    <col min="3326" max="3326" width="9.5703125" style="61" customWidth="1"/>
    <col min="3327" max="3327" width="3.7109375" style="61" customWidth="1"/>
    <col min="3328" max="3328" width="18" style="61" customWidth="1"/>
    <col min="3329" max="3329" width="3.5703125" style="61" customWidth="1"/>
    <col min="3330" max="3330" width="11.7109375" style="61" customWidth="1"/>
    <col min="3331" max="3331" width="10.7109375" style="61" customWidth="1"/>
    <col min="3332" max="3332" width="11.140625" style="61" customWidth="1"/>
    <col min="3333" max="3333" width="10.5703125" style="61" customWidth="1"/>
    <col min="3334" max="3334" width="9.7109375" style="61" bestFit="1" customWidth="1"/>
    <col min="3335" max="3578" width="9.140625" style="61"/>
    <col min="3579" max="3579" width="5" style="61" customWidth="1"/>
    <col min="3580" max="3580" width="21.85546875" style="61" customWidth="1"/>
    <col min="3581" max="3581" width="6.7109375" style="61" customWidth="1"/>
    <col min="3582" max="3582" width="9.5703125" style="61" customWidth="1"/>
    <col min="3583" max="3583" width="3.7109375" style="61" customWidth="1"/>
    <col min="3584" max="3584" width="18" style="61" customWidth="1"/>
    <col min="3585" max="3585" width="3.5703125" style="61" customWidth="1"/>
    <col min="3586" max="3586" width="11.7109375" style="61" customWidth="1"/>
    <col min="3587" max="3587" width="10.7109375" style="61" customWidth="1"/>
    <col min="3588" max="3588" width="11.140625" style="61" customWidth="1"/>
    <col min="3589" max="3589" width="10.5703125" style="61" customWidth="1"/>
    <col min="3590" max="3590" width="9.7109375" style="61" bestFit="1" customWidth="1"/>
    <col min="3591" max="3834" width="9.140625" style="61"/>
    <col min="3835" max="3835" width="5" style="61" customWidth="1"/>
    <col min="3836" max="3836" width="21.85546875" style="61" customWidth="1"/>
    <col min="3837" max="3837" width="6.7109375" style="61" customWidth="1"/>
    <col min="3838" max="3838" width="9.5703125" style="61" customWidth="1"/>
    <col min="3839" max="3839" width="3.7109375" style="61" customWidth="1"/>
    <col min="3840" max="3840" width="18" style="61" customWidth="1"/>
    <col min="3841" max="3841" width="3.5703125" style="61" customWidth="1"/>
    <col min="3842" max="3842" width="11.7109375" style="61" customWidth="1"/>
    <col min="3843" max="3843" width="10.7109375" style="61" customWidth="1"/>
    <col min="3844" max="3844" width="11.140625" style="61" customWidth="1"/>
    <col min="3845" max="3845" width="10.5703125" style="61" customWidth="1"/>
    <col min="3846" max="3846" width="9.7109375" style="61" bestFit="1" customWidth="1"/>
    <col min="3847" max="4090" width="9.140625" style="61"/>
    <col min="4091" max="4091" width="5" style="61" customWidth="1"/>
    <col min="4092" max="4092" width="21.85546875" style="61" customWidth="1"/>
    <col min="4093" max="4093" width="6.7109375" style="61" customWidth="1"/>
    <col min="4094" max="4094" width="9.5703125" style="61" customWidth="1"/>
    <col min="4095" max="4095" width="3.7109375" style="61" customWidth="1"/>
    <col min="4096" max="4096" width="18" style="61" customWidth="1"/>
    <col min="4097" max="4097" width="3.5703125" style="61" customWidth="1"/>
    <col min="4098" max="4098" width="11.7109375" style="61" customWidth="1"/>
    <col min="4099" max="4099" width="10.7109375" style="61" customWidth="1"/>
    <col min="4100" max="4100" width="11.140625" style="61" customWidth="1"/>
    <col min="4101" max="4101" width="10.5703125" style="61" customWidth="1"/>
    <col min="4102" max="4102" width="9.7109375" style="61" bestFit="1" customWidth="1"/>
    <col min="4103" max="4346" width="9.140625" style="61"/>
    <col min="4347" max="4347" width="5" style="61" customWidth="1"/>
    <col min="4348" max="4348" width="21.85546875" style="61" customWidth="1"/>
    <col min="4349" max="4349" width="6.7109375" style="61" customWidth="1"/>
    <col min="4350" max="4350" width="9.5703125" style="61" customWidth="1"/>
    <col min="4351" max="4351" width="3.7109375" style="61" customWidth="1"/>
    <col min="4352" max="4352" width="18" style="61" customWidth="1"/>
    <col min="4353" max="4353" width="3.5703125" style="61" customWidth="1"/>
    <col min="4354" max="4354" width="11.7109375" style="61" customWidth="1"/>
    <col min="4355" max="4355" width="10.7109375" style="61" customWidth="1"/>
    <col min="4356" max="4356" width="11.140625" style="61" customWidth="1"/>
    <col min="4357" max="4357" width="10.5703125" style="61" customWidth="1"/>
    <col min="4358" max="4358" width="9.7109375" style="61" bestFit="1" customWidth="1"/>
    <col min="4359" max="4602" width="9.140625" style="61"/>
    <col min="4603" max="4603" width="5" style="61" customWidth="1"/>
    <col min="4604" max="4604" width="21.85546875" style="61" customWidth="1"/>
    <col min="4605" max="4605" width="6.7109375" style="61" customWidth="1"/>
    <col min="4606" max="4606" width="9.5703125" style="61" customWidth="1"/>
    <col min="4607" max="4607" width="3.7109375" style="61" customWidth="1"/>
    <col min="4608" max="4608" width="18" style="61" customWidth="1"/>
    <col min="4609" max="4609" width="3.5703125" style="61" customWidth="1"/>
    <col min="4610" max="4610" width="11.7109375" style="61" customWidth="1"/>
    <col min="4611" max="4611" width="10.7109375" style="61" customWidth="1"/>
    <col min="4612" max="4612" width="11.140625" style="61" customWidth="1"/>
    <col min="4613" max="4613" width="10.5703125" style="61" customWidth="1"/>
    <col min="4614" max="4614" width="9.7109375" style="61" bestFit="1" customWidth="1"/>
    <col min="4615" max="4858" width="9.140625" style="61"/>
    <col min="4859" max="4859" width="5" style="61" customWidth="1"/>
    <col min="4860" max="4860" width="21.85546875" style="61" customWidth="1"/>
    <col min="4861" max="4861" width="6.7109375" style="61" customWidth="1"/>
    <col min="4862" max="4862" width="9.5703125" style="61" customWidth="1"/>
    <col min="4863" max="4863" width="3.7109375" style="61" customWidth="1"/>
    <col min="4864" max="4864" width="18" style="61" customWidth="1"/>
    <col min="4865" max="4865" width="3.5703125" style="61" customWidth="1"/>
    <col min="4866" max="4866" width="11.7109375" style="61" customWidth="1"/>
    <col min="4867" max="4867" width="10.7109375" style="61" customWidth="1"/>
    <col min="4868" max="4868" width="11.140625" style="61" customWidth="1"/>
    <col min="4869" max="4869" width="10.5703125" style="61" customWidth="1"/>
    <col min="4870" max="4870" width="9.7109375" style="61" bestFit="1" customWidth="1"/>
    <col min="4871" max="5114" width="9.140625" style="61"/>
    <col min="5115" max="5115" width="5" style="61" customWidth="1"/>
    <col min="5116" max="5116" width="21.85546875" style="61" customWidth="1"/>
    <col min="5117" max="5117" width="6.7109375" style="61" customWidth="1"/>
    <col min="5118" max="5118" width="9.5703125" style="61" customWidth="1"/>
    <col min="5119" max="5119" width="3.7109375" style="61" customWidth="1"/>
    <col min="5120" max="5120" width="18" style="61" customWidth="1"/>
    <col min="5121" max="5121" width="3.5703125" style="61" customWidth="1"/>
    <col min="5122" max="5122" width="11.7109375" style="61" customWidth="1"/>
    <col min="5123" max="5123" width="10.7109375" style="61" customWidth="1"/>
    <col min="5124" max="5124" width="11.140625" style="61" customWidth="1"/>
    <col min="5125" max="5125" width="10.5703125" style="61" customWidth="1"/>
    <col min="5126" max="5126" width="9.7109375" style="61" bestFit="1" customWidth="1"/>
    <col min="5127" max="5370" width="9.140625" style="61"/>
    <col min="5371" max="5371" width="5" style="61" customWidth="1"/>
    <col min="5372" max="5372" width="21.85546875" style="61" customWidth="1"/>
    <col min="5373" max="5373" width="6.7109375" style="61" customWidth="1"/>
    <col min="5374" max="5374" width="9.5703125" style="61" customWidth="1"/>
    <col min="5375" max="5375" width="3.7109375" style="61" customWidth="1"/>
    <col min="5376" max="5376" width="18" style="61" customWidth="1"/>
    <col min="5377" max="5377" width="3.5703125" style="61" customWidth="1"/>
    <col min="5378" max="5378" width="11.7109375" style="61" customWidth="1"/>
    <col min="5379" max="5379" width="10.7109375" style="61" customWidth="1"/>
    <col min="5380" max="5380" width="11.140625" style="61" customWidth="1"/>
    <col min="5381" max="5381" width="10.5703125" style="61" customWidth="1"/>
    <col min="5382" max="5382" width="9.7109375" style="61" bestFit="1" customWidth="1"/>
    <col min="5383" max="5626" width="9.140625" style="61"/>
    <col min="5627" max="5627" width="5" style="61" customWidth="1"/>
    <col min="5628" max="5628" width="21.85546875" style="61" customWidth="1"/>
    <col min="5629" max="5629" width="6.7109375" style="61" customWidth="1"/>
    <col min="5630" max="5630" width="9.5703125" style="61" customWidth="1"/>
    <col min="5631" max="5631" width="3.7109375" style="61" customWidth="1"/>
    <col min="5632" max="5632" width="18" style="61" customWidth="1"/>
    <col min="5633" max="5633" width="3.5703125" style="61" customWidth="1"/>
    <col min="5634" max="5634" width="11.7109375" style="61" customWidth="1"/>
    <col min="5635" max="5635" width="10.7109375" style="61" customWidth="1"/>
    <col min="5636" max="5636" width="11.140625" style="61" customWidth="1"/>
    <col min="5637" max="5637" width="10.5703125" style="61" customWidth="1"/>
    <col min="5638" max="5638" width="9.7109375" style="61" bestFit="1" customWidth="1"/>
    <col min="5639" max="5882" width="9.140625" style="61"/>
    <col min="5883" max="5883" width="5" style="61" customWidth="1"/>
    <col min="5884" max="5884" width="21.85546875" style="61" customWidth="1"/>
    <col min="5885" max="5885" width="6.7109375" style="61" customWidth="1"/>
    <col min="5886" max="5886" width="9.5703125" style="61" customWidth="1"/>
    <col min="5887" max="5887" width="3.7109375" style="61" customWidth="1"/>
    <col min="5888" max="5888" width="18" style="61" customWidth="1"/>
    <col min="5889" max="5889" width="3.5703125" style="61" customWidth="1"/>
    <col min="5890" max="5890" width="11.7109375" style="61" customWidth="1"/>
    <col min="5891" max="5891" width="10.7109375" style="61" customWidth="1"/>
    <col min="5892" max="5892" width="11.140625" style="61" customWidth="1"/>
    <col min="5893" max="5893" width="10.5703125" style="61" customWidth="1"/>
    <col min="5894" max="5894" width="9.7109375" style="61" bestFit="1" customWidth="1"/>
    <col min="5895" max="6138" width="9.140625" style="61"/>
    <col min="6139" max="6139" width="5" style="61" customWidth="1"/>
    <col min="6140" max="6140" width="21.85546875" style="61" customWidth="1"/>
    <col min="6141" max="6141" width="6.7109375" style="61" customWidth="1"/>
    <col min="6142" max="6142" width="9.5703125" style="61" customWidth="1"/>
    <col min="6143" max="6143" width="3.7109375" style="61" customWidth="1"/>
    <col min="6144" max="6144" width="18" style="61" customWidth="1"/>
    <col min="6145" max="6145" width="3.5703125" style="61" customWidth="1"/>
    <col min="6146" max="6146" width="11.7109375" style="61" customWidth="1"/>
    <col min="6147" max="6147" width="10.7109375" style="61" customWidth="1"/>
    <col min="6148" max="6148" width="11.140625" style="61" customWidth="1"/>
    <col min="6149" max="6149" width="10.5703125" style="61" customWidth="1"/>
    <col min="6150" max="6150" width="9.7109375" style="61" bestFit="1" customWidth="1"/>
    <col min="6151" max="6394" width="9.140625" style="61"/>
    <col min="6395" max="6395" width="5" style="61" customWidth="1"/>
    <col min="6396" max="6396" width="21.85546875" style="61" customWidth="1"/>
    <col min="6397" max="6397" width="6.7109375" style="61" customWidth="1"/>
    <col min="6398" max="6398" width="9.5703125" style="61" customWidth="1"/>
    <col min="6399" max="6399" width="3.7109375" style="61" customWidth="1"/>
    <col min="6400" max="6400" width="18" style="61" customWidth="1"/>
    <col min="6401" max="6401" width="3.5703125" style="61" customWidth="1"/>
    <col min="6402" max="6402" width="11.7109375" style="61" customWidth="1"/>
    <col min="6403" max="6403" width="10.7109375" style="61" customWidth="1"/>
    <col min="6404" max="6404" width="11.140625" style="61" customWidth="1"/>
    <col min="6405" max="6405" width="10.5703125" style="61" customWidth="1"/>
    <col min="6406" max="6406" width="9.7109375" style="61" bestFit="1" customWidth="1"/>
    <col min="6407" max="6650" width="9.140625" style="61"/>
    <col min="6651" max="6651" width="5" style="61" customWidth="1"/>
    <col min="6652" max="6652" width="21.85546875" style="61" customWidth="1"/>
    <col min="6653" max="6653" width="6.7109375" style="61" customWidth="1"/>
    <col min="6654" max="6654" width="9.5703125" style="61" customWidth="1"/>
    <col min="6655" max="6655" width="3.7109375" style="61" customWidth="1"/>
    <col min="6656" max="6656" width="18" style="61" customWidth="1"/>
    <col min="6657" max="6657" width="3.5703125" style="61" customWidth="1"/>
    <col min="6658" max="6658" width="11.7109375" style="61" customWidth="1"/>
    <col min="6659" max="6659" width="10.7109375" style="61" customWidth="1"/>
    <col min="6660" max="6660" width="11.140625" style="61" customWidth="1"/>
    <col min="6661" max="6661" width="10.5703125" style="61" customWidth="1"/>
    <col min="6662" max="6662" width="9.7109375" style="61" bestFit="1" customWidth="1"/>
    <col min="6663" max="6906" width="9.140625" style="61"/>
    <col min="6907" max="6907" width="5" style="61" customWidth="1"/>
    <col min="6908" max="6908" width="21.85546875" style="61" customWidth="1"/>
    <col min="6909" max="6909" width="6.7109375" style="61" customWidth="1"/>
    <col min="6910" max="6910" width="9.5703125" style="61" customWidth="1"/>
    <col min="6911" max="6911" width="3.7109375" style="61" customWidth="1"/>
    <col min="6912" max="6912" width="18" style="61" customWidth="1"/>
    <col min="6913" max="6913" width="3.5703125" style="61" customWidth="1"/>
    <col min="6914" max="6914" width="11.7109375" style="61" customWidth="1"/>
    <col min="6915" max="6915" width="10.7109375" style="61" customWidth="1"/>
    <col min="6916" max="6916" width="11.140625" style="61" customWidth="1"/>
    <col min="6917" max="6917" width="10.5703125" style="61" customWidth="1"/>
    <col min="6918" max="6918" width="9.7109375" style="61" bestFit="1" customWidth="1"/>
    <col min="6919" max="7162" width="9.140625" style="61"/>
    <col min="7163" max="7163" width="5" style="61" customWidth="1"/>
    <col min="7164" max="7164" width="21.85546875" style="61" customWidth="1"/>
    <col min="7165" max="7165" width="6.7109375" style="61" customWidth="1"/>
    <col min="7166" max="7166" width="9.5703125" style="61" customWidth="1"/>
    <col min="7167" max="7167" width="3.7109375" style="61" customWidth="1"/>
    <col min="7168" max="7168" width="18" style="61" customWidth="1"/>
    <col min="7169" max="7169" width="3.5703125" style="61" customWidth="1"/>
    <col min="7170" max="7170" width="11.7109375" style="61" customWidth="1"/>
    <col min="7171" max="7171" width="10.7109375" style="61" customWidth="1"/>
    <col min="7172" max="7172" width="11.140625" style="61" customWidth="1"/>
    <col min="7173" max="7173" width="10.5703125" style="61" customWidth="1"/>
    <col min="7174" max="7174" width="9.7109375" style="61" bestFit="1" customWidth="1"/>
    <col min="7175" max="7418" width="9.140625" style="61"/>
    <col min="7419" max="7419" width="5" style="61" customWidth="1"/>
    <col min="7420" max="7420" width="21.85546875" style="61" customWidth="1"/>
    <col min="7421" max="7421" width="6.7109375" style="61" customWidth="1"/>
    <col min="7422" max="7422" width="9.5703125" style="61" customWidth="1"/>
    <col min="7423" max="7423" width="3.7109375" style="61" customWidth="1"/>
    <col min="7424" max="7424" width="18" style="61" customWidth="1"/>
    <col min="7425" max="7425" width="3.5703125" style="61" customWidth="1"/>
    <col min="7426" max="7426" width="11.7109375" style="61" customWidth="1"/>
    <col min="7427" max="7427" width="10.7109375" style="61" customWidth="1"/>
    <col min="7428" max="7428" width="11.140625" style="61" customWidth="1"/>
    <col min="7429" max="7429" width="10.5703125" style="61" customWidth="1"/>
    <col min="7430" max="7430" width="9.7109375" style="61" bestFit="1" customWidth="1"/>
    <col min="7431" max="7674" width="9.140625" style="61"/>
    <col min="7675" max="7675" width="5" style="61" customWidth="1"/>
    <col min="7676" max="7676" width="21.85546875" style="61" customWidth="1"/>
    <col min="7677" max="7677" width="6.7109375" style="61" customWidth="1"/>
    <col min="7678" max="7678" width="9.5703125" style="61" customWidth="1"/>
    <col min="7679" max="7679" width="3.7109375" style="61" customWidth="1"/>
    <col min="7680" max="7680" width="18" style="61" customWidth="1"/>
    <col min="7681" max="7681" width="3.5703125" style="61" customWidth="1"/>
    <col min="7682" max="7682" width="11.7109375" style="61" customWidth="1"/>
    <col min="7683" max="7683" width="10.7109375" style="61" customWidth="1"/>
    <col min="7684" max="7684" width="11.140625" style="61" customWidth="1"/>
    <col min="7685" max="7685" width="10.5703125" style="61" customWidth="1"/>
    <col min="7686" max="7686" width="9.7109375" style="61" bestFit="1" customWidth="1"/>
    <col min="7687" max="7930" width="9.140625" style="61"/>
    <col min="7931" max="7931" width="5" style="61" customWidth="1"/>
    <col min="7932" max="7932" width="21.85546875" style="61" customWidth="1"/>
    <col min="7933" max="7933" width="6.7109375" style="61" customWidth="1"/>
    <col min="7934" max="7934" width="9.5703125" style="61" customWidth="1"/>
    <col min="7935" max="7935" width="3.7109375" style="61" customWidth="1"/>
    <col min="7936" max="7936" width="18" style="61" customWidth="1"/>
    <col min="7937" max="7937" width="3.5703125" style="61" customWidth="1"/>
    <col min="7938" max="7938" width="11.7109375" style="61" customWidth="1"/>
    <col min="7939" max="7939" width="10.7109375" style="61" customWidth="1"/>
    <col min="7940" max="7940" width="11.140625" style="61" customWidth="1"/>
    <col min="7941" max="7941" width="10.5703125" style="61" customWidth="1"/>
    <col min="7942" max="7942" width="9.7109375" style="61" bestFit="1" customWidth="1"/>
    <col min="7943" max="8186" width="9.140625" style="61"/>
    <col min="8187" max="8187" width="5" style="61" customWidth="1"/>
    <col min="8188" max="8188" width="21.85546875" style="61" customWidth="1"/>
    <col min="8189" max="8189" width="6.7109375" style="61" customWidth="1"/>
    <col min="8190" max="8190" width="9.5703125" style="61" customWidth="1"/>
    <col min="8191" max="8191" width="3.7109375" style="61" customWidth="1"/>
    <col min="8192" max="8192" width="18" style="61" customWidth="1"/>
    <col min="8193" max="8193" width="3.5703125" style="61" customWidth="1"/>
    <col min="8194" max="8194" width="11.7109375" style="61" customWidth="1"/>
    <col min="8195" max="8195" width="10.7109375" style="61" customWidth="1"/>
    <col min="8196" max="8196" width="11.140625" style="61" customWidth="1"/>
    <col min="8197" max="8197" width="10.5703125" style="61" customWidth="1"/>
    <col min="8198" max="8198" width="9.7109375" style="61" bestFit="1" customWidth="1"/>
    <col min="8199" max="8442" width="9.140625" style="61"/>
    <col min="8443" max="8443" width="5" style="61" customWidth="1"/>
    <col min="8444" max="8444" width="21.85546875" style="61" customWidth="1"/>
    <col min="8445" max="8445" width="6.7109375" style="61" customWidth="1"/>
    <col min="8446" max="8446" width="9.5703125" style="61" customWidth="1"/>
    <col min="8447" max="8447" width="3.7109375" style="61" customWidth="1"/>
    <col min="8448" max="8448" width="18" style="61" customWidth="1"/>
    <col min="8449" max="8449" width="3.5703125" style="61" customWidth="1"/>
    <col min="8450" max="8450" width="11.7109375" style="61" customWidth="1"/>
    <col min="8451" max="8451" width="10.7109375" style="61" customWidth="1"/>
    <col min="8452" max="8452" width="11.140625" style="61" customWidth="1"/>
    <col min="8453" max="8453" width="10.5703125" style="61" customWidth="1"/>
    <col min="8454" max="8454" width="9.7109375" style="61" bestFit="1" customWidth="1"/>
    <col min="8455" max="8698" width="9.140625" style="61"/>
    <col min="8699" max="8699" width="5" style="61" customWidth="1"/>
    <col min="8700" max="8700" width="21.85546875" style="61" customWidth="1"/>
    <col min="8701" max="8701" width="6.7109375" style="61" customWidth="1"/>
    <col min="8702" max="8702" width="9.5703125" style="61" customWidth="1"/>
    <col min="8703" max="8703" width="3.7109375" style="61" customWidth="1"/>
    <col min="8704" max="8704" width="18" style="61" customWidth="1"/>
    <col min="8705" max="8705" width="3.5703125" style="61" customWidth="1"/>
    <col min="8706" max="8706" width="11.7109375" style="61" customWidth="1"/>
    <col min="8707" max="8707" width="10.7109375" style="61" customWidth="1"/>
    <col min="8708" max="8708" width="11.140625" style="61" customWidth="1"/>
    <col min="8709" max="8709" width="10.5703125" style="61" customWidth="1"/>
    <col min="8710" max="8710" width="9.7109375" style="61" bestFit="1" customWidth="1"/>
    <col min="8711" max="8954" width="9.140625" style="61"/>
    <col min="8955" max="8955" width="5" style="61" customWidth="1"/>
    <col min="8956" max="8956" width="21.85546875" style="61" customWidth="1"/>
    <col min="8957" max="8957" width="6.7109375" style="61" customWidth="1"/>
    <col min="8958" max="8958" width="9.5703125" style="61" customWidth="1"/>
    <col min="8959" max="8959" width="3.7109375" style="61" customWidth="1"/>
    <col min="8960" max="8960" width="18" style="61" customWidth="1"/>
    <col min="8961" max="8961" width="3.5703125" style="61" customWidth="1"/>
    <col min="8962" max="8962" width="11.7109375" style="61" customWidth="1"/>
    <col min="8963" max="8963" width="10.7109375" style="61" customWidth="1"/>
    <col min="8964" max="8964" width="11.140625" style="61" customWidth="1"/>
    <col min="8965" max="8965" width="10.5703125" style="61" customWidth="1"/>
    <col min="8966" max="8966" width="9.7109375" style="61" bestFit="1" customWidth="1"/>
    <col min="8967" max="9210" width="9.140625" style="61"/>
    <col min="9211" max="9211" width="5" style="61" customWidth="1"/>
    <col min="9212" max="9212" width="21.85546875" style="61" customWidth="1"/>
    <col min="9213" max="9213" width="6.7109375" style="61" customWidth="1"/>
    <col min="9214" max="9214" width="9.5703125" style="61" customWidth="1"/>
    <col min="9215" max="9215" width="3.7109375" style="61" customWidth="1"/>
    <col min="9216" max="9216" width="18" style="61" customWidth="1"/>
    <col min="9217" max="9217" width="3.5703125" style="61" customWidth="1"/>
    <col min="9218" max="9218" width="11.7109375" style="61" customWidth="1"/>
    <col min="9219" max="9219" width="10.7109375" style="61" customWidth="1"/>
    <col min="9220" max="9220" width="11.140625" style="61" customWidth="1"/>
    <col min="9221" max="9221" width="10.5703125" style="61" customWidth="1"/>
    <col min="9222" max="9222" width="9.7109375" style="61" bestFit="1" customWidth="1"/>
    <col min="9223" max="9466" width="9.140625" style="61"/>
    <col min="9467" max="9467" width="5" style="61" customWidth="1"/>
    <col min="9468" max="9468" width="21.85546875" style="61" customWidth="1"/>
    <col min="9469" max="9469" width="6.7109375" style="61" customWidth="1"/>
    <col min="9470" max="9470" width="9.5703125" style="61" customWidth="1"/>
    <col min="9471" max="9471" width="3.7109375" style="61" customWidth="1"/>
    <col min="9472" max="9472" width="18" style="61" customWidth="1"/>
    <col min="9473" max="9473" width="3.5703125" style="61" customWidth="1"/>
    <col min="9474" max="9474" width="11.7109375" style="61" customWidth="1"/>
    <col min="9475" max="9475" width="10.7109375" style="61" customWidth="1"/>
    <col min="9476" max="9476" width="11.140625" style="61" customWidth="1"/>
    <col min="9477" max="9477" width="10.5703125" style="61" customWidth="1"/>
    <col min="9478" max="9478" width="9.7109375" style="61" bestFit="1" customWidth="1"/>
    <col min="9479" max="9722" width="9.140625" style="61"/>
    <col min="9723" max="9723" width="5" style="61" customWidth="1"/>
    <col min="9724" max="9724" width="21.85546875" style="61" customWidth="1"/>
    <col min="9725" max="9725" width="6.7109375" style="61" customWidth="1"/>
    <col min="9726" max="9726" width="9.5703125" style="61" customWidth="1"/>
    <col min="9727" max="9727" width="3.7109375" style="61" customWidth="1"/>
    <col min="9728" max="9728" width="18" style="61" customWidth="1"/>
    <col min="9729" max="9729" width="3.5703125" style="61" customWidth="1"/>
    <col min="9730" max="9730" width="11.7109375" style="61" customWidth="1"/>
    <col min="9731" max="9731" width="10.7109375" style="61" customWidth="1"/>
    <col min="9732" max="9732" width="11.140625" style="61" customWidth="1"/>
    <col min="9733" max="9733" width="10.5703125" style="61" customWidth="1"/>
    <col min="9734" max="9734" width="9.7109375" style="61" bestFit="1" customWidth="1"/>
    <col min="9735" max="9978" width="9.140625" style="61"/>
    <col min="9979" max="9979" width="5" style="61" customWidth="1"/>
    <col min="9980" max="9980" width="21.85546875" style="61" customWidth="1"/>
    <col min="9981" max="9981" width="6.7109375" style="61" customWidth="1"/>
    <col min="9982" max="9982" width="9.5703125" style="61" customWidth="1"/>
    <col min="9983" max="9983" width="3.7109375" style="61" customWidth="1"/>
    <col min="9984" max="9984" width="18" style="61" customWidth="1"/>
    <col min="9985" max="9985" width="3.5703125" style="61" customWidth="1"/>
    <col min="9986" max="9986" width="11.7109375" style="61" customWidth="1"/>
    <col min="9987" max="9987" width="10.7109375" style="61" customWidth="1"/>
    <col min="9988" max="9988" width="11.140625" style="61" customWidth="1"/>
    <col min="9989" max="9989" width="10.5703125" style="61" customWidth="1"/>
    <col min="9990" max="9990" width="9.7109375" style="61" bestFit="1" customWidth="1"/>
    <col min="9991" max="10234" width="9.140625" style="61"/>
    <col min="10235" max="10235" width="5" style="61" customWidth="1"/>
    <col min="10236" max="10236" width="21.85546875" style="61" customWidth="1"/>
    <col min="10237" max="10237" width="6.7109375" style="61" customWidth="1"/>
    <col min="10238" max="10238" width="9.5703125" style="61" customWidth="1"/>
    <col min="10239" max="10239" width="3.7109375" style="61" customWidth="1"/>
    <col min="10240" max="10240" width="18" style="61" customWidth="1"/>
    <col min="10241" max="10241" width="3.5703125" style="61" customWidth="1"/>
    <col min="10242" max="10242" width="11.7109375" style="61" customWidth="1"/>
    <col min="10243" max="10243" width="10.7109375" style="61" customWidth="1"/>
    <col min="10244" max="10244" width="11.140625" style="61" customWidth="1"/>
    <col min="10245" max="10245" width="10.5703125" style="61" customWidth="1"/>
    <col min="10246" max="10246" width="9.7109375" style="61" bestFit="1" customWidth="1"/>
    <col min="10247" max="10490" width="9.140625" style="61"/>
    <col min="10491" max="10491" width="5" style="61" customWidth="1"/>
    <col min="10492" max="10492" width="21.85546875" style="61" customWidth="1"/>
    <col min="10493" max="10493" width="6.7109375" style="61" customWidth="1"/>
    <col min="10494" max="10494" width="9.5703125" style="61" customWidth="1"/>
    <col min="10495" max="10495" width="3.7109375" style="61" customWidth="1"/>
    <col min="10496" max="10496" width="18" style="61" customWidth="1"/>
    <col min="10497" max="10497" width="3.5703125" style="61" customWidth="1"/>
    <col min="10498" max="10498" width="11.7109375" style="61" customWidth="1"/>
    <col min="10499" max="10499" width="10.7109375" style="61" customWidth="1"/>
    <col min="10500" max="10500" width="11.140625" style="61" customWidth="1"/>
    <col min="10501" max="10501" width="10.5703125" style="61" customWidth="1"/>
    <col min="10502" max="10502" width="9.7109375" style="61" bestFit="1" customWidth="1"/>
    <col min="10503" max="10746" width="9.140625" style="61"/>
    <col min="10747" max="10747" width="5" style="61" customWidth="1"/>
    <col min="10748" max="10748" width="21.85546875" style="61" customWidth="1"/>
    <col min="10749" max="10749" width="6.7109375" style="61" customWidth="1"/>
    <col min="10750" max="10750" width="9.5703125" style="61" customWidth="1"/>
    <col min="10751" max="10751" width="3.7109375" style="61" customWidth="1"/>
    <col min="10752" max="10752" width="18" style="61" customWidth="1"/>
    <col min="10753" max="10753" width="3.5703125" style="61" customWidth="1"/>
    <col min="10754" max="10754" width="11.7109375" style="61" customWidth="1"/>
    <col min="10755" max="10755" width="10.7109375" style="61" customWidth="1"/>
    <col min="10756" max="10756" width="11.140625" style="61" customWidth="1"/>
    <col min="10757" max="10757" width="10.5703125" style="61" customWidth="1"/>
    <col min="10758" max="10758" width="9.7109375" style="61" bestFit="1" customWidth="1"/>
    <col min="10759" max="11002" width="9.140625" style="61"/>
    <col min="11003" max="11003" width="5" style="61" customWidth="1"/>
    <col min="11004" max="11004" width="21.85546875" style="61" customWidth="1"/>
    <col min="11005" max="11005" width="6.7109375" style="61" customWidth="1"/>
    <col min="11006" max="11006" width="9.5703125" style="61" customWidth="1"/>
    <col min="11007" max="11007" width="3.7109375" style="61" customWidth="1"/>
    <col min="11008" max="11008" width="18" style="61" customWidth="1"/>
    <col min="11009" max="11009" width="3.5703125" style="61" customWidth="1"/>
    <col min="11010" max="11010" width="11.7109375" style="61" customWidth="1"/>
    <col min="11011" max="11011" width="10.7109375" style="61" customWidth="1"/>
    <col min="11012" max="11012" width="11.140625" style="61" customWidth="1"/>
    <col min="11013" max="11013" width="10.5703125" style="61" customWidth="1"/>
    <col min="11014" max="11014" width="9.7109375" style="61" bestFit="1" customWidth="1"/>
    <col min="11015" max="11258" width="9.140625" style="61"/>
    <col min="11259" max="11259" width="5" style="61" customWidth="1"/>
    <col min="11260" max="11260" width="21.85546875" style="61" customWidth="1"/>
    <col min="11261" max="11261" width="6.7109375" style="61" customWidth="1"/>
    <col min="11262" max="11262" width="9.5703125" style="61" customWidth="1"/>
    <col min="11263" max="11263" width="3.7109375" style="61" customWidth="1"/>
    <col min="11264" max="11264" width="18" style="61" customWidth="1"/>
    <col min="11265" max="11265" width="3.5703125" style="61" customWidth="1"/>
    <col min="11266" max="11266" width="11.7109375" style="61" customWidth="1"/>
    <col min="11267" max="11267" width="10.7109375" style="61" customWidth="1"/>
    <col min="11268" max="11268" width="11.140625" style="61" customWidth="1"/>
    <col min="11269" max="11269" width="10.5703125" style="61" customWidth="1"/>
    <col min="11270" max="11270" width="9.7109375" style="61" bestFit="1" customWidth="1"/>
    <col min="11271" max="11514" width="9.140625" style="61"/>
    <col min="11515" max="11515" width="5" style="61" customWidth="1"/>
    <col min="11516" max="11516" width="21.85546875" style="61" customWidth="1"/>
    <col min="11517" max="11517" width="6.7109375" style="61" customWidth="1"/>
    <col min="11518" max="11518" width="9.5703125" style="61" customWidth="1"/>
    <col min="11519" max="11519" width="3.7109375" style="61" customWidth="1"/>
    <col min="11520" max="11520" width="18" style="61" customWidth="1"/>
    <col min="11521" max="11521" width="3.5703125" style="61" customWidth="1"/>
    <col min="11522" max="11522" width="11.7109375" style="61" customWidth="1"/>
    <col min="11523" max="11523" width="10.7109375" style="61" customWidth="1"/>
    <col min="11524" max="11524" width="11.140625" style="61" customWidth="1"/>
    <col min="11525" max="11525" width="10.5703125" style="61" customWidth="1"/>
    <col min="11526" max="11526" width="9.7109375" style="61" bestFit="1" customWidth="1"/>
    <col min="11527" max="11770" width="9.140625" style="61"/>
    <col min="11771" max="11771" width="5" style="61" customWidth="1"/>
    <col min="11772" max="11772" width="21.85546875" style="61" customWidth="1"/>
    <col min="11773" max="11773" width="6.7109375" style="61" customWidth="1"/>
    <col min="11774" max="11774" width="9.5703125" style="61" customWidth="1"/>
    <col min="11775" max="11775" width="3.7109375" style="61" customWidth="1"/>
    <col min="11776" max="11776" width="18" style="61" customWidth="1"/>
    <col min="11777" max="11777" width="3.5703125" style="61" customWidth="1"/>
    <col min="11778" max="11778" width="11.7109375" style="61" customWidth="1"/>
    <col min="11779" max="11779" width="10.7109375" style="61" customWidth="1"/>
    <col min="11780" max="11780" width="11.140625" style="61" customWidth="1"/>
    <col min="11781" max="11781" width="10.5703125" style="61" customWidth="1"/>
    <col min="11782" max="11782" width="9.7109375" style="61" bestFit="1" customWidth="1"/>
    <col min="11783" max="12026" width="9.140625" style="61"/>
    <col min="12027" max="12027" width="5" style="61" customWidth="1"/>
    <col min="12028" max="12028" width="21.85546875" style="61" customWidth="1"/>
    <col min="12029" max="12029" width="6.7109375" style="61" customWidth="1"/>
    <col min="12030" max="12030" width="9.5703125" style="61" customWidth="1"/>
    <col min="12031" max="12031" width="3.7109375" style="61" customWidth="1"/>
    <col min="12032" max="12032" width="18" style="61" customWidth="1"/>
    <col min="12033" max="12033" width="3.5703125" style="61" customWidth="1"/>
    <col min="12034" max="12034" width="11.7109375" style="61" customWidth="1"/>
    <col min="12035" max="12035" width="10.7109375" style="61" customWidth="1"/>
    <col min="12036" max="12036" width="11.140625" style="61" customWidth="1"/>
    <col min="12037" max="12037" width="10.5703125" style="61" customWidth="1"/>
    <col min="12038" max="12038" width="9.7109375" style="61" bestFit="1" customWidth="1"/>
    <col min="12039" max="12282" width="9.140625" style="61"/>
    <col min="12283" max="12283" width="5" style="61" customWidth="1"/>
    <col min="12284" max="12284" width="21.85546875" style="61" customWidth="1"/>
    <col min="12285" max="12285" width="6.7109375" style="61" customWidth="1"/>
    <col min="12286" max="12286" width="9.5703125" style="61" customWidth="1"/>
    <col min="12287" max="12287" width="3.7109375" style="61" customWidth="1"/>
    <col min="12288" max="12288" width="18" style="61" customWidth="1"/>
    <col min="12289" max="12289" width="3.5703125" style="61" customWidth="1"/>
    <col min="12290" max="12290" width="11.7109375" style="61" customWidth="1"/>
    <col min="12291" max="12291" width="10.7109375" style="61" customWidth="1"/>
    <col min="12292" max="12292" width="11.140625" style="61" customWidth="1"/>
    <col min="12293" max="12293" width="10.5703125" style="61" customWidth="1"/>
    <col min="12294" max="12294" width="9.7109375" style="61" bestFit="1" customWidth="1"/>
    <col min="12295" max="12538" width="9.140625" style="61"/>
    <col min="12539" max="12539" width="5" style="61" customWidth="1"/>
    <col min="12540" max="12540" width="21.85546875" style="61" customWidth="1"/>
    <col min="12541" max="12541" width="6.7109375" style="61" customWidth="1"/>
    <col min="12542" max="12542" width="9.5703125" style="61" customWidth="1"/>
    <col min="12543" max="12543" width="3.7109375" style="61" customWidth="1"/>
    <col min="12544" max="12544" width="18" style="61" customWidth="1"/>
    <col min="12545" max="12545" width="3.5703125" style="61" customWidth="1"/>
    <col min="12546" max="12546" width="11.7109375" style="61" customWidth="1"/>
    <col min="12547" max="12547" width="10.7109375" style="61" customWidth="1"/>
    <col min="12548" max="12548" width="11.140625" style="61" customWidth="1"/>
    <col min="12549" max="12549" width="10.5703125" style="61" customWidth="1"/>
    <col min="12550" max="12550" width="9.7109375" style="61" bestFit="1" customWidth="1"/>
    <col min="12551" max="12794" width="9.140625" style="61"/>
    <col min="12795" max="12795" width="5" style="61" customWidth="1"/>
    <col min="12796" max="12796" width="21.85546875" style="61" customWidth="1"/>
    <col min="12797" max="12797" width="6.7109375" style="61" customWidth="1"/>
    <col min="12798" max="12798" width="9.5703125" style="61" customWidth="1"/>
    <col min="12799" max="12799" width="3.7109375" style="61" customWidth="1"/>
    <col min="12800" max="12800" width="18" style="61" customWidth="1"/>
    <col min="12801" max="12801" width="3.5703125" style="61" customWidth="1"/>
    <col min="12802" max="12802" width="11.7109375" style="61" customWidth="1"/>
    <col min="12803" max="12803" width="10.7109375" style="61" customWidth="1"/>
    <col min="12804" max="12804" width="11.140625" style="61" customWidth="1"/>
    <col min="12805" max="12805" width="10.5703125" style="61" customWidth="1"/>
    <col min="12806" max="12806" width="9.7109375" style="61" bestFit="1" customWidth="1"/>
    <col min="12807" max="13050" width="9.140625" style="61"/>
    <col min="13051" max="13051" width="5" style="61" customWidth="1"/>
    <col min="13052" max="13052" width="21.85546875" style="61" customWidth="1"/>
    <col min="13053" max="13053" width="6.7109375" style="61" customWidth="1"/>
    <col min="13054" max="13054" width="9.5703125" style="61" customWidth="1"/>
    <col min="13055" max="13055" width="3.7109375" style="61" customWidth="1"/>
    <col min="13056" max="13056" width="18" style="61" customWidth="1"/>
    <col min="13057" max="13057" width="3.5703125" style="61" customWidth="1"/>
    <col min="13058" max="13058" width="11.7109375" style="61" customWidth="1"/>
    <col min="13059" max="13059" width="10.7109375" style="61" customWidth="1"/>
    <col min="13060" max="13060" width="11.140625" style="61" customWidth="1"/>
    <col min="13061" max="13061" width="10.5703125" style="61" customWidth="1"/>
    <col min="13062" max="13062" width="9.7109375" style="61" bestFit="1" customWidth="1"/>
    <col min="13063" max="13306" width="9.140625" style="61"/>
    <col min="13307" max="13307" width="5" style="61" customWidth="1"/>
    <col min="13308" max="13308" width="21.85546875" style="61" customWidth="1"/>
    <col min="13309" max="13309" width="6.7109375" style="61" customWidth="1"/>
    <col min="13310" max="13310" width="9.5703125" style="61" customWidth="1"/>
    <col min="13311" max="13311" width="3.7109375" style="61" customWidth="1"/>
    <col min="13312" max="13312" width="18" style="61" customWidth="1"/>
    <col min="13313" max="13313" width="3.5703125" style="61" customWidth="1"/>
    <col min="13314" max="13314" width="11.7109375" style="61" customWidth="1"/>
    <col min="13315" max="13315" width="10.7109375" style="61" customWidth="1"/>
    <col min="13316" max="13316" width="11.140625" style="61" customWidth="1"/>
    <col min="13317" max="13317" width="10.5703125" style="61" customWidth="1"/>
    <col min="13318" max="13318" width="9.7109375" style="61" bestFit="1" customWidth="1"/>
    <col min="13319" max="13562" width="9.140625" style="61"/>
    <col min="13563" max="13563" width="5" style="61" customWidth="1"/>
    <col min="13564" max="13564" width="21.85546875" style="61" customWidth="1"/>
    <col min="13565" max="13565" width="6.7109375" style="61" customWidth="1"/>
    <col min="13566" max="13566" width="9.5703125" style="61" customWidth="1"/>
    <col min="13567" max="13567" width="3.7109375" style="61" customWidth="1"/>
    <col min="13568" max="13568" width="18" style="61" customWidth="1"/>
    <col min="13569" max="13569" width="3.5703125" style="61" customWidth="1"/>
    <col min="13570" max="13570" width="11.7109375" style="61" customWidth="1"/>
    <col min="13571" max="13571" width="10.7109375" style="61" customWidth="1"/>
    <col min="13572" max="13572" width="11.140625" style="61" customWidth="1"/>
    <col min="13573" max="13573" width="10.5703125" style="61" customWidth="1"/>
    <col min="13574" max="13574" width="9.7109375" style="61" bestFit="1" customWidth="1"/>
    <col min="13575" max="13818" width="9.140625" style="61"/>
    <col min="13819" max="13819" width="5" style="61" customWidth="1"/>
    <col min="13820" max="13820" width="21.85546875" style="61" customWidth="1"/>
    <col min="13821" max="13821" width="6.7109375" style="61" customWidth="1"/>
    <col min="13822" max="13822" width="9.5703125" style="61" customWidth="1"/>
    <col min="13823" max="13823" width="3.7109375" style="61" customWidth="1"/>
    <col min="13824" max="13824" width="18" style="61" customWidth="1"/>
    <col min="13825" max="13825" width="3.5703125" style="61" customWidth="1"/>
    <col min="13826" max="13826" width="11.7109375" style="61" customWidth="1"/>
    <col min="13827" max="13827" width="10.7109375" style="61" customWidth="1"/>
    <col min="13828" max="13828" width="11.140625" style="61" customWidth="1"/>
    <col min="13829" max="13829" width="10.5703125" style="61" customWidth="1"/>
    <col min="13830" max="13830" width="9.7109375" style="61" bestFit="1" customWidth="1"/>
    <col min="13831" max="14074" width="9.140625" style="61"/>
    <col min="14075" max="14075" width="5" style="61" customWidth="1"/>
    <col min="14076" max="14076" width="21.85546875" style="61" customWidth="1"/>
    <col min="14077" max="14077" width="6.7109375" style="61" customWidth="1"/>
    <col min="14078" max="14078" width="9.5703125" style="61" customWidth="1"/>
    <col min="14079" max="14079" width="3.7109375" style="61" customWidth="1"/>
    <col min="14080" max="14080" width="18" style="61" customWidth="1"/>
    <col min="14081" max="14081" width="3.5703125" style="61" customWidth="1"/>
    <col min="14082" max="14082" width="11.7109375" style="61" customWidth="1"/>
    <col min="14083" max="14083" width="10.7109375" style="61" customWidth="1"/>
    <col min="14084" max="14084" width="11.140625" style="61" customWidth="1"/>
    <col min="14085" max="14085" width="10.5703125" style="61" customWidth="1"/>
    <col min="14086" max="14086" width="9.7109375" style="61" bestFit="1" customWidth="1"/>
    <col min="14087" max="14330" width="9.140625" style="61"/>
    <col min="14331" max="14331" width="5" style="61" customWidth="1"/>
    <col min="14332" max="14332" width="21.85546875" style="61" customWidth="1"/>
    <col min="14333" max="14333" width="6.7109375" style="61" customWidth="1"/>
    <col min="14334" max="14334" width="9.5703125" style="61" customWidth="1"/>
    <col min="14335" max="14335" width="3.7109375" style="61" customWidth="1"/>
    <col min="14336" max="14336" width="18" style="61" customWidth="1"/>
    <col min="14337" max="14337" width="3.5703125" style="61" customWidth="1"/>
    <col min="14338" max="14338" width="11.7109375" style="61" customWidth="1"/>
    <col min="14339" max="14339" width="10.7109375" style="61" customWidth="1"/>
    <col min="14340" max="14340" width="11.140625" style="61" customWidth="1"/>
    <col min="14341" max="14341" width="10.5703125" style="61" customWidth="1"/>
    <col min="14342" max="14342" width="9.7109375" style="61" bestFit="1" customWidth="1"/>
    <col min="14343" max="14586" width="9.140625" style="61"/>
    <col min="14587" max="14587" width="5" style="61" customWidth="1"/>
    <col min="14588" max="14588" width="21.85546875" style="61" customWidth="1"/>
    <col min="14589" max="14589" width="6.7109375" style="61" customWidth="1"/>
    <col min="14590" max="14590" width="9.5703125" style="61" customWidth="1"/>
    <col min="14591" max="14591" width="3.7109375" style="61" customWidth="1"/>
    <col min="14592" max="14592" width="18" style="61" customWidth="1"/>
    <col min="14593" max="14593" width="3.5703125" style="61" customWidth="1"/>
    <col min="14594" max="14594" width="11.7109375" style="61" customWidth="1"/>
    <col min="14595" max="14595" width="10.7109375" style="61" customWidth="1"/>
    <col min="14596" max="14596" width="11.140625" style="61" customWidth="1"/>
    <col min="14597" max="14597" width="10.5703125" style="61" customWidth="1"/>
    <col min="14598" max="14598" width="9.7109375" style="61" bestFit="1" customWidth="1"/>
    <col min="14599" max="14842" width="9.140625" style="61"/>
    <col min="14843" max="14843" width="5" style="61" customWidth="1"/>
    <col min="14844" max="14844" width="21.85546875" style="61" customWidth="1"/>
    <col min="14845" max="14845" width="6.7109375" style="61" customWidth="1"/>
    <col min="14846" max="14846" width="9.5703125" style="61" customWidth="1"/>
    <col min="14847" max="14847" width="3.7109375" style="61" customWidth="1"/>
    <col min="14848" max="14848" width="18" style="61" customWidth="1"/>
    <col min="14849" max="14849" width="3.5703125" style="61" customWidth="1"/>
    <col min="14850" max="14850" width="11.7109375" style="61" customWidth="1"/>
    <col min="14851" max="14851" width="10.7109375" style="61" customWidth="1"/>
    <col min="14852" max="14852" width="11.140625" style="61" customWidth="1"/>
    <col min="14853" max="14853" width="10.5703125" style="61" customWidth="1"/>
    <col min="14854" max="14854" width="9.7109375" style="61" bestFit="1" customWidth="1"/>
    <col min="14855" max="15098" width="9.140625" style="61"/>
    <col min="15099" max="15099" width="5" style="61" customWidth="1"/>
    <col min="15100" max="15100" width="21.85546875" style="61" customWidth="1"/>
    <col min="15101" max="15101" width="6.7109375" style="61" customWidth="1"/>
    <col min="15102" max="15102" width="9.5703125" style="61" customWidth="1"/>
    <col min="15103" max="15103" width="3.7109375" style="61" customWidth="1"/>
    <col min="15104" max="15104" width="18" style="61" customWidth="1"/>
    <col min="15105" max="15105" width="3.5703125" style="61" customWidth="1"/>
    <col min="15106" max="15106" width="11.7109375" style="61" customWidth="1"/>
    <col min="15107" max="15107" width="10.7109375" style="61" customWidth="1"/>
    <col min="15108" max="15108" width="11.140625" style="61" customWidth="1"/>
    <col min="15109" max="15109" width="10.5703125" style="61" customWidth="1"/>
    <col min="15110" max="15110" width="9.7109375" style="61" bestFit="1" customWidth="1"/>
    <col min="15111" max="15354" width="9.140625" style="61"/>
    <col min="15355" max="15355" width="5" style="61" customWidth="1"/>
    <col min="15356" max="15356" width="21.85546875" style="61" customWidth="1"/>
    <col min="15357" max="15357" width="6.7109375" style="61" customWidth="1"/>
    <col min="15358" max="15358" width="9.5703125" style="61" customWidth="1"/>
    <col min="15359" max="15359" width="3.7109375" style="61" customWidth="1"/>
    <col min="15360" max="15360" width="18" style="61" customWidth="1"/>
    <col min="15361" max="15361" width="3.5703125" style="61" customWidth="1"/>
    <col min="15362" max="15362" width="11.7109375" style="61" customWidth="1"/>
    <col min="15363" max="15363" width="10.7109375" style="61" customWidth="1"/>
    <col min="15364" max="15364" width="11.140625" style="61" customWidth="1"/>
    <col min="15365" max="15365" width="10.5703125" style="61" customWidth="1"/>
    <col min="15366" max="15366" width="9.7109375" style="61" bestFit="1" customWidth="1"/>
    <col min="15367" max="15610" width="9.140625" style="61"/>
    <col min="15611" max="15611" width="5" style="61" customWidth="1"/>
    <col min="15612" max="15612" width="21.85546875" style="61" customWidth="1"/>
    <col min="15613" max="15613" width="6.7109375" style="61" customWidth="1"/>
    <col min="15614" max="15614" width="9.5703125" style="61" customWidth="1"/>
    <col min="15615" max="15615" width="3.7109375" style="61" customWidth="1"/>
    <col min="15616" max="15616" width="18" style="61" customWidth="1"/>
    <col min="15617" max="15617" width="3.5703125" style="61" customWidth="1"/>
    <col min="15618" max="15618" width="11.7109375" style="61" customWidth="1"/>
    <col min="15619" max="15619" width="10.7109375" style="61" customWidth="1"/>
    <col min="15620" max="15620" width="11.140625" style="61" customWidth="1"/>
    <col min="15621" max="15621" width="10.5703125" style="61" customWidth="1"/>
    <col min="15622" max="15622" width="9.7109375" style="61" bestFit="1" customWidth="1"/>
    <col min="15623" max="15866" width="9.140625" style="61"/>
    <col min="15867" max="15867" width="5" style="61" customWidth="1"/>
    <col min="15868" max="15868" width="21.85546875" style="61" customWidth="1"/>
    <col min="15869" max="15869" width="6.7109375" style="61" customWidth="1"/>
    <col min="15870" max="15870" width="9.5703125" style="61" customWidth="1"/>
    <col min="15871" max="15871" width="3.7109375" style="61" customWidth="1"/>
    <col min="15872" max="15872" width="18" style="61" customWidth="1"/>
    <col min="15873" max="15873" width="3.5703125" style="61" customWidth="1"/>
    <col min="15874" max="15874" width="11.7109375" style="61" customWidth="1"/>
    <col min="15875" max="15875" width="10.7109375" style="61" customWidth="1"/>
    <col min="15876" max="15876" width="11.140625" style="61" customWidth="1"/>
    <col min="15877" max="15877" width="10.5703125" style="61" customWidth="1"/>
    <col min="15878" max="15878" width="9.7109375" style="61" bestFit="1" customWidth="1"/>
    <col min="15879" max="16122" width="9.140625" style="61"/>
    <col min="16123" max="16123" width="5" style="61" customWidth="1"/>
    <col min="16124" max="16124" width="21.85546875" style="61" customWidth="1"/>
    <col min="16125" max="16125" width="6.7109375" style="61" customWidth="1"/>
    <col min="16126" max="16126" width="9.5703125" style="61" customWidth="1"/>
    <col min="16127" max="16127" width="3.7109375" style="61" customWidth="1"/>
    <col min="16128" max="16128" width="18" style="61" customWidth="1"/>
    <col min="16129" max="16129" width="3.5703125" style="61" customWidth="1"/>
    <col min="16130" max="16130" width="11.7109375" style="61" customWidth="1"/>
    <col min="16131" max="16131" width="10.7109375" style="61" customWidth="1"/>
    <col min="16132" max="16132" width="11.140625" style="61" customWidth="1"/>
    <col min="16133" max="16133" width="10.5703125" style="61" customWidth="1"/>
    <col min="16134" max="16134" width="9.7109375" style="61" bestFit="1" customWidth="1"/>
    <col min="16135" max="16384" width="9.140625" style="61"/>
  </cols>
  <sheetData>
    <row r="1" spans="1:9" ht="16.5" customHeight="1">
      <c r="A1" s="1655" t="s">
        <v>1459</v>
      </c>
      <c r="B1" s="1656"/>
      <c r="C1" s="1656"/>
      <c r="D1" s="1656"/>
      <c r="E1" s="1656"/>
      <c r="F1" s="1656"/>
    </row>
    <row r="2" spans="1:9" ht="27.75" customHeight="1">
      <c r="A2" s="1657" t="str">
        <f>'lead 19-20'!B2&amp;'lead 19-20'!C2</f>
        <v>Name of the Work: Providing Additional Space for Health Staff in Grama Sachivalayam of Baduguleru GP of Kanigiri Mandal</v>
      </c>
      <c r="B2" s="1657"/>
      <c r="C2" s="1657"/>
      <c r="D2" s="1657"/>
      <c r="E2" s="1657"/>
      <c r="F2" s="1657"/>
    </row>
    <row r="3" spans="1:9" ht="16.5" customHeight="1">
      <c r="A3" s="62"/>
      <c r="B3" s="63"/>
      <c r="D3" s="64" t="s">
        <v>452</v>
      </c>
      <c r="E3" s="65" t="str">
        <f>'lead 19-20'!K4</f>
        <v>20.80 Lakhs</v>
      </c>
      <c r="F3" s="62"/>
    </row>
    <row r="4" spans="1:9" s="68" customFormat="1" ht="27" customHeight="1">
      <c r="A4" s="66" t="s">
        <v>271</v>
      </c>
      <c r="B4" s="66" t="s">
        <v>1477</v>
      </c>
      <c r="C4" s="67" t="s">
        <v>6</v>
      </c>
      <c r="D4" s="67" t="s">
        <v>8</v>
      </c>
      <c r="E4" s="67" t="s">
        <v>16</v>
      </c>
      <c r="F4" s="67" t="s">
        <v>10</v>
      </c>
    </row>
    <row r="5" spans="1:9" s="68" customFormat="1" ht="17.25" customHeight="1">
      <c r="A5" s="66">
        <v>1</v>
      </c>
      <c r="B5" s="66">
        <v>2</v>
      </c>
      <c r="C5" s="67">
        <v>3</v>
      </c>
      <c r="D5" s="67">
        <v>4</v>
      </c>
      <c r="E5" s="67">
        <v>5</v>
      </c>
      <c r="F5" s="67">
        <v>6</v>
      </c>
    </row>
    <row r="6" spans="1:9" s="68" customFormat="1" ht="15">
      <c r="A6" s="1652" t="s">
        <v>1460</v>
      </c>
      <c r="B6" s="1653"/>
      <c r="C6" s="1653"/>
      <c r="D6" s="1653"/>
      <c r="E6" s="1653"/>
      <c r="F6" s="1654"/>
    </row>
    <row r="7" spans="1:9" s="68" customFormat="1" ht="15">
      <c r="A7" s="66">
        <v>1</v>
      </c>
      <c r="B7" s="66" t="s">
        <v>1461</v>
      </c>
      <c r="C7" s="67"/>
      <c r="D7" s="67"/>
      <c r="E7" s="67"/>
      <c r="F7" s="67"/>
    </row>
    <row r="8" spans="1:9" s="73" customFormat="1" ht="15">
      <c r="A8" s="69"/>
      <c r="B8" s="70" t="s">
        <v>2018</v>
      </c>
      <c r="C8" s="228">
        <f>'SEIG P-A '!S48</f>
        <v>498.10999999999996</v>
      </c>
      <c r="D8" s="228">
        <f>ROUND('lead 19-20'!L8/1000*50,2)</f>
        <v>235</v>
      </c>
      <c r="E8" s="229" t="s">
        <v>1061</v>
      </c>
      <c r="F8" s="74">
        <f>ROUND(C8*D8,0)</f>
        <v>117056</v>
      </c>
      <c r="I8" s="77"/>
    </row>
    <row r="9" spans="1:9" s="73" customFormat="1" ht="15" hidden="1">
      <c r="A9" s="69"/>
      <c r="B9" s="70" t="s">
        <v>2019</v>
      </c>
      <c r="C9" s="228">
        <f>'SEIG P-A '!S93</f>
        <v>0</v>
      </c>
      <c r="D9" s="228">
        <f>ROUND('lead 20-21'!L8/1000*50,2)</f>
        <v>235</v>
      </c>
      <c r="E9" s="229" t="s">
        <v>1061</v>
      </c>
      <c r="F9" s="74">
        <f>ROUND(C9*D9,0)</f>
        <v>0</v>
      </c>
      <c r="I9" s="77"/>
    </row>
    <row r="10" spans="1:9" s="73" customFormat="1" ht="15" hidden="1">
      <c r="A10" s="69"/>
      <c r="B10" s="70" t="s">
        <v>2388</v>
      </c>
      <c r="C10" s="228">
        <f>'SEIG P-A '!S138</f>
        <v>0</v>
      </c>
      <c r="D10" s="228">
        <f>ROUND('lead 21-22'!L8/1000*50,2)</f>
        <v>235</v>
      </c>
      <c r="E10" s="229" t="s">
        <v>1061</v>
      </c>
      <c r="F10" s="74">
        <f t="shared" ref="F10:F11" si="0">ROUND(C10*D10,0)</f>
        <v>0</v>
      </c>
      <c r="I10" s="77"/>
    </row>
    <row r="11" spans="1:9" s="73" customFormat="1" ht="15">
      <c r="A11" s="69"/>
      <c r="B11" s="70" t="s">
        <v>2389</v>
      </c>
      <c r="C11" s="228">
        <f>'SEIG P-A '!S183</f>
        <v>18.03</v>
      </c>
      <c r="D11" s="228">
        <f>ROUND('lead 22-23'!L8/1000*50,2)</f>
        <v>235</v>
      </c>
      <c r="E11" s="229" t="s">
        <v>1061</v>
      </c>
      <c r="F11" s="74">
        <f t="shared" si="0"/>
        <v>4237</v>
      </c>
      <c r="I11" s="77"/>
    </row>
    <row r="12" spans="1:9" s="73" customFormat="1" ht="15">
      <c r="A12" s="69"/>
      <c r="B12" s="70"/>
      <c r="C12" s="81">
        <f>SUM(C8:C11)</f>
        <v>516.14</v>
      </c>
      <c r="D12" s="81"/>
      <c r="E12" s="72"/>
      <c r="F12" s="71">
        <f>SUM(F8:F11)</f>
        <v>121293</v>
      </c>
    </row>
    <row r="13" spans="1:9" s="68" customFormat="1" ht="15">
      <c r="A13" s="66"/>
      <c r="B13" s="66" t="s">
        <v>1462</v>
      </c>
      <c r="C13" s="67"/>
      <c r="D13" s="67"/>
      <c r="E13" s="67"/>
      <c r="F13" s="67"/>
    </row>
    <row r="14" spans="1:9" s="73" customFormat="1" ht="15">
      <c r="A14" s="69"/>
      <c r="B14" s="70" t="s">
        <v>847</v>
      </c>
      <c r="C14" s="228">
        <f>C12-C15</f>
        <v>336.14</v>
      </c>
      <c r="D14" s="228">
        <v>235</v>
      </c>
      <c r="E14" s="229" t="s">
        <v>1061</v>
      </c>
      <c r="F14" s="74">
        <f>ROUND(C14*D14,0)+1</f>
        <v>78994</v>
      </c>
    </row>
    <row r="15" spans="1:9" s="73" customFormat="1" ht="15">
      <c r="A15" s="69"/>
      <c r="B15" s="70" t="s">
        <v>847</v>
      </c>
      <c r="C15" s="228">
        <v>180</v>
      </c>
      <c r="D15" s="228">
        <v>260</v>
      </c>
      <c r="E15" s="229" t="s">
        <v>1061</v>
      </c>
      <c r="F15" s="74">
        <f>ROUND(C15*D15,0)</f>
        <v>46800</v>
      </c>
    </row>
    <row r="16" spans="1:9" s="73" customFormat="1" ht="15">
      <c r="A16" s="69"/>
      <c r="B16" s="70"/>
      <c r="C16" s="81"/>
      <c r="D16" s="81"/>
      <c r="E16" s="72"/>
      <c r="F16" s="71">
        <f>SUM(F14:F15)</f>
        <v>125794</v>
      </c>
    </row>
    <row r="17" spans="1:6" s="73" customFormat="1" ht="15">
      <c r="A17" s="69"/>
      <c r="B17" s="70" t="s">
        <v>3509</v>
      </c>
      <c r="C17" s="72"/>
      <c r="D17" s="72"/>
      <c r="E17" s="72"/>
      <c r="F17" s="74">
        <f>F16-F12</f>
        <v>4501</v>
      </c>
    </row>
    <row r="18" spans="1:6" s="73" customFormat="1" ht="15">
      <c r="A18" s="444"/>
      <c r="B18" s="445"/>
      <c r="C18" s="446"/>
      <c r="D18" s="446"/>
      <c r="E18" s="446"/>
      <c r="F18" s="447"/>
    </row>
    <row r="19" spans="1:6" s="68" customFormat="1" ht="15">
      <c r="A19" s="1652" t="s">
        <v>1466</v>
      </c>
      <c r="B19" s="1653"/>
      <c r="C19" s="1653"/>
      <c r="D19" s="1653"/>
      <c r="E19" s="1653"/>
      <c r="F19" s="1654"/>
    </row>
    <row r="20" spans="1:6" s="68" customFormat="1" ht="15">
      <c r="A20" s="66">
        <v>2</v>
      </c>
      <c r="B20" s="66" t="s">
        <v>1461</v>
      </c>
      <c r="C20" s="67"/>
      <c r="D20" s="67"/>
      <c r="E20" s="67"/>
      <c r="F20" s="67"/>
    </row>
    <row r="21" spans="1:6" s="73" customFormat="1" ht="15">
      <c r="A21" s="69"/>
      <c r="B21" s="70" t="s">
        <v>2020</v>
      </c>
      <c r="C21" s="228">
        <f>'SEIG P-A '!O48</f>
        <v>87.509999999999991</v>
      </c>
      <c r="D21" s="228">
        <f>'lead 19-20'!L14</f>
        <v>1249.7999999999988</v>
      </c>
      <c r="E21" s="229" t="s">
        <v>274</v>
      </c>
      <c r="F21" s="74">
        <f>ROUND(C21*D21,0)</f>
        <v>109370</v>
      </c>
    </row>
    <row r="22" spans="1:6" s="73" customFormat="1" ht="15" hidden="1">
      <c r="A22" s="69"/>
      <c r="B22" s="70" t="s">
        <v>2021</v>
      </c>
      <c r="C22" s="228">
        <f>'SEIG P-A '!O93</f>
        <v>0</v>
      </c>
      <c r="D22" s="228">
        <f>'lead 20-21'!L14</f>
        <v>1316.600000000001</v>
      </c>
      <c r="E22" s="229" t="s">
        <v>274</v>
      </c>
      <c r="F22" s="74">
        <f>ROUND(C22*D22,0)</f>
        <v>0</v>
      </c>
    </row>
    <row r="23" spans="1:6" s="73" customFormat="1" ht="15" hidden="1">
      <c r="A23" s="69"/>
      <c r="B23" s="70" t="s">
        <v>2390</v>
      </c>
      <c r="C23" s="228">
        <f>'SEIG P-A '!O138</f>
        <v>0</v>
      </c>
      <c r="D23" s="228">
        <f>'lead 21-22'!L14</f>
        <v>1503.4000000000019</v>
      </c>
      <c r="E23" s="229" t="s">
        <v>274</v>
      </c>
      <c r="F23" s="74">
        <f>ROUND(C23*D23,0)</f>
        <v>0</v>
      </c>
    </row>
    <row r="24" spans="1:6" s="73" customFormat="1" ht="15" hidden="1">
      <c r="A24" s="69"/>
      <c r="B24" s="70" t="s">
        <v>2391</v>
      </c>
      <c r="C24" s="228">
        <f>'SEIG P-A '!O183</f>
        <v>0</v>
      </c>
      <c r="D24" s="228">
        <f>'lead 22-23'!L14</f>
        <v>1575.9999999999998</v>
      </c>
      <c r="E24" s="229" t="s">
        <v>274</v>
      </c>
      <c r="F24" s="74">
        <f>ROUND(C24*D24,0)</f>
        <v>0</v>
      </c>
    </row>
    <row r="25" spans="1:6" s="73" customFormat="1" ht="15">
      <c r="A25" s="69"/>
      <c r="B25" s="70"/>
      <c r="C25" s="81">
        <f>SUM(C21:C24)</f>
        <v>87.509999999999991</v>
      </c>
      <c r="D25" s="81"/>
      <c r="E25" s="72"/>
      <c r="F25" s="71">
        <f>SUM(F21:F24)</f>
        <v>109370</v>
      </c>
    </row>
    <row r="26" spans="1:6" s="68" customFormat="1" ht="15">
      <c r="A26" s="66"/>
      <c r="B26" s="66" t="s">
        <v>1462</v>
      </c>
      <c r="C26" s="67"/>
      <c r="D26" s="67"/>
      <c r="E26" s="67"/>
      <c r="F26" s="67"/>
    </row>
    <row r="27" spans="1:6" s="73" customFormat="1" ht="15">
      <c r="A27" s="69"/>
      <c r="B27" s="70" t="s">
        <v>1432</v>
      </c>
      <c r="C27" s="228">
        <f>C25</f>
        <v>87.509999999999991</v>
      </c>
      <c r="D27" s="228">
        <v>292.39999999999998</v>
      </c>
      <c r="E27" s="229" t="s">
        <v>274</v>
      </c>
      <c r="F27" s="74">
        <f>ROUND(C27*D27,0)</f>
        <v>25588</v>
      </c>
    </row>
    <row r="28" spans="1:6" s="73" customFormat="1" ht="15" hidden="1">
      <c r="A28" s="69"/>
      <c r="B28" s="70" t="s">
        <v>1432</v>
      </c>
      <c r="C28" s="228"/>
      <c r="D28" s="228">
        <v>536.4</v>
      </c>
      <c r="E28" s="229" t="s">
        <v>274</v>
      </c>
      <c r="F28" s="74">
        <f>ROUND(C28*D28,0)</f>
        <v>0</v>
      </c>
    </row>
    <row r="29" spans="1:6" s="73" customFormat="1" ht="15">
      <c r="A29" s="69"/>
      <c r="B29" s="70"/>
      <c r="C29" s="81"/>
      <c r="D29" s="81"/>
      <c r="E29" s="72"/>
      <c r="F29" s="71">
        <f>SUM(F27:F28)</f>
        <v>25588</v>
      </c>
    </row>
    <row r="30" spans="1:6" s="73" customFormat="1" ht="15">
      <c r="A30" s="69"/>
      <c r="B30" s="70" t="s">
        <v>1463</v>
      </c>
      <c r="C30" s="72"/>
      <c r="D30" s="72"/>
      <c r="E30" s="72"/>
      <c r="F30" s="71">
        <f>F29-F25</f>
        <v>-83782</v>
      </c>
    </row>
    <row r="31" spans="1:6" s="68" customFormat="1" ht="15" hidden="1">
      <c r="A31" s="1652" t="s">
        <v>1560</v>
      </c>
      <c r="B31" s="1653"/>
      <c r="C31" s="1653"/>
      <c r="D31" s="1653"/>
      <c r="E31" s="1653"/>
      <c r="F31" s="1654"/>
    </row>
    <row r="32" spans="1:6" s="68" customFormat="1" ht="15" hidden="1">
      <c r="A32" s="66">
        <v>2</v>
      </c>
      <c r="B32" s="66" t="s">
        <v>1462</v>
      </c>
      <c r="C32" s="67"/>
      <c r="D32" s="67"/>
      <c r="E32" s="67"/>
      <c r="F32" s="67"/>
    </row>
    <row r="33" spans="1:11" s="73" customFormat="1" ht="15" hidden="1">
      <c r="A33" s="69"/>
      <c r="B33" s="70" t="s">
        <v>1561</v>
      </c>
      <c r="C33" s="228"/>
      <c r="D33" s="228">
        <v>375</v>
      </c>
      <c r="E33" s="229" t="s">
        <v>280</v>
      </c>
      <c r="F33" s="74">
        <f>ROUND(C33*D33,0)</f>
        <v>0</v>
      </c>
    </row>
    <row r="34" spans="1:11" s="73" customFormat="1" ht="15" hidden="1">
      <c r="A34" s="69"/>
      <c r="B34" s="70" t="s">
        <v>1564</v>
      </c>
      <c r="C34" s="228"/>
      <c r="D34" s="228">
        <v>739.6</v>
      </c>
      <c r="E34" s="229" t="s">
        <v>274</v>
      </c>
      <c r="F34" s="74">
        <f>ROUND(C34*D34,0)</f>
        <v>0</v>
      </c>
    </row>
    <row r="35" spans="1:11" s="73" customFormat="1" ht="15" hidden="1">
      <c r="A35" s="69"/>
      <c r="B35" s="70"/>
      <c r="C35" s="81"/>
      <c r="D35" s="81"/>
      <c r="E35" s="72"/>
      <c r="F35" s="71">
        <f>SUM(F33:F34)</f>
        <v>0</v>
      </c>
    </row>
    <row r="36" spans="1:11" s="73" customFormat="1" ht="15" hidden="1">
      <c r="A36" s="69"/>
      <c r="B36" s="70" t="s">
        <v>1562</v>
      </c>
      <c r="C36" s="72"/>
      <c r="D36" s="72"/>
      <c r="E36" s="72"/>
      <c r="F36" s="71">
        <f>F35</f>
        <v>0</v>
      </c>
    </row>
    <row r="37" spans="1:11" s="68" customFormat="1" ht="15">
      <c r="A37" s="1652" t="s">
        <v>1465</v>
      </c>
      <c r="B37" s="1653"/>
      <c r="C37" s="1653"/>
      <c r="D37" s="1653"/>
      <c r="E37" s="1653"/>
      <c r="F37" s="1654"/>
    </row>
    <row r="38" spans="1:11" s="68" customFormat="1" ht="15">
      <c r="A38" s="66">
        <v>1</v>
      </c>
      <c r="B38" s="66" t="s">
        <v>1461</v>
      </c>
      <c r="C38" s="67"/>
      <c r="D38" s="67"/>
      <c r="E38" s="67"/>
      <c r="F38" s="67"/>
    </row>
    <row r="39" spans="1:11" s="73" customFormat="1" ht="15">
      <c r="A39" s="69"/>
      <c r="B39" s="70" t="s">
        <v>2022</v>
      </c>
      <c r="C39" s="228">
        <f>'SEIG P-A '!M48+'SEIG P-A '!N48</f>
        <v>18.57</v>
      </c>
      <c r="D39" s="228">
        <f>'lead 19-20'!L12</f>
        <v>1464.7999999999988</v>
      </c>
      <c r="E39" s="229" t="s">
        <v>274</v>
      </c>
      <c r="F39" s="74">
        <f>ROUND(C39*D39,0)</f>
        <v>27201</v>
      </c>
    </row>
    <row r="40" spans="1:11" s="73" customFormat="1" ht="15" hidden="1">
      <c r="A40" s="69"/>
      <c r="B40" s="70" t="s">
        <v>2023</v>
      </c>
      <c r="C40" s="228">
        <f>'SEIG P-A '!M93+'SEIG P-A '!N93</f>
        <v>0</v>
      </c>
      <c r="D40" s="228">
        <f>'lead 20-21'!L12</f>
        <v>1546.600000000001</v>
      </c>
      <c r="E40" s="229" t="s">
        <v>274</v>
      </c>
      <c r="F40" s="74">
        <f t="shared" ref="F40:F42" si="1">ROUND(C40*D40,0)</f>
        <v>0</v>
      </c>
    </row>
    <row r="41" spans="1:11" s="73" customFormat="1" ht="15" hidden="1">
      <c r="A41" s="69"/>
      <c r="B41" s="70" t="s">
        <v>2392</v>
      </c>
      <c r="C41" s="228">
        <f>'SEIG P-A '!M138+'SEIG P-A '!N138</f>
        <v>0</v>
      </c>
      <c r="D41" s="228">
        <f>'lead 21-22'!L12</f>
        <v>1743.4000000000019</v>
      </c>
      <c r="E41" s="229" t="s">
        <v>274</v>
      </c>
      <c r="F41" s="74">
        <f t="shared" si="1"/>
        <v>0</v>
      </c>
    </row>
    <row r="42" spans="1:11" s="73" customFormat="1" ht="15">
      <c r="A42" s="69"/>
      <c r="B42" s="70" t="s">
        <v>2393</v>
      </c>
      <c r="C42" s="228">
        <f>'SEIG P-A '!M183+'SEIG P-A '!N183</f>
        <v>1.57</v>
      </c>
      <c r="D42" s="228">
        <f>'lead 22-23'!L12</f>
        <v>1815.9999999999998</v>
      </c>
      <c r="E42" s="229" t="s">
        <v>274</v>
      </c>
      <c r="F42" s="74">
        <f t="shared" si="1"/>
        <v>2851</v>
      </c>
    </row>
    <row r="43" spans="1:11" s="73" customFormat="1" ht="15">
      <c r="A43" s="69"/>
      <c r="B43" s="70"/>
      <c r="C43" s="228"/>
      <c r="D43" s="228"/>
      <c r="E43" s="229"/>
      <c r="F43" s="74"/>
    </row>
    <row r="44" spans="1:11" s="73" customFormat="1" ht="15">
      <c r="A44" s="69"/>
      <c r="B44" s="70"/>
      <c r="C44" s="81">
        <f>SUM(C39:C43)</f>
        <v>20.14</v>
      </c>
      <c r="D44" s="81"/>
      <c r="E44" s="72"/>
      <c r="F44" s="71">
        <f>SUM(F39:F43)</f>
        <v>30052</v>
      </c>
    </row>
    <row r="45" spans="1:11" s="68" customFormat="1" ht="15">
      <c r="A45" s="66"/>
      <c r="B45" s="66" t="s">
        <v>1462</v>
      </c>
      <c r="C45" s="67"/>
      <c r="D45" s="67"/>
      <c r="E45" s="67"/>
      <c r="F45" s="67"/>
    </row>
    <row r="46" spans="1:11" s="73" customFormat="1" ht="15">
      <c r="A46" s="69"/>
      <c r="B46" s="70" t="s">
        <v>771</v>
      </c>
      <c r="C46" s="228">
        <v>6.07</v>
      </c>
      <c r="D46" s="228">
        <v>984.9</v>
      </c>
      <c r="E46" s="229" t="s">
        <v>274</v>
      </c>
      <c r="F46" s="74">
        <f>ROUND(C46*D46,0)</f>
        <v>5978</v>
      </c>
    </row>
    <row r="47" spans="1:11" s="73" customFormat="1" ht="15">
      <c r="A47" s="69"/>
      <c r="B47" s="70" t="s">
        <v>771</v>
      </c>
      <c r="C47" s="228">
        <f>C44-C46</f>
        <v>14.07</v>
      </c>
      <c r="D47" s="228">
        <v>2098</v>
      </c>
      <c r="E47" s="229" t="s">
        <v>274</v>
      </c>
      <c r="F47" s="74">
        <f>ROUND(C47*D47,0)</f>
        <v>29519</v>
      </c>
      <c r="H47" s="77">
        <f>F40+F41-F47</f>
        <v>-29519</v>
      </c>
      <c r="I47" s="625" t="s">
        <v>2508</v>
      </c>
      <c r="J47" s="73">
        <v>1436.5</v>
      </c>
      <c r="K47" s="73">
        <v>760</v>
      </c>
    </row>
    <row r="48" spans="1:11" s="73" customFormat="1" ht="15" hidden="1">
      <c r="A48" s="69"/>
      <c r="B48" s="70" t="s">
        <v>771</v>
      </c>
      <c r="C48" s="228"/>
      <c r="D48" s="228">
        <v>321</v>
      </c>
      <c r="E48" s="229" t="s">
        <v>274</v>
      </c>
      <c r="F48" s="74">
        <f>ROUND(C48*D48,0)</f>
        <v>0</v>
      </c>
      <c r="H48" s="77">
        <f>F41+F42-F48</f>
        <v>2851</v>
      </c>
      <c r="I48" s="625" t="s">
        <v>2508</v>
      </c>
      <c r="J48" s="73">
        <v>1436.5</v>
      </c>
      <c r="K48" s="73">
        <v>760</v>
      </c>
    </row>
    <row r="49" spans="1:8" s="73" customFormat="1" ht="15">
      <c r="A49" s="69"/>
      <c r="B49" s="70"/>
      <c r="C49" s="81"/>
      <c r="D49" s="81"/>
      <c r="E49" s="72"/>
      <c r="F49" s="71">
        <f>SUM(F46:F48)</f>
        <v>35497</v>
      </c>
    </row>
    <row r="50" spans="1:8" s="73" customFormat="1" ht="15">
      <c r="A50" s="69"/>
      <c r="B50" s="70" t="s">
        <v>1467</v>
      </c>
      <c r="C50" s="72"/>
      <c r="D50" s="72"/>
      <c r="E50" s="72"/>
      <c r="F50" s="71">
        <f>F49-F44</f>
        <v>5445</v>
      </c>
    </row>
    <row r="51" spans="1:8" s="68" customFormat="1" ht="15">
      <c r="A51" s="1652" t="s">
        <v>1468</v>
      </c>
      <c r="B51" s="1653"/>
      <c r="C51" s="1653"/>
      <c r="D51" s="1653"/>
      <c r="E51" s="1653"/>
      <c r="F51" s="1654"/>
    </row>
    <row r="52" spans="1:8" s="68" customFormat="1" ht="15">
      <c r="A52" s="66">
        <v>2</v>
      </c>
      <c r="B52" s="66" t="s">
        <v>1461</v>
      </c>
      <c r="C52" s="67"/>
      <c r="D52" s="67"/>
      <c r="E52" s="67"/>
      <c r="F52" s="67"/>
    </row>
    <row r="53" spans="1:8" s="73" customFormat="1" ht="15">
      <c r="A53" s="69"/>
      <c r="B53" s="70" t="s">
        <v>2024</v>
      </c>
      <c r="C53" s="228">
        <f>'SEIG P-A '!L48</f>
        <v>28.47</v>
      </c>
      <c r="D53" s="228">
        <f>'lead 19-20'!L13</f>
        <v>1384.7999999999988</v>
      </c>
      <c r="E53" s="229" t="s">
        <v>274</v>
      </c>
      <c r="F53" s="74">
        <f>ROUND(C53*D53,0)</f>
        <v>39425</v>
      </c>
    </row>
    <row r="54" spans="1:8" s="73" customFormat="1" ht="15" hidden="1">
      <c r="A54" s="69"/>
      <c r="B54" s="70" t="s">
        <v>2025</v>
      </c>
      <c r="C54" s="228">
        <f>'SEIG P-A '!L93</f>
        <v>0</v>
      </c>
      <c r="D54" s="228">
        <f>'lead 20-21'!L13</f>
        <v>1451.600000000001</v>
      </c>
      <c r="E54" s="229" t="s">
        <v>274</v>
      </c>
      <c r="F54" s="74">
        <f>ROUND(C54*D54,0)</f>
        <v>0</v>
      </c>
    </row>
    <row r="55" spans="1:8" s="73" customFormat="1" ht="15" hidden="1">
      <c r="A55" s="69"/>
      <c r="B55" s="70" t="s">
        <v>2394</v>
      </c>
      <c r="C55" s="228">
        <f>'SEIG P-A '!L138</f>
        <v>0</v>
      </c>
      <c r="D55" s="228">
        <f>'lead 21-22'!L13</f>
        <v>1648.4000000000019</v>
      </c>
      <c r="E55" s="229" t="s">
        <v>274</v>
      </c>
      <c r="F55" s="74">
        <f t="shared" ref="F55:F56" si="2">ROUND(C55*D55,0)</f>
        <v>0</v>
      </c>
    </row>
    <row r="56" spans="1:8" s="73" customFormat="1" ht="15" hidden="1">
      <c r="A56" s="69"/>
      <c r="B56" s="70" t="s">
        <v>2395</v>
      </c>
      <c r="C56" s="228">
        <f>'SEIG P-A '!L183</f>
        <v>0</v>
      </c>
      <c r="D56" s="228">
        <f>'lead 22-23'!L13</f>
        <v>1720.9999999999998</v>
      </c>
      <c r="E56" s="229" t="s">
        <v>274</v>
      </c>
      <c r="F56" s="74">
        <f t="shared" si="2"/>
        <v>0</v>
      </c>
    </row>
    <row r="57" spans="1:8" s="73" customFormat="1" ht="15">
      <c r="A57" s="69"/>
      <c r="B57" s="70"/>
      <c r="C57" s="228"/>
      <c r="D57" s="228"/>
      <c r="E57" s="229"/>
      <c r="F57" s="74"/>
    </row>
    <row r="58" spans="1:8" s="73" customFormat="1" ht="15">
      <c r="A58" s="69"/>
      <c r="B58" s="70"/>
      <c r="C58" s="81">
        <f>SUM(C53:C57)</f>
        <v>28.47</v>
      </c>
      <c r="D58" s="81"/>
      <c r="E58" s="72"/>
      <c r="F58" s="71">
        <f>SUM(F53:F57)</f>
        <v>39425</v>
      </c>
    </row>
    <row r="59" spans="1:8" s="68" customFormat="1" ht="15">
      <c r="A59" s="66"/>
      <c r="B59" s="66" t="s">
        <v>1462</v>
      </c>
      <c r="C59" s="67"/>
      <c r="D59" s="67"/>
      <c r="E59" s="67"/>
      <c r="F59" s="67"/>
    </row>
    <row r="60" spans="1:8" s="73" customFormat="1" ht="15">
      <c r="A60" s="69"/>
      <c r="B60" s="70" t="s">
        <v>109</v>
      </c>
      <c r="C60" s="228">
        <f>C58</f>
        <v>28.47</v>
      </c>
      <c r="D60" s="228">
        <v>2098</v>
      </c>
      <c r="E60" s="229" t="s">
        <v>274</v>
      </c>
      <c r="F60" s="74">
        <f>ROUND(C60*D60,0)</f>
        <v>59730</v>
      </c>
    </row>
    <row r="61" spans="1:8" s="73" customFormat="1" ht="15" hidden="1">
      <c r="A61" s="69"/>
      <c r="B61" s="70" t="s">
        <v>109</v>
      </c>
      <c r="C61" s="228"/>
      <c r="D61" s="228">
        <v>1742</v>
      </c>
      <c r="E61" s="229" t="s">
        <v>274</v>
      </c>
      <c r="F61" s="74">
        <f>ROUND(C61*D61,0)</f>
        <v>0</v>
      </c>
      <c r="H61" s="77">
        <f>F54+F55-F61</f>
        <v>0</v>
      </c>
    </row>
    <row r="62" spans="1:8" s="73" customFormat="1" ht="15">
      <c r="A62" s="69"/>
      <c r="B62" s="70"/>
      <c r="C62" s="81"/>
      <c r="D62" s="81"/>
      <c r="E62" s="72"/>
      <c r="F62" s="71">
        <f>SUM(F60:F61)</f>
        <v>59730</v>
      </c>
    </row>
    <row r="63" spans="1:8" s="73" customFormat="1" ht="15">
      <c r="A63" s="69"/>
      <c r="B63" s="70" t="s">
        <v>1469</v>
      </c>
      <c r="C63" s="72"/>
      <c r="D63" s="72"/>
      <c r="E63" s="72"/>
      <c r="F63" s="71">
        <f>F62-F58</f>
        <v>20305</v>
      </c>
    </row>
    <row r="64" spans="1:8" s="68" customFormat="1" ht="15" hidden="1">
      <c r="A64" s="1652" t="s">
        <v>1470</v>
      </c>
      <c r="B64" s="1653"/>
      <c r="C64" s="1653"/>
      <c r="D64" s="1653"/>
      <c r="E64" s="1653"/>
      <c r="F64" s="1654"/>
    </row>
    <row r="65" spans="1:6" s="68" customFormat="1" ht="15" hidden="1">
      <c r="A65" s="66">
        <v>5</v>
      </c>
      <c r="B65" s="66" t="s">
        <v>1461</v>
      </c>
      <c r="C65" s="67"/>
      <c r="D65" s="67"/>
      <c r="E65" s="67"/>
      <c r="F65" s="67"/>
    </row>
    <row r="66" spans="1:6" s="73" customFormat="1" ht="15" hidden="1">
      <c r="A66" s="69"/>
      <c r="B66" s="70" t="s">
        <v>2026</v>
      </c>
      <c r="C66" s="228">
        <f>'SEIG P-A '!I48</f>
        <v>38.409999999999997</v>
      </c>
      <c r="D66" s="228">
        <f>data!F38</f>
        <v>1722.2999999999997</v>
      </c>
      <c r="E66" s="229" t="s">
        <v>274</v>
      </c>
      <c r="F66" s="74">
        <f>ROUND(C66*D66,0)</f>
        <v>66154</v>
      </c>
    </row>
    <row r="67" spans="1:6" s="73" customFormat="1" ht="15" hidden="1">
      <c r="A67" s="69"/>
      <c r="B67" s="70" t="s">
        <v>2027</v>
      </c>
      <c r="C67" s="228">
        <f>'SEIG P-A '!I93</f>
        <v>0</v>
      </c>
      <c r="D67" s="228">
        <f>data!F954</f>
        <v>1799.05</v>
      </c>
      <c r="E67" s="229" t="s">
        <v>274</v>
      </c>
      <c r="F67" s="74">
        <f t="shared" ref="F67:F69" si="3">ROUND(C67*D67,0)</f>
        <v>0</v>
      </c>
    </row>
    <row r="68" spans="1:6" s="73" customFormat="1" ht="15" hidden="1">
      <c r="A68" s="69"/>
      <c r="B68" s="70" t="s">
        <v>2396</v>
      </c>
      <c r="C68" s="228">
        <f>'SEIG P-A '!I138</f>
        <v>0</v>
      </c>
      <c r="D68" s="228">
        <f>data!F1871</f>
        <v>1876.2299999999998</v>
      </c>
      <c r="E68" s="229" t="s">
        <v>274</v>
      </c>
      <c r="F68" s="74">
        <f t="shared" si="3"/>
        <v>0</v>
      </c>
    </row>
    <row r="69" spans="1:6" s="73" customFormat="1" ht="15" hidden="1">
      <c r="A69" s="69"/>
      <c r="B69" s="70" t="s">
        <v>2397</v>
      </c>
      <c r="C69" s="228">
        <f>'SEIG P-A '!I183</f>
        <v>0</v>
      </c>
      <c r="D69" s="228">
        <f>data!F2788</f>
        <v>2046.91</v>
      </c>
      <c r="E69" s="229" t="s">
        <v>274</v>
      </c>
      <c r="F69" s="74">
        <f t="shared" si="3"/>
        <v>0</v>
      </c>
    </row>
    <row r="70" spans="1:6" s="73" customFormat="1" ht="15" hidden="1">
      <c r="A70" s="69"/>
      <c r="B70" s="70"/>
      <c r="C70" s="228"/>
      <c r="D70" s="228"/>
      <c r="E70" s="229"/>
      <c r="F70" s="74"/>
    </row>
    <row r="71" spans="1:6" s="73" customFormat="1" ht="15" hidden="1">
      <c r="A71" s="69"/>
      <c r="B71" s="70"/>
      <c r="C71" s="81">
        <f>SUM(C66:C70)</f>
        <v>38.409999999999997</v>
      </c>
      <c r="D71" s="81"/>
      <c r="E71" s="72"/>
      <c r="F71" s="71">
        <f>SUM(F66:F70)</f>
        <v>66154</v>
      </c>
    </row>
    <row r="72" spans="1:6" s="68" customFormat="1" ht="15" hidden="1">
      <c r="A72" s="66"/>
      <c r="B72" s="66" t="s">
        <v>1462</v>
      </c>
      <c r="C72" s="67"/>
      <c r="D72" s="67"/>
      <c r="E72" s="67"/>
      <c r="F72" s="67"/>
    </row>
    <row r="73" spans="1:6" s="73" customFormat="1" ht="15" hidden="1">
      <c r="A73" s="69"/>
      <c r="B73" s="70" t="s">
        <v>1471</v>
      </c>
      <c r="C73" s="228">
        <f>C71</f>
        <v>38.409999999999997</v>
      </c>
      <c r="D73" s="228">
        <v>1722.3</v>
      </c>
      <c r="E73" s="229" t="s">
        <v>274</v>
      </c>
      <c r="F73" s="74">
        <f>ROUND(C73*D73,0)</f>
        <v>66154</v>
      </c>
    </row>
    <row r="74" spans="1:6" s="73" customFormat="1" ht="15" hidden="1">
      <c r="A74" s="69"/>
      <c r="B74" s="70" t="s">
        <v>1471</v>
      </c>
      <c r="C74" s="228">
        <f>C71-C73</f>
        <v>0</v>
      </c>
      <c r="D74" s="228">
        <v>2182.9</v>
      </c>
      <c r="E74" s="229" t="s">
        <v>274</v>
      </c>
      <c r="F74" s="74">
        <f>ROUND(C74*D74,0)</f>
        <v>0</v>
      </c>
    </row>
    <row r="75" spans="1:6" s="73" customFormat="1" ht="15" hidden="1">
      <c r="A75" s="69"/>
      <c r="B75" s="70"/>
      <c r="C75" s="81"/>
      <c r="D75" s="81"/>
      <c r="E75" s="72"/>
      <c r="F75" s="71">
        <f>SUM(F73:F74)</f>
        <v>66154</v>
      </c>
    </row>
    <row r="76" spans="1:6" s="73" customFormat="1" ht="30" hidden="1">
      <c r="A76" s="69"/>
      <c r="B76" s="70" t="s">
        <v>1472</v>
      </c>
      <c r="C76" s="72"/>
      <c r="D76" s="72"/>
      <c r="E76" s="72"/>
      <c r="F76" s="71">
        <v>0</v>
      </c>
    </row>
    <row r="77" spans="1:6" s="68" customFormat="1" ht="15" hidden="1">
      <c r="A77" s="1652" t="s">
        <v>1473</v>
      </c>
      <c r="B77" s="1653"/>
      <c r="C77" s="1653"/>
      <c r="D77" s="1653"/>
      <c r="E77" s="1653"/>
      <c r="F77" s="1654"/>
    </row>
    <row r="78" spans="1:6" s="68" customFormat="1" ht="15" hidden="1">
      <c r="A78" s="66">
        <v>6</v>
      </c>
      <c r="B78" s="66" t="s">
        <v>1461</v>
      </c>
      <c r="C78" s="67"/>
      <c r="D78" s="67"/>
      <c r="E78" s="67"/>
      <c r="F78" s="67"/>
    </row>
    <row r="79" spans="1:6" s="73" customFormat="1" ht="15" hidden="1">
      <c r="A79" s="69"/>
      <c r="B79" s="70" t="s">
        <v>2028</v>
      </c>
      <c r="C79" s="228">
        <f>'SEIG P-A '!H48</f>
        <v>18.53</v>
      </c>
      <c r="D79" s="228">
        <f>'lead 19-20'!L16</f>
        <v>1375.7999999999997</v>
      </c>
      <c r="E79" s="229" t="s">
        <v>274</v>
      </c>
      <c r="F79" s="74">
        <f>ROUND(C79*D79,0)</f>
        <v>25494</v>
      </c>
    </row>
    <row r="80" spans="1:6" s="73" customFormat="1" ht="15" hidden="1">
      <c r="A80" s="69"/>
      <c r="B80" s="70" t="s">
        <v>2029</v>
      </c>
      <c r="C80" s="228">
        <f>'SEIG P-A '!H93</f>
        <v>0</v>
      </c>
      <c r="D80" s="228">
        <f>'lead 20-21'!L16</f>
        <v>1436.7999999999997</v>
      </c>
      <c r="E80" s="229" t="s">
        <v>274</v>
      </c>
      <c r="F80" s="74">
        <f>ROUND(C80*D80,0)</f>
        <v>0</v>
      </c>
    </row>
    <row r="81" spans="1:6" s="73" customFormat="1" ht="15" hidden="1">
      <c r="A81" s="69"/>
      <c r="B81" s="70" t="s">
        <v>2398</v>
      </c>
      <c r="C81" s="228">
        <f>'SEIG P-A '!H138</f>
        <v>0</v>
      </c>
      <c r="D81" s="228">
        <f>'lead 20-21'!L16</f>
        <v>1436.7999999999997</v>
      </c>
      <c r="E81" s="229" t="s">
        <v>274</v>
      </c>
      <c r="F81" s="74">
        <f>ROUND(C81*D81,0)</f>
        <v>0</v>
      </c>
    </row>
    <row r="82" spans="1:6" s="73" customFormat="1" ht="15" hidden="1">
      <c r="A82" s="69"/>
      <c r="B82" s="70" t="s">
        <v>2399</v>
      </c>
      <c r="C82" s="228">
        <f>'SEIG P-A '!H183</f>
        <v>0</v>
      </c>
      <c r="D82" s="228">
        <f>'lead 20-21'!L16</f>
        <v>1436.7999999999997</v>
      </c>
      <c r="E82" s="229" t="s">
        <v>274</v>
      </c>
      <c r="F82" s="74">
        <f>ROUND(C82*D82,0)</f>
        <v>0</v>
      </c>
    </row>
    <row r="83" spans="1:6" s="73" customFormat="1" ht="15" hidden="1">
      <c r="A83" s="69"/>
      <c r="B83" s="70"/>
      <c r="C83" s="81">
        <f>SUM(C79:C82)</f>
        <v>18.53</v>
      </c>
      <c r="D83" s="81"/>
      <c r="E83" s="72"/>
      <c r="F83" s="615">
        <f>SUM(F79:F82)</f>
        <v>25494</v>
      </c>
    </row>
    <row r="84" spans="1:6" s="68" customFormat="1" ht="15" hidden="1">
      <c r="A84" s="66"/>
      <c r="B84" s="66" t="s">
        <v>1462</v>
      </c>
      <c r="C84" s="67"/>
      <c r="D84" s="67"/>
      <c r="E84" s="67"/>
      <c r="F84" s="67"/>
    </row>
    <row r="85" spans="1:6" s="73" customFormat="1" ht="15" hidden="1">
      <c r="A85" s="69"/>
      <c r="B85" s="70" t="s">
        <v>1474</v>
      </c>
      <c r="C85" s="228">
        <f>C83</f>
        <v>18.53</v>
      </c>
      <c r="D85" s="228">
        <v>1375.8</v>
      </c>
      <c r="E85" s="229" t="s">
        <v>274</v>
      </c>
      <c r="F85" s="74">
        <f>ROUND(C85*D85,0)</f>
        <v>25494</v>
      </c>
    </row>
    <row r="86" spans="1:6" s="73" customFormat="1" ht="15" hidden="1">
      <c r="A86" s="69"/>
      <c r="B86" s="70"/>
      <c r="C86" s="228"/>
      <c r="D86" s="228">
        <v>1730.8</v>
      </c>
      <c r="E86" s="229" t="s">
        <v>274</v>
      </c>
      <c r="F86" s="74">
        <f>ROUND(C86*D86,0)</f>
        <v>0</v>
      </c>
    </row>
    <row r="87" spans="1:6" s="73" customFormat="1" ht="15" hidden="1">
      <c r="A87" s="69"/>
      <c r="B87" s="70"/>
      <c r="C87" s="81"/>
      <c r="D87" s="81"/>
      <c r="E87" s="72"/>
      <c r="F87" s="71">
        <f>SUM(F85:F86)</f>
        <v>25494</v>
      </c>
    </row>
    <row r="88" spans="1:6" s="73" customFormat="1" ht="15" hidden="1">
      <c r="A88" s="69"/>
      <c r="B88" s="70" t="s">
        <v>1475</v>
      </c>
      <c r="C88" s="72"/>
      <c r="D88" s="72"/>
      <c r="E88" s="72"/>
      <c r="F88" s="71">
        <v>0</v>
      </c>
    </row>
    <row r="89" spans="1:6" s="73" customFormat="1" ht="30">
      <c r="A89" s="69"/>
      <c r="B89" s="70" t="s">
        <v>2410</v>
      </c>
      <c r="C89" s="72"/>
      <c r="D89" s="72"/>
      <c r="E89" s="72"/>
      <c r="F89" s="71">
        <f>SUM(F17+F30+F36+F50+F63+F76+F88)</f>
        <v>-53531</v>
      </c>
    </row>
    <row r="90" spans="1:6" ht="21.75" customHeight="1">
      <c r="A90" s="1655" t="s">
        <v>2203</v>
      </c>
      <c r="B90" s="1656"/>
      <c r="C90" s="1656"/>
      <c r="D90" s="1656"/>
      <c r="E90" s="1656"/>
      <c r="F90" s="1656"/>
    </row>
    <row r="91" spans="1:6" s="68" customFormat="1" ht="15">
      <c r="A91" s="1652" t="s">
        <v>1476</v>
      </c>
      <c r="B91" s="1653"/>
      <c r="C91" s="1653"/>
      <c r="D91" s="1653"/>
      <c r="E91" s="1653"/>
      <c r="F91" s="1654"/>
    </row>
    <row r="92" spans="1:6" s="68" customFormat="1" ht="15">
      <c r="A92" s="66">
        <v>1</v>
      </c>
      <c r="B92" s="66" t="s">
        <v>1461</v>
      </c>
      <c r="C92" s="67"/>
      <c r="D92" s="67"/>
      <c r="E92" s="67"/>
      <c r="F92" s="67"/>
    </row>
    <row r="93" spans="1:6" s="68" customFormat="1" ht="15">
      <c r="A93" s="66"/>
      <c r="B93" s="66" t="s">
        <v>2210</v>
      </c>
      <c r="C93" s="67"/>
      <c r="D93" s="67"/>
      <c r="E93" s="67"/>
      <c r="F93" s="67"/>
    </row>
    <row r="94" spans="1:6" s="73" customFormat="1" ht="15">
      <c r="A94" s="69"/>
      <c r="B94" s="70" t="s">
        <v>3284</v>
      </c>
      <c r="C94" s="228">
        <f>'PART-A'!I2476</f>
        <v>4.25</v>
      </c>
      <c r="D94" s="228">
        <f>'lead 19-20'!L9</f>
        <v>48970</v>
      </c>
      <c r="E94" s="229" t="s">
        <v>280</v>
      </c>
      <c r="F94" s="74">
        <f>ROUND(C94*D94,0)</f>
        <v>208123</v>
      </c>
    </row>
    <row r="95" spans="1:6" s="73" customFormat="1" ht="15" hidden="1">
      <c r="A95" s="69"/>
      <c r="B95" s="70" t="s">
        <v>2215</v>
      </c>
      <c r="C95" s="228">
        <f>FF!I1522</f>
        <v>0</v>
      </c>
      <c r="D95" s="228">
        <f>D94</f>
        <v>48970</v>
      </c>
      <c r="E95" s="229" t="s">
        <v>280</v>
      </c>
      <c r="F95" s="74">
        <f>ROUND(C95*D95,0)</f>
        <v>0</v>
      </c>
    </row>
    <row r="96" spans="1:6" s="73" customFormat="1" ht="15" hidden="1">
      <c r="A96" s="69"/>
      <c r="B96" s="70" t="s">
        <v>2216</v>
      </c>
      <c r="C96" s="228">
        <f>SF!I943</f>
        <v>0</v>
      </c>
      <c r="D96" s="228">
        <f>D95</f>
        <v>48970</v>
      </c>
      <c r="E96" s="229" t="s">
        <v>280</v>
      </c>
      <c r="F96" s="74">
        <f>ROUND(C96*D96,0)</f>
        <v>0</v>
      </c>
    </row>
    <row r="97" spans="1:6" s="68" customFormat="1" ht="15" hidden="1">
      <c r="A97" s="66"/>
      <c r="B97" s="66" t="s">
        <v>2211</v>
      </c>
      <c r="C97" s="67"/>
      <c r="D97" s="67"/>
      <c r="E97" s="67"/>
      <c r="F97" s="67"/>
    </row>
    <row r="98" spans="1:6" s="73" customFormat="1" ht="15" hidden="1">
      <c r="A98" s="69"/>
      <c r="B98" s="70" t="s">
        <v>2214</v>
      </c>
      <c r="C98" s="228">
        <f>'PART-A'!I2482</f>
        <v>0</v>
      </c>
      <c r="D98" s="228">
        <f>'lead 20-21'!L9</f>
        <v>48380</v>
      </c>
      <c r="E98" s="229" t="s">
        <v>280</v>
      </c>
      <c r="F98" s="74">
        <f>ROUND(C98*D98,0)</f>
        <v>0</v>
      </c>
    </row>
    <row r="99" spans="1:6" s="73" customFormat="1" ht="15" hidden="1">
      <c r="A99" s="69"/>
      <c r="B99" s="70" t="s">
        <v>2215</v>
      </c>
      <c r="C99" s="228">
        <f>FF!I1527</f>
        <v>0</v>
      </c>
      <c r="D99" s="228">
        <f>D98</f>
        <v>48380</v>
      </c>
      <c r="E99" s="229" t="s">
        <v>280</v>
      </c>
      <c r="F99" s="74">
        <f>ROUND(C99*D99,0)</f>
        <v>0</v>
      </c>
    </row>
    <row r="100" spans="1:6" s="73" customFormat="1" ht="15" hidden="1">
      <c r="A100" s="69"/>
      <c r="B100" s="70" t="s">
        <v>2216</v>
      </c>
      <c r="C100" s="228">
        <f>SF!I948</f>
        <v>0</v>
      </c>
      <c r="D100" s="228">
        <f>D99</f>
        <v>48380</v>
      </c>
      <c r="E100" s="229" t="s">
        <v>280</v>
      </c>
      <c r="F100" s="74">
        <f>ROUND(C100*D100,0)</f>
        <v>0</v>
      </c>
    </row>
    <row r="101" spans="1:6" s="68" customFormat="1" ht="15" hidden="1">
      <c r="A101" s="66"/>
      <c r="B101" s="66" t="s">
        <v>2212</v>
      </c>
      <c r="C101" s="67"/>
      <c r="D101" s="67"/>
      <c r="E101" s="67"/>
      <c r="F101" s="67"/>
    </row>
    <row r="102" spans="1:6" s="73" customFormat="1" ht="15" hidden="1">
      <c r="A102" s="69"/>
      <c r="B102" s="70" t="s">
        <v>2214</v>
      </c>
      <c r="C102" s="228">
        <f>'PART-A'!I2487</f>
        <v>0</v>
      </c>
      <c r="D102" s="228">
        <f>'lead 21-22'!L9</f>
        <v>64310</v>
      </c>
      <c r="E102" s="229" t="s">
        <v>280</v>
      </c>
      <c r="F102" s="74">
        <f>ROUND(C102*D102,0)</f>
        <v>0</v>
      </c>
    </row>
    <row r="103" spans="1:6" s="73" customFormat="1" ht="15" hidden="1">
      <c r="A103" s="69"/>
      <c r="B103" s="70" t="s">
        <v>2215</v>
      </c>
      <c r="C103" s="228">
        <f>FF!I1535</f>
        <v>0</v>
      </c>
      <c r="D103" s="228">
        <f>D102</f>
        <v>64310</v>
      </c>
      <c r="E103" s="229" t="s">
        <v>280</v>
      </c>
      <c r="F103" s="74">
        <f>ROUND(C103*D103,0)</f>
        <v>0</v>
      </c>
    </row>
    <row r="104" spans="1:6" s="73" customFormat="1" ht="15" hidden="1">
      <c r="A104" s="69"/>
      <c r="B104" s="70" t="s">
        <v>2216</v>
      </c>
      <c r="C104" s="228">
        <f>SF!I954</f>
        <v>0</v>
      </c>
      <c r="D104" s="228">
        <f>D103</f>
        <v>64310</v>
      </c>
      <c r="E104" s="229" t="s">
        <v>280</v>
      </c>
      <c r="F104" s="74">
        <f>ROUND(C104*D104,0)</f>
        <v>0</v>
      </c>
    </row>
    <row r="105" spans="1:6" s="68" customFormat="1" ht="15" hidden="1">
      <c r="A105" s="66"/>
      <c r="B105" s="66" t="s">
        <v>2213</v>
      </c>
      <c r="C105" s="67"/>
      <c r="D105" s="67"/>
      <c r="E105" s="67"/>
      <c r="F105" s="67"/>
    </row>
    <row r="106" spans="1:6" s="73" customFormat="1" ht="15" hidden="1">
      <c r="A106" s="69"/>
      <c r="B106" s="70" t="s">
        <v>2214</v>
      </c>
      <c r="C106" s="228">
        <f>'PART-A'!I2493</f>
        <v>0</v>
      </c>
      <c r="D106" s="228">
        <f>'lead 22-23'!L9</f>
        <v>75520</v>
      </c>
      <c r="E106" s="229" t="s">
        <v>280</v>
      </c>
      <c r="F106" s="74">
        <f>ROUND(C106*D106,0)</f>
        <v>0</v>
      </c>
    </row>
    <row r="107" spans="1:6" s="73" customFormat="1" ht="15" hidden="1">
      <c r="A107" s="69"/>
      <c r="B107" s="70" t="s">
        <v>2215</v>
      </c>
      <c r="C107" s="228">
        <f>FF!I1542</f>
        <v>0</v>
      </c>
      <c r="D107" s="228">
        <f>D106</f>
        <v>75520</v>
      </c>
      <c r="E107" s="229" t="s">
        <v>280</v>
      </c>
      <c r="F107" s="74">
        <f>ROUND(C107*D107,0)</f>
        <v>0</v>
      </c>
    </row>
    <row r="108" spans="1:6" s="73" customFormat="1" ht="15" hidden="1">
      <c r="A108" s="69"/>
      <c r="B108" s="70" t="s">
        <v>2216</v>
      </c>
      <c r="C108" s="228">
        <f>SF!I960</f>
        <v>0</v>
      </c>
      <c r="D108" s="228">
        <f>D107</f>
        <v>75520</v>
      </c>
      <c r="E108" s="229" t="s">
        <v>280</v>
      </c>
      <c r="F108" s="74">
        <f>ROUND(C108*D108,0)</f>
        <v>0</v>
      </c>
    </row>
    <row r="109" spans="1:6" s="73" customFormat="1" ht="15">
      <c r="A109" s="69"/>
      <c r="B109" s="70"/>
      <c r="C109" s="228"/>
      <c r="D109" s="228"/>
      <c r="E109" s="229"/>
      <c r="F109" s="74"/>
    </row>
    <row r="110" spans="1:6" s="73" customFormat="1" ht="15">
      <c r="A110" s="69"/>
      <c r="B110" s="70"/>
      <c r="C110" s="81">
        <f>SUM(C94:C109)</f>
        <v>4.25</v>
      </c>
      <c r="D110" s="81"/>
      <c r="E110" s="72"/>
      <c r="F110" s="71">
        <f>SUM(F94:F109)</f>
        <v>208123</v>
      </c>
    </row>
    <row r="111" spans="1:6" s="68" customFormat="1" ht="15">
      <c r="A111" s="66"/>
      <c r="B111" s="66" t="s">
        <v>1462</v>
      </c>
      <c r="C111" s="67"/>
      <c r="D111" s="67"/>
      <c r="E111" s="67"/>
      <c r="F111" s="67"/>
    </row>
    <row r="112" spans="1:6" s="73" customFormat="1" ht="15">
      <c r="A112" s="69"/>
      <c r="B112" s="70" t="s">
        <v>3285</v>
      </c>
      <c r="C112" s="228">
        <v>2.2200000000000002</v>
      </c>
      <c r="D112" s="228">
        <v>62540</v>
      </c>
      <c r="E112" s="229" t="s">
        <v>280</v>
      </c>
      <c r="F112" s="74">
        <f>ROUND(C112*D112,0)</f>
        <v>138839</v>
      </c>
    </row>
    <row r="113" spans="1:6" s="73" customFormat="1" ht="15">
      <c r="A113" s="69"/>
      <c r="B113" s="70" t="s">
        <v>3285</v>
      </c>
      <c r="C113" s="228">
        <v>1.82</v>
      </c>
      <c r="D113" s="228">
        <v>63720</v>
      </c>
      <c r="E113" s="229" t="s">
        <v>280</v>
      </c>
      <c r="F113" s="74">
        <f t="shared" ref="F113:F117" si="4">ROUND(C113*D113,0)</f>
        <v>115970</v>
      </c>
    </row>
    <row r="114" spans="1:6" s="73" customFormat="1" ht="15">
      <c r="A114" s="69"/>
      <c r="B114" s="70" t="s">
        <v>3285</v>
      </c>
      <c r="C114" s="228">
        <f>C110-C112-C113</f>
        <v>0.20999999999999974</v>
      </c>
      <c r="D114" s="228">
        <v>84960</v>
      </c>
      <c r="E114" s="229" t="s">
        <v>280</v>
      </c>
      <c r="F114" s="74">
        <f t="shared" si="4"/>
        <v>17842</v>
      </c>
    </row>
    <row r="115" spans="1:6" s="73" customFormat="1" ht="15" hidden="1">
      <c r="A115" s="69"/>
      <c r="B115" s="70" t="s">
        <v>3285</v>
      </c>
      <c r="C115" s="228">
        <f>C110-C112-C113-C114</f>
        <v>0</v>
      </c>
      <c r="D115" s="228">
        <v>71980</v>
      </c>
      <c r="E115" s="229" t="s">
        <v>280</v>
      </c>
      <c r="F115" s="74">
        <f t="shared" si="4"/>
        <v>0</v>
      </c>
    </row>
    <row r="116" spans="1:6" s="73" customFormat="1" ht="15" hidden="1">
      <c r="A116" s="69"/>
      <c r="B116" s="70" t="s">
        <v>3285</v>
      </c>
      <c r="C116" s="228"/>
      <c r="D116" s="228">
        <v>75520</v>
      </c>
      <c r="E116" s="229" t="s">
        <v>280</v>
      </c>
      <c r="F116" s="74">
        <f t="shared" si="4"/>
        <v>0</v>
      </c>
    </row>
    <row r="117" spans="1:6" s="73" customFormat="1" ht="15" hidden="1">
      <c r="A117" s="69"/>
      <c r="B117" s="70" t="s">
        <v>1476</v>
      </c>
      <c r="C117" s="228"/>
      <c r="D117" s="228">
        <v>35000</v>
      </c>
      <c r="E117" s="229" t="s">
        <v>280</v>
      </c>
      <c r="F117" s="74">
        <f t="shared" si="4"/>
        <v>0</v>
      </c>
    </row>
    <row r="118" spans="1:6" s="73" customFormat="1" ht="15">
      <c r="A118" s="69"/>
      <c r="B118" s="70"/>
      <c r="C118" s="228"/>
      <c r="D118" s="228"/>
      <c r="E118" s="229"/>
      <c r="F118" s="74"/>
    </row>
    <row r="119" spans="1:6" s="73" customFormat="1" ht="15">
      <c r="A119" s="69"/>
      <c r="B119" s="70"/>
      <c r="C119" s="81">
        <f>SUM(C112:C118)</f>
        <v>4.25</v>
      </c>
      <c r="D119" s="81"/>
      <c r="E119" s="72"/>
      <c r="F119" s="71">
        <f>SUM(F112:F118)</f>
        <v>272651</v>
      </c>
    </row>
    <row r="120" spans="1:6" s="73" customFormat="1" ht="15">
      <c r="A120" s="69"/>
      <c r="B120" s="70" t="s">
        <v>1476</v>
      </c>
      <c r="C120" s="72"/>
      <c r="D120" s="72"/>
      <c r="E120" s="72"/>
      <c r="F120" s="71">
        <f>F119-F110</f>
        <v>64528</v>
      </c>
    </row>
    <row r="121" spans="1:6" s="73" customFormat="1" ht="22.5" customHeight="1">
      <c r="A121" s="75"/>
      <c r="B121" s="76"/>
      <c r="C121" s="78"/>
      <c r="D121" s="78"/>
      <c r="E121" s="75"/>
      <c r="F121" s="77"/>
    </row>
    <row r="122" spans="1:6" s="73" customFormat="1" ht="22.5" customHeight="1">
      <c r="A122" s="75"/>
      <c r="B122" s="76"/>
      <c r="C122" s="78"/>
      <c r="D122" s="78"/>
      <c r="E122" s="75"/>
      <c r="F122" s="77"/>
    </row>
    <row r="123" spans="1:6" s="73" customFormat="1" ht="15">
      <c r="C123" s="55" t="str">
        <f>'lead 19-20'!$H$31</f>
        <v>Deputy Executive Engineer</v>
      </c>
      <c r="D123" s="79"/>
      <c r="E123" s="226" t="str">
        <f>'lead 19-20'!$K$31</f>
        <v>Assistant  Engineer</v>
      </c>
    </row>
    <row r="124" spans="1:6" s="73" customFormat="1" ht="15">
      <c r="C124" s="55" t="str">
        <f>'lead 19-20'!$H$32</f>
        <v>PRI Sub Division</v>
      </c>
      <c r="D124" s="79"/>
      <c r="E124" s="226" t="str">
        <f>'lead 19-20'!$K$32</f>
        <v>Mandal Praja parishad</v>
      </c>
    </row>
    <row r="125" spans="1:6" s="73" customFormat="1" ht="15">
      <c r="C125" s="55" t="str">
        <f>'lead 19-20'!$H$33</f>
        <v>Kanigiri</v>
      </c>
      <c r="D125" s="79"/>
      <c r="E125" s="226" t="str">
        <f>'lead 19-20'!$K$33</f>
        <v>Kanigiri</v>
      </c>
    </row>
    <row r="126" spans="1:6" s="73" customFormat="1" ht="15">
      <c r="C126" s="79"/>
      <c r="D126" s="79"/>
    </row>
    <row r="127" spans="1:6" s="73" customFormat="1" ht="15">
      <c r="C127" s="79"/>
      <c r="D127" s="79"/>
    </row>
    <row r="128" spans="1:6" s="73" customFormat="1" ht="15">
      <c r="C128" s="79"/>
      <c r="D128" s="79"/>
    </row>
    <row r="129" spans="3:4" s="73" customFormat="1" ht="15">
      <c r="C129" s="79"/>
      <c r="D129" s="79"/>
    </row>
    <row r="130" spans="3:4" s="73" customFormat="1" ht="15">
      <c r="C130" s="79"/>
      <c r="D130" s="79"/>
    </row>
    <row r="131" spans="3:4" s="73" customFormat="1" ht="15">
      <c r="C131" s="79"/>
      <c r="D131" s="79"/>
    </row>
    <row r="132" spans="3:4" s="73" customFormat="1" ht="15">
      <c r="C132" s="79"/>
      <c r="D132" s="79"/>
    </row>
    <row r="133" spans="3:4" s="73" customFormat="1" ht="15">
      <c r="C133" s="79"/>
      <c r="D133" s="79"/>
    </row>
    <row r="134" spans="3:4" s="73" customFormat="1" ht="15">
      <c r="C134" s="79"/>
      <c r="D134" s="79"/>
    </row>
    <row r="135" spans="3:4" s="73" customFormat="1" ht="15">
      <c r="C135" s="79"/>
      <c r="D135" s="79"/>
    </row>
    <row r="136" spans="3:4" s="73" customFormat="1" ht="15">
      <c r="C136" s="79"/>
      <c r="D136" s="79"/>
    </row>
    <row r="137" spans="3:4" s="73" customFormat="1" ht="15">
      <c r="C137" s="79"/>
      <c r="D137" s="79"/>
    </row>
    <row r="138" spans="3:4" s="73" customFormat="1" ht="15">
      <c r="C138" s="79"/>
      <c r="D138" s="79"/>
    </row>
    <row r="139" spans="3:4" s="73" customFormat="1" ht="15">
      <c r="C139" s="79"/>
      <c r="D139" s="79"/>
    </row>
    <row r="140" spans="3:4" s="73" customFormat="1" ht="15">
      <c r="C140" s="79"/>
      <c r="D140" s="79"/>
    </row>
    <row r="141" spans="3:4" s="73" customFormat="1" ht="15">
      <c r="C141" s="79"/>
      <c r="D141" s="79"/>
    </row>
    <row r="142" spans="3:4" s="73" customFormat="1" ht="15">
      <c r="C142" s="79"/>
      <c r="D142" s="79"/>
    </row>
    <row r="143" spans="3:4" s="73" customFormat="1" ht="15">
      <c r="C143" s="79"/>
      <c r="D143" s="79"/>
    </row>
    <row r="144" spans="3:4" s="73" customFormat="1" ht="15">
      <c r="C144" s="79"/>
      <c r="D144" s="79"/>
    </row>
    <row r="145" spans="3:4" s="73" customFormat="1" ht="15">
      <c r="C145" s="79"/>
      <c r="D145" s="79"/>
    </row>
    <row r="146" spans="3:4" s="73" customFormat="1" ht="15">
      <c r="C146" s="79"/>
      <c r="D146" s="79"/>
    </row>
    <row r="147" spans="3:4" s="73" customFormat="1" ht="15">
      <c r="C147" s="79"/>
      <c r="D147" s="79"/>
    </row>
    <row r="148" spans="3:4" s="73" customFormat="1" ht="15">
      <c r="C148" s="79"/>
      <c r="D148" s="79"/>
    </row>
    <row r="149" spans="3:4" s="73" customFormat="1" ht="15">
      <c r="C149" s="79"/>
      <c r="D149" s="79"/>
    </row>
    <row r="150" spans="3:4" s="73" customFormat="1" ht="15">
      <c r="C150" s="79"/>
      <c r="D150" s="79"/>
    </row>
    <row r="151" spans="3:4" s="73" customFormat="1" ht="15">
      <c r="C151" s="79"/>
      <c r="D151" s="79"/>
    </row>
    <row r="152" spans="3:4" s="73" customFormat="1" ht="15">
      <c r="C152" s="79"/>
      <c r="D152" s="79"/>
    </row>
    <row r="153" spans="3:4" s="73" customFormat="1" ht="15">
      <c r="C153" s="79"/>
      <c r="D153" s="79"/>
    </row>
    <row r="154" spans="3:4" s="73" customFormat="1" ht="15">
      <c r="C154" s="79"/>
      <c r="D154" s="79"/>
    </row>
    <row r="155" spans="3:4" s="73" customFormat="1" ht="15">
      <c r="C155" s="79"/>
      <c r="D155" s="79"/>
    </row>
    <row r="156" spans="3:4" s="73" customFormat="1" ht="15">
      <c r="C156" s="79"/>
      <c r="D156" s="79"/>
    </row>
    <row r="157" spans="3:4" s="73" customFormat="1" ht="15">
      <c r="C157" s="79"/>
      <c r="D157" s="79"/>
    </row>
    <row r="158" spans="3:4" s="73" customFormat="1" ht="15">
      <c r="C158" s="79"/>
      <c r="D158" s="79"/>
    </row>
    <row r="159" spans="3:4" s="73" customFormat="1" ht="15">
      <c r="C159" s="79"/>
      <c r="D159" s="79"/>
    </row>
    <row r="160" spans="3:4" s="73" customFormat="1" ht="15">
      <c r="C160" s="79"/>
      <c r="D160" s="79"/>
    </row>
    <row r="161" spans="3:4" s="73" customFormat="1" ht="15">
      <c r="C161" s="79"/>
      <c r="D161" s="79"/>
    </row>
    <row r="162" spans="3:4" s="73" customFormat="1" ht="15">
      <c r="C162" s="79"/>
      <c r="D162" s="79"/>
    </row>
    <row r="163" spans="3:4" s="73" customFormat="1" ht="15">
      <c r="C163" s="79"/>
      <c r="D163" s="79"/>
    </row>
    <row r="164" spans="3:4" s="73" customFormat="1" ht="15">
      <c r="C164" s="79"/>
      <c r="D164" s="79"/>
    </row>
    <row r="165" spans="3:4" s="73" customFormat="1" ht="15">
      <c r="C165" s="79"/>
      <c r="D165" s="79"/>
    </row>
    <row r="166" spans="3:4" s="73" customFormat="1" ht="15">
      <c r="C166" s="79"/>
      <c r="D166" s="79"/>
    </row>
    <row r="167" spans="3:4" s="73" customFormat="1" ht="15">
      <c r="C167" s="79"/>
      <c r="D167" s="79"/>
    </row>
    <row r="168" spans="3:4" s="73" customFormat="1" ht="15">
      <c r="C168" s="79"/>
      <c r="D168" s="79"/>
    </row>
    <row r="169" spans="3:4" s="73" customFormat="1" ht="15">
      <c r="C169" s="79"/>
      <c r="D169" s="79"/>
    </row>
    <row r="170" spans="3:4" s="73" customFormat="1" ht="15">
      <c r="C170" s="79"/>
      <c r="D170" s="79"/>
    </row>
    <row r="171" spans="3:4" s="73" customFormat="1" ht="15">
      <c r="C171" s="79"/>
      <c r="D171" s="79"/>
    </row>
    <row r="172" spans="3:4" s="73" customFormat="1" ht="15">
      <c r="C172" s="79"/>
      <c r="D172" s="79"/>
    </row>
    <row r="173" spans="3:4" s="73" customFormat="1" ht="15">
      <c r="C173" s="79"/>
      <c r="D173" s="79"/>
    </row>
    <row r="174" spans="3:4" s="73" customFormat="1" ht="15">
      <c r="C174" s="79"/>
      <c r="D174" s="79"/>
    </row>
    <row r="175" spans="3:4" s="73" customFormat="1" ht="15">
      <c r="C175" s="79"/>
      <c r="D175" s="79"/>
    </row>
    <row r="176" spans="3:4" s="73" customFormat="1" ht="15">
      <c r="C176" s="79"/>
      <c r="D176" s="79"/>
    </row>
    <row r="177" spans="3:4" s="73" customFormat="1" ht="15">
      <c r="C177" s="79"/>
      <c r="D177" s="79"/>
    </row>
    <row r="178" spans="3:4" s="73" customFormat="1" ht="15">
      <c r="C178" s="79"/>
      <c r="D178" s="79"/>
    </row>
    <row r="179" spans="3:4" s="73" customFormat="1" ht="15">
      <c r="C179" s="79"/>
      <c r="D179" s="79"/>
    </row>
    <row r="180" spans="3:4" s="73" customFormat="1" ht="15">
      <c r="C180" s="79"/>
      <c r="D180" s="79"/>
    </row>
    <row r="181" spans="3:4" s="73" customFormat="1" ht="15">
      <c r="C181" s="79"/>
      <c r="D181" s="79"/>
    </row>
    <row r="182" spans="3:4" s="73" customFormat="1" ht="15">
      <c r="C182" s="79"/>
      <c r="D182" s="79"/>
    </row>
    <row r="183" spans="3:4" s="73" customFormat="1" ht="15">
      <c r="C183" s="79"/>
      <c r="D183" s="79"/>
    </row>
    <row r="184" spans="3:4" s="73" customFormat="1" ht="15">
      <c r="C184" s="79"/>
      <c r="D184" s="79"/>
    </row>
    <row r="185" spans="3:4" s="73" customFormat="1" ht="15">
      <c r="C185" s="79"/>
      <c r="D185" s="79"/>
    </row>
    <row r="186" spans="3:4" s="73" customFormat="1" ht="15">
      <c r="C186" s="79"/>
      <c r="D186" s="79"/>
    </row>
    <row r="187" spans="3:4" s="73" customFormat="1" ht="15">
      <c r="C187" s="79"/>
      <c r="D187" s="79"/>
    </row>
    <row r="188" spans="3:4" s="73" customFormat="1" ht="15">
      <c r="C188" s="79"/>
      <c r="D188" s="79"/>
    </row>
    <row r="189" spans="3:4" s="73" customFormat="1" ht="15">
      <c r="C189" s="79"/>
      <c r="D189" s="79"/>
    </row>
    <row r="190" spans="3:4" s="73" customFormat="1" ht="15">
      <c r="C190" s="79"/>
      <c r="D190" s="79"/>
    </row>
    <row r="191" spans="3:4" s="73" customFormat="1" ht="15">
      <c r="C191" s="79"/>
      <c r="D191" s="79"/>
    </row>
    <row r="192" spans="3:4" s="73" customFormat="1" ht="15">
      <c r="C192" s="79"/>
      <c r="D192" s="79"/>
    </row>
    <row r="193" spans="3:4" s="73" customFormat="1" ht="15">
      <c r="C193" s="79"/>
      <c r="D193" s="79"/>
    </row>
    <row r="194" spans="3:4" s="73" customFormat="1" ht="15">
      <c r="C194" s="79"/>
      <c r="D194" s="79"/>
    </row>
    <row r="195" spans="3:4" s="73" customFormat="1" ht="15">
      <c r="C195" s="79"/>
      <c r="D195" s="79"/>
    </row>
    <row r="196" spans="3:4" s="73" customFormat="1" ht="15">
      <c r="C196" s="79"/>
      <c r="D196" s="79"/>
    </row>
    <row r="197" spans="3:4" s="73" customFormat="1" ht="15">
      <c r="C197" s="79"/>
      <c r="D197" s="79"/>
    </row>
    <row r="198" spans="3:4" s="73" customFormat="1" ht="15">
      <c r="C198" s="79"/>
      <c r="D198" s="79"/>
    </row>
    <row r="199" spans="3:4" s="73" customFormat="1" ht="15">
      <c r="C199" s="79"/>
      <c r="D199" s="79"/>
    </row>
    <row r="200" spans="3:4" s="73" customFormat="1" ht="15">
      <c r="C200" s="79"/>
      <c r="D200" s="79"/>
    </row>
    <row r="201" spans="3:4" s="73" customFormat="1" ht="15">
      <c r="C201" s="79"/>
      <c r="D201" s="79"/>
    </row>
    <row r="202" spans="3:4" s="73" customFormat="1" ht="15">
      <c r="C202" s="79"/>
      <c r="D202" s="79"/>
    </row>
    <row r="203" spans="3:4" s="73" customFormat="1" ht="15">
      <c r="C203" s="79"/>
      <c r="D203" s="79"/>
    </row>
    <row r="204" spans="3:4" s="73" customFormat="1" ht="15">
      <c r="C204" s="79"/>
      <c r="D204" s="79"/>
    </row>
    <row r="205" spans="3:4" s="73" customFormat="1" ht="15">
      <c r="C205" s="79"/>
      <c r="D205" s="79"/>
    </row>
    <row r="206" spans="3:4" s="73" customFormat="1" ht="15">
      <c r="C206" s="79"/>
      <c r="D206" s="79"/>
    </row>
    <row r="207" spans="3:4" s="73" customFormat="1" ht="15">
      <c r="C207" s="79"/>
      <c r="D207" s="79"/>
    </row>
    <row r="208" spans="3:4" s="73" customFormat="1" ht="15">
      <c r="C208" s="79"/>
      <c r="D208" s="79"/>
    </row>
    <row r="209" spans="3:4" s="73" customFormat="1" ht="15">
      <c r="C209" s="79"/>
      <c r="D209" s="79"/>
    </row>
    <row r="210" spans="3:4" s="73" customFormat="1" ht="15">
      <c r="C210" s="79"/>
      <c r="D210" s="79"/>
    </row>
    <row r="211" spans="3:4" s="73" customFormat="1" ht="15">
      <c r="C211" s="79"/>
      <c r="D211" s="79"/>
    </row>
    <row r="212" spans="3:4" s="73" customFormat="1" ht="15">
      <c r="C212" s="79"/>
      <c r="D212" s="79"/>
    </row>
    <row r="213" spans="3:4" s="73" customFormat="1" ht="15">
      <c r="C213" s="79"/>
      <c r="D213" s="79"/>
    </row>
    <row r="214" spans="3:4" s="73" customFormat="1" ht="15">
      <c r="C214" s="79"/>
      <c r="D214" s="79"/>
    </row>
    <row r="215" spans="3:4" s="73" customFormat="1" ht="15">
      <c r="C215" s="79"/>
      <c r="D215" s="79"/>
    </row>
    <row r="216" spans="3:4" s="73" customFormat="1" ht="15">
      <c r="C216" s="79"/>
      <c r="D216" s="79"/>
    </row>
  </sheetData>
  <mergeCells count="11">
    <mergeCell ref="A51:F51"/>
    <mergeCell ref="A64:F64"/>
    <mergeCell ref="A77:F77"/>
    <mergeCell ref="A91:F91"/>
    <mergeCell ref="A1:F1"/>
    <mergeCell ref="A2:F2"/>
    <mergeCell ref="A6:F6"/>
    <mergeCell ref="A19:F19"/>
    <mergeCell ref="A37:F37"/>
    <mergeCell ref="A31:F31"/>
    <mergeCell ref="A90:F90"/>
  </mergeCells>
  <printOptions horizontalCentered="1"/>
  <pageMargins left="0.23622047244094499" right="0.15748031496063" top="0.35433070866141703" bottom="0.69" header="0.38" footer="0.23622047244094499"/>
  <pageSetup paperSize="9" orientation="portrait" errors="blank" r:id="rId1"/>
  <headerFooter alignWithMargins="0"/>
  <rowBreaks count="1" manualBreakCount="1">
    <brk id="89" max="5" man="1"/>
  </rowBreaks>
</worksheet>
</file>

<file path=xl/worksheets/sheet17.xml><?xml version="1.0" encoding="utf-8"?>
<worksheet xmlns="http://schemas.openxmlformats.org/spreadsheetml/2006/main" xmlns:r="http://schemas.openxmlformats.org/officeDocument/2006/relationships">
  <sheetPr>
    <tabColor rgb="FF00B050"/>
  </sheetPr>
  <dimension ref="A1:O35"/>
  <sheetViews>
    <sheetView view="pageBreakPreview" zoomScale="130" zoomScaleNormal="130" zoomScaleSheetLayoutView="130" workbookViewId="0">
      <selection activeCell="D12" sqref="D12"/>
    </sheetView>
  </sheetViews>
  <sheetFormatPr defaultColWidth="9.140625" defaultRowHeight="12.75"/>
  <cols>
    <col min="1" max="1" width="5.7109375" style="397" customWidth="1"/>
    <col min="2" max="2" width="31.5703125" style="215" customWidth="1"/>
    <col min="3" max="3" width="5.7109375" style="397" customWidth="1"/>
    <col min="4" max="4" width="14.140625" style="397" customWidth="1"/>
    <col min="5" max="5" width="6.7109375" style="215" bestFit="1" customWidth="1"/>
    <col min="6" max="6" width="7.85546875" style="215" customWidth="1"/>
    <col min="7" max="7" width="8.140625" style="215" customWidth="1"/>
    <col min="8" max="8" width="7.5703125" style="215" customWidth="1"/>
    <col min="9" max="9" width="8.140625" style="215" customWidth="1"/>
    <col min="10" max="10" width="8.28515625" style="215" customWidth="1"/>
    <col min="11" max="11" width="8.42578125" style="215" customWidth="1"/>
    <col min="12" max="12" width="8.7109375" style="215" customWidth="1"/>
    <col min="13" max="17" width="9.140625" style="215" customWidth="1"/>
    <col min="18" max="16384" width="9.140625" style="215"/>
  </cols>
  <sheetData>
    <row r="1" spans="1:15" s="214" customFormat="1" ht="20.100000000000001" customHeight="1">
      <c r="A1" s="1660" t="s">
        <v>903</v>
      </c>
      <c r="B1" s="1661"/>
      <c r="C1" s="1661"/>
      <c r="D1" s="1661"/>
      <c r="E1" s="1661"/>
      <c r="F1" s="1661"/>
      <c r="G1" s="1661"/>
      <c r="H1" s="1661"/>
      <c r="I1" s="1661"/>
      <c r="J1" s="1661"/>
      <c r="K1" s="1661"/>
      <c r="L1" s="1661"/>
    </row>
    <row r="2" spans="1:15" s="214" customFormat="1" ht="27.75" customHeight="1">
      <c r="A2" s="370"/>
      <c r="B2" s="57" t="s">
        <v>836</v>
      </c>
      <c r="C2" s="1662" t="s">
        <v>3876</v>
      </c>
      <c r="D2" s="1662"/>
      <c r="E2" s="1662"/>
      <c r="F2" s="1662"/>
      <c r="G2" s="1662"/>
      <c r="H2" s="1662"/>
      <c r="I2" s="1662"/>
      <c r="J2" s="1662"/>
      <c r="K2" s="1662"/>
      <c r="L2" s="1662"/>
    </row>
    <row r="3" spans="1:15" s="214" customFormat="1" ht="20.100000000000001" customHeight="1">
      <c r="A3" s="371"/>
      <c r="B3" s="372"/>
      <c r="C3" s="373" t="s">
        <v>2303</v>
      </c>
      <c r="D3" s="371"/>
      <c r="E3" s="374"/>
      <c r="F3" s="374"/>
      <c r="G3" s="374"/>
      <c r="H3" s="374"/>
      <c r="I3" s="374"/>
      <c r="J3" s="372"/>
      <c r="K3" s="372"/>
      <c r="L3" s="374"/>
      <c r="M3" s="214" t="s">
        <v>837</v>
      </c>
      <c r="N3" s="214">
        <v>85</v>
      </c>
    </row>
    <row r="4" spans="1:15" ht="15" customHeight="1">
      <c r="A4" s="375"/>
      <c r="B4" s="218" t="s">
        <v>838</v>
      </c>
      <c r="C4" s="886" t="s">
        <v>3877</v>
      </c>
      <c r="D4" s="375"/>
      <c r="E4" s="376"/>
      <c r="F4" s="375"/>
      <c r="G4" s="376"/>
      <c r="H4" s="376"/>
      <c r="I4" s="376"/>
      <c r="J4" s="377" t="s">
        <v>839</v>
      </c>
      <c r="K4" s="378" t="s">
        <v>3621</v>
      </c>
      <c r="L4" s="375"/>
      <c r="M4" s="215" t="s">
        <v>139</v>
      </c>
      <c r="N4" s="215">
        <v>50</v>
      </c>
    </row>
    <row r="5" spans="1:15" s="216" customFormat="1" ht="31.5" customHeight="1">
      <c r="A5" s="1658" t="s">
        <v>840</v>
      </c>
      <c r="B5" s="1658" t="s">
        <v>322</v>
      </c>
      <c r="C5" s="1658" t="s">
        <v>841</v>
      </c>
      <c r="D5" s="1658" t="s">
        <v>842</v>
      </c>
      <c r="E5" s="1658" t="s">
        <v>253</v>
      </c>
      <c r="F5" s="1658" t="s">
        <v>843</v>
      </c>
      <c r="G5" s="1658" t="s">
        <v>844</v>
      </c>
      <c r="H5" s="1658" t="s">
        <v>17</v>
      </c>
      <c r="I5" s="1658" t="s">
        <v>845</v>
      </c>
      <c r="J5" s="1658" t="s">
        <v>1319</v>
      </c>
      <c r="K5" s="1659" t="s">
        <v>1321</v>
      </c>
      <c r="L5" s="1659" t="s">
        <v>117</v>
      </c>
      <c r="M5" s="216" t="s">
        <v>846</v>
      </c>
      <c r="N5" s="216">
        <v>48</v>
      </c>
    </row>
    <row r="6" spans="1:15" s="216" customFormat="1" ht="18" customHeight="1">
      <c r="A6" s="1658"/>
      <c r="B6" s="1658"/>
      <c r="C6" s="1658"/>
      <c r="D6" s="1658"/>
      <c r="E6" s="1658"/>
      <c r="F6" s="1658"/>
      <c r="G6" s="1658"/>
      <c r="H6" s="1658"/>
      <c r="I6" s="1658"/>
      <c r="J6" s="1658"/>
      <c r="K6" s="1659"/>
      <c r="L6" s="1659"/>
      <c r="M6" s="216" t="s">
        <v>1521</v>
      </c>
      <c r="N6" s="216">
        <v>72</v>
      </c>
      <c r="O6" s="379"/>
    </row>
    <row r="7" spans="1:15" s="381" customFormat="1" ht="15" customHeight="1">
      <c r="A7" s="380">
        <v>1</v>
      </c>
      <c r="B7" s="380">
        <v>2</v>
      </c>
      <c r="C7" s="380">
        <v>3</v>
      </c>
      <c r="D7" s="380">
        <v>4</v>
      </c>
      <c r="E7" s="380">
        <v>5</v>
      </c>
      <c r="F7" s="380">
        <v>6</v>
      </c>
      <c r="G7" s="380">
        <v>7</v>
      </c>
      <c r="H7" s="380">
        <v>8</v>
      </c>
      <c r="I7" s="380">
        <v>9</v>
      </c>
      <c r="J7" s="380">
        <v>10</v>
      </c>
      <c r="K7" s="380">
        <v>11</v>
      </c>
      <c r="L7" s="380">
        <v>13</v>
      </c>
    </row>
    <row r="8" spans="1:15" s="388" customFormat="1">
      <c r="A8" s="382">
        <v>1</v>
      </c>
      <c r="B8" s="383" t="s">
        <v>847</v>
      </c>
      <c r="C8" s="384" t="s">
        <v>29</v>
      </c>
      <c r="D8" s="385" t="s">
        <v>3</v>
      </c>
      <c r="E8" s="386" t="s">
        <v>15</v>
      </c>
      <c r="F8" s="386">
        <v>0</v>
      </c>
      <c r="G8" s="386">
        <f>'MINI SSR 19-20'!C4</f>
        <v>4700</v>
      </c>
      <c r="H8" s="386"/>
      <c r="I8" s="386"/>
      <c r="J8" s="386"/>
      <c r="K8" s="386"/>
      <c r="L8" s="387">
        <f t="shared" ref="L8:L25" si="0">SUM(F8:K8)</f>
        <v>4700</v>
      </c>
    </row>
    <row r="9" spans="1:15" s="388" customFormat="1">
      <c r="A9" s="382">
        <v>2</v>
      </c>
      <c r="B9" s="383" t="s">
        <v>1701</v>
      </c>
      <c r="C9" s="384" t="s">
        <v>29</v>
      </c>
      <c r="D9" s="385" t="s">
        <v>3</v>
      </c>
      <c r="E9" s="386" t="s">
        <v>15</v>
      </c>
      <c r="F9" s="386">
        <v>0</v>
      </c>
      <c r="G9" s="386">
        <f>'MINI SSR 19-20'!C5</f>
        <v>41500</v>
      </c>
      <c r="H9" s="386"/>
      <c r="I9" s="386">
        <f>G9*18%</f>
        <v>7470</v>
      </c>
      <c r="J9" s="386"/>
      <c r="K9" s="386"/>
      <c r="L9" s="387">
        <f t="shared" si="0"/>
        <v>48970</v>
      </c>
    </row>
    <row r="10" spans="1:15" s="388" customFormat="1">
      <c r="A10" s="382">
        <v>3</v>
      </c>
      <c r="B10" s="389" t="s">
        <v>848</v>
      </c>
      <c r="C10" s="384" t="s">
        <v>29</v>
      </c>
      <c r="D10" s="385" t="s">
        <v>3</v>
      </c>
      <c r="E10" s="386"/>
      <c r="F10" s="386"/>
      <c r="G10" s="386">
        <f>'MINI SSR 19-20'!C7</f>
        <v>43000</v>
      </c>
      <c r="H10" s="386"/>
      <c r="I10" s="386">
        <f>G10*18%</f>
        <v>7740</v>
      </c>
      <c r="J10" s="386"/>
      <c r="K10" s="386"/>
      <c r="L10" s="387">
        <f t="shared" si="0"/>
        <v>50740</v>
      </c>
    </row>
    <row r="11" spans="1:15" s="388" customFormat="1">
      <c r="A11" s="382">
        <v>4</v>
      </c>
      <c r="B11" s="389" t="s">
        <v>849</v>
      </c>
      <c r="C11" s="384" t="s">
        <v>29</v>
      </c>
      <c r="D11" s="385" t="s">
        <v>3</v>
      </c>
      <c r="E11" s="386"/>
      <c r="F11" s="386"/>
      <c r="G11" s="386">
        <f>'MINI SSR 19-20'!C8</f>
        <v>39000</v>
      </c>
      <c r="H11" s="386"/>
      <c r="I11" s="386"/>
      <c r="J11" s="386"/>
      <c r="K11" s="386"/>
      <c r="L11" s="387">
        <f t="shared" si="0"/>
        <v>39000</v>
      </c>
    </row>
    <row r="12" spans="1:15" s="388" customFormat="1">
      <c r="A12" s="382">
        <v>5</v>
      </c>
      <c r="B12" s="389" t="s">
        <v>850</v>
      </c>
      <c r="C12" s="384" t="s">
        <v>5</v>
      </c>
      <c r="D12" s="390" t="s">
        <v>2717</v>
      </c>
      <c r="E12" s="391">
        <f>N3</f>
        <v>85</v>
      </c>
      <c r="F12" s="391">
        <f>VLOOKUP(E12,'con 2019-20'!$A$6:$F$287,2,FALSE)</f>
        <v>874.79999999999893</v>
      </c>
      <c r="G12" s="386">
        <f>'MINI SSR 19-20'!C9</f>
        <v>590</v>
      </c>
      <c r="H12" s="386"/>
      <c r="I12" s="386"/>
      <c r="J12" s="386"/>
      <c r="K12" s="386"/>
      <c r="L12" s="387">
        <f t="shared" si="0"/>
        <v>1464.7999999999988</v>
      </c>
    </row>
    <row r="13" spans="1:15" s="388" customFormat="1">
      <c r="A13" s="382">
        <v>5</v>
      </c>
      <c r="B13" s="389" t="s">
        <v>851</v>
      </c>
      <c r="C13" s="384" t="s">
        <v>5</v>
      </c>
      <c r="D13" s="390" t="str">
        <f>D12</f>
        <v>K.Bitragunta</v>
      </c>
      <c r="E13" s="391">
        <f>E12</f>
        <v>85</v>
      </c>
      <c r="F13" s="391">
        <f>VLOOKUP(E13,'con 2019-20'!$A$6:$F$287,2,FALSE)</f>
        <v>874.79999999999893</v>
      </c>
      <c r="G13" s="386">
        <f>'MINI SSR 19-20'!C10</f>
        <v>510</v>
      </c>
      <c r="H13" s="386"/>
      <c r="I13" s="386"/>
      <c r="J13" s="386"/>
      <c r="K13" s="386"/>
      <c r="L13" s="387">
        <f t="shared" si="0"/>
        <v>1384.7999999999988</v>
      </c>
    </row>
    <row r="14" spans="1:15" s="388" customFormat="1">
      <c r="A14" s="382">
        <v>6</v>
      </c>
      <c r="B14" s="389" t="s">
        <v>768</v>
      </c>
      <c r="C14" s="384" t="s">
        <v>5</v>
      </c>
      <c r="D14" s="390" t="str">
        <f>D13</f>
        <v>K.Bitragunta</v>
      </c>
      <c r="E14" s="391">
        <f>E13</f>
        <v>85</v>
      </c>
      <c r="F14" s="391">
        <f>VLOOKUP(E14,'con 2019-20'!A8:F287,2,FALSE)</f>
        <v>874.79999999999893</v>
      </c>
      <c r="G14" s="386">
        <f>'MINI SSR 19-20'!C11</f>
        <v>375</v>
      </c>
      <c r="H14" s="386"/>
      <c r="I14" s="386"/>
      <c r="J14" s="386"/>
      <c r="K14" s="386"/>
      <c r="L14" s="387">
        <f t="shared" si="0"/>
        <v>1249.7999999999988</v>
      </c>
    </row>
    <row r="15" spans="1:15" s="388" customFormat="1">
      <c r="A15" s="382">
        <v>7</v>
      </c>
      <c r="B15" s="389" t="s">
        <v>1318</v>
      </c>
      <c r="C15" s="384" t="s">
        <v>852</v>
      </c>
      <c r="D15" s="390" t="s">
        <v>1522</v>
      </c>
      <c r="E15" s="391">
        <f>N5</f>
        <v>48</v>
      </c>
      <c r="F15" s="391">
        <f>VLOOKUP(E15,'con 2019-20'!$A$5:$F$287,4,FALSE)</f>
        <v>853.00000000000091</v>
      </c>
      <c r="G15" s="386">
        <f>'MINI SSR 19-20'!C12</f>
        <v>6000</v>
      </c>
      <c r="H15" s="386"/>
      <c r="I15" s="386"/>
      <c r="J15" s="386">
        <f>'MINI SSR 19-20'!D12</f>
        <v>54.8</v>
      </c>
      <c r="K15" s="386">
        <f>'MINI SSR 19-20'!E12</f>
        <v>54.8</v>
      </c>
      <c r="L15" s="387">
        <f t="shared" si="0"/>
        <v>6962.6000000000013</v>
      </c>
    </row>
    <row r="16" spans="1:15" s="388" customFormat="1">
      <c r="A16" s="382">
        <v>8</v>
      </c>
      <c r="B16" s="389" t="s">
        <v>853</v>
      </c>
      <c r="C16" s="384" t="s">
        <v>5</v>
      </c>
      <c r="D16" s="390" t="s">
        <v>2017</v>
      </c>
      <c r="E16" s="391">
        <f>N4</f>
        <v>50</v>
      </c>
      <c r="F16" s="391">
        <f>VLOOKUP(E16,'con 2019-20'!$A$5:$F$287,3,FALSE)</f>
        <v>545.79999999999973</v>
      </c>
      <c r="G16" s="386">
        <f>'MINI SSR 19-20'!C13</f>
        <v>608</v>
      </c>
      <c r="H16" s="386">
        <v>70</v>
      </c>
      <c r="I16" s="386">
        <f>ROUND(G16*0.25,2)</f>
        <v>152</v>
      </c>
      <c r="J16" s="386"/>
      <c r="K16" s="386"/>
      <c r="L16" s="387">
        <f t="shared" si="0"/>
        <v>1375.7999999999997</v>
      </c>
    </row>
    <row r="17" spans="1:12" s="392" customFormat="1">
      <c r="A17" s="382">
        <v>9</v>
      </c>
      <c r="B17" s="389" t="s">
        <v>854</v>
      </c>
      <c r="C17" s="384" t="s">
        <v>5</v>
      </c>
      <c r="D17" s="390" t="str">
        <f t="shared" ref="D17:E20" si="1">D16</f>
        <v>Ramatherdham</v>
      </c>
      <c r="E17" s="391">
        <f t="shared" si="1"/>
        <v>50</v>
      </c>
      <c r="F17" s="391">
        <f>VLOOKUP(E17,'con 2019-20'!$A$5:$F$287,3,FALSE)</f>
        <v>545.79999999999973</v>
      </c>
      <c r="G17" s="386">
        <f>'MINI SSR 19-20'!C14</f>
        <v>1016</v>
      </c>
      <c r="H17" s="386">
        <v>70</v>
      </c>
      <c r="I17" s="386">
        <f>ROUND(G17*0.25,2)</f>
        <v>254</v>
      </c>
      <c r="J17" s="386"/>
      <c r="K17" s="386"/>
      <c r="L17" s="387">
        <f t="shared" si="0"/>
        <v>1885.7999999999997</v>
      </c>
    </row>
    <row r="18" spans="1:12" s="392" customFormat="1">
      <c r="A18" s="382">
        <v>10</v>
      </c>
      <c r="B18" s="389" t="s">
        <v>855</v>
      </c>
      <c r="C18" s="384" t="s">
        <v>5</v>
      </c>
      <c r="D18" s="390" t="str">
        <f t="shared" si="1"/>
        <v>Ramatherdham</v>
      </c>
      <c r="E18" s="391">
        <f t="shared" si="1"/>
        <v>50</v>
      </c>
      <c r="F18" s="391">
        <f>VLOOKUP(E18,'con 2019-20'!$A$5:$F$287,3,FALSE)</f>
        <v>545.79999999999973</v>
      </c>
      <c r="G18" s="386">
        <f>'MINI SSR 19-20'!C15</f>
        <v>808</v>
      </c>
      <c r="H18" s="386">
        <v>70</v>
      </c>
      <c r="I18" s="386">
        <f>ROUND(G18*0.25,2)</f>
        <v>202</v>
      </c>
      <c r="J18" s="386"/>
      <c r="K18" s="386"/>
      <c r="L18" s="387">
        <f t="shared" si="0"/>
        <v>1625.7999999999997</v>
      </c>
    </row>
    <row r="19" spans="1:12" s="392" customFormat="1">
      <c r="A19" s="382">
        <v>11</v>
      </c>
      <c r="B19" s="389" t="s">
        <v>856</v>
      </c>
      <c r="C19" s="384" t="s">
        <v>5</v>
      </c>
      <c r="D19" s="390" t="str">
        <f t="shared" si="1"/>
        <v>Ramatherdham</v>
      </c>
      <c r="E19" s="391">
        <f t="shared" si="1"/>
        <v>50</v>
      </c>
      <c r="F19" s="391">
        <f>VLOOKUP(E19,'con 2019-20'!$A$5:$F$287,3,FALSE)</f>
        <v>545.79999999999973</v>
      </c>
      <c r="G19" s="386">
        <f>'MINI SSR 19-20'!C16</f>
        <v>680</v>
      </c>
      <c r="H19" s="386">
        <v>70</v>
      </c>
      <c r="I19" s="386">
        <f>ROUND(G19*0.25,2)</f>
        <v>170</v>
      </c>
      <c r="J19" s="386"/>
      <c r="K19" s="386"/>
      <c r="L19" s="387">
        <f t="shared" si="0"/>
        <v>1465.7999999999997</v>
      </c>
    </row>
    <row r="20" spans="1:12" s="392" customFormat="1">
      <c r="A20" s="382">
        <v>12</v>
      </c>
      <c r="B20" s="389" t="s">
        <v>857</v>
      </c>
      <c r="C20" s="384" t="s">
        <v>5</v>
      </c>
      <c r="D20" s="390" t="str">
        <f t="shared" si="1"/>
        <v>Ramatherdham</v>
      </c>
      <c r="E20" s="391">
        <f t="shared" si="1"/>
        <v>50</v>
      </c>
      <c r="F20" s="391">
        <f>VLOOKUP(E20,'con 2019-20'!$A$5:$F$287,3,FALSE)</f>
        <v>545.79999999999973</v>
      </c>
      <c r="G20" s="386">
        <f>'MINI SSR 19-20'!C17</f>
        <v>524</v>
      </c>
      <c r="H20" s="386">
        <v>70</v>
      </c>
      <c r="I20" s="386">
        <f>ROUND(G20*0.25,2)</f>
        <v>131</v>
      </c>
      <c r="J20" s="386"/>
      <c r="K20" s="386"/>
      <c r="L20" s="387">
        <f t="shared" si="0"/>
        <v>1270.7999999999997</v>
      </c>
    </row>
    <row r="21" spans="1:12" s="392" customFormat="1">
      <c r="A21" s="382">
        <v>13</v>
      </c>
      <c r="B21" s="389" t="s">
        <v>1193</v>
      </c>
      <c r="C21" s="384" t="s">
        <v>5</v>
      </c>
      <c r="D21" s="390" t="str">
        <f>D20</f>
        <v>Ramatherdham</v>
      </c>
      <c r="E21" s="391">
        <f>E20</f>
        <v>50</v>
      </c>
      <c r="F21" s="391">
        <f>VLOOKUP(E21,'con 2019-20'!$A$5:$F$287,3,FALSE)</f>
        <v>545.79999999999973</v>
      </c>
      <c r="G21" s="386">
        <f>'MINI SSR 19-20'!C18</f>
        <v>250</v>
      </c>
      <c r="H21" s="386">
        <v>70</v>
      </c>
      <c r="I21" s="386"/>
      <c r="J21" s="386"/>
      <c r="K21" s="386"/>
      <c r="L21" s="387">
        <f t="shared" si="0"/>
        <v>865.79999999999973</v>
      </c>
    </row>
    <row r="22" spans="1:12" s="388" customFormat="1">
      <c r="A22" s="382">
        <v>14</v>
      </c>
      <c r="B22" s="393" t="s">
        <v>1320</v>
      </c>
      <c r="C22" s="384" t="s">
        <v>102</v>
      </c>
      <c r="D22" s="390" t="str">
        <f>D21</f>
        <v>Ramatherdham</v>
      </c>
      <c r="E22" s="391">
        <f>E20</f>
        <v>50</v>
      </c>
      <c r="F22" s="391">
        <f>VLOOKUP(E22,'con 2019-20'!$A$5:$F$287,5,FALSE)*0.16</f>
        <v>128.60799999999998</v>
      </c>
      <c r="G22" s="386">
        <f>'MINI SSR 19-20'!C19</f>
        <v>1991</v>
      </c>
      <c r="H22" s="386"/>
      <c r="I22" s="386"/>
      <c r="J22" s="386"/>
      <c r="K22" s="386"/>
      <c r="L22" s="387">
        <f t="shared" si="0"/>
        <v>2119.6080000000002</v>
      </c>
    </row>
    <row r="23" spans="1:12" s="388" customFormat="1">
      <c r="A23" s="382">
        <v>15</v>
      </c>
      <c r="B23" s="389" t="s">
        <v>3174</v>
      </c>
      <c r="C23" s="384"/>
      <c r="D23" s="390" t="s">
        <v>1209</v>
      </c>
      <c r="E23" s="391">
        <f>N6</f>
        <v>72</v>
      </c>
      <c r="F23" s="391">
        <f>VLOOKUP(E23,'con 2019-20'!$A$5:$F$287,4,FALSE)</f>
        <v>1217.800000000002</v>
      </c>
      <c r="G23" s="386">
        <f>'MINI SSR 19-20'!C24</f>
        <v>18000</v>
      </c>
      <c r="H23" s="386"/>
      <c r="I23" s="386"/>
      <c r="J23" s="386"/>
      <c r="K23" s="386"/>
      <c r="L23" s="387">
        <f t="shared" si="0"/>
        <v>19217.800000000003</v>
      </c>
    </row>
    <row r="24" spans="1:12" s="388" customFormat="1">
      <c r="A24" s="382">
        <v>16</v>
      </c>
      <c r="B24" s="389" t="s">
        <v>860</v>
      </c>
      <c r="C24" s="384" t="s">
        <v>5</v>
      </c>
      <c r="D24" s="390" t="s">
        <v>3</v>
      </c>
      <c r="E24" s="391">
        <v>5</v>
      </c>
      <c r="F24" s="391">
        <f>VLOOKUP(E24,'con 2019-20'!$A$6:$F$287,2,FALSE)</f>
        <v>75.3</v>
      </c>
      <c r="G24" s="386">
        <f>'MINI SSR 19-20'!C25</f>
        <v>86</v>
      </c>
      <c r="H24" s="386"/>
      <c r="I24" s="386"/>
      <c r="J24" s="386"/>
      <c r="K24" s="386"/>
      <c r="L24" s="387">
        <f t="shared" si="0"/>
        <v>161.30000000000001</v>
      </c>
    </row>
    <row r="25" spans="1:12" s="388" customFormat="1">
      <c r="A25" s="382">
        <v>17</v>
      </c>
      <c r="B25" s="389" t="s">
        <v>664</v>
      </c>
      <c r="C25" s="384" t="s">
        <v>5</v>
      </c>
      <c r="D25" s="390" t="s">
        <v>3</v>
      </c>
      <c r="E25" s="391">
        <v>5</v>
      </c>
      <c r="F25" s="391">
        <f>VLOOKUP(E25,'con 2019-20'!$A$6:$F$287,2,FALSE)</f>
        <v>75.3</v>
      </c>
      <c r="G25" s="386">
        <f>'MINI SSR 19-20'!C26</f>
        <v>113</v>
      </c>
      <c r="H25" s="386"/>
      <c r="I25" s="386"/>
      <c r="J25" s="386"/>
      <c r="K25" s="386"/>
      <c r="L25" s="387">
        <f t="shared" si="0"/>
        <v>188.3</v>
      </c>
    </row>
    <row r="26" spans="1:12" s="396" customFormat="1">
      <c r="A26" s="382"/>
      <c r="B26" s="394"/>
      <c r="C26" s="382"/>
      <c r="D26" s="394"/>
      <c r="E26" s="394"/>
      <c r="F26" s="394"/>
      <c r="G26" s="394"/>
      <c r="H26" s="394"/>
      <c r="I26" s="394"/>
      <c r="J26" s="394"/>
      <c r="K26" s="394"/>
      <c r="L26" s="395"/>
    </row>
    <row r="27" spans="1:12" s="396" customFormat="1">
      <c r="A27" s="388"/>
      <c r="C27" s="388"/>
    </row>
    <row r="28" spans="1:12" s="396" customFormat="1">
      <c r="A28" s="388" t="s">
        <v>1456</v>
      </c>
      <c r="B28" s="227" t="s">
        <v>1455</v>
      </c>
      <c r="C28" s="388"/>
    </row>
    <row r="29" spans="1:12" s="396" customFormat="1">
      <c r="A29" s="388" t="s">
        <v>1457</v>
      </c>
      <c r="B29" s="227" t="s">
        <v>1458</v>
      </c>
      <c r="C29" s="388"/>
    </row>
    <row r="30" spans="1:12" s="396" customFormat="1">
      <c r="A30" s="388"/>
      <c r="B30" s="227"/>
      <c r="C30" s="388"/>
    </row>
    <row r="31" spans="1:12" s="58" customFormat="1">
      <c r="B31" s="396"/>
      <c r="C31" s="388"/>
      <c r="D31" s="388"/>
      <c r="E31" s="396"/>
      <c r="F31" s="59"/>
      <c r="H31" s="217" t="s">
        <v>149</v>
      </c>
      <c r="J31" s="59"/>
      <c r="K31" s="217" t="s">
        <v>3648</v>
      </c>
      <c r="L31" s="59"/>
    </row>
    <row r="32" spans="1:12" s="58" customFormat="1">
      <c r="B32" s="396"/>
      <c r="C32" s="388"/>
      <c r="D32" s="388"/>
      <c r="E32" s="396"/>
      <c r="H32" s="217" t="s">
        <v>858</v>
      </c>
      <c r="J32" s="59"/>
      <c r="K32" s="217" t="s">
        <v>859</v>
      </c>
      <c r="L32" s="59"/>
    </row>
    <row r="33" spans="1:11" s="396" customFormat="1">
      <c r="A33" s="388"/>
      <c r="C33" s="388"/>
      <c r="D33" s="388"/>
      <c r="H33" s="217" t="s">
        <v>1523</v>
      </c>
      <c r="K33" s="217" t="s">
        <v>1523</v>
      </c>
    </row>
    <row r="34" spans="1:11" s="396" customFormat="1">
      <c r="A34" s="388"/>
      <c r="C34" s="388"/>
      <c r="D34" s="388"/>
    </row>
    <row r="35" spans="1:11" s="396" customFormat="1">
      <c r="A35" s="388"/>
      <c r="C35" s="388"/>
      <c r="D35" s="388"/>
    </row>
  </sheetData>
  <mergeCells count="14">
    <mergeCell ref="I5:I6"/>
    <mergeCell ref="J5:J6"/>
    <mergeCell ref="K5:K6"/>
    <mergeCell ref="L5:L6"/>
    <mergeCell ref="A1:L1"/>
    <mergeCell ref="A5:A6"/>
    <mergeCell ref="B5:B6"/>
    <mergeCell ref="C5:C6"/>
    <mergeCell ref="D5:D6"/>
    <mergeCell ref="E5:E6"/>
    <mergeCell ref="F5:F6"/>
    <mergeCell ref="G5:G6"/>
    <mergeCell ref="H5:H6"/>
    <mergeCell ref="C2:L2"/>
  </mergeCells>
  <pageMargins left="0.71" right="0.2" top="0.25" bottom="0.25" header="0.3" footer="0.3"/>
  <pageSetup paperSize="9" orientation="landscape" verticalDpi="300" r:id="rId1"/>
  <rowBreaks count="1" manualBreakCount="1">
    <brk id="34" max="16383" man="1"/>
  </rowBreaks>
</worksheet>
</file>

<file path=xl/worksheets/sheet18.xml><?xml version="1.0" encoding="utf-8"?>
<worksheet xmlns="http://schemas.openxmlformats.org/spreadsheetml/2006/main" xmlns:r="http://schemas.openxmlformats.org/officeDocument/2006/relationships">
  <sheetPr>
    <tabColor rgb="FF7030A0"/>
  </sheetPr>
  <dimension ref="A1:O35"/>
  <sheetViews>
    <sheetView view="pageBreakPreview" topLeftCell="A13" zoomScale="115" zoomScaleNormal="130" zoomScaleSheetLayoutView="115" workbookViewId="0">
      <selection activeCell="B23" sqref="B23"/>
    </sheetView>
  </sheetViews>
  <sheetFormatPr defaultColWidth="9.140625" defaultRowHeight="12.75"/>
  <cols>
    <col min="1" max="1" width="5.7109375" style="397" customWidth="1"/>
    <col min="2" max="2" width="31.5703125" style="215" customWidth="1"/>
    <col min="3" max="3" width="5.7109375" style="397" customWidth="1"/>
    <col min="4" max="4" width="14.140625" style="397" customWidth="1"/>
    <col min="5" max="5" width="6.7109375" style="215" bestFit="1" customWidth="1"/>
    <col min="6" max="6" width="7.140625" style="215" customWidth="1"/>
    <col min="7" max="7" width="8.140625" style="215" customWidth="1"/>
    <col min="8" max="8" width="7.5703125" style="215" customWidth="1"/>
    <col min="9" max="9" width="8.140625" style="215" customWidth="1"/>
    <col min="10" max="10" width="8.28515625" style="215" customWidth="1"/>
    <col min="11" max="11" width="8.42578125" style="215" customWidth="1"/>
    <col min="12" max="12" width="8.7109375" style="215" customWidth="1"/>
    <col min="13" max="17" width="9.140625" style="215" customWidth="1"/>
    <col min="18" max="16384" width="9.140625" style="215"/>
  </cols>
  <sheetData>
    <row r="1" spans="1:15" s="214" customFormat="1" ht="20.100000000000001" customHeight="1">
      <c r="A1" s="1660" t="s">
        <v>2298</v>
      </c>
      <c r="B1" s="1661"/>
      <c r="C1" s="1661"/>
      <c r="D1" s="1661"/>
      <c r="E1" s="1661"/>
      <c r="F1" s="1661"/>
      <c r="G1" s="1661"/>
      <c r="H1" s="1661"/>
      <c r="I1" s="1661"/>
      <c r="J1" s="1661"/>
      <c r="K1" s="1661"/>
      <c r="L1" s="1661"/>
    </row>
    <row r="2" spans="1:15" s="214" customFormat="1" ht="27.75" customHeight="1">
      <c r="A2" s="370"/>
      <c r="B2" s="57" t="s">
        <v>836</v>
      </c>
      <c r="C2" s="1662" t="str">
        <f>'lead 19-20'!C2:L2</f>
        <v>Providing Additional Space for Health Staff in Grama Sachivalayam of Baduguleru GP of Kanigiri Mandal</v>
      </c>
      <c r="D2" s="1662"/>
      <c r="E2" s="1662"/>
      <c r="F2" s="1662"/>
      <c r="G2" s="1662"/>
      <c r="H2" s="1662"/>
      <c r="I2" s="1662"/>
      <c r="J2" s="1662"/>
      <c r="K2" s="1662"/>
      <c r="L2" s="1662"/>
    </row>
    <row r="3" spans="1:15" s="214" customFormat="1" ht="20.100000000000001" customHeight="1">
      <c r="A3" s="371"/>
      <c r="B3" s="372"/>
      <c r="C3" s="373" t="s">
        <v>1636</v>
      </c>
      <c r="D3" s="371"/>
      <c r="E3" s="374"/>
      <c r="F3" s="374"/>
      <c r="G3" s="374"/>
      <c r="H3" s="374"/>
      <c r="I3" s="374"/>
      <c r="J3" s="372"/>
      <c r="K3" s="372"/>
      <c r="L3" s="374"/>
      <c r="M3" s="214" t="s">
        <v>837</v>
      </c>
      <c r="N3" s="214">
        <f>'lead 19-20'!N3</f>
        <v>85</v>
      </c>
    </row>
    <row r="4" spans="1:15" ht="15" customHeight="1">
      <c r="A4" s="375"/>
      <c r="B4" s="218" t="s">
        <v>838</v>
      </c>
      <c r="C4" s="455" t="str">
        <f>'lead 19-20'!C4</f>
        <v>No: 087043102002090039</v>
      </c>
      <c r="D4" s="375"/>
      <c r="E4" s="376"/>
      <c r="F4" s="375"/>
      <c r="G4" s="376"/>
      <c r="H4" s="376"/>
      <c r="I4" s="376"/>
      <c r="J4" s="377" t="s">
        <v>839</v>
      </c>
      <c r="K4" s="378" t="str">
        <f>'lead 19-20'!K4</f>
        <v>20.80 Lakhs</v>
      </c>
      <c r="L4" s="375"/>
      <c r="M4" s="215" t="s">
        <v>139</v>
      </c>
      <c r="N4" s="214">
        <f>'lead 19-20'!N4</f>
        <v>50</v>
      </c>
    </row>
    <row r="5" spans="1:15" s="216" customFormat="1" ht="31.5" customHeight="1">
      <c r="A5" s="1658" t="s">
        <v>840</v>
      </c>
      <c r="B5" s="1658" t="s">
        <v>322</v>
      </c>
      <c r="C5" s="1658" t="s">
        <v>841</v>
      </c>
      <c r="D5" s="1658" t="s">
        <v>842</v>
      </c>
      <c r="E5" s="1658" t="s">
        <v>253</v>
      </c>
      <c r="F5" s="1658" t="s">
        <v>843</v>
      </c>
      <c r="G5" s="1658" t="s">
        <v>844</v>
      </c>
      <c r="H5" s="1658" t="s">
        <v>17</v>
      </c>
      <c r="I5" s="1658" t="s">
        <v>845</v>
      </c>
      <c r="J5" s="1658" t="s">
        <v>1319</v>
      </c>
      <c r="K5" s="1659" t="s">
        <v>1321</v>
      </c>
      <c r="L5" s="1659" t="s">
        <v>117</v>
      </c>
      <c r="M5" s="216" t="s">
        <v>846</v>
      </c>
      <c r="N5" s="214">
        <f>'lead 19-20'!N5</f>
        <v>48</v>
      </c>
    </row>
    <row r="6" spans="1:15" s="216" customFormat="1" ht="18" customHeight="1">
      <c r="A6" s="1658"/>
      <c r="B6" s="1658"/>
      <c r="C6" s="1658"/>
      <c r="D6" s="1658"/>
      <c r="E6" s="1658"/>
      <c r="F6" s="1658"/>
      <c r="G6" s="1658"/>
      <c r="H6" s="1658"/>
      <c r="I6" s="1658"/>
      <c r="J6" s="1658"/>
      <c r="K6" s="1659"/>
      <c r="L6" s="1659"/>
      <c r="M6" s="216" t="s">
        <v>1521</v>
      </c>
      <c r="N6" s="214">
        <f>'lead 19-20'!N6</f>
        <v>72</v>
      </c>
      <c r="O6" s="379"/>
    </row>
    <row r="7" spans="1:15" s="381" customFormat="1" ht="15" customHeight="1">
      <c r="A7" s="380">
        <v>1</v>
      </c>
      <c r="B7" s="380">
        <v>2</v>
      </c>
      <c r="C7" s="380">
        <v>3</v>
      </c>
      <c r="D7" s="380">
        <v>4</v>
      </c>
      <c r="E7" s="380">
        <v>5</v>
      </c>
      <c r="F7" s="380">
        <v>6</v>
      </c>
      <c r="G7" s="380">
        <v>7</v>
      </c>
      <c r="H7" s="380">
        <v>8</v>
      </c>
      <c r="I7" s="380">
        <v>9</v>
      </c>
      <c r="J7" s="380">
        <v>10</v>
      </c>
      <c r="K7" s="380">
        <v>11</v>
      </c>
      <c r="L7" s="380">
        <v>13</v>
      </c>
    </row>
    <row r="8" spans="1:15" s="388" customFormat="1">
      <c r="A8" s="382">
        <v>1</v>
      </c>
      <c r="B8" s="383" t="s">
        <v>847</v>
      </c>
      <c r="C8" s="384" t="s">
        <v>29</v>
      </c>
      <c r="D8" s="385" t="s">
        <v>3</v>
      </c>
      <c r="E8" s="386" t="s">
        <v>15</v>
      </c>
      <c r="F8" s="386">
        <v>0</v>
      </c>
      <c r="G8" s="386">
        <f>'MINI SSR 2020-21'!C4</f>
        <v>4700</v>
      </c>
      <c r="H8" s="386"/>
      <c r="I8" s="386"/>
      <c r="J8" s="386"/>
      <c r="K8" s="386"/>
      <c r="L8" s="387">
        <f t="shared" ref="L8:L25" si="0">SUM(F8:K8)</f>
        <v>4700</v>
      </c>
    </row>
    <row r="9" spans="1:15" s="388" customFormat="1">
      <c r="A9" s="382">
        <v>2</v>
      </c>
      <c r="B9" s="383" t="s">
        <v>1701</v>
      </c>
      <c r="C9" s="384" t="s">
        <v>29</v>
      </c>
      <c r="D9" s="385" t="s">
        <v>3</v>
      </c>
      <c r="E9" s="386" t="s">
        <v>15</v>
      </c>
      <c r="F9" s="386">
        <v>0</v>
      </c>
      <c r="G9" s="386">
        <f>'MINI SSR 2020-21'!C5</f>
        <v>41000</v>
      </c>
      <c r="H9" s="386"/>
      <c r="I9" s="386">
        <f>G9*18%</f>
        <v>7380</v>
      </c>
      <c r="J9" s="386"/>
      <c r="K9" s="386"/>
      <c r="L9" s="387">
        <f t="shared" si="0"/>
        <v>48380</v>
      </c>
    </row>
    <row r="10" spans="1:15" s="388" customFormat="1">
      <c r="A10" s="382">
        <v>3</v>
      </c>
      <c r="B10" s="389" t="s">
        <v>848</v>
      </c>
      <c r="C10" s="384" t="s">
        <v>29</v>
      </c>
      <c r="D10" s="385" t="s">
        <v>3</v>
      </c>
      <c r="E10" s="386"/>
      <c r="F10" s="386"/>
      <c r="G10" s="386">
        <f>'MINI SSR 2020-21'!C7</f>
        <v>42000</v>
      </c>
      <c r="H10" s="386"/>
      <c r="I10" s="386">
        <f>G10*18%</f>
        <v>7560</v>
      </c>
      <c r="J10" s="386"/>
      <c r="K10" s="386"/>
      <c r="L10" s="387">
        <f t="shared" si="0"/>
        <v>49560</v>
      </c>
    </row>
    <row r="11" spans="1:15" s="388" customFormat="1">
      <c r="A11" s="382">
        <v>4</v>
      </c>
      <c r="B11" s="389" t="s">
        <v>849</v>
      </c>
      <c r="C11" s="384" t="s">
        <v>29</v>
      </c>
      <c r="D11" s="385" t="s">
        <v>3</v>
      </c>
      <c r="E11" s="386"/>
      <c r="F11" s="386"/>
      <c r="G11" s="386">
        <f>'MINI SSR 2020-21'!C8</f>
        <v>39500</v>
      </c>
      <c r="H11" s="386"/>
      <c r="I11" s="386"/>
      <c r="J11" s="386"/>
      <c r="K11" s="386"/>
      <c r="L11" s="387">
        <f t="shared" si="0"/>
        <v>39500</v>
      </c>
    </row>
    <row r="12" spans="1:15" s="388" customFormat="1">
      <c r="A12" s="382">
        <v>5</v>
      </c>
      <c r="B12" s="389" t="s">
        <v>850</v>
      </c>
      <c r="C12" s="384" t="s">
        <v>5</v>
      </c>
      <c r="D12" s="390" t="s">
        <v>2717</v>
      </c>
      <c r="E12" s="391">
        <f>N3</f>
        <v>85</v>
      </c>
      <c r="F12" s="391">
        <f>VLOOKUP(E12,'con 2020-21'!$A$6:$F$305,2,FALSE)</f>
        <v>941.60000000000105</v>
      </c>
      <c r="G12" s="386">
        <f>'MINI SSR 2020-21'!C9</f>
        <v>605</v>
      </c>
      <c r="H12" s="386"/>
      <c r="I12" s="386"/>
      <c r="J12" s="386"/>
      <c r="K12" s="386"/>
      <c r="L12" s="387">
        <f t="shared" si="0"/>
        <v>1546.600000000001</v>
      </c>
    </row>
    <row r="13" spans="1:15" s="388" customFormat="1">
      <c r="A13" s="382">
        <v>5</v>
      </c>
      <c r="B13" s="389" t="s">
        <v>851</v>
      </c>
      <c r="C13" s="384" t="s">
        <v>5</v>
      </c>
      <c r="D13" s="390" t="str">
        <f>D12</f>
        <v>K.Bitragunta</v>
      </c>
      <c r="E13" s="391">
        <f>E12</f>
        <v>85</v>
      </c>
      <c r="F13" s="391">
        <f>VLOOKUP(E13,'con 2020-21'!$A$6:$F$305,2,FALSE)</f>
        <v>941.60000000000105</v>
      </c>
      <c r="G13" s="386">
        <f>'MINI SSR 2020-21'!C10</f>
        <v>510</v>
      </c>
      <c r="H13" s="386"/>
      <c r="I13" s="386"/>
      <c r="J13" s="386"/>
      <c r="K13" s="386"/>
      <c r="L13" s="387">
        <f t="shared" si="0"/>
        <v>1451.600000000001</v>
      </c>
    </row>
    <row r="14" spans="1:15" s="388" customFormat="1">
      <c r="A14" s="382">
        <v>6</v>
      </c>
      <c r="B14" s="389" t="s">
        <v>768</v>
      </c>
      <c r="C14" s="384" t="s">
        <v>5</v>
      </c>
      <c r="D14" s="390" t="str">
        <f>D13</f>
        <v>K.Bitragunta</v>
      </c>
      <c r="E14" s="391">
        <f>E13</f>
        <v>85</v>
      </c>
      <c r="F14" s="391">
        <f>VLOOKUP(E14,'con 2020-21'!A8:F307,2,FALSE)</f>
        <v>941.60000000000105</v>
      </c>
      <c r="G14" s="386">
        <f>'MINI SSR 2020-21'!C11</f>
        <v>375</v>
      </c>
      <c r="H14" s="386"/>
      <c r="I14" s="386"/>
      <c r="J14" s="386"/>
      <c r="K14" s="386"/>
      <c r="L14" s="387">
        <f t="shared" si="0"/>
        <v>1316.600000000001</v>
      </c>
    </row>
    <row r="15" spans="1:15" s="388" customFormat="1">
      <c r="A15" s="382">
        <v>7</v>
      </c>
      <c r="B15" s="389" t="s">
        <v>1318</v>
      </c>
      <c r="C15" s="384" t="s">
        <v>852</v>
      </c>
      <c r="D15" s="390" t="s">
        <v>1522</v>
      </c>
      <c r="E15" s="391">
        <f>N5</f>
        <v>48</v>
      </c>
      <c r="F15" s="391">
        <f>VLOOKUP(E15,'con 2020-21'!$A$5:$F$308,4,FALSE)</f>
        <v>913.7999999999995</v>
      </c>
      <c r="G15" s="386">
        <f>'MINI SSR 2020-21'!C12</f>
        <v>6000</v>
      </c>
      <c r="H15" s="386"/>
      <c r="I15" s="386"/>
      <c r="J15" s="386">
        <f>'MINI SSR 2020-21'!D12</f>
        <v>60</v>
      </c>
      <c r="K15" s="386">
        <f>'MINI SSR 2020-21'!E12</f>
        <v>60</v>
      </c>
      <c r="L15" s="387">
        <f t="shared" si="0"/>
        <v>7033.7999999999993</v>
      </c>
    </row>
    <row r="16" spans="1:15" s="388" customFormat="1">
      <c r="A16" s="382">
        <v>8</v>
      </c>
      <c r="B16" s="389" t="s">
        <v>853</v>
      </c>
      <c r="C16" s="384" t="s">
        <v>5</v>
      </c>
      <c r="D16" s="390" t="s">
        <v>2017</v>
      </c>
      <c r="E16" s="391">
        <f>N4</f>
        <v>50</v>
      </c>
      <c r="F16" s="391">
        <f>VLOOKUP(E16,'con 2020-21'!$A$5:$F$309,3,FALSE)</f>
        <v>566.79999999999973</v>
      </c>
      <c r="G16" s="386">
        <f>'MINI SSR 2020-21'!C13</f>
        <v>640</v>
      </c>
      <c r="H16" s="386">
        <v>70</v>
      </c>
      <c r="I16" s="386">
        <f>ROUND(G16*0.25,2)</f>
        <v>160</v>
      </c>
      <c r="J16" s="386"/>
      <c r="K16" s="386"/>
      <c r="L16" s="387">
        <f t="shared" si="0"/>
        <v>1436.7999999999997</v>
      </c>
    </row>
    <row r="17" spans="1:12" s="392" customFormat="1">
      <c r="A17" s="382">
        <v>9</v>
      </c>
      <c r="B17" s="389" t="s">
        <v>854</v>
      </c>
      <c r="C17" s="384" t="s">
        <v>5</v>
      </c>
      <c r="D17" s="390" t="str">
        <f t="shared" ref="D17:E20" si="1">D16</f>
        <v>Ramatherdham</v>
      </c>
      <c r="E17" s="391">
        <f t="shared" si="1"/>
        <v>50</v>
      </c>
      <c r="F17" s="391">
        <f>VLOOKUP(E17,'con 2020-21'!$A$5:$F$309,3,FALSE)</f>
        <v>566.79999999999973</v>
      </c>
      <c r="G17" s="386">
        <f>'MINI SSR 2020-21'!C14</f>
        <v>1064</v>
      </c>
      <c r="H17" s="386">
        <v>70</v>
      </c>
      <c r="I17" s="386">
        <f>ROUND(G17*0.25,2)</f>
        <v>266</v>
      </c>
      <c r="J17" s="386"/>
      <c r="K17" s="386"/>
      <c r="L17" s="387">
        <f t="shared" si="0"/>
        <v>1966.7999999999997</v>
      </c>
    </row>
    <row r="18" spans="1:12" s="392" customFormat="1">
      <c r="A18" s="382">
        <v>10</v>
      </c>
      <c r="B18" s="389" t="s">
        <v>855</v>
      </c>
      <c r="C18" s="384" t="s">
        <v>5</v>
      </c>
      <c r="D18" s="390" t="str">
        <f t="shared" si="1"/>
        <v>Ramatherdham</v>
      </c>
      <c r="E18" s="391">
        <f t="shared" si="1"/>
        <v>50</v>
      </c>
      <c r="F18" s="391">
        <f>VLOOKUP(E18,'con 2020-21'!$A$5:$F$309,3,FALSE)</f>
        <v>566.79999999999973</v>
      </c>
      <c r="G18" s="386">
        <f>'MINI SSR 2020-21'!C15</f>
        <v>848</v>
      </c>
      <c r="H18" s="386">
        <v>70</v>
      </c>
      <c r="I18" s="386">
        <f>ROUND(G18*0.25,2)</f>
        <v>212</v>
      </c>
      <c r="J18" s="386"/>
      <c r="K18" s="386"/>
      <c r="L18" s="387">
        <f t="shared" si="0"/>
        <v>1696.7999999999997</v>
      </c>
    </row>
    <row r="19" spans="1:12" s="392" customFormat="1">
      <c r="A19" s="382">
        <v>11</v>
      </c>
      <c r="B19" s="389" t="s">
        <v>856</v>
      </c>
      <c r="C19" s="384" t="s">
        <v>5</v>
      </c>
      <c r="D19" s="390" t="str">
        <f t="shared" si="1"/>
        <v>Ramatherdham</v>
      </c>
      <c r="E19" s="391">
        <f t="shared" si="1"/>
        <v>50</v>
      </c>
      <c r="F19" s="391">
        <f>VLOOKUP(E19,'con 2020-21'!$A$5:$F$309,3,FALSE)</f>
        <v>566.79999999999973</v>
      </c>
      <c r="G19" s="386">
        <f>'MINI SSR 2020-21'!C16</f>
        <v>716</v>
      </c>
      <c r="H19" s="386">
        <v>70</v>
      </c>
      <c r="I19" s="386">
        <f>ROUND(G19*0.25,2)</f>
        <v>179</v>
      </c>
      <c r="J19" s="386"/>
      <c r="K19" s="386"/>
      <c r="L19" s="387">
        <f t="shared" si="0"/>
        <v>1531.7999999999997</v>
      </c>
    </row>
    <row r="20" spans="1:12" s="392" customFormat="1">
      <c r="A20" s="382">
        <v>12</v>
      </c>
      <c r="B20" s="389" t="s">
        <v>857</v>
      </c>
      <c r="C20" s="384" t="s">
        <v>5</v>
      </c>
      <c r="D20" s="390" t="str">
        <f t="shared" si="1"/>
        <v>Ramatherdham</v>
      </c>
      <c r="E20" s="391">
        <f t="shared" si="1"/>
        <v>50</v>
      </c>
      <c r="F20" s="391">
        <f>VLOOKUP(E20,'con 2020-21'!$A$5:$F$309,3,FALSE)</f>
        <v>566.79999999999973</v>
      </c>
      <c r="G20" s="386">
        <f>'MINI SSR 2020-21'!C17</f>
        <v>568</v>
      </c>
      <c r="H20" s="386">
        <v>70</v>
      </c>
      <c r="I20" s="386">
        <f>ROUND(G20*0.25,2)</f>
        <v>142</v>
      </c>
      <c r="J20" s="386"/>
      <c r="K20" s="386"/>
      <c r="L20" s="387">
        <f t="shared" si="0"/>
        <v>1346.7999999999997</v>
      </c>
    </row>
    <row r="21" spans="1:12" s="392" customFormat="1">
      <c r="A21" s="382">
        <v>13</v>
      </c>
      <c r="B21" s="389" t="s">
        <v>1193</v>
      </c>
      <c r="C21" s="384" t="s">
        <v>5</v>
      </c>
      <c r="D21" s="390" t="str">
        <f>D20</f>
        <v>Ramatherdham</v>
      </c>
      <c r="E21" s="391">
        <f>E20</f>
        <v>50</v>
      </c>
      <c r="F21" s="391">
        <f>VLOOKUP(E21,'con 2020-21'!$A$5:$F$309,3,FALSE)</f>
        <v>566.79999999999973</v>
      </c>
      <c r="G21" s="386">
        <f>'MINI SSR 2020-21'!C18</f>
        <v>255</v>
      </c>
      <c r="H21" s="386">
        <v>70</v>
      </c>
      <c r="I21" s="386"/>
      <c r="J21" s="386"/>
      <c r="K21" s="386"/>
      <c r="L21" s="387">
        <f t="shared" si="0"/>
        <v>891.79999999999973</v>
      </c>
    </row>
    <row r="22" spans="1:12" s="388" customFormat="1">
      <c r="A22" s="382">
        <v>14</v>
      </c>
      <c r="B22" s="393" t="s">
        <v>1320</v>
      </c>
      <c r="C22" s="384" t="s">
        <v>102</v>
      </c>
      <c r="D22" s="390" t="str">
        <f>D21</f>
        <v>Ramatherdham</v>
      </c>
      <c r="E22" s="391">
        <f>E20</f>
        <v>50</v>
      </c>
      <c r="F22" s="391">
        <f>VLOOKUP(E22,'con 2020-21'!$A$5:$F$309,5,FALSE)*0.16</f>
        <v>133.69599999999994</v>
      </c>
      <c r="G22" s="386">
        <f>'MINI SSR 2020-21'!C19</f>
        <v>1991</v>
      </c>
      <c r="H22" s="386"/>
      <c r="I22" s="386"/>
      <c r="J22" s="386"/>
      <c r="K22" s="386"/>
      <c r="L22" s="387">
        <f t="shared" si="0"/>
        <v>2124.6959999999999</v>
      </c>
    </row>
    <row r="23" spans="1:12" s="388" customFormat="1">
      <c r="A23" s="382">
        <v>15</v>
      </c>
      <c r="B23" s="389" t="s">
        <v>3174</v>
      </c>
      <c r="C23" s="384"/>
      <c r="D23" s="390" t="s">
        <v>1209</v>
      </c>
      <c r="E23" s="391">
        <f>N6</f>
        <v>72</v>
      </c>
      <c r="F23" s="391">
        <f>VLOOKUP(E23,'con 2020-21'!$A$5:$F$308,4,FALSE)</f>
        <v>1304.9999999999984</v>
      </c>
      <c r="G23" s="386">
        <f>'MINI SSR 2020-21'!C24</f>
        <v>18000</v>
      </c>
      <c r="H23" s="386"/>
      <c r="I23" s="386"/>
      <c r="J23" s="386"/>
      <c r="K23" s="386"/>
      <c r="L23" s="387">
        <f t="shared" si="0"/>
        <v>19305</v>
      </c>
    </row>
    <row r="24" spans="1:12" s="388" customFormat="1">
      <c r="A24" s="382">
        <v>16</v>
      </c>
      <c r="B24" s="389" t="s">
        <v>860</v>
      </c>
      <c r="C24" s="384" t="s">
        <v>5</v>
      </c>
      <c r="D24" s="390" t="s">
        <v>3</v>
      </c>
      <c r="E24" s="391">
        <v>5</v>
      </c>
      <c r="F24" s="391">
        <f>VLOOKUP(E24,'con 2020-21'!$A$6:$F$305,2,FALSE)</f>
        <v>81.099999999999994</v>
      </c>
      <c r="G24" s="386">
        <f>'MINI SSR 2020-21'!C25</f>
        <v>101</v>
      </c>
      <c r="H24" s="386"/>
      <c r="I24" s="386"/>
      <c r="J24" s="386"/>
      <c r="K24" s="386"/>
      <c r="L24" s="387">
        <f t="shared" si="0"/>
        <v>182.1</v>
      </c>
    </row>
    <row r="25" spans="1:12" s="388" customFormat="1">
      <c r="A25" s="382">
        <v>17</v>
      </c>
      <c r="B25" s="389" t="s">
        <v>664</v>
      </c>
      <c r="C25" s="384" t="s">
        <v>5</v>
      </c>
      <c r="D25" s="390" t="s">
        <v>3</v>
      </c>
      <c r="E25" s="391">
        <v>5</v>
      </c>
      <c r="F25" s="391">
        <f>VLOOKUP(E25,'con 2020-21'!$A$6:$F$305,2,FALSE)</f>
        <v>81.099999999999994</v>
      </c>
      <c r="G25" s="386">
        <f>'MINI SSR 2020-21'!C26</f>
        <v>130</v>
      </c>
      <c r="H25" s="386"/>
      <c r="I25" s="386"/>
      <c r="J25" s="386"/>
      <c r="K25" s="386"/>
      <c r="L25" s="387">
        <f t="shared" si="0"/>
        <v>211.1</v>
      </c>
    </row>
    <row r="26" spans="1:12" s="396" customFormat="1">
      <c r="A26" s="382"/>
      <c r="B26" s="394"/>
      <c r="C26" s="382"/>
      <c r="D26" s="394"/>
      <c r="E26" s="394"/>
      <c r="F26" s="394"/>
      <c r="G26" s="394"/>
      <c r="H26" s="394"/>
      <c r="I26" s="394"/>
      <c r="J26" s="394"/>
      <c r="K26" s="394"/>
      <c r="L26" s="395"/>
    </row>
    <row r="27" spans="1:12" s="396" customFormat="1">
      <c r="A27" s="388"/>
      <c r="C27" s="388"/>
    </row>
    <row r="28" spans="1:12" s="396" customFormat="1">
      <c r="A28" s="388" t="s">
        <v>1456</v>
      </c>
      <c r="B28" s="227" t="s">
        <v>1455</v>
      </c>
      <c r="C28" s="388"/>
    </row>
    <row r="29" spans="1:12" s="396" customFormat="1">
      <c r="A29" s="388" t="s">
        <v>1457</v>
      </c>
      <c r="B29" s="227" t="s">
        <v>2373</v>
      </c>
      <c r="C29" s="388"/>
    </row>
    <row r="30" spans="1:12" s="396" customFormat="1">
      <c r="A30" s="388"/>
      <c r="B30" s="227"/>
      <c r="C30" s="388"/>
    </row>
    <row r="31" spans="1:12" s="58" customFormat="1">
      <c r="B31" s="396"/>
      <c r="C31" s="388"/>
      <c r="D31" s="388"/>
      <c r="E31" s="396"/>
      <c r="F31" s="59"/>
      <c r="H31" s="217" t="s">
        <v>149</v>
      </c>
      <c r="J31" s="59"/>
      <c r="K31" s="217" t="str">
        <f>'lead 19-20'!K31</f>
        <v>Assistant  Engineer</v>
      </c>
      <c r="L31" s="59"/>
    </row>
    <row r="32" spans="1:12" s="58" customFormat="1">
      <c r="B32" s="396"/>
      <c r="C32" s="388"/>
      <c r="D32" s="388"/>
      <c r="E32" s="396"/>
      <c r="H32" s="217" t="s">
        <v>858</v>
      </c>
      <c r="J32" s="59"/>
      <c r="K32" s="217" t="str">
        <f>'lead 19-20'!K32</f>
        <v>Mandal Praja parishad</v>
      </c>
      <c r="L32" s="59"/>
    </row>
    <row r="33" spans="1:11" s="396" customFormat="1">
      <c r="A33" s="388"/>
      <c r="C33" s="388"/>
      <c r="D33" s="388"/>
      <c r="H33" s="217" t="s">
        <v>1523</v>
      </c>
      <c r="K33" s="217" t="str">
        <f>'lead 19-20'!K33</f>
        <v>Kanigiri</v>
      </c>
    </row>
    <row r="34" spans="1:11" s="396" customFormat="1">
      <c r="A34" s="388"/>
      <c r="C34" s="388"/>
      <c r="D34" s="388"/>
    </row>
    <row r="35" spans="1:11" s="396" customFormat="1">
      <c r="A35" s="388"/>
      <c r="C35" s="388"/>
      <c r="D35" s="388"/>
    </row>
  </sheetData>
  <mergeCells count="14">
    <mergeCell ref="I5:I6"/>
    <mergeCell ref="J5:J6"/>
    <mergeCell ref="K5:K6"/>
    <mergeCell ref="L5:L6"/>
    <mergeCell ref="A1:L1"/>
    <mergeCell ref="C2:L2"/>
    <mergeCell ref="A5:A6"/>
    <mergeCell ref="B5:B6"/>
    <mergeCell ref="C5:C6"/>
    <mergeCell ref="D5:D6"/>
    <mergeCell ref="E5:E6"/>
    <mergeCell ref="F5:F6"/>
    <mergeCell ref="G5:G6"/>
    <mergeCell ref="H5:H6"/>
  </mergeCells>
  <pageMargins left="0.71" right="0.2" top="0.25" bottom="0.25" header="0.3" footer="0.3"/>
  <pageSetup paperSize="9" orientation="landscape" verticalDpi="300" r:id="rId1"/>
  <rowBreaks count="1" manualBreakCount="1">
    <brk id="34" max="16383" man="1"/>
  </rowBreaks>
</worksheet>
</file>

<file path=xl/worksheets/sheet19.xml><?xml version="1.0" encoding="utf-8"?>
<worksheet xmlns="http://schemas.openxmlformats.org/spreadsheetml/2006/main" xmlns:r="http://schemas.openxmlformats.org/officeDocument/2006/relationships">
  <sheetPr>
    <tabColor rgb="FF00B050"/>
  </sheetPr>
  <dimension ref="A1:O35"/>
  <sheetViews>
    <sheetView view="pageBreakPreview" topLeftCell="A10" zoomScale="115" zoomScaleNormal="130" zoomScaleSheetLayoutView="115" workbookViewId="0">
      <selection activeCell="B23" sqref="B23"/>
    </sheetView>
  </sheetViews>
  <sheetFormatPr defaultColWidth="9.140625" defaultRowHeight="12.75"/>
  <cols>
    <col min="1" max="1" width="5.7109375" style="397" customWidth="1"/>
    <col min="2" max="2" width="31.5703125" style="215" customWidth="1"/>
    <col min="3" max="3" width="5.7109375" style="397" customWidth="1"/>
    <col min="4" max="4" width="14.140625" style="397" customWidth="1"/>
    <col min="5" max="5" width="6.7109375" style="215" bestFit="1" customWidth="1"/>
    <col min="6" max="6" width="7.140625" style="215" customWidth="1"/>
    <col min="7" max="7" width="8.140625" style="215" customWidth="1"/>
    <col min="8" max="8" width="7.5703125" style="215" customWidth="1"/>
    <col min="9" max="9" width="8.140625" style="215" customWidth="1"/>
    <col min="10" max="10" width="8.28515625" style="215" customWidth="1"/>
    <col min="11" max="11" width="8.42578125" style="215" customWidth="1"/>
    <col min="12" max="12" width="8.7109375" style="215" customWidth="1"/>
    <col min="13" max="17" width="9.140625" style="215" customWidth="1"/>
    <col min="18" max="16384" width="9.140625" style="215"/>
  </cols>
  <sheetData>
    <row r="1" spans="1:15" s="214" customFormat="1" ht="20.100000000000001" customHeight="1">
      <c r="A1" s="1660" t="s">
        <v>2301</v>
      </c>
      <c r="B1" s="1661"/>
      <c r="C1" s="1661"/>
      <c r="D1" s="1661"/>
      <c r="E1" s="1661"/>
      <c r="F1" s="1661"/>
      <c r="G1" s="1661"/>
      <c r="H1" s="1661"/>
      <c r="I1" s="1661"/>
      <c r="J1" s="1661"/>
      <c r="K1" s="1661"/>
      <c r="L1" s="1661"/>
    </row>
    <row r="2" spans="1:15" s="214" customFormat="1" ht="27.75" customHeight="1">
      <c r="A2" s="370"/>
      <c r="B2" s="57" t="s">
        <v>836</v>
      </c>
      <c r="C2" s="1662" t="str">
        <f>'lead 19-20'!C2:L2</f>
        <v>Providing Additional Space for Health Staff in Grama Sachivalayam of Baduguleru GP of Kanigiri Mandal</v>
      </c>
      <c r="D2" s="1662"/>
      <c r="E2" s="1662"/>
      <c r="F2" s="1662"/>
      <c r="G2" s="1662"/>
      <c r="H2" s="1662"/>
      <c r="I2" s="1662"/>
      <c r="J2" s="1662"/>
      <c r="K2" s="1662"/>
      <c r="L2" s="1662"/>
    </row>
    <row r="3" spans="1:15" s="214" customFormat="1" ht="20.100000000000001" customHeight="1">
      <c r="A3" s="371"/>
      <c r="B3" s="372"/>
      <c r="C3" s="373" t="s">
        <v>2302</v>
      </c>
      <c r="D3" s="371"/>
      <c r="E3" s="374"/>
      <c r="F3" s="374"/>
      <c r="G3" s="374"/>
      <c r="H3" s="374"/>
      <c r="I3" s="374"/>
      <c r="J3" s="372"/>
      <c r="K3" s="372"/>
      <c r="L3" s="374"/>
      <c r="M3" s="214" t="s">
        <v>837</v>
      </c>
      <c r="N3" s="214">
        <f>'lead 19-20'!N3</f>
        <v>85</v>
      </c>
    </row>
    <row r="4" spans="1:15" ht="15" customHeight="1">
      <c r="A4" s="375"/>
      <c r="B4" s="218" t="s">
        <v>838</v>
      </c>
      <c r="C4" s="455" t="str">
        <f>'lead 19-20'!C4</f>
        <v>No: 087043102002090039</v>
      </c>
      <c r="D4" s="375"/>
      <c r="E4" s="376"/>
      <c r="F4" s="375"/>
      <c r="G4" s="376"/>
      <c r="H4" s="376"/>
      <c r="I4" s="376"/>
      <c r="J4" s="377" t="s">
        <v>839</v>
      </c>
      <c r="K4" s="378" t="str">
        <f>'lead 19-20'!K4</f>
        <v>20.80 Lakhs</v>
      </c>
      <c r="L4" s="375"/>
      <c r="M4" s="215" t="s">
        <v>139</v>
      </c>
      <c r="N4" s="214">
        <f>'lead 19-20'!N4</f>
        <v>50</v>
      </c>
    </row>
    <row r="5" spans="1:15" s="216" customFormat="1" ht="31.5" customHeight="1">
      <c r="A5" s="1658" t="s">
        <v>840</v>
      </c>
      <c r="B5" s="1658" t="s">
        <v>322</v>
      </c>
      <c r="C5" s="1658" t="s">
        <v>841</v>
      </c>
      <c r="D5" s="1658" t="s">
        <v>842</v>
      </c>
      <c r="E5" s="1658" t="s">
        <v>253</v>
      </c>
      <c r="F5" s="1658" t="s">
        <v>843</v>
      </c>
      <c r="G5" s="1658" t="s">
        <v>844</v>
      </c>
      <c r="H5" s="1658" t="s">
        <v>17</v>
      </c>
      <c r="I5" s="1658" t="s">
        <v>845</v>
      </c>
      <c r="J5" s="1658" t="s">
        <v>1319</v>
      </c>
      <c r="K5" s="1659" t="s">
        <v>1321</v>
      </c>
      <c r="L5" s="1659" t="s">
        <v>117</v>
      </c>
      <c r="M5" s="216" t="s">
        <v>846</v>
      </c>
      <c r="N5" s="214">
        <f>'lead 19-20'!N5</f>
        <v>48</v>
      </c>
    </row>
    <row r="6" spans="1:15" s="216" customFormat="1" ht="18" customHeight="1">
      <c r="A6" s="1658"/>
      <c r="B6" s="1658"/>
      <c r="C6" s="1658"/>
      <c r="D6" s="1658"/>
      <c r="E6" s="1658"/>
      <c r="F6" s="1658"/>
      <c r="G6" s="1658"/>
      <c r="H6" s="1658"/>
      <c r="I6" s="1658"/>
      <c r="J6" s="1658"/>
      <c r="K6" s="1659"/>
      <c r="L6" s="1659"/>
      <c r="M6" s="216" t="s">
        <v>1521</v>
      </c>
      <c r="N6" s="214">
        <f>'lead 19-20'!N6</f>
        <v>72</v>
      </c>
      <c r="O6" s="379"/>
    </row>
    <row r="7" spans="1:15" s="381" customFormat="1" ht="15" customHeight="1">
      <c r="A7" s="380">
        <v>1</v>
      </c>
      <c r="B7" s="380">
        <v>2</v>
      </c>
      <c r="C7" s="380">
        <v>3</v>
      </c>
      <c r="D7" s="380">
        <v>4</v>
      </c>
      <c r="E7" s="380">
        <v>5</v>
      </c>
      <c r="F7" s="380">
        <v>6</v>
      </c>
      <c r="G7" s="380">
        <v>7</v>
      </c>
      <c r="H7" s="380">
        <v>8</v>
      </c>
      <c r="I7" s="380">
        <v>9</v>
      </c>
      <c r="J7" s="380">
        <v>10</v>
      </c>
      <c r="K7" s="380">
        <v>11</v>
      </c>
      <c r="L7" s="380">
        <v>13</v>
      </c>
    </row>
    <row r="8" spans="1:15" s="388" customFormat="1">
      <c r="A8" s="382">
        <v>1</v>
      </c>
      <c r="B8" s="383" t="s">
        <v>847</v>
      </c>
      <c r="C8" s="384" t="s">
        <v>29</v>
      </c>
      <c r="D8" s="385" t="s">
        <v>3</v>
      </c>
      <c r="E8" s="386" t="s">
        <v>15</v>
      </c>
      <c r="F8" s="386">
        <v>0</v>
      </c>
      <c r="G8" s="386">
        <f>'MINI SSR 21-22'!C4</f>
        <v>4700</v>
      </c>
      <c r="H8" s="386"/>
      <c r="I8" s="386"/>
      <c r="J8" s="386"/>
      <c r="K8" s="386"/>
      <c r="L8" s="387">
        <f t="shared" ref="L8:L25" si="0">SUM(F8:K8)</f>
        <v>4700</v>
      </c>
    </row>
    <row r="9" spans="1:15" s="388" customFormat="1">
      <c r="A9" s="382">
        <v>2</v>
      </c>
      <c r="B9" s="383" t="s">
        <v>1701</v>
      </c>
      <c r="C9" s="384" t="s">
        <v>29</v>
      </c>
      <c r="D9" s="385" t="s">
        <v>3</v>
      </c>
      <c r="E9" s="386" t="s">
        <v>15</v>
      </c>
      <c r="F9" s="386">
        <v>0</v>
      </c>
      <c r="G9" s="386">
        <f>'MINI SSR 21-22'!C5</f>
        <v>54500</v>
      </c>
      <c r="H9" s="386"/>
      <c r="I9" s="386">
        <f>G9*18%</f>
        <v>9810</v>
      </c>
      <c r="J9" s="386"/>
      <c r="K9" s="386"/>
      <c r="L9" s="387">
        <f t="shared" si="0"/>
        <v>64310</v>
      </c>
    </row>
    <row r="10" spans="1:15" s="388" customFormat="1">
      <c r="A10" s="382">
        <v>3</v>
      </c>
      <c r="B10" s="389" t="s">
        <v>848</v>
      </c>
      <c r="C10" s="384" t="s">
        <v>29</v>
      </c>
      <c r="D10" s="385" t="s">
        <v>3</v>
      </c>
      <c r="E10" s="386"/>
      <c r="F10" s="386"/>
      <c r="G10" s="386">
        <f>'MINI SSR 21-22'!C7</f>
        <v>52000</v>
      </c>
      <c r="H10" s="386"/>
      <c r="I10" s="386">
        <f>G10*18%</f>
        <v>9360</v>
      </c>
      <c r="J10" s="386"/>
      <c r="K10" s="386"/>
      <c r="L10" s="387">
        <f t="shared" si="0"/>
        <v>61360</v>
      </c>
    </row>
    <row r="11" spans="1:15" s="388" customFormat="1">
      <c r="A11" s="382">
        <v>4</v>
      </c>
      <c r="B11" s="389" t="s">
        <v>849</v>
      </c>
      <c r="C11" s="384" t="s">
        <v>29</v>
      </c>
      <c r="D11" s="385" t="s">
        <v>3</v>
      </c>
      <c r="E11" s="386"/>
      <c r="F11" s="386"/>
      <c r="G11" s="386">
        <f>'MINI SSR 21-22'!C8</f>
        <v>54000</v>
      </c>
      <c r="H11" s="386"/>
      <c r="I11" s="386"/>
      <c r="J11" s="386"/>
      <c r="K11" s="386"/>
      <c r="L11" s="387">
        <f t="shared" si="0"/>
        <v>54000</v>
      </c>
    </row>
    <row r="12" spans="1:15" s="388" customFormat="1">
      <c r="A12" s="382">
        <v>5</v>
      </c>
      <c r="B12" s="389" t="s">
        <v>850</v>
      </c>
      <c r="C12" s="384" t="s">
        <v>5</v>
      </c>
      <c r="D12" s="390" t="s">
        <v>2424</v>
      </c>
      <c r="E12" s="391">
        <f>N3</f>
        <v>85</v>
      </c>
      <c r="F12" s="391">
        <f>VLOOKUP(E12,'con 2021-22'!$A$6:$F$287,2,FALSE)</f>
        <v>1043.4000000000019</v>
      </c>
      <c r="G12" s="386">
        <f>'MINI SSR 21-22'!C9</f>
        <v>700</v>
      </c>
      <c r="H12" s="386"/>
      <c r="I12" s="386"/>
      <c r="J12" s="386"/>
      <c r="K12" s="386"/>
      <c r="L12" s="387">
        <f t="shared" si="0"/>
        <v>1743.4000000000019</v>
      </c>
    </row>
    <row r="13" spans="1:15" s="388" customFormat="1">
      <c r="A13" s="382">
        <v>5</v>
      </c>
      <c r="B13" s="389" t="s">
        <v>851</v>
      </c>
      <c r="C13" s="384" t="s">
        <v>5</v>
      </c>
      <c r="D13" s="390" t="str">
        <f>D12</f>
        <v>Local vagu</v>
      </c>
      <c r="E13" s="391">
        <f>E12</f>
        <v>85</v>
      </c>
      <c r="F13" s="391">
        <f>VLOOKUP(E13,'con 2021-22'!$A$6:$F$287,2,FALSE)</f>
        <v>1043.4000000000019</v>
      </c>
      <c r="G13" s="386">
        <f>'MINI SSR 21-22'!C10</f>
        <v>605</v>
      </c>
      <c r="H13" s="386"/>
      <c r="I13" s="386"/>
      <c r="J13" s="386"/>
      <c r="K13" s="386"/>
      <c r="L13" s="387">
        <f t="shared" si="0"/>
        <v>1648.4000000000019</v>
      </c>
    </row>
    <row r="14" spans="1:15" s="388" customFormat="1">
      <c r="A14" s="382">
        <v>6</v>
      </c>
      <c r="B14" s="389" t="s">
        <v>768</v>
      </c>
      <c r="C14" s="384" t="s">
        <v>5</v>
      </c>
      <c r="D14" s="390" t="str">
        <f>D13</f>
        <v>Local vagu</v>
      </c>
      <c r="E14" s="391">
        <f>E13</f>
        <v>85</v>
      </c>
      <c r="F14" s="391">
        <f>VLOOKUP(E14,'con 2021-22'!A8:F287,2,FALSE)</f>
        <v>1043.4000000000019</v>
      </c>
      <c r="G14" s="386">
        <f>'MINI SSR 21-22'!C11</f>
        <v>460</v>
      </c>
      <c r="H14" s="386"/>
      <c r="I14" s="386"/>
      <c r="J14" s="386"/>
      <c r="K14" s="386"/>
      <c r="L14" s="387">
        <f t="shared" si="0"/>
        <v>1503.4000000000019</v>
      </c>
    </row>
    <row r="15" spans="1:15" s="388" customFormat="1">
      <c r="A15" s="382">
        <v>7</v>
      </c>
      <c r="B15" s="389" t="s">
        <v>1318</v>
      </c>
      <c r="C15" s="384" t="s">
        <v>852</v>
      </c>
      <c r="D15" s="390" t="s">
        <v>1522</v>
      </c>
      <c r="E15" s="391">
        <f>N5</f>
        <v>48</v>
      </c>
      <c r="F15" s="391">
        <f>VLOOKUP(E15,'con 2021-22'!$A$5:$F$287,4,FALSE)</f>
        <v>1012.7000000000006</v>
      </c>
      <c r="G15" s="386">
        <f>'MINI SSR 21-22'!C12</f>
        <v>6400</v>
      </c>
      <c r="H15" s="386"/>
      <c r="I15" s="386"/>
      <c r="J15" s="386">
        <f>'MINI SSR 21-22'!D12</f>
        <v>63.9</v>
      </c>
      <c r="K15" s="386">
        <f>'MINI SSR 21-22'!E12</f>
        <v>63.9</v>
      </c>
      <c r="L15" s="387">
        <f t="shared" si="0"/>
        <v>7540.5</v>
      </c>
    </row>
    <row r="16" spans="1:15" s="388" customFormat="1">
      <c r="A16" s="382">
        <v>8</v>
      </c>
      <c r="B16" s="389" t="s">
        <v>853</v>
      </c>
      <c r="C16" s="384" t="s">
        <v>5</v>
      </c>
      <c r="D16" s="390" t="s">
        <v>2017</v>
      </c>
      <c r="E16" s="391">
        <f>N4</f>
        <v>50</v>
      </c>
      <c r="F16" s="391">
        <f>VLOOKUP(E16,'con 2021-22'!$A$5:$F$287,3,FALSE)</f>
        <v>627.59999999999968</v>
      </c>
      <c r="G16" s="386">
        <f>'MINI SSR 21-22'!C13</f>
        <v>649</v>
      </c>
      <c r="H16" s="386">
        <v>70</v>
      </c>
      <c r="I16" s="386">
        <f>ROUND(G16*0.25,2)</f>
        <v>162.25</v>
      </c>
      <c r="J16" s="386"/>
      <c r="K16" s="386"/>
      <c r="L16" s="387">
        <f t="shared" si="0"/>
        <v>1508.8499999999997</v>
      </c>
    </row>
    <row r="17" spans="1:12" s="392" customFormat="1">
      <c r="A17" s="382">
        <v>9</v>
      </c>
      <c r="B17" s="389" t="s">
        <v>854</v>
      </c>
      <c r="C17" s="384" t="s">
        <v>5</v>
      </c>
      <c r="D17" s="390" t="str">
        <f t="shared" ref="D17:E20" si="1">D16</f>
        <v>Ramatherdham</v>
      </c>
      <c r="E17" s="391">
        <f t="shared" si="1"/>
        <v>50</v>
      </c>
      <c r="F17" s="391">
        <f>VLOOKUP(E17,'con 2021-22'!$A$5:$F$287,3,FALSE)</f>
        <v>627.59999999999968</v>
      </c>
      <c r="G17" s="386">
        <f>'MINI SSR 21-22'!C14</f>
        <v>1079</v>
      </c>
      <c r="H17" s="386">
        <v>70</v>
      </c>
      <c r="I17" s="386">
        <f>ROUND(G17*0.25,2)</f>
        <v>269.75</v>
      </c>
      <c r="J17" s="386"/>
      <c r="K17" s="386"/>
      <c r="L17" s="387">
        <f t="shared" si="0"/>
        <v>2046.3499999999997</v>
      </c>
    </row>
    <row r="18" spans="1:12" s="392" customFormat="1">
      <c r="A18" s="382">
        <v>10</v>
      </c>
      <c r="B18" s="389" t="s">
        <v>855</v>
      </c>
      <c r="C18" s="384" t="s">
        <v>5</v>
      </c>
      <c r="D18" s="390" t="str">
        <f t="shared" si="1"/>
        <v>Ramatherdham</v>
      </c>
      <c r="E18" s="391">
        <f t="shared" si="1"/>
        <v>50</v>
      </c>
      <c r="F18" s="391">
        <f>VLOOKUP(E18,'con 2021-22'!$A$5:$F$287,3,FALSE)</f>
        <v>627.59999999999968</v>
      </c>
      <c r="G18" s="386">
        <f>'MINI SSR 21-22'!C15</f>
        <v>860</v>
      </c>
      <c r="H18" s="386">
        <v>70</v>
      </c>
      <c r="I18" s="386">
        <f>ROUND(G18*0.25,2)</f>
        <v>215</v>
      </c>
      <c r="J18" s="386"/>
      <c r="K18" s="386"/>
      <c r="L18" s="387">
        <f t="shared" si="0"/>
        <v>1772.5999999999997</v>
      </c>
    </row>
    <row r="19" spans="1:12" s="392" customFormat="1">
      <c r="A19" s="382">
        <v>11</v>
      </c>
      <c r="B19" s="389" t="s">
        <v>856</v>
      </c>
      <c r="C19" s="384" t="s">
        <v>5</v>
      </c>
      <c r="D19" s="390" t="str">
        <f t="shared" si="1"/>
        <v>Ramatherdham</v>
      </c>
      <c r="E19" s="391">
        <f t="shared" si="1"/>
        <v>50</v>
      </c>
      <c r="F19" s="391">
        <f>VLOOKUP(E19,'con 2021-22'!$A$5:$F$287,3,FALSE)</f>
        <v>627.59999999999968</v>
      </c>
      <c r="G19" s="386">
        <f>'MINI SSR 21-22'!C16</f>
        <v>726</v>
      </c>
      <c r="H19" s="386">
        <v>70</v>
      </c>
      <c r="I19" s="386">
        <f>ROUND(G19*0.25,2)</f>
        <v>181.5</v>
      </c>
      <c r="J19" s="386"/>
      <c r="K19" s="386"/>
      <c r="L19" s="387">
        <f t="shared" si="0"/>
        <v>1605.0999999999997</v>
      </c>
    </row>
    <row r="20" spans="1:12" s="392" customFormat="1">
      <c r="A20" s="382">
        <v>12</v>
      </c>
      <c r="B20" s="389" t="s">
        <v>857</v>
      </c>
      <c r="C20" s="384" t="s">
        <v>5</v>
      </c>
      <c r="D20" s="390" t="str">
        <f t="shared" si="1"/>
        <v>Ramatherdham</v>
      </c>
      <c r="E20" s="391">
        <f t="shared" si="1"/>
        <v>50</v>
      </c>
      <c r="F20" s="391">
        <f>VLOOKUP(E20,'con 2021-22'!$A$5:$F$287,3,FALSE)</f>
        <v>627.59999999999968</v>
      </c>
      <c r="G20" s="386">
        <f>'MINI SSR 21-22'!C17</f>
        <v>576</v>
      </c>
      <c r="H20" s="386">
        <v>70</v>
      </c>
      <c r="I20" s="386">
        <f>ROUND(G20*0.25,2)</f>
        <v>144</v>
      </c>
      <c r="J20" s="386"/>
      <c r="K20" s="386"/>
      <c r="L20" s="387">
        <f t="shared" si="0"/>
        <v>1417.5999999999997</v>
      </c>
    </row>
    <row r="21" spans="1:12" s="392" customFormat="1">
      <c r="A21" s="382">
        <v>13</v>
      </c>
      <c r="B21" s="389" t="s">
        <v>1193</v>
      </c>
      <c r="C21" s="384" t="s">
        <v>5</v>
      </c>
      <c r="D21" s="390" t="str">
        <f>D20</f>
        <v>Ramatherdham</v>
      </c>
      <c r="E21" s="391">
        <f>E20</f>
        <v>50</v>
      </c>
      <c r="F21" s="391">
        <f>VLOOKUP(E21,'con 2021-22'!$A$5:$F$287,3,FALSE)</f>
        <v>627.59999999999968</v>
      </c>
      <c r="G21" s="386">
        <f>'MINI SSR 21-22'!C18</f>
        <v>283</v>
      </c>
      <c r="H21" s="386">
        <v>70</v>
      </c>
      <c r="I21" s="386"/>
      <c r="J21" s="386"/>
      <c r="K21" s="386"/>
      <c r="L21" s="387">
        <f t="shared" si="0"/>
        <v>980.59999999999968</v>
      </c>
    </row>
    <row r="22" spans="1:12" s="388" customFormat="1">
      <c r="A22" s="382">
        <v>14</v>
      </c>
      <c r="B22" s="393" t="s">
        <v>1320</v>
      </c>
      <c r="C22" s="384" t="s">
        <v>102</v>
      </c>
      <c r="D22" s="390" t="str">
        <f>D21</f>
        <v>Ramatherdham</v>
      </c>
      <c r="E22" s="391">
        <f>E20</f>
        <v>50</v>
      </c>
      <c r="F22" s="391">
        <f>VLOOKUP(E22,'con 2021-22'!$A$5:$F$287,5,FALSE)*0.16</f>
        <v>147.66399999999999</v>
      </c>
      <c r="G22" s="386">
        <f>'MINI SSR 21-22'!C19</f>
        <v>1991</v>
      </c>
      <c r="H22" s="386"/>
      <c r="I22" s="386"/>
      <c r="J22" s="386"/>
      <c r="K22" s="386"/>
      <c r="L22" s="387">
        <f t="shared" si="0"/>
        <v>2138.6639999999998</v>
      </c>
    </row>
    <row r="23" spans="1:12" s="388" customFormat="1">
      <c r="A23" s="382">
        <v>15</v>
      </c>
      <c r="B23" s="389" t="s">
        <v>3174</v>
      </c>
      <c r="C23" s="384"/>
      <c r="D23" s="390" t="s">
        <v>1209</v>
      </c>
      <c r="E23" s="391">
        <f>N6</f>
        <v>72</v>
      </c>
      <c r="F23" s="391">
        <f>VLOOKUP(E23,'con 2021-22'!$A$5:$F$287,4,FALSE)</f>
        <v>1447.0999999999985</v>
      </c>
      <c r="G23" s="386">
        <f>'MINI SSR 21-22'!C24</f>
        <v>18000</v>
      </c>
      <c r="H23" s="386"/>
      <c r="I23" s="386"/>
      <c r="J23" s="386"/>
      <c r="K23" s="386"/>
      <c r="L23" s="387">
        <f t="shared" si="0"/>
        <v>19447.099999999999</v>
      </c>
    </row>
    <row r="24" spans="1:12" s="388" customFormat="1">
      <c r="A24" s="382">
        <v>16</v>
      </c>
      <c r="B24" s="389" t="s">
        <v>860</v>
      </c>
      <c r="C24" s="384" t="s">
        <v>5</v>
      </c>
      <c r="D24" s="390" t="s">
        <v>3</v>
      </c>
      <c r="E24" s="391">
        <v>5</v>
      </c>
      <c r="F24" s="391">
        <f>VLOOKUP(E24,'con 2021-22'!$A$6:$F$287,2,FALSE)</f>
        <v>89.9</v>
      </c>
      <c r="G24" s="386">
        <f>'MINI SSR 21-22'!C25</f>
        <v>84.75</v>
      </c>
      <c r="H24" s="386"/>
      <c r="I24" s="386"/>
      <c r="J24" s="386"/>
      <c r="K24" s="386"/>
      <c r="L24" s="387">
        <f t="shared" si="0"/>
        <v>174.65</v>
      </c>
    </row>
    <row r="25" spans="1:12" s="388" customFormat="1">
      <c r="A25" s="382">
        <v>17</v>
      </c>
      <c r="B25" s="389" t="s">
        <v>664</v>
      </c>
      <c r="C25" s="384" t="s">
        <v>5</v>
      </c>
      <c r="D25" s="390" t="s">
        <v>3</v>
      </c>
      <c r="E25" s="391">
        <v>5</v>
      </c>
      <c r="F25" s="391">
        <f>VLOOKUP(E25,'con 2021-22'!$A$6:$F$287,2,FALSE)</f>
        <v>89.9</v>
      </c>
      <c r="G25" s="386">
        <f>'MINI SSR 21-22'!C26</f>
        <v>138</v>
      </c>
      <c r="H25" s="386"/>
      <c r="I25" s="386"/>
      <c r="J25" s="386"/>
      <c r="K25" s="386"/>
      <c r="L25" s="387">
        <f t="shared" si="0"/>
        <v>227.9</v>
      </c>
    </row>
    <row r="26" spans="1:12" s="396" customFormat="1">
      <c r="A26" s="382"/>
      <c r="B26" s="394"/>
      <c r="C26" s="382"/>
      <c r="D26" s="394"/>
      <c r="E26" s="394"/>
      <c r="F26" s="394"/>
      <c r="G26" s="394"/>
      <c r="H26" s="394"/>
      <c r="I26" s="394"/>
      <c r="J26" s="394"/>
      <c r="K26" s="394"/>
      <c r="L26" s="395"/>
    </row>
    <row r="27" spans="1:12" s="396" customFormat="1">
      <c r="A27" s="388"/>
      <c r="C27" s="388"/>
    </row>
    <row r="28" spans="1:12" s="396" customFormat="1">
      <c r="A28" s="388" t="s">
        <v>1456</v>
      </c>
      <c r="B28" s="227" t="s">
        <v>1455</v>
      </c>
      <c r="C28" s="388"/>
    </row>
    <row r="29" spans="1:12" s="396" customFormat="1">
      <c r="A29" s="388" t="s">
        <v>1457</v>
      </c>
      <c r="B29" s="227" t="s">
        <v>2374</v>
      </c>
      <c r="C29" s="388"/>
    </row>
    <row r="30" spans="1:12" s="396" customFormat="1">
      <c r="A30" s="388"/>
      <c r="B30" s="227"/>
      <c r="C30" s="388"/>
    </row>
    <row r="31" spans="1:12" s="58" customFormat="1">
      <c r="B31" s="396"/>
      <c r="C31" s="388"/>
      <c r="D31" s="388"/>
      <c r="E31" s="396"/>
      <c r="F31" s="59"/>
      <c r="H31" s="217" t="s">
        <v>149</v>
      </c>
      <c r="J31" s="59"/>
      <c r="K31" s="217" t="str">
        <f>'lead 19-20'!K31</f>
        <v>Assistant  Engineer</v>
      </c>
      <c r="L31" s="59"/>
    </row>
    <row r="32" spans="1:12" s="58" customFormat="1">
      <c r="B32" s="396"/>
      <c r="C32" s="388"/>
      <c r="D32" s="388"/>
      <c r="E32" s="396"/>
      <c r="H32" s="217" t="s">
        <v>858</v>
      </c>
      <c r="J32" s="59"/>
      <c r="K32" s="217" t="str">
        <f>'lead 19-20'!K32</f>
        <v>Mandal Praja parishad</v>
      </c>
      <c r="L32" s="59"/>
    </row>
    <row r="33" spans="1:11" s="396" customFormat="1">
      <c r="A33" s="388"/>
      <c r="C33" s="388"/>
      <c r="D33" s="388"/>
      <c r="H33" s="217" t="s">
        <v>1523</v>
      </c>
      <c r="K33" s="217" t="str">
        <f>'lead 19-20'!K33</f>
        <v>Kanigiri</v>
      </c>
    </row>
    <row r="34" spans="1:11" s="396" customFormat="1">
      <c r="A34" s="388"/>
      <c r="C34" s="388"/>
      <c r="D34" s="388"/>
    </row>
    <row r="35" spans="1:11" s="396" customFormat="1">
      <c r="A35" s="388"/>
      <c r="C35" s="388"/>
      <c r="D35" s="388"/>
    </row>
  </sheetData>
  <mergeCells count="14">
    <mergeCell ref="I5:I6"/>
    <mergeCell ref="J5:J6"/>
    <mergeCell ref="K5:K6"/>
    <mergeCell ref="L5:L6"/>
    <mergeCell ref="A1:L1"/>
    <mergeCell ref="C2:L2"/>
    <mergeCell ref="A5:A6"/>
    <mergeCell ref="B5:B6"/>
    <mergeCell ref="C5:C6"/>
    <mergeCell ref="D5:D6"/>
    <mergeCell ref="E5:E6"/>
    <mergeCell ref="F5:F6"/>
    <mergeCell ref="G5:G6"/>
    <mergeCell ref="H5:H6"/>
  </mergeCells>
  <pageMargins left="0.71" right="0.2" top="0.25" bottom="0.25" header="0.3" footer="0.3"/>
  <pageSetup paperSize="9" orientation="landscape" verticalDpi="300" r:id="rId1"/>
  <rowBreaks count="1" manualBreakCount="1">
    <brk id="34" max="16383" man="1"/>
  </rowBreaks>
</worksheet>
</file>

<file path=xl/worksheets/sheet20.xml><?xml version="1.0" encoding="utf-8"?>
<worksheet xmlns="http://schemas.openxmlformats.org/spreadsheetml/2006/main" xmlns:r="http://schemas.openxmlformats.org/officeDocument/2006/relationships">
  <sheetPr>
    <tabColor rgb="FF7030A0"/>
  </sheetPr>
  <dimension ref="A1:O35"/>
  <sheetViews>
    <sheetView view="pageBreakPreview" zoomScale="115" zoomScaleNormal="130" zoomScaleSheetLayoutView="115" workbookViewId="0">
      <selection activeCell="E11" sqref="E11"/>
    </sheetView>
  </sheetViews>
  <sheetFormatPr defaultColWidth="9.140625" defaultRowHeight="12.75"/>
  <cols>
    <col min="1" max="1" width="5.7109375" style="397" customWidth="1"/>
    <col min="2" max="2" width="31.5703125" style="215" customWidth="1"/>
    <col min="3" max="3" width="5.7109375" style="397" customWidth="1"/>
    <col min="4" max="4" width="14.140625" style="397" customWidth="1"/>
    <col min="5" max="5" width="6.7109375" style="215" bestFit="1" customWidth="1"/>
    <col min="6" max="6" width="7.140625" style="215" customWidth="1"/>
    <col min="7" max="7" width="8.140625" style="215" customWidth="1"/>
    <col min="8" max="8" width="7.5703125" style="215" customWidth="1"/>
    <col min="9" max="9" width="8.140625" style="215" customWidth="1"/>
    <col min="10" max="10" width="8.28515625" style="215" customWidth="1"/>
    <col min="11" max="11" width="8.42578125" style="215" customWidth="1"/>
    <col min="12" max="12" width="8.7109375" style="215" customWidth="1"/>
    <col min="13" max="17" width="9.140625" style="215" customWidth="1"/>
    <col min="18" max="16384" width="9.140625" style="215"/>
  </cols>
  <sheetData>
    <row r="1" spans="1:15" s="214" customFormat="1" ht="20.100000000000001" customHeight="1">
      <c r="A1" s="1660" t="s">
        <v>2371</v>
      </c>
      <c r="B1" s="1661"/>
      <c r="C1" s="1661"/>
      <c r="D1" s="1661"/>
      <c r="E1" s="1661"/>
      <c r="F1" s="1661"/>
      <c r="G1" s="1661"/>
      <c r="H1" s="1661"/>
      <c r="I1" s="1661"/>
      <c r="J1" s="1661"/>
      <c r="K1" s="1661"/>
      <c r="L1" s="1661"/>
    </row>
    <row r="2" spans="1:15" s="214" customFormat="1" ht="27.75" customHeight="1">
      <c r="A2" s="370"/>
      <c r="B2" s="57" t="s">
        <v>836</v>
      </c>
      <c r="C2" s="1662" t="str">
        <f>'lead 19-20'!C2</f>
        <v>Providing Additional Space for Health Staff in Grama Sachivalayam of Baduguleru GP of Kanigiri Mandal</v>
      </c>
      <c r="D2" s="1662"/>
      <c r="E2" s="1662"/>
      <c r="F2" s="1662"/>
      <c r="G2" s="1662"/>
      <c r="H2" s="1662"/>
      <c r="I2" s="1662"/>
      <c r="J2" s="1662"/>
      <c r="K2" s="1662"/>
      <c r="L2" s="1662"/>
    </row>
    <row r="3" spans="1:15" s="214" customFormat="1" ht="20.100000000000001" customHeight="1">
      <c r="A3" s="371"/>
      <c r="B3" s="372"/>
      <c r="C3" s="373" t="s">
        <v>2372</v>
      </c>
      <c r="D3" s="371"/>
      <c r="E3" s="374"/>
      <c r="F3" s="374"/>
      <c r="G3" s="374"/>
      <c r="H3" s="374"/>
      <c r="I3" s="374"/>
      <c r="J3" s="372"/>
      <c r="K3" s="372"/>
      <c r="L3" s="374"/>
      <c r="M3" s="214" t="s">
        <v>837</v>
      </c>
      <c r="N3" s="214">
        <f>'lead 19-20'!N3</f>
        <v>85</v>
      </c>
    </row>
    <row r="4" spans="1:15" ht="15" customHeight="1">
      <c r="A4" s="375"/>
      <c r="B4" s="218" t="s">
        <v>838</v>
      </c>
      <c r="C4" s="455" t="str">
        <f>'lead 19-20'!C4</f>
        <v>No: 087043102002090039</v>
      </c>
      <c r="D4" s="375"/>
      <c r="E4" s="376"/>
      <c r="F4" s="375"/>
      <c r="G4" s="376"/>
      <c r="H4" s="376"/>
      <c r="I4" s="376"/>
      <c r="J4" s="377" t="s">
        <v>839</v>
      </c>
      <c r="K4" s="378" t="str">
        <f>'lead 19-20'!K4</f>
        <v>20.80 Lakhs</v>
      </c>
      <c r="L4" s="375"/>
      <c r="M4" s="215" t="s">
        <v>139</v>
      </c>
      <c r="N4" s="214">
        <f>'lead 19-20'!N4</f>
        <v>50</v>
      </c>
    </row>
    <row r="5" spans="1:15" s="216" customFormat="1" ht="31.5" customHeight="1">
      <c r="A5" s="1658" t="s">
        <v>840</v>
      </c>
      <c r="B5" s="1658" t="s">
        <v>322</v>
      </c>
      <c r="C5" s="1658" t="s">
        <v>841</v>
      </c>
      <c r="D5" s="1658" t="s">
        <v>842</v>
      </c>
      <c r="E5" s="1658" t="s">
        <v>253</v>
      </c>
      <c r="F5" s="1658" t="s">
        <v>843</v>
      </c>
      <c r="G5" s="1658" t="s">
        <v>844</v>
      </c>
      <c r="H5" s="1658" t="s">
        <v>17</v>
      </c>
      <c r="I5" s="1658" t="s">
        <v>845</v>
      </c>
      <c r="J5" s="1658" t="s">
        <v>1319</v>
      </c>
      <c r="K5" s="1659" t="s">
        <v>1321</v>
      </c>
      <c r="L5" s="1659" t="s">
        <v>117</v>
      </c>
      <c r="M5" s="216" t="s">
        <v>846</v>
      </c>
      <c r="N5" s="214">
        <f>'lead 19-20'!N5</f>
        <v>48</v>
      </c>
    </row>
    <row r="6" spans="1:15" s="216" customFormat="1" ht="18" customHeight="1">
      <c r="A6" s="1658"/>
      <c r="B6" s="1658"/>
      <c r="C6" s="1658"/>
      <c r="D6" s="1658"/>
      <c r="E6" s="1658"/>
      <c r="F6" s="1658"/>
      <c r="G6" s="1658"/>
      <c r="H6" s="1658"/>
      <c r="I6" s="1658"/>
      <c r="J6" s="1658"/>
      <c r="K6" s="1659"/>
      <c r="L6" s="1659"/>
      <c r="M6" s="216" t="s">
        <v>1521</v>
      </c>
      <c r="N6" s="214">
        <f>'lead 19-20'!N6</f>
        <v>72</v>
      </c>
      <c r="O6" s="379"/>
    </row>
    <row r="7" spans="1:15" s="381" customFormat="1" ht="15" customHeight="1">
      <c r="A7" s="380">
        <v>1</v>
      </c>
      <c r="B7" s="380">
        <v>2</v>
      </c>
      <c r="C7" s="380">
        <v>3</v>
      </c>
      <c r="D7" s="380">
        <v>4</v>
      </c>
      <c r="E7" s="380">
        <v>5</v>
      </c>
      <c r="F7" s="380">
        <v>6</v>
      </c>
      <c r="G7" s="380">
        <v>7</v>
      </c>
      <c r="H7" s="380">
        <v>8</v>
      </c>
      <c r="I7" s="380">
        <v>9</v>
      </c>
      <c r="J7" s="380">
        <v>10</v>
      </c>
      <c r="K7" s="380">
        <v>11</v>
      </c>
      <c r="L7" s="380">
        <v>13</v>
      </c>
    </row>
    <row r="8" spans="1:15" s="388" customFormat="1">
      <c r="A8" s="382">
        <v>1</v>
      </c>
      <c r="B8" s="383" t="s">
        <v>847</v>
      </c>
      <c r="C8" s="384" t="s">
        <v>29</v>
      </c>
      <c r="D8" s="385" t="s">
        <v>3</v>
      </c>
      <c r="E8" s="386" t="s">
        <v>15</v>
      </c>
      <c r="F8" s="386">
        <v>0</v>
      </c>
      <c r="G8" s="386">
        <f>'MINI SSR 2022-23'!C4</f>
        <v>4700</v>
      </c>
      <c r="H8" s="386"/>
      <c r="I8" s="386"/>
      <c r="J8" s="386"/>
      <c r="K8" s="386"/>
      <c r="L8" s="387">
        <f t="shared" ref="L8:L25" si="0">SUM(F8:K8)</f>
        <v>4700</v>
      </c>
    </row>
    <row r="9" spans="1:15" s="388" customFormat="1">
      <c r="A9" s="382">
        <v>2</v>
      </c>
      <c r="B9" s="383" t="s">
        <v>1701</v>
      </c>
      <c r="C9" s="384" t="s">
        <v>29</v>
      </c>
      <c r="D9" s="385" t="s">
        <v>3</v>
      </c>
      <c r="E9" s="386" t="s">
        <v>15</v>
      </c>
      <c r="F9" s="386">
        <v>0</v>
      </c>
      <c r="G9" s="386">
        <f>'MINI SSR 2022-23'!C5</f>
        <v>64000</v>
      </c>
      <c r="H9" s="386"/>
      <c r="I9" s="386">
        <f>G9*18%</f>
        <v>11520</v>
      </c>
      <c r="J9" s="386"/>
      <c r="K9" s="386"/>
      <c r="L9" s="387">
        <f t="shared" si="0"/>
        <v>75520</v>
      </c>
    </row>
    <row r="10" spans="1:15" s="388" customFormat="1">
      <c r="A10" s="382">
        <v>3</v>
      </c>
      <c r="B10" s="389" t="s">
        <v>848</v>
      </c>
      <c r="C10" s="384" t="s">
        <v>29</v>
      </c>
      <c r="D10" s="385" t="s">
        <v>3</v>
      </c>
      <c r="E10" s="386"/>
      <c r="F10" s="386"/>
      <c r="G10" s="386">
        <f>'MINI SSR 2022-23'!C7</f>
        <v>62000</v>
      </c>
      <c r="H10" s="386"/>
      <c r="I10" s="386">
        <f>G10*18%</f>
        <v>11160</v>
      </c>
      <c r="J10" s="386"/>
      <c r="K10" s="386"/>
      <c r="L10" s="387">
        <f t="shared" si="0"/>
        <v>73160</v>
      </c>
    </row>
    <row r="11" spans="1:15" s="388" customFormat="1">
      <c r="A11" s="382">
        <v>4</v>
      </c>
      <c r="B11" s="389" t="s">
        <v>849</v>
      </c>
      <c r="C11" s="384" t="s">
        <v>29</v>
      </c>
      <c r="D11" s="385" t="s">
        <v>3</v>
      </c>
      <c r="E11" s="386"/>
      <c r="F11" s="386"/>
      <c r="G11" s="386">
        <f>'MINI SSR 2022-23'!C8</f>
        <v>62000</v>
      </c>
      <c r="H11" s="386"/>
      <c r="I11" s="386"/>
      <c r="J11" s="386"/>
      <c r="K11" s="386"/>
      <c r="L11" s="387">
        <f t="shared" si="0"/>
        <v>62000</v>
      </c>
    </row>
    <row r="12" spans="1:15" s="388" customFormat="1">
      <c r="A12" s="382">
        <v>5</v>
      </c>
      <c r="B12" s="389" t="s">
        <v>850</v>
      </c>
      <c r="C12" s="384" t="s">
        <v>5</v>
      </c>
      <c r="D12" s="390" t="s">
        <v>2717</v>
      </c>
      <c r="E12" s="391">
        <f>N3</f>
        <v>85</v>
      </c>
      <c r="F12" s="391">
        <f>VLOOKUP(E12,'con 2022-23'!$A$6:$F$305,2,FALSE)</f>
        <v>1115.9999999999998</v>
      </c>
      <c r="G12" s="386">
        <f>'MINI SSR 2022-23'!C9</f>
        <v>700</v>
      </c>
      <c r="H12" s="386"/>
      <c r="I12" s="386"/>
      <c r="J12" s="386"/>
      <c r="K12" s="386"/>
      <c r="L12" s="387">
        <f t="shared" si="0"/>
        <v>1815.9999999999998</v>
      </c>
    </row>
    <row r="13" spans="1:15" s="388" customFormat="1">
      <c r="A13" s="382">
        <v>5</v>
      </c>
      <c r="B13" s="389" t="s">
        <v>851</v>
      </c>
      <c r="C13" s="384" t="s">
        <v>5</v>
      </c>
      <c r="D13" s="390" t="str">
        <f>D12</f>
        <v>K.Bitragunta</v>
      </c>
      <c r="E13" s="391">
        <f>E12</f>
        <v>85</v>
      </c>
      <c r="F13" s="391">
        <f>VLOOKUP(E13,'con 2022-23'!$A$6:$F$305,2,FALSE)</f>
        <v>1115.9999999999998</v>
      </c>
      <c r="G13" s="386">
        <f>'MINI SSR 2022-23'!C10</f>
        <v>605</v>
      </c>
      <c r="H13" s="386"/>
      <c r="I13" s="386"/>
      <c r="J13" s="386"/>
      <c r="K13" s="386"/>
      <c r="L13" s="387">
        <f t="shared" si="0"/>
        <v>1720.9999999999998</v>
      </c>
    </row>
    <row r="14" spans="1:15" s="388" customFormat="1">
      <c r="A14" s="382">
        <v>6</v>
      </c>
      <c r="B14" s="389" t="s">
        <v>768</v>
      </c>
      <c r="C14" s="384" t="s">
        <v>5</v>
      </c>
      <c r="D14" s="390" t="str">
        <f>D13</f>
        <v>K.Bitragunta</v>
      </c>
      <c r="E14" s="391">
        <f>E13</f>
        <v>85</v>
      </c>
      <c r="F14" s="391">
        <f>VLOOKUP(E14,'con 2022-23'!A8:F307,2,FALSE)</f>
        <v>1115.9999999999998</v>
      </c>
      <c r="G14" s="386">
        <f>'MINI SSR 2022-23'!C11</f>
        <v>460</v>
      </c>
      <c r="H14" s="386"/>
      <c r="I14" s="386"/>
      <c r="J14" s="386"/>
      <c r="K14" s="386"/>
      <c r="L14" s="387">
        <f t="shared" si="0"/>
        <v>1575.9999999999998</v>
      </c>
    </row>
    <row r="15" spans="1:15" s="388" customFormat="1">
      <c r="A15" s="382">
        <v>7</v>
      </c>
      <c r="B15" s="389" t="s">
        <v>1318</v>
      </c>
      <c r="C15" s="384" t="s">
        <v>852</v>
      </c>
      <c r="D15" s="390" t="s">
        <v>1522</v>
      </c>
      <c r="E15" s="391">
        <f>N5</f>
        <v>48</v>
      </c>
      <c r="F15" s="391">
        <f>VLOOKUP(E15,'con 2022-23'!$A$5:$F$308,4,FALSE)</f>
        <v>1078.9999999999995</v>
      </c>
      <c r="G15" s="386">
        <f>'MINI SSR 2022-23'!C12</f>
        <v>7500</v>
      </c>
      <c r="H15" s="386"/>
      <c r="I15" s="386"/>
      <c r="J15" s="386">
        <f>'MINI SSR 2022-23'!D12</f>
        <v>68.5</v>
      </c>
      <c r="K15" s="386">
        <f>'MINI SSR 2022-23'!E12</f>
        <v>68.5</v>
      </c>
      <c r="L15" s="387">
        <f t="shared" si="0"/>
        <v>8716</v>
      </c>
    </row>
    <row r="16" spans="1:15" s="388" customFormat="1">
      <c r="A16" s="382">
        <v>8</v>
      </c>
      <c r="B16" s="389" t="s">
        <v>853</v>
      </c>
      <c r="C16" s="384" t="s">
        <v>5</v>
      </c>
      <c r="D16" s="390" t="s">
        <v>2017</v>
      </c>
      <c r="E16" s="391">
        <f>N4</f>
        <v>50</v>
      </c>
      <c r="F16" s="391">
        <f>VLOOKUP(E16,'con 2022-23'!$A$5:$F$309,3,FALSE)</f>
        <v>671.9000000000002</v>
      </c>
      <c r="G16" s="386">
        <f>'MINI SSR 2022-23'!C13</f>
        <v>716</v>
      </c>
      <c r="H16" s="386">
        <v>70</v>
      </c>
      <c r="I16" s="386">
        <f>ROUND(G16*0.25,2)</f>
        <v>179</v>
      </c>
      <c r="J16" s="386"/>
      <c r="K16" s="386"/>
      <c r="L16" s="387">
        <f t="shared" si="0"/>
        <v>1636.9</v>
      </c>
    </row>
    <row r="17" spans="1:12" s="392" customFormat="1">
      <c r="A17" s="382">
        <v>9</v>
      </c>
      <c r="B17" s="389" t="s">
        <v>854</v>
      </c>
      <c r="C17" s="384" t="s">
        <v>5</v>
      </c>
      <c r="D17" s="390" t="str">
        <f t="shared" ref="D17:E20" si="1">D16</f>
        <v>Ramatherdham</v>
      </c>
      <c r="E17" s="391">
        <f t="shared" si="1"/>
        <v>50</v>
      </c>
      <c r="F17" s="391">
        <f>VLOOKUP(E17,'con 2022-23'!$A$5:$F$309,3,FALSE)</f>
        <v>671.9000000000002</v>
      </c>
      <c r="G17" s="386">
        <f>'MINI SSR 2022-23'!C14</f>
        <v>1196</v>
      </c>
      <c r="H17" s="386">
        <v>70</v>
      </c>
      <c r="I17" s="386">
        <f>ROUND(G17*0.25,2)</f>
        <v>299</v>
      </c>
      <c r="J17" s="386"/>
      <c r="K17" s="386"/>
      <c r="L17" s="387">
        <f t="shared" si="0"/>
        <v>2236.9</v>
      </c>
    </row>
    <row r="18" spans="1:12" s="392" customFormat="1">
      <c r="A18" s="382">
        <v>10</v>
      </c>
      <c r="B18" s="389" t="s">
        <v>855</v>
      </c>
      <c r="C18" s="384" t="s">
        <v>5</v>
      </c>
      <c r="D18" s="390" t="str">
        <f t="shared" si="1"/>
        <v>Ramatherdham</v>
      </c>
      <c r="E18" s="391">
        <f t="shared" si="1"/>
        <v>50</v>
      </c>
      <c r="F18" s="391">
        <f>VLOOKUP(E18,'con 2022-23'!$A$5:$F$309,3,FALSE)</f>
        <v>671.9000000000002</v>
      </c>
      <c r="G18" s="386">
        <f>'MINI SSR 2022-23'!C15</f>
        <v>952</v>
      </c>
      <c r="H18" s="386">
        <v>70</v>
      </c>
      <c r="I18" s="386">
        <f>ROUND(G18*0.25,2)</f>
        <v>238</v>
      </c>
      <c r="J18" s="386"/>
      <c r="K18" s="386"/>
      <c r="L18" s="387">
        <f t="shared" si="0"/>
        <v>1931.9</v>
      </c>
    </row>
    <row r="19" spans="1:12" s="392" customFormat="1">
      <c r="A19" s="382">
        <v>11</v>
      </c>
      <c r="B19" s="389" t="s">
        <v>856</v>
      </c>
      <c r="C19" s="384" t="s">
        <v>5</v>
      </c>
      <c r="D19" s="390" t="str">
        <f t="shared" si="1"/>
        <v>Ramatherdham</v>
      </c>
      <c r="E19" s="391">
        <f t="shared" si="1"/>
        <v>50</v>
      </c>
      <c r="F19" s="391">
        <f>VLOOKUP(E19,'con 2022-23'!$A$5:$F$309,3,FALSE)</f>
        <v>671.9000000000002</v>
      </c>
      <c r="G19" s="386">
        <f>'MINI SSR 2022-23'!C16</f>
        <v>800</v>
      </c>
      <c r="H19" s="386">
        <v>70</v>
      </c>
      <c r="I19" s="386">
        <f>ROUND(G19*0.25,2)</f>
        <v>200</v>
      </c>
      <c r="J19" s="386"/>
      <c r="K19" s="386"/>
      <c r="L19" s="387">
        <f t="shared" si="0"/>
        <v>1741.9</v>
      </c>
    </row>
    <row r="20" spans="1:12" s="392" customFormat="1">
      <c r="A20" s="382">
        <v>12</v>
      </c>
      <c r="B20" s="389" t="s">
        <v>857</v>
      </c>
      <c r="C20" s="384" t="s">
        <v>5</v>
      </c>
      <c r="D20" s="390" t="str">
        <f t="shared" si="1"/>
        <v>Ramatherdham</v>
      </c>
      <c r="E20" s="391">
        <f t="shared" si="1"/>
        <v>50</v>
      </c>
      <c r="F20" s="391">
        <f>VLOOKUP(E20,'con 2022-23'!$A$5:$F$309,3,FALSE)</f>
        <v>671.9000000000002</v>
      </c>
      <c r="G20" s="386">
        <f>'MINI SSR 2022-23'!C17</f>
        <v>636</v>
      </c>
      <c r="H20" s="386">
        <v>70</v>
      </c>
      <c r="I20" s="386">
        <f>ROUND(G20*0.25,2)</f>
        <v>159</v>
      </c>
      <c r="J20" s="386"/>
      <c r="K20" s="386"/>
      <c r="L20" s="387">
        <f t="shared" si="0"/>
        <v>1536.9</v>
      </c>
    </row>
    <row r="21" spans="1:12" s="392" customFormat="1">
      <c r="A21" s="382">
        <v>13</v>
      </c>
      <c r="B21" s="389" t="s">
        <v>1193</v>
      </c>
      <c r="C21" s="384" t="s">
        <v>5</v>
      </c>
      <c r="D21" s="390" t="str">
        <f>D20</f>
        <v>Ramatherdham</v>
      </c>
      <c r="E21" s="391">
        <f>E20</f>
        <v>50</v>
      </c>
      <c r="F21" s="391">
        <f>VLOOKUP(E21,'con 2022-23'!$A$5:$F$309,3,FALSE)</f>
        <v>671.9000000000002</v>
      </c>
      <c r="G21" s="386">
        <f>'MINI SSR 2022-23'!C18</f>
        <v>298</v>
      </c>
      <c r="H21" s="386">
        <v>70</v>
      </c>
      <c r="I21" s="386"/>
      <c r="J21" s="386"/>
      <c r="K21" s="386"/>
      <c r="L21" s="387">
        <f t="shared" si="0"/>
        <v>1039.9000000000001</v>
      </c>
    </row>
    <row r="22" spans="1:12" s="388" customFormat="1">
      <c r="A22" s="382">
        <v>14</v>
      </c>
      <c r="B22" s="393" t="s">
        <v>1320</v>
      </c>
      <c r="C22" s="384" t="s">
        <v>102</v>
      </c>
      <c r="D22" s="390" t="str">
        <f>D21</f>
        <v>Ramatherdham</v>
      </c>
      <c r="E22" s="391">
        <f>E20</f>
        <v>50</v>
      </c>
      <c r="F22" s="391">
        <f>VLOOKUP(E22,'con 2022-23'!$A$5:$F$309,5,FALSE)*0.16</f>
        <v>157.74399999999994</v>
      </c>
      <c r="G22" s="386">
        <f>'MINI SSR 2022-23'!C19</f>
        <v>2100</v>
      </c>
      <c r="H22" s="386"/>
      <c r="I22" s="386"/>
      <c r="J22" s="386"/>
      <c r="K22" s="386"/>
      <c r="L22" s="387">
        <f t="shared" si="0"/>
        <v>2257.7440000000001</v>
      </c>
    </row>
    <row r="23" spans="1:12" s="388" customFormat="1">
      <c r="A23" s="382">
        <v>15</v>
      </c>
      <c r="B23" s="389" t="s">
        <v>3174</v>
      </c>
      <c r="C23" s="384"/>
      <c r="D23" s="390" t="s">
        <v>1209</v>
      </c>
      <c r="E23" s="391">
        <f>N6</f>
        <v>72</v>
      </c>
      <c r="F23" s="391">
        <f>VLOOKUP(E23,'con 2022-23'!$A$5:$F$308,4,FALSE)</f>
        <v>1542.1999999999985</v>
      </c>
      <c r="G23" s="386">
        <f>'MINI SSR 2022-23'!C24</f>
        <v>18000</v>
      </c>
      <c r="H23" s="386"/>
      <c r="I23" s="386"/>
      <c r="J23" s="386"/>
      <c r="K23" s="386"/>
      <c r="L23" s="387">
        <f t="shared" si="0"/>
        <v>19542.199999999997</v>
      </c>
    </row>
    <row r="24" spans="1:12" s="388" customFormat="1">
      <c r="A24" s="382">
        <v>16</v>
      </c>
      <c r="B24" s="389" t="s">
        <v>860</v>
      </c>
      <c r="C24" s="384" t="s">
        <v>5</v>
      </c>
      <c r="D24" s="390" t="s">
        <v>3</v>
      </c>
      <c r="E24" s="391">
        <v>5</v>
      </c>
      <c r="F24" s="391">
        <f>VLOOKUP(E24,'con 2022-23'!$A$6:$F$305,2,FALSE)</f>
        <v>96</v>
      </c>
      <c r="G24" s="386">
        <f>'MINI SSR 2022-23'!C25</f>
        <v>93</v>
      </c>
      <c r="H24" s="386"/>
      <c r="I24" s="386"/>
      <c r="J24" s="386"/>
      <c r="K24" s="386"/>
      <c r="L24" s="387">
        <f t="shared" si="0"/>
        <v>189</v>
      </c>
    </row>
    <row r="25" spans="1:12" s="388" customFormat="1">
      <c r="A25" s="382">
        <v>17</v>
      </c>
      <c r="B25" s="389" t="s">
        <v>664</v>
      </c>
      <c r="C25" s="384" t="s">
        <v>5</v>
      </c>
      <c r="D25" s="390" t="s">
        <v>3</v>
      </c>
      <c r="E25" s="391">
        <v>5</v>
      </c>
      <c r="F25" s="391">
        <f>VLOOKUP(E25,'con 2022-23'!$A$6:$F$305,2,FALSE)</f>
        <v>96</v>
      </c>
      <c r="G25" s="386">
        <f>'MINI SSR 2022-23'!C26</f>
        <v>149</v>
      </c>
      <c r="H25" s="386"/>
      <c r="I25" s="386"/>
      <c r="J25" s="386"/>
      <c r="K25" s="386"/>
      <c r="L25" s="387">
        <f t="shared" si="0"/>
        <v>245</v>
      </c>
    </row>
    <row r="26" spans="1:12" s="396" customFormat="1">
      <c r="A26" s="382"/>
      <c r="B26" s="394"/>
      <c r="C26" s="382"/>
      <c r="D26" s="394"/>
      <c r="E26" s="394"/>
      <c r="F26" s="394"/>
      <c r="G26" s="394"/>
      <c r="H26" s="394"/>
      <c r="I26" s="394"/>
      <c r="J26" s="394"/>
      <c r="K26" s="394"/>
      <c r="L26" s="395"/>
    </row>
    <row r="27" spans="1:12" s="396" customFormat="1">
      <c r="A27" s="388"/>
      <c r="C27" s="388"/>
    </row>
    <row r="28" spans="1:12" s="396" customFormat="1">
      <c r="A28" s="388" t="s">
        <v>1456</v>
      </c>
      <c r="B28" s="227" t="s">
        <v>1455</v>
      </c>
      <c r="C28" s="388"/>
    </row>
    <row r="29" spans="1:12" s="396" customFormat="1">
      <c r="A29" s="388" t="s">
        <v>1457</v>
      </c>
      <c r="B29" s="227" t="s">
        <v>2375</v>
      </c>
      <c r="C29" s="388"/>
    </row>
    <row r="30" spans="1:12" s="396" customFormat="1">
      <c r="A30" s="388"/>
      <c r="B30" s="227"/>
      <c r="C30" s="388"/>
    </row>
    <row r="31" spans="1:12" s="58" customFormat="1">
      <c r="B31" s="396"/>
      <c r="C31" s="388"/>
      <c r="D31" s="388"/>
      <c r="E31" s="396"/>
      <c r="F31" s="59"/>
      <c r="H31" s="217" t="s">
        <v>149</v>
      </c>
      <c r="J31" s="59"/>
      <c r="K31" s="217" t="str">
        <f>'lead 19-20'!K31</f>
        <v>Assistant  Engineer</v>
      </c>
      <c r="L31" s="59"/>
    </row>
    <row r="32" spans="1:12" s="58" customFormat="1">
      <c r="B32" s="396"/>
      <c r="C32" s="388"/>
      <c r="D32" s="388"/>
      <c r="E32" s="396"/>
      <c r="H32" s="217" t="s">
        <v>858</v>
      </c>
      <c r="J32" s="59"/>
      <c r="K32" s="217" t="str">
        <f>'lead 19-20'!K32</f>
        <v>Mandal Praja parishad</v>
      </c>
      <c r="L32" s="59"/>
    </row>
    <row r="33" spans="1:11" s="396" customFormat="1">
      <c r="A33" s="388"/>
      <c r="C33" s="388"/>
      <c r="D33" s="388"/>
      <c r="H33" s="217" t="s">
        <v>1523</v>
      </c>
      <c r="K33" s="217" t="str">
        <f>'lead 19-20'!K33</f>
        <v>Kanigiri</v>
      </c>
    </row>
    <row r="34" spans="1:11" s="396" customFormat="1">
      <c r="A34" s="388"/>
      <c r="C34" s="388"/>
      <c r="D34" s="388"/>
    </row>
    <row r="35" spans="1:11" s="396" customFormat="1">
      <c r="A35" s="388"/>
      <c r="C35" s="388"/>
      <c r="D35" s="388"/>
    </row>
  </sheetData>
  <mergeCells count="14">
    <mergeCell ref="I5:I6"/>
    <mergeCell ref="J5:J6"/>
    <mergeCell ref="K5:K6"/>
    <mergeCell ref="L5:L6"/>
    <mergeCell ref="A1:L1"/>
    <mergeCell ref="C2:L2"/>
    <mergeCell ref="A5:A6"/>
    <mergeCell ref="B5:B6"/>
    <mergeCell ref="C5:C6"/>
    <mergeCell ref="D5:D6"/>
    <mergeCell ref="E5:E6"/>
    <mergeCell ref="F5:F6"/>
    <mergeCell ref="G5:G6"/>
    <mergeCell ref="H5:H6"/>
  </mergeCells>
  <pageMargins left="0.71" right="0.2" top="0.25" bottom="0.25" header="0.3" footer="0.3"/>
  <pageSetup paperSize="9" orientation="landscape" verticalDpi="300" r:id="rId1"/>
  <rowBreaks count="1" manualBreakCount="1">
    <brk id="34" max="16383" man="1"/>
  </rowBreaks>
</worksheet>
</file>

<file path=xl/worksheets/sheet21.xml><?xml version="1.0" encoding="utf-8"?>
<worksheet xmlns="http://schemas.openxmlformats.org/spreadsheetml/2006/main" xmlns:r="http://schemas.openxmlformats.org/officeDocument/2006/relationships">
  <sheetPr filterMode="1">
    <tabColor rgb="FF00B050"/>
  </sheetPr>
  <dimension ref="A1:H3678"/>
  <sheetViews>
    <sheetView view="pageBreakPreview" topLeftCell="A3481" zoomScale="145" zoomScaleSheetLayoutView="145" workbookViewId="0">
      <selection activeCell="A3548" sqref="A3548"/>
    </sheetView>
  </sheetViews>
  <sheetFormatPr defaultColWidth="9.140625" defaultRowHeight="12.75"/>
  <cols>
    <col min="1" max="1" width="4.5703125" style="901" customWidth="1"/>
    <col min="2" max="2" width="10.42578125" style="901" customWidth="1"/>
    <col min="3" max="3" width="40.42578125" style="1009" customWidth="1"/>
    <col min="4" max="4" width="6.5703125" style="964" bestFit="1" customWidth="1"/>
    <col min="5" max="5" width="8.5703125" style="964" customWidth="1"/>
    <col min="6" max="6" width="9.5703125" style="964" bestFit="1" customWidth="1"/>
    <col min="7" max="7" width="10.5703125" style="901" customWidth="1"/>
    <col min="8" max="8" width="7.5703125" style="964" customWidth="1"/>
    <col min="9" max="9" width="3" style="901" bestFit="1" customWidth="1"/>
    <col min="10" max="16384" width="9.140625" style="901"/>
  </cols>
  <sheetData>
    <row r="1" spans="1:8">
      <c r="A1" s="1663" t="s">
        <v>2457</v>
      </c>
      <c r="B1" s="1663"/>
      <c r="C1" s="1663"/>
      <c r="D1" s="1663"/>
      <c r="E1" s="1663"/>
      <c r="F1" s="1663"/>
      <c r="G1" s="1663"/>
    </row>
    <row r="2" spans="1:8" ht="33.75" customHeight="1">
      <c r="A2" s="1664" t="str">
        <f>'lead 19-20'!B2&amp;'lead 19-20'!C2</f>
        <v>Name of the Work: Providing Additional Space for Health Staff in Grama Sachivalayam of Baduguleru GP of Kanigiri Mandal</v>
      </c>
      <c r="B2" s="1664"/>
      <c r="C2" s="1664"/>
      <c r="D2" s="1664"/>
      <c r="E2" s="1664"/>
      <c r="F2" s="1664"/>
      <c r="G2" s="1664"/>
    </row>
    <row r="3" spans="1:8" ht="5.25" customHeight="1"/>
    <row r="4" spans="1:8">
      <c r="A4" s="1010"/>
      <c r="E4" s="964" t="s">
        <v>270</v>
      </c>
      <c r="F4" s="1012" t="str">
        <f>'lead 19-20'!K4</f>
        <v>20.80 Lakhs</v>
      </c>
    </row>
    <row r="5" spans="1:8" ht="3" customHeight="1"/>
    <row r="6" spans="1:8" s="1007" customFormat="1" ht="19.5" customHeight="1">
      <c r="A6" s="1392" t="s">
        <v>23</v>
      </c>
      <c r="B6" s="1392" t="s">
        <v>24</v>
      </c>
      <c r="C6" s="1378" t="s">
        <v>25</v>
      </c>
      <c r="D6" s="1392" t="s">
        <v>16</v>
      </c>
      <c r="E6" s="1392" t="s">
        <v>6</v>
      </c>
      <c r="F6" s="1392" t="s">
        <v>8</v>
      </c>
      <c r="G6" s="1392" t="s">
        <v>10</v>
      </c>
      <c r="H6" s="1006"/>
    </row>
    <row r="7" spans="1:8" s="1480" customFormat="1" ht="19.5" customHeight="1">
      <c r="A7" s="1475"/>
      <c r="B7" s="1476"/>
      <c r="C7" s="1477" t="s">
        <v>2015</v>
      </c>
      <c r="D7" s="1478"/>
      <c r="E7" s="1475"/>
      <c r="F7" s="1475"/>
      <c r="G7" s="1475"/>
      <c r="H7" s="1479"/>
    </row>
    <row r="8" spans="1:8" s="1403" customFormat="1" ht="25.5">
      <c r="A8" s="1481">
        <v>1</v>
      </c>
      <c r="B8" s="1481" t="s">
        <v>46</v>
      </c>
      <c r="C8" s="1482" t="s">
        <v>43</v>
      </c>
      <c r="D8" s="1481"/>
      <c r="E8" s="1481"/>
      <c r="F8" s="1481"/>
      <c r="G8" s="1481"/>
      <c r="H8" s="1483" t="s">
        <v>2217</v>
      </c>
    </row>
    <row r="9" spans="1:8" s="1403" customFormat="1">
      <c r="A9" s="1481"/>
      <c r="B9" s="1481"/>
      <c r="C9" s="1484" t="s">
        <v>44</v>
      </c>
      <c r="D9" s="1481" t="s">
        <v>4</v>
      </c>
      <c r="E9" s="1485">
        <f>1440/3</f>
        <v>480</v>
      </c>
      <c r="F9" s="1485">
        <f>'lead 19-20'!$L$8</f>
        <v>4700</v>
      </c>
      <c r="G9" s="1486">
        <f>ROUND(E9*F9/1000,2)</f>
        <v>2256</v>
      </c>
      <c r="H9" s="1483" t="s">
        <v>2217</v>
      </c>
    </row>
    <row r="10" spans="1:8" s="1403" customFormat="1">
      <c r="A10" s="1481"/>
      <c r="B10" s="1481"/>
      <c r="C10" s="1484" t="s">
        <v>44</v>
      </c>
      <c r="D10" s="1481" t="s">
        <v>35</v>
      </c>
      <c r="E10" s="1485">
        <v>1.05</v>
      </c>
      <c r="F10" s="1485">
        <f>'lead 19-20'!$L$12</f>
        <v>1464.7999999999988</v>
      </c>
      <c r="G10" s="1486">
        <f>ROUND(E10*F10,2)</f>
        <v>1538.04</v>
      </c>
      <c r="H10" s="1483" t="s">
        <v>2217</v>
      </c>
    </row>
    <row r="11" spans="1:8" s="1403" customFormat="1">
      <c r="A11" s="1481"/>
      <c r="B11" s="1481"/>
      <c r="C11" s="1484" t="s">
        <v>45</v>
      </c>
      <c r="D11" s="1481" t="s">
        <v>27</v>
      </c>
      <c r="E11" s="1485">
        <v>0.2</v>
      </c>
      <c r="F11" s="1485">
        <f>'MINI SSR 19-20'!H$5</f>
        <v>420</v>
      </c>
      <c r="G11" s="1486">
        <f>ROUND(E11*F11,2)</f>
        <v>84</v>
      </c>
      <c r="H11" s="1483" t="s">
        <v>2217</v>
      </c>
    </row>
    <row r="12" spans="1:8" s="1403" customFormat="1">
      <c r="A12" s="1481"/>
      <c r="B12" s="1481"/>
      <c r="C12" s="1484"/>
      <c r="D12" s="1481"/>
      <c r="E12" s="1481"/>
      <c r="F12" s="1481"/>
      <c r="G12" s="1487">
        <f>SUM(G9:G11)</f>
        <v>3878.04</v>
      </c>
      <c r="H12" s="1483" t="s">
        <v>2217</v>
      </c>
    </row>
    <row r="13" spans="1:8" ht="25.5" hidden="1">
      <c r="A13" s="967">
        <v>2</v>
      </c>
      <c r="B13" s="967" t="s">
        <v>51</v>
      </c>
      <c r="C13" s="962" t="s">
        <v>47</v>
      </c>
      <c r="D13" s="967"/>
      <c r="E13" s="967"/>
      <c r="F13" s="967"/>
      <c r="G13" s="967"/>
      <c r="H13" s="964" t="s">
        <v>2217</v>
      </c>
    </row>
    <row r="14" spans="1:8" hidden="1">
      <c r="A14" s="967"/>
      <c r="B14" s="967"/>
      <c r="C14" s="1382" t="s">
        <v>44</v>
      </c>
      <c r="D14" s="967" t="s">
        <v>4</v>
      </c>
      <c r="E14" s="970">
        <f>1440/4</f>
        <v>360</v>
      </c>
      <c r="F14" s="970">
        <f>'lead 19-20'!$L$8</f>
        <v>4700</v>
      </c>
      <c r="G14" s="969">
        <f>ROUND(E14*F14/1000,2)</f>
        <v>1692</v>
      </c>
      <c r="H14" s="964" t="s">
        <v>2217</v>
      </c>
    </row>
    <row r="15" spans="1:8" hidden="1">
      <c r="A15" s="967"/>
      <c r="B15" s="967"/>
      <c r="C15" s="1382" t="s">
        <v>110</v>
      </c>
      <c r="D15" s="967" t="s">
        <v>35</v>
      </c>
      <c r="E15" s="970">
        <v>1.05</v>
      </c>
      <c r="F15" s="970">
        <f>'lead 19-20'!$L$12</f>
        <v>1464.7999999999988</v>
      </c>
      <c r="G15" s="969">
        <f>ROUND(E15*F15,2)</f>
        <v>1538.04</v>
      </c>
      <c r="H15" s="964" t="s">
        <v>2217</v>
      </c>
    </row>
    <row r="16" spans="1:8" hidden="1">
      <c r="A16" s="967"/>
      <c r="B16" s="967"/>
      <c r="C16" s="1382" t="s">
        <v>45</v>
      </c>
      <c r="D16" s="967" t="s">
        <v>27</v>
      </c>
      <c r="E16" s="970">
        <v>0.2</v>
      </c>
      <c r="F16" s="970">
        <f>'MINI SSR 19-20'!H$5</f>
        <v>420</v>
      </c>
      <c r="G16" s="969">
        <f>ROUND(E16*F16,2)</f>
        <v>84</v>
      </c>
      <c r="H16" s="964" t="s">
        <v>2217</v>
      </c>
    </row>
    <row r="17" spans="1:8" hidden="1">
      <c r="A17" s="967"/>
      <c r="B17" s="967"/>
      <c r="C17" s="1382"/>
      <c r="D17" s="967"/>
      <c r="E17" s="967"/>
      <c r="F17" s="967"/>
      <c r="G17" s="972">
        <f>SUM(G14:G16)</f>
        <v>3314.04</v>
      </c>
      <c r="H17" s="964" t="s">
        <v>2217</v>
      </c>
    </row>
    <row r="18" spans="1:8" ht="25.5" hidden="1">
      <c r="A18" s="967">
        <v>2</v>
      </c>
      <c r="B18" s="967" t="s">
        <v>52</v>
      </c>
      <c r="C18" s="962" t="s">
        <v>48</v>
      </c>
      <c r="D18" s="967"/>
      <c r="E18" s="967"/>
      <c r="F18" s="967"/>
      <c r="G18" s="967"/>
      <c r="H18" s="964" t="s">
        <v>2217</v>
      </c>
    </row>
    <row r="19" spans="1:8" hidden="1">
      <c r="A19" s="967"/>
      <c r="B19" s="967"/>
      <c r="C19" s="1382" t="s">
        <v>44</v>
      </c>
      <c r="D19" s="967" t="s">
        <v>4</v>
      </c>
      <c r="E19" s="970">
        <f>1440/5</f>
        <v>288</v>
      </c>
      <c r="F19" s="970">
        <f>'lead 19-20'!$L$8</f>
        <v>4700</v>
      </c>
      <c r="G19" s="969">
        <f>ROUND(E19*F19/1000,2)</f>
        <v>1353.6</v>
      </c>
      <c r="H19" s="964" t="s">
        <v>2217</v>
      </c>
    </row>
    <row r="20" spans="1:8" hidden="1">
      <c r="A20" s="967"/>
      <c r="B20" s="967"/>
      <c r="C20" s="1382" t="s">
        <v>110</v>
      </c>
      <c r="D20" s="967" t="s">
        <v>35</v>
      </c>
      <c r="E20" s="970">
        <v>1.05</v>
      </c>
      <c r="F20" s="970">
        <f>'lead 19-20'!$L$12</f>
        <v>1464.7999999999988</v>
      </c>
      <c r="G20" s="969">
        <f>ROUND(E20*F20,2)</f>
        <v>1538.04</v>
      </c>
      <c r="H20" s="964" t="s">
        <v>2217</v>
      </c>
    </row>
    <row r="21" spans="1:8" hidden="1">
      <c r="A21" s="967"/>
      <c r="B21" s="967"/>
      <c r="C21" s="1382" t="s">
        <v>45</v>
      </c>
      <c r="D21" s="967" t="s">
        <v>27</v>
      </c>
      <c r="E21" s="970">
        <v>0.2</v>
      </c>
      <c r="F21" s="970">
        <f>'MINI SSR 19-20'!H$5</f>
        <v>420</v>
      </c>
      <c r="G21" s="969">
        <f>ROUND(E21*F21,2)</f>
        <v>84</v>
      </c>
      <c r="H21" s="964" t="s">
        <v>2217</v>
      </c>
    </row>
    <row r="22" spans="1:8" hidden="1">
      <c r="A22" s="967"/>
      <c r="B22" s="967"/>
      <c r="C22" s="1382"/>
      <c r="D22" s="967"/>
      <c r="E22" s="967"/>
      <c r="F22" s="967"/>
      <c r="G22" s="972">
        <f>SUM(G19:G21)</f>
        <v>2975.64</v>
      </c>
      <c r="H22" s="964" t="s">
        <v>2217</v>
      </c>
    </row>
    <row r="23" spans="1:8" ht="25.5" hidden="1">
      <c r="A23" s="967">
        <v>4</v>
      </c>
      <c r="B23" s="967" t="s">
        <v>53</v>
      </c>
      <c r="C23" s="962" t="s">
        <v>49</v>
      </c>
      <c r="D23" s="967"/>
      <c r="E23" s="967"/>
      <c r="F23" s="967"/>
      <c r="G23" s="967"/>
      <c r="H23" s="964" t="s">
        <v>2217</v>
      </c>
    </row>
    <row r="24" spans="1:8" hidden="1">
      <c r="A24" s="967"/>
      <c r="B24" s="967"/>
      <c r="C24" s="1382" t="s">
        <v>44</v>
      </c>
      <c r="D24" s="967" t="s">
        <v>4</v>
      </c>
      <c r="E24" s="970">
        <f>1440/6</f>
        <v>240</v>
      </c>
      <c r="F24" s="970">
        <f>'lead 19-20'!$L$8</f>
        <v>4700</v>
      </c>
      <c r="G24" s="969">
        <f>ROUND(E24*F24/1000,2)</f>
        <v>1128</v>
      </c>
      <c r="H24" s="964" t="s">
        <v>2217</v>
      </c>
    </row>
    <row r="25" spans="1:8" hidden="1">
      <c r="A25" s="967"/>
      <c r="B25" s="967"/>
      <c r="C25" s="1382" t="s">
        <v>111</v>
      </c>
      <c r="D25" s="967" t="s">
        <v>35</v>
      </c>
      <c r="E25" s="970">
        <v>1.05</v>
      </c>
      <c r="F25" s="970">
        <f>'lead 19-20'!$L$12</f>
        <v>1464.7999999999988</v>
      </c>
      <c r="G25" s="969">
        <f>ROUND(E25*F25,2)</f>
        <v>1538.04</v>
      </c>
      <c r="H25" s="964" t="s">
        <v>2217</v>
      </c>
    </row>
    <row r="26" spans="1:8" hidden="1">
      <c r="A26" s="967"/>
      <c r="B26" s="967"/>
      <c r="C26" s="1382" t="s">
        <v>45</v>
      </c>
      <c r="D26" s="967" t="s">
        <v>27</v>
      </c>
      <c r="E26" s="970">
        <v>0.2</v>
      </c>
      <c r="F26" s="970">
        <f>'MINI SSR 19-20'!H$5</f>
        <v>420</v>
      </c>
      <c r="G26" s="969">
        <f>ROUND(E26*F26,2)</f>
        <v>84</v>
      </c>
      <c r="H26" s="964" t="s">
        <v>2217</v>
      </c>
    </row>
    <row r="27" spans="1:8" hidden="1">
      <c r="A27" s="967"/>
      <c r="B27" s="967"/>
      <c r="C27" s="1382"/>
      <c r="D27" s="967"/>
      <c r="E27" s="967"/>
      <c r="F27" s="967"/>
      <c r="G27" s="972">
        <f>SUM(G24:G26)</f>
        <v>2750.04</v>
      </c>
      <c r="H27" s="964" t="s">
        <v>2217</v>
      </c>
    </row>
    <row r="28" spans="1:8" ht="25.5" hidden="1">
      <c r="A28" s="967">
        <v>5</v>
      </c>
      <c r="B28" s="967" t="s">
        <v>54</v>
      </c>
      <c r="C28" s="962" t="s">
        <v>50</v>
      </c>
      <c r="D28" s="967"/>
      <c r="E28" s="967"/>
      <c r="F28" s="967"/>
      <c r="G28" s="967"/>
      <c r="H28" s="964" t="s">
        <v>2217</v>
      </c>
    </row>
    <row r="29" spans="1:8" hidden="1">
      <c r="A29" s="967"/>
      <c r="B29" s="967"/>
      <c r="C29" s="1382" t="s">
        <v>44</v>
      </c>
      <c r="D29" s="967" t="s">
        <v>4</v>
      </c>
      <c r="E29" s="970">
        <f>1440/8</f>
        <v>180</v>
      </c>
      <c r="F29" s="970">
        <f>'lead 19-20'!$L$8</f>
        <v>4700</v>
      </c>
      <c r="G29" s="969">
        <f>ROUND(E29*F29/1000,2)</f>
        <v>846</v>
      </c>
      <c r="H29" s="964" t="s">
        <v>2217</v>
      </c>
    </row>
    <row r="30" spans="1:8" hidden="1">
      <c r="A30" s="967"/>
      <c r="B30" s="967"/>
      <c r="C30" s="1382" t="s">
        <v>111</v>
      </c>
      <c r="D30" s="967" t="s">
        <v>35</v>
      </c>
      <c r="E30" s="970">
        <v>1.05</v>
      </c>
      <c r="F30" s="970">
        <f>'lead 19-20'!$L$12</f>
        <v>1464.7999999999988</v>
      </c>
      <c r="G30" s="969">
        <f>ROUND(E30*F30,2)</f>
        <v>1538.04</v>
      </c>
      <c r="H30" s="964" t="s">
        <v>2217</v>
      </c>
    </row>
    <row r="31" spans="1:8" hidden="1">
      <c r="A31" s="967"/>
      <c r="B31" s="967"/>
      <c r="C31" s="1382" t="s">
        <v>45</v>
      </c>
      <c r="D31" s="967" t="s">
        <v>27</v>
      </c>
      <c r="E31" s="970">
        <v>0.2</v>
      </c>
      <c r="F31" s="970">
        <f>'MINI SSR 19-20'!H$5</f>
        <v>420</v>
      </c>
      <c r="G31" s="969">
        <f>ROUND(E31*F31,2)</f>
        <v>84</v>
      </c>
      <c r="H31" s="964" t="s">
        <v>2217</v>
      </c>
    </row>
    <row r="32" spans="1:8" ht="18.75" hidden="1" customHeight="1">
      <c r="A32" s="967"/>
      <c r="B32" s="967"/>
      <c r="C32" s="1382"/>
      <c r="D32" s="967"/>
      <c r="E32" s="967"/>
      <c r="F32" s="967"/>
      <c r="G32" s="972">
        <f>SUM(G29:G31)</f>
        <v>2468.04</v>
      </c>
      <c r="H32" s="964" t="s">
        <v>2217</v>
      </c>
    </row>
    <row r="33" spans="1:8" s="1403" customFormat="1" ht="25.5">
      <c r="A33" s="1481">
        <v>2</v>
      </c>
      <c r="B33" s="1481"/>
      <c r="C33" s="1484" t="s">
        <v>827</v>
      </c>
      <c r="D33" s="1481"/>
      <c r="E33" s="1481"/>
      <c r="F33" s="1481"/>
      <c r="G33" s="1481"/>
      <c r="H33" s="1483" t="s">
        <v>2217</v>
      </c>
    </row>
    <row r="34" spans="1:8" s="1403" customFormat="1">
      <c r="A34" s="1481"/>
      <c r="B34" s="1481"/>
      <c r="C34" s="1484" t="s">
        <v>822</v>
      </c>
      <c r="D34" s="1488">
        <v>0.6</v>
      </c>
      <c r="E34" s="1488">
        <f>'lead 19-20'!L17</f>
        <v>1885.7999999999997</v>
      </c>
      <c r="F34" s="1488">
        <f>ROUND(D34*E34,2)</f>
        <v>1131.48</v>
      </c>
      <c r="G34" s="1481"/>
      <c r="H34" s="1483" t="s">
        <v>2217</v>
      </c>
    </row>
    <row r="35" spans="1:8" s="1403" customFormat="1">
      <c r="A35" s="1481"/>
      <c r="B35" s="1481"/>
      <c r="C35" s="1484" t="s">
        <v>823</v>
      </c>
      <c r="D35" s="1488">
        <v>0.15</v>
      </c>
      <c r="E35" s="1488">
        <f>'lead 19-20'!L18</f>
        <v>1625.7999999999997</v>
      </c>
      <c r="F35" s="1488">
        <f>ROUND(D35*E35,2)</f>
        <v>243.87</v>
      </c>
      <c r="G35" s="1481"/>
      <c r="H35" s="1483" t="s">
        <v>2217</v>
      </c>
    </row>
    <row r="36" spans="1:8" s="1403" customFormat="1">
      <c r="A36" s="1481"/>
      <c r="B36" s="1481"/>
      <c r="C36" s="1484" t="s">
        <v>824</v>
      </c>
      <c r="D36" s="1488">
        <v>0.15</v>
      </c>
      <c r="E36" s="1488">
        <f>'lead 19-20'!L19</f>
        <v>1465.7999999999997</v>
      </c>
      <c r="F36" s="1488">
        <f>ROUND(D36*E36,2)</f>
        <v>219.87</v>
      </c>
      <c r="G36" s="1481"/>
      <c r="H36" s="1483" t="s">
        <v>2217</v>
      </c>
    </row>
    <row r="37" spans="1:8" s="1403" customFormat="1">
      <c r="A37" s="1481"/>
      <c r="B37" s="1481"/>
      <c r="C37" s="1484" t="s">
        <v>825</v>
      </c>
      <c r="D37" s="1488">
        <v>0.1</v>
      </c>
      <c r="E37" s="1488">
        <f>'lead 19-20'!L20</f>
        <v>1270.7999999999997</v>
      </c>
      <c r="F37" s="1488">
        <f>ROUND(D37*E37,2)</f>
        <v>127.08</v>
      </c>
      <c r="G37" s="1481"/>
      <c r="H37" s="1483" t="s">
        <v>2217</v>
      </c>
    </row>
    <row r="38" spans="1:8" s="1403" customFormat="1">
      <c r="A38" s="1481"/>
      <c r="B38" s="1481"/>
      <c r="C38" s="1437" t="s">
        <v>826</v>
      </c>
      <c r="D38" s="1481"/>
      <c r="E38" s="1481"/>
      <c r="F38" s="1489">
        <f>SUM(F34:F37)</f>
        <v>1722.2999999999997</v>
      </c>
      <c r="G38" s="1481"/>
      <c r="H38" s="1483" t="s">
        <v>2217</v>
      </c>
    </row>
    <row r="39" spans="1:8" s="1403" customFormat="1">
      <c r="A39" s="1481"/>
      <c r="B39" s="1481"/>
      <c r="C39" s="1484"/>
      <c r="D39" s="1481"/>
      <c r="E39" s="1481"/>
      <c r="F39" s="1481"/>
      <c r="G39" s="1481"/>
      <c r="H39" s="1483" t="s">
        <v>2217</v>
      </c>
    </row>
    <row r="40" spans="1:8" ht="25.5" hidden="1">
      <c r="A40" s="896">
        <v>1</v>
      </c>
      <c r="B40" s="966"/>
      <c r="C40" s="1382" t="s">
        <v>294</v>
      </c>
      <c r="D40" s="967"/>
      <c r="E40" s="967"/>
      <c r="F40" s="967"/>
      <c r="G40" s="902"/>
      <c r="H40" s="964" t="s">
        <v>2217</v>
      </c>
    </row>
    <row r="41" spans="1:8" hidden="1">
      <c r="A41" s="896"/>
      <c r="B41" s="966"/>
      <c r="C41" s="1382" t="s">
        <v>31</v>
      </c>
      <c r="D41" s="967"/>
      <c r="E41" s="967"/>
      <c r="F41" s="967"/>
      <c r="G41" s="902"/>
      <c r="H41" s="964" t="s">
        <v>2217</v>
      </c>
    </row>
    <row r="42" spans="1:8" hidden="1">
      <c r="A42" s="896"/>
      <c r="B42" s="967"/>
      <c r="C42" s="1382" t="s">
        <v>1322</v>
      </c>
      <c r="D42" s="967"/>
      <c r="E42" s="967"/>
      <c r="F42" s="967"/>
      <c r="G42" s="902"/>
      <c r="H42" s="964" t="s">
        <v>2217</v>
      </c>
    </row>
    <row r="43" spans="1:8" hidden="1">
      <c r="A43" s="896"/>
      <c r="B43" s="968"/>
      <c r="C43" s="1382" t="s">
        <v>122</v>
      </c>
      <c r="D43" s="967"/>
      <c r="E43" s="967"/>
      <c r="F43" s="967"/>
      <c r="G43" s="969">
        <f>'MINI SSR 19-20'!H25</f>
        <v>5.22</v>
      </c>
      <c r="H43" s="964" t="s">
        <v>2217</v>
      </c>
    </row>
    <row r="44" spans="1:8" hidden="1">
      <c r="A44" s="902"/>
      <c r="B44" s="902"/>
      <c r="C44" s="962" t="s">
        <v>119</v>
      </c>
      <c r="D44" s="896"/>
      <c r="E44" s="896"/>
      <c r="F44" s="896"/>
      <c r="G44" s="963">
        <f>SUM(G43)</f>
        <v>5.22</v>
      </c>
      <c r="H44" s="964" t="s">
        <v>2217</v>
      </c>
    </row>
    <row r="45" spans="1:8" ht="63.75" hidden="1">
      <c r="A45" s="896">
        <v>3</v>
      </c>
      <c r="B45" s="966"/>
      <c r="C45" s="1382" t="s">
        <v>1277</v>
      </c>
      <c r="D45" s="967"/>
      <c r="E45" s="967"/>
      <c r="F45" s="967"/>
      <c r="G45" s="902"/>
      <c r="H45" s="964" t="s">
        <v>2217</v>
      </c>
    </row>
    <row r="46" spans="1:8" hidden="1">
      <c r="A46" s="896"/>
      <c r="B46" s="966"/>
      <c r="C46" s="1382" t="s">
        <v>31</v>
      </c>
      <c r="D46" s="967"/>
      <c r="E46" s="967"/>
      <c r="F46" s="967"/>
      <c r="G46" s="902"/>
      <c r="H46" s="964" t="s">
        <v>2217</v>
      </c>
    </row>
    <row r="47" spans="1:8" hidden="1">
      <c r="A47" s="896"/>
      <c r="B47" s="967"/>
      <c r="C47" s="1382" t="s">
        <v>1322</v>
      </c>
      <c r="D47" s="967"/>
      <c r="E47" s="967"/>
      <c r="F47" s="967"/>
      <c r="G47" s="902"/>
      <c r="H47" s="964" t="s">
        <v>2217</v>
      </c>
    </row>
    <row r="48" spans="1:8" hidden="1">
      <c r="A48" s="896"/>
      <c r="B48" s="968"/>
      <c r="C48" s="1382" t="s">
        <v>122</v>
      </c>
      <c r="D48" s="967"/>
      <c r="E48" s="967"/>
      <c r="F48" s="967"/>
      <c r="G48" s="969">
        <f>'MINI SSR 19-20'!H26</f>
        <v>124.24</v>
      </c>
      <c r="H48" s="964" t="s">
        <v>2217</v>
      </c>
    </row>
    <row r="49" spans="1:8" hidden="1">
      <c r="A49" s="902"/>
      <c r="B49" s="902"/>
      <c r="C49" s="962" t="s">
        <v>119</v>
      </c>
      <c r="D49" s="896"/>
      <c r="E49" s="896"/>
      <c r="F49" s="896"/>
      <c r="G49" s="963">
        <f>SUM(G48)</f>
        <v>124.24</v>
      </c>
      <c r="H49" s="964" t="s">
        <v>2217</v>
      </c>
    </row>
    <row r="50" spans="1:8" s="1403" customFormat="1" ht="89.25">
      <c r="A50" s="1397">
        <v>3</v>
      </c>
      <c r="B50" s="1490" t="s">
        <v>1325</v>
      </c>
      <c r="C50" s="1484" t="s">
        <v>55</v>
      </c>
      <c r="D50" s="1481"/>
      <c r="E50" s="1481"/>
      <c r="F50" s="1481"/>
      <c r="G50" s="1490"/>
      <c r="H50" s="1483" t="s">
        <v>2217</v>
      </c>
    </row>
    <row r="51" spans="1:8" s="1403" customFormat="1">
      <c r="A51" s="1397"/>
      <c r="B51" s="1481"/>
      <c r="C51" s="1437" t="s">
        <v>31</v>
      </c>
      <c r="D51" s="1481"/>
      <c r="E51" s="1481"/>
      <c r="F51" s="1481"/>
      <c r="G51" s="1410"/>
      <c r="H51" s="1483" t="s">
        <v>2217</v>
      </c>
    </row>
    <row r="52" spans="1:8" s="1403" customFormat="1">
      <c r="A52" s="1397"/>
      <c r="B52" s="1481"/>
      <c r="C52" s="1437" t="s">
        <v>2405</v>
      </c>
      <c r="D52" s="1481"/>
      <c r="E52" s="1481"/>
      <c r="F52" s="1481"/>
      <c r="G52" s="1410"/>
      <c r="H52" s="1483" t="s">
        <v>2217</v>
      </c>
    </row>
    <row r="53" spans="1:8" s="1403" customFormat="1">
      <c r="A53" s="1397"/>
      <c r="B53" s="1492" t="s">
        <v>18</v>
      </c>
      <c r="C53" s="1437" t="s">
        <v>26</v>
      </c>
      <c r="D53" s="1481"/>
      <c r="E53" s="1481"/>
      <c r="F53" s="1481"/>
      <c r="G53" s="1410"/>
      <c r="H53" s="1483" t="s">
        <v>2217</v>
      </c>
    </row>
    <row r="54" spans="1:8" s="1403" customFormat="1">
      <c r="A54" s="1410"/>
      <c r="B54" s="1410"/>
      <c r="C54" s="1484" t="s">
        <v>118</v>
      </c>
      <c r="D54" s="1397" t="s">
        <v>27</v>
      </c>
      <c r="E54" s="1434">
        <v>0.31</v>
      </c>
      <c r="F54" s="1485">
        <f>'MINI SSR 19-20'!H$5</f>
        <v>420</v>
      </c>
      <c r="G54" s="1486">
        <f>ROUND(E54*F54,2)</f>
        <v>130.19999999999999</v>
      </c>
      <c r="H54" s="1483" t="s">
        <v>2217</v>
      </c>
    </row>
    <row r="55" spans="1:8" s="1403" customFormat="1">
      <c r="A55" s="1410"/>
      <c r="B55" s="1492" t="s">
        <v>20</v>
      </c>
      <c r="C55" s="1437" t="s">
        <v>22</v>
      </c>
      <c r="D55" s="1397"/>
      <c r="E55" s="1397"/>
      <c r="F55" s="1397"/>
      <c r="G55" s="1410"/>
      <c r="H55" s="1483" t="s">
        <v>2217</v>
      </c>
    </row>
    <row r="56" spans="1:8" s="1403" customFormat="1">
      <c r="A56" s="1410"/>
      <c r="B56" s="1410"/>
      <c r="C56" s="1484" t="s">
        <v>32</v>
      </c>
      <c r="D56" s="1397" t="s">
        <v>5</v>
      </c>
      <c r="E56" s="1434">
        <v>6</v>
      </c>
      <c r="F56" s="1434">
        <f>'lead 19-20'!L14</f>
        <v>1249.7999999999988</v>
      </c>
      <c r="G56" s="1486">
        <f>ROUND(E56*F56,2)</f>
        <v>7498.8</v>
      </c>
      <c r="H56" s="1483" t="s">
        <v>2217</v>
      </c>
    </row>
    <row r="57" spans="1:8" s="1403" customFormat="1">
      <c r="A57" s="1410"/>
      <c r="B57" s="1410"/>
      <c r="C57" s="1437" t="s">
        <v>2406</v>
      </c>
      <c r="D57" s="1397"/>
      <c r="E57" s="1434"/>
      <c r="F57" s="1434"/>
      <c r="G57" s="1486">
        <f>SUM(G54:G56)</f>
        <v>7629</v>
      </c>
      <c r="H57" s="1483"/>
    </row>
    <row r="58" spans="1:8" s="1403" customFormat="1">
      <c r="A58" s="1410"/>
      <c r="B58" s="1410"/>
      <c r="C58" s="1437" t="s">
        <v>28</v>
      </c>
      <c r="D58" s="1397"/>
      <c r="E58" s="1397"/>
      <c r="F58" s="1397"/>
      <c r="G58" s="1493">
        <f>ROUND(G57/6,2)</f>
        <v>1271.5</v>
      </c>
      <c r="H58" s="1483" t="s">
        <v>2217</v>
      </c>
    </row>
    <row r="59" spans="1:8" s="1403" customFormat="1" ht="102">
      <c r="A59" s="1397">
        <v>4</v>
      </c>
      <c r="B59" s="1490" t="s">
        <v>1324</v>
      </c>
      <c r="C59" s="1484" t="s">
        <v>1189</v>
      </c>
      <c r="D59" s="1481"/>
      <c r="E59" s="1481"/>
      <c r="F59" s="1481"/>
      <c r="G59" s="1490"/>
      <c r="H59" s="1483" t="s">
        <v>2217</v>
      </c>
    </row>
    <row r="60" spans="1:8" s="1403" customFormat="1">
      <c r="A60" s="1397"/>
      <c r="B60" s="1481"/>
      <c r="C60" s="1437" t="s">
        <v>2407</v>
      </c>
      <c r="D60" s="1481"/>
      <c r="E60" s="1481"/>
      <c r="F60" s="1481"/>
      <c r="G60" s="1410"/>
      <c r="H60" s="1483" t="s">
        <v>2217</v>
      </c>
    </row>
    <row r="61" spans="1:8" s="1403" customFormat="1">
      <c r="A61" s="1397"/>
      <c r="B61" s="1492" t="s">
        <v>18</v>
      </c>
      <c r="C61" s="1437" t="s">
        <v>26</v>
      </c>
      <c r="D61" s="1481"/>
      <c r="E61" s="1481"/>
      <c r="F61" s="1481"/>
      <c r="G61" s="1410"/>
      <c r="H61" s="1483" t="s">
        <v>2217</v>
      </c>
    </row>
    <row r="62" spans="1:8" s="1403" customFormat="1">
      <c r="A62" s="1410"/>
      <c r="B62" s="1410"/>
      <c r="C62" s="1484" t="s">
        <v>118</v>
      </c>
      <c r="D62" s="1397" t="s">
        <v>27</v>
      </c>
      <c r="E62" s="1434">
        <v>0.31</v>
      </c>
      <c r="F62" s="1485">
        <f>'MINI SSR 19-20'!H$5</f>
        <v>420</v>
      </c>
      <c r="G62" s="1486">
        <f>ROUND(E62*F62,2)</f>
        <v>130.19999999999999</v>
      </c>
      <c r="H62" s="1483" t="s">
        <v>2217</v>
      </c>
    </row>
    <row r="63" spans="1:8" s="1403" customFormat="1">
      <c r="A63" s="1410"/>
      <c r="B63" s="1492" t="s">
        <v>20</v>
      </c>
      <c r="C63" s="1437" t="s">
        <v>22</v>
      </c>
      <c r="D63" s="1397"/>
      <c r="E63" s="1397"/>
      <c r="F63" s="1397"/>
      <c r="G63" s="1410"/>
      <c r="H63" s="1483" t="s">
        <v>2217</v>
      </c>
    </row>
    <row r="64" spans="1:8" s="1403" customFormat="1">
      <c r="A64" s="1410"/>
      <c r="B64" s="1410"/>
      <c r="C64" s="1484" t="s">
        <v>860</v>
      </c>
      <c r="D64" s="1397" t="s">
        <v>5</v>
      </c>
      <c r="E64" s="1434">
        <v>6</v>
      </c>
      <c r="F64" s="1434">
        <f>'lead 19-20'!L24</f>
        <v>161.30000000000001</v>
      </c>
      <c r="G64" s="1486">
        <f>ROUND(E64*F64,2)</f>
        <v>967.8</v>
      </c>
      <c r="H64" s="1483" t="s">
        <v>2217</v>
      </c>
    </row>
    <row r="65" spans="1:8" s="1403" customFormat="1">
      <c r="A65" s="1410"/>
      <c r="B65" s="1410"/>
      <c r="C65" s="1437" t="s">
        <v>2406</v>
      </c>
      <c r="D65" s="1397"/>
      <c r="E65" s="1434"/>
      <c r="F65" s="1434"/>
      <c r="G65" s="1486">
        <f>SUM(G62:G64)</f>
        <v>1098</v>
      </c>
      <c r="H65" s="1483" t="s">
        <v>2217</v>
      </c>
    </row>
    <row r="66" spans="1:8" s="1403" customFormat="1">
      <c r="A66" s="1410"/>
      <c r="B66" s="1410"/>
      <c r="C66" s="1437" t="s">
        <v>28</v>
      </c>
      <c r="D66" s="1397"/>
      <c r="E66" s="1397"/>
      <c r="F66" s="1397"/>
      <c r="G66" s="1493">
        <f>ROUND(G65/6,2)</f>
        <v>183</v>
      </c>
      <c r="H66" s="1483" t="s">
        <v>2217</v>
      </c>
    </row>
    <row r="67" spans="1:8" ht="89.25" hidden="1">
      <c r="A67" s="896">
        <v>10</v>
      </c>
      <c r="B67" s="966" t="s">
        <v>1324</v>
      </c>
      <c r="C67" s="1382" t="s">
        <v>662</v>
      </c>
      <c r="D67" s="967"/>
      <c r="E67" s="967"/>
      <c r="F67" s="967"/>
      <c r="G67" s="966"/>
      <c r="H67" s="964" t="s">
        <v>2217</v>
      </c>
    </row>
    <row r="68" spans="1:8" hidden="1">
      <c r="A68" s="896"/>
      <c r="B68" s="967"/>
      <c r="C68" s="962" t="s">
        <v>2407</v>
      </c>
      <c r="D68" s="967"/>
      <c r="E68" s="967"/>
      <c r="F68" s="967"/>
      <c r="G68" s="902"/>
      <c r="H68" s="964" t="s">
        <v>2217</v>
      </c>
    </row>
    <row r="69" spans="1:8" hidden="1">
      <c r="A69" s="896"/>
      <c r="B69" s="968" t="s">
        <v>18</v>
      </c>
      <c r="C69" s="962" t="s">
        <v>26</v>
      </c>
      <c r="D69" s="967"/>
      <c r="E69" s="967"/>
      <c r="F69" s="967"/>
      <c r="G69" s="902"/>
      <c r="H69" s="964" t="s">
        <v>2217</v>
      </c>
    </row>
    <row r="70" spans="1:8" hidden="1">
      <c r="A70" s="902"/>
      <c r="B70" s="902"/>
      <c r="C70" s="1382" t="s">
        <v>118</v>
      </c>
      <c r="D70" s="896" t="s">
        <v>27</v>
      </c>
      <c r="E70" s="922">
        <v>0.31</v>
      </c>
      <c r="F70" s="970">
        <f>'MINI SSR 19-20'!H$5</f>
        <v>420</v>
      </c>
      <c r="G70" s="969">
        <f>ROUND(E70*F70,2)</f>
        <v>130.19999999999999</v>
      </c>
      <c r="H70" s="964" t="s">
        <v>2217</v>
      </c>
    </row>
    <row r="71" spans="1:8" hidden="1">
      <c r="A71" s="902"/>
      <c r="B71" s="968" t="s">
        <v>20</v>
      </c>
      <c r="C71" s="962" t="s">
        <v>22</v>
      </c>
      <c r="D71" s="896"/>
      <c r="E71" s="896"/>
      <c r="F71" s="896"/>
      <c r="G71" s="902"/>
      <c r="H71" s="964" t="s">
        <v>2217</v>
      </c>
    </row>
    <row r="72" spans="1:8" hidden="1">
      <c r="A72" s="902"/>
      <c r="B72" s="902"/>
      <c r="C72" s="1382" t="s">
        <v>663</v>
      </c>
      <c r="D72" s="896" t="s">
        <v>5</v>
      </c>
      <c r="E72" s="922">
        <v>6</v>
      </c>
      <c r="F72" s="922">
        <f>'lead 19-20'!L25</f>
        <v>188.3</v>
      </c>
      <c r="G72" s="969">
        <f>ROUND(E72*F72,2)</f>
        <v>1129.8</v>
      </c>
      <c r="H72" s="964" t="s">
        <v>2217</v>
      </c>
    </row>
    <row r="73" spans="1:8" hidden="1">
      <c r="A73" s="902"/>
      <c r="B73" s="902"/>
      <c r="C73" s="962" t="s">
        <v>2406</v>
      </c>
      <c r="D73" s="896"/>
      <c r="E73" s="922"/>
      <c r="F73" s="922"/>
      <c r="G73" s="969">
        <f>SUM(G70:G72)</f>
        <v>1260</v>
      </c>
      <c r="H73" s="964" t="s">
        <v>2217</v>
      </c>
    </row>
    <row r="74" spans="1:8" hidden="1">
      <c r="A74" s="902"/>
      <c r="B74" s="902"/>
      <c r="C74" s="962" t="s">
        <v>28</v>
      </c>
      <c r="D74" s="896"/>
      <c r="E74" s="896"/>
      <c r="F74" s="896"/>
      <c r="G74" s="963">
        <f>ROUND(G73/6,2)</f>
        <v>210</v>
      </c>
      <c r="H74" s="964" t="s">
        <v>2217</v>
      </c>
    </row>
    <row r="75" spans="1:8" s="1403" customFormat="1" ht="63.75">
      <c r="A75" s="1397">
        <v>5</v>
      </c>
      <c r="B75" s="1490" t="s">
        <v>1323</v>
      </c>
      <c r="C75" s="1484" t="s">
        <v>282</v>
      </c>
      <c r="D75" s="1481"/>
      <c r="E75" s="1481"/>
      <c r="F75" s="1481"/>
      <c r="G75" s="1490"/>
      <c r="H75" s="1483" t="s">
        <v>2217</v>
      </c>
    </row>
    <row r="76" spans="1:8" s="1403" customFormat="1">
      <c r="A76" s="1481"/>
      <c r="B76" s="1481"/>
      <c r="C76" s="1484" t="s">
        <v>312</v>
      </c>
      <c r="D76" s="1481"/>
      <c r="E76" s="1485"/>
      <c r="F76" s="1485"/>
      <c r="G76" s="1486"/>
      <c r="H76" s="1483" t="s">
        <v>2217</v>
      </c>
    </row>
    <row r="77" spans="1:8" s="1403" customFormat="1">
      <c r="A77" s="1481"/>
      <c r="B77" s="1481"/>
      <c r="C77" s="1484" t="s">
        <v>311</v>
      </c>
      <c r="D77" s="1481" t="s">
        <v>27</v>
      </c>
      <c r="E77" s="1485">
        <v>3.12</v>
      </c>
      <c r="F77" s="1485">
        <f>'MINI SSR 19-20'!H$5</f>
        <v>420</v>
      </c>
      <c r="G77" s="1486">
        <f>ROUND(E77*F77,2)</f>
        <v>1310.4000000000001</v>
      </c>
      <c r="H77" s="1483" t="s">
        <v>2217</v>
      </c>
    </row>
    <row r="78" spans="1:8" s="1403" customFormat="1">
      <c r="A78" s="1481"/>
      <c r="B78" s="1481"/>
      <c r="C78" s="1484" t="s">
        <v>57</v>
      </c>
      <c r="D78" s="1481" t="s">
        <v>59</v>
      </c>
      <c r="E78" s="1485">
        <v>0.72</v>
      </c>
      <c r="F78" s="1434">
        <f>'MINI SSR 19-20'!$C$29</f>
        <v>80</v>
      </c>
      <c r="G78" s="1486">
        <f>ROUND(E78*F78,2)</f>
        <v>57.6</v>
      </c>
      <c r="H78" s="1483" t="s">
        <v>2217</v>
      </c>
    </row>
    <row r="79" spans="1:8" s="1403" customFormat="1">
      <c r="A79" s="1481"/>
      <c r="B79" s="1481"/>
      <c r="C79" s="1484" t="s">
        <v>313</v>
      </c>
      <c r="D79" s="1481"/>
      <c r="E79" s="1485"/>
      <c r="F79" s="1485"/>
      <c r="G79" s="1486">
        <f>SUM(G77:G78)</f>
        <v>1368</v>
      </c>
      <c r="H79" s="1483" t="s">
        <v>2217</v>
      </c>
    </row>
    <row r="80" spans="1:8" s="1403" customFormat="1">
      <c r="A80" s="1481"/>
      <c r="B80" s="1481"/>
      <c r="C80" s="1484" t="s">
        <v>313</v>
      </c>
      <c r="D80" s="1481"/>
      <c r="E80" s="1481"/>
      <c r="F80" s="1481"/>
      <c r="G80" s="1491">
        <f>ROUND(G79/6,2)</f>
        <v>228</v>
      </c>
      <c r="H80" s="1483" t="s">
        <v>2217</v>
      </c>
    </row>
    <row r="81" spans="1:8" s="1403" customFormat="1" ht="89.25">
      <c r="A81" s="1397">
        <v>6</v>
      </c>
      <c r="B81" s="1490" t="s">
        <v>158</v>
      </c>
      <c r="C81" s="1484" t="s">
        <v>159</v>
      </c>
      <c r="D81" s="1481"/>
      <c r="E81" s="1481"/>
      <c r="F81" s="1481"/>
      <c r="G81" s="1490"/>
      <c r="H81" s="1483" t="s">
        <v>2217</v>
      </c>
    </row>
    <row r="82" spans="1:8" s="1403" customFormat="1">
      <c r="A82" s="1397"/>
      <c r="B82" s="1490"/>
      <c r="C82" s="1437" t="s">
        <v>60</v>
      </c>
      <c r="D82" s="1481"/>
      <c r="E82" s="1481"/>
      <c r="F82" s="1481"/>
      <c r="G82" s="1487"/>
      <c r="H82" s="1483" t="s">
        <v>2217</v>
      </c>
    </row>
    <row r="83" spans="1:8" s="1403" customFormat="1">
      <c r="A83" s="1481"/>
      <c r="B83" s="1481"/>
      <c r="C83" s="1484" t="s">
        <v>44</v>
      </c>
      <c r="D83" s="1481" t="s">
        <v>4</v>
      </c>
      <c r="E83" s="1485">
        <v>162</v>
      </c>
      <c r="F83" s="1485">
        <f>'lead 19-20'!L8</f>
        <v>4700</v>
      </c>
      <c r="G83" s="1486">
        <f>ROUND(E83*F83/1000,2)</f>
        <v>761.4</v>
      </c>
      <c r="H83" s="1483" t="s">
        <v>2217</v>
      </c>
    </row>
    <row r="84" spans="1:8" s="1403" customFormat="1">
      <c r="A84" s="1481"/>
      <c r="B84" s="1481"/>
      <c r="C84" s="1484" t="s">
        <v>56</v>
      </c>
      <c r="D84" s="1481" t="s">
        <v>35</v>
      </c>
      <c r="E84" s="1485">
        <v>0.9</v>
      </c>
      <c r="F84" s="1485">
        <f>'lead 19-20'!L16</f>
        <v>1375.7999999999997</v>
      </c>
      <c r="G84" s="1486">
        <f>ROUND(E84*F84,2)</f>
        <v>1238.22</v>
      </c>
      <c r="H84" s="1483" t="s">
        <v>2217</v>
      </c>
    </row>
    <row r="85" spans="1:8" s="1403" customFormat="1">
      <c r="A85" s="1481"/>
      <c r="B85" s="1481"/>
      <c r="C85" s="1484" t="s">
        <v>112</v>
      </c>
      <c r="D85" s="1481" t="s">
        <v>35</v>
      </c>
      <c r="E85" s="1485">
        <v>0.45</v>
      </c>
      <c r="F85" s="1485">
        <f>'lead 19-20'!L13</f>
        <v>1384.7999999999988</v>
      </c>
      <c r="G85" s="1486">
        <f>ROUND(E85*F85,2)</f>
        <v>623.16</v>
      </c>
      <c r="H85" s="1483" t="s">
        <v>2217</v>
      </c>
    </row>
    <row r="86" spans="1:8" s="1403" customFormat="1">
      <c r="A86" s="1481"/>
      <c r="B86" s="1481"/>
      <c r="C86" s="1484" t="s">
        <v>57</v>
      </c>
      <c r="D86" s="1481" t="s">
        <v>58</v>
      </c>
      <c r="E86" s="1485">
        <v>1.2</v>
      </c>
      <c r="F86" s="1434">
        <f>'MINI SSR 19-20'!$C$29</f>
        <v>80</v>
      </c>
      <c r="G86" s="1486">
        <f>ROUND(E86*F86,2)</f>
        <v>96</v>
      </c>
      <c r="H86" s="1483" t="s">
        <v>2217</v>
      </c>
    </row>
    <row r="87" spans="1:8" s="1403" customFormat="1">
      <c r="A87" s="1481"/>
      <c r="B87" s="1481"/>
      <c r="C87" s="1437" t="s">
        <v>61</v>
      </c>
      <c r="D87" s="1481"/>
      <c r="E87" s="1485"/>
      <c r="F87" s="1485"/>
      <c r="G87" s="1486"/>
      <c r="H87" s="1483" t="s">
        <v>2217</v>
      </c>
    </row>
    <row r="88" spans="1:8" s="1403" customFormat="1">
      <c r="A88" s="1481"/>
      <c r="B88" s="1481"/>
      <c r="C88" s="1484" t="s">
        <v>62</v>
      </c>
      <c r="D88" s="1481" t="s">
        <v>21</v>
      </c>
      <c r="E88" s="1485">
        <v>1</v>
      </c>
      <c r="F88" s="1485">
        <f>'MINI SSR 19-20'!$C$30</f>
        <v>524.70000000000005</v>
      </c>
      <c r="G88" s="1486">
        <f>ROUND(E88*F88,2)</f>
        <v>524.70000000000005</v>
      </c>
      <c r="H88" s="1483" t="s">
        <v>2217</v>
      </c>
    </row>
    <row r="89" spans="1:8" s="1403" customFormat="1">
      <c r="A89" s="1481"/>
      <c r="B89" s="1481"/>
      <c r="C89" s="1437" t="s">
        <v>63</v>
      </c>
      <c r="D89" s="1481"/>
      <c r="E89" s="1485"/>
      <c r="F89" s="1485"/>
      <c r="G89" s="1486"/>
      <c r="H89" s="1483" t="s">
        <v>2217</v>
      </c>
    </row>
    <row r="90" spans="1:8" s="1403" customFormat="1">
      <c r="A90" s="1481"/>
      <c r="B90" s="1481"/>
      <c r="C90" s="1484" t="s">
        <v>64</v>
      </c>
      <c r="D90" s="1481" t="s">
        <v>27</v>
      </c>
      <c r="E90" s="1485">
        <v>0.1</v>
      </c>
      <c r="F90" s="1485">
        <f>'MINI SSR 19-20'!$H$3</f>
        <v>500</v>
      </c>
      <c r="G90" s="1486">
        <f>ROUND(E90*F90,2)</f>
        <v>50</v>
      </c>
      <c r="H90" s="1483" t="s">
        <v>2217</v>
      </c>
    </row>
    <row r="91" spans="1:8" s="1403" customFormat="1">
      <c r="A91" s="1481"/>
      <c r="B91" s="1481"/>
      <c r="C91" s="1484" t="s">
        <v>19</v>
      </c>
      <c r="D91" s="1481" t="s">
        <v>27</v>
      </c>
      <c r="E91" s="1485">
        <v>1.39</v>
      </c>
      <c r="F91" s="1485">
        <f>'MINI SSR 19-20'!H$5</f>
        <v>420</v>
      </c>
      <c r="G91" s="1486">
        <f>ROUND(E91*F91,2)</f>
        <v>583.79999999999995</v>
      </c>
      <c r="H91" s="1483" t="s">
        <v>2217</v>
      </c>
    </row>
    <row r="92" spans="1:8" s="1403" customFormat="1">
      <c r="A92" s="1481"/>
      <c r="B92" s="1481"/>
      <c r="C92" s="1484"/>
      <c r="D92" s="1481"/>
      <c r="E92" s="1481"/>
      <c r="F92" s="1481"/>
      <c r="G92" s="1491">
        <f>SUM(G83:G91)</f>
        <v>3877.2799999999997</v>
      </c>
      <c r="H92" s="1483" t="s">
        <v>2217</v>
      </c>
    </row>
    <row r="93" spans="1:8" ht="89.25" hidden="1">
      <c r="A93" s="896">
        <v>13</v>
      </c>
      <c r="B93" s="966" t="s">
        <v>65</v>
      </c>
      <c r="C93" s="1382" t="s">
        <v>67</v>
      </c>
      <c r="D93" s="967"/>
      <c r="E93" s="967"/>
      <c r="F93" s="967"/>
      <c r="G93" s="966"/>
      <c r="H93" s="964" t="s">
        <v>2217</v>
      </c>
    </row>
    <row r="94" spans="1:8" hidden="1">
      <c r="A94" s="896"/>
      <c r="B94" s="966"/>
      <c r="C94" s="962" t="s">
        <v>60</v>
      </c>
      <c r="D94" s="967"/>
      <c r="E94" s="967"/>
      <c r="F94" s="967"/>
      <c r="G94" s="972"/>
      <c r="H94" s="964" t="s">
        <v>2217</v>
      </c>
    </row>
    <row r="95" spans="1:8" hidden="1">
      <c r="A95" s="967"/>
      <c r="B95" s="967"/>
      <c r="C95" s="1382" t="s">
        <v>44</v>
      </c>
      <c r="D95" s="967" t="s">
        <v>4</v>
      </c>
      <c r="E95" s="970">
        <v>129.6</v>
      </c>
      <c r="F95" s="970">
        <f>F83</f>
        <v>4700</v>
      </c>
      <c r="G95" s="969">
        <f>ROUND(E95*F95/1000,2)</f>
        <v>609.12</v>
      </c>
      <c r="H95" s="964" t="s">
        <v>2217</v>
      </c>
    </row>
    <row r="96" spans="1:8" hidden="1">
      <c r="A96" s="967"/>
      <c r="B96" s="967"/>
      <c r="C96" s="1382" t="s">
        <v>56</v>
      </c>
      <c r="D96" s="967" t="s">
        <v>35</v>
      </c>
      <c r="E96" s="970">
        <v>0.9</v>
      </c>
      <c r="F96" s="970">
        <f>F84</f>
        <v>1375.7999999999997</v>
      </c>
      <c r="G96" s="969">
        <f>ROUND(E96*F96,2)</f>
        <v>1238.22</v>
      </c>
      <c r="H96" s="964" t="s">
        <v>2217</v>
      </c>
    </row>
    <row r="97" spans="1:8" hidden="1">
      <c r="A97" s="967"/>
      <c r="B97" s="967"/>
      <c r="C97" s="1382" t="s">
        <v>112</v>
      </c>
      <c r="D97" s="967" t="s">
        <v>35</v>
      </c>
      <c r="E97" s="970">
        <v>0.45</v>
      </c>
      <c r="F97" s="970">
        <f>F85</f>
        <v>1384.7999999999988</v>
      </c>
      <c r="G97" s="969">
        <f>ROUND(E97*F97,2)</f>
        <v>623.16</v>
      </c>
      <c r="H97" s="964" t="s">
        <v>2217</v>
      </c>
    </row>
    <row r="98" spans="1:8" hidden="1">
      <c r="A98" s="967"/>
      <c r="B98" s="967"/>
      <c r="C98" s="1382" t="s">
        <v>57</v>
      </c>
      <c r="D98" s="967" t="s">
        <v>58</v>
      </c>
      <c r="E98" s="970">
        <v>1.2</v>
      </c>
      <c r="F98" s="922">
        <f>'MINI SSR 19-20'!$C$29</f>
        <v>80</v>
      </c>
      <c r="G98" s="969">
        <f>ROUND(E98*F98,2)</f>
        <v>96</v>
      </c>
      <c r="H98" s="964" t="s">
        <v>2217</v>
      </c>
    </row>
    <row r="99" spans="1:8" hidden="1">
      <c r="A99" s="967"/>
      <c r="B99" s="967"/>
      <c r="C99" s="962" t="s">
        <v>61</v>
      </c>
      <c r="D99" s="967"/>
      <c r="E99" s="970"/>
      <c r="F99" s="970"/>
      <c r="G99" s="969"/>
      <c r="H99" s="964" t="s">
        <v>2217</v>
      </c>
    </row>
    <row r="100" spans="1:8" hidden="1">
      <c r="A100" s="967"/>
      <c r="B100" s="967"/>
      <c r="C100" s="1382" t="s">
        <v>62</v>
      </c>
      <c r="D100" s="967" t="s">
        <v>21</v>
      </c>
      <c r="E100" s="970">
        <v>1</v>
      </c>
      <c r="F100" s="970">
        <f>'MINI SSR 19-20'!$C$30</f>
        <v>524.70000000000005</v>
      </c>
      <c r="G100" s="969">
        <f>ROUND(E100*F100,2)</f>
        <v>524.70000000000005</v>
      </c>
      <c r="H100" s="964" t="s">
        <v>2217</v>
      </c>
    </row>
    <row r="101" spans="1:8" hidden="1">
      <c r="A101" s="967"/>
      <c r="B101" s="967"/>
      <c r="C101" s="962" t="s">
        <v>63</v>
      </c>
      <c r="D101" s="967"/>
      <c r="E101" s="970"/>
      <c r="F101" s="970"/>
      <c r="G101" s="969"/>
      <c r="H101" s="964" t="s">
        <v>2217</v>
      </c>
    </row>
    <row r="102" spans="1:8" hidden="1">
      <c r="A102" s="967"/>
      <c r="B102" s="967"/>
      <c r="C102" s="1382" t="s">
        <v>64</v>
      </c>
      <c r="D102" s="967" t="s">
        <v>27</v>
      </c>
      <c r="E102" s="970">
        <v>0.1</v>
      </c>
      <c r="F102" s="970">
        <f>'MINI SSR 19-20'!$H$3</f>
        <v>500</v>
      </c>
      <c r="G102" s="969">
        <f>ROUND(E102*F102,2)</f>
        <v>50</v>
      </c>
      <c r="H102" s="964" t="s">
        <v>2217</v>
      </c>
    </row>
    <row r="103" spans="1:8" hidden="1">
      <c r="A103" s="967"/>
      <c r="B103" s="967"/>
      <c r="C103" s="1382" t="s">
        <v>19</v>
      </c>
      <c r="D103" s="967" t="s">
        <v>27</v>
      </c>
      <c r="E103" s="970">
        <v>1.39</v>
      </c>
      <c r="F103" s="970">
        <f>'MINI SSR 19-20'!H$5</f>
        <v>420</v>
      </c>
      <c r="G103" s="969">
        <f>ROUND(E103*F103,2)</f>
        <v>583.79999999999995</v>
      </c>
      <c r="H103" s="964" t="s">
        <v>2217</v>
      </c>
    </row>
    <row r="104" spans="1:8" hidden="1">
      <c r="A104" s="967"/>
      <c r="B104" s="967"/>
      <c r="C104" s="1382"/>
      <c r="D104" s="967"/>
      <c r="E104" s="967"/>
      <c r="F104" s="967"/>
      <c r="G104" s="971">
        <f>SUM(G95:G103)</f>
        <v>3725</v>
      </c>
      <c r="H104" s="964" t="s">
        <v>2217</v>
      </c>
    </row>
    <row r="105" spans="1:8" s="1403" customFormat="1" ht="178.5">
      <c r="A105" s="1397">
        <v>7</v>
      </c>
      <c r="B105" s="1490" t="s">
        <v>66</v>
      </c>
      <c r="C105" s="1484" t="s">
        <v>225</v>
      </c>
      <c r="D105" s="1481"/>
      <c r="E105" s="1481"/>
      <c r="F105" s="1481"/>
      <c r="G105" s="1490"/>
      <c r="H105" s="1483" t="s">
        <v>2217</v>
      </c>
    </row>
    <row r="106" spans="1:8" s="1403" customFormat="1">
      <c r="A106" s="1397"/>
      <c r="B106" s="1490"/>
      <c r="C106" s="1437" t="s">
        <v>81</v>
      </c>
      <c r="D106" s="1481"/>
      <c r="E106" s="1481"/>
      <c r="F106" s="1481"/>
      <c r="G106" s="1487"/>
      <c r="H106" s="1483" t="s">
        <v>2217</v>
      </c>
    </row>
    <row r="107" spans="1:8" s="1403" customFormat="1">
      <c r="A107" s="1397"/>
      <c r="B107" s="1490"/>
      <c r="C107" s="1437" t="s">
        <v>60</v>
      </c>
      <c r="D107" s="1481"/>
      <c r="E107" s="1481"/>
      <c r="F107" s="1481"/>
      <c r="G107" s="1487"/>
      <c r="H107" s="1483" t="s">
        <v>2217</v>
      </c>
    </row>
    <row r="108" spans="1:8" s="1403" customFormat="1">
      <c r="A108" s="1397"/>
      <c r="B108" s="1490"/>
      <c r="C108" s="1484" t="s">
        <v>154</v>
      </c>
      <c r="D108" s="1481" t="s">
        <v>35</v>
      </c>
      <c r="E108" s="1485">
        <v>0.8</v>
      </c>
      <c r="F108" s="1485">
        <f>F38</f>
        <v>1722.2999999999997</v>
      </c>
      <c r="G108" s="1486">
        <f>ROUND(E108*F108,2)</f>
        <v>1377.84</v>
      </c>
      <c r="H108" s="1483" t="s">
        <v>2217</v>
      </c>
    </row>
    <row r="109" spans="1:8" s="1403" customFormat="1">
      <c r="A109" s="1397"/>
      <c r="B109" s="1490"/>
      <c r="C109" s="1484" t="s">
        <v>112</v>
      </c>
      <c r="D109" s="1481" t="s">
        <v>35</v>
      </c>
      <c r="E109" s="1485">
        <v>0.4</v>
      </c>
      <c r="F109" s="1485">
        <f>'lead 19-20'!L13</f>
        <v>1384.7999999999988</v>
      </c>
      <c r="G109" s="1486">
        <f>ROUND(E109*F109,2)</f>
        <v>553.91999999999996</v>
      </c>
      <c r="H109" s="1483" t="s">
        <v>2217</v>
      </c>
    </row>
    <row r="110" spans="1:8" s="1403" customFormat="1">
      <c r="A110" s="1481"/>
      <c r="B110" s="1481"/>
      <c r="C110" s="1484" t="s">
        <v>33</v>
      </c>
      <c r="D110" s="1481" t="s">
        <v>4</v>
      </c>
      <c r="E110" s="1485">
        <v>340</v>
      </c>
      <c r="F110" s="1485">
        <f>'lead 19-20'!L8</f>
        <v>4700</v>
      </c>
      <c r="G110" s="1486">
        <f>ROUND(E110*F110/1000,2)</f>
        <v>1598</v>
      </c>
      <c r="H110" s="1483" t="s">
        <v>2217</v>
      </c>
    </row>
    <row r="111" spans="1:8" s="1403" customFormat="1">
      <c r="A111" s="1481"/>
      <c r="B111" s="1481"/>
      <c r="C111" s="1437" t="s">
        <v>68</v>
      </c>
      <c r="D111" s="1481"/>
      <c r="E111" s="1485"/>
      <c r="F111" s="1485"/>
      <c r="G111" s="1486"/>
      <c r="H111" s="1483" t="s">
        <v>2217</v>
      </c>
    </row>
    <row r="112" spans="1:8" s="1403" customFormat="1">
      <c r="A112" s="1481"/>
      <c r="B112" s="1481"/>
      <c r="C112" s="1484" t="s">
        <v>64</v>
      </c>
      <c r="D112" s="1481" t="s">
        <v>27</v>
      </c>
      <c r="E112" s="1494">
        <v>0.13300000000000001</v>
      </c>
      <c r="F112" s="1485">
        <f>'MINI SSR 19-20'!$H$3</f>
        <v>500</v>
      </c>
      <c r="G112" s="1486">
        <f>ROUND(E112*F112,2)</f>
        <v>66.5</v>
      </c>
      <c r="H112" s="1483" t="s">
        <v>2217</v>
      </c>
    </row>
    <row r="113" spans="1:8" s="1403" customFormat="1">
      <c r="A113" s="1481"/>
      <c r="B113" s="1481"/>
      <c r="C113" s="1484" t="s">
        <v>69</v>
      </c>
      <c r="D113" s="1481" t="s">
        <v>27</v>
      </c>
      <c r="E113" s="1494">
        <v>0.26700000000000002</v>
      </c>
      <c r="F113" s="1485">
        <f>'MINI SSR 19-20'!$H$4</f>
        <v>460</v>
      </c>
      <c r="G113" s="1486">
        <f>ROUND(E113*F113,2)</f>
        <v>122.82</v>
      </c>
      <c r="H113" s="1483" t="s">
        <v>2217</v>
      </c>
    </row>
    <row r="114" spans="1:8" s="1403" customFormat="1">
      <c r="A114" s="1481"/>
      <c r="B114" s="1481"/>
      <c r="C114" s="1484" t="s">
        <v>70</v>
      </c>
      <c r="D114" s="1481" t="s">
        <v>27</v>
      </c>
      <c r="E114" s="1494">
        <v>3.6</v>
      </c>
      <c r="F114" s="1485">
        <f>'MINI SSR 19-20'!H$5</f>
        <v>420</v>
      </c>
      <c r="G114" s="1486">
        <f>ROUND(E114*F114,2)</f>
        <v>1512</v>
      </c>
      <c r="H114" s="1483" t="s">
        <v>2217</v>
      </c>
    </row>
    <row r="115" spans="1:8" s="1403" customFormat="1">
      <c r="A115" s="1481"/>
      <c r="B115" s="1481"/>
      <c r="C115" s="1437" t="s">
        <v>61</v>
      </c>
      <c r="D115" s="1481"/>
      <c r="E115" s="1485"/>
      <c r="F115" s="1485"/>
      <c r="G115" s="1486"/>
      <c r="H115" s="1483" t="s">
        <v>2217</v>
      </c>
    </row>
    <row r="116" spans="1:8" s="1403" customFormat="1">
      <c r="A116" s="1481"/>
      <c r="B116" s="1481"/>
      <c r="C116" s="1484" t="s">
        <v>62</v>
      </c>
      <c r="D116" s="1481" t="s">
        <v>21</v>
      </c>
      <c r="E116" s="1485">
        <v>1</v>
      </c>
      <c r="F116" s="1485">
        <f>'MINI SSR 19-20'!$C$30</f>
        <v>524.70000000000005</v>
      </c>
      <c r="G116" s="1486">
        <f>ROUND(E116*F116,2)</f>
        <v>524.70000000000005</v>
      </c>
      <c r="H116" s="1483" t="s">
        <v>2217</v>
      </c>
    </row>
    <row r="117" spans="1:8" s="1403" customFormat="1">
      <c r="A117" s="1481"/>
      <c r="B117" s="1481"/>
      <c r="C117" s="1484" t="s">
        <v>160</v>
      </c>
      <c r="D117" s="1481" t="s">
        <v>21</v>
      </c>
      <c r="E117" s="1485">
        <v>1</v>
      </c>
      <c r="F117" s="1485">
        <f>'MINI SSR 19-20'!$C$31</f>
        <v>209.1</v>
      </c>
      <c r="G117" s="1486">
        <f>ROUND(E117*F117,2)</f>
        <v>209.1</v>
      </c>
      <c r="H117" s="1483" t="s">
        <v>2217</v>
      </c>
    </row>
    <row r="118" spans="1:8" s="1403" customFormat="1">
      <c r="A118" s="1481"/>
      <c r="B118" s="1481"/>
      <c r="C118" s="1484" t="s">
        <v>57</v>
      </c>
      <c r="D118" s="1481" t="s">
        <v>58</v>
      </c>
      <c r="E118" s="1485">
        <v>1.2</v>
      </c>
      <c r="F118" s="1434">
        <f>'MINI SSR 19-20'!$C$29</f>
        <v>80</v>
      </c>
      <c r="G118" s="1486">
        <f>ROUND(E118*F118,2)</f>
        <v>96</v>
      </c>
      <c r="H118" s="1483" t="s">
        <v>2217</v>
      </c>
    </row>
    <row r="119" spans="1:8" s="1403" customFormat="1">
      <c r="A119" s="1481"/>
      <c r="B119" s="1481"/>
      <c r="C119" s="1437" t="s">
        <v>71</v>
      </c>
      <c r="D119" s="1481"/>
      <c r="E119" s="1481"/>
      <c r="F119" s="1481"/>
      <c r="G119" s="1491">
        <f>SUM(G108:G118)</f>
        <v>6060.88</v>
      </c>
      <c r="H119" s="1483" t="s">
        <v>2217</v>
      </c>
    </row>
    <row r="120" spans="1:8" s="1403" customFormat="1">
      <c r="A120" s="1481"/>
      <c r="B120" s="1481"/>
      <c r="C120" s="1437" t="s">
        <v>72</v>
      </c>
      <c r="D120" s="1481"/>
      <c r="E120" s="1481"/>
      <c r="F120" s="1481"/>
      <c r="G120" s="1487"/>
      <c r="H120" s="1483" t="s">
        <v>2217</v>
      </c>
    </row>
    <row r="121" spans="1:8" s="1403" customFormat="1">
      <c r="A121" s="1481"/>
      <c r="B121" s="1481"/>
      <c r="C121" s="1484" t="s">
        <v>73</v>
      </c>
      <c r="D121" s="1481" t="s">
        <v>35</v>
      </c>
      <c r="E121" s="1485">
        <v>1</v>
      </c>
      <c r="F121" s="1485">
        <f>G119</f>
        <v>6060.88</v>
      </c>
      <c r="G121" s="1486">
        <f>ROUND(E121*F121,2)</f>
        <v>6060.88</v>
      </c>
      <c r="H121" s="1483" t="s">
        <v>2217</v>
      </c>
    </row>
    <row r="122" spans="1:8" s="1403" customFormat="1" ht="25.5">
      <c r="A122" s="1481"/>
      <c r="B122" s="1481"/>
      <c r="C122" s="1484" t="s">
        <v>1278</v>
      </c>
      <c r="D122" s="1481" t="s">
        <v>35</v>
      </c>
      <c r="E122" s="1485">
        <v>1</v>
      </c>
      <c r="F122" s="1485">
        <f>'MINI SSR 19-20'!C52</f>
        <v>288</v>
      </c>
      <c r="G122" s="1486">
        <f>ROUND(E122*F122,2)</f>
        <v>288</v>
      </c>
      <c r="H122" s="1483" t="s">
        <v>2217</v>
      </c>
    </row>
    <row r="123" spans="1:8" s="1403" customFormat="1">
      <c r="A123" s="1481"/>
      <c r="B123" s="1481"/>
      <c r="C123" s="1484" t="s">
        <v>1279</v>
      </c>
      <c r="D123" s="1481" t="s">
        <v>35</v>
      </c>
      <c r="E123" s="1485">
        <v>1</v>
      </c>
      <c r="F123" s="1485">
        <f>'MINI SSR 19-20'!D52</f>
        <v>631</v>
      </c>
      <c r="G123" s="1486">
        <f>ROUND(E123*F123,2)</f>
        <v>631</v>
      </c>
      <c r="H123" s="1483" t="s">
        <v>2217</v>
      </c>
    </row>
    <row r="124" spans="1:8" s="1403" customFormat="1">
      <c r="A124" s="1481"/>
      <c r="B124" s="1481"/>
      <c r="C124" s="1484"/>
      <c r="D124" s="1481"/>
      <c r="E124" s="1481"/>
      <c r="F124" s="1481"/>
      <c r="G124" s="1491">
        <f>SUM(G121:G123)</f>
        <v>6979.88</v>
      </c>
      <c r="H124" s="1483" t="s">
        <v>2217</v>
      </c>
    </row>
    <row r="125" spans="1:8" s="1403" customFormat="1">
      <c r="A125" s="1481"/>
      <c r="B125" s="1481"/>
      <c r="C125" s="1437" t="s">
        <v>74</v>
      </c>
      <c r="D125" s="1481"/>
      <c r="E125" s="1481"/>
      <c r="F125" s="1481"/>
      <c r="G125" s="1487"/>
      <c r="H125" s="1483" t="s">
        <v>2217</v>
      </c>
    </row>
    <row r="126" spans="1:8" s="1403" customFormat="1">
      <c r="A126" s="1481"/>
      <c r="B126" s="1481"/>
      <c r="C126" s="1484" t="s">
        <v>73</v>
      </c>
      <c r="D126" s="1481" t="s">
        <v>35</v>
      </c>
      <c r="E126" s="1485">
        <v>1</v>
      </c>
      <c r="F126" s="1485">
        <f>G119</f>
        <v>6060.88</v>
      </c>
      <c r="G126" s="1486">
        <f>ROUND(E126*F126,2)</f>
        <v>6060.88</v>
      </c>
      <c r="H126" s="1483" t="s">
        <v>2217</v>
      </c>
    </row>
    <row r="127" spans="1:8" s="1403" customFormat="1" ht="25.5">
      <c r="A127" s="1481"/>
      <c r="B127" s="1481"/>
      <c r="C127" s="1484" t="s">
        <v>1280</v>
      </c>
      <c r="D127" s="1481" t="s">
        <v>35</v>
      </c>
      <c r="E127" s="1485">
        <v>1</v>
      </c>
      <c r="F127" s="1485">
        <f>'MINI SSR 19-20'!C54</f>
        <v>328</v>
      </c>
      <c r="G127" s="1486">
        <f>ROUND(E127*F127,2)</f>
        <v>328</v>
      </c>
      <c r="H127" s="1483" t="s">
        <v>2217</v>
      </c>
    </row>
    <row r="128" spans="1:8" s="1403" customFormat="1">
      <c r="A128" s="1481"/>
      <c r="B128" s="1481"/>
      <c r="C128" s="1484" t="s">
        <v>1281</v>
      </c>
      <c r="D128" s="1481" t="s">
        <v>35</v>
      </c>
      <c r="E128" s="1485">
        <v>1</v>
      </c>
      <c r="F128" s="1485">
        <f>'MINI SSR 19-20'!D54</f>
        <v>1004</v>
      </c>
      <c r="G128" s="1486">
        <f>ROUND(E128*F128,2)</f>
        <v>1004</v>
      </c>
      <c r="H128" s="1483" t="s">
        <v>2217</v>
      </c>
    </row>
    <row r="129" spans="1:8" s="1403" customFormat="1">
      <c r="A129" s="1481"/>
      <c r="B129" s="1481"/>
      <c r="C129" s="1484"/>
      <c r="D129" s="1481"/>
      <c r="E129" s="1481"/>
      <c r="F129" s="1481"/>
      <c r="G129" s="1491">
        <f>SUM(G126:G128)</f>
        <v>7392.88</v>
      </c>
      <c r="H129" s="1483" t="s">
        <v>2217</v>
      </c>
    </row>
    <row r="130" spans="1:8" s="1403" customFormat="1">
      <c r="A130" s="1481"/>
      <c r="B130" s="1481"/>
      <c r="C130" s="1437" t="s">
        <v>75</v>
      </c>
      <c r="D130" s="1481"/>
      <c r="E130" s="1481"/>
      <c r="F130" s="1481"/>
      <c r="G130" s="1487"/>
      <c r="H130" s="1483" t="s">
        <v>2217</v>
      </c>
    </row>
    <row r="131" spans="1:8" s="1403" customFormat="1">
      <c r="A131" s="1481"/>
      <c r="B131" s="1481"/>
      <c r="C131" s="1484" t="s">
        <v>73</v>
      </c>
      <c r="D131" s="1481" t="s">
        <v>35</v>
      </c>
      <c r="E131" s="1485">
        <v>1</v>
      </c>
      <c r="F131" s="1485">
        <f>G119</f>
        <v>6060.88</v>
      </c>
      <c r="G131" s="1486">
        <f>ROUND(E131*F131,2)</f>
        <v>6060.88</v>
      </c>
      <c r="H131" s="1483" t="s">
        <v>2217</v>
      </c>
    </row>
    <row r="132" spans="1:8" s="1403" customFormat="1">
      <c r="A132" s="1481"/>
      <c r="B132" s="1481"/>
      <c r="C132" s="1484" t="s">
        <v>1282</v>
      </c>
      <c r="D132" s="1481" t="s">
        <v>35</v>
      </c>
      <c r="E132" s="1485">
        <v>1</v>
      </c>
      <c r="F132" s="1485">
        <f>'MINI SSR 19-20'!C55</f>
        <v>1390</v>
      </c>
      <c r="G132" s="1486">
        <f>ROUND(E132*F132,2)</f>
        <v>1390</v>
      </c>
      <c r="H132" s="1483" t="s">
        <v>2217</v>
      </c>
    </row>
    <row r="133" spans="1:8" s="1403" customFormat="1">
      <c r="A133" s="1481"/>
      <c r="B133" s="1481"/>
      <c r="C133" s="1484" t="s">
        <v>1283</v>
      </c>
      <c r="D133" s="1481" t="s">
        <v>35</v>
      </c>
      <c r="E133" s="1485">
        <v>1</v>
      </c>
      <c r="F133" s="1485">
        <f>'MINI SSR 19-20'!D55</f>
        <v>1521</v>
      </c>
      <c r="G133" s="1486">
        <f>ROUND(E133*F133,2)</f>
        <v>1521</v>
      </c>
      <c r="H133" s="1483" t="s">
        <v>2217</v>
      </c>
    </row>
    <row r="134" spans="1:8" s="1403" customFormat="1">
      <c r="A134" s="1481"/>
      <c r="B134" s="1481"/>
      <c r="C134" s="1484"/>
      <c r="D134" s="1481"/>
      <c r="E134" s="1481"/>
      <c r="F134" s="1481"/>
      <c r="G134" s="1491">
        <f>SUM(G131:G133)</f>
        <v>8971.880000000001</v>
      </c>
      <c r="H134" s="1483" t="s">
        <v>2217</v>
      </c>
    </row>
    <row r="135" spans="1:8" s="1403" customFormat="1" ht="178.5">
      <c r="A135" s="1397">
        <v>8</v>
      </c>
      <c r="B135" s="1490" t="s">
        <v>76</v>
      </c>
      <c r="C135" s="1484" t="s">
        <v>226</v>
      </c>
      <c r="D135" s="1481"/>
      <c r="E135" s="1481"/>
      <c r="F135" s="1481"/>
      <c r="G135" s="1490"/>
      <c r="H135" s="1483" t="s">
        <v>2217</v>
      </c>
    </row>
    <row r="136" spans="1:8" s="1403" customFormat="1">
      <c r="A136" s="1397"/>
      <c r="B136" s="1490"/>
      <c r="C136" s="1437" t="s">
        <v>80</v>
      </c>
      <c r="D136" s="1481"/>
      <c r="E136" s="1481"/>
      <c r="F136" s="1481"/>
      <c r="G136" s="1487"/>
      <c r="H136" s="1483" t="s">
        <v>2217</v>
      </c>
    </row>
    <row r="137" spans="1:8" s="1403" customFormat="1">
      <c r="A137" s="1397"/>
      <c r="B137" s="1490"/>
      <c r="C137" s="1437" t="s">
        <v>60</v>
      </c>
      <c r="D137" s="1481"/>
      <c r="E137" s="1481"/>
      <c r="F137" s="1481"/>
      <c r="G137" s="1487"/>
      <c r="H137" s="1483" t="s">
        <v>2217</v>
      </c>
    </row>
    <row r="138" spans="1:8" s="1403" customFormat="1">
      <c r="A138" s="1397"/>
      <c r="B138" s="1490"/>
      <c r="C138" s="1484" t="s">
        <v>154</v>
      </c>
      <c r="D138" s="1481" t="s">
        <v>35</v>
      </c>
      <c r="E138" s="1485">
        <v>0.8</v>
      </c>
      <c r="F138" s="1485">
        <f>F108</f>
        <v>1722.2999999999997</v>
      </c>
      <c r="G138" s="1486">
        <f>ROUND(E138*F138,2)</f>
        <v>1377.84</v>
      </c>
      <c r="H138" s="1483" t="s">
        <v>2217</v>
      </c>
    </row>
    <row r="139" spans="1:8" s="1403" customFormat="1">
      <c r="A139" s="1397"/>
      <c r="B139" s="1490"/>
      <c r="C139" s="1484" t="s">
        <v>112</v>
      </c>
      <c r="D139" s="1481" t="s">
        <v>35</v>
      </c>
      <c r="E139" s="1485">
        <v>0.4</v>
      </c>
      <c r="F139" s="1485">
        <f>'lead 19-20'!L13</f>
        <v>1384.7999999999988</v>
      </c>
      <c r="G139" s="1486">
        <f>ROUND(E139*F139,2)</f>
        <v>553.91999999999996</v>
      </c>
      <c r="H139" s="1483" t="s">
        <v>2217</v>
      </c>
    </row>
    <row r="140" spans="1:8" s="1403" customFormat="1">
      <c r="A140" s="1481"/>
      <c r="B140" s="1481"/>
      <c r="C140" s="1484" t="s">
        <v>33</v>
      </c>
      <c r="D140" s="1481" t="s">
        <v>4</v>
      </c>
      <c r="E140" s="1485">
        <f>E110</f>
        <v>340</v>
      </c>
      <c r="F140" s="1485">
        <f>'lead 19-20'!L8</f>
        <v>4700</v>
      </c>
      <c r="G140" s="1486">
        <f>ROUND(E140*F140/1000,2)</f>
        <v>1598</v>
      </c>
      <c r="H140" s="1483" t="s">
        <v>2217</v>
      </c>
    </row>
    <row r="141" spans="1:8" s="1403" customFormat="1">
      <c r="A141" s="1481"/>
      <c r="B141" s="1481"/>
      <c r="C141" s="1437" t="s">
        <v>68</v>
      </c>
      <c r="D141" s="1481"/>
      <c r="E141" s="1485"/>
      <c r="F141" s="1485"/>
      <c r="G141" s="1486"/>
      <c r="H141" s="1483" t="s">
        <v>2217</v>
      </c>
    </row>
    <row r="142" spans="1:8" s="1403" customFormat="1">
      <c r="A142" s="1481"/>
      <c r="B142" s="1481"/>
      <c r="C142" s="1484" t="s">
        <v>64</v>
      </c>
      <c r="D142" s="1481" t="s">
        <v>27</v>
      </c>
      <c r="E142" s="1494">
        <v>0.16700000000000001</v>
      </c>
      <c r="F142" s="1485">
        <f>'MINI SSR 19-20'!$H$3</f>
        <v>500</v>
      </c>
      <c r="G142" s="1486">
        <f>ROUND(E142*F142,2)</f>
        <v>83.5</v>
      </c>
      <c r="H142" s="1483" t="s">
        <v>2217</v>
      </c>
    </row>
    <row r="143" spans="1:8" s="1403" customFormat="1">
      <c r="A143" s="1481"/>
      <c r="B143" s="1481"/>
      <c r="C143" s="1484" t="s">
        <v>69</v>
      </c>
      <c r="D143" s="1481" t="s">
        <v>27</v>
      </c>
      <c r="E143" s="1494">
        <v>0.16700000000000001</v>
      </c>
      <c r="F143" s="1485">
        <f>'MINI SSR 19-20'!$H$4</f>
        <v>460</v>
      </c>
      <c r="G143" s="1486">
        <f>ROUND(E143*F143,2)</f>
        <v>76.819999999999993</v>
      </c>
      <c r="H143" s="1483" t="s">
        <v>2217</v>
      </c>
    </row>
    <row r="144" spans="1:8" s="1403" customFormat="1">
      <c r="A144" s="1481"/>
      <c r="B144" s="1481"/>
      <c r="C144" s="1484" t="s">
        <v>70</v>
      </c>
      <c r="D144" s="1481" t="s">
        <v>27</v>
      </c>
      <c r="E144" s="1494">
        <v>4.7</v>
      </c>
      <c r="F144" s="1485">
        <f>'MINI SSR 19-20'!H$5</f>
        <v>420</v>
      </c>
      <c r="G144" s="1486">
        <f>ROUND(E144*F144,2)</f>
        <v>1974</v>
      </c>
      <c r="H144" s="1483" t="s">
        <v>2217</v>
      </c>
    </row>
    <row r="145" spans="1:8" s="1403" customFormat="1">
      <c r="A145" s="1481"/>
      <c r="B145" s="1481"/>
      <c r="C145" s="1437" t="s">
        <v>61</v>
      </c>
      <c r="D145" s="1481"/>
      <c r="E145" s="1485"/>
      <c r="F145" s="1485"/>
      <c r="G145" s="1486"/>
      <c r="H145" s="1483" t="s">
        <v>2217</v>
      </c>
    </row>
    <row r="146" spans="1:8" s="1403" customFormat="1">
      <c r="A146" s="1481"/>
      <c r="B146" s="1481"/>
      <c r="C146" s="1484" t="s">
        <v>62</v>
      </c>
      <c r="D146" s="1481" t="s">
        <v>21</v>
      </c>
      <c r="E146" s="1485">
        <v>1</v>
      </c>
      <c r="F146" s="1485">
        <f>'MINI SSR 19-20'!$C$30</f>
        <v>524.70000000000005</v>
      </c>
      <c r="G146" s="1486">
        <f>ROUND(E146*F146,2)</f>
        <v>524.70000000000005</v>
      </c>
      <c r="H146" s="1483" t="s">
        <v>2217</v>
      </c>
    </row>
    <row r="147" spans="1:8" s="1403" customFormat="1">
      <c r="A147" s="1481"/>
      <c r="B147" s="1481"/>
      <c r="C147" s="1484" t="s">
        <v>160</v>
      </c>
      <c r="D147" s="1481" t="s">
        <v>21</v>
      </c>
      <c r="E147" s="1485">
        <v>1</v>
      </c>
      <c r="F147" s="1485">
        <f>'MINI SSR 19-20'!$C$31</f>
        <v>209.1</v>
      </c>
      <c r="G147" s="1486">
        <f>ROUND(E147*F147,2)</f>
        <v>209.1</v>
      </c>
      <c r="H147" s="1483" t="s">
        <v>2217</v>
      </c>
    </row>
    <row r="148" spans="1:8" s="1403" customFormat="1">
      <c r="A148" s="1481"/>
      <c r="B148" s="1481"/>
      <c r="C148" s="1484" t="s">
        <v>57</v>
      </c>
      <c r="D148" s="1481" t="s">
        <v>58</v>
      </c>
      <c r="E148" s="1485">
        <v>1.2</v>
      </c>
      <c r="F148" s="1434">
        <f>'MINI SSR 19-20'!$C$29</f>
        <v>80</v>
      </c>
      <c r="G148" s="1486">
        <f>ROUND(E148*F148,2)</f>
        <v>96</v>
      </c>
      <c r="H148" s="1483" t="s">
        <v>2217</v>
      </c>
    </row>
    <row r="149" spans="1:8" s="1403" customFormat="1">
      <c r="A149" s="1481"/>
      <c r="B149" s="1481"/>
      <c r="C149" s="1437" t="s">
        <v>71</v>
      </c>
      <c r="D149" s="1481"/>
      <c r="E149" s="1481"/>
      <c r="F149" s="1481"/>
      <c r="G149" s="1491">
        <f>SUM(G138:G148)</f>
        <v>6493.88</v>
      </c>
      <c r="H149" s="1483" t="s">
        <v>2217</v>
      </c>
    </row>
    <row r="150" spans="1:8" s="1403" customFormat="1">
      <c r="A150" s="1481"/>
      <c r="B150" s="1481"/>
      <c r="C150" s="1437"/>
      <c r="D150" s="1481"/>
      <c r="E150" s="1490" t="s">
        <v>161</v>
      </c>
      <c r="F150" s="1490" t="s">
        <v>162</v>
      </c>
      <c r="G150" s="1489" t="s">
        <v>163</v>
      </c>
      <c r="H150" s="1483" t="s">
        <v>2217</v>
      </c>
    </row>
    <row r="151" spans="1:8" s="1403" customFormat="1">
      <c r="A151" s="1481"/>
      <c r="B151" s="1481"/>
      <c r="C151" s="1437" t="s">
        <v>1284</v>
      </c>
      <c r="D151" s="1481"/>
      <c r="E151" s="1485">
        <f>G149</f>
        <v>6493.88</v>
      </c>
      <c r="F151" s="1485">
        <f>G149</f>
        <v>6493.88</v>
      </c>
      <c r="G151" s="1487">
        <f>G149</f>
        <v>6493.88</v>
      </c>
      <c r="H151" s="1483" t="s">
        <v>2217</v>
      </c>
    </row>
    <row r="152" spans="1:8" s="1403" customFormat="1" ht="25.5">
      <c r="A152" s="1481"/>
      <c r="B152" s="1481"/>
      <c r="C152" s="1484" t="s">
        <v>164</v>
      </c>
      <c r="D152" s="1481"/>
      <c r="E152" s="1485">
        <f>'MINI SSR 19-20'!C57</f>
        <v>355</v>
      </c>
      <c r="F152" s="1485">
        <f>E152</f>
        <v>355</v>
      </c>
      <c r="G152" s="1435">
        <f>E152</f>
        <v>355</v>
      </c>
      <c r="H152" s="1483" t="s">
        <v>2217</v>
      </c>
    </row>
    <row r="153" spans="1:8" s="1403" customFormat="1">
      <c r="A153" s="1481"/>
      <c r="B153" s="1481"/>
      <c r="C153" s="1484" t="s">
        <v>165</v>
      </c>
      <c r="D153" s="1481"/>
      <c r="E153" s="1485">
        <f>'MINI SSR 19-20'!D57</f>
        <v>2268</v>
      </c>
      <c r="F153" s="1485">
        <f>'MINI SSR 19-20'!E57</f>
        <v>2495</v>
      </c>
      <c r="G153" s="1485">
        <f>'MINI SSR 19-20'!F57</f>
        <v>2722</v>
      </c>
      <c r="H153" s="1483" t="s">
        <v>2217</v>
      </c>
    </row>
    <row r="154" spans="1:8" s="1403" customFormat="1" ht="25.5">
      <c r="A154" s="1481"/>
      <c r="B154" s="1481"/>
      <c r="C154" s="1484" t="s">
        <v>1285</v>
      </c>
      <c r="D154" s="1481"/>
      <c r="E154" s="1481"/>
      <c r="F154" s="1481">
        <f>ROUND((G142+G143+G144+F153)*0.1,2)</f>
        <v>462.93</v>
      </c>
      <c r="G154" s="1495">
        <f>ROUND((G142+G143+G144+G153)*0.2,2)</f>
        <v>971.26</v>
      </c>
      <c r="H154" s="1483" t="s">
        <v>2217</v>
      </c>
    </row>
    <row r="155" spans="1:8" s="1403" customFormat="1">
      <c r="A155" s="1481"/>
      <c r="B155" s="1481"/>
      <c r="C155" s="1484"/>
      <c r="D155" s="1481"/>
      <c r="E155" s="1489">
        <f>SUM(E151:E154)</f>
        <v>9116.880000000001</v>
      </c>
      <c r="F155" s="1489">
        <f>SUM(F151:F154)</f>
        <v>9806.8100000000013</v>
      </c>
      <c r="G155" s="1491">
        <f>SUM(G151:G154)</f>
        <v>10542.140000000001</v>
      </c>
      <c r="H155" s="1483" t="s">
        <v>2217</v>
      </c>
    </row>
    <row r="156" spans="1:8" s="1403" customFormat="1">
      <c r="A156" s="1481"/>
      <c r="B156" s="1481"/>
      <c r="C156" s="1437"/>
      <c r="D156" s="1481"/>
      <c r="E156" s="1490" t="s">
        <v>161</v>
      </c>
      <c r="F156" s="1490" t="s">
        <v>162</v>
      </c>
      <c r="G156" s="1489" t="s">
        <v>163</v>
      </c>
      <c r="H156" s="1483" t="s">
        <v>2217</v>
      </c>
    </row>
    <row r="157" spans="1:8" s="1403" customFormat="1">
      <c r="A157" s="1481"/>
      <c r="B157" s="1481"/>
      <c r="C157" s="1437" t="s">
        <v>1286</v>
      </c>
      <c r="D157" s="1481"/>
      <c r="E157" s="1485">
        <f>G149</f>
        <v>6493.88</v>
      </c>
      <c r="F157" s="1485">
        <f>G149</f>
        <v>6493.88</v>
      </c>
      <c r="G157" s="1487">
        <f>G149</f>
        <v>6493.88</v>
      </c>
      <c r="H157" s="1483" t="s">
        <v>2217</v>
      </c>
    </row>
    <row r="158" spans="1:8" s="1403" customFormat="1" ht="25.5">
      <c r="A158" s="1481"/>
      <c r="B158" s="1481"/>
      <c r="C158" s="1484" t="s">
        <v>166</v>
      </c>
      <c r="D158" s="1481"/>
      <c r="E158" s="1485">
        <f>'MINI SSR 19-20'!C58</f>
        <v>1180</v>
      </c>
      <c r="F158" s="1485">
        <f>E158</f>
        <v>1180</v>
      </c>
      <c r="G158" s="1435">
        <f>E158</f>
        <v>1180</v>
      </c>
      <c r="H158" s="1483" t="s">
        <v>2217</v>
      </c>
    </row>
    <row r="159" spans="1:8" s="1403" customFormat="1">
      <c r="A159" s="1481"/>
      <c r="B159" s="1481"/>
      <c r="C159" s="1484" t="s">
        <v>167</v>
      </c>
      <c r="D159" s="1481"/>
      <c r="E159" s="1485">
        <f>'MINI SSR 19-20'!D58</f>
        <v>1615</v>
      </c>
      <c r="F159" s="1485">
        <f>'MINI SSR 19-20'!E58</f>
        <v>1777</v>
      </c>
      <c r="G159" s="1485">
        <f>'MINI SSR 19-20'!F58</f>
        <v>1938</v>
      </c>
      <c r="H159" s="1483" t="s">
        <v>2217</v>
      </c>
    </row>
    <row r="160" spans="1:8" s="1403" customFormat="1" ht="25.5">
      <c r="A160" s="1481"/>
      <c r="B160" s="1481"/>
      <c r="C160" s="1484" t="s">
        <v>1285</v>
      </c>
      <c r="D160" s="1481"/>
      <c r="E160" s="1481"/>
      <c r="F160" s="1481">
        <f>ROUND((G142+G143+G144+F159)*0.1,2)</f>
        <v>391.13</v>
      </c>
      <c r="G160" s="1495">
        <f>ROUND((G142+G143+G144+G159)*0.2,2)</f>
        <v>814.46</v>
      </c>
      <c r="H160" s="1483" t="s">
        <v>2217</v>
      </c>
    </row>
    <row r="161" spans="1:8" s="1403" customFormat="1">
      <c r="A161" s="1481"/>
      <c r="B161" s="1481"/>
      <c r="C161" s="1484"/>
      <c r="D161" s="1481"/>
      <c r="E161" s="1489">
        <f>SUM(E157:E160)</f>
        <v>9288.880000000001</v>
      </c>
      <c r="F161" s="1489">
        <f>SUM(F157:F160)</f>
        <v>9842.01</v>
      </c>
      <c r="G161" s="1491">
        <f>SUM(G157:G160)</f>
        <v>10426.34</v>
      </c>
      <c r="H161" s="1483" t="s">
        <v>2217</v>
      </c>
    </row>
    <row r="162" spans="1:8" s="1403" customFormat="1" ht="178.5">
      <c r="A162" s="1397">
        <v>9</v>
      </c>
      <c r="B162" s="1490" t="s">
        <v>78</v>
      </c>
      <c r="C162" s="1484" t="s">
        <v>226</v>
      </c>
      <c r="D162" s="1481"/>
      <c r="E162" s="1481"/>
      <c r="F162" s="1481"/>
      <c r="G162" s="1490"/>
      <c r="H162" s="1483" t="s">
        <v>2217</v>
      </c>
    </row>
    <row r="163" spans="1:8" s="1403" customFormat="1">
      <c r="A163" s="1397"/>
      <c r="B163" s="1490"/>
      <c r="C163" s="1437" t="s">
        <v>79</v>
      </c>
      <c r="D163" s="1481"/>
      <c r="E163" s="1481"/>
      <c r="F163" s="1481"/>
      <c r="G163" s="1487"/>
      <c r="H163" s="1483" t="s">
        <v>2217</v>
      </c>
    </row>
    <row r="164" spans="1:8" s="1403" customFormat="1">
      <c r="A164" s="1397"/>
      <c r="B164" s="1490"/>
      <c r="C164" s="1437" t="s">
        <v>60</v>
      </c>
      <c r="D164" s="1490"/>
      <c r="E164" s="1490"/>
      <c r="F164" s="1490"/>
      <c r="G164" s="1487"/>
      <c r="H164" s="1483" t="s">
        <v>2217</v>
      </c>
    </row>
    <row r="165" spans="1:8" s="1403" customFormat="1">
      <c r="A165" s="1397"/>
      <c r="B165" s="1490"/>
      <c r="C165" s="1484" t="s">
        <v>154</v>
      </c>
      <c r="D165" s="1481" t="s">
        <v>35</v>
      </c>
      <c r="E165" s="1485">
        <v>0.8</v>
      </c>
      <c r="F165" s="1485">
        <f>F38</f>
        <v>1722.2999999999997</v>
      </c>
      <c r="G165" s="1486">
        <f>ROUND(E165*F165,2)</f>
        <v>1377.84</v>
      </c>
      <c r="H165" s="1483" t="s">
        <v>2217</v>
      </c>
    </row>
    <row r="166" spans="1:8" s="1403" customFormat="1">
      <c r="A166" s="1397"/>
      <c r="B166" s="1490"/>
      <c r="C166" s="1484" t="s">
        <v>112</v>
      </c>
      <c r="D166" s="1481" t="s">
        <v>35</v>
      </c>
      <c r="E166" s="1485">
        <v>0.4</v>
      </c>
      <c r="F166" s="1485">
        <f>'lead 19-20'!L13</f>
        <v>1384.7999999999988</v>
      </c>
      <c r="G166" s="1486">
        <f>ROUND(E166*F166,2)</f>
        <v>553.91999999999996</v>
      </c>
      <c r="H166" s="1483" t="s">
        <v>2217</v>
      </c>
    </row>
    <row r="167" spans="1:8" s="1403" customFormat="1">
      <c r="A167" s="1481"/>
      <c r="B167" s="1481"/>
      <c r="C167" s="1484" t="s">
        <v>33</v>
      </c>
      <c r="D167" s="1481" t="s">
        <v>4</v>
      </c>
      <c r="E167" s="1485">
        <f>E140</f>
        <v>340</v>
      </c>
      <c r="F167" s="1485">
        <f>'lead 19-20'!L8</f>
        <v>4700</v>
      </c>
      <c r="G167" s="1486">
        <f>ROUND(E167*F167/1000,2)</f>
        <v>1598</v>
      </c>
      <c r="H167" s="1483" t="s">
        <v>2217</v>
      </c>
    </row>
    <row r="168" spans="1:8" s="1403" customFormat="1">
      <c r="A168" s="1481"/>
      <c r="B168" s="1481"/>
      <c r="C168" s="1437" t="s">
        <v>68</v>
      </c>
      <c r="D168" s="1481"/>
      <c r="E168" s="1485"/>
      <c r="F168" s="1485"/>
      <c r="G168" s="1486"/>
      <c r="H168" s="1483" t="s">
        <v>2217</v>
      </c>
    </row>
    <row r="169" spans="1:8" s="1403" customFormat="1">
      <c r="A169" s="1481"/>
      <c r="B169" s="1481"/>
      <c r="C169" s="1484" t="s">
        <v>64</v>
      </c>
      <c r="D169" s="1481" t="s">
        <v>27</v>
      </c>
      <c r="E169" s="1494">
        <v>6.7000000000000004E-2</v>
      </c>
      <c r="F169" s="1485">
        <f>'MINI SSR 19-20'!$H$3</f>
        <v>500</v>
      </c>
      <c r="G169" s="1486">
        <f>ROUND(E169*F169,2)</f>
        <v>33.5</v>
      </c>
      <c r="H169" s="1483" t="s">
        <v>2217</v>
      </c>
    </row>
    <row r="170" spans="1:8" s="1403" customFormat="1">
      <c r="A170" s="1481"/>
      <c r="B170" s="1481"/>
      <c r="C170" s="1484" t="s">
        <v>69</v>
      </c>
      <c r="D170" s="1481" t="s">
        <v>27</v>
      </c>
      <c r="E170" s="1494">
        <v>0.13300000000000001</v>
      </c>
      <c r="F170" s="1485">
        <f>'MINI SSR 19-20'!$H$4</f>
        <v>460</v>
      </c>
      <c r="G170" s="1486">
        <f>ROUND(E170*F170,2)</f>
        <v>61.18</v>
      </c>
      <c r="H170" s="1483" t="s">
        <v>2217</v>
      </c>
    </row>
    <row r="171" spans="1:8" s="1403" customFormat="1">
      <c r="A171" s="1481"/>
      <c r="B171" s="1481"/>
      <c r="C171" s="1484" t="s">
        <v>70</v>
      </c>
      <c r="D171" s="1481" t="s">
        <v>27</v>
      </c>
      <c r="E171" s="1494">
        <v>2.5</v>
      </c>
      <c r="F171" s="1485">
        <f>'MINI SSR 19-20'!H$5</f>
        <v>420</v>
      </c>
      <c r="G171" s="1486">
        <f>ROUND(E171*F171,2)</f>
        <v>1050</v>
      </c>
      <c r="H171" s="1483" t="s">
        <v>2217</v>
      </c>
    </row>
    <row r="172" spans="1:8" s="1403" customFormat="1">
      <c r="A172" s="1481"/>
      <c r="B172" s="1481"/>
      <c r="C172" s="1437" t="s">
        <v>61</v>
      </c>
      <c r="D172" s="1481"/>
      <c r="E172" s="1485"/>
      <c r="F172" s="1485"/>
      <c r="G172" s="1486"/>
      <c r="H172" s="1483" t="s">
        <v>2217</v>
      </c>
    </row>
    <row r="173" spans="1:8" s="1403" customFormat="1">
      <c r="A173" s="1481"/>
      <c r="B173" s="1481"/>
      <c r="C173" s="1484" t="s">
        <v>62</v>
      </c>
      <c r="D173" s="1481" t="s">
        <v>21</v>
      </c>
      <c r="E173" s="1494">
        <v>0.26700000000000002</v>
      </c>
      <c r="F173" s="1485">
        <f>'MINI SSR 19-20'!$C$30</f>
        <v>524.70000000000005</v>
      </c>
      <c r="G173" s="1486">
        <f>ROUND(E173*F173,2)</f>
        <v>140.09</v>
      </c>
      <c r="H173" s="1483" t="s">
        <v>2217</v>
      </c>
    </row>
    <row r="174" spans="1:8" s="1403" customFormat="1">
      <c r="A174" s="1481"/>
      <c r="B174" s="1481"/>
      <c r="C174" s="1484" t="s">
        <v>160</v>
      </c>
      <c r="D174" s="1481" t="s">
        <v>21</v>
      </c>
      <c r="E174" s="1494">
        <v>0.26700000000000002</v>
      </c>
      <c r="F174" s="1485">
        <f>'MINI SSR 19-20'!$C$31</f>
        <v>209.1</v>
      </c>
      <c r="G174" s="1486">
        <f>ROUND(E174*F174,2)</f>
        <v>55.83</v>
      </c>
      <c r="H174" s="1483" t="s">
        <v>2217</v>
      </c>
    </row>
    <row r="175" spans="1:8" s="1403" customFormat="1">
      <c r="A175" s="1481"/>
      <c r="B175" s="1481"/>
      <c r="C175" s="1484" t="s">
        <v>57</v>
      </c>
      <c r="D175" s="1481" t="s">
        <v>58</v>
      </c>
      <c r="E175" s="1485">
        <v>1.2</v>
      </c>
      <c r="F175" s="1434">
        <f>'MINI SSR 19-20'!$C$29</f>
        <v>80</v>
      </c>
      <c r="G175" s="1486">
        <f>ROUND(E175*F175,2)</f>
        <v>96</v>
      </c>
      <c r="H175" s="1483" t="s">
        <v>2217</v>
      </c>
    </row>
    <row r="176" spans="1:8" s="1403" customFormat="1">
      <c r="A176" s="1481"/>
      <c r="B176" s="1481"/>
      <c r="C176" s="1437" t="s">
        <v>71</v>
      </c>
      <c r="D176" s="1481"/>
      <c r="E176" s="1481"/>
      <c r="F176" s="1481"/>
      <c r="G176" s="1491">
        <f>SUM(G165:G175)</f>
        <v>4966.3599999999997</v>
      </c>
      <c r="H176" s="1483" t="s">
        <v>2217</v>
      </c>
    </row>
    <row r="177" spans="1:8" s="1403" customFormat="1">
      <c r="A177" s="1481"/>
      <c r="B177" s="1481"/>
      <c r="C177" s="1437"/>
      <c r="D177" s="1481"/>
      <c r="E177" s="1490" t="s">
        <v>161</v>
      </c>
      <c r="F177" s="1490" t="s">
        <v>162</v>
      </c>
      <c r="G177" s="1489" t="s">
        <v>163</v>
      </c>
      <c r="H177" s="1483" t="s">
        <v>2217</v>
      </c>
    </row>
    <row r="178" spans="1:8" s="1403" customFormat="1">
      <c r="A178" s="1481"/>
      <c r="B178" s="1481"/>
      <c r="C178" s="1437" t="s">
        <v>1287</v>
      </c>
      <c r="D178" s="1481"/>
      <c r="E178" s="1485">
        <f>G176</f>
        <v>4966.3599999999997</v>
      </c>
      <c r="F178" s="1485">
        <f>G176</f>
        <v>4966.3599999999997</v>
      </c>
      <c r="G178" s="1487">
        <f>G176</f>
        <v>4966.3599999999997</v>
      </c>
      <c r="H178" s="1483" t="s">
        <v>2217</v>
      </c>
    </row>
    <row r="179" spans="1:8" s="1403" customFormat="1" ht="25.5">
      <c r="A179" s="1481"/>
      <c r="B179" s="1481"/>
      <c r="C179" s="1484" t="s">
        <v>177</v>
      </c>
      <c r="D179" s="1481"/>
      <c r="E179" s="1485">
        <f>'MINI SSR 19-20'!C60</f>
        <v>2085</v>
      </c>
      <c r="F179" s="1485">
        <f>E179</f>
        <v>2085</v>
      </c>
      <c r="G179" s="1435">
        <f>E179</f>
        <v>2085</v>
      </c>
      <c r="H179" s="1483" t="s">
        <v>2217</v>
      </c>
    </row>
    <row r="180" spans="1:8" s="1403" customFormat="1">
      <c r="A180" s="1481"/>
      <c r="B180" s="1481"/>
      <c r="C180" s="1484" t="s">
        <v>178</v>
      </c>
      <c r="D180" s="1481"/>
      <c r="E180" s="1485">
        <f>'MINI SSR 19-20'!D60</f>
        <v>1903</v>
      </c>
      <c r="F180" s="1485">
        <f>'MINI SSR 19-20'!E60</f>
        <v>2093</v>
      </c>
      <c r="G180" s="1485">
        <f>'MINI SSR 19-20'!F60</f>
        <v>2284</v>
      </c>
      <c r="H180" s="1483" t="s">
        <v>2217</v>
      </c>
    </row>
    <row r="181" spans="1:8" s="1403" customFormat="1" ht="25.5">
      <c r="A181" s="1481"/>
      <c r="B181" s="1481"/>
      <c r="C181" s="1484" t="s">
        <v>1285</v>
      </c>
      <c r="D181" s="1481"/>
      <c r="E181" s="1481"/>
      <c r="F181" s="1485">
        <f>ROUND((G169+G170+G171+F180)*0.1,2)</f>
        <v>323.77</v>
      </c>
      <c r="G181" s="1487">
        <f>ROUND((G169+G170+G171+G180)*0.2,2)</f>
        <v>685.74</v>
      </c>
      <c r="H181" s="1483" t="s">
        <v>2217</v>
      </c>
    </row>
    <row r="182" spans="1:8" s="1403" customFormat="1">
      <c r="A182" s="1481"/>
      <c r="B182" s="1481"/>
      <c r="C182" s="1437" t="s">
        <v>182</v>
      </c>
      <c r="D182" s="1481"/>
      <c r="E182" s="1489">
        <f>SUM(E178:E181)</f>
        <v>8954.36</v>
      </c>
      <c r="F182" s="1489">
        <f>SUM(F178:F181)</f>
        <v>9468.130000000001</v>
      </c>
      <c r="G182" s="1491">
        <f>SUM(G178:G181)</f>
        <v>10021.1</v>
      </c>
      <c r="H182" s="1483" t="s">
        <v>2217</v>
      </c>
    </row>
    <row r="183" spans="1:8" s="1403" customFormat="1">
      <c r="A183" s="1481"/>
      <c r="B183" s="1481"/>
      <c r="C183" s="1437"/>
      <c r="D183" s="1481"/>
      <c r="E183" s="1490" t="s">
        <v>161</v>
      </c>
      <c r="F183" s="1490" t="s">
        <v>162</v>
      </c>
      <c r="G183" s="1489" t="s">
        <v>163</v>
      </c>
      <c r="H183" s="1483" t="s">
        <v>2217</v>
      </c>
    </row>
    <row r="184" spans="1:8" s="1403" customFormat="1">
      <c r="A184" s="1481"/>
      <c r="B184" s="1481"/>
      <c r="C184" s="1437" t="s">
        <v>1288</v>
      </c>
      <c r="D184" s="1481"/>
      <c r="E184" s="1485">
        <f>G176</f>
        <v>4966.3599999999997</v>
      </c>
      <c r="F184" s="1485">
        <f>G176</f>
        <v>4966.3599999999997</v>
      </c>
      <c r="G184" s="1487">
        <f>G176</f>
        <v>4966.3599999999997</v>
      </c>
      <c r="H184" s="1483" t="s">
        <v>2217</v>
      </c>
    </row>
    <row r="185" spans="1:8" s="1403" customFormat="1">
      <c r="A185" s="1481"/>
      <c r="B185" s="1481"/>
      <c r="C185" s="1437" t="s">
        <v>1268</v>
      </c>
      <c r="D185" s="1485">
        <v>0.1</v>
      </c>
      <c r="E185" s="1485">
        <f>ROUND(E184*0.1,2)</f>
        <v>496.64</v>
      </c>
      <c r="F185" s="1485">
        <f>ROUND(F184*0.1,2)</f>
        <v>496.64</v>
      </c>
      <c r="G185" s="1487">
        <f>ROUND(G184*0.1,2)</f>
        <v>496.64</v>
      </c>
      <c r="H185" s="1483" t="s">
        <v>2217</v>
      </c>
    </row>
    <row r="186" spans="1:8" s="1403" customFormat="1" ht="25.5">
      <c r="A186" s="1481"/>
      <c r="B186" s="1481"/>
      <c r="C186" s="1484" t="s">
        <v>179</v>
      </c>
      <c r="D186" s="1481"/>
      <c r="E186" s="1485">
        <f>'MINI SSR 19-20'!C61</f>
        <v>236</v>
      </c>
      <c r="F186" s="1485">
        <f>E186</f>
        <v>236</v>
      </c>
      <c r="G186" s="1435">
        <f>E186</f>
        <v>236</v>
      </c>
      <c r="H186" s="1483" t="s">
        <v>2217</v>
      </c>
    </row>
    <row r="187" spans="1:8" s="1403" customFormat="1">
      <c r="A187" s="1481"/>
      <c r="B187" s="1481"/>
      <c r="C187" s="1484" t="s">
        <v>180</v>
      </c>
      <c r="D187" s="1481"/>
      <c r="E187" s="1485">
        <f>'MINI SSR 19-20'!D61</f>
        <v>215</v>
      </c>
      <c r="F187" s="1485">
        <f>'MINI SSR 19-20'!E61</f>
        <v>237</v>
      </c>
      <c r="G187" s="1485">
        <f>'MINI SSR 19-20'!F61</f>
        <v>258</v>
      </c>
      <c r="H187" s="1483" t="s">
        <v>2217</v>
      </c>
    </row>
    <row r="188" spans="1:8" s="1403" customFormat="1" ht="25.5">
      <c r="A188" s="1481"/>
      <c r="B188" s="1481"/>
      <c r="C188" s="1484" t="s">
        <v>1289</v>
      </c>
      <c r="D188" s="1481"/>
      <c r="E188" s="1481"/>
      <c r="F188" s="1485">
        <f>ROUND(((G169+G170+G171+F187)*0.1),2)</f>
        <v>138.16999999999999</v>
      </c>
      <c r="G188" s="1487">
        <f>ROUND(((G169+G170+G171+G187)*0.2),2)</f>
        <v>280.54000000000002</v>
      </c>
      <c r="H188" s="1483" t="s">
        <v>2217</v>
      </c>
    </row>
    <row r="189" spans="1:8" s="1403" customFormat="1">
      <c r="A189" s="1481"/>
      <c r="B189" s="1481"/>
      <c r="C189" s="1437" t="s">
        <v>181</v>
      </c>
      <c r="D189" s="1481"/>
      <c r="E189" s="1489">
        <f>SUM(E185:E188)</f>
        <v>947.64</v>
      </c>
      <c r="F189" s="1489">
        <f>SUM(F185:F188)</f>
        <v>1107.81</v>
      </c>
      <c r="G189" s="1491">
        <f>SUM(G185:G188)</f>
        <v>1271.18</v>
      </c>
      <c r="H189" s="1483" t="s">
        <v>2217</v>
      </c>
    </row>
    <row r="190" spans="1:8" s="1403" customFormat="1">
      <c r="A190" s="1481"/>
      <c r="B190" s="1481"/>
      <c r="C190" s="1437"/>
      <c r="D190" s="1481"/>
      <c r="E190" s="1490" t="s">
        <v>161</v>
      </c>
      <c r="F190" s="1490" t="s">
        <v>162</v>
      </c>
      <c r="G190" s="1489" t="s">
        <v>163</v>
      </c>
      <c r="H190" s="1483" t="s">
        <v>2217</v>
      </c>
    </row>
    <row r="191" spans="1:8" s="1403" customFormat="1">
      <c r="A191" s="1481"/>
      <c r="B191" s="1481"/>
      <c r="C191" s="1437" t="s">
        <v>1290</v>
      </c>
      <c r="D191" s="1481"/>
      <c r="E191" s="1485">
        <f>G176</f>
        <v>4966.3599999999997</v>
      </c>
      <c r="F191" s="1485">
        <f>G176</f>
        <v>4966.3599999999997</v>
      </c>
      <c r="G191" s="1487">
        <f>G176</f>
        <v>4966.3599999999997</v>
      </c>
      <c r="H191" s="1483" t="s">
        <v>2217</v>
      </c>
    </row>
    <row r="192" spans="1:8" s="1403" customFormat="1">
      <c r="A192" s="1481"/>
      <c r="B192" s="1481"/>
      <c r="C192" s="1437" t="s">
        <v>1269</v>
      </c>
      <c r="D192" s="1481">
        <v>0.125</v>
      </c>
      <c r="E192" s="1485">
        <f>ROUND(E191*0.125,2)</f>
        <v>620.79999999999995</v>
      </c>
      <c r="F192" s="1485">
        <f>ROUND(F191*0.125,2)</f>
        <v>620.79999999999995</v>
      </c>
      <c r="G192" s="1487">
        <f>ROUND(G191*0.125,2)</f>
        <v>620.79999999999995</v>
      </c>
      <c r="H192" s="1483" t="s">
        <v>2217</v>
      </c>
    </row>
    <row r="193" spans="1:8" s="1403" customFormat="1" ht="25.5">
      <c r="A193" s="1481"/>
      <c r="B193" s="1481"/>
      <c r="C193" s="1484" t="s">
        <v>179</v>
      </c>
      <c r="D193" s="1481"/>
      <c r="E193" s="1485">
        <f>'MINI SSR 19-20'!C61</f>
        <v>236</v>
      </c>
      <c r="F193" s="1485">
        <f>E193</f>
        <v>236</v>
      </c>
      <c r="G193" s="1435">
        <f>E193</f>
        <v>236</v>
      </c>
      <c r="H193" s="1483" t="s">
        <v>2217</v>
      </c>
    </row>
    <row r="194" spans="1:8" s="1403" customFormat="1">
      <c r="A194" s="1481"/>
      <c r="B194" s="1481"/>
      <c r="C194" s="1484" t="s">
        <v>180</v>
      </c>
      <c r="D194" s="1481"/>
      <c r="E194" s="1485">
        <f>'MINI SSR 19-20'!D61</f>
        <v>215</v>
      </c>
      <c r="F194" s="1485">
        <f>'MINI SSR 19-20'!E61</f>
        <v>237</v>
      </c>
      <c r="G194" s="1485">
        <f>'MINI SSR 19-20'!F61</f>
        <v>258</v>
      </c>
      <c r="H194" s="1483" t="s">
        <v>2217</v>
      </c>
    </row>
    <row r="195" spans="1:8" s="1403" customFormat="1" ht="25.5">
      <c r="A195" s="1481"/>
      <c r="B195" s="1481"/>
      <c r="C195" s="1484" t="s">
        <v>1289</v>
      </c>
      <c r="D195" s="1481"/>
      <c r="E195" s="1481"/>
      <c r="F195" s="1485">
        <f>ROUND(((G169+G170+G171+F194)*0.1),2)</f>
        <v>138.16999999999999</v>
      </c>
      <c r="G195" s="1487">
        <f>ROUND(((G169+G170+G171+G194)*0.2),2)</f>
        <v>280.54000000000002</v>
      </c>
      <c r="H195" s="1483" t="s">
        <v>2217</v>
      </c>
    </row>
    <row r="196" spans="1:8" s="1403" customFormat="1">
      <c r="A196" s="1481"/>
      <c r="B196" s="1481"/>
      <c r="C196" s="1437" t="s">
        <v>181</v>
      </c>
      <c r="D196" s="1481"/>
      <c r="E196" s="1489">
        <f>SUM(E192:E195)</f>
        <v>1071.8</v>
      </c>
      <c r="F196" s="1489">
        <f>SUM(F192:F195)</f>
        <v>1231.97</v>
      </c>
      <c r="G196" s="1491">
        <f>SUM(G192:G195)</f>
        <v>1395.34</v>
      </c>
      <c r="H196" s="1483" t="s">
        <v>2217</v>
      </c>
    </row>
    <row r="197" spans="1:8" hidden="1">
      <c r="A197" s="967"/>
      <c r="B197" s="967"/>
      <c r="C197" s="962"/>
      <c r="D197" s="967"/>
      <c r="E197" s="966" t="s">
        <v>161</v>
      </c>
      <c r="F197" s="966" t="s">
        <v>162</v>
      </c>
      <c r="G197" s="974" t="s">
        <v>163</v>
      </c>
      <c r="H197" s="964" t="s">
        <v>2217</v>
      </c>
    </row>
    <row r="198" spans="1:8" hidden="1">
      <c r="A198" s="967"/>
      <c r="B198" s="967"/>
      <c r="C198" s="962" t="s">
        <v>1291</v>
      </c>
      <c r="D198" s="967"/>
      <c r="E198" s="970">
        <f>G176</f>
        <v>4966.3599999999997</v>
      </c>
      <c r="F198" s="970">
        <f>G176</f>
        <v>4966.3599999999997</v>
      </c>
      <c r="G198" s="972">
        <f>G176</f>
        <v>4966.3599999999997</v>
      </c>
      <c r="H198" s="964" t="s">
        <v>2217</v>
      </c>
    </row>
    <row r="199" spans="1:8" hidden="1">
      <c r="A199" s="967"/>
      <c r="B199" s="967"/>
      <c r="C199" s="962" t="s">
        <v>1269</v>
      </c>
      <c r="D199" s="967">
        <v>0.15</v>
      </c>
      <c r="E199" s="970">
        <f>ROUND(E198*0.15,2)</f>
        <v>744.95</v>
      </c>
      <c r="F199" s="970">
        <f>ROUND(F198*0.15,2)</f>
        <v>744.95</v>
      </c>
      <c r="G199" s="972">
        <f>ROUND(G198*0.15,2)</f>
        <v>744.95</v>
      </c>
      <c r="H199" s="964" t="s">
        <v>2217</v>
      </c>
    </row>
    <row r="200" spans="1:8" ht="25.5" hidden="1">
      <c r="A200" s="967"/>
      <c r="B200" s="967"/>
      <c r="C200" s="1382" t="s">
        <v>179</v>
      </c>
      <c r="D200" s="967"/>
      <c r="E200" s="970">
        <f>E193</f>
        <v>236</v>
      </c>
      <c r="F200" s="970">
        <f>E200</f>
        <v>236</v>
      </c>
      <c r="G200" s="924">
        <f>E200</f>
        <v>236</v>
      </c>
      <c r="H200" s="964" t="s">
        <v>2217</v>
      </c>
    </row>
    <row r="201" spans="1:8" hidden="1">
      <c r="A201" s="967"/>
      <c r="B201" s="967"/>
      <c r="C201" s="1382" t="s">
        <v>180</v>
      </c>
      <c r="D201" s="967"/>
      <c r="E201" s="970">
        <f>E194</f>
        <v>215</v>
      </c>
      <c r="F201" s="970">
        <f>F194</f>
        <v>237</v>
      </c>
      <c r="G201" s="924">
        <f>G194</f>
        <v>258</v>
      </c>
      <c r="H201" s="964" t="s">
        <v>2217</v>
      </c>
    </row>
    <row r="202" spans="1:8" ht="25.5" hidden="1">
      <c r="A202" s="967"/>
      <c r="B202" s="967"/>
      <c r="C202" s="1382" t="s">
        <v>1289</v>
      </c>
      <c r="D202" s="967"/>
      <c r="E202" s="967"/>
      <c r="F202" s="970">
        <f>ROUND(((G169+G170+G171+F201))*0.1,2)</f>
        <v>138.16999999999999</v>
      </c>
      <c r="G202" s="972">
        <f>ROUND(((G169+G170+G171+G201)*1)*0.2,2)</f>
        <v>280.54000000000002</v>
      </c>
      <c r="H202" s="964" t="s">
        <v>2217</v>
      </c>
    </row>
    <row r="203" spans="1:8" hidden="1">
      <c r="A203" s="967"/>
      <c r="B203" s="967"/>
      <c r="C203" s="962" t="s">
        <v>181</v>
      </c>
      <c r="D203" s="967"/>
      <c r="E203" s="974">
        <f>SUM(E199:E202)</f>
        <v>1195.95</v>
      </c>
      <c r="F203" s="974">
        <f>SUM(F199:F202)</f>
        <v>1356.1200000000001</v>
      </c>
      <c r="G203" s="971">
        <f>SUM(G199:G202)</f>
        <v>1519.49</v>
      </c>
      <c r="H203" s="964" t="s">
        <v>2217</v>
      </c>
    </row>
    <row r="204" spans="1:8" hidden="1">
      <c r="A204" s="967"/>
      <c r="B204" s="967"/>
      <c r="C204" s="962" t="s">
        <v>1292</v>
      </c>
      <c r="D204" s="967"/>
      <c r="E204" s="970">
        <f>G176</f>
        <v>4966.3599999999997</v>
      </c>
      <c r="F204" s="970">
        <f>G176</f>
        <v>4966.3599999999997</v>
      </c>
      <c r="G204" s="972">
        <f>G176</f>
        <v>4966.3599999999997</v>
      </c>
      <c r="H204" s="964" t="s">
        <v>2217</v>
      </c>
    </row>
    <row r="205" spans="1:8" hidden="1">
      <c r="A205" s="967"/>
      <c r="B205" s="967"/>
      <c r="C205" s="962" t="s">
        <v>1269</v>
      </c>
      <c r="D205" s="973">
        <v>0.17499999999999999</v>
      </c>
      <c r="E205" s="970">
        <f>ROUND(E204*0.175,2)</f>
        <v>869.11</v>
      </c>
      <c r="F205" s="970">
        <f>ROUND(F204*0.175,2)</f>
        <v>869.11</v>
      </c>
      <c r="G205" s="972">
        <f>ROUND(G204*0.175,2)</f>
        <v>869.11</v>
      </c>
      <c r="H205" s="964" t="s">
        <v>2217</v>
      </c>
    </row>
    <row r="206" spans="1:8" ht="25.5" hidden="1">
      <c r="A206" s="967"/>
      <c r="B206" s="967"/>
      <c r="C206" s="1382" t="s">
        <v>183</v>
      </c>
      <c r="D206" s="967"/>
      <c r="E206" s="970">
        <f>'MINI SSR 19-20'!C62</f>
        <v>243</v>
      </c>
      <c r="F206" s="970">
        <f>E206</f>
        <v>243</v>
      </c>
      <c r="G206" s="924">
        <f>E206</f>
        <v>243</v>
      </c>
      <c r="H206" s="964" t="s">
        <v>2217</v>
      </c>
    </row>
    <row r="207" spans="1:8" hidden="1">
      <c r="A207" s="967"/>
      <c r="B207" s="967"/>
      <c r="C207" s="1382" t="s">
        <v>184</v>
      </c>
      <c r="D207" s="967"/>
      <c r="E207" s="970">
        <f>'MINI SSR 19-20'!D62</f>
        <v>222</v>
      </c>
      <c r="F207" s="970">
        <f>'MINI SSR 19-20'!E62</f>
        <v>244</v>
      </c>
      <c r="G207" s="970">
        <f>'MINI SSR 19-20'!F62</f>
        <v>266</v>
      </c>
      <c r="H207" s="964" t="s">
        <v>2217</v>
      </c>
    </row>
    <row r="208" spans="1:8" ht="25.5" hidden="1">
      <c r="A208" s="967"/>
      <c r="B208" s="967"/>
      <c r="C208" s="1382" t="s">
        <v>1289</v>
      </c>
      <c r="D208" s="967"/>
      <c r="E208" s="967"/>
      <c r="F208" s="970">
        <f>ROUND(((G169+G170+G171+F207)*1)*0.1,2)</f>
        <v>138.87</v>
      </c>
      <c r="G208" s="972">
        <f>ROUND(((G169+G170+G171+G207)*1)*0.2,2)</f>
        <v>282.14</v>
      </c>
      <c r="H208" s="964" t="s">
        <v>2217</v>
      </c>
    </row>
    <row r="209" spans="1:8" hidden="1">
      <c r="A209" s="967"/>
      <c r="B209" s="967"/>
      <c r="C209" s="962" t="s">
        <v>181</v>
      </c>
      <c r="D209" s="967"/>
      <c r="E209" s="974">
        <f>SUM(E205:E208)</f>
        <v>1334.1100000000001</v>
      </c>
      <c r="F209" s="974">
        <f>SUM(F205:F208)</f>
        <v>1494.98</v>
      </c>
      <c r="G209" s="971">
        <f>SUM(G205:G208)</f>
        <v>1660.25</v>
      </c>
      <c r="H209" s="964" t="s">
        <v>2217</v>
      </c>
    </row>
    <row r="210" spans="1:8" hidden="1">
      <c r="A210" s="967"/>
      <c r="B210" s="967"/>
      <c r="C210" s="962" t="s">
        <v>1293</v>
      </c>
      <c r="D210" s="967"/>
      <c r="E210" s="966" t="s">
        <v>161</v>
      </c>
      <c r="F210" s="966" t="s">
        <v>162</v>
      </c>
      <c r="G210" s="974" t="s">
        <v>163</v>
      </c>
      <c r="H210" s="964" t="s">
        <v>2217</v>
      </c>
    </row>
    <row r="211" spans="1:8" hidden="1">
      <c r="A211" s="967"/>
      <c r="B211" s="967"/>
      <c r="C211" s="1382" t="s">
        <v>168</v>
      </c>
      <c r="D211" s="967"/>
      <c r="E211" s="970">
        <f>G176</f>
        <v>4966.3599999999997</v>
      </c>
      <c r="F211" s="970">
        <f>E211</f>
        <v>4966.3599999999997</v>
      </c>
      <c r="G211" s="969">
        <f>F211</f>
        <v>4966.3599999999997</v>
      </c>
      <c r="H211" s="964" t="s">
        <v>2217</v>
      </c>
    </row>
    <row r="212" spans="1:8" hidden="1">
      <c r="A212" s="967"/>
      <c r="B212" s="967"/>
      <c r="C212" s="1382" t="s">
        <v>169</v>
      </c>
      <c r="D212" s="976">
        <v>0.05</v>
      </c>
      <c r="E212" s="970">
        <f>ROUND(E211*D212,2)</f>
        <v>248.32</v>
      </c>
      <c r="F212" s="970">
        <f>ROUND(F211*D212,2)</f>
        <v>248.32</v>
      </c>
      <c r="G212" s="969">
        <f>ROUND(G211*D212,2)</f>
        <v>248.32</v>
      </c>
      <c r="H212" s="964" t="s">
        <v>2217</v>
      </c>
    </row>
    <row r="213" spans="1:8" ht="25.5" hidden="1">
      <c r="A213" s="967"/>
      <c r="B213" s="967"/>
      <c r="C213" s="1382" t="s">
        <v>171</v>
      </c>
      <c r="D213" s="970" t="s">
        <v>77</v>
      </c>
      <c r="E213" s="970">
        <f>'MINI SSR 19-20'!$C$59</f>
        <v>233</v>
      </c>
      <c r="F213" s="970">
        <f>E213</f>
        <v>233</v>
      </c>
      <c r="G213" s="972">
        <f>F213</f>
        <v>233</v>
      </c>
      <c r="H213" s="964" t="s">
        <v>2217</v>
      </c>
    </row>
    <row r="214" spans="1:8" hidden="1">
      <c r="A214" s="967"/>
      <c r="B214" s="967"/>
      <c r="C214" s="1382" t="s">
        <v>172</v>
      </c>
      <c r="D214" s="970" t="s">
        <v>77</v>
      </c>
      <c r="E214" s="970">
        <f>'MINI SSR 19-20'!$D$59</f>
        <v>248</v>
      </c>
      <c r="F214" s="970">
        <f>'MINI SSR 19-20'!$E$59</f>
        <v>273</v>
      </c>
      <c r="G214" s="970">
        <f>'MINI SSR 19-20'!$F$59</f>
        <v>298</v>
      </c>
      <c r="H214" s="964" t="s">
        <v>2217</v>
      </c>
    </row>
    <row r="215" spans="1:8" ht="25.5" hidden="1">
      <c r="A215" s="967"/>
      <c r="B215" s="967"/>
      <c r="C215" s="1382" t="s">
        <v>170</v>
      </c>
      <c r="D215" s="967"/>
      <c r="E215" s="967"/>
      <c r="F215" s="970">
        <f>ROUND(((G169+G170+G171+F214))*0.1,2)</f>
        <v>141.77000000000001</v>
      </c>
      <c r="G215" s="972">
        <f>ROUND(((G169+G170+G171+G214))*0.1,2)</f>
        <v>144.27000000000001</v>
      </c>
      <c r="H215" s="964" t="s">
        <v>2217</v>
      </c>
    </row>
    <row r="216" spans="1:8" hidden="1">
      <c r="A216" s="967"/>
      <c r="B216" s="967"/>
      <c r="C216" s="962" t="s">
        <v>175</v>
      </c>
      <c r="D216" s="967"/>
      <c r="E216" s="974">
        <f>SUM(E212:E215)</f>
        <v>729.31999999999994</v>
      </c>
      <c r="F216" s="974">
        <f>SUM(F212:F215)</f>
        <v>896.08999999999992</v>
      </c>
      <c r="G216" s="971">
        <f>SUM(G212:G215)</f>
        <v>923.58999999999992</v>
      </c>
      <c r="H216" s="964" t="s">
        <v>2217</v>
      </c>
    </row>
    <row r="217" spans="1:8" s="1403" customFormat="1">
      <c r="A217" s="1397"/>
      <c r="B217" s="1490"/>
      <c r="C217" s="1437" t="s">
        <v>173</v>
      </c>
      <c r="D217" s="1481"/>
      <c r="E217" s="1481"/>
      <c r="F217" s="1481"/>
      <c r="G217" s="1487"/>
      <c r="H217" s="1483" t="s">
        <v>2217</v>
      </c>
    </row>
    <row r="218" spans="1:8" s="1403" customFormat="1">
      <c r="A218" s="1481"/>
      <c r="B218" s="1481"/>
      <c r="C218" s="1437"/>
      <c r="D218" s="1481"/>
      <c r="E218" s="1490" t="s">
        <v>161</v>
      </c>
      <c r="F218" s="1490" t="s">
        <v>162</v>
      </c>
      <c r="G218" s="1489" t="s">
        <v>163</v>
      </c>
      <c r="H218" s="1483" t="s">
        <v>2217</v>
      </c>
    </row>
    <row r="219" spans="1:8" s="1403" customFormat="1">
      <c r="A219" s="1481"/>
      <c r="B219" s="1481"/>
      <c r="C219" s="1484" t="s">
        <v>174</v>
      </c>
      <c r="D219" s="1496"/>
      <c r="E219" s="1485">
        <f>E211</f>
        <v>4966.3599999999997</v>
      </c>
      <c r="F219" s="1485">
        <f>F211</f>
        <v>4966.3599999999997</v>
      </c>
      <c r="G219" s="1487">
        <f>G211</f>
        <v>4966.3599999999997</v>
      </c>
      <c r="H219" s="1483" t="s">
        <v>2217</v>
      </c>
    </row>
    <row r="220" spans="1:8" s="1403" customFormat="1">
      <c r="A220" s="1481"/>
      <c r="B220" s="1481"/>
      <c r="C220" s="1484" t="s">
        <v>1270</v>
      </c>
      <c r="D220" s="1496">
        <v>3.7499999999999999E-2</v>
      </c>
      <c r="E220" s="1485">
        <f>ROUND(E219*0.0375,2)</f>
        <v>186.24</v>
      </c>
      <c r="F220" s="1485">
        <f>ROUND(F219*0.0375,2)</f>
        <v>186.24</v>
      </c>
      <c r="G220" s="1487">
        <f>ROUND(G219*0.0375,2)</f>
        <v>186.24</v>
      </c>
      <c r="H220" s="1483" t="s">
        <v>2217</v>
      </c>
    </row>
    <row r="221" spans="1:8" s="1403" customFormat="1">
      <c r="A221" s="1481"/>
      <c r="B221" s="1481"/>
      <c r="C221" s="1484" t="s">
        <v>834</v>
      </c>
      <c r="D221" s="1485">
        <v>0.6</v>
      </c>
      <c r="E221" s="1485">
        <f>'MINI SSR 19-20'!C$59*D$221</f>
        <v>139.79999999999998</v>
      </c>
      <c r="F221" s="1485">
        <f>'MINI SSR 19-20'!$C$59*D221</f>
        <v>139.79999999999998</v>
      </c>
      <c r="G221" s="1485">
        <f>'MINI SSR 19-20'!$C$59*D221</f>
        <v>139.79999999999998</v>
      </c>
      <c r="H221" s="1483" t="s">
        <v>2217</v>
      </c>
    </row>
    <row r="222" spans="1:8" s="1403" customFormat="1">
      <c r="A222" s="1481"/>
      <c r="B222" s="1481"/>
      <c r="C222" s="1484" t="s">
        <v>835</v>
      </c>
      <c r="D222" s="1485">
        <v>0.6</v>
      </c>
      <c r="E222" s="1485">
        <f>'MINI SSR 19-20'!$D$59*D222</f>
        <v>148.79999999999998</v>
      </c>
      <c r="F222" s="1485">
        <f>'MINI SSR 19-20'!$E$59*D222</f>
        <v>163.79999999999998</v>
      </c>
      <c r="G222" s="1485">
        <f>'MINI SSR 19-20'!$F$59*D222</f>
        <v>178.79999999999998</v>
      </c>
      <c r="H222" s="1483" t="s">
        <v>2217</v>
      </c>
    </row>
    <row r="223" spans="1:8" s="1403" customFormat="1" ht="25.5">
      <c r="A223" s="1481"/>
      <c r="B223" s="1481"/>
      <c r="C223" s="1484" t="s">
        <v>170</v>
      </c>
      <c r="D223" s="1485">
        <v>0.6</v>
      </c>
      <c r="E223" s="1481"/>
      <c r="F223" s="1487">
        <f>ROUND(((G169+G170+G171+F222)*D223)*0.1,2)</f>
        <v>78.510000000000005</v>
      </c>
      <c r="G223" s="1487">
        <f>ROUND(((G169+G170+G171+G222)*D223)*0.2,2)</f>
        <v>158.82</v>
      </c>
      <c r="H223" s="1483" t="s">
        <v>2217</v>
      </c>
    </row>
    <row r="224" spans="1:8" s="1403" customFormat="1">
      <c r="A224" s="1481"/>
      <c r="B224" s="1481"/>
      <c r="C224" s="1437" t="s">
        <v>176</v>
      </c>
      <c r="D224" s="1481"/>
      <c r="E224" s="1489">
        <f>SUM(E220:E223)</f>
        <v>474.83999999999992</v>
      </c>
      <c r="F224" s="1489">
        <f>SUM(F220:F223)</f>
        <v>568.34999999999991</v>
      </c>
      <c r="G224" s="1491">
        <f>SUM(G220:G223)</f>
        <v>663.65999999999985</v>
      </c>
      <c r="H224" s="1483" t="s">
        <v>2217</v>
      </c>
    </row>
    <row r="225" spans="1:8" ht="191.25" hidden="1">
      <c r="A225" s="896">
        <v>17</v>
      </c>
      <c r="B225" s="966" t="s">
        <v>78</v>
      </c>
      <c r="C225" s="1382" t="s">
        <v>1315</v>
      </c>
      <c r="D225" s="967"/>
      <c r="E225" s="967"/>
      <c r="F225" s="967"/>
      <c r="G225" s="966"/>
      <c r="H225" s="964" t="s">
        <v>2217</v>
      </c>
    </row>
    <row r="226" spans="1:8" hidden="1">
      <c r="A226" s="896"/>
      <c r="B226" s="966"/>
      <c r="C226" s="962" t="s">
        <v>1210</v>
      </c>
      <c r="D226" s="967"/>
      <c r="E226" s="967"/>
      <c r="F226" s="967"/>
      <c r="G226" s="972"/>
      <c r="H226" s="964" t="s">
        <v>2217</v>
      </c>
    </row>
    <row r="227" spans="1:8" hidden="1">
      <c r="A227" s="896"/>
      <c r="B227" s="966"/>
      <c r="C227" s="962" t="s">
        <v>60</v>
      </c>
      <c r="D227" s="966"/>
      <c r="E227" s="966"/>
      <c r="F227" s="966"/>
      <c r="G227" s="972"/>
      <c r="H227" s="964" t="s">
        <v>2217</v>
      </c>
    </row>
    <row r="228" spans="1:8" hidden="1">
      <c r="A228" s="896"/>
      <c r="B228" s="966"/>
      <c r="C228" s="1382" t="s">
        <v>154</v>
      </c>
      <c r="D228" s="967" t="s">
        <v>35</v>
      </c>
      <c r="E228" s="970">
        <v>0.8</v>
      </c>
      <c r="F228" s="970">
        <f>F38</f>
        <v>1722.2999999999997</v>
      </c>
      <c r="G228" s="969">
        <f>ROUND(E228*F228,2)</f>
        <v>1377.84</v>
      </c>
      <c r="H228" s="964" t="s">
        <v>2217</v>
      </c>
    </row>
    <row r="229" spans="1:8" hidden="1">
      <c r="A229" s="896"/>
      <c r="B229" s="966"/>
      <c r="C229" s="1382" t="s">
        <v>112</v>
      </c>
      <c r="D229" s="967" t="s">
        <v>35</v>
      </c>
      <c r="E229" s="970">
        <v>0.4</v>
      </c>
      <c r="F229" s="970">
        <f>'lead 19-20'!L13</f>
        <v>1384.7999999999988</v>
      </c>
      <c r="G229" s="969">
        <f>ROUND(E229*F229,2)</f>
        <v>553.91999999999996</v>
      </c>
      <c r="H229" s="964" t="s">
        <v>2217</v>
      </c>
    </row>
    <row r="230" spans="1:8" hidden="1">
      <c r="A230" s="967"/>
      <c r="B230" s="967"/>
      <c r="C230" s="1382" t="s">
        <v>33</v>
      </c>
      <c r="D230" s="967" t="s">
        <v>4</v>
      </c>
      <c r="E230" s="970">
        <f>E167</f>
        <v>340</v>
      </c>
      <c r="F230" s="970">
        <f>'lead 19-20'!L8</f>
        <v>4700</v>
      </c>
      <c r="G230" s="969">
        <f>ROUND(E230*F230/1000,2)</f>
        <v>1598</v>
      </c>
      <c r="H230" s="964" t="s">
        <v>2217</v>
      </c>
    </row>
    <row r="231" spans="1:8" hidden="1">
      <c r="A231" s="967"/>
      <c r="B231" s="967"/>
      <c r="C231" s="962" t="s">
        <v>68</v>
      </c>
      <c r="D231" s="967"/>
      <c r="E231" s="970"/>
      <c r="F231" s="970"/>
      <c r="G231" s="969"/>
      <c r="H231" s="964" t="s">
        <v>2217</v>
      </c>
    </row>
    <row r="232" spans="1:8" hidden="1">
      <c r="A232" s="967"/>
      <c r="B232" s="967"/>
      <c r="C232" s="1382" t="s">
        <v>64</v>
      </c>
      <c r="D232" s="967" t="s">
        <v>27</v>
      </c>
      <c r="E232" s="973">
        <v>6.7000000000000004E-2</v>
      </c>
      <c r="F232" s="970">
        <f>'MINI SSR 19-20'!$H$3</f>
        <v>500</v>
      </c>
      <c r="G232" s="969">
        <f>ROUND(E232*F232,2)</f>
        <v>33.5</v>
      </c>
      <c r="H232" s="964" t="s">
        <v>2217</v>
      </c>
    </row>
    <row r="233" spans="1:8" hidden="1">
      <c r="A233" s="967"/>
      <c r="B233" s="967"/>
      <c r="C233" s="1382" t="s">
        <v>69</v>
      </c>
      <c r="D233" s="967" t="s">
        <v>27</v>
      </c>
      <c r="E233" s="973">
        <v>0.13300000000000001</v>
      </c>
      <c r="F233" s="970">
        <f>'MINI SSR 19-20'!$H$4</f>
        <v>460</v>
      </c>
      <c r="G233" s="969">
        <f>ROUND(E233*F233,2)</f>
        <v>61.18</v>
      </c>
      <c r="H233" s="964" t="s">
        <v>2217</v>
      </c>
    </row>
    <row r="234" spans="1:8" hidden="1">
      <c r="A234" s="967"/>
      <c r="B234" s="967"/>
      <c r="C234" s="1382" t="s">
        <v>70</v>
      </c>
      <c r="D234" s="967" t="s">
        <v>27</v>
      </c>
      <c r="E234" s="973">
        <v>2.5</v>
      </c>
      <c r="F234" s="970">
        <f>'MINI SSR 19-20'!H$5</f>
        <v>420</v>
      </c>
      <c r="G234" s="969">
        <f>ROUND(E234*F234,2)</f>
        <v>1050</v>
      </c>
      <c r="H234" s="964" t="s">
        <v>2217</v>
      </c>
    </row>
    <row r="235" spans="1:8" hidden="1">
      <c r="A235" s="967"/>
      <c r="B235" s="967"/>
      <c r="C235" s="962" t="s">
        <v>61</v>
      </c>
      <c r="D235" s="967"/>
      <c r="E235" s="970"/>
      <c r="F235" s="970"/>
      <c r="G235" s="969"/>
      <c r="H235" s="964" t="s">
        <v>2217</v>
      </c>
    </row>
    <row r="236" spans="1:8" hidden="1">
      <c r="A236" s="967"/>
      <c r="B236" s="967"/>
      <c r="C236" s="1382" t="s">
        <v>62</v>
      </c>
      <c r="D236" s="967" t="s">
        <v>21</v>
      </c>
      <c r="E236" s="973">
        <v>0.26700000000000002</v>
      </c>
      <c r="F236" s="970">
        <f>'MINI SSR 19-20'!$C$30</f>
        <v>524.70000000000005</v>
      </c>
      <c r="G236" s="969">
        <f>ROUND(E236*F236,2)</f>
        <v>140.09</v>
      </c>
      <c r="H236" s="964" t="s">
        <v>2217</v>
      </c>
    </row>
    <row r="237" spans="1:8" hidden="1">
      <c r="A237" s="967"/>
      <c r="B237" s="967"/>
      <c r="C237" s="1382" t="s">
        <v>57</v>
      </c>
      <c r="D237" s="967" t="s">
        <v>58</v>
      </c>
      <c r="E237" s="970">
        <v>1.2</v>
      </c>
      <c r="F237" s="922">
        <f>'MINI SSR 19-20'!$C$29</f>
        <v>80</v>
      </c>
      <c r="G237" s="969">
        <f>ROUND(E237*F237,2)</f>
        <v>96</v>
      </c>
      <c r="H237" s="964" t="s">
        <v>2217</v>
      </c>
    </row>
    <row r="238" spans="1:8" hidden="1">
      <c r="A238" s="967"/>
      <c r="B238" s="967"/>
      <c r="C238" s="962" t="s">
        <v>71</v>
      </c>
      <c r="D238" s="967"/>
      <c r="E238" s="967"/>
      <c r="F238" s="967"/>
      <c r="G238" s="971">
        <f>SUM(G228:G237)+0.01</f>
        <v>4910.54</v>
      </c>
      <c r="H238" s="964" t="s">
        <v>2217</v>
      </c>
    </row>
    <row r="239" spans="1:8" hidden="1">
      <c r="A239" s="967"/>
      <c r="B239" s="967"/>
      <c r="C239" s="962"/>
      <c r="D239" s="967"/>
      <c r="E239" s="966" t="s">
        <v>161</v>
      </c>
      <c r="F239" s="966" t="s">
        <v>162</v>
      </c>
      <c r="G239" s="974" t="s">
        <v>163</v>
      </c>
      <c r="H239" s="964" t="s">
        <v>2217</v>
      </c>
    </row>
    <row r="240" spans="1:8" hidden="1">
      <c r="A240" s="967"/>
      <c r="B240" s="967"/>
      <c r="C240" s="962" t="s">
        <v>1294</v>
      </c>
      <c r="D240" s="967"/>
      <c r="E240" s="970">
        <f>G238</f>
        <v>4910.54</v>
      </c>
      <c r="F240" s="970">
        <f>G238</f>
        <v>4910.54</v>
      </c>
      <c r="G240" s="972">
        <f>G238</f>
        <v>4910.54</v>
      </c>
      <c r="H240" s="964" t="s">
        <v>2217</v>
      </c>
    </row>
    <row r="241" spans="1:8" hidden="1">
      <c r="A241" s="967"/>
      <c r="B241" s="967"/>
      <c r="C241" s="962" t="s">
        <v>1271</v>
      </c>
      <c r="D241" s="970">
        <v>0.05</v>
      </c>
      <c r="E241" s="970">
        <f>ROUND(E240*D241,2)</f>
        <v>245.53</v>
      </c>
      <c r="F241" s="970">
        <f>ROUND(F240*D241,2)</f>
        <v>245.53</v>
      </c>
      <c r="G241" s="972">
        <f>ROUND(G240*D241,2)</f>
        <v>245.53</v>
      </c>
      <c r="H241" s="964" t="s">
        <v>2217</v>
      </c>
    </row>
    <row r="242" spans="1:8" ht="25.5" hidden="1">
      <c r="A242" s="967"/>
      <c r="B242" s="967"/>
      <c r="C242" s="1382" t="s">
        <v>1211</v>
      </c>
      <c r="D242" s="967"/>
      <c r="E242" s="970">
        <f>E186*50%</f>
        <v>118</v>
      </c>
      <c r="F242" s="970">
        <f>E242</f>
        <v>118</v>
      </c>
      <c r="G242" s="924">
        <f>E242</f>
        <v>118</v>
      </c>
      <c r="H242" s="964" t="s">
        <v>2217</v>
      </c>
    </row>
    <row r="243" spans="1:8" ht="25.5" hidden="1">
      <c r="A243" s="967"/>
      <c r="B243" s="967"/>
      <c r="C243" s="1382" t="s">
        <v>1212</v>
      </c>
      <c r="D243" s="967"/>
      <c r="E243" s="970">
        <f>E187*50%</f>
        <v>107.5</v>
      </c>
      <c r="F243" s="970">
        <f>F187*50%</f>
        <v>118.5</v>
      </c>
      <c r="G243" s="972">
        <f>G187*50%</f>
        <v>129</v>
      </c>
      <c r="H243" s="964" t="s">
        <v>2217</v>
      </c>
    </row>
    <row r="244" spans="1:8" ht="25.5" hidden="1">
      <c r="A244" s="967"/>
      <c r="B244" s="967"/>
      <c r="C244" s="1382" t="s">
        <v>1289</v>
      </c>
      <c r="D244" s="967"/>
      <c r="E244" s="967"/>
      <c r="F244" s="970">
        <f>ROUND(((G232+G233+G234+F243)*0.1),2)</f>
        <v>126.32</v>
      </c>
      <c r="G244" s="970">
        <f>ROUND(((G232+G233+G234+G243)*0.2),2)</f>
        <v>254.74</v>
      </c>
      <c r="H244" s="964" t="s">
        <v>2217</v>
      </c>
    </row>
    <row r="245" spans="1:8" hidden="1">
      <c r="A245" s="967"/>
      <c r="B245" s="967"/>
      <c r="C245" s="962" t="s">
        <v>181</v>
      </c>
      <c r="D245" s="967"/>
      <c r="E245" s="974">
        <f>SUM(E241:E244)</f>
        <v>471.03</v>
      </c>
      <c r="F245" s="974">
        <f>SUM(F241:F244)</f>
        <v>608.34999999999991</v>
      </c>
      <c r="G245" s="971">
        <f>SUM(G241:G244)</f>
        <v>747.27</v>
      </c>
      <c r="H245" s="964" t="s">
        <v>2217</v>
      </c>
    </row>
    <row r="246" spans="1:8" hidden="1">
      <c r="A246" s="967"/>
      <c r="B246" s="967"/>
      <c r="C246" s="962"/>
      <c r="D246" s="967"/>
      <c r="E246" s="966" t="s">
        <v>161</v>
      </c>
      <c r="F246" s="966" t="s">
        <v>162</v>
      </c>
      <c r="G246" s="974" t="s">
        <v>163</v>
      </c>
      <c r="H246" s="964" t="s">
        <v>2217</v>
      </c>
    </row>
    <row r="247" spans="1:8" hidden="1">
      <c r="A247" s="967"/>
      <c r="B247" s="967"/>
      <c r="C247" s="962" t="s">
        <v>1295</v>
      </c>
      <c r="D247" s="967"/>
      <c r="E247" s="970">
        <f>G238</f>
        <v>4910.54</v>
      </c>
      <c r="F247" s="970">
        <f>E247</f>
        <v>4910.54</v>
      </c>
      <c r="G247" s="972">
        <f>F247</f>
        <v>4910.54</v>
      </c>
      <c r="H247" s="964" t="s">
        <v>2217</v>
      </c>
    </row>
    <row r="248" spans="1:8" hidden="1">
      <c r="A248" s="967"/>
      <c r="B248" s="967"/>
      <c r="C248" s="962" t="s">
        <v>1271</v>
      </c>
      <c r="D248" s="973">
        <v>2.5000000000000001E-2</v>
      </c>
      <c r="E248" s="970">
        <f>ROUND(E247*D248,2)</f>
        <v>122.76</v>
      </c>
      <c r="F248" s="970">
        <f>ROUND(F247*D248,2)</f>
        <v>122.76</v>
      </c>
      <c r="G248" s="972">
        <f>ROUND(G247*D248,2)</f>
        <v>122.76</v>
      </c>
      <c r="H248" s="964" t="s">
        <v>2217</v>
      </c>
    </row>
    <row r="249" spans="1:8" ht="25.5" hidden="1">
      <c r="A249" s="967"/>
      <c r="B249" s="967"/>
      <c r="C249" s="1382" t="s">
        <v>1211</v>
      </c>
      <c r="D249" s="967"/>
      <c r="E249" s="970">
        <f>E193*50%</f>
        <v>118</v>
      </c>
      <c r="F249" s="970">
        <f>E249</f>
        <v>118</v>
      </c>
      <c r="G249" s="924">
        <f>E249</f>
        <v>118</v>
      </c>
      <c r="H249" s="964" t="s">
        <v>2217</v>
      </c>
    </row>
    <row r="250" spans="1:8" ht="25.5" hidden="1">
      <c r="A250" s="967"/>
      <c r="B250" s="967"/>
      <c r="C250" s="1382" t="s">
        <v>1212</v>
      </c>
      <c r="D250" s="967"/>
      <c r="E250" s="970">
        <f>E194*50%</f>
        <v>107.5</v>
      </c>
      <c r="F250" s="970">
        <f>F194*50%</f>
        <v>118.5</v>
      </c>
      <c r="G250" s="972">
        <f>G194*50%</f>
        <v>129</v>
      </c>
      <c r="H250" s="964" t="s">
        <v>2217</v>
      </c>
    </row>
    <row r="251" spans="1:8" ht="25.5" hidden="1">
      <c r="A251" s="967"/>
      <c r="B251" s="967"/>
      <c r="C251" s="1382" t="s">
        <v>1289</v>
      </c>
      <c r="D251" s="967"/>
      <c r="E251" s="967"/>
      <c r="F251" s="970">
        <f>ROUND(((G232+G233+G234+F250)*0.1),2)</f>
        <v>126.32</v>
      </c>
      <c r="G251" s="970">
        <f>ROUND(((G232+G233+G234+G250)*0.2),2)</f>
        <v>254.74</v>
      </c>
      <c r="H251" s="964" t="s">
        <v>2217</v>
      </c>
    </row>
    <row r="252" spans="1:8" hidden="1">
      <c r="A252" s="967"/>
      <c r="B252" s="967"/>
      <c r="C252" s="962" t="s">
        <v>181</v>
      </c>
      <c r="D252" s="967"/>
      <c r="E252" s="974">
        <f>SUM(E248:E251)</f>
        <v>348.26</v>
      </c>
      <c r="F252" s="974">
        <f>SUM(F248:F251)</f>
        <v>485.58</v>
      </c>
      <c r="G252" s="971">
        <f>SUM(G248:G251)</f>
        <v>624.5</v>
      </c>
      <c r="H252" s="964" t="s">
        <v>2217</v>
      </c>
    </row>
    <row r="253" spans="1:8" ht="127.5" hidden="1">
      <c r="A253" s="896">
        <v>10</v>
      </c>
      <c r="B253" s="966"/>
      <c r="C253" s="1382" t="s">
        <v>315</v>
      </c>
      <c r="D253" s="967"/>
      <c r="E253" s="967"/>
      <c r="F253" s="967"/>
      <c r="G253" s="966"/>
      <c r="H253" s="964" t="s">
        <v>2217</v>
      </c>
    </row>
    <row r="254" spans="1:8" hidden="1">
      <c r="A254" s="896"/>
      <c r="B254" s="966"/>
      <c r="C254" s="962" t="s">
        <v>314</v>
      </c>
      <c r="D254" s="967"/>
      <c r="E254" s="967"/>
      <c r="F254" s="967"/>
      <c r="G254" s="972"/>
      <c r="H254" s="964" t="s">
        <v>2217</v>
      </c>
    </row>
    <row r="255" spans="1:8" hidden="1">
      <c r="A255" s="896"/>
      <c r="B255" s="966"/>
      <c r="C255" s="962" t="s">
        <v>60</v>
      </c>
      <c r="D255" s="966"/>
      <c r="E255" s="966"/>
      <c r="F255" s="966"/>
      <c r="G255" s="972"/>
      <c r="H255" s="964" t="s">
        <v>2217</v>
      </c>
    </row>
    <row r="256" spans="1:8" hidden="1">
      <c r="A256" s="896"/>
      <c r="B256" s="966"/>
      <c r="C256" s="1382" t="s">
        <v>154</v>
      </c>
      <c r="D256" s="967" t="s">
        <v>35</v>
      </c>
      <c r="E256" s="970">
        <v>0.8</v>
      </c>
      <c r="F256" s="970">
        <f>F165</f>
        <v>1722.2999999999997</v>
      </c>
      <c r="G256" s="969">
        <f>ROUND(E256*F256,2)</f>
        <v>1377.84</v>
      </c>
      <c r="H256" s="964" t="s">
        <v>2217</v>
      </c>
    </row>
    <row r="257" spans="1:8" hidden="1">
      <c r="A257" s="896"/>
      <c r="B257" s="966"/>
      <c r="C257" s="1382" t="s">
        <v>112</v>
      </c>
      <c r="D257" s="967" t="s">
        <v>35</v>
      </c>
      <c r="E257" s="970">
        <v>0.4</v>
      </c>
      <c r="F257" s="970">
        <f>F166</f>
        <v>1384.7999999999988</v>
      </c>
      <c r="G257" s="969">
        <f>ROUND(E257*F257,2)</f>
        <v>553.91999999999996</v>
      </c>
      <c r="H257" s="964" t="s">
        <v>2217</v>
      </c>
    </row>
    <row r="258" spans="1:8" hidden="1">
      <c r="A258" s="967"/>
      <c r="B258" s="967"/>
      <c r="C258" s="1382" t="s">
        <v>33</v>
      </c>
      <c r="D258" s="967" t="s">
        <v>4</v>
      </c>
      <c r="E258" s="970">
        <f>E230</f>
        <v>340</v>
      </c>
      <c r="F258" s="970">
        <f>F167</f>
        <v>4700</v>
      </c>
      <c r="G258" s="969">
        <f>ROUND(E258*F258/1000,2)</f>
        <v>1598</v>
      </c>
      <c r="H258" s="964" t="s">
        <v>2217</v>
      </c>
    </row>
    <row r="259" spans="1:8" hidden="1">
      <c r="A259" s="967"/>
      <c r="B259" s="967"/>
      <c r="C259" s="962" t="s">
        <v>68</v>
      </c>
      <c r="D259" s="967"/>
      <c r="E259" s="970"/>
      <c r="F259" s="970"/>
      <c r="G259" s="969"/>
      <c r="H259" s="964" t="s">
        <v>2217</v>
      </c>
    </row>
    <row r="260" spans="1:8" hidden="1">
      <c r="A260" s="967"/>
      <c r="B260" s="967"/>
      <c r="C260" s="1382" t="s">
        <v>64</v>
      </c>
      <c r="D260" s="967" t="s">
        <v>27</v>
      </c>
      <c r="E260" s="973">
        <v>0.1</v>
      </c>
      <c r="F260" s="970">
        <f>'MINI SSR 19-20'!$H$3</f>
        <v>500</v>
      </c>
      <c r="G260" s="969">
        <f>ROUND(E260*F260,2)</f>
        <v>50</v>
      </c>
      <c r="H260" s="964" t="s">
        <v>2217</v>
      </c>
    </row>
    <row r="261" spans="1:8" hidden="1">
      <c r="A261" s="967"/>
      <c r="B261" s="967"/>
      <c r="C261" s="1382" t="s">
        <v>69</v>
      </c>
      <c r="D261" s="967" t="s">
        <v>27</v>
      </c>
      <c r="E261" s="973">
        <v>1.39</v>
      </c>
      <c r="F261" s="970">
        <f>'MINI SSR 19-20'!$H$4</f>
        <v>460</v>
      </c>
      <c r="G261" s="969">
        <f>ROUND(E261*F261,2)</f>
        <v>639.4</v>
      </c>
      <c r="H261" s="964" t="s">
        <v>2217</v>
      </c>
    </row>
    <row r="262" spans="1:8" hidden="1">
      <c r="A262" s="967"/>
      <c r="B262" s="967"/>
      <c r="C262" s="962" t="s">
        <v>61</v>
      </c>
      <c r="D262" s="967"/>
      <c r="E262" s="970"/>
      <c r="F262" s="970"/>
      <c r="G262" s="969"/>
      <c r="H262" s="964" t="s">
        <v>2217</v>
      </c>
    </row>
    <row r="263" spans="1:8" hidden="1">
      <c r="A263" s="967"/>
      <c r="B263" s="967"/>
      <c r="C263" s="1382" t="s">
        <v>62</v>
      </c>
      <c r="D263" s="967" t="s">
        <v>21</v>
      </c>
      <c r="E263" s="973">
        <v>0.308</v>
      </c>
      <c r="F263" s="970">
        <f>'MINI SSR 19-20'!$C$30</f>
        <v>524.70000000000005</v>
      </c>
      <c r="G263" s="969">
        <f>ROUND(E263*F263,2)</f>
        <v>161.61000000000001</v>
      </c>
      <c r="H263" s="964" t="s">
        <v>2217</v>
      </c>
    </row>
    <row r="264" spans="1:8" hidden="1">
      <c r="A264" s="967"/>
      <c r="B264" s="967"/>
      <c r="C264" s="1382" t="s">
        <v>160</v>
      </c>
      <c r="D264" s="967" t="s">
        <v>21</v>
      </c>
      <c r="E264" s="973">
        <v>0.308</v>
      </c>
      <c r="F264" s="970">
        <f>'MINI SSR 19-20'!$C$31</f>
        <v>209.1</v>
      </c>
      <c r="G264" s="969">
        <f>ROUND(E264*F264,2)</f>
        <v>64.400000000000006</v>
      </c>
      <c r="H264" s="964" t="s">
        <v>2217</v>
      </c>
    </row>
    <row r="265" spans="1:8" hidden="1">
      <c r="A265" s="967"/>
      <c r="B265" s="967"/>
      <c r="C265" s="1382" t="s">
        <v>57</v>
      </c>
      <c r="D265" s="967" t="s">
        <v>58</v>
      </c>
      <c r="E265" s="970">
        <v>1.2</v>
      </c>
      <c r="F265" s="922">
        <f>'MINI SSR 19-20'!$C$29</f>
        <v>80</v>
      </c>
      <c r="G265" s="969">
        <f>ROUND(E265*F265,2)</f>
        <v>96</v>
      </c>
      <c r="H265" s="964" t="s">
        <v>2217</v>
      </c>
    </row>
    <row r="266" spans="1:8" hidden="1">
      <c r="A266" s="967"/>
      <c r="B266" s="967"/>
      <c r="C266" s="962" t="s">
        <v>71</v>
      </c>
      <c r="D266" s="967"/>
      <c r="E266" s="967"/>
      <c r="F266" s="967"/>
      <c r="G266" s="971">
        <f>SUM(G256:G265)</f>
        <v>4541.1699999999992</v>
      </c>
      <c r="H266" s="964" t="s">
        <v>2217</v>
      </c>
    </row>
    <row r="267" spans="1:8" hidden="1">
      <c r="A267" s="967"/>
      <c r="B267" s="967"/>
      <c r="C267" s="962"/>
      <c r="D267" s="967"/>
      <c r="E267" s="966" t="s">
        <v>161</v>
      </c>
      <c r="F267" s="966" t="s">
        <v>162</v>
      </c>
      <c r="G267" s="966" t="s">
        <v>162</v>
      </c>
      <c r="H267" s="964" t="s">
        <v>2217</v>
      </c>
    </row>
    <row r="268" spans="1:8" hidden="1">
      <c r="A268" s="967"/>
      <c r="B268" s="967"/>
      <c r="C268" s="962" t="s">
        <v>1296</v>
      </c>
      <c r="D268" s="967"/>
      <c r="E268" s="970">
        <f>G266</f>
        <v>4541.1699999999992</v>
      </c>
      <c r="F268" s="970">
        <f>G266</f>
        <v>4541.1699999999992</v>
      </c>
      <c r="G268" s="970">
        <f>F268</f>
        <v>4541.1699999999992</v>
      </c>
      <c r="H268" s="964" t="s">
        <v>2217</v>
      </c>
    </row>
    <row r="269" spans="1:8" ht="25.5" hidden="1">
      <c r="A269" s="967"/>
      <c r="B269" s="967"/>
      <c r="C269" s="1382" t="s">
        <v>177</v>
      </c>
      <c r="D269" s="967"/>
      <c r="E269" s="970">
        <f>'MINI SSR 19-20'!C53</f>
        <v>64</v>
      </c>
      <c r="F269" s="970">
        <f>E269</f>
        <v>64</v>
      </c>
      <c r="G269" s="970">
        <f>F269</f>
        <v>64</v>
      </c>
      <c r="H269" s="964" t="s">
        <v>2217</v>
      </c>
    </row>
    <row r="270" spans="1:8" hidden="1">
      <c r="A270" s="967"/>
      <c r="B270" s="967"/>
      <c r="C270" s="1382" t="s">
        <v>178</v>
      </c>
      <c r="D270" s="967"/>
      <c r="E270" s="970">
        <f>'MINI SSR 19-20'!D53</f>
        <v>341</v>
      </c>
      <c r="F270" s="970">
        <f>E270</f>
        <v>341</v>
      </c>
      <c r="G270" s="970">
        <f>F270</f>
        <v>341</v>
      </c>
      <c r="H270" s="964" t="s">
        <v>2217</v>
      </c>
    </row>
    <row r="271" spans="1:8" ht="25.5" hidden="1">
      <c r="A271" s="967"/>
      <c r="B271" s="967"/>
      <c r="C271" s="1382" t="s">
        <v>1285</v>
      </c>
      <c r="D271" s="967"/>
      <c r="E271" s="967"/>
      <c r="F271" s="970">
        <f>ROUND((G260+G261+F270)*0.1,2)</f>
        <v>103.04</v>
      </c>
      <c r="G271" s="970">
        <f>ROUND((G260+G261+G270)*0.2,2)</f>
        <v>206.08</v>
      </c>
      <c r="H271" s="964" t="s">
        <v>2217</v>
      </c>
    </row>
    <row r="272" spans="1:8" hidden="1">
      <c r="A272" s="967"/>
      <c r="B272" s="967"/>
      <c r="C272" s="962" t="s">
        <v>182</v>
      </c>
      <c r="D272" s="967"/>
      <c r="E272" s="974">
        <f>SUM(E268:E271)</f>
        <v>4946.1699999999992</v>
      </c>
      <c r="F272" s="974">
        <f>SUM(F268:F271)</f>
        <v>5049.2099999999991</v>
      </c>
      <c r="G272" s="974">
        <f>SUM(G268:G271)</f>
        <v>5152.2499999999991</v>
      </c>
      <c r="H272" s="964" t="s">
        <v>2217</v>
      </c>
    </row>
    <row r="273" spans="1:8" s="1403" customFormat="1" ht="127.5">
      <c r="A273" s="1397">
        <v>10</v>
      </c>
      <c r="B273" s="1490" t="s">
        <v>1326</v>
      </c>
      <c r="C273" s="1484" t="s">
        <v>1327</v>
      </c>
      <c r="D273" s="1481"/>
      <c r="E273" s="1481"/>
      <c r="F273" s="1481"/>
      <c r="G273" s="1490"/>
      <c r="H273" s="1483" t="s">
        <v>2217</v>
      </c>
    </row>
    <row r="274" spans="1:8" s="1403" customFormat="1">
      <c r="A274" s="1397"/>
      <c r="B274" s="1490"/>
      <c r="C274" s="1437" t="s">
        <v>36</v>
      </c>
      <c r="D274" s="1481"/>
      <c r="E274" s="1481"/>
      <c r="F274" s="1481"/>
      <c r="G274" s="1410"/>
      <c r="H274" s="1483" t="s">
        <v>2217</v>
      </c>
    </row>
    <row r="275" spans="1:8" s="1403" customFormat="1">
      <c r="A275" s="1397"/>
      <c r="B275" s="1481"/>
      <c r="C275" s="1437" t="s">
        <v>40</v>
      </c>
      <c r="D275" s="1481"/>
      <c r="E275" s="1481"/>
      <c r="F275" s="1481"/>
      <c r="G275" s="1410"/>
      <c r="H275" s="1483" t="s">
        <v>2217</v>
      </c>
    </row>
    <row r="276" spans="1:8" s="1403" customFormat="1">
      <c r="A276" s="1397"/>
      <c r="B276" s="1492" t="s">
        <v>18</v>
      </c>
      <c r="C276" s="1437" t="s">
        <v>22</v>
      </c>
      <c r="D276" s="1481"/>
      <c r="E276" s="1481"/>
      <c r="F276" s="1481"/>
      <c r="G276" s="1410"/>
      <c r="H276" s="1483" t="s">
        <v>2217</v>
      </c>
    </row>
    <row r="277" spans="1:8" s="1403" customFormat="1">
      <c r="A277" s="1410"/>
      <c r="B277" s="1410"/>
      <c r="C277" s="1484" t="s">
        <v>37</v>
      </c>
      <c r="D277" s="1434" t="s">
        <v>34</v>
      </c>
      <c r="E277" s="1500">
        <v>1.05</v>
      </c>
      <c r="F277" s="1434">
        <f>'lead 19-20'!L9</f>
        <v>48970</v>
      </c>
      <c r="G277" s="1486">
        <f>ROUND(E277*F277,2)</f>
        <v>51418.5</v>
      </c>
      <c r="H277" s="1483" t="s">
        <v>2217</v>
      </c>
    </row>
    <row r="278" spans="1:8" s="1403" customFormat="1">
      <c r="A278" s="1410"/>
      <c r="B278" s="1410"/>
      <c r="C278" s="1484" t="s">
        <v>38</v>
      </c>
      <c r="D278" s="1397" t="s">
        <v>4</v>
      </c>
      <c r="E278" s="1434">
        <v>6</v>
      </c>
      <c r="F278" s="1434">
        <f>'MINI SSR 19-20'!C32</f>
        <v>55</v>
      </c>
      <c r="G278" s="1486">
        <f>ROUND(E278*F278,2)</f>
        <v>330</v>
      </c>
      <c r="H278" s="1483" t="s">
        <v>2217</v>
      </c>
    </row>
    <row r="279" spans="1:8" s="1403" customFormat="1" ht="25.5">
      <c r="A279" s="1410"/>
      <c r="B279" s="1492" t="s">
        <v>20</v>
      </c>
      <c r="C279" s="1437" t="s">
        <v>1272</v>
      </c>
      <c r="D279" s="1397"/>
      <c r="E279" s="1397"/>
      <c r="F279" s="1397"/>
      <c r="G279" s="1410"/>
      <c r="H279" s="1483" t="s">
        <v>2217</v>
      </c>
    </row>
    <row r="280" spans="1:8" s="1403" customFormat="1">
      <c r="A280" s="1410"/>
      <c r="B280" s="1410"/>
      <c r="C280" s="1484" t="s">
        <v>120</v>
      </c>
      <c r="D280" s="1397" t="s">
        <v>27</v>
      </c>
      <c r="E280" s="1434">
        <v>10</v>
      </c>
      <c r="F280" s="1434">
        <f>'MINI SSR 19-20'!H6</f>
        <v>625</v>
      </c>
      <c r="G280" s="1486">
        <f>ROUND(E280*F280,2)</f>
        <v>6250</v>
      </c>
      <c r="H280" s="1483" t="s">
        <v>2217</v>
      </c>
    </row>
    <row r="281" spans="1:8" s="1403" customFormat="1">
      <c r="A281" s="1410"/>
      <c r="B281" s="1410"/>
      <c r="C281" s="1484" t="s">
        <v>19</v>
      </c>
      <c r="D281" s="1397" t="s">
        <v>27</v>
      </c>
      <c r="E281" s="1434">
        <v>10</v>
      </c>
      <c r="F281" s="1434">
        <f>'MINI SSR 19-20'!$H$5</f>
        <v>420</v>
      </c>
      <c r="G281" s="1486">
        <f>ROUND(E281*F281,2)</f>
        <v>4200</v>
      </c>
      <c r="H281" s="1483" t="s">
        <v>2217</v>
      </c>
    </row>
    <row r="282" spans="1:8" s="1403" customFormat="1">
      <c r="A282" s="1410"/>
      <c r="B282" s="1410"/>
      <c r="C282" s="1437" t="s">
        <v>39</v>
      </c>
      <c r="D282" s="1397"/>
      <c r="E282" s="1434"/>
      <c r="F282" s="1434"/>
      <c r="G282" s="1493">
        <f>SUM(G277:G281)</f>
        <v>62198.5</v>
      </c>
      <c r="H282" s="1483" t="s">
        <v>2217</v>
      </c>
    </row>
    <row r="283" spans="1:8" s="1403" customFormat="1">
      <c r="A283" s="1481"/>
      <c r="B283" s="1481"/>
      <c r="C283" s="1437"/>
      <c r="D283" s="1481"/>
      <c r="E283" s="1490" t="s">
        <v>161</v>
      </c>
      <c r="F283" s="1489" t="s">
        <v>162</v>
      </c>
      <c r="G283" s="1489" t="s">
        <v>163</v>
      </c>
      <c r="H283" s="1483" t="s">
        <v>2217</v>
      </c>
    </row>
    <row r="284" spans="1:8" s="1403" customFormat="1">
      <c r="A284" s="1481"/>
      <c r="B284" s="1481"/>
      <c r="C284" s="1437" t="s">
        <v>867</v>
      </c>
      <c r="D284" s="1481"/>
      <c r="E284" s="1485">
        <f>G282</f>
        <v>62198.5</v>
      </c>
      <c r="F284" s="1487">
        <f>E284</f>
        <v>62198.5</v>
      </c>
      <c r="G284" s="1487">
        <f>F284</f>
        <v>62198.5</v>
      </c>
      <c r="H284" s="1483" t="s">
        <v>2217</v>
      </c>
    </row>
    <row r="285" spans="1:8" s="1403" customFormat="1" ht="25.5">
      <c r="A285" s="1481"/>
      <c r="B285" s="1481"/>
      <c r="C285" s="1484" t="s">
        <v>1285</v>
      </c>
      <c r="D285" s="1481"/>
      <c r="E285" s="1481"/>
      <c r="F285" s="1487">
        <f>ROUND((G280+G281)*10%,2)</f>
        <v>1045</v>
      </c>
      <c r="G285" s="1487">
        <f>ROUND((G280+G281)*20%,2)</f>
        <v>2090</v>
      </c>
      <c r="H285" s="1483" t="s">
        <v>2217</v>
      </c>
    </row>
    <row r="286" spans="1:8" s="1403" customFormat="1">
      <c r="A286" s="1481"/>
      <c r="B286" s="1481"/>
      <c r="C286" s="1437" t="s">
        <v>894</v>
      </c>
      <c r="D286" s="1481"/>
      <c r="E286" s="1489">
        <f>SUM(E284:E285)</f>
        <v>62198.5</v>
      </c>
      <c r="F286" s="1491">
        <f>SUM(F284:F285)</f>
        <v>63243.5</v>
      </c>
      <c r="G286" s="1491">
        <f>SUM(G284:G285)</f>
        <v>64288.5</v>
      </c>
      <c r="H286" s="1483" t="s">
        <v>2217</v>
      </c>
    </row>
    <row r="287" spans="1:8" s="982" customFormat="1" ht="204" hidden="1">
      <c r="A287" s="978">
        <v>20</v>
      </c>
      <c r="B287" s="979" t="s">
        <v>1328</v>
      </c>
      <c r="C287" s="979" t="s">
        <v>1329</v>
      </c>
      <c r="D287" s="980"/>
      <c r="E287" s="980"/>
      <c r="F287" s="980"/>
      <c r="G287" s="981"/>
      <c r="H287" s="964" t="s">
        <v>2217</v>
      </c>
    </row>
    <row r="288" spans="1:8" s="982" customFormat="1" hidden="1">
      <c r="A288" s="978"/>
      <c r="B288" s="983"/>
      <c r="C288" s="979" t="s">
        <v>1330</v>
      </c>
      <c r="D288" s="978"/>
      <c r="E288" s="906"/>
      <c r="F288" s="907"/>
      <c r="G288" s="981"/>
      <c r="H288" s="964" t="s">
        <v>2217</v>
      </c>
    </row>
    <row r="289" spans="1:8" s="982" customFormat="1" hidden="1">
      <c r="A289" s="978"/>
      <c r="B289" s="979"/>
      <c r="C289" s="979" t="s">
        <v>1331</v>
      </c>
      <c r="D289" s="978"/>
      <c r="E289" s="906"/>
      <c r="F289" s="907"/>
      <c r="G289" s="981"/>
      <c r="H289" s="964" t="s">
        <v>2217</v>
      </c>
    </row>
    <row r="290" spans="1:8" s="982" customFormat="1" ht="25.5" hidden="1">
      <c r="A290" s="978"/>
      <c r="B290" s="979"/>
      <c r="C290" s="979" t="s">
        <v>1332</v>
      </c>
      <c r="D290" s="978" t="s">
        <v>34</v>
      </c>
      <c r="E290" s="906">
        <v>1.0249999999999999</v>
      </c>
      <c r="F290" s="907">
        <f>'lead 19-20'!L10</f>
        <v>50740</v>
      </c>
      <c r="G290" s="981">
        <f t="shared" ref="G290:G292" si="0">ROUND(F290*E290,2)</f>
        <v>52008.5</v>
      </c>
      <c r="H290" s="964" t="s">
        <v>2217</v>
      </c>
    </row>
    <row r="291" spans="1:8" s="982" customFormat="1" ht="25.5" hidden="1">
      <c r="A291" s="978"/>
      <c r="B291" s="979"/>
      <c r="C291" s="979" t="s">
        <v>1333</v>
      </c>
      <c r="D291" s="978" t="s">
        <v>1334</v>
      </c>
      <c r="E291" s="906">
        <v>70</v>
      </c>
      <c r="F291" s="907">
        <f>'MINI SSR 19-20'!C33</f>
        <v>12</v>
      </c>
      <c r="G291" s="981">
        <f t="shared" si="0"/>
        <v>840</v>
      </c>
      <c r="H291" s="964" t="s">
        <v>2217</v>
      </c>
    </row>
    <row r="292" spans="1:8" s="982" customFormat="1" ht="25.5" hidden="1">
      <c r="A292" s="978"/>
      <c r="B292" s="979"/>
      <c r="C292" s="979" t="s">
        <v>1335</v>
      </c>
      <c r="D292" s="978" t="s">
        <v>90</v>
      </c>
      <c r="E292" s="906">
        <v>3</v>
      </c>
      <c r="F292" s="907">
        <f>'MINI SSR 19-20'!C32</f>
        <v>55</v>
      </c>
      <c r="G292" s="981">
        <f t="shared" si="0"/>
        <v>165</v>
      </c>
      <c r="H292" s="964" t="s">
        <v>2217</v>
      </c>
    </row>
    <row r="293" spans="1:8" s="982" customFormat="1" ht="25.5" hidden="1">
      <c r="A293" s="978"/>
      <c r="B293" s="979"/>
      <c r="C293" s="979" t="s">
        <v>1336</v>
      </c>
      <c r="D293" s="978"/>
      <c r="E293" s="906"/>
      <c r="F293" s="907"/>
      <c r="G293" s="981"/>
      <c r="H293" s="964" t="s">
        <v>2217</v>
      </c>
    </row>
    <row r="294" spans="1:8" s="982" customFormat="1" hidden="1">
      <c r="A294" s="978"/>
      <c r="B294" s="979"/>
      <c r="C294" s="979" t="s">
        <v>1337</v>
      </c>
      <c r="D294" s="978" t="s">
        <v>27</v>
      </c>
      <c r="E294" s="906">
        <v>2.5</v>
      </c>
      <c r="F294" s="984">
        <f>'MINI SSR 19-20'!H10</f>
        <v>510</v>
      </c>
      <c r="G294" s="981">
        <f t="shared" ref="G294:G297" si="1">ROUND(F294*E294,2)</f>
        <v>1275</v>
      </c>
      <c r="H294" s="964" t="s">
        <v>2217</v>
      </c>
    </row>
    <row r="295" spans="1:8" s="982" customFormat="1" hidden="1">
      <c r="A295" s="978"/>
      <c r="B295" s="979"/>
      <c r="C295" s="979" t="s">
        <v>1338</v>
      </c>
      <c r="D295" s="978" t="s">
        <v>27</v>
      </c>
      <c r="E295" s="906">
        <v>10</v>
      </c>
      <c r="F295" s="984">
        <f>'MINI SSR 19-20'!H11</f>
        <v>495</v>
      </c>
      <c r="G295" s="981">
        <f t="shared" si="1"/>
        <v>4950</v>
      </c>
      <c r="H295" s="964" t="s">
        <v>2217</v>
      </c>
    </row>
    <row r="296" spans="1:8" s="982" customFormat="1" hidden="1">
      <c r="A296" s="978"/>
      <c r="B296" s="979"/>
      <c r="C296" s="979" t="s">
        <v>1339</v>
      </c>
      <c r="D296" s="978" t="s">
        <v>27</v>
      </c>
      <c r="E296" s="906">
        <v>10</v>
      </c>
      <c r="F296" s="984">
        <f>'MINI SSR 19-20'!H5</f>
        <v>420</v>
      </c>
      <c r="G296" s="981">
        <f t="shared" si="1"/>
        <v>4200</v>
      </c>
      <c r="H296" s="964" t="s">
        <v>2217</v>
      </c>
    </row>
    <row r="297" spans="1:8" s="982" customFormat="1" ht="25.5" hidden="1">
      <c r="A297" s="978"/>
      <c r="B297" s="979"/>
      <c r="C297" s="979" t="s">
        <v>1340</v>
      </c>
      <c r="D297" s="978" t="s">
        <v>1341</v>
      </c>
      <c r="E297" s="906">
        <v>10</v>
      </c>
      <c r="F297" s="984">
        <f>'MINI SSR 19-20'!C34</f>
        <v>116.5</v>
      </c>
      <c r="G297" s="981">
        <f t="shared" si="1"/>
        <v>1165</v>
      </c>
      <c r="H297" s="964" t="s">
        <v>2217</v>
      </c>
    </row>
    <row r="298" spans="1:8" s="982" customFormat="1" hidden="1">
      <c r="A298" s="978"/>
      <c r="B298" s="979"/>
      <c r="C298" s="979" t="s">
        <v>1342</v>
      </c>
      <c r="D298" s="978"/>
      <c r="E298" s="906"/>
      <c r="F298" s="907"/>
      <c r="G298" s="985">
        <f>SUM(G290:G297)</f>
        <v>64603.5</v>
      </c>
      <c r="H298" s="964" t="s">
        <v>2217</v>
      </c>
    </row>
    <row r="299" spans="1:8" s="982" customFormat="1" hidden="1">
      <c r="A299" s="978"/>
      <c r="B299" s="979"/>
      <c r="C299" s="979" t="s">
        <v>1343</v>
      </c>
      <c r="D299" s="978"/>
      <c r="E299" s="906"/>
      <c r="F299" s="907"/>
      <c r="G299" s="985">
        <f>ROUND(G298/1000,2)</f>
        <v>64.599999999999994</v>
      </c>
      <c r="H299" s="964" t="s">
        <v>2217</v>
      </c>
    </row>
    <row r="300" spans="1:8" s="1403" customFormat="1" ht="63.75">
      <c r="A300" s="1397">
        <v>11</v>
      </c>
      <c r="B300" s="1490"/>
      <c r="C300" s="1484" t="s">
        <v>185</v>
      </c>
      <c r="D300" s="1481"/>
      <c r="E300" s="1481"/>
      <c r="F300" s="1481"/>
      <c r="G300" s="1410"/>
      <c r="H300" s="1483" t="s">
        <v>2217</v>
      </c>
    </row>
    <row r="301" spans="1:8" s="1403" customFormat="1">
      <c r="A301" s="1397"/>
      <c r="B301" s="1490"/>
      <c r="C301" s="1437" t="s">
        <v>186</v>
      </c>
      <c r="D301" s="1481"/>
      <c r="E301" s="1481"/>
      <c r="F301" s="1481"/>
      <c r="G301" s="1410"/>
      <c r="H301" s="1483" t="s">
        <v>2217</v>
      </c>
    </row>
    <row r="302" spans="1:8" s="1403" customFormat="1">
      <c r="A302" s="1397"/>
      <c r="B302" s="1492" t="s">
        <v>18</v>
      </c>
      <c r="C302" s="1437" t="s">
        <v>22</v>
      </c>
      <c r="D302" s="1481"/>
      <c r="E302" s="1481"/>
      <c r="F302" s="1481"/>
      <c r="G302" s="1410"/>
      <c r="H302" s="1483" t="s">
        <v>2217</v>
      </c>
    </row>
    <row r="303" spans="1:8" s="1403" customFormat="1" ht="25.5">
      <c r="A303" s="1410"/>
      <c r="B303" s="1410"/>
      <c r="C303" s="1484" t="s">
        <v>187</v>
      </c>
      <c r="D303" s="1397" t="s">
        <v>4</v>
      </c>
      <c r="E303" s="1414">
        <v>1.0249999999999999</v>
      </c>
      <c r="F303" s="1434">
        <f>'lead 19-20'!L10/1000</f>
        <v>50.74</v>
      </c>
      <c r="G303" s="1486">
        <f>ROUND(E303*F303,2)</f>
        <v>52.01</v>
      </c>
      <c r="H303" s="1483" t="s">
        <v>2217</v>
      </c>
    </row>
    <row r="304" spans="1:8" s="1403" customFormat="1">
      <c r="A304" s="1410"/>
      <c r="B304" s="1492" t="s">
        <v>20</v>
      </c>
      <c r="C304" s="1484" t="s">
        <v>188</v>
      </c>
      <c r="D304" s="1397" t="s">
        <v>4</v>
      </c>
      <c r="E304" s="1434">
        <v>1</v>
      </c>
      <c r="F304" s="1434">
        <f>'MINI SSR 19-20'!C35</f>
        <v>27</v>
      </c>
      <c r="G304" s="1486">
        <f>ROUND(E304*F304,2)</f>
        <v>27</v>
      </c>
      <c r="H304" s="1483" t="s">
        <v>2217</v>
      </c>
    </row>
    <row r="305" spans="1:8" s="1403" customFormat="1">
      <c r="A305" s="1410"/>
      <c r="B305" s="1410"/>
      <c r="C305" s="1484" t="s">
        <v>189</v>
      </c>
      <c r="D305" s="1397" t="s">
        <v>27</v>
      </c>
      <c r="E305" s="1434">
        <v>1</v>
      </c>
      <c r="F305" s="1434">
        <f>'MINI SSR 19-20'!C36</f>
        <v>5</v>
      </c>
      <c r="G305" s="1486">
        <f>ROUND(E305*F305,2)</f>
        <v>5</v>
      </c>
      <c r="H305" s="1483" t="s">
        <v>2217</v>
      </c>
    </row>
    <row r="306" spans="1:8" s="1403" customFormat="1">
      <c r="A306" s="1410"/>
      <c r="B306" s="1410"/>
      <c r="C306" s="1437" t="s">
        <v>190</v>
      </c>
      <c r="D306" s="1397"/>
      <c r="E306" s="1434"/>
      <c r="F306" s="1434"/>
      <c r="G306" s="1493">
        <f>SUM(G303:G305)</f>
        <v>84.009999999999991</v>
      </c>
      <c r="H306" s="1483" t="s">
        <v>2217</v>
      </c>
    </row>
    <row r="307" spans="1:8" ht="114.75" hidden="1">
      <c r="A307" s="896">
        <v>5</v>
      </c>
      <c r="B307" s="966"/>
      <c r="C307" s="1382" t="s">
        <v>969</v>
      </c>
      <c r="D307" s="967"/>
      <c r="E307" s="967"/>
      <c r="F307" s="967"/>
      <c r="G307" s="902"/>
      <c r="H307" s="964" t="s">
        <v>2217</v>
      </c>
    </row>
    <row r="308" spans="1:8" hidden="1">
      <c r="A308" s="902"/>
      <c r="B308" s="902"/>
      <c r="C308" s="1382" t="s">
        <v>934</v>
      </c>
      <c r="D308" s="896" t="s">
        <v>4</v>
      </c>
      <c r="E308" s="920">
        <v>43.51</v>
      </c>
      <c r="F308" s="922">
        <f>'lead 19-20'!L10/1000</f>
        <v>50.74</v>
      </c>
      <c r="G308" s="969">
        <f>ROUND(E308*F308,2)</f>
        <v>2207.6999999999998</v>
      </c>
      <c r="H308" s="964" t="s">
        <v>2217</v>
      </c>
    </row>
    <row r="309" spans="1:8" hidden="1">
      <c r="A309" s="902"/>
      <c r="B309" s="902"/>
      <c r="C309" s="1382" t="s">
        <v>935</v>
      </c>
      <c r="D309" s="896" t="s">
        <v>4</v>
      </c>
      <c r="E309" s="920">
        <v>14.4</v>
      </c>
      <c r="F309" s="922">
        <f>'lead 19-20'!L9/1000</f>
        <v>48.97</v>
      </c>
      <c r="G309" s="969">
        <f>ROUND(E309*F309,2)</f>
        <v>705.17</v>
      </c>
      <c r="H309" s="964" t="s">
        <v>2217</v>
      </c>
    </row>
    <row r="310" spans="1:8" hidden="1">
      <c r="A310" s="902"/>
      <c r="B310" s="968" t="s">
        <v>20</v>
      </c>
      <c r="C310" s="1382" t="s">
        <v>188</v>
      </c>
      <c r="D310" s="896" t="s">
        <v>4</v>
      </c>
      <c r="E310" s="922">
        <f>SUM(E308:E309)</f>
        <v>57.91</v>
      </c>
      <c r="F310" s="922">
        <f>'MINI SSR 19-20'!C35</f>
        <v>27</v>
      </c>
      <c r="G310" s="969">
        <f>ROUND(E310*F310,2)</f>
        <v>1563.57</v>
      </c>
      <c r="H310" s="964" t="s">
        <v>2217</v>
      </c>
    </row>
    <row r="311" spans="1:8" hidden="1">
      <c r="A311" s="902"/>
      <c r="B311" s="902"/>
      <c r="C311" s="1382" t="s">
        <v>189</v>
      </c>
      <c r="D311" s="896" t="s">
        <v>27</v>
      </c>
      <c r="E311" s="922">
        <f>E310</f>
        <v>57.91</v>
      </c>
      <c r="F311" s="922">
        <f>'MINI SSR 19-20'!C36</f>
        <v>5</v>
      </c>
      <c r="G311" s="969">
        <f>ROUND(E311*F311,2)</f>
        <v>289.55</v>
      </c>
      <c r="H311" s="964" t="s">
        <v>2217</v>
      </c>
    </row>
    <row r="312" spans="1:8" hidden="1">
      <c r="A312" s="902"/>
      <c r="B312" s="902"/>
      <c r="C312" s="962" t="s">
        <v>936</v>
      </c>
      <c r="D312" s="896"/>
      <c r="E312" s="922"/>
      <c r="F312" s="922"/>
      <c r="G312" s="963">
        <f>SUM(G308:G311)</f>
        <v>4765.99</v>
      </c>
      <c r="H312" s="964" t="s">
        <v>2217</v>
      </c>
    </row>
    <row r="313" spans="1:8" hidden="1">
      <c r="A313" s="902"/>
      <c r="B313" s="902"/>
      <c r="C313" s="962" t="s">
        <v>121</v>
      </c>
      <c r="D313" s="896"/>
      <c r="E313" s="922"/>
      <c r="F313" s="922"/>
      <c r="G313" s="963">
        <f>ROUND(G312/2.025,2)</f>
        <v>2353.58</v>
      </c>
      <c r="H313" s="964" t="s">
        <v>2217</v>
      </c>
    </row>
    <row r="314" spans="1:8" ht="51" hidden="1">
      <c r="A314" s="896">
        <v>23</v>
      </c>
      <c r="B314" s="966"/>
      <c r="C314" s="1382" t="s">
        <v>627</v>
      </c>
      <c r="D314" s="967"/>
      <c r="E314" s="967"/>
      <c r="F314" s="967"/>
      <c r="G314" s="902"/>
      <c r="H314" s="964" t="s">
        <v>2217</v>
      </c>
    </row>
    <row r="315" spans="1:8" hidden="1">
      <c r="A315" s="896"/>
      <c r="B315" s="966"/>
      <c r="C315" s="962" t="s">
        <v>186</v>
      </c>
      <c r="D315" s="967"/>
      <c r="E315" s="967"/>
      <c r="F315" s="967"/>
      <c r="G315" s="902"/>
      <c r="H315" s="964" t="s">
        <v>2217</v>
      </c>
    </row>
    <row r="316" spans="1:8" hidden="1">
      <c r="A316" s="896"/>
      <c r="B316" s="968" t="s">
        <v>18</v>
      </c>
      <c r="C316" s="962" t="s">
        <v>22</v>
      </c>
      <c r="D316" s="967"/>
      <c r="E316" s="967"/>
      <c r="F316" s="967"/>
      <c r="G316" s="902"/>
      <c r="H316" s="964" t="s">
        <v>2217</v>
      </c>
    </row>
    <row r="317" spans="1:8" hidden="1">
      <c r="A317" s="902"/>
      <c r="B317" s="902"/>
      <c r="C317" s="1382" t="s">
        <v>628</v>
      </c>
      <c r="D317" s="896" t="s">
        <v>4</v>
      </c>
      <c r="E317" s="920">
        <v>1.0249999999999999</v>
      </c>
      <c r="F317" s="922">
        <f>'MINI SSR 19-20'!C37</f>
        <v>60</v>
      </c>
      <c r="G317" s="969">
        <f>ROUND(E317*F317,2)</f>
        <v>61.5</v>
      </c>
      <c r="H317" s="964" t="s">
        <v>2217</v>
      </c>
    </row>
    <row r="318" spans="1:8" hidden="1">
      <c r="A318" s="902"/>
      <c r="B318" s="968" t="s">
        <v>20</v>
      </c>
      <c r="C318" s="1382" t="s">
        <v>629</v>
      </c>
      <c r="D318" s="896" t="s">
        <v>4</v>
      </c>
      <c r="E318" s="922">
        <v>1</v>
      </c>
      <c r="F318" s="922">
        <f>'MINI SSR 19-20'!C38</f>
        <v>24</v>
      </c>
      <c r="G318" s="969">
        <f>ROUND(E318*F318,2)</f>
        <v>24</v>
      </c>
      <c r="H318" s="964" t="s">
        <v>2217</v>
      </c>
    </row>
    <row r="319" spans="1:8" hidden="1">
      <c r="A319" s="902"/>
      <c r="B319" s="902"/>
      <c r="C319" s="1382" t="s">
        <v>630</v>
      </c>
      <c r="D319" s="896" t="s">
        <v>27</v>
      </c>
      <c r="E319" s="922">
        <v>1</v>
      </c>
      <c r="F319" s="922">
        <f>'MINI SSR 19-20'!C39</f>
        <v>21</v>
      </c>
      <c r="G319" s="969">
        <f>ROUND(E319*F319,2)</f>
        <v>21</v>
      </c>
      <c r="H319" s="964" t="s">
        <v>2217</v>
      </c>
    </row>
    <row r="320" spans="1:8" hidden="1">
      <c r="A320" s="902"/>
      <c r="B320" s="902"/>
      <c r="C320" s="962" t="s">
        <v>190</v>
      </c>
      <c r="D320" s="896"/>
      <c r="E320" s="922"/>
      <c r="F320" s="922"/>
      <c r="G320" s="963">
        <f>SUM(G317:G319)</f>
        <v>106.5</v>
      </c>
      <c r="H320" s="964" t="s">
        <v>2217</v>
      </c>
    </row>
    <row r="321" spans="1:8" ht="191.25" hidden="1">
      <c r="A321" s="896">
        <v>6</v>
      </c>
      <c r="B321" s="966"/>
      <c r="C321" s="1382" t="s">
        <v>1297</v>
      </c>
      <c r="D321" s="967"/>
      <c r="E321" s="967"/>
      <c r="F321" s="967"/>
      <c r="G321" s="902"/>
      <c r="H321" s="964" t="s">
        <v>2217</v>
      </c>
    </row>
    <row r="322" spans="1:8" hidden="1">
      <c r="A322" s="896"/>
      <c r="B322" s="966"/>
      <c r="C322" s="962" t="s">
        <v>919</v>
      </c>
      <c r="D322" s="967"/>
      <c r="E322" s="967"/>
      <c r="F322" s="967"/>
      <c r="G322" s="972"/>
      <c r="H322" s="964" t="s">
        <v>2217</v>
      </c>
    </row>
    <row r="323" spans="1:8" hidden="1">
      <c r="A323" s="902"/>
      <c r="B323" s="902"/>
      <c r="C323" s="1382" t="s">
        <v>913</v>
      </c>
      <c r="D323" s="922">
        <v>4.5999999999999996</v>
      </c>
      <c r="E323" s="920">
        <v>2.39</v>
      </c>
      <c r="F323" s="922">
        <f>ROUND(D323*E323,2)</f>
        <v>10.99</v>
      </c>
      <c r="G323" s="969"/>
      <c r="H323" s="964" t="s">
        <v>2217</v>
      </c>
    </row>
    <row r="324" spans="1:8" hidden="1">
      <c r="A324" s="902"/>
      <c r="B324" s="902"/>
      <c r="C324" s="1382" t="s">
        <v>914</v>
      </c>
      <c r="D324" s="922">
        <v>11.7</v>
      </c>
      <c r="E324" s="920">
        <v>0.89</v>
      </c>
      <c r="F324" s="922">
        <f>ROUND(D324*E324,2)</f>
        <v>10.41</v>
      </c>
      <c r="G324" s="969"/>
      <c r="H324" s="964" t="s">
        <v>2217</v>
      </c>
    </row>
    <row r="325" spans="1:8" hidden="1">
      <c r="A325" s="902"/>
      <c r="B325" s="902"/>
      <c r="C325" s="1382"/>
      <c r="D325" s="896"/>
      <c r="E325" s="920"/>
      <c r="F325" s="986">
        <f>SUM(F323:F324)</f>
        <v>21.4</v>
      </c>
      <c r="G325" s="969"/>
      <c r="H325" s="964" t="s">
        <v>2217</v>
      </c>
    </row>
    <row r="326" spans="1:8" hidden="1">
      <c r="A326" s="902"/>
      <c r="B326" s="902"/>
      <c r="C326" s="1382" t="s">
        <v>696</v>
      </c>
      <c r="D326" s="896" t="s">
        <v>4</v>
      </c>
      <c r="E326" s="920">
        <f>F325</f>
        <v>21.4</v>
      </c>
      <c r="F326" s="922">
        <f>'MINI SSR 19-20'!C40</f>
        <v>331</v>
      </c>
      <c r="G326" s="969">
        <f t="shared" ref="G326:G331" si="2">ROUND(E326*F326,2)</f>
        <v>7083.4</v>
      </c>
      <c r="H326" s="964" t="s">
        <v>2217</v>
      </c>
    </row>
    <row r="327" spans="1:8" ht="25.5" hidden="1">
      <c r="A327" s="902"/>
      <c r="B327" s="968"/>
      <c r="C327" s="1382" t="s">
        <v>697</v>
      </c>
      <c r="D327" s="896" t="s">
        <v>4</v>
      </c>
      <c r="E327" s="922">
        <f>E326</f>
        <v>21.4</v>
      </c>
      <c r="F327" s="922">
        <f>'MINI SSR 19-20'!C41</f>
        <v>131</v>
      </c>
      <c r="G327" s="969">
        <f t="shared" si="2"/>
        <v>2803.4</v>
      </c>
      <c r="H327" s="964" t="s">
        <v>2217</v>
      </c>
    </row>
    <row r="328" spans="1:8" hidden="1">
      <c r="A328" s="902"/>
      <c r="B328" s="968"/>
      <c r="C328" s="1382" t="s">
        <v>915</v>
      </c>
      <c r="D328" s="896" t="s">
        <v>277</v>
      </c>
      <c r="E328" s="922">
        <v>1.3</v>
      </c>
      <c r="F328" s="922">
        <f>'MINI SSR 19-20'!C42</f>
        <v>187</v>
      </c>
      <c r="G328" s="969">
        <f t="shared" si="2"/>
        <v>243.1</v>
      </c>
      <c r="H328" s="964" t="s">
        <v>2217</v>
      </c>
    </row>
    <row r="329" spans="1:8" hidden="1">
      <c r="A329" s="902"/>
      <c r="B329" s="968"/>
      <c r="C329" s="1382" t="s">
        <v>916</v>
      </c>
      <c r="D329" s="896" t="s">
        <v>115</v>
      </c>
      <c r="E329" s="922">
        <v>13</v>
      </c>
      <c r="F329" s="922">
        <v>80</v>
      </c>
      <c r="G329" s="969">
        <f t="shared" si="2"/>
        <v>1040</v>
      </c>
      <c r="H329" s="964" t="s">
        <v>2217</v>
      </c>
    </row>
    <row r="330" spans="1:8" hidden="1">
      <c r="A330" s="902"/>
      <c r="B330" s="968"/>
      <c r="C330" s="1382" t="s">
        <v>917</v>
      </c>
      <c r="D330" s="896" t="s">
        <v>115</v>
      </c>
      <c r="E330" s="922">
        <v>13</v>
      </c>
      <c r="F330" s="922">
        <v>30</v>
      </c>
      <c r="G330" s="969">
        <f t="shared" si="2"/>
        <v>390</v>
      </c>
      <c r="H330" s="964" t="s">
        <v>2217</v>
      </c>
    </row>
    <row r="331" spans="1:8" hidden="1">
      <c r="A331" s="902"/>
      <c r="B331" s="968"/>
      <c r="C331" s="1382" t="s">
        <v>918</v>
      </c>
      <c r="D331" s="896" t="s">
        <v>115</v>
      </c>
      <c r="E331" s="922">
        <v>13</v>
      </c>
      <c r="F331" s="922">
        <v>15</v>
      </c>
      <c r="G331" s="969">
        <f t="shared" si="2"/>
        <v>195</v>
      </c>
      <c r="H331" s="964" t="s">
        <v>2217</v>
      </c>
    </row>
    <row r="332" spans="1:8" hidden="1">
      <c r="A332" s="902"/>
      <c r="B332" s="968"/>
      <c r="C332" s="1382" t="s">
        <v>920</v>
      </c>
      <c r="D332" s="896"/>
      <c r="E332" s="922"/>
      <c r="F332" s="922"/>
      <c r="G332" s="969">
        <f>SUM(G326:G331)</f>
        <v>11754.9</v>
      </c>
      <c r="H332" s="964" t="s">
        <v>2217</v>
      </c>
    </row>
    <row r="333" spans="1:8" hidden="1">
      <c r="A333" s="902"/>
      <c r="B333" s="968"/>
      <c r="C333" s="1382" t="s">
        <v>377</v>
      </c>
      <c r="D333" s="896"/>
      <c r="E333" s="922"/>
      <c r="F333" s="922"/>
      <c r="G333" s="969">
        <f>ROUND(G332/4.6,2)</f>
        <v>2555.41</v>
      </c>
      <c r="H333" s="964" t="s">
        <v>2217</v>
      </c>
    </row>
    <row r="334" spans="1:8" hidden="1">
      <c r="A334" s="902"/>
      <c r="B334" s="902"/>
      <c r="C334" s="1382" t="s">
        <v>921</v>
      </c>
      <c r="D334" s="896"/>
      <c r="E334" s="922"/>
      <c r="F334" s="922"/>
      <c r="G334" s="963">
        <f>ROUND(G333/0.9,2)</f>
        <v>2839.34</v>
      </c>
      <c r="H334" s="964" t="s">
        <v>2217</v>
      </c>
    </row>
    <row r="335" spans="1:8" ht="153" hidden="1">
      <c r="A335" s="896">
        <v>25</v>
      </c>
      <c r="B335" s="966"/>
      <c r="C335" s="1382" t="s">
        <v>1298</v>
      </c>
      <c r="D335" s="967"/>
      <c r="E335" s="967"/>
      <c r="F335" s="967"/>
      <c r="G335" s="902"/>
      <c r="H335" s="964" t="s">
        <v>2217</v>
      </c>
    </row>
    <row r="336" spans="1:8" hidden="1">
      <c r="A336" s="896"/>
      <c r="B336" s="966"/>
      <c r="C336" s="962" t="s">
        <v>924</v>
      </c>
      <c r="D336" s="967"/>
      <c r="E336" s="967"/>
      <c r="F336" s="967"/>
      <c r="G336" s="972"/>
      <c r="H336" s="964" t="s">
        <v>2217</v>
      </c>
    </row>
    <row r="337" spans="1:8" hidden="1">
      <c r="A337" s="902"/>
      <c r="B337" s="902"/>
      <c r="C337" s="1382" t="s">
        <v>922</v>
      </c>
      <c r="D337" s="922">
        <v>10</v>
      </c>
      <c r="E337" s="920">
        <v>2.39</v>
      </c>
      <c r="F337" s="922">
        <f>ROUND(D337*E337,2)</f>
        <v>23.9</v>
      </c>
      <c r="G337" s="969"/>
      <c r="H337" s="964" t="s">
        <v>2217</v>
      </c>
    </row>
    <row r="338" spans="1:8" hidden="1">
      <c r="A338" s="902"/>
      <c r="B338" s="902"/>
      <c r="C338" s="1382" t="s">
        <v>923</v>
      </c>
      <c r="D338" s="922">
        <v>2.7</v>
      </c>
      <c r="E338" s="920">
        <v>0.89</v>
      </c>
      <c r="F338" s="922">
        <f>ROUND(D338*E338,2)</f>
        <v>2.4</v>
      </c>
      <c r="G338" s="969"/>
      <c r="H338" s="964" t="s">
        <v>2217</v>
      </c>
    </row>
    <row r="339" spans="1:8" hidden="1">
      <c r="A339" s="902"/>
      <c r="B339" s="902"/>
      <c r="C339" s="1382"/>
      <c r="D339" s="896"/>
      <c r="E339" s="920"/>
      <c r="F339" s="986">
        <f>SUM(F337:F338)</f>
        <v>26.299999999999997</v>
      </c>
      <c r="G339" s="969"/>
      <c r="H339" s="964" t="s">
        <v>2217</v>
      </c>
    </row>
    <row r="340" spans="1:8" hidden="1">
      <c r="A340" s="902"/>
      <c r="B340" s="902"/>
      <c r="C340" s="1382" t="s">
        <v>696</v>
      </c>
      <c r="D340" s="896" t="s">
        <v>4</v>
      </c>
      <c r="E340" s="920">
        <f>F339</f>
        <v>26.299999999999997</v>
      </c>
      <c r="F340" s="922">
        <f>'MINI SSR 19-20'!$C$40</f>
        <v>331</v>
      </c>
      <c r="G340" s="969">
        <f>ROUND(E340*F340,2)</f>
        <v>8705.2999999999993</v>
      </c>
      <c r="H340" s="964" t="s">
        <v>2217</v>
      </c>
    </row>
    <row r="341" spans="1:8" ht="25.5" hidden="1">
      <c r="A341" s="902"/>
      <c r="B341" s="968"/>
      <c r="C341" s="1382" t="s">
        <v>697</v>
      </c>
      <c r="D341" s="896" t="s">
        <v>4</v>
      </c>
      <c r="E341" s="922">
        <f>E340</f>
        <v>26.299999999999997</v>
      </c>
      <c r="F341" s="922">
        <f>'MINI SSR 19-20'!$C$41</f>
        <v>131</v>
      </c>
      <c r="G341" s="969">
        <f>ROUND(E341*F341,2)</f>
        <v>3445.3</v>
      </c>
      <c r="H341" s="964" t="s">
        <v>2217</v>
      </c>
    </row>
    <row r="342" spans="1:8" hidden="1">
      <c r="A342" s="902"/>
      <c r="B342" s="968"/>
      <c r="C342" s="1382" t="s">
        <v>927</v>
      </c>
      <c r="D342" s="896" t="s">
        <v>277</v>
      </c>
      <c r="E342" s="922">
        <v>0.9</v>
      </c>
      <c r="F342" s="922">
        <f>'MINI SSR 19-20'!C42</f>
        <v>187</v>
      </c>
      <c r="G342" s="969">
        <f>ROUND(E342*F342,2)</f>
        <v>168.3</v>
      </c>
      <c r="H342" s="964" t="s">
        <v>2217</v>
      </c>
    </row>
    <row r="343" spans="1:8" hidden="1">
      <c r="A343" s="902"/>
      <c r="B343" s="968"/>
      <c r="C343" s="1382" t="s">
        <v>925</v>
      </c>
      <c r="D343" s="896" t="s">
        <v>115</v>
      </c>
      <c r="E343" s="922">
        <v>9</v>
      </c>
      <c r="F343" s="922">
        <v>30</v>
      </c>
      <c r="G343" s="969">
        <f>ROUND(E343*F343,2)</f>
        <v>270</v>
      </c>
      <c r="H343" s="964" t="s">
        <v>2217</v>
      </c>
    </row>
    <row r="344" spans="1:8" hidden="1">
      <c r="A344" s="902"/>
      <c r="B344" s="968"/>
      <c r="C344" s="1382" t="s">
        <v>926</v>
      </c>
      <c r="D344" s="896"/>
      <c r="E344" s="922"/>
      <c r="F344" s="922"/>
      <c r="G344" s="969">
        <f>SUM(G340:G343)</f>
        <v>12588.899999999998</v>
      </c>
      <c r="H344" s="964" t="s">
        <v>2217</v>
      </c>
    </row>
    <row r="345" spans="1:8" hidden="1">
      <c r="A345" s="902"/>
      <c r="B345" s="968"/>
      <c r="C345" s="1382" t="s">
        <v>377</v>
      </c>
      <c r="D345" s="896"/>
      <c r="E345" s="922"/>
      <c r="F345" s="922"/>
      <c r="G345" s="963">
        <f>ROUND(G344/10,2)</f>
        <v>1258.8900000000001</v>
      </c>
      <c r="H345" s="964" t="s">
        <v>2217</v>
      </c>
    </row>
    <row r="346" spans="1:8" ht="51" hidden="1">
      <c r="A346" s="896">
        <v>25</v>
      </c>
      <c r="B346" s="966"/>
      <c r="C346" s="1382" t="s">
        <v>2286</v>
      </c>
      <c r="D346" s="967"/>
      <c r="E346" s="967"/>
      <c r="F346" s="967"/>
      <c r="G346" s="902"/>
      <c r="H346" s="964" t="s">
        <v>2217</v>
      </c>
    </row>
    <row r="347" spans="1:8" hidden="1">
      <c r="A347" s="902"/>
      <c r="B347" s="902"/>
      <c r="C347" s="1382" t="s">
        <v>696</v>
      </c>
      <c r="D347" s="896" t="s">
        <v>4</v>
      </c>
      <c r="E347" s="920">
        <v>1.0249999999999999</v>
      </c>
      <c r="F347" s="922">
        <f>'MINI SSR 19-20'!$C$40</f>
        <v>331</v>
      </c>
      <c r="G347" s="969">
        <f>ROUND(E347*F347,2)</f>
        <v>339.28</v>
      </c>
      <c r="H347" s="964" t="s">
        <v>2217</v>
      </c>
    </row>
    <row r="348" spans="1:8" ht="25.5" hidden="1">
      <c r="A348" s="902"/>
      <c r="B348" s="968"/>
      <c r="C348" s="1382" t="s">
        <v>697</v>
      </c>
      <c r="D348" s="896" t="s">
        <v>4</v>
      </c>
      <c r="E348" s="922">
        <v>1</v>
      </c>
      <c r="F348" s="922">
        <f>'MINI SSR 19-20'!$C$41</f>
        <v>131</v>
      </c>
      <c r="G348" s="969">
        <f>ROUND(E348*F348,2)</f>
        <v>131</v>
      </c>
      <c r="H348" s="964" t="s">
        <v>2217</v>
      </c>
    </row>
    <row r="349" spans="1:8" hidden="1">
      <c r="A349" s="902"/>
      <c r="B349" s="968"/>
      <c r="C349" s="1382" t="s">
        <v>2287</v>
      </c>
      <c r="D349" s="896"/>
      <c r="E349" s="922"/>
      <c r="F349" s="922"/>
      <c r="G349" s="963">
        <f>SUM(G347:G348)</f>
        <v>470.28</v>
      </c>
      <c r="H349" s="964" t="s">
        <v>2217</v>
      </c>
    </row>
    <row r="350" spans="1:8" ht="51" hidden="1">
      <c r="A350" s="896">
        <v>26</v>
      </c>
      <c r="B350" s="966" t="s">
        <v>1344</v>
      </c>
      <c r="C350" s="1382" t="s">
        <v>1186</v>
      </c>
      <c r="D350" s="967"/>
      <c r="E350" s="967"/>
      <c r="F350" s="967"/>
      <c r="G350" s="966"/>
      <c r="H350" s="964" t="s">
        <v>2217</v>
      </c>
    </row>
    <row r="351" spans="1:8" hidden="1">
      <c r="A351" s="896"/>
      <c r="B351" s="966"/>
      <c r="C351" s="962" t="s">
        <v>84</v>
      </c>
      <c r="D351" s="967"/>
      <c r="E351" s="967"/>
      <c r="F351" s="967"/>
      <c r="G351" s="972"/>
      <c r="H351" s="964" t="s">
        <v>2217</v>
      </c>
    </row>
    <row r="352" spans="1:8" hidden="1">
      <c r="A352" s="896"/>
      <c r="B352" s="966"/>
      <c r="C352" s="962" t="s">
        <v>60</v>
      </c>
      <c r="D352" s="967"/>
      <c r="E352" s="967"/>
      <c r="F352" s="967"/>
      <c r="G352" s="972"/>
      <c r="H352" s="964" t="s">
        <v>2217</v>
      </c>
    </row>
    <row r="353" spans="1:8" hidden="1">
      <c r="A353" s="896"/>
      <c r="B353" s="966"/>
      <c r="C353" s="1382" t="s">
        <v>33</v>
      </c>
      <c r="D353" s="967" t="s">
        <v>4</v>
      </c>
      <c r="E353" s="970">
        <v>59.4</v>
      </c>
      <c r="F353" s="970">
        <f>'lead 19-20'!L8</f>
        <v>4700</v>
      </c>
      <c r="G353" s="969">
        <f>ROUND(E353*F353/1000,2)</f>
        <v>279.18</v>
      </c>
      <c r="H353" s="964" t="s">
        <v>2217</v>
      </c>
    </row>
    <row r="354" spans="1:8" hidden="1">
      <c r="A354" s="896"/>
      <c r="B354" s="966"/>
      <c r="C354" s="1382" t="s">
        <v>1193</v>
      </c>
      <c r="D354" s="967" t="s">
        <v>35</v>
      </c>
      <c r="E354" s="987">
        <v>1.1000000000000001</v>
      </c>
      <c r="F354" s="970">
        <f>'lead 19-20'!L21</f>
        <v>865.79999999999973</v>
      </c>
      <c r="G354" s="969">
        <f>ROUND(E354*F354,2)</f>
        <v>952.38</v>
      </c>
      <c r="H354" s="964" t="s">
        <v>2217</v>
      </c>
    </row>
    <row r="355" spans="1:8" hidden="1">
      <c r="A355" s="896"/>
      <c r="B355" s="966"/>
      <c r="C355" s="1382" t="s">
        <v>1217</v>
      </c>
      <c r="D355" s="967" t="s">
        <v>35</v>
      </c>
      <c r="E355" s="970">
        <v>0.33</v>
      </c>
      <c r="F355" s="970">
        <f>'lead 19-20'!L12</f>
        <v>1464.7999999999988</v>
      </c>
      <c r="G355" s="969">
        <f>ROUND(E355*F355,2)</f>
        <v>483.38</v>
      </c>
      <c r="H355" s="964" t="s">
        <v>2217</v>
      </c>
    </row>
    <row r="356" spans="1:8" hidden="1">
      <c r="A356" s="967"/>
      <c r="B356" s="967"/>
      <c r="C356" s="962" t="s">
        <v>68</v>
      </c>
      <c r="D356" s="967"/>
      <c r="E356" s="970"/>
      <c r="F356" s="970"/>
      <c r="G356" s="969"/>
      <c r="H356" s="964" t="s">
        <v>2217</v>
      </c>
    </row>
    <row r="357" spans="1:8" hidden="1">
      <c r="A357" s="967"/>
      <c r="B357" s="967"/>
      <c r="C357" s="1382" t="s">
        <v>64</v>
      </c>
      <c r="D357" s="967" t="s">
        <v>27</v>
      </c>
      <c r="E357" s="970">
        <v>1.2</v>
      </c>
      <c r="F357" s="970">
        <f>'MINI SSR 19-20'!$H$3</f>
        <v>500</v>
      </c>
      <c r="G357" s="969">
        <f>ROUND(E357*F357,2)</f>
        <v>600</v>
      </c>
      <c r="H357" s="964" t="s">
        <v>2217</v>
      </c>
    </row>
    <row r="358" spans="1:8" hidden="1">
      <c r="A358" s="967"/>
      <c r="B358" s="967"/>
      <c r="C358" s="1382" t="s">
        <v>85</v>
      </c>
      <c r="D358" s="967" t="s">
        <v>27</v>
      </c>
      <c r="E358" s="970">
        <v>2</v>
      </c>
      <c r="F358" s="970">
        <f>'MINI SSR 19-20'!$H$5</f>
        <v>420</v>
      </c>
      <c r="G358" s="969">
        <f>ROUND(E358*F358,2)</f>
        <v>840</v>
      </c>
      <c r="H358" s="964" t="s">
        <v>2217</v>
      </c>
    </row>
    <row r="359" spans="1:8" hidden="1">
      <c r="A359" s="967"/>
      <c r="B359" s="967"/>
      <c r="C359" s="962" t="s">
        <v>86</v>
      </c>
      <c r="D359" s="967"/>
      <c r="E359" s="967"/>
      <c r="F359" s="967"/>
      <c r="G359" s="971">
        <f>SUM(G353:G358)</f>
        <v>3154.94</v>
      </c>
      <c r="H359" s="964" t="s">
        <v>2217</v>
      </c>
    </row>
    <row r="360" spans="1:8" s="1403" customFormat="1" ht="142.5">
      <c r="A360" s="1397">
        <v>12</v>
      </c>
      <c r="B360" s="1490" t="s">
        <v>83</v>
      </c>
      <c r="C360" s="1484" t="s">
        <v>1299</v>
      </c>
      <c r="D360" s="1481"/>
      <c r="E360" s="1481"/>
      <c r="F360" s="1481"/>
      <c r="G360" s="1490"/>
      <c r="H360" s="1483" t="s">
        <v>2217</v>
      </c>
    </row>
    <row r="361" spans="1:8" s="1403" customFormat="1">
      <c r="A361" s="1397"/>
      <c r="B361" s="1490"/>
      <c r="C361" s="1437" t="s">
        <v>84</v>
      </c>
      <c r="D361" s="1481"/>
      <c r="E361" s="1481"/>
      <c r="F361" s="1481"/>
      <c r="G361" s="1487"/>
      <c r="H361" s="1483" t="s">
        <v>2217</v>
      </c>
    </row>
    <row r="362" spans="1:8" s="1403" customFormat="1">
      <c r="A362" s="1397"/>
      <c r="B362" s="1490"/>
      <c r="C362" s="1437" t="s">
        <v>60</v>
      </c>
      <c r="D362" s="1481"/>
      <c r="E362" s="1481"/>
      <c r="F362" s="1481"/>
      <c r="G362" s="1487"/>
      <c r="H362" s="1483" t="s">
        <v>2217</v>
      </c>
    </row>
    <row r="363" spans="1:8" s="1403" customFormat="1">
      <c r="A363" s="1397"/>
      <c r="B363" s="1490"/>
      <c r="C363" s="1484" t="s">
        <v>33</v>
      </c>
      <c r="D363" s="1481" t="s">
        <v>4</v>
      </c>
      <c r="E363" s="1485">
        <v>48</v>
      </c>
      <c r="F363" s="1485">
        <f>'lead 19-20'!L8</f>
        <v>4700</v>
      </c>
      <c r="G363" s="1486">
        <f>ROUND(E363*F363/1000,2)</f>
        <v>225.6</v>
      </c>
      <c r="H363" s="1483" t="s">
        <v>2217</v>
      </c>
    </row>
    <row r="364" spans="1:8" s="1403" customFormat="1">
      <c r="A364" s="1397"/>
      <c r="B364" s="1490"/>
      <c r="C364" s="1484" t="s">
        <v>1300</v>
      </c>
      <c r="D364" s="1481" t="s">
        <v>11</v>
      </c>
      <c r="E364" s="1497">
        <v>512</v>
      </c>
      <c r="F364" s="1485">
        <f>'lead 19-20'!L15</f>
        <v>6962.6000000000013</v>
      </c>
      <c r="G364" s="1486">
        <f>ROUND(E364*F364/1000,2)</f>
        <v>3564.85</v>
      </c>
      <c r="H364" s="1483" t="s">
        <v>2217</v>
      </c>
    </row>
    <row r="365" spans="1:8" s="1403" customFormat="1">
      <c r="A365" s="1397"/>
      <c r="B365" s="1490"/>
      <c r="C365" s="1484" t="s">
        <v>113</v>
      </c>
      <c r="D365" s="1481" t="s">
        <v>35</v>
      </c>
      <c r="E365" s="1485">
        <v>0.2</v>
      </c>
      <c r="F365" s="1485">
        <f>'lead 19-20'!L12</f>
        <v>1464.7999999999988</v>
      </c>
      <c r="G365" s="1486">
        <f>ROUND(E365*F365,2)</f>
        <v>292.95999999999998</v>
      </c>
      <c r="H365" s="1483" t="s">
        <v>2217</v>
      </c>
    </row>
    <row r="366" spans="1:8" s="1403" customFormat="1">
      <c r="A366" s="1481"/>
      <c r="B366" s="1481"/>
      <c r="C366" s="1437" t="s">
        <v>68</v>
      </c>
      <c r="D366" s="1481"/>
      <c r="E366" s="1485"/>
      <c r="F366" s="1485"/>
      <c r="G366" s="1486"/>
      <c r="H366" s="1483" t="s">
        <v>2217</v>
      </c>
    </row>
    <row r="367" spans="1:8" s="1403" customFormat="1">
      <c r="A367" s="1481"/>
      <c r="B367" s="1481"/>
      <c r="C367" s="1484" t="s">
        <v>64</v>
      </c>
      <c r="D367" s="1481" t="s">
        <v>27</v>
      </c>
      <c r="E367" s="1485">
        <v>0.24</v>
      </c>
      <c r="F367" s="1485">
        <f>'MINI SSR 19-20'!$H$3</f>
        <v>500</v>
      </c>
      <c r="G367" s="1486">
        <f>ROUND(E367*F367,2)</f>
        <v>120</v>
      </c>
      <c r="H367" s="1483" t="s">
        <v>2217</v>
      </c>
    </row>
    <row r="368" spans="1:8" s="1403" customFormat="1">
      <c r="A368" s="1481"/>
      <c r="B368" s="1481"/>
      <c r="C368" s="1484" t="s">
        <v>69</v>
      </c>
      <c r="D368" s="1481" t="s">
        <v>27</v>
      </c>
      <c r="E368" s="1485">
        <v>0.56000000000000005</v>
      </c>
      <c r="F368" s="1485">
        <f>'MINI SSR 19-20'!$H$4</f>
        <v>460</v>
      </c>
      <c r="G368" s="1486">
        <f>ROUND(E368*F368,2)</f>
        <v>257.60000000000002</v>
      </c>
      <c r="H368" s="1483" t="s">
        <v>2217</v>
      </c>
    </row>
    <row r="369" spans="1:8" s="1403" customFormat="1">
      <c r="A369" s="1481"/>
      <c r="B369" s="1481"/>
      <c r="C369" s="1484" t="s">
        <v>85</v>
      </c>
      <c r="D369" s="1481" t="s">
        <v>27</v>
      </c>
      <c r="E369" s="1485">
        <v>1.89</v>
      </c>
      <c r="F369" s="1485">
        <f>'MINI SSR 19-20'!$H$5</f>
        <v>420</v>
      </c>
      <c r="G369" s="1486">
        <f>ROUND(E369*F369,2)</f>
        <v>793.8</v>
      </c>
      <c r="H369" s="1483" t="s">
        <v>2217</v>
      </c>
    </row>
    <row r="370" spans="1:8" s="1403" customFormat="1">
      <c r="A370" s="1481"/>
      <c r="B370" s="1481"/>
      <c r="C370" s="1437" t="s">
        <v>86</v>
      </c>
      <c r="D370" s="1481"/>
      <c r="E370" s="1481"/>
      <c r="F370" s="1481"/>
      <c r="G370" s="1491">
        <f>SUM(G363:G369)</f>
        <v>5254.81</v>
      </c>
      <c r="H370" s="1483" t="s">
        <v>2217</v>
      </c>
    </row>
    <row r="371" spans="1:8" s="1403" customFormat="1">
      <c r="A371" s="1481"/>
      <c r="B371" s="1481"/>
      <c r="C371" s="1437"/>
      <c r="D371" s="1481"/>
      <c r="E371" s="1490" t="s">
        <v>161</v>
      </c>
      <c r="F371" s="1490" t="s">
        <v>162</v>
      </c>
      <c r="G371" s="1489" t="s">
        <v>163</v>
      </c>
      <c r="H371" s="1483" t="s">
        <v>2217</v>
      </c>
    </row>
    <row r="372" spans="1:8" s="1403" customFormat="1">
      <c r="A372" s="1481"/>
      <c r="B372" s="1481"/>
      <c r="C372" s="1437" t="s">
        <v>192</v>
      </c>
      <c r="D372" s="1481"/>
      <c r="E372" s="1485">
        <f>G370</f>
        <v>5254.81</v>
      </c>
      <c r="F372" s="1485">
        <f>E372</f>
        <v>5254.81</v>
      </c>
      <c r="G372" s="1487">
        <f>F372</f>
        <v>5254.81</v>
      </c>
      <c r="H372" s="1483" t="s">
        <v>2217</v>
      </c>
    </row>
    <row r="373" spans="1:8" s="1403" customFormat="1">
      <c r="A373" s="1481"/>
      <c r="B373" s="1481"/>
      <c r="C373" s="1484" t="s">
        <v>191</v>
      </c>
      <c r="D373" s="1494">
        <v>4.3499999999999996</v>
      </c>
      <c r="E373" s="1481">
        <f>ROUND(D373*'MINI SSR 19-20'!E30,2)</f>
        <v>44.89</v>
      </c>
      <c r="F373" s="1481">
        <f>E373</f>
        <v>44.89</v>
      </c>
      <c r="G373" s="1481">
        <f>E373</f>
        <v>44.89</v>
      </c>
      <c r="H373" s="1483" t="s">
        <v>2217</v>
      </c>
    </row>
    <row r="374" spans="1:8" s="1403" customFormat="1">
      <c r="A374" s="1481"/>
      <c r="B374" s="1481"/>
      <c r="C374" s="1484" t="s">
        <v>193</v>
      </c>
      <c r="D374" s="1494">
        <v>4.3499999999999996</v>
      </c>
      <c r="E374" s="1481">
        <f>ROUND(D374*'MINI SSR 19-20'!F30,2)</f>
        <v>345.65</v>
      </c>
      <c r="F374" s="1481">
        <f>ROUND(D374*'MINI SSR 19-20'!G30,2)</f>
        <v>494.94</v>
      </c>
      <c r="G374" s="1481">
        <f>ROUND(D374*'MINI SSR 19-20'!H30,2)</f>
        <v>644.19000000000005</v>
      </c>
      <c r="H374" s="1483" t="s">
        <v>2217</v>
      </c>
    </row>
    <row r="375" spans="1:8" s="1403" customFormat="1" ht="25.5">
      <c r="A375" s="1481"/>
      <c r="B375" s="1481"/>
      <c r="C375" s="1484" t="s">
        <v>1285</v>
      </c>
      <c r="D375" s="1481"/>
      <c r="E375" s="1481"/>
      <c r="F375" s="1485">
        <f>ROUND((G367+G368+G369+F374)*0.1,2)</f>
        <v>166.63</v>
      </c>
      <c r="G375" s="1485">
        <f>ROUND((G367+G368+G369+G374)*0.2,2)</f>
        <v>363.12</v>
      </c>
      <c r="H375" s="1483" t="s">
        <v>2217</v>
      </c>
    </row>
    <row r="376" spans="1:8" s="1403" customFormat="1">
      <c r="A376" s="1481"/>
      <c r="B376" s="1481"/>
      <c r="C376" s="1437" t="s">
        <v>86</v>
      </c>
      <c r="D376" s="1481"/>
      <c r="E376" s="1489">
        <f>SUM(E372:E375)</f>
        <v>5645.35</v>
      </c>
      <c r="F376" s="1489">
        <f>SUM(F372:F375)</f>
        <v>5961.27</v>
      </c>
      <c r="G376" s="1491">
        <f>SUM(G372:G375)</f>
        <v>6307.0100000000011</v>
      </c>
      <c r="H376" s="1483" t="s">
        <v>2217</v>
      </c>
    </row>
    <row r="377" spans="1:8" s="1403" customFormat="1" ht="142.5">
      <c r="A377" s="1397">
        <v>13</v>
      </c>
      <c r="B377" s="1490" t="s">
        <v>1345</v>
      </c>
      <c r="C377" s="1484" t="s">
        <v>1301</v>
      </c>
      <c r="D377" s="1481"/>
      <c r="E377" s="1481"/>
      <c r="F377" s="1481"/>
      <c r="G377" s="1490"/>
      <c r="H377" s="1483" t="s">
        <v>2217</v>
      </c>
    </row>
    <row r="378" spans="1:8" s="1403" customFormat="1">
      <c r="A378" s="1397"/>
      <c r="B378" s="1490"/>
      <c r="C378" s="1437" t="s">
        <v>84</v>
      </c>
      <c r="D378" s="1481"/>
      <c r="E378" s="1481"/>
      <c r="F378" s="1481"/>
      <c r="G378" s="1487"/>
      <c r="H378" s="1483" t="s">
        <v>2217</v>
      </c>
    </row>
    <row r="379" spans="1:8" s="1403" customFormat="1">
      <c r="A379" s="1397"/>
      <c r="B379" s="1490"/>
      <c r="C379" s="1437" t="s">
        <v>60</v>
      </c>
      <c r="D379" s="1481"/>
      <c r="E379" s="1481"/>
      <c r="F379" s="1481"/>
      <c r="G379" s="1487"/>
      <c r="H379" s="1483" t="s">
        <v>2217</v>
      </c>
    </row>
    <row r="380" spans="1:8" s="1403" customFormat="1">
      <c r="A380" s="1397"/>
      <c r="B380" s="1490"/>
      <c r="C380" s="1484" t="s">
        <v>33</v>
      </c>
      <c r="D380" s="1481" t="s">
        <v>4</v>
      </c>
      <c r="E380" s="1485">
        <v>36</v>
      </c>
      <c r="F380" s="1485">
        <f>'lead 19-20'!L8</f>
        <v>4700</v>
      </c>
      <c r="G380" s="1486">
        <f>ROUND(E380*F380/1000,2)</f>
        <v>169.2</v>
      </c>
      <c r="H380" s="1483" t="s">
        <v>2217</v>
      </c>
    </row>
    <row r="381" spans="1:8" s="1403" customFormat="1">
      <c r="A381" s="1397"/>
      <c r="B381" s="1490"/>
      <c r="C381" s="1484" t="s">
        <v>1300</v>
      </c>
      <c r="D381" s="1481" t="s">
        <v>11</v>
      </c>
      <c r="E381" s="1497">
        <v>512</v>
      </c>
      <c r="F381" s="1485">
        <f>'lead 19-20'!L15</f>
        <v>6962.6000000000013</v>
      </c>
      <c r="G381" s="1486">
        <f>ROUND(E381*F381/1000,2)</f>
        <v>3564.85</v>
      </c>
      <c r="H381" s="1483" t="s">
        <v>2217</v>
      </c>
    </row>
    <row r="382" spans="1:8" s="1403" customFormat="1">
      <c r="A382" s="1397"/>
      <c r="B382" s="1490"/>
      <c r="C382" s="1484" t="s">
        <v>113</v>
      </c>
      <c r="D382" s="1481" t="s">
        <v>35</v>
      </c>
      <c r="E382" s="1485">
        <v>0.2</v>
      </c>
      <c r="F382" s="1485">
        <f>'lead 19-20'!L12</f>
        <v>1464.7999999999988</v>
      </c>
      <c r="G382" s="1486">
        <f>ROUND(E382*F382,2)</f>
        <v>292.95999999999998</v>
      </c>
      <c r="H382" s="1483" t="s">
        <v>2217</v>
      </c>
    </row>
    <row r="383" spans="1:8" s="1403" customFormat="1">
      <c r="A383" s="1481"/>
      <c r="B383" s="1481"/>
      <c r="C383" s="1437" t="s">
        <v>68</v>
      </c>
      <c r="D383" s="1481"/>
      <c r="E383" s="1485"/>
      <c r="F383" s="1485"/>
      <c r="G383" s="1486"/>
      <c r="H383" s="1483" t="s">
        <v>2217</v>
      </c>
    </row>
    <row r="384" spans="1:8" s="1403" customFormat="1">
      <c r="A384" s="1481"/>
      <c r="B384" s="1481"/>
      <c r="C384" s="1484" t="s">
        <v>64</v>
      </c>
      <c r="D384" s="1481" t="s">
        <v>27</v>
      </c>
      <c r="E384" s="1485">
        <v>0.24</v>
      </c>
      <c r="F384" s="1485">
        <f>'MINI SSR 19-20'!$H$3</f>
        <v>500</v>
      </c>
      <c r="G384" s="1486">
        <f>ROUND(E384*F384,2)</f>
        <v>120</v>
      </c>
      <c r="H384" s="1483" t="s">
        <v>2217</v>
      </c>
    </row>
    <row r="385" spans="1:8" s="1403" customFormat="1">
      <c r="A385" s="1481"/>
      <c r="B385" s="1481"/>
      <c r="C385" s="1484" t="s">
        <v>69</v>
      </c>
      <c r="D385" s="1481" t="s">
        <v>27</v>
      </c>
      <c r="E385" s="1485">
        <v>0.56000000000000005</v>
      </c>
      <c r="F385" s="1485">
        <f>'MINI SSR 19-20'!$H$4</f>
        <v>460</v>
      </c>
      <c r="G385" s="1486">
        <f>ROUND(E385*F385,2)</f>
        <v>257.60000000000002</v>
      </c>
      <c r="H385" s="1483" t="s">
        <v>2217</v>
      </c>
    </row>
    <row r="386" spans="1:8" s="1403" customFormat="1">
      <c r="A386" s="1481"/>
      <c r="B386" s="1481"/>
      <c r="C386" s="1484" t="s">
        <v>85</v>
      </c>
      <c r="D386" s="1481" t="s">
        <v>27</v>
      </c>
      <c r="E386" s="1485">
        <v>1.89</v>
      </c>
      <c r="F386" s="1485">
        <f>'MINI SSR 19-20'!$H$5</f>
        <v>420</v>
      </c>
      <c r="G386" s="1486">
        <f>ROUND(E386*F386,2)</f>
        <v>793.8</v>
      </c>
      <c r="H386" s="1483" t="s">
        <v>2217</v>
      </c>
    </row>
    <row r="387" spans="1:8" s="1403" customFormat="1">
      <c r="A387" s="1481"/>
      <c r="B387" s="1481"/>
      <c r="C387" s="1437" t="s">
        <v>86</v>
      </c>
      <c r="D387" s="1481"/>
      <c r="E387" s="1481"/>
      <c r="F387" s="1481"/>
      <c r="G387" s="1491">
        <f>SUM(G380:G386)</f>
        <v>5198.4100000000008</v>
      </c>
      <c r="H387" s="1483" t="s">
        <v>2217</v>
      </c>
    </row>
    <row r="388" spans="1:8" s="1403" customFormat="1">
      <c r="A388" s="1481"/>
      <c r="B388" s="1481"/>
      <c r="C388" s="1437"/>
      <c r="D388" s="1481"/>
      <c r="E388" s="1490" t="s">
        <v>161</v>
      </c>
      <c r="F388" s="1490" t="s">
        <v>162</v>
      </c>
      <c r="G388" s="1489" t="s">
        <v>163</v>
      </c>
      <c r="H388" s="1483" t="s">
        <v>2217</v>
      </c>
    </row>
    <row r="389" spans="1:8" s="1403" customFormat="1">
      <c r="A389" s="1481"/>
      <c r="B389" s="1481"/>
      <c r="C389" s="1437" t="s">
        <v>192</v>
      </c>
      <c r="D389" s="1481"/>
      <c r="E389" s="1485">
        <f>G387</f>
        <v>5198.4100000000008</v>
      </c>
      <c r="F389" s="1485">
        <f>E389</f>
        <v>5198.4100000000008</v>
      </c>
      <c r="G389" s="1487">
        <f>F389</f>
        <v>5198.4100000000008</v>
      </c>
      <c r="H389" s="1483" t="s">
        <v>2217</v>
      </c>
    </row>
    <row r="390" spans="1:8" s="1403" customFormat="1">
      <c r="A390" s="1481"/>
      <c r="B390" s="1481"/>
      <c r="C390" s="1484" t="s">
        <v>191</v>
      </c>
      <c r="D390" s="1494">
        <v>4.3499999999999996</v>
      </c>
      <c r="E390" s="1481">
        <f>ROUND(D390*'MINI SSR 19-20'!E30,2)</f>
        <v>44.89</v>
      </c>
      <c r="F390" s="1481">
        <f>E390</f>
        <v>44.89</v>
      </c>
      <c r="G390" s="1481">
        <f>F390</f>
        <v>44.89</v>
      </c>
      <c r="H390" s="1483" t="s">
        <v>2217</v>
      </c>
    </row>
    <row r="391" spans="1:8" s="1403" customFormat="1">
      <c r="A391" s="1481"/>
      <c r="B391" s="1481"/>
      <c r="C391" s="1484" t="s">
        <v>193</v>
      </c>
      <c r="D391" s="1494">
        <v>4.3499999999999996</v>
      </c>
      <c r="E391" s="1481">
        <f>ROUND(D391*'MINI SSR 19-20'!F30,2)</f>
        <v>345.65</v>
      </c>
      <c r="F391" s="1481">
        <f>ROUND(D391*'MINI SSR 19-20'!G30,2)</f>
        <v>494.94</v>
      </c>
      <c r="G391" s="1481">
        <f>ROUND(D391*'MINI SSR 19-20'!H30,2)</f>
        <v>644.19000000000005</v>
      </c>
      <c r="H391" s="1483" t="s">
        <v>2217</v>
      </c>
    </row>
    <row r="392" spans="1:8" s="1403" customFormat="1" ht="25.5">
      <c r="A392" s="1481"/>
      <c r="B392" s="1481"/>
      <c r="C392" s="1484" t="s">
        <v>1285</v>
      </c>
      <c r="D392" s="1481"/>
      <c r="E392" s="1481"/>
      <c r="F392" s="1485">
        <f>ROUND((G384+G385+G386+F391)*0.1,2)</f>
        <v>166.63</v>
      </c>
      <c r="G392" s="1485">
        <f>ROUND((G384+G385+G386+G391)*0.2,2)</f>
        <v>363.12</v>
      </c>
      <c r="H392" s="1483" t="s">
        <v>2217</v>
      </c>
    </row>
    <row r="393" spans="1:8" s="1403" customFormat="1">
      <c r="A393" s="1481"/>
      <c r="B393" s="1481"/>
      <c r="C393" s="1437" t="s">
        <v>86</v>
      </c>
      <c r="D393" s="1481"/>
      <c r="E393" s="1489">
        <f>SUM(E389:E392)</f>
        <v>5588.9500000000007</v>
      </c>
      <c r="F393" s="1489">
        <f>SUM(F389:F392)</f>
        <v>5904.8700000000008</v>
      </c>
      <c r="G393" s="1491">
        <f>SUM(G389:G392)</f>
        <v>6250.6100000000015</v>
      </c>
      <c r="H393" s="1483" t="s">
        <v>2217</v>
      </c>
    </row>
    <row r="394" spans="1:8" s="1403" customFormat="1" ht="102">
      <c r="A394" s="1397">
        <v>14</v>
      </c>
      <c r="B394" s="1490" t="s">
        <v>221</v>
      </c>
      <c r="C394" s="1484" t="s">
        <v>3684</v>
      </c>
      <c r="D394" s="1481"/>
      <c r="E394" s="1481"/>
      <c r="F394" s="1481"/>
      <c r="G394" s="1490"/>
      <c r="H394" s="1483" t="s">
        <v>2217</v>
      </c>
    </row>
    <row r="395" spans="1:8" s="1403" customFormat="1">
      <c r="A395" s="1397"/>
      <c r="B395" s="1490"/>
      <c r="C395" s="1437" t="s">
        <v>222</v>
      </c>
      <c r="D395" s="1481"/>
      <c r="E395" s="1481"/>
      <c r="F395" s="1481"/>
      <c r="G395" s="1487"/>
      <c r="H395" s="1483" t="s">
        <v>2217</v>
      </c>
    </row>
    <row r="396" spans="1:8" s="1403" customFormat="1">
      <c r="A396" s="1397"/>
      <c r="B396" s="1490"/>
      <c r="C396" s="1437" t="s">
        <v>60</v>
      </c>
      <c r="D396" s="1481"/>
      <c r="E396" s="1481"/>
      <c r="F396" s="1481"/>
      <c r="G396" s="1487"/>
      <c r="H396" s="1483" t="s">
        <v>2217</v>
      </c>
    </row>
    <row r="397" spans="1:8" s="1403" customFormat="1">
      <c r="A397" s="1397"/>
      <c r="B397" s="1490"/>
      <c r="C397" s="1484" t="s">
        <v>33</v>
      </c>
      <c r="D397" s="1481" t="s">
        <v>4</v>
      </c>
      <c r="E397" s="1485">
        <v>72</v>
      </c>
      <c r="F397" s="1485">
        <f>'lead 19-20'!L8</f>
        <v>4700</v>
      </c>
      <c r="G397" s="1486">
        <f>ROUND(E397*F397/1000,2)</f>
        <v>338.4</v>
      </c>
      <c r="H397" s="1483" t="s">
        <v>2217</v>
      </c>
    </row>
    <row r="398" spans="1:8" s="1403" customFormat="1">
      <c r="A398" s="1397"/>
      <c r="B398" s="1490"/>
      <c r="C398" s="1484" t="s">
        <v>1302</v>
      </c>
      <c r="D398" s="1481" t="s">
        <v>11</v>
      </c>
      <c r="E398" s="1497">
        <v>565</v>
      </c>
      <c r="F398" s="1485">
        <f>'lead 19-20'!L15</f>
        <v>6962.6000000000013</v>
      </c>
      <c r="G398" s="1486">
        <f>ROUND(E398*F398/1000,2)</f>
        <v>3933.87</v>
      </c>
      <c r="H398" s="1483" t="s">
        <v>2217</v>
      </c>
    </row>
    <row r="399" spans="1:8" s="1403" customFormat="1">
      <c r="A399" s="1397"/>
      <c r="B399" s="1490"/>
      <c r="C399" s="1484" t="s">
        <v>113</v>
      </c>
      <c r="D399" s="1481" t="s">
        <v>35</v>
      </c>
      <c r="E399" s="1485">
        <v>0.22</v>
      </c>
      <c r="F399" s="1485">
        <f>'lead 19-20'!L12</f>
        <v>1464.7999999999988</v>
      </c>
      <c r="G399" s="1486">
        <f>ROUND(E399*F399,2)</f>
        <v>322.26</v>
      </c>
      <c r="H399" s="1483" t="s">
        <v>2217</v>
      </c>
    </row>
    <row r="400" spans="1:8" s="1403" customFormat="1">
      <c r="A400" s="1481"/>
      <c r="B400" s="1481"/>
      <c r="C400" s="1437" t="s">
        <v>68</v>
      </c>
      <c r="D400" s="1481"/>
      <c r="E400" s="1485"/>
      <c r="F400" s="1485"/>
      <c r="G400" s="1486"/>
      <c r="H400" s="1483" t="s">
        <v>2217</v>
      </c>
    </row>
    <row r="401" spans="1:8" s="1403" customFormat="1">
      <c r="A401" s="1481"/>
      <c r="B401" s="1481"/>
      <c r="C401" s="1484" t="s">
        <v>64</v>
      </c>
      <c r="D401" s="1481" t="s">
        <v>27</v>
      </c>
      <c r="E401" s="1485">
        <v>0.6</v>
      </c>
      <c r="F401" s="1485">
        <f>'MINI SSR 19-20'!$H$3</f>
        <v>500</v>
      </c>
      <c r="G401" s="1486">
        <f>ROUND(E401*F401,2)</f>
        <v>300</v>
      </c>
      <c r="H401" s="1483" t="s">
        <v>2217</v>
      </c>
    </row>
    <row r="402" spans="1:8" s="1403" customFormat="1">
      <c r="A402" s="1481"/>
      <c r="B402" s="1481"/>
      <c r="C402" s="1484" t="s">
        <v>69</v>
      </c>
      <c r="D402" s="1481" t="s">
        <v>27</v>
      </c>
      <c r="E402" s="1485">
        <v>0.6</v>
      </c>
      <c r="F402" s="1485">
        <f>'MINI SSR 19-20'!$H$4</f>
        <v>460</v>
      </c>
      <c r="G402" s="1486">
        <f>ROUND(E402*F402,2)</f>
        <v>276</v>
      </c>
      <c r="H402" s="1483" t="s">
        <v>2217</v>
      </c>
    </row>
    <row r="403" spans="1:8" s="1403" customFormat="1">
      <c r="A403" s="1481"/>
      <c r="B403" s="1481"/>
      <c r="C403" s="1484" t="s">
        <v>85</v>
      </c>
      <c r="D403" s="1481" t="s">
        <v>27</v>
      </c>
      <c r="E403" s="1485">
        <v>2.75</v>
      </c>
      <c r="F403" s="1485">
        <f>'MINI SSR 19-20'!$H$5</f>
        <v>420</v>
      </c>
      <c r="G403" s="1486">
        <f>ROUND(E403*F403,2)</f>
        <v>1155</v>
      </c>
      <c r="H403" s="1483" t="s">
        <v>2217</v>
      </c>
    </row>
    <row r="404" spans="1:8" s="1403" customFormat="1">
      <c r="A404" s="1481"/>
      <c r="B404" s="1481"/>
      <c r="C404" s="1437" t="s">
        <v>88</v>
      </c>
      <c r="D404" s="1481"/>
      <c r="E404" s="1485"/>
      <c r="F404" s="1485"/>
      <c r="G404" s="1486">
        <f>SUM(G397:G403)</f>
        <v>6325.53</v>
      </c>
      <c r="H404" s="1483" t="s">
        <v>2217</v>
      </c>
    </row>
    <row r="405" spans="1:8" s="1403" customFormat="1">
      <c r="A405" s="1481"/>
      <c r="B405" s="1481"/>
      <c r="C405" s="1437"/>
      <c r="D405" s="1481"/>
      <c r="E405" s="1490" t="s">
        <v>161</v>
      </c>
      <c r="F405" s="1489" t="s">
        <v>162</v>
      </c>
      <c r="G405" s="1489" t="s">
        <v>163</v>
      </c>
      <c r="H405" s="1483" t="s">
        <v>2217</v>
      </c>
    </row>
    <row r="406" spans="1:8" s="1403" customFormat="1">
      <c r="A406" s="1481"/>
      <c r="B406" s="1481"/>
      <c r="C406" s="1437" t="s">
        <v>192</v>
      </c>
      <c r="D406" s="1481"/>
      <c r="E406" s="1485">
        <f>G404</f>
        <v>6325.53</v>
      </c>
      <c r="F406" s="1487">
        <f>G404</f>
        <v>6325.53</v>
      </c>
      <c r="G406" s="1487">
        <f>G404</f>
        <v>6325.53</v>
      </c>
      <c r="H406" s="1483" t="s">
        <v>2217</v>
      </c>
    </row>
    <row r="407" spans="1:8" s="1403" customFormat="1">
      <c r="A407" s="1481"/>
      <c r="B407" s="1481"/>
      <c r="C407" s="1484" t="s">
        <v>1645</v>
      </c>
      <c r="D407" s="1494">
        <v>8.6999999999999993</v>
      </c>
      <c r="E407" s="1481">
        <f>ROUND(D407*'MINI SSR 19-20'!E30,2)</f>
        <v>89.78</v>
      </c>
      <c r="F407" s="1495">
        <f>E407</f>
        <v>89.78</v>
      </c>
      <c r="G407" s="1495">
        <f>F407</f>
        <v>89.78</v>
      </c>
      <c r="H407" s="1483" t="s">
        <v>2217</v>
      </c>
    </row>
    <row r="408" spans="1:8" s="1403" customFormat="1">
      <c r="A408" s="1481"/>
      <c r="B408" s="1481"/>
      <c r="C408" s="1484" t="s">
        <v>1646</v>
      </c>
      <c r="D408" s="1494">
        <v>8.6999999999999993</v>
      </c>
      <c r="E408" s="1485">
        <f>8.7*'MINI SSR 19-20'!F30</f>
        <v>691.30199999999991</v>
      </c>
      <c r="F408" s="1485">
        <f>8.7*'MINI SSR 19-20'!G30</f>
        <v>989.88599999999997</v>
      </c>
      <c r="G408" s="1485">
        <f>8.7*'MINI SSR 19-20'!H30</f>
        <v>1288.3829999999998</v>
      </c>
      <c r="H408" s="1483" t="s">
        <v>2217</v>
      </c>
    </row>
    <row r="409" spans="1:8" s="1403" customFormat="1" ht="25.5">
      <c r="A409" s="1481"/>
      <c r="B409" s="1481"/>
      <c r="C409" s="1484" t="s">
        <v>1285</v>
      </c>
      <c r="D409" s="1481"/>
      <c r="E409" s="1481"/>
      <c r="F409" s="1498">
        <f>(SUM(G401:G403)+F408)*10%</f>
        <v>272.08859999999999</v>
      </c>
      <c r="G409" s="1498">
        <f>(SUM(G401:G403)+G408)*20%</f>
        <v>603.87659999999994</v>
      </c>
      <c r="H409" s="1483" t="s">
        <v>2217</v>
      </c>
    </row>
    <row r="410" spans="1:8" s="1403" customFormat="1">
      <c r="A410" s="1481"/>
      <c r="B410" s="1481"/>
      <c r="C410" s="1437" t="s">
        <v>900</v>
      </c>
      <c r="D410" s="1481"/>
      <c r="E410" s="1489">
        <f>SUM(E406:E409)</f>
        <v>7106.6119999999992</v>
      </c>
      <c r="F410" s="1491">
        <f>SUM(F406:F409)</f>
        <v>7677.2846</v>
      </c>
      <c r="G410" s="1491">
        <f>SUM(G406:G409)</f>
        <v>8307.5695999999989</v>
      </c>
      <c r="H410" s="1483" t="s">
        <v>2217</v>
      </c>
    </row>
    <row r="411" spans="1:8" s="1403" customFormat="1">
      <c r="A411" s="1481"/>
      <c r="B411" s="1481"/>
      <c r="C411" s="1437" t="s">
        <v>121</v>
      </c>
      <c r="D411" s="1481"/>
      <c r="E411" s="1489">
        <f>ROUND(E410/10,2)</f>
        <v>710.66</v>
      </c>
      <c r="F411" s="1491">
        <f>ROUND(F410/10,2)</f>
        <v>767.73</v>
      </c>
      <c r="G411" s="1491">
        <f>ROUND(G410/10,2)</f>
        <v>830.76</v>
      </c>
      <c r="H411" s="1483" t="s">
        <v>2217</v>
      </c>
    </row>
    <row r="412" spans="1:8" ht="127.5" hidden="1">
      <c r="A412" s="896">
        <v>30</v>
      </c>
      <c r="B412" s="966" t="s">
        <v>1317</v>
      </c>
      <c r="C412" s="1382" t="s">
        <v>1194</v>
      </c>
      <c r="D412" s="967"/>
      <c r="E412" s="967"/>
      <c r="F412" s="967"/>
      <c r="G412" s="966"/>
      <c r="H412" s="964" t="s">
        <v>2217</v>
      </c>
    </row>
    <row r="413" spans="1:8" hidden="1">
      <c r="A413" s="896"/>
      <c r="B413" s="966"/>
      <c r="C413" s="962" t="s">
        <v>84</v>
      </c>
      <c r="D413" s="967"/>
      <c r="E413" s="967"/>
      <c r="F413" s="967"/>
      <c r="G413" s="972"/>
      <c r="H413" s="964" t="s">
        <v>2217</v>
      </c>
    </row>
    <row r="414" spans="1:8" hidden="1">
      <c r="A414" s="896"/>
      <c r="B414" s="966"/>
      <c r="C414" s="962" t="s">
        <v>60</v>
      </c>
      <c r="D414" s="967"/>
      <c r="E414" s="967"/>
      <c r="F414" s="967"/>
      <c r="G414" s="972"/>
      <c r="H414" s="964" t="s">
        <v>2217</v>
      </c>
    </row>
    <row r="415" spans="1:8" ht="25.5" hidden="1">
      <c r="A415" s="896"/>
      <c r="B415" s="966"/>
      <c r="C415" s="1382" t="s">
        <v>1197</v>
      </c>
      <c r="D415" s="967" t="s">
        <v>11</v>
      </c>
      <c r="E415" s="988">
        <v>110</v>
      </c>
      <c r="F415" s="970">
        <f>'MINI SSR 19-20'!C27</f>
        <v>25</v>
      </c>
      <c r="G415" s="969">
        <f>ROUND(E415*F415,2)</f>
        <v>2750</v>
      </c>
      <c r="H415" s="964" t="s">
        <v>2217</v>
      </c>
    </row>
    <row r="416" spans="1:8" hidden="1">
      <c r="A416" s="896"/>
      <c r="B416" s="966"/>
      <c r="C416" s="1382" t="s">
        <v>1195</v>
      </c>
      <c r="D416" s="967" t="s">
        <v>35</v>
      </c>
      <c r="E416" s="970">
        <v>0.1</v>
      </c>
      <c r="F416" s="970">
        <f>G27</f>
        <v>2750.04</v>
      </c>
      <c r="G416" s="969">
        <f>ROUND(E416*F416,2)</f>
        <v>275</v>
      </c>
      <c r="H416" s="964" t="s">
        <v>2217</v>
      </c>
    </row>
    <row r="417" spans="1:8" hidden="1">
      <c r="A417" s="967"/>
      <c r="B417" s="967"/>
      <c r="C417" s="962" t="s">
        <v>68</v>
      </c>
      <c r="D417" s="967"/>
      <c r="E417" s="970"/>
      <c r="F417" s="970"/>
      <c r="G417" s="969"/>
      <c r="H417" s="964" t="s">
        <v>2217</v>
      </c>
    </row>
    <row r="418" spans="1:8" hidden="1">
      <c r="A418" s="967"/>
      <c r="B418" s="967"/>
      <c r="C418" s="1382" t="s">
        <v>64</v>
      </c>
      <c r="D418" s="967" t="s">
        <v>27</v>
      </c>
      <c r="E418" s="970">
        <v>0.42</v>
      </c>
      <c r="F418" s="970">
        <f>'MINI SSR 19-20'!$H$3</f>
        <v>500</v>
      </c>
      <c r="G418" s="969">
        <f>ROUND(E418*F418,2)</f>
        <v>210</v>
      </c>
      <c r="H418" s="964" t="s">
        <v>2217</v>
      </c>
    </row>
    <row r="419" spans="1:8" hidden="1">
      <c r="A419" s="967"/>
      <c r="B419" s="967"/>
      <c r="C419" s="1382" t="s">
        <v>69</v>
      </c>
      <c r="D419" s="967" t="s">
        <v>27</v>
      </c>
      <c r="E419" s="970">
        <v>0.92</v>
      </c>
      <c r="F419" s="970">
        <f>'MINI SSR 19-20'!$H$4</f>
        <v>460</v>
      </c>
      <c r="G419" s="969">
        <f>ROUND(E419*F419,2)</f>
        <v>423.2</v>
      </c>
      <c r="H419" s="964" t="s">
        <v>2217</v>
      </c>
    </row>
    <row r="420" spans="1:8" hidden="1">
      <c r="A420" s="967"/>
      <c r="B420" s="967"/>
      <c r="C420" s="1382" t="s">
        <v>375</v>
      </c>
      <c r="D420" s="967" t="s">
        <v>27</v>
      </c>
      <c r="E420" s="970">
        <v>0.7</v>
      </c>
      <c r="F420" s="970">
        <f>'MINI SSR 19-20'!$H$5</f>
        <v>420</v>
      </c>
      <c r="G420" s="969">
        <f>ROUND(E420*F420,2)</f>
        <v>294</v>
      </c>
      <c r="H420" s="964" t="s">
        <v>2217</v>
      </c>
    </row>
    <row r="421" spans="1:8" hidden="1">
      <c r="A421" s="967"/>
      <c r="B421" s="967"/>
      <c r="C421" s="1382" t="s">
        <v>1196</v>
      </c>
      <c r="D421" s="967" t="s">
        <v>27</v>
      </c>
      <c r="E421" s="970">
        <v>2.1</v>
      </c>
      <c r="F421" s="970">
        <f>'MINI SSR 19-20'!$H$5</f>
        <v>420</v>
      </c>
      <c r="G421" s="969">
        <f>ROUND(E421*F421,2)</f>
        <v>882</v>
      </c>
      <c r="H421" s="964" t="s">
        <v>2217</v>
      </c>
    </row>
    <row r="422" spans="1:8" hidden="1">
      <c r="A422" s="967"/>
      <c r="B422" s="967"/>
      <c r="C422" s="962" t="s">
        <v>86</v>
      </c>
      <c r="D422" s="967"/>
      <c r="E422" s="967"/>
      <c r="F422" s="967"/>
      <c r="G422" s="971">
        <f>SUM(G415:G421)</f>
        <v>4834.2</v>
      </c>
      <c r="H422" s="964" t="s">
        <v>2217</v>
      </c>
    </row>
    <row r="423" spans="1:8" hidden="1">
      <c r="A423" s="967"/>
      <c r="B423" s="967"/>
      <c r="C423" s="962"/>
      <c r="D423" s="967"/>
      <c r="E423" s="966" t="s">
        <v>161</v>
      </c>
      <c r="F423" s="974" t="s">
        <v>162</v>
      </c>
      <c r="G423" s="974" t="s">
        <v>163</v>
      </c>
      <c r="H423" s="964" t="s">
        <v>2217</v>
      </c>
    </row>
    <row r="424" spans="1:8" hidden="1">
      <c r="A424" s="967"/>
      <c r="B424" s="967"/>
      <c r="C424" s="962" t="s">
        <v>192</v>
      </c>
      <c r="D424" s="967"/>
      <c r="E424" s="970">
        <f>G422</f>
        <v>4834.2</v>
      </c>
      <c r="F424" s="972">
        <f>G422</f>
        <v>4834.2</v>
      </c>
      <c r="G424" s="972">
        <f>G422*1</f>
        <v>4834.2</v>
      </c>
      <c r="H424" s="964" t="s">
        <v>2217</v>
      </c>
    </row>
    <row r="425" spans="1:8" hidden="1">
      <c r="A425" s="967"/>
      <c r="B425" s="967"/>
      <c r="C425" s="1382" t="s">
        <v>1647</v>
      </c>
      <c r="D425" s="973">
        <v>4.3499999999999996</v>
      </c>
      <c r="E425" s="967">
        <f>ROUND(10.32*D425,2)</f>
        <v>44.89</v>
      </c>
      <c r="F425" s="975">
        <f>E425</f>
        <v>44.89</v>
      </c>
      <c r="G425" s="975">
        <f>F425</f>
        <v>44.89</v>
      </c>
      <c r="H425" s="964" t="s">
        <v>2217</v>
      </c>
    </row>
    <row r="426" spans="1:8" hidden="1">
      <c r="A426" s="967"/>
      <c r="B426" s="967"/>
      <c r="C426" s="1382" t="s">
        <v>1648</v>
      </c>
      <c r="D426" s="973">
        <v>4.3499999999999996</v>
      </c>
      <c r="E426" s="967">
        <f>ROUND('MINI SSR 19-20'!F30*$D$426,2)</f>
        <v>345.65</v>
      </c>
      <c r="F426" s="967">
        <f>ROUND('MINI SSR 19-20'!G30*$D$426,2)</f>
        <v>494.94</v>
      </c>
      <c r="G426" s="967">
        <f>ROUND('MINI SSR 19-20'!H30*$D$426,2)</f>
        <v>644.19000000000005</v>
      </c>
      <c r="H426" s="964" t="s">
        <v>2217</v>
      </c>
    </row>
    <row r="427" spans="1:8" ht="25.5" hidden="1">
      <c r="A427" s="967"/>
      <c r="B427" s="967"/>
      <c r="C427" s="1382" t="s">
        <v>1285</v>
      </c>
      <c r="D427" s="967"/>
      <c r="E427" s="967"/>
      <c r="F427" s="975">
        <f>ROUND((G418+G419+G421+G420+F426)*0.1,2)</f>
        <v>230.41</v>
      </c>
      <c r="G427" s="975">
        <f>ROUND((G418+G419+G421+G420+G426)*0.2,2)</f>
        <v>490.68</v>
      </c>
      <c r="H427" s="964" t="s">
        <v>2217</v>
      </c>
    </row>
    <row r="428" spans="1:8" hidden="1">
      <c r="A428" s="967"/>
      <c r="B428" s="967"/>
      <c r="C428" s="962" t="s">
        <v>86</v>
      </c>
      <c r="D428" s="967"/>
      <c r="E428" s="974">
        <f>SUM(E424:E427)</f>
        <v>5224.74</v>
      </c>
      <c r="F428" s="971">
        <f>SUM(F424:F427)</f>
        <v>5604.44</v>
      </c>
      <c r="G428" s="971">
        <f>SUM(G424:G427)</f>
        <v>6013.9600000000009</v>
      </c>
      <c r="H428" s="964" t="s">
        <v>2217</v>
      </c>
    </row>
    <row r="429" spans="1:8" s="1403" customFormat="1" ht="89.25">
      <c r="A429" s="1397">
        <v>15</v>
      </c>
      <c r="B429" s="1490" t="s">
        <v>87</v>
      </c>
      <c r="C429" s="1484" t="s">
        <v>1303</v>
      </c>
      <c r="D429" s="1481"/>
      <c r="E429" s="1481"/>
      <c r="F429" s="1481"/>
      <c r="G429" s="1490"/>
      <c r="H429" s="1483" t="s">
        <v>2217</v>
      </c>
    </row>
    <row r="430" spans="1:8" s="1403" customFormat="1">
      <c r="A430" s="1397"/>
      <c r="B430" s="1490"/>
      <c r="C430" s="1437" t="s">
        <v>42</v>
      </c>
      <c r="D430" s="1481"/>
      <c r="E430" s="1481"/>
      <c r="F430" s="1481"/>
      <c r="G430" s="1487"/>
      <c r="H430" s="1483" t="s">
        <v>2217</v>
      </c>
    </row>
    <row r="431" spans="1:8" s="1403" customFormat="1">
      <c r="A431" s="1397"/>
      <c r="B431" s="1490"/>
      <c r="C431" s="1437" t="s">
        <v>60</v>
      </c>
      <c r="D431" s="1490"/>
      <c r="E431" s="1490"/>
      <c r="F431" s="1490"/>
      <c r="G431" s="1487"/>
      <c r="H431" s="1483" t="s">
        <v>2217</v>
      </c>
    </row>
    <row r="432" spans="1:8" s="1403" customFormat="1">
      <c r="A432" s="1397"/>
      <c r="B432" s="1490"/>
      <c r="C432" s="1484" t="s">
        <v>43</v>
      </c>
      <c r="D432" s="1481" t="s">
        <v>35</v>
      </c>
      <c r="E432" s="1485">
        <v>0.15</v>
      </c>
      <c r="F432" s="1485">
        <f>G12</f>
        <v>3878.04</v>
      </c>
      <c r="G432" s="1486">
        <f>ROUND(E432*F432,2)</f>
        <v>581.71</v>
      </c>
      <c r="H432" s="1483" t="s">
        <v>2217</v>
      </c>
    </row>
    <row r="433" spans="1:8" s="1403" customFormat="1">
      <c r="A433" s="1481"/>
      <c r="B433" s="1481"/>
      <c r="C433" s="1437" t="s">
        <v>68</v>
      </c>
      <c r="D433" s="1481"/>
      <c r="E433" s="1485"/>
      <c r="F433" s="1485"/>
      <c r="G433" s="1486"/>
      <c r="H433" s="1483" t="s">
        <v>2217</v>
      </c>
    </row>
    <row r="434" spans="1:8" s="1403" customFormat="1">
      <c r="A434" s="1481"/>
      <c r="B434" s="1481"/>
      <c r="C434" s="1484" t="s">
        <v>64</v>
      </c>
      <c r="D434" s="1481" t="s">
        <v>27</v>
      </c>
      <c r="E434" s="1485">
        <v>0.45</v>
      </c>
      <c r="F434" s="1485">
        <f>'MINI SSR 19-20'!$H$3</f>
        <v>500</v>
      </c>
      <c r="G434" s="1486">
        <f>ROUND(E434*F434,2)</f>
        <v>225</v>
      </c>
      <c r="H434" s="1483" t="s">
        <v>2217</v>
      </c>
    </row>
    <row r="435" spans="1:8" s="1403" customFormat="1">
      <c r="A435" s="1481"/>
      <c r="B435" s="1481"/>
      <c r="C435" s="1484" t="s">
        <v>69</v>
      </c>
      <c r="D435" s="1481" t="s">
        <v>27</v>
      </c>
      <c r="E435" s="1485">
        <v>1.05</v>
      </c>
      <c r="F435" s="1485">
        <f>'MINI SSR 19-20'!$H$4</f>
        <v>460</v>
      </c>
      <c r="G435" s="1486">
        <f>ROUND(E435*F435,2)</f>
        <v>483</v>
      </c>
      <c r="H435" s="1483" t="s">
        <v>2217</v>
      </c>
    </row>
    <row r="436" spans="1:8" s="1403" customFormat="1">
      <c r="A436" s="1481"/>
      <c r="B436" s="1481"/>
      <c r="C436" s="1484" t="s">
        <v>85</v>
      </c>
      <c r="D436" s="1481" t="s">
        <v>27</v>
      </c>
      <c r="E436" s="1485">
        <v>2.8</v>
      </c>
      <c r="F436" s="1485">
        <f>'MINI SSR 19-20'!$H$5</f>
        <v>420</v>
      </c>
      <c r="G436" s="1486">
        <f>ROUND(E436*F436,2)</f>
        <v>1176</v>
      </c>
      <c r="H436" s="1483" t="s">
        <v>2217</v>
      </c>
    </row>
    <row r="437" spans="1:8" s="1403" customFormat="1">
      <c r="A437" s="1481"/>
      <c r="B437" s="1481"/>
      <c r="C437" s="1437" t="s">
        <v>88</v>
      </c>
      <c r="D437" s="1481"/>
      <c r="E437" s="1481"/>
      <c r="F437" s="1481"/>
      <c r="G437" s="1493">
        <f>SUM(G432:G436)</f>
        <v>2465.71</v>
      </c>
      <c r="H437" s="1483" t="s">
        <v>2217</v>
      </c>
    </row>
    <row r="438" spans="1:8" s="1403" customFormat="1">
      <c r="A438" s="1481"/>
      <c r="B438" s="1481"/>
      <c r="C438" s="1437"/>
      <c r="D438" s="1481"/>
      <c r="E438" s="1490" t="s">
        <v>161</v>
      </c>
      <c r="F438" s="1490" t="s">
        <v>162</v>
      </c>
      <c r="G438" s="1489" t="s">
        <v>163</v>
      </c>
      <c r="H438" s="1483" t="s">
        <v>2217</v>
      </c>
    </row>
    <row r="439" spans="1:8" s="1403" customFormat="1">
      <c r="A439" s="1481"/>
      <c r="B439" s="1481"/>
      <c r="C439" s="1437" t="s">
        <v>1273</v>
      </c>
      <c r="D439" s="1481"/>
      <c r="E439" s="1485">
        <f>G437</f>
        <v>2465.71</v>
      </c>
      <c r="F439" s="1485">
        <f>G437</f>
        <v>2465.71</v>
      </c>
      <c r="G439" s="1487">
        <f>G437</f>
        <v>2465.71</v>
      </c>
      <c r="H439" s="1483" t="s">
        <v>2217</v>
      </c>
    </row>
    <row r="440" spans="1:8" s="1403" customFormat="1">
      <c r="A440" s="1481"/>
      <c r="B440" s="1481"/>
      <c r="C440" s="1484" t="s">
        <v>1649</v>
      </c>
      <c r="D440" s="1485">
        <v>10</v>
      </c>
      <c r="E440" s="1485">
        <f>ROUND(D440*'MINI SSR 19-20'!E33,2)</f>
        <v>24.6</v>
      </c>
      <c r="F440" s="1485">
        <f>E440</f>
        <v>24.6</v>
      </c>
      <c r="G440" s="1487">
        <f>E440</f>
        <v>24.6</v>
      </c>
      <c r="H440" s="1483" t="s">
        <v>2217</v>
      </c>
    </row>
    <row r="441" spans="1:8" s="1403" customFormat="1">
      <c r="A441" s="1481"/>
      <c r="B441" s="1481"/>
      <c r="C441" s="1484" t="s">
        <v>1650</v>
      </c>
      <c r="D441" s="1485">
        <v>10</v>
      </c>
      <c r="E441" s="1485">
        <f>ROUND(D441*'MINI SSR 19-20'!F33,2)</f>
        <v>159.1</v>
      </c>
      <c r="F441" s="1485">
        <f>ROUND(D441*'MINI SSR 19-20'!G33,2)</f>
        <v>225.7</v>
      </c>
      <c r="G441" s="1487">
        <f>ROUND(D441*'MINI SSR 19-20'!H33,2)</f>
        <v>292.3</v>
      </c>
      <c r="H441" s="1483" t="s">
        <v>2217</v>
      </c>
    </row>
    <row r="442" spans="1:8" s="1403" customFormat="1" ht="25.5">
      <c r="A442" s="1481"/>
      <c r="B442" s="1481"/>
      <c r="C442" s="1484" t="s">
        <v>1285</v>
      </c>
      <c r="D442" s="1481"/>
      <c r="E442" s="1481"/>
      <c r="F442" s="1485">
        <f>ROUND((G434+G435+G436+F441)*0.1,2)</f>
        <v>210.97</v>
      </c>
      <c r="G442" s="1487">
        <f>ROUND((G434+G435+G436+G441)*0.2,2)</f>
        <v>435.26</v>
      </c>
      <c r="H442" s="1483" t="s">
        <v>2217</v>
      </c>
    </row>
    <row r="443" spans="1:8" s="1403" customFormat="1">
      <c r="A443" s="1481"/>
      <c r="B443" s="1481"/>
      <c r="C443" s="1437" t="s">
        <v>88</v>
      </c>
      <c r="D443" s="1481"/>
      <c r="E443" s="1485">
        <f>SUM(E439:E442)</f>
        <v>2649.41</v>
      </c>
      <c r="F443" s="1485">
        <f>SUM(F439:F442)</f>
        <v>2926.9799999999996</v>
      </c>
      <c r="G443" s="1487">
        <f>SUM(G439:G442)</f>
        <v>3217.87</v>
      </c>
      <c r="H443" s="1483" t="s">
        <v>2217</v>
      </c>
    </row>
    <row r="444" spans="1:8" s="1403" customFormat="1">
      <c r="A444" s="1481"/>
      <c r="B444" s="1481"/>
      <c r="C444" s="1437" t="s">
        <v>121</v>
      </c>
      <c r="D444" s="1481"/>
      <c r="E444" s="1489">
        <f>ROUND(E443/10,2)</f>
        <v>264.94</v>
      </c>
      <c r="F444" s="1489">
        <f>ROUND(F443/10,2)</f>
        <v>292.7</v>
      </c>
      <c r="G444" s="1491">
        <f>ROUND(G443/10,2)</f>
        <v>321.79000000000002</v>
      </c>
      <c r="H444" s="1483" t="s">
        <v>2217</v>
      </c>
    </row>
    <row r="445" spans="1:8" ht="89.25" hidden="1">
      <c r="A445" s="896">
        <v>5</v>
      </c>
      <c r="B445" s="966" t="s">
        <v>89</v>
      </c>
      <c r="C445" s="1382" t="s">
        <v>1304</v>
      </c>
      <c r="D445" s="967"/>
      <c r="E445" s="967"/>
      <c r="F445" s="967"/>
      <c r="G445" s="966"/>
      <c r="H445" s="964" t="s">
        <v>2217</v>
      </c>
    </row>
    <row r="446" spans="1:8" hidden="1">
      <c r="A446" s="896"/>
      <c r="B446" s="966"/>
      <c r="C446" s="962" t="s">
        <v>42</v>
      </c>
      <c r="D446" s="967"/>
      <c r="E446" s="967"/>
      <c r="F446" s="967"/>
      <c r="G446" s="972"/>
      <c r="H446" s="964" t="s">
        <v>2217</v>
      </c>
    </row>
    <row r="447" spans="1:8" hidden="1">
      <c r="A447" s="896"/>
      <c r="B447" s="966"/>
      <c r="C447" s="962" t="s">
        <v>60</v>
      </c>
      <c r="D447" s="966"/>
      <c r="E447" s="966"/>
      <c r="F447" s="966"/>
      <c r="G447" s="972"/>
      <c r="H447" s="964" t="s">
        <v>2217</v>
      </c>
    </row>
    <row r="448" spans="1:8" hidden="1">
      <c r="A448" s="896"/>
      <c r="B448" s="966"/>
      <c r="C448" s="1382" t="s">
        <v>48</v>
      </c>
      <c r="D448" s="967" t="s">
        <v>35</v>
      </c>
      <c r="E448" s="970">
        <v>0.15</v>
      </c>
      <c r="F448" s="970">
        <f>G22</f>
        <v>2975.64</v>
      </c>
      <c r="G448" s="969">
        <f>ROUND(E448*F448,2)</f>
        <v>446.35</v>
      </c>
      <c r="H448" s="964" t="s">
        <v>2217</v>
      </c>
    </row>
    <row r="449" spans="1:8" hidden="1">
      <c r="A449" s="967"/>
      <c r="B449" s="967"/>
      <c r="C449" s="962" t="s">
        <v>68</v>
      </c>
      <c r="D449" s="967"/>
      <c r="E449" s="970"/>
      <c r="F449" s="970"/>
      <c r="G449" s="969"/>
      <c r="H449" s="964" t="s">
        <v>2217</v>
      </c>
    </row>
    <row r="450" spans="1:8" hidden="1">
      <c r="A450" s="967"/>
      <c r="B450" s="967"/>
      <c r="C450" s="1382" t="s">
        <v>64</v>
      </c>
      <c r="D450" s="967" t="s">
        <v>27</v>
      </c>
      <c r="E450" s="970">
        <v>0.45</v>
      </c>
      <c r="F450" s="970">
        <f>'MINI SSR 19-20'!$H$3</f>
        <v>500</v>
      </c>
      <c r="G450" s="969">
        <f>ROUND(E450*F450,2)</f>
        <v>225</v>
      </c>
      <c r="H450" s="964" t="s">
        <v>2217</v>
      </c>
    </row>
    <row r="451" spans="1:8" hidden="1">
      <c r="A451" s="967"/>
      <c r="B451" s="967"/>
      <c r="C451" s="1382" t="s">
        <v>69</v>
      </c>
      <c r="D451" s="967" t="s">
        <v>27</v>
      </c>
      <c r="E451" s="970">
        <v>1.05</v>
      </c>
      <c r="F451" s="970">
        <f>'MINI SSR 19-20'!$H$4</f>
        <v>460</v>
      </c>
      <c r="G451" s="969">
        <f>ROUND(E451*F451,2)</f>
        <v>483</v>
      </c>
      <c r="H451" s="964" t="s">
        <v>2217</v>
      </c>
    </row>
    <row r="452" spans="1:8" hidden="1">
      <c r="A452" s="967"/>
      <c r="B452" s="967"/>
      <c r="C452" s="1382" t="s">
        <v>85</v>
      </c>
      <c r="D452" s="967" t="s">
        <v>27</v>
      </c>
      <c r="E452" s="970">
        <v>2.8</v>
      </c>
      <c r="F452" s="970">
        <f>'MINI SSR 19-20'!$H$5</f>
        <v>420</v>
      </c>
      <c r="G452" s="969">
        <f>ROUND(E452*F452,2)</f>
        <v>1176</v>
      </c>
      <c r="H452" s="964" t="s">
        <v>2217</v>
      </c>
    </row>
    <row r="453" spans="1:8" hidden="1">
      <c r="A453" s="967"/>
      <c r="B453" s="967"/>
      <c r="C453" s="962" t="s">
        <v>88</v>
      </c>
      <c r="D453" s="967"/>
      <c r="E453" s="967"/>
      <c r="F453" s="967"/>
      <c r="G453" s="971">
        <f>SUM(G448:G452)</f>
        <v>2330.35</v>
      </c>
      <c r="H453" s="964" t="s">
        <v>2217</v>
      </c>
    </row>
    <row r="454" spans="1:8" hidden="1">
      <c r="A454" s="967"/>
      <c r="B454" s="967"/>
      <c r="C454" s="962"/>
      <c r="D454" s="967"/>
      <c r="E454" s="966" t="s">
        <v>161</v>
      </c>
      <c r="F454" s="966" t="s">
        <v>162</v>
      </c>
      <c r="G454" s="974" t="s">
        <v>163</v>
      </c>
      <c r="H454" s="964" t="s">
        <v>2217</v>
      </c>
    </row>
    <row r="455" spans="1:8" hidden="1">
      <c r="A455" s="967"/>
      <c r="B455" s="967"/>
      <c r="C455" s="962" t="s">
        <v>1273</v>
      </c>
      <c r="D455" s="967"/>
      <c r="E455" s="970">
        <f>G453</f>
        <v>2330.35</v>
      </c>
      <c r="F455" s="970">
        <f>G453</f>
        <v>2330.35</v>
      </c>
      <c r="G455" s="972">
        <f>G453</f>
        <v>2330.35</v>
      </c>
      <c r="H455" s="964" t="s">
        <v>2217</v>
      </c>
    </row>
    <row r="456" spans="1:8" hidden="1">
      <c r="A456" s="967"/>
      <c r="B456" s="967"/>
      <c r="C456" s="1382" t="s">
        <v>1649</v>
      </c>
      <c r="D456" s="970">
        <v>10</v>
      </c>
      <c r="E456" s="970">
        <f>D456*'MINI SSR 19-20'!E36</f>
        <v>10.3</v>
      </c>
      <c r="F456" s="970">
        <f>E456</f>
        <v>10.3</v>
      </c>
      <c r="G456" s="972">
        <f>E456</f>
        <v>10.3</v>
      </c>
      <c r="H456" s="964" t="s">
        <v>2217</v>
      </c>
    </row>
    <row r="457" spans="1:8" hidden="1">
      <c r="A457" s="967"/>
      <c r="B457" s="967"/>
      <c r="C457" s="1382" t="s">
        <v>1651</v>
      </c>
      <c r="D457" s="970">
        <v>10</v>
      </c>
      <c r="E457" s="970">
        <f>ROUND(D457*'MINI SSR 19-20'!F36,2)</f>
        <v>79.5</v>
      </c>
      <c r="F457" s="970">
        <f>ROUND(D457*'MINI SSR 19-20'!G36,2)</f>
        <v>113.8</v>
      </c>
      <c r="G457" s="972">
        <f>ROUND(D457*'MINI SSR 19-20'!H36,2)</f>
        <v>148.1</v>
      </c>
      <c r="H457" s="964" t="s">
        <v>2217</v>
      </c>
    </row>
    <row r="458" spans="1:8" ht="25.5" hidden="1">
      <c r="A458" s="967"/>
      <c r="B458" s="967"/>
      <c r="C458" s="1382" t="s">
        <v>1285</v>
      </c>
      <c r="D458" s="967"/>
      <c r="E458" s="967"/>
      <c r="F458" s="970">
        <f>ROUND((G450+G451+G452+F457)*0.1,2)</f>
        <v>199.78</v>
      </c>
      <c r="G458" s="972">
        <f>ROUND((G450+G451+G452+G457)*0.2,2)</f>
        <v>406.42</v>
      </c>
      <c r="H458" s="964" t="s">
        <v>2217</v>
      </c>
    </row>
    <row r="459" spans="1:8" hidden="1">
      <c r="A459" s="967"/>
      <c r="B459" s="967"/>
      <c r="C459" s="962" t="s">
        <v>88</v>
      </c>
      <c r="D459" s="967"/>
      <c r="E459" s="970">
        <f>SUM(E455:E458)</f>
        <v>2420.15</v>
      </c>
      <c r="F459" s="970">
        <f>SUM(F455:F458)</f>
        <v>2654.2300000000005</v>
      </c>
      <c r="G459" s="972">
        <f>SUM(G455:G458)</f>
        <v>2895.17</v>
      </c>
      <c r="H459" s="964" t="s">
        <v>2217</v>
      </c>
    </row>
    <row r="460" spans="1:8" hidden="1">
      <c r="A460" s="967"/>
      <c r="B460" s="967"/>
      <c r="C460" s="962" t="s">
        <v>121</v>
      </c>
      <c r="D460" s="967"/>
      <c r="E460" s="974">
        <f>ROUND(E459/10,2)</f>
        <v>242.02</v>
      </c>
      <c r="F460" s="974">
        <f>ROUND(F459/10,2)</f>
        <v>265.42</v>
      </c>
      <c r="G460" s="971">
        <f>ROUND(G459/10,2)</f>
        <v>289.52</v>
      </c>
      <c r="H460" s="964" t="s">
        <v>2217</v>
      </c>
    </row>
    <row r="461" spans="1:8" ht="89.25" hidden="1">
      <c r="A461" s="896">
        <v>17</v>
      </c>
      <c r="B461" s="966" t="s">
        <v>89</v>
      </c>
      <c r="C461" s="1382" t="s">
        <v>1305</v>
      </c>
      <c r="D461" s="967"/>
      <c r="E461" s="967"/>
      <c r="F461" s="967"/>
      <c r="G461" s="966"/>
      <c r="H461" s="964" t="s">
        <v>2217</v>
      </c>
    </row>
    <row r="462" spans="1:8" hidden="1">
      <c r="A462" s="896"/>
      <c r="B462" s="966"/>
      <c r="C462" s="962" t="s">
        <v>42</v>
      </c>
      <c r="D462" s="967"/>
      <c r="E462" s="967"/>
      <c r="F462" s="967"/>
      <c r="G462" s="972"/>
      <c r="H462" s="964" t="s">
        <v>2217</v>
      </c>
    </row>
    <row r="463" spans="1:8" hidden="1">
      <c r="A463" s="896"/>
      <c r="B463" s="966"/>
      <c r="C463" s="962" t="s">
        <v>60</v>
      </c>
      <c r="D463" s="967"/>
      <c r="E463" s="967"/>
      <c r="F463" s="967"/>
      <c r="G463" s="972"/>
      <c r="H463" s="964" t="s">
        <v>2217</v>
      </c>
    </row>
    <row r="464" spans="1:8" hidden="1">
      <c r="A464" s="896"/>
      <c r="B464" s="966"/>
      <c r="C464" s="1382" t="s">
        <v>48</v>
      </c>
      <c r="D464" s="967" t="s">
        <v>35</v>
      </c>
      <c r="E464" s="970">
        <v>0.21</v>
      </c>
      <c r="F464" s="970">
        <f>G22</f>
        <v>2975.64</v>
      </c>
      <c r="G464" s="969">
        <f>ROUND(E464*F464,2)</f>
        <v>624.88</v>
      </c>
      <c r="H464" s="964" t="s">
        <v>2217</v>
      </c>
    </row>
    <row r="465" spans="1:8" hidden="1">
      <c r="A465" s="967"/>
      <c r="B465" s="967"/>
      <c r="C465" s="962" t="s">
        <v>68</v>
      </c>
      <c r="D465" s="967"/>
      <c r="E465" s="970"/>
      <c r="F465" s="970"/>
      <c r="G465" s="969"/>
      <c r="H465" s="964" t="s">
        <v>2217</v>
      </c>
    </row>
    <row r="466" spans="1:8" hidden="1">
      <c r="A466" s="967"/>
      <c r="B466" s="967"/>
      <c r="C466" s="1382" t="s">
        <v>64</v>
      </c>
      <c r="D466" s="967" t="s">
        <v>27</v>
      </c>
      <c r="E466" s="970">
        <v>0.45</v>
      </c>
      <c r="F466" s="970">
        <f>'MINI SSR 19-20'!$H$3</f>
        <v>500</v>
      </c>
      <c r="G466" s="969">
        <f>ROUND(E466*F466,2)</f>
        <v>225</v>
      </c>
      <c r="H466" s="964" t="s">
        <v>2217</v>
      </c>
    </row>
    <row r="467" spans="1:8" hidden="1">
      <c r="A467" s="967"/>
      <c r="B467" s="967"/>
      <c r="C467" s="1382" t="s">
        <v>69</v>
      </c>
      <c r="D467" s="967" t="s">
        <v>27</v>
      </c>
      <c r="E467" s="970">
        <v>1.05</v>
      </c>
      <c r="F467" s="970">
        <f>'MINI SSR 19-20'!$H$4</f>
        <v>460</v>
      </c>
      <c r="G467" s="969">
        <f>ROUND(E467*F467,2)</f>
        <v>483</v>
      </c>
      <c r="H467" s="964" t="s">
        <v>2217</v>
      </c>
    </row>
    <row r="468" spans="1:8" hidden="1">
      <c r="A468" s="967"/>
      <c r="B468" s="967"/>
      <c r="C468" s="1382" t="s">
        <v>85</v>
      </c>
      <c r="D468" s="967" t="s">
        <v>27</v>
      </c>
      <c r="E468" s="970">
        <v>2.8</v>
      </c>
      <c r="F468" s="970">
        <f>'MINI SSR 19-20'!$H$5</f>
        <v>420</v>
      </c>
      <c r="G468" s="969">
        <f>ROUND(E468*F468,2)</f>
        <v>1176</v>
      </c>
      <c r="H468" s="964" t="s">
        <v>2217</v>
      </c>
    </row>
    <row r="469" spans="1:8" hidden="1">
      <c r="A469" s="967"/>
      <c r="B469" s="967"/>
      <c r="C469" s="962" t="s">
        <v>88</v>
      </c>
      <c r="D469" s="967"/>
      <c r="E469" s="967"/>
      <c r="F469" s="967"/>
      <c r="G469" s="971">
        <f>SUM(G464:G468)</f>
        <v>2508.88</v>
      </c>
      <c r="H469" s="964" t="s">
        <v>2217</v>
      </c>
    </row>
    <row r="470" spans="1:8" hidden="1">
      <c r="A470" s="967"/>
      <c r="B470" s="967"/>
      <c r="C470" s="962"/>
      <c r="D470" s="967"/>
      <c r="E470" s="966" t="s">
        <v>161</v>
      </c>
      <c r="F470" s="966" t="s">
        <v>162</v>
      </c>
      <c r="G470" s="974" t="s">
        <v>163</v>
      </c>
      <c r="H470" s="964" t="s">
        <v>2217</v>
      </c>
    </row>
    <row r="471" spans="1:8" hidden="1">
      <c r="A471" s="967"/>
      <c r="B471" s="967"/>
      <c r="C471" s="962" t="s">
        <v>1273</v>
      </c>
      <c r="D471" s="967"/>
      <c r="E471" s="970">
        <f>G469</f>
        <v>2508.88</v>
      </c>
      <c r="F471" s="970">
        <f>G469</f>
        <v>2508.88</v>
      </c>
      <c r="G471" s="972">
        <f>G469</f>
        <v>2508.88</v>
      </c>
      <c r="H471" s="964" t="s">
        <v>2217</v>
      </c>
    </row>
    <row r="472" spans="1:8" hidden="1">
      <c r="A472" s="967"/>
      <c r="B472" s="967"/>
      <c r="C472" s="1382" t="s">
        <v>1649</v>
      </c>
      <c r="D472" s="970">
        <v>10</v>
      </c>
      <c r="E472" s="970">
        <f>D472*'MINI SSR 19-20'!$E$36</f>
        <v>10.3</v>
      </c>
      <c r="F472" s="970">
        <f>E472</f>
        <v>10.3</v>
      </c>
      <c r="G472" s="972">
        <f>E472</f>
        <v>10.3</v>
      </c>
      <c r="H472" s="964" t="s">
        <v>2217</v>
      </c>
    </row>
    <row r="473" spans="1:8" hidden="1">
      <c r="A473" s="967"/>
      <c r="B473" s="967"/>
      <c r="C473" s="1382" t="s">
        <v>1652</v>
      </c>
      <c r="D473" s="970">
        <v>10</v>
      </c>
      <c r="E473" s="970">
        <f>ROUND(D473*'MINI SSR 19-20'!F36,2)</f>
        <v>79.5</v>
      </c>
      <c r="F473" s="970">
        <f>ROUND(D473*'MINI SSR 19-20'!G36,2)</f>
        <v>113.8</v>
      </c>
      <c r="G473" s="972">
        <f>ROUND(D473*'MINI SSR 19-20'!H36,2)</f>
        <v>148.1</v>
      </c>
      <c r="H473" s="964" t="s">
        <v>2217</v>
      </c>
    </row>
    <row r="474" spans="1:8" ht="25.5" hidden="1">
      <c r="A474" s="967"/>
      <c r="B474" s="967"/>
      <c r="C474" s="1382" t="s">
        <v>1285</v>
      </c>
      <c r="D474" s="967"/>
      <c r="E474" s="967"/>
      <c r="F474" s="970">
        <f>ROUND((G466+G467+G468+F473)*0.1,2)</f>
        <v>199.78</v>
      </c>
      <c r="G474" s="972">
        <f>ROUND((G466+G467+G468+G473)*0.2,2)</f>
        <v>406.42</v>
      </c>
      <c r="H474" s="964" t="s">
        <v>2217</v>
      </c>
    </row>
    <row r="475" spans="1:8" hidden="1">
      <c r="A475" s="967"/>
      <c r="B475" s="967"/>
      <c r="C475" s="962" t="s">
        <v>88</v>
      </c>
      <c r="D475" s="967"/>
      <c r="E475" s="970">
        <f>SUM(E471:E474)</f>
        <v>2598.6800000000003</v>
      </c>
      <c r="F475" s="970">
        <f>SUM(F471:F474)</f>
        <v>2832.7600000000007</v>
      </c>
      <c r="G475" s="972">
        <f>SUM(G471:G474)</f>
        <v>3073.7000000000003</v>
      </c>
      <c r="H475" s="964" t="s">
        <v>2217</v>
      </c>
    </row>
    <row r="476" spans="1:8" hidden="1">
      <c r="A476" s="967"/>
      <c r="B476" s="967"/>
      <c r="C476" s="962" t="s">
        <v>121</v>
      </c>
      <c r="D476" s="967"/>
      <c r="E476" s="974">
        <f>ROUND(E475/10,2)</f>
        <v>259.87</v>
      </c>
      <c r="F476" s="974">
        <f>ROUND(F475/10,2)</f>
        <v>283.27999999999997</v>
      </c>
      <c r="G476" s="971">
        <f>ROUND(G475/10,2)</f>
        <v>307.37</v>
      </c>
      <c r="H476" s="964" t="s">
        <v>2217</v>
      </c>
    </row>
    <row r="477" spans="1:8" ht="89.25" hidden="1">
      <c r="A477" s="896">
        <v>34</v>
      </c>
      <c r="B477" s="966" t="s">
        <v>89</v>
      </c>
      <c r="C477" s="1382" t="s">
        <v>1306</v>
      </c>
      <c r="D477" s="967"/>
      <c r="E477" s="967"/>
      <c r="F477" s="967"/>
      <c r="G477" s="966" t="s">
        <v>89</v>
      </c>
      <c r="H477" s="964" t="s">
        <v>2217</v>
      </c>
    </row>
    <row r="478" spans="1:8" hidden="1">
      <c r="A478" s="896"/>
      <c r="B478" s="966"/>
      <c r="C478" s="962" t="s">
        <v>42</v>
      </c>
      <c r="D478" s="967"/>
      <c r="E478" s="967"/>
      <c r="F478" s="967"/>
      <c r="G478" s="972"/>
      <c r="H478" s="964" t="s">
        <v>2217</v>
      </c>
    </row>
    <row r="479" spans="1:8" hidden="1">
      <c r="A479" s="896"/>
      <c r="B479" s="966"/>
      <c r="C479" s="962" t="s">
        <v>60</v>
      </c>
      <c r="D479" s="967"/>
      <c r="E479" s="967"/>
      <c r="F479" s="967"/>
      <c r="G479" s="972"/>
      <c r="H479" s="964" t="s">
        <v>2217</v>
      </c>
    </row>
    <row r="480" spans="1:8" hidden="1">
      <c r="A480" s="896"/>
      <c r="B480" s="966"/>
      <c r="C480" s="1382" t="s">
        <v>43</v>
      </c>
      <c r="D480" s="967" t="s">
        <v>35</v>
      </c>
      <c r="E480" s="970">
        <v>0.21</v>
      </c>
      <c r="F480" s="970">
        <f>G12</f>
        <v>3878.04</v>
      </c>
      <c r="G480" s="969">
        <f>ROUND(E480*F480,2)</f>
        <v>814.39</v>
      </c>
      <c r="H480" s="964" t="s">
        <v>2217</v>
      </c>
    </row>
    <row r="481" spans="1:8" hidden="1">
      <c r="A481" s="967"/>
      <c r="B481" s="967"/>
      <c r="C481" s="962" t="s">
        <v>68</v>
      </c>
      <c r="D481" s="967"/>
      <c r="E481" s="970"/>
      <c r="F481" s="970"/>
      <c r="G481" s="969"/>
      <c r="H481" s="964" t="s">
        <v>2217</v>
      </c>
    </row>
    <row r="482" spans="1:8" hidden="1">
      <c r="A482" s="967"/>
      <c r="B482" s="967"/>
      <c r="C482" s="1382" t="s">
        <v>64</v>
      </c>
      <c r="D482" s="967" t="s">
        <v>27</v>
      </c>
      <c r="E482" s="970">
        <v>0.45</v>
      </c>
      <c r="F482" s="970">
        <f>'MINI SSR 19-20'!$H$3</f>
        <v>500</v>
      </c>
      <c r="G482" s="969">
        <f>ROUND(E482*F482,2)</f>
        <v>225</v>
      </c>
      <c r="H482" s="964" t="s">
        <v>2217</v>
      </c>
    </row>
    <row r="483" spans="1:8" hidden="1">
      <c r="A483" s="967"/>
      <c r="B483" s="967"/>
      <c r="C483" s="1382" t="s">
        <v>69</v>
      </c>
      <c r="D483" s="967" t="s">
        <v>27</v>
      </c>
      <c r="E483" s="970">
        <v>1.05</v>
      </c>
      <c r="F483" s="970">
        <f>'MINI SSR 19-20'!$H$4</f>
        <v>460</v>
      </c>
      <c r="G483" s="969">
        <f>ROUND(E483*F483,2)</f>
        <v>483</v>
      </c>
      <c r="H483" s="964" t="s">
        <v>2217</v>
      </c>
    </row>
    <row r="484" spans="1:8" hidden="1">
      <c r="A484" s="967"/>
      <c r="B484" s="967"/>
      <c r="C484" s="1382" t="s">
        <v>85</v>
      </c>
      <c r="D484" s="967" t="s">
        <v>27</v>
      </c>
      <c r="E484" s="970">
        <v>2.8</v>
      </c>
      <c r="F484" s="970">
        <f>'MINI SSR 19-20'!$H$5</f>
        <v>420</v>
      </c>
      <c r="G484" s="969">
        <f>ROUND(E484*F484,2)</f>
        <v>1176</v>
      </c>
      <c r="H484" s="964" t="s">
        <v>2217</v>
      </c>
    </row>
    <row r="485" spans="1:8" hidden="1">
      <c r="A485" s="967"/>
      <c r="B485" s="967"/>
      <c r="C485" s="962" t="s">
        <v>88</v>
      </c>
      <c r="D485" s="967"/>
      <c r="E485" s="967"/>
      <c r="F485" s="967"/>
      <c r="G485" s="971">
        <f>SUM(G480:G484)</f>
        <v>2698.39</v>
      </c>
      <c r="H485" s="964" t="s">
        <v>2217</v>
      </c>
    </row>
    <row r="486" spans="1:8" hidden="1">
      <c r="A486" s="967"/>
      <c r="B486" s="967"/>
      <c r="C486" s="962"/>
      <c r="D486" s="967"/>
      <c r="E486" s="966" t="s">
        <v>161</v>
      </c>
      <c r="F486" s="966" t="s">
        <v>162</v>
      </c>
      <c r="G486" s="974" t="s">
        <v>163</v>
      </c>
      <c r="H486" s="964" t="s">
        <v>2217</v>
      </c>
    </row>
    <row r="487" spans="1:8" hidden="1">
      <c r="A487" s="967"/>
      <c r="B487" s="967"/>
      <c r="C487" s="962" t="s">
        <v>1273</v>
      </c>
      <c r="D487" s="967"/>
      <c r="E487" s="970">
        <f>G485</f>
        <v>2698.39</v>
      </c>
      <c r="F487" s="970">
        <f>G485</f>
        <v>2698.39</v>
      </c>
      <c r="G487" s="972">
        <f>G485</f>
        <v>2698.39</v>
      </c>
      <c r="H487" s="964" t="s">
        <v>2217</v>
      </c>
    </row>
    <row r="488" spans="1:8" hidden="1">
      <c r="A488" s="967"/>
      <c r="B488" s="967"/>
      <c r="C488" s="1382" t="s">
        <v>1649</v>
      </c>
      <c r="D488" s="970">
        <v>10</v>
      </c>
      <c r="E488" s="970">
        <f>D488*'MINI SSR 19-20'!$E$36</f>
        <v>10.3</v>
      </c>
      <c r="F488" s="970">
        <f>E488</f>
        <v>10.3</v>
      </c>
      <c r="G488" s="972">
        <f>E488</f>
        <v>10.3</v>
      </c>
      <c r="H488" s="964" t="s">
        <v>2217</v>
      </c>
    </row>
    <row r="489" spans="1:8" hidden="1">
      <c r="A489" s="967"/>
      <c r="B489" s="967"/>
      <c r="C489" s="1382" t="s">
        <v>1652</v>
      </c>
      <c r="D489" s="970">
        <v>10</v>
      </c>
      <c r="E489" s="970">
        <f>ROUND(D489*'MINI SSR 19-20'!F36,2)</f>
        <v>79.5</v>
      </c>
      <c r="F489" s="970">
        <f>ROUND(D489*'MINI SSR 19-20'!G36,2)</f>
        <v>113.8</v>
      </c>
      <c r="G489" s="972">
        <f>ROUND(D489*'MINI SSR 19-20'!H36,2)</f>
        <v>148.1</v>
      </c>
      <c r="H489" s="964" t="s">
        <v>2217</v>
      </c>
    </row>
    <row r="490" spans="1:8" ht="25.5" hidden="1">
      <c r="A490" s="967"/>
      <c r="B490" s="967"/>
      <c r="C490" s="1382" t="s">
        <v>1285</v>
      </c>
      <c r="D490" s="967"/>
      <c r="E490" s="967"/>
      <c r="F490" s="970">
        <f>ROUND((G482+G483+G484+F489)*0.1,2)</f>
        <v>199.78</v>
      </c>
      <c r="G490" s="972">
        <f>ROUND((G482+G483+G484+G489)*0.2,2)</f>
        <v>406.42</v>
      </c>
      <c r="H490" s="964" t="s">
        <v>2217</v>
      </c>
    </row>
    <row r="491" spans="1:8" hidden="1">
      <c r="A491" s="967"/>
      <c r="B491" s="967"/>
      <c r="C491" s="962" t="s">
        <v>88</v>
      </c>
      <c r="D491" s="967"/>
      <c r="E491" s="970">
        <f>SUM(E487:E490)</f>
        <v>2788.19</v>
      </c>
      <c r="F491" s="970">
        <f>SUM(F487:F490)</f>
        <v>3022.2700000000004</v>
      </c>
      <c r="G491" s="972">
        <f>SUM(G487:G490)</f>
        <v>3263.21</v>
      </c>
      <c r="H491" s="964" t="s">
        <v>2217</v>
      </c>
    </row>
    <row r="492" spans="1:8" hidden="1">
      <c r="A492" s="967"/>
      <c r="B492" s="967"/>
      <c r="C492" s="962" t="s">
        <v>121</v>
      </c>
      <c r="D492" s="967"/>
      <c r="E492" s="974">
        <f>ROUND(E491/10,2)</f>
        <v>278.82</v>
      </c>
      <c r="F492" s="974">
        <f>ROUND(F491/10,2)</f>
        <v>302.23</v>
      </c>
      <c r="G492" s="971">
        <f>ROUND(G491/10,2)</f>
        <v>326.32</v>
      </c>
      <c r="H492" s="964" t="s">
        <v>2217</v>
      </c>
    </row>
    <row r="493" spans="1:8" s="1403" customFormat="1" ht="102">
      <c r="A493" s="1397">
        <v>16</v>
      </c>
      <c r="B493" s="1490" t="s">
        <v>1346</v>
      </c>
      <c r="C493" s="1484" t="s">
        <v>808</v>
      </c>
      <c r="D493" s="1481"/>
      <c r="E493" s="1481"/>
      <c r="F493" s="1481"/>
      <c r="G493" s="1490"/>
      <c r="H493" s="1483" t="s">
        <v>2217</v>
      </c>
    </row>
    <row r="494" spans="1:8" s="1403" customFormat="1">
      <c r="A494" s="1397"/>
      <c r="B494" s="1490"/>
      <c r="C494" s="1437" t="s">
        <v>42</v>
      </c>
      <c r="D494" s="1481"/>
      <c r="E494" s="1481"/>
      <c r="F494" s="1481"/>
      <c r="G494" s="1487"/>
      <c r="H494" s="1483" t="s">
        <v>2217</v>
      </c>
    </row>
    <row r="495" spans="1:8" s="1403" customFormat="1">
      <c r="A495" s="1397"/>
      <c r="B495" s="1490"/>
      <c r="C495" s="1437" t="s">
        <v>317</v>
      </c>
      <c r="D495" s="1481"/>
      <c r="E495" s="1481"/>
      <c r="F495" s="1481"/>
      <c r="G495" s="1487"/>
      <c r="H495" s="1483" t="s">
        <v>2217</v>
      </c>
    </row>
    <row r="496" spans="1:8" s="1403" customFormat="1">
      <c r="A496" s="1397"/>
      <c r="B496" s="1490"/>
      <c r="C496" s="1484" t="s">
        <v>107</v>
      </c>
      <c r="D496" s="1481" t="s">
        <v>4</v>
      </c>
      <c r="E496" s="1485">
        <v>31.7</v>
      </c>
      <c r="F496" s="1485">
        <f>'lead 19-20'!L8</f>
        <v>4700</v>
      </c>
      <c r="G496" s="1486">
        <f>ROUND(E496*F496/1000,2)</f>
        <v>148.99</v>
      </c>
      <c r="H496" s="1483" t="s">
        <v>2217</v>
      </c>
    </row>
    <row r="497" spans="1:8" s="1403" customFormat="1">
      <c r="A497" s="1397"/>
      <c r="B497" s="1490"/>
      <c r="C497" s="1484" t="s">
        <v>318</v>
      </c>
      <c r="D497" s="1481" t="s">
        <v>35</v>
      </c>
      <c r="E497" s="1485">
        <v>0.11</v>
      </c>
      <c r="F497" s="1485">
        <f>'lead 19-20'!L12</f>
        <v>1464.7999999999988</v>
      </c>
      <c r="G497" s="1486">
        <f>ROUND(E497*F497,2)</f>
        <v>161.13</v>
      </c>
      <c r="H497" s="1483" t="s">
        <v>2217</v>
      </c>
    </row>
    <row r="498" spans="1:8" s="1403" customFormat="1">
      <c r="A498" s="1397"/>
      <c r="B498" s="1490"/>
      <c r="C498" s="1437" t="s">
        <v>319</v>
      </c>
      <c r="D498" s="1481"/>
      <c r="E498" s="1481"/>
      <c r="F498" s="1481"/>
      <c r="G498" s="1487"/>
      <c r="H498" s="1483" t="s">
        <v>2217</v>
      </c>
    </row>
    <row r="499" spans="1:8" s="1403" customFormat="1">
      <c r="A499" s="1397"/>
      <c r="B499" s="1490"/>
      <c r="C499" s="1484" t="s">
        <v>107</v>
      </c>
      <c r="D499" s="1481" t="s">
        <v>4</v>
      </c>
      <c r="E499" s="1485">
        <v>19.2</v>
      </c>
      <c r="F499" s="1485">
        <f>F496</f>
        <v>4700</v>
      </c>
      <c r="G499" s="1486">
        <f>ROUND(E499*F499/1000,2)</f>
        <v>90.24</v>
      </c>
      <c r="H499" s="1483" t="s">
        <v>2217</v>
      </c>
    </row>
    <row r="500" spans="1:8" s="1403" customFormat="1">
      <c r="A500" s="1397"/>
      <c r="B500" s="1490"/>
      <c r="C500" s="1484" t="s">
        <v>318</v>
      </c>
      <c r="D500" s="1481" t="s">
        <v>35</v>
      </c>
      <c r="E500" s="1485">
        <v>0.04</v>
      </c>
      <c r="F500" s="1485">
        <f>F497</f>
        <v>1464.7999999999988</v>
      </c>
      <c r="G500" s="1486">
        <f>ROUND(E500*F500,2)</f>
        <v>58.59</v>
      </c>
      <c r="H500" s="1483" t="s">
        <v>2217</v>
      </c>
    </row>
    <row r="501" spans="1:8" s="1403" customFormat="1">
      <c r="A501" s="1481"/>
      <c r="B501" s="1481"/>
      <c r="C501" s="1437" t="s">
        <v>68</v>
      </c>
      <c r="D501" s="1481"/>
      <c r="E501" s="1485"/>
      <c r="F501" s="1485"/>
      <c r="G501" s="1486"/>
      <c r="H501" s="1483" t="s">
        <v>2217</v>
      </c>
    </row>
    <row r="502" spans="1:8" s="1403" customFormat="1">
      <c r="A502" s="1481"/>
      <c r="B502" s="1481"/>
      <c r="C502" s="1484" t="s">
        <v>64</v>
      </c>
      <c r="D502" s="1481" t="s">
        <v>27</v>
      </c>
      <c r="E502" s="1485">
        <v>0.63</v>
      </c>
      <c r="F502" s="1485">
        <f>'MINI SSR 19-20'!$H$3</f>
        <v>500</v>
      </c>
      <c r="G502" s="1486">
        <f>ROUND(E502*F502,2)</f>
        <v>315</v>
      </c>
      <c r="H502" s="1483" t="s">
        <v>2217</v>
      </c>
    </row>
    <row r="503" spans="1:8" s="1403" customFormat="1">
      <c r="A503" s="1481"/>
      <c r="B503" s="1481"/>
      <c r="C503" s="1484" t="s">
        <v>69</v>
      </c>
      <c r="D503" s="1481" t="s">
        <v>27</v>
      </c>
      <c r="E503" s="1485">
        <v>1.47</v>
      </c>
      <c r="F503" s="1485">
        <f>'MINI SSR 19-20'!$H$4</f>
        <v>460</v>
      </c>
      <c r="G503" s="1486">
        <f>ROUND(E503*F503,2)</f>
        <v>676.2</v>
      </c>
      <c r="H503" s="1483" t="s">
        <v>2217</v>
      </c>
    </row>
    <row r="504" spans="1:8" s="1403" customFormat="1">
      <c r="A504" s="1481"/>
      <c r="B504" s="1481"/>
      <c r="C504" s="1484" t="s">
        <v>85</v>
      </c>
      <c r="D504" s="1481" t="s">
        <v>27</v>
      </c>
      <c r="E504" s="1485">
        <v>3.9</v>
      </c>
      <c r="F504" s="1485">
        <f>'MINI SSR 19-20'!$H$5</f>
        <v>420</v>
      </c>
      <c r="G504" s="1486">
        <f>ROUND(E504*F504,2)</f>
        <v>1638</v>
      </c>
      <c r="H504" s="1483" t="s">
        <v>2217</v>
      </c>
    </row>
    <row r="505" spans="1:8" s="1403" customFormat="1">
      <c r="A505" s="1481"/>
      <c r="B505" s="1481"/>
      <c r="C505" s="1437" t="s">
        <v>88</v>
      </c>
      <c r="D505" s="1481"/>
      <c r="E505" s="1481"/>
      <c r="F505" s="1481"/>
      <c r="G505" s="1491">
        <f>SUM(G496:G504)</f>
        <v>3088.15</v>
      </c>
      <c r="H505" s="1483" t="s">
        <v>2217</v>
      </c>
    </row>
    <row r="506" spans="1:8" s="1403" customFormat="1">
      <c r="A506" s="1481"/>
      <c r="B506" s="1481"/>
      <c r="C506" s="1437"/>
      <c r="D506" s="1481"/>
      <c r="E506" s="1490" t="s">
        <v>161</v>
      </c>
      <c r="F506" s="1490" t="s">
        <v>162</v>
      </c>
      <c r="G506" s="1489" t="s">
        <v>163</v>
      </c>
      <c r="H506" s="1483" t="s">
        <v>2217</v>
      </c>
    </row>
    <row r="507" spans="1:8" s="1403" customFormat="1">
      <c r="A507" s="1481"/>
      <c r="B507" s="1481"/>
      <c r="C507" s="1437" t="s">
        <v>1273</v>
      </c>
      <c r="D507" s="1481"/>
      <c r="E507" s="1485">
        <f>G505</f>
        <v>3088.15</v>
      </c>
      <c r="F507" s="1485">
        <f>G505</f>
        <v>3088.15</v>
      </c>
      <c r="G507" s="1487">
        <f>F507</f>
        <v>3088.15</v>
      </c>
      <c r="H507" s="1483" t="s">
        <v>2217</v>
      </c>
    </row>
    <row r="508" spans="1:8" s="1403" customFormat="1">
      <c r="A508" s="1481"/>
      <c r="B508" s="1481"/>
      <c r="C508" s="1484" t="s">
        <v>1649</v>
      </c>
      <c r="D508" s="1485">
        <v>10</v>
      </c>
      <c r="E508" s="1485">
        <f>D508*'MINI SSR 19-20'!$E$36</f>
        <v>10.3</v>
      </c>
      <c r="F508" s="1485">
        <f>E508</f>
        <v>10.3</v>
      </c>
      <c r="G508" s="1487">
        <f>F508</f>
        <v>10.3</v>
      </c>
      <c r="H508" s="1483" t="s">
        <v>2217</v>
      </c>
    </row>
    <row r="509" spans="1:8" s="1403" customFormat="1">
      <c r="A509" s="1481"/>
      <c r="B509" s="1481"/>
      <c r="C509" s="1484" t="s">
        <v>1650</v>
      </c>
      <c r="D509" s="1485">
        <v>10</v>
      </c>
      <c r="E509" s="1485">
        <f>ROUND(D509*'MINI SSR 19-20'!F36,2)</f>
        <v>79.5</v>
      </c>
      <c r="F509" s="1485">
        <f>ROUND(D509*'MINI SSR 19-20'!G36,2)</f>
        <v>113.8</v>
      </c>
      <c r="G509" s="1487">
        <f>ROUND(D509*'MINI SSR 19-20'!H36,2)</f>
        <v>148.1</v>
      </c>
      <c r="H509" s="1483" t="s">
        <v>2217</v>
      </c>
    </row>
    <row r="510" spans="1:8" s="1403" customFormat="1" ht="25.5">
      <c r="A510" s="1481"/>
      <c r="B510" s="1481"/>
      <c r="C510" s="1484" t="s">
        <v>1285</v>
      </c>
      <c r="D510" s="1481"/>
      <c r="E510" s="1481"/>
      <c r="F510" s="1485">
        <f>ROUND((G502+G503+G504+F509)*0.1,2)</f>
        <v>274.3</v>
      </c>
      <c r="G510" s="1487">
        <f>ROUND((G502+G503+G504+G509)*0.2,2)</f>
        <v>555.46</v>
      </c>
      <c r="H510" s="1483" t="s">
        <v>2217</v>
      </c>
    </row>
    <row r="511" spans="1:8" s="1403" customFormat="1">
      <c r="A511" s="1481"/>
      <c r="B511" s="1481"/>
      <c r="C511" s="1437" t="s">
        <v>88</v>
      </c>
      <c r="D511" s="1481"/>
      <c r="E511" s="1485">
        <f>SUM(E507:E510)</f>
        <v>3177.9500000000003</v>
      </c>
      <c r="F511" s="1485">
        <f>SUM(F507:F510)</f>
        <v>3486.5500000000006</v>
      </c>
      <c r="G511" s="1487">
        <f>SUM(G507:G510)</f>
        <v>3802.01</v>
      </c>
      <c r="H511" s="1483" t="s">
        <v>2217</v>
      </c>
    </row>
    <row r="512" spans="1:8" s="1403" customFormat="1">
      <c r="A512" s="1481"/>
      <c r="B512" s="1481"/>
      <c r="C512" s="1437" t="s">
        <v>121</v>
      </c>
      <c r="D512" s="1481"/>
      <c r="E512" s="1489">
        <f>ROUND(E511/10,2)</f>
        <v>317.8</v>
      </c>
      <c r="F512" s="1489">
        <f>ROUND(F511/10,2)</f>
        <v>348.66</v>
      </c>
      <c r="G512" s="1491">
        <f>ROUND(G511/10,2)</f>
        <v>380.2</v>
      </c>
      <c r="H512" s="1483" t="s">
        <v>2217</v>
      </c>
    </row>
    <row r="513" spans="1:8" s="1403" customFormat="1" ht="102">
      <c r="A513" s="1397">
        <v>17</v>
      </c>
      <c r="B513" s="1490" t="s">
        <v>1347</v>
      </c>
      <c r="C513" s="1484" t="s">
        <v>316</v>
      </c>
      <c r="D513" s="1481"/>
      <c r="E513" s="1481"/>
      <c r="F513" s="1481"/>
      <c r="G513" s="1490"/>
      <c r="H513" s="1483" t="s">
        <v>2217</v>
      </c>
    </row>
    <row r="514" spans="1:8" s="1403" customFormat="1">
      <c r="A514" s="1397"/>
      <c r="B514" s="1490"/>
      <c r="C514" s="1437" t="s">
        <v>42</v>
      </c>
      <c r="D514" s="1481"/>
      <c r="E514" s="1481"/>
      <c r="F514" s="1481"/>
      <c r="G514" s="1487"/>
      <c r="H514" s="1483" t="s">
        <v>2217</v>
      </c>
    </row>
    <row r="515" spans="1:8" s="1403" customFormat="1">
      <c r="A515" s="1397"/>
      <c r="B515" s="1490"/>
      <c r="C515" s="1437" t="s">
        <v>317</v>
      </c>
      <c r="D515" s="1481"/>
      <c r="E515" s="1481"/>
      <c r="F515" s="1481"/>
      <c r="G515" s="1487"/>
      <c r="H515" s="1483" t="s">
        <v>2217</v>
      </c>
    </row>
    <row r="516" spans="1:8" s="1403" customFormat="1">
      <c r="A516" s="1397"/>
      <c r="B516" s="1490"/>
      <c r="C516" s="1484" t="s">
        <v>107</v>
      </c>
      <c r="D516" s="1481" t="s">
        <v>4</v>
      </c>
      <c r="E516" s="1485">
        <v>43</v>
      </c>
      <c r="F516" s="1485">
        <f>F496</f>
        <v>4700</v>
      </c>
      <c r="G516" s="1486">
        <f>ROUND(E516*F516/1000,2)</f>
        <v>202.1</v>
      </c>
      <c r="H516" s="1483" t="s">
        <v>2217</v>
      </c>
    </row>
    <row r="517" spans="1:8" s="1403" customFormat="1">
      <c r="A517" s="1397"/>
      <c r="B517" s="1490"/>
      <c r="C517" s="1484" t="s">
        <v>318</v>
      </c>
      <c r="D517" s="1481" t="s">
        <v>35</v>
      </c>
      <c r="E517" s="1485">
        <v>0.18</v>
      </c>
      <c r="F517" s="1485">
        <f>F497</f>
        <v>1464.7999999999988</v>
      </c>
      <c r="G517" s="1486">
        <f>ROUND(E517*F517,2)</f>
        <v>263.66000000000003</v>
      </c>
      <c r="H517" s="1483" t="s">
        <v>2217</v>
      </c>
    </row>
    <row r="518" spans="1:8" s="1403" customFormat="1">
      <c r="A518" s="1397"/>
      <c r="B518" s="1490"/>
      <c r="C518" s="1437" t="s">
        <v>319</v>
      </c>
      <c r="D518" s="1481"/>
      <c r="E518" s="1481"/>
      <c r="F518" s="1481"/>
      <c r="G518" s="1487"/>
      <c r="H518" s="1483" t="s">
        <v>2217</v>
      </c>
    </row>
    <row r="519" spans="1:8" s="1403" customFormat="1">
      <c r="A519" s="1397"/>
      <c r="B519" s="1490"/>
      <c r="C519" s="1484" t="s">
        <v>107</v>
      </c>
      <c r="D519" s="1481" t="s">
        <v>4</v>
      </c>
      <c r="E519" s="1485">
        <v>14.5</v>
      </c>
      <c r="F519" s="1485">
        <f>F516</f>
        <v>4700</v>
      </c>
      <c r="G519" s="1486">
        <f>ROUND(E519*F519/1000,2)</f>
        <v>68.150000000000006</v>
      </c>
      <c r="H519" s="1483" t="s">
        <v>2217</v>
      </c>
    </row>
    <row r="520" spans="1:8" s="1403" customFormat="1">
      <c r="A520" s="1397"/>
      <c r="B520" s="1490"/>
      <c r="C520" s="1484" t="s">
        <v>318</v>
      </c>
      <c r="D520" s="1481" t="s">
        <v>35</v>
      </c>
      <c r="E520" s="1485">
        <v>0.04</v>
      </c>
      <c r="F520" s="1485">
        <f>F517</f>
        <v>1464.7999999999988</v>
      </c>
      <c r="G520" s="1486">
        <f>ROUND(E520*F520,2)</f>
        <v>58.59</v>
      </c>
      <c r="H520" s="1483" t="s">
        <v>2217</v>
      </c>
    </row>
    <row r="521" spans="1:8" s="1403" customFormat="1">
      <c r="A521" s="1481"/>
      <c r="B521" s="1481"/>
      <c r="C521" s="1437" t="s">
        <v>68</v>
      </c>
      <c r="D521" s="1481"/>
      <c r="E521" s="1485"/>
      <c r="F521" s="1485"/>
      <c r="G521" s="1486"/>
      <c r="H521" s="1483" t="s">
        <v>2217</v>
      </c>
    </row>
    <row r="522" spans="1:8" s="1403" customFormat="1">
      <c r="A522" s="1481"/>
      <c r="B522" s="1481"/>
      <c r="C522" s="1484" t="s">
        <v>64</v>
      </c>
      <c r="D522" s="1481" t="s">
        <v>27</v>
      </c>
      <c r="E522" s="1485">
        <v>0.63</v>
      </c>
      <c r="F522" s="1485">
        <f>'MINI SSR 19-20'!$H$3</f>
        <v>500</v>
      </c>
      <c r="G522" s="1486">
        <f>ROUND(E522*F522,2)</f>
        <v>315</v>
      </c>
      <c r="H522" s="1483" t="s">
        <v>2217</v>
      </c>
    </row>
    <row r="523" spans="1:8" s="1403" customFormat="1">
      <c r="A523" s="1481"/>
      <c r="B523" s="1481"/>
      <c r="C523" s="1484" t="s">
        <v>69</v>
      </c>
      <c r="D523" s="1481" t="s">
        <v>27</v>
      </c>
      <c r="E523" s="1485">
        <v>1.47</v>
      </c>
      <c r="F523" s="1485">
        <f>'MINI SSR 19-20'!$H$4</f>
        <v>460</v>
      </c>
      <c r="G523" s="1486">
        <f>ROUND(E523*F523,2)</f>
        <v>676.2</v>
      </c>
      <c r="H523" s="1483" t="s">
        <v>2217</v>
      </c>
    </row>
    <row r="524" spans="1:8" s="1403" customFormat="1">
      <c r="A524" s="1481"/>
      <c r="B524" s="1481"/>
      <c r="C524" s="1484" t="s">
        <v>85</v>
      </c>
      <c r="D524" s="1481" t="s">
        <v>27</v>
      </c>
      <c r="E524" s="1485">
        <v>3.9</v>
      </c>
      <c r="F524" s="1485">
        <f>'MINI SSR 19-20'!$H$5</f>
        <v>420</v>
      </c>
      <c r="G524" s="1486">
        <f>ROUND(E524*F524,2)</f>
        <v>1638</v>
      </c>
      <c r="H524" s="1483" t="s">
        <v>2217</v>
      </c>
    </row>
    <row r="525" spans="1:8" s="1403" customFormat="1">
      <c r="A525" s="1481"/>
      <c r="B525" s="1481"/>
      <c r="C525" s="1437" t="s">
        <v>88</v>
      </c>
      <c r="D525" s="1481"/>
      <c r="E525" s="1481"/>
      <c r="F525" s="1481"/>
      <c r="G525" s="1491">
        <f>SUM(G516:G524)</f>
        <v>3221.7</v>
      </c>
      <c r="H525" s="1483" t="s">
        <v>2217</v>
      </c>
    </row>
    <row r="526" spans="1:8" s="1403" customFormat="1">
      <c r="A526" s="1481"/>
      <c r="B526" s="1481"/>
      <c r="C526" s="1437"/>
      <c r="D526" s="1481"/>
      <c r="E526" s="1490" t="s">
        <v>161</v>
      </c>
      <c r="F526" s="1490" t="s">
        <v>162</v>
      </c>
      <c r="G526" s="1489" t="s">
        <v>163</v>
      </c>
      <c r="H526" s="1483" t="s">
        <v>2217</v>
      </c>
    </row>
    <row r="527" spans="1:8" s="1403" customFormat="1">
      <c r="A527" s="1481"/>
      <c r="B527" s="1481"/>
      <c r="C527" s="1437" t="s">
        <v>1273</v>
      </c>
      <c r="D527" s="1481"/>
      <c r="E527" s="1485">
        <f>G525</f>
        <v>3221.7</v>
      </c>
      <c r="F527" s="1485">
        <f>G525</f>
        <v>3221.7</v>
      </c>
      <c r="G527" s="1487">
        <f>F527</f>
        <v>3221.7</v>
      </c>
      <c r="H527" s="1483" t="s">
        <v>2217</v>
      </c>
    </row>
    <row r="528" spans="1:8" s="1403" customFormat="1">
      <c r="A528" s="1481"/>
      <c r="B528" s="1481"/>
      <c r="C528" s="1484" t="s">
        <v>1649</v>
      </c>
      <c r="D528" s="1485">
        <v>10</v>
      </c>
      <c r="E528" s="1485">
        <f>D528*'MINI SSR 19-20'!$E$36</f>
        <v>10.3</v>
      </c>
      <c r="F528" s="1485">
        <f>E528</f>
        <v>10.3</v>
      </c>
      <c r="G528" s="1487">
        <f>F528</f>
        <v>10.3</v>
      </c>
      <c r="H528" s="1483" t="s">
        <v>2217</v>
      </c>
    </row>
    <row r="529" spans="1:8" s="1403" customFormat="1">
      <c r="A529" s="1481"/>
      <c r="B529" s="1481"/>
      <c r="C529" s="1484" t="s">
        <v>1652</v>
      </c>
      <c r="D529" s="1485">
        <v>10</v>
      </c>
      <c r="E529" s="1485">
        <f>ROUND(D529*'MINI SSR 19-20'!F36,2)</f>
        <v>79.5</v>
      </c>
      <c r="F529" s="1485">
        <f>ROUND(D529*'MINI SSR 19-20'!G36,2)</f>
        <v>113.8</v>
      </c>
      <c r="G529" s="1487">
        <f>ROUND(D529*'MINI SSR 19-20'!H36,2)</f>
        <v>148.1</v>
      </c>
      <c r="H529" s="1483" t="s">
        <v>2217</v>
      </c>
    </row>
    <row r="530" spans="1:8" s="1403" customFormat="1" ht="25.5">
      <c r="A530" s="1481"/>
      <c r="B530" s="1481"/>
      <c r="C530" s="1484" t="s">
        <v>1285</v>
      </c>
      <c r="D530" s="1481"/>
      <c r="E530" s="1481"/>
      <c r="F530" s="1485">
        <f>ROUND((G522+G523+G524+F529)*0.1,2)</f>
        <v>274.3</v>
      </c>
      <c r="G530" s="1487">
        <f>ROUND((G522+G523+G524+G529)*0.2,2)</f>
        <v>555.46</v>
      </c>
      <c r="H530" s="1483" t="s">
        <v>2217</v>
      </c>
    </row>
    <row r="531" spans="1:8" s="1403" customFormat="1">
      <c r="A531" s="1481"/>
      <c r="B531" s="1481"/>
      <c r="C531" s="1437" t="s">
        <v>88</v>
      </c>
      <c r="D531" s="1481"/>
      <c r="E531" s="1485">
        <f>SUM(E527:E530)</f>
        <v>3311.5</v>
      </c>
      <c r="F531" s="1485">
        <f>SUM(F527:F530)</f>
        <v>3620.1000000000004</v>
      </c>
      <c r="G531" s="1487">
        <f>SUM(G527:G530)</f>
        <v>3935.56</v>
      </c>
      <c r="H531" s="1483" t="s">
        <v>2217</v>
      </c>
    </row>
    <row r="532" spans="1:8" s="1403" customFormat="1">
      <c r="A532" s="1481"/>
      <c r="B532" s="1481"/>
      <c r="C532" s="1437" t="s">
        <v>121</v>
      </c>
      <c r="D532" s="1481"/>
      <c r="E532" s="1489">
        <f>ROUND(E531/10,2)</f>
        <v>331.15</v>
      </c>
      <c r="F532" s="1489">
        <f>ROUND(F531/10,2)</f>
        <v>362.01</v>
      </c>
      <c r="G532" s="1491">
        <f>ROUND(G531/10,2)</f>
        <v>393.56</v>
      </c>
      <c r="H532" s="1483" t="s">
        <v>2217</v>
      </c>
    </row>
    <row r="533" spans="1:8" ht="165.75" hidden="1">
      <c r="A533" s="896">
        <v>18</v>
      </c>
      <c r="B533" s="966"/>
      <c r="C533" s="1382" t="s">
        <v>1171</v>
      </c>
      <c r="D533" s="967"/>
      <c r="E533" s="967"/>
      <c r="F533" s="967"/>
      <c r="G533" s="972"/>
      <c r="H533" s="964" t="s">
        <v>2217</v>
      </c>
    </row>
    <row r="534" spans="1:8" hidden="1">
      <c r="A534" s="967"/>
      <c r="B534" s="967"/>
      <c r="C534" s="1382" t="s">
        <v>868</v>
      </c>
      <c r="D534" s="967"/>
      <c r="E534" s="970"/>
      <c r="F534" s="970"/>
      <c r="G534" s="969"/>
      <c r="H534" s="964" t="s">
        <v>2217</v>
      </c>
    </row>
    <row r="535" spans="1:8" hidden="1">
      <c r="A535" s="967"/>
      <c r="B535" s="967"/>
      <c r="C535" s="1382" t="s">
        <v>863</v>
      </c>
      <c r="D535" s="967"/>
      <c r="E535" s="970"/>
      <c r="F535" s="970"/>
      <c r="G535" s="969"/>
      <c r="H535" s="964" t="s">
        <v>2217</v>
      </c>
    </row>
    <row r="536" spans="1:8" hidden="1">
      <c r="A536" s="967"/>
      <c r="B536" s="967"/>
      <c r="C536" s="1382" t="s">
        <v>1172</v>
      </c>
      <c r="D536" s="970" t="s">
        <v>77</v>
      </c>
      <c r="E536" s="970">
        <v>13.3</v>
      </c>
      <c r="F536" s="990">
        <f>'MINI SSR 19-20'!C43</f>
        <v>17</v>
      </c>
      <c r="G536" s="969">
        <f>ROUND(E536*F536,2)</f>
        <v>226.1</v>
      </c>
      <c r="H536" s="964" t="s">
        <v>2217</v>
      </c>
    </row>
    <row r="537" spans="1:8" hidden="1">
      <c r="A537" s="896"/>
      <c r="B537" s="966"/>
      <c r="C537" s="1382" t="s">
        <v>1173</v>
      </c>
      <c r="D537" s="970" t="s">
        <v>35</v>
      </c>
      <c r="E537" s="970">
        <v>0.25</v>
      </c>
      <c r="F537" s="990">
        <f>G12</f>
        <v>3878.04</v>
      </c>
      <c r="G537" s="969">
        <f t="shared" ref="G537:G539" si="3">ROUND(E537*F537,2)</f>
        <v>969.51</v>
      </c>
      <c r="H537" s="964" t="s">
        <v>2217</v>
      </c>
    </row>
    <row r="538" spans="1:8" hidden="1">
      <c r="A538" s="896"/>
      <c r="B538" s="966"/>
      <c r="C538" s="1382" t="s">
        <v>1174</v>
      </c>
      <c r="D538" s="970" t="s">
        <v>90</v>
      </c>
      <c r="E538" s="970">
        <v>50</v>
      </c>
      <c r="F538" s="990">
        <f>'lead 19-20'!L8</f>
        <v>4700</v>
      </c>
      <c r="G538" s="969">
        <f>ROUND(E538*F538/1000,2)</f>
        <v>235</v>
      </c>
      <c r="H538" s="964" t="s">
        <v>2217</v>
      </c>
    </row>
    <row r="539" spans="1:8" ht="25.5" hidden="1">
      <c r="A539" s="896"/>
      <c r="B539" s="966"/>
      <c r="C539" s="1382" t="s">
        <v>1175</v>
      </c>
      <c r="D539" s="970" t="s">
        <v>77</v>
      </c>
      <c r="E539" s="970">
        <v>21.8</v>
      </c>
      <c r="F539" s="990">
        <f>E512</f>
        <v>317.8</v>
      </c>
      <c r="G539" s="969">
        <f t="shared" si="3"/>
        <v>6928.04</v>
      </c>
      <c r="H539" s="964" t="s">
        <v>2217</v>
      </c>
    </row>
    <row r="540" spans="1:8" hidden="1">
      <c r="A540" s="896"/>
      <c r="B540" s="966"/>
      <c r="C540" s="962" t="s">
        <v>1176</v>
      </c>
      <c r="D540" s="967"/>
      <c r="E540" s="967"/>
      <c r="F540" s="990"/>
      <c r="G540" s="969"/>
      <c r="H540" s="964" t="s">
        <v>2217</v>
      </c>
    </row>
    <row r="541" spans="1:8" hidden="1">
      <c r="A541" s="896"/>
      <c r="B541" s="966"/>
      <c r="C541" s="1382" t="s">
        <v>865</v>
      </c>
      <c r="D541" s="970" t="s">
        <v>27</v>
      </c>
      <c r="E541" s="970">
        <v>8</v>
      </c>
      <c r="F541" s="990">
        <f>'MINI SSR 19-20'!$H$3</f>
        <v>500</v>
      </c>
      <c r="G541" s="969">
        <f t="shared" ref="G541:G543" si="4">ROUND(E541*F541,2)</f>
        <v>4000</v>
      </c>
      <c r="H541" s="964" t="s">
        <v>2217</v>
      </c>
    </row>
    <row r="542" spans="1:8" hidden="1">
      <c r="A542" s="896"/>
      <c r="B542" s="966"/>
      <c r="C542" s="1382" t="s">
        <v>1177</v>
      </c>
      <c r="D542" s="970" t="s">
        <v>27</v>
      </c>
      <c r="E542" s="970">
        <v>1</v>
      </c>
      <c r="F542" s="990">
        <f>'MINI SSR 19-20'!$H$4</f>
        <v>460</v>
      </c>
      <c r="G542" s="969">
        <f t="shared" si="4"/>
        <v>460</v>
      </c>
      <c r="H542" s="964" t="s">
        <v>2217</v>
      </c>
    </row>
    <row r="543" spans="1:8" hidden="1">
      <c r="A543" s="896"/>
      <c r="B543" s="966"/>
      <c r="C543" s="1382" t="s">
        <v>864</v>
      </c>
      <c r="D543" s="970" t="s">
        <v>27</v>
      </c>
      <c r="E543" s="970">
        <v>10</v>
      </c>
      <c r="F543" s="990">
        <f>'MINI SSR 19-20'!$H$5</f>
        <v>420</v>
      </c>
      <c r="G543" s="969">
        <f t="shared" si="4"/>
        <v>4200</v>
      </c>
      <c r="H543" s="964" t="s">
        <v>2217</v>
      </c>
    </row>
    <row r="544" spans="1:8" hidden="1">
      <c r="A544" s="896"/>
      <c r="B544" s="966"/>
      <c r="C544" s="962" t="s">
        <v>1178</v>
      </c>
      <c r="D544" s="970"/>
      <c r="E544" s="970"/>
      <c r="F544" s="990"/>
      <c r="G544" s="969"/>
      <c r="H544" s="964" t="s">
        <v>2217</v>
      </c>
    </row>
    <row r="545" spans="1:8" ht="25.5" hidden="1">
      <c r="A545" s="896"/>
      <c r="B545" s="966"/>
      <c r="C545" s="1382" t="s">
        <v>1179</v>
      </c>
      <c r="D545" s="970" t="s">
        <v>1180</v>
      </c>
      <c r="E545" s="970">
        <v>2</v>
      </c>
      <c r="F545" s="990">
        <f>'MINI SSR 19-20'!$C$30</f>
        <v>524.70000000000005</v>
      </c>
      <c r="G545" s="969">
        <f t="shared" ref="G545" si="5">ROUND(E545*F545,2)</f>
        <v>1049.4000000000001</v>
      </c>
      <c r="H545" s="964" t="s">
        <v>2217</v>
      </c>
    </row>
    <row r="546" spans="1:8" hidden="1">
      <c r="A546" s="896"/>
      <c r="B546" s="966"/>
      <c r="C546" s="962" t="s">
        <v>869</v>
      </c>
      <c r="D546" s="991"/>
      <c r="E546" s="991"/>
      <c r="F546" s="991" t="s">
        <v>104</v>
      </c>
      <c r="G546" s="969">
        <f>SUM(G536:G545)</f>
        <v>18068.050000000003</v>
      </c>
      <c r="H546" s="964" t="s">
        <v>2217</v>
      </c>
    </row>
    <row r="547" spans="1:8" hidden="1">
      <c r="A547" s="896"/>
      <c r="B547" s="966"/>
      <c r="C547" s="1382"/>
      <c r="D547" s="990"/>
      <c r="E547" s="991" t="s">
        <v>161</v>
      </c>
      <c r="F547" s="991" t="s">
        <v>162</v>
      </c>
      <c r="G547" s="969"/>
      <c r="H547" s="964" t="s">
        <v>2217</v>
      </c>
    </row>
    <row r="548" spans="1:8" hidden="1">
      <c r="A548" s="896"/>
      <c r="B548" s="966"/>
      <c r="C548" s="1382" t="s">
        <v>867</v>
      </c>
      <c r="D548" s="990"/>
      <c r="E548" s="990">
        <f>G546</f>
        <v>18068.050000000003</v>
      </c>
      <c r="F548" s="990">
        <f>G546</f>
        <v>18068.050000000003</v>
      </c>
      <c r="G548" s="969"/>
      <c r="H548" s="964" t="s">
        <v>2217</v>
      </c>
    </row>
    <row r="549" spans="1:8" hidden="1">
      <c r="A549" s="896"/>
      <c r="B549" s="966"/>
      <c r="C549" s="1382" t="s">
        <v>1653</v>
      </c>
      <c r="D549" s="992" t="s">
        <v>326</v>
      </c>
      <c r="E549" s="990">
        <f>ROUND(D549*'MINI SSR 19-20'!E36,2)</f>
        <v>10.3</v>
      </c>
      <c r="F549" s="990">
        <f>ROUND(D549*1.03,2)</f>
        <v>10.3</v>
      </c>
      <c r="G549" s="969"/>
      <c r="H549" s="964" t="s">
        <v>2217</v>
      </c>
    </row>
    <row r="550" spans="1:8" hidden="1">
      <c r="A550" s="896"/>
      <c r="B550" s="966"/>
      <c r="C550" s="1382" t="s">
        <v>1654</v>
      </c>
      <c r="D550" s="992" t="s">
        <v>326</v>
      </c>
      <c r="E550" s="990">
        <f>ROUND(D550*'MINI SSR 19-20'!F36,2)</f>
        <v>79.5</v>
      </c>
      <c r="F550" s="990">
        <f>ROUND(D550*'MINI SSR 19-20'!G36,2)</f>
        <v>113.8</v>
      </c>
      <c r="G550" s="969"/>
      <c r="H550" s="964" t="s">
        <v>2217</v>
      </c>
    </row>
    <row r="551" spans="1:8" hidden="1">
      <c r="A551" s="896"/>
      <c r="B551" s="966"/>
      <c r="C551" s="1382" t="s">
        <v>870</v>
      </c>
      <c r="D551" s="622" t="s">
        <v>326</v>
      </c>
      <c r="E551" s="993">
        <v>0</v>
      </c>
      <c r="F551" s="993">
        <f>ROUND(((SUM(G541:G543)+F550)*D551/100),2)</f>
        <v>877.38</v>
      </c>
      <c r="G551" s="969"/>
      <c r="H551" s="964" t="s">
        <v>2217</v>
      </c>
    </row>
    <row r="552" spans="1:8" hidden="1">
      <c r="A552" s="896"/>
      <c r="B552" s="966"/>
      <c r="C552" s="962" t="s">
        <v>869</v>
      </c>
      <c r="D552" s="622"/>
      <c r="E552" s="990">
        <f>SUM(E548:E551)</f>
        <v>18157.850000000002</v>
      </c>
      <c r="F552" s="990">
        <f>SUM(F548:F551)</f>
        <v>19069.530000000002</v>
      </c>
      <c r="G552" s="969"/>
      <c r="H552" s="964" t="s">
        <v>2217</v>
      </c>
    </row>
    <row r="553" spans="1:8" hidden="1">
      <c r="A553" s="896"/>
      <c r="B553" s="966"/>
      <c r="C553" s="962" t="s">
        <v>871</v>
      </c>
      <c r="D553" s="970"/>
      <c r="E553" s="991">
        <f>ROUND(E552/10,2)</f>
        <v>1815.79</v>
      </c>
      <c r="F553" s="991">
        <f>ROUND(F552/10,2)</f>
        <v>1906.95</v>
      </c>
      <c r="G553" s="969"/>
      <c r="H553" s="964" t="s">
        <v>2217</v>
      </c>
    </row>
    <row r="554" spans="1:8" ht="102" hidden="1">
      <c r="A554" s="896">
        <v>19</v>
      </c>
      <c r="B554" s="966" t="s">
        <v>1312</v>
      </c>
      <c r="C554" s="1382" t="s">
        <v>1311</v>
      </c>
      <c r="D554" s="967"/>
      <c r="E554" s="967"/>
      <c r="F554" s="967"/>
      <c r="G554" s="966"/>
      <c r="H554" s="964" t="s">
        <v>2217</v>
      </c>
    </row>
    <row r="555" spans="1:8" hidden="1">
      <c r="A555" s="896"/>
      <c r="B555" s="966"/>
      <c r="C555" s="962" t="s">
        <v>42</v>
      </c>
      <c r="D555" s="967"/>
      <c r="E555" s="967"/>
      <c r="F555" s="967"/>
      <c r="G555" s="972"/>
      <c r="H555" s="964" t="s">
        <v>2217</v>
      </c>
    </row>
    <row r="556" spans="1:8" hidden="1">
      <c r="A556" s="896"/>
      <c r="B556" s="966"/>
      <c r="C556" s="962" t="s">
        <v>60</v>
      </c>
      <c r="D556" s="967"/>
      <c r="E556" s="967"/>
      <c r="F556" s="967"/>
      <c r="G556" s="972"/>
      <c r="H556" s="964" t="s">
        <v>2217</v>
      </c>
    </row>
    <row r="557" spans="1:8" hidden="1">
      <c r="A557" s="896"/>
      <c r="B557" s="966"/>
      <c r="C557" s="1382" t="s">
        <v>43</v>
      </c>
      <c r="D557" s="967" t="s">
        <v>35</v>
      </c>
      <c r="E557" s="970">
        <v>0.15</v>
      </c>
      <c r="F557" s="970">
        <f>G12</f>
        <v>3878.04</v>
      </c>
      <c r="G557" s="969">
        <f>ROUND(E557*F557,2)</f>
        <v>581.71</v>
      </c>
      <c r="H557" s="964" t="s">
        <v>2217</v>
      </c>
    </row>
    <row r="558" spans="1:8" ht="25.5" hidden="1">
      <c r="A558" s="896"/>
      <c r="B558" s="966"/>
      <c r="C558" s="1382" t="s">
        <v>3623</v>
      </c>
      <c r="D558" s="967" t="s">
        <v>4</v>
      </c>
      <c r="E558" s="970">
        <v>2</v>
      </c>
      <c r="F558" s="970">
        <f>'MINI SSR 19-20'!$C$44</f>
        <v>67</v>
      </c>
      <c r="G558" s="969">
        <f>ROUND(E558*F558,2)</f>
        <v>134</v>
      </c>
      <c r="H558" s="964" t="s">
        <v>2217</v>
      </c>
    </row>
    <row r="559" spans="1:8" hidden="1">
      <c r="A559" s="967"/>
      <c r="B559" s="967"/>
      <c r="C559" s="962" t="s">
        <v>68</v>
      </c>
      <c r="D559" s="967"/>
      <c r="E559" s="970"/>
      <c r="F559" s="970"/>
      <c r="G559" s="969"/>
      <c r="H559" s="964" t="s">
        <v>2217</v>
      </c>
    </row>
    <row r="560" spans="1:8" hidden="1">
      <c r="A560" s="967"/>
      <c r="B560" s="967"/>
      <c r="C560" s="1382" t="s">
        <v>64</v>
      </c>
      <c r="D560" s="967" t="s">
        <v>27</v>
      </c>
      <c r="E560" s="970">
        <v>0.45</v>
      </c>
      <c r="F560" s="990">
        <f>'MINI SSR 19-20'!$H$3</f>
        <v>500</v>
      </c>
      <c r="G560" s="969">
        <f>ROUND(E560*F560,2)</f>
        <v>225</v>
      </c>
      <c r="H560" s="964" t="s">
        <v>2217</v>
      </c>
    </row>
    <row r="561" spans="1:8" hidden="1">
      <c r="A561" s="967"/>
      <c r="B561" s="967"/>
      <c r="C561" s="1382" t="s">
        <v>69</v>
      </c>
      <c r="D561" s="967" t="s">
        <v>27</v>
      </c>
      <c r="E561" s="970">
        <v>1.05</v>
      </c>
      <c r="F561" s="990">
        <f>'MINI SSR 19-20'!$H$4</f>
        <v>460</v>
      </c>
      <c r="G561" s="969">
        <f>ROUND(E561*F561,2)</f>
        <v>483</v>
      </c>
      <c r="H561" s="964" t="s">
        <v>2217</v>
      </c>
    </row>
    <row r="562" spans="1:8" hidden="1">
      <c r="A562" s="967"/>
      <c r="B562" s="967"/>
      <c r="C562" s="1382" t="s">
        <v>85</v>
      </c>
      <c r="D562" s="967" t="s">
        <v>27</v>
      </c>
      <c r="E562" s="970">
        <v>2.8</v>
      </c>
      <c r="F562" s="990">
        <f>'MINI SSR 19-20'!$H$5</f>
        <v>420</v>
      </c>
      <c r="G562" s="969">
        <f>ROUND(E562*F562,2)</f>
        <v>1176</v>
      </c>
      <c r="H562" s="964" t="s">
        <v>2217</v>
      </c>
    </row>
    <row r="563" spans="1:8" hidden="1">
      <c r="A563" s="967"/>
      <c r="B563" s="967"/>
      <c r="C563" s="962" t="s">
        <v>88</v>
      </c>
      <c r="D563" s="967"/>
      <c r="E563" s="967"/>
      <c r="F563" s="967"/>
      <c r="G563" s="971">
        <f>SUM(G557:G562)</f>
        <v>2599.71</v>
      </c>
      <c r="H563" s="964" t="s">
        <v>2217</v>
      </c>
    </row>
    <row r="564" spans="1:8" hidden="1">
      <c r="A564" s="967"/>
      <c r="B564" s="967"/>
      <c r="C564" s="962"/>
      <c r="D564" s="967"/>
      <c r="E564" s="966" t="s">
        <v>161</v>
      </c>
      <c r="F564" s="966" t="s">
        <v>162</v>
      </c>
      <c r="G564" s="974" t="s">
        <v>162</v>
      </c>
      <c r="H564" s="964" t="s">
        <v>2217</v>
      </c>
    </row>
    <row r="565" spans="1:8" hidden="1">
      <c r="A565" s="967"/>
      <c r="B565" s="967"/>
      <c r="C565" s="962" t="s">
        <v>1273</v>
      </c>
      <c r="D565" s="967"/>
      <c r="E565" s="970">
        <f>G563</f>
        <v>2599.71</v>
      </c>
      <c r="F565" s="970">
        <f>G563</f>
        <v>2599.71</v>
      </c>
      <c r="G565" s="972">
        <f>G563</f>
        <v>2599.71</v>
      </c>
      <c r="H565" s="964" t="s">
        <v>2217</v>
      </c>
    </row>
    <row r="566" spans="1:8" ht="25.5" hidden="1">
      <c r="A566" s="967"/>
      <c r="B566" s="967"/>
      <c r="C566" s="1382" t="s">
        <v>1285</v>
      </c>
      <c r="D566" s="967"/>
      <c r="E566" s="967"/>
      <c r="F566" s="972">
        <f>(SUM(G560:G562)*10%)</f>
        <v>188.4</v>
      </c>
      <c r="G566" s="972">
        <f>(SUM(G560:G562)*20%)</f>
        <v>376.8</v>
      </c>
      <c r="H566" s="964" t="s">
        <v>2217</v>
      </c>
    </row>
    <row r="567" spans="1:8" hidden="1">
      <c r="A567" s="967"/>
      <c r="B567" s="967"/>
      <c r="C567" s="962" t="s">
        <v>88</v>
      </c>
      <c r="D567" s="967"/>
      <c r="E567" s="970">
        <f>SUM(E565:E566)</f>
        <v>2599.71</v>
      </c>
      <c r="F567" s="970">
        <f>SUM(F565:F566)</f>
        <v>2788.11</v>
      </c>
      <c r="G567" s="972">
        <f>SUM(G565:G566)</f>
        <v>2976.51</v>
      </c>
      <c r="H567" s="964" t="s">
        <v>2217</v>
      </c>
    </row>
    <row r="568" spans="1:8" hidden="1">
      <c r="A568" s="967"/>
      <c r="B568" s="967"/>
      <c r="C568" s="962" t="s">
        <v>121</v>
      </c>
      <c r="D568" s="967"/>
      <c r="E568" s="974">
        <f>ROUND(E567/10,2)</f>
        <v>259.97000000000003</v>
      </c>
      <c r="F568" s="974">
        <f>ROUND(F567/10,2)</f>
        <v>278.81</v>
      </c>
      <c r="G568" s="971">
        <f>ROUND(G567/10,2)</f>
        <v>297.64999999999998</v>
      </c>
      <c r="H568" s="964" t="s">
        <v>2217</v>
      </c>
    </row>
    <row r="569" spans="1:8" ht="102" hidden="1">
      <c r="A569" s="896">
        <v>39</v>
      </c>
      <c r="B569" s="966" t="s">
        <v>1312</v>
      </c>
      <c r="C569" s="1382" t="s">
        <v>899</v>
      </c>
      <c r="D569" s="967"/>
      <c r="E569" s="967"/>
      <c r="F569" s="967"/>
      <c r="G569" s="966" t="s">
        <v>148</v>
      </c>
      <c r="H569" s="964" t="s">
        <v>2217</v>
      </c>
    </row>
    <row r="570" spans="1:8" hidden="1">
      <c r="A570" s="896"/>
      <c r="B570" s="966"/>
      <c r="C570" s="962" t="s">
        <v>42</v>
      </c>
      <c r="D570" s="967"/>
      <c r="E570" s="967"/>
      <c r="F570" s="967"/>
      <c r="G570" s="972"/>
      <c r="H570" s="964" t="s">
        <v>2217</v>
      </c>
    </row>
    <row r="571" spans="1:8" hidden="1">
      <c r="A571" s="896"/>
      <c r="B571" s="966"/>
      <c r="C571" s="962" t="s">
        <v>60</v>
      </c>
      <c r="D571" s="967"/>
      <c r="E571" s="967"/>
      <c r="F571" s="967"/>
      <c r="G571" s="972"/>
      <c r="H571" s="964" t="s">
        <v>2217</v>
      </c>
    </row>
    <row r="572" spans="1:8" hidden="1">
      <c r="A572" s="896"/>
      <c r="B572" s="966"/>
      <c r="C572" s="1382" t="s">
        <v>43</v>
      </c>
      <c r="D572" s="967" t="s">
        <v>35</v>
      </c>
      <c r="E572" s="970">
        <v>0.21</v>
      </c>
      <c r="F572" s="970">
        <f>G27</f>
        <v>2750.04</v>
      </c>
      <c r="G572" s="969">
        <f>ROUND(E572*F572,2)</f>
        <v>577.51</v>
      </c>
      <c r="H572" s="964" t="s">
        <v>2217</v>
      </c>
    </row>
    <row r="573" spans="1:8" ht="25.5" hidden="1">
      <c r="A573" s="896"/>
      <c r="B573" s="966"/>
      <c r="C573" s="1382" t="s">
        <v>3623</v>
      </c>
      <c r="D573" s="967" t="s">
        <v>4</v>
      </c>
      <c r="E573" s="970">
        <v>2</v>
      </c>
      <c r="F573" s="970">
        <f>'MINI SSR 19-20'!$C$44</f>
        <v>67</v>
      </c>
      <c r="G573" s="969">
        <f>ROUND(E573*F573,2)</f>
        <v>134</v>
      </c>
      <c r="H573" s="964" t="s">
        <v>2217</v>
      </c>
    </row>
    <row r="574" spans="1:8" hidden="1">
      <c r="A574" s="967"/>
      <c r="B574" s="967"/>
      <c r="C574" s="962" t="s">
        <v>68</v>
      </c>
      <c r="D574" s="967"/>
      <c r="E574" s="970"/>
      <c r="F574" s="970"/>
      <c r="G574" s="969"/>
      <c r="H574" s="964" t="s">
        <v>2217</v>
      </c>
    </row>
    <row r="575" spans="1:8" hidden="1">
      <c r="A575" s="967"/>
      <c r="B575" s="967"/>
      <c r="C575" s="1382" t="s">
        <v>64</v>
      </c>
      <c r="D575" s="967" t="s">
        <v>27</v>
      </c>
      <c r="E575" s="970">
        <v>0.66</v>
      </c>
      <c r="F575" s="990">
        <f>'MINI SSR 19-20'!$H$3</f>
        <v>500</v>
      </c>
      <c r="G575" s="969">
        <f>ROUND(E575*F575,2)</f>
        <v>330</v>
      </c>
      <c r="H575" s="964" t="s">
        <v>2217</v>
      </c>
    </row>
    <row r="576" spans="1:8" hidden="1">
      <c r="A576" s="967"/>
      <c r="B576" s="967"/>
      <c r="C576" s="1382" t="s">
        <v>69</v>
      </c>
      <c r="D576" s="967" t="s">
        <v>27</v>
      </c>
      <c r="E576" s="970">
        <v>1.54</v>
      </c>
      <c r="F576" s="990">
        <f>'MINI SSR 19-20'!$H$4</f>
        <v>460</v>
      </c>
      <c r="G576" s="969">
        <f>ROUND(E576*F576,2)</f>
        <v>708.4</v>
      </c>
      <c r="H576" s="964" t="s">
        <v>2217</v>
      </c>
    </row>
    <row r="577" spans="1:8" hidden="1">
      <c r="A577" s="967"/>
      <c r="B577" s="967"/>
      <c r="C577" s="1382" t="s">
        <v>85</v>
      </c>
      <c r="D577" s="967" t="s">
        <v>27</v>
      </c>
      <c r="E577" s="970">
        <v>3.7</v>
      </c>
      <c r="F577" s="990">
        <f>'MINI SSR 19-20'!$H$5</f>
        <v>420</v>
      </c>
      <c r="G577" s="969">
        <f>ROUND(E577*F577,2)</f>
        <v>1554</v>
      </c>
      <c r="H577" s="964" t="s">
        <v>2217</v>
      </c>
    </row>
    <row r="578" spans="1:8" hidden="1">
      <c r="A578" s="967"/>
      <c r="B578" s="967"/>
      <c r="C578" s="962" t="s">
        <v>88</v>
      </c>
      <c r="D578" s="967"/>
      <c r="E578" s="967"/>
      <c r="F578" s="967"/>
      <c r="G578" s="971">
        <f>SUM(G572:G577)</f>
        <v>3303.91</v>
      </c>
      <c r="H578" s="964" t="s">
        <v>2217</v>
      </c>
    </row>
    <row r="579" spans="1:8" hidden="1">
      <c r="A579" s="967"/>
      <c r="B579" s="967"/>
      <c r="C579" s="962"/>
      <c r="D579" s="967"/>
      <c r="E579" s="966" t="s">
        <v>161</v>
      </c>
      <c r="F579" s="966" t="s">
        <v>162</v>
      </c>
      <c r="G579" s="974" t="s">
        <v>163</v>
      </c>
      <c r="H579" s="964" t="s">
        <v>2217</v>
      </c>
    </row>
    <row r="580" spans="1:8" hidden="1">
      <c r="A580" s="967"/>
      <c r="B580" s="967"/>
      <c r="C580" s="962" t="s">
        <v>1273</v>
      </c>
      <c r="D580" s="967"/>
      <c r="E580" s="970">
        <f>G578</f>
        <v>3303.91</v>
      </c>
      <c r="F580" s="970">
        <f>G578</f>
        <v>3303.91</v>
      </c>
      <c r="G580" s="972">
        <f>G578</f>
        <v>3303.91</v>
      </c>
      <c r="H580" s="964" t="s">
        <v>2217</v>
      </c>
    </row>
    <row r="581" spans="1:8" ht="25.5" hidden="1">
      <c r="A581" s="967"/>
      <c r="B581" s="967"/>
      <c r="C581" s="1382" t="s">
        <v>1285</v>
      </c>
      <c r="D581" s="967"/>
      <c r="E581" s="967"/>
      <c r="F581" s="972">
        <f>(SUM(G575:G577)*10%)</f>
        <v>259.24</v>
      </c>
      <c r="G581" s="972">
        <f>(SUM(G575:G577)*20%)</f>
        <v>518.48</v>
      </c>
      <c r="H581" s="964" t="s">
        <v>2217</v>
      </c>
    </row>
    <row r="582" spans="1:8" hidden="1">
      <c r="A582" s="967"/>
      <c r="B582" s="967"/>
      <c r="C582" s="962" t="s">
        <v>88</v>
      </c>
      <c r="D582" s="967"/>
      <c r="E582" s="970">
        <f>SUM(E580:E581)</f>
        <v>3303.91</v>
      </c>
      <c r="F582" s="970">
        <f>SUM(F580:F581)</f>
        <v>3563.1499999999996</v>
      </c>
      <c r="G582" s="972">
        <f>SUM(G580:G581)</f>
        <v>3822.39</v>
      </c>
      <c r="H582" s="964" t="s">
        <v>2217</v>
      </c>
    </row>
    <row r="583" spans="1:8" hidden="1">
      <c r="A583" s="967"/>
      <c r="B583" s="967"/>
      <c r="C583" s="962" t="s">
        <v>121</v>
      </c>
      <c r="D583" s="967"/>
      <c r="E583" s="974">
        <f>ROUND(E582/10,2)</f>
        <v>330.39</v>
      </c>
      <c r="F583" s="974">
        <f>ROUND(F582/10,2)</f>
        <v>356.32</v>
      </c>
      <c r="G583" s="971">
        <f>ROUND(G582/10,2)</f>
        <v>382.24</v>
      </c>
      <c r="H583" s="964" t="s">
        <v>2217</v>
      </c>
    </row>
    <row r="584" spans="1:8" ht="165.75" hidden="1">
      <c r="A584" s="896">
        <v>20</v>
      </c>
      <c r="B584" s="966" t="s">
        <v>666</v>
      </c>
      <c r="C584" s="1382" t="s">
        <v>665</v>
      </c>
      <c r="D584" s="967"/>
      <c r="E584" s="967"/>
      <c r="F584" s="967"/>
      <c r="G584" s="966"/>
      <c r="H584" s="964" t="s">
        <v>2217</v>
      </c>
    </row>
    <row r="585" spans="1:8" hidden="1">
      <c r="A585" s="896"/>
      <c r="B585" s="966"/>
      <c r="C585" s="962" t="s">
        <v>42</v>
      </c>
      <c r="D585" s="967"/>
      <c r="E585" s="967"/>
      <c r="F585" s="967"/>
      <c r="G585" s="972"/>
      <c r="H585" s="964" t="s">
        <v>2217</v>
      </c>
    </row>
    <row r="586" spans="1:8" hidden="1">
      <c r="A586" s="896"/>
      <c r="B586" s="966"/>
      <c r="C586" s="962" t="s">
        <v>60</v>
      </c>
      <c r="D586" s="967"/>
      <c r="E586" s="967"/>
      <c r="F586" s="967"/>
      <c r="G586" s="972"/>
      <c r="H586" s="964" t="s">
        <v>2217</v>
      </c>
    </row>
    <row r="587" spans="1:8" ht="25.5" hidden="1">
      <c r="A587" s="896"/>
      <c r="B587" s="966"/>
      <c r="C587" s="1382" t="s">
        <v>667</v>
      </c>
      <c r="D587" s="967" t="s">
        <v>77</v>
      </c>
      <c r="E587" s="970">
        <v>10.5</v>
      </c>
      <c r="F587" s="970">
        <f>'lead 19-20'!L22</f>
        <v>2119.6080000000002</v>
      </c>
      <c r="G587" s="969">
        <f>ROUND(E587*F587/1,2)</f>
        <v>22255.88</v>
      </c>
      <c r="H587" s="964" t="s">
        <v>2217</v>
      </c>
    </row>
    <row r="588" spans="1:8" hidden="1">
      <c r="A588" s="896"/>
      <c r="B588" s="966"/>
      <c r="C588" s="1382" t="s">
        <v>91</v>
      </c>
      <c r="D588" s="967" t="s">
        <v>4</v>
      </c>
      <c r="E588" s="970">
        <v>36</v>
      </c>
      <c r="F588" s="970">
        <f>'lead 19-20'!L8</f>
        <v>4700</v>
      </c>
      <c r="G588" s="969">
        <f>ROUND(E588*F588/1000,2)</f>
        <v>169.2</v>
      </c>
      <c r="H588" s="964" t="s">
        <v>2217</v>
      </c>
    </row>
    <row r="589" spans="1:8" hidden="1">
      <c r="A589" s="896"/>
      <c r="B589" s="966"/>
      <c r="C589" s="1382" t="s">
        <v>92</v>
      </c>
      <c r="D589" s="967" t="s">
        <v>4</v>
      </c>
      <c r="E589" s="970">
        <v>33</v>
      </c>
      <c r="F589" s="970">
        <f>F588</f>
        <v>4700</v>
      </c>
      <c r="G589" s="969">
        <f>ROUND(E589*F589/1000,2)</f>
        <v>155.1</v>
      </c>
      <c r="H589" s="964" t="s">
        <v>2217</v>
      </c>
    </row>
    <row r="590" spans="1:8" hidden="1">
      <c r="A590" s="896"/>
      <c r="B590" s="966"/>
      <c r="C590" s="1382" t="s">
        <v>93</v>
      </c>
      <c r="D590" s="967" t="s">
        <v>4</v>
      </c>
      <c r="E590" s="970">
        <v>6</v>
      </c>
      <c r="F590" s="970">
        <f>F589</f>
        <v>4700</v>
      </c>
      <c r="G590" s="969">
        <f>ROUND(E590*F590/1000,2)</f>
        <v>28.2</v>
      </c>
      <c r="H590" s="964" t="s">
        <v>2217</v>
      </c>
    </row>
    <row r="591" spans="1:8" hidden="1">
      <c r="A591" s="896"/>
      <c r="B591" s="966"/>
      <c r="C591" s="1382" t="s">
        <v>114</v>
      </c>
      <c r="D591" s="967" t="s">
        <v>35</v>
      </c>
      <c r="E591" s="970">
        <v>0.2</v>
      </c>
      <c r="F591" s="970">
        <f>'lead 19-20'!L12</f>
        <v>1464.7999999999988</v>
      </c>
      <c r="G591" s="969">
        <f>ROUND(E591*F591,2)</f>
        <v>292.95999999999998</v>
      </c>
      <c r="H591" s="964" t="s">
        <v>2217</v>
      </c>
    </row>
    <row r="592" spans="1:8" hidden="1">
      <c r="A592" s="967"/>
      <c r="B592" s="967"/>
      <c r="C592" s="962" t="s">
        <v>68</v>
      </c>
      <c r="D592" s="967"/>
      <c r="E592" s="970"/>
      <c r="F592" s="970"/>
      <c r="G592" s="969"/>
      <c r="H592" s="964" t="s">
        <v>2217</v>
      </c>
    </row>
    <row r="593" spans="1:8" hidden="1">
      <c r="A593" s="967"/>
      <c r="B593" s="967"/>
      <c r="C593" s="1382" t="s">
        <v>64</v>
      </c>
      <c r="D593" s="967" t="s">
        <v>27</v>
      </c>
      <c r="E593" s="970">
        <v>3</v>
      </c>
      <c r="F593" s="990">
        <f>'MINI SSR 19-20'!$H$3</f>
        <v>500</v>
      </c>
      <c r="G593" s="969">
        <f>ROUND(E593*F593,2)</f>
        <v>1500</v>
      </c>
      <c r="H593" s="964" t="s">
        <v>2217</v>
      </c>
    </row>
    <row r="594" spans="1:8" hidden="1">
      <c r="A594" s="967"/>
      <c r="B594" s="967"/>
      <c r="C594" s="1382" t="s">
        <v>69</v>
      </c>
      <c r="D594" s="967" t="s">
        <v>27</v>
      </c>
      <c r="E594" s="970">
        <v>1</v>
      </c>
      <c r="F594" s="990">
        <f>'MINI SSR 19-20'!$H$4</f>
        <v>460</v>
      </c>
      <c r="G594" s="969">
        <f>ROUND(E594*F594,2)</f>
        <v>460</v>
      </c>
      <c r="H594" s="964" t="s">
        <v>2217</v>
      </c>
    </row>
    <row r="595" spans="1:8" hidden="1">
      <c r="A595" s="967"/>
      <c r="B595" s="967"/>
      <c r="C595" s="1382" t="s">
        <v>85</v>
      </c>
      <c r="D595" s="967" t="s">
        <v>27</v>
      </c>
      <c r="E595" s="970">
        <v>8</v>
      </c>
      <c r="F595" s="990">
        <f>'MINI SSR 19-20'!$H$5</f>
        <v>420</v>
      </c>
      <c r="G595" s="969">
        <f>ROUND(E595*F595,2)</f>
        <v>3360</v>
      </c>
      <c r="H595" s="964" t="s">
        <v>2217</v>
      </c>
    </row>
    <row r="596" spans="1:8" hidden="1">
      <c r="A596" s="967"/>
      <c r="B596" s="967"/>
      <c r="C596" s="1382" t="s">
        <v>895</v>
      </c>
      <c r="D596" s="967"/>
      <c r="E596" s="970">
        <v>0.01</v>
      </c>
      <c r="F596" s="970">
        <f>SUM(G588:G595)</f>
        <v>5965.46</v>
      </c>
      <c r="G596" s="969">
        <f>ROUND(E596*F596,2)</f>
        <v>59.65</v>
      </c>
      <c r="H596" s="964" t="s">
        <v>2217</v>
      </c>
    </row>
    <row r="597" spans="1:8" hidden="1">
      <c r="A597" s="967"/>
      <c r="B597" s="967"/>
      <c r="C597" s="962" t="s">
        <v>88</v>
      </c>
      <c r="D597" s="967"/>
      <c r="E597" s="967"/>
      <c r="F597" s="967"/>
      <c r="G597" s="971">
        <f>SUM(G587:G596)</f>
        <v>28280.99</v>
      </c>
      <c r="H597" s="964" t="s">
        <v>2217</v>
      </c>
    </row>
    <row r="598" spans="1:8" hidden="1">
      <c r="A598" s="967"/>
      <c r="B598" s="967"/>
      <c r="C598" s="962"/>
      <c r="D598" s="967"/>
      <c r="E598" s="966" t="s">
        <v>161</v>
      </c>
      <c r="F598" s="966" t="s">
        <v>162</v>
      </c>
      <c r="G598" s="974" t="s">
        <v>163</v>
      </c>
      <c r="H598" s="964" t="s">
        <v>2217</v>
      </c>
    </row>
    <row r="599" spans="1:8" hidden="1">
      <c r="A599" s="967"/>
      <c r="B599" s="967"/>
      <c r="C599" s="962" t="s">
        <v>1273</v>
      </c>
      <c r="D599" s="967"/>
      <c r="E599" s="970">
        <f>G597</f>
        <v>28280.99</v>
      </c>
      <c r="F599" s="970">
        <f>G597</f>
        <v>28280.99</v>
      </c>
      <c r="G599" s="972">
        <f>G597</f>
        <v>28280.99</v>
      </c>
      <c r="H599" s="964" t="s">
        <v>2217</v>
      </c>
    </row>
    <row r="600" spans="1:8" ht="25.5" hidden="1">
      <c r="A600" s="967"/>
      <c r="B600" s="967"/>
      <c r="C600" s="1382" t="s">
        <v>1285</v>
      </c>
      <c r="D600" s="967"/>
      <c r="E600" s="970"/>
      <c r="F600" s="972">
        <f>ROUND((G593+G594+G595)*0.1,2)</f>
        <v>532</v>
      </c>
      <c r="G600" s="972">
        <f>ROUND((G593+G594+G595)*0.2,2)</f>
        <v>1064</v>
      </c>
      <c r="H600" s="964" t="s">
        <v>2217</v>
      </c>
    </row>
    <row r="601" spans="1:8" hidden="1">
      <c r="A601" s="967"/>
      <c r="B601" s="967"/>
      <c r="C601" s="962" t="s">
        <v>88</v>
      </c>
      <c r="D601" s="967"/>
      <c r="E601" s="970">
        <f>SUM(E599:E600)</f>
        <v>28280.99</v>
      </c>
      <c r="F601" s="972">
        <f>SUM(F599:F600)</f>
        <v>28812.99</v>
      </c>
      <c r="G601" s="972">
        <f>SUM(G599:G600)</f>
        <v>29344.99</v>
      </c>
      <c r="H601" s="964" t="s">
        <v>2217</v>
      </c>
    </row>
    <row r="602" spans="1:8" hidden="1">
      <c r="A602" s="967"/>
      <c r="B602" s="967"/>
      <c r="C602" s="962" t="s">
        <v>121</v>
      </c>
      <c r="D602" s="967"/>
      <c r="E602" s="974">
        <f>ROUND(E601/10,2)</f>
        <v>2828.1</v>
      </c>
      <c r="F602" s="974">
        <f>ROUND(F601/10,2)</f>
        <v>2881.3</v>
      </c>
      <c r="G602" s="971">
        <f>ROUND(G601/10,2)</f>
        <v>2934.5</v>
      </c>
      <c r="H602" s="964" t="s">
        <v>2217</v>
      </c>
    </row>
    <row r="603" spans="1:8" ht="153" hidden="1">
      <c r="A603" s="896">
        <v>21</v>
      </c>
      <c r="B603" s="966" t="s">
        <v>668</v>
      </c>
      <c r="C603" s="1382" t="s">
        <v>671</v>
      </c>
      <c r="D603" s="967"/>
      <c r="E603" s="967"/>
      <c r="F603" s="967"/>
      <c r="G603" s="966"/>
      <c r="H603" s="964" t="s">
        <v>2217</v>
      </c>
    </row>
    <row r="604" spans="1:8" hidden="1">
      <c r="A604" s="896"/>
      <c r="B604" s="966"/>
      <c r="C604" s="962" t="s">
        <v>42</v>
      </c>
      <c r="D604" s="967"/>
      <c r="E604" s="967"/>
      <c r="F604" s="967"/>
      <c r="G604" s="972"/>
      <c r="H604" s="964" t="s">
        <v>2217</v>
      </c>
    </row>
    <row r="605" spans="1:8" hidden="1">
      <c r="A605" s="896"/>
      <c r="B605" s="966"/>
      <c r="C605" s="962" t="s">
        <v>60</v>
      </c>
      <c r="D605" s="967"/>
      <c r="E605" s="967"/>
      <c r="F605" s="967"/>
      <c r="G605" s="972"/>
      <c r="H605" s="964" t="s">
        <v>2217</v>
      </c>
    </row>
    <row r="606" spans="1:8" ht="25.5" hidden="1">
      <c r="A606" s="896"/>
      <c r="B606" s="966"/>
      <c r="C606" s="1382" t="s">
        <v>667</v>
      </c>
      <c r="D606" s="967" t="s">
        <v>77</v>
      </c>
      <c r="E606" s="970">
        <v>10.5</v>
      </c>
      <c r="F606" s="970">
        <f>F587</f>
        <v>2119.6080000000002</v>
      </c>
      <c r="G606" s="969">
        <f>ROUND(E606*F606/1,2)</f>
        <v>22255.88</v>
      </c>
      <c r="H606" s="964" t="s">
        <v>2217</v>
      </c>
    </row>
    <row r="607" spans="1:8" hidden="1">
      <c r="A607" s="896"/>
      <c r="B607" s="966"/>
      <c r="C607" s="1382" t="s">
        <v>669</v>
      </c>
      <c r="D607" s="967" t="s">
        <v>35</v>
      </c>
      <c r="E607" s="970">
        <v>0.12</v>
      </c>
      <c r="F607" s="970">
        <f>F591</f>
        <v>1464.7999999999988</v>
      </c>
      <c r="G607" s="969">
        <f>ROUND(E607*F607,2)</f>
        <v>175.78</v>
      </c>
      <c r="H607" s="964" t="s">
        <v>2217</v>
      </c>
    </row>
    <row r="608" spans="1:8" hidden="1">
      <c r="A608" s="896"/>
      <c r="B608" s="966"/>
      <c r="C608" s="1382" t="s">
        <v>105</v>
      </c>
      <c r="D608" s="967" t="s">
        <v>4</v>
      </c>
      <c r="E608" s="970">
        <v>57.6</v>
      </c>
      <c r="F608" s="970">
        <f>F588</f>
        <v>4700</v>
      </c>
      <c r="G608" s="969">
        <f>ROUND(E608*F608/1000,2)</f>
        <v>270.72000000000003</v>
      </c>
      <c r="H608" s="964" t="s">
        <v>2217</v>
      </c>
    </row>
    <row r="609" spans="1:8" hidden="1">
      <c r="A609" s="896"/>
      <c r="B609" s="966"/>
      <c r="C609" s="1382" t="s">
        <v>92</v>
      </c>
      <c r="D609" s="967" t="s">
        <v>4</v>
      </c>
      <c r="E609" s="970">
        <v>33</v>
      </c>
      <c r="F609" s="970">
        <f>F589</f>
        <v>4700</v>
      </c>
      <c r="G609" s="969">
        <f>ROUND(E609*F609/1000,2)</f>
        <v>155.1</v>
      </c>
      <c r="H609" s="964" t="s">
        <v>2217</v>
      </c>
    </row>
    <row r="610" spans="1:8" hidden="1">
      <c r="A610" s="896"/>
      <c r="B610" s="966"/>
      <c r="C610" s="1382" t="s">
        <v>670</v>
      </c>
      <c r="D610" s="967" t="s">
        <v>4</v>
      </c>
      <c r="E610" s="970">
        <v>5</v>
      </c>
      <c r="F610" s="970">
        <f>'MINI SSR 19-20'!C45</f>
        <v>27</v>
      </c>
      <c r="G610" s="969">
        <f>ROUND(E610*F610,2)</f>
        <v>135</v>
      </c>
      <c r="H610" s="964" t="s">
        <v>2217</v>
      </c>
    </row>
    <row r="611" spans="1:8" hidden="1">
      <c r="A611" s="967"/>
      <c r="B611" s="967"/>
      <c r="C611" s="962" t="s">
        <v>68</v>
      </c>
      <c r="D611" s="967"/>
      <c r="E611" s="970"/>
      <c r="F611" s="970"/>
      <c r="G611" s="969"/>
      <c r="H611" s="964" t="s">
        <v>2217</v>
      </c>
    </row>
    <row r="612" spans="1:8" hidden="1">
      <c r="A612" s="967"/>
      <c r="B612" s="967"/>
      <c r="C612" s="1382" t="s">
        <v>64</v>
      </c>
      <c r="D612" s="967" t="s">
        <v>27</v>
      </c>
      <c r="E612" s="970">
        <v>2.1</v>
      </c>
      <c r="F612" s="990">
        <f>'MINI SSR 19-20'!$H$3</f>
        <v>500</v>
      </c>
      <c r="G612" s="969">
        <f>ROUND(E612*F612,2)</f>
        <v>1050</v>
      </c>
      <c r="H612" s="964" t="s">
        <v>2217</v>
      </c>
    </row>
    <row r="613" spans="1:8" hidden="1">
      <c r="A613" s="967"/>
      <c r="B613" s="967"/>
      <c r="C613" s="1382" t="s">
        <v>69</v>
      </c>
      <c r="D613" s="967" t="s">
        <v>27</v>
      </c>
      <c r="E613" s="970">
        <v>4.9000000000000004</v>
      </c>
      <c r="F613" s="990">
        <f>'MINI SSR 19-20'!$H$4</f>
        <v>460</v>
      </c>
      <c r="G613" s="969">
        <f>ROUND(E613*F613,2)</f>
        <v>2254</v>
      </c>
      <c r="H613" s="964" t="s">
        <v>2217</v>
      </c>
    </row>
    <row r="614" spans="1:8" hidden="1">
      <c r="A614" s="967"/>
      <c r="B614" s="967"/>
      <c r="C614" s="1382" t="s">
        <v>85</v>
      </c>
      <c r="D614" s="967" t="s">
        <v>27</v>
      </c>
      <c r="E614" s="970">
        <v>0.8</v>
      </c>
      <c r="F614" s="990">
        <f>'MINI SSR 19-20'!$H$5</f>
        <v>420</v>
      </c>
      <c r="G614" s="969">
        <f>ROUND(E614*F614,2)</f>
        <v>336</v>
      </c>
      <c r="H614" s="964" t="s">
        <v>2217</v>
      </c>
    </row>
    <row r="615" spans="1:8" hidden="1">
      <c r="A615" s="967"/>
      <c r="B615" s="967"/>
      <c r="C615" s="1382" t="s">
        <v>895</v>
      </c>
      <c r="D615" s="967"/>
      <c r="E615" s="970">
        <v>0.01</v>
      </c>
      <c r="F615" s="970">
        <f>SUM(G607:G614)</f>
        <v>4376.6000000000004</v>
      </c>
      <c r="G615" s="969">
        <f>ROUND(E615*F615,2)</f>
        <v>43.77</v>
      </c>
      <c r="H615" s="964" t="s">
        <v>2217</v>
      </c>
    </row>
    <row r="616" spans="1:8" hidden="1">
      <c r="A616" s="967"/>
      <c r="B616" s="967"/>
      <c r="C616" s="962" t="s">
        <v>88</v>
      </c>
      <c r="D616" s="967"/>
      <c r="E616" s="967"/>
      <c r="F616" s="967"/>
      <c r="G616" s="971">
        <f>SUM(G606:G615)</f>
        <v>26676.25</v>
      </c>
      <c r="H616" s="964" t="s">
        <v>2217</v>
      </c>
    </row>
    <row r="617" spans="1:8" hidden="1">
      <c r="A617" s="967"/>
      <c r="B617" s="967"/>
      <c r="C617" s="962"/>
      <c r="D617" s="967"/>
      <c r="E617" s="966" t="s">
        <v>161</v>
      </c>
      <c r="F617" s="966" t="s">
        <v>161</v>
      </c>
      <c r="G617" s="974" t="s">
        <v>162</v>
      </c>
      <c r="H617" s="964" t="s">
        <v>2217</v>
      </c>
    </row>
    <row r="618" spans="1:8" hidden="1">
      <c r="A618" s="967"/>
      <c r="B618" s="967"/>
      <c r="C618" s="962" t="s">
        <v>1273</v>
      </c>
      <c r="D618" s="967"/>
      <c r="E618" s="970">
        <f>G616</f>
        <v>26676.25</v>
      </c>
      <c r="F618" s="970">
        <f>G616</f>
        <v>26676.25</v>
      </c>
      <c r="G618" s="972">
        <f>G616</f>
        <v>26676.25</v>
      </c>
      <c r="H618" s="964" t="s">
        <v>2217</v>
      </c>
    </row>
    <row r="619" spans="1:8" hidden="1">
      <c r="A619" s="967"/>
      <c r="B619" s="967"/>
      <c r="C619" s="1382" t="s">
        <v>1348</v>
      </c>
      <c r="D619" s="967"/>
      <c r="E619" s="970"/>
      <c r="F619" s="972">
        <f>ROUND((G612+G613+G614)*0.1,2)</f>
        <v>364</v>
      </c>
      <c r="G619" s="972">
        <f>ROUND((G612+G613+G614)*0.2,2)</f>
        <v>728</v>
      </c>
      <c r="H619" s="964" t="s">
        <v>2217</v>
      </c>
    </row>
    <row r="620" spans="1:8" hidden="1">
      <c r="A620" s="967"/>
      <c r="B620" s="967"/>
      <c r="C620" s="962" t="s">
        <v>88</v>
      </c>
      <c r="D620" s="967"/>
      <c r="E620" s="970">
        <f>SUM(E618:E619)</f>
        <v>26676.25</v>
      </c>
      <c r="F620" s="970">
        <f>SUM(F618:F619)</f>
        <v>27040.25</v>
      </c>
      <c r="G620" s="972">
        <f>SUM(G618:G619)</f>
        <v>27404.25</v>
      </c>
      <c r="H620" s="964" t="s">
        <v>2217</v>
      </c>
    </row>
    <row r="621" spans="1:8" hidden="1">
      <c r="A621" s="967"/>
      <c r="B621" s="967"/>
      <c r="C621" s="962" t="s">
        <v>121</v>
      </c>
      <c r="D621" s="967"/>
      <c r="E621" s="974">
        <f>ROUND(E620/10,2)</f>
        <v>2667.63</v>
      </c>
      <c r="F621" s="974">
        <f>ROUND(F620/10,2)</f>
        <v>2704.03</v>
      </c>
      <c r="G621" s="971">
        <f>ROUND(G620/10,2)</f>
        <v>2740.43</v>
      </c>
      <c r="H621" s="964" t="s">
        <v>2217</v>
      </c>
    </row>
    <row r="622" spans="1:8" ht="38.25" hidden="1">
      <c r="A622" s="896">
        <v>42</v>
      </c>
      <c r="B622" s="966"/>
      <c r="C622" s="1382" t="s">
        <v>937</v>
      </c>
      <c r="D622" s="967"/>
      <c r="E622" s="967"/>
      <c r="F622" s="967"/>
      <c r="G622" s="902"/>
      <c r="H622" s="964" t="s">
        <v>2217</v>
      </c>
    </row>
    <row r="623" spans="1:8" hidden="1">
      <c r="A623" s="902"/>
      <c r="B623" s="902"/>
      <c r="C623" s="1382" t="s">
        <v>938</v>
      </c>
      <c r="D623" s="896" t="s">
        <v>277</v>
      </c>
      <c r="E623" s="920">
        <v>1</v>
      </c>
      <c r="F623" s="922">
        <f>'MINI SSR 19-20'!C46</f>
        <v>412</v>
      </c>
      <c r="G623" s="969">
        <f>ROUND(E623*F623,2)</f>
        <v>412</v>
      </c>
      <c r="H623" s="964" t="s">
        <v>2217</v>
      </c>
    </row>
    <row r="624" spans="1:8" hidden="1">
      <c r="A624" s="902"/>
      <c r="B624" s="902"/>
      <c r="C624" s="962" t="s">
        <v>377</v>
      </c>
      <c r="D624" s="896"/>
      <c r="E624" s="922"/>
      <c r="F624" s="922"/>
      <c r="G624" s="963">
        <f>SUM(G623:G623)</f>
        <v>412</v>
      </c>
      <c r="H624" s="964" t="s">
        <v>2217</v>
      </c>
    </row>
    <row r="625" spans="1:8" ht="140.25" hidden="1">
      <c r="A625" s="896">
        <v>43</v>
      </c>
      <c r="B625" s="966" t="s">
        <v>674</v>
      </c>
      <c r="C625" s="1382" t="s">
        <v>673</v>
      </c>
      <c r="D625" s="967"/>
      <c r="E625" s="967"/>
      <c r="F625" s="967"/>
      <c r="G625" s="966"/>
      <c r="H625" s="964" t="s">
        <v>2217</v>
      </c>
    </row>
    <row r="626" spans="1:8" hidden="1">
      <c r="A626" s="896"/>
      <c r="B626" s="966"/>
      <c r="C626" s="962" t="s">
        <v>42</v>
      </c>
      <c r="D626" s="967"/>
      <c r="E626" s="967"/>
      <c r="F626" s="967"/>
      <c r="G626" s="972"/>
      <c r="H626" s="964" t="s">
        <v>2217</v>
      </c>
    </row>
    <row r="627" spans="1:8" hidden="1">
      <c r="A627" s="896"/>
      <c r="B627" s="966"/>
      <c r="C627" s="962" t="s">
        <v>60</v>
      </c>
      <c r="D627" s="967"/>
      <c r="E627" s="967"/>
      <c r="F627" s="967"/>
      <c r="G627" s="972"/>
      <c r="H627" s="964" t="s">
        <v>2217</v>
      </c>
    </row>
    <row r="628" spans="1:8" ht="25.5" hidden="1">
      <c r="A628" s="896"/>
      <c r="B628" s="966"/>
      <c r="C628" s="1382" t="s">
        <v>677</v>
      </c>
      <c r="D628" s="967" t="s">
        <v>77</v>
      </c>
      <c r="E628" s="970">
        <v>10.5</v>
      </c>
      <c r="F628" s="970">
        <f>'MINI SSR 19-20'!C20</f>
        <v>266</v>
      </c>
      <c r="G628" s="969">
        <f>ROUND(E628*F628/1,2)</f>
        <v>2793</v>
      </c>
      <c r="H628" s="964" t="s">
        <v>2217</v>
      </c>
    </row>
    <row r="629" spans="1:8" hidden="1">
      <c r="A629" s="896"/>
      <c r="B629" s="966"/>
      <c r="C629" s="1382" t="s">
        <v>675</v>
      </c>
      <c r="D629" s="967" t="s">
        <v>4</v>
      </c>
      <c r="E629" s="970">
        <v>28.8</v>
      </c>
      <c r="F629" s="970">
        <f>F608</f>
        <v>4700</v>
      </c>
      <c r="G629" s="969">
        <f>ROUND(E629*F629/1000,2)</f>
        <v>135.36000000000001</v>
      </c>
      <c r="H629" s="964" t="s">
        <v>2217</v>
      </c>
    </row>
    <row r="630" spans="1:8" hidden="1">
      <c r="A630" s="896"/>
      <c r="B630" s="966"/>
      <c r="C630" s="1382" t="s">
        <v>92</v>
      </c>
      <c r="D630" s="967" t="s">
        <v>4</v>
      </c>
      <c r="E630" s="970">
        <v>33</v>
      </c>
      <c r="F630" s="970">
        <f>F629</f>
        <v>4700</v>
      </c>
      <c r="G630" s="969">
        <f>ROUND(E630*F630/1000,2)</f>
        <v>155.1</v>
      </c>
      <c r="H630" s="964" t="s">
        <v>2217</v>
      </c>
    </row>
    <row r="631" spans="1:8" hidden="1">
      <c r="A631" s="896"/>
      <c r="B631" s="966"/>
      <c r="C631" s="1382" t="s">
        <v>93</v>
      </c>
      <c r="D631" s="967" t="s">
        <v>4</v>
      </c>
      <c r="E631" s="970">
        <v>6</v>
      </c>
      <c r="F631" s="970">
        <f>F630</f>
        <v>4700</v>
      </c>
      <c r="G631" s="969">
        <f>ROUND(E631*F631/1000,2)</f>
        <v>28.2</v>
      </c>
      <c r="H631" s="964" t="s">
        <v>2217</v>
      </c>
    </row>
    <row r="632" spans="1:8" hidden="1">
      <c r="A632" s="896"/>
      <c r="B632" s="966"/>
      <c r="C632" s="1382" t="s">
        <v>676</v>
      </c>
      <c r="D632" s="967" t="s">
        <v>35</v>
      </c>
      <c r="E632" s="970">
        <v>0.12</v>
      </c>
      <c r="F632" s="970">
        <f>'lead 19-20'!L12</f>
        <v>1464.7999999999988</v>
      </c>
      <c r="G632" s="969">
        <f>ROUND(E632*F632,2)</f>
        <v>175.78</v>
      </c>
      <c r="H632" s="964" t="s">
        <v>2217</v>
      </c>
    </row>
    <row r="633" spans="1:8" hidden="1">
      <c r="A633" s="967"/>
      <c r="B633" s="967"/>
      <c r="C633" s="962" t="s">
        <v>68</v>
      </c>
      <c r="D633" s="967"/>
      <c r="E633" s="970"/>
      <c r="F633" s="970"/>
      <c r="G633" s="969"/>
      <c r="H633" s="964" t="s">
        <v>2217</v>
      </c>
    </row>
    <row r="634" spans="1:8" hidden="1">
      <c r="A634" s="967"/>
      <c r="B634" s="967"/>
      <c r="C634" s="1382" t="s">
        <v>69</v>
      </c>
      <c r="D634" s="967" t="s">
        <v>27</v>
      </c>
      <c r="E634" s="970">
        <v>0.96</v>
      </c>
      <c r="F634" s="990">
        <f>'MINI SSR 19-20'!$H$4</f>
        <v>460</v>
      </c>
      <c r="G634" s="969">
        <f>ROUND(E634*F634,2)</f>
        <v>441.6</v>
      </c>
      <c r="H634" s="964" t="s">
        <v>2217</v>
      </c>
    </row>
    <row r="635" spans="1:8" hidden="1">
      <c r="A635" s="967"/>
      <c r="B635" s="967"/>
      <c r="C635" s="1382" t="s">
        <v>218</v>
      </c>
      <c r="D635" s="967" t="s">
        <v>27</v>
      </c>
      <c r="E635" s="970">
        <v>2.2400000000000002</v>
      </c>
      <c r="F635" s="990">
        <f>'MINI SSR 19-20'!$H$5</f>
        <v>420</v>
      </c>
      <c r="G635" s="969">
        <f>ROUND(E635*F635,2)</f>
        <v>940.8</v>
      </c>
      <c r="H635" s="964" t="s">
        <v>2217</v>
      </c>
    </row>
    <row r="636" spans="1:8" hidden="1">
      <c r="A636" s="967"/>
      <c r="B636" s="967"/>
      <c r="C636" s="1382" t="s">
        <v>85</v>
      </c>
      <c r="D636" s="967" t="s">
        <v>27</v>
      </c>
      <c r="E636" s="970">
        <v>3.3</v>
      </c>
      <c r="F636" s="990">
        <f>'MINI SSR 19-20'!$H$5</f>
        <v>420</v>
      </c>
      <c r="G636" s="969">
        <f>ROUND(E636*F636,2)</f>
        <v>1386</v>
      </c>
      <c r="H636" s="964" t="s">
        <v>2217</v>
      </c>
    </row>
    <row r="637" spans="1:8" hidden="1">
      <c r="A637" s="967"/>
      <c r="B637" s="967"/>
      <c r="C637" s="962" t="s">
        <v>88</v>
      </c>
      <c r="D637" s="967"/>
      <c r="E637" s="967"/>
      <c r="F637" s="967"/>
      <c r="G637" s="971">
        <f>SUM(G628:G636)</f>
        <v>6055.84</v>
      </c>
      <c r="H637" s="964" t="s">
        <v>2217</v>
      </c>
    </row>
    <row r="638" spans="1:8" hidden="1">
      <c r="A638" s="967"/>
      <c r="B638" s="967"/>
      <c r="C638" s="962"/>
      <c r="D638" s="967"/>
      <c r="E638" s="966" t="s">
        <v>161</v>
      </c>
      <c r="F638" s="966" t="s">
        <v>162</v>
      </c>
      <c r="G638" s="974" t="s">
        <v>163</v>
      </c>
      <c r="H638" s="964" t="s">
        <v>2217</v>
      </c>
    </row>
    <row r="639" spans="1:8" hidden="1">
      <c r="A639" s="967"/>
      <c r="B639" s="967"/>
      <c r="C639" s="962" t="s">
        <v>1273</v>
      </c>
      <c r="D639" s="967"/>
      <c r="E639" s="970">
        <f>G637</f>
        <v>6055.84</v>
      </c>
      <c r="F639" s="970">
        <f>G637</f>
        <v>6055.84</v>
      </c>
      <c r="G639" s="972">
        <f>G637</f>
        <v>6055.84</v>
      </c>
      <c r="H639" s="964" t="s">
        <v>2217</v>
      </c>
    </row>
    <row r="640" spans="1:8" ht="25.5" hidden="1">
      <c r="A640" s="967"/>
      <c r="B640" s="967"/>
      <c r="C640" s="1382" t="s">
        <v>1285</v>
      </c>
      <c r="D640" s="967"/>
      <c r="E640" s="970"/>
      <c r="F640" s="972">
        <f>ROUND((G635+G634+G636)*0.1,2)</f>
        <v>276.83999999999997</v>
      </c>
      <c r="G640" s="972">
        <f>ROUND((G636+G634+G635)*0.2,2)</f>
        <v>553.67999999999995</v>
      </c>
      <c r="H640" s="964" t="s">
        <v>2217</v>
      </c>
    </row>
    <row r="641" spans="1:8" hidden="1">
      <c r="A641" s="967"/>
      <c r="B641" s="967"/>
      <c r="C641" s="962" t="s">
        <v>88</v>
      </c>
      <c r="D641" s="967"/>
      <c r="E641" s="970">
        <f>SUM(E639:E640)</f>
        <v>6055.84</v>
      </c>
      <c r="F641" s="970">
        <f>SUM(F639:F640)</f>
        <v>6332.68</v>
      </c>
      <c r="G641" s="972">
        <f>SUM(G639:G640)</f>
        <v>6609.52</v>
      </c>
      <c r="H641" s="964" t="s">
        <v>2217</v>
      </c>
    </row>
    <row r="642" spans="1:8" hidden="1">
      <c r="A642" s="967"/>
      <c r="B642" s="967"/>
      <c r="C642" s="962" t="s">
        <v>121</v>
      </c>
      <c r="D642" s="967"/>
      <c r="E642" s="974">
        <f>ROUND(E641/10,2)</f>
        <v>605.58000000000004</v>
      </c>
      <c r="F642" s="974">
        <f>ROUND(F641/10,2)</f>
        <v>633.27</v>
      </c>
      <c r="G642" s="971">
        <f>ROUND(G641/10,2)</f>
        <v>660.95</v>
      </c>
      <c r="H642" s="964" t="s">
        <v>2217</v>
      </c>
    </row>
    <row r="643" spans="1:8" ht="127.5" hidden="1">
      <c r="A643" s="896">
        <v>44</v>
      </c>
      <c r="B643" s="966" t="s">
        <v>199</v>
      </c>
      <c r="C643" s="1382" t="s">
        <v>679</v>
      </c>
      <c r="D643" s="967"/>
      <c r="E643" s="967"/>
      <c r="F643" s="967"/>
      <c r="G643" s="966"/>
      <c r="H643" s="964" t="s">
        <v>2217</v>
      </c>
    </row>
    <row r="644" spans="1:8" hidden="1">
      <c r="A644" s="896"/>
      <c r="B644" s="966"/>
      <c r="C644" s="962" t="s">
        <v>42</v>
      </c>
      <c r="D644" s="967"/>
      <c r="E644" s="967"/>
      <c r="F644" s="967"/>
      <c r="G644" s="972"/>
      <c r="H644" s="964" t="s">
        <v>2217</v>
      </c>
    </row>
    <row r="645" spans="1:8" hidden="1">
      <c r="A645" s="896"/>
      <c r="B645" s="966"/>
      <c r="C645" s="962" t="s">
        <v>60</v>
      </c>
      <c r="D645" s="967"/>
      <c r="E645" s="967"/>
      <c r="F645" s="967"/>
      <c r="G645" s="972"/>
      <c r="H645" s="964" t="s">
        <v>2217</v>
      </c>
    </row>
    <row r="646" spans="1:8" ht="25.5" hidden="1">
      <c r="A646" s="896"/>
      <c r="B646" s="966"/>
      <c r="C646" s="1382" t="s">
        <v>677</v>
      </c>
      <c r="D646" s="967" t="s">
        <v>77</v>
      </c>
      <c r="E646" s="970">
        <v>10.5</v>
      </c>
      <c r="F646" s="970">
        <f>'MINI SSR 19-20'!C20</f>
        <v>266</v>
      </c>
      <c r="G646" s="969">
        <f>ROUND(E646*F646/1,2)</f>
        <v>2793</v>
      </c>
      <c r="H646" s="964" t="s">
        <v>2217</v>
      </c>
    </row>
    <row r="647" spans="1:8" hidden="1">
      <c r="A647" s="896"/>
      <c r="B647" s="966"/>
      <c r="C647" s="1382" t="s">
        <v>200</v>
      </c>
      <c r="D647" s="967" t="s">
        <v>35</v>
      </c>
      <c r="E647" s="970">
        <v>0.12</v>
      </c>
      <c r="F647" s="970">
        <f>F632</f>
        <v>1464.7999999999988</v>
      </c>
      <c r="G647" s="969">
        <f>ROUND(E647*F647,2)</f>
        <v>175.78</v>
      </c>
      <c r="H647" s="964" t="s">
        <v>2217</v>
      </c>
    </row>
    <row r="648" spans="1:8" hidden="1">
      <c r="A648" s="896"/>
      <c r="B648" s="966"/>
      <c r="C648" s="1382" t="s">
        <v>201</v>
      </c>
      <c r="D648" s="967" t="s">
        <v>4</v>
      </c>
      <c r="E648" s="970">
        <v>34.56</v>
      </c>
      <c r="F648" s="970">
        <f>F629</f>
        <v>4700</v>
      </c>
      <c r="G648" s="969">
        <f>ROUND(E648*F648/1000,2)</f>
        <v>162.43</v>
      </c>
      <c r="H648" s="964" t="s">
        <v>2217</v>
      </c>
    </row>
    <row r="649" spans="1:8" hidden="1">
      <c r="A649" s="896"/>
      <c r="B649" s="966"/>
      <c r="C649" s="1382" t="s">
        <v>202</v>
      </c>
      <c r="D649" s="967" t="s">
        <v>4</v>
      </c>
      <c r="E649" s="970">
        <v>33</v>
      </c>
      <c r="F649" s="970">
        <f>F648</f>
        <v>4700</v>
      </c>
      <c r="G649" s="969">
        <f>ROUND(E649*F649/1000,2)</f>
        <v>155.1</v>
      </c>
      <c r="H649" s="964" t="s">
        <v>2217</v>
      </c>
    </row>
    <row r="650" spans="1:8" hidden="1">
      <c r="A650" s="896"/>
      <c r="B650" s="966"/>
      <c r="C650" s="1382" t="s">
        <v>204</v>
      </c>
      <c r="D650" s="967" t="s">
        <v>4</v>
      </c>
      <c r="E650" s="970">
        <v>2</v>
      </c>
      <c r="F650" s="970">
        <f>'MINI SSR 19-20'!C45</f>
        <v>27</v>
      </c>
      <c r="G650" s="969">
        <f>ROUND(E650*F650,2)</f>
        <v>54</v>
      </c>
      <c r="H650" s="964" t="s">
        <v>2217</v>
      </c>
    </row>
    <row r="651" spans="1:8" hidden="1">
      <c r="A651" s="967"/>
      <c r="B651" s="967"/>
      <c r="C651" s="962" t="s">
        <v>68</v>
      </c>
      <c r="D651" s="967"/>
      <c r="E651" s="970"/>
      <c r="F651" s="970"/>
      <c r="G651" s="969"/>
      <c r="H651" s="964" t="s">
        <v>2217</v>
      </c>
    </row>
    <row r="652" spans="1:8" hidden="1">
      <c r="A652" s="967"/>
      <c r="B652" s="967"/>
      <c r="C652" s="1382" t="s">
        <v>64</v>
      </c>
      <c r="D652" s="967" t="s">
        <v>27</v>
      </c>
      <c r="E652" s="970">
        <v>0.96</v>
      </c>
      <c r="F652" s="990">
        <f>'MINI SSR 19-20'!$H$3</f>
        <v>500</v>
      </c>
      <c r="G652" s="969">
        <f>ROUND(E652*F652,2)</f>
        <v>480</v>
      </c>
      <c r="H652" s="964" t="s">
        <v>2217</v>
      </c>
    </row>
    <row r="653" spans="1:8" hidden="1">
      <c r="A653" s="967"/>
      <c r="B653" s="967"/>
      <c r="C653" s="1382" t="s">
        <v>69</v>
      </c>
      <c r="D653" s="967" t="s">
        <v>27</v>
      </c>
      <c r="E653" s="970">
        <v>2.2400000000000002</v>
      </c>
      <c r="F653" s="990">
        <f>'MINI SSR 19-20'!$H$4</f>
        <v>460</v>
      </c>
      <c r="G653" s="969">
        <f>ROUND(E653*F653,2)</f>
        <v>1030.4000000000001</v>
      </c>
      <c r="H653" s="964" t="s">
        <v>2217</v>
      </c>
    </row>
    <row r="654" spans="1:8" hidden="1">
      <c r="A654" s="967"/>
      <c r="B654" s="967"/>
      <c r="C654" s="1382" t="s">
        <v>85</v>
      </c>
      <c r="D654" s="967" t="s">
        <v>27</v>
      </c>
      <c r="E654" s="970">
        <v>3.3</v>
      </c>
      <c r="F654" s="990">
        <f>'MINI SSR 19-20'!$H$5</f>
        <v>420</v>
      </c>
      <c r="G654" s="969">
        <f>ROUND(E654*F654,2)</f>
        <v>1386</v>
      </c>
      <c r="H654" s="964" t="s">
        <v>2217</v>
      </c>
    </row>
    <row r="655" spans="1:8" hidden="1">
      <c r="A655" s="967"/>
      <c r="B655" s="967"/>
      <c r="C655" s="962" t="s">
        <v>88</v>
      </c>
      <c r="D655" s="967"/>
      <c r="E655" s="967"/>
      <c r="F655" s="967"/>
      <c r="G655" s="971">
        <f>SUM(G646:G654)</f>
        <v>6236.71</v>
      </c>
      <c r="H655" s="964" t="s">
        <v>2217</v>
      </c>
    </row>
    <row r="656" spans="1:8" hidden="1">
      <c r="A656" s="967"/>
      <c r="B656" s="967"/>
      <c r="C656" s="962"/>
      <c r="D656" s="967"/>
      <c r="E656" s="966" t="s">
        <v>161</v>
      </c>
      <c r="F656" s="966" t="s">
        <v>162</v>
      </c>
      <c r="G656" s="974" t="s">
        <v>163</v>
      </c>
      <c r="H656" s="964" t="s">
        <v>2217</v>
      </c>
    </row>
    <row r="657" spans="1:8" hidden="1">
      <c r="A657" s="967"/>
      <c r="B657" s="967"/>
      <c r="C657" s="962" t="s">
        <v>1274</v>
      </c>
      <c r="D657" s="967"/>
      <c r="E657" s="970">
        <f>G655</f>
        <v>6236.71</v>
      </c>
      <c r="F657" s="970">
        <f>G655</f>
        <v>6236.71</v>
      </c>
      <c r="G657" s="972">
        <f>G655</f>
        <v>6236.71</v>
      </c>
      <c r="H657" s="964" t="s">
        <v>2217</v>
      </c>
    </row>
    <row r="658" spans="1:8" ht="25.5" hidden="1">
      <c r="A658" s="967"/>
      <c r="B658" s="967"/>
      <c r="C658" s="1382" t="s">
        <v>170</v>
      </c>
      <c r="D658" s="967"/>
      <c r="E658" s="970"/>
      <c r="F658" s="972">
        <f>ROUND((G653+G652+G654)*0.1,2)</f>
        <v>289.64</v>
      </c>
      <c r="G658" s="972">
        <f>ROUND((G654+G652+G653)*0.2,2)</f>
        <v>579.28</v>
      </c>
      <c r="H658" s="964" t="s">
        <v>2217</v>
      </c>
    </row>
    <row r="659" spans="1:8" hidden="1">
      <c r="A659" s="967"/>
      <c r="B659" s="967"/>
      <c r="C659" s="962" t="s">
        <v>194</v>
      </c>
      <c r="D659" s="967"/>
      <c r="E659" s="970">
        <f>SUM(E657:E658)</f>
        <v>6236.71</v>
      </c>
      <c r="F659" s="970">
        <f>SUM(F657:F658)</f>
        <v>6526.35</v>
      </c>
      <c r="G659" s="972">
        <f>SUM(G657:G658)</f>
        <v>6815.99</v>
      </c>
      <c r="H659" s="964" t="s">
        <v>2217</v>
      </c>
    </row>
    <row r="660" spans="1:8" hidden="1">
      <c r="A660" s="967"/>
      <c r="B660" s="967"/>
      <c r="C660" s="962" t="s">
        <v>181</v>
      </c>
      <c r="D660" s="967"/>
      <c r="E660" s="974">
        <f>ROUND(E659/10,2)</f>
        <v>623.66999999999996</v>
      </c>
      <c r="F660" s="974">
        <f>ROUND(F659/10,2)</f>
        <v>652.64</v>
      </c>
      <c r="G660" s="971">
        <f>ROUND(G659/10,2)</f>
        <v>681.6</v>
      </c>
      <c r="H660" s="964" t="s">
        <v>2217</v>
      </c>
    </row>
    <row r="661" spans="1:8" ht="165.75" hidden="1">
      <c r="A661" s="896">
        <v>15</v>
      </c>
      <c r="B661" s="966" t="s">
        <v>195</v>
      </c>
      <c r="C661" s="1382" t="s">
        <v>212</v>
      </c>
      <c r="D661" s="967"/>
      <c r="E661" s="967"/>
      <c r="F661" s="967"/>
      <c r="G661" s="966"/>
      <c r="H661" s="964" t="s">
        <v>2217</v>
      </c>
    </row>
    <row r="662" spans="1:8" hidden="1">
      <c r="A662" s="896"/>
      <c r="B662" s="966"/>
      <c r="C662" s="962" t="s">
        <v>42</v>
      </c>
      <c r="D662" s="967"/>
      <c r="E662" s="967"/>
      <c r="F662" s="967"/>
      <c r="G662" s="972"/>
      <c r="H662" s="964" t="s">
        <v>2217</v>
      </c>
    </row>
    <row r="663" spans="1:8" hidden="1">
      <c r="A663" s="896"/>
      <c r="B663" s="966"/>
      <c r="C663" s="962" t="s">
        <v>60</v>
      </c>
      <c r="D663" s="967"/>
      <c r="E663" s="967"/>
      <c r="F663" s="967"/>
      <c r="G663" s="972"/>
      <c r="H663" s="964" t="s">
        <v>2217</v>
      </c>
    </row>
    <row r="664" spans="1:8" hidden="1">
      <c r="A664" s="896"/>
      <c r="B664" s="966"/>
      <c r="C664" s="1382" t="s">
        <v>203</v>
      </c>
      <c r="D664" s="967" t="s">
        <v>77</v>
      </c>
      <c r="E664" s="970">
        <v>10.5</v>
      </c>
      <c r="F664" s="970">
        <f>'MINI SSR 19-20'!C21</f>
        <v>612</v>
      </c>
      <c r="G664" s="969">
        <f>ROUND(E664*F664,2)</f>
        <v>6426</v>
      </c>
      <c r="H664" s="964" t="s">
        <v>2217</v>
      </c>
    </row>
    <row r="665" spans="1:8" hidden="1">
      <c r="A665" s="896"/>
      <c r="B665" s="966"/>
      <c r="C665" s="1382" t="s">
        <v>91</v>
      </c>
      <c r="D665" s="967" t="s">
        <v>4</v>
      </c>
      <c r="E665" s="970">
        <v>21.6</v>
      </c>
      <c r="F665" s="970">
        <f>'lead 19-20'!L8</f>
        <v>4700</v>
      </c>
      <c r="G665" s="969">
        <f>ROUND(E665*F665/1000,2)</f>
        <v>101.52</v>
      </c>
      <c r="H665" s="964" t="s">
        <v>2217</v>
      </c>
    </row>
    <row r="666" spans="1:8" hidden="1">
      <c r="A666" s="896"/>
      <c r="B666" s="966"/>
      <c r="C666" s="1382" t="s">
        <v>92</v>
      </c>
      <c r="D666" s="967" t="s">
        <v>4</v>
      </c>
      <c r="E666" s="970">
        <v>33</v>
      </c>
      <c r="F666" s="970">
        <f>F665</f>
        <v>4700</v>
      </c>
      <c r="G666" s="969">
        <f>ROUND(E666*F666/1000,2)</f>
        <v>155.1</v>
      </c>
      <c r="H666" s="964" t="s">
        <v>2217</v>
      </c>
    </row>
    <row r="667" spans="1:8" hidden="1">
      <c r="A667" s="896"/>
      <c r="B667" s="966"/>
      <c r="C667" s="1382" t="s">
        <v>196</v>
      </c>
      <c r="D667" s="967" t="s">
        <v>4</v>
      </c>
      <c r="E667" s="970">
        <v>6</v>
      </c>
      <c r="F667" s="970">
        <f>F666</f>
        <v>4700</v>
      </c>
      <c r="G667" s="969">
        <f>ROUND(E667*F667/1000,2)</f>
        <v>28.2</v>
      </c>
      <c r="H667" s="964" t="s">
        <v>2217</v>
      </c>
    </row>
    <row r="668" spans="1:8" hidden="1">
      <c r="A668" s="896"/>
      <c r="B668" s="966"/>
      <c r="C668" s="1382" t="s">
        <v>197</v>
      </c>
      <c r="D668" s="967" t="s">
        <v>35</v>
      </c>
      <c r="E668" s="970">
        <v>0.12</v>
      </c>
      <c r="F668" s="970">
        <f>'lead 19-20'!L12</f>
        <v>1464.7999999999988</v>
      </c>
      <c r="G668" s="969">
        <f>ROUND(E668*F668,2)</f>
        <v>175.78</v>
      </c>
      <c r="H668" s="964" t="s">
        <v>2217</v>
      </c>
    </row>
    <row r="669" spans="1:8" hidden="1">
      <c r="A669" s="896"/>
      <c r="B669" s="966"/>
      <c r="C669" s="1382" t="s">
        <v>198</v>
      </c>
      <c r="D669" s="967" t="s">
        <v>35</v>
      </c>
      <c r="E669" s="970">
        <v>0.02</v>
      </c>
      <c r="F669" s="970">
        <f>F668</f>
        <v>1464.7999999999988</v>
      </c>
      <c r="G669" s="969">
        <f>ROUND(E669*F669,2)</f>
        <v>29.3</v>
      </c>
      <c r="H669" s="964" t="s">
        <v>2217</v>
      </c>
    </row>
    <row r="670" spans="1:8" hidden="1">
      <c r="A670" s="967"/>
      <c r="B670" s="967"/>
      <c r="C670" s="962" t="s">
        <v>68</v>
      </c>
      <c r="D670" s="967"/>
      <c r="E670" s="970"/>
      <c r="F670" s="970"/>
      <c r="G670" s="969"/>
      <c r="H670" s="964" t="s">
        <v>2217</v>
      </c>
    </row>
    <row r="671" spans="1:8" hidden="1">
      <c r="A671" s="967"/>
      <c r="B671" s="967"/>
      <c r="C671" s="1382" t="s">
        <v>64</v>
      </c>
      <c r="D671" s="967" t="s">
        <v>27</v>
      </c>
      <c r="E671" s="970">
        <v>0.96</v>
      </c>
      <c r="F671" s="990">
        <f>'MINI SSR 19-20'!$H$3</f>
        <v>500</v>
      </c>
      <c r="G671" s="969">
        <f>ROUND(E671*F671,2)</f>
        <v>480</v>
      </c>
      <c r="H671" s="964" t="s">
        <v>2217</v>
      </c>
    </row>
    <row r="672" spans="1:8" hidden="1">
      <c r="A672" s="967"/>
      <c r="B672" s="967"/>
      <c r="C672" s="1382" t="s">
        <v>69</v>
      </c>
      <c r="D672" s="967" t="s">
        <v>27</v>
      </c>
      <c r="E672" s="970">
        <v>2.2400000000000002</v>
      </c>
      <c r="F672" s="990">
        <f>'MINI SSR 19-20'!$H$4</f>
        <v>460</v>
      </c>
      <c r="G672" s="969">
        <f>ROUND(E672*F672,2)</f>
        <v>1030.4000000000001</v>
      </c>
      <c r="H672" s="964" t="s">
        <v>2217</v>
      </c>
    </row>
    <row r="673" spans="1:8" hidden="1">
      <c r="A673" s="967"/>
      <c r="B673" s="967"/>
      <c r="C673" s="1382" t="s">
        <v>85</v>
      </c>
      <c r="D673" s="967" t="s">
        <v>27</v>
      </c>
      <c r="E673" s="970">
        <v>3.3</v>
      </c>
      <c r="F673" s="990">
        <f>'MINI SSR 19-20'!$H$5</f>
        <v>420</v>
      </c>
      <c r="G673" s="969">
        <f>ROUND(E673*F673,2)</f>
        <v>1386</v>
      </c>
      <c r="H673" s="964" t="s">
        <v>2217</v>
      </c>
    </row>
    <row r="674" spans="1:8" hidden="1">
      <c r="A674" s="967"/>
      <c r="B674" s="967"/>
      <c r="C674" s="1382" t="s">
        <v>1220</v>
      </c>
      <c r="D674" s="967"/>
      <c r="E674" s="970">
        <v>0.01</v>
      </c>
      <c r="F674" s="970">
        <f>SUM(G664:G673)</f>
        <v>9812.3000000000011</v>
      </c>
      <c r="G674" s="969">
        <f>ROUND(E674*F674,2)</f>
        <v>98.12</v>
      </c>
      <c r="H674" s="964" t="s">
        <v>2217</v>
      </c>
    </row>
    <row r="675" spans="1:8" hidden="1">
      <c r="A675" s="967"/>
      <c r="B675" s="967"/>
      <c r="C675" s="962" t="s">
        <v>88</v>
      </c>
      <c r="D675" s="967"/>
      <c r="E675" s="967"/>
      <c r="F675" s="967"/>
      <c r="G675" s="971">
        <f>SUM(G664:G674)</f>
        <v>9910.4200000000019</v>
      </c>
      <c r="H675" s="964" t="s">
        <v>2217</v>
      </c>
    </row>
    <row r="676" spans="1:8" hidden="1">
      <c r="A676" s="967"/>
      <c r="B676" s="967"/>
      <c r="C676" s="962"/>
      <c r="D676" s="967"/>
      <c r="E676" s="966" t="s">
        <v>161</v>
      </c>
      <c r="F676" s="966" t="s">
        <v>162</v>
      </c>
      <c r="G676" s="974" t="s">
        <v>163</v>
      </c>
      <c r="H676" s="964" t="s">
        <v>2217</v>
      </c>
    </row>
    <row r="677" spans="1:8" hidden="1">
      <c r="A677" s="967"/>
      <c r="B677" s="967"/>
      <c r="C677" s="962" t="s">
        <v>1274</v>
      </c>
      <c r="D677" s="967"/>
      <c r="E677" s="970">
        <f>G675</f>
        <v>9910.4200000000019</v>
      </c>
      <c r="F677" s="970">
        <f>G675</f>
        <v>9910.4200000000019</v>
      </c>
      <c r="G677" s="972">
        <f>G675</f>
        <v>9910.4200000000019</v>
      </c>
      <c r="H677" s="964" t="s">
        <v>2217</v>
      </c>
    </row>
    <row r="678" spans="1:8" ht="25.5" hidden="1">
      <c r="A678" s="967"/>
      <c r="B678" s="967"/>
      <c r="C678" s="1382" t="s">
        <v>170</v>
      </c>
      <c r="D678" s="967"/>
      <c r="E678" s="967"/>
      <c r="F678" s="970">
        <f>ROUND((G671+G672+G673)*0.1,2)</f>
        <v>289.64</v>
      </c>
      <c r="G678" s="975">
        <f>ROUND((G671+G672+G673)*0.2,2)</f>
        <v>579.28</v>
      </c>
      <c r="H678" s="964" t="s">
        <v>2217</v>
      </c>
    </row>
    <row r="679" spans="1:8" hidden="1">
      <c r="A679" s="967"/>
      <c r="B679" s="967"/>
      <c r="C679" s="962" t="s">
        <v>194</v>
      </c>
      <c r="D679" s="967"/>
      <c r="E679" s="974">
        <f>SUM(E677:E678)</f>
        <v>9910.4200000000019</v>
      </c>
      <c r="F679" s="974">
        <f>SUM(F677:F678)</f>
        <v>10200.060000000001</v>
      </c>
      <c r="G679" s="971">
        <f>SUM(G677:G678)</f>
        <v>10489.700000000003</v>
      </c>
      <c r="H679" s="964" t="s">
        <v>2217</v>
      </c>
    </row>
    <row r="680" spans="1:8" hidden="1">
      <c r="A680" s="967"/>
      <c r="B680" s="967"/>
      <c r="C680" s="962" t="s">
        <v>181</v>
      </c>
      <c r="D680" s="967"/>
      <c r="E680" s="974">
        <f>ROUND(E679/10,2)</f>
        <v>991.04</v>
      </c>
      <c r="F680" s="974">
        <f>ROUND(F679/10,2)</f>
        <v>1020.01</v>
      </c>
      <c r="G680" s="971">
        <f>ROUND(G679/10,2)</f>
        <v>1048.97</v>
      </c>
      <c r="H680" s="964" t="s">
        <v>2217</v>
      </c>
    </row>
    <row r="681" spans="1:8" ht="127.5" hidden="1">
      <c r="A681" s="896">
        <v>16</v>
      </c>
      <c r="B681" s="966" t="s">
        <v>199</v>
      </c>
      <c r="C681" s="1382" t="s">
        <v>213</v>
      </c>
      <c r="D681" s="967"/>
      <c r="E681" s="967"/>
      <c r="F681" s="967"/>
      <c r="G681" s="966"/>
      <c r="H681" s="964" t="s">
        <v>2217</v>
      </c>
    </row>
    <row r="682" spans="1:8" hidden="1">
      <c r="A682" s="896"/>
      <c r="B682" s="966"/>
      <c r="C682" s="962" t="s">
        <v>42</v>
      </c>
      <c r="D682" s="967"/>
      <c r="E682" s="967"/>
      <c r="F682" s="967"/>
      <c r="G682" s="972"/>
      <c r="H682" s="964" t="s">
        <v>2217</v>
      </c>
    </row>
    <row r="683" spans="1:8" hidden="1">
      <c r="A683" s="896"/>
      <c r="B683" s="966"/>
      <c r="C683" s="962" t="s">
        <v>60</v>
      </c>
      <c r="D683" s="967"/>
      <c r="E683" s="967"/>
      <c r="F683" s="967"/>
      <c r="G683" s="972"/>
      <c r="H683" s="964" t="s">
        <v>2217</v>
      </c>
    </row>
    <row r="684" spans="1:8" hidden="1">
      <c r="A684" s="896"/>
      <c r="B684" s="966"/>
      <c r="C684" s="1382" t="s">
        <v>203</v>
      </c>
      <c r="D684" s="967" t="s">
        <v>77</v>
      </c>
      <c r="E684" s="970">
        <v>10.5</v>
      </c>
      <c r="F684" s="970">
        <f>'MINI SSR 19-20'!C21</f>
        <v>612</v>
      </c>
      <c r="G684" s="969">
        <f>ROUND(E684*F684,2)</f>
        <v>6426</v>
      </c>
      <c r="H684" s="964" t="s">
        <v>2217</v>
      </c>
    </row>
    <row r="685" spans="1:8" hidden="1">
      <c r="A685" s="896"/>
      <c r="B685" s="966"/>
      <c r="C685" s="1382" t="s">
        <v>200</v>
      </c>
      <c r="D685" s="967" t="s">
        <v>35</v>
      </c>
      <c r="E685" s="970">
        <v>0.12</v>
      </c>
      <c r="F685" s="970">
        <f>'lead 19-20'!L12</f>
        <v>1464.7999999999988</v>
      </c>
      <c r="G685" s="969">
        <f>ROUND(E685*F685,2)</f>
        <v>175.78</v>
      </c>
      <c r="H685" s="964" t="s">
        <v>2217</v>
      </c>
    </row>
    <row r="686" spans="1:8" hidden="1">
      <c r="A686" s="896"/>
      <c r="B686" s="966"/>
      <c r="C686" s="1382" t="s">
        <v>201</v>
      </c>
      <c r="D686" s="967" t="s">
        <v>4</v>
      </c>
      <c r="E686" s="970">
        <v>34.56</v>
      </c>
      <c r="F686" s="970">
        <f>'lead 19-20'!L8</f>
        <v>4700</v>
      </c>
      <c r="G686" s="969">
        <f>ROUND(E686*F686/1000,2)</f>
        <v>162.43</v>
      </c>
      <c r="H686" s="964" t="s">
        <v>2217</v>
      </c>
    </row>
    <row r="687" spans="1:8" hidden="1">
      <c r="A687" s="896"/>
      <c r="B687" s="966"/>
      <c r="C687" s="1382" t="s">
        <v>202</v>
      </c>
      <c r="D687" s="967" t="s">
        <v>4</v>
      </c>
      <c r="E687" s="970">
        <v>33</v>
      </c>
      <c r="F687" s="970">
        <f>F686</f>
        <v>4700</v>
      </c>
      <c r="G687" s="969">
        <f>ROUND(E687*F687/1000,2)</f>
        <v>155.1</v>
      </c>
      <c r="H687" s="964" t="s">
        <v>2217</v>
      </c>
    </row>
    <row r="688" spans="1:8" hidden="1">
      <c r="A688" s="896"/>
      <c r="B688" s="966"/>
      <c r="C688" s="1382" t="s">
        <v>204</v>
      </c>
      <c r="D688" s="967" t="s">
        <v>4</v>
      </c>
      <c r="E688" s="970">
        <v>2</v>
      </c>
      <c r="F688" s="970">
        <f>'MINI SSR 19-20'!C45</f>
        <v>27</v>
      </c>
      <c r="G688" s="969">
        <f>ROUND(E688*F688,2)</f>
        <v>54</v>
      </c>
      <c r="H688" s="964" t="s">
        <v>2217</v>
      </c>
    </row>
    <row r="689" spans="1:8" hidden="1">
      <c r="A689" s="967"/>
      <c r="B689" s="967"/>
      <c r="C689" s="962" t="s">
        <v>68</v>
      </c>
      <c r="D689" s="967"/>
      <c r="E689" s="970"/>
      <c r="F689" s="970"/>
      <c r="G689" s="969"/>
      <c r="H689" s="964" t="s">
        <v>2217</v>
      </c>
    </row>
    <row r="690" spans="1:8" hidden="1">
      <c r="A690" s="967"/>
      <c r="B690" s="967"/>
      <c r="C690" s="1382" t="s">
        <v>64</v>
      </c>
      <c r="D690" s="967" t="s">
        <v>27</v>
      </c>
      <c r="E690" s="970">
        <v>0.96</v>
      </c>
      <c r="F690" s="990">
        <f>'MINI SSR 19-20'!$H$3</f>
        <v>500</v>
      </c>
      <c r="G690" s="969">
        <f>ROUND(E690*F690,2)</f>
        <v>480</v>
      </c>
      <c r="H690" s="964" t="s">
        <v>2217</v>
      </c>
    </row>
    <row r="691" spans="1:8" hidden="1">
      <c r="A691" s="967"/>
      <c r="B691" s="967"/>
      <c r="C691" s="1382" t="s">
        <v>69</v>
      </c>
      <c r="D691" s="967" t="s">
        <v>27</v>
      </c>
      <c r="E691" s="970">
        <v>2.2400000000000002</v>
      </c>
      <c r="F691" s="990">
        <f>'MINI SSR 19-20'!$H$4</f>
        <v>460</v>
      </c>
      <c r="G691" s="969">
        <f>ROUND(E691*F691,2)</f>
        <v>1030.4000000000001</v>
      </c>
      <c r="H691" s="964" t="s">
        <v>2217</v>
      </c>
    </row>
    <row r="692" spans="1:8" hidden="1">
      <c r="A692" s="967"/>
      <c r="B692" s="967"/>
      <c r="C692" s="1382" t="s">
        <v>85</v>
      </c>
      <c r="D692" s="967" t="s">
        <v>27</v>
      </c>
      <c r="E692" s="970">
        <v>3.3</v>
      </c>
      <c r="F692" s="990">
        <f>'MINI SSR 19-20'!$H$5</f>
        <v>420</v>
      </c>
      <c r="G692" s="969">
        <f>ROUND(E692*F692,2)</f>
        <v>1386</v>
      </c>
      <c r="H692" s="964" t="s">
        <v>2217</v>
      </c>
    </row>
    <row r="693" spans="1:8" hidden="1">
      <c r="A693" s="967"/>
      <c r="B693" s="967"/>
      <c r="C693" s="962" t="s">
        <v>88</v>
      </c>
      <c r="D693" s="967"/>
      <c r="E693" s="967"/>
      <c r="F693" s="967"/>
      <c r="G693" s="971">
        <f>SUM(G684:G692)</f>
        <v>9869.7100000000009</v>
      </c>
      <c r="H693" s="964" t="s">
        <v>2217</v>
      </c>
    </row>
    <row r="694" spans="1:8" hidden="1">
      <c r="A694" s="967"/>
      <c r="B694" s="967"/>
      <c r="C694" s="962"/>
      <c r="D694" s="967"/>
      <c r="E694" s="966" t="s">
        <v>161</v>
      </c>
      <c r="F694" s="966" t="s">
        <v>162</v>
      </c>
      <c r="G694" s="974" t="s">
        <v>163</v>
      </c>
      <c r="H694" s="964" t="s">
        <v>2217</v>
      </c>
    </row>
    <row r="695" spans="1:8" hidden="1">
      <c r="A695" s="967"/>
      <c r="B695" s="967"/>
      <c r="C695" s="962" t="s">
        <v>1274</v>
      </c>
      <c r="D695" s="967"/>
      <c r="E695" s="970">
        <f>G693</f>
        <v>9869.7100000000009</v>
      </c>
      <c r="F695" s="970">
        <f>G693</f>
        <v>9869.7100000000009</v>
      </c>
      <c r="G695" s="972">
        <f>G693</f>
        <v>9869.7100000000009</v>
      </c>
      <c r="H695" s="964" t="s">
        <v>2217</v>
      </c>
    </row>
    <row r="696" spans="1:8" ht="25.5" hidden="1">
      <c r="A696" s="967"/>
      <c r="B696" s="967"/>
      <c r="C696" s="1382" t="s">
        <v>170</v>
      </c>
      <c r="D696" s="967"/>
      <c r="E696" s="967"/>
      <c r="F696" s="970">
        <f>ROUND((G690+G691+G692)*0.1,2)</f>
        <v>289.64</v>
      </c>
      <c r="G696" s="975">
        <f>ROUND((G690+G691+G692)*0.2,2)</f>
        <v>579.28</v>
      </c>
      <c r="H696" s="964" t="s">
        <v>2217</v>
      </c>
    </row>
    <row r="697" spans="1:8" hidden="1">
      <c r="A697" s="967"/>
      <c r="B697" s="967"/>
      <c r="C697" s="962" t="s">
        <v>194</v>
      </c>
      <c r="D697" s="967"/>
      <c r="E697" s="974">
        <f>SUM(E695:E696)</f>
        <v>9869.7100000000009</v>
      </c>
      <c r="F697" s="974">
        <f>SUM(F695:F696)</f>
        <v>10159.35</v>
      </c>
      <c r="G697" s="971">
        <f>SUM(G695:G696)</f>
        <v>10448.990000000002</v>
      </c>
      <c r="H697" s="964" t="s">
        <v>2217</v>
      </c>
    </row>
    <row r="698" spans="1:8" hidden="1">
      <c r="A698" s="967"/>
      <c r="B698" s="967"/>
      <c r="C698" s="962" t="s">
        <v>181</v>
      </c>
      <c r="D698" s="967"/>
      <c r="E698" s="974">
        <f>ROUND(E697/10,2)</f>
        <v>986.97</v>
      </c>
      <c r="F698" s="974">
        <f>ROUND(F697/10,2)</f>
        <v>1015.94</v>
      </c>
      <c r="G698" s="971">
        <f>ROUND(G697/10,2)</f>
        <v>1044.9000000000001</v>
      </c>
      <c r="H698" s="964" t="s">
        <v>2217</v>
      </c>
    </row>
    <row r="699" spans="1:8" ht="140.25" hidden="1">
      <c r="A699" s="896">
        <v>17</v>
      </c>
      <c r="B699" s="966" t="s">
        <v>205</v>
      </c>
      <c r="C699" s="1382" t="s">
        <v>211</v>
      </c>
      <c r="D699" s="967"/>
      <c r="E699" s="967"/>
      <c r="F699" s="967"/>
      <c r="G699" s="966"/>
      <c r="H699" s="964" t="s">
        <v>2217</v>
      </c>
    </row>
    <row r="700" spans="1:8" hidden="1">
      <c r="A700" s="896"/>
      <c r="B700" s="966"/>
      <c r="C700" s="962" t="s">
        <v>42</v>
      </c>
      <c r="D700" s="967"/>
      <c r="E700" s="967"/>
      <c r="F700" s="967"/>
      <c r="G700" s="972"/>
      <c r="H700" s="964" t="s">
        <v>2217</v>
      </c>
    </row>
    <row r="701" spans="1:8" hidden="1">
      <c r="A701" s="896"/>
      <c r="B701" s="966"/>
      <c r="C701" s="962" t="s">
        <v>60</v>
      </c>
      <c r="D701" s="967"/>
      <c r="E701" s="967"/>
      <c r="F701" s="967"/>
      <c r="G701" s="972"/>
      <c r="H701" s="964" t="s">
        <v>2217</v>
      </c>
    </row>
    <row r="702" spans="1:8" hidden="1">
      <c r="A702" s="896"/>
      <c r="B702" s="966"/>
      <c r="C702" s="1382" t="s">
        <v>206</v>
      </c>
      <c r="D702" s="967" t="s">
        <v>77</v>
      </c>
      <c r="E702" s="970">
        <v>10.5</v>
      </c>
      <c r="F702" s="970">
        <f>'MINI SSR 19-20'!C22</f>
        <v>370</v>
      </c>
      <c r="G702" s="969">
        <f>ROUND(E702*F702,2)</f>
        <v>3885</v>
      </c>
      <c r="H702" s="964" t="s">
        <v>2217</v>
      </c>
    </row>
    <row r="703" spans="1:8" hidden="1">
      <c r="A703" s="896"/>
      <c r="B703" s="966"/>
      <c r="C703" s="1382" t="s">
        <v>91</v>
      </c>
      <c r="D703" s="967" t="s">
        <v>4</v>
      </c>
      <c r="E703" s="970">
        <v>21.6</v>
      </c>
      <c r="F703" s="970">
        <f>'lead 19-20'!L8</f>
        <v>4700</v>
      </c>
      <c r="G703" s="969">
        <f>ROUND(E703*F703/1000,2)</f>
        <v>101.52</v>
      </c>
      <c r="H703" s="964" t="s">
        <v>2217</v>
      </c>
    </row>
    <row r="704" spans="1:8" hidden="1">
      <c r="A704" s="896"/>
      <c r="B704" s="966"/>
      <c r="C704" s="1382" t="s">
        <v>92</v>
      </c>
      <c r="D704" s="967" t="s">
        <v>4</v>
      </c>
      <c r="E704" s="970">
        <v>33</v>
      </c>
      <c r="F704" s="970">
        <f>F703</f>
        <v>4700</v>
      </c>
      <c r="G704" s="969">
        <f>ROUND(E704*F704/1000,2)</f>
        <v>155.1</v>
      </c>
      <c r="H704" s="964" t="s">
        <v>2217</v>
      </c>
    </row>
    <row r="705" spans="1:8" hidden="1">
      <c r="A705" s="896"/>
      <c r="B705" s="966"/>
      <c r="C705" s="1382" t="s">
        <v>204</v>
      </c>
      <c r="D705" s="967" t="s">
        <v>4</v>
      </c>
      <c r="E705" s="970">
        <v>2</v>
      </c>
      <c r="F705" s="970">
        <f>F688</f>
        <v>27</v>
      </c>
      <c r="G705" s="969">
        <f>ROUND(E705*F705,2)</f>
        <v>54</v>
      </c>
      <c r="H705" s="964" t="s">
        <v>2217</v>
      </c>
    </row>
    <row r="706" spans="1:8" hidden="1">
      <c r="A706" s="896"/>
      <c r="B706" s="966"/>
      <c r="C706" s="1382" t="s">
        <v>114</v>
      </c>
      <c r="D706" s="967" t="s">
        <v>35</v>
      </c>
      <c r="E706" s="970">
        <v>0.12</v>
      </c>
      <c r="F706" s="970">
        <f>'lead 19-20'!L12</f>
        <v>1464.7999999999988</v>
      </c>
      <c r="G706" s="969">
        <f>ROUND(E706*F706,2)</f>
        <v>175.78</v>
      </c>
      <c r="H706" s="964" t="s">
        <v>2217</v>
      </c>
    </row>
    <row r="707" spans="1:8" hidden="1">
      <c r="A707" s="967"/>
      <c r="B707" s="967"/>
      <c r="C707" s="962" t="s">
        <v>68</v>
      </c>
      <c r="D707" s="967"/>
      <c r="E707" s="970"/>
      <c r="F707" s="970"/>
      <c r="G707" s="969"/>
      <c r="H707" s="964" t="s">
        <v>2217</v>
      </c>
    </row>
    <row r="708" spans="1:8" hidden="1">
      <c r="A708" s="967"/>
      <c r="B708" s="967"/>
      <c r="C708" s="1382" t="s">
        <v>64</v>
      </c>
      <c r="D708" s="967" t="s">
        <v>27</v>
      </c>
      <c r="E708" s="970">
        <v>0.96</v>
      </c>
      <c r="F708" s="990">
        <f>'MINI SSR 19-20'!$H$3</f>
        <v>500</v>
      </c>
      <c r="G708" s="969">
        <f>ROUND(E708*F708,2)</f>
        <v>480</v>
      </c>
      <c r="H708" s="964" t="s">
        <v>2217</v>
      </c>
    </row>
    <row r="709" spans="1:8" hidden="1">
      <c r="A709" s="967"/>
      <c r="B709" s="967"/>
      <c r="C709" s="1382" t="s">
        <v>69</v>
      </c>
      <c r="D709" s="967" t="s">
        <v>27</v>
      </c>
      <c r="E709" s="970">
        <v>2.2400000000000002</v>
      </c>
      <c r="F709" s="990">
        <f>'MINI SSR 19-20'!$H$4</f>
        <v>460</v>
      </c>
      <c r="G709" s="969">
        <f>ROUND(E709*F709,2)</f>
        <v>1030.4000000000001</v>
      </c>
      <c r="H709" s="964" t="s">
        <v>2217</v>
      </c>
    </row>
    <row r="710" spans="1:8" hidden="1">
      <c r="A710" s="967"/>
      <c r="B710" s="967"/>
      <c r="C710" s="1382" t="s">
        <v>85</v>
      </c>
      <c r="D710" s="967" t="s">
        <v>27</v>
      </c>
      <c r="E710" s="970">
        <v>3.3</v>
      </c>
      <c r="F710" s="990">
        <f>'MINI SSR 19-20'!$H$5</f>
        <v>420</v>
      </c>
      <c r="G710" s="969">
        <f>ROUND(E710*F710,2)</f>
        <v>1386</v>
      </c>
      <c r="H710" s="964" t="s">
        <v>2217</v>
      </c>
    </row>
    <row r="711" spans="1:8" hidden="1">
      <c r="A711" s="967"/>
      <c r="B711" s="967"/>
      <c r="C711" s="962" t="s">
        <v>88</v>
      </c>
      <c r="D711" s="967"/>
      <c r="E711" s="967"/>
      <c r="F711" s="967"/>
      <c r="G711" s="971">
        <f>SUM(G702:G710)</f>
        <v>7267.7999999999993</v>
      </c>
      <c r="H711" s="964" t="s">
        <v>2217</v>
      </c>
    </row>
    <row r="712" spans="1:8" hidden="1">
      <c r="A712" s="967"/>
      <c r="B712" s="967"/>
      <c r="C712" s="962"/>
      <c r="D712" s="967"/>
      <c r="E712" s="966" t="s">
        <v>161</v>
      </c>
      <c r="F712" s="966" t="s">
        <v>162</v>
      </c>
      <c r="G712" s="974" t="s">
        <v>163</v>
      </c>
      <c r="H712" s="964" t="s">
        <v>2217</v>
      </c>
    </row>
    <row r="713" spans="1:8" hidden="1">
      <c r="A713" s="967"/>
      <c r="B713" s="967"/>
      <c r="C713" s="962" t="s">
        <v>1274</v>
      </c>
      <c r="D713" s="967"/>
      <c r="E713" s="970">
        <f>G711</f>
        <v>7267.7999999999993</v>
      </c>
      <c r="F713" s="970">
        <f>G711</f>
        <v>7267.7999999999993</v>
      </c>
      <c r="G713" s="972">
        <f>G711</f>
        <v>7267.7999999999993</v>
      </c>
      <c r="H713" s="964" t="s">
        <v>2217</v>
      </c>
    </row>
    <row r="714" spans="1:8" ht="25.5" hidden="1">
      <c r="A714" s="967"/>
      <c r="B714" s="967"/>
      <c r="C714" s="1382" t="s">
        <v>170</v>
      </c>
      <c r="D714" s="967"/>
      <c r="E714" s="967"/>
      <c r="F714" s="970">
        <f>ROUND((G708+G709+G710)*0.1,2)</f>
        <v>289.64</v>
      </c>
      <c r="G714" s="975">
        <f>ROUND((G708+G709+G710)*0.2,2)</f>
        <v>579.28</v>
      </c>
      <c r="H714" s="964" t="s">
        <v>2217</v>
      </c>
    </row>
    <row r="715" spans="1:8" hidden="1">
      <c r="A715" s="967"/>
      <c r="B715" s="967"/>
      <c r="C715" s="962" t="s">
        <v>194</v>
      </c>
      <c r="D715" s="967"/>
      <c r="E715" s="974">
        <f>SUM(E713:E714)</f>
        <v>7267.7999999999993</v>
      </c>
      <c r="F715" s="974">
        <f>SUM(F713:F714)</f>
        <v>7557.44</v>
      </c>
      <c r="G715" s="971">
        <f>SUM(G713:G714)</f>
        <v>7847.079999999999</v>
      </c>
      <c r="H715" s="964" t="s">
        <v>2217</v>
      </c>
    </row>
    <row r="716" spans="1:8" hidden="1">
      <c r="A716" s="967"/>
      <c r="B716" s="967"/>
      <c r="C716" s="962" t="s">
        <v>181</v>
      </c>
      <c r="D716" s="967"/>
      <c r="E716" s="974">
        <f>ROUND(E715/10,2)</f>
        <v>726.78</v>
      </c>
      <c r="F716" s="974">
        <f>ROUND(F715/10,2)</f>
        <v>755.74</v>
      </c>
      <c r="G716" s="971">
        <f>ROUND(G715/10,2)</f>
        <v>784.71</v>
      </c>
      <c r="H716" s="964" t="s">
        <v>2217</v>
      </c>
    </row>
    <row r="717" spans="1:8" ht="127.5" hidden="1">
      <c r="A717" s="896">
        <v>18</v>
      </c>
      <c r="B717" s="966" t="s">
        <v>207</v>
      </c>
      <c r="C717" s="1382" t="s">
        <v>214</v>
      </c>
      <c r="D717" s="967"/>
      <c r="E717" s="967"/>
      <c r="F717" s="967"/>
      <c r="G717" s="966"/>
      <c r="H717" s="964" t="s">
        <v>2217</v>
      </c>
    </row>
    <row r="718" spans="1:8" hidden="1">
      <c r="A718" s="896"/>
      <c r="B718" s="966"/>
      <c r="C718" s="962" t="s">
        <v>42</v>
      </c>
      <c r="D718" s="967"/>
      <c r="E718" s="967"/>
      <c r="F718" s="967"/>
      <c r="G718" s="972"/>
      <c r="H718" s="964" t="s">
        <v>2217</v>
      </c>
    </row>
    <row r="719" spans="1:8" hidden="1">
      <c r="A719" s="896"/>
      <c r="B719" s="966"/>
      <c r="C719" s="962" t="s">
        <v>60</v>
      </c>
      <c r="D719" s="966"/>
      <c r="E719" s="966"/>
      <c r="F719" s="966"/>
      <c r="G719" s="972"/>
      <c r="H719" s="964" t="s">
        <v>2217</v>
      </c>
    </row>
    <row r="720" spans="1:8" hidden="1">
      <c r="A720" s="896"/>
      <c r="B720" s="966"/>
      <c r="C720" s="1382" t="s">
        <v>208</v>
      </c>
      <c r="D720" s="967" t="s">
        <v>77</v>
      </c>
      <c r="E720" s="970">
        <v>10.5</v>
      </c>
      <c r="F720" s="970">
        <f>'MINI SSR 19-20'!C23</f>
        <v>323</v>
      </c>
      <c r="G720" s="969">
        <f>ROUND(E720*F720,2)</f>
        <v>3391.5</v>
      </c>
      <c r="H720" s="964" t="s">
        <v>2217</v>
      </c>
    </row>
    <row r="721" spans="1:8" hidden="1">
      <c r="A721" s="896"/>
      <c r="B721" s="966"/>
      <c r="C721" s="1382" t="s">
        <v>209</v>
      </c>
      <c r="D721" s="967" t="s">
        <v>35</v>
      </c>
      <c r="E721" s="970">
        <v>0.12</v>
      </c>
      <c r="F721" s="970">
        <f>'lead 19-20'!L12</f>
        <v>1464.7999999999988</v>
      </c>
      <c r="G721" s="924">
        <f>ROUND(E721*F721,2)</f>
        <v>175.78</v>
      </c>
      <c r="H721" s="964" t="s">
        <v>2217</v>
      </c>
    </row>
    <row r="722" spans="1:8" hidden="1">
      <c r="A722" s="896"/>
      <c r="B722" s="966"/>
      <c r="C722" s="1382" t="s">
        <v>210</v>
      </c>
      <c r="D722" s="967" t="s">
        <v>4</v>
      </c>
      <c r="E722" s="970">
        <v>57.6</v>
      </c>
      <c r="F722" s="970">
        <f>'lead 19-20'!L8</f>
        <v>4700</v>
      </c>
      <c r="G722" s="924">
        <f>ROUND(E722*F722/1000,2)</f>
        <v>270.72000000000003</v>
      </c>
      <c r="H722" s="964" t="s">
        <v>2217</v>
      </c>
    </row>
    <row r="723" spans="1:8" hidden="1">
      <c r="A723" s="896"/>
      <c r="B723" s="966"/>
      <c r="C723" s="1382" t="s">
        <v>202</v>
      </c>
      <c r="D723" s="967" t="s">
        <v>4</v>
      </c>
      <c r="E723" s="970">
        <v>33</v>
      </c>
      <c r="F723" s="970">
        <f>F722</f>
        <v>4700</v>
      </c>
      <c r="G723" s="924">
        <f>ROUND(E723*F723/1000,2)</f>
        <v>155.1</v>
      </c>
      <c r="H723" s="964" t="s">
        <v>2217</v>
      </c>
    </row>
    <row r="724" spans="1:8" hidden="1">
      <c r="A724" s="896"/>
      <c r="B724" s="966"/>
      <c r="C724" s="1382" t="s">
        <v>215</v>
      </c>
      <c r="D724" s="967" t="s">
        <v>4</v>
      </c>
      <c r="E724" s="970">
        <v>6</v>
      </c>
      <c r="F724" s="970">
        <f>F688</f>
        <v>27</v>
      </c>
      <c r="G724" s="924">
        <f>ROUND(E724*F724,2)</f>
        <v>162</v>
      </c>
      <c r="H724" s="964" t="s">
        <v>2217</v>
      </c>
    </row>
    <row r="725" spans="1:8" hidden="1">
      <c r="A725" s="967"/>
      <c r="B725" s="967"/>
      <c r="C725" s="962" t="s">
        <v>68</v>
      </c>
      <c r="D725" s="967"/>
      <c r="E725" s="970"/>
      <c r="F725" s="970"/>
      <c r="G725" s="924"/>
      <c r="H725" s="964" t="s">
        <v>2217</v>
      </c>
    </row>
    <row r="726" spans="1:8" hidden="1">
      <c r="A726" s="967"/>
      <c r="B726" s="967"/>
      <c r="C726" s="1382" t="s">
        <v>64</v>
      </c>
      <c r="D726" s="967" t="s">
        <v>27</v>
      </c>
      <c r="E726" s="970">
        <v>0.77</v>
      </c>
      <c r="F726" s="990">
        <f>'MINI SSR 19-20'!$H$3</f>
        <v>500</v>
      </c>
      <c r="G726" s="924">
        <f>ROUND(E726*F726,2)</f>
        <v>385</v>
      </c>
      <c r="H726" s="964" t="s">
        <v>2217</v>
      </c>
    </row>
    <row r="727" spans="1:8" hidden="1">
      <c r="A727" s="967"/>
      <c r="B727" s="967"/>
      <c r="C727" s="1382" t="s">
        <v>85</v>
      </c>
      <c r="D727" s="967" t="s">
        <v>27</v>
      </c>
      <c r="E727" s="970">
        <v>0.8</v>
      </c>
      <c r="F727" s="990">
        <f>'MINI SSR 19-20'!$H$5</f>
        <v>420</v>
      </c>
      <c r="G727" s="924">
        <f>ROUND(E727*F727,2)</f>
        <v>336</v>
      </c>
      <c r="H727" s="964" t="s">
        <v>2217</v>
      </c>
    </row>
    <row r="728" spans="1:8" hidden="1">
      <c r="A728" s="967"/>
      <c r="B728" s="967"/>
      <c r="C728" s="962" t="s">
        <v>88</v>
      </c>
      <c r="D728" s="967"/>
      <c r="E728" s="967"/>
      <c r="F728" s="967"/>
      <c r="G728" s="971">
        <f>SUM(G720:G727)</f>
        <v>4876.1000000000004</v>
      </c>
      <c r="H728" s="964" t="s">
        <v>2217</v>
      </c>
    </row>
    <row r="729" spans="1:8" hidden="1">
      <c r="A729" s="967"/>
      <c r="B729" s="967"/>
      <c r="C729" s="962"/>
      <c r="D729" s="967"/>
      <c r="E729" s="966" t="s">
        <v>161</v>
      </c>
      <c r="F729" s="966" t="s">
        <v>162</v>
      </c>
      <c r="G729" s="974" t="s">
        <v>163</v>
      </c>
      <c r="H729" s="964" t="s">
        <v>2217</v>
      </c>
    </row>
    <row r="730" spans="1:8" hidden="1">
      <c r="A730" s="967"/>
      <c r="B730" s="967"/>
      <c r="C730" s="962" t="s">
        <v>1274</v>
      </c>
      <c r="D730" s="967"/>
      <c r="E730" s="970">
        <f>G728</f>
        <v>4876.1000000000004</v>
      </c>
      <c r="F730" s="970">
        <f>G728</f>
        <v>4876.1000000000004</v>
      </c>
      <c r="G730" s="972">
        <f>G728</f>
        <v>4876.1000000000004</v>
      </c>
      <c r="H730" s="964" t="s">
        <v>2217</v>
      </c>
    </row>
    <row r="731" spans="1:8" ht="25.5" hidden="1">
      <c r="A731" s="967"/>
      <c r="B731" s="967"/>
      <c r="C731" s="1382" t="s">
        <v>170</v>
      </c>
      <c r="D731" s="967"/>
      <c r="E731" s="967"/>
      <c r="F731" s="970">
        <f>ROUND((G726+G727)*0.1,2)</f>
        <v>72.099999999999994</v>
      </c>
      <c r="G731" s="972">
        <f>ROUND((G726+G727)*0.2,2)</f>
        <v>144.19999999999999</v>
      </c>
      <c r="H731" s="964" t="s">
        <v>2217</v>
      </c>
    </row>
    <row r="732" spans="1:8" hidden="1">
      <c r="A732" s="967"/>
      <c r="B732" s="967"/>
      <c r="C732" s="962" t="s">
        <v>194</v>
      </c>
      <c r="D732" s="967"/>
      <c r="E732" s="974">
        <f>SUM(E730:E731)</f>
        <v>4876.1000000000004</v>
      </c>
      <c r="F732" s="974">
        <f>SUM(F730:F731)</f>
        <v>4948.2000000000007</v>
      </c>
      <c r="G732" s="971">
        <f>SUM(G730:G731)</f>
        <v>5020.3</v>
      </c>
      <c r="H732" s="964" t="s">
        <v>2217</v>
      </c>
    </row>
    <row r="733" spans="1:8" hidden="1">
      <c r="A733" s="967"/>
      <c r="B733" s="967"/>
      <c r="C733" s="962" t="s">
        <v>181</v>
      </c>
      <c r="D733" s="967"/>
      <c r="E733" s="974">
        <f>ROUND(E732/10,2)</f>
        <v>487.61</v>
      </c>
      <c r="F733" s="974">
        <f>ROUND(F732/10,2)</f>
        <v>494.82</v>
      </c>
      <c r="G733" s="971">
        <f>ROUND(G732/10,2)</f>
        <v>502.03</v>
      </c>
      <c r="H733" s="964" t="s">
        <v>2217</v>
      </c>
    </row>
    <row r="734" spans="1:8" ht="25.5" hidden="1">
      <c r="A734" s="896">
        <v>49</v>
      </c>
      <c r="B734" s="966" t="s">
        <v>1349</v>
      </c>
      <c r="C734" s="1382" t="s">
        <v>1201</v>
      </c>
      <c r="D734" s="967"/>
      <c r="E734" s="967"/>
      <c r="F734" s="967"/>
      <c r="G734" s="966"/>
      <c r="H734" s="964" t="s">
        <v>2217</v>
      </c>
    </row>
    <row r="735" spans="1:8" hidden="1">
      <c r="A735" s="896"/>
      <c r="B735" s="966"/>
      <c r="C735" s="962" t="s">
        <v>868</v>
      </c>
      <c r="D735" s="967"/>
      <c r="E735" s="967"/>
      <c r="F735" s="967"/>
      <c r="G735" s="972"/>
      <c r="H735" s="964" t="s">
        <v>2217</v>
      </c>
    </row>
    <row r="736" spans="1:8" hidden="1">
      <c r="A736" s="896"/>
      <c r="B736" s="966"/>
      <c r="C736" s="962" t="s">
        <v>60</v>
      </c>
      <c r="D736" s="967"/>
      <c r="E736" s="967"/>
      <c r="F736" s="967"/>
      <c r="G736" s="972"/>
      <c r="H736" s="964" t="s">
        <v>2217</v>
      </c>
    </row>
    <row r="737" spans="1:8" hidden="1">
      <c r="A737" s="896"/>
      <c r="B737" s="966"/>
      <c r="C737" s="1382" t="s">
        <v>33</v>
      </c>
      <c r="D737" s="967" t="s">
        <v>4</v>
      </c>
      <c r="E737" s="970">
        <v>14.4</v>
      </c>
      <c r="F737" s="970">
        <f>'lead 19-20'!L8</f>
        <v>4700</v>
      </c>
      <c r="G737" s="969">
        <f>ROUND(E737*F737/1000,2)</f>
        <v>67.680000000000007</v>
      </c>
      <c r="H737" s="964" t="s">
        <v>2217</v>
      </c>
    </row>
    <row r="738" spans="1:8" hidden="1">
      <c r="A738" s="896"/>
      <c r="B738" s="966"/>
      <c r="C738" s="1382" t="s">
        <v>113</v>
      </c>
      <c r="D738" s="967" t="s">
        <v>35</v>
      </c>
      <c r="E738" s="970">
        <v>0.03</v>
      </c>
      <c r="F738" s="970">
        <f>'lead 19-20'!L12</f>
        <v>1464.7999999999988</v>
      </c>
      <c r="G738" s="969">
        <f>ROUND(E738*F738,2)</f>
        <v>43.94</v>
      </c>
      <c r="H738" s="964" t="s">
        <v>2217</v>
      </c>
    </row>
    <row r="739" spans="1:8" hidden="1">
      <c r="A739" s="967"/>
      <c r="B739" s="967"/>
      <c r="C739" s="962" t="s">
        <v>68</v>
      </c>
      <c r="D739" s="967"/>
      <c r="E739" s="970"/>
      <c r="F739" s="970"/>
      <c r="G739" s="969"/>
      <c r="H739" s="964" t="s">
        <v>2217</v>
      </c>
    </row>
    <row r="740" spans="1:8" hidden="1">
      <c r="A740" s="967"/>
      <c r="B740" s="967"/>
      <c r="C740" s="1382" t="s">
        <v>69</v>
      </c>
      <c r="D740" s="967" t="s">
        <v>27</v>
      </c>
      <c r="E740" s="970">
        <v>0.5</v>
      </c>
      <c r="F740" s="990">
        <f>'MINI SSR 19-20'!$H$4</f>
        <v>460</v>
      </c>
      <c r="G740" s="969">
        <f>ROUND(E740*F740,2)</f>
        <v>230</v>
      </c>
      <c r="H740" s="964" t="s">
        <v>2217</v>
      </c>
    </row>
    <row r="741" spans="1:8" hidden="1">
      <c r="A741" s="967"/>
      <c r="B741" s="967"/>
      <c r="C741" s="1382" t="s">
        <v>85</v>
      </c>
      <c r="D741" s="967" t="s">
        <v>27</v>
      </c>
      <c r="E741" s="970">
        <v>0.74</v>
      </c>
      <c r="F741" s="990">
        <f>'MINI SSR 19-20'!$H$5</f>
        <v>420</v>
      </c>
      <c r="G741" s="969">
        <f>ROUND(E741*F741,2)</f>
        <v>310.8</v>
      </c>
      <c r="H741" s="964" t="s">
        <v>2217</v>
      </c>
    </row>
    <row r="742" spans="1:8" hidden="1">
      <c r="A742" s="967"/>
      <c r="B742" s="967"/>
      <c r="C742" s="962" t="s">
        <v>88</v>
      </c>
      <c r="D742" s="967"/>
      <c r="E742" s="970"/>
      <c r="F742" s="970"/>
      <c r="G742" s="969">
        <f>SUM(G737:G741)</f>
        <v>652.42000000000007</v>
      </c>
      <c r="H742" s="964" t="s">
        <v>2217</v>
      </c>
    </row>
    <row r="743" spans="1:8" ht="114.75" hidden="1">
      <c r="A743" s="896">
        <v>22</v>
      </c>
      <c r="B743" s="966" t="s">
        <v>1350</v>
      </c>
      <c r="C743" s="1382" t="s">
        <v>1202</v>
      </c>
      <c r="D743" s="967"/>
      <c r="E743" s="967"/>
      <c r="F743" s="967"/>
      <c r="G743" s="966"/>
      <c r="H743" s="964" t="s">
        <v>2217</v>
      </c>
    </row>
    <row r="744" spans="1:8" hidden="1">
      <c r="A744" s="896"/>
      <c r="B744" s="966"/>
      <c r="C744" s="962" t="s">
        <v>868</v>
      </c>
      <c r="D744" s="967"/>
      <c r="E744" s="967"/>
      <c r="F744" s="967"/>
      <c r="G744" s="972"/>
      <c r="H744" s="964" t="s">
        <v>2217</v>
      </c>
    </row>
    <row r="745" spans="1:8" hidden="1">
      <c r="A745" s="896"/>
      <c r="B745" s="966"/>
      <c r="C745" s="962" t="s">
        <v>60</v>
      </c>
      <c r="D745" s="967"/>
      <c r="E745" s="967"/>
      <c r="F745" s="967"/>
      <c r="G745" s="972"/>
      <c r="H745" s="964" t="s">
        <v>2217</v>
      </c>
    </row>
    <row r="746" spans="1:8" hidden="1">
      <c r="A746" s="896"/>
      <c r="B746" s="966"/>
      <c r="C746" s="1382" t="s">
        <v>3167</v>
      </c>
      <c r="D746" s="967" t="s">
        <v>11</v>
      </c>
      <c r="E746" s="973">
        <v>0.255</v>
      </c>
      <c r="F746" s="970">
        <f>'lead 19-20'!L23</f>
        <v>19217.800000000003</v>
      </c>
      <c r="G746" s="969">
        <f>ROUND(E746*F746/1,2)</f>
        <v>4900.54</v>
      </c>
      <c r="H746" s="964" t="s">
        <v>2217</v>
      </c>
    </row>
    <row r="747" spans="1:8" hidden="1">
      <c r="A747" s="896"/>
      <c r="B747" s="966"/>
      <c r="C747" s="1382" t="s">
        <v>873</v>
      </c>
      <c r="D747" s="967" t="s">
        <v>141</v>
      </c>
      <c r="E747" s="970">
        <v>21.6</v>
      </c>
      <c r="F747" s="970">
        <f>'lead 19-20'!L8</f>
        <v>4700</v>
      </c>
      <c r="G747" s="969">
        <f>ROUND(E747*F747/1000,2)</f>
        <v>101.52</v>
      </c>
      <c r="H747" s="964" t="s">
        <v>2217</v>
      </c>
    </row>
    <row r="748" spans="1:8" hidden="1">
      <c r="A748" s="896"/>
      <c r="B748" s="966"/>
      <c r="C748" s="1382" t="s">
        <v>1204</v>
      </c>
      <c r="D748" s="967" t="s">
        <v>141</v>
      </c>
      <c r="E748" s="970">
        <v>6</v>
      </c>
      <c r="F748" s="970">
        <f>F747</f>
        <v>4700</v>
      </c>
      <c r="G748" s="969">
        <f>ROUND(E748*F748/1000,2)</f>
        <v>28.2</v>
      </c>
      <c r="H748" s="964" t="s">
        <v>2217</v>
      </c>
    </row>
    <row r="749" spans="1:8" hidden="1">
      <c r="A749" s="896"/>
      <c r="B749" s="966"/>
      <c r="C749" s="1382" t="s">
        <v>1205</v>
      </c>
      <c r="D749" s="967" t="s">
        <v>102</v>
      </c>
      <c r="E749" s="970">
        <v>1</v>
      </c>
      <c r="F749" s="970">
        <f>G742</f>
        <v>652.42000000000007</v>
      </c>
      <c r="G749" s="969">
        <f>ROUND(E749*F749/1,2)</f>
        <v>652.41999999999996</v>
      </c>
      <c r="H749" s="964" t="s">
        <v>2217</v>
      </c>
    </row>
    <row r="750" spans="1:8" hidden="1">
      <c r="A750" s="896"/>
      <c r="B750" s="966"/>
      <c r="C750" s="1382" t="s">
        <v>1206</v>
      </c>
      <c r="D750" s="967" t="s">
        <v>35</v>
      </c>
      <c r="E750" s="970">
        <v>0.04</v>
      </c>
      <c r="F750" s="970">
        <f>'lead 19-20'!L12</f>
        <v>1464.7999999999988</v>
      </c>
      <c r="G750" s="969">
        <f>-ROUND(E750*F750,2)</f>
        <v>-58.59</v>
      </c>
      <c r="H750" s="964" t="s">
        <v>2217</v>
      </c>
    </row>
    <row r="751" spans="1:8" hidden="1">
      <c r="A751" s="896"/>
      <c r="B751" s="966"/>
      <c r="C751" s="1382" t="s">
        <v>1207</v>
      </c>
      <c r="D751" s="967" t="s">
        <v>35</v>
      </c>
      <c r="E751" s="970">
        <v>0.12</v>
      </c>
      <c r="F751" s="970">
        <f>F750</f>
        <v>1464.7999999999988</v>
      </c>
      <c r="G751" s="969">
        <f>ROUND(E751*F751,2)</f>
        <v>175.78</v>
      </c>
      <c r="H751" s="964" t="s">
        <v>2217</v>
      </c>
    </row>
    <row r="752" spans="1:8" hidden="1">
      <c r="A752" s="967"/>
      <c r="B752" s="967"/>
      <c r="C752" s="962" t="s">
        <v>68</v>
      </c>
      <c r="D752" s="967"/>
      <c r="E752" s="970"/>
      <c r="F752" s="970"/>
      <c r="G752" s="969"/>
      <c r="H752" s="964" t="s">
        <v>2217</v>
      </c>
    </row>
    <row r="753" spans="1:8" hidden="1">
      <c r="A753" s="967"/>
      <c r="B753" s="967"/>
      <c r="C753" s="1382" t="s">
        <v>64</v>
      </c>
      <c r="D753" s="967" t="s">
        <v>27</v>
      </c>
      <c r="E753" s="970">
        <v>0.96</v>
      </c>
      <c r="F753" s="990">
        <f>'MINI SSR 19-20'!$H$3</f>
        <v>500</v>
      </c>
      <c r="G753" s="969">
        <f>ROUND(E753*F753,2)</f>
        <v>480</v>
      </c>
      <c r="H753" s="964" t="s">
        <v>2217</v>
      </c>
    </row>
    <row r="754" spans="1:8" hidden="1">
      <c r="A754" s="967"/>
      <c r="B754" s="967"/>
      <c r="C754" s="1382" t="s">
        <v>69</v>
      </c>
      <c r="D754" s="967" t="s">
        <v>27</v>
      </c>
      <c r="E754" s="970">
        <v>2.2400000000000002</v>
      </c>
      <c r="F754" s="990">
        <f>'MINI SSR 19-20'!$H$4</f>
        <v>460</v>
      </c>
      <c r="G754" s="969">
        <f>ROUND(E754*F754,2)</f>
        <v>1030.4000000000001</v>
      </c>
      <c r="H754" s="964" t="s">
        <v>2217</v>
      </c>
    </row>
    <row r="755" spans="1:8" hidden="1">
      <c r="A755" s="967"/>
      <c r="B755" s="967"/>
      <c r="C755" s="1382" t="s">
        <v>85</v>
      </c>
      <c r="D755" s="967" t="s">
        <v>27</v>
      </c>
      <c r="E755" s="970">
        <v>4.3</v>
      </c>
      <c r="F755" s="990">
        <f>'MINI SSR 19-20'!$H$5</f>
        <v>420</v>
      </c>
      <c r="G755" s="969">
        <f>ROUND(E755*F755,2)</f>
        <v>1806</v>
      </c>
      <c r="H755" s="964" t="s">
        <v>2217</v>
      </c>
    </row>
    <row r="756" spans="1:8" hidden="1">
      <c r="A756" s="967"/>
      <c r="B756" s="967"/>
      <c r="C756" s="962" t="s">
        <v>88</v>
      </c>
      <c r="D756" s="967"/>
      <c r="E756" s="970"/>
      <c r="F756" s="970"/>
      <c r="G756" s="969">
        <f>SUM(G746:G755)</f>
        <v>9116.27</v>
      </c>
      <c r="H756" s="964" t="s">
        <v>2217</v>
      </c>
    </row>
    <row r="757" spans="1:8" hidden="1">
      <c r="A757" s="967"/>
      <c r="B757" s="967"/>
      <c r="C757" s="962"/>
      <c r="D757" s="967"/>
      <c r="E757" s="970" t="s">
        <v>161</v>
      </c>
      <c r="F757" s="970" t="s">
        <v>162</v>
      </c>
      <c r="G757" s="922" t="s">
        <v>163</v>
      </c>
      <c r="H757" s="964" t="s">
        <v>2217</v>
      </c>
    </row>
    <row r="758" spans="1:8" hidden="1">
      <c r="A758" s="967"/>
      <c r="B758" s="967"/>
      <c r="C758" s="962" t="s">
        <v>1274</v>
      </c>
      <c r="D758" s="967"/>
      <c r="E758" s="970">
        <f>G756</f>
        <v>9116.27</v>
      </c>
      <c r="F758" s="970">
        <f>G756</f>
        <v>9116.27</v>
      </c>
      <c r="G758" s="972">
        <f>G756</f>
        <v>9116.27</v>
      </c>
      <c r="H758" s="964" t="s">
        <v>2217</v>
      </c>
    </row>
    <row r="759" spans="1:8" ht="25.5" hidden="1">
      <c r="A759" s="967"/>
      <c r="B759" s="967"/>
      <c r="C759" s="1382" t="s">
        <v>170</v>
      </c>
      <c r="D759" s="967"/>
      <c r="E759" s="967"/>
      <c r="F759" s="970">
        <f>ROUND((G754+G755+G753)*0.1,2)</f>
        <v>331.64</v>
      </c>
      <c r="G759" s="972">
        <f>ROUND((G754+G755+G753)*0.2,2)</f>
        <v>663.28</v>
      </c>
      <c r="H759" s="964" t="s">
        <v>2217</v>
      </c>
    </row>
    <row r="760" spans="1:8" hidden="1">
      <c r="A760" s="967"/>
      <c r="B760" s="967"/>
      <c r="C760" s="962" t="s">
        <v>194</v>
      </c>
      <c r="D760" s="967"/>
      <c r="E760" s="974">
        <f>SUM(E758:E759)</f>
        <v>9116.27</v>
      </c>
      <c r="F760" s="974">
        <f>SUM(F758:F759)</f>
        <v>9447.91</v>
      </c>
      <c r="G760" s="971">
        <f>SUM(G758:G759)</f>
        <v>9779.5500000000011</v>
      </c>
      <c r="H760" s="964" t="s">
        <v>2217</v>
      </c>
    </row>
    <row r="761" spans="1:8" hidden="1">
      <c r="A761" s="967"/>
      <c r="B761" s="967"/>
      <c r="C761" s="962" t="s">
        <v>181</v>
      </c>
      <c r="D761" s="967"/>
      <c r="E761" s="974">
        <f>ROUND(E760/10,2)</f>
        <v>911.63</v>
      </c>
      <c r="F761" s="974">
        <f>ROUND(F760/10,2)</f>
        <v>944.79</v>
      </c>
      <c r="G761" s="971">
        <f>ROUND(G760/10,2)</f>
        <v>977.96</v>
      </c>
      <c r="H761" s="964" t="s">
        <v>2217</v>
      </c>
    </row>
    <row r="762" spans="1:8" ht="114.75" hidden="1">
      <c r="A762" s="896">
        <v>26</v>
      </c>
      <c r="B762" s="966"/>
      <c r="C762" s="1382" t="s">
        <v>2246</v>
      </c>
      <c r="D762" s="967"/>
      <c r="E762" s="967"/>
      <c r="F762" s="967"/>
      <c r="G762" s="966"/>
      <c r="H762" s="964" t="s">
        <v>2217</v>
      </c>
    </row>
    <row r="763" spans="1:8" hidden="1">
      <c r="A763" s="896"/>
      <c r="B763" s="966"/>
      <c r="C763" s="962" t="s">
        <v>60</v>
      </c>
      <c r="D763" s="967"/>
      <c r="E763" s="967"/>
      <c r="F763" s="967"/>
      <c r="G763" s="972"/>
      <c r="H763" s="964" t="s">
        <v>2217</v>
      </c>
    </row>
    <row r="764" spans="1:8" hidden="1">
      <c r="A764" s="896"/>
      <c r="B764" s="966"/>
      <c r="C764" s="1382" t="s">
        <v>2247</v>
      </c>
      <c r="D764" s="967" t="s">
        <v>102</v>
      </c>
      <c r="E764" s="973">
        <v>1</v>
      </c>
      <c r="F764" s="970">
        <f>'MINI SSR 19-20'!H79</f>
        <v>311</v>
      </c>
      <c r="G764" s="969">
        <f>ROUND(E764*F764/1,2)</f>
        <v>311</v>
      </c>
      <c r="H764" s="964" t="s">
        <v>2217</v>
      </c>
    </row>
    <row r="765" spans="1:8" hidden="1">
      <c r="A765" s="896"/>
      <c r="B765" s="966"/>
      <c r="C765" s="1382" t="s">
        <v>2248</v>
      </c>
      <c r="D765" s="967" t="s">
        <v>102</v>
      </c>
      <c r="E765" s="973">
        <v>1</v>
      </c>
      <c r="F765" s="970">
        <f>'MINI SSR 19-20'!H80</f>
        <v>178</v>
      </c>
      <c r="G765" s="969">
        <f>ROUND(E765*F765/1,2)</f>
        <v>178</v>
      </c>
      <c r="H765" s="964" t="s">
        <v>2217</v>
      </c>
    </row>
    <row r="766" spans="1:8" hidden="1">
      <c r="A766" s="967"/>
      <c r="B766" s="967"/>
      <c r="C766" s="962" t="s">
        <v>181</v>
      </c>
      <c r="D766" s="967"/>
      <c r="E766" s="974"/>
      <c r="F766" s="974"/>
      <c r="G766" s="971">
        <f>SUM(G764:G765)</f>
        <v>489</v>
      </c>
      <c r="H766" s="964" t="s">
        <v>2217</v>
      </c>
    </row>
    <row r="767" spans="1:8" ht="140.25" hidden="1">
      <c r="A767" s="896">
        <v>28</v>
      </c>
      <c r="B767" s="966" t="s">
        <v>2249</v>
      </c>
      <c r="C767" s="1382" t="s">
        <v>2250</v>
      </c>
      <c r="D767" s="967"/>
      <c r="E767" s="967"/>
      <c r="F767" s="967"/>
      <c r="G767" s="966"/>
      <c r="H767" s="964" t="s">
        <v>2217</v>
      </c>
    </row>
    <row r="768" spans="1:8" hidden="1">
      <c r="A768" s="896"/>
      <c r="B768" s="966"/>
      <c r="C768" s="962" t="s">
        <v>42</v>
      </c>
      <c r="D768" s="967"/>
      <c r="E768" s="967"/>
      <c r="F768" s="967"/>
      <c r="G768" s="972"/>
      <c r="H768" s="964" t="s">
        <v>2217</v>
      </c>
    </row>
    <row r="769" spans="1:8" hidden="1">
      <c r="A769" s="896"/>
      <c r="B769" s="966"/>
      <c r="C769" s="962" t="s">
        <v>60</v>
      </c>
      <c r="D769" s="967"/>
      <c r="E769" s="967"/>
      <c r="F769" s="967"/>
      <c r="G769" s="972"/>
      <c r="H769" s="964" t="s">
        <v>2217</v>
      </c>
    </row>
    <row r="770" spans="1:8" hidden="1">
      <c r="A770" s="896"/>
      <c r="B770" s="966"/>
      <c r="C770" s="1382" t="s">
        <v>2251</v>
      </c>
      <c r="D770" s="967" t="s">
        <v>35</v>
      </c>
      <c r="E770" s="970">
        <v>0.17</v>
      </c>
      <c r="F770" s="970">
        <f>F38</f>
        <v>1722.2999999999997</v>
      </c>
      <c r="G770" s="969">
        <f>ROUND(E770*F770,2)</f>
        <v>292.79000000000002</v>
      </c>
      <c r="H770" s="964" t="s">
        <v>2217</v>
      </c>
    </row>
    <row r="771" spans="1:8" hidden="1">
      <c r="A771" s="896"/>
      <c r="B771" s="966"/>
      <c r="C771" s="1382" t="s">
        <v>847</v>
      </c>
      <c r="D771" s="967" t="s">
        <v>4</v>
      </c>
      <c r="E771" s="970">
        <v>120</v>
      </c>
      <c r="F771" s="970">
        <f>'lead 19-20'!L8</f>
        <v>4700</v>
      </c>
      <c r="G771" s="969">
        <f>ROUND(E771*F771/1000,2)</f>
        <v>564</v>
      </c>
      <c r="H771" s="964" t="s">
        <v>2217</v>
      </c>
    </row>
    <row r="772" spans="1:8" hidden="1">
      <c r="A772" s="896"/>
      <c r="B772" s="966"/>
      <c r="C772" s="1382" t="s">
        <v>837</v>
      </c>
      <c r="D772" s="967" t="s">
        <v>35</v>
      </c>
      <c r="E772" s="970">
        <v>8.5000000000000006E-2</v>
      </c>
      <c r="F772" s="970">
        <f>'lead 19-20'!L13</f>
        <v>1384.7999999999988</v>
      </c>
      <c r="G772" s="969">
        <f>ROUND(E772*F772,2)</f>
        <v>117.71</v>
      </c>
      <c r="H772" s="964" t="s">
        <v>2217</v>
      </c>
    </row>
    <row r="773" spans="1:8" hidden="1">
      <c r="A773" s="967"/>
      <c r="B773" s="967"/>
      <c r="C773" s="962" t="s">
        <v>68</v>
      </c>
      <c r="D773" s="967"/>
      <c r="E773" s="970"/>
      <c r="F773" s="970"/>
      <c r="G773" s="969"/>
      <c r="H773" s="964" t="s">
        <v>2217</v>
      </c>
    </row>
    <row r="774" spans="1:8" hidden="1">
      <c r="A774" s="967"/>
      <c r="B774" s="967"/>
      <c r="C774" s="1382" t="s">
        <v>64</v>
      </c>
      <c r="D774" s="967" t="s">
        <v>27</v>
      </c>
      <c r="E774" s="970">
        <v>1.25</v>
      </c>
      <c r="F774" s="990">
        <f>'MINI SSR 19-20'!H3</f>
        <v>500</v>
      </c>
      <c r="G774" s="969">
        <f>ROUND(E774*F774,2)</f>
        <v>625</v>
      </c>
      <c r="H774" s="964" t="s">
        <v>2217</v>
      </c>
    </row>
    <row r="775" spans="1:8" hidden="1">
      <c r="A775" s="967"/>
      <c r="B775" s="967"/>
      <c r="C775" s="1382" t="s">
        <v>69</v>
      </c>
      <c r="D775" s="967" t="s">
        <v>27</v>
      </c>
      <c r="E775" s="970">
        <v>0.06</v>
      </c>
      <c r="F775" s="990">
        <f>'MINI SSR 19-20'!H4</f>
        <v>460</v>
      </c>
      <c r="G775" s="969">
        <f>ROUND(E775*F775,2)</f>
        <v>27.6</v>
      </c>
      <c r="H775" s="964" t="s">
        <v>2217</v>
      </c>
    </row>
    <row r="776" spans="1:8" hidden="1">
      <c r="A776" s="967"/>
      <c r="B776" s="967"/>
      <c r="C776" s="1382" t="s">
        <v>85</v>
      </c>
      <c r="D776" s="967" t="s">
        <v>27</v>
      </c>
      <c r="E776" s="970">
        <v>3</v>
      </c>
      <c r="F776" s="990">
        <f>'MINI SSR 19-20'!H5</f>
        <v>420</v>
      </c>
      <c r="G776" s="969">
        <f>ROUND(E776*F776,2)</f>
        <v>1260</v>
      </c>
      <c r="H776" s="964" t="s">
        <v>2217</v>
      </c>
    </row>
    <row r="777" spans="1:8" hidden="1">
      <c r="A777" s="967"/>
      <c r="B777" s="967"/>
      <c r="C777" s="962" t="s">
        <v>88</v>
      </c>
      <c r="D777" s="967"/>
      <c r="E777" s="967"/>
      <c r="F777" s="967"/>
      <c r="G777" s="971">
        <f>SUM(G770:G776)</f>
        <v>2887.1</v>
      </c>
      <c r="H777" s="964" t="s">
        <v>2217</v>
      </c>
    </row>
    <row r="778" spans="1:8" hidden="1">
      <c r="A778" s="967"/>
      <c r="B778" s="967"/>
      <c r="C778" s="962"/>
      <c r="D778" s="967"/>
      <c r="E778" s="966" t="s">
        <v>161</v>
      </c>
      <c r="F778" s="966" t="s">
        <v>162</v>
      </c>
      <c r="G778" s="974" t="s">
        <v>163</v>
      </c>
      <c r="H778" s="964" t="s">
        <v>2217</v>
      </c>
    </row>
    <row r="779" spans="1:8" hidden="1">
      <c r="A779" s="967"/>
      <c r="B779" s="967"/>
      <c r="C779" s="962" t="s">
        <v>1274</v>
      </c>
      <c r="D779" s="967"/>
      <c r="E779" s="970">
        <f>G777</f>
        <v>2887.1</v>
      </c>
      <c r="F779" s="970">
        <f>G777</f>
        <v>2887.1</v>
      </c>
      <c r="G779" s="972">
        <f>G777</f>
        <v>2887.1</v>
      </c>
      <c r="H779" s="964" t="s">
        <v>2217</v>
      </c>
    </row>
    <row r="780" spans="1:8" ht="25.5" hidden="1">
      <c r="A780" s="967"/>
      <c r="B780" s="967"/>
      <c r="C780" s="1382" t="s">
        <v>170</v>
      </c>
      <c r="D780" s="967"/>
      <c r="E780" s="967"/>
      <c r="F780" s="970">
        <f>ROUND((G774+G775+G776)*0.1,2)</f>
        <v>191.26</v>
      </c>
      <c r="G780" s="975">
        <f>ROUND((G774+G775+G776)*0.2,2)</f>
        <v>382.52</v>
      </c>
      <c r="H780" s="964" t="s">
        <v>2217</v>
      </c>
    </row>
    <row r="781" spans="1:8" hidden="1">
      <c r="A781" s="967"/>
      <c r="B781" s="967"/>
      <c r="C781" s="962" t="s">
        <v>194</v>
      </c>
      <c r="D781" s="967"/>
      <c r="E781" s="974">
        <f>SUM(E779:E780)</f>
        <v>2887.1</v>
      </c>
      <c r="F781" s="974">
        <f>SUM(F779:F780)</f>
        <v>3078.3599999999997</v>
      </c>
      <c r="G781" s="971">
        <f>SUM(G779:G780)</f>
        <v>3269.62</v>
      </c>
      <c r="H781" s="964" t="s">
        <v>2217</v>
      </c>
    </row>
    <row r="782" spans="1:8" hidden="1">
      <c r="A782" s="967"/>
      <c r="B782" s="967"/>
      <c r="C782" s="962" t="s">
        <v>181</v>
      </c>
      <c r="D782" s="967"/>
      <c r="E782" s="974">
        <f>ROUND(E781/10,2)</f>
        <v>288.70999999999998</v>
      </c>
      <c r="F782" s="974">
        <f>ROUND(F781/10,2)</f>
        <v>307.83999999999997</v>
      </c>
      <c r="G782" s="971">
        <f>ROUND(G781/10,2)</f>
        <v>326.95999999999998</v>
      </c>
      <c r="H782" s="964" t="s">
        <v>2217</v>
      </c>
    </row>
    <row r="783" spans="1:8" ht="102" hidden="1">
      <c r="A783" s="896">
        <v>51</v>
      </c>
      <c r="B783" s="966" t="s">
        <v>878</v>
      </c>
      <c r="C783" s="1382" t="s">
        <v>879</v>
      </c>
      <c r="D783" s="967"/>
      <c r="E783" s="967"/>
      <c r="F783" s="967"/>
      <c r="G783" s="966"/>
      <c r="H783" s="964" t="s">
        <v>2217</v>
      </c>
    </row>
    <row r="784" spans="1:8" hidden="1">
      <c r="A784" s="896"/>
      <c r="B784" s="966"/>
      <c r="C784" s="962" t="s">
        <v>42</v>
      </c>
      <c r="D784" s="967"/>
      <c r="E784" s="967"/>
      <c r="F784" s="967"/>
      <c r="G784" s="972"/>
      <c r="H784" s="964" t="s">
        <v>2217</v>
      </c>
    </row>
    <row r="785" spans="1:8" hidden="1">
      <c r="A785" s="896"/>
      <c r="B785" s="966"/>
      <c r="C785" s="962" t="s">
        <v>60</v>
      </c>
      <c r="D785" s="967"/>
      <c r="E785" s="967"/>
      <c r="F785" s="967"/>
      <c r="G785" s="972"/>
      <c r="H785" s="964" t="s">
        <v>2217</v>
      </c>
    </row>
    <row r="786" spans="1:8" hidden="1">
      <c r="A786" s="896"/>
      <c r="B786" s="966"/>
      <c r="C786" s="1382" t="s">
        <v>1275</v>
      </c>
      <c r="D786" s="967" t="s">
        <v>1351</v>
      </c>
      <c r="E786" s="970">
        <v>1.2</v>
      </c>
      <c r="F786" s="970">
        <f>'MINI SSR 19-20'!$G$40</f>
        <v>550</v>
      </c>
      <c r="G786" s="969">
        <f>ROUND(F786/20*E786,2)</f>
        <v>33</v>
      </c>
      <c r="H786" s="964" t="s">
        <v>2217</v>
      </c>
    </row>
    <row r="787" spans="1:8" hidden="1">
      <c r="A787" s="967"/>
      <c r="B787" s="967"/>
      <c r="C787" s="962" t="s">
        <v>68</v>
      </c>
      <c r="D787" s="967"/>
      <c r="E787" s="970"/>
      <c r="F787" s="970"/>
      <c r="G787" s="969"/>
      <c r="H787" s="964" t="s">
        <v>2217</v>
      </c>
    </row>
    <row r="788" spans="1:8" hidden="1">
      <c r="A788" s="967"/>
      <c r="B788" s="967"/>
      <c r="C788" s="1382" t="s">
        <v>150</v>
      </c>
      <c r="D788" s="967" t="s">
        <v>27</v>
      </c>
      <c r="E788" s="970">
        <v>0.11</v>
      </c>
      <c r="F788" s="970">
        <f>'MINI SSR 19-20'!$H$8</f>
        <v>580</v>
      </c>
      <c r="G788" s="969">
        <f>ROUND(E788*F788,2)</f>
        <v>63.8</v>
      </c>
      <c r="H788" s="964" t="s">
        <v>2217</v>
      </c>
    </row>
    <row r="789" spans="1:8" hidden="1">
      <c r="A789" s="967"/>
      <c r="B789" s="967"/>
      <c r="C789" s="1382" t="s">
        <v>85</v>
      </c>
      <c r="D789" s="967" t="s">
        <v>27</v>
      </c>
      <c r="E789" s="970">
        <v>0.22</v>
      </c>
      <c r="F789" s="970">
        <f>'MINI SSR 19-20'!$H$5</f>
        <v>420</v>
      </c>
      <c r="G789" s="969">
        <f>ROUND(E789*F789,2)</f>
        <v>92.4</v>
      </c>
      <c r="H789" s="964" t="s">
        <v>2217</v>
      </c>
    </row>
    <row r="790" spans="1:8" hidden="1">
      <c r="A790" s="967"/>
      <c r="B790" s="967"/>
      <c r="C790" s="1382" t="s">
        <v>880</v>
      </c>
      <c r="D790" s="967"/>
      <c r="E790" s="970">
        <v>0.05</v>
      </c>
      <c r="F790" s="970">
        <f>SUM(G786:G789)</f>
        <v>189.2</v>
      </c>
      <c r="G790" s="969">
        <f>ROUND(E790*F790,2)</f>
        <v>9.4600000000000009</v>
      </c>
      <c r="H790" s="964" t="s">
        <v>2217</v>
      </c>
    </row>
    <row r="791" spans="1:8" hidden="1">
      <c r="A791" s="967"/>
      <c r="B791" s="967"/>
      <c r="C791" s="962" t="s">
        <v>88</v>
      </c>
      <c r="D791" s="967"/>
      <c r="E791" s="967"/>
      <c r="F791" s="967"/>
      <c r="G791" s="971">
        <f>SUM(G786:G790)</f>
        <v>198.66</v>
      </c>
      <c r="H791" s="964" t="s">
        <v>2217</v>
      </c>
    </row>
    <row r="792" spans="1:8" hidden="1">
      <c r="A792" s="967"/>
      <c r="B792" s="967"/>
      <c r="C792" s="962"/>
      <c r="D792" s="967"/>
      <c r="E792" s="966" t="s">
        <v>161</v>
      </c>
      <c r="F792" s="966" t="s">
        <v>162</v>
      </c>
      <c r="G792" s="974" t="s">
        <v>163</v>
      </c>
      <c r="H792" s="964" t="s">
        <v>2217</v>
      </c>
    </row>
    <row r="793" spans="1:8" hidden="1">
      <c r="A793" s="967"/>
      <c r="B793" s="967"/>
      <c r="C793" s="962" t="s">
        <v>1276</v>
      </c>
      <c r="D793" s="967"/>
      <c r="E793" s="970">
        <f>G791</f>
        <v>198.66</v>
      </c>
      <c r="F793" s="970">
        <f>E793</f>
        <v>198.66</v>
      </c>
      <c r="G793" s="972">
        <f>F793</f>
        <v>198.66</v>
      </c>
      <c r="H793" s="964" t="s">
        <v>2217</v>
      </c>
    </row>
    <row r="794" spans="1:8" ht="25.5" hidden="1">
      <c r="A794" s="967"/>
      <c r="B794" s="967"/>
      <c r="C794" s="1382" t="s">
        <v>170</v>
      </c>
      <c r="D794" s="967"/>
      <c r="E794" s="967"/>
      <c r="F794" s="970">
        <f>ROUND((G788+G789)*0.1,2)</f>
        <v>15.62</v>
      </c>
      <c r="G794" s="972">
        <f>ROUND((G788+G789)*0.1,2)</f>
        <v>15.62</v>
      </c>
      <c r="H794" s="964" t="s">
        <v>2217</v>
      </c>
    </row>
    <row r="795" spans="1:8" hidden="1">
      <c r="A795" s="967"/>
      <c r="B795" s="967"/>
      <c r="C795" s="962" t="s">
        <v>194</v>
      </c>
      <c r="D795" s="967"/>
      <c r="E795" s="974">
        <f>SUM(E793:E794)</f>
        <v>198.66</v>
      </c>
      <c r="F795" s="974">
        <f>SUM(F793:F794)</f>
        <v>214.28</v>
      </c>
      <c r="G795" s="971">
        <f>SUM(G793:G794)</f>
        <v>214.28</v>
      </c>
      <c r="H795" s="964" t="s">
        <v>2217</v>
      </c>
    </row>
    <row r="796" spans="1:8" hidden="1">
      <c r="A796" s="967"/>
      <c r="B796" s="967"/>
      <c r="C796" s="962" t="s">
        <v>181</v>
      </c>
      <c r="D796" s="967"/>
      <c r="E796" s="974">
        <f>ROUND(E795/10,2)</f>
        <v>19.87</v>
      </c>
      <c r="F796" s="974">
        <f>ROUND(F795/10,2)</f>
        <v>21.43</v>
      </c>
      <c r="G796" s="971">
        <f>ROUND(G795/10,2)</f>
        <v>21.43</v>
      </c>
      <c r="H796" s="964" t="s">
        <v>2217</v>
      </c>
    </row>
    <row r="797" spans="1:8" ht="191.25" hidden="1">
      <c r="A797" s="896">
        <v>23</v>
      </c>
      <c r="B797" s="966" t="s">
        <v>1328</v>
      </c>
      <c r="C797" s="1382" t="s">
        <v>891</v>
      </c>
      <c r="D797" s="967"/>
      <c r="E797" s="967"/>
      <c r="F797" s="967"/>
      <c r="G797" s="966"/>
      <c r="H797" s="964" t="s">
        <v>2217</v>
      </c>
    </row>
    <row r="798" spans="1:8" hidden="1">
      <c r="A798" s="896"/>
      <c r="B798" s="966"/>
      <c r="C798" s="962" t="s">
        <v>42</v>
      </c>
      <c r="D798" s="967"/>
      <c r="E798" s="967"/>
      <c r="F798" s="967"/>
      <c r="G798" s="972"/>
      <c r="H798" s="964" t="s">
        <v>2217</v>
      </c>
    </row>
    <row r="799" spans="1:8" hidden="1">
      <c r="A799" s="896"/>
      <c r="B799" s="966"/>
      <c r="C799" s="962" t="s">
        <v>60</v>
      </c>
      <c r="D799" s="967"/>
      <c r="E799" s="967"/>
      <c r="F799" s="967"/>
      <c r="G799" s="972"/>
      <c r="H799" s="964" t="s">
        <v>2217</v>
      </c>
    </row>
    <row r="800" spans="1:8" hidden="1">
      <c r="A800" s="896"/>
      <c r="B800" s="966"/>
      <c r="C800" s="1382" t="s">
        <v>892</v>
      </c>
      <c r="D800" s="967" t="s">
        <v>1351</v>
      </c>
      <c r="E800" s="970">
        <v>23</v>
      </c>
      <c r="F800" s="970">
        <f>'MINI SSR 19-20'!$G$40</f>
        <v>550</v>
      </c>
      <c r="G800" s="969">
        <f>ROUND(F800/20*E800,2)</f>
        <v>632.5</v>
      </c>
      <c r="H800" s="964" t="s">
        <v>2217</v>
      </c>
    </row>
    <row r="801" spans="1:8" hidden="1">
      <c r="A801" s="967"/>
      <c r="B801" s="967"/>
      <c r="C801" s="962" t="s">
        <v>68</v>
      </c>
      <c r="D801" s="967"/>
      <c r="E801" s="970"/>
      <c r="F801" s="970"/>
      <c r="G801" s="969"/>
      <c r="H801" s="964" t="s">
        <v>2217</v>
      </c>
    </row>
    <row r="802" spans="1:8" hidden="1">
      <c r="A802" s="967"/>
      <c r="B802" s="967"/>
      <c r="C802" s="1382" t="s">
        <v>94</v>
      </c>
      <c r="D802" s="967" t="s">
        <v>27</v>
      </c>
      <c r="E802" s="973">
        <v>0.27300000000000002</v>
      </c>
      <c r="F802" s="970">
        <f>'MINI SSR 19-20'!$H$8</f>
        <v>580</v>
      </c>
      <c r="G802" s="969">
        <f>ROUND(E802*F802,2)</f>
        <v>158.34</v>
      </c>
      <c r="H802" s="964" t="s">
        <v>2217</v>
      </c>
    </row>
    <row r="803" spans="1:8" hidden="1">
      <c r="A803" s="967"/>
      <c r="B803" s="967"/>
      <c r="C803" s="1382" t="s">
        <v>874</v>
      </c>
      <c r="D803" s="967" t="s">
        <v>27</v>
      </c>
      <c r="E803" s="973">
        <v>0.63700000000000001</v>
      </c>
      <c r="F803" s="970">
        <f>'MINI SSR 19-20'!$H$9</f>
        <v>460</v>
      </c>
      <c r="G803" s="969">
        <f>ROUND(E803*F803,2)</f>
        <v>293.02</v>
      </c>
      <c r="H803" s="964" t="s">
        <v>2217</v>
      </c>
    </row>
    <row r="804" spans="1:8" hidden="1">
      <c r="A804" s="967"/>
      <c r="B804" s="967"/>
      <c r="C804" s="1382" t="s">
        <v>85</v>
      </c>
      <c r="D804" s="967" t="s">
        <v>27</v>
      </c>
      <c r="E804" s="973">
        <v>0.91</v>
      </c>
      <c r="F804" s="970">
        <f>'MINI SSR 19-20'!$H$5</f>
        <v>420</v>
      </c>
      <c r="G804" s="969">
        <f>ROUND(E804*F804,2)</f>
        <v>382.2</v>
      </c>
      <c r="H804" s="964" t="s">
        <v>2217</v>
      </c>
    </row>
    <row r="805" spans="1:8" hidden="1">
      <c r="A805" s="967"/>
      <c r="B805" s="967"/>
      <c r="C805" s="1382" t="s">
        <v>893</v>
      </c>
      <c r="D805" s="967"/>
      <c r="E805" s="970">
        <v>0.01</v>
      </c>
      <c r="F805" s="970">
        <f>SUM(G800:G804)</f>
        <v>1466.0600000000002</v>
      </c>
      <c r="G805" s="969">
        <f>ROUND(E805*F805,2)</f>
        <v>14.66</v>
      </c>
      <c r="H805" s="964" t="s">
        <v>2217</v>
      </c>
    </row>
    <row r="806" spans="1:8" hidden="1">
      <c r="A806" s="967"/>
      <c r="B806" s="967"/>
      <c r="C806" s="962" t="s">
        <v>88</v>
      </c>
      <c r="D806" s="967"/>
      <c r="E806" s="967"/>
      <c r="F806" s="967"/>
      <c r="G806" s="971">
        <f>SUM(G800:G805)</f>
        <v>1480.7200000000003</v>
      </c>
      <c r="H806" s="964" t="s">
        <v>2217</v>
      </c>
    </row>
    <row r="807" spans="1:8" hidden="1">
      <c r="A807" s="967"/>
      <c r="B807" s="967"/>
      <c r="C807" s="962"/>
      <c r="D807" s="967"/>
      <c r="E807" s="966" t="s">
        <v>161</v>
      </c>
      <c r="F807" s="966" t="s">
        <v>162</v>
      </c>
      <c r="G807" s="974" t="s">
        <v>163</v>
      </c>
      <c r="H807" s="964" t="s">
        <v>2217</v>
      </c>
    </row>
    <row r="808" spans="1:8" hidden="1">
      <c r="A808" s="967"/>
      <c r="B808" s="967"/>
      <c r="C808" s="962" t="s">
        <v>1276</v>
      </c>
      <c r="D808" s="967"/>
      <c r="E808" s="970">
        <f>G806</f>
        <v>1480.7200000000003</v>
      </c>
      <c r="F808" s="970">
        <f>E808</f>
        <v>1480.7200000000003</v>
      </c>
      <c r="G808" s="972">
        <f>F808</f>
        <v>1480.7200000000003</v>
      </c>
      <c r="H808" s="964" t="s">
        <v>2217</v>
      </c>
    </row>
    <row r="809" spans="1:8" ht="25.5" hidden="1">
      <c r="A809" s="967"/>
      <c r="B809" s="967"/>
      <c r="C809" s="1382" t="s">
        <v>170</v>
      </c>
      <c r="D809" s="967"/>
      <c r="E809" s="967"/>
      <c r="F809" s="970">
        <f>ROUND((G802+G803+G804)*0.1,2)</f>
        <v>83.36</v>
      </c>
      <c r="G809" s="975">
        <f>ROUND(F809*2,2)</f>
        <v>166.72</v>
      </c>
      <c r="H809" s="964" t="s">
        <v>2217</v>
      </c>
    </row>
    <row r="810" spans="1:8" hidden="1">
      <c r="A810" s="967"/>
      <c r="B810" s="967"/>
      <c r="C810" s="962" t="s">
        <v>194</v>
      </c>
      <c r="D810" s="967"/>
      <c r="E810" s="974">
        <f>SUM(E808:E809)</f>
        <v>1480.7200000000003</v>
      </c>
      <c r="F810" s="974">
        <f>SUM(F808:F809)</f>
        <v>1564.0800000000002</v>
      </c>
      <c r="G810" s="971">
        <f>SUM(G808:G809)</f>
        <v>1647.4400000000003</v>
      </c>
      <c r="H810" s="964" t="s">
        <v>2217</v>
      </c>
    </row>
    <row r="811" spans="1:8" hidden="1">
      <c r="A811" s="967"/>
      <c r="B811" s="967"/>
      <c r="C811" s="962" t="s">
        <v>181</v>
      </c>
      <c r="D811" s="967"/>
      <c r="E811" s="974">
        <f>ROUND(E810/10,2)</f>
        <v>148.07</v>
      </c>
      <c r="F811" s="974">
        <f>ROUND(F810/10,2)</f>
        <v>156.41</v>
      </c>
      <c r="G811" s="971">
        <f>ROUND(G810/10,2)</f>
        <v>164.74</v>
      </c>
      <c r="H811" s="964" t="s">
        <v>2217</v>
      </c>
    </row>
    <row r="812" spans="1:8" s="996" customFormat="1" ht="25.5" hidden="1">
      <c r="A812" s="966">
        <v>24</v>
      </c>
      <c r="B812" s="994" t="s">
        <v>1352</v>
      </c>
      <c r="C812" s="1382" t="s">
        <v>1353</v>
      </c>
      <c r="D812" s="967"/>
      <c r="E812" s="967"/>
      <c r="F812" s="995"/>
      <c r="G812" s="995"/>
      <c r="H812" s="964" t="s">
        <v>2217</v>
      </c>
    </row>
    <row r="813" spans="1:8" hidden="1">
      <c r="A813" s="967"/>
      <c r="B813" s="966"/>
      <c r="C813" s="1382" t="s">
        <v>1354</v>
      </c>
      <c r="D813" s="990"/>
      <c r="E813" s="990"/>
      <c r="F813" s="990"/>
      <c r="G813" s="989"/>
      <c r="H813" s="964" t="s">
        <v>2217</v>
      </c>
    </row>
    <row r="814" spans="1:8" hidden="1">
      <c r="A814" s="967"/>
      <c r="B814" s="966"/>
      <c r="C814" s="1382" t="s">
        <v>1355</v>
      </c>
      <c r="D814" s="990"/>
      <c r="E814" s="990"/>
      <c r="F814" s="990"/>
      <c r="G814" s="989"/>
      <c r="H814" s="964" t="s">
        <v>2217</v>
      </c>
    </row>
    <row r="815" spans="1:8" hidden="1">
      <c r="A815" s="967"/>
      <c r="B815" s="966"/>
      <c r="C815" s="1382" t="s">
        <v>3141</v>
      </c>
      <c r="D815" s="990" t="s">
        <v>90</v>
      </c>
      <c r="E815" s="990">
        <v>1</v>
      </c>
      <c r="F815" s="990">
        <f>'MINI SSR 19-20'!G41</f>
        <v>141</v>
      </c>
      <c r="G815" s="989">
        <f>ROUND(E815*F815,2)</f>
        <v>141</v>
      </c>
      <c r="H815" s="964" t="s">
        <v>2217</v>
      </c>
    </row>
    <row r="816" spans="1:8" hidden="1">
      <c r="A816" s="967"/>
      <c r="B816" s="966"/>
      <c r="C816" s="1382" t="s">
        <v>1356</v>
      </c>
      <c r="D816" s="990"/>
      <c r="E816" s="990"/>
      <c r="F816" s="990"/>
      <c r="G816" s="989"/>
      <c r="H816" s="964" t="s">
        <v>2217</v>
      </c>
    </row>
    <row r="817" spans="1:8" hidden="1">
      <c r="A817" s="967"/>
      <c r="B817" s="966"/>
      <c r="C817" s="1382" t="s">
        <v>94</v>
      </c>
      <c r="D817" s="990" t="s">
        <v>27</v>
      </c>
      <c r="E817" s="990">
        <v>0.21</v>
      </c>
      <c r="F817" s="970">
        <f>'MINI SSR 19-20'!$H$8</f>
        <v>580</v>
      </c>
      <c r="G817" s="989">
        <f>ROUND(E817*F817,2)</f>
        <v>121.8</v>
      </c>
      <c r="H817" s="964" t="s">
        <v>2217</v>
      </c>
    </row>
    <row r="818" spans="1:8" hidden="1">
      <c r="A818" s="967"/>
      <c r="B818" s="966"/>
      <c r="C818" s="1382" t="s">
        <v>874</v>
      </c>
      <c r="D818" s="990" t="s">
        <v>27</v>
      </c>
      <c r="E818" s="990">
        <v>0.49</v>
      </c>
      <c r="F818" s="970">
        <f>'MINI SSR 19-20'!$H$9</f>
        <v>460</v>
      </c>
      <c r="G818" s="989">
        <f>ROUND(E818*F818,2)</f>
        <v>225.4</v>
      </c>
      <c r="H818" s="964" t="s">
        <v>2217</v>
      </c>
    </row>
    <row r="819" spans="1:8" hidden="1">
      <c r="A819" s="967"/>
      <c r="B819" s="966"/>
      <c r="C819" s="1382" t="s">
        <v>875</v>
      </c>
      <c r="D819" s="990"/>
      <c r="E819" s="997">
        <v>5.0000000000000001E-3</v>
      </c>
      <c r="F819" s="990">
        <f>SUM(G815:G818)</f>
        <v>488.20000000000005</v>
      </c>
      <c r="G819" s="989">
        <f>ROUND(E819*F819,2)</f>
        <v>2.44</v>
      </c>
      <c r="H819" s="964" t="s">
        <v>2217</v>
      </c>
    </row>
    <row r="820" spans="1:8" hidden="1">
      <c r="A820" s="967"/>
      <c r="B820" s="966"/>
      <c r="C820" s="1382" t="s">
        <v>1357</v>
      </c>
      <c r="D820" s="990"/>
      <c r="E820" s="990"/>
      <c r="F820" s="990"/>
      <c r="G820" s="989">
        <f>SUM(G815:G819)</f>
        <v>490.64000000000004</v>
      </c>
      <c r="H820" s="964" t="s">
        <v>2217</v>
      </c>
    </row>
    <row r="821" spans="1:8" s="999" customFormat="1" hidden="1">
      <c r="A821" s="994"/>
      <c r="B821" s="994"/>
      <c r="C821" s="962" t="s">
        <v>869</v>
      </c>
      <c r="D821" s="991"/>
      <c r="E821" s="991"/>
      <c r="F821" s="991"/>
      <c r="G821" s="998">
        <f>ROUND(SUM(G820:G820),2)</f>
        <v>490.64</v>
      </c>
      <c r="H821" s="964" t="s">
        <v>2217</v>
      </c>
    </row>
    <row r="822" spans="1:8" s="996" customFormat="1" ht="25.5" hidden="1">
      <c r="A822" s="966">
        <v>25</v>
      </c>
      <c r="B822" s="966" t="s">
        <v>1352</v>
      </c>
      <c r="C822" s="1382" t="s">
        <v>1358</v>
      </c>
      <c r="D822" s="967"/>
      <c r="E822" s="967"/>
      <c r="F822" s="995"/>
      <c r="G822" s="995"/>
      <c r="H822" s="964" t="s">
        <v>2217</v>
      </c>
    </row>
    <row r="823" spans="1:8" hidden="1">
      <c r="A823" s="967"/>
      <c r="B823" s="966"/>
      <c r="C823" s="1382" t="s">
        <v>1354</v>
      </c>
      <c r="D823" s="990"/>
      <c r="E823" s="990"/>
      <c r="F823" s="990"/>
      <c r="G823" s="989"/>
      <c r="H823" s="964" t="s">
        <v>2217</v>
      </c>
    </row>
    <row r="824" spans="1:8" hidden="1">
      <c r="A824" s="967"/>
      <c r="B824" s="966"/>
      <c r="C824" s="1382" t="s">
        <v>1355</v>
      </c>
      <c r="D824" s="990"/>
      <c r="E824" s="990"/>
      <c r="F824" s="990"/>
      <c r="G824" s="989"/>
      <c r="H824" s="964" t="s">
        <v>2217</v>
      </c>
    </row>
    <row r="825" spans="1:8" hidden="1">
      <c r="A825" s="967"/>
      <c r="B825" s="966"/>
      <c r="C825" s="1382" t="s">
        <v>3142</v>
      </c>
      <c r="D825" s="990" t="s">
        <v>90</v>
      </c>
      <c r="E825" s="990">
        <v>1</v>
      </c>
      <c r="F825" s="990">
        <f>'MINI SSR 19-20'!G42</f>
        <v>180</v>
      </c>
      <c r="G825" s="989">
        <f>ROUND(E825*F825,2)</f>
        <v>180</v>
      </c>
      <c r="H825" s="964" t="s">
        <v>2217</v>
      </c>
    </row>
    <row r="826" spans="1:8" hidden="1">
      <c r="A826" s="967"/>
      <c r="B826" s="966"/>
      <c r="C826" s="1382" t="s">
        <v>1356</v>
      </c>
      <c r="D826" s="990"/>
      <c r="E826" s="990"/>
      <c r="F826" s="990"/>
      <c r="G826" s="989"/>
      <c r="H826" s="964" t="s">
        <v>2217</v>
      </c>
    </row>
    <row r="827" spans="1:8" hidden="1">
      <c r="A827" s="967"/>
      <c r="B827" s="966"/>
      <c r="C827" s="1382" t="s">
        <v>94</v>
      </c>
      <c r="D827" s="990" t="s">
        <v>27</v>
      </c>
      <c r="E827" s="990">
        <v>0.21</v>
      </c>
      <c r="F827" s="970">
        <f>'MINI SSR 19-20'!$H$8</f>
        <v>580</v>
      </c>
      <c r="G827" s="989">
        <f>ROUND(E827*F827,2)</f>
        <v>121.8</v>
      </c>
      <c r="H827" s="964" t="s">
        <v>2217</v>
      </c>
    </row>
    <row r="828" spans="1:8" hidden="1">
      <c r="A828" s="967"/>
      <c r="B828" s="966"/>
      <c r="C828" s="1382" t="s">
        <v>874</v>
      </c>
      <c r="D828" s="990" t="s">
        <v>27</v>
      </c>
      <c r="E828" s="990">
        <v>0.49</v>
      </c>
      <c r="F828" s="970">
        <f>'MINI SSR 19-20'!$H$9</f>
        <v>460</v>
      </c>
      <c r="G828" s="989">
        <f>ROUND(E828*F828,2)</f>
        <v>225.4</v>
      </c>
      <c r="H828" s="964" t="s">
        <v>2217</v>
      </c>
    </row>
    <row r="829" spans="1:8" hidden="1">
      <c r="A829" s="967"/>
      <c r="B829" s="966"/>
      <c r="C829" s="1382" t="s">
        <v>875</v>
      </c>
      <c r="D829" s="990"/>
      <c r="E829" s="997">
        <v>5.0000000000000001E-3</v>
      </c>
      <c r="F829" s="990">
        <f>SUM(G825:G828)</f>
        <v>527.20000000000005</v>
      </c>
      <c r="G829" s="989">
        <f>ROUND(E829*F829,2)</f>
        <v>2.64</v>
      </c>
      <c r="H829" s="964" t="s">
        <v>2217</v>
      </c>
    </row>
    <row r="830" spans="1:8" hidden="1">
      <c r="A830" s="967"/>
      <c r="B830" s="966"/>
      <c r="C830" s="1382" t="s">
        <v>1357</v>
      </c>
      <c r="D830" s="990"/>
      <c r="E830" s="990"/>
      <c r="F830" s="990"/>
      <c r="G830" s="989">
        <f>SUM(G825:G829)</f>
        <v>529.84</v>
      </c>
      <c r="H830" s="964" t="s">
        <v>2217</v>
      </c>
    </row>
    <row r="831" spans="1:8" s="999" customFormat="1" hidden="1">
      <c r="A831" s="994"/>
      <c r="B831" s="994"/>
      <c r="C831" s="962" t="s">
        <v>869</v>
      </c>
      <c r="D831" s="991"/>
      <c r="E831" s="991"/>
      <c r="F831" s="991"/>
      <c r="G831" s="998">
        <f>ROUND(SUM(G830:G830),2)</f>
        <v>529.84</v>
      </c>
      <c r="H831" s="964" t="s">
        <v>2217</v>
      </c>
    </row>
    <row r="832" spans="1:8" s="996" customFormat="1" ht="140.25" hidden="1">
      <c r="A832" s="966">
        <v>26</v>
      </c>
      <c r="B832" s="966" t="s">
        <v>1328</v>
      </c>
      <c r="C832" s="1382" t="s">
        <v>1167</v>
      </c>
      <c r="D832" s="967"/>
      <c r="E832" s="967"/>
      <c r="F832" s="995"/>
      <c r="G832" s="995"/>
      <c r="H832" s="964" t="s">
        <v>2217</v>
      </c>
    </row>
    <row r="833" spans="1:8" hidden="1">
      <c r="A833" s="967"/>
      <c r="B833" s="966"/>
      <c r="C833" s="962" t="s">
        <v>1359</v>
      </c>
      <c r="D833" s="990"/>
      <c r="E833" s="990"/>
      <c r="F833" s="990"/>
      <c r="G833" s="989"/>
      <c r="H833" s="964" t="s">
        <v>2217</v>
      </c>
    </row>
    <row r="834" spans="1:8" hidden="1">
      <c r="A834" s="967"/>
      <c r="B834" s="966"/>
      <c r="C834" s="1382" t="s">
        <v>1369</v>
      </c>
      <c r="D834" s="990" t="s">
        <v>1360</v>
      </c>
      <c r="E834" s="990">
        <v>1</v>
      </c>
      <c r="F834" s="990">
        <f>G821</f>
        <v>490.64</v>
      </c>
      <c r="G834" s="989">
        <f t="shared" ref="G834:G840" si="6">ROUND(E834*F834,2)</f>
        <v>490.64</v>
      </c>
      <c r="H834" s="964" t="s">
        <v>2217</v>
      </c>
    </row>
    <row r="835" spans="1:8" hidden="1">
      <c r="A835" s="967"/>
      <c r="B835" s="966"/>
      <c r="C835" s="1382"/>
      <c r="D835" s="990"/>
      <c r="E835" s="990"/>
      <c r="F835" s="990"/>
      <c r="G835" s="989"/>
      <c r="H835" s="964" t="s">
        <v>2217</v>
      </c>
    </row>
    <row r="836" spans="1:8" hidden="1">
      <c r="A836" s="967"/>
      <c r="B836" s="966"/>
      <c r="C836" s="1000" t="s">
        <v>1361</v>
      </c>
      <c r="D836" s="990"/>
      <c r="E836" s="990"/>
      <c r="F836" s="990"/>
      <c r="G836" s="989"/>
      <c r="H836" s="964" t="s">
        <v>2217</v>
      </c>
    </row>
    <row r="837" spans="1:8" hidden="1">
      <c r="A837" s="967"/>
      <c r="B837" s="966"/>
      <c r="C837" s="1382" t="s">
        <v>1370</v>
      </c>
      <c r="D837" s="896" t="s">
        <v>291</v>
      </c>
      <c r="E837" s="922">
        <v>0.8</v>
      </c>
      <c r="F837" s="990">
        <f>'MINI SSR 19-20'!G43</f>
        <v>168</v>
      </c>
      <c r="G837" s="989">
        <f t="shared" si="6"/>
        <v>134.4</v>
      </c>
      <c r="H837" s="964" t="s">
        <v>2217</v>
      </c>
    </row>
    <row r="838" spans="1:8" hidden="1">
      <c r="A838" s="967"/>
      <c r="B838" s="966"/>
      <c r="C838" s="1000" t="s">
        <v>1363</v>
      </c>
      <c r="D838" s="896"/>
      <c r="E838" s="922"/>
      <c r="F838" s="990"/>
      <c r="G838" s="989"/>
      <c r="H838" s="964" t="s">
        <v>2217</v>
      </c>
    </row>
    <row r="839" spans="1:8" hidden="1">
      <c r="A839" s="967"/>
      <c r="B839" s="966"/>
      <c r="C839" s="1382" t="s">
        <v>1364</v>
      </c>
      <c r="D839" s="896" t="s">
        <v>27</v>
      </c>
      <c r="E839" s="970">
        <v>0.36</v>
      </c>
      <c r="F839" s="970">
        <f>'MINI SSR 19-20'!$H$8</f>
        <v>580</v>
      </c>
      <c r="G839" s="989">
        <f t="shared" si="6"/>
        <v>208.8</v>
      </c>
      <c r="H839" s="964" t="s">
        <v>2217</v>
      </c>
    </row>
    <row r="840" spans="1:8" hidden="1">
      <c r="A840" s="967"/>
      <c r="B840" s="966"/>
      <c r="C840" s="1382" t="s">
        <v>1365</v>
      </c>
      <c r="D840" s="896" t="s">
        <v>27</v>
      </c>
      <c r="E840" s="970">
        <v>0.84</v>
      </c>
      <c r="F840" s="970">
        <f>'MINI SSR 19-20'!$H$9</f>
        <v>460</v>
      </c>
      <c r="G840" s="989">
        <f t="shared" si="6"/>
        <v>386.4</v>
      </c>
      <c r="H840" s="964" t="s">
        <v>2217</v>
      </c>
    </row>
    <row r="841" spans="1:8" hidden="1">
      <c r="A841" s="967"/>
      <c r="B841" s="966"/>
      <c r="C841" s="1382" t="s">
        <v>0</v>
      </c>
      <c r="D841" s="990"/>
      <c r="E841" s="990"/>
      <c r="F841" s="990"/>
      <c r="G841" s="989">
        <f>SUM(G834:G840)</f>
        <v>1220.2399999999998</v>
      </c>
      <c r="H841" s="964" t="s">
        <v>2217</v>
      </c>
    </row>
    <row r="842" spans="1:8" hidden="1">
      <c r="A842" s="967"/>
      <c r="B842" s="966"/>
      <c r="C842" s="1382"/>
      <c r="D842" s="990"/>
      <c r="E842" s="991" t="s">
        <v>161</v>
      </c>
      <c r="F842" s="991" t="s">
        <v>162</v>
      </c>
      <c r="G842" s="991" t="s">
        <v>163</v>
      </c>
      <c r="H842" s="964" t="s">
        <v>2217</v>
      </c>
    </row>
    <row r="843" spans="1:8" hidden="1">
      <c r="A843" s="967"/>
      <c r="B843" s="966"/>
      <c r="C843" s="1382" t="s">
        <v>867</v>
      </c>
      <c r="D843" s="990"/>
      <c r="E843" s="990">
        <f>G841</f>
        <v>1220.2399999999998</v>
      </c>
      <c r="F843" s="1001">
        <f>G841</f>
        <v>1220.2399999999998</v>
      </c>
      <c r="G843" s="1001">
        <f>G841</f>
        <v>1220.2399999999998</v>
      </c>
      <c r="H843" s="964" t="s">
        <v>2217</v>
      </c>
    </row>
    <row r="844" spans="1:8" hidden="1">
      <c r="A844" s="967"/>
      <c r="B844" s="966"/>
      <c r="C844" s="1382" t="s">
        <v>1366</v>
      </c>
      <c r="D844" s="990"/>
      <c r="E844" s="990"/>
      <c r="F844" s="989">
        <f>SUM(G817+G818+G839+G840)*10%</f>
        <v>94.240000000000009</v>
      </c>
      <c r="G844" s="989">
        <f>SUM(G817+G818+G839+G840)*20%</f>
        <v>188.48000000000002</v>
      </c>
      <c r="H844" s="964" t="s">
        <v>2217</v>
      </c>
    </row>
    <row r="845" spans="1:8" s="999" customFormat="1" hidden="1">
      <c r="A845" s="994"/>
      <c r="B845" s="994"/>
      <c r="C845" s="962" t="s">
        <v>869</v>
      </c>
      <c r="D845" s="991"/>
      <c r="E845" s="991">
        <f>SUM(E843:E844)</f>
        <v>1220.2399999999998</v>
      </c>
      <c r="F845" s="998">
        <f>SUM(F843:F844)</f>
        <v>1314.4799999999998</v>
      </c>
      <c r="G845" s="998">
        <f>SUM(G843:G844)</f>
        <v>1408.7199999999998</v>
      </c>
      <c r="H845" s="964" t="s">
        <v>2217</v>
      </c>
    </row>
    <row r="846" spans="1:8" s="999" customFormat="1" hidden="1">
      <c r="A846" s="994"/>
      <c r="B846" s="994"/>
      <c r="C846" s="962" t="s">
        <v>1367</v>
      </c>
      <c r="D846" s="991"/>
      <c r="E846" s="991">
        <f>ROUND(E845/10,2)</f>
        <v>122.02</v>
      </c>
      <c r="F846" s="998">
        <f>ROUND(F845/10,2)</f>
        <v>131.44999999999999</v>
      </c>
      <c r="G846" s="998">
        <f>ROUND(G845/10,2)</f>
        <v>140.87</v>
      </c>
      <c r="H846" s="964" t="s">
        <v>2217</v>
      </c>
    </row>
    <row r="847" spans="1:8" s="996" customFormat="1" ht="140.25" hidden="1">
      <c r="A847" s="966">
        <v>27</v>
      </c>
      <c r="B847" s="966" t="s">
        <v>1328</v>
      </c>
      <c r="C847" s="1382" t="s">
        <v>1368</v>
      </c>
      <c r="D847" s="967"/>
      <c r="E847" s="967"/>
      <c r="F847" s="995"/>
      <c r="G847" s="995"/>
      <c r="H847" s="964" t="s">
        <v>2217</v>
      </c>
    </row>
    <row r="848" spans="1:8" hidden="1">
      <c r="A848" s="967"/>
      <c r="B848" s="966"/>
      <c r="C848" s="1382" t="s">
        <v>1369</v>
      </c>
      <c r="D848" s="990" t="s">
        <v>1360</v>
      </c>
      <c r="E848" s="990">
        <v>1</v>
      </c>
      <c r="F848" s="990">
        <f>G831</f>
        <v>529.84</v>
      </c>
      <c r="G848" s="989">
        <f>ROUND(E848*F848,2)</f>
        <v>529.84</v>
      </c>
      <c r="H848" s="964" t="s">
        <v>2217</v>
      </c>
    </row>
    <row r="849" spans="1:8" hidden="1">
      <c r="A849" s="967"/>
      <c r="B849" s="966"/>
      <c r="C849" s="1000" t="s">
        <v>1361</v>
      </c>
      <c r="D849" s="990"/>
      <c r="E849" s="990"/>
      <c r="F849" s="990"/>
      <c r="G849" s="989"/>
      <c r="H849" s="964" t="s">
        <v>2217</v>
      </c>
    </row>
    <row r="850" spans="1:8" ht="25.5" hidden="1">
      <c r="A850" s="967"/>
      <c r="B850" s="966"/>
      <c r="C850" s="1382" t="s">
        <v>1362</v>
      </c>
      <c r="D850" s="896" t="s">
        <v>291</v>
      </c>
      <c r="E850" s="922">
        <v>0.8</v>
      </c>
      <c r="F850" s="990">
        <f>'MINI SSR 19-20'!G44</f>
        <v>194</v>
      </c>
      <c r="G850" s="989">
        <f>ROUND(E850*F850,2)</f>
        <v>155.19999999999999</v>
      </c>
      <c r="H850" s="964" t="s">
        <v>2217</v>
      </c>
    </row>
    <row r="851" spans="1:8" hidden="1">
      <c r="A851" s="967"/>
      <c r="B851" s="966"/>
      <c r="C851" s="1000" t="s">
        <v>1363</v>
      </c>
      <c r="D851" s="896"/>
      <c r="E851" s="922"/>
      <c r="F851" s="990"/>
      <c r="G851" s="989"/>
      <c r="H851" s="964" t="s">
        <v>2217</v>
      </c>
    </row>
    <row r="852" spans="1:8" hidden="1">
      <c r="A852" s="967"/>
      <c r="B852" s="966"/>
      <c r="C852" s="1382" t="s">
        <v>1364</v>
      </c>
      <c r="D852" s="896" t="s">
        <v>27</v>
      </c>
      <c r="E852" s="970">
        <v>0.21</v>
      </c>
      <c r="F852" s="970">
        <f>'MINI SSR 19-20'!$H$8</f>
        <v>580</v>
      </c>
      <c r="G852" s="989">
        <f>ROUND(E852*F852,2)</f>
        <v>121.8</v>
      </c>
      <c r="H852" s="964" t="s">
        <v>2217</v>
      </c>
    </row>
    <row r="853" spans="1:8" hidden="1">
      <c r="A853" s="967"/>
      <c r="B853" s="966"/>
      <c r="C853" s="1382" t="s">
        <v>1365</v>
      </c>
      <c r="D853" s="896" t="s">
        <v>27</v>
      </c>
      <c r="E853" s="970">
        <v>0.49</v>
      </c>
      <c r="F853" s="970">
        <f>'MINI SSR 19-20'!$H$9</f>
        <v>460</v>
      </c>
      <c r="G853" s="989">
        <f>ROUND(E853*F853,2)</f>
        <v>225.4</v>
      </c>
      <c r="H853" s="964" t="s">
        <v>2217</v>
      </c>
    </row>
    <row r="854" spans="1:8" hidden="1">
      <c r="A854" s="967"/>
      <c r="B854" s="966"/>
      <c r="C854" s="1382" t="s">
        <v>311</v>
      </c>
      <c r="D854" s="896" t="s">
        <v>27</v>
      </c>
      <c r="E854" s="970">
        <v>1.5</v>
      </c>
      <c r="F854" s="970">
        <f>'MINI SSR 19-20'!$H$5</f>
        <v>420</v>
      </c>
      <c r="G854" s="989">
        <f>ROUND(E854*F854,2)</f>
        <v>630</v>
      </c>
      <c r="H854" s="964" t="s">
        <v>2217</v>
      </c>
    </row>
    <row r="855" spans="1:8" hidden="1">
      <c r="A855" s="967"/>
      <c r="B855" s="966"/>
      <c r="C855" s="1382" t="s">
        <v>0</v>
      </c>
      <c r="D855" s="990"/>
      <c r="E855" s="990"/>
      <c r="F855" s="990"/>
      <c r="G855" s="989">
        <f>SUM(G848:G854)</f>
        <v>1662.24</v>
      </c>
      <c r="H855" s="964" t="s">
        <v>2217</v>
      </c>
    </row>
    <row r="856" spans="1:8" hidden="1">
      <c r="A856" s="967"/>
      <c r="B856" s="966"/>
      <c r="C856" s="1382"/>
      <c r="D856" s="990"/>
      <c r="E856" s="991" t="s">
        <v>161</v>
      </c>
      <c r="F856" s="991" t="s">
        <v>162</v>
      </c>
      <c r="G856" s="991" t="s">
        <v>163</v>
      </c>
      <c r="H856" s="964" t="s">
        <v>2217</v>
      </c>
    </row>
    <row r="857" spans="1:8" hidden="1">
      <c r="A857" s="967"/>
      <c r="B857" s="966"/>
      <c r="C857" s="1382" t="s">
        <v>867</v>
      </c>
      <c r="D857" s="990"/>
      <c r="E857" s="990">
        <f>G855</f>
        <v>1662.24</v>
      </c>
      <c r="F857" s="1001">
        <f>G855</f>
        <v>1662.24</v>
      </c>
      <c r="G857" s="1001">
        <f>G855</f>
        <v>1662.24</v>
      </c>
      <c r="H857" s="964" t="s">
        <v>2217</v>
      </c>
    </row>
    <row r="858" spans="1:8" hidden="1">
      <c r="A858" s="967"/>
      <c r="B858" s="966"/>
      <c r="C858" s="1382" t="s">
        <v>870</v>
      </c>
      <c r="D858" s="990"/>
      <c r="E858" s="990"/>
      <c r="F858" s="989">
        <f>SUM(G827+G828+G852+G853+G854)*10%</f>
        <v>132.44000000000003</v>
      </c>
      <c r="G858" s="989">
        <f>SUM(G827+G828+G852+G853+G854)*20%</f>
        <v>264.88000000000005</v>
      </c>
      <c r="H858" s="964" t="s">
        <v>2217</v>
      </c>
    </row>
    <row r="859" spans="1:8" s="999" customFormat="1" hidden="1">
      <c r="A859" s="994"/>
      <c r="B859" s="994"/>
      <c r="C859" s="962" t="s">
        <v>869</v>
      </c>
      <c r="D859" s="991"/>
      <c r="E859" s="991">
        <f>SUM(E857:E858)</f>
        <v>1662.24</v>
      </c>
      <c r="F859" s="998">
        <f>SUM(F857:F858)</f>
        <v>1794.68</v>
      </c>
      <c r="G859" s="998">
        <f>SUM(G857:G858)</f>
        <v>1927.1200000000001</v>
      </c>
      <c r="H859" s="964" t="s">
        <v>2217</v>
      </c>
    </row>
    <row r="860" spans="1:8" s="999" customFormat="1" hidden="1">
      <c r="A860" s="994"/>
      <c r="B860" s="994"/>
      <c r="C860" s="962" t="s">
        <v>1367</v>
      </c>
      <c r="D860" s="991"/>
      <c r="E860" s="991">
        <f>ROUND(E859/10,2)</f>
        <v>166.22</v>
      </c>
      <c r="F860" s="998">
        <f>ROUND(F859/10,2)</f>
        <v>179.47</v>
      </c>
      <c r="G860" s="998">
        <f>ROUND(G859/10,2)</f>
        <v>192.71</v>
      </c>
      <c r="H860" s="964" t="s">
        <v>2217</v>
      </c>
    </row>
    <row r="861" spans="1:8" ht="140.25" hidden="1">
      <c r="A861" s="896">
        <v>58</v>
      </c>
      <c r="B861" s="966" t="s">
        <v>96</v>
      </c>
      <c r="C861" s="1382" t="s">
        <v>1307</v>
      </c>
      <c r="D861" s="967"/>
      <c r="E861" s="967"/>
      <c r="F861" s="967"/>
      <c r="G861" s="966"/>
      <c r="H861" s="964" t="s">
        <v>2217</v>
      </c>
    </row>
    <row r="862" spans="1:8" hidden="1">
      <c r="A862" s="896"/>
      <c r="B862" s="966"/>
      <c r="C862" s="962" t="s">
        <v>42</v>
      </c>
      <c r="D862" s="967"/>
      <c r="E862" s="967"/>
      <c r="F862" s="967"/>
      <c r="G862" s="972"/>
      <c r="H862" s="964" t="s">
        <v>2217</v>
      </c>
    </row>
    <row r="863" spans="1:8" hidden="1">
      <c r="A863" s="896"/>
      <c r="B863" s="966"/>
      <c r="C863" s="962" t="s">
        <v>97</v>
      </c>
      <c r="D863" s="967"/>
      <c r="E863" s="967"/>
      <c r="F863" s="967"/>
      <c r="G863" s="972"/>
      <c r="H863" s="964" t="s">
        <v>2217</v>
      </c>
    </row>
    <row r="864" spans="1:8" hidden="1">
      <c r="A864" s="896"/>
      <c r="B864" s="966"/>
      <c r="C864" s="962" t="s">
        <v>60</v>
      </c>
      <c r="D864" s="967"/>
      <c r="E864" s="967"/>
      <c r="F864" s="967"/>
      <c r="G864" s="972"/>
      <c r="H864" s="964" t="s">
        <v>2217</v>
      </c>
    </row>
    <row r="865" spans="1:8" hidden="1">
      <c r="A865" s="896"/>
      <c r="B865" s="966"/>
      <c r="C865" s="1382" t="s">
        <v>216</v>
      </c>
      <c r="D865" s="967" t="s">
        <v>30</v>
      </c>
      <c r="E865" s="970">
        <v>0.7</v>
      </c>
      <c r="F865" s="970">
        <f>'MINI SSR 19-20'!G45</f>
        <v>130</v>
      </c>
      <c r="G865" s="969">
        <f>ROUND(E865*F865,2)</f>
        <v>91</v>
      </c>
      <c r="H865" s="964" t="s">
        <v>2217</v>
      </c>
    </row>
    <row r="866" spans="1:8" hidden="1">
      <c r="A866" s="967"/>
      <c r="B866" s="966"/>
      <c r="C866" s="962" t="s">
        <v>68</v>
      </c>
      <c r="D866" s="967"/>
      <c r="E866" s="970"/>
      <c r="F866" s="970"/>
      <c r="G866" s="969"/>
      <c r="H866" s="964" t="s">
        <v>2217</v>
      </c>
    </row>
    <row r="867" spans="1:8" hidden="1">
      <c r="A867" s="967"/>
      <c r="B867" s="967"/>
      <c r="C867" s="1382" t="s">
        <v>94</v>
      </c>
      <c r="D867" s="967" t="s">
        <v>27</v>
      </c>
      <c r="E867" s="970">
        <v>0.21</v>
      </c>
      <c r="F867" s="970">
        <f>'MINI SSR 19-20'!$H$8</f>
        <v>580</v>
      </c>
      <c r="G867" s="969">
        <f>ROUND(E867*F867,2)</f>
        <v>121.8</v>
      </c>
      <c r="H867" s="964" t="s">
        <v>2217</v>
      </c>
    </row>
    <row r="868" spans="1:8" hidden="1">
      <c r="A868" s="967"/>
      <c r="B868" s="967"/>
      <c r="C868" s="1382" t="s">
        <v>876</v>
      </c>
      <c r="D868" s="967" t="s">
        <v>27</v>
      </c>
      <c r="E868" s="970">
        <v>0.48</v>
      </c>
      <c r="F868" s="970">
        <f>'MINI SSR 19-20'!$H$9</f>
        <v>460</v>
      </c>
      <c r="G868" s="969">
        <f>ROUND(E868*F868,2)</f>
        <v>220.8</v>
      </c>
      <c r="H868" s="964" t="s">
        <v>2217</v>
      </c>
    </row>
    <row r="869" spans="1:8" hidden="1">
      <c r="A869" s="967"/>
      <c r="B869" s="967"/>
      <c r="C869" s="1382" t="s">
        <v>95</v>
      </c>
      <c r="D869" s="967"/>
      <c r="E869" s="970"/>
      <c r="F869" s="974">
        <f>SUM(G865:G868)</f>
        <v>433.6</v>
      </c>
      <c r="G869" s="969">
        <f>ROUND(F869*0.01,2)</f>
        <v>4.34</v>
      </c>
      <c r="H869" s="964" t="s">
        <v>2217</v>
      </c>
    </row>
    <row r="870" spans="1:8" hidden="1">
      <c r="A870" s="967"/>
      <c r="B870" s="967"/>
      <c r="C870" s="962" t="s">
        <v>98</v>
      </c>
      <c r="D870" s="967"/>
      <c r="E870" s="967"/>
      <c r="F870" s="967"/>
      <c r="G870" s="971"/>
      <c r="H870" s="964" t="s">
        <v>2217</v>
      </c>
    </row>
    <row r="871" spans="1:8" hidden="1">
      <c r="A871" s="967"/>
      <c r="B871" s="967"/>
      <c r="C871" s="962" t="s">
        <v>60</v>
      </c>
      <c r="D871" s="967"/>
      <c r="E871" s="967"/>
      <c r="F871" s="967"/>
      <c r="G871" s="972"/>
      <c r="H871" s="964" t="s">
        <v>2217</v>
      </c>
    </row>
    <row r="872" spans="1:8" hidden="1">
      <c r="A872" s="967"/>
      <c r="B872" s="967"/>
      <c r="C872" s="1382" t="s">
        <v>217</v>
      </c>
      <c r="D872" s="967" t="s">
        <v>30</v>
      </c>
      <c r="E872" s="970">
        <v>2.8</v>
      </c>
      <c r="F872" s="970">
        <f>'MINI SSR 19-20'!G46</f>
        <v>248</v>
      </c>
      <c r="G872" s="969">
        <f>ROUND(E872*F872,2)</f>
        <v>694.4</v>
      </c>
      <c r="H872" s="964" t="s">
        <v>2217</v>
      </c>
    </row>
    <row r="873" spans="1:8" hidden="1">
      <c r="A873" s="967"/>
      <c r="B873" s="967"/>
      <c r="C873" s="962" t="s">
        <v>68</v>
      </c>
      <c r="D873" s="967"/>
      <c r="E873" s="970"/>
      <c r="F873" s="970"/>
      <c r="G873" s="969"/>
      <c r="H873" s="964" t="s">
        <v>2217</v>
      </c>
    </row>
    <row r="874" spans="1:8" hidden="1">
      <c r="A874" s="967"/>
      <c r="B874" s="967"/>
      <c r="C874" s="1382" t="s">
        <v>94</v>
      </c>
      <c r="D874" s="967" t="s">
        <v>27</v>
      </c>
      <c r="E874" s="970">
        <v>0.36</v>
      </c>
      <c r="F874" s="970">
        <f>'MINI SSR 19-20'!$H$8</f>
        <v>580</v>
      </c>
      <c r="G874" s="969">
        <f>ROUND(E874*F874,2)</f>
        <v>208.8</v>
      </c>
      <c r="H874" s="964" t="s">
        <v>2217</v>
      </c>
    </row>
    <row r="875" spans="1:8" hidden="1">
      <c r="A875" s="967"/>
      <c r="B875" s="967"/>
      <c r="C875" s="1382" t="s">
        <v>876</v>
      </c>
      <c r="D875" s="967" t="s">
        <v>27</v>
      </c>
      <c r="E875" s="970">
        <v>0.84</v>
      </c>
      <c r="F875" s="970">
        <f>'MINI SSR 19-20'!$H$9</f>
        <v>460</v>
      </c>
      <c r="G875" s="969">
        <f>ROUND(E875*F875,2)</f>
        <v>386.4</v>
      </c>
      <c r="H875" s="964" t="s">
        <v>2217</v>
      </c>
    </row>
    <row r="876" spans="1:8" hidden="1">
      <c r="A876" s="967"/>
      <c r="B876" s="967"/>
      <c r="C876" s="962" t="s">
        <v>99</v>
      </c>
      <c r="D876" s="967"/>
      <c r="E876" s="967"/>
      <c r="F876" s="967"/>
      <c r="G876" s="971">
        <f>SUM(G865:G875)</f>
        <v>1727.54</v>
      </c>
      <c r="H876" s="964" t="s">
        <v>2217</v>
      </c>
    </row>
    <row r="877" spans="1:8" hidden="1">
      <c r="A877" s="967"/>
      <c r="B877" s="967"/>
      <c r="C877" s="962" t="s">
        <v>121</v>
      </c>
      <c r="D877" s="967"/>
      <c r="E877" s="967"/>
      <c r="F877" s="967"/>
      <c r="G877" s="971">
        <f>ROUND(G876/10,2)</f>
        <v>172.75</v>
      </c>
      <c r="H877" s="964" t="s">
        <v>2217</v>
      </c>
    </row>
    <row r="878" spans="1:8" ht="63.75" hidden="1">
      <c r="A878" s="896">
        <v>59</v>
      </c>
      <c r="B878" s="966"/>
      <c r="C878" s="1382" t="s">
        <v>1181</v>
      </c>
      <c r="D878" s="967"/>
      <c r="E878" s="967"/>
      <c r="F878" s="967"/>
      <c r="G878" s="972"/>
      <c r="H878" s="964" t="s">
        <v>2217</v>
      </c>
    </row>
    <row r="879" spans="1:8" hidden="1">
      <c r="A879" s="967"/>
      <c r="B879" s="967" t="s">
        <v>1420</v>
      </c>
      <c r="C879" s="1382" t="s">
        <v>1419</v>
      </c>
      <c r="D879" s="967" t="s">
        <v>102</v>
      </c>
      <c r="E879" s="970">
        <v>1</v>
      </c>
      <c r="F879" s="970">
        <v>205</v>
      </c>
      <c r="G879" s="969">
        <f>ROUND(E879*F879,2)</f>
        <v>205</v>
      </c>
      <c r="H879" s="964" t="s">
        <v>2217</v>
      </c>
    </row>
    <row r="880" spans="1:8" hidden="1">
      <c r="A880" s="967"/>
      <c r="B880" s="967"/>
      <c r="C880" s="962"/>
      <c r="D880" s="967"/>
      <c r="E880" s="967"/>
      <c r="F880" s="967"/>
      <c r="G880" s="971">
        <f>SUM(G879:G879)</f>
        <v>205</v>
      </c>
      <c r="H880" s="964" t="s">
        <v>2217</v>
      </c>
    </row>
    <row r="881" spans="1:8" ht="293.25" hidden="1">
      <c r="A881" s="896">
        <v>60</v>
      </c>
      <c r="B881" s="966"/>
      <c r="C881" s="1382" t="s">
        <v>1183</v>
      </c>
      <c r="D881" s="967"/>
      <c r="E881" s="967"/>
      <c r="F881" s="967"/>
      <c r="G881" s="972"/>
      <c r="H881" s="964" t="s">
        <v>2217</v>
      </c>
    </row>
    <row r="882" spans="1:8" hidden="1">
      <c r="A882" s="967"/>
      <c r="B882" s="967"/>
      <c r="C882" s="1382" t="s">
        <v>222</v>
      </c>
      <c r="D882" s="967"/>
      <c r="E882" s="970"/>
      <c r="F882" s="970"/>
      <c r="G882" s="969"/>
      <c r="H882" s="964" t="s">
        <v>2217</v>
      </c>
    </row>
    <row r="883" spans="1:8" hidden="1">
      <c r="A883" s="967"/>
      <c r="B883" s="967" t="s">
        <v>1422</v>
      </c>
      <c r="C883" s="1382" t="s">
        <v>1421</v>
      </c>
      <c r="D883" s="970" t="s">
        <v>291</v>
      </c>
      <c r="E883" s="973">
        <v>6.5000000000000002E-2</v>
      </c>
      <c r="F883" s="990">
        <f>'MINI SSR 19-20'!G47</f>
        <v>708</v>
      </c>
      <c r="G883" s="969">
        <f>ROUND(E883*F883,2)</f>
        <v>46.02</v>
      </c>
      <c r="H883" s="964" t="s">
        <v>2217</v>
      </c>
    </row>
    <row r="884" spans="1:8" hidden="1">
      <c r="A884" s="967"/>
      <c r="B884" s="967" t="s">
        <v>1422</v>
      </c>
      <c r="C884" s="1382" t="s">
        <v>1423</v>
      </c>
      <c r="D884" s="970" t="s">
        <v>291</v>
      </c>
      <c r="E884" s="973">
        <v>3.3000000000000002E-2</v>
      </c>
      <c r="F884" s="990">
        <f>'MINI SSR 19-20'!G48</f>
        <v>244</v>
      </c>
      <c r="G884" s="969">
        <f>ROUND(E884*F884,2)</f>
        <v>8.0500000000000007</v>
      </c>
      <c r="H884" s="964" t="s">
        <v>2217</v>
      </c>
    </row>
    <row r="885" spans="1:8" hidden="1">
      <c r="A885" s="896"/>
      <c r="B885" s="966"/>
      <c r="C885" s="1382" t="s">
        <v>94</v>
      </c>
      <c r="D885" s="970" t="s">
        <v>27</v>
      </c>
      <c r="E885" s="970">
        <v>0.24</v>
      </c>
      <c r="F885" s="970">
        <f>'MINI SSR 19-20'!$H$8</f>
        <v>580</v>
      </c>
      <c r="G885" s="969">
        <f t="shared" ref="G885:G887" si="7">ROUND(E885*F885,2)</f>
        <v>139.19999999999999</v>
      </c>
      <c r="H885" s="964" t="s">
        <v>2217</v>
      </c>
    </row>
    <row r="886" spans="1:8" hidden="1">
      <c r="A886" s="896"/>
      <c r="B886" s="966"/>
      <c r="C886" s="1382" t="s">
        <v>874</v>
      </c>
      <c r="D886" s="970" t="s">
        <v>27</v>
      </c>
      <c r="E886" s="970">
        <v>0.56000000000000005</v>
      </c>
      <c r="F886" s="970">
        <f>'MINI SSR 19-20'!$H$9</f>
        <v>460</v>
      </c>
      <c r="G886" s="969">
        <f t="shared" si="7"/>
        <v>257.60000000000002</v>
      </c>
      <c r="H886" s="964" t="s">
        <v>2217</v>
      </c>
    </row>
    <row r="887" spans="1:8" hidden="1">
      <c r="A887" s="896"/>
      <c r="B887" s="966"/>
      <c r="C887" s="1382" t="s">
        <v>157</v>
      </c>
      <c r="D887" s="970" t="s">
        <v>27</v>
      </c>
      <c r="E887" s="970">
        <v>0.8</v>
      </c>
      <c r="F887" s="970">
        <f>'MINI SSR 19-20'!$H$5</f>
        <v>420</v>
      </c>
      <c r="G887" s="969">
        <f t="shared" si="7"/>
        <v>336</v>
      </c>
      <c r="H887" s="964" t="s">
        <v>2217</v>
      </c>
    </row>
    <row r="888" spans="1:8" hidden="1">
      <c r="A888" s="896"/>
      <c r="B888" s="966"/>
      <c r="C888" s="962" t="s">
        <v>1182</v>
      </c>
      <c r="D888" s="970"/>
      <c r="E888" s="991"/>
      <c r="F888" s="991"/>
      <c r="G888" s="969">
        <f>SUM(G883:G887)</f>
        <v>786.87</v>
      </c>
      <c r="H888" s="964" t="s">
        <v>2217</v>
      </c>
    </row>
    <row r="889" spans="1:8" ht="89.25" hidden="1">
      <c r="A889" s="896">
        <v>12</v>
      </c>
      <c r="B889" s="966"/>
      <c r="C889" s="1382" t="s">
        <v>1184</v>
      </c>
      <c r="D889" s="967"/>
      <c r="E889" s="967"/>
      <c r="F889" s="967"/>
      <c r="G889" s="972"/>
      <c r="H889" s="964" t="s">
        <v>2217</v>
      </c>
    </row>
    <row r="890" spans="1:8" hidden="1">
      <c r="A890" s="967"/>
      <c r="B890" s="967"/>
      <c r="C890" s="1382" t="s">
        <v>1185</v>
      </c>
      <c r="D890" s="967" t="s">
        <v>102</v>
      </c>
      <c r="E890" s="970">
        <v>1</v>
      </c>
      <c r="F890" s="970">
        <v>630</v>
      </c>
      <c r="G890" s="969">
        <f>ROUND(E890*F890,2)</f>
        <v>630</v>
      </c>
      <c r="H890" s="964" t="s">
        <v>2217</v>
      </c>
    </row>
    <row r="891" spans="1:8" hidden="1">
      <c r="A891" s="967"/>
      <c r="B891" s="967"/>
      <c r="C891" s="962"/>
      <c r="D891" s="967"/>
      <c r="E891" s="967"/>
      <c r="F891" s="967"/>
      <c r="G891" s="971">
        <f>SUM(G890:G890)</f>
        <v>630</v>
      </c>
      <c r="H891" s="964" t="s">
        <v>2217</v>
      </c>
    </row>
    <row r="892" spans="1:8" ht="165.75" hidden="1">
      <c r="A892" s="896">
        <v>24</v>
      </c>
      <c r="B892" s="966"/>
      <c r="C892" s="1382" t="s">
        <v>680</v>
      </c>
      <c r="D892" s="967"/>
      <c r="E892" s="967"/>
      <c r="F892" s="967"/>
      <c r="G892" s="972"/>
      <c r="H892" s="964" t="s">
        <v>2217</v>
      </c>
    </row>
    <row r="893" spans="1:8" hidden="1">
      <c r="A893" s="967"/>
      <c r="B893" s="967" t="s">
        <v>1371</v>
      </c>
      <c r="C893" s="1382" t="s">
        <v>379</v>
      </c>
      <c r="D893" s="967" t="s">
        <v>102</v>
      </c>
      <c r="E893" s="970">
        <v>1</v>
      </c>
      <c r="F893" s="970">
        <f>'MINI SSR 19-20'!C47</f>
        <v>3198</v>
      </c>
      <c r="G893" s="969">
        <f>ROUND(E893*F893,2)</f>
        <v>3198</v>
      </c>
      <c r="H893" s="964" t="s">
        <v>2217</v>
      </c>
    </row>
    <row r="894" spans="1:8" hidden="1">
      <c r="A894" s="967"/>
      <c r="B894" s="967"/>
      <c r="C894" s="962"/>
      <c r="D894" s="967"/>
      <c r="E894" s="967"/>
      <c r="F894" s="967"/>
      <c r="G894" s="971">
        <f>SUM(G893:G893)</f>
        <v>3198</v>
      </c>
      <c r="H894" s="964" t="s">
        <v>2217</v>
      </c>
    </row>
    <row r="895" spans="1:8" ht="51" hidden="1">
      <c r="A895" s="896">
        <v>63</v>
      </c>
      <c r="B895" s="966"/>
      <c r="C895" s="1382" t="s">
        <v>951</v>
      </c>
      <c r="D895" s="967"/>
      <c r="E895" s="967"/>
      <c r="F895" s="967"/>
      <c r="G895" s="972"/>
      <c r="H895" s="964" t="s">
        <v>2217</v>
      </c>
    </row>
    <row r="896" spans="1:8" hidden="1">
      <c r="A896" s="967"/>
      <c r="B896" s="967" t="s">
        <v>1425</v>
      </c>
      <c r="C896" s="1382" t="s">
        <v>1424</v>
      </c>
      <c r="D896" s="967" t="s">
        <v>275</v>
      </c>
      <c r="E896" s="920">
        <v>1</v>
      </c>
      <c r="F896" s="922">
        <v>250</v>
      </c>
      <c r="G896" s="969">
        <f>ROUND(E896*F896,2)</f>
        <v>250</v>
      </c>
      <c r="H896" s="964" t="s">
        <v>2217</v>
      </c>
    </row>
    <row r="897" spans="1:8" hidden="1">
      <c r="A897" s="967"/>
      <c r="B897" s="967"/>
      <c r="C897" s="1382" t="s">
        <v>953</v>
      </c>
      <c r="D897" s="967"/>
      <c r="E897" s="920"/>
      <c r="F897" s="922"/>
      <c r="G897" s="969"/>
      <c r="H897" s="964" t="s">
        <v>2217</v>
      </c>
    </row>
    <row r="898" spans="1:8" hidden="1">
      <c r="A898" s="967"/>
      <c r="B898" s="967"/>
      <c r="C898" s="1382" t="s">
        <v>954</v>
      </c>
      <c r="D898" s="967"/>
      <c r="E898" s="920"/>
      <c r="F898" s="922"/>
      <c r="G898" s="969"/>
      <c r="H898" s="964" t="s">
        <v>2217</v>
      </c>
    </row>
    <row r="899" spans="1:8" hidden="1">
      <c r="A899" s="967"/>
      <c r="B899" s="967"/>
      <c r="C899" s="1382" t="s">
        <v>955</v>
      </c>
      <c r="D899" s="967"/>
      <c r="E899" s="920"/>
      <c r="F899" s="922"/>
      <c r="G899" s="969"/>
      <c r="H899" s="964" t="s">
        <v>2217</v>
      </c>
    </row>
    <row r="900" spans="1:8" hidden="1">
      <c r="A900" s="967"/>
      <c r="B900" s="967"/>
      <c r="C900" s="1382" t="s">
        <v>956</v>
      </c>
      <c r="D900" s="967"/>
      <c r="E900" s="920"/>
      <c r="F900" s="922"/>
      <c r="G900" s="969"/>
      <c r="H900" s="964" t="s">
        <v>2217</v>
      </c>
    </row>
    <row r="901" spans="1:8" hidden="1">
      <c r="A901" s="967"/>
      <c r="B901" s="967"/>
      <c r="C901" s="1382" t="s">
        <v>957</v>
      </c>
      <c r="D901" s="967" t="s">
        <v>275</v>
      </c>
      <c r="E901" s="920">
        <v>1</v>
      </c>
      <c r="F901" s="922">
        <v>666.66</v>
      </c>
      <c r="G901" s="969">
        <f>ROUND(E901*F901,2)</f>
        <v>666.66</v>
      </c>
      <c r="H901" s="964" t="s">
        <v>2217</v>
      </c>
    </row>
    <row r="902" spans="1:8" hidden="1">
      <c r="A902" s="967"/>
      <c r="B902" s="967"/>
      <c r="C902" s="1385"/>
      <c r="D902" s="896"/>
      <c r="E902" s="920"/>
      <c r="F902" s="922"/>
      <c r="G902" s="924"/>
      <c r="H902" s="964" t="s">
        <v>2217</v>
      </c>
    </row>
    <row r="903" spans="1:8" hidden="1">
      <c r="A903" s="967"/>
      <c r="B903" s="967"/>
      <c r="C903" s="962"/>
      <c r="D903" s="967"/>
      <c r="E903" s="967"/>
      <c r="F903" s="967"/>
      <c r="G903" s="971">
        <f>SUM(G901:G902)</f>
        <v>666.66</v>
      </c>
      <c r="H903" s="964" t="s">
        <v>2217</v>
      </c>
    </row>
    <row r="904" spans="1:8" ht="51" hidden="1">
      <c r="A904" s="896">
        <v>64</v>
      </c>
      <c r="B904" s="966"/>
      <c r="C904" s="1382" t="s">
        <v>1231</v>
      </c>
      <c r="D904" s="967"/>
      <c r="E904" s="967"/>
      <c r="F904" s="967"/>
      <c r="G904" s="972"/>
      <c r="H904" s="964" t="s">
        <v>2217</v>
      </c>
    </row>
    <row r="905" spans="1:8" hidden="1">
      <c r="A905" s="967"/>
      <c r="B905" s="967" t="s">
        <v>1425</v>
      </c>
      <c r="C905" s="1382" t="s">
        <v>1424</v>
      </c>
      <c r="D905" s="967" t="s">
        <v>275</v>
      </c>
      <c r="E905" s="920">
        <v>1</v>
      </c>
      <c r="F905" s="922">
        <v>250</v>
      </c>
      <c r="G905" s="969">
        <f>ROUND(E905*F905,2)</f>
        <v>250</v>
      </c>
      <c r="H905" s="964" t="s">
        <v>2217</v>
      </c>
    </row>
    <row r="906" spans="1:8" hidden="1">
      <c r="A906" s="967"/>
      <c r="B906" s="967"/>
      <c r="C906" s="1382" t="s">
        <v>1235</v>
      </c>
      <c r="D906" s="967"/>
      <c r="E906" s="920"/>
      <c r="F906" s="922"/>
      <c r="G906" s="969"/>
      <c r="H906" s="964" t="s">
        <v>2217</v>
      </c>
    </row>
    <row r="907" spans="1:8" hidden="1">
      <c r="A907" s="967"/>
      <c r="B907" s="967"/>
      <c r="C907" s="1382" t="s">
        <v>1232</v>
      </c>
      <c r="D907" s="967"/>
      <c r="E907" s="920"/>
      <c r="F907" s="922"/>
      <c r="G907" s="969"/>
      <c r="H907" s="964" t="s">
        <v>2217</v>
      </c>
    </row>
    <row r="908" spans="1:8" hidden="1">
      <c r="A908" s="967"/>
      <c r="B908" s="967"/>
      <c r="C908" s="1382" t="s">
        <v>1233</v>
      </c>
      <c r="D908" s="967"/>
      <c r="E908" s="920"/>
      <c r="F908" s="922"/>
      <c r="G908" s="969"/>
      <c r="H908" s="964" t="s">
        <v>2217</v>
      </c>
    </row>
    <row r="909" spans="1:8" hidden="1">
      <c r="A909" s="967"/>
      <c r="B909" s="967"/>
      <c r="C909" s="1382" t="s">
        <v>1234</v>
      </c>
      <c r="D909" s="967"/>
      <c r="E909" s="920"/>
      <c r="F909" s="922"/>
      <c r="G909" s="969"/>
      <c r="H909" s="964" t="s">
        <v>2217</v>
      </c>
    </row>
    <row r="910" spans="1:8" hidden="1">
      <c r="A910" s="967"/>
      <c r="B910" s="967"/>
      <c r="C910" s="1382" t="s">
        <v>1235</v>
      </c>
      <c r="D910" s="967" t="s">
        <v>275</v>
      </c>
      <c r="E910" s="920">
        <v>1</v>
      </c>
      <c r="F910" s="922">
        <v>500</v>
      </c>
      <c r="G910" s="969">
        <f>ROUND(E910*F910,2)</f>
        <v>500</v>
      </c>
      <c r="H910" s="964" t="s">
        <v>2217</v>
      </c>
    </row>
    <row r="911" spans="1:8" hidden="1">
      <c r="A911" s="967"/>
      <c r="B911" s="967"/>
      <c r="C911" s="1385"/>
      <c r="D911" s="896"/>
      <c r="E911" s="920"/>
      <c r="F911" s="922"/>
      <c r="G911" s="924"/>
      <c r="H911" s="964" t="s">
        <v>2217</v>
      </c>
    </row>
    <row r="912" spans="1:8" hidden="1">
      <c r="A912" s="967"/>
      <c r="B912" s="967"/>
      <c r="C912" s="962"/>
      <c r="D912" s="967"/>
      <c r="E912" s="967"/>
      <c r="F912" s="967"/>
      <c r="G912" s="971">
        <f>SUM(G910:G911)</f>
        <v>500</v>
      </c>
      <c r="H912" s="964" t="s">
        <v>2217</v>
      </c>
    </row>
    <row r="913" spans="1:8" ht="51" hidden="1">
      <c r="A913" s="896">
        <v>65</v>
      </c>
      <c r="B913" s="966"/>
      <c r="C913" s="1382" t="s">
        <v>952</v>
      </c>
      <c r="D913" s="967"/>
      <c r="E913" s="967"/>
      <c r="F913" s="967"/>
      <c r="G913" s="972"/>
      <c r="H913" s="964" t="s">
        <v>2217</v>
      </c>
    </row>
    <row r="914" spans="1:8" hidden="1">
      <c r="A914" s="967"/>
      <c r="B914" s="967" t="s">
        <v>1427</v>
      </c>
      <c r="C914" s="1382" t="s">
        <v>1426</v>
      </c>
      <c r="D914" s="967" t="s">
        <v>275</v>
      </c>
      <c r="E914" s="920">
        <v>1</v>
      </c>
      <c r="F914" s="922">
        <v>130</v>
      </c>
      <c r="G914" s="969">
        <f>ROUND(E914*F914,2)</f>
        <v>130</v>
      </c>
      <c r="H914" s="964" t="s">
        <v>2217</v>
      </c>
    </row>
    <row r="915" spans="1:8" hidden="1">
      <c r="A915" s="967"/>
      <c r="B915" s="967"/>
      <c r="C915" s="1385"/>
      <c r="D915" s="896"/>
      <c r="E915" s="920"/>
      <c r="F915" s="922"/>
      <c r="G915" s="924"/>
      <c r="H915" s="964" t="s">
        <v>2217</v>
      </c>
    </row>
    <row r="916" spans="1:8" hidden="1">
      <c r="A916" s="967"/>
      <c r="B916" s="967"/>
      <c r="C916" s="962"/>
      <c r="D916" s="967"/>
      <c r="E916" s="967"/>
      <c r="F916" s="967"/>
      <c r="G916" s="971">
        <f>SUM(G914:G915)</f>
        <v>130</v>
      </c>
      <c r="H916" s="964" t="s">
        <v>2217</v>
      </c>
    </row>
    <row r="917" spans="1:8" hidden="1">
      <c r="A917" s="896">
        <v>25</v>
      </c>
      <c r="B917" s="966"/>
      <c r="C917" s="1002" t="s">
        <v>932</v>
      </c>
      <c r="D917" s="967"/>
      <c r="E917" s="967"/>
      <c r="F917" s="967"/>
      <c r="G917" s="967"/>
      <c r="H917" s="964" t="s">
        <v>2217</v>
      </c>
    </row>
    <row r="918" spans="1:8" hidden="1">
      <c r="A918" s="967"/>
      <c r="B918" s="967" t="s">
        <v>1406</v>
      </c>
      <c r="C918" s="1002" t="s">
        <v>379</v>
      </c>
      <c r="D918" s="967" t="s">
        <v>102</v>
      </c>
      <c r="E918" s="970">
        <v>1</v>
      </c>
      <c r="F918" s="970">
        <f>'D&amp;W data'!F202</f>
        <v>340</v>
      </c>
      <c r="G918" s="969">
        <f>ROUND(E918*F918,2)</f>
        <v>340</v>
      </c>
      <c r="H918" s="964" t="s">
        <v>2217</v>
      </c>
    </row>
    <row r="919" spans="1:8" hidden="1">
      <c r="A919" s="967"/>
      <c r="B919" s="967"/>
      <c r="C919" s="1002" t="s">
        <v>929</v>
      </c>
      <c r="D919" s="896" t="s">
        <v>108</v>
      </c>
      <c r="E919" s="922">
        <v>0.06</v>
      </c>
      <c r="F919" s="970">
        <f>'D&amp;W data'!F203</f>
        <v>500</v>
      </c>
      <c r="G919" s="924">
        <f>ROUND(E919*F919,2)</f>
        <v>30</v>
      </c>
      <c r="H919" s="964" t="s">
        <v>2217</v>
      </c>
    </row>
    <row r="920" spans="1:8" hidden="1">
      <c r="A920" s="967"/>
      <c r="B920" s="967"/>
      <c r="C920" s="1002" t="s">
        <v>930</v>
      </c>
      <c r="D920" s="896" t="s">
        <v>108</v>
      </c>
      <c r="E920" s="922">
        <v>0.06</v>
      </c>
      <c r="F920" s="970">
        <f>'D&amp;W data'!F204</f>
        <v>460</v>
      </c>
      <c r="G920" s="924">
        <f>ROUND(E920*F920,2)</f>
        <v>27.6</v>
      </c>
      <c r="H920" s="964" t="s">
        <v>2217</v>
      </c>
    </row>
    <row r="921" spans="1:8" hidden="1">
      <c r="A921" s="967"/>
      <c r="B921" s="967"/>
      <c r="C921" s="1003" t="s">
        <v>931</v>
      </c>
      <c r="D921" s="896" t="s">
        <v>108</v>
      </c>
      <c r="E921" s="920">
        <v>0.27500000000000002</v>
      </c>
      <c r="F921" s="970">
        <f>'D&amp;W data'!F205</f>
        <v>420</v>
      </c>
      <c r="G921" s="924">
        <f>ROUND(E921*F921,2)</f>
        <v>115.5</v>
      </c>
      <c r="H921" s="964" t="s">
        <v>2217</v>
      </c>
    </row>
    <row r="922" spans="1:8" hidden="1">
      <c r="A922" s="967"/>
      <c r="B922" s="967"/>
      <c r="C922" s="1004" t="s">
        <v>1402</v>
      </c>
      <c r="D922" s="967"/>
      <c r="E922" s="967"/>
      <c r="F922" s="967"/>
      <c r="G922" s="971">
        <f>SUM(G918:G921)</f>
        <v>513.1</v>
      </c>
      <c r="H922" s="964" t="s">
        <v>2217</v>
      </c>
    </row>
    <row r="923" spans="1:8" hidden="1">
      <c r="A923" s="967"/>
      <c r="B923" s="967"/>
      <c r="C923" s="1008" t="s">
        <v>2016</v>
      </c>
      <c r="D923" s="967"/>
      <c r="E923" s="967"/>
      <c r="F923" s="967"/>
      <c r="G923" s="971"/>
      <c r="H923" s="964" t="s">
        <v>2299</v>
      </c>
    </row>
    <row r="924" spans="1:8" ht="25.5" hidden="1">
      <c r="A924" s="967">
        <v>11</v>
      </c>
      <c r="B924" s="967" t="s">
        <v>46</v>
      </c>
      <c r="C924" s="962" t="s">
        <v>43</v>
      </c>
      <c r="D924" s="967"/>
      <c r="E924" s="967"/>
      <c r="F924" s="967"/>
      <c r="G924" s="967"/>
      <c r="H924" s="964" t="s">
        <v>2299</v>
      </c>
    </row>
    <row r="925" spans="1:8" hidden="1">
      <c r="A925" s="967"/>
      <c r="B925" s="967"/>
      <c r="C925" s="1382" t="s">
        <v>44</v>
      </c>
      <c r="D925" s="967" t="s">
        <v>4</v>
      </c>
      <c r="E925" s="970">
        <f>1440/3</f>
        <v>480</v>
      </c>
      <c r="F925" s="970">
        <f>'lead 20-21'!$L$8</f>
        <v>4700</v>
      </c>
      <c r="G925" s="969">
        <f>ROUND(E925*F925/1000,2)</f>
        <v>2256</v>
      </c>
      <c r="H925" s="964" t="s">
        <v>2299</v>
      </c>
    </row>
    <row r="926" spans="1:8" hidden="1">
      <c r="A926" s="967"/>
      <c r="B926" s="967"/>
      <c r="C926" s="1382" t="s">
        <v>110</v>
      </c>
      <c r="D926" s="967" t="s">
        <v>35</v>
      </c>
      <c r="E926" s="970">
        <v>1.05</v>
      </c>
      <c r="F926" s="970">
        <f>'lead 20-21'!$L$12</f>
        <v>1546.600000000001</v>
      </c>
      <c r="G926" s="969">
        <f>ROUND(E926*F926,2)</f>
        <v>1623.93</v>
      </c>
      <c r="H926" s="964" t="s">
        <v>2299</v>
      </c>
    </row>
    <row r="927" spans="1:8" hidden="1">
      <c r="A927" s="967"/>
      <c r="B927" s="967"/>
      <c r="C927" s="1382" t="s">
        <v>45</v>
      </c>
      <c r="D927" s="967" t="s">
        <v>27</v>
      </c>
      <c r="E927" s="970">
        <v>0.2</v>
      </c>
      <c r="F927" s="970">
        <f>'MINI SSR 2020-21'!H$5</f>
        <v>460</v>
      </c>
      <c r="G927" s="969">
        <f>ROUND(E927*F927,2)</f>
        <v>92</v>
      </c>
      <c r="H927" s="964" t="s">
        <v>2299</v>
      </c>
    </row>
    <row r="928" spans="1:8" hidden="1">
      <c r="A928" s="967"/>
      <c r="B928" s="967"/>
      <c r="C928" s="1382"/>
      <c r="D928" s="967"/>
      <c r="E928" s="967"/>
      <c r="F928" s="967"/>
      <c r="G928" s="972">
        <f>SUM(G925:G927)</f>
        <v>3971.9300000000003</v>
      </c>
      <c r="H928" s="964" t="s">
        <v>2299</v>
      </c>
    </row>
    <row r="929" spans="1:8" ht="25.5" hidden="1">
      <c r="A929" s="967">
        <v>2</v>
      </c>
      <c r="B929" s="967" t="s">
        <v>51</v>
      </c>
      <c r="C929" s="962" t="s">
        <v>47</v>
      </c>
      <c r="D929" s="967"/>
      <c r="E929" s="967"/>
      <c r="F929" s="967"/>
      <c r="G929" s="967"/>
      <c r="H929" s="964" t="s">
        <v>2299</v>
      </c>
    </row>
    <row r="930" spans="1:8" hidden="1">
      <c r="A930" s="967"/>
      <c r="B930" s="967"/>
      <c r="C930" s="1382" t="s">
        <v>44</v>
      </c>
      <c r="D930" s="967" t="s">
        <v>4</v>
      </c>
      <c r="E930" s="970">
        <f>1440/4</f>
        <v>360</v>
      </c>
      <c r="F930" s="970">
        <f>'lead 20-21'!$L$8</f>
        <v>4700</v>
      </c>
      <c r="G930" s="969">
        <f>ROUND(E930*F930/1000,2)</f>
        <v>1692</v>
      </c>
      <c r="H930" s="964" t="s">
        <v>2299</v>
      </c>
    </row>
    <row r="931" spans="1:8" hidden="1">
      <c r="A931" s="967"/>
      <c r="B931" s="967"/>
      <c r="C931" s="1382" t="s">
        <v>110</v>
      </c>
      <c r="D931" s="967" t="s">
        <v>35</v>
      </c>
      <c r="E931" s="970">
        <v>1.05</v>
      </c>
      <c r="F931" s="970">
        <f>'lead 20-21'!$L$12</f>
        <v>1546.600000000001</v>
      </c>
      <c r="G931" s="969">
        <f>ROUND(E931*F931,2)</f>
        <v>1623.93</v>
      </c>
      <c r="H931" s="964" t="s">
        <v>2299</v>
      </c>
    </row>
    <row r="932" spans="1:8" hidden="1">
      <c r="A932" s="967"/>
      <c r="B932" s="967"/>
      <c r="C932" s="1382" t="s">
        <v>45</v>
      </c>
      <c r="D932" s="967" t="s">
        <v>27</v>
      </c>
      <c r="E932" s="970">
        <v>0.2</v>
      </c>
      <c r="F932" s="970">
        <f>'MINI SSR 2020-21'!H$5</f>
        <v>460</v>
      </c>
      <c r="G932" s="969">
        <f>ROUND(E932*F932,2)</f>
        <v>92</v>
      </c>
      <c r="H932" s="964" t="s">
        <v>2299</v>
      </c>
    </row>
    <row r="933" spans="1:8" hidden="1">
      <c r="A933" s="967"/>
      <c r="B933" s="967"/>
      <c r="C933" s="1382"/>
      <c r="D933" s="967"/>
      <c r="E933" s="967"/>
      <c r="F933" s="967"/>
      <c r="G933" s="972">
        <f>SUM(G930:G932)</f>
        <v>3407.9300000000003</v>
      </c>
      <c r="H933" s="964" t="s">
        <v>2299</v>
      </c>
    </row>
    <row r="934" spans="1:8" s="965" customFormat="1" ht="25.5" hidden="1">
      <c r="A934" s="967">
        <v>14</v>
      </c>
      <c r="B934" s="967" t="s">
        <v>52</v>
      </c>
      <c r="C934" s="962" t="s">
        <v>48</v>
      </c>
      <c r="D934" s="967"/>
      <c r="E934" s="967"/>
      <c r="F934" s="967"/>
      <c r="G934" s="967"/>
      <c r="H934" s="964" t="s">
        <v>2299</v>
      </c>
    </row>
    <row r="935" spans="1:8" s="965" customFormat="1" hidden="1">
      <c r="A935" s="967"/>
      <c r="B935" s="967"/>
      <c r="C935" s="1382" t="s">
        <v>44</v>
      </c>
      <c r="D935" s="967" t="s">
        <v>4</v>
      </c>
      <c r="E935" s="970">
        <f>1440/5</f>
        <v>288</v>
      </c>
      <c r="F935" s="970">
        <f>'lead 20-21'!$L$8</f>
        <v>4700</v>
      </c>
      <c r="G935" s="969">
        <f>ROUND(E935*F935/1000,2)</f>
        <v>1353.6</v>
      </c>
      <c r="H935" s="964" t="s">
        <v>2299</v>
      </c>
    </row>
    <row r="936" spans="1:8" s="965" customFormat="1" hidden="1">
      <c r="A936" s="967"/>
      <c r="B936" s="967"/>
      <c r="C936" s="1382" t="s">
        <v>110</v>
      </c>
      <c r="D936" s="967" t="s">
        <v>35</v>
      </c>
      <c r="E936" s="970">
        <v>1.05</v>
      </c>
      <c r="F936" s="970">
        <f>'lead 20-21'!$L$12</f>
        <v>1546.600000000001</v>
      </c>
      <c r="G936" s="969">
        <f>ROUND(E936*F936,2)</f>
        <v>1623.93</v>
      </c>
      <c r="H936" s="964" t="s">
        <v>2299</v>
      </c>
    </row>
    <row r="937" spans="1:8" s="965" customFormat="1" hidden="1">
      <c r="A937" s="967"/>
      <c r="B937" s="967"/>
      <c r="C937" s="1382" t="s">
        <v>45</v>
      </c>
      <c r="D937" s="967" t="s">
        <v>27</v>
      </c>
      <c r="E937" s="970">
        <v>0.2</v>
      </c>
      <c r="F937" s="970">
        <f>'MINI SSR 2020-21'!H$5</f>
        <v>460</v>
      </c>
      <c r="G937" s="969">
        <f>ROUND(E937*F937,2)</f>
        <v>92</v>
      </c>
      <c r="H937" s="964" t="s">
        <v>2299</v>
      </c>
    </row>
    <row r="938" spans="1:8" s="965" customFormat="1" hidden="1">
      <c r="A938" s="967"/>
      <c r="B938" s="967"/>
      <c r="C938" s="1382"/>
      <c r="D938" s="967"/>
      <c r="E938" s="967"/>
      <c r="F938" s="967"/>
      <c r="G938" s="972">
        <f>SUM(G935:G937)</f>
        <v>3069.5299999999997</v>
      </c>
      <c r="H938" s="964" t="s">
        <v>2299</v>
      </c>
    </row>
    <row r="939" spans="1:8" s="965" customFormat="1" ht="25.5" hidden="1">
      <c r="A939" s="967">
        <v>4</v>
      </c>
      <c r="B939" s="967" t="s">
        <v>53</v>
      </c>
      <c r="C939" s="962" t="s">
        <v>49</v>
      </c>
      <c r="D939" s="967"/>
      <c r="E939" s="967"/>
      <c r="F939" s="967"/>
      <c r="G939" s="967"/>
      <c r="H939" s="964" t="s">
        <v>2299</v>
      </c>
    </row>
    <row r="940" spans="1:8" s="965" customFormat="1" hidden="1">
      <c r="A940" s="967"/>
      <c r="B940" s="967"/>
      <c r="C940" s="1382" t="s">
        <v>44</v>
      </c>
      <c r="D940" s="967" t="s">
        <v>4</v>
      </c>
      <c r="E940" s="970">
        <f>1440/6</f>
        <v>240</v>
      </c>
      <c r="F940" s="970">
        <f>'lead 20-21'!$L$8</f>
        <v>4700</v>
      </c>
      <c r="G940" s="969">
        <f>ROUND(E940*F940/1000,2)</f>
        <v>1128</v>
      </c>
      <c r="H940" s="964" t="s">
        <v>2299</v>
      </c>
    </row>
    <row r="941" spans="1:8" s="965" customFormat="1" hidden="1">
      <c r="A941" s="967"/>
      <c r="B941" s="967"/>
      <c r="C941" s="1382" t="s">
        <v>111</v>
      </c>
      <c r="D941" s="967" t="s">
        <v>35</v>
      </c>
      <c r="E941" s="970">
        <v>1.05</v>
      </c>
      <c r="F941" s="970">
        <f>'lead 20-21'!$L$12</f>
        <v>1546.600000000001</v>
      </c>
      <c r="G941" s="969">
        <f>ROUND(E941*F941,2)</f>
        <v>1623.93</v>
      </c>
      <c r="H941" s="964" t="s">
        <v>2299</v>
      </c>
    </row>
    <row r="942" spans="1:8" s="965" customFormat="1" hidden="1">
      <c r="A942" s="967"/>
      <c r="B942" s="967"/>
      <c r="C942" s="1382" t="s">
        <v>45</v>
      </c>
      <c r="D942" s="967" t="s">
        <v>27</v>
      </c>
      <c r="E942" s="970">
        <v>0.2</v>
      </c>
      <c r="F942" s="970">
        <f>'MINI SSR 2020-21'!H$5</f>
        <v>460</v>
      </c>
      <c r="G942" s="969">
        <f>ROUND(E942*F942,2)</f>
        <v>92</v>
      </c>
      <c r="H942" s="964" t="s">
        <v>2299</v>
      </c>
    </row>
    <row r="943" spans="1:8" s="965" customFormat="1" hidden="1">
      <c r="A943" s="967"/>
      <c r="B943" s="967"/>
      <c r="C943" s="1382"/>
      <c r="D943" s="967"/>
      <c r="E943" s="967"/>
      <c r="F943" s="967"/>
      <c r="G943" s="972">
        <f>SUM(G940:G942)</f>
        <v>2843.9300000000003</v>
      </c>
      <c r="H943" s="964" t="s">
        <v>2299</v>
      </c>
    </row>
    <row r="944" spans="1:8" s="965" customFormat="1" ht="25.5" hidden="1">
      <c r="A944" s="967">
        <v>5</v>
      </c>
      <c r="B944" s="967" t="s">
        <v>54</v>
      </c>
      <c r="C944" s="962" t="s">
        <v>50</v>
      </c>
      <c r="D944" s="967"/>
      <c r="E944" s="967"/>
      <c r="F944" s="967"/>
      <c r="G944" s="967"/>
      <c r="H944" s="964" t="s">
        <v>2299</v>
      </c>
    </row>
    <row r="945" spans="1:8" s="965" customFormat="1" hidden="1">
      <c r="A945" s="967"/>
      <c r="B945" s="967"/>
      <c r="C945" s="1382" t="s">
        <v>44</v>
      </c>
      <c r="D945" s="967" t="s">
        <v>4</v>
      </c>
      <c r="E945" s="970">
        <f>1440/8</f>
        <v>180</v>
      </c>
      <c r="F945" s="970">
        <f>'lead 20-21'!$L$8</f>
        <v>4700</v>
      </c>
      <c r="G945" s="969">
        <f>ROUND(E945*F945/1000,2)</f>
        <v>846</v>
      </c>
      <c r="H945" s="964" t="s">
        <v>2299</v>
      </c>
    </row>
    <row r="946" spans="1:8" s="965" customFormat="1" hidden="1">
      <c r="A946" s="967"/>
      <c r="B946" s="967"/>
      <c r="C946" s="1382" t="s">
        <v>111</v>
      </c>
      <c r="D946" s="967" t="s">
        <v>35</v>
      </c>
      <c r="E946" s="970">
        <v>1.05</v>
      </c>
      <c r="F946" s="970">
        <f>'lead 20-21'!$L$12</f>
        <v>1546.600000000001</v>
      </c>
      <c r="G946" s="969">
        <f>ROUND(E946*F946,2)</f>
        <v>1623.93</v>
      </c>
      <c r="H946" s="964" t="s">
        <v>2299</v>
      </c>
    </row>
    <row r="947" spans="1:8" s="965" customFormat="1" hidden="1">
      <c r="A947" s="967"/>
      <c r="B947" s="967"/>
      <c r="C947" s="1382" t="s">
        <v>45</v>
      </c>
      <c r="D947" s="967" t="s">
        <v>27</v>
      </c>
      <c r="E947" s="970">
        <v>0.2</v>
      </c>
      <c r="F947" s="970">
        <f>'MINI SSR 2020-21'!H$5</f>
        <v>460</v>
      </c>
      <c r="G947" s="969">
        <f>ROUND(E947*F947,2)</f>
        <v>92</v>
      </c>
      <c r="H947" s="964" t="s">
        <v>2299</v>
      </c>
    </row>
    <row r="948" spans="1:8" s="965" customFormat="1" hidden="1">
      <c r="A948" s="967"/>
      <c r="B948" s="967"/>
      <c r="C948" s="1382"/>
      <c r="D948" s="967"/>
      <c r="E948" s="967"/>
      <c r="F948" s="967"/>
      <c r="G948" s="972">
        <f>SUM(G945:G947)</f>
        <v>2561.9300000000003</v>
      </c>
      <c r="H948" s="964" t="s">
        <v>2299</v>
      </c>
    </row>
    <row r="949" spans="1:8" s="965" customFormat="1" ht="25.5" hidden="1">
      <c r="A949" s="967">
        <v>12</v>
      </c>
      <c r="B949" s="967"/>
      <c r="C949" s="1382" t="s">
        <v>827</v>
      </c>
      <c r="D949" s="967"/>
      <c r="E949" s="967"/>
      <c r="F949" s="967"/>
      <c r="G949" s="967"/>
      <c r="H949" s="964" t="s">
        <v>2299</v>
      </c>
    </row>
    <row r="950" spans="1:8" s="965" customFormat="1" hidden="1">
      <c r="A950" s="967"/>
      <c r="B950" s="967"/>
      <c r="C950" s="1382" t="s">
        <v>822</v>
      </c>
      <c r="D950" s="990">
        <v>0.6</v>
      </c>
      <c r="E950" s="990">
        <f>'lead 20-21'!L17</f>
        <v>1966.7999999999997</v>
      </c>
      <c r="F950" s="990">
        <f>ROUND(D950*E950,2)</f>
        <v>1180.08</v>
      </c>
      <c r="G950" s="967"/>
      <c r="H950" s="964" t="s">
        <v>2299</v>
      </c>
    </row>
    <row r="951" spans="1:8" s="965" customFormat="1" hidden="1">
      <c r="A951" s="967"/>
      <c r="B951" s="967"/>
      <c r="C951" s="1382" t="s">
        <v>823</v>
      </c>
      <c r="D951" s="990">
        <v>0.15</v>
      </c>
      <c r="E951" s="990">
        <f>'lead 20-21'!L18</f>
        <v>1696.7999999999997</v>
      </c>
      <c r="F951" s="990">
        <f>ROUND(D951*E951,2)</f>
        <v>254.52</v>
      </c>
      <c r="G951" s="967"/>
      <c r="H951" s="964" t="s">
        <v>2299</v>
      </c>
    </row>
    <row r="952" spans="1:8" s="965" customFormat="1" hidden="1">
      <c r="A952" s="967"/>
      <c r="B952" s="967"/>
      <c r="C952" s="1382" t="s">
        <v>824</v>
      </c>
      <c r="D952" s="990">
        <v>0.15</v>
      </c>
      <c r="E952" s="990">
        <f>'lead 20-21'!L19</f>
        <v>1531.7999999999997</v>
      </c>
      <c r="F952" s="990">
        <f>ROUND(D952*E952,2)</f>
        <v>229.77</v>
      </c>
      <c r="G952" s="967"/>
      <c r="H952" s="964" t="s">
        <v>2299</v>
      </c>
    </row>
    <row r="953" spans="1:8" s="965" customFormat="1" hidden="1">
      <c r="A953" s="967"/>
      <c r="B953" s="967"/>
      <c r="C953" s="1382" t="s">
        <v>825</v>
      </c>
      <c r="D953" s="990">
        <v>0.1</v>
      </c>
      <c r="E953" s="990">
        <f>'lead 20-21'!L20</f>
        <v>1346.7999999999997</v>
      </c>
      <c r="F953" s="990">
        <f>ROUND(D953*E953,2)</f>
        <v>134.68</v>
      </c>
      <c r="G953" s="967"/>
      <c r="H953" s="964" t="s">
        <v>2299</v>
      </c>
    </row>
    <row r="954" spans="1:8" s="965" customFormat="1" hidden="1">
      <c r="A954" s="967"/>
      <c r="B954" s="967"/>
      <c r="C954" s="962" t="s">
        <v>826</v>
      </c>
      <c r="D954" s="967"/>
      <c r="E954" s="967"/>
      <c r="F954" s="974">
        <f>SUM(F950:F953)</f>
        <v>1799.05</v>
      </c>
      <c r="G954" s="967"/>
      <c r="H954" s="964" t="s">
        <v>2299</v>
      </c>
    </row>
    <row r="955" spans="1:8" s="965" customFormat="1" hidden="1">
      <c r="A955" s="967"/>
      <c r="B955" s="967"/>
      <c r="C955" s="1382"/>
      <c r="D955" s="967"/>
      <c r="E955" s="967"/>
      <c r="F955" s="967"/>
      <c r="G955" s="967"/>
      <c r="H955" s="964" t="s">
        <v>2299</v>
      </c>
    </row>
    <row r="956" spans="1:8" s="965" customFormat="1" ht="25.5" hidden="1">
      <c r="A956" s="896">
        <v>6</v>
      </c>
      <c r="B956" s="966"/>
      <c r="C956" s="1382" t="s">
        <v>294</v>
      </c>
      <c r="D956" s="967"/>
      <c r="E956" s="967"/>
      <c r="F956" s="967"/>
      <c r="G956" s="902"/>
      <c r="H956" s="964" t="s">
        <v>2299</v>
      </c>
    </row>
    <row r="957" spans="1:8" s="965" customFormat="1" hidden="1">
      <c r="A957" s="896"/>
      <c r="B957" s="966"/>
      <c r="C957" s="1382" t="s">
        <v>31</v>
      </c>
      <c r="D957" s="967"/>
      <c r="E957" s="967"/>
      <c r="F957" s="967"/>
      <c r="G957" s="902"/>
      <c r="H957" s="964" t="s">
        <v>2299</v>
      </c>
    </row>
    <row r="958" spans="1:8" s="965" customFormat="1" hidden="1">
      <c r="A958" s="896"/>
      <c r="B958" s="967"/>
      <c r="C958" s="1382" t="s">
        <v>1322</v>
      </c>
      <c r="D958" s="967"/>
      <c r="E958" s="967"/>
      <c r="F958" s="967"/>
      <c r="G958" s="902"/>
      <c r="H958" s="964" t="s">
        <v>2299</v>
      </c>
    </row>
    <row r="959" spans="1:8" s="965" customFormat="1" hidden="1">
      <c r="A959" s="896"/>
      <c r="B959" s="968"/>
      <c r="C959" s="1382" t="s">
        <v>122</v>
      </c>
      <c r="D959" s="967"/>
      <c r="E959" s="967"/>
      <c r="F959" s="967"/>
      <c r="G959" s="969">
        <f>'MINI SSR 2020-21'!H25</f>
        <v>5.86</v>
      </c>
      <c r="H959" s="964" t="s">
        <v>2299</v>
      </c>
    </row>
    <row r="960" spans="1:8" s="965" customFormat="1" hidden="1">
      <c r="A960" s="902"/>
      <c r="B960" s="902"/>
      <c r="C960" s="962" t="s">
        <v>119</v>
      </c>
      <c r="D960" s="896"/>
      <c r="E960" s="896"/>
      <c r="F960" s="896"/>
      <c r="G960" s="963">
        <f>SUM(G959)</f>
        <v>5.86</v>
      </c>
      <c r="H960" s="964" t="s">
        <v>2299</v>
      </c>
    </row>
    <row r="961" spans="1:8" s="965" customFormat="1" ht="63.75" hidden="1">
      <c r="A961" s="896">
        <v>13</v>
      </c>
      <c r="B961" s="966"/>
      <c r="C961" s="1382" t="s">
        <v>1277</v>
      </c>
      <c r="D961" s="967"/>
      <c r="E961" s="967"/>
      <c r="F961" s="967"/>
      <c r="G961" s="902"/>
      <c r="H961" s="964" t="s">
        <v>2299</v>
      </c>
    </row>
    <row r="962" spans="1:8" s="965" customFormat="1" hidden="1">
      <c r="A962" s="896"/>
      <c r="B962" s="966"/>
      <c r="C962" s="1382" t="s">
        <v>31</v>
      </c>
      <c r="D962" s="967"/>
      <c r="E962" s="967"/>
      <c r="F962" s="967"/>
      <c r="G962" s="902"/>
      <c r="H962" s="964" t="s">
        <v>2299</v>
      </c>
    </row>
    <row r="963" spans="1:8" s="965" customFormat="1" hidden="1">
      <c r="A963" s="896"/>
      <c r="B963" s="967"/>
      <c r="C963" s="1382" t="s">
        <v>1322</v>
      </c>
      <c r="D963" s="967"/>
      <c r="E963" s="967"/>
      <c r="F963" s="967"/>
      <c r="G963" s="902"/>
      <c r="H963" s="964" t="s">
        <v>2299</v>
      </c>
    </row>
    <row r="964" spans="1:8" s="965" customFormat="1" hidden="1">
      <c r="A964" s="896"/>
      <c r="B964" s="968"/>
      <c r="C964" s="1382" t="s">
        <v>122</v>
      </c>
      <c r="D964" s="967"/>
      <c r="E964" s="967"/>
      <c r="F964" s="967"/>
      <c r="G964" s="969">
        <f>'MINI SSR 2020-21'!H26</f>
        <v>139.55000000000001</v>
      </c>
      <c r="H964" s="964" t="s">
        <v>2299</v>
      </c>
    </row>
    <row r="965" spans="1:8" s="965" customFormat="1" hidden="1">
      <c r="A965" s="902"/>
      <c r="B965" s="902"/>
      <c r="C965" s="962" t="s">
        <v>119</v>
      </c>
      <c r="D965" s="896"/>
      <c r="E965" s="896"/>
      <c r="F965" s="896"/>
      <c r="G965" s="963">
        <f>SUM(G964)</f>
        <v>139.55000000000001</v>
      </c>
      <c r="H965" s="964" t="s">
        <v>2299</v>
      </c>
    </row>
    <row r="966" spans="1:8" s="965" customFormat="1" ht="89.25" hidden="1">
      <c r="A966" s="896">
        <v>5</v>
      </c>
      <c r="B966" s="966" t="s">
        <v>1325</v>
      </c>
      <c r="C966" s="1382" t="s">
        <v>55</v>
      </c>
      <c r="D966" s="967"/>
      <c r="E966" s="967"/>
      <c r="F966" s="967"/>
      <c r="G966" s="966"/>
      <c r="H966" s="964" t="s">
        <v>2299</v>
      </c>
    </row>
    <row r="967" spans="1:8" s="965" customFormat="1" hidden="1">
      <c r="A967" s="896"/>
      <c r="B967" s="967"/>
      <c r="C967" s="962" t="s">
        <v>31</v>
      </c>
      <c r="D967" s="967"/>
      <c r="E967" s="967"/>
      <c r="F967" s="967"/>
      <c r="G967" s="902"/>
      <c r="H967" s="964" t="s">
        <v>2299</v>
      </c>
    </row>
    <row r="968" spans="1:8" s="965" customFormat="1" hidden="1">
      <c r="A968" s="896"/>
      <c r="B968" s="967"/>
      <c r="C968" s="962" t="s">
        <v>2405</v>
      </c>
      <c r="D968" s="967"/>
      <c r="E968" s="967"/>
      <c r="F968" s="967"/>
      <c r="G968" s="902"/>
      <c r="H968" s="964" t="s">
        <v>2299</v>
      </c>
    </row>
    <row r="969" spans="1:8" s="965" customFormat="1" hidden="1">
      <c r="A969" s="896"/>
      <c r="B969" s="968" t="s">
        <v>18</v>
      </c>
      <c r="C969" s="962" t="s">
        <v>26</v>
      </c>
      <c r="D969" s="967"/>
      <c r="E969" s="967"/>
      <c r="F969" s="967"/>
      <c r="G969" s="902"/>
      <c r="H969" s="964" t="s">
        <v>2299</v>
      </c>
    </row>
    <row r="970" spans="1:8" s="965" customFormat="1" hidden="1">
      <c r="A970" s="902"/>
      <c r="B970" s="902"/>
      <c r="C970" s="1382" t="s">
        <v>118</v>
      </c>
      <c r="D970" s="896" t="s">
        <v>27</v>
      </c>
      <c r="E970" s="922">
        <v>0.31</v>
      </c>
      <c r="F970" s="970">
        <f>'MINI SSR 2020-21'!H$5</f>
        <v>460</v>
      </c>
      <c r="G970" s="969">
        <f>ROUND(E970*F970,2)</f>
        <v>142.6</v>
      </c>
      <c r="H970" s="964" t="s">
        <v>2299</v>
      </c>
    </row>
    <row r="971" spans="1:8" s="965" customFormat="1" hidden="1">
      <c r="A971" s="902"/>
      <c r="B971" s="968" t="s">
        <v>20</v>
      </c>
      <c r="C971" s="962" t="s">
        <v>22</v>
      </c>
      <c r="D971" s="896"/>
      <c r="E971" s="896"/>
      <c r="F971" s="896"/>
      <c r="G971" s="902"/>
      <c r="H971" s="964" t="s">
        <v>2299</v>
      </c>
    </row>
    <row r="972" spans="1:8" s="965" customFormat="1" hidden="1">
      <c r="A972" s="902"/>
      <c r="B972" s="902"/>
      <c r="C972" s="1382" t="s">
        <v>32</v>
      </c>
      <c r="D972" s="896" t="s">
        <v>5</v>
      </c>
      <c r="E972" s="922">
        <v>6</v>
      </c>
      <c r="F972" s="922">
        <f>'lead 20-21'!L14</f>
        <v>1316.600000000001</v>
      </c>
      <c r="G972" s="969">
        <f>ROUND(E972*F972,2)</f>
        <v>7899.6</v>
      </c>
      <c r="H972" s="964" t="s">
        <v>2299</v>
      </c>
    </row>
    <row r="973" spans="1:8" s="965" customFormat="1" hidden="1">
      <c r="A973" s="902"/>
      <c r="B973" s="902"/>
      <c r="C973" s="962" t="s">
        <v>2406</v>
      </c>
      <c r="D973" s="896"/>
      <c r="E973" s="922"/>
      <c r="F973" s="922"/>
      <c r="G973" s="969">
        <f>SUM(G970:G972)</f>
        <v>8042.2000000000007</v>
      </c>
      <c r="H973" s="964" t="s">
        <v>2299</v>
      </c>
    </row>
    <row r="974" spans="1:8" s="965" customFormat="1" hidden="1">
      <c r="A974" s="902"/>
      <c r="B974" s="902"/>
      <c r="C974" s="962" t="s">
        <v>28</v>
      </c>
      <c r="D974" s="896"/>
      <c r="E974" s="896"/>
      <c r="F974" s="896"/>
      <c r="G974" s="963">
        <f>ROUND(G973/6,2)</f>
        <v>1340.37</v>
      </c>
      <c r="H974" s="964" t="s">
        <v>2299</v>
      </c>
    </row>
    <row r="975" spans="1:8" s="965" customFormat="1" ht="102" hidden="1">
      <c r="A975" s="896">
        <v>14</v>
      </c>
      <c r="B975" s="966" t="s">
        <v>1324</v>
      </c>
      <c r="C975" s="1382" t="s">
        <v>1189</v>
      </c>
      <c r="D975" s="967"/>
      <c r="E975" s="967"/>
      <c r="F975" s="967"/>
      <c r="G975" s="966"/>
      <c r="H975" s="964" t="s">
        <v>2299</v>
      </c>
    </row>
    <row r="976" spans="1:8" s="965" customFormat="1" hidden="1">
      <c r="A976" s="896"/>
      <c r="B976" s="967"/>
      <c r="C976" s="962" t="s">
        <v>2405</v>
      </c>
      <c r="D976" s="967"/>
      <c r="E976" s="967"/>
      <c r="F976" s="967"/>
      <c r="G976" s="902"/>
      <c r="H976" s="964" t="s">
        <v>2299</v>
      </c>
    </row>
    <row r="977" spans="1:8" s="965" customFormat="1" hidden="1">
      <c r="A977" s="896"/>
      <c r="B977" s="968" t="s">
        <v>18</v>
      </c>
      <c r="C977" s="962" t="s">
        <v>26</v>
      </c>
      <c r="D977" s="967"/>
      <c r="E977" s="967"/>
      <c r="F977" s="967"/>
      <c r="G977" s="902"/>
      <c r="H977" s="964" t="s">
        <v>2299</v>
      </c>
    </row>
    <row r="978" spans="1:8" s="965" customFormat="1" hidden="1">
      <c r="A978" s="902"/>
      <c r="B978" s="902"/>
      <c r="C978" s="1382" t="s">
        <v>118</v>
      </c>
      <c r="D978" s="896" t="s">
        <v>27</v>
      </c>
      <c r="E978" s="922">
        <v>0.31</v>
      </c>
      <c r="F978" s="970">
        <f>'MINI SSR 2020-21'!H$5</f>
        <v>460</v>
      </c>
      <c r="G978" s="969">
        <f>ROUND(E978*F978,2)</f>
        <v>142.6</v>
      </c>
      <c r="H978" s="964" t="s">
        <v>2299</v>
      </c>
    </row>
    <row r="979" spans="1:8" s="965" customFormat="1" hidden="1">
      <c r="A979" s="902"/>
      <c r="B979" s="968" t="s">
        <v>20</v>
      </c>
      <c r="C979" s="962" t="s">
        <v>22</v>
      </c>
      <c r="D979" s="896"/>
      <c r="E979" s="896"/>
      <c r="F979" s="896"/>
      <c r="G979" s="902"/>
      <c r="H979" s="964" t="s">
        <v>2299</v>
      </c>
    </row>
    <row r="980" spans="1:8" s="965" customFormat="1" hidden="1">
      <c r="A980" s="902"/>
      <c r="B980" s="902"/>
      <c r="C980" s="1382" t="s">
        <v>2408</v>
      </c>
      <c r="D980" s="896" t="s">
        <v>5</v>
      </c>
      <c r="E980" s="922">
        <v>6</v>
      </c>
      <c r="F980" s="922">
        <f>'lead 20-21'!L24</f>
        <v>182.1</v>
      </c>
      <c r="G980" s="969">
        <f>ROUND(E980*F980,2)</f>
        <v>1092.5999999999999</v>
      </c>
      <c r="H980" s="964" t="s">
        <v>2299</v>
      </c>
    </row>
    <row r="981" spans="1:8" s="965" customFormat="1" hidden="1">
      <c r="A981" s="902"/>
      <c r="B981" s="902"/>
      <c r="C981" s="962" t="s">
        <v>2406</v>
      </c>
      <c r="D981" s="896"/>
      <c r="E981" s="922"/>
      <c r="F981" s="922"/>
      <c r="G981" s="969">
        <f>SUM(G978:G980)</f>
        <v>1235.1999999999998</v>
      </c>
      <c r="H981" s="964" t="s">
        <v>2299</v>
      </c>
    </row>
    <row r="982" spans="1:8" s="965" customFormat="1" hidden="1">
      <c r="A982" s="902"/>
      <c r="B982" s="902"/>
      <c r="C982" s="962" t="s">
        <v>28</v>
      </c>
      <c r="D982" s="896"/>
      <c r="E982" s="896"/>
      <c r="F982" s="896"/>
      <c r="G982" s="963">
        <f>ROUND(G981/6,2)</f>
        <v>205.87</v>
      </c>
      <c r="H982" s="964" t="s">
        <v>2299</v>
      </c>
    </row>
    <row r="983" spans="1:8" s="965" customFormat="1" ht="89.25" hidden="1">
      <c r="A983" s="896">
        <v>10</v>
      </c>
      <c r="B983" s="966" t="s">
        <v>1324</v>
      </c>
      <c r="C983" s="1382" t="s">
        <v>662</v>
      </c>
      <c r="D983" s="967"/>
      <c r="E983" s="967"/>
      <c r="F983" s="967"/>
      <c r="G983" s="966"/>
      <c r="H983" s="964" t="s">
        <v>2299</v>
      </c>
    </row>
    <row r="984" spans="1:8" s="965" customFormat="1" hidden="1">
      <c r="A984" s="896"/>
      <c r="B984" s="967"/>
      <c r="C984" s="962" t="s">
        <v>2405</v>
      </c>
      <c r="D984" s="967"/>
      <c r="E984" s="967"/>
      <c r="F984" s="967"/>
      <c r="G984" s="902"/>
      <c r="H984" s="964" t="s">
        <v>2299</v>
      </c>
    </row>
    <row r="985" spans="1:8" s="965" customFormat="1" hidden="1">
      <c r="A985" s="896"/>
      <c r="B985" s="968" t="s">
        <v>18</v>
      </c>
      <c r="C985" s="962" t="s">
        <v>26</v>
      </c>
      <c r="D985" s="967"/>
      <c r="E985" s="967"/>
      <c r="F985" s="967"/>
      <c r="G985" s="902"/>
      <c r="H985" s="964" t="s">
        <v>2299</v>
      </c>
    </row>
    <row r="986" spans="1:8" s="965" customFormat="1" hidden="1">
      <c r="A986" s="902"/>
      <c r="B986" s="902"/>
      <c r="C986" s="1382" t="s">
        <v>118</v>
      </c>
      <c r="D986" s="896" t="s">
        <v>27</v>
      </c>
      <c r="E986" s="922">
        <v>0.31</v>
      </c>
      <c r="F986" s="970">
        <f>'MINI SSR 2020-21'!H$5</f>
        <v>460</v>
      </c>
      <c r="G986" s="969">
        <f>ROUND(E986*F986,2)</f>
        <v>142.6</v>
      </c>
      <c r="H986" s="964" t="s">
        <v>2299</v>
      </c>
    </row>
    <row r="987" spans="1:8" s="965" customFormat="1" hidden="1">
      <c r="A987" s="902"/>
      <c r="B987" s="968" t="s">
        <v>20</v>
      </c>
      <c r="C987" s="962" t="s">
        <v>22</v>
      </c>
      <c r="D987" s="896"/>
      <c r="E987" s="896"/>
      <c r="F987" s="896"/>
      <c r="G987" s="902"/>
      <c r="H987" s="964" t="s">
        <v>2299</v>
      </c>
    </row>
    <row r="988" spans="1:8" s="965" customFormat="1" hidden="1">
      <c r="A988" s="902"/>
      <c r="B988" s="902"/>
      <c r="C988" s="1382" t="s">
        <v>663</v>
      </c>
      <c r="D988" s="896" t="s">
        <v>5</v>
      </c>
      <c r="E988" s="922">
        <v>6</v>
      </c>
      <c r="F988" s="922">
        <f>'lead 20-21'!L25</f>
        <v>211.1</v>
      </c>
      <c r="G988" s="969">
        <f>ROUND(E988*F988,2)</f>
        <v>1266.5999999999999</v>
      </c>
      <c r="H988" s="964" t="s">
        <v>2299</v>
      </c>
    </row>
    <row r="989" spans="1:8" s="965" customFormat="1" hidden="1">
      <c r="A989" s="902"/>
      <c r="B989" s="902"/>
      <c r="C989" s="962" t="s">
        <v>2406</v>
      </c>
      <c r="D989" s="896"/>
      <c r="E989" s="922"/>
      <c r="F989" s="922"/>
      <c r="G989" s="969">
        <f>SUM(G986:G988)</f>
        <v>1409.1999999999998</v>
      </c>
      <c r="H989" s="964" t="s">
        <v>2299</v>
      </c>
    </row>
    <row r="990" spans="1:8" s="965" customFormat="1" hidden="1">
      <c r="A990" s="902"/>
      <c r="B990" s="902"/>
      <c r="C990" s="962" t="s">
        <v>28</v>
      </c>
      <c r="D990" s="896"/>
      <c r="E990" s="896"/>
      <c r="F990" s="896"/>
      <c r="G990" s="963">
        <f>ROUND(G989/6,2)</f>
        <v>234.87</v>
      </c>
      <c r="H990" s="964" t="s">
        <v>2299</v>
      </c>
    </row>
    <row r="991" spans="1:8" s="965" customFormat="1" ht="63.75" hidden="1">
      <c r="A991" s="896">
        <v>5</v>
      </c>
      <c r="B991" s="966" t="s">
        <v>1323</v>
      </c>
      <c r="C991" s="1382" t="s">
        <v>282</v>
      </c>
      <c r="D991" s="967"/>
      <c r="E991" s="967"/>
      <c r="F991" s="967"/>
      <c r="G991" s="966"/>
      <c r="H991" s="964" t="s">
        <v>2299</v>
      </c>
    </row>
    <row r="992" spans="1:8" s="965" customFormat="1" hidden="1">
      <c r="A992" s="967"/>
      <c r="B992" s="967"/>
      <c r="C992" s="1382" t="s">
        <v>312</v>
      </c>
      <c r="D992" s="967"/>
      <c r="E992" s="970"/>
      <c r="F992" s="970"/>
      <c r="G992" s="969"/>
      <c r="H992" s="964" t="s">
        <v>2299</v>
      </c>
    </row>
    <row r="993" spans="1:8" s="965" customFormat="1" hidden="1">
      <c r="A993" s="967"/>
      <c r="B993" s="967"/>
      <c r="C993" s="1382" t="s">
        <v>311</v>
      </c>
      <c r="D993" s="967" t="s">
        <v>27</v>
      </c>
      <c r="E993" s="970">
        <v>3.12</v>
      </c>
      <c r="F993" s="970">
        <f>'MINI SSR 2020-21'!H$5</f>
        <v>460</v>
      </c>
      <c r="G993" s="969">
        <f>ROUND(E993*F993,2)</f>
        <v>1435.2</v>
      </c>
      <c r="H993" s="964" t="s">
        <v>2299</v>
      </c>
    </row>
    <row r="994" spans="1:8" s="965" customFormat="1" hidden="1">
      <c r="A994" s="967"/>
      <c r="B994" s="967"/>
      <c r="C994" s="1382" t="s">
        <v>57</v>
      </c>
      <c r="D994" s="967" t="s">
        <v>59</v>
      </c>
      <c r="E994" s="970">
        <v>0.72</v>
      </c>
      <c r="F994" s="922">
        <f>'MINI SSR 2020-21'!$C$29</f>
        <v>83</v>
      </c>
      <c r="G994" s="969">
        <f>ROUND(E994*F994,2)</f>
        <v>59.76</v>
      </c>
      <c r="H994" s="964" t="s">
        <v>2299</v>
      </c>
    </row>
    <row r="995" spans="1:8" s="965" customFormat="1" hidden="1">
      <c r="A995" s="967"/>
      <c r="B995" s="967"/>
      <c r="C995" s="1382" t="s">
        <v>313</v>
      </c>
      <c r="D995" s="967"/>
      <c r="E995" s="970"/>
      <c r="F995" s="970"/>
      <c r="G995" s="969">
        <f>SUM(G993:G994)</f>
        <v>1494.96</v>
      </c>
      <c r="H995" s="964" t="s">
        <v>2299</v>
      </c>
    </row>
    <row r="996" spans="1:8" s="965" customFormat="1" hidden="1">
      <c r="A996" s="967"/>
      <c r="B996" s="967"/>
      <c r="C996" s="1382" t="s">
        <v>313</v>
      </c>
      <c r="D996" s="967"/>
      <c r="E996" s="967"/>
      <c r="F996" s="967"/>
      <c r="G996" s="971">
        <f>ROUND(G995/6,2)</f>
        <v>249.16</v>
      </c>
      <c r="H996" s="964" t="s">
        <v>2299</v>
      </c>
    </row>
    <row r="997" spans="1:8" s="965" customFormat="1" ht="89.25" hidden="1">
      <c r="A997" s="896">
        <v>15</v>
      </c>
      <c r="B997" s="966" t="s">
        <v>158</v>
      </c>
      <c r="C997" s="1382" t="s">
        <v>159</v>
      </c>
      <c r="D997" s="967"/>
      <c r="E997" s="967"/>
      <c r="F997" s="967"/>
      <c r="G997" s="966"/>
      <c r="H997" s="964" t="s">
        <v>2299</v>
      </c>
    </row>
    <row r="998" spans="1:8" s="965" customFormat="1" hidden="1">
      <c r="A998" s="896"/>
      <c r="B998" s="966"/>
      <c r="C998" s="962" t="s">
        <v>60</v>
      </c>
      <c r="D998" s="967"/>
      <c r="E998" s="967"/>
      <c r="F998" s="967"/>
      <c r="G998" s="972"/>
      <c r="H998" s="964" t="s">
        <v>2299</v>
      </c>
    </row>
    <row r="999" spans="1:8" s="965" customFormat="1" hidden="1">
      <c r="A999" s="967"/>
      <c r="B999" s="967"/>
      <c r="C999" s="1382" t="s">
        <v>44</v>
      </c>
      <c r="D999" s="967" t="s">
        <v>4</v>
      </c>
      <c r="E999" s="970">
        <v>162</v>
      </c>
      <c r="F999" s="970">
        <f>'lead 20-21'!L8</f>
        <v>4700</v>
      </c>
      <c r="G999" s="969">
        <f>ROUND(E999*F999/1000,2)</f>
        <v>761.4</v>
      </c>
      <c r="H999" s="964" t="s">
        <v>2299</v>
      </c>
    </row>
    <row r="1000" spans="1:8" s="965" customFormat="1" hidden="1">
      <c r="A1000" s="967"/>
      <c r="B1000" s="967"/>
      <c r="C1000" s="1382" t="s">
        <v>56</v>
      </c>
      <c r="D1000" s="967" t="s">
        <v>35</v>
      </c>
      <c r="E1000" s="970">
        <v>0.9</v>
      </c>
      <c r="F1000" s="970">
        <f>'lead 20-21'!L16</f>
        <v>1436.7999999999997</v>
      </c>
      <c r="G1000" s="969">
        <f>ROUND(E1000*F1000,2)</f>
        <v>1293.1199999999999</v>
      </c>
      <c r="H1000" s="964" t="s">
        <v>2299</v>
      </c>
    </row>
    <row r="1001" spans="1:8" s="965" customFormat="1" hidden="1">
      <c r="A1001" s="967"/>
      <c r="B1001" s="967"/>
      <c r="C1001" s="1382" t="s">
        <v>112</v>
      </c>
      <c r="D1001" s="967" t="s">
        <v>35</v>
      </c>
      <c r="E1001" s="970">
        <v>0.45</v>
      </c>
      <c r="F1001" s="970">
        <f>'lead 20-21'!L13</f>
        <v>1451.600000000001</v>
      </c>
      <c r="G1001" s="969">
        <f>ROUND(E1001*F1001,2)</f>
        <v>653.22</v>
      </c>
      <c r="H1001" s="964" t="s">
        <v>2299</v>
      </c>
    </row>
    <row r="1002" spans="1:8" s="965" customFormat="1" hidden="1">
      <c r="A1002" s="967"/>
      <c r="B1002" s="967"/>
      <c r="C1002" s="1382" t="s">
        <v>57</v>
      </c>
      <c r="D1002" s="967" t="s">
        <v>58</v>
      </c>
      <c r="E1002" s="970">
        <v>1.2</v>
      </c>
      <c r="F1002" s="922">
        <f>'MINI SSR 2020-21'!$C$29</f>
        <v>83</v>
      </c>
      <c r="G1002" s="969">
        <f>ROUND(E1002*F1002,2)</f>
        <v>99.6</v>
      </c>
      <c r="H1002" s="964" t="s">
        <v>2299</v>
      </c>
    </row>
    <row r="1003" spans="1:8" s="965" customFormat="1" hidden="1">
      <c r="A1003" s="967"/>
      <c r="B1003" s="967"/>
      <c r="C1003" s="962" t="s">
        <v>61</v>
      </c>
      <c r="D1003" s="967"/>
      <c r="E1003" s="970"/>
      <c r="F1003" s="970"/>
      <c r="G1003" s="969"/>
      <c r="H1003" s="964" t="s">
        <v>2299</v>
      </c>
    </row>
    <row r="1004" spans="1:8" s="965" customFormat="1" hidden="1">
      <c r="A1004" s="967"/>
      <c r="B1004" s="967"/>
      <c r="C1004" s="1382" t="s">
        <v>62</v>
      </c>
      <c r="D1004" s="967" t="s">
        <v>21</v>
      </c>
      <c r="E1004" s="970">
        <v>1</v>
      </c>
      <c r="F1004" s="970">
        <f>'MINI SSR 2020-21'!$C$30</f>
        <v>566.1</v>
      </c>
      <c r="G1004" s="969">
        <f>ROUND(E1004*F1004,2)</f>
        <v>566.1</v>
      </c>
      <c r="H1004" s="964" t="s">
        <v>2299</v>
      </c>
    </row>
    <row r="1005" spans="1:8" s="965" customFormat="1" hidden="1">
      <c r="A1005" s="967"/>
      <c r="B1005" s="967"/>
      <c r="C1005" s="962" t="s">
        <v>63</v>
      </c>
      <c r="D1005" s="967"/>
      <c r="E1005" s="970"/>
      <c r="F1005" s="970"/>
      <c r="G1005" s="969"/>
      <c r="H1005" s="964" t="s">
        <v>2299</v>
      </c>
    </row>
    <row r="1006" spans="1:8" s="965" customFormat="1" hidden="1">
      <c r="A1006" s="967"/>
      <c r="B1006" s="967"/>
      <c r="C1006" s="1382" t="s">
        <v>64</v>
      </c>
      <c r="D1006" s="967" t="s">
        <v>27</v>
      </c>
      <c r="E1006" s="970">
        <v>0.1</v>
      </c>
      <c r="F1006" s="970">
        <f>'MINI SSR 2020-21'!$H$3</f>
        <v>550</v>
      </c>
      <c r="G1006" s="969">
        <f>ROUND(E1006*F1006,2)</f>
        <v>55</v>
      </c>
      <c r="H1006" s="964" t="s">
        <v>2299</v>
      </c>
    </row>
    <row r="1007" spans="1:8" s="965" customFormat="1" hidden="1">
      <c r="A1007" s="967"/>
      <c r="B1007" s="967"/>
      <c r="C1007" s="1382" t="s">
        <v>19</v>
      </c>
      <c r="D1007" s="967" t="s">
        <v>27</v>
      </c>
      <c r="E1007" s="970">
        <v>1.39</v>
      </c>
      <c r="F1007" s="970">
        <f>'MINI SSR 2020-21'!H$5</f>
        <v>460</v>
      </c>
      <c r="G1007" s="969">
        <f>ROUND(E1007*F1007,2)</f>
        <v>639.4</v>
      </c>
      <c r="H1007" s="964" t="s">
        <v>2299</v>
      </c>
    </row>
    <row r="1008" spans="1:8" s="965" customFormat="1" hidden="1">
      <c r="A1008" s="967"/>
      <c r="B1008" s="967"/>
      <c r="C1008" s="1382"/>
      <c r="D1008" s="967"/>
      <c r="E1008" s="967"/>
      <c r="F1008" s="967"/>
      <c r="G1008" s="971">
        <f>SUM(G999:G1007)</f>
        <v>4067.8399999999997</v>
      </c>
      <c r="H1008" s="964" t="s">
        <v>2299</v>
      </c>
    </row>
    <row r="1009" spans="1:8" s="965" customFormat="1" ht="89.25" hidden="1">
      <c r="A1009" s="896">
        <v>13</v>
      </c>
      <c r="B1009" s="966" t="s">
        <v>65</v>
      </c>
      <c r="C1009" s="1382" t="s">
        <v>67</v>
      </c>
      <c r="D1009" s="967"/>
      <c r="E1009" s="967"/>
      <c r="F1009" s="967"/>
      <c r="G1009" s="966"/>
      <c r="H1009" s="964" t="s">
        <v>2299</v>
      </c>
    </row>
    <row r="1010" spans="1:8" s="965" customFormat="1" hidden="1">
      <c r="A1010" s="896"/>
      <c r="B1010" s="966"/>
      <c r="C1010" s="962" t="s">
        <v>60</v>
      </c>
      <c r="D1010" s="967"/>
      <c r="E1010" s="967"/>
      <c r="F1010" s="967"/>
      <c r="G1010" s="972"/>
      <c r="H1010" s="964" t="s">
        <v>2299</v>
      </c>
    </row>
    <row r="1011" spans="1:8" s="965" customFormat="1" hidden="1">
      <c r="A1011" s="967"/>
      <c r="B1011" s="967"/>
      <c r="C1011" s="1382" t="s">
        <v>44</v>
      </c>
      <c r="D1011" s="967" t="s">
        <v>4</v>
      </c>
      <c r="E1011" s="970">
        <v>129.6</v>
      </c>
      <c r="F1011" s="970">
        <f>F999</f>
        <v>4700</v>
      </c>
      <c r="G1011" s="969">
        <f>ROUND(E1011*F1011/1000,2)</f>
        <v>609.12</v>
      </c>
      <c r="H1011" s="964" t="s">
        <v>2299</v>
      </c>
    </row>
    <row r="1012" spans="1:8" s="965" customFormat="1" hidden="1">
      <c r="A1012" s="967"/>
      <c r="B1012" s="967"/>
      <c r="C1012" s="1382" t="s">
        <v>56</v>
      </c>
      <c r="D1012" s="967" t="s">
        <v>35</v>
      </c>
      <c r="E1012" s="970">
        <v>0.9</v>
      </c>
      <c r="F1012" s="970">
        <f>F1000</f>
        <v>1436.7999999999997</v>
      </c>
      <c r="G1012" s="969">
        <f>ROUND(E1012*F1012,2)</f>
        <v>1293.1199999999999</v>
      </c>
      <c r="H1012" s="964" t="s">
        <v>2299</v>
      </c>
    </row>
    <row r="1013" spans="1:8" s="965" customFormat="1" hidden="1">
      <c r="A1013" s="967"/>
      <c r="B1013" s="967"/>
      <c r="C1013" s="1382" t="s">
        <v>112</v>
      </c>
      <c r="D1013" s="967" t="s">
        <v>35</v>
      </c>
      <c r="E1013" s="970">
        <v>0.45</v>
      </c>
      <c r="F1013" s="970">
        <f>F1001</f>
        <v>1451.600000000001</v>
      </c>
      <c r="G1013" s="969">
        <f>ROUND(E1013*F1013,2)</f>
        <v>653.22</v>
      </c>
      <c r="H1013" s="964" t="s">
        <v>2299</v>
      </c>
    </row>
    <row r="1014" spans="1:8" s="965" customFormat="1" hidden="1">
      <c r="A1014" s="967"/>
      <c r="B1014" s="967"/>
      <c r="C1014" s="1382" t="s">
        <v>57</v>
      </c>
      <c r="D1014" s="967" t="s">
        <v>58</v>
      </c>
      <c r="E1014" s="970">
        <v>1.2</v>
      </c>
      <c r="F1014" s="922">
        <f>'MINI SSR 2020-21'!$C$29</f>
        <v>83</v>
      </c>
      <c r="G1014" s="969">
        <f>ROUND(E1014*F1014,2)</f>
        <v>99.6</v>
      </c>
      <c r="H1014" s="964" t="s">
        <v>2299</v>
      </c>
    </row>
    <row r="1015" spans="1:8" s="965" customFormat="1" hidden="1">
      <c r="A1015" s="967"/>
      <c r="B1015" s="967"/>
      <c r="C1015" s="962" t="s">
        <v>61</v>
      </c>
      <c r="D1015" s="967"/>
      <c r="E1015" s="970"/>
      <c r="F1015" s="970"/>
      <c r="G1015" s="969"/>
      <c r="H1015" s="964" t="s">
        <v>2299</v>
      </c>
    </row>
    <row r="1016" spans="1:8" s="965" customFormat="1" hidden="1">
      <c r="A1016" s="967"/>
      <c r="B1016" s="967"/>
      <c r="C1016" s="1382" t="s">
        <v>62</v>
      </c>
      <c r="D1016" s="967" t="s">
        <v>21</v>
      </c>
      <c r="E1016" s="970">
        <v>1</v>
      </c>
      <c r="F1016" s="970">
        <f>'MINI SSR 2020-21'!$C$30</f>
        <v>566.1</v>
      </c>
      <c r="G1016" s="969">
        <f>ROUND(E1016*F1016,2)</f>
        <v>566.1</v>
      </c>
      <c r="H1016" s="964" t="s">
        <v>2299</v>
      </c>
    </row>
    <row r="1017" spans="1:8" s="965" customFormat="1" hidden="1">
      <c r="A1017" s="967"/>
      <c r="B1017" s="967"/>
      <c r="C1017" s="962" t="s">
        <v>63</v>
      </c>
      <c r="D1017" s="967"/>
      <c r="E1017" s="970"/>
      <c r="F1017" s="970"/>
      <c r="G1017" s="969"/>
      <c r="H1017" s="964" t="s">
        <v>2299</v>
      </c>
    </row>
    <row r="1018" spans="1:8" s="965" customFormat="1" hidden="1">
      <c r="A1018" s="967"/>
      <c r="B1018" s="967"/>
      <c r="C1018" s="1382" t="s">
        <v>64</v>
      </c>
      <c r="D1018" s="967" t="s">
        <v>27</v>
      </c>
      <c r="E1018" s="970">
        <v>0.1</v>
      </c>
      <c r="F1018" s="970">
        <f>'MINI SSR 2020-21'!$H$3</f>
        <v>550</v>
      </c>
      <c r="G1018" s="969">
        <f>ROUND(E1018*F1018,2)</f>
        <v>55</v>
      </c>
      <c r="H1018" s="964" t="s">
        <v>2299</v>
      </c>
    </row>
    <row r="1019" spans="1:8" s="965" customFormat="1" hidden="1">
      <c r="A1019" s="967"/>
      <c r="B1019" s="967"/>
      <c r="C1019" s="1382" t="s">
        <v>19</v>
      </c>
      <c r="D1019" s="967" t="s">
        <v>27</v>
      </c>
      <c r="E1019" s="970">
        <v>1.39</v>
      </c>
      <c r="F1019" s="970">
        <f>'MINI SSR 2020-21'!H$5</f>
        <v>460</v>
      </c>
      <c r="G1019" s="969">
        <f>ROUND(E1019*F1019,2)</f>
        <v>639.4</v>
      </c>
      <c r="H1019" s="964" t="s">
        <v>2299</v>
      </c>
    </row>
    <row r="1020" spans="1:8" s="965" customFormat="1" hidden="1">
      <c r="A1020" s="967"/>
      <c r="B1020" s="967"/>
      <c r="C1020" s="1382"/>
      <c r="D1020" s="967"/>
      <c r="E1020" s="967"/>
      <c r="F1020" s="967"/>
      <c r="G1020" s="971">
        <f>SUM(G1011:G1019)</f>
        <v>3915.56</v>
      </c>
      <c r="H1020" s="964" t="s">
        <v>2299</v>
      </c>
    </row>
    <row r="1021" spans="1:8" s="965" customFormat="1" ht="178.5" hidden="1">
      <c r="A1021" s="896">
        <v>7</v>
      </c>
      <c r="B1021" s="966" t="s">
        <v>66</v>
      </c>
      <c r="C1021" s="1382" t="s">
        <v>225</v>
      </c>
      <c r="D1021" s="967"/>
      <c r="E1021" s="967"/>
      <c r="F1021" s="967"/>
      <c r="G1021" s="966"/>
      <c r="H1021" s="964" t="s">
        <v>2299</v>
      </c>
    </row>
    <row r="1022" spans="1:8" s="965" customFormat="1" hidden="1">
      <c r="A1022" s="896"/>
      <c r="B1022" s="966"/>
      <c r="C1022" s="962" t="s">
        <v>81</v>
      </c>
      <c r="D1022" s="967"/>
      <c r="E1022" s="967"/>
      <c r="F1022" s="967"/>
      <c r="G1022" s="972"/>
      <c r="H1022" s="964" t="s">
        <v>2299</v>
      </c>
    </row>
    <row r="1023" spans="1:8" s="965" customFormat="1" hidden="1">
      <c r="A1023" s="896"/>
      <c r="B1023" s="966"/>
      <c r="C1023" s="962" t="s">
        <v>60</v>
      </c>
      <c r="D1023" s="967"/>
      <c r="E1023" s="967"/>
      <c r="F1023" s="967"/>
      <c r="G1023" s="972"/>
      <c r="H1023" s="964" t="s">
        <v>2299</v>
      </c>
    </row>
    <row r="1024" spans="1:8" s="965" customFormat="1" hidden="1">
      <c r="A1024" s="896"/>
      <c r="B1024" s="966"/>
      <c r="C1024" s="1382" t="s">
        <v>154</v>
      </c>
      <c r="D1024" s="967" t="s">
        <v>35</v>
      </c>
      <c r="E1024" s="970">
        <v>0.8</v>
      </c>
      <c r="F1024" s="970">
        <f>F954</f>
        <v>1799.05</v>
      </c>
      <c r="G1024" s="969">
        <f>ROUND(E1024*F1024,2)</f>
        <v>1439.24</v>
      </c>
      <c r="H1024" s="964" t="s">
        <v>2299</v>
      </c>
    </row>
    <row r="1025" spans="1:8" s="965" customFormat="1" hidden="1">
      <c r="A1025" s="896"/>
      <c r="B1025" s="966"/>
      <c r="C1025" s="1382" t="s">
        <v>112</v>
      </c>
      <c r="D1025" s="967" t="s">
        <v>35</v>
      </c>
      <c r="E1025" s="970">
        <v>0.4</v>
      </c>
      <c r="F1025" s="970">
        <f>'lead 20-21'!L13</f>
        <v>1451.600000000001</v>
      </c>
      <c r="G1025" s="969">
        <f>ROUND(E1025*F1025,2)</f>
        <v>580.64</v>
      </c>
      <c r="H1025" s="964" t="s">
        <v>2299</v>
      </c>
    </row>
    <row r="1026" spans="1:8" s="965" customFormat="1" hidden="1">
      <c r="A1026" s="967"/>
      <c r="B1026" s="967"/>
      <c r="C1026" s="1382" t="s">
        <v>33</v>
      </c>
      <c r="D1026" s="967" t="s">
        <v>4</v>
      </c>
      <c r="E1026" s="970">
        <v>340</v>
      </c>
      <c r="F1026" s="970">
        <f>'lead 20-21'!L8</f>
        <v>4700</v>
      </c>
      <c r="G1026" s="969">
        <f>ROUND(E1026*F1026/1000,2)</f>
        <v>1598</v>
      </c>
      <c r="H1026" s="964" t="s">
        <v>2299</v>
      </c>
    </row>
    <row r="1027" spans="1:8" s="965" customFormat="1" hidden="1">
      <c r="A1027" s="967"/>
      <c r="B1027" s="967"/>
      <c r="C1027" s="962" t="s">
        <v>68</v>
      </c>
      <c r="D1027" s="967"/>
      <c r="E1027" s="970"/>
      <c r="F1027" s="970"/>
      <c r="G1027" s="969"/>
      <c r="H1027" s="964" t="s">
        <v>2299</v>
      </c>
    </row>
    <row r="1028" spans="1:8" s="965" customFormat="1" hidden="1">
      <c r="A1028" s="967"/>
      <c r="B1028" s="967"/>
      <c r="C1028" s="1382" t="s">
        <v>64</v>
      </c>
      <c r="D1028" s="967" t="s">
        <v>27</v>
      </c>
      <c r="E1028" s="973">
        <v>0.13300000000000001</v>
      </c>
      <c r="F1028" s="970">
        <f>'MINI SSR 2020-21'!$H$3</f>
        <v>550</v>
      </c>
      <c r="G1028" s="969">
        <f>ROUND(E1028*F1028,2)</f>
        <v>73.150000000000006</v>
      </c>
      <c r="H1028" s="964" t="s">
        <v>2299</v>
      </c>
    </row>
    <row r="1029" spans="1:8" s="965" customFormat="1" hidden="1">
      <c r="A1029" s="967"/>
      <c r="B1029" s="967"/>
      <c r="C1029" s="1382" t="s">
        <v>69</v>
      </c>
      <c r="D1029" s="967" t="s">
        <v>27</v>
      </c>
      <c r="E1029" s="973">
        <v>0.26700000000000002</v>
      </c>
      <c r="F1029" s="970">
        <f>'MINI SSR 2020-21'!$H$4</f>
        <v>500</v>
      </c>
      <c r="G1029" s="969">
        <f>ROUND(E1029*F1029,2)</f>
        <v>133.5</v>
      </c>
      <c r="H1029" s="964" t="s">
        <v>2299</v>
      </c>
    </row>
    <row r="1030" spans="1:8" s="965" customFormat="1" hidden="1">
      <c r="A1030" s="967"/>
      <c r="B1030" s="967"/>
      <c r="C1030" s="1382" t="s">
        <v>70</v>
      </c>
      <c r="D1030" s="967" t="s">
        <v>27</v>
      </c>
      <c r="E1030" s="973">
        <v>3.6</v>
      </c>
      <c r="F1030" s="970">
        <f>'MINI SSR 2020-21'!H$5</f>
        <v>460</v>
      </c>
      <c r="G1030" s="969">
        <f>ROUND(E1030*F1030,2)</f>
        <v>1656</v>
      </c>
      <c r="H1030" s="964" t="s">
        <v>2299</v>
      </c>
    </row>
    <row r="1031" spans="1:8" s="965" customFormat="1" hidden="1">
      <c r="A1031" s="967"/>
      <c r="B1031" s="967"/>
      <c r="C1031" s="962" t="s">
        <v>61</v>
      </c>
      <c r="D1031" s="967"/>
      <c r="E1031" s="970"/>
      <c r="F1031" s="970"/>
      <c r="G1031" s="969"/>
      <c r="H1031" s="964" t="s">
        <v>2299</v>
      </c>
    </row>
    <row r="1032" spans="1:8" s="965" customFormat="1" hidden="1">
      <c r="A1032" s="967"/>
      <c r="B1032" s="967"/>
      <c r="C1032" s="1382" t="s">
        <v>62</v>
      </c>
      <c r="D1032" s="967" t="s">
        <v>21</v>
      </c>
      <c r="E1032" s="970">
        <v>1</v>
      </c>
      <c r="F1032" s="970">
        <f>'MINI SSR 2020-21'!$C$30</f>
        <v>566.1</v>
      </c>
      <c r="G1032" s="969">
        <f>ROUND(E1032*F1032,2)</f>
        <v>566.1</v>
      </c>
      <c r="H1032" s="964" t="s">
        <v>2299</v>
      </c>
    </row>
    <row r="1033" spans="1:8" s="965" customFormat="1" hidden="1">
      <c r="A1033" s="967"/>
      <c r="B1033" s="967"/>
      <c r="C1033" s="1382" t="s">
        <v>160</v>
      </c>
      <c r="D1033" s="967" t="s">
        <v>21</v>
      </c>
      <c r="E1033" s="970">
        <v>1</v>
      </c>
      <c r="F1033" s="970">
        <f>'MINI SSR 2020-21'!$C$31</f>
        <v>223</v>
      </c>
      <c r="G1033" s="969">
        <f>ROUND(E1033*F1033,2)</f>
        <v>223</v>
      </c>
      <c r="H1033" s="964" t="s">
        <v>2299</v>
      </c>
    </row>
    <row r="1034" spans="1:8" s="965" customFormat="1" hidden="1">
      <c r="A1034" s="967"/>
      <c r="B1034" s="967"/>
      <c r="C1034" s="1382" t="s">
        <v>57</v>
      </c>
      <c r="D1034" s="967" t="s">
        <v>58</v>
      </c>
      <c r="E1034" s="970">
        <v>1.2</v>
      </c>
      <c r="F1034" s="922">
        <f>'MINI SSR 2020-21'!$C$29</f>
        <v>83</v>
      </c>
      <c r="G1034" s="969">
        <f>ROUND(E1034*F1034,2)</f>
        <v>99.6</v>
      </c>
      <c r="H1034" s="964" t="s">
        <v>2299</v>
      </c>
    </row>
    <row r="1035" spans="1:8" s="965" customFormat="1" hidden="1">
      <c r="A1035" s="967"/>
      <c r="B1035" s="967"/>
      <c r="C1035" s="962" t="s">
        <v>71</v>
      </c>
      <c r="D1035" s="967"/>
      <c r="E1035" s="967"/>
      <c r="F1035" s="967"/>
      <c r="G1035" s="971">
        <f>SUM(G1024:G1034)</f>
        <v>6369.2300000000014</v>
      </c>
      <c r="H1035" s="964" t="s">
        <v>2299</v>
      </c>
    </row>
    <row r="1036" spans="1:8" s="965" customFormat="1" hidden="1">
      <c r="A1036" s="967"/>
      <c r="B1036" s="967"/>
      <c r="C1036" s="962" t="s">
        <v>72</v>
      </c>
      <c r="D1036" s="967"/>
      <c r="E1036" s="967"/>
      <c r="F1036" s="967"/>
      <c r="G1036" s="972"/>
      <c r="H1036" s="964" t="s">
        <v>2299</v>
      </c>
    </row>
    <row r="1037" spans="1:8" s="965" customFormat="1" hidden="1">
      <c r="A1037" s="967"/>
      <c r="B1037" s="967"/>
      <c r="C1037" s="1382" t="s">
        <v>73</v>
      </c>
      <c r="D1037" s="967" t="s">
        <v>35</v>
      </c>
      <c r="E1037" s="970">
        <v>1</v>
      </c>
      <c r="F1037" s="970">
        <f>G1035</f>
        <v>6369.2300000000014</v>
      </c>
      <c r="G1037" s="969">
        <f>ROUND(E1037*F1037,2)</f>
        <v>6369.23</v>
      </c>
      <c r="H1037" s="964" t="s">
        <v>2299</v>
      </c>
    </row>
    <row r="1038" spans="1:8" s="965" customFormat="1" ht="25.5" hidden="1">
      <c r="A1038" s="967"/>
      <c r="B1038" s="967"/>
      <c r="C1038" s="1382" t="s">
        <v>1278</v>
      </c>
      <c r="D1038" s="967" t="s">
        <v>35</v>
      </c>
      <c r="E1038" s="970">
        <v>1</v>
      </c>
      <c r="F1038" s="970">
        <f>'MINI SSR 2020-21'!C52</f>
        <v>288</v>
      </c>
      <c r="G1038" s="969">
        <f>ROUND(E1038*F1038,2)</f>
        <v>288</v>
      </c>
      <c r="H1038" s="964" t="s">
        <v>2299</v>
      </c>
    </row>
    <row r="1039" spans="1:8" s="965" customFormat="1" hidden="1">
      <c r="A1039" s="967"/>
      <c r="B1039" s="967"/>
      <c r="C1039" s="1382" t="s">
        <v>1279</v>
      </c>
      <c r="D1039" s="967" t="s">
        <v>35</v>
      </c>
      <c r="E1039" s="970">
        <v>1</v>
      </c>
      <c r="F1039" s="970">
        <f>'MINI SSR 2020-21'!D52</f>
        <v>631</v>
      </c>
      <c r="G1039" s="969">
        <f>ROUND(E1039*F1039,2)</f>
        <v>631</v>
      </c>
      <c r="H1039" s="964" t="s">
        <v>2299</v>
      </c>
    </row>
    <row r="1040" spans="1:8" s="965" customFormat="1" hidden="1">
      <c r="A1040" s="967"/>
      <c r="B1040" s="967"/>
      <c r="C1040" s="1382"/>
      <c r="D1040" s="967"/>
      <c r="E1040" s="967"/>
      <c r="F1040" s="967"/>
      <c r="G1040" s="971">
        <f>SUM(G1037:G1039)</f>
        <v>7288.23</v>
      </c>
      <c r="H1040" s="964" t="s">
        <v>2299</v>
      </c>
    </row>
    <row r="1041" spans="1:8" s="965" customFormat="1" hidden="1">
      <c r="A1041" s="967"/>
      <c r="B1041" s="967"/>
      <c r="C1041" s="962" t="s">
        <v>74</v>
      </c>
      <c r="D1041" s="967"/>
      <c r="E1041" s="967"/>
      <c r="F1041" s="967"/>
      <c r="G1041" s="972"/>
      <c r="H1041" s="964" t="s">
        <v>2299</v>
      </c>
    </row>
    <row r="1042" spans="1:8" s="965" customFormat="1" hidden="1">
      <c r="A1042" s="967"/>
      <c r="B1042" s="967"/>
      <c r="C1042" s="1382" t="s">
        <v>73</v>
      </c>
      <c r="D1042" s="967" t="s">
        <v>35</v>
      </c>
      <c r="E1042" s="970">
        <v>1</v>
      </c>
      <c r="F1042" s="970">
        <f>G1035</f>
        <v>6369.2300000000014</v>
      </c>
      <c r="G1042" s="969">
        <f>ROUND(E1042*F1042,2)</f>
        <v>6369.23</v>
      </c>
      <c r="H1042" s="964" t="s">
        <v>2299</v>
      </c>
    </row>
    <row r="1043" spans="1:8" s="965" customFormat="1" ht="25.5" hidden="1">
      <c r="A1043" s="967"/>
      <c r="B1043" s="967"/>
      <c r="C1043" s="1382" t="s">
        <v>1280</v>
      </c>
      <c r="D1043" s="967" t="s">
        <v>35</v>
      </c>
      <c r="E1043" s="970">
        <v>1</v>
      </c>
      <c r="F1043" s="970">
        <f>'MINI SSR 2020-21'!C54</f>
        <v>328</v>
      </c>
      <c r="G1043" s="969">
        <f>ROUND(E1043*F1043,2)</f>
        <v>328</v>
      </c>
      <c r="H1043" s="964" t="s">
        <v>2299</v>
      </c>
    </row>
    <row r="1044" spans="1:8" s="965" customFormat="1" hidden="1">
      <c r="A1044" s="967"/>
      <c r="B1044" s="967"/>
      <c r="C1044" s="1382" t="s">
        <v>1281</v>
      </c>
      <c r="D1044" s="967" t="s">
        <v>35</v>
      </c>
      <c r="E1044" s="970">
        <v>1</v>
      </c>
      <c r="F1044" s="970">
        <f>'MINI SSR 2020-21'!D54</f>
        <v>1004</v>
      </c>
      <c r="G1044" s="969">
        <f>ROUND(E1044*F1044,2)</f>
        <v>1004</v>
      </c>
      <c r="H1044" s="964" t="s">
        <v>2299</v>
      </c>
    </row>
    <row r="1045" spans="1:8" s="965" customFormat="1" hidden="1">
      <c r="A1045" s="967"/>
      <c r="B1045" s="967"/>
      <c r="C1045" s="1382"/>
      <c r="D1045" s="967"/>
      <c r="E1045" s="967"/>
      <c r="F1045" s="967"/>
      <c r="G1045" s="971">
        <f>SUM(G1042:G1044)</f>
        <v>7701.23</v>
      </c>
      <c r="H1045" s="964" t="s">
        <v>2299</v>
      </c>
    </row>
    <row r="1046" spans="1:8" s="965" customFormat="1" hidden="1">
      <c r="A1046" s="967"/>
      <c r="B1046" s="967"/>
      <c r="C1046" s="962" t="s">
        <v>75</v>
      </c>
      <c r="D1046" s="967"/>
      <c r="E1046" s="967"/>
      <c r="F1046" s="967"/>
      <c r="G1046" s="972"/>
      <c r="H1046" s="964" t="s">
        <v>2299</v>
      </c>
    </row>
    <row r="1047" spans="1:8" s="965" customFormat="1" hidden="1">
      <c r="A1047" s="967"/>
      <c r="B1047" s="967"/>
      <c r="C1047" s="1382" t="s">
        <v>73</v>
      </c>
      <c r="D1047" s="967" t="s">
        <v>35</v>
      </c>
      <c r="E1047" s="970">
        <v>1</v>
      </c>
      <c r="F1047" s="970">
        <f>G1035</f>
        <v>6369.2300000000014</v>
      </c>
      <c r="G1047" s="969">
        <f>ROUND(E1047*F1047,2)</f>
        <v>6369.23</v>
      </c>
      <c r="H1047" s="964" t="s">
        <v>2299</v>
      </c>
    </row>
    <row r="1048" spans="1:8" s="965" customFormat="1" hidden="1">
      <c r="A1048" s="967"/>
      <c r="B1048" s="967"/>
      <c r="C1048" s="1382" t="s">
        <v>1282</v>
      </c>
      <c r="D1048" s="967" t="s">
        <v>35</v>
      </c>
      <c r="E1048" s="970">
        <v>1</v>
      </c>
      <c r="F1048" s="970">
        <f>'MINI SSR 2020-21'!C55</f>
        <v>1390</v>
      </c>
      <c r="G1048" s="969">
        <f>ROUND(E1048*F1048,2)</f>
        <v>1390</v>
      </c>
      <c r="H1048" s="964" t="s">
        <v>2299</v>
      </c>
    </row>
    <row r="1049" spans="1:8" s="965" customFormat="1" hidden="1">
      <c r="A1049" s="967"/>
      <c r="B1049" s="967"/>
      <c r="C1049" s="1382" t="s">
        <v>1283</v>
      </c>
      <c r="D1049" s="967" t="s">
        <v>35</v>
      </c>
      <c r="E1049" s="970">
        <v>1</v>
      </c>
      <c r="F1049" s="970">
        <f>'MINI SSR 2020-21'!D55</f>
        <v>1521</v>
      </c>
      <c r="G1049" s="969">
        <f>ROUND(E1049*F1049,2)</f>
        <v>1521</v>
      </c>
      <c r="H1049" s="964" t="s">
        <v>2299</v>
      </c>
    </row>
    <row r="1050" spans="1:8" s="965" customFormat="1" hidden="1">
      <c r="A1050" s="967"/>
      <c r="B1050" s="967"/>
      <c r="C1050" s="1382"/>
      <c r="D1050" s="967"/>
      <c r="E1050" s="967"/>
      <c r="F1050" s="967"/>
      <c r="G1050" s="971">
        <f>SUM(G1047:G1049)</f>
        <v>9280.23</v>
      </c>
      <c r="H1050" s="964" t="s">
        <v>2299</v>
      </c>
    </row>
    <row r="1051" spans="1:8" s="965" customFormat="1" ht="178.5" hidden="1">
      <c r="A1051" s="896">
        <v>16</v>
      </c>
      <c r="B1051" s="966" t="s">
        <v>76</v>
      </c>
      <c r="C1051" s="1382" t="s">
        <v>226</v>
      </c>
      <c r="D1051" s="967"/>
      <c r="E1051" s="967"/>
      <c r="F1051" s="967"/>
      <c r="G1051" s="966"/>
      <c r="H1051" s="964" t="s">
        <v>2299</v>
      </c>
    </row>
    <row r="1052" spans="1:8" s="965" customFormat="1" hidden="1">
      <c r="A1052" s="896"/>
      <c r="B1052" s="966"/>
      <c r="C1052" s="962" t="s">
        <v>80</v>
      </c>
      <c r="D1052" s="967"/>
      <c r="E1052" s="967"/>
      <c r="F1052" s="967"/>
      <c r="G1052" s="972"/>
      <c r="H1052" s="964" t="s">
        <v>2299</v>
      </c>
    </row>
    <row r="1053" spans="1:8" s="965" customFormat="1" hidden="1">
      <c r="A1053" s="896"/>
      <c r="B1053" s="966"/>
      <c r="C1053" s="962" t="s">
        <v>60</v>
      </c>
      <c r="D1053" s="967"/>
      <c r="E1053" s="967"/>
      <c r="F1053" s="967"/>
      <c r="G1053" s="972"/>
      <c r="H1053" s="964" t="s">
        <v>2299</v>
      </c>
    </row>
    <row r="1054" spans="1:8" s="965" customFormat="1" hidden="1">
      <c r="A1054" s="896"/>
      <c r="B1054" s="966"/>
      <c r="C1054" s="1382" t="s">
        <v>154</v>
      </c>
      <c r="D1054" s="967" t="s">
        <v>35</v>
      </c>
      <c r="E1054" s="970">
        <v>0.8</v>
      </c>
      <c r="F1054" s="970">
        <f>F1024</f>
        <v>1799.05</v>
      </c>
      <c r="G1054" s="969">
        <f>ROUND(E1054*F1054,2)</f>
        <v>1439.24</v>
      </c>
      <c r="H1054" s="964" t="s">
        <v>2299</v>
      </c>
    </row>
    <row r="1055" spans="1:8" s="965" customFormat="1" hidden="1">
      <c r="A1055" s="896"/>
      <c r="B1055" s="966"/>
      <c r="C1055" s="1382" t="s">
        <v>112</v>
      </c>
      <c r="D1055" s="967" t="s">
        <v>35</v>
      </c>
      <c r="E1055" s="970">
        <v>0.4</v>
      </c>
      <c r="F1055" s="970">
        <f>'lead 20-21'!L13</f>
        <v>1451.600000000001</v>
      </c>
      <c r="G1055" s="969">
        <f>ROUND(E1055*F1055,2)</f>
        <v>580.64</v>
      </c>
      <c r="H1055" s="964" t="s">
        <v>2299</v>
      </c>
    </row>
    <row r="1056" spans="1:8" s="965" customFormat="1" hidden="1">
      <c r="A1056" s="967"/>
      <c r="B1056" s="967"/>
      <c r="C1056" s="1382" t="s">
        <v>33</v>
      </c>
      <c r="D1056" s="967" t="s">
        <v>4</v>
      </c>
      <c r="E1056" s="970">
        <f>E1026</f>
        <v>340</v>
      </c>
      <c r="F1056" s="970">
        <f>'lead 20-21'!L8</f>
        <v>4700</v>
      </c>
      <c r="G1056" s="969">
        <f>ROUND(E1056*F1056/1000,2)</f>
        <v>1598</v>
      </c>
      <c r="H1056" s="964" t="s">
        <v>2299</v>
      </c>
    </row>
    <row r="1057" spans="1:8" s="965" customFormat="1" hidden="1">
      <c r="A1057" s="967"/>
      <c r="B1057" s="967"/>
      <c r="C1057" s="962" t="s">
        <v>68</v>
      </c>
      <c r="D1057" s="967"/>
      <c r="E1057" s="970"/>
      <c r="F1057" s="970"/>
      <c r="G1057" s="969"/>
      <c r="H1057" s="964" t="s">
        <v>2299</v>
      </c>
    </row>
    <row r="1058" spans="1:8" s="965" customFormat="1" hidden="1">
      <c r="A1058" s="967"/>
      <c r="B1058" s="967"/>
      <c r="C1058" s="1382" t="s">
        <v>64</v>
      </c>
      <c r="D1058" s="967" t="s">
        <v>27</v>
      </c>
      <c r="E1058" s="973">
        <v>0.16700000000000001</v>
      </c>
      <c r="F1058" s="970">
        <f>'MINI SSR 2020-21'!$H$3</f>
        <v>550</v>
      </c>
      <c r="G1058" s="969">
        <f>ROUND(E1058*F1058,2)</f>
        <v>91.85</v>
      </c>
      <c r="H1058" s="964" t="s">
        <v>2299</v>
      </c>
    </row>
    <row r="1059" spans="1:8" s="965" customFormat="1" hidden="1">
      <c r="A1059" s="967"/>
      <c r="B1059" s="967"/>
      <c r="C1059" s="1382" t="s">
        <v>69</v>
      </c>
      <c r="D1059" s="967" t="s">
        <v>27</v>
      </c>
      <c r="E1059" s="973">
        <v>0.16700000000000001</v>
      </c>
      <c r="F1059" s="970">
        <f>'MINI SSR 2020-21'!$H$4</f>
        <v>500</v>
      </c>
      <c r="G1059" s="969">
        <f>ROUND(E1059*F1059,2)</f>
        <v>83.5</v>
      </c>
      <c r="H1059" s="964" t="s">
        <v>2299</v>
      </c>
    </row>
    <row r="1060" spans="1:8" s="965" customFormat="1" hidden="1">
      <c r="A1060" s="967"/>
      <c r="B1060" s="967"/>
      <c r="C1060" s="1382" t="s">
        <v>70</v>
      </c>
      <c r="D1060" s="967" t="s">
        <v>27</v>
      </c>
      <c r="E1060" s="973">
        <v>4.7</v>
      </c>
      <c r="F1060" s="970">
        <f>'MINI SSR 2020-21'!H$5</f>
        <v>460</v>
      </c>
      <c r="G1060" s="969">
        <f>ROUND(E1060*F1060,2)</f>
        <v>2162</v>
      </c>
      <c r="H1060" s="964" t="s">
        <v>2299</v>
      </c>
    </row>
    <row r="1061" spans="1:8" s="965" customFormat="1" hidden="1">
      <c r="A1061" s="967"/>
      <c r="B1061" s="967"/>
      <c r="C1061" s="962" t="s">
        <v>61</v>
      </c>
      <c r="D1061" s="967"/>
      <c r="E1061" s="970"/>
      <c r="F1061" s="970"/>
      <c r="G1061" s="969"/>
      <c r="H1061" s="964" t="s">
        <v>2299</v>
      </c>
    </row>
    <row r="1062" spans="1:8" hidden="1">
      <c r="A1062" s="967"/>
      <c r="B1062" s="967"/>
      <c r="C1062" s="1382" t="s">
        <v>62</v>
      </c>
      <c r="D1062" s="967" t="s">
        <v>21</v>
      </c>
      <c r="E1062" s="970">
        <v>1</v>
      </c>
      <c r="F1062" s="970">
        <f>'MINI SSR 2020-21'!$C$30</f>
        <v>566.1</v>
      </c>
      <c r="G1062" s="969">
        <f>ROUND(E1062*F1062,2)</f>
        <v>566.1</v>
      </c>
      <c r="H1062" s="964" t="s">
        <v>2299</v>
      </c>
    </row>
    <row r="1063" spans="1:8" hidden="1">
      <c r="A1063" s="967"/>
      <c r="B1063" s="967"/>
      <c r="C1063" s="1382" t="s">
        <v>160</v>
      </c>
      <c r="D1063" s="967" t="s">
        <v>21</v>
      </c>
      <c r="E1063" s="970">
        <v>1</v>
      </c>
      <c r="F1063" s="970">
        <f>'MINI SSR 2020-21'!$C$31</f>
        <v>223</v>
      </c>
      <c r="G1063" s="969">
        <f>ROUND(E1063*F1063,2)</f>
        <v>223</v>
      </c>
      <c r="H1063" s="964" t="s">
        <v>2299</v>
      </c>
    </row>
    <row r="1064" spans="1:8" hidden="1">
      <c r="A1064" s="967"/>
      <c r="B1064" s="967"/>
      <c r="C1064" s="1382" t="s">
        <v>57</v>
      </c>
      <c r="D1064" s="967" t="s">
        <v>58</v>
      </c>
      <c r="E1064" s="970">
        <v>1.2</v>
      </c>
      <c r="F1064" s="922">
        <f>'MINI SSR 2020-21'!$C$29</f>
        <v>83</v>
      </c>
      <c r="G1064" s="969">
        <f>ROUND(E1064*F1064,2)</f>
        <v>99.6</v>
      </c>
      <c r="H1064" s="964" t="s">
        <v>2299</v>
      </c>
    </row>
    <row r="1065" spans="1:8" hidden="1">
      <c r="A1065" s="967"/>
      <c r="B1065" s="967"/>
      <c r="C1065" s="962" t="s">
        <v>71</v>
      </c>
      <c r="D1065" s="967"/>
      <c r="E1065" s="967"/>
      <c r="F1065" s="967"/>
      <c r="G1065" s="971">
        <f>SUM(G1054:G1064)</f>
        <v>6843.93</v>
      </c>
      <c r="H1065" s="964" t="s">
        <v>2299</v>
      </c>
    </row>
    <row r="1066" spans="1:8" hidden="1">
      <c r="A1066" s="967"/>
      <c r="B1066" s="967"/>
      <c r="C1066" s="962"/>
      <c r="D1066" s="967"/>
      <c r="E1066" s="966" t="s">
        <v>161</v>
      </c>
      <c r="F1066" s="966" t="s">
        <v>162</v>
      </c>
      <c r="G1066" s="974" t="s">
        <v>163</v>
      </c>
      <c r="H1066" s="964" t="s">
        <v>2299</v>
      </c>
    </row>
    <row r="1067" spans="1:8" hidden="1">
      <c r="A1067" s="967"/>
      <c r="B1067" s="967"/>
      <c r="C1067" s="962" t="s">
        <v>1284</v>
      </c>
      <c r="D1067" s="967"/>
      <c r="E1067" s="970">
        <f>G1065</f>
        <v>6843.93</v>
      </c>
      <c r="F1067" s="970">
        <f>G1065</f>
        <v>6843.93</v>
      </c>
      <c r="G1067" s="972">
        <f>G1065</f>
        <v>6843.93</v>
      </c>
      <c r="H1067" s="964" t="s">
        <v>2299</v>
      </c>
    </row>
    <row r="1068" spans="1:8" ht="25.5" hidden="1">
      <c r="A1068" s="967"/>
      <c r="B1068" s="967"/>
      <c r="C1068" s="1382" t="s">
        <v>164</v>
      </c>
      <c r="D1068" s="967"/>
      <c r="E1068" s="970">
        <f>'MINI SSR 2020-21'!C57</f>
        <v>355</v>
      </c>
      <c r="F1068" s="970">
        <f>E1068</f>
        <v>355</v>
      </c>
      <c r="G1068" s="924">
        <f>E1068</f>
        <v>355</v>
      </c>
      <c r="H1068" s="964" t="s">
        <v>2299</v>
      </c>
    </row>
    <row r="1069" spans="1:8" hidden="1">
      <c r="A1069" s="967"/>
      <c r="B1069" s="967"/>
      <c r="C1069" s="1382" t="s">
        <v>165</v>
      </c>
      <c r="D1069" s="967"/>
      <c r="E1069" s="970">
        <f>'MINI SSR 2020-21'!D57</f>
        <v>2268</v>
      </c>
      <c r="F1069" s="970">
        <f>'MINI SSR 2020-21'!E57</f>
        <v>2495</v>
      </c>
      <c r="G1069" s="970">
        <f>'MINI SSR 2020-21'!F57</f>
        <v>2722</v>
      </c>
      <c r="H1069" s="964" t="s">
        <v>2299</v>
      </c>
    </row>
    <row r="1070" spans="1:8" ht="25.5" hidden="1">
      <c r="A1070" s="967"/>
      <c r="B1070" s="967"/>
      <c r="C1070" s="1382" t="s">
        <v>1285</v>
      </c>
      <c r="D1070" s="967"/>
      <c r="E1070" s="967"/>
      <c r="F1070" s="967">
        <f>ROUND((G1058+G1059+G1060+F1069)*0.1,2)</f>
        <v>483.24</v>
      </c>
      <c r="G1070" s="975">
        <f>ROUND((G1058+G1059+G1060+G1069)*0.2,2)</f>
        <v>1011.87</v>
      </c>
      <c r="H1070" s="964" t="s">
        <v>2299</v>
      </c>
    </row>
    <row r="1071" spans="1:8" hidden="1">
      <c r="A1071" s="967"/>
      <c r="B1071" s="967"/>
      <c r="C1071" s="1382"/>
      <c r="D1071" s="967"/>
      <c r="E1071" s="974">
        <f>SUM(E1067:E1070)</f>
        <v>9466.93</v>
      </c>
      <c r="F1071" s="974">
        <f>SUM(F1067:F1070)</f>
        <v>10177.17</v>
      </c>
      <c r="G1071" s="971">
        <f>SUM(G1067:G1070)</f>
        <v>10932.800000000001</v>
      </c>
      <c r="H1071" s="964" t="s">
        <v>2299</v>
      </c>
    </row>
    <row r="1072" spans="1:8" hidden="1">
      <c r="A1072" s="967"/>
      <c r="B1072" s="967"/>
      <c r="C1072" s="962"/>
      <c r="D1072" s="967"/>
      <c r="E1072" s="966" t="s">
        <v>161</v>
      </c>
      <c r="F1072" s="966" t="s">
        <v>162</v>
      </c>
      <c r="G1072" s="974" t="s">
        <v>163</v>
      </c>
      <c r="H1072" s="964" t="s">
        <v>2299</v>
      </c>
    </row>
    <row r="1073" spans="1:8" hidden="1">
      <c r="A1073" s="967"/>
      <c r="B1073" s="967"/>
      <c r="C1073" s="962" t="s">
        <v>1286</v>
      </c>
      <c r="D1073" s="967"/>
      <c r="E1073" s="970">
        <f>G1065</f>
        <v>6843.93</v>
      </c>
      <c r="F1073" s="970">
        <f>G1065</f>
        <v>6843.93</v>
      </c>
      <c r="G1073" s="972">
        <f>G1065</f>
        <v>6843.93</v>
      </c>
      <c r="H1073" s="964" t="s">
        <v>2299</v>
      </c>
    </row>
    <row r="1074" spans="1:8" ht="25.5" hidden="1">
      <c r="A1074" s="967"/>
      <c r="B1074" s="967"/>
      <c r="C1074" s="1382" t="s">
        <v>166</v>
      </c>
      <c r="D1074" s="967"/>
      <c r="E1074" s="970">
        <f>'MINI SSR 2020-21'!C58</f>
        <v>1180</v>
      </c>
      <c r="F1074" s="970">
        <f>E1074</f>
        <v>1180</v>
      </c>
      <c r="G1074" s="924">
        <f>E1074</f>
        <v>1180</v>
      </c>
      <c r="H1074" s="964" t="s">
        <v>2299</v>
      </c>
    </row>
    <row r="1075" spans="1:8" hidden="1">
      <c r="A1075" s="967"/>
      <c r="B1075" s="967"/>
      <c r="C1075" s="1382" t="s">
        <v>167</v>
      </c>
      <c r="D1075" s="967"/>
      <c r="E1075" s="970">
        <f>'MINI SSR 2020-21'!D58</f>
        <v>1615</v>
      </c>
      <c r="F1075" s="970">
        <f>'MINI SSR 2020-21'!E58</f>
        <v>1777</v>
      </c>
      <c r="G1075" s="970">
        <f>'MINI SSR 2020-21'!F58</f>
        <v>1938</v>
      </c>
      <c r="H1075" s="964" t="s">
        <v>2299</v>
      </c>
    </row>
    <row r="1076" spans="1:8" ht="25.5" hidden="1">
      <c r="A1076" s="967"/>
      <c r="B1076" s="967"/>
      <c r="C1076" s="1382" t="s">
        <v>1285</v>
      </c>
      <c r="D1076" s="967"/>
      <c r="E1076" s="967"/>
      <c r="F1076" s="967">
        <f>ROUND((G1058+G1059+G1060+F1075)*0.1,2)</f>
        <v>411.44</v>
      </c>
      <c r="G1076" s="975">
        <f>ROUND((G1058+G1059+G1060+G1075)*0.2,2)</f>
        <v>855.07</v>
      </c>
      <c r="H1076" s="964" t="s">
        <v>2299</v>
      </c>
    </row>
    <row r="1077" spans="1:8" hidden="1">
      <c r="A1077" s="967"/>
      <c r="B1077" s="967"/>
      <c r="C1077" s="1382"/>
      <c r="D1077" s="967"/>
      <c r="E1077" s="974">
        <f>SUM(E1073:E1076)</f>
        <v>9638.93</v>
      </c>
      <c r="F1077" s="974">
        <f>SUM(F1073:F1076)</f>
        <v>10212.370000000001</v>
      </c>
      <c r="G1077" s="971">
        <f>SUM(G1073:G1076)</f>
        <v>10817</v>
      </c>
      <c r="H1077" s="964" t="s">
        <v>2299</v>
      </c>
    </row>
    <row r="1078" spans="1:8" ht="178.5" hidden="1">
      <c r="A1078" s="896">
        <v>17</v>
      </c>
      <c r="B1078" s="966" t="s">
        <v>78</v>
      </c>
      <c r="C1078" s="1382" t="s">
        <v>226</v>
      </c>
      <c r="D1078" s="967"/>
      <c r="E1078" s="967"/>
      <c r="F1078" s="967"/>
      <c r="G1078" s="966"/>
      <c r="H1078" s="964" t="s">
        <v>2299</v>
      </c>
    </row>
    <row r="1079" spans="1:8" hidden="1">
      <c r="A1079" s="896"/>
      <c r="B1079" s="966"/>
      <c r="C1079" s="962" t="s">
        <v>79</v>
      </c>
      <c r="D1079" s="967"/>
      <c r="E1079" s="967"/>
      <c r="F1079" s="967"/>
      <c r="G1079" s="972"/>
      <c r="H1079" s="964" t="s">
        <v>2299</v>
      </c>
    </row>
    <row r="1080" spans="1:8" hidden="1">
      <c r="A1080" s="896"/>
      <c r="B1080" s="966"/>
      <c r="C1080" s="962" t="s">
        <v>60</v>
      </c>
      <c r="D1080" s="966"/>
      <c r="E1080" s="966"/>
      <c r="F1080" s="966"/>
      <c r="G1080" s="972"/>
      <c r="H1080" s="964" t="s">
        <v>2299</v>
      </c>
    </row>
    <row r="1081" spans="1:8" hidden="1">
      <c r="A1081" s="896"/>
      <c r="B1081" s="966"/>
      <c r="C1081" s="1382" t="s">
        <v>154</v>
      </c>
      <c r="D1081" s="967" t="s">
        <v>35</v>
      </c>
      <c r="E1081" s="970">
        <v>0.8</v>
      </c>
      <c r="F1081" s="970">
        <f>F954</f>
        <v>1799.05</v>
      </c>
      <c r="G1081" s="969">
        <f>ROUND(E1081*F1081,2)</f>
        <v>1439.24</v>
      </c>
      <c r="H1081" s="964" t="s">
        <v>2299</v>
      </c>
    </row>
    <row r="1082" spans="1:8" hidden="1">
      <c r="A1082" s="896"/>
      <c r="B1082" s="966"/>
      <c r="C1082" s="1382" t="s">
        <v>112</v>
      </c>
      <c r="D1082" s="967" t="s">
        <v>35</v>
      </c>
      <c r="E1082" s="970">
        <v>0.4</v>
      </c>
      <c r="F1082" s="970">
        <f>'lead 20-21'!L13</f>
        <v>1451.600000000001</v>
      </c>
      <c r="G1082" s="969">
        <f>ROUND(E1082*F1082,2)</f>
        <v>580.64</v>
      </c>
      <c r="H1082" s="964" t="s">
        <v>2299</v>
      </c>
    </row>
    <row r="1083" spans="1:8" hidden="1">
      <c r="A1083" s="967"/>
      <c r="B1083" s="967"/>
      <c r="C1083" s="1382" t="s">
        <v>33</v>
      </c>
      <c r="D1083" s="967" t="s">
        <v>4</v>
      </c>
      <c r="E1083" s="970">
        <f>E1056</f>
        <v>340</v>
      </c>
      <c r="F1083" s="970">
        <f>'lead 20-21'!L8</f>
        <v>4700</v>
      </c>
      <c r="G1083" s="969">
        <f>ROUND(E1083*F1083/1000,2)</f>
        <v>1598</v>
      </c>
      <c r="H1083" s="964" t="s">
        <v>2299</v>
      </c>
    </row>
    <row r="1084" spans="1:8" hidden="1">
      <c r="A1084" s="967"/>
      <c r="B1084" s="967"/>
      <c r="C1084" s="962" t="s">
        <v>68</v>
      </c>
      <c r="D1084" s="967"/>
      <c r="E1084" s="970"/>
      <c r="F1084" s="970"/>
      <c r="G1084" s="969"/>
      <c r="H1084" s="964" t="s">
        <v>2299</v>
      </c>
    </row>
    <row r="1085" spans="1:8" hidden="1">
      <c r="A1085" s="967"/>
      <c r="B1085" s="967"/>
      <c r="C1085" s="1382" t="s">
        <v>64</v>
      </c>
      <c r="D1085" s="967" t="s">
        <v>27</v>
      </c>
      <c r="E1085" s="973">
        <v>6.7000000000000004E-2</v>
      </c>
      <c r="F1085" s="970">
        <f>'MINI SSR 2020-21'!$H$3</f>
        <v>550</v>
      </c>
      <c r="G1085" s="969">
        <f>ROUND(E1085*F1085,2)</f>
        <v>36.85</v>
      </c>
      <c r="H1085" s="964" t="s">
        <v>2299</v>
      </c>
    </row>
    <row r="1086" spans="1:8" hidden="1">
      <c r="A1086" s="967"/>
      <c r="B1086" s="967"/>
      <c r="C1086" s="1382" t="s">
        <v>69</v>
      </c>
      <c r="D1086" s="967" t="s">
        <v>27</v>
      </c>
      <c r="E1086" s="973">
        <v>0.13300000000000001</v>
      </c>
      <c r="F1086" s="970">
        <f>'MINI SSR 2020-21'!$H$4</f>
        <v>500</v>
      </c>
      <c r="G1086" s="969">
        <f>ROUND(E1086*F1086,2)</f>
        <v>66.5</v>
      </c>
      <c r="H1086" s="964" t="s">
        <v>2299</v>
      </c>
    </row>
    <row r="1087" spans="1:8" hidden="1">
      <c r="A1087" s="967"/>
      <c r="B1087" s="967"/>
      <c r="C1087" s="1382" t="s">
        <v>70</v>
      </c>
      <c r="D1087" s="967" t="s">
        <v>27</v>
      </c>
      <c r="E1087" s="973">
        <v>2.5</v>
      </c>
      <c r="F1087" s="970">
        <f>'MINI SSR 2020-21'!H$5</f>
        <v>460</v>
      </c>
      <c r="G1087" s="969">
        <f>ROUND(E1087*F1087,2)</f>
        <v>1150</v>
      </c>
      <c r="H1087" s="964" t="s">
        <v>2299</v>
      </c>
    </row>
    <row r="1088" spans="1:8" hidden="1">
      <c r="A1088" s="967"/>
      <c r="B1088" s="967"/>
      <c r="C1088" s="962" t="s">
        <v>61</v>
      </c>
      <c r="D1088" s="967"/>
      <c r="E1088" s="970"/>
      <c r="F1088" s="970"/>
      <c r="G1088" s="969"/>
      <c r="H1088" s="964" t="s">
        <v>2299</v>
      </c>
    </row>
    <row r="1089" spans="1:8" hidden="1">
      <c r="A1089" s="967"/>
      <c r="B1089" s="967"/>
      <c r="C1089" s="1382" t="s">
        <v>62</v>
      </c>
      <c r="D1089" s="967" t="s">
        <v>21</v>
      </c>
      <c r="E1089" s="973">
        <v>0.26700000000000002</v>
      </c>
      <c r="F1089" s="970">
        <f>'MINI SSR 2020-21'!$C$30</f>
        <v>566.1</v>
      </c>
      <c r="G1089" s="969">
        <f>ROUND(E1089*F1089,2)</f>
        <v>151.15</v>
      </c>
      <c r="H1089" s="964" t="s">
        <v>2299</v>
      </c>
    </row>
    <row r="1090" spans="1:8" hidden="1">
      <c r="A1090" s="967"/>
      <c r="B1090" s="967"/>
      <c r="C1090" s="1382" t="s">
        <v>160</v>
      </c>
      <c r="D1090" s="967" t="s">
        <v>21</v>
      </c>
      <c r="E1090" s="973">
        <v>0.26700000000000002</v>
      </c>
      <c r="F1090" s="970">
        <f>'MINI SSR 2020-21'!$C$31</f>
        <v>223</v>
      </c>
      <c r="G1090" s="969">
        <f>ROUND(E1090*F1090,2)</f>
        <v>59.54</v>
      </c>
      <c r="H1090" s="964" t="s">
        <v>2299</v>
      </c>
    </row>
    <row r="1091" spans="1:8" hidden="1">
      <c r="A1091" s="967"/>
      <c r="B1091" s="967"/>
      <c r="C1091" s="1382" t="s">
        <v>57</v>
      </c>
      <c r="D1091" s="967" t="s">
        <v>58</v>
      </c>
      <c r="E1091" s="970">
        <v>1.2</v>
      </c>
      <c r="F1091" s="922">
        <f>'MINI SSR 2020-21'!$C$29</f>
        <v>83</v>
      </c>
      <c r="G1091" s="969">
        <f>ROUND(E1091*F1091,2)</f>
        <v>99.6</v>
      </c>
      <c r="H1091" s="964" t="s">
        <v>2299</v>
      </c>
    </row>
    <row r="1092" spans="1:8" hidden="1">
      <c r="A1092" s="967"/>
      <c r="B1092" s="967"/>
      <c r="C1092" s="962" t="s">
        <v>71</v>
      </c>
      <c r="D1092" s="967"/>
      <c r="E1092" s="967"/>
      <c r="F1092" s="967"/>
      <c r="G1092" s="971">
        <f>SUM(G1081:G1091)</f>
        <v>5181.5199999999995</v>
      </c>
      <c r="H1092" s="964" t="s">
        <v>2299</v>
      </c>
    </row>
    <row r="1093" spans="1:8" hidden="1">
      <c r="A1093" s="967"/>
      <c r="B1093" s="967"/>
      <c r="C1093" s="962"/>
      <c r="D1093" s="967"/>
      <c r="E1093" s="966" t="s">
        <v>161</v>
      </c>
      <c r="F1093" s="966" t="s">
        <v>162</v>
      </c>
      <c r="G1093" s="974" t="s">
        <v>163</v>
      </c>
      <c r="H1093" s="964" t="s">
        <v>2299</v>
      </c>
    </row>
    <row r="1094" spans="1:8" hidden="1">
      <c r="A1094" s="967"/>
      <c r="B1094" s="967"/>
      <c r="C1094" s="962" t="s">
        <v>1287</v>
      </c>
      <c r="D1094" s="967"/>
      <c r="E1094" s="970">
        <f>G1092</f>
        <v>5181.5199999999995</v>
      </c>
      <c r="F1094" s="970">
        <f>G1092</f>
        <v>5181.5199999999995</v>
      </c>
      <c r="G1094" s="972">
        <f>G1092</f>
        <v>5181.5199999999995</v>
      </c>
      <c r="H1094" s="964" t="s">
        <v>2299</v>
      </c>
    </row>
    <row r="1095" spans="1:8" ht="25.5" hidden="1">
      <c r="A1095" s="967"/>
      <c r="B1095" s="967"/>
      <c r="C1095" s="1382" t="s">
        <v>177</v>
      </c>
      <c r="D1095" s="967"/>
      <c r="E1095" s="970">
        <f>'MINI SSR 2020-21'!C60</f>
        <v>2085</v>
      </c>
      <c r="F1095" s="970">
        <f>E1095</f>
        <v>2085</v>
      </c>
      <c r="G1095" s="924">
        <f>E1095</f>
        <v>2085</v>
      </c>
      <c r="H1095" s="964" t="s">
        <v>2299</v>
      </c>
    </row>
    <row r="1096" spans="1:8" hidden="1">
      <c r="A1096" s="967"/>
      <c r="B1096" s="967"/>
      <c r="C1096" s="1382" t="s">
        <v>178</v>
      </c>
      <c r="D1096" s="967"/>
      <c r="E1096" s="970">
        <f>'MINI SSR 2020-21'!D60</f>
        <v>1903</v>
      </c>
      <c r="F1096" s="970">
        <f>'MINI SSR 2020-21'!E60</f>
        <v>2093</v>
      </c>
      <c r="G1096" s="970">
        <f>'MINI SSR 2020-21'!F60</f>
        <v>2284</v>
      </c>
      <c r="H1096" s="964" t="s">
        <v>2299</v>
      </c>
    </row>
    <row r="1097" spans="1:8" ht="25.5" hidden="1">
      <c r="A1097" s="967"/>
      <c r="B1097" s="967"/>
      <c r="C1097" s="1382" t="s">
        <v>1285</v>
      </c>
      <c r="D1097" s="967"/>
      <c r="E1097" s="967"/>
      <c r="F1097" s="970">
        <f>ROUND((G1085+G1086+G1087+F1096)*0.1,2)</f>
        <v>334.64</v>
      </c>
      <c r="G1097" s="972">
        <f>ROUND((G1085+G1086+G1087+G1096)*0.2,2)</f>
        <v>707.47</v>
      </c>
      <c r="H1097" s="964" t="s">
        <v>2299</v>
      </c>
    </row>
    <row r="1098" spans="1:8" ht="15" hidden="1" customHeight="1">
      <c r="A1098" s="967"/>
      <c r="B1098" s="967"/>
      <c r="C1098" s="962" t="s">
        <v>182</v>
      </c>
      <c r="D1098" s="967"/>
      <c r="E1098" s="974">
        <f>SUM(E1094:E1097)</f>
        <v>9169.52</v>
      </c>
      <c r="F1098" s="974">
        <f>SUM(F1094:F1097)</f>
        <v>9694.16</v>
      </c>
      <c r="G1098" s="971">
        <f>SUM(G1094:G1097)</f>
        <v>10257.99</v>
      </c>
      <c r="H1098" s="964" t="s">
        <v>2299</v>
      </c>
    </row>
    <row r="1099" spans="1:8" hidden="1">
      <c r="A1099" s="967"/>
      <c r="B1099" s="967"/>
      <c r="C1099" s="962"/>
      <c r="D1099" s="967"/>
      <c r="E1099" s="966" t="s">
        <v>161</v>
      </c>
      <c r="F1099" s="966" t="s">
        <v>162</v>
      </c>
      <c r="G1099" s="974" t="s">
        <v>163</v>
      </c>
      <c r="H1099" s="964" t="s">
        <v>2299</v>
      </c>
    </row>
    <row r="1100" spans="1:8" hidden="1">
      <c r="A1100" s="967"/>
      <c r="B1100" s="967"/>
      <c r="C1100" s="962" t="s">
        <v>1288</v>
      </c>
      <c r="D1100" s="967"/>
      <c r="E1100" s="970">
        <f>G1092</f>
        <v>5181.5199999999995</v>
      </c>
      <c r="F1100" s="970">
        <f>G1092</f>
        <v>5181.5199999999995</v>
      </c>
      <c r="G1100" s="972">
        <f>G1092</f>
        <v>5181.5199999999995</v>
      </c>
      <c r="H1100" s="964" t="s">
        <v>2299</v>
      </c>
    </row>
    <row r="1101" spans="1:8" hidden="1">
      <c r="A1101" s="967"/>
      <c r="B1101" s="967"/>
      <c r="C1101" s="962" t="s">
        <v>1268</v>
      </c>
      <c r="D1101" s="970">
        <v>0.1</v>
      </c>
      <c r="E1101" s="970">
        <f>ROUND(E1100*0.1,2)</f>
        <v>518.15</v>
      </c>
      <c r="F1101" s="970">
        <f>ROUND(F1100*0.1,2)</f>
        <v>518.15</v>
      </c>
      <c r="G1101" s="972">
        <f>ROUND(G1100*0.1,2)</f>
        <v>518.15</v>
      </c>
      <c r="H1101" s="964" t="s">
        <v>2299</v>
      </c>
    </row>
    <row r="1102" spans="1:8" ht="25.5" hidden="1">
      <c r="A1102" s="967"/>
      <c r="B1102" s="967"/>
      <c r="C1102" s="1382" t="s">
        <v>179</v>
      </c>
      <c r="D1102" s="967"/>
      <c r="E1102" s="970">
        <f>'MINI SSR 2020-21'!C61</f>
        <v>236</v>
      </c>
      <c r="F1102" s="970">
        <f>E1102</f>
        <v>236</v>
      </c>
      <c r="G1102" s="924">
        <f>E1102</f>
        <v>236</v>
      </c>
      <c r="H1102" s="964" t="s">
        <v>2299</v>
      </c>
    </row>
    <row r="1103" spans="1:8" hidden="1">
      <c r="A1103" s="967"/>
      <c r="B1103" s="967"/>
      <c r="C1103" s="1382" t="s">
        <v>180</v>
      </c>
      <c r="D1103" s="967"/>
      <c r="E1103" s="970">
        <f>'MINI SSR 2020-21'!D61</f>
        <v>226</v>
      </c>
      <c r="F1103" s="970">
        <f>'MINI SSR 2020-21'!E61</f>
        <v>237</v>
      </c>
      <c r="G1103" s="970">
        <f>'MINI SSR 2020-21'!F61</f>
        <v>258</v>
      </c>
      <c r="H1103" s="964" t="s">
        <v>2299</v>
      </c>
    </row>
    <row r="1104" spans="1:8" ht="25.5" hidden="1">
      <c r="A1104" s="967"/>
      <c r="B1104" s="967"/>
      <c r="C1104" s="1382" t="s">
        <v>1289</v>
      </c>
      <c r="D1104" s="967"/>
      <c r="E1104" s="967"/>
      <c r="F1104" s="970">
        <f>ROUND(((G1085+G1086+G1087+F1103)*0.1),2)</f>
        <v>149.04</v>
      </c>
      <c r="G1104" s="972">
        <f>ROUND(((G1085+G1086+G1087+G1103)*0.2),2)</f>
        <v>302.27</v>
      </c>
      <c r="H1104" s="964" t="s">
        <v>2299</v>
      </c>
    </row>
    <row r="1105" spans="1:8" hidden="1">
      <c r="A1105" s="967"/>
      <c r="B1105" s="967"/>
      <c r="C1105" s="962" t="s">
        <v>181</v>
      </c>
      <c r="D1105" s="967"/>
      <c r="E1105" s="974">
        <f>SUM(E1101:E1104)</f>
        <v>980.15</v>
      </c>
      <c r="F1105" s="974">
        <f>SUM(F1101:F1104)</f>
        <v>1140.19</v>
      </c>
      <c r="G1105" s="971">
        <f>SUM(G1101:G1104)</f>
        <v>1314.42</v>
      </c>
      <c r="H1105" s="964" t="s">
        <v>2299</v>
      </c>
    </row>
    <row r="1106" spans="1:8" hidden="1">
      <c r="A1106" s="967"/>
      <c r="B1106" s="967"/>
      <c r="C1106" s="962"/>
      <c r="D1106" s="967"/>
      <c r="E1106" s="966" t="s">
        <v>161</v>
      </c>
      <c r="F1106" s="966" t="s">
        <v>162</v>
      </c>
      <c r="G1106" s="974" t="s">
        <v>163</v>
      </c>
      <c r="H1106" s="964" t="s">
        <v>2299</v>
      </c>
    </row>
    <row r="1107" spans="1:8" hidden="1">
      <c r="A1107" s="967"/>
      <c r="B1107" s="967"/>
      <c r="C1107" s="962" t="s">
        <v>1290</v>
      </c>
      <c r="D1107" s="967"/>
      <c r="E1107" s="970">
        <f>G1092</f>
        <v>5181.5199999999995</v>
      </c>
      <c r="F1107" s="970">
        <f>G1092</f>
        <v>5181.5199999999995</v>
      </c>
      <c r="G1107" s="972">
        <f>G1092</f>
        <v>5181.5199999999995</v>
      </c>
      <c r="H1107" s="964" t="s">
        <v>2299</v>
      </c>
    </row>
    <row r="1108" spans="1:8" hidden="1">
      <c r="A1108" s="967"/>
      <c r="B1108" s="967"/>
      <c r="C1108" s="962" t="s">
        <v>1269</v>
      </c>
      <c r="D1108" s="967">
        <v>0.125</v>
      </c>
      <c r="E1108" s="970">
        <f>ROUND(E1107*0.125,2)</f>
        <v>647.69000000000005</v>
      </c>
      <c r="F1108" s="970">
        <f>ROUND(F1107*0.125,2)</f>
        <v>647.69000000000005</v>
      </c>
      <c r="G1108" s="972">
        <f>ROUND(G1107*0.125,2)</f>
        <v>647.69000000000005</v>
      </c>
      <c r="H1108" s="964" t="s">
        <v>2299</v>
      </c>
    </row>
    <row r="1109" spans="1:8" ht="25.5" hidden="1">
      <c r="A1109" s="967"/>
      <c r="B1109" s="967"/>
      <c r="C1109" s="1382" t="s">
        <v>179</v>
      </c>
      <c r="D1109" s="967"/>
      <c r="E1109" s="970">
        <f>'MINI SSR 2020-21'!C61</f>
        <v>236</v>
      </c>
      <c r="F1109" s="970">
        <f>E1109</f>
        <v>236</v>
      </c>
      <c r="G1109" s="924">
        <f>E1109</f>
        <v>236</v>
      </c>
      <c r="H1109" s="964" t="s">
        <v>2299</v>
      </c>
    </row>
    <row r="1110" spans="1:8" hidden="1">
      <c r="A1110" s="967"/>
      <c r="B1110" s="967"/>
      <c r="C1110" s="1382" t="s">
        <v>180</v>
      </c>
      <c r="D1110" s="967"/>
      <c r="E1110" s="970">
        <f>'MINI SSR 2020-21'!D61</f>
        <v>226</v>
      </c>
      <c r="F1110" s="970">
        <f>'MINI SSR 2020-21'!E61</f>
        <v>237</v>
      </c>
      <c r="G1110" s="970">
        <f>'MINI SSR 2020-21'!F61</f>
        <v>258</v>
      </c>
      <c r="H1110" s="964" t="s">
        <v>2299</v>
      </c>
    </row>
    <row r="1111" spans="1:8" ht="25.5" hidden="1">
      <c r="A1111" s="967"/>
      <c r="B1111" s="967"/>
      <c r="C1111" s="1382" t="s">
        <v>1289</v>
      </c>
      <c r="D1111" s="967"/>
      <c r="E1111" s="967"/>
      <c r="F1111" s="970">
        <f>ROUND(((G1085+G1086+G1087+F1110)*0.1),2)</f>
        <v>149.04</v>
      </c>
      <c r="G1111" s="972">
        <f>ROUND(((G1085+G1086+G1087+G1110)*0.2),2)</f>
        <v>302.27</v>
      </c>
      <c r="H1111" s="964" t="s">
        <v>2299</v>
      </c>
    </row>
    <row r="1112" spans="1:8" hidden="1">
      <c r="A1112" s="967"/>
      <c r="B1112" s="967"/>
      <c r="C1112" s="962" t="s">
        <v>181</v>
      </c>
      <c r="D1112" s="967"/>
      <c r="E1112" s="974">
        <f>SUM(E1108:E1111)</f>
        <v>1109.69</v>
      </c>
      <c r="F1112" s="974">
        <f>SUM(F1108:F1111)</f>
        <v>1269.73</v>
      </c>
      <c r="G1112" s="971">
        <f>SUM(G1108:G1111)</f>
        <v>1443.96</v>
      </c>
      <c r="H1112" s="964" t="s">
        <v>2299</v>
      </c>
    </row>
    <row r="1113" spans="1:8" hidden="1">
      <c r="A1113" s="967"/>
      <c r="B1113" s="967"/>
      <c r="C1113" s="962"/>
      <c r="D1113" s="967"/>
      <c r="E1113" s="966" t="s">
        <v>161</v>
      </c>
      <c r="F1113" s="966" t="s">
        <v>162</v>
      </c>
      <c r="G1113" s="974" t="s">
        <v>163</v>
      </c>
      <c r="H1113" s="964" t="s">
        <v>2299</v>
      </c>
    </row>
    <row r="1114" spans="1:8" hidden="1">
      <c r="A1114" s="967"/>
      <c r="B1114" s="967"/>
      <c r="C1114" s="962" t="s">
        <v>1291</v>
      </c>
      <c r="D1114" s="967"/>
      <c r="E1114" s="970">
        <f>G1092</f>
        <v>5181.5199999999995</v>
      </c>
      <c r="F1114" s="970">
        <f>G1092</f>
        <v>5181.5199999999995</v>
      </c>
      <c r="G1114" s="972">
        <f>G1092</f>
        <v>5181.5199999999995</v>
      </c>
      <c r="H1114" s="964" t="s">
        <v>2299</v>
      </c>
    </row>
    <row r="1115" spans="1:8" hidden="1">
      <c r="A1115" s="967"/>
      <c r="B1115" s="967"/>
      <c r="C1115" s="962" t="s">
        <v>1269</v>
      </c>
      <c r="D1115" s="967">
        <v>0.15</v>
      </c>
      <c r="E1115" s="970">
        <f>ROUND(E1114*0.15,2)</f>
        <v>777.23</v>
      </c>
      <c r="F1115" s="970">
        <f>ROUND(F1114*0.15,2)</f>
        <v>777.23</v>
      </c>
      <c r="G1115" s="972">
        <f>ROUND(G1114*0.15,2)</f>
        <v>777.23</v>
      </c>
      <c r="H1115" s="964" t="s">
        <v>2299</v>
      </c>
    </row>
    <row r="1116" spans="1:8" ht="25.5" hidden="1">
      <c r="A1116" s="967"/>
      <c r="B1116" s="967"/>
      <c r="C1116" s="1382" t="s">
        <v>179</v>
      </c>
      <c r="D1116" s="967"/>
      <c r="E1116" s="970">
        <f>E1109</f>
        <v>236</v>
      </c>
      <c r="F1116" s="970">
        <f>E1116</f>
        <v>236</v>
      </c>
      <c r="G1116" s="924">
        <f>E1116</f>
        <v>236</v>
      </c>
      <c r="H1116" s="964" t="s">
        <v>2299</v>
      </c>
    </row>
    <row r="1117" spans="1:8" hidden="1">
      <c r="A1117" s="967"/>
      <c r="B1117" s="967"/>
      <c r="C1117" s="1382" t="s">
        <v>180</v>
      </c>
      <c r="D1117" s="967"/>
      <c r="E1117" s="970">
        <f>E1110</f>
        <v>226</v>
      </c>
      <c r="F1117" s="970">
        <f>F1110</f>
        <v>237</v>
      </c>
      <c r="G1117" s="924">
        <f>G1110</f>
        <v>258</v>
      </c>
      <c r="H1117" s="964" t="s">
        <v>2299</v>
      </c>
    </row>
    <row r="1118" spans="1:8" ht="25.5" hidden="1">
      <c r="A1118" s="967"/>
      <c r="B1118" s="967"/>
      <c r="C1118" s="1382" t="s">
        <v>1289</v>
      </c>
      <c r="D1118" s="967"/>
      <c r="E1118" s="967"/>
      <c r="F1118" s="970">
        <f>ROUND(((G1085+G1086+G1087+F1117)*1)*0.1,2)</f>
        <v>149.04</v>
      </c>
      <c r="G1118" s="972">
        <f>ROUND(((G1085+G1086+G1087+G1117)*1)*0.2,2)</f>
        <v>302.27</v>
      </c>
      <c r="H1118" s="964" t="s">
        <v>2299</v>
      </c>
    </row>
    <row r="1119" spans="1:8" hidden="1">
      <c r="A1119" s="967"/>
      <c r="B1119" s="967"/>
      <c r="C1119" s="962" t="s">
        <v>181</v>
      </c>
      <c r="D1119" s="967"/>
      <c r="E1119" s="974">
        <f>SUM(E1115:E1118)</f>
        <v>1239.23</v>
      </c>
      <c r="F1119" s="974">
        <f>SUM(F1115:F1118)</f>
        <v>1399.27</v>
      </c>
      <c r="G1119" s="971">
        <f>SUM(G1115:G1118)</f>
        <v>1573.5</v>
      </c>
      <c r="H1119" s="964" t="s">
        <v>2299</v>
      </c>
    </row>
    <row r="1120" spans="1:8" hidden="1">
      <c r="A1120" s="967"/>
      <c r="B1120" s="967"/>
      <c r="C1120" s="962" t="s">
        <v>1292</v>
      </c>
      <c r="D1120" s="967"/>
      <c r="E1120" s="970">
        <f>G1092</f>
        <v>5181.5199999999995</v>
      </c>
      <c r="F1120" s="970">
        <f>G1092</f>
        <v>5181.5199999999995</v>
      </c>
      <c r="G1120" s="972">
        <f>G1092</f>
        <v>5181.5199999999995</v>
      </c>
      <c r="H1120" s="964" t="s">
        <v>2299</v>
      </c>
    </row>
    <row r="1121" spans="1:8" hidden="1">
      <c r="A1121" s="967"/>
      <c r="B1121" s="967"/>
      <c r="C1121" s="962" t="s">
        <v>1269</v>
      </c>
      <c r="D1121" s="973">
        <v>0.17499999999999999</v>
      </c>
      <c r="E1121" s="970">
        <f>ROUND(E1120*0.175,2)</f>
        <v>906.77</v>
      </c>
      <c r="F1121" s="970">
        <f>ROUND(F1120*0.175,2)</f>
        <v>906.77</v>
      </c>
      <c r="G1121" s="972">
        <f>ROUND(G1120*0.175,2)</f>
        <v>906.77</v>
      </c>
      <c r="H1121" s="964" t="s">
        <v>2299</v>
      </c>
    </row>
    <row r="1122" spans="1:8" ht="25.5" hidden="1">
      <c r="A1122" s="967"/>
      <c r="B1122" s="967"/>
      <c r="C1122" s="1382" t="s">
        <v>183</v>
      </c>
      <c r="D1122" s="967"/>
      <c r="E1122" s="970">
        <f>'MINI SSR 2020-21'!C62</f>
        <v>243</v>
      </c>
      <c r="F1122" s="970">
        <f>E1122</f>
        <v>243</v>
      </c>
      <c r="G1122" s="924">
        <f>E1122</f>
        <v>243</v>
      </c>
      <c r="H1122" s="964" t="s">
        <v>2299</v>
      </c>
    </row>
    <row r="1123" spans="1:8" hidden="1">
      <c r="A1123" s="967"/>
      <c r="B1123" s="967"/>
      <c r="C1123" s="1382" t="s">
        <v>184</v>
      </c>
      <c r="D1123" s="967"/>
      <c r="E1123" s="970">
        <f>'MINI SSR 2020-21'!D62</f>
        <v>233</v>
      </c>
      <c r="F1123" s="970">
        <f>'MINI SSR 2020-21'!E62</f>
        <v>244</v>
      </c>
      <c r="G1123" s="970">
        <f>'MINI SSR 2020-21'!F62</f>
        <v>266</v>
      </c>
      <c r="H1123" s="964" t="s">
        <v>2299</v>
      </c>
    </row>
    <row r="1124" spans="1:8" ht="25.5" hidden="1">
      <c r="A1124" s="967"/>
      <c r="B1124" s="967"/>
      <c r="C1124" s="1382" t="s">
        <v>1289</v>
      </c>
      <c r="D1124" s="967"/>
      <c r="E1124" s="967"/>
      <c r="F1124" s="970">
        <f>ROUND(((G1085+G1086+G1087+F1123)*1)*0.1,2)</f>
        <v>149.74</v>
      </c>
      <c r="G1124" s="972">
        <f>ROUND(((G1085+G1086+G1087+G1123)*1)*0.2,2)</f>
        <v>303.87</v>
      </c>
      <c r="H1124" s="964" t="s">
        <v>2299</v>
      </c>
    </row>
    <row r="1125" spans="1:8" hidden="1">
      <c r="A1125" s="967"/>
      <c r="B1125" s="967"/>
      <c r="C1125" s="962" t="s">
        <v>181</v>
      </c>
      <c r="D1125" s="967"/>
      <c r="E1125" s="974">
        <f>SUM(E1121:E1124)</f>
        <v>1382.77</v>
      </c>
      <c r="F1125" s="974">
        <f>SUM(F1121:F1124)</f>
        <v>1543.51</v>
      </c>
      <c r="G1125" s="971">
        <f>SUM(G1121:G1124)</f>
        <v>1719.6399999999999</v>
      </c>
      <c r="H1125" s="964" t="s">
        <v>2299</v>
      </c>
    </row>
    <row r="1126" spans="1:8" hidden="1">
      <c r="A1126" s="967"/>
      <c r="B1126" s="967"/>
      <c r="C1126" s="962" t="s">
        <v>1293</v>
      </c>
      <c r="D1126" s="967"/>
      <c r="E1126" s="966" t="s">
        <v>161</v>
      </c>
      <c r="F1126" s="966" t="s">
        <v>162</v>
      </c>
      <c r="G1126" s="974" t="s">
        <v>163</v>
      </c>
      <c r="H1126" s="964" t="s">
        <v>2299</v>
      </c>
    </row>
    <row r="1127" spans="1:8" hidden="1">
      <c r="A1127" s="967"/>
      <c r="B1127" s="967"/>
      <c r="C1127" s="1382" t="s">
        <v>168</v>
      </c>
      <c r="D1127" s="967"/>
      <c r="E1127" s="970">
        <f>G1092</f>
        <v>5181.5199999999995</v>
      </c>
      <c r="F1127" s="970">
        <f>E1127</f>
        <v>5181.5199999999995</v>
      </c>
      <c r="G1127" s="969">
        <f>F1127</f>
        <v>5181.5199999999995</v>
      </c>
      <c r="H1127" s="964" t="s">
        <v>2299</v>
      </c>
    </row>
    <row r="1128" spans="1:8" hidden="1">
      <c r="A1128" s="967"/>
      <c r="B1128" s="967"/>
      <c r="C1128" s="1382" t="s">
        <v>169</v>
      </c>
      <c r="D1128" s="976">
        <v>0.05</v>
      </c>
      <c r="E1128" s="970">
        <f>ROUND(E1127*D1128,2)</f>
        <v>259.08</v>
      </c>
      <c r="F1128" s="970">
        <f>ROUND(F1127*D1128,2)</f>
        <v>259.08</v>
      </c>
      <c r="G1128" s="969">
        <f>ROUND(G1127*D1128,2)</f>
        <v>259.08</v>
      </c>
      <c r="H1128" s="964" t="s">
        <v>2299</v>
      </c>
    </row>
    <row r="1129" spans="1:8" ht="25.5" hidden="1">
      <c r="A1129" s="967"/>
      <c r="B1129" s="967"/>
      <c r="C1129" s="1382" t="s">
        <v>171</v>
      </c>
      <c r="D1129" s="970" t="s">
        <v>77</v>
      </c>
      <c r="E1129" s="970">
        <f>'MINI SSR 2020-21'!$C$59</f>
        <v>233</v>
      </c>
      <c r="F1129" s="970">
        <f>E1129</f>
        <v>233</v>
      </c>
      <c r="G1129" s="972">
        <f>F1129</f>
        <v>233</v>
      </c>
      <c r="H1129" s="964" t="s">
        <v>2299</v>
      </c>
    </row>
    <row r="1130" spans="1:8" hidden="1">
      <c r="A1130" s="967"/>
      <c r="B1130" s="967"/>
      <c r="C1130" s="1382" t="s">
        <v>172</v>
      </c>
      <c r="D1130" s="970" t="s">
        <v>77</v>
      </c>
      <c r="E1130" s="970">
        <f>'MINI SSR 2020-21'!$D$59</f>
        <v>248</v>
      </c>
      <c r="F1130" s="970">
        <f>'MINI SSR 2020-21'!$E$59</f>
        <v>273</v>
      </c>
      <c r="G1130" s="970">
        <f>'MINI SSR 2020-21'!$F$59</f>
        <v>298</v>
      </c>
      <c r="H1130" s="964" t="s">
        <v>2299</v>
      </c>
    </row>
    <row r="1131" spans="1:8" ht="25.5" hidden="1">
      <c r="A1131" s="967"/>
      <c r="B1131" s="967"/>
      <c r="C1131" s="1382" t="s">
        <v>170</v>
      </c>
      <c r="D1131" s="967"/>
      <c r="E1131" s="967"/>
      <c r="F1131" s="970">
        <f>ROUND(((G1085+G1086+G1087+F1130))*0.1,2)</f>
        <v>152.63999999999999</v>
      </c>
      <c r="G1131" s="972">
        <f>ROUND(((G1085+G1086+G1087+G1130))*0.2,2)</f>
        <v>310.27</v>
      </c>
      <c r="H1131" s="964" t="s">
        <v>2299</v>
      </c>
    </row>
    <row r="1132" spans="1:8" hidden="1">
      <c r="A1132" s="967"/>
      <c r="B1132" s="967"/>
      <c r="C1132" s="962" t="s">
        <v>175</v>
      </c>
      <c r="D1132" s="967"/>
      <c r="E1132" s="974">
        <f>SUM(E1128:E1131)</f>
        <v>740.07999999999993</v>
      </c>
      <c r="F1132" s="974">
        <f>SUM(F1128:F1131)</f>
        <v>917.71999999999991</v>
      </c>
      <c r="G1132" s="971">
        <f>SUM(G1128:G1131)</f>
        <v>1100.3499999999999</v>
      </c>
      <c r="H1132" s="964" t="s">
        <v>2299</v>
      </c>
    </row>
    <row r="1133" spans="1:8" hidden="1">
      <c r="A1133" s="896"/>
      <c r="B1133" s="966"/>
      <c r="C1133" s="962" t="s">
        <v>173</v>
      </c>
      <c r="D1133" s="967"/>
      <c r="E1133" s="967"/>
      <c r="F1133" s="967"/>
      <c r="G1133" s="972"/>
      <c r="H1133" s="964" t="s">
        <v>2299</v>
      </c>
    </row>
    <row r="1134" spans="1:8" hidden="1">
      <c r="A1134" s="967"/>
      <c r="B1134" s="967"/>
      <c r="C1134" s="962"/>
      <c r="D1134" s="967"/>
      <c r="E1134" s="966" t="s">
        <v>161</v>
      </c>
      <c r="F1134" s="966" t="s">
        <v>162</v>
      </c>
      <c r="G1134" s="974" t="s">
        <v>163</v>
      </c>
      <c r="H1134" s="964" t="s">
        <v>2299</v>
      </c>
    </row>
    <row r="1135" spans="1:8" hidden="1">
      <c r="A1135" s="967"/>
      <c r="B1135" s="967"/>
      <c r="C1135" s="1382" t="s">
        <v>174</v>
      </c>
      <c r="D1135" s="976"/>
      <c r="E1135" s="970">
        <f>E1127</f>
        <v>5181.5199999999995</v>
      </c>
      <c r="F1135" s="970">
        <f>F1127</f>
        <v>5181.5199999999995</v>
      </c>
      <c r="G1135" s="972">
        <f>G1127</f>
        <v>5181.5199999999995</v>
      </c>
      <c r="H1135" s="964" t="s">
        <v>2299</v>
      </c>
    </row>
    <row r="1136" spans="1:8" hidden="1">
      <c r="A1136" s="967"/>
      <c r="B1136" s="967"/>
      <c r="C1136" s="1382" t="s">
        <v>1270</v>
      </c>
      <c r="D1136" s="976">
        <v>3.7499999999999999E-2</v>
      </c>
      <c r="E1136" s="970">
        <f>ROUND(E1135*0.0375,2)</f>
        <v>194.31</v>
      </c>
      <c r="F1136" s="970">
        <f>ROUND(F1135*0.0375,2)</f>
        <v>194.31</v>
      </c>
      <c r="G1136" s="972">
        <f>ROUND(G1135*0.0375,2)</f>
        <v>194.31</v>
      </c>
      <c r="H1136" s="964" t="s">
        <v>2299</v>
      </c>
    </row>
    <row r="1137" spans="1:8" hidden="1">
      <c r="A1137" s="967"/>
      <c r="B1137" s="967"/>
      <c r="C1137" s="1382" t="s">
        <v>834</v>
      </c>
      <c r="D1137" s="970">
        <v>0.6</v>
      </c>
      <c r="E1137" s="970">
        <f>'MINI SSR 2020-21'!$C$59*D1137</f>
        <v>139.79999999999998</v>
      </c>
      <c r="F1137" s="970">
        <f>'MINI SSR 2020-21'!$C$59*D1137</f>
        <v>139.79999999999998</v>
      </c>
      <c r="G1137" s="970">
        <f>'MINI SSR 2020-21'!$C$59*D1137</f>
        <v>139.79999999999998</v>
      </c>
      <c r="H1137" s="964" t="s">
        <v>2299</v>
      </c>
    </row>
    <row r="1138" spans="1:8" hidden="1">
      <c r="A1138" s="967"/>
      <c r="B1138" s="967"/>
      <c r="C1138" s="1382" t="s">
        <v>835</v>
      </c>
      <c r="D1138" s="970">
        <v>0.6</v>
      </c>
      <c r="E1138" s="970">
        <f>'MINI SSR 2020-21'!$D$59*D1138</f>
        <v>148.79999999999998</v>
      </c>
      <c r="F1138" s="970">
        <f>'MINI SSR 2020-21'!$E$59*D1138</f>
        <v>163.79999999999998</v>
      </c>
      <c r="G1138" s="970">
        <f>'MINI SSR 2020-21'!$F$59*D1138</f>
        <v>178.79999999999998</v>
      </c>
      <c r="H1138" s="964" t="s">
        <v>2299</v>
      </c>
    </row>
    <row r="1139" spans="1:8" ht="25.5" hidden="1">
      <c r="A1139" s="967"/>
      <c r="B1139" s="967"/>
      <c r="C1139" s="1382" t="s">
        <v>170</v>
      </c>
      <c r="D1139" s="970">
        <v>0.6</v>
      </c>
      <c r="E1139" s="967"/>
      <c r="F1139" s="972">
        <f>ROUND(((G1085+G1086+G1087+F1138)*0.6)*0.1,2)</f>
        <v>85.03</v>
      </c>
      <c r="G1139" s="972">
        <f>ROUND(((G1085+G1086+G1087+G1138)*0.6)*0.2,2)</f>
        <v>171.86</v>
      </c>
      <c r="H1139" s="964" t="s">
        <v>2299</v>
      </c>
    </row>
    <row r="1140" spans="1:8" hidden="1">
      <c r="A1140" s="967"/>
      <c r="B1140" s="967"/>
      <c r="C1140" s="962" t="s">
        <v>176</v>
      </c>
      <c r="D1140" s="967"/>
      <c r="E1140" s="974">
        <f>SUM(E1136:E1139)</f>
        <v>482.90999999999997</v>
      </c>
      <c r="F1140" s="974">
        <f>SUM(F1136:F1139)</f>
        <v>582.93999999999994</v>
      </c>
      <c r="G1140" s="971">
        <f>SUM(G1136:G1139)</f>
        <v>684.77</v>
      </c>
      <c r="H1140" s="964" t="s">
        <v>2299</v>
      </c>
    </row>
    <row r="1141" spans="1:8" ht="191.25" hidden="1">
      <c r="A1141" s="896">
        <v>17</v>
      </c>
      <c r="B1141" s="966" t="s">
        <v>78</v>
      </c>
      <c r="C1141" s="1382" t="s">
        <v>1315</v>
      </c>
      <c r="D1141" s="967"/>
      <c r="E1141" s="967"/>
      <c r="F1141" s="967"/>
      <c r="G1141" s="966"/>
      <c r="H1141" s="964" t="s">
        <v>2299</v>
      </c>
    </row>
    <row r="1142" spans="1:8" hidden="1">
      <c r="A1142" s="896"/>
      <c r="B1142" s="966"/>
      <c r="C1142" s="962" t="s">
        <v>1210</v>
      </c>
      <c r="D1142" s="967"/>
      <c r="E1142" s="967"/>
      <c r="F1142" s="967"/>
      <c r="G1142" s="972"/>
      <c r="H1142" s="964" t="s">
        <v>2299</v>
      </c>
    </row>
    <row r="1143" spans="1:8" hidden="1">
      <c r="A1143" s="896"/>
      <c r="B1143" s="966"/>
      <c r="C1143" s="962" t="s">
        <v>60</v>
      </c>
      <c r="D1143" s="966"/>
      <c r="E1143" s="966"/>
      <c r="F1143" s="966"/>
      <c r="G1143" s="972"/>
      <c r="H1143" s="964" t="s">
        <v>2299</v>
      </c>
    </row>
    <row r="1144" spans="1:8" hidden="1">
      <c r="A1144" s="896"/>
      <c r="B1144" s="966"/>
      <c r="C1144" s="1382" t="s">
        <v>154</v>
      </c>
      <c r="D1144" s="967" t="s">
        <v>35</v>
      </c>
      <c r="E1144" s="970">
        <v>0.8</v>
      </c>
      <c r="F1144" s="970">
        <f>F954</f>
        <v>1799.05</v>
      </c>
      <c r="G1144" s="969">
        <f>ROUND(E1144*F1144,2)</f>
        <v>1439.24</v>
      </c>
      <c r="H1144" s="964" t="s">
        <v>2299</v>
      </c>
    </row>
    <row r="1145" spans="1:8" hidden="1">
      <c r="A1145" s="896"/>
      <c r="B1145" s="966"/>
      <c r="C1145" s="1382" t="s">
        <v>112</v>
      </c>
      <c r="D1145" s="967" t="s">
        <v>35</v>
      </c>
      <c r="E1145" s="970">
        <v>0.4</v>
      </c>
      <c r="F1145" s="970">
        <f>'lead 20-21'!L13</f>
        <v>1451.600000000001</v>
      </c>
      <c r="G1145" s="969">
        <f>ROUND(E1145*F1145,2)</f>
        <v>580.64</v>
      </c>
      <c r="H1145" s="964" t="s">
        <v>2299</v>
      </c>
    </row>
    <row r="1146" spans="1:8" hidden="1">
      <c r="A1146" s="967"/>
      <c r="B1146" s="967"/>
      <c r="C1146" s="1382" t="s">
        <v>33</v>
      </c>
      <c r="D1146" s="967" t="s">
        <v>4</v>
      </c>
      <c r="E1146" s="970">
        <f>E1083</f>
        <v>340</v>
      </c>
      <c r="F1146" s="970">
        <f>'lead 20-21'!L8</f>
        <v>4700</v>
      </c>
      <c r="G1146" s="969">
        <f>ROUND(E1146*F1146/1000,2)</f>
        <v>1598</v>
      </c>
      <c r="H1146" s="964" t="s">
        <v>2299</v>
      </c>
    </row>
    <row r="1147" spans="1:8" hidden="1">
      <c r="A1147" s="967"/>
      <c r="B1147" s="967"/>
      <c r="C1147" s="962" t="s">
        <v>68</v>
      </c>
      <c r="D1147" s="967"/>
      <c r="E1147" s="970"/>
      <c r="F1147" s="970"/>
      <c r="G1147" s="969"/>
      <c r="H1147" s="964" t="s">
        <v>2299</v>
      </c>
    </row>
    <row r="1148" spans="1:8" hidden="1">
      <c r="A1148" s="967"/>
      <c r="B1148" s="967"/>
      <c r="C1148" s="1382" t="s">
        <v>64</v>
      </c>
      <c r="D1148" s="967" t="s">
        <v>27</v>
      </c>
      <c r="E1148" s="973">
        <v>6.7000000000000004E-2</v>
      </c>
      <c r="F1148" s="970">
        <f>'MINI SSR 2020-21'!$H$3</f>
        <v>550</v>
      </c>
      <c r="G1148" s="969">
        <f>ROUND(E1148*F1148,2)</f>
        <v>36.85</v>
      </c>
      <c r="H1148" s="964" t="s">
        <v>2299</v>
      </c>
    </row>
    <row r="1149" spans="1:8" hidden="1">
      <c r="A1149" s="967"/>
      <c r="B1149" s="967"/>
      <c r="C1149" s="1382" t="s">
        <v>69</v>
      </c>
      <c r="D1149" s="967" t="s">
        <v>27</v>
      </c>
      <c r="E1149" s="973">
        <v>0.13300000000000001</v>
      </c>
      <c r="F1149" s="970">
        <f>'MINI SSR 2020-21'!$H$4</f>
        <v>500</v>
      </c>
      <c r="G1149" s="969">
        <f>ROUND(E1149*F1149,2)</f>
        <v>66.5</v>
      </c>
      <c r="H1149" s="964" t="s">
        <v>2299</v>
      </c>
    </row>
    <row r="1150" spans="1:8" hidden="1">
      <c r="A1150" s="967"/>
      <c r="B1150" s="967"/>
      <c r="C1150" s="1382" t="s">
        <v>70</v>
      </c>
      <c r="D1150" s="967" t="s">
        <v>27</v>
      </c>
      <c r="E1150" s="973">
        <v>2.5</v>
      </c>
      <c r="F1150" s="970">
        <f>'MINI SSR 2020-21'!H$5</f>
        <v>460</v>
      </c>
      <c r="G1150" s="969">
        <f>ROUND(E1150*F1150,2)</f>
        <v>1150</v>
      </c>
      <c r="H1150" s="964" t="s">
        <v>2299</v>
      </c>
    </row>
    <row r="1151" spans="1:8" hidden="1">
      <c r="A1151" s="967"/>
      <c r="B1151" s="967"/>
      <c r="C1151" s="962" t="s">
        <v>61</v>
      </c>
      <c r="D1151" s="967"/>
      <c r="E1151" s="970"/>
      <c r="F1151" s="970"/>
      <c r="G1151" s="969"/>
      <c r="H1151" s="964" t="s">
        <v>2299</v>
      </c>
    </row>
    <row r="1152" spans="1:8" hidden="1">
      <c r="A1152" s="967"/>
      <c r="B1152" s="967"/>
      <c r="C1152" s="1382" t="s">
        <v>62</v>
      </c>
      <c r="D1152" s="967" t="s">
        <v>21</v>
      </c>
      <c r="E1152" s="973">
        <v>0.26700000000000002</v>
      </c>
      <c r="F1152" s="970">
        <f>'MINI SSR 2020-21'!$C$30</f>
        <v>566.1</v>
      </c>
      <c r="G1152" s="969">
        <f>ROUND(E1152*F1152,2)</f>
        <v>151.15</v>
      </c>
      <c r="H1152" s="964" t="s">
        <v>2299</v>
      </c>
    </row>
    <row r="1153" spans="1:8" hidden="1">
      <c r="A1153" s="967"/>
      <c r="B1153" s="967"/>
      <c r="C1153" s="1382" t="s">
        <v>57</v>
      </c>
      <c r="D1153" s="967" t="s">
        <v>58</v>
      </c>
      <c r="E1153" s="970">
        <v>1.2</v>
      </c>
      <c r="F1153" s="922">
        <f>'MINI SSR 2020-21'!$C$29</f>
        <v>83</v>
      </c>
      <c r="G1153" s="969">
        <f>ROUND(E1153*F1153,2)</f>
        <v>99.6</v>
      </c>
      <c r="H1153" s="964" t="s">
        <v>2299</v>
      </c>
    </row>
    <row r="1154" spans="1:8" hidden="1">
      <c r="A1154" s="967"/>
      <c r="B1154" s="967"/>
      <c r="C1154" s="962" t="s">
        <v>71</v>
      </c>
      <c r="D1154" s="967"/>
      <c r="E1154" s="967"/>
      <c r="F1154" s="967"/>
      <c r="G1154" s="971">
        <f>SUM(G1144:G1153)+0.01</f>
        <v>5121.99</v>
      </c>
      <c r="H1154" s="964" t="s">
        <v>2299</v>
      </c>
    </row>
    <row r="1155" spans="1:8" hidden="1">
      <c r="A1155" s="967"/>
      <c r="B1155" s="967"/>
      <c r="C1155" s="962"/>
      <c r="D1155" s="967"/>
      <c r="E1155" s="966" t="s">
        <v>161</v>
      </c>
      <c r="F1155" s="966" t="s">
        <v>162</v>
      </c>
      <c r="G1155" s="974" t="s">
        <v>163</v>
      </c>
      <c r="H1155" s="964" t="s">
        <v>2299</v>
      </c>
    </row>
    <row r="1156" spans="1:8" hidden="1">
      <c r="A1156" s="967"/>
      <c r="B1156" s="967"/>
      <c r="C1156" s="962" t="s">
        <v>1294</v>
      </c>
      <c r="D1156" s="967"/>
      <c r="E1156" s="970">
        <f>G1154</f>
        <v>5121.99</v>
      </c>
      <c r="F1156" s="970">
        <f>G1154</f>
        <v>5121.99</v>
      </c>
      <c r="G1156" s="972">
        <f>G1154</f>
        <v>5121.99</v>
      </c>
      <c r="H1156" s="964" t="s">
        <v>2299</v>
      </c>
    </row>
    <row r="1157" spans="1:8" hidden="1">
      <c r="A1157" s="967"/>
      <c r="B1157" s="967"/>
      <c r="C1157" s="962" t="s">
        <v>1271</v>
      </c>
      <c r="D1157" s="970">
        <v>0.05</v>
      </c>
      <c r="E1157" s="970">
        <f>ROUND(E1156*D1157,2)</f>
        <v>256.10000000000002</v>
      </c>
      <c r="F1157" s="970">
        <f>ROUND(F1156*D1157,2)</f>
        <v>256.10000000000002</v>
      </c>
      <c r="G1157" s="972">
        <f>ROUND(G1156*D1157,2)</f>
        <v>256.10000000000002</v>
      </c>
      <c r="H1157" s="964" t="s">
        <v>2299</v>
      </c>
    </row>
    <row r="1158" spans="1:8" ht="25.5" hidden="1">
      <c r="A1158" s="967"/>
      <c r="B1158" s="967"/>
      <c r="C1158" s="1382" t="s">
        <v>1211</v>
      </c>
      <c r="D1158" s="967"/>
      <c r="E1158" s="970">
        <f>E1102*50%</f>
        <v>118</v>
      </c>
      <c r="F1158" s="970">
        <f>E1158</f>
        <v>118</v>
      </c>
      <c r="G1158" s="924">
        <f>E1158</f>
        <v>118</v>
      </c>
      <c r="H1158" s="964" t="s">
        <v>2299</v>
      </c>
    </row>
    <row r="1159" spans="1:8" ht="25.5" hidden="1">
      <c r="A1159" s="967"/>
      <c r="B1159" s="967"/>
      <c r="C1159" s="1382" t="s">
        <v>1212</v>
      </c>
      <c r="D1159" s="967"/>
      <c r="E1159" s="970">
        <f>E1103*50%</f>
        <v>113</v>
      </c>
      <c r="F1159" s="970">
        <f>F1103*50%</f>
        <v>118.5</v>
      </c>
      <c r="G1159" s="972">
        <f>G1103*50%</f>
        <v>129</v>
      </c>
      <c r="H1159" s="964" t="s">
        <v>2299</v>
      </c>
    </row>
    <row r="1160" spans="1:8" ht="25.5" hidden="1">
      <c r="A1160" s="967"/>
      <c r="B1160" s="967"/>
      <c r="C1160" s="1382" t="s">
        <v>1289</v>
      </c>
      <c r="D1160" s="967"/>
      <c r="E1160" s="967"/>
      <c r="F1160" s="970">
        <f>ROUND(((G1148+G1149+G1150+F1159)*0.1),2)</f>
        <v>137.19</v>
      </c>
      <c r="G1160" s="970">
        <f>ROUND(((G1148+G1149+G1150+G1159)*0.2),2)</f>
        <v>276.47000000000003</v>
      </c>
      <c r="H1160" s="964" t="s">
        <v>2299</v>
      </c>
    </row>
    <row r="1161" spans="1:8" hidden="1">
      <c r="A1161" s="967"/>
      <c r="B1161" s="967"/>
      <c r="C1161" s="962" t="s">
        <v>181</v>
      </c>
      <c r="D1161" s="967"/>
      <c r="E1161" s="974">
        <f>SUM(E1157:E1160)</f>
        <v>487.1</v>
      </c>
      <c r="F1161" s="974">
        <f>SUM(F1157:F1160)</f>
        <v>629.79</v>
      </c>
      <c r="G1161" s="971">
        <f>SUM(G1157:G1160)</f>
        <v>779.57</v>
      </c>
      <c r="H1161" s="964" t="s">
        <v>2299</v>
      </c>
    </row>
    <row r="1162" spans="1:8" hidden="1">
      <c r="A1162" s="967"/>
      <c r="B1162" s="967"/>
      <c r="C1162" s="962"/>
      <c r="D1162" s="967"/>
      <c r="E1162" s="966" t="s">
        <v>161</v>
      </c>
      <c r="F1162" s="966" t="s">
        <v>162</v>
      </c>
      <c r="G1162" s="974" t="s">
        <v>163</v>
      </c>
      <c r="H1162" s="964" t="s">
        <v>2299</v>
      </c>
    </row>
    <row r="1163" spans="1:8" hidden="1">
      <c r="A1163" s="967"/>
      <c r="B1163" s="967"/>
      <c r="C1163" s="962" t="s">
        <v>1295</v>
      </c>
      <c r="D1163" s="967"/>
      <c r="E1163" s="970">
        <f>G1154</f>
        <v>5121.99</v>
      </c>
      <c r="F1163" s="970">
        <f>E1163</f>
        <v>5121.99</v>
      </c>
      <c r="G1163" s="972">
        <f>F1163</f>
        <v>5121.99</v>
      </c>
      <c r="H1163" s="964" t="s">
        <v>2299</v>
      </c>
    </row>
    <row r="1164" spans="1:8" hidden="1">
      <c r="A1164" s="967"/>
      <c r="B1164" s="967"/>
      <c r="C1164" s="962" t="s">
        <v>1271</v>
      </c>
      <c r="D1164" s="973">
        <v>2.5000000000000001E-2</v>
      </c>
      <c r="E1164" s="970">
        <f>ROUND(E1163*D1164,2)</f>
        <v>128.05000000000001</v>
      </c>
      <c r="F1164" s="970">
        <f>ROUND(F1163*D1164,2)</f>
        <v>128.05000000000001</v>
      </c>
      <c r="G1164" s="972">
        <f>ROUND(G1163*D1164,2)</f>
        <v>128.05000000000001</v>
      </c>
      <c r="H1164" s="964" t="s">
        <v>2299</v>
      </c>
    </row>
    <row r="1165" spans="1:8" ht="25.5" hidden="1">
      <c r="A1165" s="967"/>
      <c r="B1165" s="967"/>
      <c r="C1165" s="1382" t="s">
        <v>1211</v>
      </c>
      <c r="D1165" s="967"/>
      <c r="E1165" s="970">
        <f>E1109*50%</f>
        <v>118</v>
      </c>
      <c r="F1165" s="970">
        <f>E1165</f>
        <v>118</v>
      </c>
      <c r="G1165" s="924">
        <f>E1165</f>
        <v>118</v>
      </c>
      <c r="H1165" s="964" t="s">
        <v>2299</v>
      </c>
    </row>
    <row r="1166" spans="1:8" ht="25.5" hidden="1">
      <c r="A1166" s="967"/>
      <c r="B1166" s="967"/>
      <c r="C1166" s="1382" t="s">
        <v>1212</v>
      </c>
      <c r="D1166" s="967"/>
      <c r="E1166" s="970">
        <f>E1110*50%</f>
        <v>113</v>
      </c>
      <c r="F1166" s="970">
        <f>F1110*50%</f>
        <v>118.5</v>
      </c>
      <c r="G1166" s="972">
        <f>G1110*50%</f>
        <v>129</v>
      </c>
      <c r="H1166" s="964" t="s">
        <v>2299</v>
      </c>
    </row>
    <row r="1167" spans="1:8" ht="25.5" hidden="1">
      <c r="A1167" s="967"/>
      <c r="B1167" s="967"/>
      <c r="C1167" s="1382" t="s">
        <v>1289</v>
      </c>
      <c r="D1167" s="967"/>
      <c r="E1167" s="967"/>
      <c r="F1167" s="970">
        <f>ROUND(((G1148+G1149+G1150+F1166)*0.1),2)</f>
        <v>137.19</v>
      </c>
      <c r="G1167" s="970">
        <f>ROUND(((G1148+G1149+G1150+G1166)*0.2),2)</f>
        <v>276.47000000000003</v>
      </c>
      <c r="H1167" s="964" t="s">
        <v>2299</v>
      </c>
    </row>
    <row r="1168" spans="1:8" hidden="1">
      <c r="A1168" s="967"/>
      <c r="B1168" s="967"/>
      <c r="C1168" s="962" t="s">
        <v>181</v>
      </c>
      <c r="D1168" s="967"/>
      <c r="E1168" s="974">
        <f>SUM(E1164:E1167)</f>
        <v>359.05</v>
      </c>
      <c r="F1168" s="974">
        <f>SUM(F1164:F1167)</f>
        <v>501.74</v>
      </c>
      <c r="G1168" s="971">
        <f>SUM(G1164:G1167)</f>
        <v>651.52</v>
      </c>
      <c r="H1168" s="964" t="s">
        <v>2299</v>
      </c>
    </row>
    <row r="1169" spans="1:8" ht="127.5" hidden="1">
      <c r="A1169" s="896">
        <v>18</v>
      </c>
      <c r="B1169" s="966"/>
      <c r="C1169" s="1382" t="s">
        <v>315</v>
      </c>
      <c r="D1169" s="967"/>
      <c r="E1169" s="967"/>
      <c r="F1169" s="967"/>
      <c r="G1169" s="966"/>
      <c r="H1169" s="964" t="s">
        <v>2299</v>
      </c>
    </row>
    <row r="1170" spans="1:8" hidden="1">
      <c r="A1170" s="896"/>
      <c r="B1170" s="966"/>
      <c r="C1170" s="962" t="s">
        <v>314</v>
      </c>
      <c r="D1170" s="967"/>
      <c r="E1170" s="967"/>
      <c r="F1170" s="967"/>
      <c r="G1170" s="972"/>
      <c r="H1170" s="964" t="s">
        <v>2299</v>
      </c>
    </row>
    <row r="1171" spans="1:8" hidden="1">
      <c r="A1171" s="896"/>
      <c r="B1171" s="966"/>
      <c r="C1171" s="962" t="s">
        <v>60</v>
      </c>
      <c r="D1171" s="966"/>
      <c r="E1171" s="966"/>
      <c r="F1171" s="966"/>
      <c r="G1171" s="972"/>
      <c r="H1171" s="964" t="s">
        <v>2299</v>
      </c>
    </row>
    <row r="1172" spans="1:8" hidden="1">
      <c r="A1172" s="896"/>
      <c r="B1172" s="966"/>
      <c r="C1172" s="1382" t="s">
        <v>154</v>
      </c>
      <c r="D1172" s="967" t="s">
        <v>35</v>
      </c>
      <c r="E1172" s="970">
        <v>0.8</v>
      </c>
      <c r="F1172" s="970">
        <f>F1081</f>
        <v>1799.05</v>
      </c>
      <c r="G1172" s="969">
        <f>ROUND(E1172*F1172,2)</f>
        <v>1439.24</v>
      </c>
      <c r="H1172" s="964" t="s">
        <v>2299</v>
      </c>
    </row>
    <row r="1173" spans="1:8" hidden="1">
      <c r="A1173" s="896"/>
      <c r="B1173" s="966"/>
      <c r="C1173" s="1382" t="s">
        <v>112</v>
      </c>
      <c r="D1173" s="967" t="s">
        <v>35</v>
      </c>
      <c r="E1173" s="970">
        <v>0.4</v>
      </c>
      <c r="F1173" s="970">
        <f>F1082</f>
        <v>1451.600000000001</v>
      </c>
      <c r="G1173" s="969">
        <f>ROUND(E1173*F1173,2)</f>
        <v>580.64</v>
      </c>
      <c r="H1173" s="964" t="s">
        <v>2299</v>
      </c>
    </row>
    <row r="1174" spans="1:8" hidden="1">
      <c r="A1174" s="967"/>
      <c r="B1174" s="967"/>
      <c r="C1174" s="1382" t="s">
        <v>33</v>
      </c>
      <c r="D1174" s="967" t="s">
        <v>4</v>
      </c>
      <c r="E1174" s="970">
        <f>E1146</f>
        <v>340</v>
      </c>
      <c r="F1174" s="970">
        <f>F1083</f>
        <v>4700</v>
      </c>
      <c r="G1174" s="969">
        <f>ROUND(E1174*F1174/1000,2)</f>
        <v>1598</v>
      </c>
      <c r="H1174" s="964" t="s">
        <v>2299</v>
      </c>
    </row>
    <row r="1175" spans="1:8" hidden="1">
      <c r="A1175" s="967"/>
      <c r="B1175" s="967"/>
      <c r="C1175" s="962" t="s">
        <v>68</v>
      </c>
      <c r="D1175" s="967"/>
      <c r="E1175" s="970"/>
      <c r="F1175" s="970"/>
      <c r="G1175" s="969"/>
      <c r="H1175" s="964" t="s">
        <v>2299</v>
      </c>
    </row>
    <row r="1176" spans="1:8" hidden="1">
      <c r="A1176" s="967"/>
      <c r="B1176" s="967"/>
      <c r="C1176" s="1382" t="s">
        <v>64</v>
      </c>
      <c r="D1176" s="967" t="s">
        <v>27</v>
      </c>
      <c r="E1176" s="973">
        <v>0.1</v>
      </c>
      <c r="F1176" s="970">
        <f>'MINI SSR 2020-21'!$H$3</f>
        <v>550</v>
      </c>
      <c r="G1176" s="969">
        <f>ROUND(E1176*F1176,2)</f>
        <v>55</v>
      </c>
      <c r="H1176" s="964" t="s">
        <v>2299</v>
      </c>
    </row>
    <row r="1177" spans="1:8" hidden="1">
      <c r="A1177" s="967"/>
      <c r="B1177" s="967"/>
      <c r="C1177" s="1382" t="s">
        <v>69</v>
      </c>
      <c r="D1177" s="967" t="s">
        <v>27</v>
      </c>
      <c r="E1177" s="973">
        <v>1.39</v>
      </c>
      <c r="F1177" s="970">
        <f>'MINI SSR 2020-21'!$H$4</f>
        <v>500</v>
      </c>
      <c r="G1177" s="969">
        <f>ROUND(E1177*F1177,2)</f>
        <v>695</v>
      </c>
      <c r="H1177" s="964" t="s">
        <v>2299</v>
      </c>
    </row>
    <row r="1178" spans="1:8" hidden="1">
      <c r="A1178" s="967"/>
      <c r="B1178" s="967"/>
      <c r="C1178" s="962" t="s">
        <v>61</v>
      </c>
      <c r="D1178" s="967"/>
      <c r="E1178" s="970"/>
      <c r="F1178" s="970"/>
      <c r="G1178" s="969"/>
      <c r="H1178" s="964" t="s">
        <v>2299</v>
      </c>
    </row>
    <row r="1179" spans="1:8" hidden="1">
      <c r="A1179" s="967"/>
      <c r="B1179" s="967"/>
      <c r="C1179" s="1382" t="s">
        <v>62</v>
      </c>
      <c r="D1179" s="967" t="s">
        <v>21</v>
      </c>
      <c r="E1179" s="973">
        <v>0.308</v>
      </c>
      <c r="F1179" s="970">
        <f>'MINI SSR 2020-21'!$C$30</f>
        <v>566.1</v>
      </c>
      <c r="G1179" s="969">
        <f>ROUND(E1179*F1179,2)</f>
        <v>174.36</v>
      </c>
      <c r="H1179" s="964" t="s">
        <v>2299</v>
      </c>
    </row>
    <row r="1180" spans="1:8" hidden="1">
      <c r="A1180" s="967"/>
      <c r="B1180" s="967"/>
      <c r="C1180" s="1382" t="s">
        <v>160</v>
      </c>
      <c r="D1180" s="967" t="s">
        <v>21</v>
      </c>
      <c r="E1180" s="973">
        <v>0.308</v>
      </c>
      <c r="F1180" s="970">
        <f>'MINI SSR 2020-21'!$C$31</f>
        <v>223</v>
      </c>
      <c r="G1180" s="969">
        <f>ROUND(E1180*F1180,2)</f>
        <v>68.680000000000007</v>
      </c>
      <c r="H1180" s="964" t="s">
        <v>2299</v>
      </c>
    </row>
    <row r="1181" spans="1:8" hidden="1">
      <c r="A1181" s="967"/>
      <c r="B1181" s="967"/>
      <c r="C1181" s="1382" t="s">
        <v>57</v>
      </c>
      <c r="D1181" s="967" t="s">
        <v>58</v>
      </c>
      <c r="E1181" s="970">
        <v>1.2</v>
      </c>
      <c r="F1181" s="922">
        <f>'MINI SSR 2020-21'!$C$29</f>
        <v>83</v>
      </c>
      <c r="G1181" s="969">
        <f>ROUND(E1181*F1181,2)</f>
        <v>99.6</v>
      </c>
      <c r="H1181" s="964" t="s">
        <v>2299</v>
      </c>
    </row>
    <row r="1182" spans="1:8" hidden="1">
      <c r="A1182" s="967"/>
      <c r="B1182" s="967"/>
      <c r="C1182" s="962" t="s">
        <v>71</v>
      </c>
      <c r="D1182" s="967"/>
      <c r="E1182" s="967"/>
      <c r="F1182" s="967"/>
      <c r="G1182" s="971">
        <f>SUM(G1172:G1181)</f>
        <v>4710.5200000000004</v>
      </c>
      <c r="H1182" s="964" t="s">
        <v>2299</v>
      </c>
    </row>
    <row r="1183" spans="1:8" hidden="1">
      <c r="A1183" s="967"/>
      <c r="B1183" s="967"/>
      <c r="C1183" s="962"/>
      <c r="D1183" s="967"/>
      <c r="E1183" s="966" t="s">
        <v>161</v>
      </c>
      <c r="F1183" s="966" t="s">
        <v>162</v>
      </c>
      <c r="G1183" s="966" t="s">
        <v>162</v>
      </c>
      <c r="H1183" s="964" t="s">
        <v>2299</v>
      </c>
    </row>
    <row r="1184" spans="1:8" hidden="1">
      <c r="A1184" s="967"/>
      <c r="B1184" s="967"/>
      <c r="C1184" s="962" t="s">
        <v>1296</v>
      </c>
      <c r="D1184" s="967"/>
      <c r="E1184" s="970">
        <f>G1182</f>
        <v>4710.5200000000004</v>
      </c>
      <c r="F1184" s="970">
        <f>G1182</f>
        <v>4710.5200000000004</v>
      </c>
      <c r="G1184" s="970">
        <f>F1184</f>
        <v>4710.5200000000004</v>
      </c>
      <c r="H1184" s="964" t="s">
        <v>2299</v>
      </c>
    </row>
    <row r="1185" spans="1:8" ht="25.5" hidden="1">
      <c r="A1185" s="967"/>
      <c r="B1185" s="967"/>
      <c r="C1185" s="1382" t="s">
        <v>177</v>
      </c>
      <c r="D1185" s="967"/>
      <c r="E1185" s="970">
        <f>'MINI SSR 2020-21'!C53</f>
        <v>64</v>
      </c>
      <c r="F1185" s="970">
        <f>E1185</f>
        <v>64</v>
      </c>
      <c r="G1185" s="970">
        <f>F1185</f>
        <v>64</v>
      </c>
      <c r="H1185" s="964" t="s">
        <v>2299</v>
      </c>
    </row>
    <row r="1186" spans="1:8" hidden="1">
      <c r="A1186" s="967"/>
      <c r="B1186" s="967"/>
      <c r="C1186" s="1382" t="s">
        <v>178</v>
      </c>
      <c r="D1186" s="967"/>
      <c r="E1186" s="970">
        <f>'MINI SSR 2020-21'!D53</f>
        <v>341</v>
      </c>
      <c r="F1186" s="970">
        <f>E1186</f>
        <v>341</v>
      </c>
      <c r="G1186" s="970">
        <f>F1186</f>
        <v>341</v>
      </c>
      <c r="H1186" s="964" t="s">
        <v>2299</v>
      </c>
    </row>
    <row r="1187" spans="1:8" ht="25.5" hidden="1">
      <c r="A1187" s="967"/>
      <c r="B1187" s="967"/>
      <c r="C1187" s="1382" t="s">
        <v>1285</v>
      </c>
      <c r="D1187" s="967"/>
      <c r="E1187" s="967"/>
      <c r="F1187" s="970">
        <f>ROUND((G1176+G1177+F1186)*0.1,2)</f>
        <v>109.1</v>
      </c>
      <c r="G1187" s="970">
        <f>ROUND((G1176+G1177+G1186)*0.2,2)</f>
        <v>218.2</v>
      </c>
      <c r="H1187" s="964" t="s">
        <v>2299</v>
      </c>
    </row>
    <row r="1188" spans="1:8" hidden="1">
      <c r="A1188" s="967"/>
      <c r="B1188" s="967"/>
      <c r="C1188" s="962" t="s">
        <v>182</v>
      </c>
      <c r="D1188" s="967"/>
      <c r="E1188" s="974">
        <f>SUM(E1184:E1187)</f>
        <v>5115.5200000000004</v>
      </c>
      <c r="F1188" s="974">
        <f>SUM(F1184:F1187)</f>
        <v>5224.6200000000008</v>
      </c>
      <c r="G1188" s="974">
        <f>SUM(G1184:G1187)</f>
        <v>5333.72</v>
      </c>
      <c r="H1188" s="964" t="s">
        <v>2299</v>
      </c>
    </row>
    <row r="1189" spans="1:8" ht="127.5" hidden="1">
      <c r="A1189" s="896">
        <v>18</v>
      </c>
      <c r="B1189" s="966" t="s">
        <v>1326</v>
      </c>
      <c r="C1189" s="1382" t="s">
        <v>1327</v>
      </c>
      <c r="D1189" s="967"/>
      <c r="E1189" s="967"/>
      <c r="F1189" s="967"/>
      <c r="G1189" s="966"/>
      <c r="H1189" s="964" t="s">
        <v>2299</v>
      </c>
    </row>
    <row r="1190" spans="1:8" hidden="1">
      <c r="A1190" s="896"/>
      <c r="B1190" s="966"/>
      <c r="C1190" s="962" t="s">
        <v>36</v>
      </c>
      <c r="D1190" s="967"/>
      <c r="E1190" s="967"/>
      <c r="F1190" s="967"/>
      <c r="G1190" s="902"/>
      <c r="H1190" s="964" t="s">
        <v>2299</v>
      </c>
    </row>
    <row r="1191" spans="1:8" hidden="1">
      <c r="A1191" s="896"/>
      <c r="B1191" s="967"/>
      <c r="C1191" s="962" t="s">
        <v>40</v>
      </c>
      <c r="D1191" s="967"/>
      <c r="E1191" s="967"/>
      <c r="F1191" s="967"/>
      <c r="G1191" s="902"/>
      <c r="H1191" s="964" t="s">
        <v>2299</v>
      </c>
    </row>
    <row r="1192" spans="1:8" hidden="1">
      <c r="A1192" s="896"/>
      <c r="B1192" s="968" t="s">
        <v>18</v>
      </c>
      <c r="C1192" s="962" t="s">
        <v>22</v>
      </c>
      <c r="D1192" s="967"/>
      <c r="E1192" s="967"/>
      <c r="F1192" s="967"/>
      <c r="G1192" s="902"/>
      <c r="H1192" s="964" t="s">
        <v>2299</v>
      </c>
    </row>
    <row r="1193" spans="1:8" hidden="1">
      <c r="A1193" s="902"/>
      <c r="B1193" s="902"/>
      <c r="C1193" s="1382" t="s">
        <v>37</v>
      </c>
      <c r="D1193" s="922" t="s">
        <v>34</v>
      </c>
      <c r="E1193" s="977">
        <v>1.05</v>
      </c>
      <c r="F1193" s="922">
        <f>'lead 20-21'!L9</f>
        <v>48380</v>
      </c>
      <c r="G1193" s="969">
        <f>ROUND(E1193*F1193,2)</f>
        <v>50799</v>
      </c>
      <c r="H1193" s="964" t="s">
        <v>2299</v>
      </c>
    </row>
    <row r="1194" spans="1:8" hidden="1">
      <c r="A1194" s="902"/>
      <c r="B1194" s="902"/>
      <c r="C1194" s="1382" t="s">
        <v>38</v>
      </c>
      <c r="D1194" s="896" t="s">
        <v>4</v>
      </c>
      <c r="E1194" s="922">
        <v>6</v>
      </c>
      <c r="F1194" s="922">
        <f>'MINI SSR 2020-21'!C32</f>
        <v>56</v>
      </c>
      <c r="G1194" s="969">
        <f>ROUND(E1194*F1194,2)</f>
        <v>336</v>
      </c>
      <c r="H1194" s="964" t="s">
        <v>2299</v>
      </c>
    </row>
    <row r="1195" spans="1:8" ht="25.5" hidden="1">
      <c r="A1195" s="902"/>
      <c r="B1195" s="968" t="s">
        <v>20</v>
      </c>
      <c r="C1195" s="962" t="s">
        <v>1272</v>
      </c>
      <c r="D1195" s="896"/>
      <c r="E1195" s="896"/>
      <c r="F1195" s="896"/>
      <c r="G1195" s="902"/>
      <c r="H1195" s="964" t="s">
        <v>2299</v>
      </c>
    </row>
    <row r="1196" spans="1:8" hidden="1">
      <c r="A1196" s="902"/>
      <c r="B1196" s="902"/>
      <c r="C1196" s="1382" t="s">
        <v>120</v>
      </c>
      <c r="D1196" s="896" t="s">
        <v>27</v>
      </c>
      <c r="E1196" s="922">
        <v>10</v>
      </c>
      <c r="F1196" s="922">
        <f>'MINI SSR 2020-21'!H6</f>
        <v>665</v>
      </c>
      <c r="G1196" s="969">
        <f>ROUND(E1196*F1196,2)</f>
        <v>6650</v>
      </c>
      <c r="H1196" s="964" t="s">
        <v>2299</v>
      </c>
    </row>
    <row r="1197" spans="1:8" hidden="1">
      <c r="A1197" s="902"/>
      <c r="B1197" s="902"/>
      <c r="C1197" s="1382" t="s">
        <v>19</v>
      </c>
      <c r="D1197" s="896" t="s">
        <v>27</v>
      </c>
      <c r="E1197" s="922">
        <v>10</v>
      </c>
      <c r="F1197" s="922">
        <f>'MINI SSR 2020-21'!$H$5</f>
        <v>460</v>
      </c>
      <c r="G1197" s="969">
        <f>ROUND(E1197*F1197,2)</f>
        <v>4600</v>
      </c>
      <c r="H1197" s="964" t="s">
        <v>2299</v>
      </c>
    </row>
    <row r="1198" spans="1:8" hidden="1">
      <c r="A1198" s="902"/>
      <c r="B1198" s="902"/>
      <c r="C1198" s="962" t="s">
        <v>39</v>
      </c>
      <c r="D1198" s="896"/>
      <c r="E1198" s="922"/>
      <c r="F1198" s="922"/>
      <c r="G1198" s="963">
        <f>SUM(G1193:G1197)</f>
        <v>62385</v>
      </c>
      <c r="H1198" s="964" t="s">
        <v>2299</v>
      </c>
    </row>
    <row r="1199" spans="1:8" hidden="1">
      <c r="A1199" s="967"/>
      <c r="B1199" s="967"/>
      <c r="C1199" s="962"/>
      <c r="D1199" s="967"/>
      <c r="E1199" s="966" t="s">
        <v>161</v>
      </c>
      <c r="F1199" s="974" t="s">
        <v>162</v>
      </c>
      <c r="G1199" s="974" t="s">
        <v>163</v>
      </c>
      <c r="H1199" s="964" t="s">
        <v>2299</v>
      </c>
    </row>
    <row r="1200" spans="1:8" hidden="1">
      <c r="A1200" s="967"/>
      <c r="B1200" s="967"/>
      <c r="C1200" s="962" t="s">
        <v>867</v>
      </c>
      <c r="D1200" s="967"/>
      <c r="E1200" s="970">
        <f>G1198</f>
        <v>62385</v>
      </c>
      <c r="F1200" s="972">
        <f>E1200</f>
        <v>62385</v>
      </c>
      <c r="G1200" s="972">
        <f>F1200</f>
        <v>62385</v>
      </c>
      <c r="H1200" s="964" t="s">
        <v>2299</v>
      </c>
    </row>
    <row r="1201" spans="1:8" ht="25.5" hidden="1">
      <c r="A1201" s="967"/>
      <c r="B1201" s="967"/>
      <c r="C1201" s="1382" t="s">
        <v>1285</v>
      </c>
      <c r="D1201" s="967"/>
      <c r="E1201" s="967"/>
      <c r="F1201" s="972">
        <f>ROUND((G1196+G1197)*10%,2)</f>
        <v>1125</v>
      </c>
      <c r="G1201" s="972">
        <f>ROUND((G1196+G1197)*20%,2)</f>
        <v>2250</v>
      </c>
      <c r="H1201" s="964" t="s">
        <v>2299</v>
      </c>
    </row>
    <row r="1202" spans="1:8" hidden="1">
      <c r="A1202" s="967"/>
      <c r="B1202" s="967"/>
      <c r="C1202" s="962" t="s">
        <v>894</v>
      </c>
      <c r="D1202" s="967"/>
      <c r="E1202" s="974">
        <f>SUM(E1200:E1201)</f>
        <v>62385</v>
      </c>
      <c r="F1202" s="971">
        <f>SUM(F1200:F1201)</f>
        <v>63510</v>
      </c>
      <c r="G1202" s="971">
        <f>SUM(G1200:G1201)</f>
        <v>64635</v>
      </c>
      <c r="H1202" s="964" t="s">
        <v>2299</v>
      </c>
    </row>
    <row r="1203" spans="1:8" s="982" customFormat="1" ht="204" hidden="1">
      <c r="A1203" s="978">
        <v>20</v>
      </c>
      <c r="B1203" s="979" t="s">
        <v>1328</v>
      </c>
      <c r="C1203" s="979" t="s">
        <v>1329</v>
      </c>
      <c r="D1203" s="980"/>
      <c r="E1203" s="980"/>
      <c r="F1203" s="980"/>
      <c r="G1203" s="981"/>
      <c r="H1203" s="964" t="s">
        <v>2299</v>
      </c>
    </row>
    <row r="1204" spans="1:8" s="982" customFormat="1" hidden="1">
      <c r="A1204" s="978"/>
      <c r="B1204" s="983"/>
      <c r="C1204" s="979" t="s">
        <v>1330</v>
      </c>
      <c r="D1204" s="978"/>
      <c r="E1204" s="906"/>
      <c r="F1204" s="907"/>
      <c r="G1204" s="981"/>
      <c r="H1204" s="964" t="s">
        <v>2299</v>
      </c>
    </row>
    <row r="1205" spans="1:8" s="982" customFormat="1" hidden="1">
      <c r="A1205" s="978"/>
      <c r="B1205" s="979"/>
      <c r="C1205" s="979" t="s">
        <v>1331</v>
      </c>
      <c r="D1205" s="978"/>
      <c r="E1205" s="906"/>
      <c r="F1205" s="907"/>
      <c r="G1205" s="981"/>
      <c r="H1205" s="964" t="s">
        <v>2299</v>
      </c>
    </row>
    <row r="1206" spans="1:8" s="982" customFormat="1" ht="25.5" hidden="1">
      <c r="A1206" s="978"/>
      <c r="B1206" s="979"/>
      <c r="C1206" s="979" t="s">
        <v>1332</v>
      </c>
      <c r="D1206" s="978" t="s">
        <v>34</v>
      </c>
      <c r="E1206" s="906">
        <v>1.0249999999999999</v>
      </c>
      <c r="F1206" s="907">
        <f>'lead 20-21'!L10</f>
        <v>49560</v>
      </c>
      <c r="G1206" s="981">
        <f>ROUND(F1206*E1206,2)</f>
        <v>50799</v>
      </c>
      <c r="H1206" s="964" t="s">
        <v>2299</v>
      </c>
    </row>
    <row r="1207" spans="1:8" s="982" customFormat="1" ht="25.5" hidden="1">
      <c r="A1207" s="978"/>
      <c r="B1207" s="979"/>
      <c r="C1207" s="979" t="s">
        <v>1333</v>
      </c>
      <c r="D1207" s="978" t="s">
        <v>1334</v>
      </c>
      <c r="E1207" s="906">
        <v>70</v>
      </c>
      <c r="F1207" s="907">
        <f>'MINI SSR 2020-21'!C33</f>
        <v>13</v>
      </c>
      <c r="G1207" s="981">
        <f>ROUND(F1207*E1207,2)</f>
        <v>910</v>
      </c>
      <c r="H1207" s="964" t="s">
        <v>2299</v>
      </c>
    </row>
    <row r="1208" spans="1:8" s="982" customFormat="1" ht="25.5" hidden="1">
      <c r="A1208" s="978"/>
      <c r="B1208" s="979"/>
      <c r="C1208" s="979" t="s">
        <v>1335</v>
      </c>
      <c r="D1208" s="978" t="s">
        <v>90</v>
      </c>
      <c r="E1208" s="906">
        <v>3</v>
      </c>
      <c r="F1208" s="907">
        <f>'MINI SSR 2020-21'!C32</f>
        <v>56</v>
      </c>
      <c r="G1208" s="981">
        <f>ROUND(F1208*E1208,2)</f>
        <v>168</v>
      </c>
      <c r="H1208" s="964" t="s">
        <v>2299</v>
      </c>
    </row>
    <row r="1209" spans="1:8" s="982" customFormat="1" ht="25.5" hidden="1">
      <c r="A1209" s="978"/>
      <c r="B1209" s="979"/>
      <c r="C1209" s="979" t="s">
        <v>1336</v>
      </c>
      <c r="D1209" s="978"/>
      <c r="E1209" s="906"/>
      <c r="F1209" s="907"/>
      <c r="G1209" s="981"/>
      <c r="H1209" s="964" t="s">
        <v>2299</v>
      </c>
    </row>
    <row r="1210" spans="1:8" s="982" customFormat="1" hidden="1">
      <c r="A1210" s="978"/>
      <c r="B1210" s="979"/>
      <c r="C1210" s="979" t="s">
        <v>1337</v>
      </c>
      <c r="D1210" s="978" t="s">
        <v>27</v>
      </c>
      <c r="E1210" s="906">
        <v>2.5</v>
      </c>
      <c r="F1210" s="984">
        <f>'MINI SSR 2020-21'!H10</f>
        <v>540</v>
      </c>
      <c r="G1210" s="981">
        <f>ROUND(F1210*E1210,2)</f>
        <v>1350</v>
      </c>
      <c r="H1210" s="964" t="s">
        <v>2299</v>
      </c>
    </row>
    <row r="1211" spans="1:8" s="982" customFormat="1" hidden="1">
      <c r="A1211" s="978"/>
      <c r="B1211" s="979"/>
      <c r="C1211" s="979" t="s">
        <v>1338</v>
      </c>
      <c r="D1211" s="978" t="s">
        <v>27</v>
      </c>
      <c r="E1211" s="906">
        <v>10</v>
      </c>
      <c r="F1211" s="984">
        <f>'MINI SSR 2020-21'!H11</f>
        <v>525</v>
      </c>
      <c r="G1211" s="981">
        <f>ROUND(F1211*E1211,2)</f>
        <v>5250</v>
      </c>
      <c r="H1211" s="964" t="s">
        <v>2299</v>
      </c>
    </row>
    <row r="1212" spans="1:8" s="982" customFormat="1" hidden="1">
      <c r="A1212" s="978"/>
      <c r="B1212" s="979"/>
      <c r="C1212" s="979" t="s">
        <v>1339</v>
      </c>
      <c r="D1212" s="978" t="s">
        <v>27</v>
      </c>
      <c r="E1212" s="906">
        <v>10</v>
      </c>
      <c r="F1212" s="984">
        <f>'MINI SSR 2020-21'!H5</f>
        <v>460</v>
      </c>
      <c r="G1212" s="981">
        <f>ROUND(F1212*E1212,2)</f>
        <v>4600</v>
      </c>
      <c r="H1212" s="964" t="s">
        <v>2299</v>
      </c>
    </row>
    <row r="1213" spans="1:8" s="982" customFormat="1" ht="25.5" hidden="1">
      <c r="A1213" s="978"/>
      <c r="B1213" s="979"/>
      <c r="C1213" s="979" t="s">
        <v>1340</v>
      </c>
      <c r="D1213" s="978" t="s">
        <v>1341</v>
      </c>
      <c r="E1213" s="906">
        <v>10</v>
      </c>
      <c r="F1213" s="984">
        <f>'MINI SSR 2020-21'!C34</f>
        <v>116.3</v>
      </c>
      <c r="G1213" s="981">
        <f>ROUND(F1213*E1213,2)</f>
        <v>1163</v>
      </c>
      <c r="H1213" s="964" t="s">
        <v>2299</v>
      </c>
    </row>
    <row r="1214" spans="1:8" s="982" customFormat="1" hidden="1">
      <c r="A1214" s="978"/>
      <c r="B1214" s="979"/>
      <c r="C1214" s="979" t="s">
        <v>1342</v>
      </c>
      <c r="D1214" s="978"/>
      <c r="E1214" s="906"/>
      <c r="F1214" s="907"/>
      <c r="G1214" s="985">
        <f>SUM(G1206:G1213)</f>
        <v>64240</v>
      </c>
      <c r="H1214" s="964" t="s">
        <v>2299</v>
      </c>
    </row>
    <row r="1215" spans="1:8" s="982" customFormat="1" hidden="1">
      <c r="A1215" s="978"/>
      <c r="B1215" s="979"/>
      <c r="C1215" s="979" t="s">
        <v>1343</v>
      </c>
      <c r="D1215" s="978"/>
      <c r="E1215" s="906"/>
      <c r="F1215" s="907"/>
      <c r="G1215" s="985">
        <f>ROUND(G1214/1000,2)</f>
        <v>64.239999999999995</v>
      </c>
      <c r="H1215" s="964" t="s">
        <v>2299</v>
      </c>
    </row>
    <row r="1216" spans="1:8" ht="63.75" hidden="1">
      <c r="A1216" s="896">
        <v>19</v>
      </c>
      <c r="B1216" s="966"/>
      <c r="C1216" s="1382" t="s">
        <v>185</v>
      </c>
      <c r="D1216" s="967"/>
      <c r="E1216" s="967"/>
      <c r="F1216" s="967"/>
      <c r="G1216" s="902"/>
      <c r="H1216" s="964" t="s">
        <v>2299</v>
      </c>
    </row>
    <row r="1217" spans="1:8" hidden="1">
      <c r="A1217" s="896"/>
      <c r="B1217" s="966"/>
      <c r="C1217" s="962" t="s">
        <v>186</v>
      </c>
      <c r="D1217" s="967"/>
      <c r="E1217" s="967"/>
      <c r="F1217" s="967"/>
      <c r="G1217" s="902"/>
      <c r="H1217" s="964" t="s">
        <v>2299</v>
      </c>
    </row>
    <row r="1218" spans="1:8" hidden="1">
      <c r="A1218" s="896"/>
      <c r="B1218" s="968" t="s">
        <v>18</v>
      </c>
      <c r="C1218" s="962" t="s">
        <v>22</v>
      </c>
      <c r="D1218" s="967"/>
      <c r="E1218" s="967"/>
      <c r="F1218" s="967"/>
      <c r="G1218" s="902"/>
      <c r="H1218" s="964" t="s">
        <v>2299</v>
      </c>
    </row>
    <row r="1219" spans="1:8" ht="25.5" hidden="1">
      <c r="A1219" s="902"/>
      <c r="B1219" s="902"/>
      <c r="C1219" s="1382" t="s">
        <v>187</v>
      </c>
      <c r="D1219" s="896" t="s">
        <v>4</v>
      </c>
      <c r="E1219" s="920">
        <v>1.0249999999999999</v>
      </c>
      <c r="F1219" s="922">
        <f>'lead 20-21'!L10/1000</f>
        <v>49.56</v>
      </c>
      <c r="G1219" s="969">
        <f>ROUND(E1219*F1219,2)</f>
        <v>50.8</v>
      </c>
      <c r="H1219" s="964" t="s">
        <v>2299</v>
      </c>
    </row>
    <row r="1220" spans="1:8" hidden="1">
      <c r="A1220" s="902"/>
      <c r="B1220" s="968" t="s">
        <v>20</v>
      </c>
      <c r="C1220" s="1382" t="s">
        <v>188</v>
      </c>
      <c r="D1220" s="896" t="s">
        <v>4</v>
      </c>
      <c r="E1220" s="922">
        <v>1</v>
      </c>
      <c r="F1220" s="922">
        <f>'MINI SSR 2020-21'!C35</f>
        <v>27</v>
      </c>
      <c r="G1220" s="969">
        <f>ROUND(E1220*F1220,2)</f>
        <v>27</v>
      </c>
      <c r="H1220" s="964" t="s">
        <v>2299</v>
      </c>
    </row>
    <row r="1221" spans="1:8" hidden="1">
      <c r="A1221" s="902"/>
      <c r="B1221" s="902"/>
      <c r="C1221" s="1382" t="s">
        <v>189</v>
      </c>
      <c r="D1221" s="896" t="s">
        <v>27</v>
      </c>
      <c r="E1221" s="922">
        <v>1</v>
      </c>
      <c r="F1221" s="922">
        <f>'MINI SSR 2020-21'!C36</f>
        <v>5</v>
      </c>
      <c r="G1221" s="969">
        <f>ROUND(E1221*F1221,2)</f>
        <v>5</v>
      </c>
      <c r="H1221" s="964" t="s">
        <v>2299</v>
      </c>
    </row>
    <row r="1222" spans="1:8" hidden="1">
      <c r="A1222" s="902"/>
      <c r="B1222" s="902"/>
      <c r="C1222" s="962" t="s">
        <v>190</v>
      </c>
      <c r="D1222" s="896"/>
      <c r="E1222" s="922"/>
      <c r="F1222" s="922"/>
      <c r="G1222" s="963">
        <f>SUM(G1219:G1221)</f>
        <v>82.8</v>
      </c>
      <c r="H1222" s="964" t="s">
        <v>2299</v>
      </c>
    </row>
    <row r="1223" spans="1:8" ht="114.75" hidden="1">
      <c r="A1223" s="896">
        <v>11</v>
      </c>
      <c r="B1223" s="966"/>
      <c r="C1223" s="1382" t="s">
        <v>969</v>
      </c>
      <c r="D1223" s="967"/>
      <c r="E1223" s="967"/>
      <c r="F1223" s="967"/>
      <c r="G1223" s="902"/>
      <c r="H1223" s="964" t="s">
        <v>2299</v>
      </c>
    </row>
    <row r="1224" spans="1:8" hidden="1">
      <c r="A1224" s="896"/>
      <c r="B1224" s="968" t="s">
        <v>18</v>
      </c>
      <c r="C1224" s="962" t="s">
        <v>22</v>
      </c>
      <c r="D1224" s="967"/>
      <c r="E1224" s="967"/>
      <c r="F1224" s="967"/>
      <c r="G1224" s="902"/>
      <c r="H1224" s="964" t="s">
        <v>2299</v>
      </c>
    </row>
    <row r="1225" spans="1:8" hidden="1">
      <c r="A1225" s="902"/>
      <c r="B1225" s="902"/>
      <c r="C1225" s="1382" t="s">
        <v>934</v>
      </c>
      <c r="D1225" s="896" t="s">
        <v>4</v>
      </c>
      <c r="E1225" s="920">
        <v>43.51</v>
      </c>
      <c r="F1225" s="922">
        <f>'lead 20-21'!L10/1000</f>
        <v>49.56</v>
      </c>
      <c r="G1225" s="969">
        <f>ROUND(E1225*F1225,2)</f>
        <v>2156.36</v>
      </c>
      <c r="H1225" s="964" t="s">
        <v>2299</v>
      </c>
    </row>
    <row r="1226" spans="1:8" hidden="1">
      <c r="A1226" s="902"/>
      <c r="B1226" s="902"/>
      <c r="C1226" s="1382" t="s">
        <v>935</v>
      </c>
      <c r="D1226" s="896" t="s">
        <v>4</v>
      </c>
      <c r="E1226" s="920">
        <v>14.4</v>
      </c>
      <c r="F1226" s="922">
        <f>'lead 20-21'!L9/1000</f>
        <v>48.38</v>
      </c>
      <c r="G1226" s="969">
        <f>ROUND(E1226*F1226,2)</f>
        <v>696.67</v>
      </c>
      <c r="H1226" s="964" t="s">
        <v>2299</v>
      </c>
    </row>
    <row r="1227" spans="1:8" hidden="1">
      <c r="A1227" s="902"/>
      <c r="B1227" s="968" t="s">
        <v>20</v>
      </c>
      <c r="C1227" s="1382" t="s">
        <v>188</v>
      </c>
      <c r="D1227" s="896" t="s">
        <v>4</v>
      </c>
      <c r="E1227" s="922">
        <f>SUM(E1225:E1226)</f>
        <v>57.91</v>
      </c>
      <c r="F1227" s="922">
        <f>'MINI SSR 2020-21'!C35</f>
        <v>27</v>
      </c>
      <c r="G1227" s="969">
        <f>ROUND(E1227*F1227,2)</f>
        <v>1563.57</v>
      </c>
      <c r="H1227" s="964" t="s">
        <v>2299</v>
      </c>
    </row>
    <row r="1228" spans="1:8" hidden="1">
      <c r="A1228" s="902"/>
      <c r="B1228" s="902"/>
      <c r="C1228" s="1382" t="s">
        <v>189</v>
      </c>
      <c r="D1228" s="896" t="s">
        <v>27</v>
      </c>
      <c r="E1228" s="922">
        <f>E1227</f>
        <v>57.91</v>
      </c>
      <c r="F1228" s="922">
        <f>'MINI SSR 2020-21'!C36</f>
        <v>5</v>
      </c>
      <c r="G1228" s="969">
        <f>ROUND(E1228*F1228,2)</f>
        <v>289.55</v>
      </c>
      <c r="H1228" s="964" t="s">
        <v>2299</v>
      </c>
    </row>
    <row r="1229" spans="1:8" hidden="1">
      <c r="A1229" s="902"/>
      <c r="B1229" s="902"/>
      <c r="C1229" s="962" t="s">
        <v>936</v>
      </c>
      <c r="D1229" s="896"/>
      <c r="E1229" s="922"/>
      <c r="F1229" s="922"/>
      <c r="G1229" s="963">
        <f>SUM(G1225:G1228)</f>
        <v>4706.1500000000005</v>
      </c>
      <c r="H1229" s="964" t="s">
        <v>2299</v>
      </c>
    </row>
    <row r="1230" spans="1:8" hidden="1">
      <c r="A1230" s="902"/>
      <c r="B1230" s="902"/>
      <c r="C1230" s="962" t="s">
        <v>121</v>
      </c>
      <c r="D1230" s="896"/>
      <c r="E1230" s="922"/>
      <c r="F1230" s="922"/>
      <c r="G1230" s="963">
        <f>ROUND(G1229/2.025,2)</f>
        <v>2324.02</v>
      </c>
      <c r="H1230" s="964" t="s">
        <v>2299</v>
      </c>
    </row>
    <row r="1231" spans="1:8" ht="51" hidden="1">
      <c r="A1231" s="896">
        <v>23</v>
      </c>
      <c r="B1231" s="966"/>
      <c r="C1231" s="1382" t="s">
        <v>627</v>
      </c>
      <c r="D1231" s="967"/>
      <c r="E1231" s="967"/>
      <c r="F1231" s="967"/>
      <c r="G1231" s="902"/>
      <c r="H1231" s="964" t="s">
        <v>2299</v>
      </c>
    </row>
    <row r="1232" spans="1:8" hidden="1">
      <c r="A1232" s="896"/>
      <c r="B1232" s="966"/>
      <c r="C1232" s="962" t="s">
        <v>186</v>
      </c>
      <c r="D1232" s="967"/>
      <c r="E1232" s="967"/>
      <c r="F1232" s="967"/>
      <c r="G1232" s="902"/>
      <c r="H1232" s="964" t="s">
        <v>2299</v>
      </c>
    </row>
    <row r="1233" spans="1:8" hidden="1">
      <c r="A1233" s="896"/>
      <c r="B1233" s="968" t="s">
        <v>18</v>
      </c>
      <c r="C1233" s="962" t="s">
        <v>22</v>
      </c>
      <c r="D1233" s="967"/>
      <c r="E1233" s="967"/>
      <c r="F1233" s="967"/>
      <c r="G1233" s="902"/>
      <c r="H1233" s="964" t="s">
        <v>2299</v>
      </c>
    </row>
    <row r="1234" spans="1:8" hidden="1">
      <c r="A1234" s="902"/>
      <c r="B1234" s="902"/>
      <c r="C1234" s="1382" t="s">
        <v>628</v>
      </c>
      <c r="D1234" s="896" t="s">
        <v>4</v>
      </c>
      <c r="E1234" s="920">
        <v>1.0249999999999999</v>
      </c>
      <c r="F1234" s="922">
        <f>'MINI SSR 2020-21'!C37</f>
        <v>60</v>
      </c>
      <c r="G1234" s="969">
        <f>ROUND(E1234*F1234,2)</f>
        <v>61.5</v>
      </c>
      <c r="H1234" s="964" t="s">
        <v>2299</v>
      </c>
    </row>
    <row r="1235" spans="1:8" hidden="1">
      <c r="A1235" s="902"/>
      <c r="B1235" s="968" t="s">
        <v>20</v>
      </c>
      <c r="C1235" s="1382" t="s">
        <v>629</v>
      </c>
      <c r="D1235" s="896" t="s">
        <v>4</v>
      </c>
      <c r="E1235" s="922">
        <v>1</v>
      </c>
      <c r="F1235" s="922">
        <f>'MINI SSR 2020-21'!C38</f>
        <v>24</v>
      </c>
      <c r="G1235" s="969">
        <f>ROUND(E1235*F1235,2)</f>
        <v>24</v>
      </c>
      <c r="H1235" s="964" t="s">
        <v>2299</v>
      </c>
    </row>
    <row r="1236" spans="1:8" hidden="1">
      <c r="A1236" s="902"/>
      <c r="B1236" s="902"/>
      <c r="C1236" s="1382" t="s">
        <v>630</v>
      </c>
      <c r="D1236" s="896" t="s">
        <v>27</v>
      </c>
      <c r="E1236" s="922">
        <v>1</v>
      </c>
      <c r="F1236" s="922">
        <f>'MINI SSR 2020-21'!C39</f>
        <v>21</v>
      </c>
      <c r="G1236" s="969">
        <f>ROUND(E1236*F1236,2)</f>
        <v>21</v>
      </c>
      <c r="H1236" s="964" t="s">
        <v>2299</v>
      </c>
    </row>
    <row r="1237" spans="1:8" hidden="1">
      <c r="A1237" s="902"/>
      <c r="B1237" s="902"/>
      <c r="C1237" s="962" t="s">
        <v>190</v>
      </c>
      <c r="D1237" s="896"/>
      <c r="E1237" s="922"/>
      <c r="F1237" s="922"/>
      <c r="G1237" s="963">
        <f>SUM(G1234:G1236)</f>
        <v>106.5</v>
      </c>
      <c r="H1237" s="964" t="s">
        <v>2299</v>
      </c>
    </row>
    <row r="1238" spans="1:8" ht="191.25" hidden="1">
      <c r="A1238" s="896">
        <v>22</v>
      </c>
      <c r="B1238" s="966"/>
      <c r="C1238" s="1382" t="s">
        <v>1297</v>
      </c>
      <c r="D1238" s="967"/>
      <c r="E1238" s="967"/>
      <c r="F1238" s="967"/>
      <c r="G1238" s="902"/>
      <c r="H1238" s="964" t="s">
        <v>2299</v>
      </c>
    </row>
    <row r="1239" spans="1:8" hidden="1">
      <c r="A1239" s="896"/>
      <c r="B1239" s="966"/>
      <c r="C1239" s="962" t="s">
        <v>919</v>
      </c>
      <c r="D1239" s="967"/>
      <c r="E1239" s="967"/>
      <c r="F1239" s="967"/>
      <c r="G1239" s="972"/>
      <c r="H1239" s="964" t="s">
        <v>2299</v>
      </c>
    </row>
    <row r="1240" spans="1:8" hidden="1">
      <c r="A1240" s="902"/>
      <c r="B1240" s="902"/>
      <c r="C1240" s="1382" t="s">
        <v>913</v>
      </c>
      <c r="D1240" s="922">
        <v>4.5999999999999996</v>
      </c>
      <c r="E1240" s="920">
        <v>2.39</v>
      </c>
      <c r="F1240" s="922">
        <f>ROUND(D1240*E1240,2)</f>
        <v>10.99</v>
      </c>
      <c r="G1240" s="969"/>
      <c r="H1240" s="964" t="s">
        <v>2299</v>
      </c>
    </row>
    <row r="1241" spans="1:8" hidden="1">
      <c r="A1241" s="902"/>
      <c r="B1241" s="902"/>
      <c r="C1241" s="1382" t="s">
        <v>914</v>
      </c>
      <c r="D1241" s="922">
        <v>11.7</v>
      </c>
      <c r="E1241" s="920">
        <v>0.89</v>
      </c>
      <c r="F1241" s="922">
        <f>ROUND(D1241*E1241,2)</f>
        <v>10.41</v>
      </c>
      <c r="G1241" s="969"/>
      <c r="H1241" s="964" t="s">
        <v>2299</v>
      </c>
    </row>
    <row r="1242" spans="1:8" hidden="1">
      <c r="A1242" s="902"/>
      <c r="B1242" s="902"/>
      <c r="C1242" s="1382"/>
      <c r="D1242" s="896"/>
      <c r="E1242" s="920"/>
      <c r="F1242" s="986">
        <f>SUM(F1240:F1241)</f>
        <v>21.4</v>
      </c>
      <c r="G1242" s="969"/>
      <c r="H1242" s="964" t="s">
        <v>2299</v>
      </c>
    </row>
    <row r="1243" spans="1:8" hidden="1">
      <c r="A1243" s="902"/>
      <c r="B1243" s="902"/>
      <c r="C1243" s="1382" t="s">
        <v>696</v>
      </c>
      <c r="D1243" s="896" t="s">
        <v>4</v>
      </c>
      <c r="E1243" s="920">
        <f>F1242</f>
        <v>21.4</v>
      </c>
      <c r="F1243" s="922">
        <f>'MINI SSR 2020-21'!C40</f>
        <v>331</v>
      </c>
      <c r="G1243" s="969">
        <f t="shared" ref="G1243:G1248" si="8">ROUND(E1243*F1243,2)</f>
        <v>7083.4</v>
      </c>
      <c r="H1243" s="964" t="s">
        <v>2299</v>
      </c>
    </row>
    <row r="1244" spans="1:8" ht="25.5" hidden="1">
      <c r="A1244" s="902"/>
      <c r="B1244" s="968"/>
      <c r="C1244" s="1382" t="s">
        <v>697</v>
      </c>
      <c r="D1244" s="896" t="s">
        <v>4</v>
      </c>
      <c r="E1244" s="922">
        <f>E1243</f>
        <v>21.4</v>
      </c>
      <c r="F1244" s="922">
        <f>'MINI SSR 2020-21'!C41</f>
        <v>131</v>
      </c>
      <c r="G1244" s="969">
        <f t="shared" si="8"/>
        <v>2803.4</v>
      </c>
      <c r="H1244" s="964" t="s">
        <v>2299</v>
      </c>
    </row>
    <row r="1245" spans="1:8" hidden="1">
      <c r="A1245" s="902"/>
      <c r="B1245" s="968"/>
      <c r="C1245" s="1382" t="s">
        <v>915</v>
      </c>
      <c r="D1245" s="896" t="s">
        <v>277</v>
      </c>
      <c r="E1245" s="922">
        <v>1.3</v>
      </c>
      <c r="F1245" s="922">
        <f>'MINI SSR 2020-21'!C42</f>
        <v>187</v>
      </c>
      <c r="G1245" s="969">
        <f t="shared" si="8"/>
        <v>243.1</v>
      </c>
      <c r="H1245" s="964" t="s">
        <v>2299</v>
      </c>
    </row>
    <row r="1246" spans="1:8" hidden="1">
      <c r="A1246" s="902"/>
      <c r="B1246" s="968"/>
      <c r="C1246" s="1382" t="s">
        <v>916</v>
      </c>
      <c r="D1246" s="896" t="s">
        <v>115</v>
      </c>
      <c r="E1246" s="922">
        <v>13</v>
      </c>
      <c r="F1246" s="922">
        <v>80</v>
      </c>
      <c r="G1246" s="969">
        <f t="shared" si="8"/>
        <v>1040</v>
      </c>
      <c r="H1246" s="964" t="s">
        <v>2299</v>
      </c>
    </row>
    <row r="1247" spans="1:8" hidden="1">
      <c r="A1247" s="902"/>
      <c r="B1247" s="968"/>
      <c r="C1247" s="1382" t="s">
        <v>917</v>
      </c>
      <c r="D1247" s="896" t="s">
        <v>115</v>
      </c>
      <c r="E1247" s="922">
        <v>13</v>
      </c>
      <c r="F1247" s="922">
        <v>30</v>
      </c>
      <c r="G1247" s="969">
        <f t="shared" si="8"/>
        <v>390</v>
      </c>
      <c r="H1247" s="964" t="s">
        <v>2299</v>
      </c>
    </row>
    <row r="1248" spans="1:8" hidden="1">
      <c r="A1248" s="902"/>
      <c r="B1248" s="968"/>
      <c r="C1248" s="1382" t="s">
        <v>918</v>
      </c>
      <c r="D1248" s="896" t="s">
        <v>115</v>
      </c>
      <c r="E1248" s="922">
        <v>13</v>
      </c>
      <c r="F1248" s="922">
        <v>15</v>
      </c>
      <c r="G1248" s="969">
        <f t="shared" si="8"/>
        <v>195</v>
      </c>
      <c r="H1248" s="964" t="s">
        <v>2299</v>
      </c>
    </row>
    <row r="1249" spans="1:8" hidden="1">
      <c r="A1249" s="902"/>
      <c r="B1249" s="968"/>
      <c r="C1249" s="1382" t="s">
        <v>920</v>
      </c>
      <c r="D1249" s="896"/>
      <c r="E1249" s="922"/>
      <c r="F1249" s="922"/>
      <c r="G1249" s="969">
        <f>SUM(G1243:G1248)</f>
        <v>11754.9</v>
      </c>
      <c r="H1249" s="964" t="s">
        <v>2299</v>
      </c>
    </row>
    <row r="1250" spans="1:8" hidden="1">
      <c r="A1250" s="902"/>
      <c r="B1250" s="968"/>
      <c r="C1250" s="1382" t="s">
        <v>377</v>
      </c>
      <c r="D1250" s="896"/>
      <c r="E1250" s="922"/>
      <c r="F1250" s="922"/>
      <c r="G1250" s="969">
        <f>ROUND(G1249/4.6,2)</f>
        <v>2555.41</v>
      </c>
      <c r="H1250" s="964" t="s">
        <v>2299</v>
      </c>
    </row>
    <row r="1251" spans="1:8" hidden="1">
      <c r="A1251" s="902"/>
      <c r="B1251" s="902"/>
      <c r="C1251" s="1382" t="s">
        <v>921</v>
      </c>
      <c r="D1251" s="896"/>
      <c r="E1251" s="922"/>
      <c r="F1251" s="922"/>
      <c r="G1251" s="963">
        <f>ROUND(G1250/0.9,2)</f>
        <v>2839.34</v>
      </c>
      <c r="H1251" s="964" t="s">
        <v>2299</v>
      </c>
    </row>
    <row r="1252" spans="1:8" ht="153" hidden="1">
      <c r="A1252" s="896">
        <v>25</v>
      </c>
      <c r="B1252" s="966"/>
      <c r="C1252" s="1382" t="s">
        <v>1298</v>
      </c>
      <c r="D1252" s="967"/>
      <c r="E1252" s="967"/>
      <c r="F1252" s="967"/>
      <c r="G1252" s="902"/>
      <c r="H1252" s="964" t="s">
        <v>2299</v>
      </c>
    </row>
    <row r="1253" spans="1:8" hidden="1">
      <c r="A1253" s="896"/>
      <c r="B1253" s="966"/>
      <c r="C1253" s="962" t="s">
        <v>924</v>
      </c>
      <c r="D1253" s="967"/>
      <c r="E1253" s="967"/>
      <c r="F1253" s="967"/>
      <c r="G1253" s="972"/>
      <c r="H1253" s="964" t="s">
        <v>2299</v>
      </c>
    </row>
    <row r="1254" spans="1:8" hidden="1">
      <c r="A1254" s="902"/>
      <c r="B1254" s="902"/>
      <c r="C1254" s="1382" t="s">
        <v>922</v>
      </c>
      <c r="D1254" s="922">
        <v>10</v>
      </c>
      <c r="E1254" s="920">
        <v>2.39</v>
      </c>
      <c r="F1254" s="922">
        <f>ROUND(D1254*E1254,2)</f>
        <v>23.9</v>
      </c>
      <c r="G1254" s="969"/>
      <c r="H1254" s="964" t="s">
        <v>2299</v>
      </c>
    </row>
    <row r="1255" spans="1:8" hidden="1">
      <c r="A1255" s="902"/>
      <c r="B1255" s="902"/>
      <c r="C1255" s="1382" t="s">
        <v>923</v>
      </c>
      <c r="D1255" s="922">
        <v>2.7</v>
      </c>
      <c r="E1255" s="920">
        <v>0.89</v>
      </c>
      <c r="F1255" s="922">
        <f>ROUND(D1255*E1255,2)</f>
        <v>2.4</v>
      </c>
      <c r="G1255" s="969"/>
      <c r="H1255" s="964" t="s">
        <v>2299</v>
      </c>
    </row>
    <row r="1256" spans="1:8" hidden="1">
      <c r="A1256" s="902"/>
      <c r="B1256" s="902"/>
      <c r="C1256" s="1382"/>
      <c r="D1256" s="896"/>
      <c r="E1256" s="920"/>
      <c r="F1256" s="986">
        <f>SUM(F1254:F1255)</f>
        <v>26.299999999999997</v>
      </c>
      <c r="G1256" s="969"/>
      <c r="H1256" s="964" t="s">
        <v>2299</v>
      </c>
    </row>
    <row r="1257" spans="1:8" hidden="1">
      <c r="A1257" s="902"/>
      <c r="B1257" s="902"/>
      <c r="C1257" s="1382" t="s">
        <v>696</v>
      </c>
      <c r="D1257" s="896" t="s">
        <v>4</v>
      </c>
      <c r="E1257" s="920">
        <f>F1256</f>
        <v>26.299999999999997</v>
      </c>
      <c r="F1257" s="922">
        <f>'MINI SSR 2020-21'!$C$40</f>
        <v>331</v>
      </c>
      <c r="G1257" s="969">
        <f>ROUND(E1257*F1257,2)</f>
        <v>8705.2999999999993</v>
      </c>
      <c r="H1257" s="964" t="s">
        <v>2299</v>
      </c>
    </row>
    <row r="1258" spans="1:8" ht="25.5" hidden="1">
      <c r="A1258" s="902"/>
      <c r="B1258" s="968"/>
      <c r="C1258" s="1382" t="s">
        <v>697</v>
      </c>
      <c r="D1258" s="896" t="s">
        <v>4</v>
      </c>
      <c r="E1258" s="922">
        <f>E1257</f>
        <v>26.299999999999997</v>
      </c>
      <c r="F1258" s="922">
        <f>'MINI SSR 2020-21'!$C$41</f>
        <v>131</v>
      </c>
      <c r="G1258" s="969">
        <f>ROUND(E1258*F1258,2)</f>
        <v>3445.3</v>
      </c>
      <c r="H1258" s="964" t="s">
        <v>2299</v>
      </c>
    </row>
    <row r="1259" spans="1:8" hidden="1">
      <c r="A1259" s="902"/>
      <c r="B1259" s="968"/>
      <c r="C1259" s="1382" t="s">
        <v>927</v>
      </c>
      <c r="D1259" s="896" t="s">
        <v>277</v>
      </c>
      <c r="E1259" s="922">
        <v>0.9</v>
      </c>
      <c r="F1259" s="922">
        <f>'MINI SSR 2020-21'!C42</f>
        <v>187</v>
      </c>
      <c r="G1259" s="969">
        <f>ROUND(E1259*F1259,2)</f>
        <v>168.3</v>
      </c>
      <c r="H1259" s="964" t="s">
        <v>2299</v>
      </c>
    </row>
    <row r="1260" spans="1:8" hidden="1">
      <c r="A1260" s="902"/>
      <c r="B1260" s="968"/>
      <c r="C1260" s="1382" t="s">
        <v>925</v>
      </c>
      <c r="D1260" s="896" t="s">
        <v>115</v>
      </c>
      <c r="E1260" s="922">
        <v>9</v>
      </c>
      <c r="F1260" s="922">
        <v>30</v>
      </c>
      <c r="G1260" s="969">
        <f>ROUND(E1260*F1260,2)</f>
        <v>270</v>
      </c>
      <c r="H1260" s="964" t="s">
        <v>2299</v>
      </c>
    </row>
    <row r="1261" spans="1:8" hidden="1">
      <c r="A1261" s="902"/>
      <c r="B1261" s="968"/>
      <c r="C1261" s="1382" t="s">
        <v>926</v>
      </c>
      <c r="D1261" s="896"/>
      <c r="E1261" s="922"/>
      <c r="F1261" s="922"/>
      <c r="G1261" s="969">
        <f>SUM(G1257:G1260)</f>
        <v>12588.899999999998</v>
      </c>
      <c r="H1261" s="964" t="s">
        <v>2299</v>
      </c>
    </row>
    <row r="1262" spans="1:8" hidden="1">
      <c r="A1262" s="902"/>
      <c r="B1262" s="968"/>
      <c r="C1262" s="1382" t="s">
        <v>377</v>
      </c>
      <c r="D1262" s="896"/>
      <c r="E1262" s="922"/>
      <c r="F1262" s="922"/>
      <c r="G1262" s="963">
        <f>ROUND(G1261/10,2)</f>
        <v>1258.8900000000001</v>
      </c>
      <c r="H1262" s="964" t="s">
        <v>2299</v>
      </c>
    </row>
    <row r="1263" spans="1:8" ht="51" hidden="1">
      <c r="A1263" s="896">
        <v>25</v>
      </c>
      <c r="B1263" s="966"/>
      <c r="C1263" s="1382" t="s">
        <v>2286</v>
      </c>
      <c r="D1263" s="967"/>
      <c r="E1263" s="967"/>
      <c r="F1263" s="967"/>
      <c r="G1263" s="902"/>
      <c r="H1263" s="964" t="s">
        <v>2299</v>
      </c>
    </row>
    <row r="1264" spans="1:8" hidden="1">
      <c r="A1264" s="902"/>
      <c r="B1264" s="902"/>
      <c r="C1264" s="1382" t="s">
        <v>696</v>
      </c>
      <c r="D1264" s="896" t="s">
        <v>4</v>
      </c>
      <c r="E1264" s="920">
        <v>1.0249999999999999</v>
      </c>
      <c r="F1264" s="922">
        <f>'MINI SSR 2020-21'!$C$40</f>
        <v>331</v>
      </c>
      <c r="G1264" s="969">
        <f>ROUND(E1264*F1264,2)</f>
        <v>339.28</v>
      </c>
      <c r="H1264" s="964" t="s">
        <v>2299</v>
      </c>
    </row>
    <row r="1265" spans="1:8" ht="25.5" hidden="1">
      <c r="A1265" s="902"/>
      <c r="B1265" s="968"/>
      <c r="C1265" s="1382" t="s">
        <v>697</v>
      </c>
      <c r="D1265" s="896" t="s">
        <v>4</v>
      </c>
      <c r="E1265" s="922">
        <v>1</v>
      </c>
      <c r="F1265" s="922">
        <f>'MINI SSR 2020-21'!$C$41</f>
        <v>131</v>
      </c>
      <c r="G1265" s="969">
        <f>ROUND(E1265*F1265,2)</f>
        <v>131</v>
      </c>
      <c r="H1265" s="964" t="s">
        <v>2299</v>
      </c>
    </row>
    <row r="1266" spans="1:8" hidden="1">
      <c r="A1266" s="902"/>
      <c r="B1266" s="968"/>
      <c r="C1266" s="1382" t="s">
        <v>2287</v>
      </c>
      <c r="D1266" s="896"/>
      <c r="E1266" s="922"/>
      <c r="F1266" s="922"/>
      <c r="G1266" s="963">
        <f>SUM(G1264:G1265)</f>
        <v>470.28</v>
      </c>
      <c r="H1266" s="964" t="s">
        <v>2299</v>
      </c>
    </row>
    <row r="1267" spans="1:8" ht="51" hidden="1">
      <c r="A1267" s="896">
        <v>26</v>
      </c>
      <c r="B1267" s="966" t="s">
        <v>1344</v>
      </c>
      <c r="C1267" s="1382" t="s">
        <v>1186</v>
      </c>
      <c r="D1267" s="967"/>
      <c r="E1267" s="967"/>
      <c r="F1267" s="967"/>
      <c r="G1267" s="966"/>
      <c r="H1267" s="964" t="s">
        <v>2299</v>
      </c>
    </row>
    <row r="1268" spans="1:8" hidden="1">
      <c r="A1268" s="896"/>
      <c r="B1268" s="966"/>
      <c r="C1268" s="962" t="s">
        <v>84</v>
      </c>
      <c r="D1268" s="967"/>
      <c r="E1268" s="967"/>
      <c r="F1268" s="967"/>
      <c r="G1268" s="972"/>
      <c r="H1268" s="964" t="s">
        <v>2299</v>
      </c>
    </row>
    <row r="1269" spans="1:8" hidden="1">
      <c r="A1269" s="896"/>
      <c r="B1269" s="966"/>
      <c r="C1269" s="962" t="s">
        <v>60</v>
      </c>
      <c r="D1269" s="967"/>
      <c r="E1269" s="967"/>
      <c r="F1269" s="967"/>
      <c r="G1269" s="972"/>
      <c r="H1269" s="964" t="s">
        <v>2299</v>
      </c>
    </row>
    <row r="1270" spans="1:8" hidden="1">
      <c r="A1270" s="896"/>
      <c r="B1270" s="966"/>
      <c r="C1270" s="1382" t="s">
        <v>33</v>
      </c>
      <c r="D1270" s="967" t="s">
        <v>4</v>
      </c>
      <c r="E1270" s="970">
        <v>59.4</v>
      </c>
      <c r="F1270" s="970">
        <f>'lead 20-21'!L8</f>
        <v>4700</v>
      </c>
      <c r="G1270" s="969">
        <f>ROUND(E1270*F1270/1000,2)</f>
        <v>279.18</v>
      </c>
      <c r="H1270" s="964" t="s">
        <v>2299</v>
      </c>
    </row>
    <row r="1271" spans="1:8" hidden="1">
      <c r="A1271" s="896"/>
      <c r="B1271" s="966"/>
      <c r="C1271" s="1382" t="s">
        <v>1193</v>
      </c>
      <c r="D1271" s="967" t="s">
        <v>35</v>
      </c>
      <c r="E1271" s="987">
        <v>1.1000000000000001</v>
      </c>
      <c r="F1271" s="970">
        <f>'lead 20-21'!L21</f>
        <v>891.79999999999973</v>
      </c>
      <c r="G1271" s="969">
        <f>ROUND(E1271*F1271,2)</f>
        <v>980.98</v>
      </c>
      <c r="H1271" s="964" t="s">
        <v>2299</v>
      </c>
    </row>
    <row r="1272" spans="1:8" hidden="1">
      <c r="A1272" s="896"/>
      <c r="B1272" s="966"/>
      <c r="C1272" s="1382" t="s">
        <v>1217</v>
      </c>
      <c r="D1272" s="967" t="s">
        <v>35</v>
      </c>
      <c r="E1272" s="970">
        <v>0.33</v>
      </c>
      <c r="F1272" s="970">
        <f>'lead 20-21'!L12</f>
        <v>1546.600000000001</v>
      </c>
      <c r="G1272" s="969">
        <f>ROUND(E1272*F1272,2)</f>
        <v>510.38</v>
      </c>
      <c r="H1272" s="964" t="s">
        <v>2299</v>
      </c>
    </row>
    <row r="1273" spans="1:8" hidden="1">
      <c r="A1273" s="967"/>
      <c r="B1273" s="967"/>
      <c r="C1273" s="962" t="s">
        <v>68</v>
      </c>
      <c r="D1273" s="967"/>
      <c r="E1273" s="970"/>
      <c r="F1273" s="970"/>
      <c r="G1273" s="969"/>
      <c r="H1273" s="964" t="s">
        <v>2299</v>
      </c>
    </row>
    <row r="1274" spans="1:8" hidden="1">
      <c r="A1274" s="967"/>
      <c r="B1274" s="967"/>
      <c r="C1274" s="1382" t="s">
        <v>64</v>
      </c>
      <c r="D1274" s="967" t="s">
        <v>27</v>
      </c>
      <c r="E1274" s="970">
        <v>1.2</v>
      </c>
      <c r="F1274" s="970">
        <f>'MINI SSR 2020-21'!$H$3</f>
        <v>550</v>
      </c>
      <c r="G1274" s="969">
        <f>ROUND(E1274*F1274,2)</f>
        <v>660</v>
      </c>
      <c r="H1274" s="964" t="s">
        <v>2299</v>
      </c>
    </row>
    <row r="1275" spans="1:8" hidden="1">
      <c r="A1275" s="967"/>
      <c r="B1275" s="967"/>
      <c r="C1275" s="1382" t="s">
        <v>85</v>
      </c>
      <c r="D1275" s="967" t="s">
        <v>27</v>
      </c>
      <c r="E1275" s="970">
        <v>2</v>
      </c>
      <c r="F1275" s="970">
        <f>'MINI SSR 2020-21'!$H$5</f>
        <v>460</v>
      </c>
      <c r="G1275" s="969">
        <f>ROUND(E1275*F1275,2)</f>
        <v>920</v>
      </c>
      <c r="H1275" s="964" t="s">
        <v>2299</v>
      </c>
    </row>
    <row r="1276" spans="1:8" hidden="1">
      <c r="A1276" s="967"/>
      <c r="B1276" s="967"/>
      <c r="C1276" s="962" t="s">
        <v>86</v>
      </c>
      <c r="D1276" s="967"/>
      <c r="E1276" s="967"/>
      <c r="F1276" s="967"/>
      <c r="G1276" s="971">
        <f>SUM(G1270:G1275)</f>
        <v>3350.54</v>
      </c>
      <c r="H1276" s="964" t="s">
        <v>2299</v>
      </c>
    </row>
    <row r="1277" spans="1:8" ht="142.5" hidden="1">
      <c r="A1277" s="896">
        <v>20</v>
      </c>
      <c r="B1277" s="966" t="s">
        <v>83</v>
      </c>
      <c r="C1277" s="1382" t="s">
        <v>1299</v>
      </c>
      <c r="D1277" s="967"/>
      <c r="E1277" s="967"/>
      <c r="F1277" s="967"/>
      <c r="G1277" s="966"/>
      <c r="H1277" s="964" t="s">
        <v>2299</v>
      </c>
    </row>
    <row r="1278" spans="1:8" hidden="1">
      <c r="A1278" s="896"/>
      <c r="B1278" s="966"/>
      <c r="C1278" s="962" t="s">
        <v>84</v>
      </c>
      <c r="D1278" s="967"/>
      <c r="E1278" s="967"/>
      <c r="F1278" s="967"/>
      <c r="G1278" s="972"/>
      <c r="H1278" s="964" t="s">
        <v>2299</v>
      </c>
    </row>
    <row r="1279" spans="1:8" hidden="1">
      <c r="A1279" s="896"/>
      <c r="B1279" s="966"/>
      <c r="C1279" s="962" t="s">
        <v>60</v>
      </c>
      <c r="D1279" s="967"/>
      <c r="E1279" s="967"/>
      <c r="F1279" s="967"/>
      <c r="G1279" s="972"/>
      <c r="H1279" s="964" t="s">
        <v>2299</v>
      </c>
    </row>
    <row r="1280" spans="1:8" hidden="1">
      <c r="A1280" s="896"/>
      <c r="B1280" s="966"/>
      <c r="C1280" s="1382" t="s">
        <v>33</v>
      </c>
      <c r="D1280" s="967" t="s">
        <v>4</v>
      </c>
      <c r="E1280" s="970">
        <v>48</v>
      </c>
      <c r="F1280" s="970">
        <f>'lead 20-21'!L8</f>
        <v>4700</v>
      </c>
      <c r="G1280" s="969">
        <f>ROUND(E1280*F1280/1000,2)</f>
        <v>225.6</v>
      </c>
      <c r="H1280" s="964" t="s">
        <v>2299</v>
      </c>
    </row>
    <row r="1281" spans="1:8" hidden="1">
      <c r="A1281" s="896"/>
      <c r="B1281" s="966"/>
      <c r="C1281" s="1382" t="s">
        <v>1300</v>
      </c>
      <c r="D1281" s="967" t="s">
        <v>11</v>
      </c>
      <c r="E1281" s="988">
        <v>512</v>
      </c>
      <c r="F1281" s="970">
        <f>'lead 20-21'!L15</f>
        <v>7033.7999999999993</v>
      </c>
      <c r="G1281" s="969">
        <f>ROUND(E1281*F1281/1000,2)</f>
        <v>3601.31</v>
      </c>
      <c r="H1281" s="964" t="s">
        <v>2299</v>
      </c>
    </row>
    <row r="1282" spans="1:8" hidden="1">
      <c r="A1282" s="896"/>
      <c r="B1282" s="966"/>
      <c r="C1282" s="1382" t="s">
        <v>113</v>
      </c>
      <c r="D1282" s="967" t="s">
        <v>35</v>
      </c>
      <c r="E1282" s="970">
        <v>0.2</v>
      </c>
      <c r="F1282" s="970">
        <f>'lead 20-21'!L12</f>
        <v>1546.600000000001</v>
      </c>
      <c r="G1282" s="969">
        <f>ROUND(E1282*F1282,2)</f>
        <v>309.32</v>
      </c>
      <c r="H1282" s="964" t="s">
        <v>2299</v>
      </c>
    </row>
    <row r="1283" spans="1:8" hidden="1">
      <c r="A1283" s="967"/>
      <c r="B1283" s="967"/>
      <c r="C1283" s="962" t="s">
        <v>68</v>
      </c>
      <c r="D1283" s="967"/>
      <c r="E1283" s="970"/>
      <c r="F1283" s="970"/>
      <c r="G1283" s="969"/>
      <c r="H1283" s="964" t="s">
        <v>2299</v>
      </c>
    </row>
    <row r="1284" spans="1:8" hidden="1">
      <c r="A1284" s="967"/>
      <c r="B1284" s="967"/>
      <c r="C1284" s="1382" t="s">
        <v>64</v>
      </c>
      <c r="D1284" s="967" t="s">
        <v>27</v>
      </c>
      <c r="E1284" s="970">
        <v>0.24</v>
      </c>
      <c r="F1284" s="970">
        <f>'MINI SSR 2020-21'!$H$3</f>
        <v>550</v>
      </c>
      <c r="G1284" s="969">
        <f>ROUND(E1284*F1284,2)</f>
        <v>132</v>
      </c>
      <c r="H1284" s="964" t="s">
        <v>2299</v>
      </c>
    </row>
    <row r="1285" spans="1:8" hidden="1">
      <c r="A1285" s="967"/>
      <c r="B1285" s="967"/>
      <c r="C1285" s="1382" t="s">
        <v>69</v>
      </c>
      <c r="D1285" s="967" t="s">
        <v>27</v>
      </c>
      <c r="E1285" s="970">
        <v>0.56000000000000005</v>
      </c>
      <c r="F1285" s="970">
        <f>'MINI SSR 2020-21'!$H$4</f>
        <v>500</v>
      </c>
      <c r="G1285" s="969">
        <f>ROUND(E1285*F1285,2)</f>
        <v>280</v>
      </c>
      <c r="H1285" s="964" t="s">
        <v>2299</v>
      </c>
    </row>
    <row r="1286" spans="1:8" hidden="1">
      <c r="A1286" s="967"/>
      <c r="B1286" s="967"/>
      <c r="C1286" s="1382" t="s">
        <v>85</v>
      </c>
      <c r="D1286" s="967" t="s">
        <v>27</v>
      </c>
      <c r="E1286" s="970">
        <v>1.89</v>
      </c>
      <c r="F1286" s="970">
        <f>'MINI SSR 2020-21'!$H$5</f>
        <v>460</v>
      </c>
      <c r="G1286" s="969">
        <f>ROUND(E1286*F1286,2)</f>
        <v>869.4</v>
      </c>
      <c r="H1286" s="964" t="s">
        <v>2299</v>
      </c>
    </row>
    <row r="1287" spans="1:8" hidden="1">
      <c r="A1287" s="967"/>
      <c r="B1287" s="967"/>
      <c r="C1287" s="962" t="s">
        <v>86</v>
      </c>
      <c r="D1287" s="967"/>
      <c r="E1287" s="967"/>
      <c r="F1287" s="967"/>
      <c r="G1287" s="971">
        <f>SUM(G1280:G1286)</f>
        <v>5417.6299999999992</v>
      </c>
      <c r="H1287" s="964" t="s">
        <v>2299</v>
      </c>
    </row>
    <row r="1288" spans="1:8" hidden="1">
      <c r="A1288" s="967"/>
      <c r="B1288" s="967"/>
      <c r="C1288" s="962"/>
      <c r="D1288" s="967"/>
      <c r="E1288" s="966" t="s">
        <v>161</v>
      </c>
      <c r="F1288" s="966" t="s">
        <v>162</v>
      </c>
      <c r="G1288" s="974" t="s">
        <v>163</v>
      </c>
      <c r="H1288" s="964" t="s">
        <v>2299</v>
      </c>
    </row>
    <row r="1289" spans="1:8" hidden="1">
      <c r="A1289" s="967"/>
      <c r="B1289" s="967"/>
      <c r="C1289" s="962" t="s">
        <v>192</v>
      </c>
      <c r="D1289" s="967"/>
      <c r="E1289" s="970">
        <f>G1287</f>
        <v>5417.6299999999992</v>
      </c>
      <c r="F1289" s="970">
        <f>E1289</f>
        <v>5417.6299999999992</v>
      </c>
      <c r="G1289" s="972">
        <f>F1289</f>
        <v>5417.6299999999992</v>
      </c>
      <c r="H1289" s="964" t="s">
        <v>2299</v>
      </c>
    </row>
    <row r="1290" spans="1:8" hidden="1">
      <c r="A1290" s="967"/>
      <c r="B1290" s="967"/>
      <c r="C1290" s="1382" t="s">
        <v>191</v>
      </c>
      <c r="D1290" s="973">
        <v>4.3499999999999996</v>
      </c>
      <c r="E1290" s="967">
        <f>ROUND(D1290*'MINI SSR 2020-21'!E30,2)</f>
        <v>44.89</v>
      </c>
      <c r="F1290" s="967">
        <f>E1290</f>
        <v>44.89</v>
      </c>
      <c r="G1290" s="967">
        <f>E1290</f>
        <v>44.89</v>
      </c>
      <c r="H1290" s="964" t="s">
        <v>2299</v>
      </c>
    </row>
    <row r="1291" spans="1:8" hidden="1">
      <c r="A1291" s="967"/>
      <c r="B1291" s="967"/>
      <c r="C1291" s="1382" t="s">
        <v>193</v>
      </c>
      <c r="D1291" s="973">
        <v>4.3499999999999996</v>
      </c>
      <c r="E1291" s="967">
        <f>ROUND(D1291*'MINI SSR 2020-21'!F30,2)</f>
        <v>345.65</v>
      </c>
      <c r="F1291" s="967">
        <f>ROUND(D1291*'MINI SSR 2020-21'!G30,2)</f>
        <v>494.94</v>
      </c>
      <c r="G1291" s="967">
        <f>ROUND(D1291*'MINI SSR 2020-21'!H30,2)</f>
        <v>644.19000000000005</v>
      </c>
      <c r="H1291" s="964" t="s">
        <v>2299</v>
      </c>
    </row>
    <row r="1292" spans="1:8" ht="25.5" hidden="1">
      <c r="A1292" s="967"/>
      <c r="B1292" s="967"/>
      <c r="C1292" s="1382" t="s">
        <v>1285</v>
      </c>
      <c r="D1292" s="967"/>
      <c r="E1292" s="967"/>
      <c r="F1292" s="970">
        <f>ROUND((G1284+G1285+G1286+F1291)*0.1,2)</f>
        <v>177.63</v>
      </c>
      <c r="G1292" s="970">
        <f>ROUND((G1284+G1285+G1286+G1291)*0.2,2)</f>
        <v>385.12</v>
      </c>
      <c r="H1292" s="964" t="s">
        <v>2299</v>
      </c>
    </row>
    <row r="1293" spans="1:8" hidden="1">
      <c r="A1293" s="967"/>
      <c r="B1293" s="967"/>
      <c r="C1293" s="962" t="s">
        <v>86</v>
      </c>
      <c r="D1293" s="967"/>
      <c r="E1293" s="974">
        <f>SUM(E1289:E1292)</f>
        <v>5808.1699999999992</v>
      </c>
      <c r="F1293" s="974">
        <f>SUM(F1289:F1292)</f>
        <v>6135.0899999999992</v>
      </c>
      <c r="G1293" s="971">
        <f>SUM(G1289:G1292)</f>
        <v>6491.829999999999</v>
      </c>
      <c r="H1293" s="964" t="s">
        <v>2299</v>
      </c>
    </row>
    <row r="1294" spans="1:8" ht="142.5" hidden="1">
      <c r="A1294" s="896">
        <v>21</v>
      </c>
      <c r="B1294" s="966" t="s">
        <v>1345</v>
      </c>
      <c r="C1294" s="1382" t="s">
        <v>1301</v>
      </c>
      <c r="D1294" s="967"/>
      <c r="E1294" s="967"/>
      <c r="F1294" s="967"/>
      <c r="G1294" s="966"/>
      <c r="H1294" s="964" t="s">
        <v>2299</v>
      </c>
    </row>
    <row r="1295" spans="1:8" hidden="1">
      <c r="A1295" s="896"/>
      <c r="B1295" s="966"/>
      <c r="C1295" s="962" t="s">
        <v>84</v>
      </c>
      <c r="D1295" s="967"/>
      <c r="E1295" s="967"/>
      <c r="F1295" s="967"/>
      <c r="G1295" s="972"/>
      <c r="H1295" s="964" t="s">
        <v>2299</v>
      </c>
    </row>
    <row r="1296" spans="1:8" hidden="1">
      <c r="A1296" s="896"/>
      <c r="B1296" s="966"/>
      <c r="C1296" s="962" t="s">
        <v>60</v>
      </c>
      <c r="D1296" s="967"/>
      <c r="E1296" s="967"/>
      <c r="F1296" s="967"/>
      <c r="G1296" s="972"/>
      <c r="H1296" s="964" t="s">
        <v>2299</v>
      </c>
    </row>
    <row r="1297" spans="1:8" hidden="1">
      <c r="A1297" s="896"/>
      <c r="B1297" s="966"/>
      <c r="C1297" s="1382" t="s">
        <v>33</v>
      </c>
      <c r="D1297" s="967" t="s">
        <v>4</v>
      </c>
      <c r="E1297" s="970">
        <v>36</v>
      </c>
      <c r="F1297" s="970">
        <f>'lead 20-21'!L8</f>
        <v>4700</v>
      </c>
      <c r="G1297" s="969">
        <f>ROUND(E1297*F1297/1000,2)</f>
        <v>169.2</v>
      </c>
      <c r="H1297" s="964" t="s">
        <v>2299</v>
      </c>
    </row>
    <row r="1298" spans="1:8" hidden="1">
      <c r="A1298" s="896"/>
      <c r="B1298" s="966"/>
      <c r="C1298" s="1382" t="s">
        <v>1300</v>
      </c>
      <c r="D1298" s="967" t="s">
        <v>11</v>
      </c>
      <c r="E1298" s="988">
        <v>512</v>
      </c>
      <c r="F1298" s="970">
        <f>'lead 20-21'!L15</f>
        <v>7033.7999999999993</v>
      </c>
      <c r="G1298" s="969">
        <f>ROUND(E1298*F1298/1000,2)</f>
        <v>3601.31</v>
      </c>
      <c r="H1298" s="964" t="s">
        <v>2299</v>
      </c>
    </row>
    <row r="1299" spans="1:8" hidden="1">
      <c r="A1299" s="896"/>
      <c r="B1299" s="966"/>
      <c r="C1299" s="1382" t="s">
        <v>113</v>
      </c>
      <c r="D1299" s="967" t="s">
        <v>35</v>
      </c>
      <c r="E1299" s="970">
        <v>0.2</v>
      </c>
      <c r="F1299" s="970">
        <f>'lead 20-21'!L12</f>
        <v>1546.600000000001</v>
      </c>
      <c r="G1299" s="969">
        <f>ROUND(E1299*F1299,2)</f>
        <v>309.32</v>
      </c>
      <c r="H1299" s="964" t="s">
        <v>2299</v>
      </c>
    </row>
    <row r="1300" spans="1:8" hidden="1">
      <c r="A1300" s="967"/>
      <c r="B1300" s="967"/>
      <c r="C1300" s="962" t="s">
        <v>68</v>
      </c>
      <c r="D1300" s="967"/>
      <c r="E1300" s="970"/>
      <c r="F1300" s="970"/>
      <c r="G1300" s="969"/>
      <c r="H1300" s="964" t="s">
        <v>2299</v>
      </c>
    </row>
    <row r="1301" spans="1:8" hidden="1">
      <c r="A1301" s="967"/>
      <c r="B1301" s="967"/>
      <c r="C1301" s="1382" t="s">
        <v>64</v>
      </c>
      <c r="D1301" s="967" t="s">
        <v>27</v>
      </c>
      <c r="E1301" s="970">
        <v>0.24</v>
      </c>
      <c r="F1301" s="970">
        <f>'MINI SSR 2020-21'!$H$3</f>
        <v>550</v>
      </c>
      <c r="G1301" s="969">
        <f>ROUND(E1301*F1301,2)</f>
        <v>132</v>
      </c>
      <c r="H1301" s="964" t="s">
        <v>2299</v>
      </c>
    </row>
    <row r="1302" spans="1:8" hidden="1">
      <c r="A1302" s="967"/>
      <c r="B1302" s="967"/>
      <c r="C1302" s="1382" t="s">
        <v>69</v>
      </c>
      <c r="D1302" s="967" t="s">
        <v>27</v>
      </c>
      <c r="E1302" s="970">
        <v>0.56000000000000005</v>
      </c>
      <c r="F1302" s="970">
        <f>'MINI SSR 2020-21'!$H$4</f>
        <v>500</v>
      </c>
      <c r="G1302" s="969">
        <f>ROUND(E1302*F1302,2)</f>
        <v>280</v>
      </c>
      <c r="H1302" s="964" t="s">
        <v>2299</v>
      </c>
    </row>
    <row r="1303" spans="1:8" hidden="1">
      <c r="A1303" s="967"/>
      <c r="B1303" s="967"/>
      <c r="C1303" s="1382" t="s">
        <v>85</v>
      </c>
      <c r="D1303" s="967" t="s">
        <v>27</v>
      </c>
      <c r="E1303" s="970">
        <v>1.89</v>
      </c>
      <c r="F1303" s="970">
        <f>'MINI SSR 2020-21'!$H$5</f>
        <v>460</v>
      </c>
      <c r="G1303" s="969">
        <f>ROUND(E1303*F1303,2)</f>
        <v>869.4</v>
      </c>
      <c r="H1303" s="964" t="s">
        <v>2299</v>
      </c>
    </row>
    <row r="1304" spans="1:8" hidden="1">
      <c r="A1304" s="967"/>
      <c r="B1304" s="967"/>
      <c r="C1304" s="962" t="s">
        <v>86</v>
      </c>
      <c r="D1304" s="967"/>
      <c r="E1304" s="967"/>
      <c r="F1304" s="967"/>
      <c r="G1304" s="971">
        <f>SUM(G1297:G1303)</f>
        <v>5361.23</v>
      </c>
      <c r="H1304" s="964" t="s">
        <v>2299</v>
      </c>
    </row>
    <row r="1305" spans="1:8" hidden="1">
      <c r="A1305" s="967"/>
      <c r="B1305" s="967"/>
      <c r="C1305" s="962"/>
      <c r="D1305" s="967"/>
      <c r="E1305" s="966" t="s">
        <v>161</v>
      </c>
      <c r="F1305" s="966" t="s">
        <v>162</v>
      </c>
      <c r="G1305" s="974" t="s">
        <v>163</v>
      </c>
      <c r="H1305" s="964" t="s">
        <v>2299</v>
      </c>
    </row>
    <row r="1306" spans="1:8" hidden="1">
      <c r="A1306" s="967"/>
      <c r="B1306" s="967"/>
      <c r="C1306" s="962" t="s">
        <v>192</v>
      </c>
      <c r="D1306" s="967"/>
      <c r="E1306" s="970">
        <f>G1304</f>
        <v>5361.23</v>
      </c>
      <c r="F1306" s="970">
        <f>E1306</f>
        <v>5361.23</v>
      </c>
      <c r="G1306" s="972">
        <f>F1306</f>
        <v>5361.23</v>
      </c>
      <c r="H1306" s="964" t="s">
        <v>2299</v>
      </c>
    </row>
    <row r="1307" spans="1:8" hidden="1">
      <c r="A1307" s="967"/>
      <c r="B1307" s="967"/>
      <c r="C1307" s="1382" t="s">
        <v>191</v>
      </c>
      <c r="D1307" s="973">
        <v>4.3499999999999996</v>
      </c>
      <c r="E1307" s="967">
        <f>ROUND(D1307*'MINI SSR 2020-21'!E30,2)</f>
        <v>44.89</v>
      </c>
      <c r="F1307" s="967">
        <f>E1307</f>
        <v>44.89</v>
      </c>
      <c r="G1307" s="967">
        <f>F1307</f>
        <v>44.89</v>
      </c>
      <c r="H1307" s="964" t="s">
        <v>2299</v>
      </c>
    </row>
    <row r="1308" spans="1:8" hidden="1">
      <c r="A1308" s="967"/>
      <c r="B1308" s="967"/>
      <c r="C1308" s="1382" t="s">
        <v>193</v>
      </c>
      <c r="D1308" s="973">
        <v>4.3499999999999996</v>
      </c>
      <c r="E1308" s="967">
        <f>ROUND(D1308*'MINI SSR 2020-21'!F30,2)</f>
        <v>345.65</v>
      </c>
      <c r="F1308" s="967">
        <f>ROUND(D1308*'MINI SSR 2020-21'!G30,2)</f>
        <v>494.94</v>
      </c>
      <c r="G1308" s="967">
        <f>ROUND(D1308*'MINI SSR 2020-21'!H30,2)</f>
        <v>644.19000000000005</v>
      </c>
      <c r="H1308" s="964" t="s">
        <v>2299</v>
      </c>
    </row>
    <row r="1309" spans="1:8" ht="25.5" hidden="1">
      <c r="A1309" s="967"/>
      <c r="B1309" s="967"/>
      <c r="C1309" s="1382" t="s">
        <v>1285</v>
      </c>
      <c r="D1309" s="967"/>
      <c r="E1309" s="967"/>
      <c r="F1309" s="970">
        <f>ROUND((G1301+G1302+G1303+F1308)*0.1,2)</f>
        <v>177.63</v>
      </c>
      <c r="G1309" s="970">
        <f>ROUND((G1301+G1302+G1303+G1308)*0.2,2)</f>
        <v>385.12</v>
      </c>
      <c r="H1309" s="964" t="s">
        <v>2299</v>
      </c>
    </row>
    <row r="1310" spans="1:8" hidden="1">
      <c r="A1310" s="967"/>
      <c r="B1310" s="967"/>
      <c r="C1310" s="962" t="s">
        <v>86</v>
      </c>
      <c r="D1310" s="967"/>
      <c r="E1310" s="974">
        <f>SUM(E1306:E1309)</f>
        <v>5751.7699999999995</v>
      </c>
      <c r="F1310" s="974">
        <f>SUM(F1306:F1309)</f>
        <v>6078.69</v>
      </c>
      <c r="G1310" s="971">
        <f>SUM(G1306:G1309)</f>
        <v>6435.4299999999994</v>
      </c>
      <c r="H1310" s="964" t="s">
        <v>2299</v>
      </c>
    </row>
    <row r="1311" spans="1:8" ht="102" hidden="1">
      <c r="A1311" s="896">
        <v>22</v>
      </c>
      <c r="B1311" s="966" t="s">
        <v>221</v>
      </c>
      <c r="C1311" s="1382" t="s">
        <v>3684</v>
      </c>
      <c r="D1311" s="967"/>
      <c r="E1311" s="967"/>
      <c r="F1311" s="967"/>
      <c r="G1311" s="966"/>
      <c r="H1311" s="964" t="s">
        <v>2299</v>
      </c>
    </row>
    <row r="1312" spans="1:8" hidden="1">
      <c r="A1312" s="896"/>
      <c r="B1312" s="966"/>
      <c r="C1312" s="962" t="s">
        <v>222</v>
      </c>
      <c r="D1312" s="967"/>
      <c r="E1312" s="967"/>
      <c r="F1312" s="967"/>
      <c r="G1312" s="972"/>
      <c r="H1312" s="964" t="s">
        <v>2299</v>
      </c>
    </row>
    <row r="1313" spans="1:8" hidden="1">
      <c r="A1313" s="896"/>
      <c r="B1313" s="966"/>
      <c r="C1313" s="962" t="s">
        <v>60</v>
      </c>
      <c r="D1313" s="967"/>
      <c r="E1313" s="967"/>
      <c r="F1313" s="967"/>
      <c r="G1313" s="972"/>
      <c r="H1313" s="964" t="s">
        <v>2299</v>
      </c>
    </row>
    <row r="1314" spans="1:8" hidden="1">
      <c r="A1314" s="896"/>
      <c r="B1314" s="966"/>
      <c r="C1314" s="1382" t="s">
        <v>33</v>
      </c>
      <c r="D1314" s="967" t="s">
        <v>4</v>
      </c>
      <c r="E1314" s="970">
        <v>72</v>
      </c>
      <c r="F1314" s="970">
        <f>'lead 20-21'!L8</f>
        <v>4700</v>
      </c>
      <c r="G1314" s="969">
        <f>ROUND(E1314*F1314/1000,2)</f>
        <v>338.4</v>
      </c>
      <c r="H1314" s="964" t="s">
        <v>2299</v>
      </c>
    </row>
    <row r="1315" spans="1:8" hidden="1">
      <c r="A1315" s="896"/>
      <c r="B1315" s="966"/>
      <c r="C1315" s="1382" t="s">
        <v>1302</v>
      </c>
      <c r="D1315" s="967" t="s">
        <v>11</v>
      </c>
      <c r="E1315" s="988">
        <v>565</v>
      </c>
      <c r="F1315" s="970">
        <f>'lead 20-21'!L15</f>
        <v>7033.7999999999993</v>
      </c>
      <c r="G1315" s="969">
        <f>ROUND(E1315*F1315/1000,2)</f>
        <v>3974.1</v>
      </c>
      <c r="H1315" s="964" t="s">
        <v>2299</v>
      </c>
    </row>
    <row r="1316" spans="1:8" hidden="1">
      <c r="A1316" s="896"/>
      <c r="B1316" s="966"/>
      <c r="C1316" s="1382" t="s">
        <v>113</v>
      </c>
      <c r="D1316" s="967" t="s">
        <v>35</v>
      </c>
      <c r="E1316" s="970">
        <v>0.22</v>
      </c>
      <c r="F1316" s="970">
        <f>'lead 20-21'!L12</f>
        <v>1546.600000000001</v>
      </c>
      <c r="G1316" s="969">
        <f>ROUND(E1316*F1316,2)</f>
        <v>340.25</v>
      </c>
      <c r="H1316" s="964" t="s">
        <v>2299</v>
      </c>
    </row>
    <row r="1317" spans="1:8" hidden="1">
      <c r="A1317" s="967"/>
      <c r="B1317" s="967"/>
      <c r="C1317" s="962" t="s">
        <v>68</v>
      </c>
      <c r="D1317" s="967"/>
      <c r="E1317" s="970"/>
      <c r="F1317" s="970"/>
      <c r="G1317" s="969"/>
      <c r="H1317" s="964" t="s">
        <v>2299</v>
      </c>
    </row>
    <row r="1318" spans="1:8" hidden="1">
      <c r="A1318" s="967"/>
      <c r="B1318" s="967"/>
      <c r="C1318" s="1382" t="s">
        <v>64</v>
      </c>
      <c r="D1318" s="967" t="s">
        <v>27</v>
      </c>
      <c r="E1318" s="970">
        <v>0.6</v>
      </c>
      <c r="F1318" s="970">
        <f>'MINI SSR 2020-21'!$H$3</f>
        <v>550</v>
      </c>
      <c r="G1318" s="969">
        <f>ROUND(E1318*F1318,2)</f>
        <v>330</v>
      </c>
      <c r="H1318" s="964" t="s">
        <v>2299</v>
      </c>
    </row>
    <row r="1319" spans="1:8" hidden="1">
      <c r="A1319" s="967"/>
      <c r="B1319" s="967"/>
      <c r="C1319" s="1382" t="s">
        <v>69</v>
      </c>
      <c r="D1319" s="967" t="s">
        <v>27</v>
      </c>
      <c r="E1319" s="970">
        <v>0.6</v>
      </c>
      <c r="F1319" s="970">
        <f>'MINI SSR 2020-21'!$H$4</f>
        <v>500</v>
      </c>
      <c r="G1319" s="969">
        <f>ROUND(E1319*F1319,2)</f>
        <v>300</v>
      </c>
      <c r="H1319" s="964" t="s">
        <v>2299</v>
      </c>
    </row>
    <row r="1320" spans="1:8" hidden="1">
      <c r="A1320" s="967"/>
      <c r="B1320" s="967"/>
      <c r="C1320" s="1382" t="s">
        <v>85</v>
      </c>
      <c r="D1320" s="967" t="s">
        <v>27</v>
      </c>
      <c r="E1320" s="970">
        <v>2.75</v>
      </c>
      <c r="F1320" s="970">
        <f>'MINI SSR 2020-21'!$H$5</f>
        <v>460</v>
      </c>
      <c r="G1320" s="969">
        <f>ROUND(E1320*F1320,2)</f>
        <v>1265</v>
      </c>
      <c r="H1320" s="964" t="s">
        <v>2299</v>
      </c>
    </row>
    <row r="1321" spans="1:8" hidden="1">
      <c r="A1321" s="967"/>
      <c r="B1321" s="967"/>
      <c r="C1321" s="962" t="s">
        <v>88</v>
      </c>
      <c r="D1321" s="967"/>
      <c r="E1321" s="970"/>
      <c r="F1321" s="970"/>
      <c r="G1321" s="969">
        <f>SUM(G1314:G1320)</f>
        <v>6547.75</v>
      </c>
      <c r="H1321" s="964" t="s">
        <v>2299</v>
      </c>
    </row>
    <row r="1322" spans="1:8" hidden="1">
      <c r="A1322" s="967"/>
      <c r="B1322" s="967"/>
      <c r="C1322" s="962"/>
      <c r="D1322" s="967"/>
      <c r="E1322" s="966" t="s">
        <v>161</v>
      </c>
      <c r="F1322" s="974" t="s">
        <v>162</v>
      </c>
      <c r="G1322" s="974" t="s">
        <v>163</v>
      </c>
      <c r="H1322" s="964" t="s">
        <v>2299</v>
      </c>
    </row>
    <row r="1323" spans="1:8" hidden="1">
      <c r="A1323" s="967"/>
      <c r="B1323" s="967"/>
      <c r="C1323" s="962" t="s">
        <v>192</v>
      </c>
      <c r="D1323" s="967"/>
      <c r="E1323" s="970">
        <f>G1321</f>
        <v>6547.75</v>
      </c>
      <c r="F1323" s="972">
        <f>G1321</f>
        <v>6547.75</v>
      </c>
      <c r="G1323" s="972">
        <f>G1321</f>
        <v>6547.75</v>
      </c>
      <c r="H1323" s="964" t="s">
        <v>2299</v>
      </c>
    </row>
    <row r="1324" spans="1:8" hidden="1">
      <c r="A1324" s="967"/>
      <c r="B1324" s="967"/>
      <c r="C1324" s="1382" t="s">
        <v>1645</v>
      </c>
      <c r="D1324" s="973">
        <v>8.6999999999999993</v>
      </c>
      <c r="E1324" s="967">
        <f>ROUND(D1324*'MINI SSR 2020-21'!E30,2)</f>
        <v>89.78</v>
      </c>
      <c r="F1324" s="975">
        <f>E1324</f>
        <v>89.78</v>
      </c>
      <c r="G1324" s="975">
        <f>F1324</f>
        <v>89.78</v>
      </c>
      <c r="H1324" s="964" t="s">
        <v>2299</v>
      </c>
    </row>
    <row r="1325" spans="1:8" hidden="1">
      <c r="A1325" s="967"/>
      <c r="B1325" s="967"/>
      <c r="C1325" s="1382" t="s">
        <v>1646</v>
      </c>
      <c r="D1325" s="973">
        <v>8.6999999999999993</v>
      </c>
      <c r="E1325" s="970">
        <f>8.7*'MINI SSR 2020-21'!F30</f>
        <v>691.30199999999991</v>
      </c>
      <c r="F1325" s="970">
        <f>8.7*'MINI SSR 2020-21'!G30</f>
        <v>989.88599999999997</v>
      </c>
      <c r="G1325" s="970">
        <f>8.7*'MINI SSR 2020-21'!H30</f>
        <v>1288.3829999999998</v>
      </c>
      <c r="H1325" s="964" t="s">
        <v>2299</v>
      </c>
    </row>
    <row r="1326" spans="1:8" ht="25.5" hidden="1">
      <c r="A1326" s="967"/>
      <c r="B1326" s="967"/>
      <c r="C1326" s="1382" t="s">
        <v>1285</v>
      </c>
      <c r="D1326" s="967"/>
      <c r="E1326" s="967"/>
      <c r="F1326" s="989">
        <f>(SUM(G1318:G1320)+F1325)*10%</f>
        <v>288.48860000000002</v>
      </c>
      <c r="G1326" s="989">
        <f>(SUM(G1318:G1320)+G1325)*20%</f>
        <v>636.67660000000001</v>
      </c>
      <c r="H1326" s="964" t="s">
        <v>2299</v>
      </c>
    </row>
    <row r="1327" spans="1:8" hidden="1">
      <c r="A1327" s="967"/>
      <c r="B1327" s="967"/>
      <c r="C1327" s="962" t="s">
        <v>900</v>
      </c>
      <c r="D1327" s="967"/>
      <c r="E1327" s="974">
        <f>SUM(E1323:E1326)</f>
        <v>7328.8319999999994</v>
      </c>
      <c r="F1327" s="971">
        <f>SUM(F1323:F1326)</f>
        <v>7915.9045999999989</v>
      </c>
      <c r="G1327" s="971">
        <f>SUM(G1323:G1326)</f>
        <v>8562.5895999999993</v>
      </c>
      <c r="H1327" s="964" t="s">
        <v>2299</v>
      </c>
    </row>
    <row r="1328" spans="1:8" hidden="1">
      <c r="A1328" s="967"/>
      <c r="B1328" s="967"/>
      <c r="C1328" s="962" t="s">
        <v>121</v>
      </c>
      <c r="D1328" s="967"/>
      <c r="E1328" s="974">
        <f>ROUND(E1327/10,2)</f>
        <v>732.88</v>
      </c>
      <c r="F1328" s="971">
        <f>ROUND(F1327/10,2)</f>
        <v>791.59</v>
      </c>
      <c r="G1328" s="971">
        <f>ROUND(G1327/10,2)</f>
        <v>856.26</v>
      </c>
      <c r="H1328" s="964" t="s">
        <v>2299</v>
      </c>
    </row>
    <row r="1329" spans="1:8" ht="127.5" hidden="1">
      <c r="A1329" s="896">
        <v>30</v>
      </c>
      <c r="B1329" s="966" t="s">
        <v>1317</v>
      </c>
      <c r="C1329" s="1382" t="s">
        <v>1194</v>
      </c>
      <c r="D1329" s="967"/>
      <c r="E1329" s="967"/>
      <c r="F1329" s="967"/>
      <c r="G1329" s="966"/>
      <c r="H1329" s="964" t="s">
        <v>2299</v>
      </c>
    </row>
    <row r="1330" spans="1:8" hidden="1">
      <c r="A1330" s="896"/>
      <c r="B1330" s="966"/>
      <c r="C1330" s="962" t="s">
        <v>84</v>
      </c>
      <c r="D1330" s="967"/>
      <c r="E1330" s="967"/>
      <c r="F1330" s="967"/>
      <c r="G1330" s="972"/>
      <c r="H1330" s="964" t="s">
        <v>2299</v>
      </c>
    </row>
    <row r="1331" spans="1:8" hidden="1">
      <c r="A1331" s="896"/>
      <c r="B1331" s="966"/>
      <c r="C1331" s="962" t="s">
        <v>60</v>
      </c>
      <c r="D1331" s="967"/>
      <c r="E1331" s="967"/>
      <c r="F1331" s="967"/>
      <c r="G1331" s="972"/>
      <c r="H1331" s="964" t="s">
        <v>2299</v>
      </c>
    </row>
    <row r="1332" spans="1:8" ht="25.5" hidden="1">
      <c r="A1332" s="896"/>
      <c r="B1332" s="966"/>
      <c r="C1332" s="1382" t="s">
        <v>1197</v>
      </c>
      <c r="D1332" s="967" t="s">
        <v>11</v>
      </c>
      <c r="E1332" s="988">
        <v>110</v>
      </c>
      <c r="F1332" s="970">
        <f>'MINI SSR 2020-21'!C27</f>
        <v>25</v>
      </c>
      <c r="G1332" s="969">
        <f>ROUND(E1332*F1332,2)</f>
        <v>2750</v>
      </c>
      <c r="H1332" s="964" t="s">
        <v>2299</v>
      </c>
    </row>
    <row r="1333" spans="1:8" hidden="1">
      <c r="A1333" s="896"/>
      <c r="B1333" s="966"/>
      <c r="C1333" s="1382" t="s">
        <v>1195</v>
      </c>
      <c r="D1333" s="967" t="s">
        <v>35</v>
      </c>
      <c r="E1333" s="970">
        <v>0.1</v>
      </c>
      <c r="F1333" s="970">
        <f>G943</f>
        <v>2843.9300000000003</v>
      </c>
      <c r="G1333" s="969">
        <f>ROUND(E1333*F1333,2)</f>
        <v>284.39</v>
      </c>
      <c r="H1333" s="964" t="s">
        <v>2299</v>
      </c>
    </row>
    <row r="1334" spans="1:8" hidden="1">
      <c r="A1334" s="967"/>
      <c r="B1334" s="967"/>
      <c r="C1334" s="962" t="s">
        <v>68</v>
      </c>
      <c r="D1334" s="967"/>
      <c r="E1334" s="970"/>
      <c r="F1334" s="970"/>
      <c r="G1334" s="969"/>
      <c r="H1334" s="964" t="s">
        <v>2299</v>
      </c>
    </row>
    <row r="1335" spans="1:8" hidden="1">
      <c r="A1335" s="967"/>
      <c r="B1335" s="967"/>
      <c r="C1335" s="1382" t="s">
        <v>64</v>
      </c>
      <c r="D1335" s="967" t="s">
        <v>27</v>
      </c>
      <c r="E1335" s="970">
        <v>0.42</v>
      </c>
      <c r="F1335" s="970">
        <f>'MINI SSR 2020-21'!$H$3</f>
        <v>550</v>
      </c>
      <c r="G1335" s="969">
        <f>ROUND(E1335*F1335,2)</f>
        <v>231</v>
      </c>
      <c r="H1335" s="964" t="s">
        <v>2299</v>
      </c>
    </row>
    <row r="1336" spans="1:8" hidden="1">
      <c r="A1336" s="967"/>
      <c r="B1336" s="967"/>
      <c r="C1336" s="1382" t="s">
        <v>69</v>
      </c>
      <c r="D1336" s="967" t="s">
        <v>27</v>
      </c>
      <c r="E1336" s="970">
        <v>0.92</v>
      </c>
      <c r="F1336" s="970">
        <f>'MINI SSR 2020-21'!$H$4</f>
        <v>500</v>
      </c>
      <c r="G1336" s="969">
        <f>ROUND(E1336*F1336,2)</f>
        <v>460</v>
      </c>
      <c r="H1336" s="964" t="s">
        <v>2299</v>
      </c>
    </row>
    <row r="1337" spans="1:8" hidden="1">
      <c r="A1337" s="967"/>
      <c r="B1337" s="967"/>
      <c r="C1337" s="1382" t="s">
        <v>375</v>
      </c>
      <c r="D1337" s="967" t="s">
        <v>27</v>
      </c>
      <c r="E1337" s="970">
        <v>0.7</v>
      </c>
      <c r="F1337" s="970">
        <f>'MINI SSR 2020-21'!$H$5</f>
        <v>460</v>
      </c>
      <c r="G1337" s="969">
        <f>ROUND(E1337*F1337,2)</f>
        <v>322</v>
      </c>
      <c r="H1337" s="964" t="s">
        <v>2299</v>
      </c>
    </row>
    <row r="1338" spans="1:8" hidden="1">
      <c r="A1338" s="967"/>
      <c r="B1338" s="967"/>
      <c r="C1338" s="1382" t="s">
        <v>1196</v>
      </c>
      <c r="D1338" s="967" t="s">
        <v>27</v>
      </c>
      <c r="E1338" s="970">
        <v>2.1</v>
      </c>
      <c r="F1338" s="970">
        <f>'MINI SSR 2020-21'!$H$5</f>
        <v>460</v>
      </c>
      <c r="G1338" s="969">
        <f>ROUND(E1338*F1338,2)</f>
        <v>966</v>
      </c>
      <c r="H1338" s="964" t="s">
        <v>2299</v>
      </c>
    </row>
    <row r="1339" spans="1:8" hidden="1">
      <c r="A1339" s="967"/>
      <c r="B1339" s="967"/>
      <c r="C1339" s="962" t="s">
        <v>86</v>
      </c>
      <c r="D1339" s="967"/>
      <c r="E1339" s="967"/>
      <c r="F1339" s="967"/>
      <c r="G1339" s="971">
        <f>SUM(G1332:G1338)</f>
        <v>5013.3899999999994</v>
      </c>
      <c r="H1339" s="964" t="s">
        <v>2299</v>
      </c>
    </row>
    <row r="1340" spans="1:8" hidden="1">
      <c r="A1340" s="967"/>
      <c r="B1340" s="967"/>
      <c r="C1340" s="962"/>
      <c r="D1340" s="967"/>
      <c r="E1340" s="966" t="s">
        <v>161</v>
      </c>
      <c r="F1340" s="974" t="s">
        <v>162</v>
      </c>
      <c r="G1340" s="974" t="s">
        <v>163</v>
      </c>
      <c r="H1340" s="964" t="s">
        <v>2299</v>
      </c>
    </row>
    <row r="1341" spans="1:8" hidden="1">
      <c r="A1341" s="967"/>
      <c r="B1341" s="967"/>
      <c r="C1341" s="962" t="s">
        <v>192</v>
      </c>
      <c r="D1341" s="967"/>
      <c r="E1341" s="970">
        <f>G1339</f>
        <v>5013.3899999999994</v>
      </c>
      <c r="F1341" s="972">
        <f>G1339</f>
        <v>5013.3899999999994</v>
      </c>
      <c r="G1341" s="972">
        <f>G1339*1</f>
        <v>5013.3899999999994</v>
      </c>
      <c r="H1341" s="964" t="s">
        <v>2299</v>
      </c>
    </row>
    <row r="1342" spans="1:8" hidden="1">
      <c r="A1342" s="967"/>
      <c r="B1342" s="967"/>
      <c r="C1342" s="1382" t="s">
        <v>1647</v>
      </c>
      <c r="D1342" s="973">
        <v>4.3499999999999996</v>
      </c>
      <c r="E1342" s="967">
        <f>ROUND(10.32*D1342,2)</f>
        <v>44.89</v>
      </c>
      <c r="F1342" s="975">
        <f>E1342</f>
        <v>44.89</v>
      </c>
      <c r="G1342" s="975">
        <f>F1342</f>
        <v>44.89</v>
      </c>
      <c r="H1342" s="964" t="s">
        <v>2299</v>
      </c>
    </row>
    <row r="1343" spans="1:8" hidden="1">
      <c r="A1343" s="967"/>
      <c r="B1343" s="967"/>
      <c r="C1343" s="1382" t="s">
        <v>1648</v>
      </c>
      <c r="D1343" s="973">
        <v>4.3499999999999996</v>
      </c>
      <c r="E1343" s="967">
        <f>ROUND('MINI SSR 2020-21'!F30*$D$1343,2)</f>
        <v>345.65</v>
      </c>
      <c r="F1343" s="967">
        <f>ROUND('MINI SSR 2020-21'!G30*$D$1343,2)</f>
        <v>494.94</v>
      </c>
      <c r="G1343" s="967">
        <f>ROUND('MINI SSR 2020-21'!H30*$D$1343,2)</f>
        <v>644.19000000000005</v>
      </c>
      <c r="H1343" s="964" t="s">
        <v>2299</v>
      </c>
    </row>
    <row r="1344" spans="1:8" ht="25.5" hidden="1">
      <c r="A1344" s="967"/>
      <c r="B1344" s="967"/>
      <c r="C1344" s="1382" t="s">
        <v>1285</v>
      </c>
      <c r="D1344" s="967"/>
      <c r="E1344" s="967"/>
      <c r="F1344" s="975">
        <f>ROUND((G1335+G1336+G1338+G1337+F1343)*0.1,2)</f>
        <v>247.39</v>
      </c>
      <c r="G1344" s="975">
        <f>ROUND((G1335+G1336+G1338+G1337+G1343)*0.2,2)</f>
        <v>524.64</v>
      </c>
      <c r="H1344" s="964" t="s">
        <v>2299</v>
      </c>
    </row>
    <row r="1345" spans="1:8" hidden="1">
      <c r="A1345" s="967"/>
      <c r="B1345" s="967"/>
      <c r="C1345" s="962" t="s">
        <v>86</v>
      </c>
      <c r="D1345" s="967"/>
      <c r="E1345" s="974">
        <f>SUM(E1341:E1344)</f>
        <v>5403.9299999999994</v>
      </c>
      <c r="F1345" s="971">
        <f>SUM(F1341:F1344)</f>
        <v>5800.61</v>
      </c>
      <c r="G1345" s="971">
        <f>SUM(G1341:G1344)</f>
        <v>6227.11</v>
      </c>
      <c r="H1345" s="964" t="s">
        <v>2299</v>
      </c>
    </row>
    <row r="1346" spans="1:8" ht="89.25" hidden="1">
      <c r="A1346" s="896">
        <v>23</v>
      </c>
      <c r="B1346" s="966" t="s">
        <v>87</v>
      </c>
      <c r="C1346" s="1382" t="s">
        <v>1303</v>
      </c>
      <c r="D1346" s="967"/>
      <c r="E1346" s="967"/>
      <c r="F1346" s="967"/>
      <c r="G1346" s="966"/>
      <c r="H1346" s="964" t="s">
        <v>2299</v>
      </c>
    </row>
    <row r="1347" spans="1:8" hidden="1">
      <c r="A1347" s="896"/>
      <c r="B1347" s="966"/>
      <c r="C1347" s="962" t="s">
        <v>42</v>
      </c>
      <c r="D1347" s="967"/>
      <c r="E1347" s="967"/>
      <c r="F1347" s="967"/>
      <c r="G1347" s="972"/>
      <c r="H1347" s="964" t="s">
        <v>2299</v>
      </c>
    </row>
    <row r="1348" spans="1:8" hidden="1">
      <c r="A1348" s="896"/>
      <c r="B1348" s="966"/>
      <c r="C1348" s="962" t="s">
        <v>60</v>
      </c>
      <c r="D1348" s="966"/>
      <c r="E1348" s="966"/>
      <c r="F1348" s="966"/>
      <c r="G1348" s="972"/>
      <c r="H1348" s="964" t="s">
        <v>2299</v>
      </c>
    </row>
    <row r="1349" spans="1:8" hidden="1">
      <c r="A1349" s="896"/>
      <c r="B1349" s="966"/>
      <c r="C1349" s="1382" t="s">
        <v>43</v>
      </c>
      <c r="D1349" s="967" t="s">
        <v>35</v>
      </c>
      <c r="E1349" s="970">
        <v>0.15</v>
      </c>
      <c r="F1349" s="970">
        <f>G928</f>
        <v>3971.9300000000003</v>
      </c>
      <c r="G1349" s="969">
        <f>ROUND(E1349*F1349,2)</f>
        <v>595.79</v>
      </c>
      <c r="H1349" s="964" t="s">
        <v>2299</v>
      </c>
    </row>
    <row r="1350" spans="1:8" hidden="1">
      <c r="A1350" s="967"/>
      <c r="B1350" s="967"/>
      <c r="C1350" s="962" t="s">
        <v>68</v>
      </c>
      <c r="D1350" s="967"/>
      <c r="E1350" s="970"/>
      <c r="F1350" s="970"/>
      <c r="G1350" s="969"/>
      <c r="H1350" s="964" t="s">
        <v>2299</v>
      </c>
    </row>
    <row r="1351" spans="1:8" hidden="1">
      <c r="A1351" s="967"/>
      <c r="B1351" s="967"/>
      <c r="C1351" s="1382" t="s">
        <v>64</v>
      </c>
      <c r="D1351" s="967" t="s">
        <v>27</v>
      </c>
      <c r="E1351" s="970">
        <v>0.45</v>
      </c>
      <c r="F1351" s="970">
        <f>'MINI SSR 2020-21'!$H$3</f>
        <v>550</v>
      </c>
      <c r="G1351" s="969">
        <f>ROUND(E1351*F1351,2)</f>
        <v>247.5</v>
      </c>
      <c r="H1351" s="964" t="s">
        <v>2299</v>
      </c>
    </row>
    <row r="1352" spans="1:8" hidden="1">
      <c r="A1352" s="967"/>
      <c r="B1352" s="967"/>
      <c r="C1352" s="1382" t="s">
        <v>69</v>
      </c>
      <c r="D1352" s="967" t="s">
        <v>27</v>
      </c>
      <c r="E1352" s="970">
        <v>1.05</v>
      </c>
      <c r="F1352" s="970">
        <f>'MINI SSR 2020-21'!$H$4</f>
        <v>500</v>
      </c>
      <c r="G1352" s="969">
        <f>ROUND(E1352*F1352,2)</f>
        <v>525</v>
      </c>
      <c r="H1352" s="964" t="s">
        <v>2299</v>
      </c>
    </row>
    <row r="1353" spans="1:8" hidden="1">
      <c r="A1353" s="967"/>
      <c r="B1353" s="967"/>
      <c r="C1353" s="1382" t="s">
        <v>85</v>
      </c>
      <c r="D1353" s="967" t="s">
        <v>27</v>
      </c>
      <c r="E1353" s="970">
        <v>2.8</v>
      </c>
      <c r="F1353" s="970">
        <f>'MINI SSR 2020-21'!$H$5</f>
        <v>460</v>
      </c>
      <c r="G1353" s="969">
        <f>ROUND(E1353*F1353,2)</f>
        <v>1288</v>
      </c>
      <c r="H1353" s="964" t="s">
        <v>2299</v>
      </c>
    </row>
    <row r="1354" spans="1:8" hidden="1">
      <c r="A1354" s="967"/>
      <c r="B1354" s="967"/>
      <c r="C1354" s="962" t="s">
        <v>88</v>
      </c>
      <c r="D1354" s="967"/>
      <c r="E1354" s="967"/>
      <c r="F1354" s="967"/>
      <c r="G1354" s="963">
        <f>SUM(G1349:G1353)</f>
        <v>2656.29</v>
      </c>
      <c r="H1354" s="964" t="s">
        <v>2299</v>
      </c>
    </row>
    <row r="1355" spans="1:8" hidden="1">
      <c r="A1355" s="967"/>
      <c r="B1355" s="967"/>
      <c r="C1355" s="962"/>
      <c r="D1355" s="967"/>
      <c r="E1355" s="966" t="s">
        <v>161</v>
      </c>
      <c r="F1355" s="966" t="s">
        <v>162</v>
      </c>
      <c r="G1355" s="974" t="s">
        <v>163</v>
      </c>
      <c r="H1355" s="964" t="s">
        <v>2299</v>
      </c>
    </row>
    <row r="1356" spans="1:8" hidden="1">
      <c r="A1356" s="967"/>
      <c r="B1356" s="967"/>
      <c r="C1356" s="962" t="s">
        <v>1273</v>
      </c>
      <c r="D1356" s="967"/>
      <c r="E1356" s="970">
        <f>G1354</f>
        <v>2656.29</v>
      </c>
      <c r="F1356" s="970">
        <f>G1354</f>
        <v>2656.29</v>
      </c>
      <c r="G1356" s="972">
        <f>G1354</f>
        <v>2656.29</v>
      </c>
      <c r="H1356" s="964" t="s">
        <v>2299</v>
      </c>
    </row>
    <row r="1357" spans="1:8" hidden="1">
      <c r="A1357" s="967"/>
      <c r="B1357" s="967"/>
      <c r="C1357" s="1382" t="s">
        <v>1649</v>
      </c>
      <c r="D1357" s="970">
        <v>10</v>
      </c>
      <c r="E1357" s="970">
        <f>ROUND(D1357*'MINI SSR 2020-21'!E33,2)</f>
        <v>24.6</v>
      </c>
      <c r="F1357" s="970">
        <f>E1357</f>
        <v>24.6</v>
      </c>
      <c r="G1357" s="972">
        <f>E1357</f>
        <v>24.6</v>
      </c>
      <c r="H1357" s="964" t="s">
        <v>2299</v>
      </c>
    </row>
    <row r="1358" spans="1:8" hidden="1">
      <c r="A1358" s="967"/>
      <c r="B1358" s="967"/>
      <c r="C1358" s="1382" t="s">
        <v>1650</v>
      </c>
      <c r="D1358" s="970">
        <v>10</v>
      </c>
      <c r="E1358" s="970">
        <f>ROUND(D1358*'MINI SSR 2020-21'!F33,2)</f>
        <v>159.1</v>
      </c>
      <c r="F1358" s="970">
        <f>ROUND(D1358*'MINI SSR 2020-21'!G33,2)</f>
        <v>225.7</v>
      </c>
      <c r="G1358" s="972">
        <f>ROUND(D1358*'MINI SSR 2020-21'!H33,2)</f>
        <v>292.3</v>
      </c>
      <c r="H1358" s="964" t="s">
        <v>2299</v>
      </c>
    </row>
    <row r="1359" spans="1:8" ht="25.5" hidden="1">
      <c r="A1359" s="967"/>
      <c r="B1359" s="967"/>
      <c r="C1359" s="1382" t="s">
        <v>1285</v>
      </c>
      <c r="D1359" s="967"/>
      <c r="E1359" s="967"/>
      <c r="F1359" s="970">
        <f>ROUND((G1351+G1352+G1353+F1358)*0.1,2)</f>
        <v>228.62</v>
      </c>
      <c r="G1359" s="972">
        <f>ROUND((G1351+G1352+G1353+G1358)*0.2,2)</f>
        <v>470.56</v>
      </c>
      <c r="H1359" s="964" t="s">
        <v>2299</v>
      </c>
    </row>
    <row r="1360" spans="1:8" hidden="1">
      <c r="A1360" s="967"/>
      <c r="B1360" s="967"/>
      <c r="C1360" s="962" t="s">
        <v>88</v>
      </c>
      <c r="D1360" s="967"/>
      <c r="E1360" s="970">
        <f>SUM(E1356:E1359)</f>
        <v>2839.99</v>
      </c>
      <c r="F1360" s="970">
        <f>SUM(F1356:F1359)</f>
        <v>3135.2099999999996</v>
      </c>
      <c r="G1360" s="972">
        <f>SUM(G1356:G1359)</f>
        <v>3443.75</v>
      </c>
      <c r="H1360" s="964" t="s">
        <v>2299</v>
      </c>
    </row>
    <row r="1361" spans="1:8" hidden="1">
      <c r="A1361" s="967"/>
      <c r="B1361" s="967"/>
      <c r="C1361" s="962" t="s">
        <v>121</v>
      </c>
      <c r="D1361" s="967"/>
      <c r="E1361" s="974">
        <f>ROUND(E1360/10,2)</f>
        <v>284</v>
      </c>
      <c r="F1361" s="974">
        <f>ROUND(F1360/10,2)</f>
        <v>313.52</v>
      </c>
      <c r="G1361" s="971">
        <f>ROUND(G1360/10,2)</f>
        <v>344.38</v>
      </c>
      <c r="H1361" s="964" t="s">
        <v>2299</v>
      </c>
    </row>
    <row r="1362" spans="1:8" ht="89.25" hidden="1">
      <c r="A1362" s="896">
        <v>5</v>
      </c>
      <c r="B1362" s="966" t="s">
        <v>89</v>
      </c>
      <c r="C1362" s="1382" t="s">
        <v>1304</v>
      </c>
      <c r="D1362" s="967"/>
      <c r="E1362" s="967"/>
      <c r="F1362" s="967"/>
      <c r="G1362" s="966"/>
      <c r="H1362" s="964" t="s">
        <v>2299</v>
      </c>
    </row>
    <row r="1363" spans="1:8" hidden="1">
      <c r="A1363" s="896"/>
      <c r="B1363" s="966"/>
      <c r="C1363" s="962" t="s">
        <v>42</v>
      </c>
      <c r="D1363" s="967"/>
      <c r="E1363" s="967"/>
      <c r="F1363" s="967"/>
      <c r="G1363" s="972"/>
      <c r="H1363" s="964" t="s">
        <v>2299</v>
      </c>
    </row>
    <row r="1364" spans="1:8" hidden="1">
      <c r="A1364" s="896"/>
      <c r="B1364" s="966"/>
      <c r="C1364" s="962" t="s">
        <v>60</v>
      </c>
      <c r="D1364" s="966"/>
      <c r="E1364" s="966"/>
      <c r="F1364" s="966"/>
      <c r="G1364" s="972"/>
      <c r="H1364" s="964" t="s">
        <v>2299</v>
      </c>
    </row>
    <row r="1365" spans="1:8" hidden="1">
      <c r="A1365" s="896"/>
      <c r="B1365" s="966"/>
      <c r="C1365" s="1382" t="s">
        <v>48</v>
      </c>
      <c r="D1365" s="967" t="s">
        <v>35</v>
      </c>
      <c r="E1365" s="970">
        <v>0.15</v>
      </c>
      <c r="F1365" s="970">
        <f>G938</f>
        <v>3069.5299999999997</v>
      </c>
      <c r="G1365" s="969">
        <f>ROUND(E1365*F1365,2)</f>
        <v>460.43</v>
      </c>
      <c r="H1365" s="964" t="s">
        <v>2299</v>
      </c>
    </row>
    <row r="1366" spans="1:8" hidden="1">
      <c r="A1366" s="967"/>
      <c r="B1366" s="967"/>
      <c r="C1366" s="962" t="s">
        <v>68</v>
      </c>
      <c r="D1366" s="967"/>
      <c r="E1366" s="970"/>
      <c r="F1366" s="970"/>
      <c r="G1366" s="969"/>
      <c r="H1366" s="964" t="s">
        <v>2299</v>
      </c>
    </row>
    <row r="1367" spans="1:8" hidden="1">
      <c r="A1367" s="967"/>
      <c r="B1367" s="967"/>
      <c r="C1367" s="1382" t="s">
        <v>64</v>
      </c>
      <c r="D1367" s="967" t="s">
        <v>27</v>
      </c>
      <c r="E1367" s="970">
        <v>0.45</v>
      </c>
      <c r="F1367" s="970">
        <f>'MINI SSR 2020-21'!$H$3</f>
        <v>550</v>
      </c>
      <c r="G1367" s="969">
        <f>ROUND(E1367*F1367,2)</f>
        <v>247.5</v>
      </c>
      <c r="H1367" s="964" t="s">
        <v>2299</v>
      </c>
    </row>
    <row r="1368" spans="1:8" hidden="1">
      <c r="A1368" s="967"/>
      <c r="B1368" s="967"/>
      <c r="C1368" s="1382" t="s">
        <v>69</v>
      </c>
      <c r="D1368" s="967" t="s">
        <v>27</v>
      </c>
      <c r="E1368" s="970">
        <v>1.05</v>
      </c>
      <c r="F1368" s="970">
        <f>'MINI SSR 2020-21'!$H$4</f>
        <v>500</v>
      </c>
      <c r="G1368" s="969">
        <f>ROUND(E1368*F1368,2)</f>
        <v>525</v>
      </c>
      <c r="H1368" s="964" t="s">
        <v>2299</v>
      </c>
    </row>
    <row r="1369" spans="1:8" hidden="1">
      <c r="A1369" s="967"/>
      <c r="B1369" s="967"/>
      <c r="C1369" s="1382" t="s">
        <v>85</v>
      </c>
      <c r="D1369" s="967" t="s">
        <v>27</v>
      </c>
      <c r="E1369" s="970">
        <v>2.8</v>
      </c>
      <c r="F1369" s="970">
        <f>'MINI SSR 2020-21'!$H$5</f>
        <v>460</v>
      </c>
      <c r="G1369" s="969">
        <f>ROUND(E1369*F1369,2)</f>
        <v>1288</v>
      </c>
      <c r="H1369" s="964" t="s">
        <v>2299</v>
      </c>
    </row>
    <row r="1370" spans="1:8" hidden="1">
      <c r="A1370" s="967"/>
      <c r="B1370" s="967"/>
      <c r="C1370" s="962" t="s">
        <v>88</v>
      </c>
      <c r="D1370" s="967"/>
      <c r="E1370" s="967"/>
      <c r="F1370" s="967"/>
      <c r="G1370" s="971">
        <f>SUM(G1365:G1369)</f>
        <v>2520.9300000000003</v>
      </c>
      <c r="H1370" s="964" t="s">
        <v>2299</v>
      </c>
    </row>
    <row r="1371" spans="1:8" hidden="1">
      <c r="A1371" s="967"/>
      <c r="B1371" s="967"/>
      <c r="C1371" s="962"/>
      <c r="D1371" s="967"/>
      <c r="E1371" s="966" t="s">
        <v>161</v>
      </c>
      <c r="F1371" s="966" t="s">
        <v>162</v>
      </c>
      <c r="G1371" s="974" t="s">
        <v>163</v>
      </c>
      <c r="H1371" s="964" t="s">
        <v>2299</v>
      </c>
    </row>
    <row r="1372" spans="1:8" hidden="1">
      <c r="A1372" s="967"/>
      <c r="B1372" s="967"/>
      <c r="C1372" s="962" t="s">
        <v>1273</v>
      </c>
      <c r="D1372" s="967"/>
      <c r="E1372" s="970">
        <f>G1370</f>
        <v>2520.9300000000003</v>
      </c>
      <c r="F1372" s="970">
        <f>G1370</f>
        <v>2520.9300000000003</v>
      </c>
      <c r="G1372" s="972">
        <f>G1370</f>
        <v>2520.9300000000003</v>
      </c>
      <c r="H1372" s="964" t="s">
        <v>2299</v>
      </c>
    </row>
    <row r="1373" spans="1:8" hidden="1">
      <c r="A1373" s="967"/>
      <c r="B1373" s="967"/>
      <c r="C1373" s="1382" t="s">
        <v>1649</v>
      </c>
      <c r="D1373" s="970">
        <v>10</v>
      </c>
      <c r="E1373" s="970">
        <f>D1373*'MINI SSR 2020-21'!E36</f>
        <v>10.3</v>
      </c>
      <c r="F1373" s="970">
        <f>E1373</f>
        <v>10.3</v>
      </c>
      <c r="G1373" s="972">
        <f>E1373</f>
        <v>10.3</v>
      </c>
      <c r="H1373" s="964" t="s">
        <v>2299</v>
      </c>
    </row>
    <row r="1374" spans="1:8" hidden="1">
      <c r="A1374" s="967"/>
      <c r="B1374" s="967"/>
      <c r="C1374" s="1382" t="s">
        <v>1651</v>
      </c>
      <c r="D1374" s="970">
        <v>10</v>
      </c>
      <c r="E1374" s="970">
        <f>ROUND(D1374*'MINI SSR 2020-21'!F36,2)</f>
        <v>79.5</v>
      </c>
      <c r="F1374" s="970">
        <f>ROUND(D1374*'MINI SSR 2020-21'!G36,2)</f>
        <v>113.8</v>
      </c>
      <c r="G1374" s="972">
        <f>ROUND(D1374*'MINI SSR 2020-21'!H36,2)</f>
        <v>148.1</v>
      </c>
      <c r="H1374" s="964" t="s">
        <v>2299</v>
      </c>
    </row>
    <row r="1375" spans="1:8" ht="25.5" hidden="1">
      <c r="A1375" s="967"/>
      <c r="B1375" s="967"/>
      <c r="C1375" s="1382" t="s">
        <v>1285</v>
      </c>
      <c r="D1375" s="967"/>
      <c r="E1375" s="967"/>
      <c r="F1375" s="970">
        <f>ROUND((G1367+G1368+G1369+F1374)*0.1,2)</f>
        <v>217.43</v>
      </c>
      <c r="G1375" s="972">
        <f>ROUND((G1367+G1368+G1369+G1374)*0.2,2)</f>
        <v>441.72</v>
      </c>
      <c r="H1375" s="964" t="s">
        <v>2299</v>
      </c>
    </row>
    <row r="1376" spans="1:8" hidden="1">
      <c r="A1376" s="967"/>
      <c r="B1376" s="967"/>
      <c r="C1376" s="962" t="s">
        <v>88</v>
      </c>
      <c r="D1376" s="967"/>
      <c r="E1376" s="970">
        <f>SUM(E1372:E1375)</f>
        <v>2610.7300000000005</v>
      </c>
      <c r="F1376" s="970">
        <f>SUM(F1372:F1375)</f>
        <v>2862.4600000000005</v>
      </c>
      <c r="G1376" s="972">
        <f>SUM(G1372:G1375)</f>
        <v>3121.05</v>
      </c>
      <c r="H1376" s="964" t="s">
        <v>2299</v>
      </c>
    </row>
    <row r="1377" spans="1:8" hidden="1">
      <c r="A1377" s="967"/>
      <c r="B1377" s="967"/>
      <c r="C1377" s="962" t="s">
        <v>121</v>
      </c>
      <c r="D1377" s="967"/>
      <c r="E1377" s="974">
        <f>ROUND(E1376/10,2)</f>
        <v>261.07</v>
      </c>
      <c r="F1377" s="974">
        <f>ROUND(F1376/10,2)</f>
        <v>286.25</v>
      </c>
      <c r="G1377" s="971">
        <f>ROUND(G1376/10,2)</f>
        <v>312.11</v>
      </c>
      <c r="H1377" s="964" t="s">
        <v>2299</v>
      </c>
    </row>
    <row r="1378" spans="1:8" ht="89.25" hidden="1">
      <c r="A1378" s="896">
        <v>6</v>
      </c>
      <c r="B1378" s="966" t="s">
        <v>89</v>
      </c>
      <c r="C1378" s="1382" t="s">
        <v>1305</v>
      </c>
      <c r="D1378" s="967"/>
      <c r="E1378" s="967"/>
      <c r="F1378" s="967"/>
      <c r="G1378" s="966"/>
      <c r="H1378" s="964" t="s">
        <v>2299</v>
      </c>
    </row>
    <row r="1379" spans="1:8" hidden="1">
      <c r="A1379" s="896"/>
      <c r="B1379" s="966"/>
      <c r="C1379" s="962" t="s">
        <v>42</v>
      </c>
      <c r="D1379" s="967"/>
      <c r="E1379" s="967"/>
      <c r="F1379" s="967"/>
      <c r="G1379" s="972"/>
      <c r="H1379" s="964" t="s">
        <v>2299</v>
      </c>
    </row>
    <row r="1380" spans="1:8" hidden="1">
      <c r="A1380" s="896"/>
      <c r="B1380" s="966"/>
      <c r="C1380" s="962" t="s">
        <v>60</v>
      </c>
      <c r="D1380" s="967"/>
      <c r="E1380" s="967"/>
      <c r="F1380" s="967"/>
      <c r="G1380" s="972"/>
      <c r="H1380" s="964" t="s">
        <v>2299</v>
      </c>
    </row>
    <row r="1381" spans="1:8" hidden="1">
      <c r="A1381" s="896"/>
      <c r="B1381" s="966"/>
      <c r="C1381" s="1382" t="s">
        <v>48</v>
      </c>
      <c r="D1381" s="967" t="s">
        <v>35</v>
      </c>
      <c r="E1381" s="970">
        <v>0.21</v>
      </c>
      <c r="F1381" s="970">
        <f>G938</f>
        <v>3069.5299999999997</v>
      </c>
      <c r="G1381" s="969">
        <f>ROUND(E1381*F1381,2)</f>
        <v>644.6</v>
      </c>
      <c r="H1381" s="964" t="s">
        <v>2299</v>
      </c>
    </row>
    <row r="1382" spans="1:8" hidden="1">
      <c r="A1382" s="967"/>
      <c r="B1382" s="967"/>
      <c r="C1382" s="962" t="s">
        <v>68</v>
      </c>
      <c r="D1382" s="967"/>
      <c r="E1382" s="970"/>
      <c r="F1382" s="970"/>
      <c r="G1382" s="969"/>
      <c r="H1382" s="964" t="s">
        <v>2299</v>
      </c>
    </row>
    <row r="1383" spans="1:8" hidden="1">
      <c r="A1383" s="967"/>
      <c r="B1383" s="967"/>
      <c r="C1383" s="1382" t="s">
        <v>64</v>
      </c>
      <c r="D1383" s="967" t="s">
        <v>27</v>
      </c>
      <c r="E1383" s="970">
        <v>0.45</v>
      </c>
      <c r="F1383" s="970">
        <f>'MINI SSR 2020-21'!$H$3</f>
        <v>550</v>
      </c>
      <c r="G1383" s="969">
        <f>ROUND(E1383*F1383,2)</f>
        <v>247.5</v>
      </c>
      <c r="H1383" s="964" t="s">
        <v>2299</v>
      </c>
    </row>
    <row r="1384" spans="1:8" hidden="1">
      <c r="A1384" s="967"/>
      <c r="B1384" s="967"/>
      <c r="C1384" s="1382" t="s">
        <v>69</v>
      </c>
      <c r="D1384" s="967" t="s">
        <v>27</v>
      </c>
      <c r="E1384" s="970">
        <v>1.05</v>
      </c>
      <c r="F1384" s="970">
        <f>'MINI SSR 2020-21'!$H$4</f>
        <v>500</v>
      </c>
      <c r="G1384" s="969">
        <f>ROUND(E1384*F1384,2)</f>
        <v>525</v>
      </c>
      <c r="H1384" s="964" t="s">
        <v>2299</v>
      </c>
    </row>
    <row r="1385" spans="1:8" hidden="1">
      <c r="A1385" s="967"/>
      <c r="B1385" s="967"/>
      <c r="C1385" s="1382" t="s">
        <v>85</v>
      </c>
      <c r="D1385" s="967" t="s">
        <v>27</v>
      </c>
      <c r="E1385" s="970">
        <v>2.8</v>
      </c>
      <c r="F1385" s="970">
        <f>'MINI SSR 2020-21'!$H$5</f>
        <v>460</v>
      </c>
      <c r="G1385" s="969">
        <f>ROUND(E1385*F1385,2)</f>
        <v>1288</v>
      </c>
      <c r="H1385" s="964" t="s">
        <v>2299</v>
      </c>
    </row>
    <row r="1386" spans="1:8" hidden="1">
      <c r="A1386" s="967"/>
      <c r="B1386" s="967"/>
      <c r="C1386" s="962" t="s">
        <v>88</v>
      </c>
      <c r="D1386" s="967"/>
      <c r="E1386" s="967"/>
      <c r="F1386" s="967"/>
      <c r="G1386" s="971">
        <f>SUM(G1381:G1385)</f>
        <v>2705.1</v>
      </c>
      <c r="H1386" s="964" t="s">
        <v>2299</v>
      </c>
    </row>
    <row r="1387" spans="1:8" hidden="1">
      <c r="A1387" s="967"/>
      <c r="B1387" s="967"/>
      <c r="C1387" s="962"/>
      <c r="D1387" s="967"/>
      <c r="E1387" s="966" t="s">
        <v>161</v>
      </c>
      <c r="F1387" s="966" t="s">
        <v>162</v>
      </c>
      <c r="G1387" s="974" t="s">
        <v>163</v>
      </c>
      <c r="H1387" s="964" t="s">
        <v>2299</v>
      </c>
    </row>
    <row r="1388" spans="1:8" hidden="1">
      <c r="A1388" s="967"/>
      <c r="B1388" s="967"/>
      <c r="C1388" s="962" t="s">
        <v>1273</v>
      </c>
      <c r="D1388" s="967"/>
      <c r="E1388" s="970">
        <f>G1386</f>
        <v>2705.1</v>
      </c>
      <c r="F1388" s="970">
        <f>G1386</f>
        <v>2705.1</v>
      </c>
      <c r="G1388" s="972">
        <f>G1386</f>
        <v>2705.1</v>
      </c>
      <c r="H1388" s="964" t="s">
        <v>2299</v>
      </c>
    </row>
    <row r="1389" spans="1:8" hidden="1">
      <c r="A1389" s="967"/>
      <c r="B1389" s="967"/>
      <c r="C1389" s="1382" t="s">
        <v>1649</v>
      </c>
      <c r="D1389" s="970">
        <v>10</v>
      </c>
      <c r="E1389" s="970">
        <f>D1389*'MINI SSR 2020-21'!$E$36</f>
        <v>10.3</v>
      </c>
      <c r="F1389" s="970">
        <f>E1389</f>
        <v>10.3</v>
      </c>
      <c r="G1389" s="972">
        <f>E1389</f>
        <v>10.3</v>
      </c>
      <c r="H1389" s="964" t="s">
        <v>2299</v>
      </c>
    </row>
    <row r="1390" spans="1:8" hidden="1">
      <c r="A1390" s="967"/>
      <c r="B1390" s="967"/>
      <c r="C1390" s="1382" t="s">
        <v>1652</v>
      </c>
      <c r="D1390" s="970">
        <v>10</v>
      </c>
      <c r="E1390" s="970">
        <f>ROUND(D1390*'MINI SSR 2020-21'!F36,2)</f>
        <v>79.5</v>
      </c>
      <c r="F1390" s="970">
        <f>ROUND(D1390*'MINI SSR 2020-21'!G36,2)</f>
        <v>113.8</v>
      </c>
      <c r="G1390" s="972">
        <f>ROUND(D1390*'MINI SSR 2020-21'!H36,2)</f>
        <v>148.1</v>
      </c>
      <c r="H1390" s="964" t="s">
        <v>2299</v>
      </c>
    </row>
    <row r="1391" spans="1:8" ht="25.5" hidden="1">
      <c r="A1391" s="967"/>
      <c r="B1391" s="967"/>
      <c r="C1391" s="1382" t="s">
        <v>1285</v>
      </c>
      <c r="D1391" s="967"/>
      <c r="E1391" s="967"/>
      <c r="F1391" s="970">
        <f>ROUND((G1383+G1384+G1385+F1390)*0.1,2)</f>
        <v>217.43</v>
      </c>
      <c r="G1391" s="972">
        <f>ROUND((G1383+G1384+G1385+G1390)*0.2,2)</f>
        <v>441.72</v>
      </c>
      <c r="H1391" s="964" t="s">
        <v>2299</v>
      </c>
    </row>
    <row r="1392" spans="1:8" hidden="1">
      <c r="A1392" s="967"/>
      <c r="B1392" s="967"/>
      <c r="C1392" s="962" t="s">
        <v>88</v>
      </c>
      <c r="D1392" s="967"/>
      <c r="E1392" s="970">
        <f>SUM(E1388:E1391)</f>
        <v>2794.9</v>
      </c>
      <c r="F1392" s="970">
        <f>SUM(F1388:F1391)</f>
        <v>3046.63</v>
      </c>
      <c r="G1392" s="972">
        <f>SUM(G1388:G1391)</f>
        <v>3305.2200000000003</v>
      </c>
      <c r="H1392" s="964" t="s">
        <v>2299</v>
      </c>
    </row>
    <row r="1393" spans="1:8" hidden="1">
      <c r="A1393" s="967"/>
      <c r="B1393" s="967"/>
      <c r="C1393" s="962" t="s">
        <v>121</v>
      </c>
      <c r="D1393" s="967"/>
      <c r="E1393" s="974">
        <f>ROUND(E1392/10,2)</f>
        <v>279.49</v>
      </c>
      <c r="F1393" s="974">
        <f>ROUND(F1392/10,2)</f>
        <v>304.66000000000003</v>
      </c>
      <c r="G1393" s="971">
        <f>ROUND(G1392/10,2)</f>
        <v>330.52</v>
      </c>
      <c r="H1393" s="964" t="s">
        <v>2299</v>
      </c>
    </row>
    <row r="1394" spans="1:8" ht="89.25" hidden="1">
      <c r="A1394" s="896">
        <v>34</v>
      </c>
      <c r="B1394" s="966" t="s">
        <v>89</v>
      </c>
      <c r="C1394" s="1382" t="s">
        <v>1306</v>
      </c>
      <c r="D1394" s="967"/>
      <c r="E1394" s="967"/>
      <c r="F1394" s="967"/>
      <c r="G1394" s="966" t="s">
        <v>89</v>
      </c>
      <c r="H1394" s="964" t="s">
        <v>2299</v>
      </c>
    </row>
    <row r="1395" spans="1:8" hidden="1">
      <c r="A1395" s="896"/>
      <c r="B1395" s="966"/>
      <c r="C1395" s="962" t="s">
        <v>42</v>
      </c>
      <c r="D1395" s="967"/>
      <c r="E1395" s="967"/>
      <c r="F1395" s="967"/>
      <c r="G1395" s="972"/>
      <c r="H1395" s="964" t="s">
        <v>2299</v>
      </c>
    </row>
    <row r="1396" spans="1:8" hidden="1">
      <c r="A1396" s="896"/>
      <c r="B1396" s="966"/>
      <c r="C1396" s="962" t="s">
        <v>60</v>
      </c>
      <c r="D1396" s="967"/>
      <c r="E1396" s="967"/>
      <c r="F1396" s="967"/>
      <c r="G1396" s="972"/>
      <c r="H1396" s="964" t="s">
        <v>2299</v>
      </c>
    </row>
    <row r="1397" spans="1:8" hidden="1">
      <c r="A1397" s="896"/>
      <c r="B1397" s="966"/>
      <c r="C1397" s="1382" t="s">
        <v>43</v>
      </c>
      <c r="D1397" s="967" t="s">
        <v>35</v>
      </c>
      <c r="E1397" s="970">
        <v>0.21</v>
      </c>
      <c r="F1397" s="970">
        <f>G928</f>
        <v>3971.9300000000003</v>
      </c>
      <c r="G1397" s="969">
        <f>ROUND(E1397*F1397,2)</f>
        <v>834.11</v>
      </c>
      <c r="H1397" s="964" t="s">
        <v>2299</v>
      </c>
    </row>
    <row r="1398" spans="1:8" hidden="1">
      <c r="A1398" s="967"/>
      <c r="B1398" s="967"/>
      <c r="C1398" s="962" t="s">
        <v>68</v>
      </c>
      <c r="D1398" s="967"/>
      <c r="E1398" s="970"/>
      <c r="F1398" s="970"/>
      <c r="G1398" s="969"/>
      <c r="H1398" s="964" t="s">
        <v>2299</v>
      </c>
    </row>
    <row r="1399" spans="1:8" hidden="1">
      <c r="A1399" s="967"/>
      <c r="B1399" s="967"/>
      <c r="C1399" s="1382" t="s">
        <v>64</v>
      </c>
      <c r="D1399" s="967" t="s">
        <v>27</v>
      </c>
      <c r="E1399" s="970">
        <v>0.45</v>
      </c>
      <c r="F1399" s="970">
        <f>'MINI SSR 2020-21'!$H$3</f>
        <v>550</v>
      </c>
      <c r="G1399" s="969">
        <f>ROUND(E1399*F1399,2)</f>
        <v>247.5</v>
      </c>
      <c r="H1399" s="964" t="s">
        <v>2299</v>
      </c>
    </row>
    <row r="1400" spans="1:8" hidden="1">
      <c r="A1400" s="967"/>
      <c r="B1400" s="967"/>
      <c r="C1400" s="1382" t="s">
        <v>69</v>
      </c>
      <c r="D1400" s="967" t="s">
        <v>27</v>
      </c>
      <c r="E1400" s="970">
        <v>1.05</v>
      </c>
      <c r="F1400" s="970">
        <f>'MINI SSR 2020-21'!$H$4</f>
        <v>500</v>
      </c>
      <c r="G1400" s="969">
        <f>ROUND(E1400*F1400,2)</f>
        <v>525</v>
      </c>
      <c r="H1400" s="964" t="s">
        <v>2299</v>
      </c>
    </row>
    <row r="1401" spans="1:8" hidden="1">
      <c r="A1401" s="967"/>
      <c r="B1401" s="967"/>
      <c r="C1401" s="1382" t="s">
        <v>85</v>
      </c>
      <c r="D1401" s="967" t="s">
        <v>27</v>
      </c>
      <c r="E1401" s="970">
        <v>2.8</v>
      </c>
      <c r="F1401" s="970">
        <f>'MINI SSR 2020-21'!$H$5</f>
        <v>460</v>
      </c>
      <c r="G1401" s="969">
        <f>ROUND(E1401*F1401,2)</f>
        <v>1288</v>
      </c>
      <c r="H1401" s="964" t="s">
        <v>2299</v>
      </c>
    </row>
    <row r="1402" spans="1:8" hidden="1">
      <c r="A1402" s="967"/>
      <c r="B1402" s="967"/>
      <c r="C1402" s="962" t="s">
        <v>88</v>
      </c>
      <c r="D1402" s="967"/>
      <c r="E1402" s="967"/>
      <c r="F1402" s="967"/>
      <c r="G1402" s="971">
        <f>SUM(G1397:G1401)</f>
        <v>2894.61</v>
      </c>
      <c r="H1402" s="964" t="s">
        <v>2299</v>
      </c>
    </row>
    <row r="1403" spans="1:8" hidden="1">
      <c r="A1403" s="967"/>
      <c r="B1403" s="967"/>
      <c r="C1403" s="962"/>
      <c r="D1403" s="967"/>
      <c r="E1403" s="966" t="s">
        <v>161</v>
      </c>
      <c r="F1403" s="966" t="s">
        <v>162</v>
      </c>
      <c r="G1403" s="974" t="s">
        <v>163</v>
      </c>
      <c r="H1403" s="964" t="s">
        <v>2299</v>
      </c>
    </row>
    <row r="1404" spans="1:8" hidden="1">
      <c r="A1404" s="967"/>
      <c r="B1404" s="967"/>
      <c r="C1404" s="962" t="s">
        <v>1273</v>
      </c>
      <c r="D1404" s="967"/>
      <c r="E1404" s="970">
        <f>G1402</f>
        <v>2894.61</v>
      </c>
      <c r="F1404" s="970">
        <f>G1402</f>
        <v>2894.61</v>
      </c>
      <c r="G1404" s="972">
        <f>G1402</f>
        <v>2894.61</v>
      </c>
      <c r="H1404" s="964" t="s">
        <v>2299</v>
      </c>
    </row>
    <row r="1405" spans="1:8" hidden="1">
      <c r="A1405" s="967"/>
      <c r="B1405" s="967"/>
      <c r="C1405" s="1382" t="s">
        <v>1649</v>
      </c>
      <c r="D1405" s="970">
        <v>10</v>
      </c>
      <c r="E1405" s="970">
        <f>D1405*'MINI SSR 2020-21'!$E$36</f>
        <v>10.3</v>
      </c>
      <c r="F1405" s="970">
        <f>E1405</f>
        <v>10.3</v>
      </c>
      <c r="G1405" s="972">
        <f>E1405</f>
        <v>10.3</v>
      </c>
      <c r="H1405" s="964" t="s">
        <v>2299</v>
      </c>
    </row>
    <row r="1406" spans="1:8" hidden="1">
      <c r="A1406" s="967"/>
      <c r="B1406" s="967"/>
      <c r="C1406" s="1382" t="s">
        <v>1652</v>
      </c>
      <c r="D1406" s="970">
        <v>10</v>
      </c>
      <c r="E1406" s="970">
        <f>ROUND(D1406*'MINI SSR 2020-21'!F36,2)</f>
        <v>79.5</v>
      </c>
      <c r="F1406" s="970">
        <f>ROUND(D1406*'MINI SSR 2020-21'!G36,2)</f>
        <v>113.8</v>
      </c>
      <c r="G1406" s="972">
        <f>ROUND(D1406*'MINI SSR 2020-21'!H36,2)</f>
        <v>148.1</v>
      </c>
      <c r="H1406" s="964" t="s">
        <v>2299</v>
      </c>
    </row>
    <row r="1407" spans="1:8" ht="25.5" hidden="1">
      <c r="A1407" s="967"/>
      <c r="B1407" s="967"/>
      <c r="C1407" s="1382" t="s">
        <v>1285</v>
      </c>
      <c r="D1407" s="967"/>
      <c r="E1407" s="967"/>
      <c r="F1407" s="970">
        <f>ROUND((G1399+G1400+G1401+F1406)*0.1,2)</f>
        <v>217.43</v>
      </c>
      <c r="G1407" s="972">
        <f>ROUND((G1399+G1400+G1401+G1406)*0.2,2)</f>
        <v>441.72</v>
      </c>
      <c r="H1407" s="964" t="s">
        <v>2299</v>
      </c>
    </row>
    <row r="1408" spans="1:8" hidden="1">
      <c r="A1408" s="967"/>
      <c r="B1408" s="967"/>
      <c r="C1408" s="962" t="s">
        <v>88</v>
      </c>
      <c r="D1408" s="967"/>
      <c r="E1408" s="970">
        <f>SUM(E1404:E1407)</f>
        <v>2984.4100000000003</v>
      </c>
      <c r="F1408" s="970">
        <f>SUM(F1404:F1407)</f>
        <v>3236.1400000000003</v>
      </c>
      <c r="G1408" s="972">
        <f>SUM(G1404:G1407)</f>
        <v>3494.7300000000005</v>
      </c>
      <c r="H1408" s="964" t="s">
        <v>2299</v>
      </c>
    </row>
    <row r="1409" spans="1:8" hidden="1">
      <c r="A1409" s="967"/>
      <c r="B1409" s="967"/>
      <c r="C1409" s="962" t="s">
        <v>121</v>
      </c>
      <c r="D1409" s="967"/>
      <c r="E1409" s="974">
        <f>ROUND(E1408/10,2)</f>
        <v>298.44</v>
      </c>
      <c r="F1409" s="974">
        <f>ROUND(F1408/10,2)</f>
        <v>323.61</v>
      </c>
      <c r="G1409" s="971">
        <f>ROUND(G1408/10,2)</f>
        <v>349.47</v>
      </c>
      <c r="H1409" s="964" t="s">
        <v>2299</v>
      </c>
    </row>
    <row r="1410" spans="1:8" ht="102" hidden="1">
      <c r="A1410" s="896">
        <v>24</v>
      </c>
      <c r="B1410" s="966" t="s">
        <v>1346</v>
      </c>
      <c r="C1410" s="1382" t="s">
        <v>808</v>
      </c>
      <c r="D1410" s="967"/>
      <c r="E1410" s="967"/>
      <c r="F1410" s="967"/>
      <c r="G1410" s="966"/>
      <c r="H1410" s="964" t="s">
        <v>2299</v>
      </c>
    </row>
    <row r="1411" spans="1:8" hidden="1">
      <c r="A1411" s="896"/>
      <c r="B1411" s="966"/>
      <c r="C1411" s="962" t="s">
        <v>42</v>
      </c>
      <c r="D1411" s="967"/>
      <c r="E1411" s="967"/>
      <c r="F1411" s="967"/>
      <c r="G1411" s="972"/>
      <c r="H1411" s="964" t="s">
        <v>2299</v>
      </c>
    </row>
    <row r="1412" spans="1:8" hidden="1">
      <c r="A1412" s="896"/>
      <c r="B1412" s="966"/>
      <c r="C1412" s="962" t="s">
        <v>317</v>
      </c>
      <c r="D1412" s="967"/>
      <c r="E1412" s="967"/>
      <c r="F1412" s="967"/>
      <c r="G1412" s="972"/>
      <c r="H1412" s="964" t="s">
        <v>2299</v>
      </c>
    </row>
    <row r="1413" spans="1:8" hidden="1">
      <c r="A1413" s="896"/>
      <c r="B1413" s="966"/>
      <c r="C1413" s="1382" t="s">
        <v>107</v>
      </c>
      <c r="D1413" s="967" t="s">
        <v>4</v>
      </c>
      <c r="E1413" s="970">
        <v>31.7</v>
      </c>
      <c r="F1413" s="970">
        <f>'lead 20-21'!L8</f>
        <v>4700</v>
      </c>
      <c r="G1413" s="969">
        <f>ROUND(E1413*F1413/1000,2)</f>
        <v>148.99</v>
      </c>
      <c r="H1413" s="964" t="s">
        <v>2299</v>
      </c>
    </row>
    <row r="1414" spans="1:8" hidden="1">
      <c r="A1414" s="896"/>
      <c r="B1414" s="966"/>
      <c r="C1414" s="1382" t="s">
        <v>318</v>
      </c>
      <c r="D1414" s="967" t="s">
        <v>35</v>
      </c>
      <c r="E1414" s="970">
        <v>0.11</v>
      </c>
      <c r="F1414" s="970">
        <f>'lead 20-21'!L12</f>
        <v>1546.600000000001</v>
      </c>
      <c r="G1414" s="969">
        <f>ROUND(E1414*F1414,2)</f>
        <v>170.13</v>
      </c>
      <c r="H1414" s="964" t="s">
        <v>2299</v>
      </c>
    </row>
    <row r="1415" spans="1:8" hidden="1">
      <c r="A1415" s="896"/>
      <c r="B1415" s="966"/>
      <c r="C1415" s="962" t="s">
        <v>319</v>
      </c>
      <c r="D1415" s="967"/>
      <c r="E1415" s="967"/>
      <c r="F1415" s="967"/>
      <c r="G1415" s="972"/>
      <c r="H1415" s="964" t="s">
        <v>2299</v>
      </c>
    </row>
    <row r="1416" spans="1:8" hidden="1">
      <c r="A1416" s="896"/>
      <c r="B1416" s="966"/>
      <c r="C1416" s="1382" t="s">
        <v>107</v>
      </c>
      <c r="D1416" s="967" t="s">
        <v>4</v>
      </c>
      <c r="E1416" s="970">
        <v>19.2</v>
      </c>
      <c r="F1416" s="970">
        <f>F1413</f>
        <v>4700</v>
      </c>
      <c r="G1416" s="969">
        <f>ROUND(E1416*F1416/1000,2)</f>
        <v>90.24</v>
      </c>
      <c r="H1416" s="964" t="s">
        <v>2299</v>
      </c>
    </row>
    <row r="1417" spans="1:8" hidden="1">
      <c r="A1417" s="896"/>
      <c r="B1417" s="966"/>
      <c r="C1417" s="1382" t="s">
        <v>318</v>
      </c>
      <c r="D1417" s="967" t="s">
        <v>35</v>
      </c>
      <c r="E1417" s="970">
        <v>0.04</v>
      </c>
      <c r="F1417" s="970">
        <f>F1414</f>
        <v>1546.600000000001</v>
      </c>
      <c r="G1417" s="969">
        <f>ROUND(E1417*F1417,2)</f>
        <v>61.86</v>
      </c>
      <c r="H1417" s="964" t="s">
        <v>2299</v>
      </c>
    </row>
    <row r="1418" spans="1:8" hidden="1">
      <c r="A1418" s="967"/>
      <c r="B1418" s="967"/>
      <c r="C1418" s="962" t="s">
        <v>68</v>
      </c>
      <c r="D1418" s="967"/>
      <c r="E1418" s="970"/>
      <c r="F1418" s="970"/>
      <c r="G1418" s="969"/>
      <c r="H1418" s="964" t="s">
        <v>2299</v>
      </c>
    </row>
    <row r="1419" spans="1:8" hidden="1">
      <c r="A1419" s="967"/>
      <c r="B1419" s="967"/>
      <c r="C1419" s="1382" t="s">
        <v>64</v>
      </c>
      <c r="D1419" s="967" t="s">
        <v>27</v>
      </c>
      <c r="E1419" s="970">
        <v>0.63</v>
      </c>
      <c r="F1419" s="970">
        <f>'MINI SSR 2020-21'!$H$3</f>
        <v>550</v>
      </c>
      <c r="G1419" s="969">
        <f>ROUND(E1419*F1419,2)</f>
        <v>346.5</v>
      </c>
      <c r="H1419" s="964" t="s">
        <v>2299</v>
      </c>
    </row>
    <row r="1420" spans="1:8" hidden="1">
      <c r="A1420" s="967"/>
      <c r="B1420" s="967"/>
      <c r="C1420" s="1382" t="s">
        <v>69</v>
      </c>
      <c r="D1420" s="967" t="s">
        <v>27</v>
      </c>
      <c r="E1420" s="970">
        <v>1.47</v>
      </c>
      <c r="F1420" s="970">
        <f>'MINI SSR 2020-21'!$H$4</f>
        <v>500</v>
      </c>
      <c r="G1420" s="969">
        <f>ROUND(E1420*F1420,2)</f>
        <v>735</v>
      </c>
      <c r="H1420" s="964" t="s">
        <v>2299</v>
      </c>
    </row>
    <row r="1421" spans="1:8" hidden="1">
      <c r="A1421" s="967"/>
      <c r="B1421" s="967"/>
      <c r="C1421" s="1382" t="s">
        <v>85</v>
      </c>
      <c r="D1421" s="967" t="s">
        <v>27</v>
      </c>
      <c r="E1421" s="970">
        <v>3.9</v>
      </c>
      <c r="F1421" s="970">
        <f>'MINI SSR 2020-21'!$H$5</f>
        <v>460</v>
      </c>
      <c r="G1421" s="969">
        <f>ROUND(E1421*F1421,2)</f>
        <v>1794</v>
      </c>
      <c r="H1421" s="964" t="s">
        <v>2299</v>
      </c>
    </row>
    <row r="1422" spans="1:8" hidden="1">
      <c r="A1422" s="967"/>
      <c r="B1422" s="967"/>
      <c r="C1422" s="962" t="s">
        <v>88</v>
      </c>
      <c r="D1422" s="967"/>
      <c r="E1422" s="967"/>
      <c r="F1422" s="967"/>
      <c r="G1422" s="971">
        <f>SUM(G1413:G1421)</f>
        <v>3346.7200000000003</v>
      </c>
      <c r="H1422" s="964" t="s">
        <v>2299</v>
      </c>
    </row>
    <row r="1423" spans="1:8" hidden="1">
      <c r="A1423" s="967"/>
      <c r="B1423" s="967"/>
      <c r="C1423" s="962"/>
      <c r="D1423" s="967"/>
      <c r="E1423" s="966" t="s">
        <v>161</v>
      </c>
      <c r="F1423" s="966" t="s">
        <v>162</v>
      </c>
      <c r="G1423" s="974" t="s">
        <v>163</v>
      </c>
      <c r="H1423" s="964" t="s">
        <v>2299</v>
      </c>
    </row>
    <row r="1424" spans="1:8" hidden="1">
      <c r="A1424" s="967"/>
      <c r="B1424" s="967"/>
      <c r="C1424" s="962" t="s">
        <v>1273</v>
      </c>
      <c r="D1424" s="967"/>
      <c r="E1424" s="970">
        <f>G1422</f>
        <v>3346.7200000000003</v>
      </c>
      <c r="F1424" s="970">
        <f>G1422</f>
        <v>3346.7200000000003</v>
      </c>
      <c r="G1424" s="972">
        <f>F1424</f>
        <v>3346.7200000000003</v>
      </c>
      <c r="H1424" s="964" t="s">
        <v>2299</v>
      </c>
    </row>
    <row r="1425" spans="1:8" hidden="1">
      <c r="A1425" s="967"/>
      <c r="B1425" s="967"/>
      <c r="C1425" s="1382" t="s">
        <v>1649</v>
      </c>
      <c r="D1425" s="970">
        <v>10</v>
      </c>
      <c r="E1425" s="970">
        <f>D1425*'MINI SSR 2020-21'!$E$36</f>
        <v>10.3</v>
      </c>
      <c r="F1425" s="970">
        <f>E1425</f>
        <v>10.3</v>
      </c>
      <c r="G1425" s="972">
        <f>F1425</f>
        <v>10.3</v>
      </c>
      <c r="H1425" s="964" t="s">
        <v>2299</v>
      </c>
    </row>
    <row r="1426" spans="1:8" hidden="1">
      <c r="A1426" s="967"/>
      <c r="B1426" s="967"/>
      <c r="C1426" s="1382" t="s">
        <v>1650</v>
      </c>
      <c r="D1426" s="970">
        <v>10</v>
      </c>
      <c r="E1426" s="970">
        <f>ROUND(D1426*'MINI SSR 2020-21'!F36,2)</f>
        <v>79.5</v>
      </c>
      <c r="F1426" s="970">
        <f>ROUND(D1426*'MINI SSR 2020-21'!G36,2)</f>
        <v>113.8</v>
      </c>
      <c r="G1426" s="972">
        <f>ROUND(D1426*'MINI SSR 2020-21'!H36,2)</f>
        <v>148.1</v>
      </c>
      <c r="H1426" s="964" t="s">
        <v>2299</v>
      </c>
    </row>
    <row r="1427" spans="1:8" ht="25.5" hidden="1">
      <c r="A1427" s="967"/>
      <c r="B1427" s="967"/>
      <c r="C1427" s="1382" t="s">
        <v>1285</v>
      </c>
      <c r="D1427" s="967"/>
      <c r="E1427" s="967"/>
      <c r="F1427" s="970">
        <f>ROUND((G1419+G1420+G1421+F1426)*0.1,2)</f>
        <v>298.93</v>
      </c>
      <c r="G1427" s="972">
        <f>ROUND((G1419+G1420+G1421+G1426)*0.2,2)</f>
        <v>604.72</v>
      </c>
      <c r="H1427" s="964" t="s">
        <v>2299</v>
      </c>
    </row>
    <row r="1428" spans="1:8" ht="12" hidden="1" customHeight="1">
      <c r="A1428" s="967"/>
      <c r="B1428" s="967"/>
      <c r="C1428" s="962" t="s">
        <v>88</v>
      </c>
      <c r="D1428" s="967"/>
      <c r="E1428" s="970">
        <f>SUM(E1424:E1427)</f>
        <v>3436.5200000000004</v>
      </c>
      <c r="F1428" s="970">
        <f>SUM(F1424:F1427)</f>
        <v>3769.7500000000005</v>
      </c>
      <c r="G1428" s="972">
        <f>SUM(G1424:G1427)</f>
        <v>4109.84</v>
      </c>
      <c r="H1428" s="964" t="s">
        <v>2299</v>
      </c>
    </row>
    <row r="1429" spans="1:8" hidden="1">
      <c r="A1429" s="967"/>
      <c r="B1429" s="967"/>
      <c r="C1429" s="962" t="s">
        <v>121</v>
      </c>
      <c r="D1429" s="967"/>
      <c r="E1429" s="974">
        <f>ROUND(E1428/10,2)</f>
        <v>343.65</v>
      </c>
      <c r="F1429" s="974">
        <f>ROUND(F1428/10,2)</f>
        <v>376.98</v>
      </c>
      <c r="G1429" s="971">
        <f>ROUND(G1428/10,2)</f>
        <v>410.98</v>
      </c>
      <c r="H1429" s="964" t="s">
        <v>2299</v>
      </c>
    </row>
    <row r="1430" spans="1:8" ht="102" hidden="1">
      <c r="A1430" s="896">
        <v>25</v>
      </c>
      <c r="B1430" s="966" t="s">
        <v>1347</v>
      </c>
      <c r="C1430" s="1382" t="s">
        <v>316</v>
      </c>
      <c r="D1430" s="967"/>
      <c r="E1430" s="967"/>
      <c r="F1430" s="967"/>
      <c r="G1430" s="966"/>
      <c r="H1430" s="964" t="s">
        <v>2299</v>
      </c>
    </row>
    <row r="1431" spans="1:8" hidden="1">
      <c r="A1431" s="896"/>
      <c r="B1431" s="966"/>
      <c r="C1431" s="962" t="s">
        <v>42</v>
      </c>
      <c r="D1431" s="967"/>
      <c r="E1431" s="967"/>
      <c r="F1431" s="967"/>
      <c r="G1431" s="972"/>
      <c r="H1431" s="964" t="s">
        <v>2299</v>
      </c>
    </row>
    <row r="1432" spans="1:8" hidden="1">
      <c r="A1432" s="896"/>
      <c r="B1432" s="966"/>
      <c r="C1432" s="962" t="s">
        <v>317</v>
      </c>
      <c r="D1432" s="967"/>
      <c r="E1432" s="967"/>
      <c r="F1432" s="967"/>
      <c r="G1432" s="972"/>
      <c r="H1432" s="964" t="s">
        <v>2299</v>
      </c>
    </row>
    <row r="1433" spans="1:8" hidden="1">
      <c r="A1433" s="896"/>
      <c r="B1433" s="966"/>
      <c r="C1433" s="1382" t="s">
        <v>107</v>
      </c>
      <c r="D1433" s="967" t="s">
        <v>4</v>
      </c>
      <c r="E1433" s="970">
        <v>43</v>
      </c>
      <c r="F1433" s="970">
        <f>F1413</f>
        <v>4700</v>
      </c>
      <c r="G1433" s="969">
        <f>ROUND(E1433*F1433/1000,2)</f>
        <v>202.1</v>
      </c>
      <c r="H1433" s="964" t="s">
        <v>2299</v>
      </c>
    </row>
    <row r="1434" spans="1:8" hidden="1">
      <c r="A1434" s="896"/>
      <c r="B1434" s="966"/>
      <c r="C1434" s="1382" t="s">
        <v>318</v>
      </c>
      <c r="D1434" s="967" t="s">
        <v>35</v>
      </c>
      <c r="E1434" s="970">
        <v>0.18</v>
      </c>
      <c r="F1434" s="970">
        <f>F1414</f>
        <v>1546.600000000001</v>
      </c>
      <c r="G1434" s="969">
        <f>ROUND(E1434*F1434,2)</f>
        <v>278.39</v>
      </c>
      <c r="H1434" s="964" t="s">
        <v>2299</v>
      </c>
    </row>
    <row r="1435" spans="1:8" hidden="1">
      <c r="A1435" s="896"/>
      <c r="B1435" s="966"/>
      <c r="C1435" s="962" t="s">
        <v>319</v>
      </c>
      <c r="D1435" s="967"/>
      <c r="E1435" s="967"/>
      <c r="F1435" s="967"/>
      <c r="G1435" s="972"/>
      <c r="H1435" s="964" t="s">
        <v>2299</v>
      </c>
    </row>
    <row r="1436" spans="1:8" hidden="1">
      <c r="A1436" s="896"/>
      <c r="B1436" s="966"/>
      <c r="C1436" s="1382" t="s">
        <v>107</v>
      </c>
      <c r="D1436" s="967" t="s">
        <v>4</v>
      </c>
      <c r="E1436" s="970">
        <v>14.5</v>
      </c>
      <c r="F1436" s="970">
        <f>F1433</f>
        <v>4700</v>
      </c>
      <c r="G1436" s="969">
        <f>ROUND(E1436*F1436/1000,2)</f>
        <v>68.150000000000006</v>
      </c>
      <c r="H1436" s="964" t="s">
        <v>2299</v>
      </c>
    </row>
    <row r="1437" spans="1:8" hidden="1">
      <c r="A1437" s="896"/>
      <c r="B1437" s="966"/>
      <c r="C1437" s="1382" t="s">
        <v>318</v>
      </c>
      <c r="D1437" s="967" t="s">
        <v>35</v>
      </c>
      <c r="E1437" s="970">
        <v>0.04</v>
      </c>
      <c r="F1437" s="970">
        <f>F1434</f>
        <v>1546.600000000001</v>
      </c>
      <c r="G1437" s="969">
        <f>ROUND(E1437*F1437,2)</f>
        <v>61.86</v>
      </c>
      <c r="H1437" s="964" t="s">
        <v>2299</v>
      </c>
    </row>
    <row r="1438" spans="1:8" hidden="1">
      <c r="A1438" s="967"/>
      <c r="B1438" s="967"/>
      <c r="C1438" s="962" t="s">
        <v>68</v>
      </c>
      <c r="D1438" s="967"/>
      <c r="E1438" s="970"/>
      <c r="F1438" s="970"/>
      <c r="G1438" s="969"/>
      <c r="H1438" s="964" t="s">
        <v>2299</v>
      </c>
    </row>
    <row r="1439" spans="1:8" hidden="1">
      <c r="A1439" s="967"/>
      <c r="B1439" s="967"/>
      <c r="C1439" s="1382" t="s">
        <v>64</v>
      </c>
      <c r="D1439" s="967" t="s">
        <v>27</v>
      </c>
      <c r="E1439" s="970">
        <v>0.63</v>
      </c>
      <c r="F1439" s="970">
        <f>'MINI SSR 2020-21'!$H$3</f>
        <v>550</v>
      </c>
      <c r="G1439" s="969">
        <f>ROUND(E1439*F1439,2)</f>
        <v>346.5</v>
      </c>
      <c r="H1439" s="964" t="s">
        <v>2299</v>
      </c>
    </row>
    <row r="1440" spans="1:8" hidden="1">
      <c r="A1440" s="967"/>
      <c r="B1440" s="967"/>
      <c r="C1440" s="1382" t="s">
        <v>69</v>
      </c>
      <c r="D1440" s="967" t="s">
        <v>27</v>
      </c>
      <c r="E1440" s="970">
        <v>1.47</v>
      </c>
      <c r="F1440" s="970">
        <f>'MINI SSR 2020-21'!$H$4</f>
        <v>500</v>
      </c>
      <c r="G1440" s="969">
        <f>ROUND(E1440*F1440,2)</f>
        <v>735</v>
      </c>
      <c r="H1440" s="964" t="s">
        <v>2299</v>
      </c>
    </row>
    <row r="1441" spans="1:8" hidden="1">
      <c r="A1441" s="967"/>
      <c r="B1441" s="967"/>
      <c r="C1441" s="1382" t="s">
        <v>85</v>
      </c>
      <c r="D1441" s="967" t="s">
        <v>27</v>
      </c>
      <c r="E1441" s="970">
        <v>3.9</v>
      </c>
      <c r="F1441" s="970">
        <f>'MINI SSR 2020-21'!$H$5</f>
        <v>460</v>
      </c>
      <c r="G1441" s="969">
        <f>ROUND(E1441*F1441,2)</f>
        <v>1794</v>
      </c>
      <c r="H1441" s="964" t="s">
        <v>2299</v>
      </c>
    </row>
    <row r="1442" spans="1:8" hidden="1">
      <c r="A1442" s="967"/>
      <c r="B1442" s="967"/>
      <c r="C1442" s="962" t="s">
        <v>88</v>
      </c>
      <c r="D1442" s="967"/>
      <c r="E1442" s="967"/>
      <c r="F1442" s="967"/>
      <c r="G1442" s="971">
        <f>SUM(G1433:G1441)</f>
        <v>3486</v>
      </c>
      <c r="H1442" s="964" t="s">
        <v>2299</v>
      </c>
    </row>
    <row r="1443" spans="1:8" hidden="1">
      <c r="A1443" s="967"/>
      <c r="B1443" s="967"/>
      <c r="C1443" s="962"/>
      <c r="D1443" s="967"/>
      <c r="E1443" s="966" t="s">
        <v>161</v>
      </c>
      <c r="F1443" s="966" t="s">
        <v>162</v>
      </c>
      <c r="G1443" s="974" t="s">
        <v>163</v>
      </c>
      <c r="H1443" s="964" t="s">
        <v>2299</v>
      </c>
    </row>
    <row r="1444" spans="1:8" hidden="1">
      <c r="A1444" s="967"/>
      <c r="B1444" s="967"/>
      <c r="C1444" s="962" t="s">
        <v>1273</v>
      </c>
      <c r="D1444" s="967"/>
      <c r="E1444" s="970">
        <f>G1442</f>
        <v>3486</v>
      </c>
      <c r="F1444" s="970">
        <f>G1442</f>
        <v>3486</v>
      </c>
      <c r="G1444" s="972">
        <f>F1444</f>
        <v>3486</v>
      </c>
      <c r="H1444" s="964" t="s">
        <v>2299</v>
      </c>
    </row>
    <row r="1445" spans="1:8" hidden="1">
      <c r="A1445" s="967"/>
      <c r="B1445" s="967"/>
      <c r="C1445" s="1382" t="s">
        <v>1649</v>
      </c>
      <c r="D1445" s="970">
        <v>10</v>
      </c>
      <c r="E1445" s="970">
        <f>D1445*'MINI SSR 2020-21'!$E$36</f>
        <v>10.3</v>
      </c>
      <c r="F1445" s="970">
        <f>E1445</f>
        <v>10.3</v>
      </c>
      <c r="G1445" s="972">
        <f>F1445</f>
        <v>10.3</v>
      </c>
      <c r="H1445" s="964" t="s">
        <v>2299</v>
      </c>
    </row>
    <row r="1446" spans="1:8" hidden="1">
      <c r="A1446" s="967"/>
      <c r="B1446" s="967"/>
      <c r="C1446" s="1382" t="s">
        <v>1652</v>
      </c>
      <c r="D1446" s="970">
        <v>10</v>
      </c>
      <c r="E1446" s="970">
        <f>ROUND(D1446*'MINI SSR 2020-21'!F36,2)</f>
        <v>79.5</v>
      </c>
      <c r="F1446" s="970">
        <f>ROUND(D1446*'MINI SSR 2020-21'!G36,2)</f>
        <v>113.8</v>
      </c>
      <c r="G1446" s="972">
        <f>ROUND(D1446*'MINI SSR 2020-21'!H36,2)</f>
        <v>148.1</v>
      </c>
      <c r="H1446" s="964" t="s">
        <v>2299</v>
      </c>
    </row>
    <row r="1447" spans="1:8" ht="25.5" hidden="1">
      <c r="A1447" s="967"/>
      <c r="B1447" s="967"/>
      <c r="C1447" s="1382" t="s">
        <v>1285</v>
      </c>
      <c r="D1447" s="967"/>
      <c r="E1447" s="967"/>
      <c r="F1447" s="970">
        <f>ROUND((G1439+G1440+G1441+F1446)*0.1,2)</f>
        <v>298.93</v>
      </c>
      <c r="G1447" s="972">
        <f>ROUND((G1439+G1440+G1441+G1446)*0.2,2)</f>
        <v>604.72</v>
      </c>
      <c r="H1447" s="964" t="s">
        <v>2299</v>
      </c>
    </row>
    <row r="1448" spans="1:8" hidden="1">
      <c r="A1448" s="967"/>
      <c r="B1448" s="967"/>
      <c r="C1448" s="962" t="s">
        <v>88</v>
      </c>
      <c r="D1448" s="967"/>
      <c r="E1448" s="970">
        <f>SUM(E1444:E1447)</f>
        <v>3575.8</v>
      </c>
      <c r="F1448" s="970">
        <f>SUM(F1444:F1447)</f>
        <v>3909.03</v>
      </c>
      <c r="G1448" s="972">
        <f>SUM(G1444:G1447)</f>
        <v>4249.12</v>
      </c>
      <c r="H1448" s="964" t="s">
        <v>2299</v>
      </c>
    </row>
    <row r="1449" spans="1:8" hidden="1">
      <c r="A1449" s="967"/>
      <c r="B1449" s="967"/>
      <c r="C1449" s="962" t="s">
        <v>121</v>
      </c>
      <c r="D1449" s="967"/>
      <c r="E1449" s="974">
        <f>ROUND(E1448/10,2)</f>
        <v>357.58</v>
      </c>
      <c r="F1449" s="974">
        <f>ROUND(F1448/10,2)</f>
        <v>390.9</v>
      </c>
      <c r="G1449" s="971">
        <f>ROUND(G1448/10,2)</f>
        <v>424.91</v>
      </c>
      <c r="H1449" s="964" t="s">
        <v>2299</v>
      </c>
    </row>
    <row r="1450" spans="1:8" ht="165.75" hidden="1">
      <c r="A1450" s="896">
        <v>37</v>
      </c>
      <c r="B1450" s="966"/>
      <c r="C1450" s="1382" t="s">
        <v>1171</v>
      </c>
      <c r="D1450" s="967"/>
      <c r="E1450" s="967"/>
      <c r="F1450" s="967"/>
      <c r="G1450" s="972"/>
      <c r="H1450" s="964" t="s">
        <v>2299</v>
      </c>
    </row>
    <row r="1451" spans="1:8" hidden="1">
      <c r="A1451" s="967"/>
      <c r="B1451" s="967"/>
      <c r="C1451" s="1382" t="s">
        <v>868</v>
      </c>
      <c r="D1451" s="967"/>
      <c r="E1451" s="970"/>
      <c r="F1451" s="970"/>
      <c r="G1451" s="969"/>
      <c r="H1451" s="964" t="s">
        <v>2299</v>
      </c>
    </row>
    <row r="1452" spans="1:8" hidden="1">
      <c r="A1452" s="967"/>
      <c r="B1452" s="967"/>
      <c r="C1452" s="1382" t="s">
        <v>863</v>
      </c>
      <c r="D1452" s="967"/>
      <c r="E1452" s="970"/>
      <c r="F1452" s="970"/>
      <c r="G1452" s="969"/>
      <c r="H1452" s="964" t="s">
        <v>2299</v>
      </c>
    </row>
    <row r="1453" spans="1:8" hidden="1">
      <c r="A1453" s="967"/>
      <c r="B1453" s="967"/>
      <c r="C1453" s="1382" t="s">
        <v>1172</v>
      </c>
      <c r="D1453" s="970" t="s">
        <v>77</v>
      </c>
      <c r="E1453" s="970">
        <v>13.3</v>
      </c>
      <c r="F1453" s="990">
        <f>'MINI SSR 2020-21'!C43</f>
        <v>17</v>
      </c>
      <c r="G1453" s="969">
        <f>ROUND(E1453*F1453,2)</f>
        <v>226.1</v>
      </c>
      <c r="H1453" s="964" t="s">
        <v>2299</v>
      </c>
    </row>
    <row r="1454" spans="1:8" hidden="1">
      <c r="A1454" s="896"/>
      <c r="B1454" s="966"/>
      <c r="C1454" s="1382" t="s">
        <v>1173</v>
      </c>
      <c r="D1454" s="970" t="s">
        <v>35</v>
      </c>
      <c r="E1454" s="970">
        <v>0.25</v>
      </c>
      <c r="F1454" s="990">
        <f>G928</f>
        <v>3971.9300000000003</v>
      </c>
      <c r="G1454" s="969">
        <f>ROUND(E1454*F1454,2)</f>
        <v>992.98</v>
      </c>
      <c r="H1454" s="964" t="s">
        <v>2299</v>
      </c>
    </row>
    <row r="1455" spans="1:8" hidden="1">
      <c r="A1455" s="896"/>
      <c r="B1455" s="966"/>
      <c r="C1455" s="1382" t="s">
        <v>1174</v>
      </c>
      <c r="D1455" s="970" t="s">
        <v>90</v>
      </c>
      <c r="E1455" s="970">
        <v>50</v>
      </c>
      <c r="F1455" s="990">
        <f>'lead 20-21'!L8</f>
        <v>4700</v>
      </c>
      <c r="G1455" s="969">
        <f>ROUND(E1455*F1455/1000,2)</f>
        <v>235</v>
      </c>
      <c r="H1455" s="964" t="s">
        <v>2299</v>
      </c>
    </row>
    <row r="1456" spans="1:8" ht="25.5" hidden="1">
      <c r="A1456" s="896"/>
      <c r="B1456" s="966"/>
      <c r="C1456" s="1382" t="s">
        <v>1175</v>
      </c>
      <c r="D1456" s="970" t="s">
        <v>77</v>
      </c>
      <c r="E1456" s="970">
        <v>21.8</v>
      </c>
      <c r="F1456" s="990">
        <f>E1429</f>
        <v>343.65</v>
      </c>
      <c r="G1456" s="969">
        <f>ROUND(E1456*F1456,2)</f>
        <v>7491.57</v>
      </c>
      <c r="H1456" s="964" t="s">
        <v>2299</v>
      </c>
    </row>
    <row r="1457" spans="1:8" hidden="1">
      <c r="A1457" s="896"/>
      <c r="B1457" s="966"/>
      <c r="C1457" s="962" t="s">
        <v>1176</v>
      </c>
      <c r="D1457" s="967"/>
      <c r="E1457" s="967"/>
      <c r="F1457" s="990"/>
      <c r="G1457" s="969"/>
      <c r="H1457" s="964" t="s">
        <v>2299</v>
      </c>
    </row>
    <row r="1458" spans="1:8" hidden="1">
      <c r="A1458" s="896"/>
      <c r="B1458" s="966"/>
      <c r="C1458" s="1382" t="s">
        <v>865</v>
      </c>
      <c r="D1458" s="970" t="s">
        <v>27</v>
      </c>
      <c r="E1458" s="970">
        <v>8</v>
      </c>
      <c r="F1458" s="990">
        <f>'MINI SSR 2020-21'!$H$3</f>
        <v>550</v>
      </c>
      <c r="G1458" s="969">
        <f>ROUND(E1458*F1458,2)</f>
        <v>4400</v>
      </c>
      <c r="H1458" s="964" t="s">
        <v>2299</v>
      </c>
    </row>
    <row r="1459" spans="1:8" hidden="1">
      <c r="A1459" s="896"/>
      <c r="B1459" s="966"/>
      <c r="C1459" s="1382" t="s">
        <v>1177</v>
      </c>
      <c r="D1459" s="970" t="s">
        <v>27</v>
      </c>
      <c r="E1459" s="970">
        <v>1</v>
      </c>
      <c r="F1459" s="990">
        <f>'MINI SSR 2020-21'!$H$4</f>
        <v>500</v>
      </c>
      <c r="G1459" s="969">
        <f>ROUND(E1459*F1459,2)</f>
        <v>500</v>
      </c>
      <c r="H1459" s="964" t="s">
        <v>2299</v>
      </c>
    </row>
    <row r="1460" spans="1:8" hidden="1">
      <c r="A1460" s="896"/>
      <c r="B1460" s="966"/>
      <c r="C1460" s="1382" t="s">
        <v>864</v>
      </c>
      <c r="D1460" s="970" t="s">
        <v>27</v>
      </c>
      <c r="E1460" s="970">
        <v>10</v>
      </c>
      <c r="F1460" s="990">
        <f>'MINI SSR 2020-21'!$H$5</f>
        <v>460</v>
      </c>
      <c r="G1460" s="969">
        <f>ROUND(E1460*F1460,2)</f>
        <v>4600</v>
      </c>
      <c r="H1460" s="964" t="s">
        <v>2299</v>
      </c>
    </row>
    <row r="1461" spans="1:8" hidden="1">
      <c r="A1461" s="896"/>
      <c r="B1461" s="966"/>
      <c r="C1461" s="962" t="s">
        <v>1178</v>
      </c>
      <c r="D1461" s="970"/>
      <c r="E1461" s="970"/>
      <c r="F1461" s="990"/>
      <c r="G1461" s="969"/>
      <c r="H1461" s="964" t="s">
        <v>2299</v>
      </c>
    </row>
    <row r="1462" spans="1:8" ht="25.5" hidden="1">
      <c r="A1462" s="896"/>
      <c r="B1462" s="966"/>
      <c r="C1462" s="1382" t="s">
        <v>1179</v>
      </c>
      <c r="D1462" s="970" t="s">
        <v>1180</v>
      </c>
      <c r="E1462" s="970">
        <v>2</v>
      </c>
      <c r="F1462" s="990">
        <f>'MINI SSR 2020-21'!$C$30</f>
        <v>566.1</v>
      </c>
      <c r="G1462" s="969">
        <f>ROUND(E1462*F1462,2)</f>
        <v>1132.2</v>
      </c>
      <c r="H1462" s="964" t="s">
        <v>2299</v>
      </c>
    </row>
    <row r="1463" spans="1:8" hidden="1">
      <c r="A1463" s="896"/>
      <c r="B1463" s="966"/>
      <c r="C1463" s="962" t="s">
        <v>869</v>
      </c>
      <c r="D1463" s="991"/>
      <c r="E1463" s="991"/>
      <c r="F1463" s="991" t="s">
        <v>104</v>
      </c>
      <c r="G1463" s="969">
        <f>SUM(G1453:G1462)</f>
        <v>19577.850000000002</v>
      </c>
      <c r="H1463" s="964" t="s">
        <v>2299</v>
      </c>
    </row>
    <row r="1464" spans="1:8" hidden="1">
      <c r="A1464" s="896"/>
      <c r="B1464" s="966"/>
      <c r="C1464" s="1382"/>
      <c r="D1464" s="990"/>
      <c r="E1464" s="991" t="s">
        <v>161</v>
      </c>
      <c r="F1464" s="991" t="s">
        <v>162</v>
      </c>
      <c r="G1464" s="969"/>
      <c r="H1464" s="964" t="s">
        <v>2299</v>
      </c>
    </row>
    <row r="1465" spans="1:8" hidden="1">
      <c r="A1465" s="896"/>
      <c r="B1465" s="966"/>
      <c r="C1465" s="1382" t="s">
        <v>867</v>
      </c>
      <c r="D1465" s="990"/>
      <c r="E1465" s="990">
        <f>G1463</f>
        <v>19577.850000000002</v>
      </c>
      <c r="F1465" s="990">
        <f>G1463</f>
        <v>19577.850000000002</v>
      </c>
      <c r="G1465" s="969"/>
      <c r="H1465" s="964" t="s">
        <v>2299</v>
      </c>
    </row>
    <row r="1466" spans="1:8" hidden="1">
      <c r="A1466" s="896"/>
      <c r="B1466" s="966"/>
      <c r="C1466" s="1382" t="s">
        <v>1653</v>
      </c>
      <c r="D1466" s="992" t="s">
        <v>326</v>
      </c>
      <c r="E1466" s="990">
        <f>ROUND(D1466*'MINI SSR 2020-21'!E36,2)</f>
        <v>10.3</v>
      </c>
      <c r="F1466" s="990">
        <f>ROUND(D1466*1.03,2)</f>
        <v>10.3</v>
      </c>
      <c r="G1466" s="969"/>
      <c r="H1466" s="964" t="s">
        <v>2299</v>
      </c>
    </row>
    <row r="1467" spans="1:8" hidden="1">
      <c r="A1467" s="896"/>
      <c r="B1467" s="966"/>
      <c r="C1467" s="1382" t="s">
        <v>1654</v>
      </c>
      <c r="D1467" s="992" t="s">
        <v>326</v>
      </c>
      <c r="E1467" s="990">
        <f>ROUND(D1467*'MINI SSR 2020-21'!F36,2)</f>
        <v>79.5</v>
      </c>
      <c r="F1467" s="990">
        <f>ROUND(D1467*'MINI SSR 2020-21'!G36,2)</f>
        <v>113.8</v>
      </c>
      <c r="G1467" s="969"/>
      <c r="H1467" s="964" t="s">
        <v>2299</v>
      </c>
    </row>
    <row r="1468" spans="1:8" hidden="1">
      <c r="A1468" s="896"/>
      <c r="B1468" s="966"/>
      <c r="C1468" s="1382" t="s">
        <v>870</v>
      </c>
      <c r="D1468" s="622" t="s">
        <v>326</v>
      </c>
      <c r="E1468" s="993">
        <v>0</v>
      </c>
      <c r="F1468" s="993">
        <f>ROUND(((SUM(G1458:G1460)+F1467)*D1468/100),2)</f>
        <v>961.38</v>
      </c>
      <c r="G1468" s="969"/>
      <c r="H1468" s="964" t="s">
        <v>2299</v>
      </c>
    </row>
    <row r="1469" spans="1:8" hidden="1">
      <c r="A1469" s="896"/>
      <c r="B1469" s="966"/>
      <c r="C1469" s="962" t="s">
        <v>869</v>
      </c>
      <c r="D1469" s="622"/>
      <c r="E1469" s="990">
        <f>SUM(E1465:E1468)</f>
        <v>19667.650000000001</v>
      </c>
      <c r="F1469" s="990">
        <f>SUM(F1465:F1468)</f>
        <v>20663.330000000002</v>
      </c>
      <c r="G1469" s="969"/>
      <c r="H1469" s="964" t="s">
        <v>2299</v>
      </c>
    </row>
    <row r="1470" spans="1:8" hidden="1">
      <c r="A1470" s="896"/>
      <c r="B1470" s="966"/>
      <c r="C1470" s="962" t="s">
        <v>871</v>
      </c>
      <c r="D1470" s="970"/>
      <c r="E1470" s="991">
        <f>ROUND(E1469/10,2)</f>
        <v>1966.77</v>
      </c>
      <c r="F1470" s="991">
        <f>ROUND(F1469/10,2)</f>
        <v>2066.33</v>
      </c>
      <c r="G1470" s="969"/>
      <c r="H1470" s="964" t="s">
        <v>2299</v>
      </c>
    </row>
    <row r="1471" spans="1:8" ht="102" hidden="1">
      <c r="A1471" s="896">
        <v>26</v>
      </c>
      <c r="B1471" s="966" t="s">
        <v>1312</v>
      </c>
      <c r="C1471" s="1382" t="s">
        <v>1311</v>
      </c>
      <c r="D1471" s="967"/>
      <c r="E1471" s="967"/>
      <c r="F1471" s="967"/>
      <c r="G1471" s="966"/>
      <c r="H1471" s="964" t="s">
        <v>2299</v>
      </c>
    </row>
    <row r="1472" spans="1:8" hidden="1">
      <c r="A1472" s="896"/>
      <c r="B1472" s="966"/>
      <c r="C1472" s="962" t="s">
        <v>42</v>
      </c>
      <c r="D1472" s="967"/>
      <c r="E1472" s="967"/>
      <c r="F1472" s="967"/>
      <c r="G1472" s="972"/>
      <c r="H1472" s="964" t="s">
        <v>2299</v>
      </c>
    </row>
    <row r="1473" spans="1:8" hidden="1">
      <c r="A1473" s="896"/>
      <c r="B1473" s="966"/>
      <c r="C1473" s="962" t="s">
        <v>60</v>
      </c>
      <c r="D1473" s="967"/>
      <c r="E1473" s="967"/>
      <c r="F1473" s="967"/>
      <c r="G1473" s="972"/>
      <c r="H1473" s="964" t="s">
        <v>2299</v>
      </c>
    </row>
    <row r="1474" spans="1:8" hidden="1">
      <c r="A1474" s="896"/>
      <c r="B1474" s="966"/>
      <c r="C1474" s="1382" t="s">
        <v>43</v>
      </c>
      <c r="D1474" s="967" t="s">
        <v>35</v>
      </c>
      <c r="E1474" s="970">
        <v>0.15</v>
      </c>
      <c r="F1474" s="970">
        <f>G928</f>
        <v>3971.9300000000003</v>
      </c>
      <c r="G1474" s="969">
        <f>ROUND(E1474*F1474,2)</f>
        <v>595.79</v>
      </c>
      <c r="H1474" s="964" t="s">
        <v>2299</v>
      </c>
    </row>
    <row r="1475" spans="1:8" ht="25.5" hidden="1">
      <c r="A1475" s="896"/>
      <c r="B1475" s="966"/>
      <c r="C1475" s="1382" t="s">
        <v>3623</v>
      </c>
      <c r="D1475" s="967" t="s">
        <v>4</v>
      </c>
      <c r="E1475" s="970">
        <v>2</v>
      </c>
      <c r="F1475" s="970">
        <f>'MINI SSR 2020-21'!$C$44</f>
        <v>72</v>
      </c>
      <c r="G1475" s="969">
        <f>ROUND(E1475*F1475,2)</f>
        <v>144</v>
      </c>
      <c r="H1475" s="964" t="s">
        <v>2299</v>
      </c>
    </row>
    <row r="1476" spans="1:8" hidden="1">
      <c r="A1476" s="967"/>
      <c r="B1476" s="967"/>
      <c r="C1476" s="962" t="s">
        <v>68</v>
      </c>
      <c r="D1476" s="967"/>
      <c r="E1476" s="970"/>
      <c r="F1476" s="970"/>
      <c r="G1476" s="969"/>
      <c r="H1476" s="964" t="s">
        <v>2299</v>
      </c>
    </row>
    <row r="1477" spans="1:8" hidden="1">
      <c r="A1477" s="967"/>
      <c r="B1477" s="967"/>
      <c r="C1477" s="1382" t="s">
        <v>64</v>
      </c>
      <c r="D1477" s="967" t="s">
        <v>27</v>
      </c>
      <c r="E1477" s="970">
        <v>0.45</v>
      </c>
      <c r="F1477" s="990">
        <f>'MINI SSR 2020-21'!$H$3</f>
        <v>550</v>
      </c>
      <c r="G1477" s="969">
        <f>ROUND(E1477*F1477,2)</f>
        <v>247.5</v>
      </c>
      <c r="H1477" s="964" t="s">
        <v>2299</v>
      </c>
    </row>
    <row r="1478" spans="1:8" hidden="1">
      <c r="A1478" s="967"/>
      <c r="B1478" s="967"/>
      <c r="C1478" s="1382" t="s">
        <v>69</v>
      </c>
      <c r="D1478" s="967" t="s">
        <v>27</v>
      </c>
      <c r="E1478" s="970">
        <v>1.05</v>
      </c>
      <c r="F1478" s="990">
        <f>'MINI SSR 2020-21'!$H$4</f>
        <v>500</v>
      </c>
      <c r="G1478" s="969">
        <f>ROUND(E1478*F1478,2)</f>
        <v>525</v>
      </c>
      <c r="H1478" s="964" t="s">
        <v>2299</v>
      </c>
    </row>
    <row r="1479" spans="1:8" hidden="1">
      <c r="A1479" s="967"/>
      <c r="B1479" s="967"/>
      <c r="C1479" s="1382" t="s">
        <v>85</v>
      </c>
      <c r="D1479" s="967" t="s">
        <v>27</v>
      </c>
      <c r="E1479" s="970">
        <v>2.8</v>
      </c>
      <c r="F1479" s="990">
        <f>'MINI SSR 2020-21'!$H$5</f>
        <v>460</v>
      </c>
      <c r="G1479" s="969">
        <f>ROUND(E1479*F1479,2)</f>
        <v>1288</v>
      </c>
      <c r="H1479" s="964" t="s">
        <v>2299</v>
      </c>
    </row>
    <row r="1480" spans="1:8" hidden="1">
      <c r="A1480" s="967"/>
      <c r="B1480" s="967"/>
      <c r="C1480" s="962" t="s">
        <v>88</v>
      </c>
      <c r="D1480" s="967"/>
      <c r="E1480" s="967"/>
      <c r="F1480" s="967"/>
      <c r="G1480" s="971">
        <f>SUM(G1474:G1479)</f>
        <v>2800.29</v>
      </c>
      <c r="H1480" s="964" t="s">
        <v>2299</v>
      </c>
    </row>
    <row r="1481" spans="1:8" hidden="1">
      <c r="A1481" s="967"/>
      <c r="B1481" s="967"/>
      <c r="C1481" s="962"/>
      <c r="D1481" s="967"/>
      <c r="E1481" s="966" t="s">
        <v>161</v>
      </c>
      <c r="F1481" s="966" t="s">
        <v>162</v>
      </c>
      <c r="G1481" s="974" t="s">
        <v>162</v>
      </c>
      <c r="H1481" s="964" t="s">
        <v>2299</v>
      </c>
    </row>
    <row r="1482" spans="1:8" hidden="1">
      <c r="A1482" s="967"/>
      <c r="B1482" s="967"/>
      <c r="C1482" s="962" t="s">
        <v>1273</v>
      </c>
      <c r="D1482" s="967"/>
      <c r="E1482" s="970">
        <f>G1480</f>
        <v>2800.29</v>
      </c>
      <c r="F1482" s="970">
        <f>G1480</f>
        <v>2800.29</v>
      </c>
      <c r="G1482" s="972">
        <f>G1480</f>
        <v>2800.29</v>
      </c>
      <c r="H1482" s="964" t="s">
        <v>2299</v>
      </c>
    </row>
    <row r="1483" spans="1:8" ht="25.5" hidden="1">
      <c r="A1483" s="967"/>
      <c r="B1483" s="967"/>
      <c r="C1483" s="1382" t="s">
        <v>1285</v>
      </c>
      <c r="D1483" s="967"/>
      <c r="E1483" s="967"/>
      <c r="F1483" s="972">
        <f>(SUM(G1477:G1479)*10%)</f>
        <v>206.05</v>
      </c>
      <c r="G1483" s="972">
        <f>(SUM(G1477:G1479)*20%)</f>
        <v>412.1</v>
      </c>
      <c r="H1483" s="964" t="s">
        <v>2299</v>
      </c>
    </row>
    <row r="1484" spans="1:8" hidden="1">
      <c r="A1484" s="967"/>
      <c r="B1484" s="967"/>
      <c r="C1484" s="962" t="s">
        <v>88</v>
      </c>
      <c r="D1484" s="967"/>
      <c r="E1484" s="970">
        <f>SUM(E1482:E1483)</f>
        <v>2800.29</v>
      </c>
      <c r="F1484" s="970">
        <f>SUM(F1482:F1483)</f>
        <v>3006.34</v>
      </c>
      <c r="G1484" s="972">
        <f>SUM(G1482:G1483)</f>
        <v>3212.39</v>
      </c>
      <c r="H1484" s="964" t="s">
        <v>2299</v>
      </c>
    </row>
    <row r="1485" spans="1:8" hidden="1">
      <c r="A1485" s="967"/>
      <c r="B1485" s="967"/>
      <c r="C1485" s="962" t="s">
        <v>121</v>
      </c>
      <c r="D1485" s="967"/>
      <c r="E1485" s="974">
        <f>ROUND(E1484/10,2)</f>
        <v>280.02999999999997</v>
      </c>
      <c r="F1485" s="974">
        <f>ROUND(F1484/10,2)</f>
        <v>300.63</v>
      </c>
      <c r="G1485" s="971">
        <f>ROUND(G1484/10,2)</f>
        <v>321.24</v>
      </c>
      <c r="H1485" s="964" t="s">
        <v>2299</v>
      </c>
    </row>
    <row r="1486" spans="1:8" ht="102" hidden="1">
      <c r="A1486" s="896">
        <v>18</v>
      </c>
      <c r="B1486" s="966" t="s">
        <v>1312</v>
      </c>
      <c r="C1486" s="1382" t="s">
        <v>899</v>
      </c>
      <c r="D1486" s="967"/>
      <c r="E1486" s="967"/>
      <c r="F1486" s="967"/>
      <c r="G1486" s="966" t="s">
        <v>148</v>
      </c>
      <c r="H1486" s="964" t="s">
        <v>2299</v>
      </c>
    </row>
    <row r="1487" spans="1:8" hidden="1">
      <c r="A1487" s="896"/>
      <c r="B1487" s="966"/>
      <c r="C1487" s="962" t="s">
        <v>42</v>
      </c>
      <c r="D1487" s="967"/>
      <c r="E1487" s="967"/>
      <c r="F1487" s="967"/>
      <c r="G1487" s="972"/>
      <c r="H1487" s="964" t="s">
        <v>2299</v>
      </c>
    </row>
    <row r="1488" spans="1:8" hidden="1">
      <c r="A1488" s="896"/>
      <c r="B1488" s="966"/>
      <c r="C1488" s="962" t="s">
        <v>60</v>
      </c>
      <c r="D1488" s="967"/>
      <c r="E1488" s="967"/>
      <c r="F1488" s="967"/>
      <c r="G1488" s="972"/>
      <c r="H1488" s="964" t="s">
        <v>2299</v>
      </c>
    </row>
    <row r="1489" spans="1:8" hidden="1">
      <c r="A1489" s="896"/>
      <c r="B1489" s="966"/>
      <c r="C1489" s="1382" t="s">
        <v>43</v>
      </c>
      <c r="D1489" s="967" t="s">
        <v>35</v>
      </c>
      <c r="E1489" s="970">
        <v>0.21</v>
      </c>
      <c r="F1489" s="970">
        <f>G943</f>
        <v>2843.9300000000003</v>
      </c>
      <c r="G1489" s="969">
        <f>ROUND(E1489*F1489,2)</f>
        <v>597.23</v>
      </c>
      <c r="H1489" s="964" t="s">
        <v>2299</v>
      </c>
    </row>
    <row r="1490" spans="1:8" ht="25.5" hidden="1">
      <c r="A1490" s="896"/>
      <c r="B1490" s="966"/>
      <c r="C1490" s="1382" t="s">
        <v>3623</v>
      </c>
      <c r="D1490" s="967" t="s">
        <v>4</v>
      </c>
      <c r="E1490" s="970">
        <v>2</v>
      </c>
      <c r="F1490" s="970">
        <f>'MINI SSR 2020-21'!$C$44</f>
        <v>72</v>
      </c>
      <c r="G1490" s="969">
        <f>ROUND(E1490*F1490,2)</f>
        <v>144</v>
      </c>
      <c r="H1490" s="964" t="s">
        <v>2299</v>
      </c>
    </row>
    <row r="1491" spans="1:8" hidden="1">
      <c r="A1491" s="967"/>
      <c r="B1491" s="967"/>
      <c r="C1491" s="962" t="s">
        <v>68</v>
      </c>
      <c r="D1491" s="967"/>
      <c r="E1491" s="970"/>
      <c r="F1491" s="970"/>
      <c r="G1491" s="969"/>
      <c r="H1491" s="964" t="s">
        <v>2299</v>
      </c>
    </row>
    <row r="1492" spans="1:8" hidden="1">
      <c r="A1492" s="967"/>
      <c r="B1492" s="967"/>
      <c r="C1492" s="1382" t="s">
        <v>64</v>
      </c>
      <c r="D1492" s="967" t="s">
        <v>27</v>
      </c>
      <c r="E1492" s="970">
        <v>0.66</v>
      </c>
      <c r="F1492" s="990">
        <f>'MINI SSR 2020-21'!$H$3</f>
        <v>550</v>
      </c>
      <c r="G1492" s="969">
        <f>ROUND(E1492*F1492,2)</f>
        <v>363</v>
      </c>
      <c r="H1492" s="964" t="s">
        <v>2299</v>
      </c>
    </row>
    <row r="1493" spans="1:8" hidden="1">
      <c r="A1493" s="967"/>
      <c r="B1493" s="967"/>
      <c r="C1493" s="1382" t="s">
        <v>69</v>
      </c>
      <c r="D1493" s="967" t="s">
        <v>27</v>
      </c>
      <c r="E1493" s="970">
        <v>1.54</v>
      </c>
      <c r="F1493" s="990">
        <f>'MINI SSR 2020-21'!$H$4</f>
        <v>500</v>
      </c>
      <c r="G1493" s="969">
        <f>ROUND(E1493*F1493,2)</f>
        <v>770</v>
      </c>
      <c r="H1493" s="964" t="s">
        <v>2299</v>
      </c>
    </row>
    <row r="1494" spans="1:8" hidden="1">
      <c r="A1494" s="967"/>
      <c r="B1494" s="967"/>
      <c r="C1494" s="1382" t="s">
        <v>85</v>
      </c>
      <c r="D1494" s="967" t="s">
        <v>27</v>
      </c>
      <c r="E1494" s="970">
        <v>3.7</v>
      </c>
      <c r="F1494" s="990">
        <f>'MINI SSR 2020-21'!$H$5</f>
        <v>460</v>
      </c>
      <c r="G1494" s="969">
        <f>ROUND(E1494*F1494,2)</f>
        <v>1702</v>
      </c>
      <c r="H1494" s="964" t="s">
        <v>2299</v>
      </c>
    </row>
    <row r="1495" spans="1:8" hidden="1">
      <c r="A1495" s="967"/>
      <c r="B1495" s="967"/>
      <c r="C1495" s="962" t="s">
        <v>88</v>
      </c>
      <c r="D1495" s="967"/>
      <c r="E1495" s="967"/>
      <c r="F1495" s="967"/>
      <c r="G1495" s="971">
        <f>SUM(G1489:G1494)</f>
        <v>3576.23</v>
      </c>
      <c r="H1495" s="964" t="s">
        <v>2299</v>
      </c>
    </row>
    <row r="1496" spans="1:8" hidden="1">
      <c r="A1496" s="967"/>
      <c r="B1496" s="967"/>
      <c r="C1496" s="962"/>
      <c r="D1496" s="967"/>
      <c r="E1496" s="966" t="s">
        <v>161</v>
      </c>
      <c r="F1496" s="966" t="s">
        <v>162</v>
      </c>
      <c r="G1496" s="974" t="s">
        <v>163</v>
      </c>
      <c r="H1496" s="964" t="s">
        <v>2299</v>
      </c>
    </row>
    <row r="1497" spans="1:8" hidden="1">
      <c r="A1497" s="967"/>
      <c r="B1497" s="967"/>
      <c r="C1497" s="962" t="s">
        <v>1273</v>
      </c>
      <c r="D1497" s="967"/>
      <c r="E1497" s="970">
        <f>G1495</f>
        <v>3576.23</v>
      </c>
      <c r="F1497" s="970">
        <f>G1495</f>
        <v>3576.23</v>
      </c>
      <c r="G1497" s="972">
        <f>G1495</f>
        <v>3576.23</v>
      </c>
      <c r="H1497" s="964" t="s">
        <v>2299</v>
      </c>
    </row>
    <row r="1498" spans="1:8" ht="25.5" hidden="1">
      <c r="A1498" s="967"/>
      <c r="B1498" s="967"/>
      <c r="C1498" s="1382" t="s">
        <v>1285</v>
      </c>
      <c r="D1498" s="967"/>
      <c r="E1498" s="967"/>
      <c r="F1498" s="972">
        <f>(SUM(G1492:G1494)*10%)</f>
        <v>283.5</v>
      </c>
      <c r="G1498" s="972">
        <f>(SUM(G1492:G1494)*20%)</f>
        <v>567</v>
      </c>
      <c r="H1498" s="964" t="s">
        <v>2299</v>
      </c>
    </row>
    <row r="1499" spans="1:8" hidden="1">
      <c r="A1499" s="967"/>
      <c r="B1499" s="967"/>
      <c r="C1499" s="962" t="s">
        <v>88</v>
      </c>
      <c r="D1499" s="967"/>
      <c r="E1499" s="970">
        <f>SUM(E1497:E1498)</f>
        <v>3576.23</v>
      </c>
      <c r="F1499" s="970">
        <f>SUM(F1497:F1498)</f>
        <v>3859.73</v>
      </c>
      <c r="G1499" s="972">
        <f>SUM(G1497:G1498)</f>
        <v>4143.2299999999996</v>
      </c>
      <c r="H1499" s="964" t="s">
        <v>2299</v>
      </c>
    </row>
    <row r="1500" spans="1:8" hidden="1">
      <c r="A1500" s="967"/>
      <c r="B1500" s="967"/>
      <c r="C1500" s="962" t="s">
        <v>121</v>
      </c>
      <c r="D1500" s="967"/>
      <c r="E1500" s="974">
        <f>ROUND(E1499/10,2)</f>
        <v>357.62</v>
      </c>
      <c r="F1500" s="974">
        <f>ROUND(F1499/10,2)</f>
        <v>385.97</v>
      </c>
      <c r="G1500" s="971">
        <f>ROUND(G1499/10,2)</f>
        <v>414.32</v>
      </c>
      <c r="H1500" s="964" t="s">
        <v>2299</v>
      </c>
    </row>
    <row r="1501" spans="1:8" ht="165.75" hidden="1">
      <c r="A1501" s="896">
        <v>30</v>
      </c>
      <c r="B1501" s="966" t="s">
        <v>666</v>
      </c>
      <c r="C1501" s="1382" t="s">
        <v>665</v>
      </c>
      <c r="D1501" s="967"/>
      <c r="E1501" s="967"/>
      <c r="F1501" s="967"/>
      <c r="G1501" s="966" t="s">
        <v>666</v>
      </c>
      <c r="H1501" s="964" t="s">
        <v>2299</v>
      </c>
    </row>
    <row r="1502" spans="1:8" hidden="1">
      <c r="A1502" s="896"/>
      <c r="B1502" s="966"/>
      <c r="C1502" s="962" t="s">
        <v>42</v>
      </c>
      <c r="D1502" s="967"/>
      <c r="E1502" s="967"/>
      <c r="F1502" s="967"/>
      <c r="G1502" s="972"/>
      <c r="H1502" s="964" t="s">
        <v>2299</v>
      </c>
    </row>
    <row r="1503" spans="1:8" hidden="1">
      <c r="A1503" s="896"/>
      <c r="B1503" s="966"/>
      <c r="C1503" s="962" t="s">
        <v>60</v>
      </c>
      <c r="D1503" s="967"/>
      <c r="E1503" s="967"/>
      <c r="F1503" s="967"/>
      <c r="G1503" s="972"/>
      <c r="H1503" s="964" t="s">
        <v>2299</v>
      </c>
    </row>
    <row r="1504" spans="1:8" ht="25.5" hidden="1">
      <c r="A1504" s="896"/>
      <c r="B1504" s="966"/>
      <c r="C1504" s="1382" t="s">
        <v>667</v>
      </c>
      <c r="D1504" s="967" t="s">
        <v>77</v>
      </c>
      <c r="E1504" s="970">
        <v>10.5</v>
      </c>
      <c r="F1504" s="970">
        <f>'lead 20-21'!L22</f>
        <v>2124.6959999999999</v>
      </c>
      <c r="G1504" s="969">
        <f>ROUND(E1504*F1504/1,2)</f>
        <v>22309.31</v>
      </c>
      <c r="H1504" s="964" t="s">
        <v>2299</v>
      </c>
    </row>
    <row r="1505" spans="1:8" hidden="1">
      <c r="A1505" s="896"/>
      <c r="B1505" s="966"/>
      <c r="C1505" s="1382" t="s">
        <v>91</v>
      </c>
      <c r="D1505" s="967" t="s">
        <v>4</v>
      </c>
      <c r="E1505" s="970">
        <v>36</v>
      </c>
      <c r="F1505" s="970">
        <f>'lead 20-21'!L8</f>
        <v>4700</v>
      </c>
      <c r="G1505" s="969">
        <f>ROUND(E1505*F1505/1000,2)</f>
        <v>169.2</v>
      </c>
      <c r="H1505" s="964" t="s">
        <v>2299</v>
      </c>
    </row>
    <row r="1506" spans="1:8" hidden="1">
      <c r="A1506" s="896"/>
      <c r="B1506" s="966"/>
      <c r="C1506" s="1382" t="s">
        <v>92</v>
      </c>
      <c r="D1506" s="967" t="s">
        <v>4</v>
      </c>
      <c r="E1506" s="970">
        <v>33</v>
      </c>
      <c r="F1506" s="970">
        <f>F1505</f>
        <v>4700</v>
      </c>
      <c r="G1506" s="969">
        <f>ROUND(E1506*F1506/1000,2)</f>
        <v>155.1</v>
      </c>
      <c r="H1506" s="964" t="s">
        <v>2299</v>
      </c>
    </row>
    <row r="1507" spans="1:8" hidden="1">
      <c r="A1507" s="896"/>
      <c r="B1507" s="966"/>
      <c r="C1507" s="1382" t="s">
        <v>93</v>
      </c>
      <c r="D1507" s="967" t="s">
        <v>4</v>
      </c>
      <c r="E1507" s="970">
        <v>6</v>
      </c>
      <c r="F1507" s="970">
        <f>F1506</f>
        <v>4700</v>
      </c>
      <c r="G1507" s="969">
        <f>ROUND(E1507*F1507/1000,2)</f>
        <v>28.2</v>
      </c>
      <c r="H1507" s="964" t="s">
        <v>2299</v>
      </c>
    </row>
    <row r="1508" spans="1:8" hidden="1">
      <c r="A1508" s="896"/>
      <c r="B1508" s="966"/>
      <c r="C1508" s="1382" t="s">
        <v>114</v>
      </c>
      <c r="D1508" s="967" t="s">
        <v>35</v>
      </c>
      <c r="E1508" s="970">
        <v>0.2</v>
      </c>
      <c r="F1508" s="970">
        <f>'lead 20-21'!L12</f>
        <v>1546.600000000001</v>
      </c>
      <c r="G1508" s="969">
        <f>ROUND(E1508*F1508,2)</f>
        <v>309.32</v>
      </c>
      <c r="H1508" s="964" t="s">
        <v>2299</v>
      </c>
    </row>
    <row r="1509" spans="1:8" hidden="1">
      <c r="A1509" s="967"/>
      <c r="B1509" s="967"/>
      <c r="C1509" s="962" t="s">
        <v>68</v>
      </c>
      <c r="D1509" s="967"/>
      <c r="E1509" s="970"/>
      <c r="F1509" s="970"/>
      <c r="G1509" s="969"/>
      <c r="H1509" s="964" t="s">
        <v>2299</v>
      </c>
    </row>
    <row r="1510" spans="1:8" hidden="1">
      <c r="A1510" s="967"/>
      <c r="B1510" s="967"/>
      <c r="C1510" s="1382" t="s">
        <v>64</v>
      </c>
      <c r="D1510" s="967" t="s">
        <v>27</v>
      </c>
      <c r="E1510" s="970">
        <v>3</v>
      </c>
      <c r="F1510" s="990">
        <f>'MINI SSR 2020-21'!$H$3</f>
        <v>550</v>
      </c>
      <c r="G1510" s="969">
        <f>ROUND(E1510*F1510,2)</f>
        <v>1650</v>
      </c>
      <c r="H1510" s="964" t="s">
        <v>2299</v>
      </c>
    </row>
    <row r="1511" spans="1:8" hidden="1">
      <c r="A1511" s="967"/>
      <c r="B1511" s="967"/>
      <c r="C1511" s="1382" t="s">
        <v>69</v>
      </c>
      <c r="D1511" s="967" t="s">
        <v>27</v>
      </c>
      <c r="E1511" s="970">
        <v>1</v>
      </c>
      <c r="F1511" s="990">
        <f>'MINI SSR 2020-21'!$H$4</f>
        <v>500</v>
      </c>
      <c r="G1511" s="969">
        <f>ROUND(E1511*F1511,2)</f>
        <v>500</v>
      </c>
      <c r="H1511" s="964" t="s">
        <v>2299</v>
      </c>
    </row>
    <row r="1512" spans="1:8" hidden="1">
      <c r="A1512" s="967"/>
      <c r="B1512" s="967"/>
      <c r="C1512" s="1382" t="s">
        <v>85</v>
      </c>
      <c r="D1512" s="967" t="s">
        <v>27</v>
      </c>
      <c r="E1512" s="970">
        <v>8</v>
      </c>
      <c r="F1512" s="990">
        <f>'MINI SSR 2020-21'!$H$5</f>
        <v>460</v>
      </c>
      <c r="G1512" s="969">
        <f>ROUND(E1512*F1512,2)</f>
        <v>3680</v>
      </c>
      <c r="H1512" s="964" t="s">
        <v>2299</v>
      </c>
    </row>
    <row r="1513" spans="1:8" hidden="1">
      <c r="A1513" s="967"/>
      <c r="B1513" s="967"/>
      <c r="C1513" s="1382" t="s">
        <v>895</v>
      </c>
      <c r="D1513" s="967"/>
      <c r="E1513" s="970">
        <v>0.01</v>
      </c>
      <c r="F1513" s="970">
        <f>SUM(G1505:G1512)</f>
        <v>6491.82</v>
      </c>
      <c r="G1513" s="969">
        <f>ROUND(E1513*F1513,2)</f>
        <v>64.92</v>
      </c>
      <c r="H1513" s="964" t="s">
        <v>2299</v>
      </c>
    </row>
    <row r="1514" spans="1:8" hidden="1">
      <c r="A1514" s="967"/>
      <c r="B1514" s="967"/>
      <c r="C1514" s="962" t="s">
        <v>88</v>
      </c>
      <c r="D1514" s="967"/>
      <c r="E1514" s="967"/>
      <c r="F1514" s="967"/>
      <c r="G1514" s="971">
        <f>SUM(G1504:G1513)</f>
        <v>28866.05</v>
      </c>
      <c r="H1514" s="964" t="s">
        <v>2299</v>
      </c>
    </row>
    <row r="1515" spans="1:8" hidden="1">
      <c r="A1515" s="967"/>
      <c r="B1515" s="967"/>
      <c r="C1515" s="962"/>
      <c r="D1515" s="967"/>
      <c r="E1515" s="966" t="s">
        <v>161</v>
      </c>
      <c r="F1515" s="966" t="s">
        <v>162</v>
      </c>
      <c r="G1515" s="974" t="s">
        <v>163</v>
      </c>
      <c r="H1515" s="964" t="s">
        <v>2299</v>
      </c>
    </row>
    <row r="1516" spans="1:8" hidden="1">
      <c r="A1516" s="967"/>
      <c r="B1516" s="967"/>
      <c r="C1516" s="962" t="s">
        <v>1273</v>
      </c>
      <c r="D1516" s="967"/>
      <c r="E1516" s="970">
        <f>G1514</f>
        <v>28866.05</v>
      </c>
      <c r="F1516" s="970">
        <f>G1514</f>
        <v>28866.05</v>
      </c>
      <c r="G1516" s="972">
        <f>G1514</f>
        <v>28866.05</v>
      </c>
      <c r="H1516" s="964" t="s">
        <v>2299</v>
      </c>
    </row>
    <row r="1517" spans="1:8" ht="25.5" hidden="1">
      <c r="A1517" s="967"/>
      <c r="B1517" s="967"/>
      <c r="C1517" s="1382" t="s">
        <v>1285</v>
      </c>
      <c r="D1517" s="967"/>
      <c r="E1517" s="970"/>
      <c r="F1517" s="972">
        <f>ROUND((G1510+G1511+G1512)*0.1,2)</f>
        <v>583</v>
      </c>
      <c r="G1517" s="972">
        <f>ROUND((G1510+G1511+G1512)*0.2,2)</f>
        <v>1166</v>
      </c>
      <c r="H1517" s="964" t="s">
        <v>2299</v>
      </c>
    </row>
    <row r="1518" spans="1:8" hidden="1">
      <c r="A1518" s="967"/>
      <c r="B1518" s="967"/>
      <c r="C1518" s="962" t="s">
        <v>88</v>
      </c>
      <c r="D1518" s="967"/>
      <c r="E1518" s="970">
        <f>SUM(E1516:E1517)</f>
        <v>28866.05</v>
      </c>
      <c r="F1518" s="972">
        <f>SUM(F1516:F1517)</f>
        <v>29449.05</v>
      </c>
      <c r="G1518" s="972">
        <f>SUM(G1516:G1517)</f>
        <v>30032.05</v>
      </c>
      <c r="H1518" s="964" t="s">
        <v>2299</v>
      </c>
    </row>
    <row r="1519" spans="1:8" hidden="1">
      <c r="A1519" s="967"/>
      <c r="B1519" s="967"/>
      <c r="C1519" s="962" t="s">
        <v>121</v>
      </c>
      <c r="D1519" s="967"/>
      <c r="E1519" s="974">
        <f>ROUND(E1518/10,2)</f>
        <v>2886.61</v>
      </c>
      <c r="F1519" s="974">
        <f>ROUND(F1518/10,2)</f>
        <v>2944.91</v>
      </c>
      <c r="G1519" s="971">
        <f>ROUND(G1518/10,2)</f>
        <v>3003.21</v>
      </c>
      <c r="H1519" s="964" t="s">
        <v>2299</v>
      </c>
    </row>
    <row r="1520" spans="1:8" ht="153" hidden="1">
      <c r="A1520" s="896">
        <v>25</v>
      </c>
      <c r="B1520" s="966" t="s">
        <v>668</v>
      </c>
      <c r="C1520" s="1382" t="s">
        <v>671</v>
      </c>
      <c r="D1520" s="967"/>
      <c r="E1520" s="967"/>
      <c r="F1520" s="967"/>
      <c r="G1520" s="966"/>
      <c r="H1520" s="964" t="s">
        <v>2299</v>
      </c>
    </row>
    <row r="1521" spans="1:8" hidden="1">
      <c r="A1521" s="896"/>
      <c r="B1521" s="966"/>
      <c r="C1521" s="962" t="s">
        <v>42</v>
      </c>
      <c r="D1521" s="967"/>
      <c r="E1521" s="967"/>
      <c r="F1521" s="967"/>
      <c r="G1521" s="972"/>
      <c r="H1521" s="964" t="s">
        <v>2299</v>
      </c>
    </row>
    <row r="1522" spans="1:8" hidden="1">
      <c r="A1522" s="896"/>
      <c r="B1522" s="966"/>
      <c r="C1522" s="962" t="s">
        <v>60</v>
      </c>
      <c r="D1522" s="967"/>
      <c r="E1522" s="967"/>
      <c r="F1522" s="967"/>
      <c r="G1522" s="972"/>
      <c r="H1522" s="964" t="s">
        <v>2299</v>
      </c>
    </row>
    <row r="1523" spans="1:8" ht="25.5" hidden="1">
      <c r="A1523" s="896"/>
      <c r="B1523" s="966"/>
      <c r="C1523" s="1382" t="s">
        <v>667</v>
      </c>
      <c r="D1523" s="967" t="s">
        <v>77</v>
      </c>
      <c r="E1523" s="970">
        <v>10.5</v>
      </c>
      <c r="F1523" s="970">
        <f>F1504</f>
        <v>2124.6959999999999</v>
      </c>
      <c r="G1523" s="969">
        <f>ROUND(E1523*F1523/1,2)</f>
        <v>22309.31</v>
      </c>
      <c r="H1523" s="964" t="s">
        <v>2299</v>
      </c>
    </row>
    <row r="1524" spans="1:8" hidden="1">
      <c r="A1524" s="896"/>
      <c r="B1524" s="966"/>
      <c r="C1524" s="1382" t="s">
        <v>669</v>
      </c>
      <c r="D1524" s="967" t="s">
        <v>35</v>
      </c>
      <c r="E1524" s="970">
        <v>0.12</v>
      </c>
      <c r="F1524" s="970">
        <f>F1508</f>
        <v>1546.600000000001</v>
      </c>
      <c r="G1524" s="969">
        <f>ROUND(E1524*F1524,2)</f>
        <v>185.59</v>
      </c>
      <c r="H1524" s="964" t="s">
        <v>2299</v>
      </c>
    </row>
    <row r="1525" spans="1:8" hidden="1">
      <c r="A1525" s="896"/>
      <c r="B1525" s="966"/>
      <c r="C1525" s="1382" t="s">
        <v>105</v>
      </c>
      <c r="D1525" s="967" t="s">
        <v>4</v>
      </c>
      <c r="E1525" s="970">
        <v>57.6</v>
      </c>
      <c r="F1525" s="970">
        <f>F1505</f>
        <v>4700</v>
      </c>
      <c r="G1525" s="969">
        <f>ROUND(E1525*F1525/1000,2)</f>
        <v>270.72000000000003</v>
      </c>
      <c r="H1525" s="964" t="s">
        <v>2299</v>
      </c>
    </row>
    <row r="1526" spans="1:8" hidden="1">
      <c r="A1526" s="896"/>
      <c r="B1526" s="966"/>
      <c r="C1526" s="1382" t="s">
        <v>92</v>
      </c>
      <c r="D1526" s="967" t="s">
        <v>4</v>
      </c>
      <c r="E1526" s="970">
        <v>33</v>
      </c>
      <c r="F1526" s="970">
        <f>F1506</f>
        <v>4700</v>
      </c>
      <c r="G1526" s="969">
        <f>ROUND(E1526*F1526/1000,2)</f>
        <v>155.1</v>
      </c>
      <c r="H1526" s="964" t="s">
        <v>2299</v>
      </c>
    </row>
    <row r="1527" spans="1:8" hidden="1">
      <c r="A1527" s="896"/>
      <c r="B1527" s="966"/>
      <c r="C1527" s="1382" t="s">
        <v>670</v>
      </c>
      <c r="D1527" s="967" t="s">
        <v>4</v>
      </c>
      <c r="E1527" s="970">
        <v>5</v>
      </c>
      <c r="F1527" s="970">
        <f>'MINI SSR 2020-21'!C45</f>
        <v>27.95</v>
      </c>
      <c r="G1527" s="969">
        <f>ROUND(E1527*F1527,2)</f>
        <v>139.75</v>
      </c>
      <c r="H1527" s="964" t="s">
        <v>2299</v>
      </c>
    </row>
    <row r="1528" spans="1:8" hidden="1">
      <c r="A1528" s="967"/>
      <c r="B1528" s="967"/>
      <c r="C1528" s="962" t="s">
        <v>68</v>
      </c>
      <c r="D1528" s="967"/>
      <c r="E1528" s="970"/>
      <c r="F1528" s="970"/>
      <c r="G1528" s="969"/>
      <c r="H1528" s="964" t="s">
        <v>2299</v>
      </c>
    </row>
    <row r="1529" spans="1:8" hidden="1">
      <c r="A1529" s="967"/>
      <c r="B1529" s="967"/>
      <c r="C1529" s="1382" t="s">
        <v>64</v>
      </c>
      <c r="D1529" s="967" t="s">
        <v>27</v>
      </c>
      <c r="E1529" s="970">
        <v>2.1</v>
      </c>
      <c r="F1529" s="990">
        <f>'MINI SSR 2020-21'!$H$3</f>
        <v>550</v>
      </c>
      <c r="G1529" s="969">
        <f>ROUND(E1529*F1529,2)</f>
        <v>1155</v>
      </c>
      <c r="H1529" s="964" t="s">
        <v>2299</v>
      </c>
    </row>
    <row r="1530" spans="1:8" hidden="1">
      <c r="A1530" s="967"/>
      <c r="B1530" s="967"/>
      <c r="C1530" s="1382" t="s">
        <v>69</v>
      </c>
      <c r="D1530" s="967" t="s">
        <v>27</v>
      </c>
      <c r="E1530" s="970">
        <v>4.9000000000000004</v>
      </c>
      <c r="F1530" s="990">
        <f>'MINI SSR 2020-21'!$H$4</f>
        <v>500</v>
      </c>
      <c r="G1530" s="969">
        <f>ROUND(E1530*F1530,2)</f>
        <v>2450</v>
      </c>
      <c r="H1530" s="964" t="s">
        <v>2299</v>
      </c>
    </row>
    <row r="1531" spans="1:8" hidden="1">
      <c r="A1531" s="967"/>
      <c r="B1531" s="967"/>
      <c r="C1531" s="1382" t="s">
        <v>85</v>
      </c>
      <c r="D1531" s="967" t="s">
        <v>27</v>
      </c>
      <c r="E1531" s="970">
        <v>0.8</v>
      </c>
      <c r="F1531" s="990">
        <f>'MINI SSR 2020-21'!$H$5</f>
        <v>460</v>
      </c>
      <c r="G1531" s="969">
        <f>ROUND(E1531*F1531,2)</f>
        <v>368</v>
      </c>
      <c r="H1531" s="964" t="s">
        <v>2299</v>
      </c>
    </row>
    <row r="1532" spans="1:8" hidden="1">
      <c r="A1532" s="967"/>
      <c r="B1532" s="967"/>
      <c r="C1532" s="1382" t="s">
        <v>895</v>
      </c>
      <c r="D1532" s="967"/>
      <c r="E1532" s="970">
        <v>0.01</v>
      </c>
      <c r="F1532" s="970">
        <f>SUM(G1524:G1531)</f>
        <v>4724.16</v>
      </c>
      <c r="G1532" s="969">
        <f>ROUND(E1532*F1532,2)</f>
        <v>47.24</v>
      </c>
      <c r="H1532" s="964" t="s">
        <v>2299</v>
      </c>
    </row>
    <row r="1533" spans="1:8" hidden="1">
      <c r="A1533" s="967"/>
      <c r="B1533" s="967"/>
      <c r="C1533" s="962" t="s">
        <v>88</v>
      </c>
      <c r="D1533" s="967"/>
      <c r="E1533" s="967"/>
      <c r="F1533" s="967"/>
      <c r="G1533" s="971">
        <f>SUM(G1523:G1532)</f>
        <v>27080.710000000003</v>
      </c>
      <c r="H1533" s="964" t="s">
        <v>2299</v>
      </c>
    </row>
    <row r="1534" spans="1:8" hidden="1">
      <c r="A1534" s="967"/>
      <c r="B1534" s="967"/>
      <c r="C1534" s="962"/>
      <c r="D1534" s="967"/>
      <c r="E1534" s="966" t="s">
        <v>161</v>
      </c>
      <c r="F1534" s="966" t="s">
        <v>161</v>
      </c>
      <c r="G1534" s="974" t="s">
        <v>162</v>
      </c>
      <c r="H1534" s="964" t="s">
        <v>2299</v>
      </c>
    </row>
    <row r="1535" spans="1:8" hidden="1">
      <c r="A1535" s="967"/>
      <c r="B1535" s="967"/>
      <c r="C1535" s="962" t="s">
        <v>1273</v>
      </c>
      <c r="D1535" s="967"/>
      <c r="E1535" s="970">
        <f>G1533</f>
        <v>27080.710000000003</v>
      </c>
      <c r="F1535" s="970">
        <f>G1533</f>
        <v>27080.710000000003</v>
      </c>
      <c r="G1535" s="972">
        <f>G1533</f>
        <v>27080.710000000003</v>
      </c>
      <c r="H1535" s="964" t="s">
        <v>2299</v>
      </c>
    </row>
    <row r="1536" spans="1:8" hidden="1">
      <c r="A1536" s="967"/>
      <c r="B1536" s="967"/>
      <c r="C1536" s="1382" t="s">
        <v>1348</v>
      </c>
      <c r="D1536" s="967"/>
      <c r="E1536" s="970"/>
      <c r="F1536" s="972">
        <f>ROUND((G1529+G1530+G1531)*0.1,2)</f>
        <v>397.3</v>
      </c>
      <c r="G1536" s="972">
        <f>ROUND((G1529+G1530+G1531)*0.2,2)</f>
        <v>794.6</v>
      </c>
      <c r="H1536" s="964" t="s">
        <v>2299</v>
      </c>
    </row>
    <row r="1537" spans="1:8" hidden="1">
      <c r="A1537" s="967"/>
      <c r="B1537" s="967"/>
      <c r="C1537" s="962" t="s">
        <v>88</v>
      </c>
      <c r="D1537" s="967"/>
      <c r="E1537" s="970">
        <f>SUM(E1535:E1536)</f>
        <v>27080.710000000003</v>
      </c>
      <c r="F1537" s="970">
        <f>SUM(F1535:F1536)</f>
        <v>27478.010000000002</v>
      </c>
      <c r="G1537" s="972">
        <f>SUM(G1535:G1536)</f>
        <v>27875.31</v>
      </c>
      <c r="H1537" s="964" t="s">
        <v>2299</v>
      </c>
    </row>
    <row r="1538" spans="1:8" hidden="1">
      <c r="A1538" s="967"/>
      <c r="B1538" s="967"/>
      <c r="C1538" s="962" t="s">
        <v>121</v>
      </c>
      <c r="D1538" s="967"/>
      <c r="E1538" s="974">
        <f>ROUND(E1537/10,2)</f>
        <v>2708.07</v>
      </c>
      <c r="F1538" s="974">
        <f>ROUND(F1537/10,2)</f>
        <v>2747.8</v>
      </c>
      <c r="G1538" s="971">
        <f>ROUND(G1537/10,2)</f>
        <v>2787.53</v>
      </c>
      <c r="H1538" s="964" t="s">
        <v>2299</v>
      </c>
    </row>
    <row r="1539" spans="1:8" ht="38.25" hidden="1">
      <c r="A1539" s="896">
        <v>42</v>
      </c>
      <c r="B1539" s="966"/>
      <c r="C1539" s="1382" t="s">
        <v>937</v>
      </c>
      <c r="D1539" s="967"/>
      <c r="E1539" s="967"/>
      <c r="F1539" s="967"/>
      <c r="G1539" s="902"/>
      <c r="H1539" s="964" t="s">
        <v>2299</v>
      </c>
    </row>
    <row r="1540" spans="1:8" hidden="1">
      <c r="A1540" s="902"/>
      <c r="B1540" s="902"/>
      <c r="C1540" s="1382" t="s">
        <v>938</v>
      </c>
      <c r="D1540" s="896" t="s">
        <v>277</v>
      </c>
      <c r="E1540" s="920">
        <v>1</v>
      </c>
      <c r="F1540" s="922">
        <f>'MINI SSR 2020-21'!C46</f>
        <v>412</v>
      </c>
      <c r="G1540" s="969">
        <f>ROUND(E1540*F1540,2)</f>
        <v>412</v>
      </c>
      <c r="H1540" s="964" t="s">
        <v>2299</v>
      </c>
    </row>
    <row r="1541" spans="1:8" hidden="1">
      <c r="A1541" s="902"/>
      <c r="B1541" s="902"/>
      <c r="C1541" s="962" t="s">
        <v>377</v>
      </c>
      <c r="D1541" s="896"/>
      <c r="E1541" s="922"/>
      <c r="F1541" s="922"/>
      <c r="G1541" s="963">
        <f>SUM(G1540:G1540)</f>
        <v>412</v>
      </c>
      <c r="H1541" s="964" t="s">
        <v>2299</v>
      </c>
    </row>
    <row r="1542" spans="1:8" ht="140.25" hidden="1">
      <c r="A1542" s="896">
        <v>19</v>
      </c>
      <c r="B1542" s="966" t="s">
        <v>674</v>
      </c>
      <c r="C1542" s="1382" t="s">
        <v>673</v>
      </c>
      <c r="D1542" s="967"/>
      <c r="E1542" s="967"/>
      <c r="F1542" s="967"/>
      <c r="G1542" s="966"/>
      <c r="H1542" s="964" t="s">
        <v>2299</v>
      </c>
    </row>
    <row r="1543" spans="1:8" hidden="1">
      <c r="A1543" s="896"/>
      <c r="B1543" s="966"/>
      <c r="C1543" s="962" t="s">
        <v>42</v>
      </c>
      <c r="D1543" s="967"/>
      <c r="E1543" s="967"/>
      <c r="F1543" s="967"/>
      <c r="G1543" s="972"/>
      <c r="H1543" s="964" t="s">
        <v>2299</v>
      </c>
    </row>
    <row r="1544" spans="1:8" hidden="1">
      <c r="A1544" s="896"/>
      <c r="B1544" s="966"/>
      <c r="C1544" s="962" t="s">
        <v>60</v>
      </c>
      <c r="D1544" s="967"/>
      <c r="E1544" s="967"/>
      <c r="F1544" s="967"/>
      <c r="G1544" s="972"/>
      <c r="H1544" s="964" t="s">
        <v>2299</v>
      </c>
    </row>
    <row r="1545" spans="1:8" ht="25.5" hidden="1">
      <c r="A1545" s="896"/>
      <c r="B1545" s="966"/>
      <c r="C1545" s="1382" t="s">
        <v>677</v>
      </c>
      <c r="D1545" s="967" t="s">
        <v>77</v>
      </c>
      <c r="E1545" s="970">
        <v>10.5</v>
      </c>
      <c r="F1545" s="970">
        <f>'MINI SSR 2020-21'!C20</f>
        <v>266</v>
      </c>
      <c r="G1545" s="969">
        <f>ROUND(E1545*F1545/1,2)</f>
        <v>2793</v>
      </c>
      <c r="H1545" s="964" t="s">
        <v>2299</v>
      </c>
    </row>
    <row r="1546" spans="1:8" hidden="1">
      <c r="A1546" s="896"/>
      <c r="B1546" s="966"/>
      <c r="C1546" s="1382" t="s">
        <v>675</v>
      </c>
      <c r="D1546" s="967" t="s">
        <v>4</v>
      </c>
      <c r="E1546" s="970">
        <v>28.8</v>
      </c>
      <c r="F1546" s="970">
        <f>F1525</f>
        <v>4700</v>
      </c>
      <c r="G1546" s="969">
        <f>ROUND(E1546*F1546/1000,2)</f>
        <v>135.36000000000001</v>
      </c>
      <c r="H1546" s="964" t="s">
        <v>2299</v>
      </c>
    </row>
    <row r="1547" spans="1:8" hidden="1">
      <c r="A1547" s="896"/>
      <c r="B1547" s="966"/>
      <c r="C1547" s="1382" t="s">
        <v>92</v>
      </c>
      <c r="D1547" s="967" t="s">
        <v>4</v>
      </c>
      <c r="E1547" s="970">
        <v>33</v>
      </c>
      <c r="F1547" s="970">
        <f>F1546</f>
        <v>4700</v>
      </c>
      <c r="G1547" s="969">
        <f>ROUND(E1547*F1547/1000,2)</f>
        <v>155.1</v>
      </c>
      <c r="H1547" s="964" t="s">
        <v>2299</v>
      </c>
    </row>
    <row r="1548" spans="1:8" hidden="1">
      <c r="A1548" s="896"/>
      <c r="B1548" s="966"/>
      <c r="C1548" s="1382" t="s">
        <v>93</v>
      </c>
      <c r="D1548" s="967" t="s">
        <v>4</v>
      </c>
      <c r="E1548" s="970">
        <v>6</v>
      </c>
      <c r="F1548" s="970">
        <f>F1547</f>
        <v>4700</v>
      </c>
      <c r="G1548" s="969">
        <f>ROUND(E1548*F1548/1000,2)</f>
        <v>28.2</v>
      </c>
      <c r="H1548" s="964" t="s">
        <v>2299</v>
      </c>
    </row>
    <row r="1549" spans="1:8" hidden="1">
      <c r="A1549" s="896"/>
      <c r="B1549" s="966"/>
      <c r="C1549" s="1382" t="s">
        <v>676</v>
      </c>
      <c r="D1549" s="967" t="s">
        <v>35</v>
      </c>
      <c r="E1549" s="970">
        <v>0.12</v>
      </c>
      <c r="F1549" s="970">
        <f>'lead 20-21'!L12</f>
        <v>1546.600000000001</v>
      </c>
      <c r="G1549" s="969">
        <f>ROUND(E1549*F1549,2)</f>
        <v>185.59</v>
      </c>
      <c r="H1549" s="964" t="s">
        <v>2299</v>
      </c>
    </row>
    <row r="1550" spans="1:8" hidden="1">
      <c r="A1550" s="967"/>
      <c r="B1550" s="967"/>
      <c r="C1550" s="962" t="s">
        <v>68</v>
      </c>
      <c r="D1550" s="967"/>
      <c r="E1550" s="970"/>
      <c r="F1550" s="970"/>
      <c r="G1550" s="969"/>
      <c r="H1550" s="964" t="s">
        <v>2299</v>
      </c>
    </row>
    <row r="1551" spans="1:8" hidden="1">
      <c r="A1551" s="967"/>
      <c r="B1551" s="967"/>
      <c r="C1551" s="1382" t="s">
        <v>69</v>
      </c>
      <c r="D1551" s="967" t="s">
        <v>27</v>
      </c>
      <c r="E1551" s="970">
        <v>0.96</v>
      </c>
      <c r="F1551" s="990">
        <f>'MINI SSR 2020-21'!$H$3</f>
        <v>550</v>
      </c>
      <c r="G1551" s="969">
        <f>ROUND(E1551*F1551,2)</f>
        <v>528</v>
      </c>
      <c r="H1551" s="964" t="s">
        <v>2299</v>
      </c>
    </row>
    <row r="1552" spans="1:8" hidden="1">
      <c r="A1552" s="967"/>
      <c r="B1552" s="967"/>
      <c r="C1552" s="1382" t="s">
        <v>218</v>
      </c>
      <c r="D1552" s="967" t="s">
        <v>27</v>
      </c>
      <c r="E1552" s="970">
        <v>2.2400000000000002</v>
      </c>
      <c r="F1552" s="990">
        <f>'MINI SSR 2020-21'!$H$4</f>
        <v>500</v>
      </c>
      <c r="G1552" s="969">
        <f>ROUND(E1552*F1552,2)</f>
        <v>1120</v>
      </c>
      <c r="H1552" s="964" t="s">
        <v>2299</v>
      </c>
    </row>
    <row r="1553" spans="1:8" hidden="1">
      <c r="A1553" s="967"/>
      <c r="B1553" s="967"/>
      <c r="C1553" s="1382" t="s">
        <v>85</v>
      </c>
      <c r="D1553" s="967" t="s">
        <v>27</v>
      </c>
      <c r="E1553" s="970">
        <v>3.3</v>
      </c>
      <c r="F1553" s="990">
        <f>'MINI SSR 2020-21'!$H$5</f>
        <v>460</v>
      </c>
      <c r="G1553" s="969">
        <f>ROUND(E1553*F1553,2)</f>
        <v>1518</v>
      </c>
      <c r="H1553" s="964" t="s">
        <v>2299</v>
      </c>
    </row>
    <row r="1554" spans="1:8" hidden="1">
      <c r="A1554" s="967"/>
      <c r="B1554" s="967"/>
      <c r="C1554" s="962" t="s">
        <v>88</v>
      </c>
      <c r="D1554" s="967"/>
      <c r="E1554" s="967"/>
      <c r="F1554" s="967"/>
      <c r="G1554" s="971">
        <f>SUM(G1545:G1553)</f>
        <v>6463.25</v>
      </c>
      <c r="H1554" s="964" t="s">
        <v>2299</v>
      </c>
    </row>
    <row r="1555" spans="1:8" hidden="1">
      <c r="A1555" s="967"/>
      <c r="B1555" s="967"/>
      <c r="C1555" s="962"/>
      <c r="D1555" s="967"/>
      <c r="E1555" s="966" t="s">
        <v>161</v>
      </c>
      <c r="F1555" s="966" t="s">
        <v>162</v>
      </c>
      <c r="G1555" s="974" t="s">
        <v>163</v>
      </c>
      <c r="H1555" s="964" t="s">
        <v>2299</v>
      </c>
    </row>
    <row r="1556" spans="1:8" hidden="1">
      <c r="A1556" s="967"/>
      <c r="B1556" s="967"/>
      <c r="C1556" s="962" t="s">
        <v>1273</v>
      </c>
      <c r="D1556" s="967"/>
      <c r="E1556" s="970">
        <f>G1554</f>
        <v>6463.25</v>
      </c>
      <c r="F1556" s="970">
        <f>G1554</f>
        <v>6463.25</v>
      </c>
      <c r="G1556" s="972">
        <f>G1554</f>
        <v>6463.25</v>
      </c>
      <c r="H1556" s="964" t="s">
        <v>2299</v>
      </c>
    </row>
    <row r="1557" spans="1:8" ht="25.5" hidden="1">
      <c r="A1557" s="967"/>
      <c r="B1557" s="967"/>
      <c r="C1557" s="1382" t="s">
        <v>1285</v>
      </c>
      <c r="D1557" s="967"/>
      <c r="E1557" s="970"/>
      <c r="F1557" s="972">
        <f>ROUND((G1552+G1551+G1553)*0.1,2)</f>
        <v>316.60000000000002</v>
      </c>
      <c r="G1557" s="972">
        <f>ROUND((G1553+G1551+G1552)*0.2,2)</f>
        <v>633.20000000000005</v>
      </c>
      <c r="H1557" s="964" t="s">
        <v>2299</v>
      </c>
    </row>
    <row r="1558" spans="1:8" hidden="1">
      <c r="A1558" s="967"/>
      <c r="B1558" s="967"/>
      <c r="C1558" s="962" t="s">
        <v>88</v>
      </c>
      <c r="D1558" s="967"/>
      <c r="E1558" s="970">
        <f>SUM(E1556:E1557)</f>
        <v>6463.25</v>
      </c>
      <c r="F1558" s="970">
        <f>SUM(F1556:F1557)</f>
        <v>6779.85</v>
      </c>
      <c r="G1558" s="972">
        <f>SUM(G1556:G1557)</f>
        <v>7096.45</v>
      </c>
      <c r="H1558" s="964" t="s">
        <v>2299</v>
      </c>
    </row>
    <row r="1559" spans="1:8" hidden="1">
      <c r="A1559" s="967"/>
      <c r="B1559" s="967"/>
      <c r="C1559" s="962" t="s">
        <v>121</v>
      </c>
      <c r="D1559" s="967"/>
      <c r="E1559" s="974">
        <f>ROUND(E1558/10,2)</f>
        <v>646.33000000000004</v>
      </c>
      <c r="F1559" s="974">
        <f>ROUND(F1558/10,2)</f>
        <v>677.99</v>
      </c>
      <c r="G1559" s="971">
        <f>ROUND(G1558/10,2)</f>
        <v>709.65</v>
      </c>
      <c r="H1559" s="964" t="s">
        <v>2299</v>
      </c>
    </row>
    <row r="1560" spans="1:8" ht="127.5" hidden="1">
      <c r="A1560" s="896">
        <v>20</v>
      </c>
      <c r="B1560" s="966" t="s">
        <v>199</v>
      </c>
      <c r="C1560" s="1382" t="s">
        <v>679</v>
      </c>
      <c r="D1560" s="967"/>
      <c r="E1560" s="967"/>
      <c r="F1560" s="967"/>
      <c r="G1560" s="966"/>
      <c r="H1560" s="964" t="s">
        <v>2299</v>
      </c>
    </row>
    <row r="1561" spans="1:8" hidden="1">
      <c r="A1561" s="896"/>
      <c r="B1561" s="966"/>
      <c r="C1561" s="962" t="s">
        <v>42</v>
      </c>
      <c r="D1561" s="967"/>
      <c r="E1561" s="967"/>
      <c r="F1561" s="967"/>
      <c r="G1561" s="972"/>
      <c r="H1561" s="964" t="s">
        <v>2299</v>
      </c>
    </row>
    <row r="1562" spans="1:8" hidden="1">
      <c r="A1562" s="896"/>
      <c r="B1562" s="966"/>
      <c r="C1562" s="962" t="s">
        <v>60</v>
      </c>
      <c r="D1562" s="967"/>
      <c r="E1562" s="967"/>
      <c r="F1562" s="967"/>
      <c r="G1562" s="972"/>
      <c r="H1562" s="964" t="s">
        <v>2299</v>
      </c>
    </row>
    <row r="1563" spans="1:8" ht="25.5" hidden="1">
      <c r="A1563" s="896"/>
      <c r="B1563" s="966"/>
      <c r="C1563" s="1382" t="s">
        <v>677</v>
      </c>
      <c r="D1563" s="967" t="s">
        <v>77</v>
      </c>
      <c r="E1563" s="970">
        <v>10.5</v>
      </c>
      <c r="F1563" s="970">
        <f>'MINI SSR 2020-21'!C20</f>
        <v>266</v>
      </c>
      <c r="G1563" s="969">
        <f>ROUND(E1563*F1563/1,2)</f>
        <v>2793</v>
      </c>
      <c r="H1563" s="964" t="s">
        <v>2299</v>
      </c>
    </row>
    <row r="1564" spans="1:8" hidden="1">
      <c r="A1564" s="896"/>
      <c r="B1564" s="966"/>
      <c r="C1564" s="1382" t="s">
        <v>200</v>
      </c>
      <c r="D1564" s="967" t="s">
        <v>35</v>
      </c>
      <c r="E1564" s="970">
        <v>0.12</v>
      </c>
      <c r="F1564" s="970">
        <f>F1549</f>
        <v>1546.600000000001</v>
      </c>
      <c r="G1564" s="969">
        <f>ROUND(E1564*F1564,2)</f>
        <v>185.59</v>
      </c>
      <c r="H1564" s="964" t="s">
        <v>2299</v>
      </c>
    </row>
    <row r="1565" spans="1:8" hidden="1">
      <c r="A1565" s="896"/>
      <c r="B1565" s="966"/>
      <c r="C1565" s="1382" t="s">
        <v>201</v>
      </c>
      <c r="D1565" s="967" t="s">
        <v>4</v>
      </c>
      <c r="E1565" s="970">
        <v>34.56</v>
      </c>
      <c r="F1565" s="970">
        <f>F1546</f>
        <v>4700</v>
      </c>
      <c r="G1565" s="969">
        <f>ROUND(E1565*F1565/1000,2)</f>
        <v>162.43</v>
      </c>
      <c r="H1565" s="964" t="s">
        <v>2299</v>
      </c>
    </row>
    <row r="1566" spans="1:8" hidden="1">
      <c r="A1566" s="896"/>
      <c r="B1566" s="966"/>
      <c r="C1566" s="1382" t="s">
        <v>202</v>
      </c>
      <c r="D1566" s="967" t="s">
        <v>4</v>
      </c>
      <c r="E1566" s="970">
        <v>33</v>
      </c>
      <c r="F1566" s="970">
        <f>F1565</f>
        <v>4700</v>
      </c>
      <c r="G1566" s="969">
        <f>ROUND(E1566*F1566/1000,2)</f>
        <v>155.1</v>
      </c>
      <c r="H1566" s="964" t="s">
        <v>2299</v>
      </c>
    </row>
    <row r="1567" spans="1:8" hidden="1">
      <c r="A1567" s="896"/>
      <c r="B1567" s="966"/>
      <c r="C1567" s="1382" t="s">
        <v>204</v>
      </c>
      <c r="D1567" s="967" t="s">
        <v>4</v>
      </c>
      <c r="E1567" s="970">
        <v>2</v>
      </c>
      <c r="F1567" s="970">
        <f>'MINI SSR 2020-21'!C45</f>
        <v>27.95</v>
      </c>
      <c r="G1567" s="969">
        <f>ROUND(E1567*F1567,2)</f>
        <v>55.9</v>
      </c>
      <c r="H1567" s="964" t="s">
        <v>2299</v>
      </c>
    </row>
    <row r="1568" spans="1:8" hidden="1">
      <c r="A1568" s="967"/>
      <c r="B1568" s="967"/>
      <c r="C1568" s="962" t="s">
        <v>68</v>
      </c>
      <c r="D1568" s="967"/>
      <c r="E1568" s="970"/>
      <c r="F1568" s="970"/>
      <c r="G1568" s="969"/>
      <c r="H1568" s="964" t="s">
        <v>2299</v>
      </c>
    </row>
    <row r="1569" spans="1:8" hidden="1">
      <c r="A1569" s="967"/>
      <c r="B1569" s="967"/>
      <c r="C1569" s="1382" t="s">
        <v>64</v>
      </c>
      <c r="D1569" s="967" t="s">
        <v>27</v>
      </c>
      <c r="E1569" s="970">
        <v>0.96</v>
      </c>
      <c r="F1569" s="990">
        <f>'MINI SSR 2020-21'!$H$3</f>
        <v>550</v>
      </c>
      <c r="G1569" s="969">
        <f>ROUND(E1569*F1569,2)</f>
        <v>528</v>
      </c>
      <c r="H1569" s="964" t="s">
        <v>2299</v>
      </c>
    </row>
    <row r="1570" spans="1:8" hidden="1">
      <c r="A1570" s="967"/>
      <c r="B1570" s="967"/>
      <c r="C1570" s="1382" t="s">
        <v>69</v>
      </c>
      <c r="D1570" s="967" t="s">
        <v>27</v>
      </c>
      <c r="E1570" s="970">
        <v>2.2400000000000002</v>
      </c>
      <c r="F1570" s="990">
        <f>'MINI SSR 2020-21'!$H$4</f>
        <v>500</v>
      </c>
      <c r="G1570" s="969">
        <f>ROUND(E1570*F1570,2)</f>
        <v>1120</v>
      </c>
      <c r="H1570" s="964" t="s">
        <v>2299</v>
      </c>
    </row>
    <row r="1571" spans="1:8" hidden="1">
      <c r="A1571" s="967"/>
      <c r="B1571" s="967"/>
      <c r="C1571" s="1382" t="s">
        <v>85</v>
      </c>
      <c r="D1571" s="967" t="s">
        <v>27</v>
      </c>
      <c r="E1571" s="970">
        <v>3.3</v>
      </c>
      <c r="F1571" s="990">
        <f>'MINI SSR 2020-21'!$H$5</f>
        <v>460</v>
      </c>
      <c r="G1571" s="969">
        <f>ROUND(E1571*F1571,2)</f>
        <v>1518</v>
      </c>
      <c r="H1571" s="964" t="s">
        <v>2299</v>
      </c>
    </row>
    <row r="1572" spans="1:8" hidden="1">
      <c r="A1572" s="967"/>
      <c r="B1572" s="967"/>
      <c r="C1572" s="962" t="s">
        <v>88</v>
      </c>
      <c r="D1572" s="967"/>
      <c r="E1572" s="967"/>
      <c r="F1572" s="967"/>
      <c r="G1572" s="971">
        <f>SUM(G1563:G1571)</f>
        <v>6518.02</v>
      </c>
      <c r="H1572" s="964" t="s">
        <v>2299</v>
      </c>
    </row>
    <row r="1573" spans="1:8" hidden="1">
      <c r="A1573" s="967"/>
      <c r="B1573" s="967"/>
      <c r="C1573" s="962"/>
      <c r="D1573" s="967"/>
      <c r="E1573" s="966" t="s">
        <v>161</v>
      </c>
      <c r="F1573" s="966" t="s">
        <v>162</v>
      </c>
      <c r="G1573" s="974" t="s">
        <v>163</v>
      </c>
      <c r="H1573" s="964" t="s">
        <v>2299</v>
      </c>
    </row>
    <row r="1574" spans="1:8" hidden="1">
      <c r="A1574" s="967"/>
      <c r="B1574" s="967"/>
      <c r="C1574" s="962" t="s">
        <v>1274</v>
      </c>
      <c r="D1574" s="967"/>
      <c r="E1574" s="970">
        <f>G1572</f>
        <v>6518.02</v>
      </c>
      <c r="F1574" s="970">
        <f>G1572</f>
        <v>6518.02</v>
      </c>
      <c r="G1574" s="972">
        <f>G1572</f>
        <v>6518.02</v>
      </c>
      <c r="H1574" s="964" t="s">
        <v>2299</v>
      </c>
    </row>
    <row r="1575" spans="1:8" ht="25.5" hidden="1">
      <c r="A1575" s="967"/>
      <c r="B1575" s="967"/>
      <c r="C1575" s="1382" t="s">
        <v>170</v>
      </c>
      <c r="D1575" s="967"/>
      <c r="E1575" s="970"/>
      <c r="F1575" s="972">
        <f>ROUND((G1570+G1569+G1571)*0.1,2)</f>
        <v>316.60000000000002</v>
      </c>
      <c r="G1575" s="972">
        <f>ROUND((G1571+G1569+G1570)*0.2,2)</f>
        <v>633.20000000000005</v>
      </c>
      <c r="H1575" s="964" t="s">
        <v>2299</v>
      </c>
    </row>
    <row r="1576" spans="1:8" hidden="1">
      <c r="A1576" s="967"/>
      <c r="B1576" s="967"/>
      <c r="C1576" s="962" t="s">
        <v>194</v>
      </c>
      <c r="D1576" s="967"/>
      <c r="E1576" s="970">
        <f>SUM(E1574:E1575)</f>
        <v>6518.02</v>
      </c>
      <c r="F1576" s="970">
        <f>SUM(F1574:F1575)</f>
        <v>6834.6200000000008</v>
      </c>
      <c r="G1576" s="972">
        <f>SUM(G1574:G1575)</f>
        <v>7151.22</v>
      </c>
      <c r="H1576" s="964" t="s">
        <v>2299</v>
      </c>
    </row>
    <row r="1577" spans="1:8" hidden="1">
      <c r="A1577" s="967"/>
      <c r="B1577" s="967"/>
      <c r="C1577" s="962" t="s">
        <v>181</v>
      </c>
      <c r="D1577" s="967"/>
      <c r="E1577" s="974">
        <f>ROUND(E1576/10,2)</f>
        <v>651.79999999999995</v>
      </c>
      <c r="F1577" s="974">
        <f>ROUND(F1576/10,2)</f>
        <v>683.46</v>
      </c>
      <c r="G1577" s="971">
        <f>ROUND(G1576/10,2)</f>
        <v>715.12</v>
      </c>
      <c r="H1577" s="964" t="s">
        <v>2299</v>
      </c>
    </row>
    <row r="1578" spans="1:8" ht="165.75" hidden="1">
      <c r="A1578" s="896">
        <v>21</v>
      </c>
      <c r="B1578" s="966" t="s">
        <v>195</v>
      </c>
      <c r="C1578" s="1382" t="s">
        <v>212</v>
      </c>
      <c r="D1578" s="967"/>
      <c r="E1578" s="967"/>
      <c r="F1578" s="967"/>
      <c r="G1578" s="966"/>
      <c r="H1578" s="964" t="s">
        <v>2299</v>
      </c>
    </row>
    <row r="1579" spans="1:8" hidden="1">
      <c r="A1579" s="896"/>
      <c r="B1579" s="966"/>
      <c r="C1579" s="962" t="s">
        <v>42</v>
      </c>
      <c r="D1579" s="967"/>
      <c r="E1579" s="967"/>
      <c r="F1579" s="967"/>
      <c r="G1579" s="972"/>
      <c r="H1579" s="964" t="s">
        <v>2299</v>
      </c>
    </row>
    <row r="1580" spans="1:8" hidden="1">
      <c r="A1580" s="896"/>
      <c r="B1580" s="966"/>
      <c r="C1580" s="962" t="s">
        <v>60</v>
      </c>
      <c r="D1580" s="967"/>
      <c r="E1580" s="967"/>
      <c r="F1580" s="967"/>
      <c r="G1580" s="972"/>
      <c r="H1580" s="964" t="s">
        <v>2299</v>
      </c>
    </row>
    <row r="1581" spans="1:8" hidden="1">
      <c r="A1581" s="896"/>
      <c r="B1581" s="966"/>
      <c r="C1581" s="1382" t="s">
        <v>203</v>
      </c>
      <c r="D1581" s="967" t="s">
        <v>77</v>
      </c>
      <c r="E1581" s="970">
        <v>10.5</v>
      </c>
      <c r="F1581" s="970">
        <f>'MINI SSR 2020-21'!C21</f>
        <v>612</v>
      </c>
      <c r="G1581" s="969">
        <f>ROUND(E1581*F1581,2)</f>
        <v>6426</v>
      </c>
      <c r="H1581" s="964" t="s">
        <v>2299</v>
      </c>
    </row>
    <row r="1582" spans="1:8" hidden="1">
      <c r="A1582" s="896"/>
      <c r="B1582" s="966"/>
      <c r="C1582" s="1382" t="s">
        <v>91</v>
      </c>
      <c r="D1582" s="967" t="s">
        <v>4</v>
      </c>
      <c r="E1582" s="970">
        <v>21.6</v>
      </c>
      <c r="F1582" s="970">
        <f>'lead 20-21'!L8</f>
        <v>4700</v>
      </c>
      <c r="G1582" s="969">
        <f>ROUND(E1582*F1582/1000,2)</f>
        <v>101.52</v>
      </c>
      <c r="H1582" s="964" t="s">
        <v>2299</v>
      </c>
    </row>
    <row r="1583" spans="1:8" hidden="1">
      <c r="A1583" s="896"/>
      <c r="B1583" s="966"/>
      <c r="C1583" s="1382" t="s">
        <v>92</v>
      </c>
      <c r="D1583" s="967" t="s">
        <v>4</v>
      </c>
      <c r="E1583" s="970">
        <v>33</v>
      </c>
      <c r="F1583" s="970">
        <f>F1582</f>
        <v>4700</v>
      </c>
      <c r="G1583" s="969">
        <f>ROUND(E1583*F1583/1000,2)</f>
        <v>155.1</v>
      </c>
      <c r="H1583" s="964" t="s">
        <v>2299</v>
      </c>
    </row>
    <row r="1584" spans="1:8" hidden="1">
      <c r="A1584" s="896"/>
      <c r="B1584" s="966"/>
      <c r="C1584" s="1382" t="s">
        <v>196</v>
      </c>
      <c r="D1584" s="967" t="s">
        <v>4</v>
      </c>
      <c r="E1584" s="970">
        <v>6</v>
      </c>
      <c r="F1584" s="970">
        <f>F1583</f>
        <v>4700</v>
      </c>
      <c r="G1584" s="969">
        <f>ROUND(E1584*F1584/1000,2)</f>
        <v>28.2</v>
      </c>
      <c r="H1584" s="964" t="s">
        <v>2299</v>
      </c>
    </row>
    <row r="1585" spans="1:8" hidden="1">
      <c r="A1585" s="896"/>
      <c r="B1585" s="966"/>
      <c r="C1585" s="1382" t="s">
        <v>197</v>
      </c>
      <c r="D1585" s="967" t="s">
        <v>35</v>
      </c>
      <c r="E1585" s="970">
        <v>0.12</v>
      </c>
      <c r="F1585" s="970">
        <f>'lead 20-21'!L12</f>
        <v>1546.600000000001</v>
      </c>
      <c r="G1585" s="969">
        <f>ROUND(E1585*F1585,2)</f>
        <v>185.59</v>
      </c>
      <c r="H1585" s="964" t="s">
        <v>2299</v>
      </c>
    </row>
    <row r="1586" spans="1:8" hidden="1">
      <c r="A1586" s="896"/>
      <c r="B1586" s="966"/>
      <c r="C1586" s="1382" t="s">
        <v>198</v>
      </c>
      <c r="D1586" s="967" t="s">
        <v>35</v>
      </c>
      <c r="E1586" s="970">
        <v>0.02</v>
      </c>
      <c r="F1586" s="970">
        <f>F1585</f>
        <v>1546.600000000001</v>
      </c>
      <c r="G1586" s="969">
        <f>ROUND(E1586*F1586,2)</f>
        <v>30.93</v>
      </c>
      <c r="H1586" s="964" t="s">
        <v>2299</v>
      </c>
    </row>
    <row r="1587" spans="1:8" hidden="1">
      <c r="A1587" s="967"/>
      <c r="B1587" s="967"/>
      <c r="C1587" s="962" t="s">
        <v>68</v>
      </c>
      <c r="D1587" s="967"/>
      <c r="E1587" s="970"/>
      <c r="F1587" s="970"/>
      <c r="G1587" s="969"/>
      <c r="H1587" s="964" t="s">
        <v>2299</v>
      </c>
    </row>
    <row r="1588" spans="1:8" hidden="1">
      <c r="A1588" s="967"/>
      <c r="B1588" s="967"/>
      <c r="C1588" s="1382" t="s">
        <v>64</v>
      </c>
      <c r="D1588" s="967" t="s">
        <v>27</v>
      </c>
      <c r="E1588" s="970">
        <v>0.96</v>
      </c>
      <c r="F1588" s="990">
        <f>'MINI SSR 2020-21'!$H$3</f>
        <v>550</v>
      </c>
      <c r="G1588" s="969">
        <f>ROUND(E1588*F1588,2)</f>
        <v>528</v>
      </c>
      <c r="H1588" s="964" t="s">
        <v>2299</v>
      </c>
    </row>
    <row r="1589" spans="1:8" hidden="1">
      <c r="A1589" s="967"/>
      <c r="B1589" s="967"/>
      <c r="C1589" s="1382" t="s">
        <v>69</v>
      </c>
      <c r="D1589" s="967" t="s">
        <v>27</v>
      </c>
      <c r="E1589" s="970">
        <v>2.2400000000000002</v>
      </c>
      <c r="F1589" s="990">
        <f>'MINI SSR 2020-21'!$H$4</f>
        <v>500</v>
      </c>
      <c r="G1589" s="969">
        <f>ROUND(E1589*F1589,2)</f>
        <v>1120</v>
      </c>
      <c r="H1589" s="964" t="s">
        <v>2299</v>
      </c>
    </row>
    <row r="1590" spans="1:8" hidden="1">
      <c r="A1590" s="967"/>
      <c r="B1590" s="967"/>
      <c r="C1590" s="1382" t="s">
        <v>85</v>
      </c>
      <c r="D1590" s="967" t="s">
        <v>27</v>
      </c>
      <c r="E1590" s="970">
        <v>3.3</v>
      </c>
      <c r="F1590" s="990">
        <f>'MINI SSR 2020-21'!$H$5</f>
        <v>460</v>
      </c>
      <c r="G1590" s="969">
        <f>ROUND(E1590*F1590,2)</f>
        <v>1518</v>
      </c>
      <c r="H1590" s="964" t="s">
        <v>2299</v>
      </c>
    </row>
    <row r="1591" spans="1:8" hidden="1">
      <c r="A1591" s="967"/>
      <c r="B1591" s="967"/>
      <c r="C1591" s="1382" t="s">
        <v>1220</v>
      </c>
      <c r="D1591" s="967"/>
      <c r="E1591" s="970">
        <v>0.01</v>
      </c>
      <c r="F1591" s="970">
        <f>SUM(G1581:G1590)</f>
        <v>10093.34</v>
      </c>
      <c r="G1591" s="969">
        <f>ROUND(E1591*F1591,2)</f>
        <v>100.93</v>
      </c>
      <c r="H1591" s="964" t="s">
        <v>2299</v>
      </c>
    </row>
    <row r="1592" spans="1:8" hidden="1">
      <c r="A1592" s="967"/>
      <c r="B1592" s="967"/>
      <c r="C1592" s="962" t="s">
        <v>88</v>
      </c>
      <c r="D1592" s="967"/>
      <c r="E1592" s="967"/>
      <c r="F1592" s="967"/>
      <c r="G1592" s="971">
        <f>SUM(G1581:G1591)</f>
        <v>10194.27</v>
      </c>
      <c r="H1592" s="964" t="s">
        <v>2299</v>
      </c>
    </row>
    <row r="1593" spans="1:8" hidden="1">
      <c r="A1593" s="967"/>
      <c r="B1593" s="967"/>
      <c r="C1593" s="962"/>
      <c r="D1593" s="967"/>
      <c r="E1593" s="966" t="s">
        <v>161</v>
      </c>
      <c r="F1593" s="966" t="s">
        <v>162</v>
      </c>
      <c r="G1593" s="974" t="s">
        <v>163</v>
      </c>
      <c r="H1593" s="964" t="s">
        <v>2299</v>
      </c>
    </row>
    <row r="1594" spans="1:8" hidden="1">
      <c r="A1594" s="967"/>
      <c r="B1594" s="967"/>
      <c r="C1594" s="962" t="s">
        <v>1274</v>
      </c>
      <c r="D1594" s="967"/>
      <c r="E1594" s="970">
        <f>G1592</f>
        <v>10194.27</v>
      </c>
      <c r="F1594" s="970">
        <f>G1592</f>
        <v>10194.27</v>
      </c>
      <c r="G1594" s="972">
        <f>G1592</f>
        <v>10194.27</v>
      </c>
      <c r="H1594" s="964" t="s">
        <v>2299</v>
      </c>
    </row>
    <row r="1595" spans="1:8" ht="25.5" hidden="1">
      <c r="A1595" s="967"/>
      <c r="B1595" s="967"/>
      <c r="C1595" s="1382" t="s">
        <v>170</v>
      </c>
      <c r="D1595" s="967"/>
      <c r="E1595" s="967"/>
      <c r="F1595" s="970">
        <f>ROUND((G1588+G1589+G1590)*0.1,2)</f>
        <v>316.60000000000002</v>
      </c>
      <c r="G1595" s="975">
        <f>ROUND((G1588+G1589+G1590)*0.2,2)</f>
        <v>633.20000000000005</v>
      </c>
      <c r="H1595" s="964" t="s">
        <v>2299</v>
      </c>
    </row>
    <row r="1596" spans="1:8" hidden="1">
      <c r="A1596" s="967"/>
      <c r="B1596" s="967"/>
      <c r="C1596" s="962" t="s">
        <v>194</v>
      </c>
      <c r="D1596" s="967"/>
      <c r="E1596" s="974">
        <f>SUM(E1594:E1595)</f>
        <v>10194.27</v>
      </c>
      <c r="F1596" s="974">
        <f>SUM(F1594:F1595)</f>
        <v>10510.87</v>
      </c>
      <c r="G1596" s="971">
        <f>SUM(G1594:G1595)</f>
        <v>10827.470000000001</v>
      </c>
      <c r="H1596" s="964" t="s">
        <v>2299</v>
      </c>
    </row>
    <row r="1597" spans="1:8" hidden="1">
      <c r="A1597" s="967"/>
      <c r="B1597" s="967"/>
      <c r="C1597" s="962" t="s">
        <v>181</v>
      </c>
      <c r="D1597" s="967"/>
      <c r="E1597" s="974">
        <f>ROUND(E1596/10,2)</f>
        <v>1019.43</v>
      </c>
      <c r="F1597" s="974">
        <f>ROUND(F1596/10,2)</f>
        <v>1051.0899999999999</v>
      </c>
      <c r="G1597" s="971">
        <f>ROUND(G1596/10,2)</f>
        <v>1082.75</v>
      </c>
      <c r="H1597" s="964" t="s">
        <v>2299</v>
      </c>
    </row>
    <row r="1598" spans="1:8" ht="127.5" hidden="1">
      <c r="A1598" s="896">
        <v>22</v>
      </c>
      <c r="B1598" s="966" t="s">
        <v>199</v>
      </c>
      <c r="C1598" s="1382" t="s">
        <v>213</v>
      </c>
      <c r="D1598" s="967"/>
      <c r="E1598" s="967"/>
      <c r="F1598" s="967"/>
      <c r="G1598" s="966"/>
      <c r="H1598" s="964" t="s">
        <v>2299</v>
      </c>
    </row>
    <row r="1599" spans="1:8" hidden="1">
      <c r="A1599" s="896"/>
      <c r="B1599" s="966"/>
      <c r="C1599" s="962" t="s">
        <v>42</v>
      </c>
      <c r="D1599" s="967"/>
      <c r="E1599" s="967"/>
      <c r="F1599" s="967"/>
      <c r="G1599" s="972"/>
      <c r="H1599" s="964" t="s">
        <v>2299</v>
      </c>
    </row>
    <row r="1600" spans="1:8" hidden="1">
      <c r="A1600" s="896"/>
      <c r="B1600" s="966"/>
      <c r="C1600" s="962" t="s">
        <v>60</v>
      </c>
      <c r="D1600" s="967"/>
      <c r="E1600" s="967"/>
      <c r="F1600" s="967"/>
      <c r="G1600" s="972"/>
      <c r="H1600" s="964" t="s">
        <v>2299</v>
      </c>
    </row>
    <row r="1601" spans="1:8" hidden="1">
      <c r="A1601" s="896"/>
      <c r="B1601" s="966"/>
      <c r="C1601" s="1382" t="s">
        <v>203</v>
      </c>
      <c r="D1601" s="967" t="s">
        <v>77</v>
      </c>
      <c r="E1601" s="970">
        <v>10.5</v>
      </c>
      <c r="F1601" s="970">
        <f>'MINI SSR 2020-21'!C21</f>
        <v>612</v>
      </c>
      <c r="G1601" s="969">
        <f>ROUND(E1601*F1601,2)</f>
        <v>6426</v>
      </c>
      <c r="H1601" s="964" t="s">
        <v>2299</v>
      </c>
    </row>
    <row r="1602" spans="1:8" hidden="1">
      <c r="A1602" s="896"/>
      <c r="B1602" s="966"/>
      <c r="C1602" s="1382" t="s">
        <v>200</v>
      </c>
      <c r="D1602" s="967" t="s">
        <v>35</v>
      </c>
      <c r="E1602" s="970">
        <v>0.12</v>
      </c>
      <c r="F1602" s="970">
        <f>'lead 20-21'!L12</f>
        <v>1546.600000000001</v>
      </c>
      <c r="G1602" s="969">
        <f>ROUND(E1602*F1602,2)</f>
        <v>185.59</v>
      </c>
      <c r="H1602" s="964" t="s">
        <v>2299</v>
      </c>
    </row>
    <row r="1603" spans="1:8" hidden="1">
      <c r="A1603" s="896"/>
      <c r="B1603" s="966"/>
      <c r="C1603" s="1382" t="s">
        <v>201</v>
      </c>
      <c r="D1603" s="967" t="s">
        <v>4</v>
      </c>
      <c r="E1603" s="970">
        <v>34.56</v>
      </c>
      <c r="F1603" s="970">
        <f>'lead 20-21'!L8</f>
        <v>4700</v>
      </c>
      <c r="G1603" s="969">
        <f>ROUND(E1603*F1603/1000,2)</f>
        <v>162.43</v>
      </c>
      <c r="H1603" s="964" t="s">
        <v>2299</v>
      </c>
    </row>
    <row r="1604" spans="1:8" hidden="1">
      <c r="A1604" s="896"/>
      <c r="B1604" s="966"/>
      <c r="C1604" s="1382" t="s">
        <v>202</v>
      </c>
      <c r="D1604" s="967" t="s">
        <v>4</v>
      </c>
      <c r="E1604" s="970">
        <v>33</v>
      </c>
      <c r="F1604" s="970">
        <f>F1603</f>
        <v>4700</v>
      </c>
      <c r="G1604" s="969">
        <f>ROUND(E1604*F1604/1000,2)</f>
        <v>155.1</v>
      </c>
      <c r="H1604" s="964" t="s">
        <v>2299</v>
      </c>
    </row>
    <row r="1605" spans="1:8" hidden="1">
      <c r="A1605" s="896"/>
      <c r="B1605" s="966"/>
      <c r="C1605" s="1382" t="s">
        <v>204</v>
      </c>
      <c r="D1605" s="967" t="s">
        <v>4</v>
      </c>
      <c r="E1605" s="970">
        <v>2</v>
      </c>
      <c r="F1605" s="970">
        <f>'MINI SSR 2020-21'!C45</f>
        <v>27.95</v>
      </c>
      <c r="G1605" s="969">
        <f>ROUND(E1605*F1605,2)</f>
        <v>55.9</v>
      </c>
      <c r="H1605" s="964" t="s">
        <v>2299</v>
      </c>
    </row>
    <row r="1606" spans="1:8" hidden="1">
      <c r="A1606" s="967"/>
      <c r="B1606" s="967"/>
      <c r="C1606" s="962" t="s">
        <v>68</v>
      </c>
      <c r="D1606" s="967"/>
      <c r="E1606" s="970"/>
      <c r="F1606" s="970"/>
      <c r="G1606" s="969"/>
      <c r="H1606" s="964" t="s">
        <v>2299</v>
      </c>
    </row>
    <row r="1607" spans="1:8" hidden="1">
      <c r="A1607" s="967"/>
      <c r="B1607" s="967"/>
      <c r="C1607" s="1382" t="s">
        <v>64</v>
      </c>
      <c r="D1607" s="967" t="s">
        <v>27</v>
      </c>
      <c r="E1607" s="970">
        <v>0.96</v>
      </c>
      <c r="F1607" s="990">
        <f>'MINI SSR 2020-21'!$H$3</f>
        <v>550</v>
      </c>
      <c r="G1607" s="969">
        <f>ROUND(E1607*F1607,2)</f>
        <v>528</v>
      </c>
      <c r="H1607" s="964" t="s">
        <v>2299</v>
      </c>
    </row>
    <row r="1608" spans="1:8" hidden="1">
      <c r="A1608" s="967"/>
      <c r="B1608" s="967"/>
      <c r="C1608" s="1382" t="s">
        <v>69</v>
      </c>
      <c r="D1608" s="967" t="s">
        <v>27</v>
      </c>
      <c r="E1608" s="970">
        <v>2.2400000000000002</v>
      </c>
      <c r="F1608" s="990">
        <f>'MINI SSR 2020-21'!$H$4</f>
        <v>500</v>
      </c>
      <c r="G1608" s="969">
        <f>ROUND(E1608*F1608,2)</f>
        <v>1120</v>
      </c>
      <c r="H1608" s="964" t="s">
        <v>2299</v>
      </c>
    </row>
    <row r="1609" spans="1:8" hidden="1">
      <c r="A1609" s="967"/>
      <c r="B1609" s="967"/>
      <c r="C1609" s="1382" t="s">
        <v>85</v>
      </c>
      <c r="D1609" s="967" t="s">
        <v>27</v>
      </c>
      <c r="E1609" s="970">
        <v>3.3</v>
      </c>
      <c r="F1609" s="990">
        <f>'MINI SSR 2020-21'!$H$5</f>
        <v>460</v>
      </c>
      <c r="G1609" s="969">
        <f>ROUND(E1609*F1609,2)</f>
        <v>1518</v>
      </c>
      <c r="H1609" s="964" t="s">
        <v>2299</v>
      </c>
    </row>
    <row r="1610" spans="1:8" hidden="1">
      <c r="A1610" s="967"/>
      <c r="B1610" s="967"/>
      <c r="C1610" s="962" t="s">
        <v>88</v>
      </c>
      <c r="D1610" s="967"/>
      <c r="E1610" s="967"/>
      <c r="F1610" s="967"/>
      <c r="G1610" s="971">
        <f>SUM(G1601:G1609)</f>
        <v>10151.02</v>
      </c>
      <c r="H1610" s="964" t="s">
        <v>2299</v>
      </c>
    </row>
    <row r="1611" spans="1:8" hidden="1">
      <c r="A1611" s="967"/>
      <c r="B1611" s="967"/>
      <c r="C1611" s="962"/>
      <c r="D1611" s="967"/>
      <c r="E1611" s="966" t="s">
        <v>161</v>
      </c>
      <c r="F1611" s="966" t="s">
        <v>162</v>
      </c>
      <c r="G1611" s="974" t="s">
        <v>163</v>
      </c>
      <c r="H1611" s="964" t="s">
        <v>2299</v>
      </c>
    </row>
    <row r="1612" spans="1:8" hidden="1">
      <c r="A1612" s="967"/>
      <c r="B1612" s="967"/>
      <c r="C1612" s="962" t="s">
        <v>1274</v>
      </c>
      <c r="D1612" s="967"/>
      <c r="E1612" s="970">
        <f>G1610</f>
        <v>10151.02</v>
      </c>
      <c r="F1612" s="970">
        <f>G1610</f>
        <v>10151.02</v>
      </c>
      <c r="G1612" s="972">
        <f>G1610</f>
        <v>10151.02</v>
      </c>
      <c r="H1612" s="964" t="s">
        <v>2299</v>
      </c>
    </row>
    <row r="1613" spans="1:8" ht="25.5" hidden="1">
      <c r="A1613" s="967"/>
      <c r="B1613" s="967"/>
      <c r="C1613" s="1382" t="s">
        <v>170</v>
      </c>
      <c r="D1613" s="967"/>
      <c r="E1613" s="967"/>
      <c r="F1613" s="970">
        <f>ROUND((G1607+G1608+G1609)*0.1,2)</f>
        <v>316.60000000000002</v>
      </c>
      <c r="G1613" s="975">
        <f>ROUND((G1607+G1608+G1609)*0.2,2)</f>
        <v>633.20000000000005</v>
      </c>
      <c r="H1613" s="964" t="s">
        <v>2299</v>
      </c>
    </row>
    <row r="1614" spans="1:8" hidden="1">
      <c r="A1614" s="967"/>
      <c r="B1614" s="967"/>
      <c r="C1614" s="962" t="s">
        <v>194</v>
      </c>
      <c r="D1614" s="967"/>
      <c r="E1614" s="974">
        <f>SUM(E1612:E1613)</f>
        <v>10151.02</v>
      </c>
      <c r="F1614" s="974">
        <f>SUM(F1612:F1613)</f>
        <v>10467.620000000001</v>
      </c>
      <c r="G1614" s="971">
        <f>SUM(G1612:G1613)</f>
        <v>10784.220000000001</v>
      </c>
      <c r="H1614" s="964" t="s">
        <v>2299</v>
      </c>
    </row>
    <row r="1615" spans="1:8" hidden="1">
      <c r="A1615" s="967"/>
      <c r="B1615" s="967"/>
      <c r="C1615" s="962" t="s">
        <v>181</v>
      </c>
      <c r="D1615" s="967"/>
      <c r="E1615" s="974">
        <f>ROUND(E1614/10,2)</f>
        <v>1015.1</v>
      </c>
      <c r="F1615" s="974">
        <f>ROUND(F1614/10,2)</f>
        <v>1046.76</v>
      </c>
      <c r="G1615" s="971">
        <f>ROUND(G1614/10,2)</f>
        <v>1078.42</v>
      </c>
      <c r="H1615" s="964" t="s">
        <v>2299</v>
      </c>
    </row>
    <row r="1616" spans="1:8" ht="140.25" hidden="1">
      <c r="A1616" s="896">
        <v>33</v>
      </c>
      <c r="B1616" s="966" t="s">
        <v>205</v>
      </c>
      <c r="C1616" s="1382" t="s">
        <v>211</v>
      </c>
      <c r="D1616" s="967"/>
      <c r="E1616" s="967"/>
      <c r="F1616" s="967"/>
      <c r="G1616" s="966"/>
      <c r="H1616" s="964" t="s">
        <v>2299</v>
      </c>
    </row>
    <row r="1617" spans="1:8" hidden="1">
      <c r="A1617" s="896"/>
      <c r="B1617" s="966"/>
      <c r="C1617" s="962" t="s">
        <v>42</v>
      </c>
      <c r="D1617" s="967"/>
      <c r="E1617" s="967"/>
      <c r="F1617" s="967"/>
      <c r="G1617" s="972"/>
      <c r="H1617" s="964" t="s">
        <v>2299</v>
      </c>
    </row>
    <row r="1618" spans="1:8" hidden="1">
      <c r="A1618" s="896"/>
      <c r="B1618" s="966"/>
      <c r="C1618" s="962" t="s">
        <v>60</v>
      </c>
      <c r="D1618" s="967"/>
      <c r="E1618" s="967"/>
      <c r="F1618" s="967"/>
      <c r="G1618" s="972"/>
      <c r="H1618" s="964" t="s">
        <v>2299</v>
      </c>
    </row>
    <row r="1619" spans="1:8" hidden="1">
      <c r="A1619" s="896"/>
      <c r="B1619" s="966"/>
      <c r="C1619" s="1382" t="s">
        <v>206</v>
      </c>
      <c r="D1619" s="967" t="s">
        <v>77</v>
      </c>
      <c r="E1619" s="970">
        <v>10.5</v>
      </c>
      <c r="F1619" s="970">
        <f>'MINI SSR 2020-21'!C22</f>
        <v>370</v>
      </c>
      <c r="G1619" s="969">
        <f>ROUND(E1619*F1619,2)</f>
        <v>3885</v>
      </c>
      <c r="H1619" s="964" t="s">
        <v>2299</v>
      </c>
    </row>
    <row r="1620" spans="1:8" hidden="1">
      <c r="A1620" s="896"/>
      <c r="B1620" s="966"/>
      <c r="C1620" s="1382" t="s">
        <v>91</v>
      </c>
      <c r="D1620" s="967" t="s">
        <v>4</v>
      </c>
      <c r="E1620" s="970">
        <v>21.6</v>
      </c>
      <c r="F1620" s="970">
        <f>'lead 20-21'!L8</f>
        <v>4700</v>
      </c>
      <c r="G1620" s="969">
        <f>ROUND(E1620*F1620/1000,2)</f>
        <v>101.52</v>
      </c>
      <c r="H1620" s="964" t="s">
        <v>2299</v>
      </c>
    </row>
    <row r="1621" spans="1:8" hidden="1">
      <c r="A1621" s="896"/>
      <c r="B1621" s="966"/>
      <c r="C1621" s="1382" t="s">
        <v>92</v>
      </c>
      <c r="D1621" s="967" t="s">
        <v>4</v>
      </c>
      <c r="E1621" s="970">
        <v>33</v>
      </c>
      <c r="F1621" s="970">
        <f>F1620</f>
        <v>4700</v>
      </c>
      <c r="G1621" s="969">
        <f>ROUND(E1621*F1621/1000,2)</f>
        <v>155.1</v>
      </c>
      <c r="H1621" s="964" t="s">
        <v>2299</v>
      </c>
    </row>
    <row r="1622" spans="1:8" hidden="1">
      <c r="A1622" s="896"/>
      <c r="B1622" s="966"/>
      <c r="C1622" s="1382" t="s">
        <v>204</v>
      </c>
      <c r="D1622" s="967" t="s">
        <v>4</v>
      </c>
      <c r="E1622" s="970">
        <v>2</v>
      </c>
      <c r="F1622" s="970">
        <f>F1605</f>
        <v>27.95</v>
      </c>
      <c r="G1622" s="969">
        <f>ROUND(E1622*F1622,2)</f>
        <v>55.9</v>
      </c>
      <c r="H1622" s="964" t="s">
        <v>2299</v>
      </c>
    </row>
    <row r="1623" spans="1:8" hidden="1">
      <c r="A1623" s="896"/>
      <c r="B1623" s="966"/>
      <c r="C1623" s="1382" t="s">
        <v>114</v>
      </c>
      <c r="D1623" s="967" t="s">
        <v>35</v>
      </c>
      <c r="E1623" s="970">
        <v>0.12</v>
      </c>
      <c r="F1623" s="970">
        <f>'lead 20-21'!L12</f>
        <v>1546.600000000001</v>
      </c>
      <c r="G1623" s="969">
        <f>ROUND(E1623*F1623,2)</f>
        <v>185.59</v>
      </c>
      <c r="H1623" s="964" t="s">
        <v>2299</v>
      </c>
    </row>
    <row r="1624" spans="1:8" hidden="1">
      <c r="A1624" s="967"/>
      <c r="B1624" s="967"/>
      <c r="C1624" s="962" t="s">
        <v>68</v>
      </c>
      <c r="D1624" s="967"/>
      <c r="E1624" s="970"/>
      <c r="F1624" s="970"/>
      <c r="G1624" s="969"/>
      <c r="H1624" s="964" t="s">
        <v>2299</v>
      </c>
    </row>
    <row r="1625" spans="1:8" hidden="1">
      <c r="A1625" s="967"/>
      <c r="B1625" s="967"/>
      <c r="C1625" s="1382" t="s">
        <v>64</v>
      </c>
      <c r="D1625" s="967" t="s">
        <v>27</v>
      </c>
      <c r="E1625" s="970">
        <v>0.96</v>
      </c>
      <c r="F1625" s="990">
        <f>'MINI SSR 2020-21'!$H$3</f>
        <v>550</v>
      </c>
      <c r="G1625" s="969">
        <f>ROUND(E1625*F1625,2)</f>
        <v>528</v>
      </c>
      <c r="H1625" s="964" t="s">
        <v>2299</v>
      </c>
    </row>
    <row r="1626" spans="1:8" hidden="1">
      <c r="A1626" s="967"/>
      <c r="B1626" s="967"/>
      <c r="C1626" s="1382" t="s">
        <v>69</v>
      </c>
      <c r="D1626" s="967" t="s">
        <v>27</v>
      </c>
      <c r="E1626" s="970">
        <v>2.2400000000000002</v>
      </c>
      <c r="F1626" s="990">
        <f>'MINI SSR 2020-21'!$H$4</f>
        <v>500</v>
      </c>
      <c r="G1626" s="969">
        <f>ROUND(E1626*F1626,2)</f>
        <v>1120</v>
      </c>
      <c r="H1626" s="964" t="s">
        <v>2299</v>
      </c>
    </row>
    <row r="1627" spans="1:8" hidden="1">
      <c r="A1627" s="967"/>
      <c r="B1627" s="967"/>
      <c r="C1627" s="1382" t="s">
        <v>85</v>
      </c>
      <c r="D1627" s="967" t="s">
        <v>27</v>
      </c>
      <c r="E1627" s="970">
        <v>3.3</v>
      </c>
      <c r="F1627" s="990">
        <f>'MINI SSR 2020-21'!$H$5</f>
        <v>460</v>
      </c>
      <c r="G1627" s="969">
        <f>ROUND(E1627*F1627,2)</f>
        <v>1518</v>
      </c>
      <c r="H1627" s="964" t="s">
        <v>2299</v>
      </c>
    </row>
    <row r="1628" spans="1:8" hidden="1">
      <c r="A1628" s="967"/>
      <c r="B1628" s="967"/>
      <c r="C1628" s="962" t="s">
        <v>88</v>
      </c>
      <c r="D1628" s="967"/>
      <c r="E1628" s="967"/>
      <c r="F1628" s="967"/>
      <c r="G1628" s="971">
        <f>SUM(G1619:G1627)</f>
        <v>7549.11</v>
      </c>
      <c r="H1628" s="964" t="s">
        <v>2299</v>
      </c>
    </row>
    <row r="1629" spans="1:8" hidden="1">
      <c r="A1629" s="967"/>
      <c r="B1629" s="967"/>
      <c r="C1629" s="962"/>
      <c r="D1629" s="967"/>
      <c r="E1629" s="966" t="s">
        <v>161</v>
      </c>
      <c r="F1629" s="966" t="s">
        <v>162</v>
      </c>
      <c r="G1629" s="974" t="s">
        <v>163</v>
      </c>
      <c r="H1629" s="964" t="s">
        <v>2299</v>
      </c>
    </row>
    <row r="1630" spans="1:8" hidden="1">
      <c r="A1630" s="967"/>
      <c r="B1630" s="967"/>
      <c r="C1630" s="962" t="s">
        <v>1274</v>
      </c>
      <c r="D1630" s="967"/>
      <c r="E1630" s="970">
        <f>G1628</f>
        <v>7549.11</v>
      </c>
      <c r="F1630" s="970">
        <f>G1628</f>
        <v>7549.11</v>
      </c>
      <c r="G1630" s="972">
        <f>G1628</f>
        <v>7549.11</v>
      </c>
      <c r="H1630" s="964" t="s">
        <v>2299</v>
      </c>
    </row>
    <row r="1631" spans="1:8" ht="25.5" hidden="1">
      <c r="A1631" s="967"/>
      <c r="B1631" s="967"/>
      <c r="C1631" s="1382" t="s">
        <v>170</v>
      </c>
      <c r="D1631" s="967"/>
      <c r="E1631" s="967"/>
      <c r="F1631" s="970">
        <f>ROUND((G1625+G1626+G1627)*0.1,2)</f>
        <v>316.60000000000002</v>
      </c>
      <c r="G1631" s="975">
        <f>ROUND((G1625+G1626+G1627)*0.2,2)</f>
        <v>633.20000000000005</v>
      </c>
      <c r="H1631" s="964" t="s">
        <v>2299</v>
      </c>
    </row>
    <row r="1632" spans="1:8" hidden="1">
      <c r="A1632" s="967"/>
      <c r="B1632" s="967"/>
      <c r="C1632" s="962" t="s">
        <v>194</v>
      </c>
      <c r="D1632" s="967"/>
      <c r="E1632" s="974">
        <f>SUM(E1630:E1631)</f>
        <v>7549.11</v>
      </c>
      <c r="F1632" s="974">
        <f>SUM(F1630:F1631)</f>
        <v>7865.71</v>
      </c>
      <c r="G1632" s="971">
        <f>SUM(G1630:G1631)</f>
        <v>8182.3099999999995</v>
      </c>
      <c r="H1632" s="964" t="s">
        <v>2299</v>
      </c>
    </row>
    <row r="1633" spans="1:8" hidden="1">
      <c r="A1633" s="967"/>
      <c r="B1633" s="967"/>
      <c r="C1633" s="962" t="s">
        <v>181</v>
      </c>
      <c r="D1633" s="967"/>
      <c r="E1633" s="974">
        <f>ROUND(E1632/10,2)</f>
        <v>754.91</v>
      </c>
      <c r="F1633" s="974">
        <f>ROUND(F1632/10,2)</f>
        <v>786.57</v>
      </c>
      <c r="G1633" s="971">
        <f>ROUND(G1632/10,2)</f>
        <v>818.23</v>
      </c>
      <c r="H1633" s="964" t="s">
        <v>2299</v>
      </c>
    </row>
    <row r="1634" spans="1:8" ht="127.5" hidden="1">
      <c r="A1634" s="896">
        <v>34</v>
      </c>
      <c r="B1634" s="966" t="s">
        <v>207</v>
      </c>
      <c r="C1634" s="1382" t="s">
        <v>214</v>
      </c>
      <c r="D1634" s="967"/>
      <c r="E1634" s="967"/>
      <c r="F1634" s="967"/>
      <c r="G1634" s="966"/>
      <c r="H1634" s="964" t="s">
        <v>2299</v>
      </c>
    </row>
    <row r="1635" spans="1:8" hidden="1">
      <c r="A1635" s="896"/>
      <c r="B1635" s="966"/>
      <c r="C1635" s="962" t="s">
        <v>42</v>
      </c>
      <c r="D1635" s="967"/>
      <c r="E1635" s="967"/>
      <c r="F1635" s="967"/>
      <c r="G1635" s="972"/>
      <c r="H1635" s="964" t="s">
        <v>2299</v>
      </c>
    </row>
    <row r="1636" spans="1:8" hidden="1">
      <c r="A1636" s="896"/>
      <c r="B1636" s="966"/>
      <c r="C1636" s="962" t="s">
        <v>60</v>
      </c>
      <c r="D1636" s="966"/>
      <c r="E1636" s="966"/>
      <c r="F1636" s="966"/>
      <c r="G1636" s="972"/>
      <c r="H1636" s="964" t="s">
        <v>2299</v>
      </c>
    </row>
    <row r="1637" spans="1:8" hidden="1">
      <c r="A1637" s="896"/>
      <c r="B1637" s="966"/>
      <c r="C1637" s="1382" t="s">
        <v>208</v>
      </c>
      <c r="D1637" s="967" t="s">
        <v>77</v>
      </c>
      <c r="E1637" s="970">
        <v>10.5</v>
      </c>
      <c r="F1637" s="970">
        <f>'MINI SSR 2020-21'!C23</f>
        <v>323</v>
      </c>
      <c r="G1637" s="969">
        <f>ROUND(E1637*F1637,2)</f>
        <v>3391.5</v>
      </c>
      <c r="H1637" s="964" t="s">
        <v>2299</v>
      </c>
    </row>
    <row r="1638" spans="1:8" hidden="1">
      <c r="A1638" s="896"/>
      <c r="B1638" s="966"/>
      <c r="C1638" s="1382" t="s">
        <v>209</v>
      </c>
      <c r="D1638" s="967" t="s">
        <v>35</v>
      </c>
      <c r="E1638" s="970">
        <v>0.12</v>
      </c>
      <c r="F1638" s="970">
        <f>'lead 20-21'!L12</f>
        <v>1546.600000000001</v>
      </c>
      <c r="G1638" s="924">
        <f>ROUND(E1638*F1638,2)</f>
        <v>185.59</v>
      </c>
      <c r="H1638" s="964" t="s">
        <v>2299</v>
      </c>
    </row>
    <row r="1639" spans="1:8" hidden="1">
      <c r="A1639" s="896"/>
      <c r="B1639" s="966"/>
      <c r="C1639" s="1382" t="s">
        <v>210</v>
      </c>
      <c r="D1639" s="967" t="s">
        <v>4</v>
      </c>
      <c r="E1639" s="970">
        <v>57.6</v>
      </c>
      <c r="F1639" s="970">
        <f>'lead 20-21'!L8</f>
        <v>4700</v>
      </c>
      <c r="G1639" s="924">
        <f>ROUND(E1639*F1639/1000,2)</f>
        <v>270.72000000000003</v>
      </c>
      <c r="H1639" s="964" t="s">
        <v>2299</v>
      </c>
    </row>
    <row r="1640" spans="1:8" hidden="1">
      <c r="A1640" s="896"/>
      <c r="B1640" s="966"/>
      <c r="C1640" s="1382" t="s">
        <v>202</v>
      </c>
      <c r="D1640" s="967" t="s">
        <v>4</v>
      </c>
      <c r="E1640" s="970">
        <v>33</v>
      </c>
      <c r="F1640" s="970">
        <f>F1639</f>
        <v>4700</v>
      </c>
      <c r="G1640" s="924">
        <f>ROUND(E1640*F1640/1000,2)</f>
        <v>155.1</v>
      </c>
      <c r="H1640" s="964" t="s">
        <v>2299</v>
      </c>
    </row>
    <row r="1641" spans="1:8" hidden="1">
      <c r="A1641" s="896"/>
      <c r="B1641" s="966"/>
      <c r="C1641" s="1382" t="s">
        <v>215</v>
      </c>
      <c r="D1641" s="967" t="s">
        <v>4</v>
      </c>
      <c r="E1641" s="970">
        <v>6</v>
      </c>
      <c r="F1641" s="970">
        <f>F1605</f>
        <v>27.95</v>
      </c>
      <c r="G1641" s="924">
        <f>ROUND(E1641*F1641,2)</f>
        <v>167.7</v>
      </c>
      <c r="H1641" s="964" t="s">
        <v>2299</v>
      </c>
    </row>
    <row r="1642" spans="1:8" hidden="1">
      <c r="A1642" s="967"/>
      <c r="B1642" s="967"/>
      <c r="C1642" s="962" t="s">
        <v>68</v>
      </c>
      <c r="D1642" s="967"/>
      <c r="E1642" s="970"/>
      <c r="F1642" s="970"/>
      <c r="G1642" s="924"/>
      <c r="H1642" s="964" t="s">
        <v>2299</v>
      </c>
    </row>
    <row r="1643" spans="1:8" hidden="1">
      <c r="A1643" s="967"/>
      <c r="B1643" s="967"/>
      <c r="C1643" s="1382" t="s">
        <v>64</v>
      </c>
      <c r="D1643" s="967" t="s">
        <v>27</v>
      </c>
      <c r="E1643" s="970">
        <v>0.77</v>
      </c>
      <c r="F1643" s="990">
        <f>'MINI SSR 2020-21'!$H$3</f>
        <v>550</v>
      </c>
      <c r="G1643" s="924">
        <f>ROUND(E1643*F1643,2)</f>
        <v>423.5</v>
      </c>
      <c r="H1643" s="964" t="s">
        <v>2299</v>
      </c>
    </row>
    <row r="1644" spans="1:8" hidden="1">
      <c r="A1644" s="967"/>
      <c r="B1644" s="967"/>
      <c r="C1644" s="1382" t="s">
        <v>85</v>
      </c>
      <c r="D1644" s="967" t="s">
        <v>27</v>
      </c>
      <c r="E1644" s="970">
        <v>0.8</v>
      </c>
      <c r="F1644" s="990">
        <f>'MINI SSR 2020-21'!$H$5</f>
        <v>460</v>
      </c>
      <c r="G1644" s="924">
        <f>ROUND(E1644*F1644,2)</f>
        <v>368</v>
      </c>
      <c r="H1644" s="964" t="s">
        <v>2299</v>
      </c>
    </row>
    <row r="1645" spans="1:8" hidden="1">
      <c r="A1645" s="967"/>
      <c r="B1645" s="967"/>
      <c r="C1645" s="962" t="s">
        <v>88</v>
      </c>
      <c r="D1645" s="967"/>
      <c r="E1645" s="967"/>
      <c r="F1645" s="967"/>
      <c r="G1645" s="971">
        <f>SUM(G1637:G1644)</f>
        <v>4962.1100000000006</v>
      </c>
      <c r="H1645" s="964" t="s">
        <v>2299</v>
      </c>
    </row>
    <row r="1646" spans="1:8" hidden="1">
      <c r="A1646" s="967"/>
      <c r="B1646" s="967"/>
      <c r="C1646" s="962"/>
      <c r="D1646" s="967"/>
      <c r="E1646" s="966" t="s">
        <v>161</v>
      </c>
      <c r="F1646" s="966" t="s">
        <v>162</v>
      </c>
      <c r="G1646" s="974" t="s">
        <v>163</v>
      </c>
      <c r="H1646" s="964" t="s">
        <v>2299</v>
      </c>
    </row>
    <row r="1647" spans="1:8" hidden="1">
      <c r="A1647" s="967"/>
      <c r="B1647" s="967"/>
      <c r="C1647" s="962" t="s">
        <v>1274</v>
      </c>
      <c r="D1647" s="967"/>
      <c r="E1647" s="970">
        <f>G1645</f>
        <v>4962.1100000000006</v>
      </c>
      <c r="F1647" s="970">
        <f>G1645</f>
        <v>4962.1100000000006</v>
      </c>
      <c r="G1647" s="972">
        <f>G1645</f>
        <v>4962.1100000000006</v>
      </c>
      <c r="H1647" s="964" t="s">
        <v>2299</v>
      </c>
    </row>
    <row r="1648" spans="1:8" ht="25.5" hidden="1">
      <c r="A1648" s="967"/>
      <c r="B1648" s="967"/>
      <c r="C1648" s="1382" t="s">
        <v>170</v>
      </c>
      <c r="D1648" s="967"/>
      <c r="E1648" s="967"/>
      <c r="F1648" s="970">
        <f>ROUND((G1643+G1644)*0.1,2)</f>
        <v>79.150000000000006</v>
      </c>
      <c r="G1648" s="972">
        <f>ROUND((G1643+G1644)*0.2,2)</f>
        <v>158.30000000000001</v>
      </c>
      <c r="H1648" s="964" t="s">
        <v>2299</v>
      </c>
    </row>
    <row r="1649" spans="1:8" hidden="1">
      <c r="A1649" s="967"/>
      <c r="B1649" s="967"/>
      <c r="C1649" s="962" t="s">
        <v>194</v>
      </c>
      <c r="D1649" s="967"/>
      <c r="E1649" s="974">
        <f>SUM(E1647:E1648)</f>
        <v>4962.1100000000006</v>
      </c>
      <c r="F1649" s="974">
        <f>SUM(F1647:F1648)</f>
        <v>5041.26</v>
      </c>
      <c r="G1649" s="971">
        <f>SUM(G1647:G1648)</f>
        <v>5120.4100000000008</v>
      </c>
      <c r="H1649" s="964" t="s">
        <v>2299</v>
      </c>
    </row>
    <row r="1650" spans="1:8" hidden="1">
      <c r="A1650" s="967"/>
      <c r="B1650" s="967"/>
      <c r="C1650" s="962" t="s">
        <v>181</v>
      </c>
      <c r="D1650" s="967"/>
      <c r="E1650" s="974">
        <f>ROUND(E1649/10,2)</f>
        <v>496.21</v>
      </c>
      <c r="F1650" s="974">
        <f>ROUND(F1649/10,2)</f>
        <v>504.13</v>
      </c>
      <c r="G1650" s="971">
        <f>ROUND(G1649/10,2)</f>
        <v>512.04</v>
      </c>
      <c r="H1650" s="964" t="s">
        <v>2299</v>
      </c>
    </row>
    <row r="1651" spans="1:8" ht="25.5" hidden="1">
      <c r="A1651" s="896">
        <v>49</v>
      </c>
      <c r="B1651" s="966" t="s">
        <v>1349</v>
      </c>
      <c r="C1651" s="1382" t="s">
        <v>1201</v>
      </c>
      <c r="D1651" s="967"/>
      <c r="E1651" s="967"/>
      <c r="F1651" s="967"/>
      <c r="G1651" s="966"/>
      <c r="H1651" s="964" t="s">
        <v>2299</v>
      </c>
    </row>
    <row r="1652" spans="1:8" hidden="1">
      <c r="A1652" s="896"/>
      <c r="B1652" s="966"/>
      <c r="C1652" s="962" t="s">
        <v>868</v>
      </c>
      <c r="D1652" s="967"/>
      <c r="E1652" s="967"/>
      <c r="F1652" s="967"/>
      <c r="G1652" s="972"/>
      <c r="H1652" s="964" t="s">
        <v>2299</v>
      </c>
    </row>
    <row r="1653" spans="1:8" hidden="1">
      <c r="A1653" s="896"/>
      <c r="B1653" s="966"/>
      <c r="C1653" s="962" t="s">
        <v>60</v>
      </c>
      <c r="D1653" s="967"/>
      <c r="E1653" s="967"/>
      <c r="F1653" s="967"/>
      <c r="G1653" s="972"/>
      <c r="H1653" s="964" t="s">
        <v>2299</v>
      </c>
    </row>
    <row r="1654" spans="1:8" hidden="1">
      <c r="A1654" s="896"/>
      <c r="B1654" s="966"/>
      <c r="C1654" s="1382" t="s">
        <v>33</v>
      </c>
      <c r="D1654" s="967" t="s">
        <v>4</v>
      </c>
      <c r="E1654" s="970">
        <v>14.4</v>
      </c>
      <c r="F1654" s="970">
        <f>'lead 20-21'!L8</f>
        <v>4700</v>
      </c>
      <c r="G1654" s="969">
        <f>ROUND(E1654*F1654/1000,2)</f>
        <v>67.680000000000007</v>
      </c>
      <c r="H1654" s="964" t="s">
        <v>2299</v>
      </c>
    </row>
    <row r="1655" spans="1:8" hidden="1">
      <c r="A1655" s="896"/>
      <c r="B1655" s="966"/>
      <c r="C1655" s="1382" t="s">
        <v>113</v>
      </c>
      <c r="D1655" s="967" t="s">
        <v>35</v>
      </c>
      <c r="E1655" s="970">
        <v>0.03</v>
      </c>
      <c r="F1655" s="970">
        <f>'lead 20-21'!L12</f>
        <v>1546.600000000001</v>
      </c>
      <c r="G1655" s="969">
        <f>ROUND(E1655*F1655,2)</f>
        <v>46.4</v>
      </c>
      <c r="H1655" s="964" t="s">
        <v>2299</v>
      </c>
    </row>
    <row r="1656" spans="1:8" hidden="1">
      <c r="A1656" s="967"/>
      <c r="B1656" s="967"/>
      <c r="C1656" s="962" t="s">
        <v>68</v>
      </c>
      <c r="D1656" s="967"/>
      <c r="E1656" s="970"/>
      <c r="F1656" s="970"/>
      <c r="G1656" s="969"/>
      <c r="H1656" s="964" t="s">
        <v>2299</v>
      </c>
    </row>
    <row r="1657" spans="1:8" hidden="1">
      <c r="A1657" s="967"/>
      <c r="B1657" s="967"/>
      <c r="C1657" s="1382" t="s">
        <v>69</v>
      </c>
      <c r="D1657" s="967" t="s">
        <v>27</v>
      </c>
      <c r="E1657" s="970">
        <v>0.5</v>
      </c>
      <c r="F1657" s="990">
        <f>'MINI SSR 2020-21'!$H$4</f>
        <v>500</v>
      </c>
      <c r="G1657" s="969">
        <f>ROUND(E1657*F1657,2)</f>
        <v>250</v>
      </c>
      <c r="H1657" s="964" t="s">
        <v>2299</v>
      </c>
    </row>
    <row r="1658" spans="1:8" hidden="1">
      <c r="A1658" s="967"/>
      <c r="B1658" s="967"/>
      <c r="C1658" s="1382" t="s">
        <v>85</v>
      </c>
      <c r="D1658" s="967" t="s">
        <v>27</v>
      </c>
      <c r="E1658" s="970">
        <v>0.74</v>
      </c>
      <c r="F1658" s="990">
        <f>'MINI SSR 2020-21'!$H$5</f>
        <v>460</v>
      </c>
      <c r="G1658" s="969">
        <f>ROUND(E1658*F1658,2)</f>
        <v>340.4</v>
      </c>
      <c r="H1658" s="964" t="s">
        <v>2299</v>
      </c>
    </row>
    <row r="1659" spans="1:8" hidden="1">
      <c r="A1659" s="967"/>
      <c r="B1659" s="967"/>
      <c r="C1659" s="962" t="s">
        <v>88</v>
      </c>
      <c r="D1659" s="967"/>
      <c r="E1659" s="970"/>
      <c r="F1659" s="970"/>
      <c r="G1659" s="969">
        <f>SUM(G1654:G1658)</f>
        <v>704.48</v>
      </c>
      <c r="H1659" s="964" t="s">
        <v>2299</v>
      </c>
    </row>
    <row r="1660" spans="1:8" ht="114.75" hidden="1">
      <c r="A1660" s="896">
        <v>50</v>
      </c>
      <c r="B1660" s="966" t="s">
        <v>1350</v>
      </c>
      <c r="C1660" s="1382" t="s">
        <v>1202</v>
      </c>
      <c r="D1660" s="967"/>
      <c r="E1660" s="967"/>
      <c r="F1660" s="967"/>
      <c r="G1660" s="966"/>
      <c r="H1660" s="964" t="s">
        <v>2299</v>
      </c>
    </row>
    <row r="1661" spans="1:8" hidden="1">
      <c r="A1661" s="896"/>
      <c r="B1661" s="966"/>
      <c r="C1661" s="962" t="s">
        <v>868</v>
      </c>
      <c r="D1661" s="967"/>
      <c r="E1661" s="967"/>
      <c r="F1661" s="967"/>
      <c r="G1661" s="972"/>
      <c r="H1661" s="964" t="s">
        <v>2299</v>
      </c>
    </row>
    <row r="1662" spans="1:8" hidden="1">
      <c r="A1662" s="896"/>
      <c r="B1662" s="966"/>
      <c r="C1662" s="962" t="s">
        <v>60</v>
      </c>
      <c r="D1662" s="967"/>
      <c r="E1662" s="967"/>
      <c r="F1662" s="967"/>
      <c r="G1662" s="972"/>
      <c r="H1662" s="964" t="s">
        <v>2299</v>
      </c>
    </row>
    <row r="1663" spans="1:8" hidden="1">
      <c r="A1663" s="896"/>
      <c r="B1663" s="966"/>
      <c r="C1663" s="1382" t="s">
        <v>3167</v>
      </c>
      <c r="D1663" s="967" t="s">
        <v>11</v>
      </c>
      <c r="E1663" s="973">
        <v>0.255</v>
      </c>
      <c r="F1663" s="970">
        <f>'lead 20-21'!L23</f>
        <v>19305</v>
      </c>
      <c r="G1663" s="969">
        <f>ROUND(E1663*F1663/1,2)</f>
        <v>4922.78</v>
      </c>
      <c r="H1663" s="964" t="s">
        <v>2299</v>
      </c>
    </row>
    <row r="1664" spans="1:8" hidden="1">
      <c r="A1664" s="896"/>
      <c r="B1664" s="966"/>
      <c r="C1664" s="1382" t="s">
        <v>873</v>
      </c>
      <c r="D1664" s="967" t="s">
        <v>141</v>
      </c>
      <c r="E1664" s="970">
        <v>21.6</v>
      </c>
      <c r="F1664" s="970">
        <f>'lead 20-21'!L8</f>
        <v>4700</v>
      </c>
      <c r="G1664" s="969">
        <f>ROUND(E1664*F1664/1000,2)</f>
        <v>101.52</v>
      </c>
      <c r="H1664" s="964" t="s">
        <v>2299</v>
      </c>
    </row>
    <row r="1665" spans="1:8" hidden="1">
      <c r="A1665" s="896"/>
      <c r="B1665" s="966"/>
      <c r="C1665" s="1382" t="s">
        <v>1204</v>
      </c>
      <c r="D1665" s="967" t="s">
        <v>141</v>
      </c>
      <c r="E1665" s="970">
        <v>6</v>
      </c>
      <c r="F1665" s="970">
        <f>F1664</f>
        <v>4700</v>
      </c>
      <c r="G1665" s="969">
        <f>ROUND(E1665*F1665/1000,2)</f>
        <v>28.2</v>
      </c>
      <c r="H1665" s="964" t="s">
        <v>2299</v>
      </c>
    </row>
    <row r="1666" spans="1:8" hidden="1">
      <c r="A1666" s="896"/>
      <c r="B1666" s="966"/>
      <c r="C1666" s="1382" t="s">
        <v>1205</v>
      </c>
      <c r="D1666" s="967" t="s">
        <v>102</v>
      </c>
      <c r="E1666" s="970">
        <v>1</v>
      </c>
      <c r="F1666" s="970">
        <f>G1659</f>
        <v>704.48</v>
      </c>
      <c r="G1666" s="969">
        <f>ROUND(E1666*F1666/1,2)</f>
        <v>704.48</v>
      </c>
      <c r="H1666" s="964" t="s">
        <v>2299</v>
      </c>
    </row>
    <row r="1667" spans="1:8" hidden="1">
      <c r="A1667" s="896"/>
      <c r="B1667" s="966"/>
      <c r="C1667" s="1382" t="s">
        <v>1206</v>
      </c>
      <c r="D1667" s="967" t="s">
        <v>35</v>
      </c>
      <c r="E1667" s="970">
        <v>0.04</v>
      </c>
      <c r="F1667" s="970">
        <f>'lead 20-21'!L12</f>
        <v>1546.600000000001</v>
      </c>
      <c r="G1667" s="969">
        <f>-ROUND(E1667*F1667,2)</f>
        <v>-61.86</v>
      </c>
      <c r="H1667" s="964" t="s">
        <v>2299</v>
      </c>
    </row>
    <row r="1668" spans="1:8" hidden="1">
      <c r="A1668" s="896"/>
      <c r="B1668" s="966"/>
      <c r="C1668" s="1382" t="s">
        <v>1207</v>
      </c>
      <c r="D1668" s="967" t="s">
        <v>35</v>
      </c>
      <c r="E1668" s="970">
        <v>0.12</v>
      </c>
      <c r="F1668" s="970">
        <f>F1667</f>
        <v>1546.600000000001</v>
      </c>
      <c r="G1668" s="969">
        <f>ROUND(E1668*F1668,2)</f>
        <v>185.59</v>
      </c>
      <c r="H1668" s="964" t="s">
        <v>2299</v>
      </c>
    </row>
    <row r="1669" spans="1:8" hidden="1">
      <c r="A1669" s="967"/>
      <c r="B1669" s="967"/>
      <c r="C1669" s="962" t="s">
        <v>68</v>
      </c>
      <c r="D1669" s="967"/>
      <c r="E1669" s="970"/>
      <c r="F1669" s="970"/>
      <c r="G1669" s="969"/>
      <c r="H1669" s="964" t="s">
        <v>2299</v>
      </c>
    </row>
    <row r="1670" spans="1:8" hidden="1">
      <c r="A1670" s="967"/>
      <c r="B1670" s="967"/>
      <c r="C1670" s="1382" t="s">
        <v>64</v>
      </c>
      <c r="D1670" s="967" t="s">
        <v>27</v>
      </c>
      <c r="E1670" s="970">
        <v>0.96</v>
      </c>
      <c r="F1670" s="990">
        <f>'MINI SSR 2020-21'!$H$3</f>
        <v>550</v>
      </c>
      <c r="G1670" s="969">
        <f>ROUND(E1670*F1670,2)</f>
        <v>528</v>
      </c>
      <c r="H1670" s="964" t="s">
        <v>2299</v>
      </c>
    </row>
    <row r="1671" spans="1:8" hidden="1">
      <c r="A1671" s="967"/>
      <c r="B1671" s="967"/>
      <c r="C1671" s="1382" t="s">
        <v>69</v>
      </c>
      <c r="D1671" s="967" t="s">
        <v>27</v>
      </c>
      <c r="E1671" s="970">
        <v>2.2400000000000002</v>
      </c>
      <c r="F1671" s="990">
        <f>'MINI SSR 2020-21'!$H$4</f>
        <v>500</v>
      </c>
      <c r="G1671" s="969">
        <f>ROUND(E1671*F1671,2)</f>
        <v>1120</v>
      </c>
      <c r="H1671" s="964" t="s">
        <v>2299</v>
      </c>
    </row>
    <row r="1672" spans="1:8" hidden="1">
      <c r="A1672" s="967"/>
      <c r="B1672" s="967"/>
      <c r="C1672" s="1382" t="s">
        <v>85</v>
      </c>
      <c r="D1672" s="967" t="s">
        <v>27</v>
      </c>
      <c r="E1672" s="970">
        <v>4.3</v>
      </c>
      <c r="F1672" s="990">
        <f>'MINI SSR 2020-21'!$H$5</f>
        <v>460</v>
      </c>
      <c r="G1672" s="969">
        <f>ROUND(E1672*F1672,2)</f>
        <v>1978</v>
      </c>
      <c r="H1672" s="964" t="s">
        <v>2299</v>
      </c>
    </row>
    <row r="1673" spans="1:8" hidden="1">
      <c r="A1673" s="967"/>
      <c r="B1673" s="967"/>
      <c r="C1673" s="962" t="s">
        <v>88</v>
      </c>
      <c r="D1673" s="967"/>
      <c r="E1673" s="970"/>
      <c r="F1673" s="970"/>
      <c r="G1673" s="969">
        <f>SUM(G1663:G1672)</f>
        <v>9506.7099999999991</v>
      </c>
      <c r="H1673" s="964" t="s">
        <v>2299</v>
      </c>
    </row>
    <row r="1674" spans="1:8" hidden="1">
      <c r="A1674" s="967"/>
      <c r="B1674" s="967"/>
      <c r="C1674" s="962"/>
      <c r="D1674" s="967"/>
      <c r="E1674" s="970" t="s">
        <v>161</v>
      </c>
      <c r="F1674" s="970" t="s">
        <v>162</v>
      </c>
      <c r="G1674" s="922" t="s">
        <v>163</v>
      </c>
      <c r="H1674" s="964" t="s">
        <v>2299</v>
      </c>
    </row>
    <row r="1675" spans="1:8" hidden="1">
      <c r="A1675" s="967"/>
      <c r="B1675" s="967"/>
      <c r="C1675" s="962" t="s">
        <v>1274</v>
      </c>
      <c r="D1675" s="967"/>
      <c r="E1675" s="970">
        <f>G1673</f>
        <v>9506.7099999999991</v>
      </c>
      <c r="F1675" s="970">
        <f>G1673</f>
        <v>9506.7099999999991</v>
      </c>
      <c r="G1675" s="972">
        <f>G1673</f>
        <v>9506.7099999999991</v>
      </c>
      <c r="H1675" s="964" t="s">
        <v>2299</v>
      </c>
    </row>
    <row r="1676" spans="1:8" ht="25.5" hidden="1">
      <c r="A1676" s="967"/>
      <c r="B1676" s="967"/>
      <c r="C1676" s="1382" t="s">
        <v>170</v>
      </c>
      <c r="D1676" s="967"/>
      <c r="E1676" s="967"/>
      <c r="F1676" s="970">
        <f>ROUND((G1671+G1672+G1670)*0.1,2)</f>
        <v>362.6</v>
      </c>
      <c r="G1676" s="972">
        <f>ROUND((G1671+G1672+G1670)*0.2,2)</f>
        <v>725.2</v>
      </c>
      <c r="H1676" s="964" t="s">
        <v>2299</v>
      </c>
    </row>
    <row r="1677" spans="1:8" hidden="1">
      <c r="A1677" s="967"/>
      <c r="B1677" s="967"/>
      <c r="C1677" s="962" t="s">
        <v>194</v>
      </c>
      <c r="D1677" s="967"/>
      <c r="E1677" s="974">
        <f>SUM(E1675:E1676)</f>
        <v>9506.7099999999991</v>
      </c>
      <c r="F1677" s="974">
        <f>SUM(F1675:F1676)</f>
        <v>9869.31</v>
      </c>
      <c r="G1677" s="971">
        <f>SUM(G1675:G1676)</f>
        <v>10231.91</v>
      </c>
      <c r="H1677" s="964" t="s">
        <v>2299</v>
      </c>
    </row>
    <row r="1678" spans="1:8" hidden="1">
      <c r="A1678" s="967"/>
      <c r="B1678" s="967"/>
      <c r="C1678" s="962" t="s">
        <v>181</v>
      </c>
      <c r="D1678" s="967"/>
      <c r="E1678" s="974">
        <f>ROUND(E1677/10,2)</f>
        <v>950.67</v>
      </c>
      <c r="F1678" s="974">
        <f>ROUND(F1677/10,2)</f>
        <v>986.93</v>
      </c>
      <c r="G1678" s="971">
        <f>ROUND(G1677/10,2)</f>
        <v>1023.19</v>
      </c>
      <c r="H1678" s="964" t="s">
        <v>2299</v>
      </c>
    </row>
    <row r="1679" spans="1:8" ht="114.75" hidden="1">
      <c r="A1679" s="896">
        <v>26</v>
      </c>
      <c r="B1679" s="966"/>
      <c r="C1679" s="1382" t="s">
        <v>2246</v>
      </c>
      <c r="D1679" s="967"/>
      <c r="E1679" s="967"/>
      <c r="F1679" s="967"/>
      <c r="G1679" s="966"/>
      <c r="H1679" s="964" t="s">
        <v>2299</v>
      </c>
    </row>
    <row r="1680" spans="1:8" hidden="1">
      <c r="A1680" s="896"/>
      <c r="B1680" s="966"/>
      <c r="C1680" s="962" t="s">
        <v>60</v>
      </c>
      <c r="D1680" s="967"/>
      <c r="E1680" s="967"/>
      <c r="F1680" s="967"/>
      <c r="G1680" s="972"/>
      <c r="H1680" s="964" t="s">
        <v>2299</v>
      </c>
    </row>
    <row r="1681" spans="1:8" hidden="1">
      <c r="A1681" s="896"/>
      <c r="B1681" s="966"/>
      <c r="C1681" s="1382" t="s">
        <v>2247</v>
      </c>
      <c r="D1681" s="967" t="s">
        <v>102</v>
      </c>
      <c r="E1681" s="973">
        <v>1</v>
      </c>
      <c r="F1681" s="970">
        <f>'MINI SSR 2020-21'!H79</f>
        <v>311</v>
      </c>
      <c r="G1681" s="969">
        <f>ROUND(E1681*F1681/1,2)</f>
        <v>311</v>
      </c>
      <c r="H1681" s="964" t="s">
        <v>2299</v>
      </c>
    </row>
    <row r="1682" spans="1:8" hidden="1">
      <c r="A1682" s="896"/>
      <c r="B1682" s="966"/>
      <c r="C1682" s="1382" t="s">
        <v>2248</v>
      </c>
      <c r="D1682" s="967" t="s">
        <v>102</v>
      </c>
      <c r="E1682" s="973">
        <v>1</v>
      </c>
      <c r="F1682" s="970">
        <f>'MINI SSR 2020-21'!H80</f>
        <v>178</v>
      </c>
      <c r="G1682" s="969">
        <f>ROUND(E1682*F1682/1,2)</f>
        <v>178</v>
      </c>
      <c r="H1682" s="964" t="s">
        <v>2299</v>
      </c>
    </row>
    <row r="1683" spans="1:8" hidden="1">
      <c r="A1683" s="967"/>
      <c r="B1683" s="967"/>
      <c r="C1683" s="962" t="s">
        <v>181</v>
      </c>
      <c r="D1683" s="967"/>
      <c r="E1683" s="974"/>
      <c r="F1683" s="974"/>
      <c r="G1683" s="971">
        <f>SUM(G1681:G1682)</f>
        <v>489</v>
      </c>
      <c r="H1683" s="964" t="s">
        <v>2299</v>
      </c>
    </row>
    <row r="1684" spans="1:8" ht="140.25" hidden="1">
      <c r="A1684" s="896">
        <v>28</v>
      </c>
      <c r="B1684" s="966" t="s">
        <v>2249</v>
      </c>
      <c r="C1684" s="1382" t="s">
        <v>2250</v>
      </c>
      <c r="D1684" s="967"/>
      <c r="E1684" s="967"/>
      <c r="F1684" s="967"/>
      <c r="G1684" s="966"/>
      <c r="H1684" s="964" t="s">
        <v>2299</v>
      </c>
    </row>
    <row r="1685" spans="1:8" hidden="1">
      <c r="A1685" s="896"/>
      <c r="B1685" s="966"/>
      <c r="C1685" s="962" t="s">
        <v>42</v>
      </c>
      <c r="D1685" s="967"/>
      <c r="E1685" s="967"/>
      <c r="F1685" s="967"/>
      <c r="G1685" s="972"/>
      <c r="H1685" s="964" t="s">
        <v>2299</v>
      </c>
    </row>
    <row r="1686" spans="1:8" hidden="1">
      <c r="A1686" s="896"/>
      <c r="B1686" s="966"/>
      <c r="C1686" s="962" t="s">
        <v>60</v>
      </c>
      <c r="D1686" s="967"/>
      <c r="E1686" s="967"/>
      <c r="F1686" s="967"/>
      <c r="G1686" s="972"/>
      <c r="H1686" s="964" t="s">
        <v>2299</v>
      </c>
    </row>
    <row r="1687" spans="1:8" hidden="1">
      <c r="A1687" s="896"/>
      <c r="B1687" s="966"/>
      <c r="C1687" s="1382" t="s">
        <v>2251</v>
      </c>
      <c r="D1687" s="967" t="s">
        <v>35</v>
      </c>
      <c r="E1687" s="970">
        <v>0.17</v>
      </c>
      <c r="F1687" s="970">
        <f>F954</f>
        <v>1799.05</v>
      </c>
      <c r="G1687" s="969">
        <f>ROUND(E1687*F1687,2)</f>
        <v>305.83999999999997</v>
      </c>
      <c r="H1687" s="964" t="s">
        <v>2299</v>
      </c>
    </row>
    <row r="1688" spans="1:8" hidden="1">
      <c r="A1688" s="896"/>
      <c r="B1688" s="966"/>
      <c r="C1688" s="1382" t="s">
        <v>847</v>
      </c>
      <c r="D1688" s="967" t="s">
        <v>4</v>
      </c>
      <c r="E1688" s="970">
        <v>120</v>
      </c>
      <c r="F1688" s="970">
        <f>'lead 20-21'!L8</f>
        <v>4700</v>
      </c>
      <c r="G1688" s="969">
        <f>ROUND(E1688*F1688/1000,2)</f>
        <v>564</v>
      </c>
      <c r="H1688" s="964" t="s">
        <v>2299</v>
      </c>
    </row>
    <row r="1689" spans="1:8" hidden="1">
      <c r="A1689" s="896"/>
      <c r="B1689" s="966"/>
      <c r="C1689" s="1382" t="s">
        <v>837</v>
      </c>
      <c r="D1689" s="967" t="s">
        <v>35</v>
      </c>
      <c r="E1689" s="970">
        <v>8.5000000000000006E-2</v>
      </c>
      <c r="F1689" s="970">
        <f>'lead 20-21'!L13</f>
        <v>1451.600000000001</v>
      </c>
      <c r="G1689" s="969">
        <f>ROUND(E1689*F1689,2)</f>
        <v>123.39</v>
      </c>
      <c r="H1689" s="964" t="s">
        <v>2299</v>
      </c>
    </row>
    <row r="1690" spans="1:8" hidden="1">
      <c r="A1690" s="967"/>
      <c r="B1690" s="967"/>
      <c r="C1690" s="962" t="s">
        <v>68</v>
      </c>
      <c r="D1690" s="967"/>
      <c r="E1690" s="970"/>
      <c r="F1690" s="970"/>
      <c r="G1690" s="969"/>
      <c r="H1690" s="964" t="s">
        <v>2299</v>
      </c>
    </row>
    <row r="1691" spans="1:8" hidden="1">
      <c r="A1691" s="967"/>
      <c r="B1691" s="967"/>
      <c r="C1691" s="1382" t="s">
        <v>64</v>
      </c>
      <c r="D1691" s="967" t="s">
        <v>27</v>
      </c>
      <c r="E1691" s="970">
        <v>1.25</v>
      </c>
      <c r="F1691" s="990">
        <f>'MINI SSR 2020-21'!H3</f>
        <v>550</v>
      </c>
      <c r="G1691" s="969">
        <f>ROUND(E1691*F1691,2)</f>
        <v>687.5</v>
      </c>
      <c r="H1691" s="964" t="s">
        <v>2299</v>
      </c>
    </row>
    <row r="1692" spans="1:8" hidden="1">
      <c r="A1692" s="967"/>
      <c r="B1692" s="967"/>
      <c r="C1692" s="1382" t="s">
        <v>69</v>
      </c>
      <c r="D1692" s="967" t="s">
        <v>27</v>
      </c>
      <c r="E1692" s="970">
        <v>0.06</v>
      </c>
      <c r="F1692" s="990">
        <f>'MINI SSR 2020-21'!H4</f>
        <v>500</v>
      </c>
      <c r="G1692" s="969">
        <f>ROUND(E1692*F1692,2)</f>
        <v>30</v>
      </c>
      <c r="H1692" s="964" t="s">
        <v>2299</v>
      </c>
    </row>
    <row r="1693" spans="1:8" hidden="1">
      <c r="A1693" s="967"/>
      <c r="B1693" s="967"/>
      <c r="C1693" s="1382" t="s">
        <v>85</v>
      </c>
      <c r="D1693" s="967" t="s">
        <v>27</v>
      </c>
      <c r="E1693" s="970">
        <v>3</v>
      </c>
      <c r="F1693" s="990">
        <f>'MINI SSR 2020-21'!H5</f>
        <v>460</v>
      </c>
      <c r="G1693" s="969">
        <f>ROUND(E1693*F1693,2)</f>
        <v>1380</v>
      </c>
      <c r="H1693" s="964" t="s">
        <v>2299</v>
      </c>
    </row>
    <row r="1694" spans="1:8" hidden="1">
      <c r="A1694" s="967"/>
      <c r="B1694" s="967"/>
      <c r="C1694" s="962" t="s">
        <v>88</v>
      </c>
      <c r="D1694" s="967"/>
      <c r="E1694" s="967"/>
      <c r="F1694" s="967"/>
      <c r="G1694" s="971">
        <f>SUM(G1687:G1693)</f>
        <v>3090.73</v>
      </c>
      <c r="H1694" s="964" t="s">
        <v>2299</v>
      </c>
    </row>
    <row r="1695" spans="1:8" hidden="1">
      <c r="A1695" s="967"/>
      <c r="B1695" s="967"/>
      <c r="C1695" s="962"/>
      <c r="D1695" s="967"/>
      <c r="E1695" s="966" t="s">
        <v>161</v>
      </c>
      <c r="F1695" s="966" t="s">
        <v>162</v>
      </c>
      <c r="G1695" s="974" t="s">
        <v>163</v>
      </c>
      <c r="H1695" s="964" t="s">
        <v>2299</v>
      </c>
    </row>
    <row r="1696" spans="1:8" hidden="1">
      <c r="A1696" s="967"/>
      <c r="B1696" s="967"/>
      <c r="C1696" s="962" t="s">
        <v>1274</v>
      </c>
      <c r="D1696" s="967"/>
      <c r="E1696" s="970">
        <f>G1694</f>
        <v>3090.73</v>
      </c>
      <c r="F1696" s="970">
        <f>G1694</f>
        <v>3090.73</v>
      </c>
      <c r="G1696" s="972">
        <f>G1694</f>
        <v>3090.73</v>
      </c>
      <c r="H1696" s="964" t="s">
        <v>2299</v>
      </c>
    </row>
    <row r="1697" spans="1:8" ht="25.5" hidden="1">
      <c r="A1697" s="967"/>
      <c r="B1697" s="967"/>
      <c r="C1697" s="1382" t="s">
        <v>170</v>
      </c>
      <c r="D1697" s="967"/>
      <c r="E1697" s="967"/>
      <c r="F1697" s="970">
        <f>ROUND((G1691+G1692+G1693)*0.1,2)</f>
        <v>209.75</v>
      </c>
      <c r="G1697" s="975">
        <f>ROUND((G1691+G1692+G1693)*0.2,2)</f>
        <v>419.5</v>
      </c>
      <c r="H1697" s="964" t="s">
        <v>2299</v>
      </c>
    </row>
    <row r="1698" spans="1:8" hidden="1">
      <c r="A1698" s="967"/>
      <c r="B1698" s="967"/>
      <c r="C1698" s="962" t="s">
        <v>194</v>
      </c>
      <c r="D1698" s="967"/>
      <c r="E1698" s="974">
        <f>SUM(E1696:E1697)</f>
        <v>3090.73</v>
      </c>
      <c r="F1698" s="974">
        <f>SUM(F1696:F1697)</f>
        <v>3300.48</v>
      </c>
      <c r="G1698" s="971">
        <f>SUM(G1696:G1697)</f>
        <v>3510.23</v>
      </c>
      <c r="H1698" s="964" t="s">
        <v>2299</v>
      </c>
    </row>
    <row r="1699" spans="1:8" hidden="1">
      <c r="A1699" s="967"/>
      <c r="B1699" s="967"/>
      <c r="C1699" s="962" t="s">
        <v>181</v>
      </c>
      <c r="D1699" s="967"/>
      <c r="E1699" s="974">
        <f>ROUND(E1698/10,2)</f>
        <v>309.07</v>
      </c>
      <c r="F1699" s="974">
        <f>ROUND(F1698/10,2)</f>
        <v>330.05</v>
      </c>
      <c r="G1699" s="971">
        <f>ROUND(G1698/10,2)</f>
        <v>351.02</v>
      </c>
      <c r="H1699" s="964" t="s">
        <v>2299</v>
      </c>
    </row>
    <row r="1700" spans="1:8" ht="102" hidden="1">
      <c r="A1700" s="896">
        <v>51</v>
      </c>
      <c r="B1700" s="966" t="s">
        <v>878</v>
      </c>
      <c r="C1700" s="1382" t="s">
        <v>879</v>
      </c>
      <c r="D1700" s="967"/>
      <c r="E1700" s="967"/>
      <c r="F1700" s="967"/>
      <c r="G1700" s="966"/>
      <c r="H1700" s="964" t="s">
        <v>2299</v>
      </c>
    </row>
    <row r="1701" spans="1:8" hidden="1">
      <c r="A1701" s="896"/>
      <c r="B1701" s="966"/>
      <c r="C1701" s="962" t="s">
        <v>42</v>
      </c>
      <c r="D1701" s="967"/>
      <c r="E1701" s="967"/>
      <c r="F1701" s="967"/>
      <c r="G1701" s="972"/>
      <c r="H1701" s="964" t="s">
        <v>2299</v>
      </c>
    </row>
    <row r="1702" spans="1:8" hidden="1">
      <c r="A1702" s="896"/>
      <c r="B1702" s="966"/>
      <c r="C1702" s="962" t="s">
        <v>60</v>
      </c>
      <c r="D1702" s="967"/>
      <c r="E1702" s="967"/>
      <c r="F1702" s="967"/>
      <c r="G1702" s="972"/>
      <c r="H1702" s="964" t="s">
        <v>2299</v>
      </c>
    </row>
    <row r="1703" spans="1:8" hidden="1">
      <c r="A1703" s="896"/>
      <c r="B1703" s="966"/>
      <c r="C1703" s="1382" t="s">
        <v>1275</v>
      </c>
      <c r="D1703" s="967" t="s">
        <v>1351</v>
      </c>
      <c r="E1703" s="970">
        <v>1.2</v>
      </c>
      <c r="F1703" s="970">
        <f>'MINI SSR 2020-21'!$G$40</f>
        <v>550</v>
      </c>
      <c r="G1703" s="969">
        <f>ROUND(F1703/20*E1703,2)</f>
        <v>33</v>
      </c>
      <c r="H1703" s="964" t="s">
        <v>2299</v>
      </c>
    </row>
    <row r="1704" spans="1:8" hidden="1">
      <c r="A1704" s="967"/>
      <c r="B1704" s="967"/>
      <c r="C1704" s="962" t="s">
        <v>68</v>
      </c>
      <c r="D1704" s="967"/>
      <c r="E1704" s="970"/>
      <c r="F1704" s="970"/>
      <c r="G1704" s="969"/>
      <c r="H1704" s="964" t="s">
        <v>2299</v>
      </c>
    </row>
    <row r="1705" spans="1:8" hidden="1">
      <c r="A1705" s="967"/>
      <c r="B1705" s="967"/>
      <c r="C1705" s="1382" t="s">
        <v>150</v>
      </c>
      <c r="D1705" s="967" t="s">
        <v>27</v>
      </c>
      <c r="E1705" s="970">
        <v>0.11</v>
      </c>
      <c r="F1705" s="970">
        <f>'MINI SSR 2020-21'!$H$8</f>
        <v>615</v>
      </c>
      <c r="G1705" s="969">
        <f>ROUND(E1705*F1705,2)</f>
        <v>67.650000000000006</v>
      </c>
      <c r="H1705" s="964" t="s">
        <v>2299</v>
      </c>
    </row>
    <row r="1706" spans="1:8" hidden="1">
      <c r="A1706" s="967"/>
      <c r="B1706" s="967"/>
      <c r="C1706" s="1382" t="s">
        <v>85</v>
      </c>
      <c r="D1706" s="967" t="s">
        <v>27</v>
      </c>
      <c r="E1706" s="970">
        <v>0.22</v>
      </c>
      <c r="F1706" s="970">
        <f>'MINI SSR 2020-21'!$H$5</f>
        <v>460</v>
      </c>
      <c r="G1706" s="969">
        <f>ROUND(E1706*F1706,2)</f>
        <v>101.2</v>
      </c>
      <c r="H1706" s="964" t="s">
        <v>2299</v>
      </c>
    </row>
    <row r="1707" spans="1:8" hidden="1">
      <c r="A1707" s="967"/>
      <c r="B1707" s="967"/>
      <c r="C1707" s="1382" t="s">
        <v>880</v>
      </c>
      <c r="D1707" s="967"/>
      <c r="E1707" s="970">
        <v>0.05</v>
      </c>
      <c r="F1707" s="970">
        <f>SUM(G1703:G1706)</f>
        <v>201.85000000000002</v>
      </c>
      <c r="G1707" s="969">
        <f>ROUND(E1707*F1707,2)</f>
        <v>10.09</v>
      </c>
      <c r="H1707" s="964" t="s">
        <v>2299</v>
      </c>
    </row>
    <row r="1708" spans="1:8" hidden="1">
      <c r="A1708" s="967"/>
      <c r="B1708" s="967"/>
      <c r="C1708" s="962" t="s">
        <v>88</v>
      </c>
      <c r="D1708" s="967"/>
      <c r="E1708" s="967"/>
      <c r="F1708" s="967"/>
      <c r="G1708" s="971">
        <f>SUM(G1703:G1707)</f>
        <v>211.94000000000003</v>
      </c>
      <c r="H1708" s="964" t="s">
        <v>2299</v>
      </c>
    </row>
    <row r="1709" spans="1:8" hidden="1">
      <c r="A1709" s="967"/>
      <c r="B1709" s="967"/>
      <c r="C1709" s="962"/>
      <c r="D1709" s="967"/>
      <c r="E1709" s="966" t="s">
        <v>161</v>
      </c>
      <c r="F1709" s="966" t="s">
        <v>162</v>
      </c>
      <c r="G1709" s="974" t="s">
        <v>163</v>
      </c>
      <c r="H1709" s="964" t="s">
        <v>2299</v>
      </c>
    </row>
    <row r="1710" spans="1:8" hidden="1">
      <c r="A1710" s="967"/>
      <c r="B1710" s="967"/>
      <c r="C1710" s="962" t="s">
        <v>1276</v>
      </c>
      <c r="D1710" s="967"/>
      <c r="E1710" s="970">
        <f>G1708</f>
        <v>211.94000000000003</v>
      </c>
      <c r="F1710" s="970">
        <f>E1710</f>
        <v>211.94000000000003</v>
      </c>
      <c r="G1710" s="972">
        <f>F1710</f>
        <v>211.94000000000003</v>
      </c>
      <c r="H1710" s="964" t="s">
        <v>2299</v>
      </c>
    </row>
    <row r="1711" spans="1:8" ht="25.5" hidden="1">
      <c r="A1711" s="967"/>
      <c r="B1711" s="967"/>
      <c r="C1711" s="1382" t="s">
        <v>170</v>
      </c>
      <c r="D1711" s="967"/>
      <c r="E1711" s="967"/>
      <c r="F1711" s="970">
        <f>ROUND((G1705+G1706)*0.1,2)</f>
        <v>16.89</v>
      </c>
      <c r="G1711" s="972">
        <f>ROUND((G1705+G1706)*0.1,2)</f>
        <v>16.89</v>
      </c>
      <c r="H1711" s="964" t="s">
        <v>2299</v>
      </c>
    </row>
    <row r="1712" spans="1:8" hidden="1">
      <c r="A1712" s="967"/>
      <c r="B1712" s="967"/>
      <c r="C1712" s="962" t="s">
        <v>194</v>
      </c>
      <c r="D1712" s="967"/>
      <c r="E1712" s="974">
        <f>SUM(E1710:E1711)</f>
        <v>211.94000000000003</v>
      </c>
      <c r="F1712" s="974">
        <f>SUM(F1710:F1711)</f>
        <v>228.83000000000004</v>
      </c>
      <c r="G1712" s="971">
        <f>SUM(G1710:G1711)</f>
        <v>228.83000000000004</v>
      </c>
      <c r="H1712" s="964" t="s">
        <v>2299</v>
      </c>
    </row>
    <row r="1713" spans="1:8" hidden="1">
      <c r="A1713" s="967"/>
      <c r="B1713" s="967"/>
      <c r="C1713" s="962" t="s">
        <v>181</v>
      </c>
      <c r="D1713" s="967"/>
      <c r="E1713" s="974">
        <f>ROUND(E1712/10,2)</f>
        <v>21.19</v>
      </c>
      <c r="F1713" s="974">
        <f>ROUND(F1712/10,2)</f>
        <v>22.88</v>
      </c>
      <c r="G1713" s="971">
        <f>ROUND(G1712/10,2)</f>
        <v>22.88</v>
      </c>
      <c r="H1713" s="964" t="s">
        <v>2299</v>
      </c>
    </row>
    <row r="1714" spans="1:8" ht="191.25" hidden="1">
      <c r="A1714" s="896">
        <v>27</v>
      </c>
      <c r="B1714" s="966" t="s">
        <v>1328</v>
      </c>
      <c r="C1714" s="1382" t="s">
        <v>891</v>
      </c>
      <c r="D1714" s="967"/>
      <c r="E1714" s="967"/>
      <c r="F1714" s="967"/>
      <c r="G1714" s="966"/>
      <c r="H1714" s="964" t="s">
        <v>2299</v>
      </c>
    </row>
    <row r="1715" spans="1:8" hidden="1">
      <c r="A1715" s="896"/>
      <c r="B1715" s="966"/>
      <c r="C1715" s="962" t="s">
        <v>42</v>
      </c>
      <c r="D1715" s="967"/>
      <c r="E1715" s="967"/>
      <c r="F1715" s="967"/>
      <c r="G1715" s="972"/>
      <c r="H1715" s="964" t="s">
        <v>2299</v>
      </c>
    </row>
    <row r="1716" spans="1:8" hidden="1">
      <c r="A1716" s="896"/>
      <c r="B1716" s="966"/>
      <c r="C1716" s="962" t="s">
        <v>60</v>
      </c>
      <c r="D1716" s="967"/>
      <c r="E1716" s="967"/>
      <c r="F1716" s="967"/>
      <c r="G1716" s="972"/>
      <c r="H1716" s="964" t="s">
        <v>2299</v>
      </c>
    </row>
    <row r="1717" spans="1:8" hidden="1">
      <c r="A1717" s="896"/>
      <c r="B1717" s="966"/>
      <c r="C1717" s="1382" t="s">
        <v>892</v>
      </c>
      <c r="D1717" s="967" t="s">
        <v>1351</v>
      </c>
      <c r="E1717" s="970">
        <v>23</v>
      </c>
      <c r="F1717" s="970">
        <f>'MINI SSR 2020-21'!$G$40</f>
        <v>550</v>
      </c>
      <c r="G1717" s="969">
        <f>ROUND(F1717/20*E1717,2)</f>
        <v>632.5</v>
      </c>
      <c r="H1717" s="964" t="s">
        <v>2299</v>
      </c>
    </row>
    <row r="1718" spans="1:8" hidden="1">
      <c r="A1718" s="967"/>
      <c r="B1718" s="967"/>
      <c r="C1718" s="962" t="s">
        <v>68</v>
      </c>
      <c r="D1718" s="967"/>
      <c r="E1718" s="970"/>
      <c r="F1718" s="970"/>
      <c r="G1718" s="969"/>
      <c r="H1718" s="964" t="s">
        <v>2299</v>
      </c>
    </row>
    <row r="1719" spans="1:8" hidden="1">
      <c r="A1719" s="967"/>
      <c r="B1719" s="967"/>
      <c r="C1719" s="1382" t="s">
        <v>94</v>
      </c>
      <c r="D1719" s="967" t="s">
        <v>27</v>
      </c>
      <c r="E1719" s="973">
        <v>0.27300000000000002</v>
      </c>
      <c r="F1719" s="970">
        <f>'MINI SSR 2020-21'!$H$8</f>
        <v>615</v>
      </c>
      <c r="G1719" s="969">
        <f>ROUND(E1719*F1719,2)</f>
        <v>167.9</v>
      </c>
      <c r="H1719" s="964" t="s">
        <v>2299</v>
      </c>
    </row>
    <row r="1720" spans="1:8" hidden="1">
      <c r="A1720" s="967"/>
      <c r="B1720" s="967"/>
      <c r="C1720" s="1382" t="s">
        <v>874</v>
      </c>
      <c r="D1720" s="967" t="s">
        <v>27</v>
      </c>
      <c r="E1720" s="973">
        <v>0.63700000000000001</v>
      </c>
      <c r="F1720" s="970">
        <f>'MINI SSR 2020-21'!$H$9</f>
        <v>500</v>
      </c>
      <c r="G1720" s="969">
        <f>ROUND(E1720*F1720,2)</f>
        <v>318.5</v>
      </c>
      <c r="H1720" s="964" t="s">
        <v>2299</v>
      </c>
    </row>
    <row r="1721" spans="1:8" hidden="1">
      <c r="A1721" s="967"/>
      <c r="B1721" s="967"/>
      <c r="C1721" s="1382" t="s">
        <v>85</v>
      </c>
      <c r="D1721" s="967" t="s">
        <v>27</v>
      </c>
      <c r="E1721" s="973">
        <v>0.91</v>
      </c>
      <c r="F1721" s="970">
        <f>'MINI SSR 2020-21'!$H$5</f>
        <v>460</v>
      </c>
      <c r="G1721" s="969">
        <f>ROUND(E1721*F1721,2)</f>
        <v>418.6</v>
      </c>
      <c r="H1721" s="964" t="s">
        <v>2299</v>
      </c>
    </row>
    <row r="1722" spans="1:8" hidden="1">
      <c r="A1722" s="967"/>
      <c r="B1722" s="967"/>
      <c r="C1722" s="1382" t="s">
        <v>893</v>
      </c>
      <c r="D1722" s="967"/>
      <c r="E1722" s="970">
        <v>0.01</v>
      </c>
      <c r="F1722" s="970">
        <f>SUM(G1717:G1721)</f>
        <v>1537.5</v>
      </c>
      <c r="G1722" s="969">
        <f>ROUND(E1722*F1722,2)</f>
        <v>15.38</v>
      </c>
      <c r="H1722" s="964" t="s">
        <v>2299</v>
      </c>
    </row>
    <row r="1723" spans="1:8" hidden="1">
      <c r="A1723" s="967"/>
      <c r="B1723" s="967"/>
      <c r="C1723" s="962" t="s">
        <v>88</v>
      </c>
      <c r="D1723" s="967"/>
      <c r="E1723" s="967"/>
      <c r="F1723" s="967"/>
      <c r="G1723" s="971">
        <f>SUM(G1717:G1722)</f>
        <v>1552.88</v>
      </c>
      <c r="H1723" s="964" t="s">
        <v>2299</v>
      </c>
    </row>
    <row r="1724" spans="1:8" hidden="1">
      <c r="A1724" s="967"/>
      <c r="B1724" s="967"/>
      <c r="C1724" s="962"/>
      <c r="D1724" s="967"/>
      <c r="E1724" s="966" t="s">
        <v>161</v>
      </c>
      <c r="F1724" s="966" t="s">
        <v>162</v>
      </c>
      <c r="G1724" s="974" t="s">
        <v>163</v>
      </c>
      <c r="H1724" s="964" t="s">
        <v>2299</v>
      </c>
    </row>
    <row r="1725" spans="1:8" hidden="1">
      <c r="A1725" s="967"/>
      <c r="B1725" s="967"/>
      <c r="C1725" s="962" t="s">
        <v>1276</v>
      </c>
      <c r="D1725" s="967"/>
      <c r="E1725" s="970">
        <f>G1723</f>
        <v>1552.88</v>
      </c>
      <c r="F1725" s="970">
        <f>E1725</f>
        <v>1552.88</v>
      </c>
      <c r="G1725" s="972">
        <f>F1725</f>
        <v>1552.88</v>
      </c>
      <c r="H1725" s="964" t="s">
        <v>2299</v>
      </c>
    </row>
    <row r="1726" spans="1:8" ht="25.5" hidden="1">
      <c r="A1726" s="967"/>
      <c r="B1726" s="967"/>
      <c r="C1726" s="1382" t="s">
        <v>170</v>
      </c>
      <c r="D1726" s="967"/>
      <c r="E1726" s="967"/>
      <c r="F1726" s="970">
        <f>ROUND((G1719+G1720+G1721)*0.1,2)</f>
        <v>90.5</v>
      </c>
      <c r="G1726" s="975">
        <f>ROUND(F1726*2,2)</f>
        <v>181</v>
      </c>
      <c r="H1726" s="964" t="s">
        <v>2299</v>
      </c>
    </row>
    <row r="1727" spans="1:8" hidden="1">
      <c r="A1727" s="967"/>
      <c r="B1727" s="967"/>
      <c r="C1727" s="962" t="s">
        <v>194</v>
      </c>
      <c r="D1727" s="967"/>
      <c r="E1727" s="974">
        <f>SUM(E1725:E1726)</f>
        <v>1552.88</v>
      </c>
      <c r="F1727" s="974">
        <f>SUM(F1725:F1726)</f>
        <v>1643.38</v>
      </c>
      <c r="G1727" s="971">
        <f>SUM(G1725:G1726)</f>
        <v>1733.88</v>
      </c>
      <c r="H1727" s="964" t="s">
        <v>2299</v>
      </c>
    </row>
    <row r="1728" spans="1:8" hidden="1">
      <c r="A1728" s="967"/>
      <c r="B1728" s="967"/>
      <c r="C1728" s="962" t="s">
        <v>181</v>
      </c>
      <c r="D1728" s="967"/>
      <c r="E1728" s="974">
        <f>ROUND(E1727/10,2)</f>
        <v>155.29</v>
      </c>
      <c r="F1728" s="974">
        <f>ROUND(F1727/10,2)</f>
        <v>164.34</v>
      </c>
      <c r="G1728" s="971">
        <f>ROUND(G1727/10,2)</f>
        <v>173.39</v>
      </c>
      <c r="H1728" s="964" t="s">
        <v>2299</v>
      </c>
    </row>
    <row r="1729" spans="1:8" s="996" customFormat="1" ht="25.5" hidden="1">
      <c r="A1729" s="966">
        <v>28</v>
      </c>
      <c r="B1729" s="994" t="s">
        <v>1352</v>
      </c>
      <c r="C1729" s="1382" t="s">
        <v>1353</v>
      </c>
      <c r="D1729" s="967"/>
      <c r="E1729" s="967"/>
      <c r="F1729" s="995"/>
      <c r="G1729" s="995"/>
      <c r="H1729" s="964" t="s">
        <v>2299</v>
      </c>
    </row>
    <row r="1730" spans="1:8" hidden="1">
      <c r="A1730" s="967"/>
      <c r="B1730" s="966"/>
      <c r="C1730" s="1382" t="s">
        <v>1354</v>
      </c>
      <c r="D1730" s="990"/>
      <c r="E1730" s="990"/>
      <c r="F1730" s="990"/>
      <c r="G1730" s="989"/>
      <c r="H1730" s="964" t="s">
        <v>2299</v>
      </c>
    </row>
    <row r="1731" spans="1:8" hidden="1">
      <c r="A1731" s="967"/>
      <c r="B1731" s="966"/>
      <c r="C1731" s="1382" t="s">
        <v>1355</v>
      </c>
      <c r="D1731" s="990"/>
      <c r="E1731" s="990"/>
      <c r="F1731" s="990"/>
      <c r="G1731" s="989"/>
      <c r="H1731" s="964" t="s">
        <v>2299</v>
      </c>
    </row>
    <row r="1732" spans="1:8" hidden="1">
      <c r="A1732" s="967"/>
      <c r="B1732" s="966"/>
      <c r="C1732" s="1382" t="s">
        <v>3141</v>
      </c>
      <c r="D1732" s="990" t="s">
        <v>90</v>
      </c>
      <c r="E1732" s="990">
        <v>1</v>
      </c>
      <c r="F1732" s="990">
        <f>'MINI SSR 2020-21'!G41</f>
        <v>141</v>
      </c>
      <c r="G1732" s="989">
        <f>ROUND(E1732*F1732,2)</f>
        <v>141</v>
      </c>
      <c r="H1732" s="964" t="s">
        <v>2299</v>
      </c>
    </row>
    <row r="1733" spans="1:8" hidden="1">
      <c r="A1733" s="967"/>
      <c r="B1733" s="966"/>
      <c r="C1733" s="1382" t="s">
        <v>1356</v>
      </c>
      <c r="D1733" s="990"/>
      <c r="E1733" s="990"/>
      <c r="F1733" s="990"/>
      <c r="G1733" s="989"/>
      <c r="H1733" s="964" t="s">
        <v>2299</v>
      </c>
    </row>
    <row r="1734" spans="1:8" hidden="1">
      <c r="A1734" s="967"/>
      <c r="B1734" s="966"/>
      <c r="C1734" s="1382" t="s">
        <v>94</v>
      </c>
      <c r="D1734" s="990" t="s">
        <v>27</v>
      </c>
      <c r="E1734" s="990">
        <v>0.21</v>
      </c>
      <c r="F1734" s="970">
        <f>'MINI SSR 2020-21'!$H$8</f>
        <v>615</v>
      </c>
      <c r="G1734" s="989">
        <f>ROUND(E1734*F1734,2)</f>
        <v>129.15</v>
      </c>
      <c r="H1734" s="964" t="s">
        <v>2299</v>
      </c>
    </row>
    <row r="1735" spans="1:8" hidden="1">
      <c r="A1735" s="967"/>
      <c r="B1735" s="966"/>
      <c r="C1735" s="1382" t="s">
        <v>874</v>
      </c>
      <c r="D1735" s="990" t="s">
        <v>27</v>
      </c>
      <c r="E1735" s="990">
        <v>0.49</v>
      </c>
      <c r="F1735" s="970">
        <f>'MINI SSR 2020-21'!$H$9</f>
        <v>500</v>
      </c>
      <c r="G1735" s="989">
        <f>ROUND(E1735*F1735,2)</f>
        <v>245</v>
      </c>
      <c r="H1735" s="964" t="s">
        <v>2299</v>
      </c>
    </row>
    <row r="1736" spans="1:8" hidden="1">
      <c r="A1736" s="967"/>
      <c r="B1736" s="966"/>
      <c r="C1736" s="1382" t="s">
        <v>875</v>
      </c>
      <c r="D1736" s="990"/>
      <c r="E1736" s="997">
        <v>5.0000000000000001E-3</v>
      </c>
      <c r="F1736" s="990">
        <f>SUM(G1732:G1735)</f>
        <v>515.15</v>
      </c>
      <c r="G1736" s="989">
        <f>ROUND(E1736*F1736,2)</f>
        <v>2.58</v>
      </c>
      <c r="H1736" s="964" t="s">
        <v>2299</v>
      </c>
    </row>
    <row r="1737" spans="1:8" hidden="1">
      <c r="A1737" s="967"/>
      <c r="B1737" s="966"/>
      <c r="C1737" s="1382" t="s">
        <v>1357</v>
      </c>
      <c r="D1737" s="990"/>
      <c r="E1737" s="990"/>
      <c r="F1737" s="990"/>
      <c r="G1737" s="989">
        <f>SUM(G1732:G1736)</f>
        <v>517.73</v>
      </c>
      <c r="H1737" s="964" t="s">
        <v>2299</v>
      </c>
    </row>
    <row r="1738" spans="1:8" s="999" customFormat="1" hidden="1">
      <c r="A1738" s="994"/>
      <c r="B1738" s="994"/>
      <c r="C1738" s="962" t="s">
        <v>869</v>
      </c>
      <c r="D1738" s="991"/>
      <c r="E1738" s="991"/>
      <c r="F1738" s="991"/>
      <c r="G1738" s="998">
        <f>ROUND(SUM(G1737:G1737),2)</f>
        <v>517.73</v>
      </c>
      <c r="H1738" s="964" t="s">
        <v>2299</v>
      </c>
    </row>
    <row r="1739" spans="1:8" s="996" customFormat="1" ht="25.5" hidden="1">
      <c r="A1739" s="966">
        <v>29</v>
      </c>
      <c r="B1739" s="966" t="s">
        <v>1352</v>
      </c>
      <c r="C1739" s="1382" t="s">
        <v>1358</v>
      </c>
      <c r="D1739" s="967"/>
      <c r="E1739" s="967"/>
      <c r="F1739" s="995"/>
      <c r="G1739" s="995"/>
      <c r="H1739" s="964" t="s">
        <v>2299</v>
      </c>
    </row>
    <row r="1740" spans="1:8" hidden="1">
      <c r="A1740" s="967"/>
      <c r="B1740" s="966"/>
      <c r="C1740" s="1382" t="s">
        <v>1354</v>
      </c>
      <c r="D1740" s="990"/>
      <c r="E1740" s="990"/>
      <c r="F1740" s="990"/>
      <c r="G1740" s="989"/>
      <c r="H1740" s="964" t="s">
        <v>2299</v>
      </c>
    </row>
    <row r="1741" spans="1:8" hidden="1">
      <c r="A1741" s="967"/>
      <c r="B1741" s="966"/>
      <c r="C1741" s="1382" t="s">
        <v>1355</v>
      </c>
      <c r="D1741" s="990"/>
      <c r="E1741" s="990"/>
      <c r="F1741" s="990"/>
      <c r="G1741" s="989"/>
      <c r="H1741" s="964" t="s">
        <v>2299</v>
      </c>
    </row>
    <row r="1742" spans="1:8" hidden="1">
      <c r="A1742" s="967"/>
      <c r="B1742" s="966"/>
      <c r="C1742" s="1382" t="s">
        <v>3142</v>
      </c>
      <c r="D1742" s="990" t="s">
        <v>90</v>
      </c>
      <c r="E1742" s="990">
        <v>1</v>
      </c>
      <c r="F1742" s="990">
        <f>'MINI SSR 2020-21'!G42</f>
        <v>180</v>
      </c>
      <c r="G1742" s="989">
        <f>ROUND(E1742*F1742,2)</f>
        <v>180</v>
      </c>
      <c r="H1742" s="964" t="s">
        <v>2299</v>
      </c>
    </row>
    <row r="1743" spans="1:8" hidden="1">
      <c r="A1743" s="967"/>
      <c r="B1743" s="966"/>
      <c r="C1743" s="1382" t="s">
        <v>1356</v>
      </c>
      <c r="D1743" s="990"/>
      <c r="E1743" s="990"/>
      <c r="F1743" s="990"/>
      <c r="G1743" s="989"/>
      <c r="H1743" s="964" t="s">
        <v>2299</v>
      </c>
    </row>
    <row r="1744" spans="1:8" hidden="1">
      <c r="A1744" s="967"/>
      <c r="B1744" s="966"/>
      <c r="C1744" s="1382" t="s">
        <v>94</v>
      </c>
      <c r="D1744" s="990" t="s">
        <v>27</v>
      </c>
      <c r="E1744" s="990">
        <v>0.21</v>
      </c>
      <c r="F1744" s="970">
        <f>'MINI SSR 2020-21'!$H$8</f>
        <v>615</v>
      </c>
      <c r="G1744" s="989">
        <f>ROUND(E1744*F1744,2)</f>
        <v>129.15</v>
      </c>
      <c r="H1744" s="964" t="s">
        <v>2299</v>
      </c>
    </row>
    <row r="1745" spans="1:8" hidden="1">
      <c r="A1745" s="967"/>
      <c r="B1745" s="966"/>
      <c r="C1745" s="1382" t="s">
        <v>874</v>
      </c>
      <c r="D1745" s="990" t="s">
        <v>27</v>
      </c>
      <c r="E1745" s="990">
        <v>0.49</v>
      </c>
      <c r="F1745" s="970">
        <f>'MINI SSR 2020-21'!$H$9</f>
        <v>500</v>
      </c>
      <c r="G1745" s="989">
        <f>ROUND(E1745*F1745,2)</f>
        <v>245</v>
      </c>
      <c r="H1745" s="964" t="s">
        <v>2299</v>
      </c>
    </row>
    <row r="1746" spans="1:8" hidden="1">
      <c r="A1746" s="967"/>
      <c r="B1746" s="966"/>
      <c r="C1746" s="1382" t="s">
        <v>875</v>
      </c>
      <c r="D1746" s="990"/>
      <c r="E1746" s="997">
        <v>5.0000000000000001E-3</v>
      </c>
      <c r="F1746" s="990">
        <f>SUM(G1742:G1745)</f>
        <v>554.15</v>
      </c>
      <c r="G1746" s="989">
        <f>ROUND(E1746*F1746,2)</f>
        <v>2.77</v>
      </c>
      <c r="H1746" s="964" t="s">
        <v>2299</v>
      </c>
    </row>
    <row r="1747" spans="1:8" hidden="1">
      <c r="A1747" s="967"/>
      <c r="B1747" s="966"/>
      <c r="C1747" s="1382" t="s">
        <v>1357</v>
      </c>
      <c r="D1747" s="990"/>
      <c r="E1747" s="990"/>
      <c r="F1747" s="990"/>
      <c r="G1747" s="989">
        <f>SUM(G1742:G1746)</f>
        <v>556.91999999999996</v>
      </c>
      <c r="H1747" s="964" t="s">
        <v>2299</v>
      </c>
    </row>
    <row r="1748" spans="1:8" s="999" customFormat="1" hidden="1">
      <c r="A1748" s="994"/>
      <c r="B1748" s="994"/>
      <c r="C1748" s="962" t="s">
        <v>869</v>
      </c>
      <c r="D1748" s="991"/>
      <c r="E1748" s="991"/>
      <c r="F1748" s="991"/>
      <c r="G1748" s="998">
        <f>ROUND(SUM(G1747:G1747),2)</f>
        <v>556.91999999999996</v>
      </c>
      <c r="H1748" s="964" t="s">
        <v>2299</v>
      </c>
    </row>
    <row r="1749" spans="1:8" s="996" customFormat="1" ht="140.25" hidden="1">
      <c r="A1749" s="966"/>
      <c r="B1749" s="966" t="s">
        <v>1328</v>
      </c>
      <c r="C1749" s="1382" t="s">
        <v>1167</v>
      </c>
      <c r="D1749" s="967"/>
      <c r="E1749" s="967"/>
      <c r="F1749" s="995"/>
      <c r="G1749" s="995"/>
      <c r="H1749" s="964" t="s">
        <v>2299</v>
      </c>
    </row>
    <row r="1750" spans="1:8" hidden="1">
      <c r="A1750" s="967"/>
      <c r="B1750" s="966"/>
      <c r="C1750" s="962" t="s">
        <v>1359</v>
      </c>
      <c r="D1750" s="990"/>
      <c r="E1750" s="990"/>
      <c r="F1750" s="990"/>
      <c r="G1750" s="989"/>
      <c r="H1750" s="964" t="s">
        <v>2299</v>
      </c>
    </row>
    <row r="1751" spans="1:8" hidden="1">
      <c r="A1751" s="967"/>
      <c r="B1751" s="966"/>
      <c r="C1751" s="1382" t="s">
        <v>1369</v>
      </c>
      <c r="D1751" s="990" t="s">
        <v>1360</v>
      </c>
      <c r="E1751" s="990">
        <v>1</v>
      </c>
      <c r="F1751" s="990">
        <f>G1738</f>
        <v>517.73</v>
      </c>
      <c r="G1751" s="989">
        <f>ROUND(E1751*F1751,2)</f>
        <v>517.73</v>
      </c>
      <c r="H1751" s="964" t="s">
        <v>2299</v>
      </c>
    </row>
    <row r="1752" spans="1:8" hidden="1">
      <c r="A1752" s="967"/>
      <c r="B1752" s="966"/>
      <c r="C1752" s="1382"/>
      <c r="D1752" s="990"/>
      <c r="E1752" s="990"/>
      <c r="F1752" s="990"/>
      <c r="G1752" s="989"/>
      <c r="H1752" s="964" t="s">
        <v>2299</v>
      </c>
    </row>
    <row r="1753" spans="1:8" hidden="1">
      <c r="A1753" s="967"/>
      <c r="B1753" s="966"/>
      <c r="C1753" s="1000" t="s">
        <v>1361</v>
      </c>
      <c r="D1753" s="990"/>
      <c r="E1753" s="990"/>
      <c r="F1753" s="990"/>
      <c r="G1753" s="989"/>
      <c r="H1753" s="964" t="s">
        <v>2299</v>
      </c>
    </row>
    <row r="1754" spans="1:8" hidden="1">
      <c r="A1754" s="967">
        <v>30</v>
      </c>
      <c r="B1754" s="966"/>
      <c r="C1754" s="1382" t="s">
        <v>1370</v>
      </c>
      <c r="D1754" s="896" t="s">
        <v>291</v>
      </c>
      <c r="E1754" s="922">
        <v>0.8</v>
      </c>
      <c r="F1754" s="990">
        <f>'MINI SSR 2020-21'!G43</f>
        <v>168</v>
      </c>
      <c r="G1754" s="989">
        <f>ROUND(E1754*F1754,2)</f>
        <v>134.4</v>
      </c>
      <c r="H1754" s="964" t="s">
        <v>2299</v>
      </c>
    </row>
    <row r="1755" spans="1:8" hidden="1">
      <c r="A1755" s="967"/>
      <c r="B1755" s="966"/>
      <c r="C1755" s="1000" t="s">
        <v>1363</v>
      </c>
      <c r="D1755" s="896"/>
      <c r="E1755" s="922"/>
      <c r="F1755" s="990"/>
      <c r="G1755" s="989"/>
      <c r="H1755" s="964" t="s">
        <v>2299</v>
      </c>
    </row>
    <row r="1756" spans="1:8" hidden="1">
      <c r="A1756" s="967"/>
      <c r="B1756" s="966"/>
      <c r="C1756" s="1382" t="s">
        <v>1364</v>
      </c>
      <c r="D1756" s="896" t="s">
        <v>27</v>
      </c>
      <c r="E1756" s="970">
        <v>0.36</v>
      </c>
      <c r="F1756" s="970">
        <f>'MINI SSR 2020-21'!$H$8</f>
        <v>615</v>
      </c>
      <c r="G1756" s="989">
        <f>ROUND(E1756*F1756,2)</f>
        <v>221.4</v>
      </c>
      <c r="H1756" s="964" t="s">
        <v>2299</v>
      </c>
    </row>
    <row r="1757" spans="1:8" hidden="1">
      <c r="A1757" s="967"/>
      <c r="B1757" s="966"/>
      <c r="C1757" s="1382" t="s">
        <v>1365</v>
      </c>
      <c r="D1757" s="896" t="s">
        <v>27</v>
      </c>
      <c r="E1757" s="970">
        <v>0.84</v>
      </c>
      <c r="F1757" s="970">
        <f>'MINI SSR 2020-21'!$H$9</f>
        <v>500</v>
      </c>
      <c r="G1757" s="989">
        <f>ROUND(E1757*F1757,2)</f>
        <v>420</v>
      </c>
      <c r="H1757" s="964" t="s">
        <v>2299</v>
      </c>
    </row>
    <row r="1758" spans="1:8" hidden="1">
      <c r="A1758" s="967"/>
      <c r="B1758" s="966"/>
      <c r="C1758" s="1382" t="s">
        <v>0</v>
      </c>
      <c r="D1758" s="990"/>
      <c r="E1758" s="990"/>
      <c r="F1758" s="990"/>
      <c r="G1758" s="989">
        <f>SUM(G1751:G1757)</f>
        <v>1293.53</v>
      </c>
      <c r="H1758" s="964" t="s">
        <v>2299</v>
      </c>
    </row>
    <row r="1759" spans="1:8" hidden="1">
      <c r="A1759" s="967"/>
      <c r="B1759" s="966"/>
      <c r="C1759" s="1382"/>
      <c r="D1759" s="990"/>
      <c r="E1759" s="991" t="s">
        <v>161</v>
      </c>
      <c r="F1759" s="991" t="s">
        <v>162</v>
      </c>
      <c r="G1759" s="991" t="s">
        <v>163</v>
      </c>
      <c r="H1759" s="964" t="s">
        <v>2299</v>
      </c>
    </row>
    <row r="1760" spans="1:8" hidden="1">
      <c r="A1760" s="967"/>
      <c r="B1760" s="966"/>
      <c r="C1760" s="1382" t="s">
        <v>867</v>
      </c>
      <c r="D1760" s="990"/>
      <c r="E1760" s="990">
        <f>G1758</f>
        <v>1293.53</v>
      </c>
      <c r="F1760" s="1001">
        <f>G1758</f>
        <v>1293.53</v>
      </c>
      <c r="G1760" s="1001">
        <f>G1758</f>
        <v>1293.53</v>
      </c>
      <c r="H1760" s="964" t="s">
        <v>2299</v>
      </c>
    </row>
    <row r="1761" spans="1:8" hidden="1">
      <c r="A1761" s="967"/>
      <c r="B1761" s="966"/>
      <c r="C1761" s="1382" t="s">
        <v>1366</v>
      </c>
      <c r="D1761" s="990"/>
      <c r="E1761" s="990"/>
      <c r="F1761" s="989">
        <f>SUM(G1734+G1735+G1756+G1757)*10%</f>
        <v>101.55500000000001</v>
      </c>
      <c r="G1761" s="989">
        <f>SUM(G1734+G1735+G1756+G1757)*20%</f>
        <v>203.11</v>
      </c>
      <c r="H1761" s="964" t="s">
        <v>2299</v>
      </c>
    </row>
    <row r="1762" spans="1:8" s="999" customFormat="1" hidden="1">
      <c r="A1762" s="994"/>
      <c r="B1762" s="994"/>
      <c r="C1762" s="962" t="s">
        <v>869</v>
      </c>
      <c r="D1762" s="991"/>
      <c r="E1762" s="991">
        <f>SUM(E1760:E1761)</f>
        <v>1293.53</v>
      </c>
      <c r="F1762" s="998">
        <f>SUM(F1760:F1761)</f>
        <v>1395.085</v>
      </c>
      <c r="G1762" s="998">
        <f>SUM(G1760:G1761)</f>
        <v>1496.6399999999999</v>
      </c>
      <c r="H1762" s="964" t="s">
        <v>2299</v>
      </c>
    </row>
    <row r="1763" spans="1:8" s="999" customFormat="1" hidden="1">
      <c r="A1763" s="994"/>
      <c r="B1763" s="994"/>
      <c r="C1763" s="962" t="s">
        <v>1367</v>
      </c>
      <c r="D1763" s="991"/>
      <c r="E1763" s="991">
        <f>ROUND(E1762/10,2)</f>
        <v>129.35</v>
      </c>
      <c r="F1763" s="998">
        <f>ROUND(F1762/10,2)</f>
        <v>139.51</v>
      </c>
      <c r="G1763" s="998">
        <f>ROUND(G1762/10,2)</f>
        <v>149.66</v>
      </c>
      <c r="H1763" s="964" t="s">
        <v>2299</v>
      </c>
    </row>
    <row r="1764" spans="1:8" s="996" customFormat="1" ht="140.25" hidden="1">
      <c r="A1764" s="966">
        <v>31</v>
      </c>
      <c r="B1764" s="966" t="s">
        <v>1328</v>
      </c>
      <c r="C1764" s="1382" t="s">
        <v>1368</v>
      </c>
      <c r="D1764" s="967"/>
      <c r="E1764" s="967"/>
      <c r="F1764" s="995"/>
      <c r="G1764" s="995"/>
      <c r="H1764" s="964" t="s">
        <v>2299</v>
      </c>
    </row>
    <row r="1765" spans="1:8" hidden="1">
      <c r="A1765" s="967"/>
      <c r="B1765" s="966"/>
      <c r="C1765" s="1382" t="s">
        <v>1369</v>
      </c>
      <c r="D1765" s="990" t="s">
        <v>1360</v>
      </c>
      <c r="E1765" s="990">
        <v>1</v>
      </c>
      <c r="F1765" s="990">
        <f>G1748</f>
        <v>556.91999999999996</v>
      </c>
      <c r="G1765" s="989">
        <f>ROUND(E1765*F1765,2)</f>
        <v>556.91999999999996</v>
      </c>
      <c r="H1765" s="964" t="s">
        <v>2299</v>
      </c>
    </row>
    <row r="1766" spans="1:8" hidden="1">
      <c r="A1766" s="967"/>
      <c r="B1766" s="966"/>
      <c r="C1766" s="1000" t="s">
        <v>1361</v>
      </c>
      <c r="D1766" s="990"/>
      <c r="E1766" s="990"/>
      <c r="F1766" s="990"/>
      <c r="G1766" s="989"/>
      <c r="H1766" s="964" t="s">
        <v>2299</v>
      </c>
    </row>
    <row r="1767" spans="1:8" ht="25.5" hidden="1">
      <c r="A1767" s="967"/>
      <c r="B1767" s="966"/>
      <c r="C1767" s="1382" t="s">
        <v>1362</v>
      </c>
      <c r="D1767" s="896" t="s">
        <v>291</v>
      </c>
      <c r="E1767" s="922">
        <v>0.8</v>
      </c>
      <c r="F1767" s="990">
        <f>'MINI SSR 2020-21'!G44</f>
        <v>194</v>
      </c>
      <c r="G1767" s="989">
        <f>ROUND(E1767*F1767,2)</f>
        <v>155.19999999999999</v>
      </c>
      <c r="H1767" s="964" t="s">
        <v>2299</v>
      </c>
    </row>
    <row r="1768" spans="1:8" hidden="1">
      <c r="A1768" s="967"/>
      <c r="B1768" s="966"/>
      <c r="C1768" s="1000" t="s">
        <v>1363</v>
      </c>
      <c r="D1768" s="896"/>
      <c r="E1768" s="922"/>
      <c r="F1768" s="990"/>
      <c r="G1768" s="989"/>
      <c r="H1768" s="964" t="s">
        <v>2299</v>
      </c>
    </row>
    <row r="1769" spans="1:8" hidden="1">
      <c r="A1769" s="967"/>
      <c r="B1769" s="966"/>
      <c r="C1769" s="1382" t="s">
        <v>1364</v>
      </c>
      <c r="D1769" s="896" t="s">
        <v>27</v>
      </c>
      <c r="E1769" s="970">
        <v>0.21</v>
      </c>
      <c r="F1769" s="970">
        <f>'MINI SSR 2020-21'!$H$8</f>
        <v>615</v>
      </c>
      <c r="G1769" s="989">
        <f>ROUND(E1769*F1769,2)</f>
        <v>129.15</v>
      </c>
      <c r="H1769" s="964" t="s">
        <v>2299</v>
      </c>
    </row>
    <row r="1770" spans="1:8" hidden="1">
      <c r="A1770" s="967"/>
      <c r="B1770" s="966"/>
      <c r="C1770" s="1382" t="s">
        <v>1365</v>
      </c>
      <c r="D1770" s="896" t="s">
        <v>27</v>
      </c>
      <c r="E1770" s="970">
        <v>0.49</v>
      </c>
      <c r="F1770" s="970">
        <f>'MINI SSR 2020-21'!$H$9</f>
        <v>500</v>
      </c>
      <c r="G1770" s="989">
        <f>ROUND(E1770*F1770,2)</f>
        <v>245</v>
      </c>
      <c r="H1770" s="964" t="s">
        <v>2299</v>
      </c>
    </row>
    <row r="1771" spans="1:8" hidden="1">
      <c r="A1771" s="967"/>
      <c r="B1771" s="966"/>
      <c r="C1771" s="1382" t="s">
        <v>311</v>
      </c>
      <c r="D1771" s="896" t="s">
        <v>27</v>
      </c>
      <c r="E1771" s="970">
        <v>1.5</v>
      </c>
      <c r="F1771" s="970">
        <f>'MINI SSR 2020-21'!$H$5</f>
        <v>460</v>
      </c>
      <c r="G1771" s="989">
        <f>ROUND(E1771*F1771,2)</f>
        <v>690</v>
      </c>
      <c r="H1771" s="964" t="s">
        <v>2299</v>
      </c>
    </row>
    <row r="1772" spans="1:8" hidden="1">
      <c r="A1772" s="967"/>
      <c r="B1772" s="966"/>
      <c r="C1772" s="1382" t="s">
        <v>0</v>
      </c>
      <c r="D1772" s="990"/>
      <c r="E1772" s="990"/>
      <c r="F1772" s="990"/>
      <c r="G1772" s="989">
        <f>SUM(G1765:G1771)</f>
        <v>1776.27</v>
      </c>
      <c r="H1772" s="964" t="s">
        <v>2299</v>
      </c>
    </row>
    <row r="1773" spans="1:8" hidden="1">
      <c r="A1773" s="967"/>
      <c r="B1773" s="966"/>
      <c r="C1773" s="1382"/>
      <c r="D1773" s="990"/>
      <c r="E1773" s="991" t="s">
        <v>161</v>
      </c>
      <c r="F1773" s="991" t="s">
        <v>162</v>
      </c>
      <c r="G1773" s="991" t="s">
        <v>163</v>
      </c>
      <c r="H1773" s="964" t="s">
        <v>2299</v>
      </c>
    </row>
    <row r="1774" spans="1:8" hidden="1">
      <c r="A1774" s="967"/>
      <c r="B1774" s="966"/>
      <c r="C1774" s="1382" t="s">
        <v>867</v>
      </c>
      <c r="D1774" s="990"/>
      <c r="E1774" s="990">
        <f>G1772</f>
        <v>1776.27</v>
      </c>
      <c r="F1774" s="1001">
        <f>G1772</f>
        <v>1776.27</v>
      </c>
      <c r="G1774" s="1001">
        <f>G1772</f>
        <v>1776.27</v>
      </c>
      <c r="H1774" s="964" t="s">
        <v>2299</v>
      </c>
    </row>
    <row r="1775" spans="1:8" hidden="1">
      <c r="A1775" s="967"/>
      <c r="B1775" s="966"/>
      <c r="C1775" s="1382" t="s">
        <v>870</v>
      </c>
      <c r="D1775" s="990"/>
      <c r="E1775" s="990"/>
      <c r="F1775" s="989">
        <f>SUM(G1744+G1745+G1769+G1770+G1771)*10%</f>
        <v>143.83000000000001</v>
      </c>
      <c r="G1775" s="989">
        <f>SUM(G1744+G1745+G1769+G1770+G1771)*20%</f>
        <v>287.66000000000003</v>
      </c>
      <c r="H1775" s="964" t="s">
        <v>2299</v>
      </c>
    </row>
    <row r="1776" spans="1:8" s="999" customFormat="1" hidden="1">
      <c r="A1776" s="994"/>
      <c r="B1776" s="994"/>
      <c r="C1776" s="962" t="s">
        <v>869</v>
      </c>
      <c r="D1776" s="991"/>
      <c r="E1776" s="991">
        <f>SUM(E1774:E1775)</f>
        <v>1776.27</v>
      </c>
      <c r="F1776" s="998">
        <f>SUM(F1774:F1775)</f>
        <v>1920.1</v>
      </c>
      <c r="G1776" s="998">
        <f>SUM(G1774:G1775)</f>
        <v>2063.9299999999998</v>
      </c>
      <c r="H1776" s="964" t="s">
        <v>2299</v>
      </c>
    </row>
    <row r="1777" spans="1:8" s="999" customFormat="1" hidden="1">
      <c r="A1777" s="994"/>
      <c r="B1777" s="994"/>
      <c r="C1777" s="962" t="s">
        <v>1367</v>
      </c>
      <c r="D1777" s="991"/>
      <c r="E1777" s="991">
        <f>ROUND(E1776/10,2)</f>
        <v>177.63</v>
      </c>
      <c r="F1777" s="998">
        <f>ROUND(F1776/10,2)</f>
        <v>192.01</v>
      </c>
      <c r="G1777" s="998">
        <f>ROUND(G1776/10,2)</f>
        <v>206.39</v>
      </c>
      <c r="H1777" s="964" t="s">
        <v>2299</v>
      </c>
    </row>
    <row r="1778" spans="1:8" s="965" customFormat="1" ht="140.25" hidden="1">
      <c r="A1778" s="896">
        <v>58</v>
      </c>
      <c r="B1778" s="966" t="s">
        <v>96</v>
      </c>
      <c r="C1778" s="1382" t="s">
        <v>1307</v>
      </c>
      <c r="D1778" s="967"/>
      <c r="E1778" s="967"/>
      <c r="F1778" s="967"/>
      <c r="G1778" s="966"/>
      <c r="H1778" s="964" t="s">
        <v>2299</v>
      </c>
    </row>
    <row r="1779" spans="1:8" s="965" customFormat="1" hidden="1">
      <c r="A1779" s="896"/>
      <c r="B1779" s="966"/>
      <c r="C1779" s="962" t="s">
        <v>42</v>
      </c>
      <c r="D1779" s="967"/>
      <c r="E1779" s="967"/>
      <c r="F1779" s="967"/>
      <c r="G1779" s="972"/>
      <c r="H1779" s="964" t="s">
        <v>2299</v>
      </c>
    </row>
    <row r="1780" spans="1:8" s="965" customFormat="1" hidden="1">
      <c r="A1780" s="896"/>
      <c r="B1780" s="966"/>
      <c r="C1780" s="962" t="s">
        <v>97</v>
      </c>
      <c r="D1780" s="967"/>
      <c r="E1780" s="967"/>
      <c r="F1780" s="967"/>
      <c r="G1780" s="972"/>
      <c r="H1780" s="964" t="s">
        <v>2299</v>
      </c>
    </row>
    <row r="1781" spans="1:8" s="965" customFormat="1" hidden="1">
      <c r="A1781" s="896"/>
      <c r="B1781" s="966"/>
      <c r="C1781" s="962" t="s">
        <v>60</v>
      </c>
      <c r="D1781" s="967"/>
      <c r="E1781" s="967"/>
      <c r="F1781" s="967"/>
      <c r="G1781" s="972"/>
      <c r="H1781" s="964" t="s">
        <v>2299</v>
      </c>
    </row>
    <row r="1782" spans="1:8" s="965" customFormat="1" hidden="1">
      <c r="A1782" s="896"/>
      <c r="B1782" s="966"/>
      <c r="C1782" s="1382" t="s">
        <v>216</v>
      </c>
      <c r="D1782" s="967" t="s">
        <v>30</v>
      </c>
      <c r="E1782" s="970">
        <v>0.7</v>
      </c>
      <c r="F1782" s="970">
        <f>'MINI SSR 2020-21'!G45</f>
        <v>130</v>
      </c>
      <c r="G1782" s="969">
        <f>ROUND(E1782*F1782,2)</f>
        <v>91</v>
      </c>
      <c r="H1782" s="964" t="s">
        <v>2299</v>
      </c>
    </row>
    <row r="1783" spans="1:8" s="965" customFormat="1" hidden="1">
      <c r="A1783" s="967"/>
      <c r="B1783" s="966"/>
      <c r="C1783" s="962" t="s">
        <v>68</v>
      </c>
      <c r="D1783" s="967"/>
      <c r="E1783" s="970"/>
      <c r="F1783" s="970"/>
      <c r="G1783" s="969"/>
      <c r="H1783" s="964" t="s">
        <v>2299</v>
      </c>
    </row>
    <row r="1784" spans="1:8" s="965" customFormat="1" hidden="1">
      <c r="A1784" s="967"/>
      <c r="B1784" s="967"/>
      <c r="C1784" s="1382" t="s">
        <v>94</v>
      </c>
      <c r="D1784" s="967" t="s">
        <v>27</v>
      </c>
      <c r="E1784" s="970">
        <v>0.21</v>
      </c>
      <c r="F1784" s="970">
        <f>'MINI SSR 2020-21'!$H$8</f>
        <v>615</v>
      </c>
      <c r="G1784" s="969">
        <f>ROUND(E1784*F1784,2)</f>
        <v>129.15</v>
      </c>
      <c r="H1784" s="964" t="s">
        <v>2299</v>
      </c>
    </row>
    <row r="1785" spans="1:8" s="965" customFormat="1" hidden="1">
      <c r="A1785" s="967"/>
      <c r="B1785" s="967"/>
      <c r="C1785" s="1382" t="s">
        <v>876</v>
      </c>
      <c r="D1785" s="967" t="s">
        <v>27</v>
      </c>
      <c r="E1785" s="970">
        <v>0.48</v>
      </c>
      <c r="F1785" s="970">
        <f>'MINI SSR 2020-21'!$H$9</f>
        <v>500</v>
      </c>
      <c r="G1785" s="969">
        <f>ROUND(E1785*F1785,2)</f>
        <v>240</v>
      </c>
      <c r="H1785" s="964" t="s">
        <v>2299</v>
      </c>
    </row>
    <row r="1786" spans="1:8" s="965" customFormat="1" hidden="1">
      <c r="A1786" s="967"/>
      <c r="B1786" s="967"/>
      <c r="C1786" s="1382" t="s">
        <v>95</v>
      </c>
      <c r="D1786" s="967"/>
      <c r="E1786" s="970"/>
      <c r="F1786" s="974">
        <f>SUM(G1782:G1785)</f>
        <v>460.15</v>
      </c>
      <c r="G1786" s="969">
        <f>ROUND(F1786*0.01,2)</f>
        <v>4.5999999999999996</v>
      </c>
      <c r="H1786" s="964" t="s">
        <v>2299</v>
      </c>
    </row>
    <row r="1787" spans="1:8" s="965" customFormat="1" hidden="1">
      <c r="A1787" s="967"/>
      <c r="B1787" s="967"/>
      <c r="C1787" s="962" t="s">
        <v>98</v>
      </c>
      <c r="D1787" s="967"/>
      <c r="E1787" s="967"/>
      <c r="F1787" s="967"/>
      <c r="G1787" s="971"/>
      <c r="H1787" s="964" t="s">
        <v>2299</v>
      </c>
    </row>
    <row r="1788" spans="1:8" s="965" customFormat="1" hidden="1">
      <c r="A1788" s="967"/>
      <c r="B1788" s="967"/>
      <c r="C1788" s="962" t="s">
        <v>60</v>
      </c>
      <c r="D1788" s="967"/>
      <c r="E1788" s="967"/>
      <c r="F1788" s="967"/>
      <c r="G1788" s="972"/>
      <c r="H1788" s="964" t="s">
        <v>2299</v>
      </c>
    </row>
    <row r="1789" spans="1:8" s="965" customFormat="1" hidden="1">
      <c r="A1789" s="967"/>
      <c r="B1789" s="967"/>
      <c r="C1789" s="1382" t="s">
        <v>217</v>
      </c>
      <c r="D1789" s="967" t="s">
        <v>30</v>
      </c>
      <c r="E1789" s="970">
        <v>1.1000000000000001</v>
      </c>
      <c r="F1789" s="970">
        <f>'MINI SSR 2020-21'!G46</f>
        <v>248</v>
      </c>
      <c r="G1789" s="969">
        <f>ROUND(E1789*F1789,2)</f>
        <v>272.8</v>
      </c>
      <c r="H1789" s="964" t="s">
        <v>2299</v>
      </c>
    </row>
    <row r="1790" spans="1:8" s="965" customFormat="1" hidden="1">
      <c r="A1790" s="967"/>
      <c r="B1790" s="967"/>
      <c r="C1790" s="962" t="s">
        <v>68</v>
      </c>
      <c r="D1790" s="967"/>
      <c r="E1790" s="970"/>
      <c r="F1790" s="970"/>
      <c r="G1790" s="969"/>
      <c r="H1790" s="964" t="s">
        <v>2299</v>
      </c>
    </row>
    <row r="1791" spans="1:8" hidden="1">
      <c r="A1791" s="967"/>
      <c r="B1791" s="967"/>
      <c r="C1791" s="1382" t="s">
        <v>94</v>
      </c>
      <c r="D1791" s="967" t="s">
        <v>27</v>
      </c>
      <c r="E1791" s="970">
        <v>0.33</v>
      </c>
      <c r="F1791" s="970">
        <f>'MINI SSR 2020-21'!$H$8</f>
        <v>615</v>
      </c>
      <c r="G1791" s="969">
        <f>ROUND(E1791*F1791,2)</f>
        <v>202.95</v>
      </c>
      <c r="H1791" s="964" t="s">
        <v>2299</v>
      </c>
    </row>
    <row r="1792" spans="1:8" hidden="1">
      <c r="A1792" s="967"/>
      <c r="B1792" s="967"/>
      <c r="C1792" s="1382" t="s">
        <v>876</v>
      </c>
      <c r="D1792" s="967" t="s">
        <v>27</v>
      </c>
      <c r="E1792" s="970">
        <v>0.77</v>
      </c>
      <c r="F1792" s="970">
        <f>'MINI SSR 2020-21'!$H$9</f>
        <v>500</v>
      </c>
      <c r="G1792" s="969">
        <f>ROUND(E1792*F1792,2)</f>
        <v>385</v>
      </c>
      <c r="H1792" s="964" t="s">
        <v>2299</v>
      </c>
    </row>
    <row r="1793" spans="1:8" hidden="1">
      <c r="A1793" s="967"/>
      <c r="B1793" s="967"/>
      <c r="C1793" s="962" t="s">
        <v>99</v>
      </c>
      <c r="D1793" s="967"/>
      <c r="E1793" s="967"/>
      <c r="F1793" s="967"/>
      <c r="G1793" s="971">
        <f>SUM(G1782:G1792)</f>
        <v>1325.5</v>
      </c>
      <c r="H1793" s="964" t="s">
        <v>2299</v>
      </c>
    </row>
    <row r="1794" spans="1:8" hidden="1">
      <c r="A1794" s="967"/>
      <c r="B1794" s="967"/>
      <c r="C1794" s="962" t="s">
        <v>121</v>
      </c>
      <c r="D1794" s="967"/>
      <c r="E1794" s="967"/>
      <c r="F1794" s="967"/>
      <c r="G1794" s="971">
        <f>ROUND(G1793/10,2)</f>
        <v>132.55000000000001</v>
      </c>
      <c r="H1794" s="964" t="s">
        <v>2299</v>
      </c>
    </row>
    <row r="1795" spans="1:8" ht="63.75" hidden="1">
      <c r="A1795" s="896">
        <v>59</v>
      </c>
      <c r="B1795" s="966"/>
      <c r="C1795" s="1382" t="s">
        <v>1181</v>
      </c>
      <c r="D1795" s="967"/>
      <c r="E1795" s="967"/>
      <c r="F1795" s="967"/>
      <c r="G1795" s="972"/>
      <c r="H1795" s="964" t="s">
        <v>2299</v>
      </c>
    </row>
    <row r="1796" spans="1:8" hidden="1">
      <c r="A1796" s="967"/>
      <c r="B1796" s="967" t="s">
        <v>1420</v>
      </c>
      <c r="C1796" s="1382" t="s">
        <v>1419</v>
      </c>
      <c r="D1796" s="967" t="s">
        <v>102</v>
      </c>
      <c r="E1796" s="970">
        <v>1</v>
      </c>
      <c r="F1796" s="970">
        <v>205</v>
      </c>
      <c r="G1796" s="969">
        <f>ROUND(E1796*F1796,2)</f>
        <v>205</v>
      </c>
      <c r="H1796" s="964" t="s">
        <v>2299</v>
      </c>
    </row>
    <row r="1797" spans="1:8" hidden="1">
      <c r="A1797" s="967"/>
      <c r="B1797" s="967"/>
      <c r="C1797" s="962"/>
      <c r="D1797" s="967"/>
      <c r="E1797" s="967"/>
      <c r="F1797" s="967"/>
      <c r="G1797" s="971">
        <f>SUM(G1796:G1796)</f>
        <v>205</v>
      </c>
      <c r="H1797" s="964" t="s">
        <v>2299</v>
      </c>
    </row>
    <row r="1798" spans="1:8" ht="293.25" hidden="1">
      <c r="A1798" s="896">
        <v>60</v>
      </c>
      <c r="B1798" s="966"/>
      <c r="C1798" s="1382" t="s">
        <v>1183</v>
      </c>
      <c r="D1798" s="967"/>
      <c r="E1798" s="967"/>
      <c r="F1798" s="967"/>
      <c r="G1798" s="972"/>
      <c r="H1798" s="964" t="s">
        <v>2299</v>
      </c>
    </row>
    <row r="1799" spans="1:8" hidden="1">
      <c r="A1799" s="967"/>
      <c r="B1799" s="967"/>
      <c r="C1799" s="1382" t="s">
        <v>222</v>
      </c>
      <c r="D1799" s="967"/>
      <c r="E1799" s="970"/>
      <c r="F1799" s="970"/>
      <c r="G1799" s="969"/>
      <c r="H1799" s="964" t="s">
        <v>2299</v>
      </c>
    </row>
    <row r="1800" spans="1:8" hidden="1">
      <c r="A1800" s="967"/>
      <c r="B1800" s="967" t="s">
        <v>1422</v>
      </c>
      <c r="C1800" s="1382" t="s">
        <v>1421</v>
      </c>
      <c r="D1800" s="970" t="s">
        <v>291</v>
      </c>
      <c r="E1800" s="973">
        <v>6.5000000000000002E-2</v>
      </c>
      <c r="F1800" s="990">
        <f>'MINI SSR 2020-21'!G47</f>
        <v>708</v>
      </c>
      <c r="G1800" s="969">
        <f>ROUND(E1800*F1800,2)</f>
        <v>46.02</v>
      </c>
      <c r="H1800" s="964" t="s">
        <v>2299</v>
      </c>
    </row>
    <row r="1801" spans="1:8" hidden="1">
      <c r="A1801" s="967"/>
      <c r="B1801" s="967" t="s">
        <v>1422</v>
      </c>
      <c r="C1801" s="1382" t="s">
        <v>1423</v>
      </c>
      <c r="D1801" s="970" t="s">
        <v>291</v>
      </c>
      <c r="E1801" s="973">
        <v>3.3000000000000002E-2</v>
      </c>
      <c r="F1801" s="990">
        <f>'MINI SSR 2020-21'!G48</f>
        <v>244</v>
      </c>
      <c r="G1801" s="969">
        <f>ROUND(E1801*F1801,2)</f>
        <v>8.0500000000000007</v>
      </c>
      <c r="H1801" s="964" t="s">
        <v>2299</v>
      </c>
    </row>
    <row r="1802" spans="1:8" hidden="1">
      <c r="A1802" s="896"/>
      <c r="B1802" s="966"/>
      <c r="C1802" s="1382" t="s">
        <v>94</v>
      </c>
      <c r="D1802" s="970" t="s">
        <v>27</v>
      </c>
      <c r="E1802" s="970">
        <v>0.24</v>
      </c>
      <c r="F1802" s="970">
        <f>'MINI SSR 2020-21'!$H$8</f>
        <v>615</v>
      </c>
      <c r="G1802" s="969">
        <f>ROUND(E1802*F1802,2)</f>
        <v>147.6</v>
      </c>
      <c r="H1802" s="964" t="s">
        <v>2299</v>
      </c>
    </row>
    <row r="1803" spans="1:8" hidden="1">
      <c r="A1803" s="896"/>
      <c r="B1803" s="966"/>
      <c r="C1803" s="1382" t="s">
        <v>874</v>
      </c>
      <c r="D1803" s="970" t="s">
        <v>27</v>
      </c>
      <c r="E1803" s="970">
        <v>0.56000000000000005</v>
      </c>
      <c r="F1803" s="970">
        <f>'MINI SSR 2020-21'!$H$9</f>
        <v>500</v>
      </c>
      <c r="G1803" s="969">
        <f>ROUND(E1803*F1803,2)</f>
        <v>280</v>
      </c>
      <c r="H1803" s="964" t="s">
        <v>2299</v>
      </c>
    </row>
    <row r="1804" spans="1:8" hidden="1">
      <c r="A1804" s="896"/>
      <c r="B1804" s="966"/>
      <c r="C1804" s="1382" t="s">
        <v>157</v>
      </c>
      <c r="D1804" s="970" t="s">
        <v>27</v>
      </c>
      <c r="E1804" s="970">
        <v>0.8</v>
      </c>
      <c r="F1804" s="970">
        <f>'MINI SSR 2020-21'!$H$5</f>
        <v>460</v>
      </c>
      <c r="G1804" s="969">
        <f>ROUND(E1804*F1804,2)</f>
        <v>368</v>
      </c>
      <c r="H1804" s="964" t="s">
        <v>2299</v>
      </c>
    </row>
    <row r="1805" spans="1:8" hidden="1">
      <c r="A1805" s="896"/>
      <c r="B1805" s="966"/>
      <c r="C1805" s="962" t="s">
        <v>1182</v>
      </c>
      <c r="D1805" s="970"/>
      <c r="E1805" s="991"/>
      <c r="F1805" s="991"/>
      <c r="G1805" s="969">
        <f>SUM(G1800:G1804)</f>
        <v>849.67000000000007</v>
      </c>
      <c r="H1805" s="964" t="s">
        <v>2299</v>
      </c>
    </row>
    <row r="1806" spans="1:8" ht="89.25" hidden="1">
      <c r="A1806" s="896">
        <v>61</v>
      </c>
      <c r="B1806" s="966"/>
      <c r="C1806" s="1382" t="s">
        <v>1184</v>
      </c>
      <c r="D1806" s="967"/>
      <c r="E1806" s="967"/>
      <c r="F1806" s="967"/>
      <c r="G1806" s="972"/>
      <c r="H1806" s="964" t="s">
        <v>2299</v>
      </c>
    </row>
    <row r="1807" spans="1:8" hidden="1">
      <c r="A1807" s="967"/>
      <c r="B1807" s="967"/>
      <c r="C1807" s="1382" t="s">
        <v>1185</v>
      </c>
      <c r="D1807" s="967" t="s">
        <v>102</v>
      </c>
      <c r="E1807" s="970">
        <v>1</v>
      </c>
      <c r="F1807" s="970">
        <v>630</v>
      </c>
      <c r="G1807" s="969">
        <f>ROUND(E1807*F1807,2)</f>
        <v>630</v>
      </c>
      <c r="H1807" s="964" t="s">
        <v>2299</v>
      </c>
    </row>
    <row r="1808" spans="1:8" hidden="1">
      <c r="A1808" s="967"/>
      <c r="B1808" s="967"/>
      <c r="C1808" s="962"/>
      <c r="D1808" s="967"/>
      <c r="E1808" s="967"/>
      <c r="F1808" s="967"/>
      <c r="G1808" s="971">
        <f>SUM(G1807:G1807)</f>
        <v>630</v>
      </c>
      <c r="H1808" s="964" t="s">
        <v>2299</v>
      </c>
    </row>
    <row r="1809" spans="1:8" ht="165.75" hidden="1">
      <c r="A1809" s="896">
        <v>40</v>
      </c>
      <c r="B1809" s="966"/>
      <c r="C1809" s="1382" t="s">
        <v>680</v>
      </c>
      <c r="D1809" s="967"/>
      <c r="E1809" s="967"/>
      <c r="F1809" s="967"/>
      <c r="G1809" s="972"/>
      <c r="H1809" s="964" t="s">
        <v>2299</v>
      </c>
    </row>
    <row r="1810" spans="1:8" hidden="1">
      <c r="A1810" s="967"/>
      <c r="B1810" s="967" t="s">
        <v>1371</v>
      </c>
      <c r="C1810" s="1382" t="s">
        <v>379</v>
      </c>
      <c r="D1810" s="967" t="s">
        <v>102</v>
      </c>
      <c r="E1810" s="970">
        <v>1</v>
      </c>
      <c r="F1810" s="970">
        <f>'MINI SSR 2020-21'!C47</f>
        <v>3198</v>
      </c>
      <c r="G1810" s="969">
        <f>ROUND(E1810*F1810,2)</f>
        <v>3198</v>
      </c>
      <c r="H1810" s="964" t="s">
        <v>2299</v>
      </c>
    </row>
    <row r="1811" spans="1:8" hidden="1">
      <c r="A1811" s="967"/>
      <c r="B1811" s="967"/>
      <c r="C1811" s="962"/>
      <c r="D1811" s="967"/>
      <c r="E1811" s="967"/>
      <c r="F1811" s="967"/>
      <c r="G1811" s="971">
        <f>SUM(G1810:G1810)</f>
        <v>3198</v>
      </c>
      <c r="H1811" s="964" t="s">
        <v>2299</v>
      </c>
    </row>
    <row r="1812" spans="1:8" ht="51" hidden="1">
      <c r="A1812" s="896">
        <v>63</v>
      </c>
      <c r="B1812" s="966"/>
      <c r="C1812" s="1382" t="s">
        <v>951</v>
      </c>
      <c r="D1812" s="967"/>
      <c r="E1812" s="967"/>
      <c r="F1812" s="967"/>
      <c r="G1812" s="972"/>
      <c r="H1812" s="964" t="s">
        <v>2299</v>
      </c>
    </row>
    <row r="1813" spans="1:8" hidden="1">
      <c r="A1813" s="967"/>
      <c r="B1813" s="967" t="s">
        <v>1425</v>
      </c>
      <c r="C1813" s="1382" t="s">
        <v>1424</v>
      </c>
      <c r="D1813" s="967" t="s">
        <v>275</v>
      </c>
      <c r="E1813" s="920">
        <v>1</v>
      </c>
      <c r="F1813" s="922">
        <v>250</v>
      </c>
      <c r="G1813" s="969">
        <f>ROUND(E1813*F1813,2)</f>
        <v>250</v>
      </c>
      <c r="H1813" s="964" t="s">
        <v>2299</v>
      </c>
    </row>
    <row r="1814" spans="1:8" hidden="1">
      <c r="A1814" s="967"/>
      <c r="B1814" s="967"/>
      <c r="C1814" s="1382" t="s">
        <v>953</v>
      </c>
      <c r="D1814" s="967"/>
      <c r="E1814" s="920"/>
      <c r="F1814" s="922"/>
      <c r="G1814" s="969"/>
      <c r="H1814" s="964" t="s">
        <v>2299</v>
      </c>
    </row>
    <row r="1815" spans="1:8" hidden="1">
      <c r="A1815" s="967"/>
      <c r="B1815" s="967"/>
      <c r="C1815" s="1382" t="s">
        <v>954</v>
      </c>
      <c r="D1815" s="967"/>
      <c r="E1815" s="920"/>
      <c r="F1815" s="922"/>
      <c r="G1815" s="969"/>
      <c r="H1815" s="964" t="s">
        <v>2299</v>
      </c>
    </row>
    <row r="1816" spans="1:8" hidden="1">
      <c r="A1816" s="967"/>
      <c r="B1816" s="967"/>
      <c r="C1816" s="1382" t="s">
        <v>955</v>
      </c>
      <c r="D1816" s="967"/>
      <c r="E1816" s="920"/>
      <c r="F1816" s="922"/>
      <c r="G1816" s="969"/>
      <c r="H1816" s="964" t="s">
        <v>2299</v>
      </c>
    </row>
    <row r="1817" spans="1:8" hidden="1">
      <c r="A1817" s="967"/>
      <c r="B1817" s="967"/>
      <c r="C1817" s="1382" t="s">
        <v>956</v>
      </c>
      <c r="D1817" s="967"/>
      <c r="E1817" s="920"/>
      <c r="F1817" s="922"/>
      <c r="G1817" s="969"/>
      <c r="H1817" s="964" t="s">
        <v>2299</v>
      </c>
    </row>
    <row r="1818" spans="1:8" hidden="1">
      <c r="A1818" s="967"/>
      <c r="B1818" s="967"/>
      <c r="C1818" s="1382" t="s">
        <v>957</v>
      </c>
      <c r="D1818" s="967" t="s">
        <v>275</v>
      </c>
      <c r="E1818" s="920">
        <v>1</v>
      </c>
      <c r="F1818" s="922">
        <v>666.66</v>
      </c>
      <c r="G1818" s="969">
        <f>ROUND(E1818*F1818,2)</f>
        <v>666.66</v>
      </c>
      <c r="H1818" s="964" t="s">
        <v>2299</v>
      </c>
    </row>
    <row r="1819" spans="1:8" hidden="1">
      <c r="A1819" s="967"/>
      <c r="B1819" s="967"/>
      <c r="C1819" s="1385"/>
      <c r="D1819" s="896"/>
      <c r="E1819" s="920"/>
      <c r="F1819" s="922"/>
      <c r="G1819" s="924"/>
      <c r="H1819" s="964" t="s">
        <v>2299</v>
      </c>
    </row>
    <row r="1820" spans="1:8" hidden="1">
      <c r="A1820" s="967"/>
      <c r="B1820" s="967"/>
      <c r="C1820" s="962"/>
      <c r="D1820" s="967"/>
      <c r="E1820" s="967"/>
      <c r="F1820" s="967"/>
      <c r="G1820" s="971">
        <f>SUM(G1818:G1819)</f>
        <v>666.66</v>
      </c>
      <c r="H1820" s="964" t="s">
        <v>2299</v>
      </c>
    </row>
    <row r="1821" spans="1:8" ht="51" hidden="1">
      <c r="A1821" s="896">
        <v>64</v>
      </c>
      <c r="B1821" s="966"/>
      <c r="C1821" s="1382" t="s">
        <v>1231</v>
      </c>
      <c r="D1821" s="967"/>
      <c r="E1821" s="967"/>
      <c r="F1821" s="967"/>
      <c r="G1821" s="972"/>
      <c r="H1821" s="964" t="s">
        <v>2299</v>
      </c>
    </row>
    <row r="1822" spans="1:8" hidden="1">
      <c r="A1822" s="967"/>
      <c r="B1822" s="967" t="s">
        <v>1425</v>
      </c>
      <c r="C1822" s="1382" t="s">
        <v>1424</v>
      </c>
      <c r="D1822" s="967" t="s">
        <v>275</v>
      </c>
      <c r="E1822" s="920">
        <v>1</v>
      </c>
      <c r="F1822" s="922">
        <v>250</v>
      </c>
      <c r="G1822" s="969">
        <f>ROUND(E1822*F1822,2)</f>
        <v>250</v>
      </c>
      <c r="H1822" s="964" t="s">
        <v>2299</v>
      </c>
    </row>
    <row r="1823" spans="1:8" hidden="1">
      <c r="A1823" s="967"/>
      <c r="B1823" s="967"/>
      <c r="C1823" s="1382" t="s">
        <v>1235</v>
      </c>
      <c r="D1823" s="967"/>
      <c r="E1823" s="920"/>
      <c r="F1823" s="922"/>
      <c r="G1823" s="969"/>
      <c r="H1823" s="964" t="s">
        <v>2299</v>
      </c>
    </row>
    <row r="1824" spans="1:8" hidden="1">
      <c r="A1824" s="967"/>
      <c r="B1824" s="967"/>
      <c r="C1824" s="1382" t="s">
        <v>1232</v>
      </c>
      <c r="D1824" s="967"/>
      <c r="E1824" s="920"/>
      <c r="F1824" s="922"/>
      <c r="G1824" s="969"/>
      <c r="H1824" s="964" t="s">
        <v>2299</v>
      </c>
    </row>
    <row r="1825" spans="1:8" hidden="1">
      <c r="A1825" s="967"/>
      <c r="B1825" s="967"/>
      <c r="C1825" s="1382" t="s">
        <v>1233</v>
      </c>
      <c r="D1825" s="967"/>
      <c r="E1825" s="920"/>
      <c r="F1825" s="922"/>
      <c r="G1825" s="969"/>
      <c r="H1825" s="964" t="s">
        <v>2299</v>
      </c>
    </row>
    <row r="1826" spans="1:8" hidden="1">
      <c r="A1826" s="967"/>
      <c r="B1826" s="967"/>
      <c r="C1826" s="1382" t="s">
        <v>1234</v>
      </c>
      <c r="D1826" s="967"/>
      <c r="E1826" s="920"/>
      <c r="F1826" s="922"/>
      <c r="G1826" s="969"/>
      <c r="H1826" s="964" t="s">
        <v>2299</v>
      </c>
    </row>
    <row r="1827" spans="1:8" hidden="1">
      <c r="A1827" s="967"/>
      <c r="B1827" s="967"/>
      <c r="C1827" s="1382" t="s">
        <v>1235</v>
      </c>
      <c r="D1827" s="967" t="s">
        <v>275</v>
      </c>
      <c r="E1827" s="920">
        <v>1</v>
      </c>
      <c r="F1827" s="922">
        <v>500</v>
      </c>
      <c r="G1827" s="969">
        <f>ROUND(E1827*F1827,2)</f>
        <v>500</v>
      </c>
      <c r="H1827" s="964" t="s">
        <v>2299</v>
      </c>
    </row>
    <row r="1828" spans="1:8" hidden="1">
      <c r="A1828" s="967"/>
      <c r="B1828" s="967"/>
      <c r="C1828" s="1385"/>
      <c r="D1828" s="896"/>
      <c r="E1828" s="920"/>
      <c r="F1828" s="922"/>
      <c r="G1828" s="924"/>
      <c r="H1828" s="964" t="s">
        <v>2299</v>
      </c>
    </row>
    <row r="1829" spans="1:8" hidden="1">
      <c r="A1829" s="967"/>
      <c r="B1829" s="967"/>
      <c r="C1829" s="962"/>
      <c r="D1829" s="967"/>
      <c r="E1829" s="967"/>
      <c r="F1829" s="967"/>
      <c r="G1829" s="971">
        <f>SUM(G1827:G1828)</f>
        <v>500</v>
      </c>
      <c r="H1829" s="964" t="s">
        <v>2299</v>
      </c>
    </row>
    <row r="1830" spans="1:8" ht="51" hidden="1">
      <c r="A1830" s="896">
        <v>65</v>
      </c>
      <c r="B1830" s="966"/>
      <c r="C1830" s="1382" t="s">
        <v>952</v>
      </c>
      <c r="D1830" s="967"/>
      <c r="E1830" s="967"/>
      <c r="F1830" s="967"/>
      <c r="G1830" s="972"/>
      <c r="H1830" s="964" t="s">
        <v>2299</v>
      </c>
    </row>
    <row r="1831" spans="1:8" hidden="1">
      <c r="A1831" s="967"/>
      <c r="B1831" s="967" t="s">
        <v>1427</v>
      </c>
      <c r="C1831" s="1382" t="s">
        <v>1426</v>
      </c>
      <c r="D1831" s="967" t="s">
        <v>275</v>
      </c>
      <c r="E1831" s="920">
        <v>1</v>
      </c>
      <c r="F1831" s="922">
        <v>130</v>
      </c>
      <c r="G1831" s="969">
        <f>ROUND(E1831*F1831,2)</f>
        <v>130</v>
      </c>
      <c r="H1831" s="964" t="s">
        <v>2299</v>
      </c>
    </row>
    <row r="1832" spans="1:8" hidden="1">
      <c r="A1832" s="967"/>
      <c r="B1832" s="967"/>
      <c r="C1832" s="1385"/>
      <c r="D1832" s="896"/>
      <c r="E1832" s="920"/>
      <c r="F1832" s="922"/>
      <c r="G1832" s="924"/>
      <c r="H1832" s="964" t="s">
        <v>2299</v>
      </c>
    </row>
    <row r="1833" spans="1:8" hidden="1">
      <c r="A1833" s="967"/>
      <c r="B1833" s="967"/>
      <c r="C1833" s="962"/>
      <c r="D1833" s="967"/>
      <c r="E1833" s="967"/>
      <c r="F1833" s="967"/>
      <c r="G1833" s="971">
        <f>SUM(G1831:G1832)</f>
        <v>130</v>
      </c>
      <c r="H1833" s="964" t="s">
        <v>2299</v>
      </c>
    </row>
    <row r="1834" spans="1:8" hidden="1">
      <c r="A1834" s="896">
        <v>25</v>
      </c>
      <c r="B1834" s="966"/>
      <c r="C1834" s="1002" t="s">
        <v>932</v>
      </c>
      <c r="D1834" s="967"/>
      <c r="E1834" s="967"/>
      <c r="F1834" s="967"/>
      <c r="G1834" s="967"/>
      <c r="H1834" s="964" t="s">
        <v>2299</v>
      </c>
    </row>
    <row r="1835" spans="1:8" hidden="1">
      <c r="A1835" s="967"/>
      <c r="B1835" s="967" t="s">
        <v>1406</v>
      </c>
      <c r="C1835" s="1002" t="s">
        <v>379</v>
      </c>
      <c r="D1835" s="967" t="s">
        <v>102</v>
      </c>
      <c r="E1835" s="970">
        <v>1</v>
      </c>
      <c r="F1835" s="970">
        <f>'D&amp;W data'!F437</f>
        <v>340</v>
      </c>
      <c r="G1835" s="969">
        <f>ROUND(E1835*F1835,2)</f>
        <v>340</v>
      </c>
      <c r="H1835" s="964" t="s">
        <v>2299</v>
      </c>
    </row>
    <row r="1836" spans="1:8" hidden="1">
      <c r="A1836" s="967"/>
      <c r="B1836" s="967"/>
      <c r="C1836" s="1002" t="s">
        <v>929</v>
      </c>
      <c r="D1836" s="896" t="s">
        <v>108</v>
      </c>
      <c r="E1836" s="922">
        <v>0.06</v>
      </c>
      <c r="F1836" s="970">
        <f>'D&amp;W data'!F438</f>
        <v>550</v>
      </c>
      <c r="G1836" s="924">
        <f>ROUND(E1836*F1836,2)</f>
        <v>33</v>
      </c>
      <c r="H1836" s="964" t="s">
        <v>2299</v>
      </c>
    </row>
    <row r="1837" spans="1:8" hidden="1">
      <c r="A1837" s="967"/>
      <c r="B1837" s="967"/>
      <c r="C1837" s="1002" t="s">
        <v>930</v>
      </c>
      <c r="D1837" s="896" t="s">
        <v>108</v>
      </c>
      <c r="E1837" s="922">
        <v>0.06</v>
      </c>
      <c r="F1837" s="970">
        <f>'D&amp;W data'!F439</f>
        <v>500</v>
      </c>
      <c r="G1837" s="924">
        <f>ROUND(E1837*F1837,2)</f>
        <v>30</v>
      </c>
      <c r="H1837" s="964" t="s">
        <v>2299</v>
      </c>
    </row>
    <row r="1838" spans="1:8" hidden="1">
      <c r="A1838" s="967"/>
      <c r="B1838" s="967"/>
      <c r="C1838" s="1003" t="s">
        <v>931</v>
      </c>
      <c r="D1838" s="896" t="s">
        <v>108</v>
      </c>
      <c r="E1838" s="920">
        <v>0.27500000000000002</v>
      </c>
      <c r="F1838" s="970">
        <f>'D&amp;W data'!F440</f>
        <v>460</v>
      </c>
      <c r="G1838" s="924">
        <f>ROUND(E1838*F1838,2)</f>
        <v>126.5</v>
      </c>
      <c r="H1838" s="964" t="s">
        <v>2299</v>
      </c>
    </row>
    <row r="1839" spans="1:8" hidden="1">
      <c r="A1839" s="967"/>
      <c r="B1839" s="967"/>
      <c r="C1839" s="1004" t="s">
        <v>1402</v>
      </c>
      <c r="D1839" s="967"/>
      <c r="E1839" s="967"/>
      <c r="F1839" s="967"/>
      <c r="G1839" s="971">
        <f>SUM(G1835:G1838)</f>
        <v>529.5</v>
      </c>
      <c r="H1839" s="964" t="s">
        <v>2299</v>
      </c>
    </row>
    <row r="1840" spans="1:8" s="1007" customFormat="1" ht="19.5" hidden="1" customHeight="1">
      <c r="A1840" s="1392"/>
      <c r="B1840" s="1392"/>
      <c r="C1840" s="1005" t="s">
        <v>2310</v>
      </c>
      <c r="D1840" s="1392"/>
      <c r="E1840" s="1392"/>
      <c r="F1840" s="1392"/>
      <c r="G1840" s="1392"/>
      <c r="H1840" s="1006"/>
    </row>
    <row r="1841" spans="1:8" ht="25.5" hidden="1">
      <c r="A1841" s="967">
        <v>19</v>
      </c>
      <c r="B1841" s="967" t="s">
        <v>46</v>
      </c>
      <c r="C1841" s="962" t="s">
        <v>43</v>
      </c>
      <c r="D1841" s="967"/>
      <c r="E1841" s="967"/>
      <c r="F1841" s="967"/>
      <c r="G1841" s="967"/>
      <c r="H1841" s="964" t="s">
        <v>2312</v>
      </c>
    </row>
    <row r="1842" spans="1:8" hidden="1">
      <c r="A1842" s="967"/>
      <c r="B1842" s="967"/>
      <c r="C1842" s="1382" t="s">
        <v>44</v>
      </c>
      <c r="D1842" s="967" t="s">
        <v>4</v>
      </c>
      <c r="E1842" s="970">
        <f>1440/3</f>
        <v>480</v>
      </c>
      <c r="F1842" s="970">
        <f>'lead 21-22'!$L$8</f>
        <v>4700</v>
      </c>
      <c r="G1842" s="969">
        <f>ROUND(E1842*F1842/1000,2)</f>
        <v>2256</v>
      </c>
      <c r="H1842" s="964" t="s">
        <v>2312</v>
      </c>
    </row>
    <row r="1843" spans="1:8" hidden="1">
      <c r="A1843" s="967"/>
      <c r="B1843" s="967"/>
      <c r="C1843" s="1382" t="s">
        <v>110</v>
      </c>
      <c r="D1843" s="967" t="s">
        <v>35</v>
      </c>
      <c r="E1843" s="970">
        <v>1.05</v>
      </c>
      <c r="F1843" s="970">
        <f>'lead 21-22'!$L$12</f>
        <v>1743.4000000000019</v>
      </c>
      <c r="G1843" s="969">
        <f>ROUND(E1843*F1843,2)</f>
        <v>1830.57</v>
      </c>
      <c r="H1843" s="964" t="s">
        <v>2312</v>
      </c>
    </row>
    <row r="1844" spans="1:8" hidden="1">
      <c r="A1844" s="967"/>
      <c r="B1844" s="967"/>
      <c r="C1844" s="1382" t="s">
        <v>45</v>
      </c>
      <c r="D1844" s="967" t="s">
        <v>27</v>
      </c>
      <c r="E1844" s="970">
        <v>0.2</v>
      </c>
      <c r="F1844" s="970">
        <f>'MINI SSR 21-22'!H$5</f>
        <v>490</v>
      </c>
      <c r="G1844" s="969">
        <f>ROUND(E1844*F1844,2)</f>
        <v>98</v>
      </c>
      <c r="H1844" s="964" t="s">
        <v>2312</v>
      </c>
    </row>
    <row r="1845" spans="1:8" hidden="1">
      <c r="A1845" s="967"/>
      <c r="B1845" s="967"/>
      <c r="C1845" s="1382"/>
      <c r="D1845" s="967"/>
      <c r="E1845" s="967"/>
      <c r="F1845" s="967"/>
      <c r="G1845" s="972">
        <f>SUM(G1842:G1844)</f>
        <v>4184.57</v>
      </c>
      <c r="H1845" s="964" t="s">
        <v>2312</v>
      </c>
    </row>
    <row r="1846" spans="1:8" ht="25.5" hidden="1">
      <c r="A1846" s="967">
        <v>2</v>
      </c>
      <c r="B1846" s="967" t="s">
        <v>51</v>
      </c>
      <c r="C1846" s="962" t="s">
        <v>47</v>
      </c>
      <c r="D1846" s="967"/>
      <c r="E1846" s="967"/>
      <c r="F1846" s="967"/>
      <c r="G1846" s="967"/>
      <c r="H1846" s="964" t="s">
        <v>2312</v>
      </c>
    </row>
    <row r="1847" spans="1:8" hidden="1">
      <c r="A1847" s="967"/>
      <c r="B1847" s="967"/>
      <c r="C1847" s="1382" t="s">
        <v>44</v>
      </c>
      <c r="D1847" s="967" t="s">
        <v>4</v>
      </c>
      <c r="E1847" s="970">
        <f>1440/4</f>
        <v>360</v>
      </c>
      <c r="F1847" s="970">
        <f>'lead 21-22'!$L$8</f>
        <v>4700</v>
      </c>
      <c r="G1847" s="969">
        <f>ROUND(E1847*F1847/1000,2)</f>
        <v>1692</v>
      </c>
      <c r="H1847" s="964" t="s">
        <v>2312</v>
      </c>
    </row>
    <row r="1848" spans="1:8" hidden="1">
      <c r="A1848" s="967"/>
      <c r="B1848" s="967"/>
      <c r="C1848" s="1382" t="s">
        <v>110</v>
      </c>
      <c r="D1848" s="967" t="s">
        <v>35</v>
      </c>
      <c r="E1848" s="970">
        <v>1.05</v>
      </c>
      <c r="F1848" s="970">
        <f>'lead 21-22'!$L$12</f>
        <v>1743.4000000000019</v>
      </c>
      <c r="G1848" s="969">
        <f>ROUND(E1848*F1848,2)</f>
        <v>1830.57</v>
      </c>
      <c r="H1848" s="964" t="s">
        <v>2312</v>
      </c>
    </row>
    <row r="1849" spans="1:8" hidden="1">
      <c r="A1849" s="967"/>
      <c r="B1849" s="967"/>
      <c r="C1849" s="1382" t="s">
        <v>45</v>
      </c>
      <c r="D1849" s="967" t="s">
        <v>27</v>
      </c>
      <c r="E1849" s="970">
        <v>0.2</v>
      </c>
      <c r="F1849" s="970">
        <f>'MINI SSR 21-22'!H$5</f>
        <v>490</v>
      </c>
      <c r="G1849" s="969">
        <f>ROUND(E1849*F1849,2)</f>
        <v>98</v>
      </c>
      <c r="H1849" s="964" t="s">
        <v>2312</v>
      </c>
    </row>
    <row r="1850" spans="1:8" hidden="1">
      <c r="A1850" s="967"/>
      <c r="B1850" s="967"/>
      <c r="C1850" s="1382"/>
      <c r="D1850" s="967"/>
      <c r="E1850" s="967"/>
      <c r="F1850" s="967"/>
      <c r="G1850" s="972">
        <f>SUM(G1847:G1849)</f>
        <v>3620.5699999999997</v>
      </c>
      <c r="H1850" s="964" t="s">
        <v>2312</v>
      </c>
    </row>
    <row r="1851" spans="1:8" ht="25.5" hidden="1">
      <c r="A1851" s="967">
        <v>32</v>
      </c>
      <c r="B1851" s="967" t="s">
        <v>52</v>
      </c>
      <c r="C1851" s="962" t="s">
        <v>48</v>
      </c>
      <c r="D1851" s="967"/>
      <c r="E1851" s="967"/>
      <c r="F1851" s="967"/>
      <c r="G1851" s="967"/>
      <c r="H1851" s="964" t="s">
        <v>2312</v>
      </c>
    </row>
    <row r="1852" spans="1:8" hidden="1">
      <c r="A1852" s="967"/>
      <c r="B1852" s="967"/>
      <c r="C1852" s="1382" t="s">
        <v>44</v>
      </c>
      <c r="D1852" s="967" t="s">
        <v>4</v>
      </c>
      <c r="E1852" s="970">
        <f>1440/5</f>
        <v>288</v>
      </c>
      <c r="F1852" s="970">
        <f>'lead 21-22'!$L$8</f>
        <v>4700</v>
      </c>
      <c r="G1852" s="969">
        <f>ROUND(E1852*F1852/1000,2)</f>
        <v>1353.6</v>
      </c>
      <c r="H1852" s="964" t="s">
        <v>2312</v>
      </c>
    </row>
    <row r="1853" spans="1:8" hidden="1">
      <c r="A1853" s="967"/>
      <c r="B1853" s="967"/>
      <c r="C1853" s="1382" t="s">
        <v>110</v>
      </c>
      <c r="D1853" s="967" t="s">
        <v>35</v>
      </c>
      <c r="E1853" s="970">
        <v>1.05</v>
      </c>
      <c r="F1853" s="970">
        <f>'lead 21-22'!$L$12</f>
        <v>1743.4000000000019</v>
      </c>
      <c r="G1853" s="969">
        <f>ROUND(E1853*F1853,2)</f>
        <v>1830.57</v>
      </c>
      <c r="H1853" s="964" t="s">
        <v>2312</v>
      </c>
    </row>
    <row r="1854" spans="1:8" hidden="1">
      <c r="A1854" s="967"/>
      <c r="B1854" s="967"/>
      <c r="C1854" s="1382" t="s">
        <v>45</v>
      </c>
      <c r="D1854" s="967" t="s">
        <v>27</v>
      </c>
      <c r="E1854" s="970">
        <v>0.2</v>
      </c>
      <c r="F1854" s="970">
        <f>'MINI SSR 21-22'!H$5</f>
        <v>490</v>
      </c>
      <c r="G1854" s="969">
        <f>ROUND(E1854*F1854,2)</f>
        <v>98</v>
      </c>
      <c r="H1854" s="964" t="s">
        <v>2312</v>
      </c>
    </row>
    <row r="1855" spans="1:8" hidden="1">
      <c r="A1855" s="967"/>
      <c r="B1855" s="967"/>
      <c r="C1855" s="1382"/>
      <c r="D1855" s="967"/>
      <c r="E1855" s="967"/>
      <c r="F1855" s="967"/>
      <c r="G1855" s="972">
        <f>SUM(G1852:G1854)</f>
        <v>3282.17</v>
      </c>
      <c r="H1855" s="964" t="s">
        <v>2312</v>
      </c>
    </row>
    <row r="1856" spans="1:8" ht="25.5" hidden="1">
      <c r="A1856" s="967">
        <v>4</v>
      </c>
      <c r="B1856" s="967" t="s">
        <v>53</v>
      </c>
      <c r="C1856" s="962" t="s">
        <v>49</v>
      </c>
      <c r="D1856" s="967"/>
      <c r="E1856" s="967"/>
      <c r="F1856" s="967"/>
      <c r="G1856" s="967"/>
      <c r="H1856" s="964" t="s">
        <v>2312</v>
      </c>
    </row>
    <row r="1857" spans="1:8" hidden="1">
      <c r="A1857" s="967"/>
      <c r="B1857" s="967"/>
      <c r="C1857" s="1382" t="s">
        <v>44</v>
      </c>
      <c r="D1857" s="967" t="s">
        <v>4</v>
      </c>
      <c r="E1857" s="970">
        <f>1440/6</f>
        <v>240</v>
      </c>
      <c r="F1857" s="970">
        <f>'lead 21-22'!$L$8</f>
        <v>4700</v>
      </c>
      <c r="G1857" s="969">
        <f>ROUND(E1857*F1857/1000,2)</f>
        <v>1128</v>
      </c>
      <c r="H1857" s="964" t="s">
        <v>2312</v>
      </c>
    </row>
    <row r="1858" spans="1:8" hidden="1">
      <c r="A1858" s="967"/>
      <c r="B1858" s="967"/>
      <c r="C1858" s="1382" t="s">
        <v>111</v>
      </c>
      <c r="D1858" s="967" t="s">
        <v>35</v>
      </c>
      <c r="E1858" s="970">
        <v>1.05</v>
      </c>
      <c r="F1858" s="970">
        <f>'lead 21-22'!$L$12</f>
        <v>1743.4000000000019</v>
      </c>
      <c r="G1858" s="969">
        <f>ROUND(E1858*F1858,2)</f>
        <v>1830.57</v>
      </c>
      <c r="H1858" s="964" t="s">
        <v>2312</v>
      </c>
    </row>
    <row r="1859" spans="1:8" hidden="1">
      <c r="A1859" s="967"/>
      <c r="B1859" s="967"/>
      <c r="C1859" s="1382" t="s">
        <v>45</v>
      </c>
      <c r="D1859" s="967" t="s">
        <v>27</v>
      </c>
      <c r="E1859" s="970">
        <v>0.2</v>
      </c>
      <c r="F1859" s="970">
        <f>'MINI SSR 21-22'!H$5</f>
        <v>490</v>
      </c>
      <c r="G1859" s="969">
        <f>ROUND(E1859*F1859,2)</f>
        <v>98</v>
      </c>
      <c r="H1859" s="964" t="s">
        <v>2312</v>
      </c>
    </row>
    <row r="1860" spans="1:8" hidden="1">
      <c r="A1860" s="967"/>
      <c r="B1860" s="967"/>
      <c r="C1860" s="1382"/>
      <c r="D1860" s="967"/>
      <c r="E1860" s="967"/>
      <c r="F1860" s="967"/>
      <c r="G1860" s="972">
        <f>SUM(G1857:G1859)</f>
        <v>3056.5699999999997</v>
      </c>
      <c r="H1860" s="964" t="s">
        <v>2312</v>
      </c>
    </row>
    <row r="1861" spans="1:8" ht="25.5" hidden="1">
      <c r="A1861" s="967">
        <v>5</v>
      </c>
      <c r="B1861" s="967" t="s">
        <v>54</v>
      </c>
      <c r="C1861" s="962" t="s">
        <v>50</v>
      </c>
      <c r="D1861" s="967"/>
      <c r="E1861" s="967"/>
      <c r="F1861" s="967"/>
      <c r="G1861" s="967"/>
      <c r="H1861" s="964" t="s">
        <v>2312</v>
      </c>
    </row>
    <row r="1862" spans="1:8" hidden="1">
      <c r="A1862" s="967"/>
      <c r="B1862" s="967"/>
      <c r="C1862" s="1382" t="s">
        <v>44</v>
      </c>
      <c r="D1862" s="967" t="s">
        <v>4</v>
      </c>
      <c r="E1862" s="970">
        <f>1440/8</f>
        <v>180</v>
      </c>
      <c r="F1862" s="970">
        <f>'lead 21-22'!$L$8</f>
        <v>4700</v>
      </c>
      <c r="G1862" s="969">
        <f>ROUND(E1862*F1862/1000,2)</f>
        <v>846</v>
      </c>
      <c r="H1862" s="964" t="s">
        <v>2312</v>
      </c>
    </row>
    <row r="1863" spans="1:8" hidden="1">
      <c r="A1863" s="967"/>
      <c r="B1863" s="967"/>
      <c r="C1863" s="1382" t="s">
        <v>111</v>
      </c>
      <c r="D1863" s="967" t="s">
        <v>35</v>
      </c>
      <c r="E1863" s="970">
        <v>1.05</v>
      </c>
      <c r="F1863" s="970">
        <f>'lead 21-22'!$L$12</f>
        <v>1743.4000000000019</v>
      </c>
      <c r="G1863" s="969">
        <f>ROUND(E1863*F1863,2)</f>
        <v>1830.57</v>
      </c>
      <c r="H1863" s="964" t="s">
        <v>2312</v>
      </c>
    </row>
    <row r="1864" spans="1:8" hidden="1">
      <c r="A1864" s="967"/>
      <c r="B1864" s="967"/>
      <c r="C1864" s="1382" t="s">
        <v>45</v>
      </c>
      <c r="D1864" s="967" t="s">
        <v>27</v>
      </c>
      <c r="E1864" s="970">
        <v>0.2</v>
      </c>
      <c r="F1864" s="970">
        <f>'MINI SSR 21-22'!H$5</f>
        <v>490</v>
      </c>
      <c r="G1864" s="969">
        <f>ROUND(E1864*F1864,2)</f>
        <v>98</v>
      </c>
      <c r="H1864" s="964" t="s">
        <v>2312</v>
      </c>
    </row>
    <row r="1865" spans="1:8" hidden="1">
      <c r="A1865" s="967"/>
      <c r="B1865" s="967"/>
      <c r="C1865" s="1382"/>
      <c r="D1865" s="967"/>
      <c r="E1865" s="967"/>
      <c r="F1865" s="967"/>
      <c r="G1865" s="972">
        <f>SUM(G1862:G1864)</f>
        <v>2774.5699999999997</v>
      </c>
      <c r="H1865" s="964" t="s">
        <v>2312</v>
      </c>
    </row>
    <row r="1866" spans="1:8" ht="25.5" hidden="1">
      <c r="A1866" s="967"/>
      <c r="B1866" s="967"/>
      <c r="C1866" s="1382" t="s">
        <v>827</v>
      </c>
      <c r="D1866" s="967"/>
      <c r="E1866" s="967"/>
      <c r="F1866" s="967"/>
      <c r="G1866" s="967"/>
      <c r="H1866" s="964" t="s">
        <v>2312</v>
      </c>
    </row>
    <row r="1867" spans="1:8" hidden="1">
      <c r="A1867" s="967"/>
      <c r="B1867" s="967"/>
      <c r="C1867" s="1382" t="s">
        <v>822</v>
      </c>
      <c r="D1867" s="990">
        <v>0.6</v>
      </c>
      <c r="E1867" s="990">
        <f>'lead 21-22'!L17</f>
        <v>2046.3499999999997</v>
      </c>
      <c r="F1867" s="990">
        <f>ROUND(D1867*E1867,2)</f>
        <v>1227.81</v>
      </c>
      <c r="G1867" s="967"/>
      <c r="H1867" s="964" t="s">
        <v>2312</v>
      </c>
    </row>
    <row r="1868" spans="1:8" hidden="1">
      <c r="A1868" s="967"/>
      <c r="B1868" s="967"/>
      <c r="C1868" s="1382" t="s">
        <v>823</v>
      </c>
      <c r="D1868" s="990">
        <v>0.15</v>
      </c>
      <c r="E1868" s="990">
        <f>'lead 21-22'!L18</f>
        <v>1772.5999999999997</v>
      </c>
      <c r="F1868" s="990">
        <f>ROUND(D1868*E1868,2)</f>
        <v>265.89</v>
      </c>
      <c r="G1868" s="967"/>
      <c r="H1868" s="964" t="s">
        <v>2312</v>
      </c>
    </row>
    <row r="1869" spans="1:8" hidden="1">
      <c r="A1869" s="967"/>
      <c r="B1869" s="967"/>
      <c r="C1869" s="1382" t="s">
        <v>824</v>
      </c>
      <c r="D1869" s="990">
        <v>0.15</v>
      </c>
      <c r="E1869" s="990">
        <f>'lead 21-22'!L19</f>
        <v>1605.0999999999997</v>
      </c>
      <c r="F1869" s="990">
        <f>ROUND(D1869*E1869,2)</f>
        <v>240.77</v>
      </c>
      <c r="G1869" s="967"/>
      <c r="H1869" s="964" t="s">
        <v>2312</v>
      </c>
    </row>
    <row r="1870" spans="1:8" hidden="1">
      <c r="A1870" s="967"/>
      <c r="B1870" s="967"/>
      <c r="C1870" s="1382" t="s">
        <v>825</v>
      </c>
      <c r="D1870" s="990">
        <v>0.1</v>
      </c>
      <c r="E1870" s="990">
        <f>'lead 21-22'!L20</f>
        <v>1417.5999999999997</v>
      </c>
      <c r="F1870" s="990">
        <f>ROUND(D1870*E1870,2)</f>
        <v>141.76</v>
      </c>
      <c r="G1870" s="967"/>
      <c r="H1870" s="964" t="s">
        <v>2312</v>
      </c>
    </row>
    <row r="1871" spans="1:8" hidden="1">
      <c r="A1871" s="967"/>
      <c r="B1871" s="967"/>
      <c r="C1871" s="962" t="s">
        <v>826</v>
      </c>
      <c r="D1871" s="967"/>
      <c r="E1871" s="967"/>
      <c r="F1871" s="974">
        <f>SUM(F1867:F1870)</f>
        <v>1876.2299999999998</v>
      </c>
      <c r="G1871" s="967"/>
      <c r="H1871" s="964" t="s">
        <v>2312</v>
      </c>
    </row>
    <row r="1872" spans="1:8" hidden="1">
      <c r="A1872" s="967"/>
      <c r="B1872" s="967"/>
      <c r="C1872" s="1382"/>
      <c r="D1872" s="967"/>
      <c r="E1872" s="967"/>
      <c r="F1872" s="967"/>
      <c r="G1872" s="967"/>
      <c r="H1872" s="964" t="s">
        <v>2312</v>
      </c>
    </row>
    <row r="1873" spans="1:8" ht="25.5" hidden="1">
      <c r="A1873" s="896">
        <v>6</v>
      </c>
      <c r="B1873" s="966"/>
      <c r="C1873" s="1382" t="s">
        <v>294</v>
      </c>
      <c r="D1873" s="967"/>
      <c r="E1873" s="967"/>
      <c r="F1873" s="967"/>
      <c r="G1873" s="902"/>
      <c r="H1873" s="964" t="s">
        <v>2312</v>
      </c>
    </row>
    <row r="1874" spans="1:8" hidden="1">
      <c r="A1874" s="896"/>
      <c r="B1874" s="966"/>
      <c r="C1874" s="1382" t="s">
        <v>31</v>
      </c>
      <c r="D1874" s="967"/>
      <c r="E1874" s="967"/>
      <c r="F1874" s="967"/>
      <c r="G1874" s="902"/>
      <c r="H1874" s="964" t="s">
        <v>2312</v>
      </c>
    </row>
    <row r="1875" spans="1:8" hidden="1">
      <c r="A1875" s="896"/>
      <c r="B1875" s="967"/>
      <c r="C1875" s="1382" t="s">
        <v>1322</v>
      </c>
      <c r="D1875" s="967"/>
      <c r="E1875" s="967"/>
      <c r="F1875" s="967"/>
      <c r="G1875" s="902"/>
      <c r="H1875" s="964" t="s">
        <v>2312</v>
      </c>
    </row>
    <row r="1876" spans="1:8" hidden="1">
      <c r="A1876" s="896"/>
      <c r="B1876" s="968"/>
      <c r="C1876" s="1382" t="s">
        <v>122</v>
      </c>
      <c r="D1876" s="967"/>
      <c r="E1876" s="967"/>
      <c r="F1876" s="967"/>
      <c r="G1876" s="969">
        <f>'MINI SSR 21-22'!H25</f>
        <v>6.06</v>
      </c>
      <c r="H1876" s="964" t="s">
        <v>2312</v>
      </c>
    </row>
    <row r="1877" spans="1:8" hidden="1">
      <c r="A1877" s="902"/>
      <c r="B1877" s="902"/>
      <c r="C1877" s="962" t="s">
        <v>119</v>
      </c>
      <c r="D1877" s="896"/>
      <c r="E1877" s="896"/>
      <c r="F1877" s="896"/>
      <c r="G1877" s="963">
        <f>SUM(G1876)</f>
        <v>6.06</v>
      </c>
      <c r="H1877" s="964" t="s">
        <v>2312</v>
      </c>
    </row>
    <row r="1878" spans="1:8" ht="63.75" hidden="1">
      <c r="A1878" s="896">
        <v>33</v>
      </c>
      <c r="B1878" s="966"/>
      <c r="C1878" s="1382" t="s">
        <v>1277</v>
      </c>
      <c r="D1878" s="967"/>
      <c r="E1878" s="967"/>
      <c r="F1878" s="967"/>
      <c r="G1878" s="902"/>
      <c r="H1878" s="964" t="s">
        <v>2312</v>
      </c>
    </row>
    <row r="1879" spans="1:8" hidden="1">
      <c r="A1879" s="896"/>
      <c r="B1879" s="966"/>
      <c r="C1879" s="1382" t="s">
        <v>31</v>
      </c>
      <c r="D1879" s="967"/>
      <c r="E1879" s="967"/>
      <c r="F1879" s="967"/>
      <c r="G1879" s="902"/>
      <c r="H1879" s="964" t="s">
        <v>2312</v>
      </c>
    </row>
    <row r="1880" spans="1:8" hidden="1">
      <c r="A1880" s="896"/>
      <c r="B1880" s="967"/>
      <c r="C1880" s="1382" t="s">
        <v>1322</v>
      </c>
      <c r="D1880" s="967"/>
      <c r="E1880" s="967"/>
      <c r="F1880" s="967"/>
      <c r="G1880" s="902"/>
      <c r="H1880" s="964" t="s">
        <v>2312</v>
      </c>
    </row>
    <row r="1881" spans="1:8" hidden="1">
      <c r="A1881" s="896"/>
      <c r="B1881" s="968"/>
      <c r="C1881" s="1382" t="s">
        <v>122</v>
      </c>
      <c r="D1881" s="967"/>
      <c r="E1881" s="967"/>
      <c r="F1881" s="967"/>
      <c r="G1881" s="969">
        <f>'MINI SSR 21-22'!H26</f>
        <v>144.26</v>
      </c>
      <c r="H1881" s="964" t="s">
        <v>2312</v>
      </c>
    </row>
    <row r="1882" spans="1:8" hidden="1">
      <c r="A1882" s="902"/>
      <c r="B1882" s="902"/>
      <c r="C1882" s="962" t="s">
        <v>119</v>
      </c>
      <c r="D1882" s="896"/>
      <c r="E1882" s="896"/>
      <c r="F1882" s="896"/>
      <c r="G1882" s="963">
        <f>SUM(G1881)</f>
        <v>144.26</v>
      </c>
      <c r="H1882" s="964" t="s">
        <v>2312</v>
      </c>
    </row>
    <row r="1883" spans="1:8" ht="89.25" hidden="1">
      <c r="A1883" s="896">
        <v>8</v>
      </c>
      <c r="B1883" s="966" t="s">
        <v>1325</v>
      </c>
      <c r="C1883" s="1382" t="s">
        <v>55</v>
      </c>
      <c r="D1883" s="967"/>
      <c r="E1883" s="967"/>
      <c r="F1883" s="967"/>
      <c r="G1883" s="966"/>
      <c r="H1883" s="964" t="s">
        <v>2312</v>
      </c>
    </row>
    <row r="1884" spans="1:8" hidden="1">
      <c r="A1884" s="896"/>
      <c r="B1884" s="967"/>
      <c r="C1884" s="962" t="s">
        <v>31</v>
      </c>
      <c r="D1884" s="967"/>
      <c r="E1884" s="967"/>
      <c r="F1884" s="967"/>
      <c r="G1884" s="902"/>
      <c r="H1884" s="964" t="s">
        <v>2312</v>
      </c>
    </row>
    <row r="1885" spans="1:8" hidden="1">
      <c r="A1885" s="896"/>
      <c r="B1885" s="967"/>
      <c r="C1885" s="962" t="s">
        <v>2405</v>
      </c>
      <c r="D1885" s="967"/>
      <c r="E1885" s="967"/>
      <c r="F1885" s="967"/>
      <c r="G1885" s="902"/>
      <c r="H1885" s="964" t="s">
        <v>2312</v>
      </c>
    </row>
    <row r="1886" spans="1:8" hidden="1">
      <c r="A1886" s="896"/>
      <c r="B1886" s="968" t="s">
        <v>18</v>
      </c>
      <c r="C1886" s="962" t="s">
        <v>26</v>
      </c>
      <c r="D1886" s="967"/>
      <c r="E1886" s="967"/>
      <c r="F1886" s="967"/>
      <c r="G1886" s="902"/>
      <c r="H1886" s="964" t="s">
        <v>2312</v>
      </c>
    </row>
    <row r="1887" spans="1:8" hidden="1">
      <c r="A1887" s="902"/>
      <c r="B1887" s="902"/>
      <c r="C1887" s="1382" t="s">
        <v>118</v>
      </c>
      <c r="D1887" s="896" t="s">
        <v>27</v>
      </c>
      <c r="E1887" s="922">
        <v>0.31</v>
      </c>
      <c r="F1887" s="970">
        <f>'MINI SSR 21-22'!H$5</f>
        <v>490</v>
      </c>
      <c r="G1887" s="969">
        <f>ROUND(E1887*F1887,2)</f>
        <v>151.9</v>
      </c>
      <c r="H1887" s="964" t="s">
        <v>2312</v>
      </c>
    </row>
    <row r="1888" spans="1:8" hidden="1">
      <c r="A1888" s="902"/>
      <c r="B1888" s="968" t="s">
        <v>20</v>
      </c>
      <c r="C1888" s="962" t="s">
        <v>22</v>
      </c>
      <c r="D1888" s="896"/>
      <c r="E1888" s="896"/>
      <c r="F1888" s="896"/>
      <c r="G1888" s="902"/>
      <c r="H1888" s="964" t="s">
        <v>2312</v>
      </c>
    </row>
    <row r="1889" spans="1:8" hidden="1">
      <c r="A1889" s="902"/>
      <c r="B1889" s="902"/>
      <c r="C1889" s="1382" t="s">
        <v>32</v>
      </c>
      <c r="D1889" s="896" t="s">
        <v>5</v>
      </c>
      <c r="E1889" s="922">
        <v>6</v>
      </c>
      <c r="F1889" s="922">
        <f>'lead 21-22'!L14</f>
        <v>1503.4000000000019</v>
      </c>
      <c r="G1889" s="969">
        <f>ROUND(E1889*F1889,2)</f>
        <v>9020.4</v>
      </c>
      <c r="H1889" s="964" t="s">
        <v>2312</v>
      </c>
    </row>
    <row r="1890" spans="1:8" hidden="1">
      <c r="A1890" s="902"/>
      <c r="B1890" s="902"/>
      <c r="C1890" s="962" t="s">
        <v>2406</v>
      </c>
      <c r="D1890" s="896"/>
      <c r="E1890" s="922"/>
      <c r="F1890" s="922"/>
      <c r="G1890" s="969">
        <f>SUM(G1887:G1889)</f>
        <v>9172.2999999999993</v>
      </c>
      <c r="H1890" s="964" t="s">
        <v>2312</v>
      </c>
    </row>
    <row r="1891" spans="1:8" hidden="1">
      <c r="A1891" s="902"/>
      <c r="B1891" s="902"/>
      <c r="C1891" s="962" t="s">
        <v>28</v>
      </c>
      <c r="D1891" s="896"/>
      <c r="E1891" s="896"/>
      <c r="F1891" s="896"/>
      <c r="G1891" s="963">
        <f>ROUND(G1890/6,2)</f>
        <v>1528.72</v>
      </c>
      <c r="H1891" s="964" t="s">
        <v>2312</v>
      </c>
    </row>
    <row r="1892" spans="1:8" ht="102" hidden="1">
      <c r="A1892" s="896">
        <v>9</v>
      </c>
      <c r="B1892" s="966" t="s">
        <v>1324</v>
      </c>
      <c r="C1892" s="1382" t="s">
        <v>1189</v>
      </c>
      <c r="D1892" s="967"/>
      <c r="E1892" s="967"/>
      <c r="F1892" s="967"/>
      <c r="G1892" s="966"/>
      <c r="H1892" s="964" t="s">
        <v>2312</v>
      </c>
    </row>
    <row r="1893" spans="1:8" hidden="1">
      <c r="A1893" s="896"/>
      <c r="B1893" s="967"/>
      <c r="C1893" s="962" t="s">
        <v>2407</v>
      </c>
      <c r="D1893" s="967"/>
      <c r="E1893" s="967"/>
      <c r="F1893" s="967"/>
      <c r="G1893" s="902"/>
      <c r="H1893" s="964" t="s">
        <v>2312</v>
      </c>
    </row>
    <row r="1894" spans="1:8" hidden="1">
      <c r="A1894" s="896"/>
      <c r="B1894" s="968" t="s">
        <v>18</v>
      </c>
      <c r="C1894" s="962" t="s">
        <v>26</v>
      </c>
      <c r="D1894" s="967"/>
      <c r="E1894" s="967"/>
      <c r="F1894" s="967"/>
      <c r="G1894" s="902"/>
      <c r="H1894" s="964" t="s">
        <v>2312</v>
      </c>
    </row>
    <row r="1895" spans="1:8" hidden="1">
      <c r="A1895" s="902"/>
      <c r="B1895" s="902"/>
      <c r="C1895" s="1382" t="s">
        <v>118</v>
      </c>
      <c r="D1895" s="896" t="s">
        <v>27</v>
      </c>
      <c r="E1895" s="922">
        <v>0.31</v>
      </c>
      <c r="F1895" s="970">
        <f>'MINI SSR 21-22'!H$5</f>
        <v>490</v>
      </c>
      <c r="G1895" s="969">
        <f>ROUND(E1895*F1895,2)</f>
        <v>151.9</v>
      </c>
      <c r="H1895" s="964" t="s">
        <v>2312</v>
      </c>
    </row>
    <row r="1896" spans="1:8" hidden="1">
      <c r="A1896" s="902"/>
      <c r="B1896" s="968" t="s">
        <v>20</v>
      </c>
      <c r="C1896" s="962" t="s">
        <v>22</v>
      </c>
      <c r="D1896" s="896"/>
      <c r="E1896" s="896"/>
      <c r="F1896" s="896"/>
      <c r="G1896" s="902"/>
      <c r="H1896" s="964" t="s">
        <v>2312</v>
      </c>
    </row>
    <row r="1897" spans="1:8" hidden="1">
      <c r="A1897" s="902"/>
      <c r="B1897" s="902"/>
      <c r="C1897" s="1382" t="s">
        <v>860</v>
      </c>
      <c r="D1897" s="896" t="s">
        <v>5</v>
      </c>
      <c r="E1897" s="922">
        <v>6</v>
      </c>
      <c r="F1897" s="922">
        <f>'lead 21-22'!L24</f>
        <v>174.65</v>
      </c>
      <c r="G1897" s="969">
        <f>ROUND(E1897*F1897,2)</f>
        <v>1047.9000000000001</v>
      </c>
      <c r="H1897" s="964" t="s">
        <v>2312</v>
      </c>
    </row>
    <row r="1898" spans="1:8" hidden="1">
      <c r="A1898" s="902"/>
      <c r="B1898" s="902"/>
      <c r="C1898" s="962" t="s">
        <v>2406</v>
      </c>
      <c r="D1898" s="896"/>
      <c r="E1898" s="922"/>
      <c r="F1898" s="922"/>
      <c r="G1898" s="969">
        <f>SUM(G1895:G1897)</f>
        <v>1199.8000000000002</v>
      </c>
      <c r="H1898" s="964" t="s">
        <v>2312</v>
      </c>
    </row>
    <row r="1899" spans="1:8" hidden="1">
      <c r="A1899" s="902"/>
      <c r="B1899" s="902"/>
      <c r="C1899" s="962" t="s">
        <v>28</v>
      </c>
      <c r="D1899" s="896"/>
      <c r="E1899" s="896"/>
      <c r="F1899" s="896"/>
      <c r="G1899" s="963">
        <f>ROUND(G1898/6,2)</f>
        <v>199.97</v>
      </c>
      <c r="H1899" s="964" t="s">
        <v>2312</v>
      </c>
    </row>
    <row r="1900" spans="1:8" ht="89.25" hidden="1">
      <c r="A1900" s="896">
        <v>10</v>
      </c>
      <c r="B1900" s="966" t="s">
        <v>1324</v>
      </c>
      <c r="C1900" s="1382" t="s">
        <v>662</v>
      </c>
      <c r="D1900" s="967"/>
      <c r="E1900" s="967"/>
      <c r="F1900" s="967"/>
      <c r="G1900" s="966"/>
      <c r="H1900" s="964" t="s">
        <v>2312</v>
      </c>
    </row>
    <row r="1901" spans="1:8" hidden="1">
      <c r="A1901" s="896"/>
      <c r="B1901" s="967"/>
      <c r="C1901" s="962" t="s">
        <v>2407</v>
      </c>
      <c r="D1901" s="967"/>
      <c r="E1901" s="967"/>
      <c r="F1901" s="967"/>
      <c r="G1901" s="902"/>
      <c r="H1901" s="964" t="s">
        <v>2312</v>
      </c>
    </row>
    <row r="1902" spans="1:8" hidden="1">
      <c r="A1902" s="896"/>
      <c r="B1902" s="968" t="s">
        <v>18</v>
      </c>
      <c r="C1902" s="962" t="s">
        <v>26</v>
      </c>
      <c r="D1902" s="967"/>
      <c r="E1902" s="967"/>
      <c r="F1902" s="967"/>
      <c r="G1902" s="902"/>
      <c r="H1902" s="964" t="s">
        <v>2312</v>
      </c>
    </row>
    <row r="1903" spans="1:8" hidden="1">
      <c r="A1903" s="902"/>
      <c r="B1903" s="902"/>
      <c r="C1903" s="1382" t="s">
        <v>118</v>
      </c>
      <c r="D1903" s="896" t="s">
        <v>27</v>
      </c>
      <c r="E1903" s="922">
        <v>0.31</v>
      </c>
      <c r="F1903" s="970">
        <f>'MINI SSR 21-22'!H$5</f>
        <v>490</v>
      </c>
      <c r="G1903" s="969">
        <f>ROUND(E1903*F1903,2)</f>
        <v>151.9</v>
      </c>
      <c r="H1903" s="964" t="s">
        <v>2312</v>
      </c>
    </row>
    <row r="1904" spans="1:8" hidden="1">
      <c r="A1904" s="902"/>
      <c r="B1904" s="968" t="s">
        <v>20</v>
      </c>
      <c r="C1904" s="962" t="s">
        <v>22</v>
      </c>
      <c r="D1904" s="896"/>
      <c r="E1904" s="896"/>
      <c r="F1904" s="896"/>
      <c r="G1904" s="902"/>
      <c r="H1904" s="964" t="s">
        <v>2312</v>
      </c>
    </row>
    <row r="1905" spans="1:8" hidden="1">
      <c r="A1905" s="902"/>
      <c r="B1905" s="902"/>
      <c r="C1905" s="1382" t="s">
        <v>663</v>
      </c>
      <c r="D1905" s="896" t="s">
        <v>5</v>
      </c>
      <c r="E1905" s="922">
        <v>6</v>
      </c>
      <c r="F1905" s="922">
        <f>'lead 21-22'!L25</f>
        <v>227.9</v>
      </c>
      <c r="G1905" s="969">
        <f>ROUND(E1905*F1905,2)</f>
        <v>1367.4</v>
      </c>
      <c r="H1905" s="964" t="s">
        <v>2312</v>
      </c>
    </row>
    <row r="1906" spans="1:8" hidden="1">
      <c r="A1906" s="902"/>
      <c r="B1906" s="902"/>
      <c r="C1906" s="962" t="s">
        <v>2406</v>
      </c>
      <c r="D1906" s="896"/>
      <c r="E1906" s="922"/>
      <c r="F1906" s="922"/>
      <c r="G1906" s="969">
        <f>SUM(G1903:G1905)</f>
        <v>1519.3000000000002</v>
      </c>
      <c r="H1906" s="964" t="s">
        <v>2312</v>
      </c>
    </row>
    <row r="1907" spans="1:8" hidden="1">
      <c r="A1907" s="902"/>
      <c r="B1907" s="902"/>
      <c r="C1907" s="962" t="s">
        <v>28</v>
      </c>
      <c r="D1907" s="896"/>
      <c r="E1907" s="896"/>
      <c r="F1907" s="896"/>
      <c r="G1907" s="963">
        <f>ROUND(G1906/6,2)</f>
        <v>253.22</v>
      </c>
      <c r="H1907" s="964" t="s">
        <v>2312</v>
      </c>
    </row>
    <row r="1908" spans="1:8" ht="63.75" hidden="1">
      <c r="A1908" s="896">
        <v>11</v>
      </c>
      <c r="B1908" s="966" t="s">
        <v>1323</v>
      </c>
      <c r="C1908" s="1382" t="s">
        <v>282</v>
      </c>
      <c r="D1908" s="967"/>
      <c r="E1908" s="967"/>
      <c r="F1908" s="967"/>
      <c r="G1908" s="966"/>
      <c r="H1908" s="964" t="s">
        <v>2312</v>
      </c>
    </row>
    <row r="1909" spans="1:8" hidden="1">
      <c r="A1909" s="967"/>
      <c r="B1909" s="967"/>
      <c r="C1909" s="1382" t="s">
        <v>312</v>
      </c>
      <c r="D1909" s="967"/>
      <c r="E1909" s="970"/>
      <c r="F1909" s="970"/>
      <c r="G1909" s="969"/>
      <c r="H1909" s="964" t="s">
        <v>2312</v>
      </c>
    </row>
    <row r="1910" spans="1:8" hidden="1">
      <c r="A1910" s="967"/>
      <c r="B1910" s="967"/>
      <c r="C1910" s="1382" t="s">
        <v>311</v>
      </c>
      <c r="D1910" s="967" t="s">
        <v>27</v>
      </c>
      <c r="E1910" s="970">
        <v>3.12</v>
      </c>
      <c r="F1910" s="970">
        <f>'MINI SSR 21-22'!H$5</f>
        <v>490</v>
      </c>
      <c r="G1910" s="969">
        <f>ROUND(E1910*F1910,2)</f>
        <v>1528.8</v>
      </c>
      <c r="H1910" s="964" t="s">
        <v>2312</v>
      </c>
    </row>
    <row r="1911" spans="1:8" hidden="1">
      <c r="A1911" s="967"/>
      <c r="B1911" s="967"/>
      <c r="C1911" s="1382" t="s">
        <v>57</v>
      </c>
      <c r="D1911" s="967" t="s">
        <v>59</v>
      </c>
      <c r="E1911" s="970">
        <v>0.72</v>
      </c>
      <c r="F1911" s="922">
        <f>'MINI SSR 21-22'!$C$29</f>
        <v>88</v>
      </c>
      <c r="G1911" s="969">
        <f>ROUND(E1911*F1911,2)</f>
        <v>63.36</v>
      </c>
      <c r="H1911" s="964" t="s">
        <v>2312</v>
      </c>
    </row>
    <row r="1912" spans="1:8" hidden="1">
      <c r="A1912" s="967"/>
      <c r="B1912" s="967"/>
      <c r="C1912" s="1382" t="s">
        <v>313</v>
      </c>
      <c r="D1912" s="967"/>
      <c r="E1912" s="970"/>
      <c r="F1912" s="970"/>
      <c r="G1912" s="969">
        <f>SUM(G1910:G1911)</f>
        <v>1592.1599999999999</v>
      </c>
      <c r="H1912" s="964" t="s">
        <v>2312</v>
      </c>
    </row>
    <row r="1913" spans="1:8" hidden="1">
      <c r="A1913" s="967"/>
      <c r="B1913" s="967"/>
      <c r="C1913" s="1382" t="s">
        <v>313</v>
      </c>
      <c r="D1913" s="967"/>
      <c r="E1913" s="967"/>
      <c r="F1913" s="967"/>
      <c r="G1913" s="971">
        <f>ROUND(G1912/6,2)</f>
        <v>265.36</v>
      </c>
      <c r="H1913" s="964" t="s">
        <v>2312</v>
      </c>
    </row>
    <row r="1914" spans="1:8" ht="89.25" hidden="1">
      <c r="A1914" s="896">
        <v>34</v>
      </c>
      <c r="B1914" s="966" t="s">
        <v>158</v>
      </c>
      <c r="C1914" s="1382" t="s">
        <v>159</v>
      </c>
      <c r="D1914" s="967"/>
      <c r="E1914" s="967"/>
      <c r="F1914" s="967"/>
      <c r="G1914" s="966"/>
      <c r="H1914" s="964" t="s">
        <v>2312</v>
      </c>
    </row>
    <row r="1915" spans="1:8" hidden="1">
      <c r="A1915" s="896"/>
      <c r="B1915" s="966"/>
      <c r="C1915" s="962" t="s">
        <v>60</v>
      </c>
      <c r="D1915" s="967"/>
      <c r="E1915" s="967"/>
      <c r="F1915" s="967"/>
      <c r="G1915" s="972"/>
      <c r="H1915" s="964" t="s">
        <v>2312</v>
      </c>
    </row>
    <row r="1916" spans="1:8" hidden="1">
      <c r="A1916" s="967"/>
      <c r="B1916" s="967"/>
      <c r="C1916" s="1382" t="s">
        <v>44</v>
      </c>
      <c r="D1916" s="967" t="s">
        <v>4</v>
      </c>
      <c r="E1916" s="970">
        <v>162</v>
      </c>
      <c r="F1916" s="970">
        <f>'lead 21-22'!L8</f>
        <v>4700</v>
      </c>
      <c r="G1916" s="969">
        <f>ROUND(E1916*F1916/1000,2)</f>
        <v>761.4</v>
      </c>
      <c r="H1916" s="964" t="s">
        <v>2312</v>
      </c>
    </row>
    <row r="1917" spans="1:8" hidden="1">
      <c r="A1917" s="967"/>
      <c r="B1917" s="967"/>
      <c r="C1917" s="1382" t="s">
        <v>56</v>
      </c>
      <c r="D1917" s="967" t="s">
        <v>35</v>
      </c>
      <c r="E1917" s="970">
        <v>0.9</v>
      </c>
      <c r="F1917" s="970">
        <f>'lead 21-22'!L16</f>
        <v>1508.8499999999997</v>
      </c>
      <c r="G1917" s="969">
        <f>ROUND(E1917*F1917,2)</f>
        <v>1357.97</v>
      </c>
      <c r="H1917" s="964" t="s">
        <v>2312</v>
      </c>
    </row>
    <row r="1918" spans="1:8" hidden="1">
      <c r="A1918" s="967"/>
      <c r="B1918" s="967"/>
      <c r="C1918" s="1382" t="s">
        <v>112</v>
      </c>
      <c r="D1918" s="967" t="s">
        <v>35</v>
      </c>
      <c r="E1918" s="970">
        <v>0.45</v>
      </c>
      <c r="F1918" s="970">
        <f>'lead 21-22'!L13</f>
        <v>1648.4000000000019</v>
      </c>
      <c r="G1918" s="969">
        <f>ROUND(E1918*F1918,2)</f>
        <v>741.78</v>
      </c>
      <c r="H1918" s="964" t="s">
        <v>2312</v>
      </c>
    </row>
    <row r="1919" spans="1:8" hidden="1">
      <c r="A1919" s="967"/>
      <c r="B1919" s="967"/>
      <c r="C1919" s="1382" t="s">
        <v>57</v>
      </c>
      <c r="D1919" s="967" t="s">
        <v>58</v>
      </c>
      <c r="E1919" s="970">
        <v>1.2</v>
      </c>
      <c r="F1919" s="922">
        <f>'MINI SSR 21-22'!$C$29</f>
        <v>88</v>
      </c>
      <c r="G1919" s="969">
        <f>ROUND(E1919*F1919,2)</f>
        <v>105.6</v>
      </c>
      <c r="H1919" s="964" t="s">
        <v>2312</v>
      </c>
    </row>
    <row r="1920" spans="1:8" hidden="1">
      <c r="A1920" s="967"/>
      <c r="B1920" s="967"/>
      <c r="C1920" s="962" t="s">
        <v>61</v>
      </c>
      <c r="D1920" s="967"/>
      <c r="E1920" s="970"/>
      <c r="F1920" s="970"/>
      <c r="G1920" s="969"/>
      <c r="H1920" s="964" t="s">
        <v>2312</v>
      </c>
    </row>
    <row r="1921" spans="1:8" hidden="1">
      <c r="A1921" s="967"/>
      <c r="B1921" s="967"/>
      <c r="C1921" s="1382" t="s">
        <v>62</v>
      </c>
      <c r="D1921" s="967" t="s">
        <v>21</v>
      </c>
      <c r="E1921" s="970">
        <v>1</v>
      </c>
      <c r="F1921" s="970">
        <f>'MINI SSR 21-22'!$C$30</f>
        <v>626.20000000000005</v>
      </c>
      <c r="G1921" s="969">
        <f>ROUND(E1921*F1921,2)</f>
        <v>626.20000000000005</v>
      </c>
      <c r="H1921" s="964" t="s">
        <v>2312</v>
      </c>
    </row>
    <row r="1922" spans="1:8" hidden="1">
      <c r="A1922" s="967"/>
      <c r="B1922" s="967"/>
      <c r="C1922" s="962" t="s">
        <v>63</v>
      </c>
      <c r="D1922" s="967"/>
      <c r="E1922" s="970"/>
      <c r="F1922" s="970"/>
      <c r="G1922" s="969"/>
      <c r="H1922" s="964" t="s">
        <v>2312</v>
      </c>
    </row>
    <row r="1923" spans="1:8" hidden="1">
      <c r="A1923" s="967"/>
      <c r="B1923" s="967"/>
      <c r="C1923" s="1382" t="s">
        <v>64</v>
      </c>
      <c r="D1923" s="967" t="s">
        <v>27</v>
      </c>
      <c r="E1923" s="970">
        <v>0.1</v>
      </c>
      <c r="F1923" s="970">
        <f>'MINI SSR 21-22'!$H$3</f>
        <v>585</v>
      </c>
      <c r="G1923" s="969">
        <f>ROUND(E1923*F1923,2)</f>
        <v>58.5</v>
      </c>
      <c r="H1923" s="964" t="s">
        <v>2312</v>
      </c>
    </row>
    <row r="1924" spans="1:8" hidden="1">
      <c r="A1924" s="967"/>
      <c r="B1924" s="967"/>
      <c r="C1924" s="1382" t="s">
        <v>19</v>
      </c>
      <c r="D1924" s="967" t="s">
        <v>27</v>
      </c>
      <c r="E1924" s="970">
        <v>1.39</v>
      </c>
      <c r="F1924" s="970">
        <f>'MINI SSR 21-22'!H$5</f>
        <v>490</v>
      </c>
      <c r="G1924" s="969">
        <f>ROUND(E1924*F1924,2)</f>
        <v>681.1</v>
      </c>
      <c r="H1924" s="964" t="s">
        <v>2312</v>
      </c>
    </row>
    <row r="1925" spans="1:8" hidden="1">
      <c r="A1925" s="967"/>
      <c r="B1925" s="967"/>
      <c r="C1925" s="1382"/>
      <c r="D1925" s="967"/>
      <c r="E1925" s="967"/>
      <c r="F1925" s="967"/>
      <c r="G1925" s="971">
        <f>SUM(G1916:G1924)</f>
        <v>4332.55</v>
      </c>
      <c r="H1925" s="964" t="s">
        <v>2312</v>
      </c>
    </row>
    <row r="1926" spans="1:8" ht="89.25" hidden="1">
      <c r="A1926" s="896">
        <v>13</v>
      </c>
      <c r="B1926" s="966" t="s">
        <v>65</v>
      </c>
      <c r="C1926" s="1382" t="s">
        <v>67</v>
      </c>
      <c r="D1926" s="967"/>
      <c r="E1926" s="967"/>
      <c r="F1926" s="967"/>
      <c r="G1926" s="966"/>
      <c r="H1926" s="964" t="s">
        <v>2312</v>
      </c>
    </row>
    <row r="1927" spans="1:8" hidden="1">
      <c r="A1927" s="896"/>
      <c r="B1927" s="966"/>
      <c r="C1927" s="962" t="s">
        <v>60</v>
      </c>
      <c r="D1927" s="967"/>
      <c r="E1927" s="967"/>
      <c r="F1927" s="967"/>
      <c r="G1927" s="972"/>
      <c r="H1927" s="964" t="s">
        <v>2312</v>
      </c>
    </row>
    <row r="1928" spans="1:8" hidden="1">
      <c r="A1928" s="967"/>
      <c r="B1928" s="967"/>
      <c r="C1928" s="1382" t="s">
        <v>44</v>
      </c>
      <c r="D1928" s="967" t="s">
        <v>4</v>
      </c>
      <c r="E1928" s="970">
        <v>129.6</v>
      </c>
      <c r="F1928" s="970">
        <f>F1916</f>
        <v>4700</v>
      </c>
      <c r="G1928" s="969">
        <f>ROUND(E1928*F1928/1000,2)</f>
        <v>609.12</v>
      </c>
      <c r="H1928" s="964" t="s">
        <v>2312</v>
      </c>
    </row>
    <row r="1929" spans="1:8" hidden="1">
      <c r="A1929" s="967"/>
      <c r="B1929" s="967"/>
      <c r="C1929" s="1382" t="s">
        <v>56</v>
      </c>
      <c r="D1929" s="967" t="s">
        <v>35</v>
      </c>
      <c r="E1929" s="970">
        <v>0.9</v>
      </c>
      <c r="F1929" s="970">
        <f>F1917</f>
        <v>1508.8499999999997</v>
      </c>
      <c r="G1929" s="969">
        <f>ROUND(E1929*F1929,2)</f>
        <v>1357.97</v>
      </c>
      <c r="H1929" s="964" t="s">
        <v>2312</v>
      </c>
    </row>
    <row r="1930" spans="1:8" hidden="1">
      <c r="A1930" s="967"/>
      <c r="B1930" s="967"/>
      <c r="C1930" s="1382" t="s">
        <v>112</v>
      </c>
      <c r="D1930" s="967" t="s">
        <v>35</v>
      </c>
      <c r="E1930" s="970">
        <v>0.45</v>
      </c>
      <c r="F1930" s="970">
        <f>F1918</f>
        <v>1648.4000000000019</v>
      </c>
      <c r="G1930" s="969">
        <f>ROUND(E1930*F1930,2)</f>
        <v>741.78</v>
      </c>
      <c r="H1930" s="964" t="s">
        <v>2312</v>
      </c>
    </row>
    <row r="1931" spans="1:8" hidden="1">
      <c r="A1931" s="967"/>
      <c r="B1931" s="967"/>
      <c r="C1931" s="1382" t="s">
        <v>57</v>
      </c>
      <c r="D1931" s="967" t="s">
        <v>58</v>
      </c>
      <c r="E1931" s="970">
        <v>1.2</v>
      </c>
      <c r="F1931" s="922">
        <f>'MINI SSR 21-22'!$C$29</f>
        <v>88</v>
      </c>
      <c r="G1931" s="969">
        <f>ROUND(E1931*F1931,2)</f>
        <v>105.6</v>
      </c>
      <c r="H1931" s="964" t="s">
        <v>2312</v>
      </c>
    </row>
    <row r="1932" spans="1:8" hidden="1">
      <c r="A1932" s="967"/>
      <c r="B1932" s="967"/>
      <c r="C1932" s="962" t="s">
        <v>61</v>
      </c>
      <c r="D1932" s="967"/>
      <c r="E1932" s="970"/>
      <c r="F1932" s="970"/>
      <c r="G1932" s="969"/>
      <c r="H1932" s="964" t="s">
        <v>2312</v>
      </c>
    </row>
    <row r="1933" spans="1:8" hidden="1">
      <c r="A1933" s="967"/>
      <c r="B1933" s="967"/>
      <c r="C1933" s="1382" t="s">
        <v>62</v>
      </c>
      <c r="D1933" s="967" t="s">
        <v>21</v>
      </c>
      <c r="E1933" s="970">
        <v>1</v>
      </c>
      <c r="F1933" s="970">
        <f>'MINI SSR 21-22'!$C$30</f>
        <v>626.20000000000005</v>
      </c>
      <c r="G1933" s="969">
        <f>ROUND(E1933*F1933,2)</f>
        <v>626.20000000000005</v>
      </c>
      <c r="H1933" s="964" t="s">
        <v>2312</v>
      </c>
    </row>
    <row r="1934" spans="1:8" hidden="1">
      <c r="A1934" s="967"/>
      <c r="B1934" s="967"/>
      <c r="C1934" s="962" t="s">
        <v>63</v>
      </c>
      <c r="D1934" s="967"/>
      <c r="E1934" s="970"/>
      <c r="F1934" s="970"/>
      <c r="G1934" s="969"/>
      <c r="H1934" s="964" t="s">
        <v>2312</v>
      </c>
    </row>
    <row r="1935" spans="1:8" hidden="1">
      <c r="A1935" s="967"/>
      <c r="B1935" s="967"/>
      <c r="C1935" s="1382" t="s">
        <v>64</v>
      </c>
      <c r="D1935" s="967" t="s">
        <v>27</v>
      </c>
      <c r="E1935" s="970">
        <v>0.1</v>
      </c>
      <c r="F1935" s="970">
        <f>'MINI SSR 21-22'!$H$3</f>
        <v>585</v>
      </c>
      <c r="G1935" s="969">
        <f>ROUND(E1935*F1935,2)</f>
        <v>58.5</v>
      </c>
      <c r="H1935" s="964" t="s">
        <v>2312</v>
      </c>
    </row>
    <row r="1936" spans="1:8" hidden="1">
      <c r="A1936" s="967"/>
      <c r="B1936" s="967"/>
      <c r="C1936" s="1382" t="s">
        <v>19</v>
      </c>
      <c r="D1936" s="967" t="s">
        <v>27</v>
      </c>
      <c r="E1936" s="970">
        <v>1.39</v>
      </c>
      <c r="F1936" s="970">
        <f>'MINI SSR 21-22'!H$5</f>
        <v>490</v>
      </c>
      <c r="G1936" s="969">
        <f>ROUND(E1936*F1936,2)</f>
        <v>681.1</v>
      </c>
      <c r="H1936" s="964" t="s">
        <v>2312</v>
      </c>
    </row>
    <row r="1937" spans="1:8" hidden="1">
      <c r="A1937" s="967"/>
      <c r="B1937" s="967"/>
      <c r="C1937" s="1382"/>
      <c r="D1937" s="967"/>
      <c r="E1937" s="967"/>
      <c r="F1937" s="967"/>
      <c r="G1937" s="971">
        <f>SUM(G1928:G1936)</f>
        <v>4180.2700000000004</v>
      </c>
      <c r="H1937" s="964" t="s">
        <v>2312</v>
      </c>
    </row>
    <row r="1938" spans="1:8" ht="178.5" hidden="1">
      <c r="A1938" s="896">
        <v>35</v>
      </c>
      <c r="B1938" s="966" t="s">
        <v>66</v>
      </c>
      <c r="C1938" s="1382" t="s">
        <v>225</v>
      </c>
      <c r="D1938" s="967"/>
      <c r="E1938" s="967"/>
      <c r="F1938" s="967"/>
      <c r="G1938" s="966"/>
      <c r="H1938" s="964" t="s">
        <v>2312</v>
      </c>
    </row>
    <row r="1939" spans="1:8" hidden="1">
      <c r="A1939" s="896"/>
      <c r="B1939" s="966"/>
      <c r="C1939" s="962" t="s">
        <v>81</v>
      </c>
      <c r="D1939" s="967"/>
      <c r="E1939" s="967"/>
      <c r="F1939" s="967"/>
      <c r="G1939" s="972"/>
      <c r="H1939" s="964" t="s">
        <v>2312</v>
      </c>
    </row>
    <row r="1940" spans="1:8" hidden="1">
      <c r="A1940" s="896"/>
      <c r="B1940" s="966"/>
      <c r="C1940" s="962" t="s">
        <v>60</v>
      </c>
      <c r="D1940" s="967"/>
      <c r="E1940" s="967"/>
      <c r="F1940" s="967"/>
      <c r="G1940" s="972"/>
      <c r="H1940" s="964" t="s">
        <v>2312</v>
      </c>
    </row>
    <row r="1941" spans="1:8" hidden="1">
      <c r="A1941" s="896"/>
      <c r="B1941" s="966"/>
      <c r="C1941" s="1382" t="s">
        <v>154</v>
      </c>
      <c r="D1941" s="967" t="s">
        <v>35</v>
      </c>
      <c r="E1941" s="970">
        <v>0.8</v>
      </c>
      <c r="F1941" s="970">
        <f>F1871</f>
        <v>1876.2299999999998</v>
      </c>
      <c r="G1941" s="969">
        <f>ROUND(E1941*F1941,2)</f>
        <v>1500.98</v>
      </c>
      <c r="H1941" s="964" t="s">
        <v>2312</v>
      </c>
    </row>
    <row r="1942" spans="1:8" hidden="1">
      <c r="A1942" s="896"/>
      <c r="B1942" s="966"/>
      <c r="C1942" s="1382" t="s">
        <v>112</v>
      </c>
      <c r="D1942" s="967" t="s">
        <v>35</v>
      </c>
      <c r="E1942" s="970">
        <v>0.4</v>
      </c>
      <c r="F1942" s="970">
        <f>'lead 21-22'!L13</f>
        <v>1648.4000000000019</v>
      </c>
      <c r="G1942" s="969">
        <f>ROUND(E1942*F1942,2)</f>
        <v>659.36</v>
      </c>
      <c r="H1942" s="964" t="s">
        <v>2312</v>
      </c>
    </row>
    <row r="1943" spans="1:8" hidden="1">
      <c r="A1943" s="967"/>
      <c r="B1943" s="967"/>
      <c r="C1943" s="1382" t="s">
        <v>33</v>
      </c>
      <c r="D1943" s="967" t="s">
        <v>4</v>
      </c>
      <c r="E1943" s="970">
        <v>340</v>
      </c>
      <c r="F1943" s="970">
        <f>'lead 21-22'!L8</f>
        <v>4700</v>
      </c>
      <c r="G1943" s="969">
        <f>ROUND(E1943*F1943/1000,2)</f>
        <v>1598</v>
      </c>
      <c r="H1943" s="964" t="s">
        <v>2312</v>
      </c>
    </row>
    <row r="1944" spans="1:8" hidden="1">
      <c r="A1944" s="967"/>
      <c r="B1944" s="967"/>
      <c r="C1944" s="962" t="s">
        <v>68</v>
      </c>
      <c r="D1944" s="967"/>
      <c r="E1944" s="970"/>
      <c r="F1944" s="970"/>
      <c r="G1944" s="969"/>
      <c r="H1944" s="964" t="s">
        <v>2312</v>
      </c>
    </row>
    <row r="1945" spans="1:8" hidden="1">
      <c r="A1945" s="967"/>
      <c r="B1945" s="967"/>
      <c r="C1945" s="1382" t="s">
        <v>64</v>
      </c>
      <c r="D1945" s="967" t="s">
        <v>27</v>
      </c>
      <c r="E1945" s="973">
        <v>0.13300000000000001</v>
      </c>
      <c r="F1945" s="970">
        <f>'MINI SSR 21-22'!$H$3</f>
        <v>585</v>
      </c>
      <c r="G1945" s="969">
        <f>ROUND(E1945*F1945,2)</f>
        <v>77.81</v>
      </c>
      <c r="H1945" s="964" t="s">
        <v>2312</v>
      </c>
    </row>
    <row r="1946" spans="1:8" hidden="1">
      <c r="A1946" s="967"/>
      <c r="B1946" s="967"/>
      <c r="C1946" s="1382" t="s">
        <v>69</v>
      </c>
      <c r="D1946" s="967" t="s">
        <v>27</v>
      </c>
      <c r="E1946" s="973">
        <v>0.26700000000000002</v>
      </c>
      <c r="F1946" s="970">
        <f>'MINI SSR 21-22'!$H$4</f>
        <v>525</v>
      </c>
      <c r="G1946" s="969">
        <f>ROUND(E1946*F1946,2)</f>
        <v>140.18</v>
      </c>
      <c r="H1946" s="964" t="s">
        <v>2312</v>
      </c>
    </row>
    <row r="1947" spans="1:8" hidden="1">
      <c r="A1947" s="967"/>
      <c r="B1947" s="967"/>
      <c r="C1947" s="1382" t="s">
        <v>70</v>
      </c>
      <c r="D1947" s="967" t="s">
        <v>27</v>
      </c>
      <c r="E1947" s="973">
        <v>3.6</v>
      </c>
      <c r="F1947" s="970">
        <f>'MINI SSR 21-22'!H$5</f>
        <v>490</v>
      </c>
      <c r="G1947" s="969">
        <f>ROUND(E1947*F1947,2)</f>
        <v>1764</v>
      </c>
      <c r="H1947" s="964" t="s">
        <v>2312</v>
      </c>
    </row>
    <row r="1948" spans="1:8" hidden="1">
      <c r="A1948" s="967"/>
      <c r="B1948" s="967"/>
      <c r="C1948" s="962" t="s">
        <v>61</v>
      </c>
      <c r="D1948" s="967"/>
      <c r="E1948" s="970"/>
      <c r="F1948" s="970"/>
      <c r="G1948" s="969"/>
      <c r="H1948" s="964" t="s">
        <v>2312</v>
      </c>
    </row>
    <row r="1949" spans="1:8" hidden="1">
      <c r="A1949" s="967"/>
      <c r="B1949" s="967"/>
      <c r="C1949" s="1382" t="s">
        <v>62</v>
      </c>
      <c r="D1949" s="967" t="s">
        <v>21</v>
      </c>
      <c r="E1949" s="970">
        <v>1</v>
      </c>
      <c r="F1949" s="970">
        <f>'MINI SSR 21-22'!$C$30</f>
        <v>626.20000000000005</v>
      </c>
      <c r="G1949" s="969">
        <f>ROUND(E1949*F1949,2)</f>
        <v>626.20000000000005</v>
      </c>
      <c r="H1949" s="964" t="s">
        <v>2312</v>
      </c>
    </row>
    <row r="1950" spans="1:8" hidden="1">
      <c r="A1950" s="967"/>
      <c r="B1950" s="967"/>
      <c r="C1950" s="1382" t="s">
        <v>160</v>
      </c>
      <c r="D1950" s="967" t="s">
        <v>21</v>
      </c>
      <c r="E1950" s="970">
        <v>1</v>
      </c>
      <c r="F1950" s="970">
        <f>'MINI SSR 21-22'!$C$31</f>
        <v>240.3</v>
      </c>
      <c r="G1950" s="969">
        <f>ROUND(E1950*F1950,2)</f>
        <v>240.3</v>
      </c>
      <c r="H1950" s="964" t="s">
        <v>2312</v>
      </c>
    </row>
    <row r="1951" spans="1:8" hidden="1">
      <c r="A1951" s="967"/>
      <c r="B1951" s="967"/>
      <c r="C1951" s="1382" t="s">
        <v>57</v>
      </c>
      <c r="D1951" s="967" t="s">
        <v>58</v>
      </c>
      <c r="E1951" s="970">
        <v>1.2</v>
      </c>
      <c r="F1951" s="922">
        <f>'MINI SSR 21-22'!$C$29</f>
        <v>88</v>
      </c>
      <c r="G1951" s="969">
        <f>ROUND(E1951*F1951,2)</f>
        <v>105.6</v>
      </c>
      <c r="H1951" s="964" t="s">
        <v>2312</v>
      </c>
    </row>
    <row r="1952" spans="1:8" hidden="1">
      <c r="A1952" s="967"/>
      <c r="B1952" s="967"/>
      <c r="C1952" s="962" t="s">
        <v>71</v>
      </c>
      <c r="D1952" s="967"/>
      <c r="E1952" s="967"/>
      <c r="F1952" s="967"/>
      <c r="G1952" s="971">
        <f>SUM(G1941:G1951)</f>
        <v>6712.43</v>
      </c>
      <c r="H1952" s="964" t="s">
        <v>2312</v>
      </c>
    </row>
    <row r="1953" spans="1:8" hidden="1">
      <c r="A1953" s="967"/>
      <c r="B1953" s="967"/>
      <c r="C1953" s="962" t="s">
        <v>72</v>
      </c>
      <c r="D1953" s="967"/>
      <c r="E1953" s="967"/>
      <c r="F1953" s="967"/>
      <c r="G1953" s="972"/>
      <c r="H1953" s="964" t="s">
        <v>2312</v>
      </c>
    </row>
    <row r="1954" spans="1:8" hidden="1">
      <c r="A1954" s="967"/>
      <c r="B1954" s="967"/>
      <c r="C1954" s="1382" t="s">
        <v>73</v>
      </c>
      <c r="D1954" s="967" t="s">
        <v>35</v>
      </c>
      <c r="E1954" s="970">
        <v>1</v>
      </c>
      <c r="F1954" s="970">
        <f>G1952</f>
        <v>6712.43</v>
      </c>
      <c r="G1954" s="969">
        <f>ROUND(E1954*F1954,2)</f>
        <v>6712.43</v>
      </c>
      <c r="H1954" s="964" t="s">
        <v>2312</v>
      </c>
    </row>
    <row r="1955" spans="1:8" ht="25.5" hidden="1">
      <c r="A1955" s="967"/>
      <c r="B1955" s="967"/>
      <c r="C1955" s="1382" t="s">
        <v>1278</v>
      </c>
      <c r="D1955" s="967" t="s">
        <v>35</v>
      </c>
      <c r="E1955" s="970">
        <v>1</v>
      </c>
      <c r="F1955" s="970">
        <f>'MINI SSR 21-22'!C52</f>
        <v>301</v>
      </c>
      <c r="G1955" s="969">
        <f>ROUND(E1955*F1955,2)</f>
        <v>301</v>
      </c>
      <c r="H1955" s="964" t="s">
        <v>2312</v>
      </c>
    </row>
    <row r="1956" spans="1:8" hidden="1">
      <c r="A1956" s="967"/>
      <c r="B1956" s="967"/>
      <c r="C1956" s="1382" t="s">
        <v>1279</v>
      </c>
      <c r="D1956" s="967" t="s">
        <v>35</v>
      </c>
      <c r="E1956" s="970">
        <v>1</v>
      </c>
      <c r="F1956" s="970">
        <f>'MINI SSR 21-22'!D52</f>
        <v>672</v>
      </c>
      <c r="G1956" s="969">
        <f>ROUND(E1956*F1956,2)</f>
        <v>672</v>
      </c>
      <c r="H1956" s="964" t="s">
        <v>2312</v>
      </c>
    </row>
    <row r="1957" spans="1:8" hidden="1">
      <c r="A1957" s="967"/>
      <c r="B1957" s="967"/>
      <c r="C1957" s="1382"/>
      <c r="D1957" s="967"/>
      <c r="E1957" s="967"/>
      <c r="F1957" s="967"/>
      <c r="G1957" s="971">
        <f>SUM(G1954:G1956)</f>
        <v>7685.43</v>
      </c>
      <c r="H1957" s="964" t="s">
        <v>2312</v>
      </c>
    </row>
    <row r="1958" spans="1:8" hidden="1">
      <c r="A1958" s="967"/>
      <c r="B1958" s="967"/>
      <c r="C1958" s="962" t="s">
        <v>74</v>
      </c>
      <c r="D1958" s="967"/>
      <c r="E1958" s="967"/>
      <c r="F1958" s="967"/>
      <c r="G1958" s="972"/>
      <c r="H1958" s="964" t="s">
        <v>2312</v>
      </c>
    </row>
    <row r="1959" spans="1:8" hidden="1">
      <c r="A1959" s="967"/>
      <c r="B1959" s="967"/>
      <c r="C1959" s="1382" t="s">
        <v>73</v>
      </c>
      <c r="D1959" s="967" t="s">
        <v>35</v>
      </c>
      <c r="E1959" s="970">
        <v>1</v>
      </c>
      <c r="F1959" s="970">
        <f>G1952</f>
        <v>6712.43</v>
      </c>
      <c r="G1959" s="969">
        <f>ROUND(E1959*F1959,2)</f>
        <v>6712.43</v>
      </c>
      <c r="H1959" s="964" t="s">
        <v>2312</v>
      </c>
    </row>
    <row r="1960" spans="1:8" ht="25.5" hidden="1">
      <c r="A1960" s="967"/>
      <c r="B1960" s="967"/>
      <c r="C1960" s="1382" t="s">
        <v>1280</v>
      </c>
      <c r="D1960" s="967" t="s">
        <v>35</v>
      </c>
      <c r="E1960" s="970">
        <v>1</v>
      </c>
      <c r="F1960" s="970">
        <f>'MINI SSR 21-22'!C54</f>
        <v>343</v>
      </c>
      <c r="G1960" s="969">
        <f>ROUND(E1960*F1960,2)</f>
        <v>343</v>
      </c>
      <c r="H1960" s="964" t="s">
        <v>2312</v>
      </c>
    </row>
    <row r="1961" spans="1:8" hidden="1">
      <c r="A1961" s="967"/>
      <c r="B1961" s="967"/>
      <c r="C1961" s="1382" t="s">
        <v>1281</v>
      </c>
      <c r="D1961" s="967" t="s">
        <v>35</v>
      </c>
      <c r="E1961" s="970">
        <v>1</v>
      </c>
      <c r="F1961" s="970">
        <f>'MINI SSR 21-22'!D54</f>
        <v>1069</v>
      </c>
      <c r="G1961" s="969">
        <f>ROUND(E1961*F1961,2)</f>
        <v>1069</v>
      </c>
      <c r="H1961" s="964" t="s">
        <v>2312</v>
      </c>
    </row>
    <row r="1962" spans="1:8" hidden="1">
      <c r="A1962" s="967"/>
      <c r="B1962" s="967"/>
      <c r="C1962" s="1382"/>
      <c r="D1962" s="967"/>
      <c r="E1962" s="967"/>
      <c r="F1962" s="967"/>
      <c r="G1962" s="971">
        <f>SUM(G1959:G1961)</f>
        <v>8124.43</v>
      </c>
      <c r="H1962" s="964" t="s">
        <v>2312</v>
      </c>
    </row>
    <row r="1963" spans="1:8" hidden="1">
      <c r="A1963" s="967"/>
      <c r="B1963" s="967"/>
      <c r="C1963" s="962" t="s">
        <v>75</v>
      </c>
      <c r="D1963" s="967"/>
      <c r="E1963" s="967"/>
      <c r="F1963" s="967"/>
      <c r="G1963" s="972"/>
      <c r="H1963" s="964" t="s">
        <v>2312</v>
      </c>
    </row>
    <row r="1964" spans="1:8" hidden="1">
      <c r="A1964" s="967"/>
      <c r="B1964" s="967"/>
      <c r="C1964" s="1382" t="s">
        <v>73</v>
      </c>
      <c r="D1964" s="967" t="s">
        <v>35</v>
      </c>
      <c r="E1964" s="970">
        <v>1</v>
      </c>
      <c r="F1964" s="970">
        <f>G1952</f>
        <v>6712.43</v>
      </c>
      <c r="G1964" s="969">
        <f>ROUND(E1964*F1964,2)</f>
        <v>6712.43</v>
      </c>
      <c r="H1964" s="964" t="s">
        <v>2312</v>
      </c>
    </row>
    <row r="1965" spans="1:8" hidden="1">
      <c r="A1965" s="967"/>
      <c r="B1965" s="967"/>
      <c r="C1965" s="1382" t="s">
        <v>1282</v>
      </c>
      <c r="D1965" s="967" t="s">
        <v>35</v>
      </c>
      <c r="E1965" s="970">
        <v>1</v>
      </c>
      <c r="F1965" s="970">
        <f>'MINI SSR 21-22'!C55</f>
        <v>1453</v>
      </c>
      <c r="G1965" s="969">
        <f>ROUND(E1965*F1965,2)</f>
        <v>1453</v>
      </c>
      <c r="H1965" s="964" t="s">
        <v>2312</v>
      </c>
    </row>
    <row r="1966" spans="1:8" hidden="1">
      <c r="A1966" s="967"/>
      <c r="B1966" s="967"/>
      <c r="C1966" s="1382" t="s">
        <v>1283</v>
      </c>
      <c r="D1966" s="967" t="s">
        <v>35</v>
      </c>
      <c r="E1966" s="970">
        <v>1</v>
      </c>
      <c r="F1966" s="970">
        <f>'MINI SSR 21-22'!D55</f>
        <v>1620</v>
      </c>
      <c r="G1966" s="969">
        <f>ROUND(E1966*F1966,2)</f>
        <v>1620</v>
      </c>
      <c r="H1966" s="964" t="s">
        <v>2312</v>
      </c>
    </row>
    <row r="1967" spans="1:8" hidden="1">
      <c r="A1967" s="967"/>
      <c r="B1967" s="967"/>
      <c r="C1967" s="1382"/>
      <c r="D1967" s="967"/>
      <c r="E1967" s="967"/>
      <c r="F1967" s="967"/>
      <c r="G1967" s="971">
        <f>SUM(G1964:G1966)</f>
        <v>9785.43</v>
      </c>
      <c r="H1967" s="964" t="s">
        <v>2312</v>
      </c>
    </row>
    <row r="1968" spans="1:8" ht="178.5" hidden="1">
      <c r="A1968" s="896">
        <v>7</v>
      </c>
      <c r="B1968" s="966" t="s">
        <v>76</v>
      </c>
      <c r="C1968" s="1382" t="s">
        <v>226</v>
      </c>
      <c r="D1968" s="967"/>
      <c r="E1968" s="967"/>
      <c r="F1968" s="967"/>
      <c r="G1968" s="966"/>
      <c r="H1968" s="964" t="s">
        <v>2312</v>
      </c>
    </row>
    <row r="1969" spans="1:8" hidden="1">
      <c r="A1969" s="896"/>
      <c r="B1969" s="966"/>
      <c r="C1969" s="962" t="s">
        <v>80</v>
      </c>
      <c r="D1969" s="967"/>
      <c r="E1969" s="967"/>
      <c r="F1969" s="967"/>
      <c r="G1969" s="972"/>
      <c r="H1969" s="964" t="s">
        <v>2312</v>
      </c>
    </row>
    <row r="1970" spans="1:8" hidden="1">
      <c r="A1970" s="896"/>
      <c r="B1970" s="966"/>
      <c r="C1970" s="962" t="s">
        <v>60</v>
      </c>
      <c r="D1970" s="967"/>
      <c r="E1970" s="967"/>
      <c r="F1970" s="967"/>
      <c r="G1970" s="972"/>
      <c r="H1970" s="964" t="s">
        <v>2312</v>
      </c>
    </row>
    <row r="1971" spans="1:8" hidden="1">
      <c r="A1971" s="896"/>
      <c r="B1971" s="966"/>
      <c r="C1971" s="1382" t="s">
        <v>154</v>
      </c>
      <c r="D1971" s="967" t="s">
        <v>35</v>
      </c>
      <c r="E1971" s="970">
        <v>0.8</v>
      </c>
      <c r="F1971" s="970">
        <f>F1941</f>
        <v>1876.2299999999998</v>
      </c>
      <c r="G1971" s="969">
        <f>ROUND(E1971*F1971,2)</f>
        <v>1500.98</v>
      </c>
      <c r="H1971" s="964" t="s">
        <v>2312</v>
      </c>
    </row>
    <row r="1972" spans="1:8" hidden="1">
      <c r="A1972" s="896"/>
      <c r="B1972" s="966"/>
      <c r="C1972" s="1382" t="s">
        <v>112</v>
      </c>
      <c r="D1972" s="967" t="s">
        <v>35</v>
      </c>
      <c r="E1972" s="970">
        <v>0.4</v>
      </c>
      <c r="F1972" s="970">
        <f>'lead 21-22'!L13</f>
        <v>1648.4000000000019</v>
      </c>
      <c r="G1972" s="969">
        <f>ROUND(E1972*F1972,2)</f>
        <v>659.36</v>
      </c>
      <c r="H1972" s="964" t="s">
        <v>2312</v>
      </c>
    </row>
    <row r="1973" spans="1:8" hidden="1">
      <c r="A1973" s="967"/>
      <c r="B1973" s="967"/>
      <c r="C1973" s="1382" t="s">
        <v>33</v>
      </c>
      <c r="D1973" s="967" t="s">
        <v>4</v>
      </c>
      <c r="E1973" s="970">
        <f>E1943</f>
        <v>340</v>
      </c>
      <c r="F1973" s="970">
        <f>'lead 21-22'!L8</f>
        <v>4700</v>
      </c>
      <c r="G1973" s="969">
        <f>ROUND(E1973*F1973/1000,2)</f>
        <v>1598</v>
      </c>
      <c r="H1973" s="964" t="s">
        <v>2312</v>
      </c>
    </row>
    <row r="1974" spans="1:8" hidden="1">
      <c r="A1974" s="967"/>
      <c r="B1974" s="967"/>
      <c r="C1974" s="962" t="s">
        <v>68</v>
      </c>
      <c r="D1974" s="967"/>
      <c r="E1974" s="970"/>
      <c r="F1974" s="970"/>
      <c r="G1974" s="969"/>
      <c r="H1974" s="964" t="s">
        <v>2312</v>
      </c>
    </row>
    <row r="1975" spans="1:8" hidden="1">
      <c r="A1975" s="967"/>
      <c r="B1975" s="967"/>
      <c r="C1975" s="1382" t="s">
        <v>64</v>
      </c>
      <c r="D1975" s="967" t="s">
        <v>27</v>
      </c>
      <c r="E1975" s="973">
        <v>0.16700000000000001</v>
      </c>
      <c r="F1975" s="970">
        <f>'MINI SSR 21-22'!$H$3</f>
        <v>585</v>
      </c>
      <c r="G1975" s="969">
        <f>ROUND(E1975*F1975,2)</f>
        <v>97.7</v>
      </c>
      <c r="H1975" s="964" t="s">
        <v>2312</v>
      </c>
    </row>
    <row r="1976" spans="1:8" hidden="1">
      <c r="A1976" s="967"/>
      <c r="B1976" s="967"/>
      <c r="C1976" s="1382" t="s">
        <v>69</v>
      </c>
      <c r="D1976" s="967" t="s">
        <v>27</v>
      </c>
      <c r="E1976" s="973">
        <v>0.16700000000000001</v>
      </c>
      <c r="F1976" s="970">
        <f>'MINI SSR 21-22'!$H$4</f>
        <v>525</v>
      </c>
      <c r="G1976" s="969">
        <f>ROUND(E1976*F1976,2)</f>
        <v>87.68</v>
      </c>
      <c r="H1976" s="964" t="s">
        <v>2312</v>
      </c>
    </row>
    <row r="1977" spans="1:8" hidden="1">
      <c r="A1977" s="967"/>
      <c r="B1977" s="967"/>
      <c r="C1977" s="1382" t="s">
        <v>70</v>
      </c>
      <c r="D1977" s="967" t="s">
        <v>27</v>
      </c>
      <c r="E1977" s="973">
        <v>4.7</v>
      </c>
      <c r="F1977" s="970">
        <f>'MINI SSR 21-22'!H$5</f>
        <v>490</v>
      </c>
      <c r="G1977" s="969">
        <f>ROUND(E1977*F1977,2)</f>
        <v>2303</v>
      </c>
      <c r="H1977" s="964" t="s">
        <v>2312</v>
      </c>
    </row>
    <row r="1978" spans="1:8" hidden="1">
      <c r="A1978" s="967"/>
      <c r="B1978" s="967"/>
      <c r="C1978" s="962" t="s">
        <v>61</v>
      </c>
      <c r="D1978" s="967"/>
      <c r="E1978" s="970"/>
      <c r="F1978" s="970"/>
      <c r="G1978" s="969"/>
      <c r="H1978" s="964" t="s">
        <v>2312</v>
      </c>
    </row>
    <row r="1979" spans="1:8" hidden="1">
      <c r="A1979" s="967"/>
      <c r="B1979" s="967"/>
      <c r="C1979" s="1382" t="s">
        <v>62</v>
      </c>
      <c r="D1979" s="967" t="s">
        <v>21</v>
      </c>
      <c r="E1979" s="970">
        <v>1</v>
      </c>
      <c r="F1979" s="970">
        <f>'MINI SSR 21-22'!$C$30</f>
        <v>626.20000000000005</v>
      </c>
      <c r="G1979" s="969">
        <f>ROUND(E1979*F1979,2)</f>
        <v>626.20000000000005</v>
      </c>
      <c r="H1979" s="964" t="s">
        <v>2312</v>
      </c>
    </row>
    <row r="1980" spans="1:8" hidden="1">
      <c r="A1980" s="967"/>
      <c r="B1980" s="967"/>
      <c r="C1980" s="1382" t="s">
        <v>160</v>
      </c>
      <c r="D1980" s="967" t="s">
        <v>21</v>
      </c>
      <c r="E1980" s="970">
        <v>1</v>
      </c>
      <c r="F1980" s="970">
        <f>'MINI SSR 21-22'!$C$31</f>
        <v>240.3</v>
      </c>
      <c r="G1980" s="969">
        <f>ROUND(E1980*F1980,2)</f>
        <v>240.3</v>
      </c>
      <c r="H1980" s="964" t="s">
        <v>2312</v>
      </c>
    </row>
    <row r="1981" spans="1:8" hidden="1">
      <c r="A1981" s="967"/>
      <c r="B1981" s="967"/>
      <c r="C1981" s="1382" t="s">
        <v>57</v>
      </c>
      <c r="D1981" s="967" t="s">
        <v>58</v>
      </c>
      <c r="E1981" s="970">
        <v>1.2</v>
      </c>
      <c r="F1981" s="922">
        <f>'MINI SSR 21-22'!$C$29</f>
        <v>88</v>
      </c>
      <c r="G1981" s="969">
        <f>ROUND(E1981*F1981,2)</f>
        <v>105.6</v>
      </c>
      <c r="H1981" s="964" t="s">
        <v>2312</v>
      </c>
    </row>
    <row r="1982" spans="1:8" hidden="1">
      <c r="A1982" s="967"/>
      <c r="B1982" s="967"/>
      <c r="C1982" s="962" t="s">
        <v>71</v>
      </c>
      <c r="D1982" s="967"/>
      <c r="E1982" s="967"/>
      <c r="F1982" s="967"/>
      <c r="G1982" s="971">
        <f>SUM(G1971:G1981)</f>
        <v>7218.82</v>
      </c>
      <c r="H1982" s="964" t="s">
        <v>2312</v>
      </c>
    </row>
    <row r="1983" spans="1:8" hidden="1">
      <c r="A1983" s="967"/>
      <c r="B1983" s="967"/>
      <c r="C1983" s="962"/>
      <c r="D1983" s="967"/>
      <c r="E1983" s="966" t="s">
        <v>161</v>
      </c>
      <c r="F1983" s="966" t="s">
        <v>162</v>
      </c>
      <c r="G1983" s="974" t="s">
        <v>163</v>
      </c>
      <c r="H1983" s="964" t="s">
        <v>2312</v>
      </c>
    </row>
    <row r="1984" spans="1:8" hidden="1">
      <c r="A1984" s="967"/>
      <c r="B1984" s="967"/>
      <c r="C1984" s="962" t="s">
        <v>1284</v>
      </c>
      <c r="D1984" s="967"/>
      <c r="E1984" s="970">
        <f>G1982</f>
        <v>7218.82</v>
      </c>
      <c r="F1984" s="970">
        <f>G1982</f>
        <v>7218.82</v>
      </c>
      <c r="G1984" s="972">
        <f>G1982</f>
        <v>7218.82</v>
      </c>
      <c r="H1984" s="964" t="s">
        <v>2312</v>
      </c>
    </row>
    <row r="1985" spans="1:8" ht="25.5" hidden="1">
      <c r="A1985" s="967"/>
      <c r="B1985" s="967"/>
      <c r="C1985" s="1382" t="s">
        <v>164</v>
      </c>
      <c r="D1985" s="967"/>
      <c r="E1985" s="970">
        <f>'MINI SSR 21-22'!C57</f>
        <v>371</v>
      </c>
      <c r="F1985" s="970">
        <f>E1985</f>
        <v>371</v>
      </c>
      <c r="G1985" s="924">
        <f>E1985</f>
        <v>371</v>
      </c>
      <c r="H1985" s="964" t="s">
        <v>2312</v>
      </c>
    </row>
    <row r="1986" spans="1:8" hidden="1">
      <c r="A1986" s="967"/>
      <c r="B1986" s="967"/>
      <c r="C1986" s="1382" t="s">
        <v>165</v>
      </c>
      <c r="D1986" s="967"/>
      <c r="E1986" s="970">
        <f>'MINI SSR 21-22'!D57</f>
        <v>2415</v>
      </c>
      <c r="F1986" s="970">
        <f>'MINI SSR 21-22'!E57</f>
        <v>2657</v>
      </c>
      <c r="G1986" s="970">
        <f>'MINI SSR 21-22'!F57</f>
        <v>2898</v>
      </c>
      <c r="H1986" s="964" t="s">
        <v>2312</v>
      </c>
    </row>
    <row r="1987" spans="1:8" ht="25.5" hidden="1">
      <c r="A1987" s="967"/>
      <c r="B1987" s="967"/>
      <c r="C1987" s="1382" t="s">
        <v>1285</v>
      </c>
      <c r="D1987" s="967"/>
      <c r="E1987" s="967"/>
      <c r="F1987" s="967">
        <f>ROUND((G1975+G1976+G1977+F1986)*0.1,2)</f>
        <v>514.54</v>
      </c>
      <c r="G1987" s="975">
        <f>ROUND((G1975+G1976+G1977+G1986)*0.2,2)</f>
        <v>1077.28</v>
      </c>
      <c r="H1987" s="964" t="s">
        <v>2312</v>
      </c>
    </row>
    <row r="1988" spans="1:8" hidden="1">
      <c r="A1988" s="967"/>
      <c r="B1988" s="967"/>
      <c r="C1988" s="1382"/>
      <c r="D1988" s="967"/>
      <c r="E1988" s="974">
        <f>SUM(E1984:E1987)</f>
        <v>10004.82</v>
      </c>
      <c r="F1988" s="974">
        <f>SUM(F1984:F1987)</f>
        <v>10761.36</v>
      </c>
      <c r="G1988" s="971">
        <f>SUM(G1984:G1987)</f>
        <v>11565.1</v>
      </c>
      <c r="H1988" s="964" t="s">
        <v>2312</v>
      </c>
    </row>
    <row r="1989" spans="1:8" hidden="1">
      <c r="A1989" s="967"/>
      <c r="B1989" s="967"/>
      <c r="C1989" s="962"/>
      <c r="D1989" s="967"/>
      <c r="E1989" s="966" t="s">
        <v>161</v>
      </c>
      <c r="F1989" s="966" t="s">
        <v>162</v>
      </c>
      <c r="G1989" s="974" t="s">
        <v>163</v>
      </c>
      <c r="H1989" s="964" t="s">
        <v>2312</v>
      </c>
    </row>
    <row r="1990" spans="1:8" hidden="1">
      <c r="A1990" s="967"/>
      <c r="B1990" s="967"/>
      <c r="C1990" s="962" t="s">
        <v>1286</v>
      </c>
      <c r="D1990" s="967"/>
      <c r="E1990" s="970">
        <f>G1982</f>
        <v>7218.82</v>
      </c>
      <c r="F1990" s="970">
        <f>G1982</f>
        <v>7218.82</v>
      </c>
      <c r="G1990" s="972">
        <f>G1982</f>
        <v>7218.82</v>
      </c>
      <c r="H1990" s="964" t="s">
        <v>2312</v>
      </c>
    </row>
    <row r="1991" spans="1:8" ht="25.5" hidden="1">
      <c r="A1991" s="967"/>
      <c r="B1991" s="967"/>
      <c r="C1991" s="1382" t="s">
        <v>166</v>
      </c>
      <c r="D1991" s="967"/>
      <c r="E1991" s="970">
        <f>'MINI SSR 21-22'!C58</f>
        <v>1233</v>
      </c>
      <c r="F1991" s="970">
        <f>E1991</f>
        <v>1233</v>
      </c>
      <c r="G1991" s="924">
        <f>E1991</f>
        <v>1233</v>
      </c>
      <c r="H1991" s="964" t="s">
        <v>2312</v>
      </c>
    </row>
    <row r="1992" spans="1:8" hidden="1">
      <c r="A1992" s="967"/>
      <c r="B1992" s="967"/>
      <c r="C1992" s="1382" t="s">
        <v>167</v>
      </c>
      <c r="D1992" s="967"/>
      <c r="E1992" s="970">
        <f>'MINI SSR 21-22'!D58</f>
        <v>1720</v>
      </c>
      <c r="F1992" s="970">
        <f>'MINI SSR 21-22'!E58</f>
        <v>1892</v>
      </c>
      <c r="G1992" s="970">
        <f>'MINI SSR 21-22'!F58</f>
        <v>2064</v>
      </c>
      <c r="H1992" s="964" t="s">
        <v>2312</v>
      </c>
    </row>
    <row r="1993" spans="1:8" ht="25.5" hidden="1">
      <c r="A1993" s="967"/>
      <c r="B1993" s="967"/>
      <c r="C1993" s="1382" t="s">
        <v>1285</v>
      </c>
      <c r="D1993" s="967"/>
      <c r="E1993" s="967"/>
      <c r="F1993" s="967">
        <f>ROUND((G1975+G1976+G1977+F1992)*0.1,2)</f>
        <v>438.04</v>
      </c>
      <c r="G1993" s="975">
        <f>ROUND((G1975+G1976+G1977+G1992)*0.2,2)</f>
        <v>910.48</v>
      </c>
      <c r="H1993" s="964" t="s">
        <v>2312</v>
      </c>
    </row>
    <row r="1994" spans="1:8" hidden="1">
      <c r="A1994" s="967"/>
      <c r="B1994" s="967"/>
      <c r="C1994" s="1382"/>
      <c r="D1994" s="967"/>
      <c r="E1994" s="974">
        <f>SUM(E1990:E1993)</f>
        <v>10171.82</v>
      </c>
      <c r="F1994" s="974">
        <f>SUM(F1990:F1993)</f>
        <v>10781.86</v>
      </c>
      <c r="G1994" s="971">
        <f>SUM(G1990:G1993)</f>
        <v>11426.3</v>
      </c>
      <c r="H1994" s="964" t="s">
        <v>2312</v>
      </c>
    </row>
    <row r="1995" spans="1:8" ht="178.5" hidden="1">
      <c r="A1995" s="896">
        <v>8</v>
      </c>
      <c r="B1995" s="966" t="s">
        <v>78</v>
      </c>
      <c r="C1995" s="1382" t="s">
        <v>226</v>
      </c>
      <c r="D1995" s="967"/>
      <c r="E1995" s="967"/>
      <c r="F1995" s="967"/>
      <c r="G1995" s="966"/>
      <c r="H1995" s="964" t="s">
        <v>2312</v>
      </c>
    </row>
    <row r="1996" spans="1:8" hidden="1">
      <c r="A1996" s="896"/>
      <c r="B1996" s="966"/>
      <c r="C1996" s="962" t="s">
        <v>79</v>
      </c>
      <c r="D1996" s="967"/>
      <c r="E1996" s="967"/>
      <c r="F1996" s="967"/>
      <c r="G1996" s="972"/>
      <c r="H1996" s="964" t="s">
        <v>2312</v>
      </c>
    </row>
    <row r="1997" spans="1:8" hidden="1">
      <c r="A1997" s="896"/>
      <c r="B1997" s="966"/>
      <c r="C1997" s="962" t="s">
        <v>60</v>
      </c>
      <c r="D1997" s="966"/>
      <c r="E1997" s="966"/>
      <c r="F1997" s="966"/>
      <c r="G1997" s="972"/>
      <c r="H1997" s="964" t="s">
        <v>2312</v>
      </c>
    </row>
    <row r="1998" spans="1:8" hidden="1">
      <c r="A1998" s="896"/>
      <c r="B1998" s="966"/>
      <c r="C1998" s="1382" t="s">
        <v>154</v>
      </c>
      <c r="D1998" s="967" t="s">
        <v>35</v>
      </c>
      <c r="E1998" s="970">
        <v>0.8</v>
      </c>
      <c r="F1998" s="970">
        <f>F1871</f>
        <v>1876.2299999999998</v>
      </c>
      <c r="G1998" s="969">
        <f>ROUND(E1998*F1998,2)</f>
        <v>1500.98</v>
      </c>
      <c r="H1998" s="964" t="s">
        <v>2312</v>
      </c>
    </row>
    <row r="1999" spans="1:8" hidden="1">
      <c r="A1999" s="896"/>
      <c r="B1999" s="966"/>
      <c r="C1999" s="1382" t="s">
        <v>112</v>
      </c>
      <c r="D1999" s="967" t="s">
        <v>35</v>
      </c>
      <c r="E1999" s="970">
        <v>0.4</v>
      </c>
      <c r="F1999" s="970">
        <f>'lead 21-22'!L13</f>
        <v>1648.4000000000019</v>
      </c>
      <c r="G1999" s="969">
        <f>ROUND(E1999*F1999,2)</f>
        <v>659.36</v>
      </c>
      <c r="H1999" s="964" t="s">
        <v>2312</v>
      </c>
    </row>
    <row r="2000" spans="1:8" hidden="1">
      <c r="A2000" s="967"/>
      <c r="B2000" s="967"/>
      <c r="C2000" s="1382" t="s">
        <v>33</v>
      </c>
      <c r="D2000" s="967" t="s">
        <v>4</v>
      </c>
      <c r="E2000" s="970">
        <f>E1973</f>
        <v>340</v>
      </c>
      <c r="F2000" s="970">
        <f>'lead 21-22'!L8</f>
        <v>4700</v>
      </c>
      <c r="G2000" s="969">
        <f>ROUND(E2000*F2000/1000,2)</f>
        <v>1598</v>
      </c>
      <c r="H2000" s="964" t="s">
        <v>2312</v>
      </c>
    </row>
    <row r="2001" spans="1:8" hidden="1">
      <c r="A2001" s="967"/>
      <c r="B2001" s="967"/>
      <c r="C2001" s="962" t="s">
        <v>68</v>
      </c>
      <c r="D2001" s="967"/>
      <c r="E2001" s="970"/>
      <c r="F2001" s="970"/>
      <c r="G2001" s="969"/>
      <c r="H2001" s="964" t="s">
        <v>2312</v>
      </c>
    </row>
    <row r="2002" spans="1:8" hidden="1">
      <c r="A2002" s="967"/>
      <c r="B2002" s="967"/>
      <c r="C2002" s="1382" t="s">
        <v>64</v>
      </c>
      <c r="D2002" s="967" t="s">
        <v>27</v>
      </c>
      <c r="E2002" s="973">
        <v>6.7000000000000004E-2</v>
      </c>
      <c r="F2002" s="970">
        <f>'MINI SSR 21-22'!$H$3</f>
        <v>585</v>
      </c>
      <c r="G2002" s="969">
        <f>ROUND(E2002*F2002,2)</f>
        <v>39.200000000000003</v>
      </c>
      <c r="H2002" s="964" t="s">
        <v>2312</v>
      </c>
    </row>
    <row r="2003" spans="1:8" hidden="1">
      <c r="A2003" s="967"/>
      <c r="B2003" s="967"/>
      <c r="C2003" s="1382" t="s">
        <v>69</v>
      </c>
      <c r="D2003" s="967" t="s">
        <v>27</v>
      </c>
      <c r="E2003" s="973">
        <v>0.13300000000000001</v>
      </c>
      <c r="F2003" s="970">
        <f>'MINI SSR 21-22'!$H$4</f>
        <v>525</v>
      </c>
      <c r="G2003" s="969">
        <f>ROUND(E2003*F2003,2)</f>
        <v>69.83</v>
      </c>
      <c r="H2003" s="964" t="s">
        <v>2312</v>
      </c>
    </row>
    <row r="2004" spans="1:8" hidden="1">
      <c r="A2004" s="967"/>
      <c r="B2004" s="967"/>
      <c r="C2004" s="1382" t="s">
        <v>70</v>
      </c>
      <c r="D2004" s="967" t="s">
        <v>27</v>
      </c>
      <c r="E2004" s="973">
        <v>2.5</v>
      </c>
      <c r="F2004" s="970">
        <f>'MINI SSR 21-22'!H$5</f>
        <v>490</v>
      </c>
      <c r="G2004" s="969">
        <f>ROUND(E2004*F2004,2)</f>
        <v>1225</v>
      </c>
      <c r="H2004" s="964" t="s">
        <v>2312</v>
      </c>
    </row>
    <row r="2005" spans="1:8" hidden="1">
      <c r="A2005" s="967"/>
      <c r="B2005" s="967"/>
      <c r="C2005" s="962" t="s">
        <v>61</v>
      </c>
      <c r="D2005" s="967"/>
      <c r="E2005" s="970"/>
      <c r="F2005" s="970"/>
      <c r="G2005" s="969"/>
      <c r="H2005" s="964" t="s">
        <v>2312</v>
      </c>
    </row>
    <row r="2006" spans="1:8" hidden="1">
      <c r="A2006" s="967"/>
      <c r="B2006" s="967"/>
      <c r="C2006" s="1382" t="s">
        <v>62</v>
      </c>
      <c r="D2006" s="967" t="s">
        <v>21</v>
      </c>
      <c r="E2006" s="973">
        <v>0.26700000000000002</v>
      </c>
      <c r="F2006" s="970">
        <f>'MINI SSR 21-22'!$C$30</f>
        <v>626.20000000000005</v>
      </c>
      <c r="G2006" s="969">
        <f>ROUND(E2006*F2006,2)</f>
        <v>167.2</v>
      </c>
      <c r="H2006" s="964" t="s">
        <v>2312</v>
      </c>
    </row>
    <row r="2007" spans="1:8" hidden="1">
      <c r="A2007" s="967"/>
      <c r="B2007" s="967"/>
      <c r="C2007" s="1382" t="s">
        <v>160</v>
      </c>
      <c r="D2007" s="967" t="s">
        <v>21</v>
      </c>
      <c r="E2007" s="973">
        <v>0.26700000000000002</v>
      </c>
      <c r="F2007" s="970">
        <f>'MINI SSR 21-22'!$C$31</f>
        <v>240.3</v>
      </c>
      <c r="G2007" s="969">
        <f>ROUND(E2007*F2007,2)</f>
        <v>64.16</v>
      </c>
      <c r="H2007" s="964" t="s">
        <v>2312</v>
      </c>
    </row>
    <row r="2008" spans="1:8" hidden="1">
      <c r="A2008" s="967"/>
      <c r="B2008" s="967"/>
      <c r="C2008" s="1382" t="s">
        <v>57</v>
      </c>
      <c r="D2008" s="967" t="s">
        <v>58</v>
      </c>
      <c r="E2008" s="970">
        <v>1.2</v>
      </c>
      <c r="F2008" s="922">
        <f>'MINI SSR 21-22'!$C$29</f>
        <v>88</v>
      </c>
      <c r="G2008" s="969">
        <f>ROUND(E2008*F2008,2)</f>
        <v>105.6</v>
      </c>
      <c r="H2008" s="964" t="s">
        <v>2312</v>
      </c>
    </row>
    <row r="2009" spans="1:8" hidden="1">
      <c r="A2009" s="967"/>
      <c r="B2009" s="967"/>
      <c r="C2009" s="962" t="s">
        <v>71</v>
      </c>
      <c r="D2009" s="967"/>
      <c r="E2009" s="967"/>
      <c r="F2009" s="967"/>
      <c r="G2009" s="971">
        <f>SUM(G1998:G2008)</f>
        <v>5429.33</v>
      </c>
      <c r="H2009" s="964" t="s">
        <v>2312</v>
      </c>
    </row>
    <row r="2010" spans="1:8" hidden="1">
      <c r="A2010" s="967"/>
      <c r="B2010" s="967"/>
      <c r="C2010" s="962"/>
      <c r="D2010" s="967"/>
      <c r="E2010" s="966" t="s">
        <v>161</v>
      </c>
      <c r="F2010" s="966" t="s">
        <v>162</v>
      </c>
      <c r="G2010" s="974" t="s">
        <v>163</v>
      </c>
      <c r="H2010" s="964" t="s">
        <v>2312</v>
      </c>
    </row>
    <row r="2011" spans="1:8" hidden="1">
      <c r="A2011" s="967"/>
      <c r="B2011" s="967"/>
      <c r="C2011" s="962" t="s">
        <v>1287</v>
      </c>
      <c r="D2011" s="967"/>
      <c r="E2011" s="970">
        <f>G2009</f>
        <v>5429.33</v>
      </c>
      <c r="F2011" s="970">
        <f>G2009</f>
        <v>5429.33</v>
      </c>
      <c r="G2011" s="972">
        <f>G2009</f>
        <v>5429.33</v>
      </c>
      <c r="H2011" s="964" t="s">
        <v>2312</v>
      </c>
    </row>
    <row r="2012" spans="1:8" ht="25.5" hidden="1">
      <c r="A2012" s="967"/>
      <c r="B2012" s="967"/>
      <c r="C2012" s="1382" t="s">
        <v>177</v>
      </c>
      <c r="D2012" s="967"/>
      <c r="E2012" s="970">
        <f>'MINI SSR 21-22'!C60</f>
        <v>2179</v>
      </c>
      <c r="F2012" s="970">
        <f>E2012</f>
        <v>2179</v>
      </c>
      <c r="G2012" s="924">
        <f>E2012</f>
        <v>2179</v>
      </c>
      <c r="H2012" s="964" t="s">
        <v>2312</v>
      </c>
    </row>
    <row r="2013" spans="1:8" hidden="1">
      <c r="A2013" s="967"/>
      <c r="B2013" s="967"/>
      <c r="C2013" s="1382" t="s">
        <v>178</v>
      </c>
      <c r="D2013" s="967"/>
      <c r="E2013" s="970">
        <f>'MINI SSR 21-22'!D60</f>
        <v>2027</v>
      </c>
      <c r="F2013" s="970">
        <f>'MINI SSR 21-22'!E60</f>
        <v>2230</v>
      </c>
      <c r="G2013" s="970">
        <f>'MINI SSR 21-22'!F60</f>
        <v>2432</v>
      </c>
      <c r="H2013" s="964" t="s">
        <v>2312</v>
      </c>
    </row>
    <row r="2014" spans="1:8" ht="25.5" hidden="1">
      <c r="A2014" s="967"/>
      <c r="B2014" s="967"/>
      <c r="C2014" s="1382" t="s">
        <v>1285</v>
      </c>
      <c r="D2014" s="967"/>
      <c r="E2014" s="967"/>
      <c r="F2014" s="970">
        <f>ROUND((G2002+G2003+G2004+F2013)*0.1,2)</f>
        <v>356.4</v>
      </c>
      <c r="G2014" s="972">
        <f>ROUND((G2002+G2003+G2004+G2013)*0.2,2)</f>
        <v>753.21</v>
      </c>
      <c r="H2014" s="964" t="s">
        <v>2312</v>
      </c>
    </row>
    <row r="2015" spans="1:8" hidden="1">
      <c r="A2015" s="967"/>
      <c r="B2015" s="967"/>
      <c r="C2015" s="962" t="s">
        <v>182</v>
      </c>
      <c r="D2015" s="967"/>
      <c r="E2015" s="974">
        <f>SUM(E2011:E2014)</f>
        <v>9635.33</v>
      </c>
      <c r="F2015" s="974">
        <f>SUM(F2011:F2014)</f>
        <v>10194.73</v>
      </c>
      <c r="G2015" s="971">
        <f>SUM(G2011:G2014)</f>
        <v>10793.54</v>
      </c>
      <c r="H2015" s="964" t="s">
        <v>2312</v>
      </c>
    </row>
    <row r="2016" spans="1:8" hidden="1">
      <c r="A2016" s="967"/>
      <c r="B2016" s="967"/>
      <c r="C2016" s="962"/>
      <c r="D2016" s="967"/>
      <c r="E2016" s="966" t="s">
        <v>161</v>
      </c>
      <c r="F2016" s="966" t="s">
        <v>162</v>
      </c>
      <c r="G2016" s="974" t="s">
        <v>163</v>
      </c>
      <c r="H2016" s="964" t="s">
        <v>2312</v>
      </c>
    </row>
    <row r="2017" spans="1:8" hidden="1">
      <c r="A2017" s="967"/>
      <c r="B2017" s="967"/>
      <c r="C2017" s="962" t="s">
        <v>1288</v>
      </c>
      <c r="D2017" s="967"/>
      <c r="E2017" s="970">
        <f>G2009</f>
        <v>5429.33</v>
      </c>
      <c r="F2017" s="970">
        <f>G2009</f>
        <v>5429.33</v>
      </c>
      <c r="G2017" s="972">
        <f>G2009</f>
        <v>5429.33</v>
      </c>
      <c r="H2017" s="964" t="s">
        <v>2312</v>
      </c>
    </row>
    <row r="2018" spans="1:8" hidden="1">
      <c r="A2018" s="967"/>
      <c r="B2018" s="967"/>
      <c r="C2018" s="962" t="s">
        <v>1268</v>
      </c>
      <c r="D2018" s="970">
        <v>0.1</v>
      </c>
      <c r="E2018" s="970">
        <f>ROUND(E2017*0.1,2)</f>
        <v>542.92999999999995</v>
      </c>
      <c r="F2018" s="970">
        <f>ROUND(F2017*0.1,2)</f>
        <v>542.92999999999995</v>
      </c>
      <c r="G2018" s="972">
        <f>ROUND(G2017*0.1,2)</f>
        <v>542.92999999999995</v>
      </c>
      <c r="H2018" s="964" t="s">
        <v>2312</v>
      </c>
    </row>
    <row r="2019" spans="1:8" ht="25.5" hidden="1">
      <c r="A2019" s="967"/>
      <c r="B2019" s="967"/>
      <c r="C2019" s="1382" t="s">
        <v>179</v>
      </c>
      <c r="D2019" s="967"/>
      <c r="E2019" s="970">
        <f>'MINI SSR 21-22'!C61</f>
        <v>247</v>
      </c>
      <c r="F2019" s="970">
        <f>E2019</f>
        <v>247</v>
      </c>
      <c r="G2019" s="924">
        <f>E2019</f>
        <v>247</v>
      </c>
      <c r="H2019" s="964" t="s">
        <v>2312</v>
      </c>
    </row>
    <row r="2020" spans="1:8" hidden="1">
      <c r="A2020" s="967"/>
      <c r="B2020" s="967"/>
      <c r="C2020" s="1382" t="s">
        <v>180</v>
      </c>
      <c r="D2020" s="967"/>
      <c r="E2020" s="970">
        <f>'MINI SSR 21-22'!D61</f>
        <v>241</v>
      </c>
      <c r="F2020" s="970">
        <f>'MINI SSR 21-22'!E61</f>
        <v>265</v>
      </c>
      <c r="G2020" s="970">
        <f>'MINI SSR 21-22'!F61</f>
        <v>289</v>
      </c>
      <c r="H2020" s="964" t="s">
        <v>2312</v>
      </c>
    </row>
    <row r="2021" spans="1:8" ht="25.5" hidden="1">
      <c r="A2021" s="967"/>
      <c r="B2021" s="967"/>
      <c r="C2021" s="1382" t="s">
        <v>1289</v>
      </c>
      <c r="D2021" s="967"/>
      <c r="E2021" s="967"/>
      <c r="F2021" s="970">
        <f>ROUND(((G2002+G2003+G2004+F2020)*0.1),2)</f>
        <v>159.9</v>
      </c>
      <c r="G2021" s="972">
        <f>ROUND(((G2002+G2003+G2004+G2020)*0.2),2)</f>
        <v>324.61</v>
      </c>
      <c r="H2021" s="964" t="s">
        <v>2312</v>
      </c>
    </row>
    <row r="2022" spans="1:8" hidden="1">
      <c r="A2022" s="967"/>
      <c r="B2022" s="967"/>
      <c r="C2022" s="962" t="s">
        <v>181</v>
      </c>
      <c r="D2022" s="967"/>
      <c r="E2022" s="974">
        <f>SUM(E2018:E2021)</f>
        <v>1030.9299999999998</v>
      </c>
      <c r="F2022" s="974">
        <f>SUM(F2018:F2021)</f>
        <v>1214.83</v>
      </c>
      <c r="G2022" s="971">
        <f>SUM(G2018:G2021)</f>
        <v>1403.54</v>
      </c>
      <c r="H2022" s="964" t="s">
        <v>2312</v>
      </c>
    </row>
    <row r="2023" spans="1:8" hidden="1">
      <c r="A2023" s="967"/>
      <c r="B2023" s="967"/>
      <c r="C2023" s="962"/>
      <c r="D2023" s="967"/>
      <c r="E2023" s="966" t="s">
        <v>161</v>
      </c>
      <c r="F2023" s="966" t="s">
        <v>162</v>
      </c>
      <c r="G2023" s="974" t="s">
        <v>163</v>
      </c>
      <c r="H2023" s="964" t="s">
        <v>2312</v>
      </c>
    </row>
    <row r="2024" spans="1:8" hidden="1">
      <c r="A2024" s="967"/>
      <c r="B2024" s="967"/>
      <c r="C2024" s="962" t="s">
        <v>1290</v>
      </c>
      <c r="D2024" s="967"/>
      <c r="E2024" s="970">
        <f>G2009</f>
        <v>5429.33</v>
      </c>
      <c r="F2024" s="970">
        <f>G2009</f>
        <v>5429.33</v>
      </c>
      <c r="G2024" s="972">
        <f>G2009</f>
        <v>5429.33</v>
      </c>
      <c r="H2024" s="964" t="s">
        <v>2312</v>
      </c>
    </row>
    <row r="2025" spans="1:8" hidden="1">
      <c r="A2025" s="967"/>
      <c r="B2025" s="967"/>
      <c r="C2025" s="962" t="s">
        <v>1269</v>
      </c>
      <c r="D2025" s="967">
        <v>0.125</v>
      </c>
      <c r="E2025" s="970">
        <f>ROUND(E2024*0.125,2)</f>
        <v>678.67</v>
      </c>
      <c r="F2025" s="970">
        <f>ROUND(F2024*0.125,2)</f>
        <v>678.67</v>
      </c>
      <c r="G2025" s="972">
        <f>ROUND(G2024*0.125,2)</f>
        <v>678.67</v>
      </c>
      <c r="H2025" s="964" t="s">
        <v>2312</v>
      </c>
    </row>
    <row r="2026" spans="1:8" ht="25.5" hidden="1">
      <c r="A2026" s="967"/>
      <c r="B2026" s="967"/>
      <c r="C2026" s="1382" t="s">
        <v>179</v>
      </c>
      <c r="D2026" s="967"/>
      <c r="E2026" s="970">
        <f>'MINI SSR 21-22'!C61</f>
        <v>247</v>
      </c>
      <c r="F2026" s="970">
        <f>E2026</f>
        <v>247</v>
      </c>
      <c r="G2026" s="924">
        <f>E2026</f>
        <v>247</v>
      </c>
      <c r="H2026" s="964" t="s">
        <v>2312</v>
      </c>
    </row>
    <row r="2027" spans="1:8" hidden="1">
      <c r="A2027" s="967"/>
      <c r="B2027" s="967"/>
      <c r="C2027" s="1382" t="s">
        <v>180</v>
      </c>
      <c r="D2027" s="967"/>
      <c r="E2027" s="970">
        <f>'MINI SSR 21-22'!D61</f>
        <v>241</v>
      </c>
      <c r="F2027" s="970">
        <f>'MINI SSR 21-22'!E61</f>
        <v>265</v>
      </c>
      <c r="G2027" s="970">
        <f>'MINI SSR 21-22'!F61</f>
        <v>289</v>
      </c>
      <c r="H2027" s="964" t="s">
        <v>2312</v>
      </c>
    </row>
    <row r="2028" spans="1:8" ht="25.5" hidden="1">
      <c r="A2028" s="967"/>
      <c r="B2028" s="967"/>
      <c r="C2028" s="1382" t="s">
        <v>1289</v>
      </c>
      <c r="D2028" s="967"/>
      <c r="E2028" s="967"/>
      <c r="F2028" s="970">
        <f>ROUND(((G2002+G2003+G2004+F2027)*0.1),2)</f>
        <v>159.9</v>
      </c>
      <c r="G2028" s="972">
        <f>ROUND(((G2002+G2003+G2004+G2027)*0.2),2)</f>
        <v>324.61</v>
      </c>
      <c r="H2028" s="964" t="s">
        <v>2312</v>
      </c>
    </row>
    <row r="2029" spans="1:8" hidden="1">
      <c r="A2029" s="967"/>
      <c r="B2029" s="967"/>
      <c r="C2029" s="962" t="s">
        <v>181</v>
      </c>
      <c r="D2029" s="967"/>
      <c r="E2029" s="974">
        <f>SUM(E2025:E2028)</f>
        <v>1166.67</v>
      </c>
      <c r="F2029" s="974">
        <f>SUM(F2025:F2028)</f>
        <v>1350.5700000000002</v>
      </c>
      <c r="G2029" s="971">
        <f>SUM(G2025:G2028)</f>
        <v>1539.2800000000002</v>
      </c>
      <c r="H2029" s="964" t="s">
        <v>2312</v>
      </c>
    </row>
    <row r="2030" spans="1:8" hidden="1">
      <c r="A2030" s="967"/>
      <c r="B2030" s="967"/>
      <c r="C2030" s="962"/>
      <c r="D2030" s="967"/>
      <c r="E2030" s="966" t="s">
        <v>161</v>
      </c>
      <c r="F2030" s="966" t="s">
        <v>162</v>
      </c>
      <c r="G2030" s="974" t="s">
        <v>163</v>
      </c>
      <c r="H2030" s="964" t="s">
        <v>2312</v>
      </c>
    </row>
    <row r="2031" spans="1:8" hidden="1">
      <c r="A2031" s="967"/>
      <c r="B2031" s="967"/>
      <c r="C2031" s="962" t="s">
        <v>1291</v>
      </c>
      <c r="D2031" s="967"/>
      <c r="E2031" s="970">
        <f>G2009</f>
        <v>5429.33</v>
      </c>
      <c r="F2031" s="970">
        <f>G2009</f>
        <v>5429.33</v>
      </c>
      <c r="G2031" s="972">
        <f>G2009</f>
        <v>5429.33</v>
      </c>
      <c r="H2031" s="964" t="s">
        <v>2312</v>
      </c>
    </row>
    <row r="2032" spans="1:8" hidden="1">
      <c r="A2032" s="967"/>
      <c r="B2032" s="967"/>
      <c r="C2032" s="962" t="s">
        <v>1269</v>
      </c>
      <c r="D2032" s="967">
        <v>0.15</v>
      </c>
      <c r="E2032" s="970">
        <f>ROUND(E2031*0.15,2)</f>
        <v>814.4</v>
      </c>
      <c r="F2032" s="970">
        <f>ROUND(F2031*0.15,2)</f>
        <v>814.4</v>
      </c>
      <c r="G2032" s="972">
        <f>ROUND(G2031*0.15,2)</f>
        <v>814.4</v>
      </c>
      <c r="H2032" s="964" t="s">
        <v>2312</v>
      </c>
    </row>
    <row r="2033" spans="1:8" ht="25.5" hidden="1">
      <c r="A2033" s="967"/>
      <c r="B2033" s="967"/>
      <c r="C2033" s="1382" t="s">
        <v>179</v>
      </c>
      <c r="D2033" s="967"/>
      <c r="E2033" s="970">
        <f>E2026</f>
        <v>247</v>
      </c>
      <c r="F2033" s="970">
        <f>E2033</f>
        <v>247</v>
      </c>
      <c r="G2033" s="924">
        <f>E2033</f>
        <v>247</v>
      </c>
      <c r="H2033" s="964" t="s">
        <v>2312</v>
      </c>
    </row>
    <row r="2034" spans="1:8" hidden="1">
      <c r="A2034" s="967"/>
      <c r="B2034" s="967"/>
      <c r="C2034" s="1382" t="s">
        <v>180</v>
      </c>
      <c r="D2034" s="967"/>
      <c r="E2034" s="970">
        <f>E2027</f>
        <v>241</v>
      </c>
      <c r="F2034" s="970">
        <f>F2027</f>
        <v>265</v>
      </c>
      <c r="G2034" s="924">
        <f>G2027</f>
        <v>289</v>
      </c>
      <c r="H2034" s="964" t="s">
        <v>2312</v>
      </c>
    </row>
    <row r="2035" spans="1:8" ht="25.5" hidden="1">
      <c r="A2035" s="967"/>
      <c r="B2035" s="967"/>
      <c r="C2035" s="1382" t="s">
        <v>1289</v>
      </c>
      <c r="D2035" s="967"/>
      <c r="E2035" s="967"/>
      <c r="F2035" s="970">
        <f>ROUND(((G2002+G2003+G2004+F2034)*1)*0.1,2)</f>
        <v>159.9</v>
      </c>
      <c r="G2035" s="972">
        <f>ROUND(((G2002+G2003+G2004+G2034)*1)*0.2,2)</f>
        <v>324.61</v>
      </c>
      <c r="H2035" s="964" t="s">
        <v>2312</v>
      </c>
    </row>
    <row r="2036" spans="1:8" hidden="1">
      <c r="A2036" s="967"/>
      <c r="B2036" s="967"/>
      <c r="C2036" s="962" t="s">
        <v>181</v>
      </c>
      <c r="D2036" s="967"/>
      <c r="E2036" s="974">
        <f>SUM(E2032:E2035)</f>
        <v>1302.4000000000001</v>
      </c>
      <c r="F2036" s="974">
        <f>SUM(F2032:F2035)</f>
        <v>1486.3000000000002</v>
      </c>
      <c r="G2036" s="971">
        <f>SUM(G2032:G2035)</f>
        <v>1675.0100000000002</v>
      </c>
      <c r="H2036" s="964" t="s">
        <v>2312</v>
      </c>
    </row>
    <row r="2037" spans="1:8" hidden="1">
      <c r="A2037" s="967"/>
      <c r="B2037" s="967"/>
      <c r="C2037" s="962" t="s">
        <v>1292</v>
      </c>
      <c r="D2037" s="967"/>
      <c r="E2037" s="970">
        <f>G2009</f>
        <v>5429.33</v>
      </c>
      <c r="F2037" s="970">
        <f>G2009</f>
        <v>5429.33</v>
      </c>
      <c r="G2037" s="972">
        <f>G2009</f>
        <v>5429.33</v>
      </c>
      <c r="H2037" s="964" t="s">
        <v>2312</v>
      </c>
    </row>
    <row r="2038" spans="1:8" hidden="1">
      <c r="A2038" s="967"/>
      <c r="B2038" s="967"/>
      <c r="C2038" s="962" t="s">
        <v>1269</v>
      </c>
      <c r="D2038" s="973">
        <v>0.17499999999999999</v>
      </c>
      <c r="E2038" s="970">
        <f>ROUND(E2037*0.175,2)</f>
        <v>950.13</v>
      </c>
      <c r="F2038" s="970">
        <f>ROUND(F2037*0.175,2)</f>
        <v>950.13</v>
      </c>
      <c r="G2038" s="972">
        <f>ROUND(G2037*0.175,2)</f>
        <v>950.13</v>
      </c>
      <c r="H2038" s="964" t="s">
        <v>2312</v>
      </c>
    </row>
    <row r="2039" spans="1:8" ht="25.5" hidden="1">
      <c r="A2039" s="967"/>
      <c r="B2039" s="967"/>
      <c r="C2039" s="1382" t="s">
        <v>183</v>
      </c>
      <c r="D2039" s="967"/>
      <c r="E2039" s="970">
        <f>'MINI SSR 21-22'!C62</f>
        <v>254</v>
      </c>
      <c r="F2039" s="970">
        <f>E2039</f>
        <v>254</v>
      </c>
      <c r="G2039" s="924">
        <f>E2039</f>
        <v>254</v>
      </c>
      <c r="H2039" s="964" t="s">
        <v>2312</v>
      </c>
    </row>
    <row r="2040" spans="1:8" hidden="1">
      <c r="A2040" s="967"/>
      <c r="B2040" s="967"/>
      <c r="C2040" s="1382" t="s">
        <v>184</v>
      </c>
      <c r="D2040" s="967"/>
      <c r="E2040" s="970">
        <f>'MINI SSR 21-22'!D62</f>
        <v>248</v>
      </c>
      <c r="F2040" s="970">
        <f>'MINI SSR 21-22'!E62</f>
        <v>273</v>
      </c>
      <c r="G2040" s="970">
        <f>'MINI SSR 21-22'!F62</f>
        <v>298</v>
      </c>
      <c r="H2040" s="964" t="s">
        <v>2312</v>
      </c>
    </row>
    <row r="2041" spans="1:8" ht="25.5" hidden="1">
      <c r="A2041" s="967"/>
      <c r="B2041" s="967"/>
      <c r="C2041" s="1382" t="s">
        <v>1289</v>
      </c>
      <c r="D2041" s="967"/>
      <c r="E2041" s="967"/>
      <c r="F2041" s="970">
        <f>ROUND(((G2002+G2003+G2004+F2040)*1)*0.1,2)</f>
        <v>160.69999999999999</v>
      </c>
      <c r="G2041" s="972">
        <f>ROUND(((G2002+G2003+G2004+G2040)*1)*0.2,2)</f>
        <v>326.41000000000003</v>
      </c>
      <c r="H2041" s="964" t="s">
        <v>2312</v>
      </c>
    </row>
    <row r="2042" spans="1:8" hidden="1">
      <c r="A2042" s="967"/>
      <c r="B2042" s="967"/>
      <c r="C2042" s="962" t="s">
        <v>181</v>
      </c>
      <c r="D2042" s="967"/>
      <c r="E2042" s="974">
        <f>SUM(E2038:E2041)</f>
        <v>1452.13</v>
      </c>
      <c r="F2042" s="974">
        <f>SUM(F2038:F2041)</f>
        <v>1637.8300000000002</v>
      </c>
      <c r="G2042" s="971">
        <f>SUM(G2038:G2041)</f>
        <v>1828.5400000000002</v>
      </c>
      <c r="H2042" s="964" t="s">
        <v>2312</v>
      </c>
    </row>
    <row r="2043" spans="1:8" hidden="1">
      <c r="A2043" s="967"/>
      <c r="B2043" s="967"/>
      <c r="C2043" s="962" t="s">
        <v>1293</v>
      </c>
      <c r="D2043" s="967"/>
      <c r="E2043" s="966" t="s">
        <v>161</v>
      </c>
      <c r="F2043" s="966" t="s">
        <v>162</v>
      </c>
      <c r="G2043" s="974" t="s">
        <v>163</v>
      </c>
      <c r="H2043" s="964" t="s">
        <v>2312</v>
      </c>
    </row>
    <row r="2044" spans="1:8" hidden="1">
      <c r="A2044" s="967"/>
      <c r="B2044" s="967"/>
      <c r="C2044" s="1382" t="s">
        <v>168</v>
      </c>
      <c r="D2044" s="967"/>
      <c r="E2044" s="970">
        <f>G2009</f>
        <v>5429.33</v>
      </c>
      <c r="F2044" s="970">
        <f>E2044</f>
        <v>5429.33</v>
      </c>
      <c r="G2044" s="969">
        <f>F2044</f>
        <v>5429.33</v>
      </c>
      <c r="H2044" s="964" t="s">
        <v>2312</v>
      </c>
    </row>
    <row r="2045" spans="1:8" hidden="1">
      <c r="A2045" s="967"/>
      <c r="B2045" s="967"/>
      <c r="C2045" s="1382" t="s">
        <v>169</v>
      </c>
      <c r="D2045" s="976">
        <v>0.05</v>
      </c>
      <c r="E2045" s="970">
        <f>ROUND(E2044*D2045,2)</f>
        <v>271.47000000000003</v>
      </c>
      <c r="F2045" s="970">
        <f>ROUND(F2044*D2045,2)</f>
        <v>271.47000000000003</v>
      </c>
      <c r="G2045" s="969">
        <f>ROUND(G2044*D2045,2)</f>
        <v>271.47000000000003</v>
      </c>
      <c r="H2045" s="964" t="s">
        <v>2312</v>
      </c>
    </row>
    <row r="2046" spans="1:8" ht="25.5" hidden="1">
      <c r="A2046" s="967"/>
      <c r="B2046" s="967"/>
      <c r="C2046" s="1382" t="s">
        <v>171</v>
      </c>
      <c r="D2046" s="970" t="s">
        <v>77</v>
      </c>
      <c r="E2046" s="970">
        <f>'MINI SSR 21-22'!$C$59</f>
        <v>243</v>
      </c>
      <c r="F2046" s="970">
        <f>'MINI SSR 21-22'!$C$59</f>
        <v>243</v>
      </c>
      <c r="G2046" s="970">
        <f>'MINI SSR 21-22'!$C$59</f>
        <v>243</v>
      </c>
      <c r="H2046" s="964" t="s">
        <v>2312</v>
      </c>
    </row>
    <row r="2047" spans="1:8" hidden="1">
      <c r="A2047" s="967"/>
      <c r="B2047" s="967"/>
      <c r="C2047" s="1382" t="s">
        <v>172</v>
      </c>
      <c r="D2047" s="970" t="s">
        <v>77</v>
      </c>
      <c r="E2047" s="970">
        <f>'MINI SSR 21-22'!$D$59</f>
        <v>264</v>
      </c>
      <c r="F2047" s="970">
        <f>'MINI SSR 21-22'!$E$59</f>
        <v>290</v>
      </c>
      <c r="G2047" s="970">
        <f>'MINI SSR 21-22'!$F$59</f>
        <v>317</v>
      </c>
      <c r="H2047" s="964" t="s">
        <v>2312</v>
      </c>
    </row>
    <row r="2048" spans="1:8" ht="25.5" hidden="1">
      <c r="A2048" s="967"/>
      <c r="B2048" s="967"/>
      <c r="C2048" s="1382" t="s">
        <v>170</v>
      </c>
      <c r="D2048" s="967"/>
      <c r="E2048" s="967"/>
      <c r="F2048" s="970">
        <f>ROUND(((G2002+G2003+G2004+F2047))*0.1,2)</f>
        <v>162.4</v>
      </c>
      <c r="G2048" s="972">
        <f>ROUND(((G2002+G2003+G2004+G2047))*0.2,2)</f>
        <v>330.21</v>
      </c>
      <c r="H2048" s="964" t="s">
        <v>2312</v>
      </c>
    </row>
    <row r="2049" spans="1:8" hidden="1">
      <c r="A2049" s="967"/>
      <c r="B2049" s="967"/>
      <c r="C2049" s="962" t="s">
        <v>175</v>
      </c>
      <c r="D2049" s="967"/>
      <c r="E2049" s="974">
        <f>SUM(E2045:E2048)</f>
        <v>778.47</v>
      </c>
      <c r="F2049" s="974">
        <f>SUM(F2045:F2048)</f>
        <v>966.87</v>
      </c>
      <c r="G2049" s="971">
        <f>SUM(G2045:G2048)</f>
        <v>1161.68</v>
      </c>
      <c r="H2049" s="964" t="s">
        <v>2312</v>
      </c>
    </row>
    <row r="2050" spans="1:8" hidden="1">
      <c r="A2050" s="896"/>
      <c r="B2050" s="966"/>
      <c r="C2050" s="962" t="s">
        <v>173</v>
      </c>
      <c r="D2050" s="967"/>
      <c r="E2050" s="967"/>
      <c r="F2050" s="967"/>
      <c r="G2050" s="972"/>
      <c r="H2050" s="964" t="s">
        <v>2312</v>
      </c>
    </row>
    <row r="2051" spans="1:8" hidden="1">
      <c r="A2051" s="967"/>
      <c r="B2051" s="967"/>
      <c r="C2051" s="962"/>
      <c r="D2051" s="967"/>
      <c r="E2051" s="966" t="s">
        <v>161</v>
      </c>
      <c r="F2051" s="966" t="s">
        <v>162</v>
      </c>
      <c r="G2051" s="974" t="s">
        <v>163</v>
      </c>
      <c r="H2051" s="964" t="s">
        <v>2312</v>
      </c>
    </row>
    <row r="2052" spans="1:8" hidden="1">
      <c r="A2052" s="967"/>
      <c r="B2052" s="967"/>
      <c r="C2052" s="1382" t="s">
        <v>174</v>
      </c>
      <c r="D2052" s="976"/>
      <c r="E2052" s="970">
        <f>E2044</f>
        <v>5429.33</v>
      </c>
      <c r="F2052" s="970">
        <f>F2044</f>
        <v>5429.33</v>
      </c>
      <c r="G2052" s="972">
        <f>G2044</f>
        <v>5429.33</v>
      </c>
      <c r="H2052" s="964" t="s">
        <v>2312</v>
      </c>
    </row>
    <row r="2053" spans="1:8" hidden="1">
      <c r="A2053" s="967"/>
      <c r="B2053" s="967"/>
      <c r="C2053" s="1382" t="s">
        <v>1270</v>
      </c>
      <c r="D2053" s="976">
        <v>3.7499999999999999E-2</v>
      </c>
      <c r="E2053" s="970">
        <f>ROUND(E2052*0.0375,2)</f>
        <v>203.6</v>
      </c>
      <c r="F2053" s="970">
        <f>ROUND(F2052*0.0375,2)</f>
        <v>203.6</v>
      </c>
      <c r="G2053" s="972">
        <f>ROUND(G2052*0.0375,2)</f>
        <v>203.6</v>
      </c>
      <c r="H2053" s="964" t="s">
        <v>2312</v>
      </c>
    </row>
    <row r="2054" spans="1:8" hidden="1">
      <c r="A2054" s="967"/>
      <c r="B2054" s="967"/>
      <c r="C2054" s="1382" t="s">
        <v>834</v>
      </c>
      <c r="D2054" s="970">
        <v>0.6</v>
      </c>
      <c r="E2054" s="970">
        <f>'MINI SSR 21-22'!$C$59*D2054</f>
        <v>145.79999999999998</v>
      </c>
      <c r="F2054" s="970">
        <f>'MINI SSR 21-22'!$C$59*D2054</f>
        <v>145.79999999999998</v>
      </c>
      <c r="G2054" s="970">
        <f>'MINI SSR 21-22'!$C$59*D2054</f>
        <v>145.79999999999998</v>
      </c>
      <c r="H2054" s="964" t="s">
        <v>2312</v>
      </c>
    </row>
    <row r="2055" spans="1:8" hidden="1">
      <c r="A2055" s="967"/>
      <c r="B2055" s="967"/>
      <c r="C2055" s="1382" t="s">
        <v>835</v>
      </c>
      <c r="D2055" s="970">
        <v>0.6</v>
      </c>
      <c r="E2055" s="970">
        <f>'MINI SSR 21-22'!$D$59*D2055</f>
        <v>158.4</v>
      </c>
      <c r="F2055" s="970">
        <f>'MINI SSR 21-22'!$E$59*D2055</f>
        <v>174</v>
      </c>
      <c r="G2055" s="970">
        <f>'MINI SSR 21-22'!$F$59*D2055</f>
        <v>190.2</v>
      </c>
      <c r="H2055" s="964" t="s">
        <v>2312</v>
      </c>
    </row>
    <row r="2056" spans="1:8" ht="25.5" hidden="1">
      <c r="A2056" s="967"/>
      <c r="B2056" s="967"/>
      <c r="C2056" s="1382" t="s">
        <v>170</v>
      </c>
      <c r="D2056" s="967">
        <v>0.6</v>
      </c>
      <c r="E2056" s="967"/>
      <c r="F2056" s="972">
        <f>ROUND(((G2002+G2003+G2004+F2055)*D2056)*0.1,2)</f>
        <v>90.48</v>
      </c>
      <c r="G2056" s="972">
        <f>ROUND(((G2002+G2003+G2004+G2055)*D2056)*0.2,2)</f>
        <v>182.91</v>
      </c>
      <c r="H2056" s="964" t="s">
        <v>2312</v>
      </c>
    </row>
    <row r="2057" spans="1:8" hidden="1">
      <c r="A2057" s="967"/>
      <c r="B2057" s="967"/>
      <c r="C2057" s="962" t="s">
        <v>176</v>
      </c>
      <c r="D2057" s="967"/>
      <c r="E2057" s="974">
        <f>SUM(E2053:E2056)</f>
        <v>507.79999999999995</v>
      </c>
      <c r="F2057" s="974">
        <f>SUM(F2053:F2056)</f>
        <v>613.88</v>
      </c>
      <c r="G2057" s="971">
        <f>SUM(G2053:G2056)</f>
        <v>722.50999999999988</v>
      </c>
      <c r="H2057" s="964" t="s">
        <v>2312</v>
      </c>
    </row>
    <row r="2058" spans="1:8" ht="191.25" hidden="1">
      <c r="A2058" s="896">
        <v>17</v>
      </c>
      <c r="B2058" s="966" t="s">
        <v>78</v>
      </c>
      <c r="C2058" s="1382" t="s">
        <v>1315</v>
      </c>
      <c r="D2058" s="967"/>
      <c r="E2058" s="967"/>
      <c r="F2058" s="967"/>
      <c r="G2058" s="966"/>
      <c r="H2058" s="964" t="s">
        <v>2312</v>
      </c>
    </row>
    <row r="2059" spans="1:8" hidden="1">
      <c r="A2059" s="896"/>
      <c r="B2059" s="966"/>
      <c r="C2059" s="962" t="s">
        <v>1210</v>
      </c>
      <c r="D2059" s="967"/>
      <c r="E2059" s="967"/>
      <c r="F2059" s="967"/>
      <c r="G2059" s="972"/>
      <c r="H2059" s="964" t="s">
        <v>2312</v>
      </c>
    </row>
    <row r="2060" spans="1:8" hidden="1">
      <c r="A2060" s="896"/>
      <c r="B2060" s="966"/>
      <c r="C2060" s="962" t="s">
        <v>60</v>
      </c>
      <c r="D2060" s="966"/>
      <c r="E2060" s="966"/>
      <c r="F2060" s="966"/>
      <c r="G2060" s="972"/>
      <c r="H2060" s="964" t="s">
        <v>2312</v>
      </c>
    </row>
    <row r="2061" spans="1:8" hidden="1">
      <c r="A2061" s="896"/>
      <c r="B2061" s="966"/>
      <c r="C2061" s="1382" t="s">
        <v>154</v>
      </c>
      <c r="D2061" s="967" t="s">
        <v>35</v>
      </c>
      <c r="E2061" s="970">
        <v>0.8</v>
      </c>
      <c r="F2061" s="970">
        <f>F1871</f>
        <v>1876.2299999999998</v>
      </c>
      <c r="G2061" s="969">
        <f>ROUND(E2061*F2061,2)</f>
        <v>1500.98</v>
      </c>
      <c r="H2061" s="964" t="s">
        <v>2312</v>
      </c>
    </row>
    <row r="2062" spans="1:8" hidden="1">
      <c r="A2062" s="896"/>
      <c r="B2062" s="966"/>
      <c r="C2062" s="1382" t="s">
        <v>112</v>
      </c>
      <c r="D2062" s="967" t="s">
        <v>35</v>
      </c>
      <c r="E2062" s="970">
        <v>0.4</v>
      </c>
      <c r="F2062" s="970">
        <f>'lead 21-22'!L13</f>
        <v>1648.4000000000019</v>
      </c>
      <c r="G2062" s="969">
        <f>ROUND(E2062*F2062,2)</f>
        <v>659.36</v>
      </c>
      <c r="H2062" s="964" t="s">
        <v>2312</v>
      </c>
    </row>
    <row r="2063" spans="1:8" hidden="1">
      <c r="A2063" s="967"/>
      <c r="B2063" s="967"/>
      <c r="C2063" s="1382" t="s">
        <v>33</v>
      </c>
      <c r="D2063" s="967" t="s">
        <v>4</v>
      </c>
      <c r="E2063" s="970">
        <f>E2000</f>
        <v>340</v>
      </c>
      <c r="F2063" s="970">
        <f>'lead 21-22'!L8</f>
        <v>4700</v>
      </c>
      <c r="G2063" s="969">
        <f>ROUND(E2063*F2063/1000,2)</f>
        <v>1598</v>
      </c>
      <c r="H2063" s="964" t="s">
        <v>2312</v>
      </c>
    </row>
    <row r="2064" spans="1:8" hidden="1">
      <c r="A2064" s="967"/>
      <c r="B2064" s="967"/>
      <c r="C2064" s="962" t="s">
        <v>68</v>
      </c>
      <c r="D2064" s="967"/>
      <c r="E2064" s="970"/>
      <c r="F2064" s="970"/>
      <c r="G2064" s="969"/>
      <c r="H2064" s="964" t="s">
        <v>2312</v>
      </c>
    </row>
    <row r="2065" spans="1:8" hidden="1">
      <c r="A2065" s="967"/>
      <c r="B2065" s="967"/>
      <c r="C2065" s="1382" t="s">
        <v>64</v>
      </c>
      <c r="D2065" s="967" t="s">
        <v>27</v>
      </c>
      <c r="E2065" s="973">
        <v>6.7000000000000004E-2</v>
      </c>
      <c r="F2065" s="970">
        <f>'MINI SSR 21-22'!$H$3</f>
        <v>585</v>
      </c>
      <c r="G2065" s="969">
        <f>ROUND(E2065*F2065,2)</f>
        <v>39.200000000000003</v>
      </c>
      <c r="H2065" s="964" t="s">
        <v>2312</v>
      </c>
    </row>
    <row r="2066" spans="1:8" hidden="1">
      <c r="A2066" s="967"/>
      <c r="B2066" s="967"/>
      <c r="C2066" s="1382" t="s">
        <v>69</v>
      </c>
      <c r="D2066" s="967" t="s">
        <v>27</v>
      </c>
      <c r="E2066" s="973">
        <v>0.13300000000000001</v>
      </c>
      <c r="F2066" s="970">
        <f>'MINI SSR 21-22'!$H$4</f>
        <v>525</v>
      </c>
      <c r="G2066" s="969">
        <f>ROUND(E2066*F2066,2)</f>
        <v>69.83</v>
      </c>
      <c r="H2066" s="964" t="s">
        <v>2312</v>
      </c>
    </row>
    <row r="2067" spans="1:8" hidden="1">
      <c r="A2067" s="967"/>
      <c r="B2067" s="967"/>
      <c r="C2067" s="1382" t="s">
        <v>70</v>
      </c>
      <c r="D2067" s="967" t="s">
        <v>27</v>
      </c>
      <c r="E2067" s="973">
        <v>2.5</v>
      </c>
      <c r="F2067" s="970">
        <f>'MINI SSR 21-22'!H$5</f>
        <v>490</v>
      </c>
      <c r="G2067" s="969">
        <f>ROUND(E2067*F2067,2)</f>
        <v>1225</v>
      </c>
      <c r="H2067" s="964" t="s">
        <v>2312</v>
      </c>
    </row>
    <row r="2068" spans="1:8" hidden="1">
      <c r="A2068" s="967"/>
      <c r="B2068" s="967"/>
      <c r="C2068" s="962" t="s">
        <v>61</v>
      </c>
      <c r="D2068" s="967"/>
      <c r="E2068" s="970"/>
      <c r="F2068" s="970"/>
      <c r="G2068" s="969"/>
      <c r="H2068" s="964" t="s">
        <v>2312</v>
      </c>
    </row>
    <row r="2069" spans="1:8" hidden="1">
      <c r="A2069" s="967"/>
      <c r="B2069" s="967"/>
      <c r="C2069" s="1382" t="s">
        <v>62</v>
      </c>
      <c r="D2069" s="967" t="s">
        <v>21</v>
      </c>
      <c r="E2069" s="973">
        <v>0.26700000000000002</v>
      </c>
      <c r="F2069" s="970">
        <f>'MINI SSR 21-22'!$C$30</f>
        <v>626.20000000000005</v>
      </c>
      <c r="G2069" s="969">
        <f>ROUND(E2069*F2069,2)</f>
        <v>167.2</v>
      </c>
      <c r="H2069" s="964" t="s">
        <v>2312</v>
      </c>
    </row>
    <row r="2070" spans="1:8" hidden="1">
      <c r="A2070" s="967"/>
      <c r="B2070" s="967"/>
      <c r="C2070" s="1382" t="s">
        <v>57</v>
      </c>
      <c r="D2070" s="967" t="s">
        <v>58</v>
      </c>
      <c r="E2070" s="970">
        <v>1.2</v>
      </c>
      <c r="F2070" s="922">
        <f>'MINI SSR 21-22'!$C$29</f>
        <v>88</v>
      </c>
      <c r="G2070" s="969">
        <f>ROUND(E2070*F2070,2)</f>
        <v>105.6</v>
      </c>
      <c r="H2070" s="964" t="s">
        <v>2312</v>
      </c>
    </row>
    <row r="2071" spans="1:8" hidden="1">
      <c r="A2071" s="967"/>
      <c r="B2071" s="967"/>
      <c r="C2071" s="962" t="s">
        <v>71</v>
      </c>
      <c r="D2071" s="967"/>
      <c r="E2071" s="967"/>
      <c r="F2071" s="967"/>
      <c r="G2071" s="971">
        <f>SUM(G2061:G2070)+0.01</f>
        <v>5365.18</v>
      </c>
      <c r="H2071" s="964" t="s">
        <v>2312</v>
      </c>
    </row>
    <row r="2072" spans="1:8" hidden="1">
      <c r="A2072" s="967"/>
      <c r="B2072" s="967"/>
      <c r="C2072" s="962"/>
      <c r="D2072" s="967"/>
      <c r="E2072" s="966" t="s">
        <v>161</v>
      </c>
      <c r="F2072" s="966" t="s">
        <v>162</v>
      </c>
      <c r="G2072" s="974" t="s">
        <v>163</v>
      </c>
      <c r="H2072" s="964" t="s">
        <v>2312</v>
      </c>
    </row>
    <row r="2073" spans="1:8" hidden="1">
      <c r="A2073" s="967"/>
      <c r="B2073" s="967"/>
      <c r="C2073" s="962" t="s">
        <v>1294</v>
      </c>
      <c r="D2073" s="967"/>
      <c r="E2073" s="970">
        <f>G2071</f>
        <v>5365.18</v>
      </c>
      <c r="F2073" s="970">
        <f>G2071</f>
        <v>5365.18</v>
      </c>
      <c r="G2073" s="972">
        <f>G2071</f>
        <v>5365.18</v>
      </c>
      <c r="H2073" s="964" t="s">
        <v>2312</v>
      </c>
    </row>
    <row r="2074" spans="1:8" hidden="1">
      <c r="A2074" s="967"/>
      <c r="B2074" s="967"/>
      <c r="C2074" s="962" t="s">
        <v>1271</v>
      </c>
      <c r="D2074" s="970">
        <v>0.05</v>
      </c>
      <c r="E2074" s="970">
        <f>ROUND(E2073*D2074,2)</f>
        <v>268.26</v>
      </c>
      <c r="F2074" s="970">
        <f>ROUND(F2073*D2074,2)</f>
        <v>268.26</v>
      </c>
      <c r="G2074" s="972">
        <f>ROUND(G2073*D2074,2)</f>
        <v>268.26</v>
      </c>
      <c r="H2074" s="964" t="s">
        <v>2312</v>
      </c>
    </row>
    <row r="2075" spans="1:8" ht="25.5" hidden="1">
      <c r="A2075" s="967"/>
      <c r="B2075" s="967"/>
      <c r="C2075" s="1382" t="s">
        <v>1211</v>
      </c>
      <c r="D2075" s="967"/>
      <c r="E2075" s="970">
        <f>E2019*50%</f>
        <v>123.5</v>
      </c>
      <c r="F2075" s="970">
        <f>E2075</f>
        <v>123.5</v>
      </c>
      <c r="G2075" s="924">
        <f>E2075</f>
        <v>123.5</v>
      </c>
      <c r="H2075" s="964" t="s">
        <v>2312</v>
      </c>
    </row>
    <row r="2076" spans="1:8" ht="25.5" hidden="1">
      <c r="A2076" s="967"/>
      <c r="B2076" s="967"/>
      <c r="C2076" s="1382" t="s">
        <v>1212</v>
      </c>
      <c r="D2076" s="967"/>
      <c r="E2076" s="970">
        <f>E2020*50%</f>
        <v>120.5</v>
      </c>
      <c r="F2076" s="970">
        <f>F2020*50%</f>
        <v>132.5</v>
      </c>
      <c r="G2076" s="972">
        <f>G2020*50%</f>
        <v>144.5</v>
      </c>
      <c r="H2076" s="964" t="s">
        <v>2312</v>
      </c>
    </row>
    <row r="2077" spans="1:8" ht="25.5" hidden="1">
      <c r="A2077" s="967"/>
      <c r="B2077" s="967"/>
      <c r="C2077" s="1382" t="s">
        <v>1289</v>
      </c>
      <c r="D2077" s="967"/>
      <c r="E2077" s="967"/>
      <c r="F2077" s="970">
        <f>ROUND(((G2065+G2066+G2067+F2076)*0.1),2)</f>
        <v>146.65</v>
      </c>
      <c r="G2077" s="970">
        <f>ROUND(((G2065+G2066+G2067+G2076)*0.2),2)</f>
        <v>295.70999999999998</v>
      </c>
      <c r="H2077" s="964" t="s">
        <v>2312</v>
      </c>
    </row>
    <row r="2078" spans="1:8" hidden="1">
      <c r="A2078" s="967"/>
      <c r="B2078" s="967"/>
      <c r="C2078" s="962" t="s">
        <v>181</v>
      </c>
      <c r="D2078" s="967"/>
      <c r="E2078" s="974">
        <f>SUM(E2074:E2077)</f>
        <v>512.26</v>
      </c>
      <c r="F2078" s="974">
        <f>SUM(F2074:F2077)</f>
        <v>670.91</v>
      </c>
      <c r="G2078" s="971">
        <f>SUM(G2074:G2077)</f>
        <v>831.97</v>
      </c>
      <c r="H2078" s="964" t="s">
        <v>2312</v>
      </c>
    </row>
    <row r="2079" spans="1:8" hidden="1">
      <c r="A2079" s="967"/>
      <c r="B2079" s="967"/>
      <c r="C2079" s="962"/>
      <c r="D2079" s="967"/>
      <c r="E2079" s="966" t="s">
        <v>161</v>
      </c>
      <c r="F2079" s="966" t="s">
        <v>162</v>
      </c>
      <c r="G2079" s="974" t="s">
        <v>163</v>
      </c>
      <c r="H2079" s="964" t="s">
        <v>2312</v>
      </c>
    </row>
    <row r="2080" spans="1:8" hidden="1">
      <c r="A2080" s="967"/>
      <c r="B2080" s="967"/>
      <c r="C2080" s="962" t="s">
        <v>1295</v>
      </c>
      <c r="D2080" s="967"/>
      <c r="E2080" s="970">
        <f>G2071</f>
        <v>5365.18</v>
      </c>
      <c r="F2080" s="970">
        <f>E2080</f>
        <v>5365.18</v>
      </c>
      <c r="G2080" s="972">
        <f>F2080</f>
        <v>5365.18</v>
      </c>
      <c r="H2080" s="964" t="s">
        <v>2312</v>
      </c>
    </row>
    <row r="2081" spans="1:8" hidden="1">
      <c r="A2081" s="967"/>
      <c r="B2081" s="967"/>
      <c r="C2081" s="962" t="s">
        <v>1271</v>
      </c>
      <c r="D2081" s="973">
        <v>2.5000000000000001E-2</v>
      </c>
      <c r="E2081" s="970">
        <f>ROUND(E2080*D2081,2)</f>
        <v>134.13</v>
      </c>
      <c r="F2081" s="970">
        <f>ROUND(F2080*D2081,2)</f>
        <v>134.13</v>
      </c>
      <c r="G2081" s="972">
        <f>ROUND(G2080*D2081,2)</f>
        <v>134.13</v>
      </c>
      <c r="H2081" s="964" t="s">
        <v>2312</v>
      </c>
    </row>
    <row r="2082" spans="1:8" ht="25.5" hidden="1">
      <c r="A2082" s="967"/>
      <c r="B2082" s="967"/>
      <c r="C2082" s="1382" t="s">
        <v>1211</v>
      </c>
      <c r="D2082" s="967"/>
      <c r="E2082" s="970">
        <f>E2026*50%</f>
        <v>123.5</v>
      </c>
      <c r="F2082" s="970">
        <f>E2082</f>
        <v>123.5</v>
      </c>
      <c r="G2082" s="924">
        <f>E2082</f>
        <v>123.5</v>
      </c>
      <c r="H2082" s="964" t="s">
        <v>2312</v>
      </c>
    </row>
    <row r="2083" spans="1:8" ht="25.5" hidden="1">
      <c r="A2083" s="967"/>
      <c r="B2083" s="967"/>
      <c r="C2083" s="1382" t="s">
        <v>1212</v>
      </c>
      <c r="D2083" s="967"/>
      <c r="E2083" s="970">
        <f>E2027*50%</f>
        <v>120.5</v>
      </c>
      <c r="F2083" s="970">
        <f>F2027*50%</f>
        <v>132.5</v>
      </c>
      <c r="G2083" s="972">
        <f>G2027*50%</f>
        <v>144.5</v>
      </c>
      <c r="H2083" s="964" t="s">
        <v>2312</v>
      </c>
    </row>
    <row r="2084" spans="1:8" ht="25.5" hidden="1">
      <c r="A2084" s="967"/>
      <c r="B2084" s="967"/>
      <c r="C2084" s="1382" t="s">
        <v>1289</v>
      </c>
      <c r="D2084" s="967"/>
      <c r="E2084" s="967"/>
      <c r="F2084" s="970">
        <f>ROUND(((G2065+G2066+G2067+F2083)*0.1),2)</f>
        <v>146.65</v>
      </c>
      <c r="G2084" s="970">
        <f>ROUND(((G2065+G2066+G2067+G2083)*0.2),2)</f>
        <v>295.70999999999998</v>
      </c>
      <c r="H2084" s="964" t="s">
        <v>2312</v>
      </c>
    </row>
    <row r="2085" spans="1:8" hidden="1">
      <c r="A2085" s="967"/>
      <c r="B2085" s="967"/>
      <c r="C2085" s="962" t="s">
        <v>181</v>
      </c>
      <c r="D2085" s="967"/>
      <c r="E2085" s="974">
        <f>SUM(E2081:E2084)</f>
        <v>378.13</v>
      </c>
      <c r="F2085" s="974">
        <f>SUM(F2081:F2084)</f>
        <v>536.78</v>
      </c>
      <c r="G2085" s="971">
        <f>SUM(G2081:G2084)</f>
        <v>697.83999999999992</v>
      </c>
      <c r="H2085" s="964" t="s">
        <v>2312</v>
      </c>
    </row>
    <row r="2086" spans="1:8" ht="127.5" hidden="1">
      <c r="A2086" s="896">
        <v>18</v>
      </c>
      <c r="B2086" s="966"/>
      <c r="C2086" s="1382" t="s">
        <v>315</v>
      </c>
      <c r="D2086" s="967"/>
      <c r="E2086" s="967"/>
      <c r="F2086" s="967"/>
      <c r="G2086" s="966"/>
      <c r="H2086" s="964" t="s">
        <v>2312</v>
      </c>
    </row>
    <row r="2087" spans="1:8" hidden="1">
      <c r="A2087" s="896"/>
      <c r="B2087" s="966"/>
      <c r="C2087" s="962" t="s">
        <v>314</v>
      </c>
      <c r="D2087" s="967"/>
      <c r="E2087" s="967"/>
      <c r="F2087" s="967"/>
      <c r="G2087" s="972"/>
      <c r="H2087" s="964" t="s">
        <v>2312</v>
      </c>
    </row>
    <row r="2088" spans="1:8" hidden="1">
      <c r="A2088" s="896"/>
      <c r="B2088" s="966"/>
      <c r="C2088" s="962" t="s">
        <v>60</v>
      </c>
      <c r="D2088" s="966"/>
      <c r="E2088" s="966"/>
      <c r="F2088" s="966"/>
      <c r="G2088" s="972"/>
      <c r="H2088" s="964" t="s">
        <v>2312</v>
      </c>
    </row>
    <row r="2089" spans="1:8" hidden="1">
      <c r="A2089" s="896"/>
      <c r="B2089" s="966"/>
      <c r="C2089" s="1382" t="s">
        <v>154</v>
      </c>
      <c r="D2089" s="967" t="s">
        <v>35</v>
      </c>
      <c r="E2089" s="970">
        <v>0.8</v>
      </c>
      <c r="F2089" s="970">
        <f>F1998</f>
        <v>1876.2299999999998</v>
      </c>
      <c r="G2089" s="969">
        <f>ROUND(E2089*F2089,2)</f>
        <v>1500.98</v>
      </c>
      <c r="H2089" s="964" t="s">
        <v>2312</v>
      </c>
    </row>
    <row r="2090" spans="1:8" hidden="1">
      <c r="A2090" s="896"/>
      <c r="B2090" s="966"/>
      <c r="C2090" s="1382" t="s">
        <v>112</v>
      </c>
      <c r="D2090" s="967" t="s">
        <v>35</v>
      </c>
      <c r="E2090" s="970">
        <v>0.4</v>
      </c>
      <c r="F2090" s="970">
        <f>F1999</f>
        <v>1648.4000000000019</v>
      </c>
      <c r="G2090" s="969">
        <f>ROUND(E2090*F2090,2)</f>
        <v>659.36</v>
      </c>
      <c r="H2090" s="964" t="s">
        <v>2312</v>
      </c>
    </row>
    <row r="2091" spans="1:8" hidden="1">
      <c r="A2091" s="967"/>
      <c r="B2091" s="967"/>
      <c r="C2091" s="1382" t="s">
        <v>33</v>
      </c>
      <c r="D2091" s="967" t="s">
        <v>4</v>
      </c>
      <c r="E2091" s="970">
        <f>E2063</f>
        <v>340</v>
      </c>
      <c r="F2091" s="970">
        <f>F2000</f>
        <v>4700</v>
      </c>
      <c r="G2091" s="969">
        <f>ROUND(E2091*F2091/1000,2)</f>
        <v>1598</v>
      </c>
      <c r="H2091" s="964" t="s">
        <v>2312</v>
      </c>
    </row>
    <row r="2092" spans="1:8" hidden="1">
      <c r="A2092" s="967"/>
      <c r="B2092" s="967"/>
      <c r="C2092" s="962" t="s">
        <v>68</v>
      </c>
      <c r="D2092" s="967"/>
      <c r="E2092" s="970"/>
      <c r="F2092" s="970"/>
      <c r="G2092" s="969"/>
      <c r="H2092" s="964" t="s">
        <v>2312</v>
      </c>
    </row>
    <row r="2093" spans="1:8" hidden="1">
      <c r="A2093" s="967"/>
      <c r="B2093" s="967"/>
      <c r="C2093" s="1382" t="s">
        <v>64</v>
      </c>
      <c r="D2093" s="967" t="s">
        <v>27</v>
      </c>
      <c r="E2093" s="973">
        <v>0.1</v>
      </c>
      <c r="F2093" s="970">
        <f>'MINI SSR 21-22'!$H$3</f>
        <v>585</v>
      </c>
      <c r="G2093" s="969">
        <f>ROUND(E2093*F2093,2)</f>
        <v>58.5</v>
      </c>
      <c r="H2093" s="964" t="s">
        <v>2312</v>
      </c>
    </row>
    <row r="2094" spans="1:8" hidden="1">
      <c r="A2094" s="967"/>
      <c r="B2094" s="967"/>
      <c r="C2094" s="1382" t="s">
        <v>69</v>
      </c>
      <c r="D2094" s="967" t="s">
        <v>27</v>
      </c>
      <c r="E2094" s="973">
        <v>1.39</v>
      </c>
      <c r="F2094" s="970">
        <f>'MINI SSR 21-22'!$H$4</f>
        <v>525</v>
      </c>
      <c r="G2094" s="969">
        <f>ROUND(E2094*F2094,2)</f>
        <v>729.75</v>
      </c>
      <c r="H2094" s="964" t="s">
        <v>2312</v>
      </c>
    </row>
    <row r="2095" spans="1:8" hidden="1">
      <c r="A2095" s="967"/>
      <c r="B2095" s="967"/>
      <c r="C2095" s="962" t="s">
        <v>61</v>
      </c>
      <c r="D2095" s="967"/>
      <c r="E2095" s="970"/>
      <c r="F2095" s="970"/>
      <c r="G2095" s="969"/>
      <c r="H2095" s="964" t="s">
        <v>2312</v>
      </c>
    </row>
    <row r="2096" spans="1:8" hidden="1">
      <c r="A2096" s="967"/>
      <c r="B2096" s="967"/>
      <c r="C2096" s="1382" t="s">
        <v>62</v>
      </c>
      <c r="D2096" s="967" t="s">
        <v>21</v>
      </c>
      <c r="E2096" s="973">
        <v>0.308</v>
      </c>
      <c r="F2096" s="970">
        <f>'MINI SSR 21-22'!$C$30</f>
        <v>626.20000000000005</v>
      </c>
      <c r="G2096" s="969">
        <f>ROUND(E2096*F2096,2)</f>
        <v>192.87</v>
      </c>
      <c r="H2096" s="964" t="s">
        <v>2312</v>
      </c>
    </row>
    <row r="2097" spans="1:8" hidden="1">
      <c r="A2097" s="967"/>
      <c r="B2097" s="967"/>
      <c r="C2097" s="1382" t="s">
        <v>160</v>
      </c>
      <c r="D2097" s="967" t="s">
        <v>21</v>
      </c>
      <c r="E2097" s="973">
        <v>0.308</v>
      </c>
      <c r="F2097" s="970">
        <f>'MINI SSR 21-22'!$C$31</f>
        <v>240.3</v>
      </c>
      <c r="G2097" s="969">
        <f>ROUND(E2097*F2097,2)</f>
        <v>74.010000000000005</v>
      </c>
      <c r="H2097" s="964" t="s">
        <v>2312</v>
      </c>
    </row>
    <row r="2098" spans="1:8" hidden="1">
      <c r="A2098" s="967"/>
      <c r="B2098" s="967"/>
      <c r="C2098" s="1382" t="s">
        <v>57</v>
      </c>
      <c r="D2098" s="967" t="s">
        <v>58</v>
      </c>
      <c r="E2098" s="970">
        <v>1.2</v>
      </c>
      <c r="F2098" s="922">
        <f>'MINI SSR 21-22'!$C$29</f>
        <v>88</v>
      </c>
      <c r="G2098" s="969">
        <f>ROUND(E2098*F2098,2)</f>
        <v>105.6</v>
      </c>
      <c r="H2098" s="964" t="s">
        <v>2312</v>
      </c>
    </row>
    <row r="2099" spans="1:8" hidden="1">
      <c r="A2099" s="967"/>
      <c r="B2099" s="967"/>
      <c r="C2099" s="962" t="s">
        <v>71</v>
      </c>
      <c r="D2099" s="967"/>
      <c r="E2099" s="967"/>
      <c r="F2099" s="967"/>
      <c r="G2099" s="971">
        <f>SUM(G2089:G2098)</f>
        <v>4919.0700000000006</v>
      </c>
      <c r="H2099" s="964" t="s">
        <v>2312</v>
      </c>
    </row>
    <row r="2100" spans="1:8" hidden="1">
      <c r="A2100" s="967"/>
      <c r="B2100" s="967"/>
      <c r="C2100" s="962"/>
      <c r="D2100" s="967"/>
      <c r="E2100" s="966" t="s">
        <v>161</v>
      </c>
      <c r="F2100" s="966" t="s">
        <v>162</v>
      </c>
      <c r="G2100" s="966" t="s">
        <v>162</v>
      </c>
      <c r="H2100" s="964" t="s">
        <v>2312</v>
      </c>
    </row>
    <row r="2101" spans="1:8" hidden="1">
      <c r="A2101" s="967"/>
      <c r="B2101" s="967"/>
      <c r="C2101" s="962" t="s">
        <v>1296</v>
      </c>
      <c r="D2101" s="967"/>
      <c r="E2101" s="970">
        <f>G2099</f>
        <v>4919.0700000000006</v>
      </c>
      <c r="F2101" s="970">
        <f>G2099</f>
        <v>4919.0700000000006</v>
      </c>
      <c r="G2101" s="970">
        <f>F2101</f>
        <v>4919.0700000000006</v>
      </c>
      <c r="H2101" s="964" t="s">
        <v>2312</v>
      </c>
    </row>
    <row r="2102" spans="1:8" ht="25.5" hidden="1">
      <c r="A2102" s="967"/>
      <c r="B2102" s="967"/>
      <c r="C2102" s="1382" t="s">
        <v>177</v>
      </c>
      <c r="D2102" s="967"/>
      <c r="E2102" s="970">
        <f>'MINI SSR 21-22'!C53</f>
        <v>67</v>
      </c>
      <c r="F2102" s="970">
        <f>E2102</f>
        <v>67</v>
      </c>
      <c r="G2102" s="970">
        <f>F2102</f>
        <v>67</v>
      </c>
      <c r="H2102" s="964" t="s">
        <v>2312</v>
      </c>
    </row>
    <row r="2103" spans="1:8" hidden="1">
      <c r="A2103" s="967"/>
      <c r="B2103" s="967"/>
      <c r="C2103" s="1382" t="s">
        <v>178</v>
      </c>
      <c r="D2103" s="967"/>
      <c r="E2103" s="970">
        <f>'MINI SSR 21-22'!D53</f>
        <v>363</v>
      </c>
      <c r="F2103" s="970">
        <f>E2103</f>
        <v>363</v>
      </c>
      <c r="G2103" s="970">
        <f>F2103</f>
        <v>363</v>
      </c>
      <c r="H2103" s="964" t="s">
        <v>2312</v>
      </c>
    </row>
    <row r="2104" spans="1:8" ht="25.5" hidden="1">
      <c r="A2104" s="967"/>
      <c r="B2104" s="967"/>
      <c r="C2104" s="1382" t="s">
        <v>1285</v>
      </c>
      <c r="D2104" s="967"/>
      <c r="E2104" s="967"/>
      <c r="F2104" s="970">
        <f>ROUND((G2093+G2094+F2103)*0.1,2)</f>
        <v>115.13</v>
      </c>
      <c r="G2104" s="970">
        <f>ROUND((G2093+G2094+G2103)*0.2,2)</f>
        <v>230.25</v>
      </c>
      <c r="H2104" s="964" t="s">
        <v>2312</v>
      </c>
    </row>
    <row r="2105" spans="1:8" hidden="1">
      <c r="A2105" s="967"/>
      <c r="B2105" s="967"/>
      <c r="C2105" s="962" t="s">
        <v>182</v>
      </c>
      <c r="D2105" s="967"/>
      <c r="E2105" s="974">
        <f>SUM(E2101:E2104)</f>
        <v>5349.0700000000006</v>
      </c>
      <c r="F2105" s="974">
        <f>SUM(F2101:F2104)</f>
        <v>5464.2000000000007</v>
      </c>
      <c r="G2105" s="974">
        <f>SUM(G2101:G2104)</f>
        <v>5579.3200000000006</v>
      </c>
      <c r="H2105" s="964" t="s">
        <v>2312</v>
      </c>
    </row>
    <row r="2106" spans="1:8" ht="127.5" hidden="1">
      <c r="A2106" s="896">
        <v>9</v>
      </c>
      <c r="B2106" s="966" t="s">
        <v>1326</v>
      </c>
      <c r="C2106" s="1382" t="s">
        <v>1327</v>
      </c>
      <c r="D2106" s="967"/>
      <c r="E2106" s="967"/>
      <c r="F2106" s="967"/>
      <c r="G2106" s="966"/>
      <c r="H2106" s="964" t="s">
        <v>2312</v>
      </c>
    </row>
    <row r="2107" spans="1:8" hidden="1">
      <c r="A2107" s="896"/>
      <c r="B2107" s="966"/>
      <c r="C2107" s="962" t="s">
        <v>36</v>
      </c>
      <c r="D2107" s="967"/>
      <c r="E2107" s="967"/>
      <c r="F2107" s="967"/>
      <c r="G2107" s="902"/>
      <c r="H2107" s="964" t="s">
        <v>2312</v>
      </c>
    </row>
    <row r="2108" spans="1:8" hidden="1">
      <c r="A2108" s="896"/>
      <c r="B2108" s="967"/>
      <c r="C2108" s="962" t="s">
        <v>40</v>
      </c>
      <c r="D2108" s="967"/>
      <c r="E2108" s="967"/>
      <c r="F2108" s="967"/>
      <c r="G2108" s="902"/>
      <c r="H2108" s="964" t="s">
        <v>2312</v>
      </c>
    </row>
    <row r="2109" spans="1:8" hidden="1">
      <c r="A2109" s="896"/>
      <c r="B2109" s="968" t="s">
        <v>18</v>
      </c>
      <c r="C2109" s="962" t="s">
        <v>22</v>
      </c>
      <c r="D2109" s="967"/>
      <c r="E2109" s="967"/>
      <c r="F2109" s="967"/>
      <c r="G2109" s="902"/>
      <c r="H2109" s="964" t="s">
        <v>2312</v>
      </c>
    </row>
    <row r="2110" spans="1:8" hidden="1">
      <c r="A2110" s="902"/>
      <c r="B2110" s="902"/>
      <c r="C2110" s="1382" t="s">
        <v>37</v>
      </c>
      <c r="D2110" s="922" t="s">
        <v>34</v>
      </c>
      <c r="E2110" s="977">
        <v>1.05</v>
      </c>
      <c r="F2110" s="922">
        <f>'lead 21-22'!L9</f>
        <v>64310</v>
      </c>
      <c r="G2110" s="969">
        <f>ROUND(E2110*F2110,2)</f>
        <v>67525.5</v>
      </c>
      <c r="H2110" s="964" t="s">
        <v>2312</v>
      </c>
    </row>
    <row r="2111" spans="1:8" hidden="1">
      <c r="A2111" s="902"/>
      <c r="B2111" s="902"/>
      <c r="C2111" s="1382" t="s">
        <v>38</v>
      </c>
      <c r="D2111" s="896" t="s">
        <v>4</v>
      </c>
      <c r="E2111" s="922">
        <v>6</v>
      </c>
      <c r="F2111" s="922">
        <f>'MINI SSR 21-22'!C32</f>
        <v>64</v>
      </c>
      <c r="G2111" s="969">
        <f>ROUND(E2111*F2111,2)</f>
        <v>384</v>
      </c>
      <c r="H2111" s="964" t="s">
        <v>2312</v>
      </c>
    </row>
    <row r="2112" spans="1:8" ht="25.5" hidden="1">
      <c r="A2112" s="902"/>
      <c r="B2112" s="968" t="s">
        <v>20</v>
      </c>
      <c r="C2112" s="962" t="s">
        <v>1272</v>
      </c>
      <c r="D2112" s="896"/>
      <c r="E2112" s="896"/>
      <c r="F2112" s="896"/>
      <c r="G2112" s="902"/>
      <c r="H2112" s="964" t="s">
        <v>2312</v>
      </c>
    </row>
    <row r="2113" spans="1:8" hidden="1">
      <c r="A2113" s="902"/>
      <c r="B2113" s="902"/>
      <c r="C2113" s="1382" t="s">
        <v>120</v>
      </c>
      <c r="D2113" s="896" t="s">
        <v>27</v>
      </c>
      <c r="E2113" s="922">
        <v>10</v>
      </c>
      <c r="F2113" s="922">
        <f>'MINI SSR 21-22'!H6</f>
        <v>700</v>
      </c>
      <c r="G2113" s="969">
        <f>ROUND(E2113*F2113,2)</f>
        <v>7000</v>
      </c>
      <c r="H2113" s="964" t="s">
        <v>2312</v>
      </c>
    </row>
    <row r="2114" spans="1:8" hidden="1">
      <c r="A2114" s="902"/>
      <c r="B2114" s="902"/>
      <c r="C2114" s="1382" t="s">
        <v>19</v>
      </c>
      <c r="D2114" s="896" t="s">
        <v>27</v>
      </c>
      <c r="E2114" s="922">
        <v>10</v>
      </c>
      <c r="F2114" s="922">
        <f>'MINI SSR 21-22'!$H$5</f>
        <v>490</v>
      </c>
      <c r="G2114" s="969">
        <f>ROUND(E2114*F2114,2)</f>
        <v>4900</v>
      </c>
      <c r="H2114" s="964" t="s">
        <v>2312</v>
      </c>
    </row>
    <row r="2115" spans="1:8" hidden="1">
      <c r="A2115" s="902"/>
      <c r="B2115" s="902"/>
      <c r="C2115" s="962" t="s">
        <v>39</v>
      </c>
      <c r="D2115" s="896"/>
      <c r="E2115" s="922"/>
      <c r="F2115" s="922"/>
      <c r="G2115" s="963">
        <f>SUM(G2110:G2114)</f>
        <v>79809.5</v>
      </c>
      <c r="H2115" s="964" t="s">
        <v>2312</v>
      </c>
    </row>
    <row r="2116" spans="1:8" hidden="1">
      <c r="A2116" s="967"/>
      <c r="B2116" s="967"/>
      <c r="C2116" s="962"/>
      <c r="D2116" s="967"/>
      <c r="E2116" s="966" t="s">
        <v>161</v>
      </c>
      <c r="F2116" s="974" t="s">
        <v>162</v>
      </c>
      <c r="G2116" s="974" t="s">
        <v>163</v>
      </c>
      <c r="H2116" s="964" t="s">
        <v>2312</v>
      </c>
    </row>
    <row r="2117" spans="1:8" hidden="1">
      <c r="A2117" s="967"/>
      <c r="B2117" s="967"/>
      <c r="C2117" s="962" t="s">
        <v>867</v>
      </c>
      <c r="D2117" s="967"/>
      <c r="E2117" s="970">
        <f>G2115</f>
        <v>79809.5</v>
      </c>
      <c r="F2117" s="972">
        <f>E2117</f>
        <v>79809.5</v>
      </c>
      <c r="G2117" s="972">
        <f>F2117</f>
        <v>79809.5</v>
      </c>
      <c r="H2117" s="964" t="s">
        <v>2312</v>
      </c>
    </row>
    <row r="2118" spans="1:8" ht="25.5" hidden="1">
      <c r="A2118" s="967"/>
      <c r="B2118" s="967"/>
      <c r="C2118" s="1382" t="s">
        <v>1285</v>
      </c>
      <c r="D2118" s="967"/>
      <c r="E2118" s="967"/>
      <c r="F2118" s="972">
        <f>ROUND((G2113+G2114)*10%,2)</f>
        <v>1190</v>
      </c>
      <c r="G2118" s="972">
        <f>ROUND((G2113+G2114)*20%,2)</f>
        <v>2380</v>
      </c>
      <c r="H2118" s="964" t="s">
        <v>2312</v>
      </c>
    </row>
    <row r="2119" spans="1:8" hidden="1">
      <c r="A2119" s="967"/>
      <c r="B2119" s="967"/>
      <c r="C2119" s="962" t="s">
        <v>894</v>
      </c>
      <c r="D2119" s="967"/>
      <c r="E2119" s="974">
        <f>SUM(E2117:E2118)</f>
        <v>79809.5</v>
      </c>
      <c r="F2119" s="971">
        <f>SUM(F2117:F2118)</f>
        <v>80999.5</v>
      </c>
      <c r="G2119" s="971">
        <f>SUM(G2117:G2118)</f>
        <v>82189.5</v>
      </c>
      <c r="H2119" s="964" t="s">
        <v>2312</v>
      </c>
    </row>
    <row r="2120" spans="1:8" s="982" customFormat="1" ht="204" hidden="1">
      <c r="A2120" s="978">
        <v>20</v>
      </c>
      <c r="B2120" s="979" t="s">
        <v>1328</v>
      </c>
      <c r="C2120" s="979" t="s">
        <v>1329</v>
      </c>
      <c r="D2120" s="980"/>
      <c r="E2120" s="980"/>
      <c r="F2120" s="980"/>
      <c r="G2120" s="981"/>
      <c r="H2120" s="964" t="s">
        <v>2312</v>
      </c>
    </row>
    <row r="2121" spans="1:8" s="982" customFormat="1" hidden="1">
      <c r="A2121" s="978"/>
      <c r="B2121" s="983"/>
      <c r="C2121" s="979" t="s">
        <v>1330</v>
      </c>
      <c r="D2121" s="978"/>
      <c r="E2121" s="906"/>
      <c r="F2121" s="907"/>
      <c r="G2121" s="981"/>
      <c r="H2121" s="964" t="s">
        <v>2312</v>
      </c>
    </row>
    <row r="2122" spans="1:8" s="982" customFormat="1" hidden="1">
      <c r="A2122" s="978"/>
      <c r="B2122" s="979"/>
      <c r="C2122" s="979" t="s">
        <v>1331</v>
      </c>
      <c r="D2122" s="978"/>
      <c r="E2122" s="906"/>
      <c r="F2122" s="907"/>
      <c r="G2122" s="981"/>
      <c r="H2122" s="964" t="s">
        <v>2312</v>
      </c>
    </row>
    <row r="2123" spans="1:8" s="982" customFormat="1" ht="25.5" hidden="1">
      <c r="A2123" s="978"/>
      <c r="B2123" s="979"/>
      <c r="C2123" s="979" t="s">
        <v>1332</v>
      </c>
      <c r="D2123" s="978" t="s">
        <v>34</v>
      </c>
      <c r="E2123" s="906">
        <v>1.0249999999999999</v>
      </c>
      <c r="F2123" s="907">
        <f>'lead 21-22'!L10</f>
        <v>61360</v>
      </c>
      <c r="G2123" s="981">
        <f>ROUND(F2123*E2123,2)</f>
        <v>62894</v>
      </c>
      <c r="H2123" s="964" t="s">
        <v>2312</v>
      </c>
    </row>
    <row r="2124" spans="1:8" s="982" customFormat="1" ht="25.5" hidden="1">
      <c r="A2124" s="978"/>
      <c r="B2124" s="979"/>
      <c r="C2124" s="979" t="s">
        <v>1333</v>
      </c>
      <c r="D2124" s="978" t="s">
        <v>1334</v>
      </c>
      <c r="E2124" s="906">
        <v>70</v>
      </c>
      <c r="F2124" s="907">
        <f>'MINI SSR 21-22'!C33</f>
        <v>14</v>
      </c>
      <c r="G2124" s="981">
        <f>ROUND(F2124*E2124,2)</f>
        <v>980</v>
      </c>
      <c r="H2124" s="964" t="s">
        <v>2312</v>
      </c>
    </row>
    <row r="2125" spans="1:8" s="982" customFormat="1" ht="25.5" hidden="1">
      <c r="A2125" s="978"/>
      <c r="B2125" s="979"/>
      <c r="C2125" s="979" t="s">
        <v>1335</v>
      </c>
      <c r="D2125" s="978" t="s">
        <v>90</v>
      </c>
      <c r="E2125" s="906">
        <v>3</v>
      </c>
      <c r="F2125" s="907">
        <f>'MINI SSR 21-22'!C32</f>
        <v>64</v>
      </c>
      <c r="G2125" s="981">
        <f>ROUND(F2125*E2125,2)</f>
        <v>192</v>
      </c>
      <c r="H2125" s="964" t="s">
        <v>2312</v>
      </c>
    </row>
    <row r="2126" spans="1:8" s="982" customFormat="1" ht="25.5" hidden="1">
      <c r="A2126" s="978"/>
      <c r="B2126" s="979"/>
      <c r="C2126" s="979" t="s">
        <v>1336</v>
      </c>
      <c r="D2126" s="978"/>
      <c r="E2126" s="906"/>
      <c r="F2126" s="907"/>
      <c r="G2126" s="981"/>
      <c r="H2126" s="964" t="s">
        <v>2312</v>
      </c>
    </row>
    <row r="2127" spans="1:8" s="982" customFormat="1" hidden="1">
      <c r="A2127" s="978"/>
      <c r="B2127" s="979"/>
      <c r="C2127" s="979" t="s">
        <v>1337</v>
      </c>
      <c r="D2127" s="978" t="s">
        <v>27</v>
      </c>
      <c r="E2127" s="906">
        <v>2.5</v>
      </c>
      <c r="F2127" s="984">
        <f>'MINI SSR 21-22'!H10</f>
        <v>575</v>
      </c>
      <c r="G2127" s="981">
        <f>ROUND(F2127*E2127,2)</f>
        <v>1437.5</v>
      </c>
      <c r="H2127" s="964" t="s">
        <v>2312</v>
      </c>
    </row>
    <row r="2128" spans="1:8" s="982" customFormat="1" hidden="1">
      <c r="A2128" s="978"/>
      <c r="B2128" s="979"/>
      <c r="C2128" s="979" t="s">
        <v>1338</v>
      </c>
      <c r="D2128" s="978" t="s">
        <v>27</v>
      </c>
      <c r="E2128" s="906">
        <v>10</v>
      </c>
      <c r="F2128" s="984">
        <f>'MINI SSR 21-22'!H11</f>
        <v>550</v>
      </c>
      <c r="G2128" s="981">
        <f>ROUND(F2128*E2128,2)</f>
        <v>5500</v>
      </c>
      <c r="H2128" s="964" t="s">
        <v>2312</v>
      </c>
    </row>
    <row r="2129" spans="1:8" s="982" customFormat="1" hidden="1">
      <c r="A2129" s="978"/>
      <c r="B2129" s="979"/>
      <c r="C2129" s="979" t="s">
        <v>1339</v>
      </c>
      <c r="D2129" s="978" t="s">
        <v>27</v>
      </c>
      <c r="E2129" s="906">
        <v>10</v>
      </c>
      <c r="F2129" s="984">
        <f>'MINI SSR 21-22'!H5</f>
        <v>490</v>
      </c>
      <c r="G2129" s="981">
        <f>ROUND(F2129*E2129,2)</f>
        <v>4900</v>
      </c>
      <c r="H2129" s="964" t="s">
        <v>2312</v>
      </c>
    </row>
    <row r="2130" spans="1:8" s="982" customFormat="1" ht="25.5" hidden="1">
      <c r="A2130" s="978"/>
      <c r="B2130" s="979"/>
      <c r="C2130" s="979" t="s">
        <v>1340</v>
      </c>
      <c r="D2130" s="978" t="s">
        <v>1341</v>
      </c>
      <c r="E2130" s="906">
        <v>10</v>
      </c>
      <c r="F2130" s="984">
        <f>'MINI SSR 21-22'!C34</f>
        <v>116.6</v>
      </c>
      <c r="G2130" s="981">
        <f>ROUND(F2130*E2130,2)</f>
        <v>1166</v>
      </c>
      <c r="H2130" s="964" t="s">
        <v>2312</v>
      </c>
    </row>
    <row r="2131" spans="1:8" s="982" customFormat="1" hidden="1">
      <c r="A2131" s="978"/>
      <c r="B2131" s="979"/>
      <c r="C2131" s="979" t="s">
        <v>1342</v>
      </c>
      <c r="D2131" s="978"/>
      <c r="E2131" s="906"/>
      <c r="F2131" s="907"/>
      <c r="G2131" s="985">
        <f>SUM(G2123:G2130)</f>
        <v>77069.5</v>
      </c>
      <c r="H2131" s="964" t="s">
        <v>2312</v>
      </c>
    </row>
    <row r="2132" spans="1:8" s="982" customFormat="1" hidden="1">
      <c r="A2132" s="978"/>
      <c r="B2132" s="979"/>
      <c r="C2132" s="979" t="s">
        <v>1343</v>
      </c>
      <c r="D2132" s="978"/>
      <c r="E2132" s="906"/>
      <c r="F2132" s="907"/>
      <c r="G2132" s="985">
        <f>ROUND(G2131/1000,2)</f>
        <v>77.069999999999993</v>
      </c>
      <c r="H2132" s="964" t="s">
        <v>2312</v>
      </c>
    </row>
    <row r="2133" spans="1:8" ht="63.75" hidden="1">
      <c r="A2133" s="896">
        <v>11</v>
      </c>
      <c r="B2133" s="966"/>
      <c r="C2133" s="1382" t="s">
        <v>185</v>
      </c>
      <c r="D2133" s="967"/>
      <c r="E2133" s="967"/>
      <c r="F2133" s="967"/>
      <c r="G2133" s="902"/>
      <c r="H2133" s="964" t="s">
        <v>2312</v>
      </c>
    </row>
    <row r="2134" spans="1:8" hidden="1">
      <c r="A2134" s="896"/>
      <c r="B2134" s="966"/>
      <c r="C2134" s="962" t="s">
        <v>186</v>
      </c>
      <c r="D2134" s="967"/>
      <c r="E2134" s="967"/>
      <c r="F2134" s="967"/>
      <c r="G2134" s="902"/>
      <c r="H2134" s="964" t="s">
        <v>2312</v>
      </c>
    </row>
    <row r="2135" spans="1:8" hidden="1">
      <c r="A2135" s="896"/>
      <c r="B2135" s="968" t="s">
        <v>18</v>
      </c>
      <c r="C2135" s="962" t="s">
        <v>22</v>
      </c>
      <c r="D2135" s="967"/>
      <c r="E2135" s="967"/>
      <c r="F2135" s="967"/>
      <c r="G2135" s="902"/>
      <c r="H2135" s="964" t="s">
        <v>2312</v>
      </c>
    </row>
    <row r="2136" spans="1:8" ht="25.5" hidden="1">
      <c r="A2136" s="902"/>
      <c r="B2136" s="902"/>
      <c r="C2136" s="1382" t="s">
        <v>187</v>
      </c>
      <c r="D2136" s="896" t="s">
        <v>4</v>
      </c>
      <c r="E2136" s="920">
        <v>1.0249999999999999</v>
      </c>
      <c r="F2136" s="922">
        <f>'lead 21-22'!L10/1000</f>
        <v>61.36</v>
      </c>
      <c r="G2136" s="969">
        <f>ROUND(E2136*F2136,2)</f>
        <v>62.89</v>
      </c>
      <c r="H2136" s="964" t="s">
        <v>2312</v>
      </c>
    </row>
    <row r="2137" spans="1:8" hidden="1">
      <c r="A2137" s="902"/>
      <c r="B2137" s="968" t="s">
        <v>20</v>
      </c>
      <c r="C2137" s="1382" t="s">
        <v>188</v>
      </c>
      <c r="D2137" s="896" t="s">
        <v>4</v>
      </c>
      <c r="E2137" s="922">
        <v>1</v>
      </c>
      <c r="F2137" s="922">
        <f>'MINI SSR 21-22'!C35</f>
        <v>28</v>
      </c>
      <c r="G2137" s="969">
        <f>ROUND(E2137*F2137,2)</f>
        <v>28</v>
      </c>
      <c r="H2137" s="964" t="s">
        <v>2312</v>
      </c>
    </row>
    <row r="2138" spans="1:8" hidden="1">
      <c r="A2138" s="902"/>
      <c r="B2138" s="902"/>
      <c r="C2138" s="1382" t="s">
        <v>189</v>
      </c>
      <c r="D2138" s="896" t="s">
        <v>27</v>
      </c>
      <c r="E2138" s="922">
        <v>1</v>
      </c>
      <c r="F2138" s="922">
        <f>'MINI SSR 21-22'!C36</f>
        <v>5</v>
      </c>
      <c r="G2138" s="969">
        <f>ROUND(E2138*F2138,2)</f>
        <v>5</v>
      </c>
      <c r="H2138" s="964" t="s">
        <v>2312</v>
      </c>
    </row>
    <row r="2139" spans="1:8" hidden="1">
      <c r="A2139" s="902"/>
      <c r="B2139" s="902"/>
      <c r="C2139" s="962" t="s">
        <v>190</v>
      </c>
      <c r="D2139" s="896"/>
      <c r="E2139" s="922"/>
      <c r="F2139" s="922"/>
      <c r="G2139" s="963">
        <f>SUM(G2136:G2138)</f>
        <v>95.89</v>
      </c>
      <c r="H2139" s="964" t="s">
        <v>2312</v>
      </c>
    </row>
    <row r="2140" spans="1:8" ht="114.75" hidden="1">
      <c r="A2140" s="896">
        <v>18</v>
      </c>
      <c r="B2140" s="966"/>
      <c r="C2140" s="1382" t="s">
        <v>969</v>
      </c>
      <c r="D2140" s="967"/>
      <c r="E2140" s="967"/>
      <c r="F2140" s="967"/>
      <c r="G2140" s="902"/>
      <c r="H2140" s="964" t="s">
        <v>2312</v>
      </c>
    </row>
    <row r="2141" spans="1:8" hidden="1">
      <c r="A2141" s="896"/>
      <c r="B2141" s="968" t="s">
        <v>18</v>
      </c>
      <c r="C2141" s="962" t="s">
        <v>22</v>
      </c>
      <c r="D2141" s="967"/>
      <c r="E2141" s="967"/>
      <c r="F2141" s="967"/>
      <c r="G2141" s="902"/>
      <c r="H2141" s="964" t="s">
        <v>2312</v>
      </c>
    </row>
    <row r="2142" spans="1:8" hidden="1">
      <c r="A2142" s="902"/>
      <c r="B2142" s="902"/>
      <c r="C2142" s="1382" t="s">
        <v>934</v>
      </c>
      <c r="D2142" s="896" t="s">
        <v>4</v>
      </c>
      <c r="E2142" s="920">
        <v>43.51</v>
      </c>
      <c r="F2142" s="922">
        <f>'lead 21-22'!L10/1000</f>
        <v>61.36</v>
      </c>
      <c r="G2142" s="969">
        <f>ROUND(E2142*F2142,2)</f>
        <v>2669.77</v>
      </c>
      <c r="H2142" s="964" t="s">
        <v>2312</v>
      </c>
    </row>
    <row r="2143" spans="1:8" hidden="1">
      <c r="A2143" s="902"/>
      <c r="B2143" s="902"/>
      <c r="C2143" s="1382" t="s">
        <v>935</v>
      </c>
      <c r="D2143" s="896" t="s">
        <v>4</v>
      </c>
      <c r="E2143" s="920">
        <v>14.4</v>
      </c>
      <c r="F2143" s="922">
        <f>'lead 21-22'!L9/1000</f>
        <v>64.31</v>
      </c>
      <c r="G2143" s="969">
        <f>ROUND(E2143*F2143,2)</f>
        <v>926.06</v>
      </c>
      <c r="H2143" s="964" t="s">
        <v>2312</v>
      </c>
    </row>
    <row r="2144" spans="1:8" hidden="1">
      <c r="A2144" s="902"/>
      <c r="B2144" s="968" t="s">
        <v>20</v>
      </c>
      <c r="C2144" s="1382" t="s">
        <v>188</v>
      </c>
      <c r="D2144" s="896" t="s">
        <v>4</v>
      </c>
      <c r="E2144" s="922">
        <f>SUM(E2142:E2143)</f>
        <v>57.91</v>
      </c>
      <c r="F2144" s="922">
        <f>'MINI SSR 21-22'!C35</f>
        <v>28</v>
      </c>
      <c r="G2144" s="969">
        <f>ROUND(E2144*F2144,2)</f>
        <v>1621.48</v>
      </c>
      <c r="H2144" s="964" t="s">
        <v>2312</v>
      </c>
    </row>
    <row r="2145" spans="1:8" hidden="1">
      <c r="A2145" s="902"/>
      <c r="B2145" s="902"/>
      <c r="C2145" s="1382" t="s">
        <v>189</v>
      </c>
      <c r="D2145" s="896" t="s">
        <v>27</v>
      </c>
      <c r="E2145" s="922">
        <f>E2144</f>
        <v>57.91</v>
      </c>
      <c r="F2145" s="922">
        <f>'MINI SSR 21-22'!C36</f>
        <v>5</v>
      </c>
      <c r="G2145" s="969">
        <f>ROUND(E2145*F2145,2)</f>
        <v>289.55</v>
      </c>
      <c r="H2145" s="964" t="s">
        <v>2312</v>
      </c>
    </row>
    <row r="2146" spans="1:8" hidden="1">
      <c r="A2146" s="902"/>
      <c r="B2146" s="902"/>
      <c r="C2146" s="962" t="s">
        <v>936</v>
      </c>
      <c r="D2146" s="896"/>
      <c r="E2146" s="922"/>
      <c r="F2146" s="922"/>
      <c r="G2146" s="963">
        <f>SUM(G2142:G2145)</f>
        <v>5506.86</v>
      </c>
      <c r="H2146" s="964" t="s">
        <v>2312</v>
      </c>
    </row>
    <row r="2147" spans="1:8" hidden="1">
      <c r="A2147" s="902"/>
      <c r="B2147" s="902"/>
      <c r="C2147" s="962" t="s">
        <v>121</v>
      </c>
      <c r="D2147" s="896"/>
      <c r="E2147" s="922"/>
      <c r="F2147" s="922"/>
      <c r="G2147" s="963">
        <f>ROUND(G2146/2.025,2)</f>
        <v>2719.44</v>
      </c>
      <c r="H2147" s="964" t="s">
        <v>2312</v>
      </c>
    </row>
    <row r="2148" spans="1:8" ht="51" hidden="1">
      <c r="A2148" s="896">
        <v>23</v>
      </c>
      <c r="B2148" s="966"/>
      <c r="C2148" s="1382" t="s">
        <v>627</v>
      </c>
      <c r="D2148" s="967"/>
      <c r="E2148" s="967"/>
      <c r="F2148" s="967"/>
      <c r="G2148" s="902"/>
      <c r="H2148" s="964" t="s">
        <v>2312</v>
      </c>
    </row>
    <row r="2149" spans="1:8" hidden="1">
      <c r="A2149" s="896"/>
      <c r="B2149" s="966"/>
      <c r="C2149" s="962" t="s">
        <v>186</v>
      </c>
      <c r="D2149" s="967"/>
      <c r="E2149" s="967"/>
      <c r="F2149" s="967"/>
      <c r="G2149" s="902"/>
      <c r="H2149" s="964" t="s">
        <v>2312</v>
      </c>
    </row>
    <row r="2150" spans="1:8" hidden="1">
      <c r="A2150" s="896"/>
      <c r="B2150" s="968" t="s">
        <v>18</v>
      </c>
      <c r="C2150" s="962" t="s">
        <v>22</v>
      </c>
      <c r="D2150" s="967"/>
      <c r="E2150" s="967"/>
      <c r="F2150" s="967"/>
      <c r="G2150" s="902"/>
      <c r="H2150" s="964" t="s">
        <v>2312</v>
      </c>
    </row>
    <row r="2151" spans="1:8" hidden="1">
      <c r="A2151" s="902"/>
      <c r="B2151" s="902"/>
      <c r="C2151" s="1382" t="s">
        <v>628</v>
      </c>
      <c r="D2151" s="896" t="s">
        <v>4</v>
      </c>
      <c r="E2151" s="920">
        <v>1.0249999999999999</v>
      </c>
      <c r="F2151" s="922">
        <f>'MINI SSR 21-22'!C37</f>
        <v>66</v>
      </c>
      <c r="G2151" s="969">
        <f>ROUND(E2151*F2151,2)</f>
        <v>67.650000000000006</v>
      </c>
      <c r="H2151" s="964" t="s">
        <v>2312</v>
      </c>
    </row>
    <row r="2152" spans="1:8" hidden="1">
      <c r="A2152" s="902"/>
      <c r="B2152" s="968" t="s">
        <v>20</v>
      </c>
      <c r="C2152" s="1382" t="s">
        <v>629</v>
      </c>
      <c r="D2152" s="896" t="s">
        <v>4</v>
      </c>
      <c r="E2152" s="922">
        <v>1</v>
      </c>
      <c r="F2152" s="922">
        <f>'MINI SSR 21-22'!C38</f>
        <v>25</v>
      </c>
      <c r="G2152" s="969">
        <f>ROUND(E2152*F2152,2)</f>
        <v>25</v>
      </c>
      <c r="H2152" s="964" t="s">
        <v>2312</v>
      </c>
    </row>
    <row r="2153" spans="1:8" hidden="1">
      <c r="A2153" s="902"/>
      <c r="B2153" s="902"/>
      <c r="C2153" s="1382" t="s">
        <v>630</v>
      </c>
      <c r="D2153" s="896" t="s">
        <v>27</v>
      </c>
      <c r="E2153" s="922">
        <v>1</v>
      </c>
      <c r="F2153" s="922">
        <f>'MINI SSR 21-22'!C39</f>
        <v>22</v>
      </c>
      <c r="G2153" s="969">
        <f>ROUND(E2153*F2153,2)</f>
        <v>22</v>
      </c>
      <c r="H2153" s="964" t="s">
        <v>2312</v>
      </c>
    </row>
    <row r="2154" spans="1:8" hidden="1">
      <c r="A2154" s="902"/>
      <c r="B2154" s="902"/>
      <c r="C2154" s="962" t="s">
        <v>190</v>
      </c>
      <c r="D2154" s="896"/>
      <c r="E2154" s="922"/>
      <c r="F2154" s="922"/>
      <c r="G2154" s="963">
        <f>SUM(G2151:G2153)</f>
        <v>114.65</v>
      </c>
      <c r="H2154" s="964" t="s">
        <v>2312</v>
      </c>
    </row>
    <row r="2155" spans="1:8" ht="191.25" hidden="1">
      <c r="A2155" s="896">
        <v>6</v>
      </c>
      <c r="B2155" s="966"/>
      <c r="C2155" s="1382" t="s">
        <v>1297</v>
      </c>
      <c r="D2155" s="967"/>
      <c r="E2155" s="967"/>
      <c r="F2155" s="967"/>
      <c r="G2155" s="902"/>
      <c r="H2155" s="964" t="s">
        <v>2312</v>
      </c>
    </row>
    <row r="2156" spans="1:8" hidden="1">
      <c r="A2156" s="896"/>
      <c r="B2156" s="966"/>
      <c r="C2156" s="962" t="s">
        <v>919</v>
      </c>
      <c r="D2156" s="967"/>
      <c r="E2156" s="967"/>
      <c r="F2156" s="967"/>
      <c r="G2156" s="972"/>
      <c r="H2156" s="964" t="s">
        <v>2312</v>
      </c>
    </row>
    <row r="2157" spans="1:8" hidden="1">
      <c r="A2157" s="902"/>
      <c r="B2157" s="902"/>
      <c r="C2157" s="1382" t="s">
        <v>913</v>
      </c>
      <c r="D2157" s="922">
        <v>4.5999999999999996</v>
      </c>
      <c r="E2157" s="920">
        <v>2.39</v>
      </c>
      <c r="F2157" s="922">
        <f>ROUND(D2157*E2157,2)</f>
        <v>10.99</v>
      </c>
      <c r="G2157" s="969"/>
      <c r="H2157" s="964" t="s">
        <v>2312</v>
      </c>
    </row>
    <row r="2158" spans="1:8" hidden="1">
      <c r="A2158" s="902"/>
      <c r="B2158" s="902"/>
      <c r="C2158" s="1382" t="s">
        <v>914</v>
      </c>
      <c r="D2158" s="922">
        <v>11.7</v>
      </c>
      <c r="E2158" s="920">
        <v>0.89</v>
      </c>
      <c r="F2158" s="922">
        <f>ROUND(D2158*E2158,2)</f>
        <v>10.41</v>
      </c>
      <c r="G2158" s="969"/>
      <c r="H2158" s="964" t="s">
        <v>2312</v>
      </c>
    </row>
    <row r="2159" spans="1:8" hidden="1">
      <c r="A2159" s="902"/>
      <c r="B2159" s="902"/>
      <c r="C2159" s="1382"/>
      <c r="D2159" s="896"/>
      <c r="E2159" s="920"/>
      <c r="F2159" s="986">
        <f>SUM(F2157:F2158)</f>
        <v>21.4</v>
      </c>
      <c r="G2159" s="969"/>
      <c r="H2159" s="964" t="s">
        <v>2312</v>
      </c>
    </row>
    <row r="2160" spans="1:8" hidden="1">
      <c r="A2160" s="902"/>
      <c r="B2160" s="902"/>
      <c r="C2160" s="1382" t="s">
        <v>696</v>
      </c>
      <c r="D2160" s="896" t="s">
        <v>4</v>
      </c>
      <c r="E2160" s="920">
        <f>F2159</f>
        <v>21.4</v>
      </c>
      <c r="F2160" s="922">
        <f>'MINI SSR 21-22'!C40</f>
        <v>360</v>
      </c>
      <c r="G2160" s="969">
        <f t="shared" ref="G2160:G2165" si="9">ROUND(E2160*F2160,2)</f>
        <v>7704</v>
      </c>
      <c r="H2160" s="964" t="s">
        <v>2312</v>
      </c>
    </row>
    <row r="2161" spans="1:8" ht="25.5" hidden="1">
      <c r="A2161" s="902"/>
      <c r="B2161" s="968"/>
      <c r="C2161" s="1382" t="s">
        <v>697</v>
      </c>
      <c r="D2161" s="896" t="s">
        <v>4</v>
      </c>
      <c r="E2161" s="922">
        <f>E2160</f>
        <v>21.4</v>
      </c>
      <c r="F2161" s="922">
        <f>'MINI SSR 21-22'!C41</f>
        <v>139</v>
      </c>
      <c r="G2161" s="969">
        <f t="shared" si="9"/>
        <v>2974.6</v>
      </c>
      <c r="H2161" s="964" t="s">
        <v>2312</v>
      </c>
    </row>
    <row r="2162" spans="1:8" hidden="1">
      <c r="A2162" s="902"/>
      <c r="B2162" s="968"/>
      <c r="C2162" s="1382" t="s">
        <v>915</v>
      </c>
      <c r="D2162" s="896" t="s">
        <v>277</v>
      </c>
      <c r="E2162" s="922">
        <v>1.3</v>
      </c>
      <c r="F2162" s="922">
        <f>'MINI SSR 21-22'!C42</f>
        <v>200</v>
      </c>
      <c r="G2162" s="969">
        <f t="shared" si="9"/>
        <v>260</v>
      </c>
      <c r="H2162" s="964" t="s">
        <v>2312</v>
      </c>
    </row>
    <row r="2163" spans="1:8" hidden="1">
      <c r="A2163" s="902"/>
      <c r="B2163" s="968"/>
      <c r="C2163" s="1382" t="s">
        <v>916</v>
      </c>
      <c r="D2163" s="896" t="s">
        <v>115</v>
      </c>
      <c r="E2163" s="922">
        <v>13</v>
      </c>
      <c r="F2163" s="922">
        <v>80</v>
      </c>
      <c r="G2163" s="969">
        <f t="shared" si="9"/>
        <v>1040</v>
      </c>
      <c r="H2163" s="964" t="s">
        <v>2312</v>
      </c>
    </row>
    <row r="2164" spans="1:8" hidden="1">
      <c r="A2164" s="902"/>
      <c r="B2164" s="968"/>
      <c r="C2164" s="1382" t="s">
        <v>917</v>
      </c>
      <c r="D2164" s="896" t="s">
        <v>115</v>
      </c>
      <c r="E2164" s="922">
        <v>13</v>
      </c>
      <c r="F2164" s="922">
        <v>30</v>
      </c>
      <c r="G2164" s="969">
        <f t="shared" si="9"/>
        <v>390</v>
      </c>
      <c r="H2164" s="964" t="s">
        <v>2312</v>
      </c>
    </row>
    <row r="2165" spans="1:8" hidden="1">
      <c r="A2165" s="902"/>
      <c r="B2165" s="968"/>
      <c r="C2165" s="1382" t="s">
        <v>918</v>
      </c>
      <c r="D2165" s="896" t="s">
        <v>115</v>
      </c>
      <c r="E2165" s="922">
        <v>13</v>
      </c>
      <c r="F2165" s="922">
        <v>15</v>
      </c>
      <c r="G2165" s="969">
        <f t="shared" si="9"/>
        <v>195</v>
      </c>
      <c r="H2165" s="964" t="s">
        <v>2312</v>
      </c>
    </row>
    <row r="2166" spans="1:8" hidden="1">
      <c r="A2166" s="902"/>
      <c r="B2166" s="968"/>
      <c r="C2166" s="1382" t="s">
        <v>920</v>
      </c>
      <c r="D2166" s="896"/>
      <c r="E2166" s="922"/>
      <c r="F2166" s="922"/>
      <c r="G2166" s="969">
        <f>SUM(G2160:G2165)</f>
        <v>12563.6</v>
      </c>
      <c r="H2166" s="964" t="s">
        <v>2312</v>
      </c>
    </row>
    <row r="2167" spans="1:8" hidden="1">
      <c r="A2167" s="902"/>
      <c r="B2167" s="968"/>
      <c r="C2167" s="1382" t="s">
        <v>377</v>
      </c>
      <c r="D2167" s="896"/>
      <c r="E2167" s="922"/>
      <c r="F2167" s="922"/>
      <c r="G2167" s="969">
        <f>ROUND(G2166/4.6,2)</f>
        <v>2731.22</v>
      </c>
      <c r="H2167" s="964" t="s">
        <v>2312</v>
      </c>
    </row>
    <row r="2168" spans="1:8" hidden="1">
      <c r="A2168" s="902"/>
      <c r="B2168" s="902"/>
      <c r="C2168" s="1382" t="s">
        <v>921</v>
      </c>
      <c r="D2168" s="896"/>
      <c r="E2168" s="922"/>
      <c r="F2168" s="922"/>
      <c r="G2168" s="963">
        <f>ROUND(G2167/0.9,2)</f>
        <v>3034.69</v>
      </c>
      <c r="H2168" s="964" t="s">
        <v>2312</v>
      </c>
    </row>
    <row r="2169" spans="1:8" ht="153" hidden="1">
      <c r="A2169" s="896">
        <v>25</v>
      </c>
      <c r="B2169" s="966"/>
      <c r="C2169" s="1382" t="s">
        <v>1298</v>
      </c>
      <c r="D2169" s="967"/>
      <c r="E2169" s="967"/>
      <c r="F2169" s="967"/>
      <c r="G2169" s="902"/>
      <c r="H2169" s="964" t="s">
        <v>2312</v>
      </c>
    </row>
    <row r="2170" spans="1:8" hidden="1">
      <c r="A2170" s="896"/>
      <c r="B2170" s="966"/>
      <c r="C2170" s="962" t="s">
        <v>924</v>
      </c>
      <c r="D2170" s="967"/>
      <c r="E2170" s="967"/>
      <c r="F2170" s="967"/>
      <c r="G2170" s="972"/>
      <c r="H2170" s="964" t="s">
        <v>2312</v>
      </c>
    </row>
    <row r="2171" spans="1:8" hidden="1">
      <c r="A2171" s="902"/>
      <c r="B2171" s="902"/>
      <c r="C2171" s="1382" t="s">
        <v>922</v>
      </c>
      <c r="D2171" s="922">
        <v>10</v>
      </c>
      <c r="E2171" s="920">
        <v>2.39</v>
      </c>
      <c r="F2171" s="922">
        <f>ROUND(D2171*E2171,2)</f>
        <v>23.9</v>
      </c>
      <c r="G2171" s="969"/>
      <c r="H2171" s="964" t="s">
        <v>2312</v>
      </c>
    </row>
    <row r="2172" spans="1:8" hidden="1">
      <c r="A2172" s="902"/>
      <c r="B2172" s="902"/>
      <c r="C2172" s="1382" t="s">
        <v>923</v>
      </c>
      <c r="D2172" s="922">
        <v>2.7</v>
      </c>
      <c r="E2172" s="920">
        <v>0.89</v>
      </c>
      <c r="F2172" s="922">
        <f>ROUND(D2172*E2172,2)</f>
        <v>2.4</v>
      </c>
      <c r="G2172" s="969"/>
      <c r="H2172" s="964" t="s">
        <v>2312</v>
      </c>
    </row>
    <row r="2173" spans="1:8" hidden="1">
      <c r="A2173" s="902"/>
      <c r="B2173" s="902"/>
      <c r="C2173" s="1382"/>
      <c r="D2173" s="896"/>
      <c r="E2173" s="920"/>
      <c r="F2173" s="986">
        <f>SUM(F2171:F2172)</f>
        <v>26.299999999999997</v>
      </c>
      <c r="G2173" s="969"/>
      <c r="H2173" s="964" t="s">
        <v>2312</v>
      </c>
    </row>
    <row r="2174" spans="1:8" hidden="1">
      <c r="A2174" s="902"/>
      <c r="B2174" s="902"/>
      <c r="C2174" s="1382" t="s">
        <v>696</v>
      </c>
      <c r="D2174" s="896" t="s">
        <v>4</v>
      </c>
      <c r="E2174" s="920">
        <f>F2173</f>
        <v>26.299999999999997</v>
      </c>
      <c r="F2174" s="922">
        <f>'MINI SSR 21-22'!$C$40</f>
        <v>360</v>
      </c>
      <c r="G2174" s="969">
        <f>ROUND(E2174*F2174,2)</f>
        <v>9468</v>
      </c>
      <c r="H2174" s="964" t="s">
        <v>2312</v>
      </c>
    </row>
    <row r="2175" spans="1:8" ht="25.5" hidden="1">
      <c r="A2175" s="902"/>
      <c r="B2175" s="968"/>
      <c r="C2175" s="1382" t="s">
        <v>697</v>
      </c>
      <c r="D2175" s="896" t="s">
        <v>4</v>
      </c>
      <c r="E2175" s="922">
        <f>E2174</f>
        <v>26.299999999999997</v>
      </c>
      <c r="F2175" s="922">
        <f>'MINI SSR 21-22'!$C$41</f>
        <v>139</v>
      </c>
      <c r="G2175" s="969">
        <f>ROUND(E2175*F2175,2)</f>
        <v>3655.7</v>
      </c>
      <c r="H2175" s="964" t="s">
        <v>2312</v>
      </c>
    </row>
    <row r="2176" spans="1:8" hidden="1">
      <c r="A2176" s="902"/>
      <c r="B2176" s="968"/>
      <c r="C2176" s="1382" t="s">
        <v>927</v>
      </c>
      <c r="D2176" s="896" t="s">
        <v>277</v>
      </c>
      <c r="E2176" s="922">
        <v>0.9</v>
      </c>
      <c r="F2176" s="922">
        <f>'MINI SSR 21-22'!C42</f>
        <v>200</v>
      </c>
      <c r="G2176" s="969">
        <f>ROUND(E2176*F2176,2)</f>
        <v>180</v>
      </c>
      <c r="H2176" s="964" t="s">
        <v>2312</v>
      </c>
    </row>
    <row r="2177" spans="1:8" hidden="1">
      <c r="A2177" s="902"/>
      <c r="B2177" s="968"/>
      <c r="C2177" s="1382" t="s">
        <v>925</v>
      </c>
      <c r="D2177" s="896" t="s">
        <v>115</v>
      </c>
      <c r="E2177" s="922">
        <v>9</v>
      </c>
      <c r="F2177" s="922">
        <v>30</v>
      </c>
      <c r="G2177" s="969">
        <f>ROUND(E2177*F2177,2)</f>
        <v>270</v>
      </c>
      <c r="H2177" s="964" t="s">
        <v>2312</v>
      </c>
    </row>
    <row r="2178" spans="1:8" hidden="1">
      <c r="A2178" s="902"/>
      <c r="B2178" s="968"/>
      <c r="C2178" s="1382" t="s">
        <v>926</v>
      </c>
      <c r="D2178" s="896"/>
      <c r="E2178" s="922"/>
      <c r="F2178" s="922"/>
      <c r="G2178" s="969">
        <f>SUM(G2174:G2177)</f>
        <v>13573.7</v>
      </c>
      <c r="H2178" s="964" t="s">
        <v>2312</v>
      </c>
    </row>
    <row r="2179" spans="1:8" hidden="1">
      <c r="A2179" s="902"/>
      <c r="B2179" s="968"/>
      <c r="C2179" s="1382" t="s">
        <v>377</v>
      </c>
      <c r="D2179" s="896"/>
      <c r="E2179" s="922"/>
      <c r="F2179" s="922"/>
      <c r="G2179" s="963">
        <f>ROUND(G2178/10,2)</f>
        <v>1357.37</v>
      </c>
      <c r="H2179" s="964" t="s">
        <v>2312</v>
      </c>
    </row>
    <row r="2180" spans="1:8" ht="51" hidden="1">
      <c r="A2180" s="896">
        <v>25</v>
      </c>
      <c r="B2180" s="966"/>
      <c r="C2180" s="1382" t="s">
        <v>2286</v>
      </c>
      <c r="D2180" s="967"/>
      <c r="E2180" s="967"/>
      <c r="F2180" s="967"/>
      <c r="G2180" s="902"/>
      <c r="H2180" s="964" t="s">
        <v>2312</v>
      </c>
    </row>
    <row r="2181" spans="1:8" hidden="1">
      <c r="A2181" s="902"/>
      <c r="B2181" s="902"/>
      <c r="C2181" s="1382" t="s">
        <v>696</v>
      </c>
      <c r="D2181" s="896" t="s">
        <v>4</v>
      </c>
      <c r="E2181" s="920">
        <v>1.0249999999999999</v>
      </c>
      <c r="F2181" s="922">
        <f>'MINI SSR 21-22'!$C$40</f>
        <v>360</v>
      </c>
      <c r="G2181" s="969">
        <f>ROUND(E2181*F2181,2)</f>
        <v>369</v>
      </c>
      <c r="H2181" s="964" t="s">
        <v>2312</v>
      </c>
    </row>
    <row r="2182" spans="1:8" ht="25.5" hidden="1">
      <c r="A2182" s="902"/>
      <c r="B2182" s="968"/>
      <c r="C2182" s="1382" t="s">
        <v>697</v>
      </c>
      <c r="D2182" s="896" t="s">
        <v>4</v>
      </c>
      <c r="E2182" s="922">
        <v>1</v>
      </c>
      <c r="F2182" s="922">
        <f>'MINI SSR 21-22'!$C$41</f>
        <v>139</v>
      </c>
      <c r="G2182" s="969">
        <f>ROUND(E2182*F2182,2)</f>
        <v>139</v>
      </c>
      <c r="H2182" s="964" t="s">
        <v>2312</v>
      </c>
    </row>
    <row r="2183" spans="1:8" hidden="1">
      <c r="A2183" s="902"/>
      <c r="B2183" s="968"/>
      <c r="C2183" s="1382" t="s">
        <v>2287</v>
      </c>
      <c r="D2183" s="896"/>
      <c r="E2183" s="922"/>
      <c r="F2183" s="922"/>
      <c r="G2183" s="963">
        <f>SUM(G2181:G2182)</f>
        <v>508</v>
      </c>
      <c r="H2183" s="964" t="s">
        <v>2312</v>
      </c>
    </row>
    <row r="2184" spans="1:8" ht="51" hidden="1">
      <c r="A2184" s="896">
        <v>26</v>
      </c>
      <c r="B2184" s="966" t="s">
        <v>1344</v>
      </c>
      <c r="C2184" s="1382" t="s">
        <v>1186</v>
      </c>
      <c r="D2184" s="967"/>
      <c r="E2184" s="967"/>
      <c r="F2184" s="967"/>
      <c r="G2184" s="966"/>
      <c r="H2184" s="964" t="s">
        <v>2312</v>
      </c>
    </row>
    <row r="2185" spans="1:8" hidden="1">
      <c r="A2185" s="896"/>
      <c r="B2185" s="966"/>
      <c r="C2185" s="962" t="s">
        <v>84</v>
      </c>
      <c r="D2185" s="967"/>
      <c r="E2185" s="967"/>
      <c r="F2185" s="967"/>
      <c r="G2185" s="972"/>
      <c r="H2185" s="964" t="s">
        <v>2312</v>
      </c>
    </row>
    <row r="2186" spans="1:8" hidden="1">
      <c r="A2186" s="896"/>
      <c r="B2186" s="966"/>
      <c r="C2186" s="962" t="s">
        <v>60</v>
      </c>
      <c r="D2186" s="967"/>
      <c r="E2186" s="967"/>
      <c r="F2186" s="967"/>
      <c r="G2186" s="972"/>
      <c r="H2186" s="964" t="s">
        <v>2312</v>
      </c>
    </row>
    <row r="2187" spans="1:8" hidden="1">
      <c r="A2187" s="896"/>
      <c r="B2187" s="966"/>
      <c r="C2187" s="1382" t="s">
        <v>33</v>
      </c>
      <c r="D2187" s="967" t="s">
        <v>4</v>
      </c>
      <c r="E2187" s="970">
        <v>59.4</v>
      </c>
      <c r="F2187" s="970">
        <f>'lead 21-22'!L8</f>
        <v>4700</v>
      </c>
      <c r="G2187" s="969">
        <f>ROUND(E2187*F2187/1000,2)</f>
        <v>279.18</v>
      </c>
      <c r="H2187" s="964" t="s">
        <v>2312</v>
      </c>
    </row>
    <row r="2188" spans="1:8" hidden="1">
      <c r="A2188" s="896"/>
      <c r="B2188" s="966"/>
      <c r="C2188" s="1382" t="s">
        <v>1193</v>
      </c>
      <c r="D2188" s="967" t="s">
        <v>35</v>
      </c>
      <c r="E2188" s="987">
        <v>1.1000000000000001</v>
      </c>
      <c r="F2188" s="970">
        <f>'lead 21-22'!L21</f>
        <v>980.59999999999968</v>
      </c>
      <c r="G2188" s="969">
        <f>ROUND(E2188*F2188,2)</f>
        <v>1078.6600000000001</v>
      </c>
      <c r="H2188" s="964" t="s">
        <v>2312</v>
      </c>
    </row>
    <row r="2189" spans="1:8" hidden="1">
      <c r="A2189" s="896"/>
      <c r="B2189" s="966"/>
      <c r="C2189" s="1382" t="s">
        <v>1217</v>
      </c>
      <c r="D2189" s="967" t="s">
        <v>35</v>
      </c>
      <c r="E2189" s="970">
        <v>0.33</v>
      </c>
      <c r="F2189" s="970">
        <f>'lead 21-22'!L12</f>
        <v>1743.4000000000019</v>
      </c>
      <c r="G2189" s="969">
        <f>ROUND(E2189*F2189,2)</f>
        <v>575.32000000000005</v>
      </c>
      <c r="H2189" s="964" t="s">
        <v>2312</v>
      </c>
    </row>
    <row r="2190" spans="1:8" hidden="1">
      <c r="A2190" s="967"/>
      <c r="B2190" s="967"/>
      <c r="C2190" s="962" t="s">
        <v>68</v>
      </c>
      <c r="D2190" s="967"/>
      <c r="E2190" s="970"/>
      <c r="F2190" s="970"/>
      <c r="G2190" s="969"/>
      <c r="H2190" s="964" t="s">
        <v>2312</v>
      </c>
    </row>
    <row r="2191" spans="1:8" hidden="1">
      <c r="A2191" s="967"/>
      <c r="B2191" s="967"/>
      <c r="C2191" s="1382" t="s">
        <v>64</v>
      </c>
      <c r="D2191" s="967" t="s">
        <v>27</v>
      </c>
      <c r="E2191" s="970">
        <v>1.2</v>
      </c>
      <c r="F2191" s="970">
        <f>'MINI SSR 21-22'!$H$3</f>
        <v>585</v>
      </c>
      <c r="G2191" s="969">
        <f>ROUND(E2191*F2191,2)</f>
        <v>702</v>
      </c>
      <c r="H2191" s="964" t="s">
        <v>2312</v>
      </c>
    </row>
    <row r="2192" spans="1:8" hidden="1">
      <c r="A2192" s="967"/>
      <c r="B2192" s="967"/>
      <c r="C2192" s="1382" t="s">
        <v>85</v>
      </c>
      <c r="D2192" s="967" t="s">
        <v>27</v>
      </c>
      <c r="E2192" s="970">
        <v>2</v>
      </c>
      <c r="F2192" s="970">
        <f>'MINI SSR 21-22'!$H$5</f>
        <v>490</v>
      </c>
      <c r="G2192" s="969">
        <f>ROUND(E2192*F2192,2)</f>
        <v>980</v>
      </c>
      <c r="H2192" s="964" t="s">
        <v>2312</v>
      </c>
    </row>
    <row r="2193" spans="1:8" hidden="1">
      <c r="A2193" s="967"/>
      <c r="B2193" s="967"/>
      <c r="C2193" s="962" t="s">
        <v>86</v>
      </c>
      <c r="D2193" s="967"/>
      <c r="E2193" s="967"/>
      <c r="F2193" s="967"/>
      <c r="G2193" s="971">
        <f>SUM(G2187:G2192)</f>
        <v>3615.1600000000003</v>
      </c>
      <c r="H2193" s="964" t="s">
        <v>2312</v>
      </c>
    </row>
    <row r="2194" spans="1:8" ht="142.5" hidden="1">
      <c r="A2194" s="896">
        <v>21</v>
      </c>
      <c r="B2194" s="966" t="s">
        <v>83</v>
      </c>
      <c r="C2194" s="1382" t="s">
        <v>1299</v>
      </c>
      <c r="D2194" s="967"/>
      <c r="E2194" s="967"/>
      <c r="F2194" s="967"/>
      <c r="G2194" s="966"/>
      <c r="H2194" s="964" t="s">
        <v>2312</v>
      </c>
    </row>
    <row r="2195" spans="1:8" hidden="1">
      <c r="A2195" s="896"/>
      <c r="B2195" s="966"/>
      <c r="C2195" s="962" t="s">
        <v>84</v>
      </c>
      <c r="D2195" s="967"/>
      <c r="E2195" s="967"/>
      <c r="F2195" s="967"/>
      <c r="G2195" s="972"/>
      <c r="H2195" s="964" t="s">
        <v>2312</v>
      </c>
    </row>
    <row r="2196" spans="1:8" hidden="1">
      <c r="A2196" s="896"/>
      <c r="B2196" s="966"/>
      <c r="C2196" s="962" t="s">
        <v>60</v>
      </c>
      <c r="D2196" s="967"/>
      <c r="E2196" s="967"/>
      <c r="F2196" s="967"/>
      <c r="G2196" s="972"/>
      <c r="H2196" s="964" t="s">
        <v>2312</v>
      </c>
    </row>
    <row r="2197" spans="1:8" hidden="1">
      <c r="A2197" s="896"/>
      <c r="B2197" s="966"/>
      <c r="C2197" s="1382" t="s">
        <v>33</v>
      </c>
      <c r="D2197" s="967" t="s">
        <v>4</v>
      </c>
      <c r="E2197" s="970">
        <v>48</v>
      </c>
      <c r="F2197" s="970">
        <f>'lead 21-22'!L8</f>
        <v>4700</v>
      </c>
      <c r="G2197" s="969">
        <f>ROUND(E2197*F2197/1000,2)</f>
        <v>225.6</v>
      </c>
      <c r="H2197" s="964" t="s">
        <v>2312</v>
      </c>
    </row>
    <row r="2198" spans="1:8" hidden="1">
      <c r="A2198" s="896"/>
      <c r="B2198" s="966"/>
      <c r="C2198" s="1382" t="s">
        <v>1300</v>
      </c>
      <c r="D2198" s="967" t="s">
        <v>11</v>
      </c>
      <c r="E2198" s="988">
        <v>512</v>
      </c>
      <c r="F2198" s="970">
        <f>'lead 21-22'!L15</f>
        <v>7540.5</v>
      </c>
      <c r="G2198" s="969">
        <f>ROUND(E2198*F2198/1000,2)</f>
        <v>3860.74</v>
      </c>
      <c r="H2198" s="964" t="s">
        <v>2312</v>
      </c>
    </row>
    <row r="2199" spans="1:8" hidden="1">
      <c r="A2199" s="896"/>
      <c r="B2199" s="966"/>
      <c r="C2199" s="1382" t="s">
        <v>113</v>
      </c>
      <c r="D2199" s="967" t="s">
        <v>35</v>
      </c>
      <c r="E2199" s="970">
        <v>0.2</v>
      </c>
      <c r="F2199" s="970">
        <f>'lead 21-22'!L12</f>
        <v>1743.4000000000019</v>
      </c>
      <c r="G2199" s="969">
        <f>ROUND(E2199*F2199,2)</f>
        <v>348.68</v>
      </c>
      <c r="H2199" s="964" t="s">
        <v>2312</v>
      </c>
    </row>
    <row r="2200" spans="1:8" hidden="1">
      <c r="A2200" s="967"/>
      <c r="B2200" s="967"/>
      <c r="C2200" s="962" t="s">
        <v>68</v>
      </c>
      <c r="D2200" s="967"/>
      <c r="E2200" s="970"/>
      <c r="F2200" s="970"/>
      <c r="G2200" s="969"/>
      <c r="H2200" s="964" t="s">
        <v>2312</v>
      </c>
    </row>
    <row r="2201" spans="1:8" hidden="1">
      <c r="A2201" s="967"/>
      <c r="B2201" s="967"/>
      <c r="C2201" s="1382" t="s">
        <v>64</v>
      </c>
      <c r="D2201" s="967" t="s">
        <v>27</v>
      </c>
      <c r="E2201" s="970">
        <v>0.24</v>
      </c>
      <c r="F2201" s="970">
        <f>'MINI SSR 21-22'!$H$3</f>
        <v>585</v>
      </c>
      <c r="G2201" s="969">
        <f>ROUND(E2201*F2201,2)</f>
        <v>140.4</v>
      </c>
      <c r="H2201" s="964" t="s">
        <v>2312</v>
      </c>
    </row>
    <row r="2202" spans="1:8" hidden="1">
      <c r="A2202" s="967"/>
      <c r="B2202" s="967"/>
      <c r="C2202" s="1382" t="s">
        <v>69</v>
      </c>
      <c r="D2202" s="967" t="s">
        <v>27</v>
      </c>
      <c r="E2202" s="970">
        <v>0.56000000000000005</v>
      </c>
      <c r="F2202" s="970">
        <f>'MINI SSR 21-22'!$H$4</f>
        <v>525</v>
      </c>
      <c r="G2202" s="969">
        <f>ROUND(E2202*F2202,2)</f>
        <v>294</v>
      </c>
      <c r="H2202" s="964" t="s">
        <v>2312</v>
      </c>
    </row>
    <row r="2203" spans="1:8" hidden="1">
      <c r="A2203" s="967"/>
      <c r="B2203" s="967"/>
      <c r="C2203" s="1382" t="s">
        <v>85</v>
      </c>
      <c r="D2203" s="967" t="s">
        <v>27</v>
      </c>
      <c r="E2203" s="970">
        <v>1.89</v>
      </c>
      <c r="F2203" s="970">
        <f>'MINI SSR 21-22'!$H$5</f>
        <v>490</v>
      </c>
      <c r="G2203" s="969">
        <f>ROUND(E2203*F2203,2)</f>
        <v>926.1</v>
      </c>
      <c r="H2203" s="964" t="s">
        <v>2312</v>
      </c>
    </row>
    <row r="2204" spans="1:8" hidden="1">
      <c r="A2204" s="967"/>
      <c r="B2204" s="967"/>
      <c r="C2204" s="962" t="s">
        <v>86</v>
      </c>
      <c r="D2204" s="967"/>
      <c r="E2204" s="967"/>
      <c r="F2204" s="967"/>
      <c r="G2204" s="971">
        <f>SUM(G2197:G2203)</f>
        <v>5795.5199999999995</v>
      </c>
      <c r="H2204" s="964" t="s">
        <v>2312</v>
      </c>
    </row>
    <row r="2205" spans="1:8" hidden="1">
      <c r="A2205" s="967"/>
      <c r="B2205" s="967"/>
      <c r="C2205" s="962"/>
      <c r="D2205" s="967"/>
      <c r="E2205" s="966" t="s">
        <v>161</v>
      </c>
      <c r="F2205" s="966" t="s">
        <v>162</v>
      </c>
      <c r="G2205" s="974" t="s">
        <v>163</v>
      </c>
      <c r="H2205" s="964" t="s">
        <v>2312</v>
      </c>
    </row>
    <row r="2206" spans="1:8" hidden="1">
      <c r="A2206" s="967"/>
      <c r="B2206" s="967"/>
      <c r="C2206" s="962" t="s">
        <v>192</v>
      </c>
      <c r="D2206" s="967"/>
      <c r="E2206" s="970">
        <f>G2204</f>
        <v>5795.5199999999995</v>
      </c>
      <c r="F2206" s="970">
        <f>E2206</f>
        <v>5795.5199999999995</v>
      </c>
      <c r="G2206" s="972">
        <f>F2206</f>
        <v>5795.5199999999995</v>
      </c>
      <c r="H2206" s="964" t="s">
        <v>2312</v>
      </c>
    </row>
    <row r="2207" spans="1:8" hidden="1">
      <c r="A2207" s="967"/>
      <c r="B2207" s="967"/>
      <c r="C2207" s="1382" t="s">
        <v>191</v>
      </c>
      <c r="D2207" s="973">
        <v>4.3499999999999996</v>
      </c>
      <c r="E2207" s="967">
        <f>ROUND(D2207*'MINI SSR 21-22'!E30,2)</f>
        <v>46.89</v>
      </c>
      <c r="F2207" s="967">
        <f>E2207</f>
        <v>46.89</v>
      </c>
      <c r="G2207" s="967">
        <f>E2207</f>
        <v>46.89</v>
      </c>
      <c r="H2207" s="964" t="s">
        <v>2312</v>
      </c>
    </row>
    <row r="2208" spans="1:8" hidden="1">
      <c r="A2208" s="967"/>
      <c r="B2208" s="967"/>
      <c r="C2208" s="1382" t="s">
        <v>193</v>
      </c>
      <c r="D2208" s="973">
        <v>4.3499999999999996</v>
      </c>
      <c r="E2208" s="967">
        <f>ROUND(D2208*'MINI SSR 21-22'!F30,2)</f>
        <v>368.1</v>
      </c>
      <c r="F2208" s="967">
        <f>ROUND(D2208*'MINI SSR 21-22'!G30,2)</f>
        <v>527.13</v>
      </c>
      <c r="G2208" s="967">
        <f>ROUND(D2208*'MINI SSR 21-22'!H30,2)</f>
        <v>686.08</v>
      </c>
      <c r="H2208" s="964" t="s">
        <v>2312</v>
      </c>
    </row>
    <row r="2209" spans="1:8" ht="25.5" hidden="1">
      <c r="A2209" s="967"/>
      <c r="B2209" s="967"/>
      <c r="C2209" s="1382" t="s">
        <v>1285</v>
      </c>
      <c r="D2209" s="967"/>
      <c r="E2209" s="967"/>
      <c r="F2209" s="970">
        <f>ROUND((G2201+G2202+G2203+F2208)*0.1,2)</f>
        <v>188.76</v>
      </c>
      <c r="G2209" s="970">
        <f>ROUND((G2201+G2202+G2203+G2208)*0.2,2)</f>
        <v>409.32</v>
      </c>
      <c r="H2209" s="964" t="s">
        <v>2312</v>
      </c>
    </row>
    <row r="2210" spans="1:8" hidden="1">
      <c r="A2210" s="967"/>
      <c r="B2210" s="967"/>
      <c r="C2210" s="962" t="s">
        <v>86</v>
      </c>
      <c r="D2210" s="967"/>
      <c r="E2210" s="974">
        <f>SUM(E2206:E2209)</f>
        <v>6210.51</v>
      </c>
      <c r="F2210" s="974">
        <f>SUM(F2206:F2209)</f>
        <v>6558.3</v>
      </c>
      <c r="G2210" s="971">
        <f>SUM(G2206:G2209)</f>
        <v>6937.8099999999995</v>
      </c>
      <c r="H2210" s="964" t="s">
        <v>2312</v>
      </c>
    </row>
    <row r="2211" spans="1:8" ht="142.5" hidden="1">
      <c r="A2211" s="896">
        <v>36</v>
      </c>
      <c r="B2211" s="966" t="s">
        <v>1345</v>
      </c>
      <c r="C2211" s="1382" t="s">
        <v>1301</v>
      </c>
      <c r="D2211" s="967"/>
      <c r="E2211" s="967"/>
      <c r="F2211" s="967"/>
      <c r="G2211" s="966"/>
      <c r="H2211" s="964" t="s">
        <v>2312</v>
      </c>
    </row>
    <row r="2212" spans="1:8" hidden="1">
      <c r="A2212" s="896"/>
      <c r="B2212" s="966"/>
      <c r="C2212" s="962" t="s">
        <v>84</v>
      </c>
      <c r="D2212" s="967"/>
      <c r="E2212" s="967"/>
      <c r="F2212" s="967"/>
      <c r="G2212" s="972"/>
      <c r="H2212" s="964" t="s">
        <v>2312</v>
      </c>
    </row>
    <row r="2213" spans="1:8" hidden="1">
      <c r="A2213" s="896"/>
      <c r="B2213" s="966"/>
      <c r="C2213" s="962" t="s">
        <v>60</v>
      </c>
      <c r="D2213" s="967"/>
      <c r="E2213" s="967"/>
      <c r="F2213" s="967"/>
      <c r="G2213" s="972"/>
      <c r="H2213" s="964" t="s">
        <v>2312</v>
      </c>
    </row>
    <row r="2214" spans="1:8" hidden="1">
      <c r="A2214" s="896"/>
      <c r="B2214" s="966"/>
      <c r="C2214" s="1382" t="s">
        <v>33</v>
      </c>
      <c r="D2214" s="967" t="s">
        <v>4</v>
      </c>
      <c r="E2214" s="970">
        <v>36</v>
      </c>
      <c r="F2214" s="970">
        <f>'lead 21-22'!L8</f>
        <v>4700</v>
      </c>
      <c r="G2214" s="969">
        <f>ROUND(E2214*F2214/1000,2)</f>
        <v>169.2</v>
      </c>
      <c r="H2214" s="964" t="s">
        <v>2312</v>
      </c>
    </row>
    <row r="2215" spans="1:8" hidden="1">
      <c r="A2215" s="896"/>
      <c r="B2215" s="966"/>
      <c r="C2215" s="1382" t="s">
        <v>1300</v>
      </c>
      <c r="D2215" s="967" t="s">
        <v>11</v>
      </c>
      <c r="E2215" s="988">
        <v>512</v>
      </c>
      <c r="F2215" s="970">
        <f>'lead 21-22'!L15</f>
        <v>7540.5</v>
      </c>
      <c r="G2215" s="969">
        <f>ROUND(E2215*F2215/1000,2)</f>
        <v>3860.74</v>
      </c>
      <c r="H2215" s="964" t="s">
        <v>2312</v>
      </c>
    </row>
    <row r="2216" spans="1:8" hidden="1">
      <c r="A2216" s="896"/>
      <c r="B2216" s="966"/>
      <c r="C2216" s="1382" t="s">
        <v>113</v>
      </c>
      <c r="D2216" s="967" t="s">
        <v>35</v>
      </c>
      <c r="E2216" s="970">
        <v>0.2</v>
      </c>
      <c r="F2216" s="970">
        <f>'lead 21-22'!L12</f>
        <v>1743.4000000000019</v>
      </c>
      <c r="G2216" s="969">
        <f>ROUND(E2216*F2216,2)</f>
        <v>348.68</v>
      </c>
      <c r="H2216" s="964" t="s">
        <v>2312</v>
      </c>
    </row>
    <row r="2217" spans="1:8" hidden="1">
      <c r="A2217" s="967"/>
      <c r="B2217" s="967"/>
      <c r="C2217" s="962" t="s">
        <v>68</v>
      </c>
      <c r="D2217" s="967"/>
      <c r="E2217" s="970"/>
      <c r="F2217" s="970"/>
      <c r="G2217" s="969"/>
      <c r="H2217" s="964" t="s">
        <v>2312</v>
      </c>
    </row>
    <row r="2218" spans="1:8" hidden="1">
      <c r="A2218" s="967"/>
      <c r="B2218" s="967"/>
      <c r="C2218" s="1382" t="s">
        <v>64</v>
      </c>
      <c r="D2218" s="967" t="s">
        <v>27</v>
      </c>
      <c r="E2218" s="970">
        <v>0.24</v>
      </c>
      <c r="F2218" s="970">
        <f>'MINI SSR 21-22'!$H$3</f>
        <v>585</v>
      </c>
      <c r="G2218" s="969">
        <f>ROUND(E2218*F2218,2)</f>
        <v>140.4</v>
      </c>
      <c r="H2218" s="964" t="s">
        <v>2312</v>
      </c>
    </row>
    <row r="2219" spans="1:8" hidden="1">
      <c r="A2219" s="967"/>
      <c r="B2219" s="967"/>
      <c r="C2219" s="1382" t="s">
        <v>69</v>
      </c>
      <c r="D2219" s="967" t="s">
        <v>27</v>
      </c>
      <c r="E2219" s="970">
        <v>0.56000000000000005</v>
      </c>
      <c r="F2219" s="970">
        <f>'MINI SSR 21-22'!$H$4</f>
        <v>525</v>
      </c>
      <c r="G2219" s="969">
        <f>ROUND(E2219*F2219,2)</f>
        <v>294</v>
      </c>
      <c r="H2219" s="964" t="s">
        <v>2312</v>
      </c>
    </row>
    <row r="2220" spans="1:8" hidden="1">
      <c r="A2220" s="967"/>
      <c r="B2220" s="967"/>
      <c r="C2220" s="1382" t="s">
        <v>85</v>
      </c>
      <c r="D2220" s="967" t="s">
        <v>27</v>
      </c>
      <c r="E2220" s="970">
        <v>1.89</v>
      </c>
      <c r="F2220" s="970">
        <f>'MINI SSR 21-22'!$H$5</f>
        <v>490</v>
      </c>
      <c r="G2220" s="969">
        <f>ROUND(E2220*F2220,2)</f>
        <v>926.1</v>
      </c>
      <c r="H2220" s="964" t="s">
        <v>2312</v>
      </c>
    </row>
    <row r="2221" spans="1:8" hidden="1">
      <c r="A2221" s="967"/>
      <c r="B2221" s="967"/>
      <c r="C2221" s="962" t="s">
        <v>86</v>
      </c>
      <c r="D2221" s="967"/>
      <c r="E2221" s="967"/>
      <c r="F2221" s="967"/>
      <c r="G2221" s="971">
        <f>SUM(G2214:G2220)</f>
        <v>5739.12</v>
      </c>
      <c r="H2221" s="964" t="s">
        <v>2312</v>
      </c>
    </row>
    <row r="2222" spans="1:8" hidden="1">
      <c r="A2222" s="967"/>
      <c r="B2222" s="967"/>
      <c r="C2222" s="962"/>
      <c r="D2222" s="967"/>
      <c r="E2222" s="966" t="s">
        <v>161</v>
      </c>
      <c r="F2222" s="966" t="s">
        <v>162</v>
      </c>
      <c r="G2222" s="974" t="s">
        <v>163</v>
      </c>
      <c r="H2222" s="964" t="s">
        <v>2312</v>
      </c>
    </row>
    <row r="2223" spans="1:8" hidden="1">
      <c r="A2223" s="967"/>
      <c r="B2223" s="967"/>
      <c r="C2223" s="962" t="s">
        <v>192</v>
      </c>
      <c r="D2223" s="967"/>
      <c r="E2223" s="970">
        <f>G2221</f>
        <v>5739.12</v>
      </c>
      <c r="F2223" s="970">
        <f>E2223</f>
        <v>5739.12</v>
      </c>
      <c r="G2223" s="972">
        <f>F2223</f>
        <v>5739.12</v>
      </c>
      <c r="H2223" s="964" t="s">
        <v>2312</v>
      </c>
    </row>
    <row r="2224" spans="1:8" hidden="1">
      <c r="A2224" s="967"/>
      <c r="B2224" s="967"/>
      <c r="C2224" s="1382" t="s">
        <v>191</v>
      </c>
      <c r="D2224" s="973">
        <v>4.3499999999999996</v>
      </c>
      <c r="E2224" s="967">
        <f>ROUND(D2224*'MINI SSR 21-22'!E30,2)</f>
        <v>46.89</v>
      </c>
      <c r="F2224" s="967">
        <f>E2224</f>
        <v>46.89</v>
      </c>
      <c r="G2224" s="967">
        <f>F2224</f>
        <v>46.89</v>
      </c>
      <c r="H2224" s="964" t="s">
        <v>2312</v>
      </c>
    </row>
    <row r="2225" spans="1:8" hidden="1">
      <c r="A2225" s="967"/>
      <c r="B2225" s="967"/>
      <c r="C2225" s="1382" t="s">
        <v>193</v>
      </c>
      <c r="D2225" s="973">
        <v>4.3499999999999996</v>
      </c>
      <c r="E2225" s="967">
        <f>ROUND(D2225*'MINI SSR 21-22'!F30,2)</f>
        <v>368.1</v>
      </c>
      <c r="F2225" s="967">
        <f>ROUND(D2225*'MINI SSR 21-22'!G30,2)</f>
        <v>527.13</v>
      </c>
      <c r="G2225" s="967">
        <f>ROUND(D2225*'MINI SSR 21-22'!H30,2)</f>
        <v>686.08</v>
      </c>
      <c r="H2225" s="964" t="s">
        <v>2312</v>
      </c>
    </row>
    <row r="2226" spans="1:8" ht="25.5" hidden="1">
      <c r="A2226" s="967"/>
      <c r="B2226" s="967"/>
      <c r="C2226" s="1382" t="s">
        <v>1285</v>
      </c>
      <c r="D2226" s="967"/>
      <c r="E2226" s="967"/>
      <c r="F2226" s="970">
        <f>ROUND((G2218+G2219+G2220+F2225)*0.1,2)</f>
        <v>188.76</v>
      </c>
      <c r="G2226" s="970">
        <f>ROUND((G2218+G2219+G2220+G2225)*0.2,2)</f>
        <v>409.32</v>
      </c>
      <c r="H2226" s="964" t="s">
        <v>2312</v>
      </c>
    </row>
    <row r="2227" spans="1:8" hidden="1">
      <c r="A2227" s="967"/>
      <c r="B2227" s="967"/>
      <c r="C2227" s="962" t="s">
        <v>86</v>
      </c>
      <c r="D2227" s="967"/>
      <c r="E2227" s="974">
        <f>SUM(E2223:E2226)</f>
        <v>6154.1100000000006</v>
      </c>
      <c r="F2227" s="974">
        <f>SUM(F2223:F2226)</f>
        <v>6501.9000000000005</v>
      </c>
      <c r="G2227" s="971">
        <f>SUM(G2223:G2226)</f>
        <v>6881.41</v>
      </c>
      <c r="H2227" s="964" t="s">
        <v>2312</v>
      </c>
    </row>
    <row r="2228" spans="1:8" ht="102" hidden="1">
      <c r="A2228" s="896">
        <v>13</v>
      </c>
      <c r="B2228" s="966" t="s">
        <v>221</v>
      </c>
      <c r="C2228" s="1382" t="s">
        <v>3684</v>
      </c>
      <c r="D2228" s="967"/>
      <c r="E2228" s="967"/>
      <c r="F2228" s="967"/>
      <c r="G2228" s="966"/>
      <c r="H2228" s="964" t="s">
        <v>2312</v>
      </c>
    </row>
    <row r="2229" spans="1:8" hidden="1">
      <c r="A2229" s="896"/>
      <c r="B2229" s="966"/>
      <c r="C2229" s="962" t="s">
        <v>222</v>
      </c>
      <c r="D2229" s="967"/>
      <c r="E2229" s="967"/>
      <c r="F2229" s="967"/>
      <c r="G2229" s="972"/>
      <c r="H2229" s="964" t="s">
        <v>2312</v>
      </c>
    </row>
    <row r="2230" spans="1:8" hidden="1">
      <c r="A2230" s="896"/>
      <c r="B2230" s="966"/>
      <c r="C2230" s="962" t="s">
        <v>60</v>
      </c>
      <c r="D2230" s="967"/>
      <c r="E2230" s="967"/>
      <c r="F2230" s="967"/>
      <c r="G2230" s="972"/>
      <c r="H2230" s="964" t="s">
        <v>2312</v>
      </c>
    </row>
    <row r="2231" spans="1:8" hidden="1">
      <c r="A2231" s="896"/>
      <c r="B2231" s="966"/>
      <c r="C2231" s="1382" t="s">
        <v>33</v>
      </c>
      <c r="D2231" s="967" t="s">
        <v>4</v>
      </c>
      <c r="E2231" s="970">
        <v>72</v>
      </c>
      <c r="F2231" s="970">
        <f>'lead 21-22'!L8</f>
        <v>4700</v>
      </c>
      <c r="G2231" s="969">
        <f>ROUND(E2231*F2231/1000,2)</f>
        <v>338.4</v>
      </c>
      <c r="H2231" s="964" t="s">
        <v>2312</v>
      </c>
    </row>
    <row r="2232" spans="1:8" hidden="1">
      <c r="A2232" s="896"/>
      <c r="B2232" s="966"/>
      <c r="C2232" s="1382" t="s">
        <v>1302</v>
      </c>
      <c r="D2232" s="967" t="s">
        <v>11</v>
      </c>
      <c r="E2232" s="988">
        <v>565</v>
      </c>
      <c r="F2232" s="970">
        <f>'lead 21-22'!L15</f>
        <v>7540.5</v>
      </c>
      <c r="G2232" s="969">
        <f>ROUND(E2232*F2232/1000,2)</f>
        <v>4260.38</v>
      </c>
      <c r="H2232" s="964" t="s">
        <v>2312</v>
      </c>
    </row>
    <row r="2233" spans="1:8" hidden="1">
      <c r="A2233" s="896"/>
      <c r="B2233" s="966"/>
      <c r="C2233" s="1382" t="s">
        <v>113</v>
      </c>
      <c r="D2233" s="967" t="s">
        <v>35</v>
      </c>
      <c r="E2233" s="970">
        <v>0.22</v>
      </c>
      <c r="F2233" s="970">
        <f>'lead 21-22'!L12</f>
        <v>1743.4000000000019</v>
      </c>
      <c r="G2233" s="969">
        <f>ROUND(E2233*F2233,2)</f>
        <v>383.55</v>
      </c>
      <c r="H2233" s="964" t="s">
        <v>2312</v>
      </c>
    </row>
    <row r="2234" spans="1:8" hidden="1">
      <c r="A2234" s="967"/>
      <c r="B2234" s="967"/>
      <c r="C2234" s="962" t="s">
        <v>68</v>
      </c>
      <c r="D2234" s="967"/>
      <c r="E2234" s="970"/>
      <c r="F2234" s="970"/>
      <c r="G2234" s="969"/>
      <c r="H2234" s="964" t="s">
        <v>2312</v>
      </c>
    </row>
    <row r="2235" spans="1:8" hidden="1">
      <c r="A2235" s="967"/>
      <c r="B2235" s="967"/>
      <c r="C2235" s="1382" t="s">
        <v>64</v>
      </c>
      <c r="D2235" s="967" t="s">
        <v>27</v>
      </c>
      <c r="E2235" s="970">
        <v>0.6</v>
      </c>
      <c r="F2235" s="970">
        <f>'MINI SSR 21-22'!$H$3</f>
        <v>585</v>
      </c>
      <c r="G2235" s="969">
        <f>ROUND(E2235*F2235,2)</f>
        <v>351</v>
      </c>
      <c r="H2235" s="964" t="s">
        <v>2312</v>
      </c>
    </row>
    <row r="2236" spans="1:8" hidden="1">
      <c r="A2236" s="967"/>
      <c r="B2236" s="967"/>
      <c r="C2236" s="1382" t="s">
        <v>69</v>
      </c>
      <c r="D2236" s="967" t="s">
        <v>27</v>
      </c>
      <c r="E2236" s="970">
        <v>0.6</v>
      </c>
      <c r="F2236" s="970">
        <f>'MINI SSR 21-22'!$H$4</f>
        <v>525</v>
      </c>
      <c r="G2236" s="969">
        <f>ROUND(E2236*F2236,2)</f>
        <v>315</v>
      </c>
      <c r="H2236" s="964" t="s">
        <v>2312</v>
      </c>
    </row>
    <row r="2237" spans="1:8" hidden="1">
      <c r="A2237" s="967"/>
      <c r="B2237" s="967"/>
      <c r="C2237" s="1382" t="s">
        <v>85</v>
      </c>
      <c r="D2237" s="967" t="s">
        <v>27</v>
      </c>
      <c r="E2237" s="970">
        <v>2.75</v>
      </c>
      <c r="F2237" s="970">
        <f>'MINI SSR 21-22'!$H$5</f>
        <v>490</v>
      </c>
      <c r="G2237" s="969">
        <f>ROUND(E2237*F2237,2)</f>
        <v>1347.5</v>
      </c>
      <c r="H2237" s="964" t="s">
        <v>2312</v>
      </c>
    </row>
    <row r="2238" spans="1:8" hidden="1">
      <c r="A2238" s="967"/>
      <c r="B2238" s="967"/>
      <c r="C2238" s="962" t="s">
        <v>88</v>
      </c>
      <c r="D2238" s="967"/>
      <c r="E2238" s="970"/>
      <c r="F2238" s="970"/>
      <c r="G2238" s="969">
        <f>SUM(G2231:G2237)</f>
        <v>6995.83</v>
      </c>
      <c r="H2238" s="964" t="s">
        <v>2312</v>
      </c>
    </row>
    <row r="2239" spans="1:8" hidden="1">
      <c r="A2239" s="967"/>
      <c r="B2239" s="967"/>
      <c r="C2239" s="962"/>
      <c r="D2239" s="967"/>
      <c r="E2239" s="966" t="s">
        <v>161</v>
      </c>
      <c r="F2239" s="974" t="s">
        <v>162</v>
      </c>
      <c r="G2239" s="974" t="s">
        <v>163</v>
      </c>
      <c r="H2239" s="964" t="s">
        <v>2312</v>
      </c>
    </row>
    <row r="2240" spans="1:8" hidden="1">
      <c r="A2240" s="967"/>
      <c r="B2240" s="967"/>
      <c r="C2240" s="962" t="s">
        <v>192</v>
      </c>
      <c r="D2240" s="967"/>
      <c r="E2240" s="970">
        <f>G2238</f>
        <v>6995.83</v>
      </c>
      <c r="F2240" s="972">
        <f>G2238</f>
        <v>6995.83</v>
      </c>
      <c r="G2240" s="972">
        <f>G2238</f>
        <v>6995.83</v>
      </c>
      <c r="H2240" s="964" t="s">
        <v>2312</v>
      </c>
    </row>
    <row r="2241" spans="1:8" hidden="1">
      <c r="A2241" s="967"/>
      <c r="B2241" s="967"/>
      <c r="C2241" s="1382" t="s">
        <v>1645</v>
      </c>
      <c r="D2241" s="973">
        <v>8.6999999999999993</v>
      </c>
      <c r="E2241" s="967">
        <f>ROUND(D2241*'MINI SSR 21-22'!E30,2)</f>
        <v>93.79</v>
      </c>
      <c r="F2241" s="975">
        <f>E2241</f>
        <v>93.79</v>
      </c>
      <c r="G2241" s="975">
        <f>F2241</f>
        <v>93.79</v>
      </c>
      <c r="H2241" s="964" t="s">
        <v>2312</v>
      </c>
    </row>
    <row r="2242" spans="1:8" hidden="1">
      <c r="A2242" s="967"/>
      <c r="B2242" s="967"/>
      <c r="C2242" s="1382" t="s">
        <v>1646</v>
      </c>
      <c r="D2242" s="973">
        <v>8.6999999999999993</v>
      </c>
      <c r="E2242" s="970">
        <f>8.7*'MINI SSR 21-22'!F30</f>
        <v>736.19399999999996</v>
      </c>
      <c r="F2242" s="970">
        <f>8.7*'MINI SSR 21-22'!G30</f>
        <v>1054.2660000000001</v>
      </c>
      <c r="G2242" s="970">
        <f>8.7*'MINI SSR 21-22'!H30</f>
        <v>1372.164</v>
      </c>
      <c r="H2242" s="964" t="s">
        <v>2312</v>
      </c>
    </row>
    <row r="2243" spans="1:8" ht="25.5" hidden="1">
      <c r="A2243" s="967"/>
      <c r="B2243" s="967"/>
      <c r="C2243" s="1382" t="s">
        <v>1285</v>
      </c>
      <c r="D2243" s="967"/>
      <c r="E2243" s="967"/>
      <c r="F2243" s="989">
        <f>(SUM(G2235:G2237)+F2242)*10%</f>
        <v>306.77660000000003</v>
      </c>
      <c r="G2243" s="989">
        <f>(SUM(G2235:G2237)+G2242)*20%</f>
        <v>677.13279999999997</v>
      </c>
      <c r="H2243" s="964" t="s">
        <v>2312</v>
      </c>
    </row>
    <row r="2244" spans="1:8" hidden="1">
      <c r="A2244" s="967"/>
      <c r="B2244" s="967"/>
      <c r="C2244" s="962" t="s">
        <v>900</v>
      </c>
      <c r="D2244" s="967"/>
      <c r="E2244" s="974">
        <f>SUM(E2240:E2243)</f>
        <v>7825.8140000000003</v>
      </c>
      <c r="F2244" s="971">
        <f>SUM(F2240:F2243)</f>
        <v>8450.6625999999997</v>
      </c>
      <c r="G2244" s="971">
        <f>SUM(G2240:G2243)</f>
        <v>9138.9167999999991</v>
      </c>
      <c r="H2244" s="964" t="s">
        <v>2312</v>
      </c>
    </row>
    <row r="2245" spans="1:8" hidden="1">
      <c r="A2245" s="967"/>
      <c r="B2245" s="967"/>
      <c r="C2245" s="962" t="s">
        <v>121</v>
      </c>
      <c r="D2245" s="967"/>
      <c r="E2245" s="974">
        <f>ROUND(E2244/10,2)</f>
        <v>782.58</v>
      </c>
      <c r="F2245" s="971">
        <f>ROUND(F2244/10,2)</f>
        <v>845.07</v>
      </c>
      <c r="G2245" s="971">
        <f>ROUND(G2244/10,2)</f>
        <v>913.89</v>
      </c>
      <c r="H2245" s="964" t="s">
        <v>2312</v>
      </c>
    </row>
    <row r="2246" spans="1:8" ht="127.5" hidden="1">
      <c r="A2246" s="896">
        <v>30</v>
      </c>
      <c r="B2246" s="966" t="s">
        <v>1317</v>
      </c>
      <c r="C2246" s="1382" t="s">
        <v>1194</v>
      </c>
      <c r="D2246" s="967"/>
      <c r="E2246" s="967"/>
      <c r="F2246" s="967"/>
      <c r="G2246" s="966"/>
      <c r="H2246" s="964" t="s">
        <v>2312</v>
      </c>
    </row>
    <row r="2247" spans="1:8" hidden="1">
      <c r="A2247" s="896"/>
      <c r="B2247" s="966"/>
      <c r="C2247" s="962" t="s">
        <v>84</v>
      </c>
      <c r="D2247" s="967"/>
      <c r="E2247" s="967"/>
      <c r="F2247" s="967"/>
      <c r="G2247" s="972"/>
      <c r="H2247" s="964" t="s">
        <v>2312</v>
      </c>
    </row>
    <row r="2248" spans="1:8" hidden="1">
      <c r="A2248" s="896"/>
      <c r="B2248" s="966"/>
      <c r="C2248" s="962" t="s">
        <v>60</v>
      </c>
      <c r="D2248" s="967"/>
      <c r="E2248" s="967"/>
      <c r="F2248" s="967"/>
      <c r="G2248" s="972"/>
      <c r="H2248" s="964" t="s">
        <v>2312</v>
      </c>
    </row>
    <row r="2249" spans="1:8" ht="25.5" hidden="1">
      <c r="A2249" s="896"/>
      <c r="B2249" s="966"/>
      <c r="C2249" s="1382" t="s">
        <v>1197</v>
      </c>
      <c r="D2249" s="967" t="s">
        <v>11</v>
      </c>
      <c r="E2249" s="988">
        <v>110</v>
      </c>
      <c r="F2249" s="970">
        <f>'MINI SSR 21-22'!C27</f>
        <v>28</v>
      </c>
      <c r="G2249" s="969">
        <f>ROUND(E2249*F2249,2)</f>
        <v>3080</v>
      </c>
      <c r="H2249" s="964" t="s">
        <v>2312</v>
      </c>
    </row>
    <row r="2250" spans="1:8" hidden="1">
      <c r="A2250" s="896"/>
      <c r="B2250" s="966"/>
      <c r="C2250" s="1382" t="s">
        <v>1195</v>
      </c>
      <c r="D2250" s="967" t="s">
        <v>35</v>
      </c>
      <c r="E2250" s="970">
        <v>0.1</v>
      </c>
      <c r="F2250" s="970">
        <f>G1860</f>
        <v>3056.5699999999997</v>
      </c>
      <c r="G2250" s="969">
        <f>ROUND(E2250*F2250,2)</f>
        <v>305.66000000000003</v>
      </c>
      <c r="H2250" s="964" t="s">
        <v>2312</v>
      </c>
    </row>
    <row r="2251" spans="1:8" hidden="1">
      <c r="A2251" s="967"/>
      <c r="B2251" s="967"/>
      <c r="C2251" s="962" t="s">
        <v>68</v>
      </c>
      <c r="D2251" s="967"/>
      <c r="E2251" s="970"/>
      <c r="F2251" s="970"/>
      <c r="G2251" s="969"/>
      <c r="H2251" s="964" t="s">
        <v>2312</v>
      </c>
    </row>
    <row r="2252" spans="1:8" hidden="1">
      <c r="A2252" s="967"/>
      <c r="B2252" s="967"/>
      <c r="C2252" s="1382" t="s">
        <v>64</v>
      </c>
      <c r="D2252" s="967" t="s">
        <v>27</v>
      </c>
      <c r="E2252" s="970">
        <v>0.42</v>
      </c>
      <c r="F2252" s="970">
        <f>'MINI SSR 21-22'!$H$3</f>
        <v>585</v>
      </c>
      <c r="G2252" s="969">
        <f>ROUND(E2252*F2252,2)</f>
        <v>245.7</v>
      </c>
      <c r="H2252" s="964" t="s">
        <v>2312</v>
      </c>
    </row>
    <row r="2253" spans="1:8" hidden="1">
      <c r="A2253" s="967"/>
      <c r="B2253" s="967"/>
      <c r="C2253" s="1382" t="s">
        <v>69</v>
      </c>
      <c r="D2253" s="967" t="s">
        <v>27</v>
      </c>
      <c r="E2253" s="970">
        <v>0.92</v>
      </c>
      <c r="F2253" s="970">
        <f>'MINI SSR 21-22'!$H$4</f>
        <v>525</v>
      </c>
      <c r="G2253" s="969">
        <f>ROUND(E2253*F2253,2)</f>
        <v>483</v>
      </c>
      <c r="H2253" s="964" t="s">
        <v>2312</v>
      </c>
    </row>
    <row r="2254" spans="1:8" hidden="1">
      <c r="A2254" s="967"/>
      <c r="B2254" s="967"/>
      <c r="C2254" s="1382" t="s">
        <v>375</v>
      </c>
      <c r="D2254" s="967" t="s">
        <v>27</v>
      </c>
      <c r="E2254" s="970">
        <v>0.7</v>
      </c>
      <c r="F2254" s="970">
        <f>'MINI SSR 21-22'!$H$5</f>
        <v>490</v>
      </c>
      <c r="G2254" s="969">
        <f>ROUND(E2254*F2254,2)</f>
        <v>343</v>
      </c>
      <c r="H2254" s="964" t="s">
        <v>2312</v>
      </c>
    </row>
    <row r="2255" spans="1:8" hidden="1">
      <c r="A2255" s="967"/>
      <c r="B2255" s="967"/>
      <c r="C2255" s="1382" t="s">
        <v>1196</v>
      </c>
      <c r="D2255" s="967" t="s">
        <v>27</v>
      </c>
      <c r="E2255" s="970">
        <v>2.1</v>
      </c>
      <c r="F2255" s="970">
        <f>'MINI SSR 21-22'!$H$5</f>
        <v>490</v>
      </c>
      <c r="G2255" s="969">
        <f>ROUND(E2255*F2255,2)</f>
        <v>1029</v>
      </c>
      <c r="H2255" s="964" t="s">
        <v>2312</v>
      </c>
    </row>
    <row r="2256" spans="1:8" hidden="1">
      <c r="A2256" s="967"/>
      <c r="B2256" s="967"/>
      <c r="C2256" s="962" t="s">
        <v>86</v>
      </c>
      <c r="D2256" s="967"/>
      <c r="E2256" s="967"/>
      <c r="F2256" s="967"/>
      <c r="G2256" s="971">
        <f>SUM(G2249:G2255)</f>
        <v>5486.36</v>
      </c>
      <c r="H2256" s="964" t="s">
        <v>2312</v>
      </c>
    </row>
    <row r="2257" spans="1:8" hidden="1">
      <c r="A2257" s="967"/>
      <c r="B2257" s="967"/>
      <c r="C2257" s="962"/>
      <c r="D2257" s="967"/>
      <c r="E2257" s="966" t="s">
        <v>161</v>
      </c>
      <c r="F2257" s="974" t="s">
        <v>162</v>
      </c>
      <c r="G2257" s="974" t="s">
        <v>163</v>
      </c>
      <c r="H2257" s="964" t="s">
        <v>2312</v>
      </c>
    </row>
    <row r="2258" spans="1:8" hidden="1">
      <c r="A2258" s="967"/>
      <c r="B2258" s="967"/>
      <c r="C2258" s="962" t="s">
        <v>192</v>
      </c>
      <c r="D2258" s="967"/>
      <c r="E2258" s="970">
        <f>G2256</f>
        <v>5486.36</v>
      </c>
      <c r="F2258" s="972">
        <f>G2256</f>
        <v>5486.36</v>
      </c>
      <c r="G2258" s="972">
        <f>G2256*1</f>
        <v>5486.36</v>
      </c>
      <c r="H2258" s="964" t="s">
        <v>2312</v>
      </c>
    </row>
    <row r="2259" spans="1:8" hidden="1">
      <c r="A2259" s="967"/>
      <c r="B2259" s="967"/>
      <c r="C2259" s="1382" t="s">
        <v>1647</v>
      </c>
      <c r="D2259" s="973">
        <v>4.3499999999999996</v>
      </c>
      <c r="E2259" s="967">
        <f>ROUND(10.32*D2259,2)</f>
        <v>44.89</v>
      </c>
      <c r="F2259" s="975">
        <f>E2259</f>
        <v>44.89</v>
      </c>
      <c r="G2259" s="975">
        <f>F2259</f>
        <v>44.89</v>
      </c>
      <c r="H2259" s="964" t="s">
        <v>2312</v>
      </c>
    </row>
    <row r="2260" spans="1:8" hidden="1">
      <c r="A2260" s="967"/>
      <c r="B2260" s="967"/>
      <c r="C2260" s="1382" t="s">
        <v>1648</v>
      </c>
      <c r="D2260" s="973">
        <v>4.3499999999999996</v>
      </c>
      <c r="E2260" s="967">
        <f>ROUND('MINI SSR 21-22'!F30*$D$2260,2)</f>
        <v>368.1</v>
      </c>
      <c r="F2260" s="967">
        <f>ROUND('MINI SSR 21-22'!G30*$D$2260,2)</f>
        <v>527.13</v>
      </c>
      <c r="G2260" s="967">
        <f>ROUND('MINI SSR 21-22'!H30*$D$2260,2)</f>
        <v>686.08</v>
      </c>
      <c r="H2260" s="964" t="s">
        <v>2312</v>
      </c>
    </row>
    <row r="2261" spans="1:8" ht="25.5" hidden="1">
      <c r="A2261" s="967"/>
      <c r="B2261" s="967"/>
      <c r="C2261" s="1382" t="s">
        <v>1285</v>
      </c>
      <c r="D2261" s="967"/>
      <c r="E2261" s="967"/>
      <c r="F2261" s="975">
        <f>ROUND((G2252+G2253+G2255+G2254+F2260)*0.1,2)</f>
        <v>262.77999999999997</v>
      </c>
      <c r="G2261" s="975">
        <f>ROUND((G2252+G2253+G2255+G2254+G2260)*0.2,2)</f>
        <v>557.36</v>
      </c>
      <c r="H2261" s="964" t="s">
        <v>2312</v>
      </c>
    </row>
    <row r="2262" spans="1:8" hidden="1">
      <c r="A2262" s="967"/>
      <c r="B2262" s="967"/>
      <c r="C2262" s="962" t="s">
        <v>86</v>
      </c>
      <c r="D2262" s="967"/>
      <c r="E2262" s="974">
        <f>SUM(E2258:E2261)</f>
        <v>5899.35</v>
      </c>
      <c r="F2262" s="971">
        <f>SUM(F2258:F2261)</f>
        <v>6321.16</v>
      </c>
      <c r="G2262" s="971">
        <f>SUM(G2258:G2261)</f>
        <v>6774.69</v>
      </c>
      <c r="H2262" s="964" t="s">
        <v>2312</v>
      </c>
    </row>
    <row r="2263" spans="1:8" ht="89.25" hidden="1">
      <c r="A2263" s="896">
        <v>23</v>
      </c>
      <c r="B2263" s="966" t="s">
        <v>87</v>
      </c>
      <c r="C2263" s="1382" t="s">
        <v>1303</v>
      </c>
      <c r="D2263" s="967"/>
      <c r="E2263" s="967"/>
      <c r="F2263" s="967"/>
      <c r="G2263" s="966"/>
      <c r="H2263" s="964" t="s">
        <v>2312</v>
      </c>
    </row>
    <row r="2264" spans="1:8" hidden="1">
      <c r="A2264" s="896"/>
      <c r="B2264" s="966"/>
      <c r="C2264" s="962" t="s">
        <v>42</v>
      </c>
      <c r="D2264" s="967"/>
      <c r="E2264" s="967"/>
      <c r="F2264" s="967"/>
      <c r="G2264" s="972"/>
      <c r="H2264" s="964" t="s">
        <v>2312</v>
      </c>
    </row>
    <row r="2265" spans="1:8" hidden="1">
      <c r="A2265" s="896"/>
      <c r="B2265" s="966"/>
      <c r="C2265" s="962" t="s">
        <v>60</v>
      </c>
      <c r="D2265" s="966"/>
      <c r="E2265" s="966"/>
      <c r="F2265" s="966"/>
      <c r="G2265" s="972"/>
      <c r="H2265" s="964" t="s">
        <v>2312</v>
      </c>
    </row>
    <row r="2266" spans="1:8" hidden="1">
      <c r="A2266" s="896"/>
      <c r="B2266" s="966"/>
      <c r="C2266" s="1382" t="s">
        <v>43</v>
      </c>
      <c r="D2266" s="967" t="s">
        <v>35</v>
      </c>
      <c r="E2266" s="970">
        <v>0.15</v>
      </c>
      <c r="F2266" s="970">
        <f>G1845</f>
        <v>4184.57</v>
      </c>
      <c r="G2266" s="969">
        <f>ROUND(E2266*F2266,2)</f>
        <v>627.69000000000005</v>
      </c>
      <c r="H2266" s="964" t="s">
        <v>2312</v>
      </c>
    </row>
    <row r="2267" spans="1:8" hidden="1">
      <c r="A2267" s="967"/>
      <c r="B2267" s="967"/>
      <c r="C2267" s="962" t="s">
        <v>68</v>
      </c>
      <c r="D2267" s="967"/>
      <c r="E2267" s="970"/>
      <c r="F2267" s="970"/>
      <c r="G2267" s="969"/>
      <c r="H2267" s="964" t="s">
        <v>2312</v>
      </c>
    </row>
    <row r="2268" spans="1:8" hidden="1">
      <c r="A2268" s="967"/>
      <c r="B2268" s="967"/>
      <c r="C2268" s="1382" t="s">
        <v>64</v>
      </c>
      <c r="D2268" s="967" t="s">
        <v>27</v>
      </c>
      <c r="E2268" s="970">
        <v>0.45</v>
      </c>
      <c r="F2268" s="970">
        <f>'MINI SSR 21-22'!$H$3</f>
        <v>585</v>
      </c>
      <c r="G2268" s="969">
        <f>ROUND(E2268*F2268,2)</f>
        <v>263.25</v>
      </c>
      <c r="H2268" s="964" t="s">
        <v>2312</v>
      </c>
    </row>
    <row r="2269" spans="1:8" hidden="1">
      <c r="A2269" s="967"/>
      <c r="B2269" s="967"/>
      <c r="C2269" s="1382" t="s">
        <v>69</v>
      </c>
      <c r="D2269" s="967" t="s">
        <v>27</v>
      </c>
      <c r="E2269" s="970">
        <v>1.05</v>
      </c>
      <c r="F2269" s="970">
        <f>'MINI SSR 21-22'!$H$4</f>
        <v>525</v>
      </c>
      <c r="G2269" s="969">
        <f>ROUND(E2269*F2269,2)</f>
        <v>551.25</v>
      </c>
      <c r="H2269" s="964" t="s">
        <v>2312</v>
      </c>
    </row>
    <row r="2270" spans="1:8" hidden="1">
      <c r="A2270" s="967"/>
      <c r="B2270" s="967"/>
      <c r="C2270" s="1382" t="s">
        <v>85</v>
      </c>
      <c r="D2270" s="967" t="s">
        <v>27</v>
      </c>
      <c r="E2270" s="970">
        <v>2.8</v>
      </c>
      <c r="F2270" s="970">
        <f>'MINI SSR 21-22'!$H$5</f>
        <v>490</v>
      </c>
      <c r="G2270" s="969">
        <f>ROUND(E2270*F2270,2)</f>
        <v>1372</v>
      </c>
      <c r="H2270" s="964" t="s">
        <v>2312</v>
      </c>
    </row>
    <row r="2271" spans="1:8" hidden="1">
      <c r="A2271" s="967"/>
      <c r="B2271" s="967"/>
      <c r="C2271" s="962" t="s">
        <v>88</v>
      </c>
      <c r="D2271" s="967"/>
      <c r="E2271" s="967"/>
      <c r="F2271" s="967"/>
      <c r="G2271" s="963">
        <f>SUM(G2266:G2270)</f>
        <v>2814.19</v>
      </c>
      <c r="H2271" s="964" t="s">
        <v>2312</v>
      </c>
    </row>
    <row r="2272" spans="1:8" hidden="1">
      <c r="A2272" s="967"/>
      <c r="B2272" s="967"/>
      <c r="C2272" s="962"/>
      <c r="D2272" s="967"/>
      <c r="E2272" s="966" t="s">
        <v>161</v>
      </c>
      <c r="F2272" s="966" t="s">
        <v>162</v>
      </c>
      <c r="G2272" s="974" t="s">
        <v>163</v>
      </c>
      <c r="H2272" s="964" t="s">
        <v>2312</v>
      </c>
    </row>
    <row r="2273" spans="1:8" hidden="1">
      <c r="A2273" s="967"/>
      <c r="B2273" s="967"/>
      <c r="C2273" s="962" t="s">
        <v>1273</v>
      </c>
      <c r="D2273" s="967"/>
      <c r="E2273" s="970">
        <f>G2271</f>
        <v>2814.19</v>
      </c>
      <c r="F2273" s="970">
        <f>G2271</f>
        <v>2814.19</v>
      </c>
      <c r="G2273" s="972">
        <f>G2271</f>
        <v>2814.19</v>
      </c>
      <c r="H2273" s="964" t="s">
        <v>2312</v>
      </c>
    </row>
    <row r="2274" spans="1:8" hidden="1">
      <c r="A2274" s="967"/>
      <c r="B2274" s="967"/>
      <c r="C2274" s="1382" t="s">
        <v>1649</v>
      </c>
      <c r="D2274" s="970">
        <v>10</v>
      </c>
      <c r="E2274" s="970">
        <f>ROUND(D2274*'MINI SSR 21-22'!E33,2)</f>
        <v>25.7</v>
      </c>
      <c r="F2274" s="970">
        <f>E2274</f>
        <v>25.7</v>
      </c>
      <c r="G2274" s="972">
        <f>E2274</f>
        <v>25.7</v>
      </c>
      <c r="H2274" s="964" t="s">
        <v>2312</v>
      </c>
    </row>
    <row r="2275" spans="1:8" hidden="1">
      <c r="A2275" s="967"/>
      <c r="B2275" s="967"/>
      <c r="C2275" s="1382" t="s">
        <v>1650</v>
      </c>
      <c r="D2275" s="970">
        <v>10</v>
      </c>
      <c r="E2275" s="970">
        <f>ROUND(D2275*'MINI SSR 21-22'!F33,2)</f>
        <v>169.4</v>
      </c>
      <c r="F2275" s="970">
        <f>ROUND(D2275*'MINI SSR 21-22'!G33,2)</f>
        <v>240.4</v>
      </c>
      <c r="G2275" s="972">
        <f>ROUND(D2275*'MINI SSR 21-22'!H33,2)</f>
        <v>311.3</v>
      </c>
      <c r="H2275" s="964" t="s">
        <v>2312</v>
      </c>
    </row>
    <row r="2276" spans="1:8" ht="25.5" hidden="1">
      <c r="A2276" s="967"/>
      <c r="B2276" s="967"/>
      <c r="C2276" s="1382" t="s">
        <v>1285</v>
      </c>
      <c r="D2276" s="967"/>
      <c r="E2276" s="967"/>
      <c r="F2276" s="970">
        <f>ROUND((G2268+G2269+G2270+F2275)*0.1,2)</f>
        <v>242.69</v>
      </c>
      <c r="G2276" s="972">
        <f>ROUND((G2268+G2269+G2270+G2275)*0.2,2)</f>
        <v>499.56</v>
      </c>
      <c r="H2276" s="964" t="s">
        <v>2312</v>
      </c>
    </row>
    <row r="2277" spans="1:8" hidden="1">
      <c r="A2277" s="967"/>
      <c r="B2277" s="967"/>
      <c r="C2277" s="962" t="s">
        <v>88</v>
      </c>
      <c r="D2277" s="967"/>
      <c r="E2277" s="970">
        <f>SUM(E2273:E2276)</f>
        <v>3009.29</v>
      </c>
      <c r="F2277" s="970">
        <f>SUM(F2273:F2276)</f>
        <v>3322.98</v>
      </c>
      <c r="G2277" s="972">
        <f>SUM(G2273:G2276)</f>
        <v>3650.75</v>
      </c>
      <c r="H2277" s="964" t="s">
        <v>2312</v>
      </c>
    </row>
    <row r="2278" spans="1:8" hidden="1">
      <c r="A2278" s="967"/>
      <c r="B2278" s="967"/>
      <c r="C2278" s="962" t="s">
        <v>121</v>
      </c>
      <c r="D2278" s="967"/>
      <c r="E2278" s="974">
        <f>ROUND(E2277/10,2)</f>
        <v>300.93</v>
      </c>
      <c r="F2278" s="974">
        <f>ROUND(F2277/10,2)</f>
        <v>332.3</v>
      </c>
      <c r="G2278" s="971">
        <f>ROUND(G2277/10,2)</f>
        <v>365.08</v>
      </c>
      <c r="H2278" s="964" t="s">
        <v>2312</v>
      </c>
    </row>
    <row r="2279" spans="1:8" ht="89.25" hidden="1">
      <c r="A2279" s="896">
        <v>37</v>
      </c>
      <c r="B2279" s="966" t="s">
        <v>89</v>
      </c>
      <c r="C2279" s="1382" t="s">
        <v>1304</v>
      </c>
      <c r="D2279" s="967"/>
      <c r="E2279" s="967"/>
      <c r="F2279" s="967"/>
      <c r="G2279" s="966"/>
      <c r="H2279" s="964" t="s">
        <v>2312</v>
      </c>
    </row>
    <row r="2280" spans="1:8" hidden="1">
      <c r="A2280" s="896"/>
      <c r="B2280" s="966"/>
      <c r="C2280" s="962" t="s">
        <v>42</v>
      </c>
      <c r="D2280" s="967"/>
      <c r="E2280" s="967"/>
      <c r="F2280" s="967"/>
      <c r="G2280" s="972"/>
      <c r="H2280" s="964" t="s">
        <v>2312</v>
      </c>
    </row>
    <row r="2281" spans="1:8" hidden="1">
      <c r="A2281" s="896"/>
      <c r="B2281" s="966"/>
      <c r="C2281" s="962" t="s">
        <v>60</v>
      </c>
      <c r="D2281" s="966"/>
      <c r="E2281" s="966"/>
      <c r="F2281" s="966"/>
      <c r="G2281" s="972"/>
      <c r="H2281" s="964" t="s">
        <v>2312</v>
      </c>
    </row>
    <row r="2282" spans="1:8" hidden="1">
      <c r="A2282" s="896"/>
      <c r="B2282" s="966"/>
      <c r="C2282" s="1382" t="s">
        <v>48</v>
      </c>
      <c r="D2282" s="967" t="s">
        <v>35</v>
      </c>
      <c r="E2282" s="970">
        <v>0.15</v>
      </c>
      <c r="F2282" s="970">
        <f>G1855</f>
        <v>3282.17</v>
      </c>
      <c r="G2282" s="969">
        <f>ROUND(E2282*F2282,2)</f>
        <v>492.33</v>
      </c>
      <c r="H2282" s="964" t="s">
        <v>2312</v>
      </c>
    </row>
    <row r="2283" spans="1:8" hidden="1">
      <c r="A2283" s="967"/>
      <c r="B2283" s="967"/>
      <c r="C2283" s="962" t="s">
        <v>68</v>
      </c>
      <c r="D2283" s="967"/>
      <c r="E2283" s="970"/>
      <c r="F2283" s="970"/>
      <c r="G2283" s="969"/>
      <c r="H2283" s="964" t="s">
        <v>2312</v>
      </c>
    </row>
    <row r="2284" spans="1:8" hidden="1">
      <c r="A2284" s="967"/>
      <c r="B2284" s="967"/>
      <c r="C2284" s="1382" t="s">
        <v>64</v>
      </c>
      <c r="D2284" s="967" t="s">
        <v>27</v>
      </c>
      <c r="E2284" s="970">
        <v>0.45</v>
      </c>
      <c r="F2284" s="970">
        <f>'MINI SSR 21-22'!$H$3</f>
        <v>585</v>
      </c>
      <c r="G2284" s="969">
        <f>ROUND(E2284*F2284,2)</f>
        <v>263.25</v>
      </c>
      <c r="H2284" s="964" t="s">
        <v>2312</v>
      </c>
    </row>
    <row r="2285" spans="1:8" hidden="1">
      <c r="A2285" s="967"/>
      <c r="B2285" s="967"/>
      <c r="C2285" s="1382" t="s">
        <v>69</v>
      </c>
      <c r="D2285" s="967" t="s">
        <v>27</v>
      </c>
      <c r="E2285" s="970">
        <v>1.05</v>
      </c>
      <c r="F2285" s="970">
        <f>'MINI SSR 21-22'!$H$4</f>
        <v>525</v>
      </c>
      <c r="G2285" s="969">
        <f>ROUND(E2285*F2285,2)</f>
        <v>551.25</v>
      </c>
      <c r="H2285" s="964" t="s">
        <v>2312</v>
      </c>
    </row>
    <row r="2286" spans="1:8" hidden="1">
      <c r="A2286" s="967"/>
      <c r="B2286" s="967"/>
      <c r="C2286" s="1382" t="s">
        <v>85</v>
      </c>
      <c r="D2286" s="967" t="s">
        <v>27</v>
      </c>
      <c r="E2286" s="970">
        <v>2.8</v>
      </c>
      <c r="F2286" s="970">
        <f>'MINI SSR 21-22'!$H$5</f>
        <v>490</v>
      </c>
      <c r="G2286" s="969">
        <f>ROUND(E2286*F2286,2)</f>
        <v>1372</v>
      </c>
      <c r="H2286" s="964" t="s">
        <v>2312</v>
      </c>
    </row>
    <row r="2287" spans="1:8" hidden="1">
      <c r="A2287" s="967"/>
      <c r="B2287" s="967"/>
      <c r="C2287" s="962" t="s">
        <v>88</v>
      </c>
      <c r="D2287" s="967"/>
      <c r="E2287" s="967"/>
      <c r="F2287" s="967"/>
      <c r="G2287" s="971">
        <f>SUM(G2282:G2286)</f>
        <v>2678.83</v>
      </c>
      <c r="H2287" s="964" t="s">
        <v>2312</v>
      </c>
    </row>
    <row r="2288" spans="1:8" hidden="1">
      <c r="A2288" s="967"/>
      <c r="B2288" s="967"/>
      <c r="C2288" s="962"/>
      <c r="D2288" s="967"/>
      <c r="E2288" s="966" t="s">
        <v>161</v>
      </c>
      <c r="F2288" s="966" t="s">
        <v>162</v>
      </c>
      <c r="G2288" s="974" t="s">
        <v>163</v>
      </c>
      <c r="H2288" s="964" t="s">
        <v>2312</v>
      </c>
    </row>
    <row r="2289" spans="1:8" hidden="1">
      <c r="A2289" s="967"/>
      <c r="B2289" s="967"/>
      <c r="C2289" s="962" t="s">
        <v>1273</v>
      </c>
      <c r="D2289" s="967"/>
      <c r="E2289" s="970">
        <f>G2287</f>
        <v>2678.83</v>
      </c>
      <c r="F2289" s="970">
        <f>G2287</f>
        <v>2678.83</v>
      </c>
      <c r="G2289" s="972">
        <f>G2287</f>
        <v>2678.83</v>
      </c>
      <c r="H2289" s="964" t="s">
        <v>2312</v>
      </c>
    </row>
    <row r="2290" spans="1:8" hidden="1">
      <c r="A2290" s="967"/>
      <c r="B2290" s="967"/>
      <c r="C2290" s="1382" t="s">
        <v>1649</v>
      </c>
      <c r="D2290" s="970">
        <v>10</v>
      </c>
      <c r="E2290" s="970">
        <f>D2290*'MINI SSR 21-22'!E36</f>
        <v>10.8</v>
      </c>
      <c r="F2290" s="970">
        <f>E2290</f>
        <v>10.8</v>
      </c>
      <c r="G2290" s="972">
        <f>E2290</f>
        <v>10.8</v>
      </c>
      <c r="H2290" s="964" t="s">
        <v>2312</v>
      </c>
    </row>
    <row r="2291" spans="1:8" hidden="1">
      <c r="A2291" s="967"/>
      <c r="B2291" s="967"/>
      <c r="C2291" s="1382" t="s">
        <v>1651</v>
      </c>
      <c r="D2291" s="970">
        <v>10</v>
      </c>
      <c r="E2291" s="970">
        <f>ROUND(D2291*'MINI SSR 21-22'!F36,2)</f>
        <v>84.7</v>
      </c>
      <c r="F2291" s="970">
        <f>ROUND(D2291*'MINI SSR 21-22'!G36,2)</f>
        <v>121.2</v>
      </c>
      <c r="G2291" s="972">
        <f>ROUND(D2291*'MINI SSR 21-22'!H36,2)</f>
        <v>157.69999999999999</v>
      </c>
      <c r="H2291" s="964" t="s">
        <v>2312</v>
      </c>
    </row>
    <row r="2292" spans="1:8" ht="25.5" hidden="1">
      <c r="A2292" s="967"/>
      <c r="B2292" s="967"/>
      <c r="C2292" s="1382" t="s">
        <v>1285</v>
      </c>
      <c r="D2292" s="967"/>
      <c r="E2292" s="967"/>
      <c r="F2292" s="970">
        <f>ROUND((G2284+G2285+G2286+F2291)*0.1,2)</f>
        <v>230.77</v>
      </c>
      <c r="G2292" s="972">
        <f>ROUND((G2284+G2285+G2286+G2291)*0.2,2)</f>
        <v>468.84</v>
      </c>
      <c r="H2292" s="964" t="s">
        <v>2312</v>
      </c>
    </row>
    <row r="2293" spans="1:8" hidden="1">
      <c r="A2293" s="967"/>
      <c r="B2293" s="967"/>
      <c r="C2293" s="962" t="s">
        <v>88</v>
      </c>
      <c r="D2293" s="967"/>
      <c r="E2293" s="970">
        <f>SUM(E2289:E2292)</f>
        <v>2774.33</v>
      </c>
      <c r="F2293" s="970">
        <f>SUM(F2289:F2292)</f>
        <v>3041.6</v>
      </c>
      <c r="G2293" s="972">
        <f>SUM(G2289:G2292)</f>
        <v>3316.17</v>
      </c>
      <c r="H2293" s="964" t="s">
        <v>2312</v>
      </c>
    </row>
    <row r="2294" spans="1:8" hidden="1">
      <c r="A2294" s="967"/>
      <c r="B2294" s="967"/>
      <c r="C2294" s="962" t="s">
        <v>121</v>
      </c>
      <c r="D2294" s="967"/>
      <c r="E2294" s="974">
        <f>ROUND(E2293/10,2)</f>
        <v>277.43</v>
      </c>
      <c r="F2294" s="974">
        <f>ROUND(F2293/10,2)</f>
        <v>304.16000000000003</v>
      </c>
      <c r="G2294" s="971">
        <f>ROUND(G2293/10,2)</f>
        <v>331.62</v>
      </c>
      <c r="H2294" s="964" t="s">
        <v>2312</v>
      </c>
    </row>
    <row r="2295" spans="1:8" ht="89.25" hidden="1">
      <c r="A2295" s="896">
        <v>6</v>
      </c>
      <c r="B2295" s="966" t="s">
        <v>89</v>
      </c>
      <c r="C2295" s="1382" t="s">
        <v>1305</v>
      </c>
      <c r="D2295" s="967"/>
      <c r="E2295" s="967"/>
      <c r="F2295" s="967"/>
      <c r="G2295" s="966"/>
      <c r="H2295" s="964" t="s">
        <v>2312</v>
      </c>
    </row>
    <row r="2296" spans="1:8" hidden="1">
      <c r="A2296" s="896"/>
      <c r="B2296" s="966"/>
      <c r="C2296" s="962" t="s">
        <v>42</v>
      </c>
      <c r="D2296" s="967"/>
      <c r="E2296" s="967"/>
      <c r="F2296" s="967"/>
      <c r="G2296" s="972"/>
      <c r="H2296" s="964" t="s">
        <v>2312</v>
      </c>
    </row>
    <row r="2297" spans="1:8" hidden="1">
      <c r="A2297" s="896"/>
      <c r="B2297" s="966"/>
      <c r="C2297" s="962" t="s">
        <v>60</v>
      </c>
      <c r="D2297" s="967"/>
      <c r="E2297" s="967"/>
      <c r="F2297" s="967"/>
      <c r="G2297" s="972"/>
      <c r="H2297" s="964" t="s">
        <v>2312</v>
      </c>
    </row>
    <row r="2298" spans="1:8" hidden="1">
      <c r="A2298" s="896"/>
      <c r="B2298" s="966"/>
      <c r="C2298" s="1382" t="s">
        <v>48</v>
      </c>
      <c r="D2298" s="967" t="s">
        <v>35</v>
      </c>
      <c r="E2298" s="970">
        <v>0.21</v>
      </c>
      <c r="F2298" s="970">
        <f>G1855</f>
        <v>3282.17</v>
      </c>
      <c r="G2298" s="969">
        <f>ROUND(E2298*F2298,2)</f>
        <v>689.26</v>
      </c>
      <c r="H2298" s="964" t="s">
        <v>2312</v>
      </c>
    </row>
    <row r="2299" spans="1:8" hidden="1">
      <c r="A2299" s="967"/>
      <c r="B2299" s="967"/>
      <c r="C2299" s="962" t="s">
        <v>68</v>
      </c>
      <c r="D2299" s="967"/>
      <c r="E2299" s="970"/>
      <c r="F2299" s="970"/>
      <c r="G2299" s="969"/>
      <c r="H2299" s="964" t="s">
        <v>2312</v>
      </c>
    </row>
    <row r="2300" spans="1:8" hidden="1">
      <c r="A2300" s="967"/>
      <c r="B2300" s="967"/>
      <c r="C2300" s="1382" t="s">
        <v>64</v>
      </c>
      <c r="D2300" s="967" t="s">
        <v>27</v>
      </c>
      <c r="E2300" s="970">
        <v>0.45</v>
      </c>
      <c r="F2300" s="970">
        <f>'MINI SSR 21-22'!$H$3</f>
        <v>585</v>
      </c>
      <c r="G2300" s="969">
        <f>ROUND(E2300*F2300,2)</f>
        <v>263.25</v>
      </c>
      <c r="H2300" s="964" t="s">
        <v>2312</v>
      </c>
    </row>
    <row r="2301" spans="1:8" hidden="1">
      <c r="A2301" s="967"/>
      <c r="B2301" s="967"/>
      <c r="C2301" s="1382" t="s">
        <v>69</v>
      </c>
      <c r="D2301" s="967" t="s">
        <v>27</v>
      </c>
      <c r="E2301" s="970">
        <v>1.05</v>
      </c>
      <c r="F2301" s="970">
        <f>'MINI SSR 21-22'!$H$4</f>
        <v>525</v>
      </c>
      <c r="G2301" s="969">
        <f>ROUND(E2301*F2301,2)</f>
        <v>551.25</v>
      </c>
      <c r="H2301" s="964" t="s">
        <v>2312</v>
      </c>
    </row>
    <row r="2302" spans="1:8" hidden="1">
      <c r="A2302" s="967"/>
      <c r="B2302" s="967"/>
      <c r="C2302" s="1382" t="s">
        <v>85</v>
      </c>
      <c r="D2302" s="967" t="s">
        <v>27</v>
      </c>
      <c r="E2302" s="970">
        <v>2.8</v>
      </c>
      <c r="F2302" s="970">
        <f>'MINI SSR 21-22'!$H$5</f>
        <v>490</v>
      </c>
      <c r="G2302" s="969">
        <f>ROUND(E2302*F2302,2)</f>
        <v>1372</v>
      </c>
      <c r="H2302" s="964" t="s">
        <v>2312</v>
      </c>
    </row>
    <row r="2303" spans="1:8" hidden="1">
      <c r="A2303" s="967"/>
      <c r="B2303" s="967"/>
      <c r="C2303" s="962" t="s">
        <v>88</v>
      </c>
      <c r="D2303" s="967"/>
      <c r="E2303" s="967"/>
      <c r="F2303" s="967"/>
      <c r="G2303" s="971">
        <f>SUM(G2298:G2302)</f>
        <v>2875.76</v>
      </c>
      <c r="H2303" s="964" t="s">
        <v>2312</v>
      </c>
    </row>
    <row r="2304" spans="1:8" hidden="1">
      <c r="A2304" s="967"/>
      <c r="B2304" s="967"/>
      <c r="C2304" s="962"/>
      <c r="D2304" s="967"/>
      <c r="E2304" s="966" t="s">
        <v>161</v>
      </c>
      <c r="F2304" s="966" t="s">
        <v>162</v>
      </c>
      <c r="G2304" s="974" t="s">
        <v>163</v>
      </c>
      <c r="H2304" s="964" t="s">
        <v>2312</v>
      </c>
    </row>
    <row r="2305" spans="1:8" hidden="1">
      <c r="A2305" s="967"/>
      <c r="B2305" s="967"/>
      <c r="C2305" s="962" t="s">
        <v>1273</v>
      </c>
      <c r="D2305" s="967"/>
      <c r="E2305" s="970">
        <f>G2303</f>
        <v>2875.76</v>
      </c>
      <c r="F2305" s="970">
        <f>G2303</f>
        <v>2875.76</v>
      </c>
      <c r="G2305" s="972">
        <f>G2303</f>
        <v>2875.76</v>
      </c>
      <c r="H2305" s="964" t="s">
        <v>2312</v>
      </c>
    </row>
    <row r="2306" spans="1:8" hidden="1">
      <c r="A2306" s="967"/>
      <c r="B2306" s="967"/>
      <c r="C2306" s="1382" t="s">
        <v>1649</v>
      </c>
      <c r="D2306" s="970">
        <v>10</v>
      </c>
      <c r="E2306" s="970">
        <f>D2306*'MINI SSR 21-22'!$E$36</f>
        <v>10.8</v>
      </c>
      <c r="F2306" s="970">
        <f>E2306</f>
        <v>10.8</v>
      </c>
      <c r="G2306" s="972">
        <f>E2306</f>
        <v>10.8</v>
      </c>
      <c r="H2306" s="964" t="s">
        <v>2312</v>
      </c>
    </row>
    <row r="2307" spans="1:8" hidden="1">
      <c r="A2307" s="967"/>
      <c r="B2307" s="967"/>
      <c r="C2307" s="1382" t="s">
        <v>1652</v>
      </c>
      <c r="D2307" s="970">
        <v>10</v>
      </c>
      <c r="E2307" s="970">
        <f>ROUND(D2307*'MINI SSR 21-22'!F36,2)</f>
        <v>84.7</v>
      </c>
      <c r="F2307" s="970">
        <f>ROUND(D2307*'MINI SSR 21-22'!G36,2)</f>
        <v>121.2</v>
      </c>
      <c r="G2307" s="972">
        <f>ROUND(D2307*'MINI SSR 21-22'!H36,2)</f>
        <v>157.69999999999999</v>
      </c>
      <c r="H2307" s="964" t="s">
        <v>2312</v>
      </c>
    </row>
    <row r="2308" spans="1:8" ht="25.5" hidden="1">
      <c r="A2308" s="967"/>
      <c r="B2308" s="967"/>
      <c r="C2308" s="1382" t="s">
        <v>1285</v>
      </c>
      <c r="D2308" s="967"/>
      <c r="E2308" s="967"/>
      <c r="F2308" s="970">
        <f>ROUND((G2300+G2301+G2302+F2307)*0.1,2)</f>
        <v>230.77</v>
      </c>
      <c r="G2308" s="972">
        <f>ROUND((G2300+G2301+G2302+G2307)*0.2,2)</f>
        <v>468.84</v>
      </c>
      <c r="H2308" s="964" t="s">
        <v>2312</v>
      </c>
    </row>
    <row r="2309" spans="1:8" hidden="1">
      <c r="A2309" s="967"/>
      <c r="B2309" s="967"/>
      <c r="C2309" s="962" t="s">
        <v>88</v>
      </c>
      <c r="D2309" s="967"/>
      <c r="E2309" s="970">
        <f>SUM(E2305:E2308)</f>
        <v>2971.26</v>
      </c>
      <c r="F2309" s="970">
        <f>SUM(F2305:F2308)</f>
        <v>3238.53</v>
      </c>
      <c r="G2309" s="972">
        <f>SUM(G2305:G2308)</f>
        <v>3513.1000000000004</v>
      </c>
      <c r="H2309" s="964" t="s">
        <v>2312</v>
      </c>
    </row>
    <row r="2310" spans="1:8" hidden="1">
      <c r="A2310" s="967"/>
      <c r="B2310" s="967"/>
      <c r="C2310" s="962" t="s">
        <v>121</v>
      </c>
      <c r="D2310" s="967"/>
      <c r="E2310" s="974">
        <f>ROUND(E2309/10,2)</f>
        <v>297.13</v>
      </c>
      <c r="F2310" s="974">
        <f>ROUND(F2309/10,2)</f>
        <v>323.85000000000002</v>
      </c>
      <c r="G2310" s="971">
        <f>ROUND(G2309/10,2)</f>
        <v>351.31</v>
      </c>
      <c r="H2310" s="964" t="s">
        <v>2312</v>
      </c>
    </row>
    <row r="2311" spans="1:8" ht="89.25" hidden="1">
      <c r="A2311" s="896">
        <v>34</v>
      </c>
      <c r="B2311" s="966" t="s">
        <v>89</v>
      </c>
      <c r="C2311" s="1382" t="s">
        <v>1306</v>
      </c>
      <c r="D2311" s="967"/>
      <c r="E2311" s="967"/>
      <c r="F2311" s="967"/>
      <c r="G2311" s="966" t="s">
        <v>89</v>
      </c>
      <c r="H2311" s="964" t="s">
        <v>2312</v>
      </c>
    </row>
    <row r="2312" spans="1:8" hidden="1">
      <c r="A2312" s="896"/>
      <c r="B2312" s="966"/>
      <c r="C2312" s="962" t="s">
        <v>42</v>
      </c>
      <c r="D2312" s="967"/>
      <c r="E2312" s="967"/>
      <c r="F2312" s="967"/>
      <c r="G2312" s="972"/>
      <c r="H2312" s="964" t="s">
        <v>2312</v>
      </c>
    </row>
    <row r="2313" spans="1:8" hidden="1">
      <c r="A2313" s="896"/>
      <c r="B2313" s="966"/>
      <c r="C2313" s="962" t="s">
        <v>60</v>
      </c>
      <c r="D2313" s="967"/>
      <c r="E2313" s="967"/>
      <c r="F2313" s="967"/>
      <c r="G2313" s="972"/>
      <c r="H2313" s="964" t="s">
        <v>2312</v>
      </c>
    </row>
    <row r="2314" spans="1:8" hidden="1">
      <c r="A2314" s="896"/>
      <c r="B2314" s="966"/>
      <c r="C2314" s="1382" t="s">
        <v>43</v>
      </c>
      <c r="D2314" s="967" t="s">
        <v>35</v>
      </c>
      <c r="E2314" s="970">
        <v>0.21</v>
      </c>
      <c r="F2314" s="970">
        <f>G1845</f>
        <v>4184.57</v>
      </c>
      <c r="G2314" s="969">
        <f>ROUND(E2314*F2314,2)</f>
        <v>878.76</v>
      </c>
      <c r="H2314" s="964" t="s">
        <v>2312</v>
      </c>
    </row>
    <row r="2315" spans="1:8" hidden="1">
      <c r="A2315" s="967"/>
      <c r="B2315" s="967"/>
      <c r="C2315" s="962" t="s">
        <v>68</v>
      </c>
      <c r="D2315" s="967"/>
      <c r="E2315" s="970"/>
      <c r="F2315" s="970"/>
      <c r="G2315" s="969"/>
      <c r="H2315" s="964" t="s">
        <v>2312</v>
      </c>
    </row>
    <row r="2316" spans="1:8" hidden="1">
      <c r="A2316" s="967"/>
      <c r="B2316" s="967"/>
      <c r="C2316" s="1382" t="s">
        <v>64</v>
      </c>
      <c r="D2316" s="967" t="s">
        <v>27</v>
      </c>
      <c r="E2316" s="970">
        <v>0.45</v>
      </c>
      <c r="F2316" s="970">
        <f>'MINI SSR 21-22'!$H$3</f>
        <v>585</v>
      </c>
      <c r="G2316" s="969">
        <f>ROUND(E2316*F2316,2)</f>
        <v>263.25</v>
      </c>
      <c r="H2316" s="964" t="s">
        <v>2312</v>
      </c>
    </row>
    <row r="2317" spans="1:8" hidden="1">
      <c r="A2317" s="967"/>
      <c r="B2317" s="967"/>
      <c r="C2317" s="1382" t="s">
        <v>69</v>
      </c>
      <c r="D2317" s="967" t="s">
        <v>27</v>
      </c>
      <c r="E2317" s="970">
        <v>1.05</v>
      </c>
      <c r="F2317" s="970">
        <f>'MINI SSR 21-22'!$H$4</f>
        <v>525</v>
      </c>
      <c r="G2317" s="969">
        <f>ROUND(E2317*F2317,2)</f>
        <v>551.25</v>
      </c>
      <c r="H2317" s="964" t="s">
        <v>2312</v>
      </c>
    </row>
    <row r="2318" spans="1:8" hidden="1">
      <c r="A2318" s="967"/>
      <c r="B2318" s="967"/>
      <c r="C2318" s="1382" t="s">
        <v>85</v>
      </c>
      <c r="D2318" s="967" t="s">
        <v>27</v>
      </c>
      <c r="E2318" s="970">
        <v>2.8</v>
      </c>
      <c r="F2318" s="970">
        <f>'MINI SSR 21-22'!$H$5</f>
        <v>490</v>
      </c>
      <c r="G2318" s="969">
        <f>ROUND(E2318*F2318,2)</f>
        <v>1372</v>
      </c>
      <c r="H2318" s="964" t="s">
        <v>2312</v>
      </c>
    </row>
    <row r="2319" spans="1:8" hidden="1">
      <c r="A2319" s="967"/>
      <c r="B2319" s="967"/>
      <c r="C2319" s="962" t="s">
        <v>88</v>
      </c>
      <c r="D2319" s="967"/>
      <c r="E2319" s="967"/>
      <c r="F2319" s="967"/>
      <c r="G2319" s="971">
        <f>SUM(G2314:G2318)</f>
        <v>3065.26</v>
      </c>
      <c r="H2319" s="964" t="s">
        <v>2312</v>
      </c>
    </row>
    <row r="2320" spans="1:8" hidden="1">
      <c r="A2320" s="967"/>
      <c r="B2320" s="967"/>
      <c r="C2320" s="962"/>
      <c r="D2320" s="967"/>
      <c r="E2320" s="966" t="s">
        <v>161</v>
      </c>
      <c r="F2320" s="966" t="s">
        <v>162</v>
      </c>
      <c r="G2320" s="974" t="s">
        <v>163</v>
      </c>
      <c r="H2320" s="964" t="s">
        <v>2312</v>
      </c>
    </row>
    <row r="2321" spans="1:8" hidden="1">
      <c r="A2321" s="967"/>
      <c r="B2321" s="967"/>
      <c r="C2321" s="962" t="s">
        <v>1273</v>
      </c>
      <c r="D2321" s="967"/>
      <c r="E2321" s="970">
        <f>G2319</f>
        <v>3065.26</v>
      </c>
      <c r="F2321" s="970">
        <f>G2319</f>
        <v>3065.26</v>
      </c>
      <c r="G2321" s="972">
        <f>G2319</f>
        <v>3065.26</v>
      </c>
      <c r="H2321" s="964" t="s">
        <v>2312</v>
      </c>
    </row>
    <row r="2322" spans="1:8" hidden="1">
      <c r="A2322" s="967"/>
      <c r="B2322" s="967"/>
      <c r="C2322" s="1382" t="s">
        <v>1649</v>
      </c>
      <c r="D2322" s="970">
        <v>10</v>
      </c>
      <c r="E2322" s="970">
        <f>D2322*'MINI SSR 21-22'!$E$36</f>
        <v>10.8</v>
      </c>
      <c r="F2322" s="970">
        <f>E2322</f>
        <v>10.8</v>
      </c>
      <c r="G2322" s="972">
        <f>E2322</f>
        <v>10.8</v>
      </c>
      <c r="H2322" s="964" t="s">
        <v>2312</v>
      </c>
    </row>
    <row r="2323" spans="1:8" hidden="1">
      <c r="A2323" s="967"/>
      <c r="B2323" s="967"/>
      <c r="C2323" s="1382" t="s">
        <v>1652</v>
      </c>
      <c r="D2323" s="970">
        <v>10</v>
      </c>
      <c r="E2323" s="970">
        <f>ROUND(D2323*'MINI SSR 21-22'!F36,2)</f>
        <v>84.7</v>
      </c>
      <c r="F2323" s="970">
        <f>ROUND(D2323*'MINI SSR 21-22'!G36,2)</f>
        <v>121.2</v>
      </c>
      <c r="G2323" s="972">
        <f>ROUND(D2323*'MINI SSR 21-22'!H36,2)</f>
        <v>157.69999999999999</v>
      </c>
      <c r="H2323" s="964" t="s">
        <v>2312</v>
      </c>
    </row>
    <row r="2324" spans="1:8" ht="25.5" hidden="1">
      <c r="A2324" s="967"/>
      <c r="B2324" s="967"/>
      <c r="C2324" s="1382" t="s">
        <v>1285</v>
      </c>
      <c r="D2324" s="967"/>
      <c r="E2324" s="967"/>
      <c r="F2324" s="970">
        <f>ROUND((G2316+G2317+G2318+F2323)*0.1,2)</f>
        <v>230.77</v>
      </c>
      <c r="G2324" s="972">
        <f>ROUND((G2316+G2317+G2318+G2323)*0.2,2)</f>
        <v>468.84</v>
      </c>
      <c r="H2324" s="964" t="s">
        <v>2312</v>
      </c>
    </row>
    <row r="2325" spans="1:8" hidden="1">
      <c r="A2325" s="967"/>
      <c r="B2325" s="967"/>
      <c r="C2325" s="962" t="s">
        <v>88</v>
      </c>
      <c r="D2325" s="967"/>
      <c r="E2325" s="970">
        <f>SUM(E2321:E2324)</f>
        <v>3160.76</v>
      </c>
      <c r="F2325" s="970">
        <f>SUM(F2321:F2324)</f>
        <v>3428.03</v>
      </c>
      <c r="G2325" s="972">
        <f>SUM(G2321:G2324)</f>
        <v>3702.6000000000004</v>
      </c>
      <c r="H2325" s="964" t="s">
        <v>2312</v>
      </c>
    </row>
    <row r="2326" spans="1:8" hidden="1">
      <c r="A2326" s="967"/>
      <c r="B2326" s="967"/>
      <c r="C2326" s="962" t="s">
        <v>121</v>
      </c>
      <c r="D2326" s="967"/>
      <c r="E2326" s="974">
        <f>ROUND(E2325/10,2)</f>
        <v>316.08</v>
      </c>
      <c r="F2326" s="974">
        <f>ROUND(F2325/10,2)</f>
        <v>342.8</v>
      </c>
      <c r="G2326" s="971">
        <f>ROUND(G2325/10,2)</f>
        <v>370.26</v>
      </c>
      <c r="H2326" s="964" t="s">
        <v>2312</v>
      </c>
    </row>
    <row r="2327" spans="1:8" ht="102" hidden="1">
      <c r="A2327" s="896">
        <v>24</v>
      </c>
      <c r="B2327" s="966" t="s">
        <v>1346</v>
      </c>
      <c r="C2327" s="1382" t="s">
        <v>808</v>
      </c>
      <c r="D2327" s="967"/>
      <c r="E2327" s="967"/>
      <c r="F2327" s="967"/>
      <c r="G2327" s="966"/>
      <c r="H2327" s="964" t="s">
        <v>2312</v>
      </c>
    </row>
    <row r="2328" spans="1:8" hidden="1">
      <c r="A2328" s="896"/>
      <c r="B2328" s="966"/>
      <c r="C2328" s="962" t="s">
        <v>42</v>
      </c>
      <c r="D2328" s="967"/>
      <c r="E2328" s="967"/>
      <c r="F2328" s="967"/>
      <c r="G2328" s="972"/>
      <c r="H2328" s="964" t="s">
        <v>2312</v>
      </c>
    </row>
    <row r="2329" spans="1:8" hidden="1">
      <c r="A2329" s="896"/>
      <c r="B2329" s="966"/>
      <c r="C2329" s="962" t="s">
        <v>317</v>
      </c>
      <c r="D2329" s="967"/>
      <c r="E2329" s="967"/>
      <c r="F2329" s="967"/>
      <c r="G2329" s="972"/>
      <c r="H2329" s="964" t="s">
        <v>2312</v>
      </c>
    </row>
    <row r="2330" spans="1:8" hidden="1">
      <c r="A2330" s="896"/>
      <c r="B2330" s="966"/>
      <c r="C2330" s="1382" t="s">
        <v>107</v>
      </c>
      <c r="D2330" s="967" t="s">
        <v>4</v>
      </c>
      <c r="E2330" s="970">
        <v>31.7</v>
      </c>
      <c r="F2330" s="970">
        <f>'lead 21-22'!L8</f>
        <v>4700</v>
      </c>
      <c r="G2330" s="969">
        <f>ROUND(E2330*F2330/1000,2)</f>
        <v>148.99</v>
      </c>
      <c r="H2330" s="964" t="s">
        <v>2312</v>
      </c>
    </row>
    <row r="2331" spans="1:8" hidden="1">
      <c r="A2331" s="896"/>
      <c r="B2331" s="966"/>
      <c r="C2331" s="1382" t="s">
        <v>318</v>
      </c>
      <c r="D2331" s="967" t="s">
        <v>35</v>
      </c>
      <c r="E2331" s="970">
        <v>0.11</v>
      </c>
      <c r="F2331" s="970">
        <f>'lead 21-22'!L12</f>
        <v>1743.4000000000019</v>
      </c>
      <c r="G2331" s="969">
        <f>ROUND(E2331*F2331,2)</f>
        <v>191.77</v>
      </c>
      <c r="H2331" s="964" t="s">
        <v>2312</v>
      </c>
    </row>
    <row r="2332" spans="1:8" hidden="1">
      <c r="A2332" s="896"/>
      <c r="B2332" s="966"/>
      <c r="C2332" s="962" t="s">
        <v>319</v>
      </c>
      <c r="D2332" s="967"/>
      <c r="E2332" s="967"/>
      <c r="F2332" s="967"/>
      <c r="G2332" s="972"/>
      <c r="H2332" s="964" t="s">
        <v>2312</v>
      </c>
    </row>
    <row r="2333" spans="1:8" hidden="1">
      <c r="A2333" s="896"/>
      <c r="B2333" s="966"/>
      <c r="C2333" s="1382" t="s">
        <v>107</v>
      </c>
      <c r="D2333" s="967" t="s">
        <v>4</v>
      </c>
      <c r="E2333" s="970">
        <v>19.2</v>
      </c>
      <c r="F2333" s="970">
        <f>F2330</f>
        <v>4700</v>
      </c>
      <c r="G2333" s="969">
        <f>ROUND(E2333*F2333/1000,2)</f>
        <v>90.24</v>
      </c>
      <c r="H2333" s="964" t="s">
        <v>2312</v>
      </c>
    </row>
    <row r="2334" spans="1:8" hidden="1">
      <c r="A2334" s="896"/>
      <c r="B2334" s="966"/>
      <c r="C2334" s="1382" t="s">
        <v>318</v>
      </c>
      <c r="D2334" s="967" t="s">
        <v>35</v>
      </c>
      <c r="E2334" s="970">
        <v>0.04</v>
      </c>
      <c r="F2334" s="970">
        <f>F2331</f>
        <v>1743.4000000000019</v>
      </c>
      <c r="G2334" s="969">
        <f>ROUND(E2334*F2334,2)</f>
        <v>69.739999999999995</v>
      </c>
      <c r="H2334" s="964" t="s">
        <v>2312</v>
      </c>
    </row>
    <row r="2335" spans="1:8" hidden="1">
      <c r="A2335" s="967"/>
      <c r="B2335" s="967"/>
      <c r="C2335" s="962" t="s">
        <v>68</v>
      </c>
      <c r="D2335" s="967"/>
      <c r="E2335" s="970"/>
      <c r="F2335" s="970"/>
      <c r="G2335" s="969"/>
      <c r="H2335" s="964" t="s">
        <v>2312</v>
      </c>
    </row>
    <row r="2336" spans="1:8" hidden="1">
      <c r="A2336" s="967"/>
      <c r="B2336" s="967"/>
      <c r="C2336" s="1382" t="s">
        <v>64</v>
      </c>
      <c r="D2336" s="967" t="s">
        <v>27</v>
      </c>
      <c r="E2336" s="970">
        <v>0.63</v>
      </c>
      <c r="F2336" s="970">
        <f>'MINI SSR 21-22'!$H$3</f>
        <v>585</v>
      </c>
      <c r="G2336" s="969">
        <f>ROUND(E2336*F2336,2)</f>
        <v>368.55</v>
      </c>
      <c r="H2336" s="964" t="s">
        <v>2312</v>
      </c>
    </row>
    <row r="2337" spans="1:8" hidden="1">
      <c r="A2337" s="967"/>
      <c r="B2337" s="967"/>
      <c r="C2337" s="1382" t="s">
        <v>69</v>
      </c>
      <c r="D2337" s="967" t="s">
        <v>27</v>
      </c>
      <c r="E2337" s="970">
        <v>1.47</v>
      </c>
      <c r="F2337" s="970">
        <f>'MINI SSR 21-22'!$H$4</f>
        <v>525</v>
      </c>
      <c r="G2337" s="969">
        <f>ROUND(E2337*F2337,2)</f>
        <v>771.75</v>
      </c>
      <c r="H2337" s="964" t="s">
        <v>2312</v>
      </c>
    </row>
    <row r="2338" spans="1:8" hidden="1">
      <c r="A2338" s="967"/>
      <c r="B2338" s="967"/>
      <c r="C2338" s="1382" t="s">
        <v>85</v>
      </c>
      <c r="D2338" s="967" t="s">
        <v>27</v>
      </c>
      <c r="E2338" s="970">
        <v>3.9</v>
      </c>
      <c r="F2338" s="970">
        <f>'MINI SSR 21-22'!$H$5</f>
        <v>490</v>
      </c>
      <c r="G2338" s="969">
        <f>ROUND(E2338*F2338,2)</f>
        <v>1911</v>
      </c>
      <c r="H2338" s="964" t="s">
        <v>2312</v>
      </c>
    </row>
    <row r="2339" spans="1:8" hidden="1">
      <c r="A2339" s="967"/>
      <c r="B2339" s="967"/>
      <c r="C2339" s="962" t="s">
        <v>88</v>
      </c>
      <c r="D2339" s="967"/>
      <c r="E2339" s="967"/>
      <c r="F2339" s="967"/>
      <c r="G2339" s="971">
        <f>SUM(G2330:G2338)</f>
        <v>3552.04</v>
      </c>
      <c r="H2339" s="964" t="s">
        <v>2312</v>
      </c>
    </row>
    <row r="2340" spans="1:8" hidden="1">
      <c r="A2340" s="967"/>
      <c r="B2340" s="967"/>
      <c r="C2340" s="962"/>
      <c r="D2340" s="967"/>
      <c r="E2340" s="966" t="s">
        <v>161</v>
      </c>
      <c r="F2340" s="966" t="s">
        <v>162</v>
      </c>
      <c r="G2340" s="974" t="s">
        <v>163</v>
      </c>
      <c r="H2340" s="964" t="s">
        <v>2312</v>
      </c>
    </row>
    <row r="2341" spans="1:8" hidden="1">
      <c r="A2341" s="967"/>
      <c r="B2341" s="967"/>
      <c r="C2341" s="962" t="s">
        <v>1273</v>
      </c>
      <c r="D2341" s="967"/>
      <c r="E2341" s="970">
        <f>G2339</f>
        <v>3552.04</v>
      </c>
      <c r="F2341" s="970">
        <f>G2339</f>
        <v>3552.04</v>
      </c>
      <c r="G2341" s="972">
        <f>F2341</f>
        <v>3552.04</v>
      </c>
      <c r="H2341" s="964" t="s">
        <v>2312</v>
      </c>
    </row>
    <row r="2342" spans="1:8" hidden="1">
      <c r="A2342" s="967"/>
      <c r="B2342" s="967"/>
      <c r="C2342" s="1382" t="s">
        <v>1649</v>
      </c>
      <c r="D2342" s="970">
        <v>10</v>
      </c>
      <c r="E2342" s="970">
        <f>D2342*'MINI SSR 21-22'!$E$36</f>
        <v>10.8</v>
      </c>
      <c r="F2342" s="970">
        <f>E2342</f>
        <v>10.8</v>
      </c>
      <c r="G2342" s="972">
        <f>F2342</f>
        <v>10.8</v>
      </c>
      <c r="H2342" s="964" t="s">
        <v>2312</v>
      </c>
    </row>
    <row r="2343" spans="1:8" hidden="1">
      <c r="A2343" s="967"/>
      <c r="B2343" s="967"/>
      <c r="C2343" s="1382" t="s">
        <v>1650</v>
      </c>
      <c r="D2343" s="970">
        <v>10</v>
      </c>
      <c r="E2343" s="970">
        <f>ROUND(D2343*'MINI SSR 21-22'!F36,2)</f>
        <v>84.7</v>
      </c>
      <c r="F2343" s="970">
        <f>ROUND(D2343*'MINI SSR 21-22'!G36,2)</f>
        <v>121.2</v>
      </c>
      <c r="G2343" s="972">
        <f>ROUND(D2343*'MINI SSR 21-22'!H36,2)</f>
        <v>157.69999999999999</v>
      </c>
      <c r="H2343" s="964" t="s">
        <v>2312</v>
      </c>
    </row>
    <row r="2344" spans="1:8" ht="25.5" hidden="1">
      <c r="A2344" s="967"/>
      <c r="B2344" s="967"/>
      <c r="C2344" s="1382" t="s">
        <v>1285</v>
      </c>
      <c r="D2344" s="967"/>
      <c r="E2344" s="967"/>
      <c r="F2344" s="970">
        <f>ROUND((G2336+G2337+G2338+F2343)*0.1,2)</f>
        <v>317.25</v>
      </c>
      <c r="G2344" s="972">
        <f>ROUND((G2336+G2337+G2338+G2343)*0.2,2)</f>
        <v>641.79999999999995</v>
      </c>
      <c r="H2344" s="964" t="s">
        <v>2312</v>
      </c>
    </row>
    <row r="2345" spans="1:8" hidden="1">
      <c r="A2345" s="967"/>
      <c r="B2345" s="967"/>
      <c r="C2345" s="962" t="s">
        <v>88</v>
      </c>
      <c r="D2345" s="967"/>
      <c r="E2345" s="970">
        <f>SUM(E2341:E2344)</f>
        <v>3647.54</v>
      </c>
      <c r="F2345" s="970">
        <f>SUM(F2341:F2344)</f>
        <v>4001.29</v>
      </c>
      <c r="G2345" s="972">
        <f>SUM(G2341:G2344)</f>
        <v>4362.34</v>
      </c>
      <c r="H2345" s="964" t="s">
        <v>2312</v>
      </c>
    </row>
    <row r="2346" spans="1:8" hidden="1">
      <c r="A2346" s="967"/>
      <c r="B2346" s="967"/>
      <c r="C2346" s="962" t="s">
        <v>121</v>
      </c>
      <c r="D2346" s="967"/>
      <c r="E2346" s="974">
        <f>ROUND(E2345/10,2)</f>
        <v>364.75</v>
      </c>
      <c r="F2346" s="974">
        <f>ROUND(F2345/10,2)</f>
        <v>400.13</v>
      </c>
      <c r="G2346" s="971">
        <f>ROUND(G2345/10,2)</f>
        <v>436.23</v>
      </c>
      <c r="H2346" s="964" t="s">
        <v>2312</v>
      </c>
    </row>
    <row r="2347" spans="1:8" ht="102" hidden="1">
      <c r="A2347" s="896">
        <v>25</v>
      </c>
      <c r="B2347" s="966" t="s">
        <v>1347</v>
      </c>
      <c r="C2347" s="1382" t="s">
        <v>316</v>
      </c>
      <c r="D2347" s="967"/>
      <c r="E2347" s="967"/>
      <c r="F2347" s="967"/>
      <c r="G2347" s="966"/>
      <c r="H2347" s="964" t="s">
        <v>2312</v>
      </c>
    </row>
    <row r="2348" spans="1:8" hidden="1">
      <c r="A2348" s="896"/>
      <c r="B2348" s="966"/>
      <c r="C2348" s="962" t="s">
        <v>42</v>
      </c>
      <c r="D2348" s="967"/>
      <c r="E2348" s="967"/>
      <c r="F2348" s="967"/>
      <c r="G2348" s="972"/>
      <c r="H2348" s="964" t="s">
        <v>2312</v>
      </c>
    </row>
    <row r="2349" spans="1:8" hidden="1">
      <c r="A2349" s="896"/>
      <c r="B2349" s="966"/>
      <c r="C2349" s="962" t="s">
        <v>317</v>
      </c>
      <c r="D2349" s="967"/>
      <c r="E2349" s="967"/>
      <c r="F2349" s="967"/>
      <c r="G2349" s="972"/>
      <c r="H2349" s="964" t="s">
        <v>2312</v>
      </c>
    </row>
    <row r="2350" spans="1:8" hidden="1">
      <c r="A2350" s="896"/>
      <c r="B2350" s="966"/>
      <c r="C2350" s="1382" t="s">
        <v>107</v>
      </c>
      <c r="D2350" s="967" t="s">
        <v>4</v>
      </c>
      <c r="E2350" s="970">
        <v>43</v>
      </c>
      <c r="F2350" s="970">
        <f>F2330</f>
        <v>4700</v>
      </c>
      <c r="G2350" s="969">
        <f>ROUND(E2350*F2350/1000,2)</f>
        <v>202.1</v>
      </c>
      <c r="H2350" s="964" t="s">
        <v>2312</v>
      </c>
    </row>
    <row r="2351" spans="1:8" hidden="1">
      <c r="A2351" s="896"/>
      <c r="B2351" s="966"/>
      <c r="C2351" s="1382" t="s">
        <v>318</v>
      </c>
      <c r="D2351" s="967" t="s">
        <v>35</v>
      </c>
      <c r="E2351" s="970">
        <v>0.18</v>
      </c>
      <c r="F2351" s="970">
        <f>F2331</f>
        <v>1743.4000000000019</v>
      </c>
      <c r="G2351" s="969">
        <f>ROUND(E2351*F2351,2)</f>
        <v>313.81</v>
      </c>
      <c r="H2351" s="964" t="s">
        <v>2312</v>
      </c>
    </row>
    <row r="2352" spans="1:8" hidden="1">
      <c r="A2352" s="896"/>
      <c r="B2352" s="966"/>
      <c r="C2352" s="962" t="s">
        <v>319</v>
      </c>
      <c r="D2352" s="967"/>
      <c r="E2352" s="967"/>
      <c r="F2352" s="967"/>
      <c r="G2352" s="972"/>
      <c r="H2352" s="964" t="s">
        <v>2312</v>
      </c>
    </row>
    <row r="2353" spans="1:8" hidden="1">
      <c r="A2353" s="896"/>
      <c r="B2353" s="966"/>
      <c r="C2353" s="1382" t="s">
        <v>107</v>
      </c>
      <c r="D2353" s="967" t="s">
        <v>4</v>
      </c>
      <c r="E2353" s="970">
        <v>14.5</v>
      </c>
      <c r="F2353" s="970">
        <f>F2350</f>
        <v>4700</v>
      </c>
      <c r="G2353" s="969">
        <f>ROUND(E2353*F2353/1000,2)</f>
        <v>68.150000000000006</v>
      </c>
      <c r="H2353" s="964" t="s">
        <v>2312</v>
      </c>
    </row>
    <row r="2354" spans="1:8" hidden="1">
      <c r="A2354" s="896"/>
      <c r="B2354" s="966"/>
      <c r="C2354" s="1382" t="s">
        <v>318</v>
      </c>
      <c r="D2354" s="967" t="s">
        <v>35</v>
      </c>
      <c r="E2354" s="970">
        <v>0.04</v>
      </c>
      <c r="F2354" s="970">
        <f>F2351</f>
        <v>1743.4000000000019</v>
      </c>
      <c r="G2354" s="969">
        <f>ROUND(E2354*F2354,2)</f>
        <v>69.739999999999995</v>
      </c>
      <c r="H2354" s="964" t="s">
        <v>2312</v>
      </c>
    </row>
    <row r="2355" spans="1:8" hidden="1">
      <c r="A2355" s="967"/>
      <c r="B2355" s="967"/>
      <c r="C2355" s="962" t="s">
        <v>68</v>
      </c>
      <c r="D2355" s="967"/>
      <c r="E2355" s="970"/>
      <c r="F2355" s="970"/>
      <c r="G2355" s="969"/>
      <c r="H2355" s="964" t="s">
        <v>2312</v>
      </c>
    </row>
    <row r="2356" spans="1:8" hidden="1">
      <c r="A2356" s="967"/>
      <c r="B2356" s="967"/>
      <c r="C2356" s="1382" t="s">
        <v>64</v>
      </c>
      <c r="D2356" s="967" t="s">
        <v>27</v>
      </c>
      <c r="E2356" s="970">
        <v>0.63</v>
      </c>
      <c r="F2356" s="970">
        <f>'MINI SSR 21-22'!$H$3</f>
        <v>585</v>
      </c>
      <c r="G2356" s="969">
        <f>ROUND(E2356*F2356,2)</f>
        <v>368.55</v>
      </c>
      <c r="H2356" s="964" t="s">
        <v>2312</v>
      </c>
    </row>
    <row r="2357" spans="1:8" hidden="1">
      <c r="A2357" s="967"/>
      <c r="B2357" s="967"/>
      <c r="C2357" s="1382" t="s">
        <v>69</v>
      </c>
      <c r="D2357" s="967" t="s">
        <v>27</v>
      </c>
      <c r="E2357" s="970">
        <v>1.47</v>
      </c>
      <c r="F2357" s="970">
        <f>'MINI SSR 21-22'!$H$4</f>
        <v>525</v>
      </c>
      <c r="G2357" s="969">
        <f>ROUND(E2357*F2357,2)</f>
        <v>771.75</v>
      </c>
      <c r="H2357" s="964" t="s">
        <v>2312</v>
      </c>
    </row>
    <row r="2358" spans="1:8" hidden="1">
      <c r="A2358" s="967"/>
      <c r="B2358" s="967"/>
      <c r="C2358" s="1382" t="s">
        <v>85</v>
      </c>
      <c r="D2358" s="967" t="s">
        <v>27</v>
      </c>
      <c r="E2358" s="970">
        <v>3.9</v>
      </c>
      <c r="F2358" s="970">
        <f>'MINI SSR 21-22'!$H$5</f>
        <v>490</v>
      </c>
      <c r="G2358" s="969">
        <f>ROUND(E2358*F2358,2)</f>
        <v>1911</v>
      </c>
      <c r="H2358" s="964" t="s">
        <v>2312</v>
      </c>
    </row>
    <row r="2359" spans="1:8" hidden="1">
      <c r="A2359" s="967"/>
      <c r="B2359" s="967"/>
      <c r="C2359" s="962" t="s">
        <v>88</v>
      </c>
      <c r="D2359" s="967"/>
      <c r="E2359" s="967"/>
      <c r="F2359" s="967"/>
      <c r="G2359" s="971">
        <f>SUM(G2350:G2358)</f>
        <v>3705.1</v>
      </c>
      <c r="H2359" s="964" t="s">
        <v>2312</v>
      </c>
    </row>
    <row r="2360" spans="1:8" hidden="1">
      <c r="A2360" s="967"/>
      <c r="B2360" s="967"/>
      <c r="C2360" s="962"/>
      <c r="D2360" s="967"/>
      <c r="E2360" s="966" t="s">
        <v>161</v>
      </c>
      <c r="F2360" s="966" t="s">
        <v>162</v>
      </c>
      <c r="G2360" s="974" t="s">
        <v>163</v>
      </c>
      <c r="H2360" s="964" t="s">
        <v>2312</v>
      </c>
    </row>
    <row r="2361" spans="1:8" hidden="1">
      <c r="A2361" s="967"/>
      <c r="B2361" s="967"/>
      <c r="C2361" s="962" t="s">
        <v>1273</v>
      </c>
      <c r="D2361" s="967"/>
      <c r="E2361" s="970">
        <f>G2359</f>
        <v>3705.1</v>
      </c>
      <c r="F2361" s="970">
        <f>G2359</f>
        <v>3705.1</v>
      </c>
      <c r="G2361" s="972">
        <f>F2361</f>
        <v>3705.1</v>
      </c>
      <c r="H2361" s="964" t="s">
        <v>2312</v>
      </c>
    </row>
    <row r="2362" spans="1:8" hidden="1">
      <c r="A2362" s="967"/>
      <c r="B2362" s="967"/>
      <c r="C2362" s="1382" t="s">
        <v>1649</v>
      </c>
      <c r="D2362" s="970">
        <v>10</v>
      </c>
      <c r="E2362" s="970">
        <f>D2362*'MINI SSR 21-22'!$E$36</f>
        <v>10.8</v>
      </c>
      <c r="F2362" s="970">
        <f>E2362</f>
        <v>10.8</v>
      </c>
      <c r="G2362" s="972">
        <f>F2362</f>
        <v>10.8</v>
      </c>
      <c r="H2362" s="964" t="s">
        <v>2312</v>
      </c>
    </row>
    <row r="2363" spans="1:8" hidden="1">
      <c r="A2363" s="967"/>
      <c r="B2363" s="967"/>
      <c r="C2363" s="1382" t="s">
        <v>1652</v>
      </c>
      <c r="D2363" s="970">
        <v>10</v>
      </c>
      <c r="E2363" s="970">
        <f>ROUND(D2363*'MINI SSR 21-22'!F36,2)</f>
        <v>84.7</v>
      </c>
      <c r="F2363" s="970">
        <f>ROUND(D2363*'MINI SSR 21-22'!G36,2)</f>
        <v>121.2</v>
      </c>
      <c r="G2363" s="972">
        <f>ROUND(D2363*'MINI SSR 21-22'!H36,2)</f>
        <v>157.69999999999999</v>
      </c>
      <c r="H2363" s="964" t="s">
        <v>2312</v>
      </c>
    </row>
    <row r="2364" spans="1:8" ht="25.5" hidden="1">
      <c r="A2364" s="967"/>
      <c r="B2364" s="967"/>
      <c r="C2364" s="1382" t="s">
        <v>1285</v>
      </c>
      <c r="D2364" s="967"/>
      <c r="E2364" s="967"/>
      <c r="F2364" s="970">
        <f>ROUND((G2356+G2357+G2358+F2363)*0.1,2)</f>
        <v>317.25</v>
      </c>
      <c r="G2364" s="972">
        <f>ROUND((G2356+G2357+G2358+G2363)*0.2,2)</f>
        <v>641.79999999999995</v>
      </c>
      <c r="H2364" s="964" t="s">
        <v>2312</v>
      </c>
    </row>
    <row r="2365" spans="1:8" hidden="1">
      <c r="A2365" s="967"/>
      <c r="B2365" s="967"/>
      <c r="C2365" s="962" t="s">
        <v>88</v>
      </c>
      <c r="D2365" s="967"/>
      <c r="E2365" s="970">
        <f>SUM(E2361:E2364)</f>
        <v>3800.6</v>
      </c>
      <c r="F2365" s="970">
        <f>SUM(F2361:F2364)</f>
        <v>4154.3500000000004</v>
      </c>
      <c r="G2365" s="972">
        <f>SUM(G2361:G2364)</f>
        <v>4515.3999999999996</v>
      </c>
      <c r="H2365" s="964" t="s">
        <v>2312</v>
      </c>
    </row>
    <row r="2366" spans="1:8" hidden="1">
      <c r="A2366" s="967"/>
      <c r="B2366" s="967"/>
      <c r="C2366" s="962" t="s">
        <v>121</v>
      </c>
      <c r="D2366" s="967"/>
      <c r="E2366" s="974">
        <f>ROUND(E2365/10,2)</f>
        <v>380.06</v>
      </c>
      <c r="F2366" s="974">
        <f>ROUND(F2365/10,2)</f>
        <v>415.44</v>
      </c>
      <c r="G2366" s="971">
        <f>ROUND(G2365/10,2)</f>
        <v>451.54</v>
      </c>
      <c r="H2366" s="964" t="s">
        <v>2312</v>
      </c>
    </row>
    <row r="2367" spans="1:8" ht="165.75" hidden="1">
      <c r="A2367" s="896">
        <v>26</v>
      </c>
      <c r="B2367" s="966"/>
      <c r="C2367" s="1382" t="s">
        <v>1171</v>
      </c>
      <c r="D2367" s="967"/>
      <c r="E2367" s="967"/>
      <c r="F2367" s="967"/>
      <c r="G2367" s="972"/>
      <c r="H2367" s="964" t="s">
        <v>2312</v>
      </c>
    </row>
    <row r="2368" spans="1:8" hidden="1">
      <c r="A2368" s="967"/>
      <c r="B2368" s="967"/>
      <c r="C2368" s="1382" t="s">
        <v>868</v>
      </c>
      <c r="D2368" s="967"/>
      <c r="E2368" s="970"/>
      <c r="F2368" s="970"/>
      <c r="G2368" s="969"/>
      <c r="H2368" s="964" t="s">
        <v>2312</v>
      </c>
    </row>
    <row r="2369" spans="1:8" hidden="1">
      <c r="A2369" s="967"/>
      <c r="B2369" s="967"/>
      <c r="C2369" s="1382" t="s">
        <v>863</v>
      </c>
      <c r="D2369" s="967"/>
      <c r="E2369" s="970"/>
      <c r="F2369" s="970"/>
      <c r="G2369" s="969"/>
      <c r="H2369" s="964" t="s">
        <v>2312</v>
      </c>
    </row>
    <row r="2370" spans="1:8" hidden="1">
      <c r="A2370" s="967"/>
      <c r="B2370" s="967"/>
      <c r="C2370" s="1382" t="s">
        <v>1172</v>
      </c>
      <c r="D2370" s="970" t="s">
        <v>77</v>
      </c>
      <c r="E2370" s="970">
        <v>13.3</v>
      </c>
      <c r="F2370" s="990">
        <f>'MINI SSR 21-22'!C43</f>
        <v>18.5</v>
      </c>
      <c r="G2370" s="969">
        <f>ROUND(E2370*F2370,2)</f>
        <v>246.05</v>
      </c>
      <c r="H2370" s="964" t="s">
        <v>2312</v>
      </c>
    </row>
    <row r="2371" spans="1:8" hidden="1">
      <c r="A2371" s="896"/>
      <c r="B2371" s="966"/>
      <c r="C2371" s="1382" t="s">
        <v>1173</v>
      </c>
      <c r="D2371" s="970" t="s">
        <v>35</v>
      </c>
      <c r="E2371" s="970">
        <v>0.25</v>
      </c>
      <c r="F2371" s="990">
        <f>G1845</f>
        <v>4184.57</v>
      </c>
      <c r="G2371" s="969">
        <f>ROUND(E2371*F2371,2)</f>
        <v>1046.1400000000001</v>
      </c>
      <c r="H2371" s="964" t="s">
        <v>2312</v>
      </c>
    </row>
    <row r="2372" spans="1:8" hidden="1">
      <c r="A2372" s="896"/>
      <c r="B2372" s="966"/>
      <c r="C2372" s="1382" t="s">
        <v>1174</v>
      </c>
      <c r="D2372" s="970" t="s">
        <v>90</v>
      </c>
      <c r="E2372" s="970">
        <v>50</v>
      </c>
      <c r="F2372" s="990">
        <f>'lead 21-22'!L8</f>
        <v>4700</v>
      </c>
      <c r="G2372" s="969">
        <f>ROUND(E2372*F2372/1000,2)</f>
        <v>235</v>
      </c>
      <c r="H2372" s="964" t="s">
        <v>2312</v>
      </c>
    </row>
    <row r="2373" spans="1:8" ht="25.5" hidden="1">
      <c r="A2373" s="896"/>
      <c r="B2373" s="966"/>
      <c r="C2373" s="1382" t="s">
        <v>1175</v>
      </c>
      <c r="D2373" s="970" t="s">
        <v>77</v>
      </c>
      <c r="E2373" s="970">
        <v>21.8</v>
      </c>
      <c r="F2373" s="990">
        <f>E2346</f>
        <v>364.75</v>
      </c>
      <c r="G2373" s="969">
        <f>ROUND(E2373*F2373,2)</f>
        <v>7951.55</v>
      </c>
      <c r="H2373" s="964" t="s">
        <v>2312</v>
      </c>
    </row>
    <row r="2374" spans="1:8" hidden="1">
      <c r="A2374" s="896"/>
      <c r="B2374" s="966"/>
      <c r="C2374" s="962" t="s">
        <v>1176</v>
      </c>
      <c r="D2374" s="967"/>
      <c r="E2374" s="967"/>
      <c r="F2374" s="990"/>
      <c r="G2374" s="969"/>
      <c r="H2374" s="964" t="s">
        <v>2312</v>
      </c>
    </row>
    <row r="2375" spans="1:8" hidden="1">
      <c r="A2375" s="896"/>
      <c r="B2375" s="966"/>
      <c r="C2375" s="1382" t="s">
        <v>865</v>
      </c>
      <c r="D2375" s="970" t="s">
        <v>27</v>
      </c>
      <c r="E2375" s="970">
        <v>8</v>
      </c>
      <c r="F2375" s="990">
        <f>'MINI SSR 21-22'!$H$3</f>
        <v>585</v>
      </c>
      <c r="G2375" s="969">
        <f>ROUND(E2375*F2375,2)</f>
        <v>4680</v>
      </c>
      <c r="H2375" s="964" t="s">
        <v>2312</v>
      </c>
    </row>
    <row r="2376" spans="1:8" hidden="1">
      <c r="A2376" s="896"/>
      <c r="B2376" s="966"/>
      <c r="C2376" s="1382" t="s">
        <v>1177</v>
      </c>
      <c r="D2376" s="970" t="s">
        <v>27</v>
      </c>
      <c r="E2376" s="970">
        <v>1</v>
      </c>
      <c r="F2376" s="990">
        <f>'MINI SSR 21-22'!$H$4</f>
        <v>525</v>
      </c>
      <c r="G2376" s="969">
        <f>ROUND(E2376*F2376,2)</f>
        <v>525</v>
      </c>
      <c r="H2376" s="964" t="s">
        <v>2312</v>
      </c>
    </row>
    <row r="2377" spans="1:8" hidden="1">
      <c r="A2377" s="896"/>
      <c r="B2377" s="966"/>
      <c r="C2377" s="1382" t="s">
        <v>864</v>
      </c>
      <c r="D2377" s="970" t="s">
        <v>27</v>
      </c>
      <c r="E2377" s="970">
        <v>10</v>
      </c>
      <c r="F2377" s="990">
        <f>'MINI SSR 21-22'!$H$5</f>
        <v>490</v>
      </c>
      <c r="G2377" s="969">
        <f>ROUND(E2377*F2377,2)</f>
        <v>4900</v>
      </c>
      <c r="H2377" s="964" t="s">
        <v>2312</v>
      </c>
    </row>
    <row r="2378" spans="1:8" hidden="1">
      <c r="A2378" s="896"/>
      <c r="B2378" s="966"/>
      <c r="C2378" s="962" t="s">
        <v>1178</v>
      </c>
      <c r="D2378" s="970"/>
      <c r="E2378" s="970"/>
      <c r="F2378" s="990"/>
      <c r="G2378" s="969"/>
      <c r="H2378" s="964" t="s">
        <v>2312</v>
      </c>
    </row>
    <row r="2379" spans="1:8" ht="25.5" hidden="1">
      <c r="A2379" s="896"/>
      <c r="B2379" s="966"/>
      <c r="C2379" s="1382" t="s">
        <v>1179</v>
      </c>
      <c r="D2379" s="970" t="s">
        <v>1180</v>
      </c>
      <c r="E2379" s="970">
        <v>2</v>
      </c>
      <c r="F2379" s="990">
        <f>'MINI SSR 21-22'!$C$30</f>
        <v>626.20000000000005</v>
      </c>
      <c r="G2379" s="969">
        <f>ROUND(E2379*F2379,2)</f>
        <v>1252.4000000000001</v>
      </c>
      <c r="H2379" s="964" t="s">
        <v>2312</v>
      </c>
    </row>
    <row r="2380" spans="1:8" hidden="1">
      <c r="A2380" s="896"/>
      <c r="B2380" s="966"/>
      <c r="C2380" s="962" t="s">
        <v>869</v>
      </c>
      <c r="D2380" s="991"/>
      <c r="E2380" s="991"/>
      <c r="F2380" s="991" t="s">
        <v>104</v>
      </c>
      <c r="G2380" s="969">
        <f>SUM(G2370:G2379)</f>
        <v>20836.14</v>
      </c>
      <c r="H2380" s="964" t="s">
        <v>2312</v>
      </c>
    </row>
    <row r="2381" spans="1:8" hidden="1">
      <c r="A2381" s="896"/>
      <c r="B2381" s="966"/>
      <c r="C2381" s="1382"/>
      <c r="D2381" s="990"/>
      <c r="E2381" s="991" t="s">
        <v>161</v>
      </c>
      <c r="F2381" s="991" t="s">
        <v>162</v>
      </c>
      <c r="G2381" s="969"/>
      <c r="H2381" s="964" t="s">
        <v>2312</v>
      </c>
    </row>
    <row r="2382" spans="1:8" hidden="1">
      <c r="A2382" s="896"/>
      <c r="B2382" s="966"/>
      <c r="C2382" s="1382" t="s">
        <v>867</v>
      </c>
      <c r="D2382" s="990"/>
      <c r="E2382" s="990">
        <f>G2380</f>
        <v>20836.14</v>
      </c>
      <c r="F2382" s="990">
        <f>G2380</f>
        <v>20836.14</v>
      </c>
      <c r="G2382" s="969"/>
      <c r="H2382" s="964" t="s">
        <v>2312</v>
      </c>
    </row>
    <row r="2383" spans="1:8" hidden="1">
      <c r="A2383" s="896"/>
      <c r="B2383" s="966"/>
      <c r="C2383" s="1382" t="s">
        <v>1653</v>
      </c>
      <c r="D2383" s="992" t="s">
        <v>326</v>
      </c>
      <c r="E2383" s="990">
        <f>ROUND(D2383*'MINI SSR 21-22'!E36,2)</f>
        <v>10.8</v>
      </c>
      <c r="F2383" s="990">
        <f>ROUND(D2383*1.03,2)</f>
        <v>10.3</v>
      </c>
      <c r="G2383" s="969"/>
      <c r="H2383" s="964" t="s">
        <v>2312</v>
      </c>
    </row>
    <row r="2384" spans="1:8" hidden="1">
      <c r="A2384" s="896"/>
      <c r="B2384" s="966"/>
      <c r="C2384" s="1382" t="s">
        <v>1654</v>
      </c>
      <c r="D2384" s="992" t="s">
        <v>326</v>
      </c>
      <c r="E2384" s="990">
        <f>ROUND(D2384*'MINI SSR 21-22'!F36,2)</f>
        <v>84.7</v>
      </c>
      <c r="F2384" s="990">
        <f>ROUND(D2384*'MINI SSR 21-22'!G36,2)</f>
        <v>121.2</v>
      </c>
      <c r="G2384" s="969"/>
      <c r="H2384" s="964" t="s">
        <v>2312</v>
      </c>
    </row>
    <row r="2385" spans="1:8" hidden="1">
      <c r="A2385" s="896"/>
      <c r="B2385" s="966"/>
      <c r="C2385" s="1382" t="s">
        <v>870</v>
      </c>
      <c r="D2385" s="622" t="s">
        <v>326</v>
      </c>
      <c r="E2385" s="993">
        <v>0</v>
      </c>
      <c r="F2385" s="993">
        <f>ROUND(((SUM(G2375:G2377)+F2384)*D2385/100),2)</f>
        <v>1022.62</v>
      </c>
      <c r="G2385" s="969"/>
      <c r="H2385" s="964" t="s">
        <v>2312</v>
      </c>
    </row>
    <row r="2386" spans="1:8" hidden="1">
      <c r="A2386" s="896"/>
      <c r="B2386" s="966"/>
      <c r="C2386" s="962" t="s">
        <v>869</v>
      </c>
      <c r="D2386" s="622"/>
      <c r="E2386" s="990">
        <f>SUM(E2382:E2385)</f>
        <v>20931.64</v>
      </c>
      <c r="F2386" s="990">
        <f>SUM(F2382:F2385)</f>
        <v>21990.26</v>
      </c>
      <c r="G2386" s="969"/>
      <c r="H2386" s="964" t="s">
        <v>2312</v>
      </c>
    </row>
    <row r="2387" spans="1:8" hidden="1">
      <c r="A2387" s="896"/>
      <c r="B2387" s="966"/>
      <c r="C2387" s="962" t="s">
        <v>871</v>
      </c>
      <c r="D2387" s="970"/>
      <c r="E2387" s="991">
        <f>ROUND(E2386/10,2)</f>
        <v>2093.16</v>
      </c>
      <c r="F2387" s="991">
        <f>ROUND(F2386/10,2)</f>
        <v>2199.0300000000002</v>
      </c>
      <c r="G2387" s="969"/>
      <c r="H2387" s="964" t="s">
        <v>2312</v>
      </c>
    </row>
    <row r="2388" spans="1:8" ht="102" hidden="1">
      <c r="A2388" s="896">
        <v>12</v>
      </c>
      <c r="B2388" s="966" t="s">
        <v>1312</v>
      </c>
      <c r="C2388" s="1382" t="s">
        <v>1311</v>
      </c>
      <c r="D2388" s="967"/>
      <c r="E2388" s="967"/>
      <c r="F2388" s="967"/>
      <c r="G2388" s="966"/>
      <c r="H2388" s="964" t="s">
        <v>2312</v>
      </c>
    </row>
    <row r="2389" spans="1:8" hidden="1">
      <c r="A2389" s="896"/>
      <c r="B2389" s="966"/>
      <c r="C2389" s="962" t="s">
        <v>42</v>
      </c>
      <c r="D2389" s="967"/>
      <c r="E2389" s="967"/>
      <c r="F2389" s="967"/>
      <c r="G2389" s="972"/>
      <c r="H2389" s="964" t="s">
        <v>2312</v>
      </c>
    </row>
    <row r="2390" spans="1:8" hidden="1">
      <c r="A2390" s="896"/>
      <c r="B2390" s="966"/>
      <c r="C2390" s="962" t="s">
        <v>60</v>
      </c>
      <c r="D2390" s="967"/>
      <c r="E2390" s="967"/>
      <c r="F2390" s="967"/>
      <c r="G2390" s="972"/>
      <c r="H2390" s="964" t="s">
        <v>2312</v>
      </c>
    </row>
    <row r="2391" spans="1:8" hidden="1">
      <c r="A2391" s="896"/>
      <c r="B2391" s="966"/>
      <c r="C2391" s="1382" t="s">
        <v>43</v>
      </c>
      <c r="D2391" s="967" t="s">
        <v>35</v>
      </c>
      <c r="E2391" s="970">
        <v>0.15</v>
      </c>
      <c r="F2391" s="970">
        <f>G1845</f>
        <v>4184.57</v>
      </c>
      <c r="G2391" s="969">
        <f>ROUND(E2391*F2391,2)</f>
        <v>627.69000000000005</v>
      </c>
      <c r="H2391" s="964" t="s">
        <v>2312</v>
      </c>
    </row>
    <row r="2392" spans="1:8" ht="25.5" hidden="1">
      <c r="A2392" s="896"/>
      <c r="B2392" s="966"/>
      <c r="C2392" s="1382" t="s">
        <v>3623</v>
      </c>
      <c r="D2392" s="967" t="s">
        <v>4</v>
      </c>
      <c r="E2392" s="970">
        <v>2</v>
      </c>
      <c r="F2392" s="970">
        <f>'MINI SSR 21-22'!$C$44</f>
        <v>79</v>
      </c>
      <c r="G2392" s="969">
        <f>ROUND(E2392*F2392,2)</f>
        <v>158</v>
      </c>
      <c r="H2392" s="964" t="s">
        <v>2312</v>
      </c>
    </row>
    <row r="2393" spans="1:8" hidden="1">
      <c r="A2393" s="967"/>
      <c r="B2393" s="967"/>
      <c r="C2393" s="962" t="s">
        <v>68</v>
      </c>
      <c r="D2393" s="967"/>
      <c r="E2393" s="970"/>
      <c r="F2393" s="970"/>
      <c r="G2393" s="969"/>
      <c r="H2393" s="964" t="s">
        <v>2312</v>
      </c>
    </row>
    <row r="2394" spans="1:8" hidden="1">
      <c r="A2394" s="967"/>
      <c r="B2394" s="967"/>
      <c r="C2394" s="1382" t="s">
        <v>64</v>
      </c>
      <c r="D2394" s="967" t="s">
        <v>27</v>
      </c>
      <c r="E2394" s="970">
        <v>0.45</v>
      </c>
      <c r="F2394" s="990">
        <f>'MINI SSR 21-22'!$H$3</f>
        <v>585</v>
      </c>
      <c r="G2394" s="969">
        <f>ROUND(E2394*F2394,2)</f>
        <v>263.25</v>
      </c>
      <c r="H2394" s="964" t="s">
        <v>2312</v>
      </c>
    </row>
    <row r="2395" spans="1:8" hidden="1">
      <c r="A2395" s="967"/>
      <c r="B2395" s="967"/>
      <c r="C2395" s="1382" t="s">
        <v>69</v>
      </c>
      <c r="D2395" s="967" t="s">
        <v>27</v>
      </c>
      <c r="E2395" s="970">
        <v>1.05</v>
      </c>
      <c r="F2395" s="990">
        <f>'MINI SSR 21-22'!$H$4</f>
        <v>525</v>
      </c>
      <c r="G2395" s="969">
        <f>ROUND(E2395*F2395,2)</f>
        <v>551.25</v>
      </c>
      <c r="H2395" s="964" t="s">
        <v>2312</v>
      </c>
    </row>
    <row r="2396" spans="1:8" hidden="1">
      <c r="A2396" s="967"/>
      <c r="B2396" s="967"/>
      <c r="C2396" s="1382" t="s">
        <v>85</v>
      </c>
      <c r="D2396" s="967" t="s">
        <v>27</v>
      </c>
      <c r="E2396" s="970">
        <v>2.8</v>
      </c>
      <c r="F2396" s="990">
        <f>'MINI SSR 21-22'!$H$5</f>
        <v>490</v>
      </c>
      <c r="G2396" s="969">
        <f>ROUND(E2396*F2396,2)</f>
        <v>1372</v>
      </c>
      <c r="H2396" s="964" t="s">
        <v>2312</v>
      </c>
    </row>
    <row r="2397" spans="1:8" hidden="1">
      <c r="A2397" s="967"/>
      <c r="B2397" s="967"/>
      <c r="C2397" s="962" t="s">
        <v>88</v>
      </c>
      <c r="D2397" s="967"/>
      <c r="E2397" s="967"/>
      <c r="F2397" s="967"/>
      <c r="G2397" s="971">
        <f>SUM(G2391:G2396)</f>
        <v>2972.19</v>
      </c>
      <c r="H2397" s="964" t="s">
        <v>2312</v>
      </c>
    </row>
    <row r="2398" spans="1:8" hidden="1">
      <c r="A2398" s="967"/>
      <c r="B2398" s="967"/>
      <c r="C2398" s="962"/>
      <c r="D2398" s="967"/>
      <c r="E2398" s="966" t="s">
        <v>161</v>
      </c>
      <c r="F2398" s="966" t="s">
        <v>162</v>
      </c>
      <c r="G2398" s="974" t="s">
        <v>162</v>
      </c>
      <c r="H2398" s="964" t="s">
        <v>2312</v>
      </c>
    </row>
    <row r="2399" spans="1:8" hidden="1">
      <c r="A2399" s="967"/>
      <c r="B2399" s="967"/>
      <c r="C2399" s="962" t="s">
        <v>1273</v>
      </c>
      <c r="D2399" s="967"/>
      <c r="E2399" s="970">
        <f>G2397</f>
        <v>2972.19</v>
      </c>
      <c r="F2399" s="970">
        <f>G2397</f>
        <v>2972.19</v>
      </c>
      <c r="G2399" s="972">
        <f>G2397</f>
        <v>2972.19</v>
      </c>
      <c r="H2399" s="964" t="s">
        <v>2312</v>
      </c>
    </row>
    <row r="2400" spans="1:8" ht="25.5" hidden="1">
      <c r="A2400" s="967"/>
      <c r="B2400" s="967"/>
      <c r="C2400" s="1382" t="s">
        <v>1285</v>
      </c>
      <c r="D2400" s="967"/>
      <c r="E2400" s="967"/>
      <c r="F2400" s="972">
        <f>(SUM(G2394:G2396)*10%)</f>
        <v>218.65</v>
      </c>
      <c r="G2400" s="972">
        <f>(SUM(G2394:G2396)*20%)</f>
        <v>437.3</v>
      </c>
      <c r="H2400" s="964" t="s">
        <v>2312</v>
      </c>
    </row>
    <row r="2401" spans="1:8" hidden="1">
      <c r="A2401" s="967"/>
      <c r="B2401" s="967"/>
      <c r="C2401" s="962" t="s">
        <v>88</v>
      </c>
      <c r="D2401" s="967"/>
      <c r="E2401" s="970">
        <f>SUM(E2399:E2400)</f>
        <v>2972.19</v>
      </c>
      <c r="F2401" s="970">
        <f>SUM(F2399:F2400)</f>
        <v>3190.84</v>
      </c>
      <c r="G2401" s="972">
        <f>SUM(G2399:G2400)</f>
        <v>3409.4900000000002</v>
      </c>
      <c r="H2401" s="964" t="s">
        <v>2312</v>
      </c>
    </row>
    <row r="2402" spans="1:8" hidden="1">
      <c r="A2402" s="967"/>
      <c r="B2402" s="967"/>
      <c r="C2402" s="962" t="s">
        <v>121</v>
      </c>
      <c r="D2402" s="967"/>
      <c r="E2402" s="974">
        <f>ROUND(E2401/10,2)</f>
        <v>297.22000000000003</v>
      </c>
      <c r="F2402" s="974">
        <f>ROUND(F2401/10,2)</f>
        <v>319.08</v>
      </c>
      <c r="G2402" s="971">
        <f>ROUND(G2401/10,2)</f>
        <v>340.95</v>
      </c>
      <c r="H2402" s="964" t="s">
        <v>2312</v>
      </c>
    </row>
    <row r="2403" spans="1:8" ht="102" hidden="1">
      <c r="A2403" s="896">
        <v>39</v>
      </c>
      <c r="B2403" s="966" t="s">
        <v>1312</v>
      </c>
      <c r="C2403" s="1382" t="s">
        <v>899</v>
      </c>
      <c r="D2403" s="967"/>
      <c r="E2403" s="967"/>
      <c r="F2403" s="967"/>
      <c r="G2403" s="966" t="s">
        <v>148</v>
      </c>
      <c r="H2403" s="964" t="s">
        <v>2312</v>
      </c>
    </row>
    <row r="2404" spans="1:8" hidden="1">
      <c r="A2404" s="896"/>
      <c r="B2404" s="966"/>
      <c r="C2404" s="962" t="s">
        <v>42</v>
      </c>
      <c r="D2404" s="967"/>
      <c r="E2404" s="967"/>
      <c r="F2404" s="967"/>
      <c r="G2404" s="972"/>
      <c r="H2404" s="964" t="s">
        <v>2312</v>
      </c>
    </row>
    <row r="2405" spans="1:8" hidden="1">
      <c r="A2405" s="896"/>
      <c r="B2405" s="966"/>
      <c r="C2405" s="962" t="s">
        <v>60</v>
      </c>
      <c r="D2405" s="967"/>
      <c r="E2405" s="967"/>
      <c r="F2405" s="967"/>
      <c r="G2405" s="972"/>
      <c r="H2405" s="964" t="s">
        <v>2312</v>
      </c>
    </row>
    <row r="2406" spans="1:8" hidden="1">
      <c r="A2406" s="896"/>
      <c r="B2406" s="966"/>
      <c r="C2406" s="1382" t="s">
        <v>43</v>
      </c>
      <c r="D2406" s="967" t="s">
        <v>35</v>
      </c>
      <c r="E2406" s="970">
        <v>0.21</v>
      </c>
      <c r="F2406" s="970">
        <f>G1860</f>
        <v>3056.5699999999997</v>
      </c>
      <c r="G2406" s="969">
        <f>ROUND(E2406*F2406,2)</f>
        <v>641.88</v>
      </c>
      <c r="H2406" s="964" t="s">
        <v>2312</v>
      </c>
    </row>
    <row r="2407" spans="1:8" ht="25.5" hidden="1">
      <c r="A2407" s="896"/>
      <c r="B2407" s="966"/>
      <c r="C2407" s="1382" t="s">
        <v>3623</v>
      </c>
      <c r="D2407" s="967" t="s">
        <v>4</v>
      </c>
      <c r="E2407" s="970">
        <v>2</v>
      </c>
      <c r="F2407" s="970">
        <f>'MINI SSR 21-22'!$C$44</f>
        <v>79</v>
      </c>
      <c r="G2407" s="969">
        <f>ROUND(E2407*F2407,2)</f>
        <v>158</v>
      </c>
      <c r="H2407" s="964" t="s">
        <v>2312</v>
      </c>
    </row>
    <row r="2408" spans="1:8" hidden="1">
      <c r="A2408" s="967"/>
      <c r="B2408" s="967"/>
      <c r="C2408" s="962" t="s">
        <v>68</v>
      </c>
      <c r="D2408" s="967"/>
      <c r="E2408" s="970"/>
      <c r="F2408" s="970"/>
      <c r="G2408" s="969"/>
      <c r="H2408" s="964" t="s">
        <v>2312</v>
      </c>
    </row>
    <row r="2409" spans="1:8" hidden="1">
      <c r="A2409" s="967"/>
      <c r="B2409" s="967"/>
      <c r="C2409" s="1382" t="s">
        <v>64</v>
      </c>
      <c r="D2409" s="967" t="s">
        <v>27</v>
      </c>
      <c r="E2409" s="970">
        <v>0.66</v>
      </c>
      <c r="F2409" s="990">
        <f>'MINI SSR 21-22'!$H$3</f>
        <v>585</v>
      </c>
      <c r="G2409" s="969">
        <f>ROUND(E2409*F2409,2)</f>
        <v>386.1</v>
      </c>
      <c r="H2409" s="964" t="s">
        <v>2312</v>
      </c>
    </row>
    <row r="2410" spans="1:8" hidden="1">
      <c r="A2410" s="967"/>
      <c r="B2410" s="967"/>
      <c r="C2410" s="1382" t="s">
        <v>69</v>
      </c>
      <c r="D2410" s="967" t="s">
        <v>27</v>
      </c>
      <c r="E2410" s="970">
        <v>1.54</v>
      </c>
      <c r="F2410" s="990">
        <f>'MINI SSR 21-22'!$H$4</f>
        <v>525</v>
      </c>
      <c r="G2410" s="969">
        <f>ROUND(E2410*F2410,2)</f>
        <v>808.5</v>
      </c>
      <c r="H2410" s="964" t="s">
        <v>2312</v>
      </c>
    </row>
    <row r="2411" spans="1:8" hidden="1">
      <c r="A2411" s="967"/>
      <c r="B2411" s="967"/>
      <c r="C2411" s="1382" t="s">
        <v>85</v>
      </c>
      <c r="D2411" s="967" t="s">
        <v>27</v>
      </c>
      <c r="E2411" s="970">
        <v>3.7</v>
      </c>
      <c r="F2411" s="990">
        <f>'MINI SSR 21-22'!$H$5</f>
        <v>490</v>
      </c>
      <c r="G2411" s="969">
        <f>ROUND(E2411*F2411,2)</f>
        <v>1813</v>
      </c>
      <c r="H2411" s="964" t="s">
        <v>2312</v>
      </c>
    </row>
    <row r="2412" spans="1:8" hidden="1">
      <c r="A2412" s="967"/>
      <c r="B2412" s="967"/>
      <c r="C2412" s="962" t="s">
        <v>88</v>
      </c>
      <c r="D2412" s="967"/>
      <c r="E2412" s="967"/>
      <c r="F2412" s="967"/>
      <c r="G2412" s="971">
        <f>SUM(G2406:G2411)</f>
        <v>3807.48</v>
      </c>
      <c r="H2412" s="964" t="s">
        <v>2312</v>
      </c>
    </row>
    <row r="2413" spans="1:8" hidden="1">
      <c r="A2413" s="967"/>
      <c r="B2413" s="967"/>
      <c r="C2413" s="962"/>
      <c r="D2413" s="967"/>
      <c r="E2413" s="966" t="s">
        <v>161</v>
      </c>
      <c r="F2413" s="966" t="s">
        <v>162</v>
      </c>
      <c r="G2413" s="974" t="s">
        <v>163</v>
      </c>
      <c r="H2413" s="964" t="s">
        <v>2312</v>
      </c>
    </row>
    <row r="2414" spans="1:8" hidden="1">
      <c r="A2414" s="967"/>
      <c r="B2414" s="967"/>
      <c r="C2414" s="962" t="s">
        <v>1273</v>
      </c>
      <c r="D2414" s="967"/>
      <c r="E2414" s="970">
        <f>G2412</f>
        <v>3807.48</v>
      </c>
      <c r="F2414" s="970">
        <f>G2412</f>
        <v>3807.48</v>
      </c>
      <c r="G2414" s="972">
        <f>G2412</f>
        <v>3807.48</v>
      </c>
      <c r="H2414" s="964" t="s">
        <v>2312</v>
      </c>
    </row>
    <row r="2415" spans="1:8" ht="25.5" hidden="1">
      <c r="A2415" s="967"/>
      <c r="B2415" s="967"/>
      <c r="C2415" s="1382" t="s">
        <v>1285</v>
      </c>
      <c r="D2415" s="967"/>
      <c r="E2415" s="967"/>
      <c r="F2415" s="972">
        <f>(SUM(G2409:G2411)*10%)</f>
        <v>300.76</v>
      </c>
      <c r="G2415" s="972">
        <f>(SUM(G2409:G2411)*20%)</f>
        <v>601.52</v>
      </c>
      <c r="H2415" s="964" t="s">
        <v>2312</v>
      </c>
    </row>
    <row r="2416" spans="1:8" hidden="1">
      <c r="A2416" s="967"/>
      <c r="B2416" s="967"/>
      <c r="C2416" s="962" t="s">
        <v>88</v>
      </c>
      <c r="D2416" s="967"/>
      <c r="E2416" s="970">
        <f>SUM(E2414:E2415)</f>
        <v>3807.48</v>
      </c>
      <c r="F2416" s="970">
        <f>SUM(F2414:F2415)</f>
        <v>4108.24</v>
      </c>
      <c r="G2416" s="972">
        <f>SUM(G2414:G2415)</f>
        <v>4409</v>
      </c>
      <c r="H2416" s="964" t="s">
        <v>2312</v>
      </c>
    </row>
    <row r="2417" spans="1:8" hidden="1">
      <c r="A2417" s="967"/>
      <c r="B2417" s="967"/>
      <c r="C2417" s="962" t="s">
        <v>121</v>
      </c>
      <c r="D2417" s="967"/>
      <c r="E2417" s="974">
        <f>ROUND(E2416/10,2)</f>
        <v>380.75</v>
      </c>
      <c r="F2417" s="974">
        <f>ROUND(F2416/10,2)</f>
        <v>410.82</v>
      </c>
      <c r="G2417" s="971">
        <f>ROUND(G2416/10,2)</f>
        <v>440.9</v>
      </c>
      <c r="H2417" s="964" t="s">
        <v>2312</v>
      </c>
    </row>
    <row r="2418" spans="1:8" ht="165.75" hidden="1">
      <c r="A2418" s="896">
        <v>13</v>
      </c>
      <c r="B2418" s="966" t="s">
        <v>666</v>
      </c>
      <c r="C2418" s="1382" t="s">
        <v>665</v>
      </c>
      <c r="D2418" s="967"/>
      <c r="E2418" s="967"/>
      <c r="F2418" s="967"/>
      <c r="G2418" s="966" t="s">
        <v>666</v>
      </c>
      <c r="H2418" s="964" t="s">
        <v>2312</v>
      </c>
    </row>
    <row r="2419" spans="1:8" hidden="1">
      <c r="A2419" s="896"/>
      <c r="B2419" s="966"/>
      <c r="C2419" s="962" t="s">
        <v>42</v>
      </c>
      <c r="D2419" s="967"/>
      <c r="E2419" s="967"/>
      <c r="F2419" s="967"/>
      <c r="G2419" s="972"/>
      <c r="H2419" s="964" t="s">
        <v>2312</v>
      </c>
    </row>
    <row r="2420" spans="1:8" hidden="1">
      <c r="A2420" s="896"/>
      <c r="B2420" s="966"/>
      <c r="C2420" s="962" t="s">
        <v>60</v>
      </c>
      <c r="D2420" s="967"/>
      <c r="E2420" s="967"/>
      <c r="F2420" s="967"/>
      <c r="G2420" s="972"/>
      <c r="H2420" s="964" t="s">
        <v>2312</v>
      </c>
    </row>
    <row r="2421" spans="1:8" ht="25.5" hidden="1">
      <c r="A2421" s="896"/>
      <c r="B2421" s="966"/>
      <c r="C2421" s="1382" t="s">
        <v>667</v>
      </c>
      <c r="D2421" s="967" t="s">
        <v>77</v>
      </c>
      <c r="E2421" s="970">
        <v>10.5</v>
      </c>
      <c r="F2421" s="970">
        <f>'lead 21-22'!L22</f>
        <v>2138.6639999999998</v>
      </c>
      <c r="G2421" s="969">
        <f>ROUND(E2421*F2421/1,2)</f>
        <v>22455.97</v>
      </c>
      <c r="H2421" s="964" t="s">
        <v>2312</v>
      </c>
    </row>
    <row r="2422" spans="1:8" hidden="1">
      <c r="A2422" s="896"/>
      <c r="B2422" s="966"/>
      <c r="C2422" s="1382" t="s">
        <v>91</v>
      </c>
      <c r="D2422" s="967" t="s">
        <v>4</v>
      </c>
      <c r="E2422" s="970">
        <v>36</v>
      </c>
      <c r="F2422" s="970">
        <f>'lead 21-22'!L8</f>
        <v>4700</v>
      </c>
      <c r="G2422" s="969">
        <f>ROUND(E2422*F2422/1000,2)</f>
        <v>169.2</v>
      </c>
      <c r="H2422" s="964" t="s">
        <v>2312</v>
      </c>
    </row>
    <row r="2423" spans="1:8" hidden="1">
      <c r="A2423" s="896"/>
      <c r="B2423" s="966"/>
      <c r="C2423" s="1382" t="s">
        <v>92</v>
      </c>
      <c r="D2423" s="967" t="s">
        <v>4</v>
      </c>
      <c r="E2423" s="970">
        <v>33</v>
      </c>
      <c r="F2423" s="970">
        <f>F2422</f>
        <v>4700</v>
      </c>
      <c r="G2423" s="969">
        <f>ROUND(E2423*F2423/1000,2)</f>
        <v>155.1</v>
      </c>
      <c r="H2423" s="964" t="s">
        <v>2312</v>
      </c>
    </row>
    <row r="2424" spans="1:8" hidden="1">
      <c r="A2424" s="896"/>
      <c r="B2424" s="966"/>
      <c r="C2424" s="1382" t="s">
        <v>93</v>
      </c>
      <c r="D2424" s="967" t="s">
        <v>4</v>
      </c>
      <c r="E2424" s="970">
        <v>6</v>
      </c>
      <c r="F2424" s="970">
        <f>F2423</f>
        <v>4700</v>
      </c>
      <c r="G2424" s="969">
        <f>ROUND(E2424*F2424/1000,2)</f>
        <v>28.2</v>
      </c>
      <c r="H2424" s="964" t="s">
        <v>2312</v>
      </c>
    </row>
    <row r="2425" spans="1:8" hidden="1">
      <c r="A2425" s="896"/>
      <c r="B2425" s="966"/>
      <c r="C2425" s="1382" t="s">
        <v>114</v>
      </c>
      <c r="D2425" s="967" t="s">
        <v>35</v>
      </c>
      <c r="E2425" s="970">
        <v>0.2</v>
      </c>
      <c r="F2425" s="970">
        <f>'lead 21-22'!L12</f>
        <v>1743.4000000000019</v>
      </c>
      <c r="G2425" s="969">
        <f>ROUND(E2425*F2425,2)</f>
        <v>348.68</v>
      </c>
      <c r="H2425" s="964" t="s">
        <v>2312</v>
      </c>
    </row>
    <row r="2426" spans="1:8" hidden="1">
      <c r="A2426" s="967"/>
      <c r="B2426" s="967"/>
      <c r="C2426" s="962" t="s">
        <v>68</v>
      </c>
      <c r="D2426" s="967"/>
      <c r="E2426" s="970"/>
      <c r="F2426" s="970"/>
      <c r="G2426" s="969"/>
      <c r="H2426" s="964" t="s">
        <v>2312</v>
      </c>
    </row>
    <row r="2427" spans="1:8" hidden="1">
      <c r="A2427" s="967"/>
      <c r="B2427" s="967"/>
      <c r="C2427" s="1382" t="s">
        <v>64</v>
      </c>
      <c r="D2427" s="967" t="s">
        <v>27</v>
      </c>
      <c r="E2427" s="970">
        <v>3</v>
      </c>
      <c r="F2427" s="990">
        <f>'MINI SSR 21-22'!$H$3</f>
        <v>585</v>
      </c>
      <c r="G2427" s="969">
        <f>ROUND(E2427*F2427,2)</f>
        <v>1755</v>
      </c>
      <c r="H2427" s="964" t="s">
        <v>2312</v>
      </c>
    </row>
    <row r="2428" spans="1:8" hidden="1">
      <c r="A2428" s="967"/>
      <c r="B2428" s="967"/>
      <c r="C2428" s="1382" t="s">
        <v>69</v>
      </c>
      <c r="D2428" s="967" t="s">
        <v>27</v>
      </c>
      <c r="E2428" s="970">
        <v>1</v>
      </c>
      <c r="F2428" s="990">
        <f>'MINI SSR 21-22'!$H$4</f>
        <v>525</v>
      </c>
      <c r="G2428" s="969">
        <f>ROUND(E2428*F2428,2)</f>
        <v>525</v>
      </c>
      <c r="H2428" s="964" t="s">
        <v>2312</v>
      </c>
    </row>
    <row r="2429" spans="1:8" hidden="1">
      <c r="A2429" s="967"/>
      <c r="B2429" s="967"/>
      <c r="C2429" s="1382" t="s">
        <v>85</v>
      </c>
      <c r="D2429" s="967" t="s">
        <v>27</v>
      </c>
      <c r="E2429" s="970">
        <v>8</v>
      </c>
      <c r="F2429" s="990">
        <f>'MINI SSR 21-22'!$H$5</f>
        <v>490</v>
      </c>
      <c r="G2429" s="969">
        <f>ROUND(E2429*F2429,2)</f>
        <v>3920</v>
      </c>
      <c r="H2429" s="964" t="s">
        <v>2312</v>
      </c>
    </row>
    <row r="2430" spans="1:8" hidden="1">
      <c r="A2430" s="967"/>
      <c r="B2430" s="967"/>
      <c r="C2430" s="1382" t="s">
        <v>895</v>
      </c>
      <c r="D2430" s="967"/>
      <c r="E2430" s="970">
        <v>0.01</v>
      </c>
      <c r="F2430" s="970">
        <f>SUM(G2422:G2429)</f>
        <v>6901.18</v>
      </c>
      <c r="G2430" s="969">
        <f>ROUND(E2430*F2430,2)</f>
        <v>69.010000000000005</v>
      </c>
      <c r="H2430" s="964" t="s">
        <v>2312</v>
      </c>
    </row>
    <row r="2431" spans="1:8" hidden="1">
      <c r="A2431" s="967"/>
      <c r="B2431" s="967"/>
      <c r="C2431" s="962" t="s">
        <v>88</v>
      </c>
      <c r="D2431" s="967"/>
      <c r="E2431" s="967"/>
      <c r="F2431" s="967"/>
      <c r="G2431" s="971">
        <f>SUM(G2421:G2430)</f>
        <v>29426.16</v>
      </c>
      <c r="H2431" s="964" t="s">
        <v>2312</v>
      </c>
    </row>
    <row r="2432" spans="1:8" hidden="1">
      <c r="A2432" s="967"/>
      <c r="B2432" s="967"/>
      <c r="C2432" s="962"/>
      <c r="D2432" s="967"/>
      <c r="E2432" s="966" t="s">
        <v>161</v>
      </c>
      <c r="F2432" s="966" t="s">
        <v>162</v>
      </c>
      <c r="G2432" s="974" t="s">
        <v>163</v>
      </c>
      <c r="H2432" s="964" t="s">
        <v>2312</v>
      </c>
    </row>
    <row r="2433" spans="1:8" hidden="1">
      <c r="A2433" s="967"/>
      <c r="B2433" s="967"/>
      <c r="C2433" s="962" t="s">
        <v>1273</v>
      </c>
      <c r="D2433" s="967"/>
      <c r="E2433" s="970">
        <f>G2431</f>
        <v>29426.16</v>
      </c>
      <c r="F2433" s="970">
        <f>G2431</f>
        <v>29426.16</v>
      </c>
      <c r="G2433" s="972">
        <f>G2431</f>
        <v>29426.16</v>
      </c>
      <c r="H2433" s="964" t="s">
        <v>2312</v>
      </c>
    </row>
    <row r="2434" spans="1:8" ht="25.5" hidden="1">
      <c r="A2434" s="967"/>
      <c r="B2434" s="967"/>
      <c r="C2434" s="1382" t="s">
        <v>1285</v>
      </c>
      <c r="D2434" s="967"/>
      <c r="E2434" s="970"/>
      <c r="F2434" s="972">
        <f>ROUND((G2427+G2428+G2429)*0.1,2)</f>
        <v>620</v>
      </c>
      <c r="G2434" s="972">
        <f>ROUND((G2427+G2428+G2429)*0.2,2)</f>
        <v>1240</v>
      </c>
      <c r="H2434" s="964" t="s">
        <v>2312</v>
      </c>
    </row>
    <row r="2435" spans="1:8" hidden="1">
      <c r="A2435" s="967"/>
      <c r="B2435" s="967"/>
      <c r="C2435" s="962" t="s">
        <v>88</v>
      </c>
      <c r="D2435" s="967"/>
      <c r="E2435" s="970">
        <f>SUM(E2433:E2434)</f>
        <v>29426.16</v>
      </c>
      <c r="F2435" s="972">
        <f>SUM(F2433:F2434)</f>
        <v>30046.16</v>
      </c>
      <c r="G2435" s="972">
        <f>SUM(G2433:G2434)</f>
        <v>30666.16</v>
      </c>
      <c r="H2435" s="964" t="s">
        <v>2312</v>
      </c>
    </row>
    <row r="2436" spans="1:8" hidden="1">
      <c r="A2436" s="967"/>
      <c r="B2436" s="967"/>
      <c r="C2436" s="962" t="s">
        <v>121</v>
      </c>
      <c r="D2436" s="967"/>
      <c r="E2436" s="974">
        <f>ROUND(E2435/10,2)</f>
        <v>2942.62</v>
      </c>
      <c r="F2436" s="974">
        <f>ROUND(F2435/10,2)</f>
        <v>3004.62</v>
      </c>
      <c r="G2436" s="971">
        <f>ROUND(G2435/10,2)</f>
        <v>3066.62</v>
      </c>
      <c r="H2436" s="964" t="s">
        <v>2312</v>
      </c>
    </row>
    <row r="2437" spans="1:8" ht="153" hidden="1">
      <c r="A2437" s="896">
        <v>14</v>
      </c>
      <c r="B2437" s="966" t="s">
        <v>668</v>
      </c>
      <c r="C2437" s="1382" t="s">
        <v>671</v>
      </c>
      <c r="D2437" s="967"/>
      <c r="E2437" s="967"/>
      <c r="F2437" s="967"/>
      <c r="G2437" s="966"/>
      <c r="H2437" s="964" t="s">
        <v>2312</v>
      </c>
    </row>
    <row r="2438" spans="1:8" hidden="1">
      <c r="A2438" s="896"/>
      <c r="B2438" s="966"/>
      <c r="C2438" s="962" t="s">
        <v>42</v>
      </c>
      <c r="D2438" s="967"/>
      <c r="E2438" s="967"/>
      <c r="F2438" s="967"/>
      <c r="G2438" s="972"/>
      <c r="H2438" s="964" t="s">
        <v>2312</v>
      </c>
    </row>
    <row r="2439" spans="1:8" hidden="1">
      <c r="A2439" s="896"/>
      <c r="B2439" s="966"/>
      <c r="C2439" s="962" t="s">
        <v>60</v>
      </c>
      <c r="D2439" s="967"/>
      <c r="E2439" s="967"/>
      <c r="F2439" s="967"/>
      <c r="G2439" s="972"/>
      <c r="H2439" s="964" t="s">
        <v>2312</v>
      </c>
    </row>
    <row r="2440" spans="1:8" ht="25.5" hidden="1">
      <c r="A2440" s="896"/>
      <c r="B2440" s="966"/>
      <c r="C2440" s="1382" t="s">
        <v>667</v>
      </c>
      <c r="D2440" s="967" t="s">
        <v>77</v>
      </c>
      <c r="E2440" s="970">
        <v>10.5</v>
      </c>
      <c r="F2440" s="970">
        <f>F2421</f>
        <v>2138.6639999999998</v>
      </c>
      <c r="G2440" s="969">
        <f>ROUND(E2440*F2440/1,2)</f>
        <v>22455.97</v>
      </c>
      <c r="H2440" s="964" t="s">
        <v>2312</v>
      </c>
    </row>
    <row r="2441" spans="1:8" hidden="1">
      <c r="A2441" s="896"/>
      <c r="B2441" s="966"/>
      <c r="C2441" s="1382" t="s">
        <v>669</v>
      </c>
      <c r="D2441" s="967" t="s">
        <v>35</v>
      </c>
      <c r="E2441" s="970">
        <v>0.12</v>
      </c>
      <c r="F2441" s="970">
        <f>F2425</f>
        <v>1743.4000000000019</v>
      </c>
      <c r="G2441" s="969">
        <f>ROUND(E2441*F2441,2)</f>
        <v>209.21</v>
      </c>
      <c r="H2441" s="964" t="s">
        <v>2312</v>
      </c>
    </row>
    <row r="2442" spans="1:8" hidden="1">
      <c r="A2442" s="896"/>
      <c r="B2442" s="966"/>
      <c r="C2442" s="1382" t="s">
        <v>105</v>
      </c>
      <c r="D2442" s="967" t="s">
        <v>4</v>
      </c>
      <c r="E2442" s="970">
        <v>57.6</v>
      </c>
      <c r="F2442" s="970">
        <f>F2422</f>
        <v>4700</v>
      </c>
      <c r="G2442" s="969">
        <f>ROUND(E2442*F2442/1000,2)</f>
        <v>270.72000000000003</v>
      </c>
      <c r="H2442" s="964" t="s">
        <v>2312</v>
      </c>
    </row>
    <row r="2443" spans="1:8" hidden="1">
      <c r="A2443" s="896"/>
      <c r="B2443" s="966"/>
      <c r="C2443" s="1382" t="s">
        <v>92</v>
      </c>
      <c r="D2443" s="967" t="s">
        <v>4</v>
      </c>
      <c r="E2443" s="970">
        <v>33</v>
      </c>
      <c r="F2443" s="970">
        <f>F2423</f>
        <v>4700</v>
      </c>
      <c r="G2443" s="969">
        <f>ROUND(E2443*F2443/1000,2)</f>
        <v>155.1</v>
      </c>
      <c r="H2443" s="964" t="s">
        <v>2312</v>
      </c>
    </row>
    <row r="2444" spans="1:8" hidden="1">
      <c r="A2444" s="896"/>
      <c r="B2444" s="966"/>
      <c r="C2444" s="1382" t="s">
        <v>670</v>
      </c>
      <c r="D2444" s="967" t="s">
        <v>4</v>
      </c>
      <c r="E2444" s="970">
        <v>5</v>
      </c>
      <c r="F2444" s="970">
        <f>'MINI SSR 21-22'!C45</f>
        <v>27.95</v>
      </c>
      <c r="G2444" s="969">
        <f>ROUND(E2444*F2444,2)</f>
        <v>139.75</v>
      </c>
      <c r="H2444" s="964" t="s">
        <v>2312</v>
      </c>
    </row>
    <row r="2445" spans="1:8" hidden="1">
      <c r="A2445" s="967"/>
      <c r="B2445" s="967"/>
      <c r="C2445" s="962" t="s">
        <v>68</v>
      </c>
      <c r="D2445" s="967"/>
      <c r="E2445" s="970"/>
      <c r="F2445" s="970"/>
      <c r="G2445" s="969"/>
      <c r="H2445" s="964" t="s">
        <v>2312</v>
      </c>
    </row>
    <row r="2446" spans="1:8" hidden="1">
      <c r="A2446" s="967"/>
      <c r="B2446" s="967"/>
      <c r="C2446" s="1382" t="s">
        <v>64</v>
      </c>
      <c r="D2446" s="967" t="s">
        <v>27</v>
      </c>
      <c r="E2446" s="970">
        <v>2.1</v>
      </c>
      <c r="F2446" s="990">
        <f>'MINI SSR 21-22'!$H$3</f>
        <v>585</v>
      </c>
      <c r="G2446" s="969">
        <f>ROUND(E2446*F2446,2)</f>
        <v>1228.5</v>
      </c>
      <c r="H2446" s="964" t="s">
        <v>2312</v>
      </c>
    </row>
    <row r="2447" spans="1:8" hidden="1">
      <c r="A2447" s="967"/>
      <c r="B2447" s="967"/>
      <c r="C2447" s="1382" t="s">
        <v>69</v>
      </c>
      <c r="D2447" s="967" t="s">
        <v>27</v>
      </c>
      <c r="E2447" s="970">
        <v>4.9000000000000004</v>
      </c>
      <c r="F2447" s="990">
        <f>'MINI SSR 21-22'!$H$4</f>
        <v>525</v>
      </c>
      <c r="G2447" s="969">
        <f>ROUND(E2447*F2447,2)</f>
        <v>2572.5</v>
      </c>
      <c r="H2447" s="964" t="s">
        <v>2312</v>
      </c>
    </row>
    <row r="2448" spans="1:8" hidden="1">
      <c r="A2448" s="967"/>
      <c r="B2448" s="967"/>
      <c r="C2448" s="1382" t="s">
        <v>85</v>
      </c>
      <c r="D2448" s="967" t="s">
        <v>27</v>
      </c>
      <c r="E2448" s="970">
        <v>0.8</v>
      </c>
      <c r="F2448" s="990">
        <f>'MINI SSR 21-22'!$H$5</f>
        <v>490</v>
      </c>
      <c r="G2448" s="969">
        <f>ROUND(E2448*F2448,2)</f>
        <v>392</v>
      </c>
      <c r="H2448" s="964" t="s">
        <v>2312</v>
      </c>
    </row>
    <row r="2449" spans="1:8" hidden="1">
      <c r="A2449" s="967"/>
      <c r="B2449" s="967"/>
      <c r="C2449" s="1382" t="s">
        <v>895</v>
      </c>
      <c r="D2449" s="967"/>
      <c r="E2449" s="970">
        <v>0.01</v>
      </c>
      <c r="F2449" s="970">
        <f>SUM(G2441:G2448)</f>
        <v>4967.7800000000007</v>
      </c>
      <c r="G2449" s="969">
        <f>ROUND(E2449*F2449,2)</f>
        <v>49.68</v>
      </c>
      <c r="H2449" s="964" t="s">
        <v>2312</v>
      </c>
    </row>
    <row r="2450" spans="1:8" hidden="1">
      <c r="A2450" s="967"/>
      <c r="B2450" s="967"/>
      <c r="C2450" s="962" t="s">
        <v>88</v>
      </c>
      <c r="D2450" s="967"/>
      <c r="E2450" s="967"/>
      <c r="F2450" s="967"/>
      <c r="G2450" s="971">
        <f>SUM(G2440:G2449)</f>
        <v>27473.43</v>
      </c>
      <c r="H2450" s="964" t="s">
        <v>2312</v>
      </c>
    </row>
    <row r="2451" spans="1:8" hidden="1">
      <c r="A2451" s="967"/>
      <c r="B2451" s="967"/>
      <c r="C2451" s="962"/>
      <c r="D2451" s="967"/>
      <c r="E2451" s="966" t="s">
        <v>161</v>
      </c>
      <c r="F2451" s="966" t="s">
        <v>161</v>
      </c>
      <c r="G2451" s="974" t="s">
        <v>162</v>
      </c>
      <c r="H2451" s="964" t="s">
        <v>2312</v>
      </c>
    </row>
    <row r="2452" spans="1:8" hidden="1">
      <c r="A2452" s="967"/>
      <c r="B2452" s="967"/>
      <c r="C2452" s="962" t="s">
        <v>1273</v>
      </c>
      <c r="D2452" s="967"/>
      <c r="E2452" s="970">
        <f>G2450</f>
        <v>27473.43</v>
      </c>
      <c r="F2452" s="970">
        <f>G2450</f>
        <v>27473.43</v>
      </c>
      <c r="G2452" s="972">
        <f>G2450</f>
        <v>27473.43</v>
      </c>
      <c r="H2452" s="964" t="s">
        <v>2312</v>
      </c>
    </row>
    <row r="2453" spans="1:8" hidden="1">
      <c r="A2453" s="967"/>
      <c r="B2453" s="967"/>
      <c r="C2453" s="1382" t="s">
        <v>1348</v>
      </c>
      <c r="D2453" s="967"/>
      <c r="E2453" s="970"/>
      <c r="F2453" s="972">
        <f>ROUND((G2446+G2447+G2448)*0.1,2)</f>
        <v>419.3</v>
      </c>
      <c r="G2453" s="972">
        <f>ROUND((G2446+G2447+G2448)*0.2,2)</f>
        <v>838.6</v>
      </c>
      <c r="H2453" s="964" t="s">
        <v>2312</v>
      </c>
    </row>
    <row r="2454" spans="1:8" hidden="1">
      <c r="A2454" s="967"/>
      <c r="B2454" s="967"/>
      <c r="C2454" s="962" t="s">
        <v>88</v>
      </c>
      <c r="D2454" s="967"/>
      <c r="E2454" s="970">
        <f>SUM(E2452:E2453)</f>
        <v>27473.43</v>
      </c>
      <c r="F2454" s="970">
        <f>SUM(F2452:F2453)</f>
        <v>27892.73</v>
      </c>
      <c r="G2454" s="972">
        <f>SUM(G2452:G2453)</f>
        <v>28312.03</v>
      </c>
      <c r="H2454" s="964" t="s">
        <v>2312</v>
      </c>
    </row>
    <row r="2455" spans="1:8" hidden="1">
      <c r="A2455" s="967"/>
      <c r="B2455" s="967"/>
      <c r="C2455" s="962" t="s">
        <v>121</v>
      </c>
      <c r="D2455" s="967"/>
      <c r="E2455" s="974">
        <f>ROUND(E2454/10,2)</f>
        <v>2747.34</v>
      </c>
      <c r="F2455" s="974">
        <f>ROUND(F2454/10,2)</f>
        <v>2789.27</v>
      </c>
      <c r="G2455" s="971">
        <f>ROUND(G2454/10,2)</f>
        <v>2831.2</v>
      </c>
      <c r="H2455" s="964" t="s">
        <v>2312</v>
      </c>
    </row>
    <row r="2456" spans="1:8" ht="38.25" hidden="1">
      <c r="A2456" s="896">
        <v>42</v>
      </c>
      <c r="B2456" s="966"/>
      <c r="C2456" s="1382" t="s">
        <v>937</v>
      </c>
      <c r="D2456" s="967"/>
      <c r="E2456" s="967"/>
      <c r="F2456" s="967"/>
      <c r="G2456" s="902"/>
      <c r="H2456" s="964" t="s">
        <v>2312</v>
      </c>
    </row>
    <row r="2457" spans="1:8" hidden="1">
      <c r="A2457" s="902"/>
      <c r="B2457" s="902"/>
      <c r="C2457" s="1382" t="s">
        <v>938</v>
      </c>
      <c r="D2457" s="896" t="s">
        <v>277</v>
      </c>
      <c r="E2457" s="920">
        <v>1</v>
      </c>
      <c r="F2457" s="922">
        <f>'MINI SSR 21-22'!C46</f>
        <v>438</v>
      </c>
      <c r="G2457" s="969">
        <f>ROUND(E2457*F2457,2)</f>
        <v>438</v>
      </c>
      <c r="H2457" s="964" t="s">
        <v>2312</v>
      </c>
    </row>
    <row r="2458" spans="1:8" hidden="1">
      <c r="A2458" s="902"/>
      <c r="B2458" s="902"/>
      <c r="C2458" s="962" t="s">
        <v>377</v>
      </c>
      <c r="D2458" s="896"/>
      <c r="E2458" s="922"/>
      <c r="F2458" s="922"/>
      <c r="G2458" s="963">
        <f>SUM(G2457:G2457)</f>
        <v>438</v>
      </c>
      <c r="H2458" s="964" t="s">
        <v>2312</v>
      </c>
    </row>
    <row r="2459" spans="1:8" ht="140.25" hidden="1">
      <c r="A2459" s="896">
        <v>43</v>
      </c>
      <c r="B2459" s="966" t="s">
        <v>674</v>
      </c>
      <c r="C2459" s="1382" t="s">
        <v>673</v>
      </c>
      <c r="D2459" s="967"/>
      <c r="E2459" s="967"/>
      <c r="F2459" s="967"/>
      <c r="G2459" s="966"/>
      <c r="H2459" s="964" t="s">
        <v>2312</v>
      </c>
    </row>
    <row r="2460" spans="1:8" hidden="1">
      <c r="A2460" s="896"/>
      <c r="B2460" s="966"/>
      <c r="C2460" s="962" t="s">
        <v>42</v>
      </c>
      <c r="D2460" s="967"/>
      <c r="E2460" s="967"/>
      <c r="F2460" s="967"/>
      <c r="G2460" s="972"/>
      <c r="H2460" s="964" t="s">
        <v>2312</v>
      </c>
    </row>
    <row r="2461" spans="1:8" hidden="1">
      <c r="A2461" s="896"/>
      <c r="B2461" s="966"/>
      <c r="C2461" s="962" t="s">
        <v>60</v>
      </c>
      <c r="D2461" s="967"/>
      <c r="E2461" s="967"/>
      <c r="F2461" s="967"/>
      <c r="G2461" s="972"/>
      <c r="H2461" s="964" t="s">
        <v>2312</v>
      </c>
    </row>
    <row r="2462" spans="1:8" ht="25.5" hidden="1">
      <c r="A2462" s="896"/>
      <c r="B2462" s="966"/>
      <c r="C2462" s="1382" t="s">
        <v>677</v>
      </c>
      <c r="D2462" s="967" t="s">
        <v>77</v>
      </c>
      <c r="E2462" s="970">
        <v>10.5</v>
      </c>
      <c r="F2462" s="970">
        <f>'MINI SSR 21-22'!C20</f>
        <v>266</v>
      </c>
      <c r="G2462" s="969">
        <f>ROUND(E2462*F2462/1,2)</f>
        <v>2793</v>
      </c>
      <c r="H2462" s="964" t="s">
        <v>2312</v>
      </c>
    </row>
    <row r="2463" spans="1:8" hidden="1">
      <c r="A2463" s="896"/>
      <c r="B2463" s="966"/>
      <c r="C2463" s="1382" t="s">
        <v>675</v>
      </c>
      <c r="D2463" s="967" t="s">
        <v>4</v>
      </c>
      <c r="E2463" s="970">
        <v>28.8</v>
      </c>
      <c r="F2463" s="970">
        <f>F2442</f>
        <v>4700</v>
      </c>
      <c r="G2463" s="969">
        <f>ROUND(E2463*F2463/1000,2)</f>
        <v>135.36000000000001</v>
      </c>
      <c r="H2463" s="964" t="s">
        <v>2312</v>
      </c>
    </row>
    <row r="2464" spans="1:8" hidden="1">
      <c r="A2464" s="896"/>
      <c r="B2464" s="966"/>
      <c r="C2464" s="1382" t="s">
        <v>92</v>
      </c>
      <c r="D2464" s="967" t="s">
        <v>4</v>
      </c>
      <c r="E2464" s="970">
        <v>33</v>
      </c>
      <c r="F2464" s="970">
        <f>F2463</f>
        <v>4700</v>
      </c>
      <c r="G2464" s="969">
        <f>ROUND(E2464*F2464/1000,2)</f>
        <v>155.1</v>
      </c>
      <c r="H2464" s="964" t="s">
        <v>2312</v>
      </c>
    </row>
    <row r="2465" spans="1:8" hidden="1">
      <c r="A2465" s="896"/>
      <c r="B2465" s="966"/>
      <c r="C2465" s="1382" t="s">
        <v>93</v>
      </c>
      <c r="D2465" s="967" t="s">
        <v>4</v>
      </c>
      <c r="E2465" s="970">
        <v>6</v>
      </c>
      <c r="F2465" s="970">
        <f>F2464</f>
        <v>4700</v>
      </c>
      <c r="G2465" s="969">
        <f>ROUND(E2465*F2465/1000,2)</f>
        <v>28.2</v>
      </c>
      <c r="H2465" s="964" t="s">
        <v>2312</v>
      </c>
    </row>
    <row r="2466" spans="1:8" hidden="1">
      <c r="A2466" s="896"/>
      <c r="B2466" s="966"/>
      <c r="C2466" s="1382" t="s">
        <v>676</v>
      </c>
      <c r="D2466" s="967" t="s">
        <v>35</v>
      </c>
      <c r="E2466" s="970">
        <v>0.12</v>
      </c>
      <c r="F2466" s="970">
        <f>'lead 21-22'!L12</f>
        <v>1743.4000000000019</v>
      </c>
      <c r="G2466" s="969">
        <f>ROUND(E2466*F2466,2)</f>
        <v>209.21</v>
      </c>
      <c r="H2466" s="964" t="s">
        <v>2312</v>
      </c>
    </row>
    <row r="2467" spans="1:8" hidden="1">
      <c r="A2467" s="967"/>
      <c r="B2467" s="967"/>
      <c r="C2467" s="962" t="s">
        <v>68</v>
      </c>
      <c r="D2467" s="967"/>
      <c r="E2467" s="970"/>
      <c r="F2467" s="970"/>
      <c r="G2467" s="969"/>
      <c r="H2467" s="964" t="s">
        <v>2312</v>
      </c>
    </row>
    <row r="2468" spans="1:8" hidden="1">
      <c r="A2468" s="967"/>
      <c r="B2468" s="967"/>
      <c r="C2468" s="1382" t="s">
        <v>69</v>
      </c>
      <c r="D2468" s="967" t="s">
        <v>27</v>
      </c>
      <c r="E2468" s="970">
        <v>0.96</v>
      </c>
      <c r="F2468" s="990">
        <f>'MINI SSR 21-22'!$H$4</f>
        <v>525</v>
      </c>
      <c r="G2468" s="969">
        <f>ROUND(E2468*F2468,2)</f>
        <v>504</v>
      </c>
      <c r="H2468" s="964" t="s">
        <v>2312</v>
      </c>
    </row>
    <row r="2469" spans="1:8" hidden="1">
      <c r="A2469" s="967"/>
      <c r="B2469" s="967"/>
      <c r="C2469" s="1382" t="s">
        <v>218</v>
      </c>
      <c r="D2469" s="967" t="s">
        <v>27</v>
      </c>
      <c r="E2469" s="970">
        <v>2.2400000000000002</v>
      </c>
      <c r="F2469" s="990">
        <f>'MINI SSR 21-22'!$H$5</f>
        <v>490</v>
      </c>
      <c r="G2469" s="969">
        <f>ROUND(E2469*F2469,2)</f>
        <v>1097.5999999999999</v>
      </c>
      <c r="H2469" s="964" t="s">
        <v>2312</v>
      </c>
    </row>
    <row r="2470" spans="1:8" hidden="1">
      <c r="A2470" s="967"/>
      <c r="B2470" s="967"/>
      <c r="C2470" s="1382" t="s">
        <v>85</v>
      </c>
      <c r="D2470" s="967" t="s">
        <v>27</v>
      </c>
      <c r="E2470" s="970">
        <v>3.3</v>
      </c>
      <c r="F2470" s="990">
        <f>'MINI SSR 21-22'!$H$5</f>
        <v>490</v>
      </c>
      <c r="G2470" s="969">
        <f>ROUND(E2470*F2470,2)</f>
        <v>1617</v>
      </c>
      <c r="H2470" s="964" t="s">
        <v>2312</v>
      </c>
    </row>
    <row r="2471" spans="1:8" hidden="1">
      <c r="A2471" s="967"/>
      <c r="B2471" s="967"/>
      <c r="C2471" s="962" t="s">
        <v>88</v>
      </c>
      <c r="D2471" s="967"/>
      <c r="E2471" s="967"/>
      <c r="F2471" s="967"/>
      <c r="G2471" s="971">
        <f>SUM(G2462:G2470)</f>
        <v>6539.4699999999993</v>
      </c>
      <c r="H2471" s="964" t="s">
        <v>2312</v>
      </c>
    </row>
    <row r="2472" spans="1:8" hidden="1">
      <c r="A2472" s="967"/>
      <c r="B2472" s="967"/>
      <c r="C2472" s="962"/>
      <c r="D2472" s="967"/>
      <c r="E2472" s="966" t="s">
        <v>161</v>
      </c>
      <c r="F2472" s="966" t="s">
        <v>162</v>
      </c>
      <c r="G2472" s="974" t="s">
        <v>163</v>
      </c>
      <c r="H2472" s="964" t="s">
        <v>2312</v>
      </c>
    </row>
    <row r="2473" spans="1:8" hidden="1">
      <c r="A2473" s="967"/>
      <c r="B2473" s="967"/>
      <c r="C2473" s="962" t="s">
        <v>1273</v>
      </c>
      <c r="D2473" s="967"/>
      <c r="E2473" s="970">
        <f>G2471</f>
        <v>6539.4699999999993</v>
      </c>
      <c r="F2473" s="970">
        <f>G2471</f>
        <v>6539.4699999999993</v>
      </c>
      <c r="G2473" s="972">
        <f>G2471</f>
        <v>6539.4699999999993</v>
      </c>
      <c r="H2473" s="964" t="s">
        <v>2312</v>
      </c>
    </row>
    <row r="2474" spans="1:8" ht="25.5" hidden="1">
      <c r="A2474" s="967"/>
      <c r="B2474" s="967"/>
      <c r="C2474" s="1382" t="s">
        <v>1285</v>
      </c>
      <c r="D2474" s="967"/>
      <c r="E2474" s="970"/>
      <c r="F2474" s="972">
        <f>ROUND((G2469+G2468+G2470)*0.1,2)</f>
        <v>321.86</v>
      </c>
      <c r="G2474" s="972">
        <f>ROUND((G2470+G2468+G2469)*0.2,2)</f>
        <v>643.72</v>
      </c>
      <c r="H2474" s="964" t="s">
        <v>2312</v>
      </c>
    </row>
    <row r="2475" spans="1:8" hidden="1">
      <c r="A2475" s="967"/>
      <c r="B2475" s="967"/>
      <c r="C2475" s="962" t="s">
        <v>88</v>
      </c>
      <c r="D2475" s="967"/>
      <c r="E2475" s="970">
        <f>SUM(E2473:E2474)</f>
        <v>6539.4699999999993</v>
      </c>
      <c r="F2475" s="970">
        <f>SUM(F2473:F2474)</f>
        <v>6861.329999999999</v>
      </c>
      <c r="G2475" s="972">
        <f>SUM(G2473:G2474)</f>
        <v>7183.19</v>
      </c>
      <c r="H2475" s="964" t="s">
        <v>2312</v>
      </c>
    </row>
    <row r="2476" spans="1:8" hidden="1">
      <c r="A2476" s="967"/>
      <c r="B2476" s="967"/>
      <c r="C2476" s="962" t="s">
        <v>121</v>
      </c>
      <c r="D2476" s="967"/>
      <c r="E2476" s="974">
        <f>ROUND(E2475/10,2)</f>
        <v>653.95000000000005</v>
      </c>
      <c r="F2476" s="974">
        <f>ROUND(F2475/10,2)</f>
        <v>686.13</v>
      </c>
      <c r="G2476" s="971">
        <f>ROUND(G2475/10,2)</f>
        <v>718.32</v>
      </c>
      <c r="H2476" s="964" t="s">
        <v>2312</v>
      </c>
    </row>
    <row r="2477" spans="1:8" ht="127.5" hidden="1">
      <c r="A2477" s="896">
        <v>44</v>
      </c>
      <c r="B2477" s="966" t="s">
        <v>199</v>
      </c>
      <c r="C2477" s="1382" t="s">
        <v>679</v>
      </c>
      <c r="D2477" s="967"/>
      <c r="E2477" s="967"/>
      <c r="F2477" s="967"/>
      <c r="G2477" s="966"/>
      <c r="H2477" s="964" t="s">
        <v>2312</v>
      </c>
    </row>
    <row r="2478" spans="1:8" hidden="1">
      <c r="A2478" s="896"/>
      <c r="B2478" s="966"/>
      <c r="C2478" s="962" t="s">
        <v>42</v>
      </c>
      <c r="D2478" s="967"/>
      <c r="E2478" s="967"/>
      <c r="F2478" s="967"/>
      <c r="G2478" s="972"/>
      <c r="H2478" s="964" t="s">
        <v>2312</v>
      </c>
    </row>
    <row r="2479" spans="1:8" hidden="1">
      <c r="A2479" s="896"/>
      <c r="B2479" s="966"/>
      <c r="C2479" s="962" t="s">
        <v>60</v>
      </c>
      <c r="D2479" s="967"/>
      <c r="E2479" s="967"/>
      <c r="F2479" s="967"/>
      <c r="G2479" s="972"/>
      <c r="H2479" s="964" t="s">
        <v>2312</v>
      </c>
    </row>
    <row r="2480" spans="1:8" ht="25.5" hidden="1">
      <c r="A2480" s="896"/>
      <c r="B2480" s="966"/>
      <c r="C2480" s="1382" t="s">
        <v>677</v>
      </c>
      <c r="D2480" s="967" t="s">
        <v>77</v>
      </c>
      <c r="E2480" s="970">
        <v>10.5</v>
      </c>
      <c r="F2480" s="970">
        <f>'MINI SSR 21-22'!C20</f>
        <v>266</v>
      </c>
      <c r="G2480" s="969">
        <f>ROUND(E2480*F2480/1,2)</f>
        <v>2793</v>
      </c>
      <c r="H2480" s="964" t="s">
        <v>2312</v>
      </c>
    </row>
    <row r="2481" spans="1:8" hidden="1">
      <c r="A2481" s="896"/>
      <c r="B2481" s="966"/>
      <c r="C2481" s="1382" t="s">
        <v>200</v>
      </c>
      <c r="D2481" s="967" t="s">
        <v>35</v>
      </c>
      <c r="E2481" s="970">
        <v>0.12</v>
      </c>
      <c r="F2481" s="970">
        <f>F2466</f>
        <v>1743.4000000000019</v>
      </c>
      <c r="G2481" s="969">
        <f>ROUND(E2481*F2481,2)</f>
        <v>209.21</v>
      </c>
      <c r="H2481" s="964" t="s">
        <v>2312</v>
      </c>
    </row>
    <row r="2482" spans="1:8" hidden="1">
      <c r="A2482" s="896"/>
      <c r="B2482" s="966"/>
      <c r="C2482" s="1382" t="s">
        <v>201</v>
      </c>
      <c r="D2482" s="967" t="s">
        <v>4</v>
      </c>
      <c r="E2482" s="970">
        <v>34.56</v>
      </c>
      <c r="F2482" s="970">
        <f>F2463</f>
        <v>4700</v>
      </c>
      <c r="G2482" s="969">
        <f>ROUND(E2482*F2482/1000,2)</f>
        <v>162.43</v>
      </c>
      <c r="H2482" s="964" t="s">
        <v>2312</v>
      </c>
    </row>
    <row r="2483" spans="1:8" hidden="1">
      <c r="A2483" s="896"/>
      <c r="B2483" s="966"/>
      <c r="C2483" s="1382" t="s">
        <v>202</v>
      </c>
      <c r="D2483" s="967" t="s">
        <v>4</v>
      </c>
      <c r="E2483" s="970">
        <v>33</v>
      </c>
      <c r="F2483" s="970">
        <f>F2482</f>
        <v>4700</v>
      </c>
      <c r="G2483" s="969">
        <f>ROUND(E2483*F2483/1000,2)</f>
        <v>155.1</v>
      </c>
      <c r="H2483" s="964" t="s">
        <v>2312</v>
      </c>
    </row>
    <row r="2484" spans="1:8" hidden="1">
      <c r="A2484" s="896"/>
      <c r="B2484" s="966"/>
      <c r="C2484" s="1382" t="s">
        <v>204</v>
      </c>
      <c r="D2484" s="967" t="s">
        <v>4</v>
      </c>
      <c r="E2484" s="970">
        <v>2</v>
      </c>
      <c r="F2484" s="970">
        <f>'MINI SSR 21-22'!C45</f>
        <v>27.95</v>
      </c>
      <c r="G2484" s="969">
        <f>ROUND(E2484*F2484,2)</f>
        <v>55.9</v>
      </c>
      <c r="H2484" s="964" t="s">
        <v>2312</v>
      </c>
    </row>
    <row r="2485" spans="1:8" hidden="1">
      <c r="A2485" s="967"/>
      <c r="B2485" s="967"/>
      <c r="C2485" s="962" t="s">
        <v>68</v>
      </c>
      <c r="D2485" s="967"/>
      <c r="E2485" s="970"/>
      <c r="F2485" s="970"/>
      <c r="G2485" s="969"/>
      <c r="H2485" s="964" t="s">
        <v>2312</v>
      </c>
    </row>
    <row r="2486" spans="1:8" hidden="1">
      <c r="A2486" s="967"/>
      <c r="B2486" s="967"/>
      <c r="C2486" s="1382" t="s">
        <v>64</v>
      </c>
      <c r="D2486" s="967" t="s">
        <v>27</v>
      </c>
      <c r="E2486" s="970">
        <v>0.96</v>
      </c>
      <c r="F2486" s="990">
        <f>'MINI SSR 21-22'!$H$3</f>
        <v>585</v>
      </c>
      <c r="G2486" s="969">
        <f>ROUND(E2486*F2486,2)</f>
        <v>561.6</v>
      </c>
      <c r="H2486" s="964" t="s">
        <v>2312</v>
      </c>
    </row>
    <row r="2487" spans="1:8" hidden="1">
      <c r="A2487" s="967"/>
      <c r="B2487" s="967"/>
      <c r="C2487" s="1382" t="s">
        <v>69</v>
      </c>
      <c r="D2487" s="967" t="s">
        <v>27</v>
      </c>
      <c r="E2487" s="970">
        <v>2.2400000000000002</v>
      </c>
      <c r="F2487" s="990">
        <f>'MINI SSR 21-22'!$H$4</f>
        <v>525</v>
      </c>
      <c r="G2487" s="969">
        <f>ROUND(E2487*F2487,2)</f>
        <v>1176</v>
      </c>
      <c r="H2487" s="964" t="s">
        <v>2312</v>
      </c>
    </row>
    <row r="2488" spans="1:8" hidden="1">
      <c r="A2488" s="967"/>
      <c r="B2488" s="967"/>
      <c r="C2488" s="1382" t="s">
        <v>85</v>
      </c>
      <c r="D2488" s="967" t="s">
        <v>27</v>
      </c>
      <c r="E2488" s="970">
        <v>3.3</v>
      </c>
      <c r="F2488" s="990">
        <f>'MINI SSR 21-22'!$H$5</f>
        <v>490</v>
      </c>
      <c r="G2488" s="969">
        <f>ROUND(E2488*F2488,2)</f>
        <v>1617</v>
      </c>
      <c r="H2488" s="964" t="s">
        <v>2312</v>
      </c>
    </row>
    <row r="2489" spans="1:8" hidden="1">
      <c r="A2489" s="967"/>
      <c r="B2489" s="967"/>
      <c r="C2489" s="962" t="s">
        <v>88</v>
      </c>
      <c r="D2489" s="967"/>
      <c r="E2489" s="967"/>
      <c r="F2489" s="967"/>
      <c r="G2489" s="971">
        <f>SUM(G2480:G2488)</f>
        <v>6730.24</v>
      </c>
      <c r="H2489" s="964" t="s">
        <v>2312</v>
      </c>
    </row>
    <row r="2490" spans="1:8" hidden="1">
      <c r="A2490" s="967"/>
      <c r="B2490" s="967"/>
      <c r="C2490" s="962"/>
      <c r="D2490" s="967"/>
      <c r="E2490" s="966" t="s">
        <v>161</v>
      </c>
      <c r="F2490" s="966" t="s">
        <v>162</v>
      </c>
      <c r="G2490" s="974" t="s">
        <v>163</v>
      </c>
      <c r="H2490" s="964" t="s">
        <v>2312</v>
      </c>
    </row>
    <row r="2491" spans="1:8" hidden="1">
      <c r="A2491" s="967"/>
      <c r="B2491" s="967"/>
      <c r="C2491" s="962" t="s">
        <v>1274</v>
      </c>
      <c r="D2491" s="967"/>
      <c r="E2491" s="970">
        <f>G2489</f>
        <v>6730.24</v>
      </c>
      <c r="F2491" s="970">
        <f>G2489</f>
        <v>6730.24</v>
      </c>
      <c r="G2491" s="972">
        <f>G2489</f>
        <v>6730.24</v>
      </c>
      <c r="H2491" s="964" t="s">
        <v>2312</v>
      </c>
    </row>
    <row r="2492" spans="1:8" ht="25.5" hidden="1">
      <c r="A2492" s="967"/>
      <c r="B2492" s="967"/>
      <c r="C2492" s="1382" t="s">
        <v>170</v>
      </c>
      <c r="D2492" s="967"/>
      <c r="E2492" s="970"/>
      <c r="F2492" s="972">
        <f>ROUND((G2487+G2486+G2488)*0.1,2)</f>
        <v>335.46</v>
      </c>
      <c r="G2492" s="972">
        <f>ROUND((G2488+G2486+G2487)*0.2,2)</f>
        <v>670.92</v>
      </c>
      <c r="H2492" s="964" t="s">
        <v>2312</v>
      </c>
    </row>
    <row r="2493" spans="1:8" hidden="1">
      <c r="A2493" s="967"/>
      <c r="B2493" s="967"/>
      <c r="C2493" s="962" t="s">
        <v>194</v>
      </c>
      <c r="D2493" s="967"/>
      <c r="E2493" s="970">
        <f>SUM(E2491:E2492)</f>
        <v>6730.24</v>
      </c>
      <c r="F2493" s="970">
        <f>SUM(F2491:F2492)</f>
        <v>7065.7</v>
      </c>
      <c r="G2493" s="972">
        <f>SUM(G2491:G2492)</f>
        <v>7401.16</v>
      </c>
      <c r="H2493" s="964" t="s">
        <v>2312</v>
      </c>
    </row>
    <row r="2494" spans="1:8" hidden="1">
      <c r="A2494" s="967"/>
      <c r="B2494" s="967"/>
      <c r="C2494" s="962" t="s">
        <v>181</v>
      </c>
      <c r="D2494" s="967"/>
      <c r="E2494" s="974">
        <f>ROUND(E2493/10,2)</f>
        <v>673.02</v>
      </c>
      <c r="F2494" s="974">
        <f>ROUND(F2493/10,2)</f>
        <v>706.57</v>
      </c>
      <c r="G2494" s="971">
        <f>ROUND(G2493/10,2)</f>
        <v>740.12</v>
      </c>
      <c r="H2494" s="964" t="s">
        <v>2312</v>
      </c>
    </row>
    <row r="2495" spans="1:8" ht="165.75" hidden="1">
      <c r="A2495" s="896">
        <v>15</v>
      </c>
      <c r="B2495" s="966" t="s">
        <v>195</v>
      </c>
      <c r="C2495" s="1382" t="s">
        <v>212</v>
      </c>
      <c r="D2495" s="967"/>
      <c r="E2495" s="967"/>
      <c r="F2495" s="967"/>
      <c r="G2495" s="966"/>
      <c r="H2495" s="964" t="s">
        <v>2312</v>
      </c>
    </row>
    <row r="2496" spans="1:8" hidden="1">
      <c r="A2496" s="896"/>
      <c r="B2496" s="966"/>
      <c r="C2496" s="962" t="s">
        <v>42</v>
      </c>
      <c r="D2496" s="967"/>
      <c r="E2496" s="967"/>
      <c r="F2496" s="967"/>
      <c r="G2496" s="972"/>
      <c r="H2496" s="964" t="s">
        <v>2312</v>
      </c>
    </row>
    <row r="2497" spans="1:8" hidden="1">
      <c r="A2497" s="896"/>
      <c r="B2497" s="966"/>
      <c r="C2497" s="962" t="s">
        <v>60</v>
      </c>
      <c r="D2497" s="967"/>
      <c r="E2497" s="967"/>
      <c r="F2497" s="967"/>
      <c r="G2497" s="972"/>
      <c r="H2497" s="964" t="s">
        <v>2312</v>
      </c>
    </row>
    <row r="2498" spans="1:8" hidden="1">
      <c r="A2498" s="896"/>
      <c r="B2498" s="966"/>
      <c r="C2498" s="1382" t="s">
        <v>203</v>
      </c>
      <c r="D2498" s="967" t="s">
        <v>77</v>
      </c>
      <c r="E2498" s="970">
        <v>10.5</v>
      </c>
      <c r="F2498" s="970">
        <f>'MINI SSR 21-22'!C21</f>
        <v>612</v>
      </c>
      <c r="G2498" s="969">
        <f>ROUND(E2498*F2498,2)</f>
        <v>6426</v>
      </c>
      <c r="H2498" s="964" t="s">
        <v>2312</v>
      </c>
    </row>
    <row r="2499" spans="1:8" hidden="1">
      <c r="A2499" s="896"/>
      <c r="B2499" s="966"/>
      <c r="C2499" s="1382" t="s">
        <v>91</v>
      </c>
      <c r="D2499" s="967" t="s">
        <v>4</v>
      </c>
      <c r="E2499" s="970">
        <v>21.6</v>
      </c>
      <c r="F2499" s="970">
        <f>'lead 21-22'!L8</f>
        <v>4700</v>
      </c>
      <c r="G2499" s="969">
        <f>ROUND(E2499*F2499/1000,2)</f>
        <v>101.52</v>
      </c>
      <c r="H2499" s="964" t="s">
        <v>2312</v>
      </c>
    </row>
    <row r="2500" spans="1:8" hidden="1">
      <c r="A2500" s="896"/>
      <c r="B2500" s="966"/>
      <c r="C2500" s="1382" t="s">
        <v>92</v>
      </c>
      <c r="D2500" s="967" t="s">
        <v>4</v>
      </c>
      <c r="E2500" s="970">
        <v>33</v>
      </c>
      <c r="F2500" s="970">
        <f>F2499</f>
        <v>4700</v>
      </c>
      <c r="G2500" s="969">
        <f>ROUND(E2500*F2500/1000,2)</f>
        <v>155.1</v>
      </c>
      <c r="H2500" s="964" t="s">
        <v>2312</v>
      </c>
    </row>
    <row r="2501" spans="1:8" hidden="1">
      <c r="A2501" s="896"/>
      <c r="B2501" s="966"/>
      <c r="C2501" s="1382" t="s">
        <v>196</v>
      </c>
      <c r="D2501" s="967" t="s">
        <v>4</v>
      </c>
      <c r="E2501" s="970">
        <v>6</v>
      </c>
      <c r="F2501" s="970">
        <f>F2500</f>
        <v>4700</v>
      </c>
      <c r="G2501" s="969">
        <f>ROUND(E2501*F2501/1000,2)</f>
        <v>28.2</v>
      </c>
      <c r="H2501" s="964" t="s">
        <v>2312</v>
      </c>
    </row>
    <row r="2502" spans="1:8" hidden="1">
      <c r="A2502" s="896"/>
      <c r="B2502" s="966"/>
      <c r="C2502" s="1382" t="s">
        <v>197</v>
      </c>
      <c r="D2502" s="967" t="s">
        <v>35</v>
      </c>
      <c r="E2502" s="970">
        <v>0.12</v>
      </c>
      <c r="F2502" s="970">
        <f>'lead 21-22'!L12</f>
        <v>1743.4000000000019</v>
      </c>
      <c r="G2502" s="969">
        <f>ROUND(E2502*F2502,2)</f>
        <v>209.21</v>
      </c>
      <c r="H2502" s="964" t="s">
        <v>2312</v>
      </c>
    </row>
    <row r="2503" spans="1:8" hidden="1">
      <c r="A2503" s="896"/>
      <c r="B2503" s="966"/>
      <c r="C2503" s="1382" t="s">
        <v>198</v>
      </c>
      <c r="D2503" s="967" t="s">
        <v>35</v>
      </c>
      <c r="E2503" s="970">
        <v>0.02</v>
      </c>
      <c r="F2503" s="970">
        <f>F2502</f>
        <v>1743.4000000000019</v>
      </c>
      <c r="G2503" s="969">
        <f>ROUND(E2503*F2503,2)</f>
        <v>34.869999999999997</v>
      </c>
      <c r="H2503" s="964" t="s">
        <v>2312</v>
      </c>
    </row>
    <row r="2504" spans="1:8" hidden="1">
      <c r="A2504" s="967"/>
      <c r="B2504" s="967"/>
      <c r="C2504" s="962" t="s">
        <v>68</v>
      </c>
      <c r="D2504" s="967"/>
      <c r="E2504" s="970"/>
      <c r="F2504" s="970"/>
      <c r="G2504" s="969"/>
      <c r="H2504" s="964" t="s">
        <v>2312</v>
      </c>
    </row>
    <row r="2505" spans="1:8" hidden="1">
      <c r="A2505" s="967"/>
      <c r="B2505" s="967"/>
      <c r="C2505" s="1382" t="s">
        <v>64</v>
      </c>
      <c r="D2505" s="967" t="s">
        <v>27</v>
      </c>
      <c r="E2505" s="970">
        <v>0.96</v>
      </c>
      <c r="F2505" s="990">
        <f>'MINI SSR 21-22'!$H$3</f>
        <v>585</v>
      </c>
      <c r="G2505" s="969">
        <f>ROUND(E2505*F2505,2)</f>
        <v>561.6</v>
      </c>
      <c r="H2505" s="964" t="s">
        <v>2312</v>
      </c>
    </row>
    <row r="2506" spans="1:8" hidden="1">
      <c r="A2506" s="967"/>
      <c r="B2506" s="967"/>
      <c r="C2506" s="1382" t="s">
        <v>69</v>
      </c>
      <c r="D2506" s="967" t="s">
        <v>27</v>
      </c>
      <c r="E2506" s="970">
        <v>2.2400000000000002</v>
      </c>
      <c r="F2506" s="990">
        <f>'MINI SSR 21-22'!$H$4</f>
        <v>525</v>
      </c>
      <c r="G2506" s="969">
        <f>ROUND(E2506*F2506,2)</f>
        <v>1176</v>
      </c>
      <c r="H2506" s="964" t="s">
        <v>2312</v>
      </c>
    </row>
    <row r="2507" spans="1:8" hidden="1">
      <c r="A2507" s="967"/>
      <c r="B2507" s="967"/>
      <c r="C2507" s="1382" t="s">
        <v>85</v>
      </c>
      <c r="D2507" s="967" t="s">
        <v>27</v>
      </c>
      <c r="E2507" s="970">
        <v>3.3</v>
      </c>
      <c r="F2507" s="990">
        <f>'MINI SSR 21-22'!$H$5</f>
        <v>490</v>
      </c>
      <c r="G2507" s="969">
        <f>ROUND(E2507*F2507,2)</f>
        <v>1617</v>
      </c>
      <c r="H2507" s="964" t="s">
        <v>2312</v>
      </c>
    </row>
    <row r="2508" spans="1:8" hidden="1">
      <c r="A2508" s="967"/>
      <c r="B2508" s="967"/>
      <c r="C2508" s="1382" t="s">
        <v>1220</v>
      </c>
      <c r="D2508" s="967"/>
      <c r="E2508" s="970">
        <v>0.01</v>
      </c>
      <c r="F2508" s="970">
        <f>SUM(G2498:G2507)</f>
        <v>10309.5</v>
      </c>
      <c r="G2508" s="969">
        <f>ROUND(E2508*F2508,2)</f>
        <v>103.1</v>
      </c>
      <c r="H2508" s="964" t="s">
        <v>2312</v>
      </c>
    </row>
    <row r="2509" spans="1:8" hidden="1">
      <c r="A2509" s="967"/>
      <c r="B2509" s="967"/>
      <c r="C2509" s="962" t="s">
        <v>88</v>
      </c>
      <c r="D2509" s="967"/>
      <c r="E2509" s="967"/>
      <c r="F2509" s="967"/>
      <c r="G2509" s="971">
        <f>SUM(G2498:G2508)</f>
        <v>10412.6</v>
      </c>
      <c r="H2509" s="964" t="s">
        <v>2312</v>
      </c>
    </row>
    <row r="2510" spans="1:8" hidden="1">
      <c r="A2510" s="967"/>
      <c r="B2510" s="967"/>
      <c r="C2510" s="962"/>
      <c r="D2510" s="967"/>
      <c r="E2510" s="966" t="s">
        <v>161</v>
      </c>
      <c r="F2510" s="966" t="s">
        <v>162</v>
      </c>
      <c r="G2510" s="974" t="s">
        <v>163</v>
      </c>
      <c r="H2510" s="964" t="s">
        <v>2312</v>
      </c>
    </row>
    <row r="2511" spans="1:8" hidden="1">
      <c r="A2511" s="967"/>
      <c r="B2511" s="967"/>
      <c r="C2511" s="962" t="s">
        <v>1274</v>
      </c>
      <c r="D2511" s="967"/>
      <c r="E2511" s="970">
        <f>G2509</f>
        <v>10412.6</v>
      </c>
      <c r="F2511" s="970">
        <f>G2509</f>
        <v>10412.6</v>
      </c>
      <c r="G2511" s="972">
        <f>G2509</f>
        <v>10412.6</v>
      </c>
      <c r="H2511" s="964" t="s">
        <v>2312</v>
      </c>
    </row>
    <row r="2512" spans="1:8" ht="25.5" hidden="1">
      <c r="A2512" s="967"/>
      <c r="B2512" s="967"/>
      <c r="C2512" s="1382" t="s">
        <v>170</v>
      </c>
      <c r="D2512" s="967"/>
      <c r="E2512" s="967"/>
      <c r="F2512" s="970">
        <f>ROUND((G2505+G2506+G2507)*0.1,2)</f>
        <v>335.46</v>
      </c>
      <c r="G2512" s="975">
        <f>ROUND((G2505+G2506+G2507)*0.2,2)</f>
        <v>670.92</v>
      </c>
      <c r="H2512" s="964" t="s">
        <v>2312</v>
      </c>
    </row>
    <row r="2513" spans="1:8" hidden="1">
      <c r="A2513" s="967"/>
      <c r="B2513" s="967"/>
      <c r="C2513" s="962" t="s">
        <v>194</v>
      </c>
      <c r="D2513" s="967"/>
      <c r="E2513" s="974">
        <f>SUM(E2511:E2512)</f>
        <v>10412.6</v>
      </c>
      <c r="F2513" s="974">
        <f>SUM(F2511:F2512)</f>
        <v>10748.06</v>
      </c>
      <c r="G2513" s="971">
        <f>SUM(G2511:G2512)</f>
        <v>11083.52</v>
      </c>
      <c r="H2513" s="964" t="s">
        <v>2312</v>
      </c>
    </row>
    <row r="2514" spans="1:8" hidden="1">
      <c r="A2514" s="967"/>
      <c r="B2514" s="967"/>
      <c r="C2514" s="962" t="s">
        <v>181</v>
      </c>
      <c r="D2514" s="967"/>
      <c r="E2514" s="974">
        <f>ROUND(E2513/10,2)</f>
        <v>1041.26</v>
      </c>
      <c r="F2514" s="974">
        <f>ROUND(F2513/10,2)</f>
        <v>1074.81</v>
      </c>
      <c r="G2514" s="971">
        <f>ROUND(G2513/10,2)</f>
        <v>1108.3499999999999</v>
      </c>
      <c r="H2514" s="964" t="s">
        <v>2312</v>
      </c>
    </row>
    <row r="2515" spans="1:8" ht="127.5" hidden="1">
      <c r="A2515" s="896">
        <v>16</v>
      </c>
      <c r="B2515" s="966" t="s">
        <v>199</v>
      </c>
      <c r="C2515" s="1382" t="s">
        <v>213</v>
      </c>
      <c r="D2515" s="967"/>
      <c r="E2515" s="967"/>
      <c r="F2515" s="967"/>
      <c r="G2515" s="966"/>
      <c r="H2515" s="964" t="s">
        <v>2312</v>
      </c>
    </row>
    <row r="2516" spans="1:8" hidden="1">
      <c r="A2516" s="896"/>
      <c r="B2516" s="966"/>
      <c r="C2516" s="962" t="s">
        <v>42</v>
      </c>
      <c r="D2516" s="967"/>
      <c r="E2516" s="967"/>
      <c r="F2516" s="967"/>
      <c r="G2516" s="972"/>
      <c r="H2516" s="964" t="s">
        <v>2312</v>
      </c>
    </row>
    <row r="2517" spans="1:8" hidden="1">
      <c r="A2517" s="896"/>
      <c r="B2517" s="966"/>
      <c r="C2517" s="962" t="s">
        <v>60</v>
      </c>
      <c r="D2517" s="967"/>
      <c r="E2517" s="967"/>
      <c r="F2517" s="967"/>
      <c r="G2517" s="972"/>
      <c r="H2517" s="964" t="s">
        <v>2312</v>
      </c>
    </row>
    <row r="2518" spans="1:8" hidden="1">
      <c r="A2518" s="896"/>
      <c r="B2518" s="966"/>
      <c r="C2518" s="1382" t="s">
        <v>203</v>
      </c>
      <c r="D2518" s="967" t="s">
        <v>77</v>
      </c>
      <c r="E2518" s="970">
        <v>10.5</v>
      </c>
      <c r="F2518" s="970">
        <f>'MINI SSR 21-22'!C21</f>
        <v>612</v>
      </c>
      <c r="G2518" s="969">
        <f>ROUND(E2518*F2518,2)</f>
        <v>6426</v>
      </c>
      <c r="H2518" s="964" t="s">
        <v>2312</v>
      </c>
    </row>
    <row r="2519" spans="1:8" hidden="1">
      <c r="A2519" s="896"/>
      <c r="B2519" s="966"/>
      <c r="C2519" s="1382" t="s">
        <v>200</v>
      </c>
      <c r="D2519" s="967" t="s">
        <v>35</v>
      </c>
      <c r="E2519" s="970">
        <v>0.12</v>
      </c>
      <c r="F2519" s="970">
        <f>'lead 21-22'!L12</f>
        <v>1743.4000000000019</v>
      </c>
      <c r="G2519" s="969">
        <f>ROUND(E2519*F2519,2)</f>
        <v>209.21</v>
      </c>
      <c r="H2519" s="964" t="s">
        <v>2312</v>
      </c>
    </row>
    <row r="2520" spans="1:8" hidden="1">
      <c r="A2520" s="896"/>
      <c r="B2520" s="966"/>
      <c r="C2520" s="1382" t="s">
        <v>201</v>
      </c>
      <c r="D2520" s="967" t="s">
        <v>4</v>
      </c>
      <c r="E2520" s="970">
        <v>34.56</v>
      </c>
      <c r="F2520" s="970">
        <f>'lead 21-22'!L8</f>
        <v>4700</v>
      </c>
      <c r="G2520" s="969">
        <f>ROUND(E2520*F2520/1000,2)</f>
        <v>162.43</v>
      </c>
      <c r="H2520" s="964" t="s">
        <v>2312</v>
      </c>
    </row>
    <row r="2521" spans="1:8" hidden="1">
      <c r="A2521" s="896"/>
      <c r="B2521" s="966"/>
      <c r="C2521" s="1382" t="s">
        <v>202</v>
      </c>
      <c r="D2521" s="967" t="s">
        <v>4</v>
      </c>
      <c r="E2521" s="970">
        <v>33</v>
      </c>
      <c r="F2521" s="970">
        <f>F2520</f>
        <v>4700</v>
      </c>
      <c r="G2521" s="969">
        <f>ROUND(E2521*F2521/1000,2)</f>
        <v>155.1</v>
      </c>
      <c r="H2521" s="964" t="s">
        <v>2312</v>
      </c>
    </row>
    <row r="2522" spans="1:8" hidden="1">
      <c r="A2522" s="896"/>
      <c r="B2522" s="966"/>
      <c r="C2522" s="1382" t="s">
        <v>204</v>
      </c>
      <c r="D2522" s="967" t="s">
        <v>4</v>
      </c>
      <c r="E2522" s="970">
        <v>2</v>
      </c>
      <c r="F2522" s="970">
        <f>'MINI SSR 21-22'!C45</f>
        <v>27.95</v>
      </c>
      <c r="G2522" s="969">
        <f>ROUND(E2522*F2522,2)</f>
        <v>55.9</v>
      </c>
      <c r="H2522" s="964" t="s">
        <v>2312</v>
      </c>
    </row>
    <row r="2523" spans="1:8" hidden="1">
      <c r="A2523" s="967"/>
      <c r="B2523" s="967"/>
      <c r="C2523" s="962" t="s">
        <v>68</v>
      </c>
      <c r="D2523" s="967"/>
      <c r="E2523" s="970"/>
      <c r="F2523" s="970"/>
      <c r="G2523" s="969"/>
      <c r="H2523" s="964" t="s">
        <v>2312</v>
      </c>
    </row>
    <row r="2524" spans="1:8" hidden="1">
      <c r="A2524" s="967"/>
      <c r="B2524" s="967"/>
      <c r="C2524" s="1382" t="s">
        <v>64</v>
      </c>
      <c r="D2524" s="967" t="s">
        <v>27</v>
      </c>
      <c r="E2524" s="970">
        <v>0.96</v>
      </c>
      <c r="F2524" s="990">
        <f>'MINI SSR 21-22'!$H$3</f>
        <v>585</v>
      </c>
      <c r="G2524" s="969">
        <f>ROUND(E2524*F2524,2)</f>
        <v>561.6</v>
      </c>
      <c r="H2524" s="964" t="s">
        <v>2312</v>
      </c>
    </row>
    <row r="2525" spans="1:8" hidden="1">
      <c r="A2525" s="967"/>
      <c r="B2525" s="967"/>
      <c r="C2525" s="1382" t="s">
        <v>69</v>
      </c>
      <c r="D2525" s="967" t="s">
        <v>27</v>
      </c>
      <c r="E2525" s="970">
        <v>2.2400000000000002</v>
      </c>
      <c r="F2525" s="990">
        <f>'MINI SSR 21-22'!$H$4</f>
        <v>525</v>
      </c>
      <c r="G2525" s="969">
        <f>ROUND(E2525*F2525,2)</f>
        <v>1176</v>
      </c>
      <c r="H2525" s="964" t="s">
        <v>2312</v>
      </c>
    </row>
    <row r="2526" spans="1:8" hidden="1">
      <c r="A2526" s="967"/>
      <c r="B2526" s="967"/>
      <c r="C2526" s="1382" t="s">
        <v>85</v>
      </c>
      <c r="D2526" s="967" t="s">
        <v>27</v>
      </c>
      <c r="E2526" s="970">
        <v>3.3</v>
      </c>
      <c r="F2526" s="990">
        <f>'MINI SSR 21-22'!$H$5</f>
        <v>490</v>
      </c>
      <c r="G2526" s="969">
        <f>ROUND(E2526*F2526,2)</f>
        <v>1617</v>
      </c>
      <c r="H2526" s="964" t="s">
        <v>2312</v>
      </c>
    </row>
    <row r="2527" spans="1:8" hidden="1">
      <c r="A2527" s="967"/>
      <c r="B2527" s="967"/>
      <c r="C2527" s="962" t="s">
        <v>88</v>
      </c>
      <c r="D2527" s="967"/>
      <c r="E2527" s="967"/>
      <c r="F2527" s="967"/>
      <c r="G2527" s="971">
        <f>SUM(G2518:G2526)</f>
        <v>10363.240000000002</v>
      </c>
      <c r="H2527" s="964" t="s">
        <v>2312</v>
      </c>
    </row>
    <row r="2528" spans="1:8" hidden="1">
      <c r="A2528" s="967"/>
      <c r="B2528" s="967"/>
      <c r="C2528" s="962"/>
      <c r="D2528" s="967"/>
      <c r="E2528" s="966" t="s">
        <v>161</v>
      </c>
      <c r="F2528" s="966" t="s">
        <v>162</v>
      </c>
      <c r="G2528" s="974" t="s">
        <v>163</v>
      </c>
      <c r="H2528" s="964" t="s">
        <v>2312</v>
      </c>
    </row>
    <row r="2529" spans="1:8" hidden="1">
      <c r="A2529" s="967"/>
      <c r="B2529" s="967"/>
      <c r="C2529" s="962" t="s">
        <v>1274</v>
      </c>
      <c r="D2529" s="967"/>
      <c r="E2529" s="970">
        <f>G2527</f>
        <v>10363.240000000002</v>
      </c>
      <c r="F2529" s="970">
        <f>G2527</f>
        <v>10363.240000000002</v>
      </c>
      <c r="G2529" s="972">
        <f>G2527</f>
        <v>10363.240000000002</v>
      </c>
      <c r="H2529" s="964" t="s">
        <v>2312</v>
      </c>
    </row>
    <row r="2530" spans="1:8" ht="25.5" hidden="1">
      <c r="A2530" s="967"/>
      <c r="B2530" s="967"/>
      <c r="C2530" s="1382" t="s">
        <v>170</v>
      </c>
      <c r="D2530" s="967"/>
      <c r="E2530" s="967"/>
      <c r="F2530" s="970">
        <f>ROUND((G2524+G2525+G2526)*0.1,2)</f>
        <v>335.46</v>
      </c>
      <c r="G2530" s="975">
        <f>ROUND((G2524+G2525+G2526)*0.2,2)</f>
        <v>670.92</v>
      </c>
      <c r="H2530" s="964" t="s">
        <v>2312</v>
      </c>
    </row>
    <row r="2531" spans="1:8" hidden="1">
      <c r="A2531" s="967"/>
      <c r="B2531" s="967"/>
      <c r="C2531" s="962" t="s">
        <v>194</v>
      </c>
      <c r="D2531" s="967"/>
      <c r="E2531" s="974">
        <f>SUM(E2529:E2530)</f>
        <v>10363.240000000002</v>
      </c>
      <c r="F2531" s="974">
        <f>SUM(F2529:F2530)</f>
        <v>10698.7</v>
      </c>
      <c r="G2531" s="971">
        <f>SUM(G2529:G2530)</f>
        <v>11034.160000000002</v>
      </c>
      <c r="H2531" s="964" t="s">
        <v>2312</v>
      </c>
    </row>
    <row r="2532" spans="1:8" hidden="1">
      <c r="A2532" s="967"/>
      <c r="B2532" s="967"/>
      <c r="C2532" s="962" t="s">
        <v>181</v>
      </c>
      <c r="D2532" s="967"/>
      <c r="E2532" s="974">
        <f>ROUND(E2531/10,2)</f>
        <v>1036.32</v>
      </c>
      <c r="F2532" s="974">
        <f>ROUND(F2531/10,2)</f>
        <v>1069.8699999999999</v>
      </c>
      <c r="G2532" s="971">
        <f>ROUND(G2531/10,2)</f>
        <v>1103.42</v>
      </c>
      <c r="H2532" s="964" t="s">
        <v>2312</v>
      </c>
    </row>
    <row r="2533" spans="1:8" ht="140.25" hidden="1">
      <c r="A2533" s="896">
        <v>17</v>
      </c>
      <c r="B2533" s="966" t="s">
        <v>205</v>
      </c>
      <c r="C2533" s="1382" t="s">
        <v>211</v>
      </c>
      <c r="D2533" s="967"/>
      <c r="E2533" s="967"/>
      <c r="F2533" s="967"/>
      <c r="G2533" s="966"/>
      <c r="H2533" s="964" t="s">
        <v>2312</v>
      </c>
    </row>
    <row r="2534" spans="1:8" hidden="1">
      <c r="A2534" s="896"/>
      <c r="B2534" s="966"/>
      <c r="C2534" s="962" t="s">
        <v>42</v>
      </c>
      <c r="D2534" s="967"/>
      <c r="E2534" s="967"/>
      <c r="F2534" s="967"/>
      <c r="G2534" s="972"/>
      <c r="H2534" s="964" t="s">
        <v>2312</v>
      </c>
    </row>
    <row r="2535" spans="1:8" hidden="1">
      <c r="A2535" s="896"/>
      <c r="B2535" s="966"/>
      <c r="C2535" s="962" t="s">
        <v>60</v>
      </c>
      <c r="D2535" s="967"/>
      <c r="E2535" s="967"/>
      <c r="F2535" s="967"/>
      <c r="G2535" s="972"/>
      <c r="H2535" s="964" t="s">
        <v>2312</v>
      </c>
    </row>
    <row r="2536" spans="1:8" hidden="1">
      <c r="A2536" s="896"/>
      <c r="B2536" s="966"/>
      <c r="C2536" s="1382" t="s">
        <v>206</v>
      </c>
      <c r="D2536" s="967" t="s">
        <v>77</v>
      </c>
      <c r="E2536" s="970">
        <v>10.5</v>
      </c>
      <c r="F2536" s="970">
        <f>'MINI SSR 21-22'!C22</f>
        <v>370</v>
      </c>
      <c r="G2536" s="969">
        <f>ROUND(E2536*F2536,2)</f>
        <v>3885</v>
      </c>
      <c r="H2536" s="964" t="s">
        <v>2312</v>
      </c>
    </row>
    <row r="2537" spans="1:8" hidden="1">
      <c r="A2537" s="896"/>
      <c r="B2537" s="966"/>
      <c r="C2537" s="1382" t="s">
        <v>91</v>
      </c>
      <c r="D2537" s="967" t="s">
        <v>4</v>
      </c>
      <c r="E2537" s="970">
        <v>21.6</v>
      </c>
      <c r="F2537" s="970">
        <f>'lead 21-22'!L8</f>
        <v>4700</v>
      </c>
      <c r="G2537" s="969">
        <f>ROUND(E2537*F2537/1000,2)</f>
        <v>101.52</v>
      </c>
      <c r="H2537" s="964" t="s">
        <v>2312</v>
      </c>
    </row>
    <row r="2538" spans="1:8" hidden="1">
      <c r="A2538" s="896"/>
      <c r="B2538" s="966"/>
      <c r="C2538" s="1382" t="s">
        <v>92</v>
      </c>
      <c r="D2538" s="967" t="s">
        <v>4</v>
      </c>
      <c r="E2538" s="970">
        <v>33</v>
      </c>
      <c r="F2538" s="970">
        <f>F2537</f>
        <v>4700</v>
      </c>
      <c r="G2538" s="969">
        <f>ROUND(E2538*F2538/1000,2)</f>
        <v>155.1</v>
      </c>
      <c r="H2538" s="964" t="s">
        <v>2312</v>
      </c>
    </row>
    <row r="2539" spans="1:8" hidden="1">
      <c r="A2539" s="896"/>
      <c r="B2539" s="966"/>
      <c r="C2539" s="1382" t="s">
        <v>204</v>
      </c>
      <c r="D2539" s="967" t="s">
        <v>4</v>
      </c>
      <c r="E2539" s="970">
        <v>2</v>
      </c>
      <c r="F2539" s="970">
        <f>F2522</f>
        <v>27.95</v>
      </c>
      <c r="G2539" s="969">
        <f>ROUND(E2539*F2539,2)</f>
        <v>55.9</v>
      </c>
      <c r="H2539" s="964" t="s">
        <v>2312</v>
      </c>
    </row>
    <row r="2540" spans="1:8" hidden="1">
      <c r="A2540" s="896"/>
      <c r="B2540" s="966"/>
      <c r="C2540" s="1382" t="s">
        <v>114</v>
      </c>
      <c r="D2540" s="967" t="s">
        <v>35</v>
      </c>
      <c r="E2540" s="970">
        <v>0.12</v>
      </c>
      <c r="F2540" s="970">
        <f>'lead 21-22'!L12</f>
        <v>1743.4000000000019</v>
      </c>
      <c r="G2540" s="969">
        <f>ROUND(E2540*F2540,2)</f>
        <v>209.21</v>
      </c>
      <c r="H2540" s="964" t="s">
        <v>2312</v>
      </c>
    </row>
    <row r="2541" spans="1:8" hidden="1">
      <c r="A2541" s="967"/>
      <c r="B2541" s="967"/>
      <c r="C2541" s="962" t="s">
        <v>68</v>
      </c>
      <c r="D2541" s="967"/>
      <c r="E2541" s="970"/>
      <c r="F2541" s="970"/>
      <c r="G2541" s="969"/>
      <c r="H2541" s="964" t="s">
        <v>2312</v>
      </c>
    </row>
    <row r="2542" spans="1:8" hidden="1">
      <c r="A2542" s="967"/>
      <c r="B2542" s="967"/>
      <c r="C2542" s="1382" t="s">
        <v>64</v>
      </c>
      <c r="D2542" s="967" t="s">
        <v>27</v>
      </c>
      <c r="E2542" s="970">
        <v>0.96</v>
      </c>
      <c r="F2542" s="990">
        <f>'MINI SSR 21-22'!$H$3</f>
        <v>585</v>
      </c>
      <c r="G2542" s="969">
        <f>ROUND(E2542*F2542,2)</f>
        <v>561.6</v>
      </c>
      <c r="H2542" s="964" t="s">
        <v>2312</v>
      </c>
    </row>
    <row r="2543" spans="1:8" hidden="1">
      <c r="A2543" s="967"/>
      <c r="B2543" s="967"/>
      <c r="C2543" s="1382" t="s">
        <v>69</v>
      </c>
      <c r="D2543" s="967" t="s">
        <v>27</v>
      </c>
      <c r="E2543" s="970">
        <v>2.2400000000000002</v>
      </c>
      <c r="F2543" s="990">
        <f>'MINI SSR 21-22'!$H$4</f>
        <v>525</v>
      </c>
      <c r="G2543" s="969">
        <f>ROUND(E2543*F2543,2)</f>
        <v>1176</v>
      </c>
      <c r="H2543" s="964" t="s">
        <v>2312</v>
      </c>
    </row>
    <row r="2544" spans="1:8" hidden="1">
      <c r="A2544" s="967"/>
      <c r="B2544" s="967"/>
      <c r="C2544" s="1382" t="s">
        <v>85</v>
      </c>
      <c r="D2544" s="967" t="s">
        <v>27</v>
      </c>
      <c r="E2544" s="970">
        <v>3.3</v>
      </c>
      <c r="F2544" s="990">
        <f>'MINI SSR 21-22'!$H$5</f>
        <v>490</v>
      </c>
      <c r="G2544" s="969">
        <f>ROUND(E2544*F2544,2)</f>
        <v>1617</v>
      </c>
      <c r="H2544" s="964" t="s">
        <v>2312</v>
      </c>
    </row>
    <row r="2545" spans="1:8" hidden="1">
      <c r="A2545" s="967"/>
      <c r="B2545" s="967"/>
      <c r="C2545" s="962" t="s">
        <v>88</v>
      </c>
      <c r="D2545" s="967"/>
      <c r="E2545" s="967"/>
      <c r="F2545" s="967"/>
      <c r="G2545" s="971">
        <f>SUM(G2536:G2544)</f>
        <v>7761.33</v>
      </c>
      <c r="H2545" s="964" t="s">
        <v>2312</v>
      </c>
    </row>
    <row r="2546" spans="1:8" hidden="1">
      <c r="A2546" s="967"/>
      <c r="B2546" s="967"/>
      <c r="C2546" s="962"/>
      <c r="D2546" s="967"/>
      <c r="E2546" s="966" t="s">
        <v>161</v>
      </c>
      <c r="F2546" s="966" t="s">
        <v>162</v>
      </c>
      <c r="G2546" s="974" t="s">
        <v>163</v>
      </c>
      <c r="H2546" s="964" t="s">
        <v>2312</v>
      </c>
    </row>
    <row r="2547" spans="1:8" hidden="1">
      <c r="A2547" s="967"/>
      <c r="B2547" s="967"/>
      <c r="C2547" s="962" t="s">
        <v>1274</v>
      </c>
      <c r="D2547" s="967"/>
      <c r="E2547" s="970">
        <f>G2545</f>
        <v>7761.33</v>
      </c>
      <c r="F2547" s="970">
        <f>G2545</f>
        <v>7761.33</v>
      </c>
      <c r="G2547" s="972">
        <f>G2545</f>
        <v>7761.33</v>
      </c>
      <c r="H2547" s="964" t="s">
        <v>2312</v>
      </c>
    </row>
    <row r="2548" spans="1:8" ht="25.5" hidden="1">
      <c r="A2548" s="967"/>
      <c r="B2548" s="967"/>
      <c r="C2548" s="1382" t="s">
        <v>170</v>
      </c>
      <c r="D2548" s="967"/>
      <c r="E2548" s="967"/>
      <c r="F2548" s="970">
        <f>ROUND((G2542+G2543+G2544)*0.1,2)</f>
        <v>335.46</v>
      </c>
      <c r="G2548" s="975">
        <f>ROUND((G2542+G2543+G2544)*0.2,2)</f>
        <v>670.92</v>
      </c>
      <c r="H2548" s="964" t="s">
        <v>2312</v>
      </c>
    </row>
    <row r="2549" spans="1:8" hidden="1">
      <c r="A2549" s="967"/>
      <c r="B2549" s="967"/>
      <c r="C2549" s="962" t="s">
        <v>194</v>
      </c>
      <c r="D2549" s="967"/>
      <c r="E2549" s="974">
        <f>SUM(E2547:E2548)</f>
        <v>7761.33</v>
      </c>
      <c r="F2549" s="974">
        <f>SUM(F2547:F2548)</f>
        <v>8096.79</v>
      </c>
      <c r="G2549" s="971">
        <f>SUM(G2547:G2548)</f>
        <v>8432.25</v>
      </c>
      <c r="H2549" s="964" t="s">
        <v>2312</v>
      </c>
    </row>
    <row r="2550" spans="1:8" hidden="1">
      <c r="A2550" s="967"/>
      <c r="B2550" s="967"/>
      <c r="C2550" s="962" t="s">
        <v>181</v>
      </c>
      <c r="D2550" s="967"/>
      <c r="E2550" s="974">
        <f>ROUND(E2549/10,2)</f>
        <v>776.13</v>
      </c>
      <c r="F2550" s="974">
        <f>ROUND(F2549/10,2)</f>
        <v>809.68</v>
      </c>
      <c r="G2550" s="971">
        <f>ROUND(G2549/10,2)</f>
        <v>843.23</v>
      </c>
      <c r="H2550" s="964" t="s">
        <v>2312</v>
      </c>
    </row>
    <row r="2551" spans="1:8" ht="127.5" hidden="1">
      <c r="A2551" s="896">
        <v>18</v>
      </c>
      <c r="B2551" s="966" t="s">
        <v>207</v>
      </c>
      <c r="C2551" s="1382" t="s">
        <v>214</v>
      </c>
      <c r="D2551" s="967"/>
      <c r="E2551" s="967"/>
      <c r="F2551" s="967"/>
      <c r="G2551" s="966"/>
      <c r="H2551" s="964" t="s">
        <v>2312</v>
      </c>
    </row>
    <row r="2552" spans="1:8" hidden="1">
      <c r="A2552" s="896"/>
      <c r="B2552" s="966"/>
      <c r="C2552" s="962" t="s">
        <v>42</v>
      </c>
      <c r="D2552" s="967"/>
      <c r="E2552" s="967"/>
      <c r="F2552" s="967"/>
      <c r="G2552" s="972"/>
      <c r="H2552" s="964" t="s">
        <v>2312</v>
      </c>
    </row>
    <row r="2553" spans="1:8" hidden="1">
      <c r="A2553" s="896"/>
      <c r="B2553" s="966"/>
      <c r="C2553" s="962" t="s">
        <v>60</v>
      </c>
      <c r="D2553" s="966"/>
      <c r="E2553" s="966"/>
      <c r="F2553" s="966"/>
      <c r="G2553" s="972"/>
      <c r="H2553" s="964" t="s">
        <v>2312</v>
      </c>
    </row>
    <row r="2554" spans="1:8" hidden="1">
      <c r="A2554" s="896"/>
      <c r="B2554" s="966"/>
      <c r="C2554" s="1382" t="s">
        <v>208</v>
      </c>
      <c r="D2554" s="967" t="s">
        <v>77</v>
      </c>
      <c r="E2554" s="970">
        <v>10.5</v>
      </c>
      <c r="F2554" s="970">
        <f>'MINI SSR 21-22'!C23</f>
        <v>323</v>
      </c>
      <c r="G2554" s="969">
        <f>ROUND(E2554*F2554,2)</f>
        <v>3391.5</v>
      </c>
      <c r="H2554" s="964" t="s">
        <v>2312</v>
      </c>
    </row>
    <row r="2555" spans="1:8" hidden="1">
      <c r="A2555" s="896"/>
      <c r="B2555" s="966"/>
      <c r="C2555" s="1382" t="s">
        <v>209</v>
      </c>
      <c r="D2555" s="967" t="s">
        <v>35</v>
      </c>
      <c r="E2555" s="970">
        <v>0.12</v>
      </c>
      <c r="F2555" s="970">
        <f>'lead 21-22'!L12</f>
        <v>1743.4000000000019</v>
      </c>
      <c r="G2555" s="924">
        <f>ROUND(E2555*F2555,2)</f>
        <v>209.21</v>
      </c>
      <c r="H2555" s="964" t="s">
        <v>2312</v>
      </c>
    </row>
    <row r="2556" spans="1:8" hidden="1">
      <c r="A2556" s="896"/>
      <c r="B2556" s="966"/>
      <c r="C2556" s="1382" t="s">
        <v>210</v>
      </c>
      <c r="D2556" s="967" t="s">
        <v>4</v>
      </c>
      <c r="E2556" s="970">
        <v>57.6</v>
      </c>
      <c r="F2556" s="970">
        <f>'lead 21-22'!L8</f>
        <v>4700</v>
      </c>
      <c r="G2556" s="924">
        <f>ROUND(E2556*F2556/1000,2)</f>
        <v>270.72000000000003</v>
      </c>
      <c r="H2556" s="964" t="s">
        <v>2312</v>
      </c>
    </row>
    <row r="2557" spans="1:8" hidden="1">
      <c r="A2557" s="896"/>
      <c r="B2557" s="966"/>
      <c r="C2557" s="1382" t="s">
        <v>202</v>
      </c>
      <c r="D2557" s="967" t="s">
        <v>4</v>
      </c>
      <c r="E2557" s="970">
        <v>33</v>
      </c>
      <c r="F2557" s="970">
        <f>F2556</f>
        <v>4700</v>
      </c>
      <c r="G2557" s="924">
        <f>ROUND(E2557*F2557/1000,2)</f>
        <v>155.1</v>
      </c>
      <c r="H2557" s="964" t="s">
        <v>2312</v>
      </c>
    </row>
    <row r="2558" spans="1:8" hidden="1">
      <c r="A2558" s="896"/>
      <c r="B2558" s="966"/>
      <c r="C2558" s="1382" t="s">
        <v>215</v>
      </c>
      <c r="D2558" s="967" t="s">
        <v>4</v>
      </c>
      <c r="E2558" s="970">
        <v>6</v>
      </c>
      <c r="F2558" s="970">
        <f>F2522</f>
        <v>27.95</v>
      </c>
      <c r="G2558" s="924">
        <f>ROUND(E2558*F2558,2)</f>
        <v>167.7</v>
      </c>
      <c r="H2558" s="964" t="s">
        <v>2312</v>
      </c>
    </row>
    <row r="2559" spans="1:8" hidden="1">
      <c r="A2559" s="967"/>
      <c r="B2559" s="967"/>
      <c r="C2559" s="962" t="s">
        <v>68</v>
      </c>
      <c r="D2559" s="967"/>
      <c r="E2559" s="970"/>
      <c r="F2559" s="970"/>
      <c r="G2559" s="924"/>
      <c r="H2559" s="964" t="s">
        <v>2312</v>
      </c>
    </row>
    <row r="2560" spans="1:8" hidden="1">
      <c r="A2560" s="967"/>
      <c r="B2560" s="967"/>
      <c r="C2560" s="1382" t="s">
        <v>64</v>
      </c>
      <c r="D2560" s="967" t="s">
        <v>27</v>
      </c>
      <c r="E2560" s="970">
        <v>0.77</v>
      </c>
      <c r="F2560" s="990">
        <f>'MINI SSR 21-22'!$H$3</f>
        <v>585</v>
      </c>
      <c r="G2560" s="924">
        <f>ROUND(E2560*F2560,2)</f>
        <v>450.45</v>
      </c>
      <c r="H2560" s="964" t="s">
        <v>2312</v>
      </c>
    </row>
    <row r="2561" spans="1:8" hidden="1">
      <c r="A2561" s="967"/>
      <c r="B2561" s="967"/>
      <c r="C2561" s="1382" t="s">
        <v>85</v>
      </c>
      <c r="D2561" s="967" t="s">
        <v>27</v>
      </c>
      <c r="E2561" s="970">
        <v>0.8</v>
      </c>
      <c r="F2561" s="990">
        <f>'MINI SSR 21-22'!$H$5</f>
        <v>490</v>
      </c>
      <c r="G2561" s="924">
        <f>ROUND(E2561*F2561,2)</f>
        <v>392</v>
      </c>
      <c r="H2561" s="964" t="s">
        <v>2312</v>
      </c>
    </row>
    <row r="2562" spans="1:8" hidden="1">
      <c r="A2562" s="967"/>
      <c r="B2562" s="967"/>
      <c r="C2562" s="962" t="s">
        <v>88</v>
      </c>
      <c r="D2562" s="967"/>
      <c r="E2562" s="967"/>
      <c r="F2562" s="967"/>
      <c r="G2562" s="971">
        <f>SUM(G2554:G2561)</f>
        <v>5036.68</v>
      </c>
      <c r="H2562" s="964" t="s">
        <v>2312</v>
      </c>
    </row>
    <row r="2563" spans="1:8" hidden="1">
      <c r="A2563" s="967"/>
      <c r="B2563" s="967"/>
      <c r="C2563" s="962"/>
      <c r="D2563" s="967"/>
      <c r="E2563" s="966" t="s">
        <v>161</v>
      </c>
      <c r="F2563" s="966" t="s">
        <v>162</v>
      </c>
      <c r="G2563" s="974" t="s">
        <v>163</v>
      </c>
      <c r="H2563" s="964" t="s">
        <v>2312</v>
      </c>
    </row>
    <row r="2564" spans="1:8" hidden="1">
      <c r="A2564" s="967"/>
      <c r="B2564" s="967"/>
      <c r="C2564" s="962" t="s">
        <v>1274</v>
      </c>
      <c r="D2564" s="967"/>
      <c r="E2564" s="970">
        <f>G2562</f>
        <v>5036.68</v>
      </c>
      <c r="F2564" s="970">
        <f>G2562</f>
        <v>5036.68</v>
      </c>
      <c r="G2564" s="972">
        <f>G2562</f>
        <v>5036.68</v>
      </c>
      <c r="H2564" s="964" t="s">
        <v>2312</v>
      </c>
    </row>
    <row r="2565" spans="1:8" ht="25.5" hidden="1">
      <c r="A2565" s="967"/>
      <c r="B2565" s="967"/>
      <c r="C2565" s="1382" t="s">
        <v>170</v>
      </c>
      <c r="D2565" s="967"/>
      <c r="E2565" s="967"/>
      <c r="F2565" s="970">
        <f>ROUND((G2560+G2561)*0.1,2)</f>
        <v>84.25</v>
      </c>
      <c r="G2565" s="972">
        <f>ROUND((G2560+G2561)*0.2,2)</f>
        <v>168.49</v>
      </c>
      <c r="H2565" s="964" t="s">
        <v>2312</v>
      </c>
    </row>
    <row r="2566" spans="1:8" hidden="1">
      <c r="A2566" s="967"/>
      <c r="B2566" s="967"/>
      <c r="C2566" s="962" t="s">
        <v>194</v>
      </c>
      <c r="D2566" s="967"/>
      <c r="E2566" s="974">
        <f>SUM(E2564:E2565)</f>
        <v>5036.68</v>
      </c>
      <c r="F2566" s="974">
        <f>SUM(F2564:F2565)</f>
        <v>5120.93</v>
      </c>
      <c r="G2566" s="971">
        <f>SUM(G2564:G2565)</f>
        <v>5205.17</v>
      </c>
      <c r="H2566" s="964" t="s">
        <v>2312</v>
      </c>
    </row>
    <row r="2567" spans="1:8" hidden="1">
      <c r="A2567" s="967"/>
      <c r="B2567" s="967"/>
      <c r="C2567" s="962" t="s">
        <v>181</v>
      </c>
      <c r="D2567" s="967"/>
      <c r="E2567" s="974">
        <f>ROUND(E2566/10,2)</f>
        <v>503.67</v>
      </c>
      <c r="F2567" s="974">
        <f>ROUND(F2566/10,2)</f>
        <v>512.09</v>
      </c>
      <c r="G2567" s="971">
        <f>ROUND(G2566/10,2)</f>
        <v>520.52</v>
      </c>
      <c r="H2567" s="964" t="s">
        <v>2312</v>
      </c>
    </row>
    <row r="2568" spans="1:8" ht="25.5" hidden="1">
      <c r="A2568" s="896">
        <v>38</v>
      </c>
      <c r="B2568" s="966" t="s">
        <v>1349</v>
      </c>
      <c r="C2568" s="1382" t="s">
        <v>1201</v>
      </c>
      <c r="D2568" s="967"/>
      <c r="E2568" s="967"/>
      <c r="F2568" s="967"/>
      <c r="G2568" s="966"/>
      <c r="H2568" s="964" t="s">
        <v>2312</v>
      </c>
    </row>
    <row r="2569" spans="1:8" hidden="1">
      <c r="A2569" s="896"/>
      <c r="B2569" s="966"/>
      <c r="C2569" s="962" t="s">
        <v>868</v>
      </c>
      <c r="D2569" s="967"/>
      <c r="E2569" s="967"/>
      <c r="F2569" s="967"/>
      <c r="G2569" s="972"/>
      <c r="H2569" s="964" t="s">
        <v>2312</v>
      </c>
    </row>
    <row r="2570" spans="1:8" hidden="1">
      <c r="A2570" s="896"/>
      <c r="B2570" s="966"/>
      <c r="C2570" s="962" t="s">
        <v>60</v>
      </c>
      <c r="D2570" s="967"/>
      <c r="E2570" s="967"/>
      <c r="F2570" s="967"/>
      <c r="G2570" s="972"/>
      <c r="H2570" s="964" t="s">
        <v>2312</v>
      </c>
    </row>
    <row r="2571" spans="1:8" hidden="1">
      <c r="A2571" s="896"/>
      <c r="B2571" s="966"/>
      <c r="C2571" s="1382" t="s">
        <v>33</v>
      </c>
      <c r="D2571" s="967" t="s">
        <v>4</v>
      </c>
      <c r="E2571" s="970">
        <v>14.4</v>
      </c>
      <c r="F2571" s="970">
        <f>'lead 21-22'!L8</f>
        <v>4700</v>
      </c>
      <c r="G2571" s="969">
        <f>ROUND(E2571*F2571/1000,2)</f>
        <v>67.680000000000007</v>
      </c>
      <c r="H2571" s="964" t="s">
        <v>2312</v>
      </c>
    </row>
    <row r="2572" spans="1:8" hidden="1">
      <c r="A2572" s="896"/>
      <c r="B2572" s="966"/>
      <c r="C2572" s="1382" t="s">
        <v>113</v>
      </c>
      <c r="D2572" s="967" t="s">
        <v>35</v>
      </c>
      <c r="E2572" s="970">
        <v>0.03</v>
      </c>
      <c r="F2572" s="970">
        <f>'lead 21-22'!L12</f>
        <v>1743.4000000000019</v>
      </c>
      <c r="G2572" s="969">
        <f>ROUND(E2572*F2572,2)</f>
        <v>52.3</v>
      </c>
      <c r="H2572" s="964" t="s">
        <v>2312</v>
      </c>
    </row>
    <row r="2573" spans="1:8" hidden="1">
      <c r="A2573" s="967"/>
      <c r="B2573" s="967"/>
      <c r="C2573" s="962" t="s">
        <v>68</v>
      </c>
      <c r="D2573" s="967"/>
      <c r="E2573" s="970"/>
      <c r="F2573" s="970"/>
      <c r="G2573" s="969"/>
      <c r="H2573" s="964" t="s">
        <v>2312</v>
      </c>
    </row>
    <row r="2574" spans="1:8" hidden="1">
      <c r="A2574" s="967"/>
      <c r="B2574" s="967"/>
      <c r="C2574" s="1382" t="s">
        <v>69</v>
      </c>
      <c r="D2574" s="967" t="s">
        <v>27</v>
      </c>
      <c r="E2574" s="970">
        <v>0.5</v>
      </c>
      <c r="F2574" s="990">
        <f>'MINI SSR 21-22'!$H$4</f>
        <v>525</v>
      </c>
      <c r="G2574" s="969">
        <f>ROUND(E2574*F2574,2)</f>
        <v>262.5</v>
      </c>
      <c r="H2574" s="964" t="s">
        <v>2312</v>
      </c>
    </row>
    <row r="2575" spans="1:8" hidden="1">
      <c r="A2575" s="967"/>
      <c r="B2575" s="967"/>
      <c r="C2575" s="1382" t="s">
        <v>85</v>
      </c>
      <c r="D2575" s="967" t="s">
        <v>27</v>
      </c>
      <c r="E2575" s="970">
        <v>0.74</v>
      </c>
      <c r="F2575" s="990">
        <f>'MINI SSR 21-22'!$H$5</f>
        <v>490</v>
      </c>
      <c r="G2575" s="969">
        <f>ROUND(E2575*F2575,2)</f>
        <v>362.6</v>
      </c>
      <c r="H2575" s="964" t="s">
        <v>2312</v>
      </c>
    </row>
    <row r="2576" spans="1:8" hidden="1">
      <c r="A2576" s="967"/>
      <c r="B2576" s="967"/>
      <c r="C2576" s="962" t="s">
        <v>88</v>
      </c>
      <c r="D2576" s="967"/>
      <c r="E2576" s="970"/>
      <c r="F2576" s="970"/>
      <c r="G2576" s="969">
        <f>SUM(G2571:G2575)</f>
        <v>745.08</v>
      </c>
      <c r="H2576" s="964" t="s">
        <v>2312</v>
      </c>
    </row>
    <row r="2577" spans="1:8" ht="114.75" hidden="1">
      <c r="A2577" s="896">
        <v>39</v>
      </c>
      <c r="B2577" s="966" t="s">
        <v>1350</v>
      </c>
      <c r="C2577" s="1382" t="s">
        <v>1202</v>
      </c>
      <c r="D2577" s="967"/>
      <c r="E2577" s="967"/>
      <c r="F2577" s="967"/>
      <c r="G2577" s="966"/>
      <c r="H2577" s="964" t="s">
        <v>2312</v>
      </c>
    </row>
    <row r="2578" spans="1:8" hidden="1">
      <c r="A2578" s="896"/>
      <c r="B2578" s="966"/>
      <c r="C2578" s="962" t="s">
        <v>868</v>
      </c>
      <c r="D2578" s="967"/>
      <c r="E2578" s="967"/>
      <c r="F2578" s="967"/>
      <c r="G2578" s="972"/>
      <c r="H2578" s="964" t="s">
        <v>2312</v>
      </c>
    </row>
    <row r="2579" spans="1:8" hidden="1">
      <c r="A2579" s="896"/>
      <c r="B2579" s="966"/>
      <c r="C2579" s="962" t="s">
        <v>60</v>
      </c>
      <c r="D2579" s="967"/>
      <c r="E2579" s="967"/>
      <c r="F2579" s="967"/>
      <c r="G2579" s="972"/>
      <c r="H2579" s="964" t="s">
        <v>2312</v>
      </c>
    </row>
    <row r="2580" spans="1:8" hidden="1">
      <c r="A2580" s="896"/>
      <c r="B2580" s="966"/>
      <c r="C2580" s="1382" t="s">
        <v>1203</v>
      </c>
      <c r="D2580" s="967" t="s">
        <v>11</v>
      </c>
      <c r="E2580" s="973">
        <v>0.255</v>
      </c>
      <c r="F2580" s="970">
        <f>'lead 21-22'!L23</f>
        <v>19447.099999999999</v>
      </c>
      <c r="G2580" s="969">
        <f>ROUND(E2580*F2580/1,2)</f>
        <v>4959.01</v>
      </c>
      <c r="H2580" s="964" t="s">
        <v>2312</v>
      </c>
    </row>
    <row r="2581" spans="1:8" hidden="1">
      <c r="A2581" s="896"/>
      <c r="B2581" s="966"/>
      <c r="C2581" s="1382" t="s">
        <v>873</v>
      </c>
      <c r="D2581" s="967" t="s">
        <v>141</v>
      </c>
      <c r="E2581" s="970">
        <v>21.6</v>
      </c>
      <c r="F2581" s="970">
        <f>'lead 21-22'!L8</f>
        <v>4700</v>
      </c>
      <c r="G2581" s="969">
        <f>ROUND(E2581*F2581/1000,2)</f>
        <v>101.52</v>
      </c>
      <c r="H2581" s="964" t="s">
        <v>2312</v>
      </c>
    </row>
    <row r="2582" spans="1:8" hidden="1">
      <c r="A2582" s="896"/>
      <c r="B2582" s="966"/>
      <c r="C2582" s="1382" t="s">
        <v>1204</v>
      </c>
      <c r="D2582" s="967" t="s">
        <v>141</v>
      </c>
      <c r="E2582" s="970">
        <v>6</v>
      </c>
      <c r="F2582" s="970">
        <f>F2581</f>
        <v>4700</v>
      </c>
      <c r="G2582" s="969">
        <f>ROUND(E2582*F2582/1000,2)</f>
        <v>28.2</v>
      </c>
      <c r="H2582" s="964" t="s">
        <v>2312</v>
      </c>
    </row>
    <row r="2583" spans="1:8" hidden="1">
      <c r="A2583" s="896"/>
      <c r="B2583" s="966"/>
      <c r="C2583" s="1382" t="s">
        <v>1205</v>
      </c>
      <c r="D2583" s="967" t="s">
        <v>102</v>
      </c>
      <c r="E2583" s="970">
        <v>1</v>
      </c>
      <c r="F2583" s="970">
        <f>G2576</f>
        <v>745.08</v>
      </c>
      <c r="G2583" s="969">
        <f>ROUND(E2583*F2583/1,2)</f>
        <v>745.08</v>
      </c>
      <c r="H2583" s="964" t="s">
        <v>2312</v>
      </c>
    </row>
    <row r="2584" spans="1:8" hidden="1">
      <c r="A2584" s="896"/>
      <c r="B2584" s="966"/>
      <c r="C2584" s="1382" t="s">
        <v>1206</v>
      </c>
      <c r="D2584" s="967" t="s">
        <v>35</v>
      </c>
      <c r="E2584" s="970">
        <v>0.04</v>
      </c>
      <c r="F2584" s="970">
        <f>'lead 21-22'!L12</f>
        <v>1743.4000000000019</v>
      </c>
      <c r="G2584" s="969">
        <f>-ROUND(E2584*F2584,2)</f>
        <v>-69.739999999999995</v>
      </c>
      <c r="H2584" s="964" t="s">
        <v>2312</v>
      </c>
    </row>
    <row r="2585" spans="1:8" hidden="1">
      <c r="A2585" s="896"/>
      <c r="B2585" s="966"/>
      <c r="C2585" s="1382" t="s">
        <v>1207</v>
      </c>
      <c r="D2585" s="967" t="s">
        <v>35</v>
      </c>
      <c r="E2585" s="970">
        <v>0.12</v>
      </c>
      <c r="F2585" s="970">
        <f>F2584</f>
        <v>1743.4000000000019</v>
      </c>
      <c r="G2585" s="969">
        <f>ROUND(E2585*F2585,2)</f>
        <v>209.21</v>
      </c>
      <c r="H2585" s="964" t="s">
        <v>2312</v>
      </c>
    </row>
    <row r="2586" spans="1:8" hidden="1">
      <c r="A2586" s="967"/>
      <c r="B2586" s="967"/>
      <c r="C2586" s="962" t="s">
        <v>68</v>
      </c>
      <c r="D2586" s="967"/>
      <c r="E2586" s="970"/>
      <c r="F2586" s="970"/>
      <c r="G2586" s="969"/>
      <c r="H2586" s="964" t="s">
        <v>2312</v>
      </c>
    </row>
    <row r="2587" spans="1:8" hidden="1">
      <c r="A2587" s="967"/>
      <c r="B2587" s="967"/>
      <c r="C2587" s="1382" t="s">
        <v>64</v>
      </c>
      <c r="D2587" s="967" t="s">
        <v>27</v>
      </c>
      <c r="E2587" s="970">
        <v>0.96</v>
      </c>
      <c r="F2587" s="990">
        <f>'MINI SSR 21-22'!$H$3</f>
        <v>585</v>
      </c>
      <c r="G2587" s="969">
        <f>ROUND(E2587*F2587,2)</f>
        <v>561.6</v>
      </c>
      <c r="H2587" s="964" t="s">
        <v>2312</v>
      </c>
    </row>
    <row r="2588" spans="1:8" hidden="1">
      <c r="A2588" s="967"/>
      <c r="B2588" s="967"/>
      <c r="C2588" s="1382" t="s">
        <v>69</v>
      </c>
      <c r="D2588" s="967" t="s">
        <v>27</v>
      </c>
      <c r="E2588" s="970">
        <v>2.2400000000000002</v>
      </c>
      <c r="F2588" s="990">
        <f>'MINI SSR 21-22'!$H$4</f>
        <v>525</v>
      </c>
      <c r="G2588" s="969">
        <f>ROUND(E2588*F2588,2)</f>
        <v>1176</v>
      </c>
      <c r="H2588" s="964" t="s">
        <v>2312</v>
      </c>
    </row>
    <row r="2589" spans="1:8" hidden="1">
      <c r="A2589" s="967"/>
      <c r="B2589" s="967"/>
      <c r="C2589" s="1382" t="s">
        <v>85</v>
      </c>
      <c r="D2589" s="967" t="s">
        <v>27</v>
      </c>
      <c r="E2589" s="970">
        <v>4.3</v>
      </c>
      <c r="F2589" s="990">
        <f>'MINI SSR 21-22'!$H$5</f>
        <v>490</v>
      </c>
      <c r="G2589" s="969">
        <f>ROUND(E2589*F2589,2)</f>
        <v>2107</v>
      </c>
      <c r="H2589" s="964" t="s">
        <v>2312</v>
      </c>
    </row>
    <row r="2590" spans="1:8" hidden="1">
      <c r="A2590" s="967"/>
      <c r="B2590" s="967"/>
      <c r="C2590" s="962" t="s">
        <v>88</v>
      </c>
      <c r="D2590" s="967"/>
      <c r="E2590" s="970"/>
      <c r="F2590" s="970"/>
      <c r="G2590" s="969">
        <f>SUM(G2580:G2589)</f>
        <v>9817.880000000001</v>
      </c>
      <c r="H2590" s="964" t="s">
        <v>2312</v>
      </c>
    </row>
    <row r="2591" spans="1:8" hidden="1">
      <c r="A2591" s="967"/>
      <c r="B2591" s="967"/>
      <c r="C2591" s="962"/>
      <c r="D2591" s="967"/>
      <c r="E2591" s="970" t="s">
        <v>161</v>
      </c>
      <c r="F2591" s="970" t="s">
        <v>162</v>
      </c>
      <c r="G2591" s="922" t="s">
        <v>163</v>
      </c>
      <c r="H2591" s="964" t="s">
        <v>2312</v>
      </c>
    </row>
    <row r="2592" spans="1:8" hidden="1">
      <c r="A2592" s="967"/>
      <c r="B2592" s="967"/>
      <c r="C2592" s="962" t="s">
        <v>1274</v>
      </c>
      <c r="D2592" s="967"/>
      <c r="E2592" s="970">
        <f>G2590</f>
        <v>9817.880000000001</v>
      </c>
      <c r="F2592" s="970">
        <f>G2590</f>
        <v>9817.880000000001</v>
      </c>
      <c r="G2592" s="972">
        <f>G2590</f>
        <v>9817.880000000001</v>
      </c>
      <c r="H2592" s="964" t="s">
        <v>2312</v>
      </c>
    </row>
    <row r="2593" spans="1:8" ht="25.5" hidden="1">
      <c r="A2593" s="967"/>
      <c r="B2593" s="967"/>
      <c r="C2593" s="1382" t="s">
        <v>170</v>
      </c>
      <c r="D2593" s="967"/>
      <c r="E2593" s="967"/>
      <c r="F2593" s="970">
        <f>ROUND((G2588+G2589+G2587)*0.1,2)</f>
        <v>384.46</v>
      </c>
      <c r="G2593" s="972">
        <f>ROUND((G2588+G2589+G2587)*0.2,2)</f>
        <v>768.92</v>
      </c>
      <c r="H2593" s="964" t="s">
        <v>2312</v>
      </c>
    </row>
    <row r="2594" spans="1:8" hidden="1">
      <c r="A2594" s="967"/>
      <c r="B2594" s="967"/>
      <c r="C2594" s="962" t="s">
        <v>194</v>
      </c>
      <c r="D2594" s="967"/>
      <c r="E2594" s="974">
        <f>SUM(E2592:E2593)</f>
        <v>9817.880000000001</v>
      </c>
      <c r="F2594" s="974">
        <f>SUM(F2592:F2593)</f>
        <v>10202.34</v>
      </c>
      <c r="G2594" s="971">
        <f>SUM(G2592:G2593)</f>
        <v>10586.800000000001</v>
      </c>
      <c r="H2594" s="964" t="s">
        <v>2312</v>
      </c>
    </row>
    <row r="2595" spans="1:8" hidden="1">
      <c r="A2595" s="967"/>
      <c r="B2595" s="967"/>
      <c r="C2595" s="962" t="s">
        <v>181</v>
      </c>
      <c r="D2595" s="967"/>
      <c r="E2595" s="974">
        <f>ROUND(E2594/10,2)</f>
        <v>981.79</v>
      </c>
      <c r="F2595" s="974">
        <f>ROUND(F2594/10,2)</f>
        <v>1020.23</v>
      </c>
      <c r="G2595" s="971">
        <f>ROUND(G2594/10,2)</f>
        <v>1058.68</v>
      </c>
      <c r="H2595" s="964" t="s">
        <v>2312</v>
      </c>
    </row>
    <row r="2596" spans="1:8" ht="114.75" hidden="1">
      <c r="A2596" s="896">
        <v>26</v>
      </c>
      <c r="B2596" s="966"/>
      <c r="C2596" s="1382" t="s">
        <v>2246</v>
      </c>
      <c r="D2596" s="967"/>
      <c r="E2596" s="967"/>
      <c r="F2596" s="967"/>
      <c r="G2596" s="966"/>
      <c r="H2596" s="964" t="s">
        <v>2312</v>
      </c>
    </row>
    <row r="2597" spans="1:8" hidden="1">
      <c r="A2597" s="896"/>
      <c r="B2597" s="966"/>
      <c r="C2597" s="962" t="s">
        <v>60</v>
      </c>
      <c r="D2597" s="967"/>
      <c r="E2597" s="967"/>
      <c r="F2597" s="967"/>
      <c r="G2597" s="972"/>
      <c r="H2597" s="964" t="s">
        <v>2312</v>
      </c>
    </row>
    <row r="2598" spans="1:8" hidden="1">
      <c r="A2598" s="896"/>
      <c r="B2598" s="966"/>
      <c r="C2598" s="1382" t="s">
        <v>2247</v>
      </c>
      <c r="D2598" s="967" t="s">
        <v>102</v>
      </c>
      <c r="E2598" s="973">
        <v>1</v>
      </c>
      <c r="F2598" s="970">
        <f>'MINI SSR 21-22'!H79</f>
        <v>320</v>
      </c>
      <c r="G2598" s="969">
        <f>ROUND(E2598*F2598/1,2)</f>
        <v>320</v>
      </c>
      <c r="H2598" s="964" t="s">
        <v>2312</v>
      </c>
    </row>
    <row r="2599" spans="1:8" hidden="1">
      <c r="A2599" s="896"/>
      <c r="B2599" s="966"/>
      <c r="C2599" s="1382" t="s">
        <v>2248</v>
      </c>
      <c r="D2599" s="967" t="s">
        <v>102</v>
      </c>
      <c r="E2599" s="973">
        <v>1</v>
      </c>
      <c r="F2599" s="970">
        <f>'MINI SSR 21-22'!H80</f>
        <v>190</v>
      </c>
      <c r="G2599" s="969">
        <f>ROUND(E2599*F2599/1,2)</f>
        <v>190</v>
      </c>
      <c r="H2599" s="964" t="s">
        <v>2312</v>
      </c>
    </row>
    <row r="2600" spans="1:8" hidden="1">
      <c r="A2600" s="967"/>
      <c r="B2600" s="967"/>
      <c r="C2600" s="962" t="s">
        <v>181</v>
      </c>
      <c r="D2600" s="967"/>
      <c r="E2600" s="974"/>
      <c r="F2600" s="974"/>
      <c r="G2600" s="971">
        <f>SUM(G2598:G2599)</f>
        <v>510</v>
      </c>
      <c r="H2600" s="964" t="s">
        <v>2312</v>
      </c>
    </row>
    <row r="2601" spans="1:8" ht="140.25" hidden="1">
      <c r="A2601" s="896">
        <v>28</v>
      </c>
      <c r="B2601" s="966" t="s">
        <v>2249</v>
      </c>
      <c r="C2601" s="1382" t="s">
        <v>2250</v>
      </c>
      <c r="D2601" s="967"/>
      <c r="E2601" s="967"/>
      <c r="F2601" s="967"/>
      <c r="G2601" s="966"/>
      <c r="H2601" s="964" t="s">
        <v>2312</v>
      </c>
    </row>
    <row r="2602" spans="1:8" hidden="1">
      <c r="A2602" s="896"/>
      <c r="B2602" s="966"/>
      <c r="C2602" s="962" t="s">
        <v>42</v>
      </c>
      <c r="D2602" s="967"/>
      <c r="E2602" s="967"/>
      <c r="F2602" s="967"/>
      <c r="G2602" s="972"/>
      <c r="H2602" s="964" t="s">
        <v>2312</v>
      </c>
    </row>
    <row r="2603" spans="1:8" hidden="1">
      <c r="A2603" s="896"/>
      <c r="B2603" s="966"/>
      <c r="C2603" s="962" t="s">
        <v>60</v>
      </c>
      <c r="D2603" s="967"/>
      <c r="E2603" s="967"/>
      <c r="F2603" s="967"/>
      <c r="G2603" s="972"/>
      <c r="H2603" s="964" t="s">
        <v>2312</v>
      </c>
    </row>
    <row r="2604" spans="1:8" hidden="1">
      <c r="A2604" s="896"/>
      <c r="B2604" s="966"/>
      <c r="C2604" s="1382" t="s">
        <v>2251</v>
      </c>
      <c r="D2604" s="967" t="s">
        <v>35</v>
      </c>
      <c r="E2604" s="970">
        <v>0.17</v>
      </c>
      <c r="F2604" s="970">
        <f>F1871</f>
        <v>1876.2299999999998</v>
      </c>
      <c r="G2604" s="969">
        <f>ROUND(E2604*F2604,2)</f>
        <v>318.95999999999998</v>
      </c>
      <c r="H2604" s="964" t="s">
        <v>2312</v>
      </c>
    </row>
    <row r="2605" spans="1:8" hidden="1">
      <c r="A2605" s="896"/>
      <c r="B2605" s="966"/>
      <c r="C2605" s="1382" t="s">
        <v>847</v>
      </c>
      <c r="D2605" s="967" t="s">
        <v>4</v>
      </c>
      <c r="E2605" s="970">
        <v>120</v>
      </c>
      <c r="F2605" s="970">
        <f>'lead 21-22'!L8</f>
        <v>4700</v>
      </c>
      <c r="G2605" s="969">
        <f>ROUND(E2605*F2605/1000,2)</f>
        <v>564</v>
      </c>
      <c r="H2605" s="964" t="s">
        <v>2312</v>
      </c>
    </row>
    <row r="2606" spans="1:8" hidden="1">
      <c r="A2606" s="896"/>
      <c r="B2606" s="966"/>
      <c r="C2606" s="1382" t="s">
        <v>837</v>
      </c>
      <c r="D2606" s="967" t="s">
        <v>35</v>
      </c>
      <c r="E2606" s="970">
        <v>8.5000000000000006E-2</v>
      </c>
      <c r="F2606" s="970">
        <f>'lead 21-22'!L13</f>
        <v>1648.4000000000019</v>
      </c>
      <c r="G2606" s="969">
        <f>ROUND(E2606*F2606,2)</f>
        <v>140.11000000000001</v>
      </c>
      <c r="H2606" s="964" t="s">
        <v>2312</v>
      </c>
    </row>
    <row r="2607" spans="1:8" hidden="1">
      <c r="A2607" s="967"/>
      <c r="B2607" s="967"/>
      <c r="C2607" s="962" t="s">
        <v>68</v>
      </c>
      <c r="D2607" s="967"/>
      <c r="E2607" s="970"/>
      <c r="F2607" s="970"/>
      <c r="G2607" s="969"/>
      <c r="H2607" s="964" t="s">
        <v>2312</v>
      </c>
    </row>
    <row r="2608" spans="1:8" hidden="1">
      <c r="A2608" s="967"/>
      <c r="B2608" s="967"/>
      <c r="C2608" s="1382" t="s">
        <v>64</v>
      </c>
      <c r="D2608" s="967" t="s">
        <v>27</v>
      </c>
      <c r="E2608" s="970">
        <v>1.25</v>
      </c>
      <c r="F2608" s="990">
        <f>'MINI SSR 21-22'!H3</f>
        <v>585</v>
      </c>
      <c r="G2608" s="969">
        <f>ROUND(E2608*F2608,2)</f>
        <v>731.25</v>
      </c>
      <c r="H2608" s="964" t="s">
        <v>2312</v>
      </c>
    </row>
    <row r="2609" spans="1:8" hidden="1">
      <c r="A2609" s="967"/>
      <c r="B2609" s="967"/>
      <c r="C2609" s="1382" t="s">
        <v>69</v>
      </c>
      <c r="D2609" s="967" t="s">
        <v>27</v>
      </c>
      <c r="E2609" s="970">
        <v>0.06</v>
      </c>
      <c r="F2609" s="990">
        <f>'MINI SSR 21-22'!H4</f>
        <v>525</v>
      </c>
      <c r="G2609" s="969">
        <f>ROUND(E2609*F2609,2)</f>
        <v>31.5</v>
      </c>
      <c r="H2609" s="964" t="s">
        <v>2312</v>
      </c>
    </row>
    <row r="2610" spans="1:8" hidden="1">
      <c r="A2610" s="967"/>
      <c r="B2610" s="967"/>
      <c r="C2610" s="1382" t="s">
        <v>85</v>
      </c>
      <c r="D2610" s="967" t="s">
        <v>27</v>
      </c>
      <c r="E2610" s="970">
        <v>3</v>
      </c>
      <c r="F2610" s="990">
        <f>'MINI SSR 21-22'!H5</f>
        <v>490</v>
      </c>
      <c r="G2610" s="969">
        <f>ROUND(E2610*F2610,2)</f>
        <v>1470</v>
      </c>
      <c r="H2610" s="964" t="s">
        <v>2312</v>
      </c>
    </row>
    <row r="2611" spans="1:8" hidden="1">
      <c r="A2611" s="967"/>
      <c r="B2611" s="967"/>
      <c r="C2611" s="962" t="s">
        <v>88</v>
      </c>
      <c r="D2611" s="967"/>
      <c r="E2611" s="967"/>
      <c r="F2611" s="967"/>
      <c r="G2611" s="971">
        <f>SUM(G2604:G2610)</f>
        <v>3255.82</v>
      </c>
      <c r="H2611" s="964" t="s">
        <v>2312</v>
      </c>
    </row>
    <row r="2612" spans="1:8" hidden="1">
      <c r="A2612" s="967"/>
      <c r="B2612" s="967"/>
      <c r="C2612" s="962"/>
      <c r="D2612" s="967"/>
      <c r="E2612" s="966" t="s">
        <v>161</v>
      </c>
      <c r="F2612" s="966" t="s">
        <v>162</v>
      </c>
      <c r="G2612" s="974" t="s">
        <v>163</v>
      </c>
      <c r="H2612" s="964" t="s">
        <v>2312</v>
      </c>
    </row>
    <row r="2613" spans="1:8" hidden="1">
      <c r="A2613" s="967"/>
      <c r="B2613" s="967"/>
      <c r="C2613" s="962" t="s">
        <v>1274</v>
      </c>
      <c r="D2613" s="967"/>
      <c r="E2613" s="970">
        <f>G2611</f>
        <v>3255.82</v>
      </c>
      <c r="F2613" s="970">
        <f>G2611</f>
        <v>3255.82</v>
      </c>
      <c r="G2613" s="972">
        <f>G2611</f>
        <v>3255.82</v>
      </c>
      <c r="H2613" s="964" t="s">
        <v>2312</v>
      </c>
    </row>
    <row r="2614" spans="1:8" ht="25.5" hidden="1">
      <c r="A2614" s="967"/>
      <c r="B2614" s="967"/>
      <c r="C2614" s="1382" t="s">
        <v>170</v>
      </c>
      <c r="D2614" s="967"/>
      <c r="E2614" s="967"/>
      <c r="F2614" s="970">
        <f>ROUND((G2608+G2609+G2610)*0.1,2)</f>
        <v>223.28</v>
      </c>
      <c r="G2614" s="975">
        <f>ROUND((G2608+G2609+G2610)*0.2,2)</f>
        <v>446.55</v>
      </c>
      <c r="H2614" s="964" t="s">
        <v>2312</v>
      </c>
    </row>
    <row r="2615" spans="1:8" hidden="1">
      <c r="A2615" s="967"/>
      <c r="B2615" s="967"/>
      <c r="C2615" s="962" t="s">
        <v>194</v>
      </c>
      <c r="D2615" s="967"/>
      <c r="E2615" s="974">
        <f>SUM(E2613:E2614)</f>
        <v>3255.82</v>
      </c>
      <c r="F2615" s="974">
        <f>SUM(F2613:F2614)</f>
        <v>3479.1000000000004</v>
      </c>
      <c r="G2615" s="971">
        <f>SUM(G2613:G2614)</f>
        <v>3702.3700000000003</v>
      </c>
      <c r="H2615" s="964" t="s">
        <v>2312</v>
      </c>
    </row>
    <row r="2616" spans="1:8" hidden="1">
      <c r="A2616" s="967"/>
      <c r="B2616" s="967"/>
      <c r="C2616" s="962" t="s">
        <v>181</v>
      </c>
      <c r="D2616" s="967"/>
      <c r="E2616" s="974">
        <f>ROUND(E2615/10,2)</f>
        <v>325.58</v>
      </c>
      <c r="F2616" s="974">
        <f>ROUND(F2615/10,2)</f>
        <v>347.91</v>
      </c>
      <c r="G2616" s="971">
        <f>ROUND(G2615/10,2)</f>
        <v>370.24</v>
      </c>
      <c r="H2616" s="964" t="s">
        <v>2312</v>
      </c>
    </row>
    <row r="2617" spans="1:8" ht="102" hidden="1">
      <c r="A2617" s="896">
        <v>51</v>
      </c>
      <c r="B2617" s="966" t="s">
        <v>878</v>
      </c>
      <c r="C2617" s="1382" t="s">
        <v>879</v>
      </c>
      <c r="D2617" s="967"/>
      <c r="E2617" s="967"/>
      <c r="F2617" s="967"/>
      <c r="G2617" s="966"/>
      <c r="H2617" s="964" t="s">
        <v>2312</v>
      </c>
    </row>
    <row r="2618" spans="1:8" hidden="1">
      <c r="A2618" s="896"/>
      <c r="B2618" s="966"/>
      <c r="C2618" s="962" t="s">
        <v>42</v>
      </c>
      <c r="D2618" s="967"/>
      <c r="E2618" s="967"/>
      <c r="F2618" s="967"/>
      <c r="G2618" s="972"/>
      <c r="H2618" s="964" t="s">
        <v>2312</v>
      </c>
    </row>
    <row r="2619" spans="1:8" hidden="1">
      <c r="A2619" s="896"/>
      <c r="B2619" s="966"/>
      <c r="C2619" s="962" t="s">
        <v>60</v>
      </c>
      <c r="D2619" s="967"/>
      <c r="E2619" s="967"/>
      <c r="F2619" s="967"/>
      <c r="G2619" s="972"/>
      <c r="H2619" s="964" t="s">
        <v>2312</v>
      </c>
    </row>
    <row r="2620" spans="1:8" hidden="1">
      <c r="A2620" s="896"/>
      <c r="B2620" s="966"/>
      <c r="C2620" s="1382" t="s">
        <v>1275</v>
      </c>
      <c r="D2620" s="967" t="s">
        <v>1351</v>
      </c>
      <c r="E2620" s="970">
        <v>1.2</v>
      </c>
      <c r="F2620" s="970">
        <f>'MINI SSR 21-22'!$G$40</f>
        <v>550</v>
      </c>
      <c r="G2620" s="969">
        <f>ROUND(F2620/20*E2620,2)</f>
        <v>33</v>
      </c>
      <c r="H2620" s="964" t="s">
        <v>2312</v>
      </c>
    </row>
    <row r="2621" spans="1:8" hidden="1">
      <c r="A2621" s="967"/>
      <c r="B2621" s="967"/>
      <c r="C2621" s="962" t="s">
        <v>68</v>
      </c>
      <c r="D2621" s="967"/>
      <c r="E2621" s="970"/>
      <c r="F2621" s="970"/>
      <c r="G2621" s="969"/>
      <c r="H2621" s="964" t="s">
        <v>2312</v>
      </c>
    </row>
    <row r="2622" spans="1:8" hidden="1">
      <c r="A2622" s="967"/>
      <c r="B2622" s="967"/>
      <c r="C2622" s="1382" t="s">
        <v>150</v>
      </c>
      <c r="D2622" s="967" t="s">
        <v>27</v>
      </c>
      <c r="E2622" s="970">
        <v>0.11</v>
      </c>
      <c r="F2622" s="970">
        <f>'MINI SSR 21-22'!$H$8</f>
        <v>655</v>
      </c>
      <c r="G2622" s="969">
        <f>ROUND(E2622*F2622,2)</f>
        <v>72.05</v>
      </c>
      <c r="H2622" s="964" t="s">
        <v>2312</v>
      </c>
    </row>
    <row r="2623" spans="1:8" hidden="1">
      <c r="A2623" s="967"/>
      <c r="B2623" s="967"/>
      <c r="C2623" s="1382" t="s">
        <v>85</v>
      </c>
      <c r="D2623" s="967" t="s">
        <v>27</v>
      </c>
      <c r="E2623" s="970">
        <v>0.22</v>
      </c>
      <c r="F2623" s="970">
        <f>'MINI SSR 21-22'!$H$5</f>
        <v>490</v>
      </c>
      <c r="G2623" s="969">
        <f>ROUND(E2623*F2623,2)</f>
        <v>107.8</v>
      </c>
      <c r="H2623" s="964" t="s">
        <v>2312</v>
      </c>
    </row>
    <row r="2624" spans="1:8" hidden="1">
      <c r="A2624" s="967"/>
      <c r="B2624" s="967"/>
      <c r="C2624" s="1382" t="s">
        <v>880</v>
      </c>
      <c r="D2624" s="967"/>
      <c r="E2624" s="970">
        <v>0.05</v>
      </c>
      <c r="F2624" s="970">
        <f>SUM(G2620:G2623)</f>
        <v>212.85</v>
      </c>
      <c r="G2624" s="969">
        <f>ROUND(E2624*F2624,2)</f>
        <v>10.64</v>
      </c>
      <c r="H2624" s="964" t="s">
        <v>2312</v>
      </c>
    </row>
    <row r="2625" spans="1:8" hidden="1">
      <c r="A2625" s="967"/>
      <c r="B2625" s="967"/>
      <c r="C2625" s="962" t="s">
        <v>88</v>
      </c>
      <c r="D2625" s="967"/>
      <c r="E2625" s="967"/>
      <c r="F2625" s="967"/>
      <c r="G2625" s="971">
        <f>SUM(G2620:G2624)</f>
        <v>223.49</v>
      </c>
      <c r="H2625" s="964" t="s">
        <v>2312</v>
      </c>
    </row>
    <row r="2626" spans="1:8" hidden="1">
      <c r="A2626" s="967"/>
      <c r="B2626" s="967"/>
      <c r="C2626" s="962"/>
      <c r="D2626" s="967"/>
      <c r="E2626" s="966" t="s">
        <v>161</v>
      </c>
      <c r="F2626" s="966" t="s">
        <v>162</v>
      </c>
      <c r="G2626" s="974" t="s">
        <v>163</v>
      </c>
      <c r="H2626" s="964" t="s">
        <v>2312</v>
      </c>
    </row>
    <row r="2627" spans="1:8" hidden="1">
      <c r="A2627" s="967"/>
      <c r="B2627" s="967"/>
      <c r="C2627" s="962" t="s">
        <v>1276</v>
      </c>
      <c r="D2627" s="967"/>
      <c r="E2627" s="970">
        <f>G2625</f>
        <v>223.49</v>
      </c>
      <c r="F2627" s="970">
        <f>E2627</f>
        <v>223.49</v>
      </c>
      <c r="G2627" s="972">
        <f>F2627</f>
        <v>223.49</v>
      </c>
      <c r="H2627" s="964" t="s">
        <v>2312</v>
      </c>
    </row>
    <row r="2628" spans="1:8" ht="25.5" hidden="1">
      <c r="A2628" s="967"/>
      <c r="B2628" s="967"/>
      <c r="C2628" s="1382" t="s">
        <v>170</v>
      </c>
      <c r="D2628" s="967"/>
      <c r="E2628" s="967"/>
      <c r="F2628" s="970">
        <f>ROUND((G2622+G2623)*0.1,2)</f>
        <v>17.989999999999998</v>
      </c>
      <c r="G2628" s="972">
        <f>ROUND((G2622+G2623)*0.2,2)</f>
        <v>35.97</v>
      </c>
      <c r="H2628" s="964" t="s">
        <v>2312</v>
      </c>
    </row>
    <row r="2629" spans="1:8" hidden="1">
      <c r="A2629" s="967"/>
      <c r="B2629" s="967"/>
      <c r="C2629" s="962" t="s">
        <v>194</v>
      </c>
      <c r="D2629" s="967"/>
      <c r="E2629" s="974">
        <f>SUM(E2627:E2628)</f>
        <v>223.49</v>
      </c>
      <c r="F2629" s="974">
        <f>SUM(F2627:F2628)</f>
        <v>241.48000000000002</v>
      </c>
      <c r="G2629" s="971">
        <f>SUM(G2627:G2628)</f>
        <v>259.46000000000004</v>
      </c>
      <c r="H2629" s="964" t="s">
        <v>2312</v>
      </c>
    </row>
    <row r="2630" spans="1:8" hidden="1">
      <c r="A2630" s="967"/>
      <c r="B2630" s="967"/>
      <c r="C2630" s="962" t="s">
        <v>181</v>
      </c>
      <c r="D2630" s="967"/>
      <c r="E2630" s="974">
        <f>ROUND(E2629/10,2)</f>
        <v>22.35</v>
      </c>
      <c r="F2630" s="974">
        <f>ROUND(F2629/10,2)</f>
        <v>24.15</v>
      </c>
      <c r="G2630" s="971">
        <f>ROUND(G2629/10,2)</f>
        <v>25.95</v>
      </c>
      <c r="H2630" s="964" t="s">
        <v>2312</v>
      </c>
    </row>
    <row r="2631" spans="1:8" ht="191.25" hidden="1">
      <c r="A2631" s="896">
        <v>28</v>
      </c>
      <c r="B2631" s="966" t="s">
        <v>1328</v>
      </c>
      <c r="C2631" s="1382" t="s">
        <v>891</v>
      </c>
      <c r="D2631" s="967"/>
      <c r="E2631" s="967"/>
      <c r="F2631" s="967"/>
      <c r="G2631" s="966"/>
      <c r="H2631" s="964" t="s">
        <v>2312</v>
      </c>
    </row>
    <row r="2632" spans="1:8" hidden="1">
      <c r="A2632" s="896"/>
      <c r="B2632" s="966"/>
      <c r="C2632" s="962" t="s">
        <v>42</v>
      </c>
      <c r="D2632" s="967"/>
      <c r="E2632" s="967"/>
      <c r="F2632" s="967"/>
      <c r="G2632" s="972"/>
      <c r="H2632" s="964" t="s">
        <v>2312</v>
      </c>
    </row>
    <row r="2633" spans="1:8" hidden="1">
      <c r="A2633" s="896"/>
      <c r="B2633" s="966"/>
      <c r="C2633" s="962" t="s">
        <v>60</v>
      </c>
      <c r="D2633" s="967"/>
      <c r="E2633" s="967"/>
      <c r="F2633" s="967"/>
      <c r="G2633" s="972"/>
      <c r="H2633" s="964" t="s">
        <v>2312</v>
      </c>
    </row>
    <row r="2634" spans="1:8" hidden="1">
      <c r="A2634" s="896"/>
      <c r="B2634" s="966"/>
      <c r="C2634" s="1382" t="s">
        <v>892</v>
      </c>
      <c r="D2634" s="967" t="s">
        <v>1351</v>
      </c>
      <c r="E2634" s="970">
        <v>23</v>
      </c>
      <c r="F2634" s="970">
        <f>'MINI SSR 21-22'!$G$40</f>
        <v>550</v>
      </c>
      <c r="G2634" s="969">
        <f>ROUND(F2634/20*E2634,2)</f>
        <v>632.5</v>
      </c>
      <c r="H2634" s="964" t="s">
        <v>2312</v>
      </c>
    </row>
    <row r="2635" spans="1:8" hidden="1">
      <c r="A2635" s="967"/>
      <c r="B2635" s="967"/>
      <c r="C2635" s="962" t="s">
        <v>68</v>
      </c>
      <c r="D2635" s="967"/>
      <c r="E2635" s="970"/>
      <c r="F2635" s="970"/>
      <c r="G2635" s="969"/>
      <c r="H2635" s="964" t="s">
        <v>2312</v>
      </c>
    </row>
    <row r="2636" spans="1:8" hidden="1">
      <c r="A2636" s="967"/>
      <c r="B2636" s="967"/>
      <c r="C2636" s="1382" t="s">
        <v>94</v>
      </c>
      <c r="D2636" s="967" t="s">
        <v>27</v>
      </c>
      <c r="E2636" s="973">
        <v>0.27300000000000002</v>
      </c>
      <c r="F2636" s="970">
        <f>'MINI SSR 21-22'!$H$8</f>
        <v>655</v>
      </c>
      <c r="G2636" s="969">
        <f>ROUND(E2636*F2636,2)</f>
        <v>178.82</v>
      </c>
      <c r="H2636" s="964" t="s">
        <v>2312</v>
      </c>
    </row>
    <row r="2637" spans="1:8" hidden="1">
      <c r="A2637" s="967"/>
      <c r="B2637" s="967"/>
      <c r="C2637" s="1382" t="s">
        <v>874</v>
      </c>
      <c r="D2637" s="967" t="s">
        <v>27</v>
      </c>
      <c r="E2637" s="973">
        <v>0.63700000000000001</v>
      </c>
      <c r="F2637" s="970">
        <f>'MINI SSR 21-22'!$H$9</f>
        <v>525</v>
      </c>
      <c r="G2637" s="969">
        <f>ROUND(E2637*F2637,2)</f>
        <v>334.43</v>
      </c>
      <c r="H2637" s="964" t="s">
        <v>2312</v>
      </c>
    </row>
    <row r="2638" spans="1:8" hidden="1">
      <c r="A2638" s="967"/>
      <c r="B2638" s="967"/>
      <c r="C2638" s="1382" t="s">
        <v>85</v>
      </c>
      <c r="D2638" s="967" t="s">
        <v>27</v>
      </c>
      <c r="E2638" s="973">
        <v>0.91</v>
      </c>
      <c r="F2638" s="970">
        <f>'MINI SSR 21-22'!$H$5</f>
        <v>490</v>
      </c>
      <c r="G2638" s="969">
        <f>ROUND(E2638*F2638,2)</f>
        <v>445.9</v>
      </c>
      <c r="H2638" s="964" t="s">
        <v>2312</v>
      </c>
    </row>
    <row r="2639" spans="1:8" hidden="1">
      <c r="A2639" s="967"/>
      <c r="B2639" s="967"/>
      <c r="C2639" s="1382" t="s">
        <v>893</v>
      </c>
      <c r="D2639" s="967"/>
      <c r="E2639" s="970">
        <v>0.01</v>
      </c>
      <c r="F2639" s="970">
        <f>SUM(G2634:G2638)</f>
        <v>1591.65</v>
      </c>
      <c r="G2639" s="969">
        <f>ROUND(E2639*F2639,2)</f>
        <v>15.92</v>
      </c>
      <c r="H2639" s="964" t="s">
        <v>2312</v>
      </c>
    </row>
    <row r="2640" spans="1:8" hidden="1">
      <c r="A2640" s="967"/>
      <c r="B2640" s="967"/>
      <c r="C2640" s="962" t="s">
        <v>88</v>
      </c>
      <c r="D2640" s="967"/>
      <c r="E2640" s="967"/>
      <c r="F2640" s="967"/>
      <c r="G2640" s="971">
        <f>SUM(G2634:G2639)</f>
        <v>1607.5700000000002</v>
      </c>
      <c r="H2640" s="964" t="s">
        <v>2312</v>
      </c>
    </row>
    <row r="2641" spans="1:8" hidden="1">
      <c r="A2641" s="967"/>
      <c r="B2641" s="967"/>
      <c r="C2641" s="962"/>
      <c r="D2641" s="967"/>
      <c r="E2641" s="966" t="s">
        <v>161</v>
      </c>
      <c r="F2641" s="966" t="s">
        <v>162</v>
      </c>
      <c r="G2641" s="974" t="s">
        <v>163</v>
      </c>
      <c r="H2641" s="964" t="s">
        <v>2312</v>
      </c>
    </row>
    <row r="2642" spans="1:8" hidden="1">
      <c r="A2642" s="967"/>
      <c r="B2642" s="967"/>
      <c r="C2642" s="962" t="s">
        <v>1276</v>
      </c>
      <c r="D2642" s="967"/>
      <c r="E2642" s="970">
        <f>G2640</f>
        <v>1607.5700000000002</v>
      </c>
      <c r="F2642" s="970">
        <f>E2642</f>
        <v>1607.5700000000002</v>
      </c>
      <c r="G2642" s="972">
        <f>F2642</f>
        <v>1607.5700000000002</v>
      </c>
      <c r="H2642" s="964" t="s">
        <v>2312</v>
      </c>
    </row>
    <row r="2643" spans="1:8" ht="25.5" hidden="1">
      <c r="A2643" s="967"/>
      <c r="B2643" s="967"/>
      <c r="C2643" s="1382" t="s">
        <v>170</v>
      </c>
      <c r="D2643" s="967"/>
      <c r="E2643" s="967"/>
      <c r="F2643" s="970">
        <f>ROUND((G2636+G2637+G2638)*0.1,2)</f>
        <v>95.92</v>
      </c>
      <c r="G2643" s="975">
        <f>ROUND(F2643*2,2)</f>
        <v>191.84</v>
      </c>
      <c r="H2643" s="964" t="s">
        <v>2312</v>
      </c>
    </row>
    <row r="2644" spans="1:8" hidden="1">
      <c r="A2644" s="967"/>
      <c r="B2644" s="967"/>
      <c r="C2644" s="962" t="s">
        <v>194</v>
      </c>
      <c r="D2644" s="967"/>
      <c r="E2644" s="974">
        <f>SUM(E2642:E2643)</f>
        <v>1607.5700000000002</v>
      </c>
      <c r="F2644" s="974">
        <f>SUM(F2642:F2643)</f>
        <v>1703.4900000000002</v>
      </c>
      <c r="G2644" s="971">
        <f>SUM(G2642:G2643)</f>
        <v>1799.41</v>
      </c>
      <c r="H2644" s="964" t="s">
        <v>2312</v>
      </c>
    </row>
    <row r="2645" spans="1:8" hidden="1">
      <c r="A2645" s="967"/>
      <c r="B2645" s="967"/>
      <c r="C2645" s="962" t="s">
        <v>181</v>
      </c>
      <c r="D2645" s="967"/>
      <c r="E2645" s="974">
        <f>ROUND(E2644/10,2)</f>
        <v>160.76</v>
      </c>
      <c r="F2645" s="974">
        <f>ROUND(F2644/10,2)</f>
        <v>170.35</v>
      </c>
      <c r="G2645" s="971">
        <f>ROUND(G2644/10,2)</f>
        <v>179.94</v>
      </c>
      <c r="H2645" s="964" t="s">
        <v>2312</v>
      </c>
    </row>
    <row r="2646" spans="1:8" s="996" customFormat="1" ht="25.5" hidden="1">
      <c r="A2646" s="966">
        <v>29</v>
      </c>
      <c r="B2646" s="994" t="s">
        <v>1352</v>
      </c>
      <c r="C2646" s="1382" t="s">
        <v>1353</v>
      </c>
      <c r="D2646" s="967"/>
      <c r="E2646" s="967"/>
      <c r="F2646" s="995"/>
      <c r="G2646" s="995"/>
      <c r="H2646" s="964" t="s">
        <v>2312</v>
      </c>
    </row>
    <row r="2647" spans="1:8" hidden="1">
      <c r="A2647" s="967"/>
      <c r="B2647" s="966"/>
      <c r="C2647" s="1382" t="s">
        <v>1354</v>
      </c>
      <c r="D2647" s="990"/>
      <c r="E2647" s="990"/>
      <c r="F2647" s="990"/>
      <c r="G2647" s="989"/>
      <c r="H2647" s="964" t="s">
        <v>2312</v>
      </c>
    </row>
    <row r="2648" spans="1:8" hidden="1">
      <c r="A2648" s="967"/>
      <c r="B2648" s="966"/>
      <c r="C2648" s="1382" t="s">
        <v>1355</v>
      </c>
      <c r="D2648" s="990"/>
      <c r="E2648" s="990"/>
      <c r="F2648" s="990"/>
      <c r="G2648" s="989"/>
      <c r="H2648" s="964" t="s">
        <v>2312</v>
      </c>
    </row>
    <row r="2649" spans="1:8" hidden="1">
      <c r="A2649" s="967"/>
      <c r="B2649" s="966"/>
      <c r="C2649" s="1382" t="s">
        <v>3141</v>
      </c>
      <c r="D2649" s="990" t="s">
        <v>90</v>
      </c>
      <c r="E2649" s="990">
        <v>1</v>
      </c>
      <c r="F2649" s="990">
        <f>'MINI SSR 21-22'!G41</f>
        <v>141</v>
      </c>
      <c r="G2649" s="989">
        <f>ROUND(E2649*F2649,2)</f>
        <v>141</v>
      </c>
      <c r="H2649" s="964" t="s">
        <v>2312</v>
      </c>
    </row>
    <row r="2650" spans="1:8" hidden="1">
      <c r="A2650" s="967"/>
      <c r="B2650" s="966"/>
      <c r="C2650" s="1382" t="s">
        <v>1356</v>
      </c>
      <c r="D2650" s="990"/>
      <c r="E2650" s="990"/>
      <c r="F2650" s="990"/>
      <c r="G2650" s="989"/>
      <c r="H2650" s="964" t="s">
        <v>2312</v>
      </c>
    </row>
    <row r="2651" spans="1:8" hidden="1">
      <c r="A2651" s="967"/>
      <c r="B2651" s="966"/>
      <c r="C2651" s="1382" t="s">
        <v>94</v>
      </c>
      <c r="D2651" s="990" t="s">
        <v>27</v>
      </c>
      <c r="E2651" s="990">
        <v>0.21</v>
      </c>
      <c r="F2651" s="970">
        <f>'MINI SSR 21-22'!$H$8</f>
        <v>655</v>
      </c>
      <c r="G2651" s="989">
        <f>ROUND(E2651*F2651,2)</f>
        <v>137.55000000000001</v>
      </c>
      <c r="H2651" s="964" t="s">
        <v>2312</v>
      </c>
    </row>
    <row r="2652" spans="1:8" hidden="1">
      <c r="A2652" s="967"/>
      <c r="B2652" s="966"/>
      <c r="C2652" s="1382" t="s">
        <v>874</v>
      </c>
      <c r="D2652" s="990" t="s">
        <v>27</v>
      </c>
      <c r="E2652" s="990">
        <v>0.49</v>
      </c>
      <c r="F2652" s="970">
        <f>'MINI SSR 21-22'!$H$9</f>
        <v>525</v>
      </c>
      <c r="G2652" s="989">
        <f>ROUND(E2652*F2652,2)</f>
        <v>257.25</v>
      </c>
      <c r="H2652" s="964" t="s">
        <v>2312</v>
      </c>
    </row>
    <row r="2653" spans="1:8" hidden="1">
      <c r="A2653" s="967"/>
      <c r="B2653" s="966"/>
      <c r="C2653" s="1382" t="s">
        <v>875</v>
      </c>
      <c r="D2653" s="990"/>
      <c r="E2653" s="997">
        <v>5.0000000000000001E-3</v>
      </c>
      <c r="F2653" s="990">
        <f>SUM(G2649:G2652)</f>
        <v>535.79999999999995</v>
      </c>
      <c r="G2653" s="989">
        <f>ROUND(E2653*F2653,2)</f>
        <v>2.68</v>
      </c>
      <c r="H2653" s="964" t="s">
        <v>2312</v>
      </c>
    </row>
    <row r="2654" spans="1:8" hidden="1">
      <c r="A2654" s="967"/>
      <c r="B2654" s="966"/>
      <c r="C2654" s="1382" t="s">
        <v>1357</v>
      </c>
      <c r="D2654" s="990"/>
      <c r="E2654" s="990"/>
      <c r="F2654" s="990"/>
      <c r="G2654" s="989">
        <f>SUM(G2649:G2653)</f>
        <v>538.4799999999999</v>
      </c>
      <c r="H2654" s="964" t="s">
        <v>2312</v>
      </c>
    </row>
    <row r="2655" spans="1:8" s="999" customFormat="1" hidden="1">
      <c r="A2655" s="994"/>
      <c r="B2655" s="994"/>
      <c r="C2655" s="962" t="s">
        <v>869</v>
      </c>
      <c r="D2655" s="991"/>
      <c r="E2655" s="991"/>
      <c r="F2655" s="991"/>
      <c r="G2655" s="998">
        <f>ROUND(SUM(G2654:G2654),2)</f>
        <v>538.48</v>
      </c>
      <c r="H2655" s="964" t="s">
        <v>2312</v>
      </c>
    </row>
    <row r="2656" spans="1:8" s="996" customFormat="1" ht="25.5" hidden="1">
      <c r="A2656" s="966">
        <v>30</v>
      </c>
      <c r="B2656" s="966" t="s">
        <v>1352</v>
      </c>
      <c r="C2656" s="1382" t="s">
        <v>1358</v>
      </c>
      <c r="D2656" s="967"/>
      <c r="E2656" s="967"/>
      <c r="F2656" s="995"/>
      <c r="G2656" s="995"/>
      <c r="H2656" s="964" t="s">
        <v>2312</v>
      </c>
    </row>
    <row r="2657" spans="1:8" hidden="1">
      <c r="A2657" s="967"/>
      <c r="B2657" s="966"/>
      <c r="C2657" s="1382" t="s">
        <v>1354</v>
      </c>
      <c r="D2657" s="990"/>
      <c r="E2657" s="990"/>
      <c r="F2657" s="990"/>
      <c r="G2657" s="989"/>
      <c r="H2657" s="964" t="s">
        <v>2312</v>
      </c>
    </row>
    <row r="2658" spans="1:8" hidden="1">
      <c r="A2658" s="967"/>
      <c r="B2658" s="966"/>
      <c r="C2658" s="1382" t="s">
        <v>1355</v>
      </c>
      <c r="D2658" s="990"/>
      <c r="E2658" s="990"/>
      <c r="F2658" s="990"/>
      <c r="G2658" s="989"/>
      <c r="H2658" s="964" t="s">
        <v>2312</v>
      </c>
    </row>
    <row r="2659" spans="1:8" hidden="1">
      <c r="A2659" s="967"/>
      <c r="B2659" s="966"/>
      <c r="C2659" s="1382" t="s">
        <v>3142</v>
      </c>
      <c r="D2659" s="990" t="s">
        <v>90</v>
      </c>
      <c r="E2659" s="990">
        <v>1</v>
      </c>
      <c r="F2659" s="990">
        <f>'MINI SSR 21-22'!G42</f>
        <v>180</v>
      </c>
      <c r="G2659" s="989">
        <f>ROUND(E2659*F2659,2)</f>
        <v>180</v>
      </c>
      <c r="H2659" s="964" t="s">
        <v>2312</v>
      </c>
    </row>
    <row r="2660" spans="1:8" hidden="1">
      <c r="A2660" s="967"/>
      <c r="B2660" s="966"/>
      <c r="C2660" s="1382" t="s">
        <v>1356</v>
      </c>
      <c r="D2660" s="990"/>
      <c r="E2660" s="990"/>
      <c r="F2660" s="990"/>
      <c r="G2660" s="989"/>
      <c r="H2660" s="964" t="s">
        <v>2312</v>
      </c>
    </row>
    <row r="2661" spans="1:8" hidden="1">
      <c r="A2661" s="967"/>
      <c r="B2661" s="966"/>
      <c r="C2661" s="1382" t="s">
        <v>94</v>
      </c>
      <c r="D2661" s="990" t="s">
        <v>27</v>
      </c>
      <c r="E2661" s="990">
        <v>0.21</v>
      </c>
      <c r="F2661" s="970">
        <f>'MINI SSR 21-22'!$H$8</f>
        <v>655</v>
      </c>
      <c r="G2661" s="989">
        <f>ROUND(E2661*F2661,2)</f>
        <v>137.55000000000001</v>
      </c>
      <c r="H2661" s="964" t="s">
        <v>2312</v>
      </c>
    </row>
    <row r="2662" spans="1:8" hidden="1">
      <c r="A2662" s="967"/>
      <c r="B2662" s="966"/>
      <c r="C2662" s="1382" t="s">
        <v>874</v>
      </c>
      <c r="D2662" s="990" t="s">
        <v>27</v>
      </c>
      <c r="E2662" s="990">
        <v>0.49</v>
      </c>
      <c r="F2662" s="970">
        <f>'MINI SSR 21-22'!$H$9</f>
        <v>525</v>
      </c>
      <c r="G2662" s="989">
        <f>ROUND(E2662*F2662,2)</f>
        <v>257.25</v>
      </c>
      <c r="H2662" s="964" t="s">
        <v>2312</v>
      </c>
    </row>
    <row r="2663" spans="1:8" hidden="1">
      <c r="A2663" s="967"/>
      <c r="B2663" s="966"/>
      <c r="C2663" s="1382" t="s">
        <v>875</v>
      </c>
      <c r="D2663" s="990"/>
      <c r="E2663" s="997">
        <v>5.0000000000000001E-3</v>
      </c>
      <c r="F2663" s="990">
        <f>SUM(G2659:G2662)</f>
        <v>574.79999999999995</v>
      </c>
      <c r="G2663" s="989">
        <f>ROUND(E2663*F2663,2)</f>
        <v>2.87</v>
      </c>
      <c r="H2663" s="964" t="s">
        <v>2312</v>
      </c>
    </row>
    <row r="2664" spans="1:8" hidden="1">
      <c r="A2664" s="967"/>
      <c r="B2664" s="966"/>
      <c r="C2664" s="1382" t="s">
        <v>1357</v>
      </c>
      <c r="D2664" s="990"/>
      <c r="E2664" s="990"/>
      <c r="F2664" s="990"/>
      <c r="G2664" s="989">
        <f>SUM(G2659:G2663)</f>
        <v>577.66999999999996</v>
      </c>
      <c r="H2664" s="964" t="s">
        <v>2312</v>
      </c>
    </row>
    <row r="2665" spans="1:8" s="999" customFormat="1" hidden="1">
      <c r="A2665" s="994"/>
      <c r="B2665" s="994"/>
      <c r="C2665" s="962" t="s">
        <v>869</v>
      </c>
      <c r="D2665" s="991"/>
      <c r="E2665" s="991"/>
      <c r="F2665" s="991"/>
      <c r="G2665" s="998">
        <f>ROUND(SUM(G2664:G2664),2)</f>
        <v>577.66999999999996</v>
      </c>
      <c r="H2665" s="964" t="s">
        <v>2312</v>
      </c>
    </row>
    <row r="2666" spans="1:8" s="996" customFormat="1" ht="140.25" hidden="1">
      <c r="A2666" s="966"/>
      <c r="B2666" s="966" t="s">
        <v>1328</v>
      </c>
      <c r="C2666" s="1382" t="s">
        <v>1167</v>
      </c>
      <c r="D2666" s="967"/>
      <c r="E2666" s="967"/>
      <c r="F2666" s="995"/>
      <c r="G2666" s="995"/>
      <c r="H2666" s="964" t="s">
        <v>2312</v>
      </c>
    </row>
    <row r="2667" spans="1:8" hidden="1">
      <c r="A2667" s="967"/>
      <c r="B2667" s="966"/>
      <c r="C2667" s="962" t="s">
        <v>1359</v>
      </c>
      <c r="D2667" s="990"/>
      <c r="E2667" s="990"/>
      <c r="F2667" s="990"/>
      <c r="G2667" s="989"/>
      <c r="H2667" s="964" t="s">
        <v>2312</v>
      </c>
    </row>
    <row r="2668" spans="1:8" hidden="1">
      <c r="A2668" s="967"/>
      <c r="B2668" s="966"/>
      <c r="C2668" s="1382" t="s">
        <v>1369</v>
      </c>
      <c r="D2668" s="990" t="s">
        <v>1360</v>
      </c>
      <c r="E2668" s="990">
        <v>1</v>
      </c>
      <c r="F2668" s="990">
        <f>G2655</f>
        <v>538.48</v>
      </c>
      <c r="G2668" s="989">
        <f>ROUND(E2668*F2668,2)</f>
        <v>538.48</v>
      </c>
      <c r="H2668" s="964" t="s">
        <v>2312</v>
      </c>
    </row>
    <row r="2669" spans="1:8" hidden="1">
      <c r="A2669" s="967"/>
      <c r="B2669" s="966"/>
      <c r="C2669" s="1382"/>
      <c r="D2669" s="990"/>
      <c r="E2669" s="990"/>
      <c r="F2669" s="990"/>
      <c r="G2669" s="989"/>
      <c r="H2669" s="964" t="s">
        <v>2312</v>
      </c>
    </row>
    <row r="2670" spans="1:8" hidden="1">
      <c r="A2670" s="967"/>
      <c r="B2670" s="966"/>
      <c r="C2670" s="1000" t="s">
        <v>1361</v>
      </c>
      <c r="D2670" s="990"/>
      <c r="E2670" s="990"/>
      <c r="F2670" s="990"/>
      <c r="G2670" s="989"/>
      <c r="H2670" s="964" t="s">
        <v>2312</v>
      </c>
    </row>
    <row r="2671" spans="1:8" hidden="1">
      <c r="A2671" s="967">
        <v>31</v>
      </c>
      <c r="B2671" s="966"/>
      <c r="C2671" s="1382" t="s">
        <v>3143</v>
      </c>
      <c r="D2671" s="896" t="s">
        <v>291</v>
      </c>
      <c r="E2671" s="922">
        <v>0.8</v>
      </c>
      <c r="F2671" s="990">
        <f>'MINI SSR 21-22'!G43</f>
        <v>168</v>
      </c>
      <c r="G2671" s="989">
        <f>ROUND(E2671*F2671,2)</f>
        <v>134.4</v>
      </c>
      <c r="H2671" s="964" t="s">
        <v>2312</v>
      </c>
    </row>
    <row r="2672" spans="1:8" hidden="1">
      <c r="A2672" s="967"/>
      <c r="B2672" s="966"/>
      <c r="C2672" s="1000" t="s">
        <v>1363</v>
      </c>
      <c r="D2672" s="896"/>
      <c r="E2672" s="922"/>
      <c r="F2672" s="990"/>
      <c r="G2672" s="989"/>
      <c r="H2672" s="964" t="s">
        <v>2312</v>
      </c>
    </row>
    <row r="2673" spans="1:8" hidden="1">
      <c r="A2673" s="967"/>
      <c r="B2673" s="966"/>
      <c r="C2673" s="1382" t="s">
        <v>1364</v>
      </c>
      <c r="D2673" s="896" t="s">
        <v>27</v>
      </c>
      <c r="E2673" s="970">
        <v>0.36</v>
      </c>
      <c r="F2673" s="970">
        <f>'MINI SSR 21-22'!$H$8</f>
        <v>655</v>
      </c>
      <c r="G2673" s="989">
        <f>ROUND(E2673*F2673,2)</f>
        <v>235.8</v>
      </c>
      <c r="H2673" s="964" t="s">
        <v>2312</v>
      </c>
    </row>
    <row r="2674" spans="1:8" hidden="1">
      <c r="A2674" s="967"/>
      <c r="B2674" s="966"/>
      <c r="C2674" s="1382" t="s">
        <v>1365</v>
      </c>
      <c r="D2674" s="896" t="s">
        <v>27</v>
      </c>
      <c r="E2674" s="970">
        <v>0.84</v>
      </c>
      <c r="F2674" s="970">
        <f>'MINI SSR 21-22'!$H$9</f>
        <v>525</v>
      </c>
      <c r="G2674" s="989">
        <f>ROUND(E2674*F2674,2)</f>
        <v>441</v>
      </c>
      <c r="H2674" s="964" t="s">
        <v>2312</v>
      </c>
    </row>
    <row r="2675" spans="1:8" hidden="1">
      <c r="A2675" s="967"/>
      <c r="B2675" s="966"/>
      <c r="C2675" s="1382" t="s">
        <v>0</v>
      </c>
      <c r="D2675" s="990"/>
      <c r="E2675" s="990"/>
      <c r="F2675" s="990"/>
      <c r="G2675" s="989">
        <f>SUM(G2668:G2674)</f>
        <v>1349.68</v>
      </c>
      <c r="H2675" s="964" t="s">
        <v>2312</v>
      </c>
    </row>
    <row r="2676" spans="1:8" hidden="1">
      <c r="A2676" s="967"/>
      <c r="B2676" s="966"/>
      <c r="C2676" s="1382"/>
      <c r="D2676" s="990"/>
      <c r="E2676" s="991" t="s">
        <v>161</v>
      </c>
      <c r="F2676" s="991" t="s">
        <v>162</v>
      </c>
      <c r="G2676" s="991" t="s">
        <v>163</v>
      </c>
      <c r="H2676" s="964" t="s">
        <v>2312</v>
      </c>
    </row>
    <row r="2677" spans="1:8" hidden="1">
      <c r="A2677" s="967"/>
      <c r="B2677" s="966"/>
      <c r="C2677" s="1382" t="s">
        <v>867</v>
      </c>
      <c r="D2677" s="990"/>
      <c r="E2677" s="990">
        <f>G2675</f>
        <v>1349.68</v>
      </c>
      <c r="F2677" s="1001">
        <f>G2675</f>
        <v>1349.68</v>
      </c>
      <c r="G2677" s="1001">
        <f>G2675</f>
        <v>1349.68</v>
      </c>
      <c r="H2677" s="964" t="s">
        <v>2312</v>
      </c>
    </row>
    <row r="2678" spans="1:8" hidden="1">
      <c r="A2678" s="967"/>
      <c r="B2678" s="966"/>
      <c r="C2678" s="1382" t="s">
        <v>1366</v>
      </c>
      <c r="D2678" s="990"/>
      <c r="E2678" s="990"/>
      <c r="F2678" s="989">
        <f>SUM(G2651+G2652+G2673+G2674)*10%</f>
        <v>107.16</v>
      </c>
      <c r="G2678" s="989">
        <f>SUM(G2651+G2652+G2673+G2674)*20%</f>
        <v>214.32</v>
      </c>
      <c r="H2678" s="964" t="s">
        <v>2312</v>
      </c>
    </row>
    <row r="2679" spans="1:8" s="999" customFormat="1" hidden="1">
      <c r="A2679" s="994"/>
      <c r="B2679" s="994"/>
      <c r="C2679" s="962" t="s">
        <v>869</v>
      </c>
      <c r="D2679" s="991"/>
      <c r="E2679" s="991">
        <f>SUM(E2677:E2678)</f>
        <v>1349.68</v>
      </c>
      <c r="F2679" s="998">
        <f>SUM(F2677:F2678)</f>
        <v>1456.8400000000001</v>
      </c>
      <c r="G2679" s="998">
        <f>SUM(G2677:G2678)</f>
        <v>1564</v>
      </c>
      <c r="H2679" s="964" t="s">
        <v>2312</v>
      </c>
    </row>
    <row r="2680" spans="1:8" s="999" customFormat="1" hidden="1">
      <c r="A2680" s="994"/>
      <c r="B2680" s="994"/>
      <c r="C2680" s="962" t="s">
        <v>1367</v>
      </c>
      <c r="D2680" s="991"/>
      <c r="E2680" s="991">
        <f>ROUND(E2679/10,2)</f>
        <v>134.97</v>
      </c>
      <c r="F2680" s="998">
        <f>ROUND(F2679/10,2)</f>
        <v>145.68</v>
      </c>
      <c r="G2680" s="998">
        <f>ROUND(G2679/10,2)</f>
        <v>156.4</v>
      </c>
      <c r="H2680" s="964" t="s">
        <v>2312</v>
      </c>
    </row>
    <row r="2681" spans="1:8" s="996" customFormat="1" ht="140.25" hidden="1">
      <c r="A2681" s="966">
        <v>32</v>
      </c>
      <c r="B2681" s="966" t="s">
        <v>1328</v>
      </c>
      <c r="C2681" s="1382" t="s">
        <v>1368</v>
      </c>
      <c r="D2681" s="967"/>
      <c r="E2681" s="967"/>
      <c r="F2681" s="995"/>
      <c r="G2681" s="995"/>
      <c r="H2681" s="964" t="s">
        <v>2312</v>
      </c>
    </row>
    <row r="2682" spans="1:8" hidden="1">
      <c r="A2682" s="967"/>
      <c r="B2682" s="966"/>
      <c r="C2682" s="1382" t="s">
        <v>1369</v>
      </c>
      <c r="D2682" s="990" t="s">
        <v>1360</v>
      </c>
      <c r="E2682" s="990">
        <v>1</v>
      </c>
      <c r="F2682" s="990">
        <f>G2665</f>
        <v>577.66999999999996</v>
      </c>
      <c r="G2682" s="989">
        <f>ROUND(E2682*F2682,2)</f>
        <v>577.66999999999996</v>
      </c>
      <c r="H2682" s="964" t="s">
        <v>2312</v>
      </c>
    </row>
    <row r="2683" spans="1:8" hidden="1">
      <c r="A2683" s="967"/>
      <c r="B2683" s="966"/>
      <c r="C2683" s="1000" t="s">
        <v>1361</v>
      </c>
      <c r="D2683" s="990"/>
      <c r="E2683" s="990"/>
      <c r="F2683" s="990"/>
      <c r="G2683" s="989"/>
      <c r="H2683" s="964" t="s">
        <v>2312</v>
      </c>
    </row>
    <row r="2684" spans="1:8" hidden="1">
      <c r="A2684" s="967"/>
      <c r="B2684" s="966"/>
      <c r="C2684" s="1382" t="s">
        <v>3144</v>
      </c>
      <c r="D2684" s="896" t="s">
        <v>291</v>
      </c>
      <c r="E2684" s="922">
        <v>0.8</v>
      </c>
      <c r="F2684" s="990">
        <f>'MINI SSR 21-22'!G44</f>
        <v>194</v>
      </c>
      <c r="G2684" s="989">
        <f>ROUND(E2684*F2684,2)</f>
        <v>155.19999999999999</v>
      </c>
      <c r="H2684" s="964" t="s">
        <v>2312</v>
      </c>
    </row>
    <row r="2685" spans="1:8" hidden="1">
      <c r="A2685" s="967"/>
      <c r="B2685" s="966"/>
      <c r="C2685" s="1000" t="s">
        <v>1363</v>
      </c>
      <c r="D2685" s="896"/>
      <c r="E2685" s="922"/>
      <c r="F2685" s="990"/>
      <c r="G2685" s="989"/>
      <c r="H2685" s="964" t="s">
        <v>2312</v>
      </c>
    </row>
    <row r="2686" spans="1:8" hidden="1">
      <c r="A2686" s="967"/>
      <c r="B2686" s="966"/>
      <c r="C2686" s="1382" t="s">
        <v>1364</v>
      </c>
      <c r="D2686" s="896" t="s">
        <v>27</v>
      </c>
      <c r="E2686" s="970">
        <v>0.21</v>
      </c>
      <c r="F2686" s="970">
        <f>'MINI SSR 21-22'!$H$8</f>
        <v>655</v>
      </c>
      <c r="G2686" s="989">
        <f>ROUND(E2686*F2686,2)</f>
        <v>137.55000000000001</v>
      </c>
      <c r="H2686" s="964" t="s">
        <v>2312</v>
      </c>
    </row>
    <row r="2687" spans="1:8" hidden="1">
      <c r="A2687" s="967"/>
      <c r="B2687" s="966"/>
      <c r="C2687" s="1382" t="s">
        <v>1365</v>
      </c>
      <c r="D2687" s="896" t="s">
        <v>27</v>
      </c>
      <c r="E2687" s="970">
        <v>0.49</v>
      </c>
      <c r="F2687" s="970">
        <f>'MINI SSR 21-22'!$H$9</f>
        <v>525</v>
      </c>
      <c r="G2687" s="989">
        <f>ROUND(E2687*F2687,2)</f>
        <v>257.25</v>
      </c>
      <c r="H2687" s="964" t="s">
        <v>2312</v>
      </c>
    </row>
    <row r="2688" spans="1:8" hidden="1">
      <c r="A2688" s="967"/>
      <c r="B2688" s="966"/>
      <c r="C2688" s="1382" t="s">
        <v>311</v>
      </c>
      <c r="D2688" s="896" t="s">
        <v>27</v>
      </c>
      <c r="E2688" s="970">
        <v>1.5</v>
      </c>
      <c r="F2688" s="970">
        <f>'MINI SSR 21-22'!$H$5</f>
        <v>490</v>
      </c>
      <c r="G2688" s="989">
        <f>ROUND(E2688*F2688,2)</f>
        <v>735</v>
      </c>
      <c r="H2688" s="964" t="s">
        <v>2312</v>
      </c>
    </row>
    <row r="2689" spans="1:8" hidden="1">
      <c r="A2689" s="967"/>
      <c r="B2689" s="966"/>
      <c r="C2689" s="1382" t="s">
        <v>0</v>
      </c>
      <c r="D2689" s="990"/>
      <c r="E2689" s="990"/>
      <c r="F2689" s="990"/>
      <c r="G2689" s="989">
        <f>SUM(G2682:G2688)</f>
        <v>1862.6699999999998</v>
      </c>
      <c r="H2689" s="964" t="s">
        <v>2312</v>
      </c>
    </row>
    <row r="2690" spans="1:8" hidden="1">
      <c r="A2690" s="967"/>
      <c r="B2690" s="966"/>
      <c r="C2690" s="1382"/>
      <c r="D2690" s="990"/>
      <c r="E2690" s="991" t="s">
        <v>161</v>
      </c>
      <c r="F2690" s="991" t="s">
        <v>162</v>
      </c>
      <c r="G2690" s="991" t="s">
        <v>163</v>
      </c>
      <c r="H2690" s="964" t="s">
        <v>2312</v>
      </c>
    </row>
    <row r="2691" spans="1:8" hidden="1">
      <c r="A2691" s="967"/>
      <c r="B2691" s="966"/>
      <c r="C2691" s="1382" t="s">
        <v>867</v>
      </c>
      <c r="D2691" s="990"/>
      <c r="E2691" s="990">
        <f>G2689</f>
        <v>1862.6699999999998</v>
      </c>
      <c r="F2691" s="1001">
        <f>G2689</f>
        <v>1862.6699999999998</v>
      </c>
      <c r="G2691" s="1001">
        <f>G2689</f>
        <v>1862.6699999999998</v>
      </c>
      <c r="H2691" s="964" t="s">
        <v>2312</v>
      </c>
    </row>
    <row r="2692" spans="1:8" hidden="1">
      <c r="A2692" s="967"/>
      <c r="B2692" s="966"/>
      <c r="C2692" s="1382" t="s">
        <v>870</v>
      </c>
      <c r="D2692" s="990"/>
      <c r="E2692" s="990"/>
      <c r="F2692" s="989">
        <f>SUM(G2661+G2662+G2686+G2687+G2688)*10%</f>
        <v>152.46</v>
      </c>
      <c r="G2692" s="989">
        <f>SUM(G2661+G2662+G2686+G2687+G2688)*20%</f>
        <v>304.92</v>
      </c>
      <c r="H2692" s="964" t="s">
        <v>2312</v>
      </c>
    </row>
    <row r="2693" spans="1:8" s="999" customFormat="1" hidden="1">
      <c r="A2693" s="994"/>
      <c r="B2693" s="994"/>
      <c r="C2693" s="962" t="s">
        <v>869</v>
      </c>
      <c r="D2693" s="991"/>
      <c r="E2693" s="991">
        <f>SUM(E2691:E2692)</f>
        <v>1862.6699999999998</v>
      </c>
      <c r="F2693" s="998">
        <f>SUM(F2691:F2692)</f>
        <v>2015.1299999999999</v>
      </c>
      <c r="G2693" s="998">
        <f>SUM(G2691:G2692)</f>
        <v>2167.5899999999997</v>
      </c>
      <c r="H2693" s="964" t="s">
        <v>2312</v>
      </c>
    </row>
    <row r="2694" spans="1:8" s="999" customFormat="1" hidden="1">
      <c r="A2694" s="994"/>
      <c r="B2694" s="994"/>
      <c r="C2694" s="962" t="s">
        <v>1367</v>
      </c>
      <c r="D2694" s="991"/>
      <c r="E2694" s="991">
        <f>ROUND(E2693/10,2)</f>
        <v>186.27</v>
      </c>
      <c r="F2694" s="998">
        <f>ROUND(F2693/10,2)</f>
        <v>201.51</v>
      </c>
      <c r="G2694" s="998">
        <f>ROUND(G2693/10,2)</f>
        <v>216.76</v>
      </c>
      <c r="H2694" s="964" t="s">
        <v>2312</v>
      </c>
    </row>
    <row r="2695" spans="1:8" ht="140.25" hidden="1">
      <c r="A2695" s="896">
        <v>58</v>
      </c>
      <c r="B2695" s="966" t="s">
        <v>96</v>
      </c>
      <c r="C2695" s="1382" t="s">
        <v>1307</v>
      </c>
      <c r="D2695" s="967"/>
      <c r="E2695" s="967"/>
      <c r="F2695" s="967"/>
      <c r="G2695" s="966"/>
      <c r="H2695" s="964" t="s">
        <v>2312</v>
      </c>
    </row>
    <row r="2696" spans="1:8" hidden="1">
      <c r="A2696" s="896"/>
      <c r="B2696" s="966"/>
      <c r="C2696" s="962" t="s">
        <v>42</v>
      </c>
      <c r="D2696" s="967"/>
      <c r="E2696" s="967"/>
      <c r="F2696" s="967"/>
      <c r="G2696" s="972"/>
      <c r="H2696" s="964" t="s">
        <v>2312</v>
      </c>
    </row>
    <row r="2697" spans="1:8" hidden="1">
      <c r="A2697" s="896"/>
      <c r="B2697" s="966"/>
      <c r="C2697" s="962" t="s">
        <v>97</v>
      </c>
      <c r="D2697" s="967"/>
      <c r="E2697" s="967"/>
      <c r="F2697" s="967"/>
      <c r="G2697" s="972"/>
      <c r="H2697" s="964" t="s">
        <v>2312</v>
      </c>
    </row>
    <row r="2698" spans="1:8" hidden="1">
      <c r="A2698" s="896"/>
      <c r="B2698" s="966"/>
      <c r="C2698" s="962" t="s">
        <v>60</v>
      </c>
      <c r="D2698" s="967"/>
      <c r="E2698" s="967"/>
      <c r="F2698" s="967"/>
      <c r="G2698" s="972"/>
      <c r="H2698" s="964" t="s">
        <v>2312</v>
      </c>
    </row>
    <row r="2699" spans="1:8" hidden="1">
      <c r="A2699" s="896"/>
      <c r="B2699" s="966"/>
      <c r="C2699" s="1382" t="s">
        <v>216</v>
      </c>
      <c r="D2699" s="967" t="s">
        <v>30</v>
      </c>
      <c r="E2699" s="970">
        <v>0.7</v>
      </c>
      <c r="F2699" s="970">
        <f>'MINI SSR 21-22'!G45</f>
        <v>130</v>
      </c>
      <c r="G2699" s="969">
        <f>ROUND(E2699*F2699,2)</f>
        <v>91</v>
      </c>
      <c r="H2699" s="964" t="s">
        <v>2312</v>
      </c>
    </row>
    <row r="2700" spans="1:8" hidden="1">
      <c r="A2700" s="967"/>
      <c r="B2700" s="966"/>
      <c r="C2700" s="962" t="s">
        <v>68</v>
      </c>
      <c r="D2700" s="967"/>
      <c r="E2700" s="970"/>
      <c r="F2700" s="970"/>
      <c r="G2700" s="969"/>
      <c r="H2700" s="964" t="s">
        <v>2312</v>
      </c>
    </row>
    <row r="2701" spans="1:8" hidden="1">
      <c r="A2701" s="967"/>
      <c r="B2701" s="967"/>
      <c r="C2701" s="1382" t="s">
        <v>94</v>
      </c>
      <c r="D2701" s="967" t="s">
        <v>27</v>
      </c>
      <c r="E2701" s="970">
        <v>0.21</v>
      </c>
      <c r="F2701" s="970">
        <f>'MINI SSR 21-22'!$H$8</f>
        <v>655</v>
      </c>
      <c r="G2701" s="969">
        <f>ROUND(E2701*F2701,2)</f>
        <v>137.55000000000001</v>
      </c>
      <c r="H2701" s="964" t="s">
        <v>2312</v>
      </c>
    </row>
    <row r="2702" spans="1:8" hidden="1">
      <c r="A2702" s="967"/>
      <c r="B2702" s="967"/>
      <c r="C2702" s="1382" t="s">
        <v>876</v>
      </c>
      <c r="D2702" s="967" t="s">
        <v>27</v>
      </c>
      <c r="E2702" s="970">
        <v>0.48</v>
      </c>
      <c r="F2702" s="970">
        <f>'MINI SSR 21-22'!$H$9</f>
        <v>525</v>
      </c>
      <c r="G2702" s="969">
        <f>ROUND(E2702*F2702,2)</f>
        <v>252</v>
      </c>
      <c r="H2702" s="964" t="s">
        <v>2312</v>
      </c>
    </row>
    <row r="2703" spans="1:8" hidden="1">
      <c r="A2703" s="967"/>
      <c r="B2703" s="967"/>
      <c r="C2703" s="1382" t="s">
        <v>95</v>
      </c>
      <c r="D2703" s="967"/>
      <c r="E2703" s="970"/>
      <c r="F2703" s="974">
        <f>SUM(G2699:G2701)</f>
        <v>228.55</v>
      </c>
      <c r="G2703" s="969">
        <f>ROUND(F2703*0.01,2)</f>
        <v>2.29</v>
      </c>
      <c r="H2703" s="964" t="s">
        <v>2312</v>
      </c>
    </row>
    <row r="2704" spans="1:8" hidden="1">
      <c r="A2704" s="967"/>
      <c r="B2704" s="967"/>
      <c r="C2704" s="962" t="s">
        <v>98</v>
      </c>
      <c r="D2704" s="967"/>
      <c r="E2704" s="967"/>
      <c r="F2704" s="967"/>
      <c r="G2704" s="971"/>
      <c r="H2704" s="964" t="s">
        <v>2312</v>
      </c>
    </row>
    <row r="2705" spans="1:8" hidden="1">
      <c r="A2705" s="967"/>
      <c r="B2705" s="967"/>
      <c r="C2705" s="962" t="s">
        <v>60</v>
      </c>
      <c r="D2705" s="967"/>
      <c r="E2705" s="967"/>
      <c r="F2705" s="967"/>
      <c r="G2705" s="972"/>
      <c r="H2705" s="964" t="s">
        <v>2312</v>
      </c>
    </row>
    <row r="2706" spans="1:8" hidden="1">
      <c r="A2706" s="967"/>
      <c r="B2706" s="967"/>
      <c r="C2706" s="1382" t="s">
        <v>217</v>
      </c>
      <c r="D2706" s="967" t="s">
        <v>30</v>
      </c>
      <c r="E2706" s="970">
        <v>1.1000000000000001</v>
      </c>
      <c r="F2706" s="970">
        <f>'MINI SSR 21-22'!G46</f>
        <v>248</v>
      </c>
      <c r="G2706" s="969">
        <f>ROUND(E2706*F2706,2)</f>
        <v>272.8</v>
      </c>
      <c r="H2706" s="964" t="s">
        <v>2312</v>
      </c>
    </row>
    <row r="2707" spans="1:8" hidden="1">
      <c r="A2707" s="967"/>
      <c r="B2707" s="967"/>
      <c r="C2707" s="962" t="s">
        <v>68</v>
      </c>
      <c r="D2707" s="967"/>
      <c r="E2707" s="970"/>
      <c r="F2707" s="970"/>
      <c r="G2707" s="969"/>
      <c r="H2707" s="964" t="s">
        <v>2312</v>
      </c>
    </row>
    <row r="2708" spans="1:8" hidden="1">
      <c r="A2708" s="967"/>
      <c r="B2708" s="967"/>
      <c r="C2708" s="1382" t="s">
        <v>94</v>
      </c>
      <c r="D2708" s="967" t="s">
        <v>27</v>
      </c>
      <c r="E2708" s="970">
        <v>0.33</v>
      </c>
      <c r="F2708" s="970">
        <f>'MINI SSR 21-22'!$H$8</f>
        <v>655</v>
      </c>
      <c r="G2708" s="969">
        <f>ROUND(E2708*F2708,2)</f>
        <v>216.15</v>
      </c>
      <c r="H2708" s="964" t="s">
        <v>2312</v>
      </c>
    </row>
    <row r="2709" spans="1:8" hidden="1">
      <c r="A2709" s="967"/>
      <c r="B2709" s="967"/>
      <c r="C2709" s="1382" t="s">
        <v>876</v>
      </c>
      <c r="D2709" s="967" t="s">
        <v>27</v>
      </c>
      <c r="E2709" s="970">
        <v>0.77</v>
      </c>
      <c r="F2709" s="970">
        <f>'MINI SSR 21-22'!$H$9</f>
        <v>525</v>
      </c>
      <c r="G2709" s="969">
        <f>ROUND(E2709*F2709,2)</f>
        <v>404.25</v>
      </c>
      <c r="H2709" s="964" t="s">
        <v>2312</v>
      </c>
    </row>
    <row r="2710" spans="1:8" hidden="1">
      <c r="A2710" s="967"/>
      <c r="B2710" s="967"/>
      <c r="C2710" s="962" t="s">
        <v>99</v>
      </c>
      <c r="D2710" s="967"/>
      <c r="E2710" s="967"/>
      <c r="F2710" s="967"/>
      <c r="G2710" s="971">
        <f>SUM(G2699:G2709)</f>
        <v>1376.04</v>
      </c>
      <c r="H2710" s="964" t="s">
        <v>2312</v>
      </c>
    </row>
    <row r="2711" spans="1:8" hidden="1">
      <c r="A2711" s="967"/>
      <c r="B2711" s="967"/>
      <c r="C2711" s="962" t="s">
        <v>121</v>
      </c>
      <c r="D2711" s="967"/>
      <c r="E2711" s="967"/>
      <c r="F2711" s="967"/>
      <c r="G2711" s="971">
        <f>ROUND(G2710/10,2)</f>
        <v>137.6</v>
      </c>
      <c r="H2711" s="964" t="s">
        <v>2312</v>
      </c>
    </row>
    <row r="2712" spans="1:8" ht="63.75" hidden="1">
      <c r="A2712" s="896">
        <v>59</v>
      </c>
      <c r="B2712" s="966"/>
      <c r="C2712" s="1382" t="s">
        <v>1181</v>
      </c>
      <c r="D2712" s="967"/>
      <c r="E2712" s="967"/>
      <c r="F2712" s="967"/>
      <c r="G2712" s="972"/>
      <c r="H2712" s="964" t="s">
        <v>2312</v>
      </c>
    </row>
    <row r="2713" spans="1:8" hidden="1">
      <c r="A2713" s="967"/>
      <c r="B2713" s="967" t="s">
        <v>1420</v>
      </c>
      <c r="C2713" s="1382" t="s">
        <v>1419</v>
      </c>
      <c r="D2713" s="967" t="s">
        <v>102</v>
      </c>
      <c r="E2713" s="970">
        <v>1</v>
      </c>
      <c r="F2713" s="970">
        <v>205</v>
      </c>
      <c r="G2713" s="969">
        <f>ROUND(E2713*F2713,2)</f>
        <v>205</v>
      </c>
      <c r="H2713" s="964" t="s">
        <v>2312</v>
      </c>
    </row>
    <row r="2714" spans="1:8" hidden="1">
      <c r="A2714" s="967"/>
      <c r="B2714" s="967"/>
      <c r="C2714" s="962"/>
      <c r="D2714" s="967"/>
      <c r="E2714" s="967"/>
      <c r="F2714" s="967"/>
      <c r="G2714" s="971">
        <f>SUM(G2713:G2713)</f>
        <v>205</v>
      </c>
      <c r="H2714" s="964" t="s">
        <v>2312</v>
      </c>
    </row>
    <row r="2715" spans="1:8" ht="293.25" hidden="1">
      <c r="A2715" s="896">
        <v>60</v>
      </c>
      <c r="B2715" s="966"/>
      <c r="C2715" s="1382" t="s">
        <v>1183</v>
      </c>
      <c r="D2715" s="967"/>
      <c r="E2715" s="967"/>
      <c r="F2715" s="967"/>
      <c r="G2715" s="972"/>
      <c r="H2715" s="964" t="s">
        <v>2312</v>
      </c>
    </row>
    <row r="2716" spans="1:8" hidden="1">
      <c r="A2716" s="967"/>
      <c r="B2716" s="967"/>
      <c r="C2716" s="1382" t="s">
        <v>222</v>
      </c>
      <c r="D2716" s="967"/>
      <c r="E2716" s="970"/>
      <c r="F2716" s="970"/>
      <c r="G2716" s="969"/>
      <c r="H2716" s="964" t="s">
        <v>2312</v>
      </c>
    </row>
    <row r="2717" spans="1:8" hidden="1">
      <c r="A2717" s="967"/>
      <c r="B2717" s="967" t="s">
        <v>1422</v>
      </c>
      <c r="C2717" s="1382" t="s">
        <v>1421</v>
      </c>
      <c r="D2717" s="970" t="s">
        <v>291</v>
      </c>
      <c r="E2717" s="973">
        <v>6.5000000000000002E-2</v>
      </c>
      <c r="F2717" s="990">
        <f>'MINI SSR 21-22'!G47</f>
        <v>708</v>
      </c>
      <c r="G2717" s="969">
        <f>ROUND(E2717*F2717,2)</f>
        <v>46.02</v>
      </c>
      <c r="H2717" s="964" t="s">
        <v>2312</v>
      </c>
    </row>
    <row r="2718" spans="1:8" hidden="1">
      <c r="A2718" s="967"/>
      <c r="B2718" s="967" t="s">
        <v>1422</v>
      </c>
      <c r="C2718" s="1382" t="s">
        <v>1423</v>
      </c>
      <c r="D2718" s="970" t="s">
        <v>291</v>
      </c>
      <c r="E2718" s="973">
        <v>3.3000000000000002E-2</v>
      </c>
      <c r="F2718" s="990">
        <f>'MINI SSR 21-22'!G48</f>
        <v>244</v>
      </c>
      <c r="G2718" s="969">
        <f>ROUND(E2718*F2718,2)</f>
        <v>8.0500000000000007</v>
      </c>
      <c r="H2718" s="964" t="s">
        <v>2312</v>
      </c>
    </row>
    <row r="2719" spans="1:8" hidden="1">
      <c r="A2719" s="896"/>
      <c r="B2719" s="966"/>
      <c r="C2719" s="1382" t="s">
        <v>94</v>
      </c>
      <c r="D2719" s="970" t="s">
        <v>27</v>
      </c>
      <c r="E2719" s="970">
        <v>0.24</v>
      </c>
      <c r="F2719" s="970">
        <f>'MINI SSR 21-22'!$H$8</f>
        <v>655</v>
      </c>
      <c r="G2719" s="969">
        <f>ROUND(E2719*F2719,2)</f>
        <v>157.19999999999999</v>
      </c>
      <c r="H2719" s="964" t="s">
        <v>2312</v>
      </c>
    </row>
    <row r="2720" spans="1:8" hidden="1">
      <c r="A2720" s="896"/>
      <c r="B2720" s="966"/>
      <c r="C2720" s="1382" t="s">
        <v>874</v>
      </c>
      <c r="D2720" s="970" t="s">
        <v>27</v>
      </c>
      <c r="E2720" s="970">
        <v>0.56000000000000005</v>
      </c>
      <c r="F2720" s="970">
        <f>'MINI SSR 21-22'!$H$9</f>
        <v>525</v>
      </c>
      <c r="G2720" s="969">
        <f>ROUND(E2720*F2720,2)</f>
        <v>294</v>
      </c>
      <c r="H2720" s="964" t="s">
        <v>2312</v>
      </c>
    </row>
    <row r="2721" spans="1:8" hidden="1">
      <c r="A2721" s="896"/>
      <c r="B2721" s="966"/>
      <c r="C2721" s="1382" t="s">
        <v>157</v>
      </c>
      <c r="D2721" s="970" t="s">
        <v>27</v>
      </c>
      <c r="E2721" s="970">
        <v>0.8</v>
      </c>
      <c r="F2721" s="970">
        <f>'MINI SSR 21-22'!$H$5</f>
        <v>490</v>
      </c>
      <c r="G2721" s="969">
        <f>ROUND(E2721*F2721,2)</f>
        <v>392</v>
      </c>
      <c r="H2721" s="964" t="s">
        <v>2312</v>
      </c>
    </row>
    <row r="2722" spans="1:8" hidden="1">
      <c r="A2722" s="896"/>
      <c r="B2722" s="966"/>
      <c r="C2722" s="962" t="s">
        <v>1182</v>
      </c>
      <c r="D2722" s="970"/>
      <c r="E2722" s="991"/>
      <c r="F2722" s="991"/>
      <c r="G2722" s="969">
        <f>SUM(G2717:G2721)</f>
        <v>897.27</v>
      </c>
      <c r="H2722" s="964" t="s">
        <v>2312</v>
      </c>
    </row>
    <row r="2723" spans="1:8" ht="89.25" hidden="1">
      <c r="A2723" s="896">
        <v>61</v>
      </c>
      <c r="B2723" s="966"/>
      <c r="C2723" s="1382" t="s">
        <v>1184</v>
      </c>
      <c r="D2723" s="967"/>
      <c r="E2723" s="967"/>
      <c r="F2723" s="967"/>
      <c r="G2723" s="972"/>
      <c r="H2723" s="964" t="s">
        <v>2312</v>
      </c>
    </row>
    <row r="2724" spans="1:8" hidden="1">
      <c r="A2724" s="967"/>
      <c r="B2724" s="967"/>
      <c r="C2724" s="1382" t="s">
        <v>1185</v>
      </c>
      <c r="D2724" s="967" t="s">
        <v>102</v>
      </c>
      <c r="E2724" s="970">
        <v>1</v>
      </c>
      <c r="F2724" s="970">
        <v>630</v>
      </c>
      <c r="G2724" s="969">
        <f>ROUND(E2724*F2724,2)</f>
        <v>630</v>
      </c>
      <c r="H2724" s="964" t="s">
        <v>2312</v>
      </c>
    </row>
    <row r="2725" spans="1:8" hidden="1">
      <c r="A2725" s="967"/>
      <c r="B2725" s="967"/>
      <c r="C2725" s="962"/>
      <c r="D2725" s="967"/>
      <c r="E2725" s="967"/>
      <c r="F2725" s="967"/>
      <c r="G2725" s="971">
        <f>SUM(G2724:G2724)</f>
        <v>630</v>
      </c>
      <c r="H2725" s="964" t="s">
        <v>2312</v>
      </c>
    </row>
    <row r="2726" spans="1:8" ht="165.75" hidden="1">
      <c r="A2726" s="896">
        <v>24</v>
      </c>
      <c r="B2726" s="966"/>
      <c r="C2726" s="1382" t="s">
        <v>680</v>
      </c>
      <c r="D2726" s="967"/>
      <c r="E2726" s="967"/>
      <c r="F2726" s="967"/>
      <c r="G2726" s="972"/>
      <c r="H2726" s="964" t="s">
        <v>2312</v>
      </c>
    </row>
    <row r="2727" spans="1:8" hidden="1">
      <c r="A2727" s="967"/>
      <c r="B2727" s="967" t="s">
        <v>1371</v>
      </c>
      <c r="C2727" s="1382" t="s">
        <v>379</v>
      </c>
      <c r="D2727" s="967" t="s">
        <v>102</v>
      </c>
      <c r="E2727" s="970">
        <v>1</v>
      </c>
      <c r="F2727" s="970">
        <f>'MINI SSR 21-22'!C47</f>
        <v>3500</v>
      </c>
      <c r="G2727" s="969">
        <f>ROUND(E2727*F2727,2)</f>
        <v>3500</v>
      </c>
      <c r="H2727" s="964" t="s">
        <v>2312</v>
      </c>
    </row>
    <row r="2728" spans="1:8" hidden="1">
      <c r="A2728" s="967"/>
      <c r="B2728" s="967"/>
      <c r="C2728" s="962"/>
      <c r="D2728" s="967"/>
      <c r="E2728" s="967"/>
      <c r="F2728" s="967"/>
      <c r="G2728" s="971">
        <f>SUM(G2727:G2727)</f>
        <v>3500</v>
      </c>
      <c r="H2728" s="964" t="s">
        <v>2312</v>
      </c>
    </row>
    <row r="2729" spans="1:8" ht="51" hidden="1">
      <c r="A2729" s="896">
        <v>63</v>
      </c>
      <c r="B2729" s="966"/>
      <c r="C2729" s="1382" t="s">
        <v>951</v>
      </c>
      <c r="D2729" s="967"/>
      <c r="E2729" s="967"/>
      <c r="F2729" s="967"/>
      <c r="G2729" s="972"/>
      <c r="H2729" s="964" t="s">
        <v>2312</v>
      </c>
    </row>
    <row r="2730" spans="1:8" hidden="1">
      <c r="A2730" s="967"/>
      <c r="B2730" s="967" t="s">
        <v>1425</v>
      </c>
      <c r="C2730" s="1382" t="s">
        <v>1424</v>
      </c>
      <c r="D2730" s="967" t="s">
        <v>275</v>
      </c>
      <c r="E2730" s="920">
        <v>1</v>
      </c>
      <c r="F2730" s="922">
        <v>275</v>
      </c>
      <c r="G2730" s="969">
        <f>ROUND(E2730*F2730,2)</f>
        <v>275</v>
      </c>
      <c r="H2730" s="964" t="s">
        <v>2312</v>
      </c>
    </row>
    <row r="2731" spans="1:8" hidden="1">
      <c r="A2731" s="967"/>
      <c r="B2731" s="967"/>
      <c r="C2731" s="1382" t="s">
        <v>953</v>
      </c>
      <c r="D2731" s="967"/>
      <c r="E2731" s="920"/>
      <c r="F2731" s="922"/>
      <c r="G2731" s="969"/>
      <c r="H2731" s="964" t="s">
        <v>2312</v>
      </c>
    </row>
    <row r="2732" spans="1:8" hidden="1">
      <c r="A2732" s="967"/>
      <c r="B2732" s="967"/>
      <c r="C2732" s="1382" t="s">
        <v>3154</v>
      </c>
      <c r="D2732" s="967"/>
      <c r="E2732" s="920"/>
      <c r="F2732" s="922"/>
      <c r="G2732" s="969"/>
      <c r="H2732" s="964" t="s">
        <v>2312</v>
      </c>
    </row>
    <row r="2733" spans="1:8" hidden="1">
      <c r="A2733" s="967"/>
      <c r="B2733" s="967"/>
      <c r="C2733" s="1382" t="s">
        <v>3156</v>
      </c>
      <c r="D2733" s="967"/>
      <c r="E2733" s="920"/>
      <c r="F2733" s="922"/>
      <c r="G2733" s="969"/>
      <c r="H2733" s="964" t="s">
        <v>2312</v>
      </c>
    </row>
    <row r="2734" spans="1:8" hidden="1">
      <c r="A2734" s="967"/>
      <c r="B2734" s="967"/>
      <c r="C2734" s="1382" t="s">
        <v>3155</v>
      </c>
      <c r="D2734" s="967"/>
      <c r="E2734" s="920"/>
      <c r="F2734" s="922"/>
      <c r="G2734" s="969"/>
      <c r="H2734" s="964" t="s">
        <v>2312</v>
      </c>
    </row>
    <row r="2735" spans="1:8" hidden="1">
      <c r="A2735" s="967"/>
      <c r="B2735" s="967"/>
      <c r="C2735" s="1382" t="s">
        <v>957</v>
      </c>
      <c r="D2735" s="967" t="s">
        <v>275</v>
      </c>
      <c r="E2735" s="920">
        <v>1</v>
      </c>
      <c r="F2735" s="922">
        <v>733.33</v>
      </c>
      <c r="G2735" s="969">
        <f>ROUND(E2735*F2735,2)</f>
        <v>733.33</v>
      </c>
      <c r="H2735" s="964" t="s">
        <v>2312</v>
      </c>
    </row>
    <row r="2736" spans="1:8" hidden="1">
      <c r="A2736" s="967"/>
      <c r="B2736" s="967"/>
      <c r="C2736" s="1385"/>
      <c r="D2736" s="896"/>
      <c r="E2736" s="920"/>
      <c r="F2736" s="922"/>
      <c r="G2736" s="924"/>
      <c r="H2736" s="964" t="s">
        <v>2312</v>
      </c>
    </row>
    <row r="2737" spans="1:8" hidden="1">
      <c r="A2737" s="967"/>
      <c r="B2737" s="967"/>
      <c r="C2737" s="962"/>
      <c r="D2737" s="967"/>
      <c r="E2737" s="967"/>
      <c r="F2737" s="967"/>
      <c r="G2737" s="971">
        <f>SUM(G2735:G2736)</f>
        <v>733.33</v>
      </c>
      <c r="H2737" s="964" t="s">
        <v>2312</v>
      </c>
    </row>
    <row r="2738" spans="1:8" ht="51" hidden="1">
      <c r="A2738" s="896">
        <v>64</v>
      </c>
      <c r="B2738" s="966"/>
      <c r="C2738" s="1382" t="s">
        <v>1231</v>
      </c>
      <c r="D2738" s="967"/>
      <c r="E2738" s="967"/>
      <c r="F2738" s="967"/>
      <c r="G2738" s="972"/>
      <c r="H2738" s="964" t="s">
        <v>2312</v>
      </c>
    </row>
    <row r="2739" spans="1:8" hidden="1">
      <c r="A2739" s="967"/>
      <c r="B2739" s="967" t="s">
        <v>1425</v>
      </c>
      <c r="C2739" s="1382" t="s">
        <v>1424</v>
      </c>
      <c r="D2739" s="967" t="s">
        <v>275</v>
      </c>
      <c r="E2739" s="920">
        <v>1</v>
      </c>
      <c r="F2739" s="922">
        <v>275</v>
      </c>
      <c r="G2739" s="969">
        <f>ROUND(E2739*F2739,2)</f>
        <v>275</v>
      </c>
      <c r="H2739" s="964" t="s">
        <v>2312</v>
      </c>
    </row>
    <row r="2740" spans="1:8" hidden="1">
      <c r="A2740" s="967"/>
      <c r="B2740" s="967"/>
      <c r="C2740" s="1382" t="s">
        <v>1235</v>
      </c>
      <c r="D2740" s="967"/>
      <c r="E2740" s="920"/>
      <c r="F2740" s="922"/>
      <c r="G2740" s="969"/>
      <c r="H2740" s="964" t="s">
        <v>2312</v>
      </c>
    </row>
    <row r="2741" spans="1:8" hidden="1">
      <c r="A2741" s="967"/>
      <c r="B2741" s="967"/>
      <c r="C2741" s="1382" t="s">
        <v>3145</v>
      </c>
      <c r="D2741" s="967"/>
      <c r="E2741" s="920"/>
      <c r="F2741" s="922"/>
      <c r="G2741" s="969"/>
      <c r="H2741" s="964" t="s">
        <v>2312</v>
      </c>
    </row>
    <row r="2742" spans="1:8" hidden="1">
      <c r="A2742" s="967"/>
      <c r="B2742" s="967"/>
      <c r="C2742" s="1382" t="s">
        <v>3146</v>
      </c>
      <c r="D2742" s="967"/>
      <c r="E2742" s="920"/>
      <c r="F2742" s="922"/>
      <c r="G2742" s="969"/>
      <c r="H2742" s="964" t="s">
        <v>2312</v>
      </c>
    </row>
    <row r="2743" spans="1:8" hidden="1">
      <c r="A2743" s="967"/>
      <c r="B2743" s="967"/>
      <c r="C2743" s="1382" t="s">
        <v>3147</v>
      </c>
      <c r="D2743" s="967"/>
      <c r="E2743" s="920"/>
      <c r="F2743" s="922"/>
      <c r="G2743" s="969"/>
      <c r="H2743" s="964" t="s">
        <v>2312</v>
      </c>
    </row>
    <row r="2744" spans="1:8" hidden="1">
      <c r="A2744" s="967"/>
      <c r="B2744" s="967"/>
      <c r="C2744" s="1382" t="s">
        <v>1235</v>
      </c>
      <c r="D2744" s="967" t="s">
        <v>275</v>
      </c>
      <c r="E2744" s="920">
        <v>1</v>
      </c>
      <c r="F2744" s="922">
        <v>550</v>
      </c>
      <c r="G2744" s="969">
        <f>ROUND(E2744*F2744,2)</f>
        <v>550</v>
      </c>
      <c r="H2744" s="964" t="s">
        <v>2312</v>
      </c>
    </row>
    <row r="2745" spans="1:8" hidden="1">
      <c r="A2745" s="967"/>
      <c r="B2745" s="967"/>
      <c r="C2745" s="1385"/>
      <c r="D2745" s="896"/>
      <c r="E2745" s="920"/>
      <c r="F2745" s="922"/>
      <c r="G2745" s="924"/>
      <c r="H2745" s="964" t="s">
        <v>2312</v>
      </c>
    </row>
    <row r="2746" spans="1:8" hidden="1">
      <c r="A2746" s="967"/>
      <c r="B2746" s="967"/>
      <c r="C2746" s="962"/>
      <c r="D2746" s="967"/>
      <c r="E2746" s="967"/>
      <c r="F2746" s="967"/>
      <c r="G2746" s="971">
        <f>SUM(G2744:G2745)</f>
        <v>550</v>
      </c>
      <c r="H2746" s="964" t="s">
        <v>2312</v>
      </c>
    </row>
    <row r="2747" spans="1:8" ht="51" hidden="1">
      <c r="A2747" s="896">
        <v>65</v>
      </c>
      <c r="B2747" s="966"/>
      <c r="C2747" s="1382" t="s">
        <v>952</v>
      </c>
      <c r="D2747" s="967"/>
      <c r="E2747" s="967"/>
      <c r="F2747" s="967"/>
      <c r="G2747" s="972"/>
      <c r="H2747" s="964" t="s">
        <v>2312</v>
      </c>
    </row>
    <row r="2748" spans="1:8" hidden="1">
      <c r="A2748" s="967"/>
      <c r="B2748" s="967" t="s">
        <v>1427</v>
      </c>
      <c r="C2748" s="1382" t="s">
        <v>1426</v>
      </c>
      <c r="D2748" s="967" t="s">
        <v>275</v>
      </c>
      <c r="E2748" s="920">
        <v>1</v>
      </c>
      <c r="F2748" s="922">
        <v>143</v>
      </c>
      <c r="G2748" s="969">
        <f>ROUND(E2748*F2748,2)</f>
        <v>143</v>
      </c>
      <c r="H2748" s="964" t="s">
        <v>2312</v>
      </c>
    </row>
    <row r="2749" spans="1:8" hidden="1">
      <c r="A2749" s="967"/>
      <c r="B2749" s="967"/>
      <c r="C2749" s="1385"/>
      <c r="D2749" s="896"/>
      <c r="E2749" s="920"/>
      <c r="F2749" s="922"/>
      <c r="G2749" s="924"/>
      <c r="H2749" s="964" t="s">
        <v>2312</v>
      </c>
    </row>
    <row r="2750" spans="1:8" hidden="1">
      <c r="A2750" s="967"/>
      <c r="B2750" s="967"/>
      <c r="C2750" s="962"/>
      <c r="D2750" s="967"/>
      <c r="E2750" s="967"/>
      <c r="F2750" s="967"/>
      <c r="G2750" s="971">
        <f>SUM(G2748:G2749)</f>
        <v>143</v>
      </c>
      <c r="H2750" s="964" t="s">
        <v>2312</v>
      </c>
    </row>
    <row r="2751" spans="1:8" hidden="1">
      <c r="A2751" s="896">
        <v>25</v>
      </c>
      <c r="B2751" s="966"/>
      <c r="C2751" s="1002" t="s">
        <v>932</v>
      </c>
      <c r="D2751" s="967"/>
      <c r="E2751" s="967"/>
      <c r="F2751" s="967"/>
      <c r="G2751" s="967"/>
      <c r="H2751" s="964" t="s">
        <v>2312</v>
      </c>
    </row>
    <row r="2752" spans="1:8" hidden="1">
      <c r="A2752" s="967"/>
      <c r="B2752" s="967" t="s">
        <v>1406</v>
      </c>
      <c r="C2752" s="1002" t="s">
        <v>379</v>
      </c>
      <c r="D2752" s="967" t="s">
        <v>102</v>
      </c>
      <c r="E2752" s="970">
        <v>1</v>
      </c>
      <c r="F2752" s="970">
        <f>'D&amp;W data'!F672</f>
        <v>353</v>
      </c>
      <c r="G2752" s="969">
        <f>ROUND(E2752*F2752,2)</f>
        <v>353</v>
      </c>
      <c r="H2752" s="964" t="s">
        <v>2312</v>
      </c>
    </row>
    <row r="2753" spans="1:8" hidden="1">
      <c r="A2753" s="967"/>
      <c r="B2753" s="967"/>
      <c r="C2753" s="1002" t="s">
        <v>929</v>
      </c>
      <c r="D2753" s="896" t="s">
        <v>108</v>
      </c>
      <c r="E2753" s="922">
        <v>0.06</v>
      </c>
      <c r="F2753" s="970">
        <f>'D&amp;W data'!F673</f>
        <v>585</v>
      </c>
      <c r="G2753" s="924">
        <f>ROUND(E2753*F2753,2)</f>
        <v>35.1</v>
      </c>
      <c r="H2753" s="964" t="s">
        <v>2312</v>
      </c>
    </row>
    <row r="2754" spans="1:8" hidden="1">
      <c r="A2754" s="967"/>
      <c r="B2754" s="967"/>
      <c r="C2754" s="1002" t="s">
        <v>930</v>
      </c>
      <c r="D2754" s="896" t="s">
        <v>108</v>
      </c>
      <c r="E2754" s="922">
        <v>0.06</v>
      </c>
      <c r="F2754" s="970">
        <f>'D&amp;W data'!F674</f>
        <v>525</v>
      </c>
      <c r="G2754" s="924">
        <f>ROUND(E2754*F2754,2)</f>
        <v>31.5</v>
      </c>
      <c r="H2754" s="964" t="s">
        <v>2312</v>
      </c>
    </row>
    <row r="2755" spans="1:8" hidden="1">
      <c r="A2755" s="967"/>
      <c r="B2755" s="967"/>
      <c r="C2755" s="1003" t="s">
        <v>931</v>
      </c>
      <c r="D2755" s="896" t="s">
        <v>108</v>
      </c>
      <c r="E2755" s="920">
        <v>0.27500000000000002</v>
      </c>
      <c r="F2755" s="970">
        <f>'D&amp;W data'!F675</f>
        <v>490</v>
      </c>
      <c r="G2755" s="924">
        <f>ROUND(E2755*F2755,2)</f>
        <v>134.75</v>
      </c>
      <c r="H2755" s="964" t="s">
        <v>2312</v>
      </c>
    </row>
    <row r="2756" spans="1:8" hidden="1">
      <c r="A2756" s="967"/>
      <c r="B2756" s="967"/>
      <c r="C2756" s="1004" t="s">
        <v>1402</v>
      </c>
      <c r="D2756" s="967"/>
      <c r="E2756" s="967"/>
      <c r="F2756" s="967"/>
      <c r="G2756" s="971">
        <f>SUM(G2752:G2755)</f>
        <v>554.35</v>
      </c>
      <c r="H2756" s="964" t="s">
        <v>2312</v>
      </c>
    </row>
    <row r="2757" spans="1:8" s="1403" customFormat="1">
      <c r="A2757" s="1481"/>
      <c r="B2757" s="1481"/>
      <c r="C2757" s="1499" t="s">
        <v>2311</v>
      </c>
      <c r="D2757" s="1481"/>
      <c r="E2757" s="1481"/>
      <c r="F2757" s="1481"/>
      <c r="G2757" s="1491"/>
      <c r="H2757" s="1483" t="s">
        <v>2313</v>
      </c>
    </row>
    <row r="2758" spans="1:8" ht="25.5" hidden="1">
      <c r="A2758" s="967">
        <v>15</v>
      </c>
      <c r="B2758" s="967" t="s">
        <v>46</v>
      </c>
      <c r="C2758" s="962" t="s">
        <v>43</v>
      </c>
      <c r="D2758" s="967"/>
      <c r="E2758" s="967"/>
      <c r="F2758" s="967"/>
      <c r="G2758" s="967"/>
      <c r="H2758" s="964" t="s">
        <v>2313</v>
      </c>
    </row>
    <row r="2759" spans="1:8" hidden="1">
      <c r="A2759" s="967"/>
      <c r="B2759" s="967"/>
      <c r="C2759" s="1382" t="s">
        <v>44</v>
      </c>
      <c r="D2759" s="967" t="s">
        <v>4</v>
      </c>
      <c r="E2759" s="970">
        <f>1440/3</f>
        <v>480</v>
      </c>
      <c r="F2759" s="970">
        <f>'lead 22-23'!$L$8</f>
        <v>4700</v>
      </c>
      <c r="G2759" s="969">
        <f>ROUND(E2759*F2759/1000,2)</f>
        <v>2256</v>
      </c>
      <c r="H2759" s="964" t="s">
        <v>2313</v>
      </c>
    </row>
    <row r="2760" spans="1:8" hidden="1">
      <c r="A2760" s="967"/>
      <c r="B2760" s="967"/>
      <c r="C2760" s="1382" t="s">
        <v>110</v>
      </c>
      <c r="D2760" s="967" t="s">
        <v>35</v>
      </c>
      <c r="E2760" s="970">
        <v>1.05</v>
      </c>
      <c r="F2760" s="970">
        <f>'lead 22-23'!$L$12</f>
        <v>1815.9999999999998</v>
      </c>
      <c r="G2760" s="969">
        <f>ROUND(E2760*F2760,2)</f>
        <v>1906.8</v>
      </c>
      <c r="H2760" s="964" t="s">
        <v>2313</v>
      </c>
    </row>
    <row r="2761" spans="1:8" hidden="1">
      <c r="A2761" s="967"/>
      <c r="B2761" s="967"/>
      <c r="C2761" s="1382" t="s">
        <v>45</v>
      </c>
      <c r="D2761" s="967" t="s">
        <v>27</v>
      </c>
      <c r="E2761" s="970">
        <v>0.2</v>
      </c>
      <c r="F2761" s="970">
        <f>'MINI SSR 2022-23'!H$5</f>
        <v>525</v>
      </c>
      <c r="G2761" s="969">
        <f>ROUND(E2761*F2761,2)</f>
        <v>105</v>
      </c>
      <c r="H2761" s="964" t="s">
        <v>2313</v>
      </c>
    </row>
    <row r="2762" spans="1:8" hidden="1">
      <c r="A2762" s="967"/>
      <c r="B2762" s="967"/>
      <c r="C2762" s="1382"/>
      <c r="D2762" s="967"/>
      <c r="E2762" s="967"/>
      <c r="F2762" s="967"/>
      <c r="G2762" s="972">
        <f>SUM(G2759:G2761)</f>
        <v>4267.8</v>
      </c>
      <c r="H2762" s="964" t="s">
        <v>2313</v>
      </c>
    </row>
    <row r="2763" spans="1:8" ht="25.5" hidden="1">
      <c r="A2763" s="967">
        <v>2</v>
      </c>
      <c r="B2763" s="967" t="s">
        <v>51</v>
      </c>
      <c r="C2763" s="962" t="s">
        <v>47</v>
      </c>
      <c r="D2763" s="967"/>
      <c r="E2763" s="967"/>
      <c r="F2763" s="967"/>
      <c r="G2763" s="967"/>
      <c r="H2763" s="964" t="s">
        <v>2313</v>
      </c>
    </row>
    <row r="2764" spans="1:8" hidden="1">
      <c r="A2764" s="967"/>
      <c r="B2764" s="967"/>
      <c r="C2764" s="1382" t="s">
        <v>44</v>
      </c>
      <c r="D2764" s="967" t="s">
        <v>4</v>
      </c>
      <c r="E2764" s="970">
        <f>1440/4</f>
        <v>360</v>
      </c>
      <c r="F2764" s="970">
        <f>'lead 22-23'!$L$8</f>
        <v>4700</v>
      </c>
      <c r="G2764" s="969">
        <f>ROUND(E2764*F2764/1000,2)</f>
        <v>1692</v>
      </c>
      <c r="H2764" s="964" t="s">
        <v>2313</v>
      </c>
    </row>
    <row r="2765" spans="1:8" hidden="1">
      <c r="A2765" s="967"/>
      <c r="B2765" s="967"/>
      <c r="C2765" s="1382" t="s">
        <v>110</v>
      </c>
      <c r="D2765" s="967" t="s">
        <v>35</v>
      </c>
      <c r="E2765" s="970">
        <v>1.05</v>
      </c>
      <c r="F2765" s="970">
        <f>'lead 22-23'!$L$12</f>
        <v>1815.9999999999998</v>
      </c>
      <c r="G2765" s="969">
        <f>ROUND(E2765*F2765,2)</f>
        <v>1906.8</v>
      </c>
      <c r="H2765" s="964" t="s">
        <v>2313</v>
      </c>
    </row>
    <row r="2766" spans="1:8" hidden="1">
      <c r="A2766" s="967"/>
      <c r="B2766" s="967"/>
      <c r="C2766" s="1382" t="s">
        <v>45</v>
      </c>
      <c r="D2766" s="967" t="s">
        <v>27</v>
      </c>
      <c r="E2766" s="970">
        <v>0.2</v>
      </c>
      <c r="F2766" s="970">
        <f>'MINI SSR 2022-23'!H$5</f>
        <v>525</v>
      </c>
      <c r="G2766" s="969">
        <f>ROUND(E2766*F2766,2)</f>
        <v>105</v>
      </c>
      <c r="H2766" s="964" t="s">
        <v>2313</v>
      </c>
    </row>
    <row r="2767" spans="1:8" hidden="1">
      <c r="A2767" s="967"/>
      <c r="B2767" s="967"/>
      <c r="C2767" s="1382"/>
      <c r="D2767" s="967"/>
      <c r="E2767" s="967"/>
      <c r="F2767" s="967"/>
      <c r="G2767" s="972">
        <f>SUM(G2764:G2766)</f>
        <v>3703.8</v>
      </c>
      <c r="H2767" s="964" t="s">
        <v>2313</v>
      </c>
    </row>
    <row r="2768" spans="1:8" s="965" customFormat="1" ht="25.5" hidden="1">
      <c r="A2768" s="967">
        <v>2</v>
      </c>
      <c r="B2768" s="967" t="s">
        <v>52</v>
      </c>
      <c r="C2768" s="962" t="s">
        <v>48</v>
      </c>
      <c r="D2768" s="967"/>
      <c r="E2768" s="967"/>
      <c r="F2768" s="967"/>
      <c r="G2768" s="967"/>
      <c r="H2768" s="964" t="s">
        <v>2313</v>
      </c>
    </row>
    <row r="2769" spans="1:8" s="965" customFormat="1" hidden="1">
      <c r="A2769" s="967"/>
      <c r="B2769" s="967"/>
      <c r="C2769" s="1382" t="s">
        <v>44</v>
      </c>
      <c r="D2769" s="967" t="s">
        <v>4</v>
      </c>
      <c r="E2769" s="970">
        <f>1440/5</f>
        <v>288</v>
      </c>
      <c r="F2769" s="970">
        <f>'lead 22-23'!$L$8</f>
        <v>4700</v>
      </c>
      <c r="G2769" s="969">
        <f>ROUND(E2769*F2769/1000,2)</f>
        <v>1353.6</v>
      </c>
      <c r="H2769" s="964" t="s">
        <v>2313</v>
      </c>
    </row>
    <row r="2770" spans="1:8" s="965" customFormat="1" hidden="1">
      <c r="A2770" s="967"/>
      <c r="B2770" s="967"/>
      <c r="C2770" s="1382" t="s">
        <v>110</v>
      </c>
      <c r="D2770" s="967" t="s">
        <v>35</v>
      </c>
      <c r="E2770" s="970">
        <v>1.05</v>
      </c>
      <c r="F2770" s="970">
        <f>'lead 22-23'!$L$12</f>
        <v>1815.9999999999998</v>
      </c>
      <c r="G2770" s="969">
        <f>ROUND(E2770*F2770,2)</f>
        <v>1906.8</v>
      </c>
      <c r="H2770" s="964" t="s">
        <v>2313</v>
      </c>
    </row>
    <row r="2771" spans="1:8" s="965" customFormat="1" hidden="1">
      <c r="A2771" s="967"/>
      <c r="B2771" s="967"/>
      <c r="C2771" s="1382" t="s">
        <v>45</v>
      </c>
      <c r="D2771" s="967" t="s">
        <v>27</v>
      </c>
      <c r="E2771" s="970">
        <v>0.2</v>
      </c>
      <c r="F2771" s="970">
        <f>'MINI SSR 2022-23'!H$5</f>
        <v>525</v>
      </c>
      <c r="G2771" s="969">
        <f>ROUND(E2771*F2771,2)</f>
        <v>105</v>
      </c>
      <c r="H2771" s="964" t="s">
        <v>2313</v>
      </c>
    </row>
    <row r="2772" spans="1:8" s="965" customFormat="1" hidden="1">
      <c r="A2772" s="967"/>
      <c r="B2772" s="967"/>
      <c r="C2772" s="1382"/>
      <c r="D2772" s="967"/>
      <c r="E2772" s="967"/>
      <c r="F2772" s="967"/>
      <c r="G2772" s="972">
        <f>SUM(G2769:G2771)</f>
        <v>3365.3999999999996</v>
      </c>
      <c r="H2772" s="964" t="s">
        <v>2313</v>
      </c>
    </row>
    <row r="2773" spans="1:8" s="965" customFormat="1" ht="25.5" hidden="1">
      <c r="A2773" s="967">
        <v>4</v>
      </c>
      <c r="B2773" s="967" t="s">
        <v>53</v>
      </c>
      <c r="C2773" s="962" t="s">
        <v>49</v>
      </c>
      <c r="D2773" s="967"/>
      <c r="E2773" s="967"/>
      <c r="F2773" s="967"/>
      <c r="G2773" s="967"/>
      <c r="H2773" s="964" t="s">
        <v>2313</v>
      </c>
    </row>
    <row r="2774" spans="1:8" s="965" customFormat="1" hidden="1">
      <c r="A2774" s="967"/>
      <c r="B2774" s="967"/>
      <c r="C2774" s="1382" t="s">
        <v>44</v>
      </c>
      <c r="D2774" s="967" t="s">
        <v>4</v>
      </c>
      <c r="E2774" s="970">
        <f>1440/6</f>
        <v>240</v>
      </c>
      <c r="F2774" s="970">
        <f>'lead 22-23'!$L$8</f>
        <v>4700</v>
      </c>
      <c r="G2774" s="969">
        <f>ROUND(E2774*F2774/1000,2)</f>
        <v>1128</v>
      </c>
      <c r="H2774" s="964" t="s">
        <v>2313</v>
      </c>
    </row>
    <row r="2775" spans="1:8" s="965" customFormat="1" hidden="1">
      <c r="A2775" s="967"/>
      <c r="B2775" s="967"/>
      <c r="C2775" s="1382" t="s">
        <v>111</v>
      </c>
      <c r="D2775" s="967" t="s">
        <v>35</v>
      </c>
      <c r="E2775" s="970">
        <v>1.05</v>
      </c>
      <c r="F2775" s="970">
        <f>'lead 22-23'!$L$12</f>
        <v>1815.9999999999998</v>
      </c>
      <c r="G2775" s="969">
        <f>ROUND(E2775*F2775,2)</f>
        <v>1906.8</v>
      </c>
      <c r="H2775" s="964" t="s">
        <v>2313</v>
      </c>
    </row>
    <row r="2776" spans="1:8" s="965" customFormat="1" hidden="1">
      <c r="A2776" s="967"/>
      <c r="B2776" s="967"/>
      <c r="C2776" s="1382" t="s">
        <v>45</v>
      </c>
      <c r="D2776" s="967" t="s">
        <v>27</v>
      </c>
      <c r="E2776" s="970">
        <v>0.2</v>
      </c>
      <c r="F2776" s="970">
        <f>'MINI SSR 2022-23'!H$5</f>
        <v>525</v>
      </c>
      <c r="G2776" s="969">
        <f>ROUND(E2776*F2776,2)</f>
        <v>105</v>
      </c>
      <c r="H2776" s="964" t="s">
        <v>2313</v>
      </c>
    </row>
    <row r="2777" spans="1:8" s="965" customFormat="1" hidden="1">
      <c r="A2777" s="967"/>
      <c r="B2777" s="967"/>
      <c r="C2777" s="1382"/>
      <c r="D2777" s="967"/>
      <c r="E2777" s="967"/>
      <c r="F2777" s="967"/>
      <c r="G2777" s="972">
        <f>SUM(G2774:G2776)</f>
        <v>3139.8</v>
      </c>
      <c r="H2777" s="964" t="s">
        <v>2313</v>
      </c>
    </row>
    <row r="2778" spans="1:8" s="965" customFormat="1" ht="25.5" hidden="1">
      <c r="A2778" s="967">
        <v>5</v>
      </c>
      <c r="B2778" s="967" t="s">
        <v>54</v>
      </c>
      <c r="C2778" s="962" t="s">
        <v>50</v>
      </c>
      <c r="D2778" s="967"/>
      <c r="E2778" s="967"/>
      <c r="F2778" s="967"/>
      <c r="G2778" s="967"/>
      <c r="H2778" s="964" t="s">
        <v>2313</v>
      </c>
    </row>
    <row r="2779" spans="1:8" s="965" customFormat="1" hidden="1">
      <c r="A2779" s="967"/>
      <c r="B2779" s="967"/>
      <c r="C2779" s="1382" t="s">
        <v>44</v>
      </c>
      <c r="D2779" s="967" t="s">
        <v>4</v>
      </c>
      <c r="E2779" s="970">
        <f>1440/8</f>
        <v>180</v>
      </c>
      <c r="F2779" s="970">
        <f>'lead 22-23'!$L$8</f>
        <v>4700</v>
      </c>
      <c r="G2779" s="969">
        <f>ROUND(E2779*F2779/1000,2)</f>
        <v>846</v>
      </c>
      <c r="H2779" s="964" t="s">
        <v>2313</v>
      </c>
    </row>
    <row r="2780" spans="1:8" s="965" customFormat="1" hidden="1">
      <c r="A2780" s="967"/>
      <c r="B2780" s="967"/>
      <c r="C2780" s="1382" t="s">
        <v>111</v>
      </c>
      <c r="D2780" s="967" t="s">
        <v>35</v>
      </c>
      <c r="E2780" s="970">
        <v>1.05</v>
      </c>
      <c r="F2780" s="970">
        <f>'lead 22-23'!$L$12</f>
        <v>1815.9999999999998</v>
      </c>
      <c r="G2780" s="969">
        <f>ROUND(E2780*F2780,2)</f>
        <v>1906.8</v>
      </c>
      <c r="H2780" s="964" t="s">
        <v>2313</v>
      </c>
    </row>
    <row r="2781" spans="1:8" s="965" customFormat="1" hidden="1">
      <c r="A2781" s="967"/>
      <c r="B2781" s="967"/>
      <c r="C2781" s="1382" t="s">
        <v>45</v>
      </c>
      <c r="D2781" s="967" t="s">
        <v>27</v>
      </c>
      <c r="E2781" s="970">
        <v>0.2</v>
      </c>
      <c r="F2781" s="970">
        <f>'MINI SSR 2022-23'!H$5</f>
        <v>525</v>
      </c>
      <c r="G2781" s="969">
        <f>ROUND(E2781*F2781,2)</f>
        <v>105</v>
      </c>
      <c r="H2781" s="964" t="s">
        <v>2313</v>
      </c>
    </row>
    <row r="2782" spans="1:8" s="965" customFormat="1" hidden="1">
      <c r="A2782" s="967"/>
      <c r="B2782" s="967"/>
      <c r="C2782" s="1382"/>
      <c r="D2782" s="967"/>
      <c r="E2782" s="967"/>
      <c r="F2782" s="967"/>
      <c r="G2782" s="972">
        <f>SUM(G2779:G2781)</f>
        <v>2857.8</v>
      </c>
      <c r="H2782" s="964" t="s">
        <v>2313</v>
      </c>
    </row>
    <row r="2783" spans="1:8" s="965" customFormat="1" ht="25.5" hidden="1">
      <c r="A2783" s="967"/>
      <c r="B2783" s="967"/>
      <c r="C2783" s="1382" t="s">
        <v>827</v>
      </c>
      <c r="D2783" s="967"/>
      <c r="E2783" s="967"/>
      <c r="F2783" s="967"/>
      <c r="G2783" s="967"/>
      <c r="H2783" s="964" t="s">
        <v>2313</v>
      </c>
    </row>
    <row r="2784" spans="1:8" s="965" customFormat="1" hidden="1">
      <c r="A2784" s="967"/>
      <c r="B2784" s="967"/>
      <c r="C2784" s="1382" t="s">
        <v>822</v>
      </c>
      <c r="D2784" s="990">
        <v>0.6</v>
      </c>
      <c r="E2784" s="990">
        <f>'lead 22-23'!L17</f>
        <v>2236.9</v>
      </c>
      <c r="F2784" s="990">
        <f>ROUND(D2784*E2784,2)</f>
        <v>1342.14</v>
      </c>
      <c r="G2784" s="967"/>
      <c r="H2784" s="964" t="s">
        <v>2313</v>
      </c>
    </row>
    <row r="2785" spans="1:8" s="965" customFormat="1" hidden="1">
      <c r="A2785" s="967"/>
      <c r="B2785" s="967"/>
      <c r="C2785" s="1382" t="s">
        <v>823</v>
      </c>
      <c r="D2785" s="990">
        <v>0.15</v>
      </c>
      <c r="E2785" s="990">
        <f>'lead 22-23'!L18</f>
        <v>1931.9</v>
      </c>
      <c r="F2785" s="990">
        <f>ROUND(D2785*E2785,2)</f>
        <v>289.79000000000002</v>
      </c>
      <c r="G2785" s="967"/>
      <c r="H2785" s="964" t="s">
        <v>2313</v>
      </c>
    </row>
    <row r="2786" spans="1:8" s="965" customFormat="1" hidden="1">
      <c r="A2786" s="967"/>
      <c r="B2786" s="967"/>
      <c r="C2786" s="1382" t="s">
        <v>824</v>
      </c>
      <c r="D2786" s="990">
        <v>0.15</v>
      </c>
      <c r="E2786" s="990">
        <f>'lead 22-23'!L19</f>
        <v>1741.9</v>
      </c>
      <c r="F2786" s="990">
        <f>ROUND(D2786*E2786,2)</f>
        <v>261.29000000000002</v>
      </c>
      <c r="G2786" s="967"/>
      <c r="H2786" s="964" t="s">
        <v>2313</v>
      </c>
    </row>
    <row r="2787" spans="1:8" s="965" customFormat="1" hidden="1">
      <c r="A2787" s="967"/>
      <c r="B2787" s="967"/>
      <c r="C2787" s="1382" t="s">
        <v>825</v>
      </c>
      <c r="D2787" s="990">
        <v>0.1</v>
      </c>
      <c r="E2787" s="990">
        <f>'lead 22-23'!L20</f>
        <v>1536.9</v>
      </c>
      <c r="F2787" s="990">
        <f>ROUND(D2787*E2787,2)</f>
        <v>153.69</v>
      </c>
      <c r="G2787" s="967"/>
      <c r="H2787" s="964" t="s">
        <v>2313</v>
      </c>
    </row>
    <row r="2788" spans="1:8" s="965" customFormat="1" hidden="1">
      <c r="A2788" s="967"/>
      <c r="B2788" s="967"/>
      <c r="C2788" s="962" t="s">
        <v>826</v>
      </c>
      <c r="D2788" s="967"/>
      <c r="E2788" s="967"/>
      <c r="F2788" s="974">
        <f>SUM(F2784:F2787)</f>
        <v>2046.91</v>
      </c>
      <c r="G2788" s="967"/>
      <c r="H2788" s="964" t="s">
        <v>2313</v>
      </c>
    </row>
    <row r="2789" spans="1:8" s="965" customFormat="1" hidden="1">
      <c r="A2789" s="967"/>
      <c r="B2789" s="967"/>
      <c r="C2789" s="1382"/>
      <c r="D2789" s="967"/>
      <c r="E2789" s="967"/>
      <c r="F2789" s="967"/>
      <c r="G2789" s="967"/>
      <c r="H2789" s="964" t="s">
        <v>2313</v>
      </c>
    </row>
    <row r="2790" spans="1:8" s="965" customFormat="1" ht="25.5" hidden="1">
      <c r="A2790" s="896">
        <v>6</v>
      </c>
      <c r="B2790" s="966"/>
      <c r="C2790" s="1382" t="s">
        <v>294</v>
      </c>
      <c r="D2790" s="967"/>
      <c r="E2790" s="967"/>
      <c r="F2790" s="967"/>
      <c r="G2790" s="902"/>
      <c r="H2790" s="964" t="s">
        <v>2313</v>
      </c>
    </row>
    <row r="2791" spans="1:8" s="965" customFormat="1" hidden="1">
      <c r="A2791" s="896"/>
      <c r="B2791" s="966"/>
      <c r="C2791" s="1382" t="s">
        <v>31</v>
      </c>
      <c r="D2791" s="967"/>
      <c r="E2791" s="967"/>
      <c r="F2791" s="967"/>
      <c r="G2791" s="902"/>
      <c r="H2791" s="964" t="s">
        <v>2313</v>
      </c>
    </row>
    <row r="2792" spans="1:8" s="965" customFormat="1" hidden="1">
      <c r="A2792" s="896"/>
      <c r="B2792" s="967"/>
      <c r="C2792" s="1382" t="s">
        <v>1322</v>
      </c>
      <c r="D2792" s="967"/>
      <c r="E2792" s="967"/>
      <c r="F2792" s="967"/>
      <c r="G2792" s="902"/>
      <c r="H2792" s="964" t="s">
        <v>2313</v>
      </c>
    </row>
    <row r="2793" spans="1:8" s="965" customFormat="1" hidden="1">
      <c r="A2793" s="896"/>
      <c r="B2793" s="968"/>
      <c r="C2793" s="1382" t="s">
        <v>122</v>
      </c>
      <c r="D2793" s="967"/>
      <c r="E2793" s="967"/>
      <c r="F2793" s="967"/>
      <c r="G2793" s="969">
        <f>'MINI SSR 2022-23'!H25</f>
        <v>6.06</v>
      </c>
      <c r="H2793" s="964" t="s">
        <v>2313</v>
      </c>
    </row>
    <row r="2794" spans="1:8" s="965" customFormat="1" hidden="1">
      <c r="A2794" s="902"/>
      <c r="B2794" s="902"/>
      <c r="C2794" s="962" t="s">
        <v>119</v>
      </c>
      <c r="D2794" s="896"/>
      <c r="E2794" s="896"/>
      <c r="F2794" s="896"/>
      <c r="G2794" s="963">
        <f>SUM(G2793)</f>
        <v>6.06</v>
      </c>
      <c r="H2794" s="964" t="s">
        <v>2313</v>
      </c>
    </row>
    <row r="2795" spans="1:8" s="965" customFormat="1" ht="63.75" hidden="1">
      <c r="A2795" s="896">
        <v>3</v>
      </c>
      <c r="B2795" s="966"/>
      <c r="C2795" s="1382" t="s">
        <v>1277</v>
      </c>
      <c r="D2795" s="967"/>
      <c r="E2795" s="967"/>
      <c r="F2795" s="967"/>
      <c r="G2795" s="902"/>
      <c r="H2795" s="964" t="s">
        <v>2313</v>
      </c>
    </row>
    <row r="2796" spans="1:8" s="965" customFormat="1" hidden="1">
      <c r="A2796" s="896"/>
      <c r="B2796" s="966"/>
      <c r="C2796" s="1382" t="s">
        <v>31</v>
      </c>
      <c r="D2796" s="967"/>
      <c r="E2796" s="967"/>
      <c r="F2796" s="967"/>
      <c r="G2796" s="902"/>
      <c r="H2796" s="964" t="s">
        <v>2313</v>
      </c>
    </row>
    <row r="2797" spans="1:8" s="965" customFormat="1" hidden="1">
      <c r="A2797" s="896"/>
      <c r="B2797" s="967"/>
      <c r="C2797" s="1382" t="s">
        <v>1322</v>
      </c>
      <c r="D2797" s="967"/>
      <c r="E2797" s="967"/>
      <c r="F2797" s="967"/>
      <c r="G2797" s="902"/>
      <c r="H2797" s="964" t="s">
        <v>2313</v>
      </c>
    </row>
    <row r="2798" spans="1:8" s="965" customFormat="1" hidden="1">
      <c r="A2798" s="896"/>
      <c r="B2798" s="968"/>
      <c r="C2798" s="1382" t="s">
        <v>122</v>
      </c>
      <c r="D2798" s="967"/>
      <c r="E2798" s="967"/>
      <c r="F2798" s="967"/>
      <c r="G2798" s="969">
        <f>'MINI SSR 2022-23'!H26</f>
        <v>144.26</v>
      </c>
      <c r="H2798" s="964" t="s">
        <v>2313</v>
      </c>
    </row>
    <row r="2799" spans="1:8" s="965" customFormat="1" hidden="1">
      <c r="A2799" s="902"/>
      <c r="B2799" s="902"/>
      <c r="C2799" s="962" t="s">
        <v>119</v>
      </c>
      <c r="D2799" s="896"/>
      <c r="E2799" s="896"/>
      <c r="F2799" s="896"/>
      <c r="G2799" s="963">
        <f>SUM(G2798)</f>
        <v>144.26</v>
      </c>
      <c r="H2799" s="964" t="s">
        <v>2313</v>
      </c>
    </row>
    <row r="2800" spans="1:8" s="965" customFormat="1" ht="89.25" hidden="1">
      <c r="A2800" s="896">
        <v>8</v>
      </c>
      <c r="B2800" s="966" t="s">
        <v>1325</v>
      </c>
      <c r="C2800" s="1382" t="s">
        <v>55</v>
      </c>
      <c r="D2800" s="967"/>
      <c r="E2800" s="967"/>
      <c r="F2800" s="967"/>
      <c r="G2800" s="966"/>
      <c r="H2800" s="964" t="s">
        <v>2313</v>
      </c>
    </row>
    <row r="2801" spans="1:8" s="965" customFormat="1" hidden="1">
      <c r="A2801" s="896"/>
      <c r="B2801" s="967"/>
      <c r="C2801" s="962" t="s">
        <v>31</v>
      </c>
      <c r="D2801" s="967"/>
      <c r="E2801" s="967"/>
      <c r="F2801" s="967"/>
      <c r="G2801" s="902"/>
      <c r="H2801" s="964" t="s">
        <v>2313</v>
      </c>
    </row>
    <row r="2802" spans="1:8" s="965" customFormat="1" hidden="1">
      <c r="A2802" s="896"/>
      <c r="B2802" s="967"/>
      <c r="C2802" s="962" t="s">
        <v>2405</v>
      </c>
      <c r="D2802" s="967"/>
      <c r="E2802" s="967"/>
      <c r="F2802" s="967"/>
      <c r="G2802" s="902"/>
      <c r="H2802" s="964" t="s">
        <v>2313</v>
      </c>
    </row>
    <row r="2803" spans="1:8" s="965" customFormat="1" hidden="1">
      <c r="A2803" s="896"/>
      <c r="B2803" s="968" t="s">
        <v>18</v>
      </c>
      <c r="C2803" s="962" t="s">
        <v>26</v>
      </c>
      <c r="D2803" s="967"/>
      <c r="E2803" s="967"/>
      <c r="F2803" s="967"/>
      <c r="G2803" s="902"/>
      <c r="H2803" s="964" t="s">
        <v>2313</v>
      </c>
    </row>
    <row r="2804" spans="1:8" s="965" customFormat="1" hidden="1">
      <c r="A2804" s="902"/>
      <c r="B2804" s="902"/>
      <c r="C2804" s="1382" t="s">
        <v>118</v>
      </c>
      <c r="D2804" s="896" t="s">
        <v>27</v>
      </c>
      <c r="E2804" s="922">
        <v>0.31</v>
      </c>
      <c r="F2804" s="970">
        <f>'MINI SSR 2022-23'!H$5</f>
        <v>525</v>
      </c>
      <c r="G2804" s="969">
        <f>ROUND(E2804*F2804,2)</f>
        <v>162.75</v>
      </c>
      <c r="H2804" s="964" t="s">
        <v>2313</v>
      </c>
    </row>
    <row r="2805" spans="1:8" s="965" customFormat="1" hidden="1">
      <c r="A2805" s="902"/>
      <c r="B2805" s="968" t="s">
        <v>20</v>
      </c>
      <c r="C2805" s="962" t="s">
        <v>22</v>
      </c>
      <c r="D2805" s="896"/>
      <c r="E2805" s="896"/>
      <c r="F2805" s="896"/>
      <c r="G2805" s="902"/>
      <c r="H2805" s="964" t="s">
        <v>2313</v>
      </c>
    </row>
    <row r="2806" spans="1:8" s="965" customFormat="1" hidden="1">
      <c r="A2806" s="902"/>
      <c r="B2806" s="902"/>
      <c r="C2806" s="1382" t="s">
        <v>32</v>
      </c>
      <c r="D2806" s="896" t="s">
        <v>5</v>
      </c>
      <c r="E2806" s="922">
        <v>6</v>
      </c>
      <c r="F2806" s="922">
        <f>'lead 22-23'!L14</f>
        <v>1575.9999999999998</v>
      </c>
      <c r="G2806" s="969">
        <f>ROUND(E2806*F2806,2)</f>
        <v>9456</v>
      </c>
      <c r="H2806" s="964" t="s">
        <v>2313</v>
      </c>
    </row>
    <row r="2807" spans="1:8" s="965" customFormat="1" hidden="1">
      <c r="A2807" s="902"/>
      <c r="B2807" s="902"/>
      <c r="C2807" s="962" t="s">
        <v>2406</v>
      </c>
      <c r="D2807" s="896"/>
      <c r="E2807" s="922"/>
      <c r="F2807" s="922"/>
      <c r="G2807" s="969">
        <f>SUM(G2804:G2806)</f>
        <v>9618.75</v>
      </c>
      <c r="H2807" s="964" t="s">
        <v>2313</v>
      </c>
    </row>
    <row r="2808" spans="1:8" s="965" customFormat="1" hidden="1">
      <c r="A2808" s="902"/>
      <c r="B2808" s="902"/>
      <c r="C2808" s="962" t="s">
        <v>28</v>
      </c>
      <c r="D2808" s="896"/>
      <c r="E2808" s="896"/>
      <c r="F2808" s="896"/>
      <c r="G2808" s="963">
        <f>ROUND(G2807/6,2)</f>
        <v>1603.13</v>
      </c>
      <c r="H2808" s="964" t="s">
        <v>2313</v>
      </c>
    </row>
    <row r="2809" spans="1:8" s="965" customFormat="1" ht="102" hidden="1">
      <c r="A2809" s="896">
        <v>9</v>
      </c>
      <c r="B2809" s="966" t="s">
        <v>1324</v>
      </c>
      <c r="C2809" s="1382" t="s">
        <v>1189</v>
      </c>
      <c r="D2809" s="967"/>
      <c r="E2809" s="967"/>
      <c r="F2809" s="967"/>
      <c r="G2809" s="966"/>
      <c r="H2809" s="964" t="s">
        <v>2313</v>
      </c>
    </row>
    <row r="2810" spans="1:8" s="965" customFormat="1" hidden="1">
      <c r="A2810" s="896"/>
      <c r="B2810" s="967"/>
      <c r="C2810" s="962" t="s">
        <v>2407</v>
      </c>
      <c r="D2810" s="967"/>
      <c r="E2810" s="967"/>
      <c r="F2810" s="967"/>
      <c r="G2810" s="902"/>
      <c r="H2810" s="964" t="s">
        <v>2313</v>
      </c>
    </row>
    <row r="2811" spans="1:8" s="965" customFormat="1" hidden="1">
      <c r="A2811" s="896"/>
      <c r="B2811" s="968" t="s">
        <v>18</v>
      </c>
      <c r="C2811" s="962" t="s">
        <v>26</v>
      </c>
      <c r="D2811" s="967"/>
      <c r="E2811" s="967"/>
      <c r="F2811" s="967"/>
      <c r="G2811" s="902"/>
      <c r="H2811" s="964" t="s">
        <v>2313</v>
      </c>
    </row>
    <row r="2812" spans="1:8" s="965" customFormat="1" hidden="1">
      <c r="A2812" s="902"/>
      <c r="B2812" s="902"/>
      <c r="C2812" s="1382" t="s">
        <v>118</v>
      </c>
      <c r="D2812" s="896" t="s">
        <v>27</v>
      </c>
      <c r="E2812" s="922">
        <v>0.31</v>
      </c>
      <c r="F2812" s="970">
        <f>'MINI SSR 2022-23'!H$5</f>
        <v>525</v>
      </c>
      <c r="G2812" s="969">
        <f>ROUND(E2812*F2812,2)</f>
        <v>162.75</v>
      </c>
      <c r="H2812" s="964" t="s">
        <v>2313</v>
      </c>
    </row>
    <row r="2813" spans="1:8" s="965" customFormat="1" hidden="1">
      <c r="A2813" s="902"/>
      <c r="B2813" s="968" t="s">
        <v>20</v>
      </c>
      <c r="C2813" s="962" t="s">
        <v>22</v>
      </c>
      <c r="D2813" s="896"/>
      <c r="E2813" s="896"/>
      <c r="F2813" s="896"/>
      <c r="G2813" s="902"/>
      <c r="H2813" s="964" t="s">
        <v>2313</v>
      </c>
    </row>
    <row r="2814" spans="1:8" s="965" customFormat="1" hidden="1">
      <c r="A2814" s="902"/>
      <c r="B2814" s="902"/>
      <c r="C2814" s="1382" t="s">
        <v>860</v>
      </c>
      <c r="D2814" s="896" t="s">
        <v>5</v>
      </c>
      <c r="E2814" s="922">
        <v>6</v>
      </c>
      <c r="F2814" s="922">
        <f>'lead 22-23'!L24</f>
        <v>189</v>
      </c>
      <c r="G2814" s="969">
        <f>ROUND(E2814*F2814,2)</f>
        <v>1134</v>
      </c>
      <c r="H2814" s="964" t="s">
        <v>2313</v>
      </c>
    </row>
    <row r="2815" spans="1:8" s="965" customFormat="1" hidden="1">
      <c r="A2815" s="902"/>
      <c r="B2815" s="902"/>
      <c r="C2815" s="962" t="s">
        <v>2406</v>
      </c>
      <c r="D2815" s="896"/>
      <c r="E2815" s="922"/>
      <c r="F2815" s="922"/>
      <c r="G2815" s="969">
        <f>SUM(G2812:G2814)</f>
        <v>1296.75</v>
      </c>
      <c r="H2815" s="964" t="s">
        <v>2313</v>
      </c>
    </row>
    <row r="2816" spans="1:8" s="965" customFormat="1" hidden="1">
      <c r="A2816" s="902"/>
      <c r="B2816" s="902"/>
      <c r="C2816" s="962" t="s">
        <v>28</v>
      </c>
      <c r="D2816" s="896"/>
      <c r="E2816" s="896"/>
      <c r="F2816" s="896"/>
      <c r="G2816" s="963">
        <f>ROUND(G2815/6,2)</f>
        <v>216.13</v>
      </c>
      <c r="H2816" s="964" t="s">
        <v>2313</v>
      </c>
    </row>
    <row r="2817" spans="1:8" s="965" customFormat="1" ht="89.25" hidden="1">
      <c r="A2817" s="896">
        <v>10</v>
      </c>
      <c r="B2817" s="966" t="s">
        <v>1324</v>
      </c>
      <c r="C2817" s="1382" t="s">
        <v>662</v>
      </c>
      <c r="D2817" s="967"/>
      <c r="E2817" s="967"/>
      <c r="F2817" s="967"/>
      <c r="G2817" s="966"/>
      <c r="H2817" s="964" t="s">
        <v>2313</v>
      </c>
    </row>
    <row r="2818" spans="1:8" s="965" customFormat="1" hidden="1">
      <c r="A2818" s="896"/>
      <c r="B2818" s="967"/>
      <c r="C2818" s="962" t="s">
        <v>2407</v>
      </c>
      <c r="D2818" s="967"/>
      <c r="E2818" s="967"/>
      <c r="F2818" s="967"/>
      <c r="G2818" s="902"/>
      <c r="H2818" s="964" t="s">
        <v>2313</v>
      </c>
    </row>
    <row r="2819" spans="1:8" s="965" customFormat="1" hidden="1">
      <c r="A2819" s="896"/>
      <c r="B2819" s="968" t="s">
        <v>18</v>
      </c>
      <c r="C2819" s="962" t="s">
        <v>26</v>
      </c>
      <c r="D2819" s="967"/>
      <c r="E2819" s="967"/>
      <c r="F2819" s="967"/>
      <c r="G2819" s="902"/>
      <c r="H2819" s="964" t="s">
        <v>2313</v>
      </c>
    </row>
    <row r="2820" spans="1:8" s="965" customFormat="1" hidden="1">
      <c r="A2820" s="902"/>
      <c r="B2820" s="902"/>
      <c r="C2820" s="1382" t="s">
        <v>118</v>
      </c>
      <c r="D2820" s="896" t="s">
        <v>27</v>
      </c>
      <c r="E2820" s="922">
        <v>0.31</v>
      </c>
      <c r="F2820" s="970">
        <f>'MINI SSR 2022-23'!H$5</f>
        <v>525</v>
      </c>
      <c r="G2820" s="969">
        <f>ROUND(E2820*F2820,2)</f>
        <v>162.75</v>
      </c>
      <c r="H2820" s="964" t="s">
        <v>2313</v>
      </c>
    </row>
    <row r="2821" spans="1:8" s="965" customFormat="1" hidden="1">
      <c r="A2821" s="902"/>
      <c r="B2821" s="968" t="s">
        <v>20</v>
      </c>
      <c r="C2821" s="962" t="s">
        <v>22</v>
      </c>
      <c r="D2821" s="896"/>
      <c r="E2821" s="896"/>
      <c r="F2821" s="896"/>
      <c r="G2821" s="902"/>
      <c r="H2821" s="964" t="s">
        <v>2313</v>
      </c>
    </row>
    <row r="2822" spans="1:8" s="965" customFormat="1" hidden="1">
      <c r="A2822" s="902"/>
      <c r="B2822" s="902"/>
      <c r="C2822" s="1382" t="s">
        <v>663</v>
      </c>
      <c r="D2822" s="896" t="s">
        <v>5</v>
      </c>
      <c r="E2822" s="922">
        <v>6</v>
      </c>
      <c r="F2822" s="922">
        <f>'lead 22-23'!L25</f>
        <v>245</v>
      </c>
      <c r="G2822" s="969">
        <f>ROUND(E2822*F2822,2)</f>
        <v>1470</v>
      </c>
      <c r="H2822" s="964" t="s">
        <v>2313</v>
      </c>
    </row>
    <row r="2823" spans="1:8" s="965" customFormat="1" hidden="1">
      <c r="A2823" s="902"/>
      <c r="B2823" s="902"/>
      <c r="C2823" s="962" t="s">
        <v>2406</v>
      </c>
      <c r="D2823" s="896"/>
      <c r="E2823" s="922"/>
      <c r="F2823" s="922"/>
      <c r="G2823" s="969">
        <f>SUM(G2820:G2822)</f>
        <v>1632.75</v>
      </c>
      <c r="H2823" s="964" t="s">
        <v>2313</v>
      </c>
    </row>
    <row r="2824" spans="1:8" s="965" customFormat="1" hidden="1">
      <c r="A2824" s="902"/>
      <c r="B2824" s="902"/>
      <c r="C2824" s="962" t="s">
        <v>28</v>
      </c>
      <c r="D2824" s="896"/>
      <c r="E2824" s="896"/>
      <c r="F2824" s="896"/>
      <c r="G2824" s="963">
        <f>ROUND(G2823/6,2)</f>
        <v>272.13</v>
      </c>
      <c r="H2824" s="964" t="s">
        <v>2313</v>
      </c>
    </row>
    <row r="2825" spans="1:8" s="965" customFormat="1" ht="63.75" hidden="1">
      <c r="A2825" s="896">
        <v>11</v>
      </c>
      <c r="B2825" s="966" t="s">
        <v>1323</v>
      </c>
      <c r="C2825" s="1382" t="s">
        <v>282</v>
      </c>
      <c r="D2825" s="967"/>
      <c r="E2825" s="967"/>
      <c r="F2825" s="967"/>
      <c r="G2825" s="966"/>
      <c r="H2825" s="964" t="s">
        <v>2313</v>
      </c>
    </row>
    <row r="2826" spans="1:8" s="965" customFormat="1" hidden="1">
      <c r="A2826" s="967"/>
      <c r="B2826" s="967"/>
      <c r="C2826" s="1382" t="s">
        <v>312</v>
      </c>
      <c r="D2826" s="967"/>
      <c r="E2826" s="970"/>
      <c r="F2826" s="970"/>
      <c r="G2826" s="969"/>
      <c r="H2826" s="964" t="s">
        <v>2313</v>
      </c>
    </row>
    <row r="2827" spans="1:8" s="965" customFormat="1" hidden="1">
      <c r="A2827" s="967"/>
      <c r="B2827" s="967"/>
      <c r="C2827" s="1382" t="s">
        <v>311</v>
      </c>
      <c r="D2827" s="967" t="s">
        <v>27</v>
      </c>
      <c r="E2827" s="970">
        <v>3.12</v>
      </c>
      <c r="F2827" s="970">
        <f>'MINI SSR 2022-23'!H$5</f>
        <v>525</v>
      </c>
      <c r="G2827" s="969">
        <f>ROUND(E2827*F2827,2)</f>
        <v>1638</v>
      </c>
      <c r="H2827" s="964" t="s">
        <v>2313</v>
      </c>
    </row>
    <row r="2828" spans="1:8" s="965" customFormat="1" hidden="1">
      <c r="A2828" s="967"/>
      <c r="B2828" s="967"/>
      <c r="C2828" s="1382" t="s">
        <v>57</v>
      </c>
      <c r="D2828" s="967" t="s">
        <v>59</v>
      </c>
      <c r="E2828" s="970">
        <v>0.72</v>
      </c>
      <c r="F2828" s="922">
        <f>'MINI SSR 2022-23'!$C$29</f>
        <v>95</v>
      </c>
      <c r="G2828" s="969">
        <f>ROUND(E2828*F2828,2)</f>
        <v>68.400000000000006</v>
      </c>
      <c r="H2828" s="964" t="s">
        <v>2313</v>
      </c>
    </row>
    <row r="2829" spans="1:8" s="965" customFormat="1" hidden="1">
      <c r="A2829" s="967"/>
      <c r="B2829" s="967"/>
      <c r="C2829" s="1382" t="s">
        <v>313</v>
      </c>
      <c r="D2829" s="967"/>
      <c r="E2829" s="970"/>
      <c r="F2829" s="970"/>
      <c r="G2829" s="969">
        <f>SUM(G2827:G2828)</f>
        <v>1706.4</v>
      </c>
      <c r="H2829" s="964" t="s">
        <v>2313</v>
      </c>
    </row>
    <row r="2830" spans="1:8" s="965" customFormat="1" hidden="1">
      <c r="A2830" s="967"/>
      <c r="B2830" s="967"/>
      <c r="C2830" s="1382" t="s">
        <v>313</v>
      </c>
      <c r="D2830" s="967"/>
      <c r="E2830" s="967"/>
      <c r="F2830" s="967"/>
      <c r="G2830" s="971">
        <f>ROUND(G2829/6,2)</f>
        <v>284.39999999999998</v>
      </c>
      <c r="H2830" s="964" t="s">
        <v>2313</v>
      </c>
    </row>
    <row r="2831" spans="1:8" s="965" customFormat="1" ht="89.25" hidden="1">
      <c r="A2831" s="896">
        <v>4</v>
      </c>
      <c r="B2831" s="966" t="s">
        <v>158</v>
      </c>
      <c r="C2831" s="1382" t="s">
        <v>159</v>
      </c>
      <c r="D2831" s="967"/>
      <c r="E2831" s="967"/>
      <c r="F2831" s="967"/>
      <c r="G2831" s="966"/>
      <c r="H2831" s="964" t="s">
        <v>2313</v>
      </c>
    </row>
    <row r="2832" spans="1:8" s="965" customFormat="1" hidden="1">
      <c r="A2832" s="896"/>
      <c r="B2832" s="966"/>
      <c r="C2832" s="962" t="s">
        <v>60</v>
      </c>
      <c r="D2832" s="967"/>
      <c r="E2832" s="967"/>
      <c r="F2832" s="967"/>
      <c r="G2832" s="972"/>
      <c r="H2832" s="964" t="s">
        <v>2313</v>
      </c>
    </row>
    <row r="2833" spans="1:8" s="965" customFormat="1" hidden="1">
      <c r="A2833" s="967"/>
      <c r="B2833" s="967"/>
      <c r="C2833" s="1382" t="s">
        <v>44</v>
      </c>
      <c r="D2833" s="967" t="s">
        <v>4</v>
      </c>
      <c r="E2833" s="970">
        <v>162</v>
      </c>
      <c r="F2833" s="970">
        <f>'lead 22-23'!L8</f>
        <v>4700</v>
      </c>
      <c r="G2833" s="969">
        <f>ROUND(E2833*F2833/1000,2)</f>
        <v>761.4</v>
      </c>
      <c r="H2833" s="964" t="s">
        <v>2313</v>
      </c>
    </row>
    <row r="2834" spans="1:8" s="965" customFormat="1" hidden="1">
      <c r="A2834" s="967"/>
      <c r="B2834" s="967"/>
      <c r="C2834" s="1382" t="s">
        <v>56</v>
      </c>
      <c r="D2834" s="967" t="s">
        <v>35</v>
      </c>
      <c r="E2834" s="970">
        <v>0.9</v>
      </c>
      <c r="F2834" s="970">
        <f>'lead 22-23'!L16</f>
        <v>1636.9</v>
      </c>
      <c r="G2834" s="969">
        <f>ROUND(E2834*F2834,2)</f>
        <v>1473.21</v>
      </c>
      <c r="H2834" s="964" t="s">
        <v>2313</v>
      </c>
    </row>
    <row r="2835" spans="1:8" s="965" customFormat="1" hidden="1">
      <c r="A2835" s="967"/>
      <c r="B2835" s="967"/>
      <c r="C2835" s="1382" t="s">
        <v>112</v>
      </c>
      <c r="D2835" s="967" t="s">
        <v>35</v>
      </c>
      <c r="E2835" s="970">
        <v>0.45</v>
      </c>
      <c r="F2835" s="970">
        <f>'lead 22-23'!L13</f>
        <v>1720.9999999999998</v>
      </c>
      <c r="G2835" s="969">
        <f>ROUND(E2835*F2835,2)</f>
        <v>774.45</v>
      </c>
      <c r="H2835" s="964" t="s">
        <v>2313</v>
      </c>
    </row>
    <row r="2836" spans="1:8" s="965" customFormat="1" hidden="1">
      <c r="A2836" s="967"/>
      <c r="B2836" s="967"/>
      <c r="C2836" s="1382" t="s">
        <v>57</v>
      </c>
      <c r="D2836" s="967" t="s">
        <v>58</v>
      </c>
      <c r="E2836" s="970">
        <v>1.2</v>
      </c>
      <c r="F2836" s="922">
        <f>'MINI SSR 2022-23'!$C$29</f>
        <v>95</v>
      </c>
      <c r="G2836" s="969">
        <f>ROUND(E2836*F2836,2)</f>
        <v>114</v>
      </c>
      <c r="H2836" s="964" t="s">
        <v>2313</v>
      </c>
    </row>
    <row r="2837" spans="1:8" s="965" customFormat="1" hidden="1">
      <c r="A2837" s="967"/>
      <c r="B2837" s="967"/>
      <c r="C2837" s="962" t="s">
        <v>61</v>
      </c>
      <c r="D2837" s="967"/>
      <c r="E2837" s="970"/>
      <c r="F2837" s="970"/>
      <c r="G2837" s="969"/>
      <c r="H2837" s="964" t="s">
        <v>2313</v>
      </c>
    </row>
    <row r="2838" spans="1:8" s="965" customFormat="1" hidden="1">
      <c r="A2838" s="967"/>
      <c r="B2838" s="967"/>
      <c r="C2838" s="1382" t="s">
        <v>62</v>
      </c>
      <c r="D2838" s="967" t="s">
        <v>21</v>
      </c>
      <c r="E2838" s="970">
        <v>1</v>
      </c>
      <c r="F2838" s="970">
        <f>'MINI SSR 2022-23'!$C$30</f>
        <v>667.5</v>
      </c>
      <c r="G2838" s="969">
        <f>ROUND(E2838*F2838,2)</f>
        <v>667.5</v>
      </c>
      <c r="H2838" s="964" t="s">
        <v>2313</v>
      </c>
    </row>
    <row r="2839" spans="1:8" s="965" customFormat="1" hidden="1">
      <c r="A2839" s="967"/>
      <c r="B2839" s="967"/>
      <c r="C2839" s="962" t="s">
        <v>63</v>
      </c>
      <c r="D2839" s="967"/>
      <c r="E2839" s="970"/>
      <c r="F2839" s="970"/>
      <c r="G2839" s="969"/>
      <c r="H2839" s="964" t="s">
        <v>2313</v>
      </c>
    </row>
    <row r="2840" spans="1:8" s="965" customFormat="1" hidden="1">
      <c r="A2840" s="967"/>
      <c r="B2840" s="967"/>
      <c r="C2840" s="1382" t="s">
        <v>64</v>
      </c>
      <c r="D2840" s="967" t="s">
        <v>27</v>
      </c>
      <c r="E2840" s="970">
        <v>0.1</v>
      </c>
      <c r="F2840" s="970">
        <f>'MINI SSR 2022-23'!$H$3</f>
        <v>630</v>
      </c>
      <c r="G2840" s="969">
        <f>ROUND(E2840*F2840,2)</f>
        <v>63</v>
      </c>
      <c r="H2840" s="964" t="s">
        <v>2313</v>
      </c>
    </row>
    <row r="2841" spans="1:8" s="965" customFormat="1" hidden="1">
      <c r="A2841" s="967"/>
      <c r="B2841" s="967"/>
      <c r="C2841" s="1382" t="s">
        <v>19</v>
      </c>
      <c r="D2841" s="967" t="s">
        <v>27</v>
      </c>
      <c r="E2841" s="970">
        <v>1.39</v>
      </c>
      <c r="F2841" s="970">
        <f>'MINI SSR 2022-23'!H$5</f>
        <v>525</v>
      </c>
      <c r="G2841" s="969">
        <f>ROUND(E2841*F2841,2)</f>
        <v>729.75</v>
      </c>
      <c r="H2841" s="964" t="s">
        <v>2313</v>
      </c>
    </row>
    <row r="2842" spans="1:8" s="965" customFormat="1" hidden="1">
      <c r="A2842" s="967"/>
      <c r="B2842" s="967"/>
      <c r="C2842" s="1382"/>
      <c r="D2842" s="967"/>
      <c r="E2842" s="967"/>
      <c r="F2842" s="967"/>
      <c r="G2842" s="971">
        <f>SUM(G2833:G2841)</f>
        <v>4583.3100000000004</v>
      </c>
      <c r="H2842" s="964" t="s">
        <v>2313</v>
      </c>
    </row>
    <row r="2843" spans="1:8" s="965" customFormat="1" ht="89.25" hidden="1">
      <c r="A2843" s="896">
        <v>13</v>
      </c>
      <c r="B2843" s="966" t="s">
        <v>65</v>
      </c>
      <c r="C2843" s="1382" t="s">
        <v>67</v>
      </c>
      <c r="D2843" s="967"/>
      <c r="E2843" s="967"/>
      <c r="F2843" s="967"/>
      <c r="G2843" s="966"/>
      <c r="H2843" s="964" t="s">
        <v>2313</v>
      </c>
    </row>
    <row r="2844" spans="1:8" s="965" customFormat="1" hidden="1">
      <c r="A2844" s="896"/>
      <c r="B2844" s="966"/>
      <c r="C2844" s="962" t="s">
        <v>60</v>
      </c>
      <c r="D2844" s="967"/>
      <c r="E2844" s="967"/>
      <c r="F2844" s="967"/>
      <c r="G2844" s="972"/>
      <c r="H2844" s="964" t="s">
        <v>2313</v>
      </c>
    </row>
    <row r="2845" spans="1:8" s="965" customFormat="1" hidden="1">
      <c r="A2845" s="967"/>
      <c r="B2845" s="967"/>
      <c r="C2845" s="1382" t="s">
        <v>44</v>
      </c>
      <c r="D2845" s="967" t="s">
        <v>4</v>
      </c>
      <c r="E2845" s="970">
        <v>129.6</v>
      </c>
      <c r="F2845" s="970">
        <f>F2833</f>
        <v>4700</v>
      </c>
      <c r="G2845" s="969">
        <f>ROUND(E2845*F2845/1000,2)</f>
        <v>609.12</v>
      </c>
      <c r="H2845" s="964" t="s">
        <v>2313</v>
      </c>
    </row>
    <row r="2846" spans="1:8" s="965" customFormat="1" hidden="1">
      <c r="A2846" s="967"/>
      <c r="B2846" s="967"/>
      <c r="C2846" s="1382" t="s">
        <v>56</v>
      </c>
      <c r="D2846" s="967" t="s">
        <v>35</v>
      </c>
      <c r="E2846" s="970">
        <v>0.9</v>
      </c>
      <c r="F2846" s="970">
        <f>F2834</f>
        <v>1636.9</v>
      </c>
      <c r="G2846" s="969">
        <f>ROUND(E2846*F2846,2)</f>
        <v>1473.21</v>
      </c>
      <c r="H2846" s="964" t="s">
        <v>2313</v>
      </c>
    </row>
    <row r="2847" spans="1:8" s="965" customFormat="1" hidden="1">
      <c r="A2847" s="967"/>
      <c r="B2847" s="967"/>
      <c r="C2847" s="1382" t="s">
        <v>112</v>
      </c>
      <c r="D2847" s="967" t="s">
        <v>35</v>
      </c>
      <c r="E2847" s="970">
        <v>0.45</v>
      </c>
      <c r="F2847" s="970">
        <f>F2835</f>
        <v>1720.9999999999998</v>
      </c>
      <c r="G2847" s="969">
        <f>ROUND(E2847*F2847,2)</f>
        <v>774.45</v>
      </c>
      <c r="H2847" s="964" t="s">
        <v>2313</v>
      </c>
    </row>
    <row r="2848" spans="1:8" s="965" customFormat="1" hidden="1">
      <c r="A2848" s="967"/>
      <c r="B2848" s="967"/>
      <c r="C2848" s="1382" t="s">
        <v>57</v>
      </c>
      <c r="D2848" s="967" t="s">
        <v>58</v>
      </c>
      <c r="E2848" s="970">
        <v>1.2</v>
      </c>
      <c r="F2848" s="922">
        <f>'MINI SSR 2022-23'!$C$29</f>
        <v>95</v>
      </c>
      <c r="G2848" s="969">
        <f>ROUND(E2848*F2848,2)</f>
        <v>114</v>
      </c>
      <c r="H2848" s="964" t="s">
        <v>2313</v>
      </c>
    </row>
    <row r="2849" spans="1:8" s="965" customFormat="1" hidden="1">
      <c r="A2849" s="967"/>
      <c r="B2849" s="967"/>
      <c r="C2849" s="962" t="s">
        <v>61</v>
      </c>
      <c r="D2849" s="967"/>
      <c r="E2849" s="970"/>
      <c r="F2849" s="970"/>
      <c r="G2849" s="969"/>
      <c r="H2849" s="964" t="s">
        <v>2313</v>
      </c>
    </row>
    <row r="2850" spans="1:8" s="965" customFormat="1" hidden="1">
      <c r="A2850" s="967"/>
      <c r="B2850" s="967"/>
      <c r="C2850" s="1382" t="s">
        <v>62</v>
      </c>
      <c r="D2850" s="967" t="s">
        <v>21</v>
      </c>
      <c r="E2850" s="970">
        <v>1</v>
      </c>
      <c r="F2850" s="970">
        <f>'MINI SSR 2022-23'!$C$30</f>
        <v>667.5</v>
      </c>
      <c r="G2850" s="969">
        <f>ROUND(E2850*F2850,2)</f>
        <v>667.5</v>
      </c>
      <c r="H2850" s="964" t="s">
        <v>2313</v>
      </c>
    </row>
    <row r="2851" spans="1:8" s="965" customFormat="1" hidden="1">
      <c r="A2851" s="967"/>
      <c r="B2851" s="967"/>
      <c r="C2851" s="962" t="s">
        <v>63</v>
      </c>
      <c r="D2851" s="967"/>
      <c r="E2851" s="970"/>
      <c r="F2851" s="970"/>
      <c r="G2851" s="969"/>
      <c r="H2851" s="964" t="s">
        <v>2313</v>
      </c>
    </row>
    <row r="2852" spans="1:8" s="965" customFormat="1" hidden="1">
      <c r="A2852" s="967"/>
      <c r="B2852" s="967"/>
      <c r="C2852" s="1382" t="s">
        <v>64</v>
      </c>
      <c r="D2852" s="967" t="s">
        <v>27</v>
      </c>
      <c r="E2852" s="970">
        <v>0.1</v>
      </c>
      <c r="F2852" s="970">
        <f>'MINI SSR 2022-23'!$H$3</f>
        <v>630</v>
      </c>
      <c r="G2852" s="969">
        <f>ROUND(E2852*F2852,2)</f>
        <v>63</v>
      </c>
      <c r="H2852" s="964" t="s">
        <v>2313</v>
      </c>
    </row>
    <row r="2853" spans="1:8" s="965" customFormat="1" hidden="1">
      <c r="A2853" s="967"/>
      <c r="B2853" s="967"/>
      <c r="C2853" s="1382" t="s">
        <v>19</v>
      </c>
      <c r="D2853" s="967" t="s">
        <v>27</v>
      </c>
      <c r="E2853" s="970">
        <v>1.39</v>
      </c>
      <c r="F2853" s="970">
        <f>'MINI SSR 2022-23'!H$5</f>
        <v>525</v>
      </c>
      <c r="G2853" s="969">
        <f>ROUND(E2853*F2853,2)</f>
        <v>729.75</v>
      </c>
      <c r="H2853" s="964" t="s">
        <v>2313</v>
      </c>
    </row>
    <row r="2854" spans="1:8" s="965" customFormat="1" hidden="1">
      <c r="A2854" s="967"/>
      <c r="B2854" s="967"/>
      <c r="C2854" s="1382"/>
      <c r="D2854" s="967"/>
      <c r="E2854" s="967"/>
      <c r="F2854" s="967"/>
      <c r="G2854" s="971">
        <f>SUM(G2845:G2853)</f>
        <v>4431.03</v>
      </c>
      <c r="H2854" s="964" t="s">
        <v>2313</v>
      </c>
    </row>
    <row r="2855" spans="1:8" s="965" customFormat="1" ht="178.5" hidden="1">
      <c r="A2855" s="896">
        <v>14</v>
      </c>
      <c r="B2855" s="966" t="s">
        <v>66</v>
      </c>
      <c r="C2855" s="1382" t="s">
        <v>225</v>
      </c>
      <c r="D2855" s="967"/>
      <c r="E2855" s="967"/>
      <c r="F2855" s="967"/>
      <c r="G2855" s="966"/>
      <c r="H2855" s="964" t="s">
        <v>2313</v>
      </c>
    </row>
    <row r="2856" spans="1:8" s="965" customFormat="1" hidden="1">
      <c r="A2856" s="896"/>
      <c r="B2856" s="966"/>
      <c r="C2856" s="962" t="s">
        <v>81</v>
      </c>
      <c r="D2856" s="967"/>
      <c r="E2856" s="967"/>
      <c r="F2856" s="967"/>
      <c r="G2856" s="972"/>
      <c r="H2856" s="964" t="s">
        <v>2313</v>
      </c>
    </row>
    <row r="2857" spans="1:8" s="965" customFormat="1" hidden="1">
      <c r="A2857" s="896"/>
      <c r="B2857" s="966"/>
      <c r="C2857" s="962" t="s">
        <v>60</v>
      </c>
      <c r="D2857" s="967"/>
      <c r="E2857" s="967"/>
      <c r="F2857" s="967"/>
      <c r="G2857" s="972"/>
      <c r="H2857" s="964" t="s">
        <v>2313</v>
      </c>
    </row>
    <row r="2858" spans="1:8" s="965" customFormat="1" hidden="1">
      <c r="A2858" s="896"/>
      <c r="B2858" s="966"/>
      <c r="C2858" s="1382" t="s">
        <v>154</v>
      </c>
      <c r="D2858" s="967" t="s">
        <v>35</v>
      </c>
      <c r="E2858" s="970">
        <v>0.8</v>
      </c>
      <c r="F2858" s="970">
        <f>F2788</f>
        <v>2046.91</v>
      </c>
      <c r="G2858" s="969">
        <f>ROUND(E2858*F2858,2)</f>
        <v>1637.53</v>
      </c>
      <c r="H2858" s="964" t="s">
        <v>2313</v>
      </c>
    </row>
    <row r="2859" spans="1:8" s="965" customFormat="1" hidden="1">
      <c r="A2859" s="896"/>
      <c r="B2859" s="966"/>
      <c r="C2859" s="1382" t="s">
        <v>112</v>
      </c>
      <c r="D2859" s="967" t="s">
        <v>35</v>
      </c>
      <c r="E2859" s="970">
        <v>0.4</v>
      </c>
      <c r="F2859" s="970">
        <f>'lead 22-23'!L13</f>
        <v>1720.9999999999998</v>
      </c>
      <c r="G2859" s="969">
        <f>ROUND(E2859*F2859,2)</f>
        <v>688.4</v>
      </c>
      <c r="H2859" s="964" t="s">
        <v>2313</v>
      </c>
    </row>
    <row r="2860" spans="1:8" s="965" customFormat="1" hidden="1">
      <c r="A2860" s="967"/>
      <c r="B2860" s="967"/>
      <c r="C2860" s="1382" t="s">
        <v>33</v>
      </c>
      <c r="D2860" s="967" t="s">
        <v>4</v>
      </c>
      <c r="E2860" s="970">
        <v>340</v>
      </c>
      <c r="F2860" s="970">
        <f>'lead 22-23'!L8</f>
        <v>4700</v>
      </c>
      <c r="G2860" s="969">
        <f>ROUND(E2860*F2860/1000,2)</f>
        <v>1598</v>
      </c>
      <c r="H2860" s="964" t="s">
        <v>2313</v>
      </c>
    </row>
    <row r="2861" spans="1:8" s="965" customFormat="1" hidden="1">
      <c r="A2861" s="967"/>
      <c r="B2861" s="967"/>
      <c r="C2861" s="962" t="s">
        <v>68</v>
      </c>
      <c r="D2861" s="967"/>
      <c r="E2861" s="970"/>
      <c r="F2861" s="970"/>
      <c r="G2861" s="969"/>
      <c r="H2861" s="964" t="s">
        <v>2313</v>
      </c>
    </row>
    <row r="2862" spans="1:8" s="965" customFormat="1" hidden="1">
      <c r="A2862" s="967"/>
      <c r="B2862" s="967"/>
      <c r="C2862" s="1382" t="s">
        <v>64</v>
      </c>
      <c r="D2862" s="967" t="s">
        <v>27</v>
      </c>
      <c r="E2862" s="973">
        <v>0.13300000000000001</v>
      </c>
      <c r="F2862" s="970">
        <f>'MINI SSR 2022-23'!$H$3</f>
        <v>630</v>
      </c>
      <c r="G2862" s="969">
        <f>ROUND(E2862*F2862,2)</f>
        <v>83.79</v>
      </c>
      <c r="H2862" s="964" t="s">
        <v>2313</v>
      </c>
    </row>
    <row r="2863" spans="1:8" s="965" customFormat="1" hidden="1">
      <c r="A2863" s="967"/>
      <c r="B2863" s="967"/>
      <c r="C2863" s="1382" t="s">
        <v>69</v>
      </c>
      <c r="D2863" s="967" t="s">
        <v>27</v>
      </c>
      <c r="E2863" s="973">
        <v>0.26700000000000002</v>
      </c>
      <c r="F2863" s="970">
        <f>'MINI SSR 2022-23'!$H$4</f>
        <v>565</v>
      </c>
      <c r="G2863" s="969">
        <f>ROUND(E2863*F2863,2)</f>
        <v>150.86000000000001</v>
      </c>
      <c r="H2863" s="964" t="s">
        <v>2313</v>
      </c>
    </row>
    <row r="2864" spans="1:8" s="965" customFormat="1" hidden="1">
      <c r="A2864" s="967"/>
      <c r="B2864" s="967"/>
      <c r="C2864" s="1382" t="s">
        <v>70</v>
      </c>
      <c r="D2864" s="967" t="s">
        <v>27</v>
      </c>
      <c r="E2864" s="973">
        <v>3.6</v>
      </c>
      <c r="F2864" s="970">
        <f>'MINI SSR 2022-23'!H$5</f>
        <v>525</v>
      </c>
      <c r="G2864" s="969">
        <f>ROUND(E2864*F2864,2)</f>
        <v>1890</v>
      </c>
      <c r="H2864" s="964" t="s">
        <v>2313</v>
      </c>
    </row>
    <row r="2865" spans="1:8" s="965" customFormat="1" hidden="1">
      <c r="A2865" s="967"/>
      <c r="B2865" s="967"/>
      <c r="C2865" s="962" t="s">
        <v>61</v>
      </c>
      <c r="D2865" s="967"/>
      <c r="E2865" s="970"/>
      <c r="F2865" s="970"/>
      <c r="G2865" s="969"/>
      <c r="H2865" s="964" t="s">
        <v>2313</v>
      </c>
    </row>
    <row r="2866" spans="1:8" s="965" customFormat="1" hidden="1">
      <c r="A2866" s="967"/>
      <c r="B2866" s="967"/>
      <c r="C2866" s="1382" t="s">
        <v>62</v>
      </c>
      <c r="D2866" s="967" t="s">
        <v>21</v>
      </c>
      <c r="E2866" s="970">
        <v>1</v>
      </c>
      <c r="F2866" s="970">
        <f>'MINI SSR 2022-23'!$C$30</f>
        <v>667.5</v>
      </c>
      <c r="G2866" s="969">
        <f>ROUND(E2866*F2866,2)</f>
        <v>667.5</v>
      </c>
      <c r="H2866" s="964" t="s">
        <v>2313</v>
      </c>
    </row>
    <row r="2867" spans="1:8" s="965" customFormat="1" hidden="1">
      <c r="A2867" s="967"/>
      <c r="B2867" s="967"/>
      <c r="C2867" s="1382" t="s">
        <v>160</v>
      </c>
      <c r="D2867" s="967" t="s">
        <v>21</v>
      </c>
      <c r="E2867" s="970">
        <v>1</v>
      </c>
      <c r="F2867" s="970">
        <f>'MINI SSR 2022-23'!$C$31</f>
        <v>259.10000000000002</v>
      </c>
      <c r="G2867" s="969">
        <f>ROUND(E2867*F2867,2)</f>
        <v>259.10000000000002</v>
      </c>
      <c r="H2867" s="964" t="s">
        <v>2313</v>
      </c>
    </row>
    <row r="2868" spans="1:8" s="965" customFormat="1" hidden="1">
      <c r="A2868" s="967"/>
      <c r="B2868" s="967"/>
      <c r="C2868" s="1382" t="s">
        <v>57</v>
      </c>
      <c r="D2868" s="967" t="s">
        <v>58</v>
      </c>
      <c r="E2868" s="970">
        <v>1.2</v>
      </c>
      <c r="F2868" s="922">
        <f>'MINI SSR 2022-23'!$C$29</f>
        <v>95</v>
      </c>
      <c r="G2868" s="969">
        <f>ROUND(E2868*F2868,2)</f>
        <v>114</v>
      </c>
      <c r="H2868" s="964" t="s">
        <v>2313</v>
      </c>
    </row>
    <row r="2869" spans="1:8" s="965" customFormat="1" hidden="1">
      <c r="A2869" s="967"/>
      <c r="B2869" s="967"/>
      <c r="C2869" s="962" t="s">
        <v>71</v>
      </c>
      <c r="D2869" s="967"/>
      <c r="E2869" s="967"/>
      <c r="F2869" s="967"/>
      <c r="G2869" s="971">
        <f>SUM(G2858:G2868)</f>
        <v>7089.18</v>
      </c>
      <c r="H2869" s="964" t="s">
        <v>2313</v>
      </c>
    </row>
    <row r="2870" spans="1:8" s="965" customFormat="1" hidden="1">
      <c r="A2870" s="967"/>
      <c r="B2870" s="967"/>
      <c r="C2870" s="962" t="s">
        <v>72</v>
      </c>
      <c r="D2870" s="967"/>
      <c r="E2870" s="967"/>
      <c r="F2870" s="967"/>
      <c r="G2870" s="972"/>
      <c r="H2870" s="964" t="s">
        <v>2313</v>
      </c>
    </row>
    <row r="2871" spans="1:8" s="965" customFormat="1" hidden="1">
      <c r="A2871" s="967"/>
      <c r="B2871" s="967"/>
      <c r="C2871" s="1382" t="s">
        <v>73</v>
      </c>
      <c r="D2871" s="967" t="s">
        <v>35</v>
      </c>
      <c r="E2871" s="970">
        <v>1</v>
      </c>
      <c r="F2871" s="970">
        <f>G2869</f>
        <v>7089.18</v>
      </c>
      <c r="G2871" s="969">
        <f>ROUND(E2871*F2871,2)</f>
        <v>7089.18</v>
      </c>
      <c r="H2871" s="964" t="s">
        <v>2313</v>
      </c>
    </row>
    <row r="2872" spans="1:8" s="965" customFormat="1" ht="25.5" hidden="1">
      <c r="A2872" s="967"/>
      <c r="B2872" s="967"/>
      <c r="C2872" s="1382" t="s">
        <v>1278</v>
      </c>
      <c r="D2872" s="967" t="s">
        <v>35</v>
      </c>
      <c r="E2872" s="970">
        <v>1</v>
      </c>
      <c r="F2872" s="970">
        <f>'MINI SSR 2022-23'!C52</f>
        <v>301</v>
      </c>
      <c r="G2872" s="969">
        <f>ROUND(E2872*F2872,2)</f>
        <v>301</v>
      </c>
      <c r="H2872" s="964" t="s">
        <v>2313</v>
      </c>
    </row>
    <row r="2873" spans="1:8" s="965" customFormat="1" hidden="1">
      <c r="A2873" s="967"/>
      <c r="B2873" s="967"/>
      <c r="C2873" s="1382" t="s">
        <v>1279</v>
      </c>
      <c r="D2873" s="967" t="s">
        <v>35</v>
      </c>
      <c r="E2873" s="970">
        <v>1</v>
      </c>
      <c r="F2873" s="970">
        <f>'MINI SSR 2022-23'!D52</f>
        <v>672</v>
      </c>
      <c r="G2873" s="969">
        <f>ROUND(E2873*F2873,2)</f>
        <v>672</v>
      </c>
      <c r="H2873" s="964" t="s">
        <v>2313</v>
      </c>
    </row>
    <row r="2874" spans="1:8" s="965" customFormat="1" hidden="1">
      <c r="A2874" s="967"/>
      <c r="B2874" s="967"/>
      <c r="C2874" s="1382"/>
      <c r="D2874" s="967"/>
      <c r="E2874" s="967"/>
      <c r="F2874" s="967"/>
      <c r="G2874" s="971">
        <f>SUM(G2871:G2873)</f>
        <v>8062.18</v>
      </c>
      <c r="H2874" s="964" t="s">
        <v>2313</v>
      </c>
    </row>
    <row r="2875" spans="1:8" s="965" customFormat="1" hidden="1">
      <c r="A2875" s="967"/>
      <c r="B2875" s="967"/>
      <c r="C2875" s="962" t="s">
        <v>74</v>
      </c>
      <c r="D2875" s="967"/>
      <c r="E2875" s="967"/>
      <c r="F2875" s="967"/>
      <c r="G2875" s="972"/>
      <c r="H2875" s="964" t="s">
        <v>2313</v>
      </c>
    </row>
    <row r="2876" spans="1:8" s="965" customFormat="1" hidden="1">
      <c r="A2876" s="967"/>
      <c r="B2876" s="967"/>
      <c r="C2876" s="1382" t="s">
        <v>73</v>
      </c>
      <c r="D2876" s="967" t="s">
        <v>35</v>
      </c>
      <c r="E2876" s="970">
        <v>1</v>
      </c>
      <c r="F2876" s="970">
        <f>G2869</f>
        <v>7089.18</v>
      </c>
      <c r="G2876" s="969">
        <f>ROUND(E2876*F2876,2)</f>
        <v>7089.18</v>
      </c>
      <c r="H2876" s="964" t="s">
        <v>2313</v>
      </c>
    </row>
    <row r="2877" spans="1:8" s="965" customFormat="1" ht="25.5" hidden="1">
      <c r="A2877" s="967"/>
      <c r="B2877" s="967"/>
      <c r="C2877" s="1382" t="s">
        <v>1280</v>
      </c>
      <c r="D2877" s="967" t="s">
        <v>35</v>
      </c>
      <c r="E2877" s="970">
        <v>1</v>
      </c>
      <c r="F2877" s="970">
        <f>'MINI SSR 2022-23'!C54</f>
        <v>343</v>
      </c>
      <c r="G2877" s="969">
        <f>ROUND(E2877*F2877,2)</f>
        <v>343</v>
      </c>
      <c r="H2877" s="964" t="s">
        <v>2313</v>
      </c>
    </row>
    <row r="2878" spans="1:8" s="965" customFormat="1" hidden="1">
      <c r="A2878" s="967"/>
      <c r="B2878" s="967"/>
      <c r="C2878" s="1382" t="s">
        <v>1281</v>
      </c>
      <c r="D2878" s="967" t="s">
        <v>35</v>
      </c>
      <c r="E2878" s="970">
        <v>1</v>
      </c>
      <c r="F2878" s="970">
        <f>'MINI SSR 2022-23'!D54</f>
        <v>1069</v>
      </c>
      <c r="G2878" s="969">
        <f>ROUND(E2878*F2878,2)</f>
        <v>1069</v>
      </c>
      <c r="H2878" s="964" t="s">
        <v>2313</v>
      </c>
    </row>
    <row r="2879" spans="1:8" s="965" customFormat="1" hidden="1">
      <c r="A2879" s="967"/>
      <c r="B2879" s="967"/>
      <c r="C2879" s="1382"/>
      <c r="D2879" s="967"/>
      <c r="E2879" s="967"/>
      <c r="F2879" s="967"/>
      <c r="G2879" s="971">
        <f>SUM(G2876:G2878)</f>
        <v>8501.18</v>
      </c>
      <c r="H2879" s="964" t="s">
        <v>2313</v>
      </c>
    </row>
    <row r="2880" spans="1:8" s="965" customFormat="1" hidden="1">
      <c r="A2880" s="967"/>
      <c r="B2880" s="967"/>
      <c r="C2880" s="962" t="s">
        <v>75</v>
      </c>
      <c r="D2880" s="967"/>
      <c r="E2880" s="967"/>
      <c r="F2880" s="967"/>
      <c r="G2880" s="972"/>
      <c r="H2880" s="964" t="s">
        <v>2313</v>
      </c>
    </row>
    <row r="2881" spans="1:8" s="965" customFormat="1" hidden="1">
      <c r="A2881" s="967"/>
      <c r="B2881" s="967"/>
      <c r="C2881" s="1382" t="s">
        <v>73</v>
      </c>
      <c r="D2881" s="967" t="s">
        <v>35</v>
      </c>
      <c r="E2881" s="970">
        <v>1</v>
      </c>
      <c r="F2881" s="970">
        <f>G2869</f>
        <v>7089.18</v>
      </c>
      <c r="G2881" s="969">
        <f>ROUND(E2881*F2881,2)</f>
        <v>7089.18</v>
      </c>
      <c r="H2881" s="964" t="s">
        <v>2313</v>
      </c>
    </row>
    <row r="2882" spans="1:8" s="965" customFormat="1" hidden="1">
      <c r="A2882" s="967"/>
      <c r="B2882" s="967"/>
      <c r="C2882" s="1382" t="s">
        <v>1282</v>
      </c>
      <c r="D2882" s="967" t="s">
        <v>35</v>
      </c>
      <c r="E2882" s="970">
        <v>1</v>
      </c>
      <c r="F2882" s="970">
        <f>'MINI SSR 2022-23'!C55</f>
        <v>1453</v>
      </c>
      <c r="G2882" s="969">
        <f>ROUND(E2882*F2882,2)</f>
        <v>1453</v>
      </c>
      <c r="H2882" s="964" t="s">
        <v>2313</v>
      </c>
    </row>
    <row r="2883" spans="1:8" s="965" customFormat="1" hidden="1">
      <c r="A2883" s="967"/>
      <c r="B2883" s="967"/>
      <c r="C2883" s="1382" t="s">
        <v>1283</v>
      </c>
      <c r="D2883" s="967" t="s">
        <v>35</v>
      </c>
      <c r="E2883" s="970">
        <v>1</v>
      </c>
      <c r="F2883" s="970">
        <f>'MINI SSR 2022-23'!D55</f>
        <v>1620</v>
      </c>
      <c r="G2883" s="969">
        <f>ROUND(E2883*F2883,2)</f>
        <v>1620</v>
      </c>
      <c r="H2883" s="964" t="s">
        <v>2313</v>
      </c>
    </row>
    <row r="2884" spans="1:8" s="965" customFormat="1" hidden="1">
      <c r="A2884" s="967"/>
      <c r="B2884" s="967"/>
      <c r="C2884" s="1382"/>
      <c r="D2884" s="967"/>
      <c r="E2884" s="967"/>
      <c r="F2884" s="967"/>
      <c r="G2884" s="971">
        <f>SUM(G2881:G2883)</f>
        <v>10162.18</v>
      </c>
      <c r="H2884" s="964" t="s">
        <v>2313</v>
      </c>
    </row>
    <row r="2885" spans="1:8" s="965" customFormat="1" ht="178.5" hidden="1">
      <c r="A2885" s="896">
        <v>16</v>
      </c>
      <c r="B2885" s="966" t="s">
        <v>76</v>
      </c>
      <c r="C2885" s="1382" t="s">
        <v>226</v>
      </c>
      <c r="D2885" s="967"/>
      <c r="E2885" s="967"/>
      <c r="F2885" s="967"/>
      <c r="G2885" s="966"/>
      <c r="H2885" s="964" t="s">
        <v>2313</v>
      </c>
    </row>
    <row r="2886" spans="1:8" s="965" customFormat="1" hidden="1">
      <c r="A2886" s="896"/>
      <c r="B2886" s="966"/>
      <c r="C2886" s="962" t="s">
        <v>80</v>
      </c>
      <c r="D2886" s="967"/>
      <c r="E2886" s="967"/>
      <c r="F2886" s="967"/>
      <c r="G2886" s="972"/>
      <c r="H2886" s="964" t="s">
        <v>2313</v>
      </c>
    </row>
    <row r="2887" spans="1:8" s="965" customFormat="1" hidden="1">
      <c r="A2887" s="896"/>
      <c r="B2887" s="966"/>
      <c r="C2887" s="962" t="s">
        <v>60</v>
      </c>
      <c r="D2887" s="967"/>
      <c r="E2887" s="967"/>
      <c r="F2887" s="967"/>
      <c r="G2887" s="972"/>
      <c r="H2887" s="964" t="s">
        <v>2313</v>
      </c>
    </row>
    <row r="2888" spans="1:8" s="965" customFormat="1" hidden="1">
      <c r="A2888" s="896"/>
      <c r="B2888" s="966"/>
      <c r="C2888" s="1382" t="s">
        <v>154</v>
      </c>
      <c r="D2888" s="967" t="s">
        <v>35</v>
      </c>
      <c r="E2888" s="970">
        <v>0.8</v>
      </c>
      <c r="F2888" s="970">
        <f>F2858</f>
        <v>2046.91</v>
      </c>
      <c r="G2888" s="969">
        <f>ROUND(E2888*F2888,2)</f>
        <v>1637.53</v>
      </c>
      <c r="H2888" s="964" t="s">
        <v>2313</v>
      </c>
    </row>
    <row r="2889" spans="1:8" s="965" customFormat="1" hidden="1">
      <c r="A2889" s="896"/>
      <c r="B2889" s="966"/>
      <c r="C2889" s="1382" t="s">
        <v>112</v>
      </c>
      <c r="D2889" s="967" t="s">
        <v>35</v>
      </c>
      <c r="E2889" s="970">
        <v>0.4</v>
      </c>
      <c r="F2889" s="970">
        <f>'lead 22-23'!L13</f>
        <v>1720.9999999999998</v>
      </c>
      <c r="G2889" s="969">
        <f>ROUND(E2889*F2889,2)</f>
        <v>688.4</v>
      </c>
      <c r="H2889" s="964" t="s">
        <v>2313</v>
      </c>
    </row>
    <row r="2890" spans="1:8" s="965" customFormat="1" hidden="1">
      <c r="A2890" s="967"/>
      <c r="B2890" s="967"/>
      <c r="C2890" s="1382" t="s">
        <v>33</v>
      </c>
      <c r="D2890" s="967" t="s">
        <v>4</v>
      </c>
      <c r="E2890" s="970">
        <f>E2860</f>
        <v>340</v>
      </c>
      <c r="F2890" s="970">
        <f>'lead 22-23'!L8</f>
        <v>4700</v>
      </c>
      <c r="G2890" s="969">
        <f>ROUND(E2890*F2890/1000,2)</f>
        <v>1598</v>
      </c>
      <c r="H2890" s="964" t="s">
        <v>2313</v>
      </c>
    </row>
    <row r="2891" spans="1:8" s="965" customFormat="1" hidden="1">
      <c r="A2891" s="967"/>
      <c r="B2891" s="967"/>
      <c r="C2891" s="962" t="s">
        <v>68</v>
      </c>
      <c r="D2891" s="967"/>
      <c r="E2891" s="970"/>
      <c r="F2891" s="970"/>
      <c r="G2891" s="969"/>
      <c r="H2891" s="964" t="s">
        <v>2313</v>
      </c>
    </row>
    <row r="2892" spans="1:8" s="965" customFormat="1" hidden="1">
      <c r="A2892" s="967"/>
      <c r="B2892" s="967"/>
      <c r="C2892" s="1382" t="s">
        <v>64</v>
      </c>
      <c r="D2892" s="967" t="s">
        <v>27</v>
      </c>
      <c r="E2892" s="973">
        <v>0.16700000000000001</v>
      </c>
      <c r="F2892" s="970">
        <f>'MINI SSR 2022-23'!$H$3</f>
        <v>630</v>
      </c>
      <c r="G2892" s="969">
        <f>ROUND(E2892*F2892,2)</f>
        <v>105.21</v>
      </c>
      <c r="H2892" s="964" t="s">
        <v>2313</v>
      </c>
    </row>
    <row r="2893" spans="1:8" s="965" customFormat="1" hidden="1">
      <c r="A2893" s="967"/>
      <c r="B2893" s="967"/>
      <c r="C2893" s="1382" t="s">
        <v>69</v>
      </c>
      <c r="D2893" s="967" t="s">
        <v>27</v>
      </c>
      <c r="E2893" s="973">
        <v>0.16700000000000001</v>
      </c>
      <c r="F2893" s="970">
        <f>'MINI SSR 2022-23'!$H$4</f>
        <v>565</v>
      </c>
      <c r="G2893" s="969">
        <f>ROUND(E2893*F2893,2)</f>
        <v>94.36</v>
      </c>
      <c r="H2893" s="964" t="s">
        <v>2313</v>
      </c>
    </row>
    <row r="2894" spans="1:8" s="965" customFormat="1" hidden="1">
      <c r="A2894" s="967"/>
      <c r="B2894" s="967"/>
      <c r="C2894" s="1382" t="s">
        <v>70</v>
      </c>
      <c r="D2894" s="967" t="s">
        <v>27</v>
      </c>
      <c r="E2894" s="973">
        <v>4.7</v>
      </c>
      <c r="F2894" s="970">
        <f>'MINI SSR 2022-23'!H$5</f>
        <v>525</v>
      </c>
      <c r="G2894" s="969">
        <f>ROUND(E2894*F2894,2)</f>
        <v>2467.5</v>
      </c>
      <c r="H2894" s="964" t="s">
        <v>2313</v>
      </c>
    </row>
    <row r="2895" spans="1:8" s="965" customFormat="1" hidden="1">
      <c r="A2895" s="967"/>
      <c r="B2895" s="967"/>
      <c r="C2895" s="962" t="s">
        <v>61</v>
      </c>
      <c r="D2895" s="967"/>
      <c r="E2895" s="970"/>
      <c r="F2895" s="970"/>
      <c r="G2895" s="969"/>
      <c r="H2895" s="964" t="s">
        <v>2313</v>
      </c>
    </row>
    <row r="2896" spans="1:8" hidden="1">
      <c r="A2896" s="967"/>
      <c r="B2896" s="967"/>
      <c r="C2896" s="1382" t="s">
        <v>62</v>
      </c>
      <c r="D2896" s="967" t="s">
        <v>21</v>
      </c>
      <c r="E2896" s="970">
        <v>1</v>
      </c>
      <c r="F2896" s="970">
        <f>'MINI SSR 2022-23'!$C$30</f>
        <v>667.5</v>
      </c>
      <c r="G2896" s="969">
        <f>ROUND(E2896*F2896,2)</f>
        <v>667.5</v>
      </c>
      <c r="H2896" s="964" t="s">
        <v>2313</v>
      </c>
    </row>
    <row r="2897" spans="1:8" hidden="1">
      <c r="A2897" s="967"/>
      <c r="B2897" s="967"/>
      <c r="C2897" s="1382" t="s">
        <v>160</v>
      </c>
      <c r="D2897" s="967" t="s">
        <v>21</v>
      </c>
      <c r="E2897" s="970">
        <v>1</v>
      </c>
      <c r="F2897" s="970">
        <f>'MINI SSR 2022-23'!$C$31</f>
        <v>259.10000000000002</v>
      </c>
      <c r="G2897" s="969">
        <f>ROUND(E2897*F2897,2)</f>
        <v>259.10000000000002</v>
      </c>
      <c r="H2897" s="964" t="s">
        <v>2313</v>
      </c>
    </row>
    <row r="2898" spans="1:8" hidden="1">
      <c r="A2898" s="967"/>
      <c r="B2898" s="967"/>
      <c r="C2898" s="1382" t="s">
        <v>57</v>
      </c>
      <c r="D2898" s="967" t="s">
        <v>58</v>
      </c>
      <c r="E2898" s="970">
        <v>1.2</v>
      </c>
      <c r="F2898" s="922">
        <f>'MINI SSR 2022-23'!$C$29</f>
        <v>95</v>
      </c>
      <c r="G2898" s="969">
        <f>ROUND(E2898*F2898,2)</f>
        <v>114</v>
      </c>
      <c r="H2898" s="964" t="s">
        <v>2313</v>
      </c>
    </row>
    <row r="2899" spans="1:8" hidden="1">
      <c r="A2899" s="967"/>
      <c r="B2899" s="967"/>
      <c r="C2899" s="962" t="s">
        <v>71</v>
      </c>
      <c r="D2899" s="967"/>
      <c r="E2899" s="967"/>
      <c r="F2899" s="967"/>
      <c r="G2899" s="971">
        <f>SUM(G2888:G2898)</f>
        <v>7631.6</v>
      </c>
      <c r="H2899" s="964" t="s">
        <v>2313</v>
      </c>
    </row>
    <row r="2900" spans="1:8" hidden="1">
      <c r="A2900" s="967"/>
      <c r="B2900" s="967"/>
      <c r="C2900" s="962"/>
      <c r="D2900" s="967"/>
      <c r="E2900" s="966" t="s">
        <v>161</v>
      </c>
      <c r="F2900" s="966" t="s">
        <v>162</v>
      </c>
      <c r="G2900" s="974" t="s">
        <v>163</v>
      </c>
      <c r="H2900" s="964" t="s">
        <v>2313</v>
      </c>
    </row>
    <row r="2901" spans="1:8" hidden="1">
      <c r="A2901" s="967"/>
      <c r="B2901" s="967"/>
      <c r="C2901" s="962" t="s">
        <v>1284</v>
      </c>
      <c r="D2901" s="967"/>
      <c r="E2901" s="970">
        <f>G2899</f>
        <v>7631.6</v>
      </c>
      <c r="F2901" s="970">
        <f>G2899</f>
        <v>7631.6</v>
      </c>
      <c r="G2901" s="972">
        <f>G2899</f>
        <v>7631.6</v>
      </c>
      <c r="H2901" s="964" t="s">
        <v>2313</v>
      </c>
    </row>
    <row r="2902" spans="1:8" ht="25.5" hidden="1">
      <c r="A2902" s="967"/>
      <c r="B2902" s="967"/>
      <c r="C2902" s="1382" t="s">
        <v>164</v>
      </c>
      <c r="D2902" s="967"/>
      <c r="E2902" s="970">
        <f>'MINI SSR 2022-23'!C57</f>
        <v>371</v>
      </c>
      <c r="F2902" s="970">
        <f>E2902</f>
        <v>371</v>
      </c>
      <c r="G2902" s="924">
        <f>E2902</f>
        <v>371</v>
      </c>
      <c r="H2902" s="964" t="s">
        <v>2313</v>
      </c>
    </row>
    <row r="2903" spans="1:8" hidden="1">
      <c r="A2903" s="967"/>
      <c r="B2903" s="967"/>
      <c r="C2903" s="1382" t="s">
        <v>165</v>
      </c>
      <c r="D2903" s="967"/>
      <c r="E2903" s="970">
        <f>'MINI SSR 2022-23'!D57</f>
        <v>2415</v>
      </c>
      <c r="F2903" s="970">
        <f>'MINI SSR 2022-23'!E57</f>
        <v>2657</v>
      </c>
      <c r="G2903" s="970">
        <f>'MINI SSR 2022-23'!F57</f>
        <v>2898</v>
      </c>
      <c r="H2903" s="964" t="s">
        <v>2313</v>
      </c>
    </row>
    <row r="2904" spans="1:8" ht="25.5" hidden="1">
      <c r="A2904" s="967"/>
      <c r="B2904" s="967"/>
      <c r="C2904" s="1382" t="s">
        <v>1285</v>
      </c>
      <c r="D2904" s="967"/>
      <c r="E2904" s="967"/>
      <c r="F2904" s="967">
        <f>ROUND((G2892+G2893+G2894+F2903)*0.1,2)</f>
        <v>532.41</v>
      </c>
      <c r="G2904" s="975">
        <f>ROUND((G2892+G2893+G2894+G2903)*0.2,2)</f>
        <v>1113.01</v>
      </c>
      <c r="H2904" s="964" t="s">
        <v>2313</v>
      </c>
    </row>
    <row r="2905" spans="1:8" hidden="1">
      <c r="A2905" s="967"/>
      <c r="B2905" s="967"/>
      <c r="C2905" s="1382"/>
      <c r="D2905" s="967"/>
      <c r="E2905" s="974">
        <f>SUM(E2901:E2904)</f>
        <v>10417.6</v>
      </c>
      <c r="F2905" s="974">
        <f>SUM(F2901:F2904)</f>
        <v>11192.01</v>
      </c>
      <c r="G2905" s="971">
        <f>SUM(G2901:G2904)</f>
        <v>12013.61</v>
      </c>
      <c r="H2905" s="964" t="s">
        <v>2313</v>
      </c>
    </row>
    <row r="2906" spans="1:8" hidden="1">
      <c r="A2906" s="967"/>
      <c r="B2906" s="967"/>
      <c r="C2906" s="962"/>
      <c r="D2906" s="967"/>
      <c r="E2906" s="966" t="s">
        <v>161</v>
      </c>
      <c r="F2906" s="966" t="s">
        <v>162</v>
      </c>
      <c r="G2906" s="974" t="s">
        <v>163</v>
      </c>
      <c r="H2906" s="964" t="s">
        <v>2313</v>
      </c>
    </row>
    <row r="2907" spans="1:8" hidden="1">
      <c r="A2907" s="967"/>
      <c r="B2907" s="967"/>
      <c r="C2907" s="962" t="s">
        <v>1286</v>
      </c>
      <c r="D2907" s="967"/>
      <c r="E2907" s="970">
        <f>G2899</f>
        <v>7631.6</v>
      </c>
      <c r="F2907" s="970">
        <f>G2899</f>
        <v>7631.6</v>
      </c>
      <c r="G2907" s="972">
        <f>G2899</f>
        <v>7631.6</v>
      </c>
      <c r="H2907" s="964" t="s">
        <v>2313</v>
      </c>
    </row>
    <row r="2908" spans="1:8" ht="25.5" hidden="1">
      <c r="A2908" s="967"/>
      <c r="B2908" s="967"/>
      <c r="C2908" s="1382" t="s">
        <v>166</v>
      </c>
      <c r="D2908" s="967"/>
      <c r="E2908" s="970">
        <f>'MINI SSR 2022-23'!C58</f>
        <v>1233</v>
      </c>
      <c r="F2908" s="970">
        <f>E2908</f>
        <v>1233</v>
      </c>
      <c r="G2908" s="924">
        <f>E2908</f>
        <v>1233</v>
      </c>
      <c r="H2908" s="964" t="s">
        <v>2313</v>
      </c>
    </row>
    <row r="2909" spans="1:8" hidden="1">
      <c r="A2909" s="967"/>
      <c r="B2909" s="967"/>
      <c r="C2909" s="1382" t="s">
        <v>167</v>
      </c>
      <c r="D2909" s="967"/>
      <c r="E2909" s="970">
        <f>'MINI SSR 2022-23'!D58</f>
        <v>1720</v>
      </c>
      <c r="F2909" s="970">
        <f>'MINI SSR 2022-23'!E58</f>
        <v>1892</v>
      </c>
      <c r="G2909" s="970">
        <f>'MINI SSR 2022-23'!F58</f>
        <v>2064</v>
      </c>
      <c r="H2909" s="964" t="s">
        <v>2313</v>
      </c>
    </row>
    <row r="2910" spans="1:8" ht="25.5" hidden="1">
      <c r="A2910" s="967"/>
      <c r="B2910" s="967"/>
      <c r="C2910" s="1382" t="s">
        <v>1285</v>
      </c>
      <c r="D2910" s="967"/>
      <c r="E2910" s="967"/>
      <c r="F2910" s="967">
        <f>ROUND((G2892+G2893+G2894+F2909)*0.1,2)</f>
        <v>455.91</v>
      </c>
      <c r="G2910" s="975">
        <f>ROUND((G2892+G2893+G2894+G2909)*0.2,2)</f>
        <v>946.21</v>
      </c>
      <c r="H2910" s="964" t="s">
        <v>2313</v>
      </c>
    </row>
    <row r="2911" spans="1:8" hidden="1">
      <c r="A2911" s="967"/>
      <c r="B2911" s="967"/>
      <c r="C2911" s="1382"/>
      <c r="D2911" s="967"/>
      <c r="E2911" s="974">
        <f>SUM(E2907:E2910)</f>
        <v>10584.6</v>
      </c>
      <c r="F2911" s="974">
        <f>SUM(F2907:F2910)</f>
        <v>11212.51</v>
      </c>
      <c r="G2911" s="971">
        <f>SUM(G2907:G2910)</f>
        <v>11874.810000000001</v>
      </c>
      <c r="H2911" s="964" t="s">
        <v>2313</v>
      </c>
    </row>
    <row r="2912" spans="1:8" ht="178.5" hidden="1">
      <c r="A2912" s="896">
        <v>17</v>
      </c>
      <c r="B2912" s="966" t="s">
        <v>78</v>
      </c>
      <c r="C2912" s="1382" t="s">
        <v>226</v>
      </c>
      <c r="D2912" s="967"/>
      <c r="E2912" s="967"/>
      <c r="F2912" s="967"/>
      <c r="G2912" s="966"/>
      <c r="H2912" s="964" t="s">
        <v>2313</v>
      </c>
    </row>
    <row r="2913" spans="1:8" hidden="1">
      <c r="A2913" s="896"/>
      <c r="B2913" s="966"/>
      <c r="C2913" s="962" t="s">
        <v>79</v>
      </c>
      <c r="D2913" s="967"/>
      <c r="E2913" s="967"/>
      <c r="F2913" s="967"/>
      <c r="G2913" s="972"/>
      <c r="H2913" s="964" t="s">
        <v>2313</v>
      </c>
    </row>
    <row r="2914" spans="1:8" hidden="1">
      <c r="A2914" s="896"/>
      <c r="B2914" s="966"/>
      <c r="C2914" s="962" t="s">
        <v>60</v>
      </c>
      <c r="D2914" s="966"/>
      <c r="E2914" s="966"/>
      <c r="F2914" s="966"/>
      <c r="G2914" s="972"/>
      <c r="H2914" s="964" t="s">
        <v>2313</v>
      </c>
    </row>
    <row r="2915" spans="1:8" hidden="1">
      <c r="A2915" s="896"/>
      <c r="B2915" s="966"/>
      <c r="C2915" s="1382" t="s">
        <v>154</v>
      </c>
      <c r="D2915" s="967" t="s">
        <v>35</v>
      </c>
      <c r="E2915" s="970">
        <v>0.8</v>
      </c>
      <c r="F2915" s="970">
        <f>F2788</f>
        <v>2046.91</v>
      </c>
      <c r="G2915" s="969">
        <f>ROUND(E2915*F2915,2)</f>
        <v>1637.53</v>
      </c>
      <c r="H2915" s="964" t="s">
        <v>2313</v>
      </c>
    </row>
    <row r="2916" spans="1:8" hidden="1">
      <c r="A2916" s="896"/>
      <c r="B2916" s="966"/>
      <c r="C2916" s="1382" t="s">
        <v>112</v>
      </c>
      <c r="D2916" s="967" t="s">
        <v>35</v>
      </c>
      <c r="E2916" s="970">
        <v>0.4</v>
      </c>
      <c r="F2916" s="970">
        <f>'lead 22-23'!L13</f>
        <v>1720.9999999999998</v>
      </c>
      <c r="G2916" s="969">
        <f>ROUND(E2916*F2916,2)</f>
        <v>688.4</v>
      </c>
      <c r="H2916" s="964" t="s">
        <v>2313</v>
      </c>
    </row>
    <row r="2917" spans="1:8" hidden="1">
      <c r="A2917" s="967"/>
      <c r="B2917" s="967"/>
      <c r="C2917" s="1382" t="s">
        <v>33</v>
      </c>
      <c r="D2917" s="967" t="s">
        <v>4</v>
      </c>
      <c r="E2917" s="970">
        <f>E2890</f>
        <v>340</v>
      </c>
      <c r="F2917" s="970">
        <f>'lead 22-23'!L8</f>
        <v>4700</v>
      </c>
      <c r="G2917" s="969">
        <f>ROUND(E2917*F2917/1000,2)</f>
        <v>1598</v>
      </c>
      <c r="H2917" s="964" t="s">
        <v>2313</v>
      </c>
    </row>
    <row r="2918" spans="1:8" hidden="1">
      <c r="A2918" s="967"/>
      <c r="B2918" s="967"/>
      <c r="C2918" s="962" t="s">
        <v>68</v>
      </c>
      <c r="D2918" s="967"/>
      <c r="E2918" s="970"/>
      <c r="F2918" s="970"/>
      <c r="G2918" s="969"/>
      <c r="H2918" s="964" t="s">
        <v>2313</v>
      </c>
    </row>
    <row r="2919" spans="1:8" hidden="1">
      <c r="A2919" s="967"/>
      <c r="B2919" s="967"/>
      <c r="C2919" s="1382" t="s">
        <v>64</v>
      </c>
      <c r="D2919" s="967" t="s">
        <v>27</v>
      </c>
      <c r="E2919" s="973">
        <v>6.7000000000000004E-2</v>
      </c>
      <c r="F2919" s="970">
        <f>'MINI SSR 2022-23'!$H$3</f>
        <v>630</v>
      </c>
      <c r="G2919" s="969">
        <f>ROUND(E2919*F2919,2)</f>
        <v>42.21</v>
      </c>
      <c r="H2919" s="964" t="s">
        <v>2313</v>
      </c>
    </row>
    <row r="2920" spans="1:8" hidden="1">
      <c r="A2920" s="967"/>
      <c r="B2920" s="967"/>
      <c r="C2920" s="1382" t="s">
        <v>69</v>
      </c>
      <c r="D2920" s="967" t="s">
        <v>27</v>
      </c>
      <c r="E2920" s="973">
        <v>0.13300000000000001</v>
      </c>
      <c r="F2920" s="970">
        <f>'MINI SSR 2022-23'!$H$4</f>
        <v>565</v>
      </c>
      <c r="G2920" s="969">
        <f>ROUND(E2920*F2920,2)</f>
        <v>75.150000000000006</v>
      </c>
      <c r="H2920" s="964" t="s">
        <v>2313</v>
      </c>
    </row>
    <row r="2921" spans="1:8" hidden="1">
      <c r="A2921" s="967"/>
      <c r="B2921" s="967"/>
      <c r="C2921" s="1382" t="s">
        <v>70</v>
      </c>
      <c r="D2921" s="967" t="s">
        <v>27</v>
      </c>
      <c r="E2921" s="973">
        <v>2.5</v>
      </c>
      <c r="F2921" s="970">
        <f>'MINI SSR 2022-23'!H$5</f>
        <v>525</v>
      </c>
      <c r="G2921" s="969">
        <f>ROUND(E2921*F2921,2)</f>
        <v>1312.5</v>
      </c>
      <c r="H2921" s="964" t="s">
        <v>2313</v>
      </c>
    </row>
    <row r="2922" spans="1:8" hidden="1">
      <c r="A2922" s="967"/>
      <c r="B2922" s="967"/>
      <c r="C2922" s="962" t="s">
        <v>61</v>
      </c>
      <c r="D2922" s="967"/>
      <c r="E2922" s="970"/>
      <c r="F2922" s="970"/>
      <c r="G2922" s="969"/>
      <c r="H2922" s="964" t="s">
        <v>2313</v>
      </c>
    </row>
    <row r="2923" spans="1:8" hidden="1">
      <c r="A2923" s="967"/>
      <c r="B2923" s="967"/>
      <c r="C2923" s="1382" t="s">
        <v>62</v>
      </c>
      <c r="D2923" s="967" t="s">
        <v>21</v>
      </c>
      <c r="E2923" s="973">
        <v>0.26700000000000002</v>
      </c>
      <c r="F2923" s="970">
        <f>'MINI SSR 2022-23'!$C$30</f>
        <v>667.5</v>
      </c>
      <c r="G2923" s="969">
        <f>ROUND(E2923*F2923,2)</f>
        <v>178.22</v>
      </c>
      <c r="H2923" s="964" t="s">
        <v>2313</v>
      </c>
    </row>
    <row r="2924" spans="1:8" hidden="1">
      <c r="A2924" s="967"/>
      <c r="B2924" s="967"/>
      <c r="C2924" s="1382" t="s">
        <v>160</v>
      </c>
      <c r="D2924" s="967" t="s">
        <v>21</v>
      </c>
      <c r="E2924" s="973">
        <v>0.26700000000000002</v>
      </c>
      <c r="F2924" s="970">
        <f>'MINI SSR 2022-23'!$C$31</f>
        <v>259.10000000000002</v>
      </c>
      <c r="G2924" s="969">
        <f>ROUND(E2924*F2924,2)</f>
        <v>69.180000000000007</v>
      </c>
      <c r="H2924" s="964" t="s">
        <v>2313</v>
      </c>
    </row>
    <row r="2925" spans="1:8" hidden="1">
      <c r="A2925" s="967"/>
      <c r="B2925" s="967"/>
      <c r="C2925" s="1382" t="s">
        <v>57</v>
      </c>
      <c r="D2925" s="967" t="s">
        <v>58</v>
      </c>
      <c r="E2925" s="970">
        <v>1.2</v>
      </c>
      <c r="F2925" s="922">
        <f>'MINI SSR 2022-23'!$C$29</f>
        <v>95</v>
      </c>
      <c r="G2925" s="969">
        <f>ROUND(E2925*F2925,2)</f>
        <v>114</v>
      </c>
      <c r="H2925" s="964" t="s">
        <v>2313</v>
      </c>
    </row>
    <row r="2926" spans="1:8" hidden="1">
      <c r="A2926" s="967"/>
      <c r="B2926" s="967"/>
      <c r="C2926" s="962" t="s">
        <v>71</v>
      </c>
      <c r="D2926" s="967"/>
      <c r="E2926" s="967"/>
      <c r="F2926" s="967"/>
      <c r="G2926" s="971">
        <f>SUM(G2915:G2925)</f>
        <v>5715.1900000000005</v>
      </c>
      <c r="H2926" s="964" t="s">
        <v>2313</v>
      </c>
    </row>
    <row r="2927" spans="1:8" hidden="1">
      <c r="A2927" s="967"/>
      <c r="B2927" s="967"/>
      <c r="C2927" s="962"/>
      <c r="D2927" s="967"/>
      <c r="E2927" s="966" t="s">
        <v>161</v>
      </c>
      <c r="F2927" s="966" t="s">
        <v>162</v>
      </c>
      <c r="G2927" s="974" t="s">
        <v>163</v>
      </c>
      <c r="H2927" s="964" t="s">
        <v>2313</v>
      </c>
    </row>
    <row r="2928" spans="1:8" hidden="1">
      <c r="A2928" s="967"/>
      <c r="B2928" s="967"/>
      <c r="C2928" s="962" t="s">
        <v>1287</v>
      </c>
      <c r="D2928" s="967"/>
      <c r="E2928" s="970">
        <f>G2926</f>
        <v>5715.1900000000005</v>
      </c>
      <c r="F2928" s="970">
        <f>G2926</f>
        <v>5715.1900000000005</v>
      </c>
      <c r="G2928" s="972">
        <f>G2926</f>
        <v>5715.1900000000005</v>
      </c>
      <c r="H2928" s="964" t="s">
        <v>2313</v>
      </c>
    </row>
    <row r="2929" spans="1:8" ht="25.5" hidden="1">
      <c r="A2929" s="967"/>
      <c r="B2929" s="967"/>
      <c r="C2929" s="1382" t="s">
        <v>177</v>
      </c>
      <c r="D2929" s="967"/>
      <c r="E2929" s="970">
        <f>'MINI SSR 2022-23'!C60</f>
        <v>2179</v>
      </c>
      <c r="F2929" s="970">
        <f>E2929</f>
        <v>2179</v>
      </c>
      <c r="G2929" s="924">
        <f>E2929</f>
        <v>2179</v>
      </c>
      <c r="H2929" s="964" t="s">
        <v>2313</v>
      </c>
    </row>
    <row r="2930" spans="1:8" hidden="1">
      <c r="A2930" s="967"/>
      <c r="B2930" s="967"/>
      <c r="C2930" s="1382" t="s">
        <v>178</v>
      </c>
      <c r="D2930" s="967"/>
      <c r="E2930" s="970">
        <f>'MINI SSR 2022-23'!D60</f>
        <v>2027</v>
      </c>
      <c r="F2930" s="970">
        <f>'MINI SSR 2022-23'!E60</f>
        <v>2230</v>
      </c>
      <c r="G2930" s="970">
        <f>'MINI SSR 2022-23'!F60</f>
        <v>2432</v>
      </c>
      <c r="H2930" s="964" t="s">
        <v>2313</v>
      </c>
    </row>
    <row r="2931" spans="1:8" ht="25.5" hidden="1">
      <c r="A2931" s="967"/>
      <c r="B2931" s="967"/>
      <c r="C2931" s="1382" t="s">
        <v>1285</v>
      </c>
      <c r="D2931" s="967"/>
      <c r="E2931" s="967"/>
      <c r="F2931" s="970">
        <f>ROUND((G2919+G2920+G2921+F2930)*0.1,2)</f>
        <v>365.99</v>
      </c>
      <c r="G2931" s="972">
        <f>ROUND((G2919+G2920+G2921+G2930)*0.2,2)</f>
        <v>772.37</v>
      </c>
      <c r="H2931" s="964" t="s">
        <v>2313</v>
      </c>
    </row>
    <row r="2932" spans="1:8" hidden="1">
      <c r="A2932" s="967"/>
      <c r="B2932" s="967"/>
      <c r="C2932" s="962" t="s">
        <v>182</v>
      </c>
      <c r="D2932" s="967"/>
      <c r="E2932" s="974">
        <f>SUM(E2928:E2931)</f>
        <v>9921.19</v>
      </c>
      <c r="F2932" s="974">
        <f>SUM(F2928:F2931)</f>
        <v>10490.18</v>
      </c>
      <c r="G2932" s="971">
        <f>SUM(G2928:G2931)</f>
        <v>11098.560000000001</v>
      </c>
      <c r="H2932" s="964" t="s">
        <v>2313</v>
      </c>
    </row>
    <row r="2933" spans="1:8" hidden="1">
      <c r="A2933" s="967"/>
      <c r="B2933" s="967"/>
      <c r="C2933" s="962"/>
      <c r="D2933" s="967"/>
      <c r="E2933" s="966" t="s">
        <v>161</v>
      </c>
      <c r="F2933" s="966" t="s">
        <v>162</v>
      </c>
      <c r="G2933" s="974" t="s">
        <v>163</v>
      </c>
      <c r="H2933" s="964" t="s">
        <v>2313</v>
      </c>
    </row>
    <row r="2934" spans="1:8" hidden="1">
      <c r="A2934" s="967"/>
      <c r="B2934" s="967"/>
      <c r="C2934" s="962" t="s">
        <v>1288</v>
      </c>
      <c r="D2934" s="967"/>
      <c r="E2934" s="970">
        <f>G2926</f>
        <v>5715.1900000000005</v>
      </c>
      <c r="F2934" s="970">
        <f>G2926</f>
        <v>5715.1900000000005</v>
      </c>
      <c r="G2934" s="972">
        <f>G2926</f>
        <v>5715.1900000000005</v>
      </c>
      <c r="H2934" s="964" t="s">
        <v>2313</v>
      </c>
    </row>
    <row r="2935" spans="1:8" hidden="1">
      <c r="A2935" s="967"/>
      <c r="B2935" s="967"/>
      <c r="C2935" s="962" t="s">
        <v>1268</v>
      </c>
      <c r="D2935" s="970">
        <v>0.1</v>
      </c>
      <c r="E2935" s="970">
        <f>ROUND(E2934*0.1,2)</f>
        <v>571.52</v>
      </c>
      <c r="F2935" s="970">
        <f>ROUND(F2934*0.1,2)</f>
        <v>571.52</v>
      </c>
      <c r="G2935" s="972">
        <f>ROUND(G2934*0.1,2)</f>
        <v>571.52</v>
      </c>
      <c r="H2935" s="964" t="s">
        <v>2313</v>
      </c>
    </row>
    <row r="2936" spans="1:8" ht="25.5" hidden="1">
      <c r="A2936" s="967"/>
      <c r="B2936" s="967"/>
      <c r="C2936" s="1382" t="s">
        <v>179</v>
      </c>
      <c r="D2936" s="967"/>
      <c r="E2936" s="970">
        <f>'MINI SSR 2022-23'!C61</f>
        <v>247</v>
      </c>
      <c r="F2936" s="970">
        <f>E2936</f>
        <v>247</v>
      </c>
      <c r="G2936" s="924">
        <f>E2936</f>
        <v>247</v>
      </c>
      <c r="H2936" s="964" t="s">
        <v>2313</v>
      </c>
    </row>
    <row r="2937" spans="1:8" hidden="1">
      <c r="A2937" s="967"/>
      <c r="B2937" s="967"/>
      <c r="C2937" s="1382" t="s">
        <v>180</v>
      </c>
      <c r="D2937" s="967"/>
      <c r="E2937" s="970">
        <f>'MINI SSR 2022-23'!D61</f>
        <v>241</v>
      </c>
      <c r="F2937" s="970">
        <f>'MINI SSR 2022-23'!E61</f>
        <v>265</v>
      </c>
      <c r="G2937" s="970">
        <f>'MINI SSR 2022-23'!F61</f>
        <v>289</v>
      </c>
      <c r="H2937" s="964" t="s">
        <v>2313</v>
      </c>
    </row>
    <row r="2938" spans="1:8" ht="25.5" hidden="1">
      <c r="A2938" s="967"/>
      <c r="B2938" s="967"/>
      <c r="C2938" s="1382" t="s">
        <v>1289</v>
      </c>
      <c r="D2938" s="967"/>
      <c r="E2938" s="967"/>
      <c r="F2938" s="970">
        <f>ROUND(((G2919+G2920+G2921+F2937)*0.1),2)</f>
        <v>169.49</v>
      </c>
      <c r="G2938" s="972">
        <f>ROUND(((G2919+G2920+G2921+G2937)*0.2),2)</f>
        <v>343.77</v>
      </c>
      <c r="H2938" s="964" t="s">
        <v>2313</v>
      </c>
    </row>
    <row r="2939" spans="1:8" hidden="1">
      <c r="A2939" s="967"/>
      <c r="B2939" s="967"/>
      <c r="C2939" s="962" t="s">
        <v>181</v>
      </c>
      <c r="D2939" s="967"/>
      <c r="E2939" s="974">
        <f>SUM(E2935:E2938)</f>
        <v>1059.52</v>
      </c>
      <c r="F2939" s="974">
        <f>SUM(F2935:F2938)</f>
        <v>1253.01</v>
      </c>
      <c r="G2939" s="971">
        <f>SUM(G2935:G2938)</f>
        <v>1451.29</v>
      </c>
      <c r="H2939" s="964" t="s">
        <v>2313</v>
      </c>
    </row>
    <row r="2940" spans="1:8" hidden="1">
      <c r="A2940" s="967"/>
      <c r="B2940" s="967"/>
      <c r="C2940" s="962"/>
      <c r="D2940" s="967"/>
      <c r="E2940" s="966" t="s">
        <v>161</v>
      </c>
      <c r="F2940" s="966" t="s">
        <v>162</v>
      </c>
      <c r="G2940" s="974" t="s">
        <v>163</v>
      </c>
      <c r="H2940" s="964" t="s">
        <v>2313</v>
      </c>
    </row>
    <row r="2941" spans="1:8" hidden="1">
      <c r="A2941" s="967"/>
      <c r="B2941" s="967"/>
      <c r="C2941" s="962" t="s">
        <v>1290</v>
      </c>
      <c r="D2941" s="967"/>
      <c r="E2941" s="970">
        <f>G2926</f>
        <v>5715.1900000000005</v>
      </c>
      <c r="F2941" s="970">
        <f>G2926</f>
        <v>5715.1900000000005</v>
      </c>
      <c r="G2941" s="972">
        <f>G2926</f>
        <v>5715.1900000000005</v>
      </c>
      <c r="H2941" s="964" t="s">
        <v>2313</v>
      </c>
    </row>
    <row r="2942" spans="1:8" hidden="1">
      <c r="A2942" s="967"/>
      <c r="B2942" s="967"/>
      <c r="C2942" s="962" t="s">
        <v>1269</v>
      </c>
      <c r="D2942" s="967">
        <v>0.125</v>
      </c>
      <c r="E2942" s="970">
        <f>ROUND(E2941*0.125,2)</f>
        <v>714.4</v>
      </c>
      <c r="F2942" s="970">
        <f>ROUND(F2941*0.125,2)</f>
        <v>714.4</v>
      </c>
      <c r="G2942" s="972">
        <f>ROUND(G2941*0.125,2)</f>
        <v>714.4</v>
      </c>
      <c r="H2942" s="964" t="s">
        <v>2313</v>
      </c>
    </row>
    <row r="2943" spans="1:8" ht="25.5" hidden="1">
      <c r="A2943" s="967"/>
      <c r="B2943" s="967"/>
      <c r="C2943" s="1382" t="s">
        <v>179</v>
      </c>
      <c r="D2943" s="967"/>
      <c r="E2943" s="970">
        <f>'MINI SSR 2022-23'!C61</f>
        <v>247</v>
      </c>
      <c r="F2943" s="970">
        <f>E2943</f>
        <v>247</v>
      </c>
      <c r="G2943" s="924">
        <f>E2943</f>
        <v>247</v>
      </c>
      <c r="H2943" s="964" t="s">
        <v>2313</v>
      </c>
    </row>
    <row r="2944" spans="1:8" hidden="1">
      <c r="A2944" s="967"/>
      <c r="B2944" s="967"/>
      <c r="C2944" s="1382" t="s">
        <v>180</v>
      </c>
      <c r="D2944" s="967"/>
      <c r="E2944" s="970">
        <f>'MINI SSR 2022-23'!D61</f>
        <v>241</v>
      </c>
      <c r="F2944" s="970">
        <f>'MINI SSR 2022-23'!E61</f>
        <v>265</v>
      </c>
      <c r="G2944" s="970">
        <f>'MINI SSR 2022-23'!F61</f>
        <v>289</v>
      </c>
      <c r="H2944" s="964" t="s">
        <v>2313</v>
      </c>
    </row>
    <row r="2945" spans="1:8" ht="25.5" hidden="1">
      <c r="A2945" s="967"/>
      <c r="B2945" s="967"/>
      <c r="C2945" s="1382" t="s">
        <v>1289</v>
      </c>
      <c r="D2945" s="967"/>
      <c r="E2945" s="967"/>
      <c r="F2945" s="970">
        <f>ROUND(((G2919+G2920+G2921+F2944)*0.1),2)</f>
        <v>169.49</v>
      </c>
      <c r="G2945" s="972">
        <f>ROUND(((G2919+G2920+G2921+G2944)*0.2),2)</f>
        <v>343.77</v>
      </c>
      <c r="H2945" s="964" t="s">
        <v>2313</v>
      </c>
    </row>
    <row r="2946" spans="1:8" hidden="1">
      <c r="A2946" s="967"/>
      <c r="B2946" s="967"/>
      <c r="C2946" s="962" t="s">
        <v>181</v>
      </c>
      <c r="D2946" s="967"/>
      <c r="E2946" s="974">
        <f>SUM(E2942:E2945)</f>
        <v>1202.4000000000001</v>
      </c>
      <c r="F2946" s="974">
        <f>SUM(F2942:F2945)</f>
        <v>1395.89</v>
      </c>
      <c r="G2946" s="971">
        <f>SUM(G2942:G2945)</f>
        <v>1594.17</v>
      </c>
      <c r="H2946" s="964" t="s">
        <v>2313</v>
      </c>
    </row>
    <row r="2947" spans="1:8" hidden="1">
      <c r="A2947" s="967"/>
      <c r="B2947" s="967"/>
      <c r="C2947" s="962"/>
      <c r="D2947" s="967"/>
      <c r="E2947" s="966" t="s">
        <v>161</v>
      </c>
      <c r="F2947" s="966" t="s">
        <v>162</v>
      </c>
      <c r="G2947" s="974" t="s">
        <v>163</v>
      </c>
      <c r="H2947" s="964" t="s">
        <v>2313</v>
      </c>
    </row>
    <row r="2948" spans="1:8" hidden="1">
      <c r="A2948" s="967"/>
      <c r="B2948" s="967"/>
      <c r="C2948" s="962" t="s">
        <v>1291</v>
      </c>
      <c r="D2948" s="967"/>
      <c r="E2948" s="970">
        <f>G2926</f>
        <v>5715.1900000000005</v>
      </c>
      <c r="F2948" s="970">
        <f>G2926</f>
        <v>5715.1900000000005</v>
      </c>
      <c r="G2948" s="972">
        <f>G2926</f>
        <v>5715.1900000000005</v>
      </c>
      <c r="H2948" s="964" t="s">
        <v>2313</v>
      </c>
    </row>
    <row r="2949" spans="1:8" hidden="1">
      <c r="A2949" s="967"/>
      <c r="B2949" s="967"/>
      <c r="C2949" s="962" t="s">
        <v>1269</v>
      </c>
      <c r="D2949" s="967">
        <v>0.15</v>
      </c>
      <c r="E2949" s="970">
        <f>ROUND(E2948*0.15,2)</f>
        <v>857.28</v>
      </c>
      <c r="F2949" s="970">
        <f>ROUND(F2948*0.15,2)</f>
        <v>857.28</v>
      </c>
      <c r="G2949" s="972">
        <f>ROUND(G2948*0.15,2)</f>
        <v>857.28</v>
      </c>
      <c r="H2949" s="964" t="s">
        <v>2313</v>
      </c>
    </row>
    <row r="2950" spans="1:8" ht="25.5" hidden="1">
      <c r="A2950" s="967"/>
      <c r="B2950" s="967"/>
      <c r="C2950" s="1382" t="s">
        <v>179</v>
      </c>
      <c r="D2950" s="967"/>
      <c r="E2950" s="970">
        <f>E2943</f>
        <v>247</v>
      </c>
      <c r="F2950" s="970">
        <f>E2950</f>
        <v>247</v>
      </c>
      <c r="G2950" s="924">
        <f>E2950</f>
        <v>247</v>
      </c>
      <c r="H2950" s="964" t="s">
        <v>2313</v>
      </c>
    </row>
    <row r="2951" spans="1:8" hidden="1">
      <c r="A2951" s="967"/>
      <c r="B2951" s="967"/>
      <c r="C2951" s="1382" t="s">
        <v>180</v>
      </c>
      <c r="D2951" s="967"/>
      <c r="E2951" s="970">
        <f>E2944</f>
        <v>241</v>
      </c>
      <c r="F2951" s="970">
        <f>F2944</f>
        <v>265</v>
      </c>
      <c r="G2951" s="924">
        <f>G2944</f>
        <v>289</v>
      </c>
      <c r="H2951" s="964" t="s">
        <v>2313</v>
      </c>
    </row>
    <row r="2952" spans="1:8" ht="25.5" hidden="1">
      <c r="A2952" s="967"/>
      <c r="B2952" s="967"/>
      <c r="C2952" s="1382" t="s">
        <v>1289</v>
      </c>
      <c r="D2952" s="967"/>
      <c r="E2952" s="967"/>
      <c r="F2952" s="970">
        <f>ROUND(((G2919+G2920+G2921+F2951)*1)*0.1,2)</f>
        <v>169.49</v>
      </c>
      <c r="G2952" s="972">
        <f>ROUND(((G2919+G2920+G2921+G2951)*1)*0.2,2)</f>
        <v>343.77</v>
      </c>
      <c r="H2952" s="964" t="s">
        <v>2313</v>
      </c>
    </row>
    <row r="2953" spans="1:8" hidden="1">
      <c r="A2953" s="967"/>
      <c r="B2953" s="967"/>
      <c r="C2953" s="962" t="s">
        <v>181</v>
      </c>
      <c r="D2953" s="967"/>
      <c r="E2953" s="974">
        <f>SUM(E2949:E2952)</f>
        <v>1345.28</v>
      </c>
      <c r="F2953" s="974">
        <f>SUM(F2949:F2952)</f>
        <v>1538.77</v>
      </c>
      <c r="G2953" s="971">
        <f>SUM(G2949:G2952)</f>
        <v>1737.05</v>
      </c>
      <c r="H2953" s="964" t="s">
        <v>2313</v>
      </c>
    </row>
    <row r="2954" spans="1:8" hidden="1">
      <c r="A2954" s="967"/>
      <c r="B2954" s="967"/>
      <c r="C2954" s="962" t="s">
        <v>1292</v>
      </c>
      <c r="D2954" s="967"/>
      <c r="E2954" s="970">
        <f>G2926</f>
        <v>5715.1900000000005</v>
      </c>
      <c r="F2954" s="970">
        <f>G2926</f>
        <v>5715.1900000000005</v>
      </c>
      <c r="G2954" s="972">
        <f>G2926</f>
        <v>5715.1900000000005</v>
      </c>
      <c r="H2954" s="964" t="s">
        <v>2313</v>
      </c>
    </row>
    <row r="2955" spans="1:8" hidden="1">
      <c r="A2955" s="967"/>
      <c r="B2955" s="967"/>
      <c r="C2955" s="962" t="s">
        <v>1269</v>
      </c>
      <c r="D2955" s="973">
        <v>0.17499999999999999</v>
      </c>
      <c r="E2955" s="970">
        <f>ROUND(E2954*0.175,2)</f>
        <v>1000.16</v>
      </c>
      <c r="F2955" s="970">
        <f>ROUND(F2954*0.175,2)</f>
        <v>1000.16</v>
      </c>
      <c r="G2955" s="972">
        <f>ROUND(G2954*0.175,2)</f>
        <v>1000.16</v>
      </c>
      <c r="H2955" s="964" t="s">
        <v>2313</v>
      </c>
    </row>
    <row r="2956" spans="1:8" ht="25.5" hidden="1">
      <c r="A2956" s="967"/>
      <c r="B2956" s="967"/>
      <c r="C2956" s="1382" t="s">
        <v>183</v>
      </c>
      <c r="D2956" s="967"/>
      <c r="E2956" s="970">
        <f>'MINI SSR 2022-23'!C62</f>
        <v>254</v>
      </c>
      <c r="F2956" s="970">
        <f>E2956</f>
        <v>254</v>
      </c>
      <c r="G2956" s="924">
        <f>E2956</f>
        <v>254</v>
      </c>
      <c r="H2956" s="964" t="s">
        <v>2313</v>
      </c>
    </row>
    <row r="2957" spans="1:8" hidden="1">
      <c r="A2957" s="967"/>
      <c r="B2957" s="967"/>
      <c r="C2957" s="1382" t="s">
        <v>184</v>
      </c>
      <c r="D2957" s="967"/>
      <c r="E2957" s="970">
        <f>'MINI SSR 2022-23'!D62</f>
        <v>248</v>
      </c>
      <c r="F2957" s="970">
        <f>'MINI SSR 2022-23'!E62</f>
        <v>273</v>
      </c>
      <c r="G2957" s="970">
        <f>'MINI SSR 2022-23'!F62</f>
        <v>298</v>
      </c>
      <c r="H2957" s="964" t="s">
        <v>2313</v>
      </c>
    </row>
    <row r="2958" spans="1:8" ht="25.5" hidden="1">
      <c r="A2958" s="967"/>
      <c r="B2958" s="967"/>
      <c r="C2958" s="1382" t="s">
        <v>1289</v>
      </c>
      <c r="D2958" s="967"/>
      <c r="E2958" s="967"/>
      <c r="F2958" s="970">
        <f>ROUND(((G2919+G2920+G2921+F2957)*1)*0.1,2)</f>
        <v>170.29</v>
      </c>
      <c r="G2958" s="972">
        <f>ROUND(((G2919+G2920+G2921+G2957)*1)*0.2,2)</f>
        <v>345.57</v>
      </c>
      <c r="H2958" s="964" t="s">
        <v>2313</v>
      </c>
    </row>
    <row r="2959" spans="1:8" hidden="1">
      <c r="A2959" s="967"/>
      <c r="B2959" s="967"/>
      <c r="C2959" s="962" t="s">
        <v>181</v>
      </c>
      <c r="D2959" s="967"/>
      <c r="E2959" s="974">
        <f>SUM(E2955:E2958)</f>
        <v>1502.1599999999999</v>
      </c>
      <c r="F2959" s="974">
        <f>SUM(F2955:F2958)</f>
        <v>1697.4499999999998</v>
      </c>
      <c r="G2959" s="971">
        <f>SUM(G2955:G2958)</f>
        <v>1897.7299999999998</v>
      </c>
      <c r="H2959" s="964" t="s">
        <v>2313</v>
      </c>
    </row>
    <row r="2960" spans="1:8" hidden="1">
      <c r="A2960" s="967"/>
      <c r="B2960" s="967"/>
      <c r="C2960" s="962" t="s">
        <v>1293</v>
      </c>
      <c r="D2960" s="967"/>
      <c r="E2960" s="966" t="s">
        <v>161</v>
      </c>
      <c r="F2960" s="966" t="s">
        <v>162</v>
      </c>
      <c r="G2960" s="974" t="s">
        <v>163</v>
      </c>
      <c r="H2960" s="964" t="s">
        <v>2313</v>
      </c>
    </row>
    <row r="2961" spans="1:8" hidden="1">
      <c r="A2961" s="967"/>
      <c r="B2961" s="967"/>
      <c r="C2961" s="1382" t="s">
        <v>168</v>
      </c>
      <c r="D2961" s="967"/>
      <c r="E2961" s="970">
        <f>G2926</f>
        <v>5715.1900000000005</v>
      </c>
      <c r="F2961" s="970">
        <f>E2961</f>
        <v>5715.1900000000005</v>
      </c>
      <c r="G2961" s="969">
        <f>F2961</f>
        <v>5715.1900000000005</v>
      </c>
      <c r="H2961" s="964" t="s">
        <v>2313</v>
      </c>
    </row>
    <row r="2962" spans="1:8" hidden="1">
      <c r="A2962" s="967"/>
      <c r="B2962" s="967"/>
      <c r="C2962" s="1382" t="s">
        <v>169</v>
      </c>
      <c r="D2962" s="976">
        <v>0.05</v>
      </c>
      <c r="E2962" s="970">
        <f>ROUND(E2961*D2962,2)</f>
        <v>285.76</v>
      </c>
      <c r="F2962" s="970">
        <f>ROUND(F2961*D2962,2)</f>
        <v>285.76</v>
      </c>
      <c r="G2962" s="969">
        <f>ROUND(G2961*D2962,2)</f>
        <v>285.76</v>
      </c>
      <c r="H2962" s="964" t="s">
        <v>2313</v>
      </c>
    </row>
    <row r="2963" spans="1:8" ht="25.5" hidden="1">
      <c r="A2963" s="967"/>
      <c r="B2963" s="967"/>
      <c r="C2963" s="1382" t="s">
        <v>171</v>
      </c>
      <c r="D2963" s="970" t="s">
        <v>77</v>
      </c>
      <c r="E2963" s="970">
        <f>'MINI SSR 2022-23'!$C$59</f>
        <v>243</v>
      </c>
      <c r="F2963" s="970">
        <f>'MINI SSR 2022-23'!$C$59</f>
        <v>243</v>
      </c>
      <c r="G2963" s="970">
        <f>'MINI SSR 2022-23'!$C$59</f>
        <v>243</v>
      </c>
      <c r="H2963" s="964" t="s">
        <v>2313</v>
      </c>
    </row>
    <row r="2964" spans="1:8" hidden="1">
      <c r="A2964" s="967"/>
      <c r="B2964" s="967"/>
      <c r="C2964" s="1382" t="s">
        <v>172</v>
      </c>
      <c r="D2964" s="970" t="s">
        <v>77</v>
      </c>
      <c r="E2964" s="970">
        <f>'MINI SSR 2022-23'!$D$59</f>
        <v>264</v>
      </c>
      <c r="F2964" s="970">
        <f>'MINI SSR 2022-23'!$E$59</f>
        <v>290</v>
      </c>
      <c r="G2964" s="970">
        <f>'MINI SSR 2022-23'!$F$59</f>
        <v>317</v>
      </c>
      <c r="H2964" s="964" t="s">
        <v>2313</v>
      </c>
    </row>
    <row r="2965" spans="1:8" ht="25.5" hidden="1">
      <c r="A2965" s="967"/>
      <c r="B2965" s="967"/>
      <c r="C2965" s="1382" t="s">
        <v>170</v>
      </c>
      <c r="D2965" s="967"/>
      <c r="E2965" s="967"/>
      <c r="F2965" s="970">
        <f>ROUND(((G2919+G2920+G2921+F2964))*0.1,2)</f>
        <v>171.99</v>
      </c>
      <c r="G2965" s="972">
        <f>ROUND(((G2919+G2920+G2921+G2964))*0.1,2)</f>
        <v>174.69</v>
      </c>
      <c r="H2965" s="964" t="s">
        <v>2313</v>
      </c>
    </row>
    <row r="2966" spans="1:8" hidden="1">
      <c r="A2966" s="967"/>
      <c r="B2966" s="967"/>
      <c r="C2966" s="962" t="s">
        <v>175</v>
      </c>
      <c r="D2966" s="967"/>
      <c r="E2966" s="974">
        <f>SUM(E2962:E2965)</f>
        <v>792.76</v>
      </c>
      <c r="F2966" s="974">
        <f>SUM(F2962:F2965)</f>
        <v>990.75</v>
      </c>
      <c r="G2966" s="971">
        <f>SUM(G2962:G2965)</f>
        <v>1020.45</v>
      </c>
      <c r="H2966" s="964" t="s">
        <v>2313</v>
      </c>
    </row>
    <row r="2967" spans="1:8" hidden="1">
      <c r="A2967" s="896"/>
      <c r="B2967" s="966"/>
      <c r="C2967" s="962" t="s">
        <v>173</v>
      </c>
      <c r="D2967" s="967"/>
      <c r="E2967" s="967"/>
      <c r="F2967" s="967"/>
      <c r="G2967" s="972"/>
      <c r="H2967" s="964" t="s">
        <v>2313</v>
      </c>
    </row>
    <row r="2968" spans="1:8" hidden="1">
      <c r="A2968" s="967"/>
      <c r="B2968" s="967"/>
      <c r="C2968" s="962"/>
      <c r="D2968" s="967"/>
      <c r="E2968" s="966" t="s">
        <v>161</v>
      </c>
      <c r="F2968" s="966" t="s">
        <v>162</v>
      </c>
      <c r="G2968" s="974" t="s">
        <v>163</v>
      </c>
      <c r="H2968" s="964" t="s">
        <v>2313</v>
      </c>
    </row>
    <row r="2969" spans="1:8" hidden="1">
      <c r="A2969" s="967"/>
      <c r="B2969" s="967"/>
      <c r="C2969" s="1382" t="s">
        <v>174</v>
      </c>
      <c r="D2969" s="976"/>
      <c r="E2969" s="970">
        <f>E2961</f>
        <v>5715.1900000000005</v>
      </c>
      <c r="F2969" s="970">
        <f>F2961</f>
        <v>5715.1900000000005</v>
      </c>
      <c r="G2969" s="972">
        <f>G2961</f>
        <v>5715.1900000000005</v>
      </c>
      <c r="H2969" s="964" t="s">
        <v>2313</v>
      </c>
    </row>
    <row r="2970" spans="1:8" hidden="1">
      <c r="A2970" s="967"/>
      <c r="B2970" s="967"/>
      <c r="C2970" s="1382" t="s">
        <v>1270</v>
      </c>
      <c r="D2970" s="976">
        <v>3.7499999999999999E-2</v>
      </c>
      <c r="E2970" s="970">
        <f>ROUND(E2969*0.0375,2)</f>
        <v>214.32</v>
      </c>
      <c r="F2970" s="970">
        <f>ROUND(F2969*0.0375,2)</f>
        <v>214.32</v>
      </c>
      <c r="G2970" s="972">
        <f>ROUND(G2969*0.0375,2)</f>
        <v>214.32</v>
      </c>
      <c r="H2970" s="964" t="s">
        <v>2313</v>
      </c>
    </row>
    <row r="2971" spans="1:8" hidden="1">
      <c r="A2971" s="967"/>
      <c r="B2971" s="967"/>
      <c r="C2971" s="1382" t="s">
        <v>834</v>
      </c>
      <c r="D2971" s="970">
        <v>0.6</v>
      </c>
      <c r="E2971" s="970">
        <f>'MINI SSR 2022-23'!$C$59*D2971</f>
        <v>145.79999999999998</v>
      </c>
      <c r="F2971" s="970">
        <f>'MINI SSR 2022-23'!$C$59*D2971</f>
        <v>145.79999999999998</v>
      </c>
      <c r="G2971" s="970">
        <f>'MINI SSR 2022-23'!$C$59*D2971</f>
        <v>145.79999999999998</v>
      </c>
      <c r="H2971" s="964" t="s">
        <v>2313</v>
      </c>
    </row>
    <row r="2972" spans="1:8" hidden="1">
      <c r="A2972" s="967"/>
      <c r="B2972" s="967"/>
      <c r="C2972" s="1382" t="s">
        <v>835</v>
      </c>
      <c r="D2972" s="970">
        <v>0.6</v>
      </c>
      <c r="E2972" s="970">
        <f>'MINI SSR 2022-23'!$D$59*D2972</f>
        <v>158.4</v>
      </c>
      <c r="F2972" s="970">
        <f>'MINI SSR 2022-23'!$E$59*D2972</f>
        <v>174</v>
      </c>
      <c r="G2972" s="970">
        <f>'MINI SSR 2022-23'!$F$59*D2972</f>
        <v>190.2</v>
      </c>
      <c r="H2972" s="964" t="s">
        <v>2313</v>
      </c>
    </row>
    <row r="2973" spans="1:8" ht="25.5" hidden="1">
      <c r="A2973" s="967"/>
      <c r="B2973" s="967"/>
      <c r="C2973" s="1382" t="s">
        <v>170</v>
      </c>
      <c r="D2973" s="970">
        <v>0.6</v>
      </c>
      <c r="E2973" s="967"/>
      <c r="F2973" s="972">
        <f>ROUND(((G2919+G2920+G2921+F2972)*D2973)*0.1,2)</f>
        <v>96.23</v>
      </c>
      <c r="G2973" s="972">
        <f>ROUND(((G2919+G2920+G2921+G2972)*D2973)*0.2,2)</f>
        <v>194.41</v>
      </c>
      <c r="H2973" s="964" t="s">
        <v>2313</v>
      </c>
    </row>
    <row r="2974" spans="1:8" hidden="1">
      <c r="A2974" s="967"/>
      <c r="B2974" s="967"/>
      <c r="C2974" s="962" t="s">
        <v>176</v>
      </c>
      <c r="D2974" s="967"/>
      <c r="E2974" s="974">
        <f>SUM(E2970:E2973)</f>
        <v>518.52</v>
      </c>
      <c r="F2974" s="974">
        <f>SUM(F2970:F2973)</f>
        <v>630.35</v>
      </c>
      <c r="G2974" s="971">
        <f>SUM(G2970:G2973)</f>
        <v>744.7299999999999</v>
      </c>
      <c r="H2974" s="964" t="s">
        <v>2313</v>
      </c>
    </row>
    <row r="2975" spans="1:8" ht="191.25" hidden="1">
      <c r="A2975" s="896">
        <v>17</v>
      </c>
      <c r="B2975" s="966" t="s">
        <v>78</v>
      </c>
      <c r="C2975" s="1382" t="s">
        <v>1315</v>
      </c>
      <c r="D2975" s="967"/>
      <c r="E2975" s="967"/>
      <c r="F2975" s="967"/>
      <c r="G2975" s="966"/>
      <c r="H2975" s="964" t="s">
        <v>2313</v>
      </c>
    </row>
    <row r="2976" spans="1:8" hidden="1">
      <c r="A2976" s="896"/>
      <c r="B2976" s="966"/>
      <c r="C2976" s="962" t="s">
        <v>1210</v>
      </c>
      <c r="D2976" s="967"/>
      <c r="E2976" s="967"/>
      <c r="F2976" s="967"/>
      <c r="G2976" s="972"/>
      <c r="H2976" s="964" t="s">
        <v>2313</v>
      </c>
    </row>
    <row r="2977" spans="1:8" hidden="1">
      <c r="A2977" s="896"/>
      <c r="B2977" s="966"/>
      <c r="C2977" s="962" t="s">
        <v>60</v>
      </c>
      <c r="D2977" s="966"/>
      <c r="E2977" s="966"/>
      <c r="F2977" s="966"/>
      <c r="G2977" s="972"/>
      <c r="H2977" s="964" t="s">
        <v>2313</v>
      </c>
    </row>
    <row r="2978" spans="1:8" hidden="1">
      <c r="A2978" s="896"/>
      <c r="B2978" s="966"/>
      <c r="C2978" s="1382" t="s">
        <v>154</v>
      </c>
      <c r="D2978" s="967" t="s">
        <v>35</v>
      </c>
      <c r="E2978" s="970">
        <v>0.8</v>
      </c>
      <c r="F2978" s="970">
        <f>F2788</f>
        <v>2046.91</v>
      </c>
      <c r="G2978" s="969">
        <f>ROUND(E2978*F2978,2)</f>
        <v>1637.53</v>
      </c>
      <c r="H2978" s="964" t="s">
        <v>2313</v>
      </c>
    </row>
    <row r="2979" spans="1:8" hidden="1">
      <c r="A2979" s="896"/>
      <c r="B2979" s="966"/>
      <c r="C2979" s="1382" t="s">
        <v>112</v>
      </c>
      <c r="D2979" s="967" t="s">
        <v>35</v>
      </c>
      <c r="E2979" s="970">
        <v>0.4</v>
      </c>
      <c r="F2979" s="970">
        <f>'lead 22-23'!L13</f>
        <v>1720.9999999999998</v>
      </c>
      <c r="G2979" s="969">
        <f>ROUND(E2979*F2979,2)</f>
        <v>688.4</v>
      </c>
      <c r="H2979" s="964" t="s">
        <v>2313</v>
      </c>
    </row>
    <row r="2980" spans="1:8" hidden="1">
      <c r="A2980" s="967"/>
      <c r="B2980" s="967"/>
      <c r="C2980" s="1382" t="s">
        <v>33</v>
      </c>
      <c r="D2980" s="967" t="s">
        <v>4</v>
      </c>
      <c r="E2980" s="970">
        <f>E2917</f>
        <v>340</v>
      </c>
      <c r="F2980" s="970">
        <f>'lead 22-23'!L8</f>
        <v>4700</v>
      </c>
      <c r="G2980" s="969">
        <f>ROUND(E2980*F2980/1000,2)</f>
        <v>1598</v>
      </c>
      <c r="H2980" s="964" t="s">
        <v>2313</v>
      </c>
    </row>
    <row r="2981" spans="1:8" hidden="1">
      <c r="A2981" s="967"/>
      <c r="B2981" s="967"/>
      <c r="C2981" s="962" t="s">
        <v>68</v>
      </c>
      <c r="D2981" s="967"/>
      <c r="E2981" s="970"/>
      <c r="F2981" s="970"/>
      <c r="G2981" s="969"/>
      <c r="H2981" s="964" t="s">
        <v>2313</v>
      </c>
    </row>
    <row r="2982" spans="1:8" hidden="1">
      <c r="A2982" s="967"/>
      <c r="B2982" s="967"/>
      <c r="C2982" s="1382" t="s">
        <v>64</v>
      </c>
      <c r="D2982" s="967" t="s">
        <v>27</v>
      </c>
      <c r="E2982" s="973">
        <v>6.7000000000000004E-2</v>
      </c>
      <c r="F2982" s="970">
        <f>'MINI SSR 2022-23'!$H$3</f>
        <v>630</v>
      </c>
      <c r="G2982" s="969">
        <f>ROUND(E2982*F2982,2)</f>
        <v>42.21</v>
      </c>
      <c r="H2982" s="964" t="s">
        <v>2313</v>
      </c>
    </row>
    <row r="2983" spans="1:8" hidden="1">
      <c r="A2983" s="967"/>
      <c r="B2983" s="967"/>
      <c r="C2983" s="1382" t="s">
        <v>69</v>
      </c>
      <c r="D2983" s="967" t="s">
        <v>27</v>
      </c>
      <c r="E2983" s="973">
        <v>0.13300000000000001</v>
      </c>
      <c r="F2983" s="970">
        <f>'MINI SSR 2022-23'!$H$4</f>
        <v>565</v>
      </c>
      <c r="G2983" s="969">
        <f>ROUND(E2983*F2983,2)</f>
        <v>75.150000000000006</v>
      </c>
      <c r="H2983" s="964" t="s">
        <v>2313</v>
      </c>
    </row>
    <row r="2984" spans="1:8" hidden="1">
      <c r="A2984" s="967"/>
      <c r="B2984" s="967"/>
      <c r="C2984" s="1382" t="s">
        <v>70</v>
      </c>
      <c r="D2984" s="967" t="s">
        <v>27</v>
      </c>
      <c r="E2984" s="973">
        <v>2.5</v>
      </c>
      <c r="F2984" s="970">
        <f>'MINI SSR 2022-23'!H$5</f>
        <v>525</v>
      </c>
      <c r="G2984" s="969">
        <f>ROUND(E2984*F2984,2)</f>
        <v>1312.5</v>
      </c>
      <c r="H2984" s="964" t="s">
        <v>2313</v>
      </c>
    </row>
    <row r="2985" spans="1:8" hidden="1">
      <c r="A2985" s="967"/>
      <c r="B2985" s="967"/>
      <c r="C2985" s="962" t="s">
        <v>61</v>
      </c>
      <c r="D2985" s="967"/>
      <c r="E2985" s="970"/>
      <c r="F2985" s="970"/>
      <c r="G2985" s="969"/>
      <c r="H2985" s="964" t="s">
        <v>2313</v>
      </c>
    </row>
    <row r="2986" spans="1:8" hidden="1">
      <c r="A2986" s="967"/>
      <c r="B2986" s="967"/>
      <c r="C2986" s="1382" t="s">
        <v>62</v>
      </c>
      <c r="D2986" s="967" t="s">
        <v>21</v>
      </c>
      <c r="E2986" s="973">
        <v>0.26700000000000002</v>
      </c>
      <c r="F2986" s="970">
        <f>'MINI SSR 2022-23'!$C$30</f>
        <v>667.5</v>
      </c>
      <c r="G2986" s="969">
        <f>ROUND(E2986*F2986,2)</f>
        <v>178.22</v>
      </c>
      <c r="H2986" s="964" t="s">
        <v>2313</v>
      </c>
    </row>
    <row r="2987" spans="1:8" hidden="1">
      <c r="A2987" s="967"/>
      <c r="B2987" s="967"/>
      <c r="C2987" s="1382" t="s">
        <v>57</v>
      </c>
      <c r="D2987" s="967" t="s">
        <v>58</v>
      </c>
      <c r="E2987" s="970">
        <v>1.2</v>
      </c>
      <c r="F2987" s="922">
        <f>'MINI SSR 2022-23'!$C$29</f>
        <v>95</v>
      </c>
      <c r="G2987" s="969">
        <f>ROUND(E2987*F2987,2)</f>
        <v>114</v>
      </c>
      <c r="H2987" s="964" t="s">
        <v>2313</v>
      </c>
    </row>
    <row r="2988" spans="1:8" hidden="1">
      <c r="A2988" s="967"/>
      <c r="B2988" s="967"/>
      <c r="C2988" s="962" t="s">
        <v>71</v>
      </c>
      <c r="D2988" s="967"/>
      <c r="E2988" s="967"/>
      <c r="F2988" s="967"/>
      <c r="G2988" s="971">
        <f>SUM(G2978:G2987)+0.01</f>
        <v>5646.02</v>
      </c>
      <c r="H2988" s="964" t="s">
        <v>2313</v>
      </c>
    </row>
    <row r="2989" spans="1:8" hidden="1">
      <c r="A2989" s="967"/>
      <c r="B2989" s="967"/>
      <c r="C2989" s="962"/>
      <c r="D2989" s="967"/>
      <c r="E2989" s="966" t="s">
        <v>161</v>
      </c>
      <c r="F2989" s="966" t="s">
        <v>162</v>
      </c>
      <c r="G2989" s="974" t="s">
        <v>163</v>
      </c>
      <c r="H2989" s="964" t="s">
        <v>2313</v>
      </c>
    </row>
    <row r="2990" spans="1:8" hidden="1">
      <c r="A2990" s="967"/>
      <c r="B2990" s="967"/>
      <c r="C2990" s="962" t="s">
        <v>1294</v>
      </c>
      <c r="D2990" s="967"/>
      <c r="E2990" s="970">
        <f>G2988</f>
        <v>5646.02</v>
      </c>
      <c r="F2990" s="970">
        <f>G2988</f>
        <v>5646.02</v>
      </c>
      <c r="G2990" s="972">
        <f>G2988</f>
        <v>5646.02</v>
      </c>
      <c r="H2990" s="964" t="s">
        <v>2313</v>
      </c>
    </row>
    <row r="2991" spans="1:8" hidden="1">
      <c r="A2991" s="967"/>
      <c r="B2991" s="967"/>
      <c r="C2991" s="962" t="s">
        <v>1271</v>
      </c>
      <c r="D2991" s="970">
        <v>0.05</v>
      </c>
      <c r="E2991" s="970">
        <f>ROUND(E2990*D2991,2)</f>
        <v>282.3</v>
      </c>
      <c r="F2991" s="970">
        <f>ROUND(F2990*D2991,2)</f>
        <v>282.3</v>
      </c>
      <c r="G2991" s="972">
        <f>ROUND(G2990*D2991,2)</f>
        <v>282.3</v>
      </c>
      <c r="H2991" s="964" t="s">
        <v>2313</v>
      </c>
    </row>
    <row r="2992" spans="1:8" ht="25.5" hidden="1">
      <c r="A2992" s="967"/>
      <c r="B2992" s="967"/>
      <c r="C2992" s="1382" t="s">
        <v>1211</v>
      </c>
      <c r="D2992" s="967"/>
      <c r="E2992" s="970">
        <f>E2936*50%</f>
        <v>123.5</v>
      </c>
      <c r="F2992" s="970">
        <f>E2992</f>
        <v>123.5</v>
      </c>
      <c r="G2992" s="924">
        <f>E2992</f>
        <v>123.5</v>
      </c>
      <c r="H2992" s="964" t="s">
        <v>2313</v>
      </c>
    </row>
    <row r="2993" spans="1:8" ht="25.5" hidden="1">
      <c r="A2993" s="967"/>
      <c r="B2993" s="967"/>
      <c r="C2993" s="1382" t="s">
        <v>1212</v>
      </c>
      <c r="D2993" s="967"/>
      <c r="E2993" s="970">
        <f>E2937*50%</f>
        <v>120.5</v>
      </c>
      <c r="F2993" s="970">
        <f>F2937*50%</f>
        <v>132.5</v>
      </c>
      <c r="G2993" s="972">
        <f>G2937*50%</f>
        <v>144.5</v>
      </c>
      <c r="H2993" s="964" t="s">
        <v>2313</v>
      </c>
    </row>
    <row r="2994" spans="1:8" ht="25.5" hidden="1">
      <c r="A2994" s="967"/>
      <c r="B2994" s="967"/>
      <c r="C2994" s="1382" t="s">
        <v>1289</v>
      </c>
      <c r="D2994" s="967"/>
      <c r="E2994" s="967"/>
      <c r="F2994" s="970">
        <f>ROUND(((G2982+G2983+G2984+F2993)*0.1),2)</f>
        <v>156.24</v>
      </c>
      <c r="G2994" s="970">
        <f>ROUND(((G2982+G2983+G2984+G2993)*0.2),2)</f>
        <v>314.87</v>
      </c>
      <c r="H2994" s="964" t="s">
        <v>2313</v>
      </c>
    </row>
    <row r="2995" spans="1:8" hidden="1">
      <c r="A2995" s="967"/>
      <c r="B2995" s="967"/>
      <c r="C2995" s="962" t="s">
        <v>181</v>
      </c>
      <c r="D2995" s="967"/>
      <c r="E2995" s="974">
        <f>SUM(E2991:E2994)</f>
        <v>526.29999999999995</v>
      </c>
      <c r="F2995" s="974">
        <f>SUM(F2991:F2994)</f>
        <v>694.54</v>
      </c>
      <c r="G2995" s="971">
        <f>SUM(G2991:G2994)</f>
        <v>865.17</v>
      </c>
      <c r="H2995" s="964" t="s">
        <v>2313</v>
      </c>
    </row>
    <row r="2996" spans="1:8" hidden="1">
      <c r="A2996" s="967"/>
      <c r="B2996" s="967"/>
      <c r="C2996" s="962"/>
      <c r="D2996" s="967"/>
      <c r="E2996" s="966" t="s">
        <v>161</v>
      </c>
      <c r="F2996" s="966" t="s">
        <v>162</v>
      </c>
      <c r="G2996" s="974" t="s">
        <v>163</v>
      </c>
      <c r="H2996" s="964" t="s">
        <v>2313</v>
      </c>
    </row>
    <row r="2997" spans="1:8" hidden="1">
      <c r="A2997" s="967"/>
      <c r="B2997" s="967"/>
      <c r="C2997" s="962" t="s">
        <v>1295</v>
      </c>
      <c r="D2997" s="967"/>
      <c r="E2997" s="970">
        <f>G2988</f>
        <v>5646.02</v>
      </c>
      <c r="F2997" s="970">
        <f>E2997</f>
        <v>5646.02</v>
      </c>
      <c r="G2997" s="972">
        <f>F2997</f>
        <v>5646.02</v>
      </c>
      <c r="H2997" s="964" t="s">
        <v>2313</v>
      </c>
    </row>
    <row r="2998" spans="1:8" hidden="1">
      <c r="A2998" s="967"/>
      <c r="B2998" s="967"/>
      <c r="C2998" s="962" t="s">
        <v>1271</v>
      </c>
      <c r="D2998" s="973">
        <v>2.5000000000000001E-2</v>
      </c>
      <c r="E2998" s="970">
        <f>ROUND(E2997*D2998,2)</f>
        <v>141.15</v>
      </c>
      <c r="F2998" s="970">
        <f>ROUND(F2997*D2998,2)</f>
        <v>141.15</v>
      </c>
      <c r="G2998" s="972">
        <f>ROUND(G2997*D2998,2)</f>
        <v>141.15</v>
      </c>
      <c r="H2998" s="964" t="s">
        <v>2313</v>
      </c>
    </row>
    <row r="2999" spans="1:8" ht="25.5" hidden="1">
      <c r="A2999" s="967"/>
      <c r="B2999" s="967"/>
      <c r="C2999" s="1382" t="s">
        <v>1211</v>
      </c>
      <c r="D2999" s="967"/>
      <c r="E2999" s="970">
        <f>E2943*50%</f>
        <v>123.5</v>
      </c>
      <c r="F2999" s="970">
        <f>E2999</f>
        <v>123.5</v>
      </c>
      <c r="G2999" s="924">
        <f>E2999</f>
        <v>123.5</v>
      </c>
      <c r="H2999" s="964" t="s">
        <v>2313</v>
      </c>
    </row>
    <row r="3000" spans="1:8" ht="25.5" hidden="1">
      <c r="A3000" s="967"/>
      <c r="B3000" s="967"/>
      <c r="C3000" s="1382" t="s">
        <v>1212</v>
      </c>
      <c r="D3000" s="967"/>
      <c r="E3000" s="970">
        <f>E2944*50%</f>
        <v>120.5</v>
      </c>
      <c r="F3000" s="970">
        <f>F2944*50%</f>
        <v>132.5</v>
      </c>
      <c r="G3000" s="972">
        <f>G2944*50%</f>
        <v>144.5</v>
      </c>
      <c r="H3000" s="964" t="s">
        <v>2313</v>
      </c>
    </row>
    <row r="3001" spans="1:8" ht="25.5" hidden="1">
      <c r="A3001" s="967"/>
      <c r="B3001" s="967"/>
      <c r="C3001" s="1382" t="s">
        <v>1289</v>
      </c>
      <c r="D3001" s="967"/>
      <c r="E3001" s="967"/>
      <c r="F3001" s="970">
        <f>ROUND(((G2982+G2983+G2984+F3000)*0.1),2)</f>
        <v>156.24</v>
      </c>
      <c r="G3001" s="970">
        <f>ROUND(((G2982+G2983+G2984+G3000)*0.2),2)</f>
        <v>314.87</v>
      </c>
      <c r="H3001" s="964" t="s">
        <v>2313</v>
      </c>
    </row>
    <row r="3002" spans="1:8" hidden="1">
      <c r="A3002" s="967"/>
      <c r="B3002" s="967"/>
      <c r="C3002" s="962" t="s">
        <v>181</v>
      </c>
      <c r="D3002" s="967"/>
      <c r="E3002" s="974">
        <f>SUM(E2998:E3001)</f>
        <v>385.15</v>
      </c>
      <c r="F3002" s="974">
        <f>SUM(F2998:F3001)</f>
        <v>553.39</v>
      </c>
      <c r="G3002" s="971">
        <f>SUM(G2998:G3001)</f>
        <v>724.02</v>
      </c>
      <c r="H3002" s="964" t="s">
        <v>2313</v>
      </c>
    </row>
    <row r="3003" spans="1:8" ht="127.5" hidden="1">
      <c r="A3003" s="896">
        <v>18</v>
      </c>
      <c r="B3003" s="966"/>
      <c r="C3003" s="1382" t="s">
        <v>315</v>
      </c>
      <c r="D3003" s="967"/>
      <c r="E3003" s="967"/>
      <c r="F3003" s="967"/>
      <c r="G3003" s="966"/>
      <c r="H3003" s="964" t="s">
        <v>2313</v>
      </c>
    </row>
    <row r="3004" spans="1:8" hidden="1">
      <c r="A3004" s="896"/>
      <c r="B3004" s="966"/>
      <c r="C3004" s="962" t="s">
        <v>314</v>
      </c>
      <c r="D3004" s="967"/>
      <c r="E3004" s="967"/>
      <c r="F3004" s="967"/>
      <c r="G3004" s="972"/>
      <c r="H3004" s="964" t="s">
        <v>2313</v>
      </c>
    </row>
    <row r="3005" spans="1:8" hidden="1">
      <c r="A3005" s="896"/>
      <c r="B3005" s="966"/>
      <c r="C3005" s="962" t="s">
        <v>60</v>
      </c>
      <c r="D3005" s="966"/>
      <c r="E3005" s="966"/>
      <c r="F3005" s="966"/>
      <c r="G3005" s="972"/>
      <c r="H3005" s="964" t="s">
        <v>2313</v>
      </c>
    </row>
    <row r="3006" spans="1:8" hidden="1">
      <c r="A3006" s="896"/>
      <c r="B3006" s="966"/>
      <c r="C3006" s="1382" t="s">
        <v>154</v>
      </c>
      <c r="D3006" s="967" t="s">
        <v>35</v>
      </c>
      <c r="E3006" s="970">
        <v>0.8</v>
      </c>
      <c r="F3006" s="970">
        <f>F2915</f>
        <v>2046.91</v>
      </c>
      <c r="G3006" s="969">
        <f>ROUND(E3006*F3006,2)</f>
        <v>1637.53</v>
      </c>
      <c r="H3006" s="964" t="s">
        <v>2313</v>
      </c>
    </row>
    <row r="3007" spans="1:8" hidden="1">
      <c r="A3007" s="896"/>
      <c r="B3007" s="966"/>
      <c r="C3007" s="1382" t="s">
        <v>112</v>
      </c>
      <c r="D3007" s="967" t="s">
        <v>35</v>
      </c>
      <c r="E3007" s="970">
        <v>0.4</v>
      </c>
      <c r="F3007" s="970">
        <f>F2916</f>
        <v>1720.9999999999998</v>
      </c>
      <c r="G3007" s="969">
        <f>ROUND(E3007*F3007,2)</f>
        <v>688.4</v>
      </c>
      <c r="H3007" s="964" t="s">
        <v>2313</v>
      </c>
    </row>
    <row r="3008" spans="1:8" hidden="1">
      <c r="A3008" s="967"/>
      <c r="B3008" s="967"/>
      <c r="C3008" s="1382" t="s">
        <v>33</v>
      </c>
      <c r="D3008" s="967" t="s">
        <v>4</v>
      </c>
      <c r="E3008" s="970">
        <f>E2980</f>
        <v>340</v>
      </c>
      <c r="F3008" s="970">
        <f>F2917</f>
        <v>4700</v>
      </c>
      <c r="G3008" s="969">
        <f>ROUND(E3008*F3008/1000,2)</f>
        <v>1598</v>
      </c>
      <c r="H3008" s="964" t="s">
        <v>2313</v>
      </c>
    </row>
    <row r="3009" spans="1:8" hidden="1">
      <c r="A3009" s="967"/>
      <c r="B3009" s="967"/>
      <c r="C3009" s="962" t="s">
        <v>68</v>
      </c>
      <c r="D3009" s="967"/>
      <c r="E3009" s="970"/>
      <c r="F3009" s="970"/>
      <c r="G3009" s="969"/>
      <c r="H3009" s="964" t="s">
        <v>2313</v>
      </c>
    </row>
    <row r="3010" spans="1:8" hidden="1">
      <c r="A3010" s="967"/>
      <c r="B3010" s="967"/>
      <c r="C3010" s="1382" t="s">
        <v>64</v>
      </c>
      <c r="D3010" s="967" t="s">
        <v>27</v>
      </c>
      <c r="E3010" s="973">
        <v>0.1</v>
      </c>
      <c r="F3010" s="970">
        <f>'MINI SSR 2022-23'!$H$3</f>
        <v>630</v>
      </c>
      <c r="G3010" s="969">
        <f>ROUND(E3010*F3010,2)</f>
        <v>63</v>
      </c>
      <c r="H3010" s="964" t="s">
        <v>2313</v>
      </c>
    </row>
    <row r="3011" spans="1:8" hidden="1">
      <c r="A3011" s="967"/>
      <c r="B3011" s="967"/>
      <c r="C3011" s="1382" t="s">
        <v>69</v>
      </c>
      <c r="D3011" s="967" t="s">
        <v>27</v>
      </c>
      <c r="E3011" s="973">
        <v>1.39</v>
      </c>
      <c r="F3011" s="970">
        <f>'MINI SSR 2022-23'!$H$4</f>
        <v>565</v>
      </c>
      <c r="G3011" s="969">
        <f>ROUND(E3011*F3011,2)</f>
        <v>785.35</v>
      </c>
      <c r="H3011" s="964" t="s">
        <v>2313</v>
      </c>
    </row>
    <row r="3012" spans="1:8" hidden="1">
      <c r="A3012" s="967"/>
      <c r="B3012" s="967"/>
      <c r="C3012" s="962" t="s">
        <v>61</v>
      </c>
      <c r="D3012" s="967"/>
      <c r="E3012" s="970"/>
      <c r="F3012" s="970"/>
      <c r="G3012" s="969"/>
      <c r="H3012" s="964" t="s">
        <v>2313</v>
      </c>
    </row>
    <row r="3013" spans="1:8" hidden="1">
      <c r="A3013" s="967"/>
      <c r="B3013" s="967"/>
      <c r="C3013" s="1382" t="s">
        <v>62</v>
      </c>
      <c r="D3013" s="967" t="s">
        <v>21</v>
      </c>
      <c r="E3013" s="973">
        <v>0.308</v>
      </c>
      <c r="F3013" s="970">
        <f>'MINI SSR 2022-23'!$C$30</f>
        <v>667.5</v>
      </c>
      <c r="G3013" s="969">
        <f>ROUND(E3013*F3013,2)</f>
        <v>205.59</v>
      </c>
      <c r="H3013" s="964" t="s">
        <v>2313</v>
      </c>
    </row>
    <row r="3014" spans="1:8" hidden="1">
      <c r="A3014" s="967"/>
      <c r="B3014" s="967"/>
      <c r="C3014" s="1382" t="s">
        <v>160</v>
      </c>
      <c r="D3014" s="967" t="s">
        <v>21</v>
      </c>
      <c r="E3014" s="973">
        <v>0.308</v>
      </c>
      <c r="F3014" s="970">
        <f>'MINI SSR 2022-23'!$C$31</f>
        <v>259.10000000000002</v>
      </c>
      <c r="G3014" s="969">
        <f>ROUND(E3014*F3014,2)</f>
        <v>79.8</v>
      </c>
      <c r="H3014" s="964" t="s">
        <v>2313</v>
      </c>
    </row>
    <row r="3015" spans="1:8" hidden="1">
      <c r="A3015" s="967"/>
      <c r="B3015" s="967"/>
      <c r="C3015" s="1382" t="s">
        <v>57</v>
      </c>
      <c r="D3015" s="967" t="s">
        <v>58</v>
      </c>
      <c r="E3015" s="970">
        <v>1.2</v>
      </c>
      <c r="F3015" s="922">
        <f>'MINI SSR 2022-23'!$C$29</f>
        <v>95</v>
      </c>
      <c r="G3015" s="969">
        <f>ROUND(E3015*F3015,2)</f>
        <v>114</v>
      </c>
      <c r="H3015" s="964" t="s">
        <v>2313</v>
      </c>
    </row>
    <row r="3016" spans="1:8" hidden="1">
      <c r="A3016" s="967"/>
      <c r="B3016" s="967"/>
      <c r="C3016" s="962" t="s">
        <v>71</v>
      </c>
      <c r="D3016" s="967"/>
      <c r="E3016" s="967"/>
      <c r="F3016" s="967"/>
      <c r="G3016" s="971">
        <f>SUM(G3006:G3015)</f>
        <v>5171.67</v>
      </c>
      <c r="H3016" s="964" t="s">
        <v>2313</v>
      </c>
    </row>
    <row r="3017" spans="1:8" hidden="1">
      <c r="A3017" s="967"/>
      <c r="B3017" s="967"/>
      <c r="C3017" s="962"/>
      <c r="D3017" s="967"/>
      <c r="E3017" s="966" t="s">
        <v>161</v>
      </c>
      <c r="F3017" s="966" t="s">
        <v>162</v>
      </c>
      <c r="G3017" s="966" t="s">
        <v>162</v>
      </c>
      <c r="H3017" s="964" t="s">
        <v>2313</v>
      </c>
    </row>
    <row r="3018" spans="1:8" hidden="1">
      <c r="A3018" s="967"/>
      <c r="B3018" s="967"/>
      <c r="C3018" s="962" t="s">
        <v>1296</v>
      </c>
      <c r="D3018" s="967"/>
      <c r="E3018" s="970">
        <f>G3016</f>
        <v>5171.67</v>
      </c>
      <c r="F3018" s="970">
        <f>G3016</f>
        <v>5171.67</v>
      </c>
      <c r="G3018" s="970">
        <f>F3018</f>
        <v>5171.67</v>
      </c>
      <c r="H3018" s="964" t="s">
        <v>2313</v>
      </c>
    </row>
    <row r="3019" spans="1:8" ht="25.5" hidden="1">
      <c r="A3019" s="967"/>
      <c r="B3019" s="967"/>
      <c r="C3019" s="1382" t="s">
        <v>177</v>
      </c>
      <c r="D3019" s="967"/>
      <c r="E3019" s="970">
        <f>'MINI SSR 2022-23'!C53</f>
        <v>67</v>
      </c>
      <c r="F3019" s="970">
        <f>E3019</f>
        <v>67</v>
      </c>
      <c r="G3019" s="970">
        <f>F3019</f>
        <v>67</v>
      </c>
      <c r="H3019" s="964" t="s">
        <v>2313</v>
      </c>
    </row>
    <row r="3020" spans="1:8" hidden="1">
      <c r="A3020" s="967"/>
      <c r="B3020" s="967"/>
      <c r="C3020" s="1382" t="s">
        <v>178</v>
      </c>
      <c r="D3020" s="967"/>
      <c r="E3020" s="970">
        <f>'MINI SSR 2022-23'!D53</f>
        <v>363</v>
      </c>
      <c r="F3020" s="970">
        <f>E3020</f>
        <v>363</v>
      </c>
      <c r="G3020" s="970">
        <f>F3020</f>
        <v>363</v>
      </c>
      <c r="H3020" s="964" t="s">
        <v>2313</v>
      </c>
    </row>
    <row r="3021" spans="1:8" ht="25.5" hidden="1">
      <c r="A3021" s="967"/>
      <c r="B3021" s="967"/>
      <c r="C3021" s="1382" t="s">
        <v>1285</v>
      </c>
      <c r="D3021" s="967"/>
      <c r="E3021" s="967"/>
      <c r="F3021" s="970">
        <f>ROUND((G3010+G3011+F3020)*0.1,2)</f>
        <v>121.14</v>
      </c>
      <c r="G3021" s="970">
        <f>ROUND((G3010+G3011+G3020)*0.2,2)</f>
        <v>242.27</v>
      </c>
      <c r="H3021" s="964" t="s">
        <v>2313</v>
      </c>
    </row>
    <row r="3022" spans="1:8" hidden="1">
      <c r="A3022" s="967"/>
      <c r="B3022" s="967"/>
      <c r="C3022" s="962" t="s">
        <v>182</v>
      </c>
      <c r="D3022" s="967"/>
      <c r="E3022" s="974">
        <f>SUM(E3018:E3021)</f>
        <v>5601.67</v>
      </c>
      <c r="F3022" s="974">
        <f>SUM(F3018:F3021)</f>
        <v>5722.81</v>
      </c>
      <c r="G3022" s="974">
        <f>SUM(G3018:G3021)</f>
        <v>5843.9400000000005</v>
      </c>
      <c r="H3022" s="964" t="s">
        <v>2313</v>
      </c>
    </row>
    <row r="3023" spans="1:8" ht="127.5" hidden="1">
      <c r="A3023" s="896">
        <v>18</v>
      </c>
      <c r="B3023" s="966" t="s">
        <v>1326</v>
      </c>
      <c r="C3023" s="1382" t="s">
        <v>1327</v>
      </c>
      <c r="D3023" s="967"/>
      <c r="E3023" s="967"/>
      <c r="F3023" s="967"/>
      <c r="G3023" s="966"/>
      <c r="H3023" s="964" t="s">
        <v>2313</v>
      </c>
    </row>
    <row r="3024" spans="1:8" hidden="1">
      <c r="A3024" s="896"/>
      <c r="B3024" s="966"/>
      <c r="C3024" s="962" t="s">
        <v>36</v>
      </c>
      <c r="D3024" s="967"/>
      <c r="E3024" s="967"/>
      <c r="F3024" s="967"/>
      <c r="G3024" s="902"/>
      <c r="H3024" s="964" t="s">
        <v>2313</v>
      </c>
    </row>
    <row r="3025" spans="1:8" hidden="1">
      <c r="A3025" s="896"/>
      <c r="B3025" s="967"/>
      <c r="C3025" s="962" t="s">
        <v>40</v>
      </c>
      <c r="D3025" s="967"/>
      <c r="E3025" s="967"/>
      <c r="F3025" s="967"/>
      <c r="G3025" s="902"/>
      <c r="H3025" s="964" t="s">
        <v>2313</v>
      </c>
    </row>
    <row r="3026" spans="1:8" hidden="1">
      <c r="A3026" s="896"/>
      <c r="B3026" s="968" t="s">
        <v>18</v>
      </c>
      <c r="C3026" s="962" t="s">
        <v>22</v>
      </c>
      <c r="D3026" s="967"/>
      <c r="E3026" s="967"/>
      <c r="F3026" s="967"/>
      <c r="G3026" s="902"/>
      <c r="H3026" s="964" t="s">
        <v>2313</v>
      </c>
    </row>
    <row r="3027" spans="1:8" hidden="1">
      <c r="A3027" s="902"/>
      <c r="B3027" s="902"/>
      <c r="C3027" s="1382" t="s">
        <v>37</v>
      </c>
      <c r="D3027" s="922" t="s">
        <v>34</v>
      </c>
      <c r="E3027" s="977">
        <v>1.05</v>
      </c>
      <c r="F3027" s="922">
        <f>'lead 22-23'!L9</f>
        <v>75520</v>
      </c>
      <c r="G3027" s="969">
        <f>ROUND(E3027*F3027,2)</f>
        <v>79296</v>
      </c>
      <c r="H3027" s="964" t="s">
        <v>2313</v>
      </c>
    </row>
    <row r="3028" spans="1:8" hidden="1">
      <c r="A3028" s="902"/>
      <c r="B3028" s="902"/>
      <c r="C3028" s="1382" t="s">
        <v>38</v>
      </c>
      <c r="D3028" s="896" t="s">
        <v>4</v>
      </c>
      <c r="E3028" s="922">
        <v>6</v>
      </c>
      <c r="F3028" s="922">
        <f>'MINI SSR 2022-23'!C32</f>
        <v>70</v>
      </c>
      <c r="G3028" s="969">
        <f>ROUND(E3028*F3028,2)</f>
        <v>420</v>
      </c>
      <c r="H3028" s="964" t="s">
        <v>2313</v>
      </c>
    </row>
    <row r="3029" spans="1:8" ht="25.5" hidden="1">
      <c r="A3029" s="902"/>
      <c r="B3029" s="968" t="s">
        <v>20</v>
      </c>
      <c r="C3029" s="962" t="s">
        <v>1272</v>
      </c>
      <c r="D3029" s="896"/>
      <c r="E3029" s="896"/>
      <c r="F3029" s="896"/>
      <c r="G3029" s="902"/>
      <c r="H3029" s="964" t="s">
        <v>2313</v>
      </c>
    </row>
    <row r="3030" spans="1:8" hidden="1">
      <c r="A3030" s="902"/>
      <c r="B3030" s="902"/>
      <c r="C3030" s="1382" t="s">
        <v>120</v>
      </c>
      <c r="D3030" s="896" t="s">
        <v>27</v>
      </c>
      <c r="E3030" s="922">
        <v>10</v>
      </c>
      <c r="F3030" s="922">
        <f>'MINI SSR 2022-23'!H6</f>
        <v>750</v>
      </c>
      <c r="G3030" s="969">
        <f>ROUND(E3030*F3030,2)</f>
        <v>7500</v>
      </c>
      <c r="H3030" s="964" t="s">
        <v>2313</v>
      </c>
    </row>
    <row r="3031" spans="1:8" hidden="1">
      <c r="A3031" s="902"/>
      <c r="B3031" s="902"/>
      <c r="C3031" s="1382" t="s">
        <v>19</v>
      </c>
      <c r="D3031" s="896" t="s">
        <v>27</v>
      </c>
      <c r="E3031" s="922">
        <v>10</v>
      </c>
      <c r="F3031" s="922">
        <f>'MINI SSR 2022-23'!$H$5</f>
        <v>525</v>
      </c>
      <c r="G3031" s="969">
        <f>ROUND(E3031*F3031,2)</f>
        <v>5250</v>
      </c>
      <c r="H3031" s="964" t="s">
        <v>2313</v>
      </c>
    </row>
    <row r="3032" spans="1:8" hidden="1">
      <c r="A3032" s="902"/>
      <c r="B3032" s="902"/>
      <c r="C3032" s="962" t="s">
        <v>39</v>
      </c>
      <c r="D3032" s="896"/>
      <c r="E3032" s="922"/>
      <c r="F3032" s="922"/>
      <c r="G3032" s="963">
        <f>SUM(G3027:G3031)</f>
        <v>92466</v>
      </c>
      <c r="H3032" s="964" t="s">
        <v>2313</v>
      </c>
    </row>
    <row r="3033" spans="1:8" hidden="1">
      <c r="A3033" s="967"/>
      <c r="B3033" s="967"/>
      <c r="C3033" s="962"/>
      <c r="D3033" s="967"/>
      <c r="E3033" s="966" t="s">
        <v>161</v>
      </c>
      <c r="F3033" s="974" t="s">
        <v>162</v>
      </c>
      <c r="G3033" s="974" t="s">
        <v>163</v>
      </c>
      <c r="H3033" s="964" t="s">
        <v>2313</v>
      </c>
    </row>
    <row r="3034" spans="1:8" hidden="1">
      <c r="A3034" s="967"/>
      <c r="B3034" s="967"/>
      <c r="C3034" s="962" t="s">
        <v>867</v>
      </c>
      <c r="D3034" s="967"/>
      <c r="E3034" s="970">
        <f>G3032</f>
        <v>92466</v>
      </c>
      <c r="F3034" s="972">
        <f>E3034</f>
        <v>92466</v>
      </c>
      <c r="G3034" s="972">
        <f>F3034</f>
        <v>92466</v>
      </c>
      <c r="H3034" s="964" t="s">
        <v>2313</v>
      </c>
    </row>
    <row r="3035" spans="1:8" ht="25.5" hidden="1">
      <c r="A3035" s="967"/>
      <c r="B3035" s="967"/>
      <c r="C3035" s="1382" t="s">
        <v>1285</v>
      </c>
      <c r="D3035" s="967"/>
      <c r="E3035" s="967"/>
      <c r="F3035" s="972">
        <f>ROUND((G3030+G3031)*10%,2)</f>
        <v>1275</v>
      </c>
      <c r="G3035" s="972">
        <f>ROUND((G3030+G3031)*20%,2)</f>
        <v>2550</v>
      </c>
      <c r="H3035" s="964" t="s">
        <v>2313</v>
      </c>
    </row>
    <row r="3036" spans="1:8" hidden="1">
      <c r="A3036" s="967"/>
      <c r="B3036" s="967"/>
      <c r="C3036" s="962" t="s">
        <v>894</v>
      </c>
      <c r="D3036" s="967"/>
      <c r="E3036" s="974">
        <f>SUM(E3034:E3035)</f>
        <v>92466</v>
      </c>
      <c r="F3036" s="971">
        <f>SUM(F3034:F3035)</f>
        <v>93741</v>
      </c>
      <c r="G3036" s="971">
        <f>SUM(G3034:G3035)</f>
        <v>95016</v>
      </c>
      <c r="H3036" s="964" t="s">
        <v>2313</v>
      </c>
    </row>
    <row r="3037" spans="1:8" s="982" customFormat="1" ht="204" hidden="1">
      <c r="A3037" s="978">
        <v>20</v>
      </c>
      <c r="B3037" s="979" t="s">
        <v>1328</v>
      </c>
      <c r="C3037" s="979" t="s">
        <v>1329</v>
      </c>
      <c r="D3037" s="980"/>
      <c r="E3037" s="980"/>
      <c r="F3037" s="980"/>
      <c r="G3037" s="981"/>
      <c r="H3037" s="964" t="s">
        <v>2313</v>
      </c>
    </row>
    <row r="3038" spans="1:8" s="982" customFormat="1" hidden="1">
      <c r="A3038" s="978"/>
      <c r="B3038" s="983"/>
      <c r="C3038" s="979" t="s">
        <v>1330</v>
      </c>
      <c r="D3038" s="978"/>
      <c r="E3038" s="906"/>
      <c r="F3038" s="907"/>
      <c r="G3038" s="981"/>
      <c r="H3038" s="964" t="s">
        <v>2313</v>
      </c>
    </row>
    <row r="3039" spans="1:8" s="982" customFormat="1" hidden="1">
      <c r="A3039" s="978"/>
      <c r="B3039" s="979"/>
      <c r="C3039" s="979" t="s">
        <v>1331</v>
      </c>
      <c r="D3039" s="978"/>
      <c r="E3039" s="906"/>
      <c r="F3039" s="907"/>
      <c r="G3039" s="981"/>
      <c r="H3039" s="964" t="s">
        <v>2313</v>
      </c>
    </row>
    <row r="3040" spans="1:8" s="982" customFormat="1" ht="25.5" hidden="1">
      <c r="A3040" s="978"/>
      <c r="B3040" s="979"/>
      <c r="C3040" s="979" t="s">
        <v>1332</v>
      </c>
      <c r="D3040" s="978" t="s">
        <v>34</v>
      </c>
      <c r="E3040" s="906">
        <v>1.0249999999999999</v>
      </c>
      <c r="F3040" s="907">
        <f>'lead 22-23'!L10</f>
        <v>73160</v>
      </c>
      <c r="G3040" s="981">
        <f>ROUND(F3040*E3040,2)</f>
        <v>74989</v>
      </c>
      <c r="H3040" s="964" t="s">
        <v>2313</v>
      </c>
    </row>
    <row r="3041" spans="1:8" s="982" customFormat="1" ht="25.5" hidden="1">
      <c r="A3041" s="978"/>
      <c r="B3041" s="979"/>
      <c r="C3041" s="979" t="s">
        <v>1333</v>
      </c>
      <c r="D3041" s="978" t="s">
        <v>1334</v>
      </c>
      <c r="E3041" s="906">
        <v>70</v>
      </c>
      <c r="F3041" s="907">
        <f>'MINI SSR 2022-23'!C33</f>
        <v>16</v>
      </c>
      <c r="G3041" s="981">
        <f>ROUND(F3041*E3041,2)</f>
        <v>1120</v>
      </c>
      <c r="H3041" s="964" t="s">
        <v>2313</v>
      </c>
    </row>
    <row r="3042" spans="1:8" s="982" customFormat="1" ht="25.5" hidden="1">
      <c r="A3042" s="978"/>
      <c r="B3042" s="979"/>
      <c r="C3042" s="979" t="s">
        <v>1335</v>
      </c>
      <c r="D3042" s="978" t="s">
        <v>90</v>
      </c>
      <c r="E3042" s="906">
        <v>3</v>
      </c>
      <c r="F3042" s="907">
        <f>'MINI SSR 2022-23'!C32</f>
        <v>70</v>
      </c>
      <c r="G3042" s="981">
        <f>ROUND(F3042*E3042,2)</f>
        <v>210</v>
      </c>
      <c r="H3042" s="964" t="s">
        <v>2313</v>
      </c>
    </row>
    <row r="3043" spans="1:8" s="982" customFormat="1" ht="25.5" hidden="1">
      <c r="A3043" s="978"/>
      <c r="B3043" s="979"/>
      <c r="C3043" s="979" t="s">
        <v>1336</v>
      </c>
      <c r="D3043" s="978"/>
      <c r="E3043" s="906"/>
      <c r="F3043" s="907"/>
      <c r="G3043" s="981"/>
      <c r="H3043" s="964" t="s">
        <v>2313</v>
      </c>
    </row>
    <row r="3044" spans="1:8" s="982" customFormat="1" hidden="1">
      <c r="A3044" s="978"/>
      <c r="B3044" s="979"/>
      <c r="C3044" s="979" t="s">
        <v>1337</v>
      </c>
      <c r="D3044" s="978" t="s">
        <v>27</v>
      </c>
      <c r="E3044" s="906">
        <v>2.5</v>
      </c>
      <c r="F3044" s="984">
        <f>'MINI SSR 2022-23'!H10</f>
        <v>615</v>
      </c>
      <c r="G3044" s="981">
        <f>ROUND(F3044*E3044,2)</f>
        <v>1537.5</v>
      </c>
      <c r="H3044" s="964" t="s">
        <v>2313</v>
      </c>
    </row>
    <row r="3045" spans="1:8" s="982" customFormat="1" hidden="1">
      <c r="A3045" s="978"/>
      <c r="B3045" s="979"/>
      <c r="C3045" s="979" t="s">
        <v>1338</v>
      </c>
      <c r="D3045" s="978" t="s">
        <v>27</v>
      </c>
      <c r="E3045" s="906">
        <v>10</v>
      </c>
      <c r="F3045" s="984">
        <f>'MINI SSR 2022-23'!H11</f>
        <v>590</v>
      </c>
      <c r="G3045" s="981">
        <f>ROUND(F3045*E3045,2)</f>
        <v>5900</v>
      </c>
      <c r="H3045" s="964" t="s">
        <v>2313</v>
      </c>
    </row>
    <row r="3046" spans="1:8" s="982" customFormat="1" hidden="1">
      <c r="A3046" s="978"/>
      <c r="B3046" s="979"/>
      <c r="C3046" s="979" t="s">
        <v>1339</v>
      </c>
      <c r="D3046" s="978" t="s">
        <v>27</v>
      </c>
      <c r="E3046" s="906">
        <v>10</v>
      </c>
      <c r="F3046" s="984">
        <f>'MINI SSR 2022-23'!H5</f>
        <v>525</v>
      </c>
      <c r="G3046" s="981">
        <f>ROUND(F3046*E3046,2)</f>
        <v>5250</v>
      </c>
      <c r="H3046" s="964" t="s">
        <v>2313</v>
      </c>
    </row>
    <row r="3047" spans="1:8" s="982" customFormat="1" ht="25.5" hidden="1">
      <c r="A3047" s="978"/>
      <c r="B3047" s="979"/>
      <c r="C3047" s="979" t="s">
        <v>1340</v>
      </c>
      <c r="D3047" s="978" t="s">
        <v>1341</v>
      </c>
      <c r="E3047" s="906">
        <v>10</v>
      </c>
      <c r="F3047" s="984">
        <f>'MINI SSR 2022-23'!C34</f>
        <v>117.7</v>
      </c>
      <c r="G3047" s="981">
        <f>ROUND(F3047*E3047,2)</f>
        <v>1177</v>
      </c>
      <c r="H3047" s="964" t="s">
        <v>2313</v>
      </c>
    </row>
    <row r="3048" spans="1:8" s="982" customFormat="1" hidden="1">
      <c r="A3048" s="978"/>
      <c r="B3048" s="979"/>
      <c r="C3048" s="979" t="s">
        <v>1342</v>
      </c>
      <c r="D3048" s="978"/>
      <c r="E3048" s="906"/>
      <c r="F3048" s="907"/>
      <c r="G3048" s="985">
        <f>SUM(G3040:G3047)</f>
        <v>90183.5</v>
      </c>
      <c r="H3048" s="964" t="s">
        <v>2313</v>
      </c>
    </row>
    <row r="3049" spans="1:8" s="982" customFormat="1" hidden="1">
      <c r="A3049" s="978"/>
      <c r="B3049" s="979"/>
      <c r="C3049" s="979" t="s">
        <v>1343</v>
      </c>
      <c r="D3049" s="978"/>
      <c r="E3049" s="906"/>
      <c r="F3049" s="907"/>
      <c r="G3049" s="985">
        <f>ROUND(G3048/1000,2)</f>
        <v>90.18</v>
      </c>
      <c r="H3049" s="964" t="s">
        <v>2313</v>
      </c>
    </row>
    <row r="3050" spans="1:8" ht="63.75" hidden="1">
      <c r="A3050" s="896">
        <v>19</v>
      </c>
      <c r="B3050" s="966"/>
      <c r="C3050" s="1382" t="s">
        <v>185</v>
      </c>
      <c r="D3050" s="967"/>
      <c r="E3050" s="967"/>
      <c r="F3050" s="967"/>
      <c r="G3050" s="902"/>
      <c r="H3050" s="964" t="s">
        <v>2313</v>
      </c>
    </row>
    <row r="3051" spans="1:8" hidden="1">
      <c r="A3051" s="896"/>
      <c r="B3051" s="966"/>
      <c r="C3051" s="962" t="s">
        <v>186</v>
      </c>
      <c r="D3051" s="967"/>
      <c r="E3051" s="967"/>
      <c r="F3051" s="967"/>
      <c r="G3051" s="902"/>
      <c r="H3051" s="964" t="s">
        <v>2313</v>
      </c>
    </row>
    <row r="3052" spans="1:8" hidden="1">
      <c r="A3052" s="896"/>
      <c r="B3052" s="968" t="s">
        <v>18</v>
      </c>
      <c r="C3052" s="962" t="s">
        <v>22</v>
      </c>
      <c r="D3052" s="967"/>
      <c r="E3052" s="967"/>
      <c r="F3052" s="967"/>
      <c r="G3052" s="902"/>
      <c r="H3052" s="964" t="s">
        <v>2313</v>
      </c>
    </row>
    <row r="3053" spans="1:8" ht="25.5" hidden="1">
      <c r="A3053" s="902"/>
      <c r="B3053" s="902"/>
      <c r="C3053" s="1382" t="s">
        <v>187</v>
      </c>
      <c r="D3053" s="896" t="s">
        <v>4</v>
      </c>
      <c r="E3053" s="920">
        <v>1.0249999999999999</v>
      </c>
      <c r="F3053" s="922">
        <f>'lead 22-23'!L10/1000</f>
        <v>73.16</v>
      </c>
      <c r="G3053" s="969">
        <f>ROUND(E3053*F3053,2)</f>
        <v>74.989999999999995</v>
      </c>
      <c r="H3053" s="964" t="s">
        <v>2313</v>
      </c>
    </row>
    <row r="3054" spans="1:8" hidden="1">
      <c r="A3054" s="902"/>
      <c r="B3054" s="968" t="s">
        <v>20</v>
      </c>
      <c r="C3054" s="1382" t="s">
        <v>188</v>
      </c>
      <c r="D3054" s="896" t="s">
        <v>4</v>
      </c>
      <c r="E3054" s="922">
        <v>1</v>
      </c>
      <c r="F3054" s="922">
        <f>'MINI SSR 2022-23'!C35</f>
        <v>30</v>
      </c>
      <c r="G3054" s="969">
        <f>ROUND(E3054*F3054,2)</f>
        <v>30</v>
      </c>
      <c r="H3054" s="964" t="s">
        <v>2313</v>
      </c>
    </row>
    <row r="3055" spans="1:8" hidden="1">
      <c r="A3055" s="902"/>
      <c r="B3055" s="902"/>
      <c r="C3055" s="1382" t="s">
        <v>189</v>
      </c>
      <c r="D3055" s="896" t="s">
        <v>27</v>
      </c>
      <c r="E3055" s="922">
        <v>1</v>
      </c>
      <c r="F3055" s="922">
        <f>'MINI SSR 2022-23'!C36</f>
        <v>6</v>
      </c>
      <c r="G3055" s="969">
        <f>ROUND(E3055*F3055,2)</f>
        <v>6</v>
      </c>
      <c r="H3055" s="964" t="s">
        <v>2313</v>
      </c>
    </row>
    <row r="3056" spans="1:8" hidden="1">
      <c r="A3056" s="902"/>
      <c r="B3056" s="902"/>
      <c r="C3056" s="962" t="s">
        <v>190</v>
      </c>
      <c r="D3056" s="896"/>
      <c r="E3056" s="922"/>
      <c r="F3056" s="922"/>
      <c r="G3056" s="963">
        <f>SUM(G3053:G3055)</f>
        <v>110.99</v>
      </c>
      <c r="H3056" s="964" t="s">
        <v>2313</v>
      </c>
    </row>
    <row r="3057" spans="1:8" ht="114.75" hidden="1">
      <c r="A3057" s="896">
        <v>5</v>
      </c>
      <c r="B3057" s="966"/>
      <c r="C3057" s="1382" t="s">
        <v>969</v>
      </c>
      <c r="D3057" s="967"/>
      <c r="E3057" s="967"/>
      <c r="F3057" s="967"/>
      <c r="G3057" s="902"/>
      <c r="H3057" s="964" t="s">
        <v>2313</v>
      </c>
    </row>
    <row r="3058" spans="1:8" hidden="1">
      <c r="A3058" s="896"/>
      <c r="B3058" s="968" t="s">
        <v>18</v>
      </c>
      <c r="C3058" s="962" t="s">
        <v>22</v>
      </c>
      <c r="D3058" s="967"/>
      <c r="E3058" s="967"/>
      <c r="F3058" s="967"/>
      <c r="G3058" s="902"/>
      <c r="H3058" s="964" t="s">
        <v>2313</v>
      </c>
    </row>
    <row r="3059" spans="1:8" hidden="1">
      <c r="A3059" s="902"/>
      <c r="B3059" s="902"/>
      <c r="C3059" s="1382" t="s">
        <v>934</v>
      </c>
      <c r="D3059" s="896" t="s">
        <v>4</v>
      </c>
      <c r="E3059" s="920">
        <v>43.51</v>
      </c>
      <c r="F3059" s="922">
        <f>'lead 22-23'!L10/1000</f>
        <v>73.16</v>
      </c>
      <c r="G3059" s="969">
        <f>ROUND(E3059*F3059,2)</f>
        <v>3183.19</v>
      </c>
      <c r="H3059" s="964" t="s">
        <v>2313</v>
      </c>
    </row>
    <row r="3060" spans="1:8" hidden="1">
      <c r="A3060" s="902"/>
      <c r="B3060" s="902"/>
      <c r="C3060" s="1382" t="s">
        <v>935</v>
      </c>
      <c r="D3060" s="896" t="s">
        <v>4</v>
      </c>
      <c r="E3060" s="920">
        <v>14.4</v>
      </c>
      <c r="F3060" s="922">
        <f>'lead 22-23'!L9/1000</f>
        <v>75.52</v>
      </c>
      <c r="G3060" s="969">
        <f>ROUND(E3060*F3060,2)</f>
        <v>1087.49</v>
      </c>
      <c r="H3060" s="964" t="s">
        <v>2313</v>
      </c>
    </row>
    <row r="3061" spans="1:8" hidden="1">
      <c r="A3061" s="902"/>
      <c r="B3061" s="968" t="s">
        <v>20</v>
      </c>
      <c r="C3061" s="1382" t="s">
        <v>188</v>
      </c>
      <c r="D3061" s="896" t="s">
        <v>4</v>
      </c>
      <c r="E3061" s="922">
        <f>SUM(E3059:E3060)</f>
        <v>57.91</v>
      </c>
      <c r="F3061" s="922">
        <f>'MINI SSR 2022-23'!C35</f>
        <v>30</v>
      </c>
      <c r="G3061" s="969">
        <f>ROUND(E3061*F3061,2)</f>
        <v>1737.3</v>
      </c>
      <c r="H3061" s="964" t="s">
        <v>2313</v>
      </c>
    </row>
    <row r="3062" spans="1:8" hidden="1">
      <c r="A3062" s="902"/>
      <c r="B3062" s="902"/>
      <c r="C3062" s="1382" t="s">
        <v>189</v>
      </c>
      <c r="D3062" s="896" t="s">
        <v>27</v>
      </c>
      <c r="E3062" s="922">
        <f>E3061</f>
        <v>57.91</v>
      </c>
      <c r="F3062" s="922">
        <f>'MINI SSR 2022-23'!C36</f>
        <v>6</v>
      </c>
      <c r="G3062" s="969">
        <f>ROUND(E3062*F3062,2)</f>
        <v>347.46</v>
      </c>
      <c r="H3062" s="964" t="s">
        <v>2313</v>
      </c>
    </row>
    <row r="3063" spans="1:8" hidden="1">
      <c r="A3063" s="902"/>
      <c r="B3063" s="902"/>
      <c r="C3063" s="962" t="s">
        <v>936</v>
      </c>
      <c r="D3063" s="896"/>
      <c r="E3063" s="922"/>
      <c r="F3063" s="922"/>
      <c r="G3063" s="963">
        <f>SUM(G3059:G3062)</f>
        <v>6355.4400000000005</v>
      </c>
      <c r="H3063" s="964" t="s">
        <v>2313</v>
      </c>
    </row>
    <row r="3064" spans="1:8" hidden="1">
      <c r="A3064" s="902"/>
      <c r="B3064" s="902"/>
      <c r="C3064" s="962" t="s">
        <v>121</v>
      </c>
      <c r="D3064" s="896"/>
      <c r="E3064" s="922"/>
      <c r="F3064" s="922"/>
      <c r="G3064" s="963">
        <f>ROUND(G3063/2.025,2)</f>
        <v>3138.49</v>
      </c>
      <c r="H3064" s="964" t="s">
        <v>2313</v>
      </c>
    </row>
    <row r="3065" spans="1:8" ht="51" hidden="1">
      <c r="A3065" s="896">
        <v>23</v>
      </c>
      <c r="B3065" s="966"/>
      <c r="C3065" s="1382" t="s">
        <v>627</v>
      </c>
      <c r="D3065" s="967"/>
      <c r="E3065" s="967"/>
      <c r="F3065" s="967"/>
      <c r="G3065" s="902"/>
      <c r="H3065" s="964" t="s">
        <v>2313</v>
      </c>
    </row>
    <row r="3066" spans="1:8" hidden="1">
      <c r="A3066" s="896"/>
      <c r="B3066" s="966"/>
      <c r="C3066" s="962" t="s">
        <v>186</v>
      </c>
      <c r="D3066" s="967"/>
      <c r="E3066" s="967"/>
      <c r="F3066" s="967"/>
      <c r="G3066" s="902"/>
      <c r="H3066" s="964" t="s">
        <v>2313</v>
      </c>
    </row>
    <row r="3067" spans="1:8" hidden="1">
      <c r="A3067" s="896"/>
      <c r="B3067" s="968" t="s">
        <v>18</v>
      </c>
      <c r="C3067" s="962" t="s">
        <v>22</v>
      </c>
      <c r="D3067" s="967"/>
      <c r="E3067" s="967"/>
      <c r="F3067" s="967"/>
      <c r="G3067" s="902"/>
      <c r="H3067" s="964" t="s">
        <v>2313</v>
      </c>
    </row>
    <row r="3068" spans="1:8" hidden="1">
      <c r="A3068" s="902"/>
      <c r="B3068" s="902"/>
      <c r="C3068" s="1382" t="s">
        <v>628</v>
      </c>
      <c r="D3068" s="896" t="s">
        <v>4</v>
      </c>
      <c r="E3068" s="920">
        <v>1.0249999999999999</v>
      </c>
      <c r="F3068" s="922">
        <f>'MINI SSR 2022-23'!C37</f>
        <v>76</v>
      </c>
      <c r="G3068" s="969">
        <f>ROUND(E3068*F3068,2)</f>
        <v>77.900000000000006</v>
      </c>
      <c r="H3068" s="964" t="s">
        <v>2313</v>
      </c>
    </row>
    <row r="3069" spans="1:8" hidden="1">
      <c r="A3069" s="902"/>
      <c r="B3069" s="968" t="s">
        <v>20</v>
      </c>
      <c r="C3069" s="1382" t="s">
        <v>629</v>
      </c>
      <c r="D3069" s="896" t="s">
        <v>4</v>
      </c>
      <c r="E3069" s="922">
        <v>1</v>
      </c>
      <c r="F3069" s="922">
        <f>'MINI SSR 2022-23'!C38</f>
        <v>26</v>
      </c>
      <c r="G3069" s="969">
        <f>ROUND(E3069*F3069,2)</f>
        <v>26</v>
      </c>
      <c r="H3069" s="964" t="s">
        <v>2313</v>
      </c>
    </row>
    <row r="3070" spans="1:8" hidden="1">
      <c r="A3070" s="902"/>
      <c r="B3070" s="902"/>
      <c r="C3070" s="1382" t="s">
        <v>630</v>
      </c>
      <c r="D3070" s="896" t="s">
        <v>27</v>
      </c>
      <c r="E3070" s="922">
        <v>1</v>
      </c>
      <c r="F3070" s="922">
        <f>'MINI SSR 2022-23'!C39</f>
        <v>23</v>
      </c>
      <c r="G3070" s="969">
        <f>ROUND(E3070*F3070,2)</f>
        <v>23</v>
      </c>
      <c r="H3070" s="964" t="s">
        <v>2313</v>
      </c>
    </row>
    <row r="3071" spans="1:8" hidden="1">
      <c r="A3071" s="902"/>
      <c r="B3071" s="902"/>
      <c r="C3071" s="962" t="s">
        <v>190</v>
      </c>
      <c r="D3071" s="896"/>
      <c r="E3071" s="922"/>
      <c r="F3071" s="922"/>
      <c r="G3071" s="963">
        <f>SUM(G3068:G3070)</f>
        <v>126.9</v>
      </c>
      <c r="H3071" s="964" t="s">
        <v>2313</v>
      </c>
    </row>
    <row r="3072" spans="1:8" ht="191.25" hidden="1">
      <c r="A3072" s="896">
        <v>22</v>
      </c>
      <c r="B3072" s="966"/>
      <c r="C3072" s="1382" t="s">
        <v>1297</v>
      </c>
      <c r="D3072" s="967"/>
      <c r="E3072" s="967"/>
      <c r="F3072" s="967"/>
      <c r="G3072" s="902"/>
      <c r="H3072" s="964" t="s">
        <v>2313</v>
      </c>
    </row>
    <row r="3073" spans="1:8" hidden="1">
      <c r="A3073" s="896"/>
      <c r="B3073" s="966"/>
      <c r="C3073" s="962" t="s">
        <v>919</v>
      </c>
      <c r="D3073" s="967"/>
      <c r="E3073" s="967"/>
      <c r="F3073" s="967"/>
      <c r="G3073" s="972"/>
      <c r="H3073" s="964" t="s">
        <v>2313</v>
      </c>
    </row>
    <row r="3074" spans="1:8" hidden="1">
      <c r="A3074" s="902"/>
      <c r="B3074" s="902"/>
      <c r="C3074" s="1382" t="s">
        <v>913</v>
      </c>
      <c r="D3074" s="922">
        <v>4.5999999999999996</v>
      </c>
      <c r="E3074" s="920">
        <v>2.39</v>
      </c>
      <c r="F3074" s="922">
        <f>ROUND(D3074*E3074,2)</f>
        <v>10.99</v>
      </c>
      <c r="G3074" s="969"/>
      <c r="H3074" s="964" t="s">
        <v>2313</v>
      </c>
    </row>
    <row r="3075" spans="1:8" hidden="1">
      <c r="A3075" s="902"/>
      <c r="B3075" s="902"/>
      <c r="C3075" s="1382" t="s">
        <v>914</v>
      </c>
      <c r="D3075" s="922">
        <v>11.7</v>
      </c>
      <c r="E3075" s="920">
        <v>0.89</v>
      </c>
      <c r="F3075" s="922">
        <f>ROUND(D3075*E3075,2)</f>
        <v>10.41</v>
      </c>
      <c r="G3075" s="969"/>
      <c r="H3075" s="964" t="s">
        <v>2313</v>
      </c>
    </row>
    <row r="3076" spans="1:8" hidden="1">
      <c r="A3076" s="902"/>
      <c r="B3076" s="902"/>
      <c r="C3076" s="1382"/>
      <c r="D3076" s="896"/>
      <c r="E3076" s="920"/>
      <c r="F3076" s="986">
        <f>SUM(F3074:F3075)</f>
        <v>21.4</v>
      </c>
      <c r="G3076" s="969"/>
      <c r="H3076" s="964" t="s">
        <v>2313</v>
      </c>
    </row>
    <row r="3077" spans="1:8" hidden="1">
      <c r="A3077" s="902"/>
      <c r="B3077" s="902"/>
      <c r="C3077" s="1382" t="s">
        <v>696</v>
      </c>
      <c r="D3077" s="896" t="s">
        <v>4</v>
      </c>
      <c r="E3077" s="920">
        <f>F3076</f>
        <v>21.4</v>
      </c>
      <c r="F3077" s="922">
        <f>'MINI SSR 2022-23'!C40</f>
        <v>414</v>
      </c>
      <c r="G3077" s="969">
        <f t="shared" ref="G3077:G3082" si="10">ROUND(E3077*F3077,2)</f>
        <v>8859.6</v>
      </c>
      <c r="H3077" s="964" t="s">
        <v>2313</v>
      </c>
    </row>
    <row r="3078" spans="1:8" ht="25.5" hidden="1">
      <c r="A3078" s="902"/>
      <c r="B3078" s="968"/>
      <c r="C3078" s="1382" t="s">
        <v>697</v>
      </c>
      <c r="D3078" s="896" t="s">
        <v>4</v>
      </c>
      <c r="E3078" s="922">
        <f>E3077</f>
        <v>21.4</v>
      </c>
      <c r="F3078" s="922">
        <f>'MINI SSR 2022-23'!C41</f>
        <v>144</v>
      </c>
      <c r="G3078" s="969">
        <f t="shared" si="10"/>
        <v>3081.6</v>
      </c>
      <c r="H3078" s="964" t="s">
        <v>2313</v>
      </c>
    </row>
    <row r="3079" spans="1:8" hidden="1">
      <c r="A3079" s="902"/>
      <c r="B3079" s="968"/>
      <c r="C3079" s="1382" t="s">
        <v>915</v>
      </c>
      <c r="D3079" s="896" t="s">
        <v>277</v>
      </c>
      <c r="E3079" s="922">
        <v>1.3</v>
      </c>
      <c r="F3079" s="922">
        <f>'MINI SSR 2022-23'!C42</f>
        <v>220</v>
      </c>
      <c r="G3079" s="969">
        <f t="shared" si="10"/>
        <v>286</v>
      </c>
      <c r="H3079" s="964" t="s">
        <v>2313</v>
      </c>
    </row>
    <row r="3080" spans="1:8" hidden="1">
      <c r="A3080" s="902"/>
      <c r="B3080" s="968"/>
      <c r="C3080" s="1382" t="s">
        <v>916</v>
      </c>
      <c r="D3080" s="896" t="s">
        <v>115</v>
      </c>
      <c r="E3080" s="922">
        <v>13</v>
      </c>
      <c r="F3080" s="922">
        <v>80</v>
      </c>
      <c r="G3080" s="969">
        <f t="shared" si="10"/>
        <v>1040</v>
      </c>
      <c r="H3080" s="964" t="s">
        <v>2313</v>
      </c>
    </row>
    <row r="3081" spans="1:8" hidden="1">
      <c r="A3081" s="902"/>
      <c r="B3081" s="968"/>
      <c r="C3081" s="1382" t="s">
        <v>917</v>
      </c>
      <c r="D3081" s="896" t="s">
        <v>115</v>
      </c>
      <c r="E3081" s="922">
        <v>13</v>
      </c>
      <c r="F3081" s="922">
        <v>30</v>
      </c>
      <c r="G3081" s="969">
        <f t="shared" si="10"/>
        <v>390</v>
      </c>
      <c r="H3081" s="964" t="s">
        <v>2313</v>
      </c>
    </row>
    <row r="3082" spans="1:8" hidden="1">
      <c r="A3082" s="902"/>
      <c r="B3082" s="968"/>
      <c r="C3082" s="1382" t="s">
        <v>918</v>
      </c>
      <c r="D3082" s="896" t="s">
        <v>115</v>
      </c>
      <c r="E3082" s="922">
        <v>13</v>
      </c>
      <c r="F3082" s="922">
        <v>15</v>
      </c>
      <c r="G3082" s="969">
        <f t="shared" si="10"/>
        <v>195</v>
      </c>
      <c r="H3082" s="964" t="s">
        <v>2313</v>
      </c>
    </row>
    <row r="3083" spans="1:8" hidden="1">
      <c r="A3083" s="902"/>
      <c r="B3083" s="968"/>
      <c r="C3083" s="1382" t="s">
        <v>920</v>
      </c>
      <c r="D3083" s="896"/>
      <c r="E3083" s="922"/>
      <c r="F3083" s="922"/>
      <c r="G3083" s="969">
        <f>SUM(G3077:G3082)</f>
        <v>13852.2</v>
      </c>
      <c r="H3083" s="964" t="s">
        <v>2313</v>
      </c>
    </row>
    <row r="3084" spans="1:8" hidden="1">
      <c r="A3084" s="902"/>
      <c r="B3084" s="968"/>
      <c r="C3084" s="1382" t="s">
        <v>377</v>
      </c>
      <c r="D3084" s="896"/>
      <c r="E3084" s="922"/>
      <c r="F3084" s="922"/>
      <c r="G3084" s="969">
        <f>ROUND(G3083/4.6,2)</f>
        <v>3011.35</v>
      </c>
      <c r="H3084" s="964" t="s">
        <v>2313</v>
      </c>
    </row>
    <row r="3085" spans="1:8" hidden="1">
      <c r="A3085" s="902"/>
      <c r="B3085" s="902"/>
      <c r="C3085" s="1382" t="s">
        <v>921</v>
      </c>
      <c r="D3085" s="896"/>
      <c r="E3085" s="922"/>
      <c r="F3085" s="922"/>
      <c r="G3085" s="963">
        <f>ROUND(G3084/0.9,2)</f>
        <v>3345.94</v>
      </c>
      <c r="H3085" s="964" t="s">
        <v>2313</v>
      </c>
    </row>
    <row r="3086" spans="1:8" ht="153" hidden="1">
      <c r="A3086" s="896">
        <v>25</v>
      </c>
      <c r="B3086" s="966"/>
      <c r="C3086" s="1382" t="s">
        <v>1298</v>
      </c>
      <c r="D3086" s="967"/>
      <c r="E3086" s="967"/>
      <c r="F3086" s="967"/>
      <c r="G3086" s="902"/>
      <c r="H3086" s="964" t="s">
        <v>2313</v>
      </c>
    </row>
    <row r="3087" spans="1:8" hidden="1">
      <c r="A3087" s="896"/>
      <c r="B3087" s="966"/>
      <c r="C3087" s="962" t="s">
        <v>924</v>
      </c>
      <c r="D3087" s="967"/>
      <c r="E3087" s="967"/>
      <c r="F3087" s="967"/>
      <c r="G3087" s="972"/>
      <c r="H3087" s="964" t="s">
        <v>2313</v>
      </c>
    </row>
    <row r="3088" spans="1:8" hidden="1">
      <c r="A3088" s="902"/>
      <c r="B3088" s="902"/>
      <c r="C3088" s="1382" t="s">
        <v>922</v>
      </c>
      <c r="D3088" s="922">
        <v>10</v>
      </c>
      <c r="E3088" s="920">
        <v>2.39</v>
      </c>
      <c r="F3088" s="922">
        <f>ROUND(D3088*E3088,2)</f>
        <v>23.9</v>
      </c>
      <c r="G3088" s="969"/>
      <c r="H3088" s="964" t="s">
        <v>2313</v>
      </c>
    </row>
    <row r="3089" spans="1:8" hidden="1">
      <c r="A3089" s="902"/>
      <c r="B3089" s="902"/>
      <c r="C3089" s="1382" t="s">
        <v>923</v>
      </c>
      <c r="D3089" s="922">
        <v>2.7</v>
      </c>
      <c r="E3089" s="920">
        <v>0.89</v>
      </c>
      <c r="F3089" s="922">
        <f>ROUND(D3089*E3089,2)</f>
        <v>2.4</v>
      </c>
      <c r="G3089" s="969"/>
      <c r="H3089" s="964" t="s">
        <v>2313</v>
      </c>
    </row>
    <row r="3090" spans="1:8" hidden="1">
      <c r="A3090" s="902"/>
      <c r="B3090" s="902"/>
      <c r="C3090" s="1382"/>
      <c r="D3090" s="896"/>
      <c r="E3090" s="920"/>
      <c r="F3090" s="986">
        <f>SUM(F3088:F3089)</f>
        <v>26.299999999999997</v>
      </c>
      <c r="G3090" s="969"/>
      <c r="H3090" s="964" t="s">
        <v>2313</v>
      </c>
    </row>
    <row r="3091" spans="1:8" hidden="1">
      <c r="A3091" s="902"/>
      <c r="B3091" s="902"/>
      <c r="C3091" s="1382" t="s">
        <v>696</v>
      </c>
      <c r="D3091" s="896" t="s">
        <v>4</v>
      </c>
      <c r="E3091" s="920">
        <f>F3090</f>
        <v>26.299999999999997</v>
      </c>
      <c r="F3091" s="922">
        <f>'MINI SSR 2022-23'!$C$40</f>
        <v>414</v>
      </c>
      <c r="G3091" s="969">
        <f>ROUND(E3091*F3091,2)</f>
        <v>10888.2</v>
      </c>
      <c r="H3091" s="964" t="s">
        <v>2313</v>
      </c>
    </row>
    <row r="3092" spans="1:8" ht="25.5" hidden="1">
      <c r="A3092" s="902"/>
      <c r="B3092" s="968"/>
      <c r="C3092" s="1382" t="s">
        <v>697</v>
      </c>
      <c r="D3092" s="896" t="s">
        <v>4</v>
      </c>
      <c r="E3092" s="922">
        <f>E3091</f>
        <v>26.299999999999997</v>
      </c>
      <c r="F3092" s="922">
        <f>'MINI SSR 2022-23'!$C$41</f>
        <v>144</v>
      </c>
      <c r="G3092" s="969">
        <f>ROUND(E3092*F3092,2)</f>
        <v>3787.2</v>
      </c>
      <c r="H3092" s="964" t="s">
        <v>2313</v>
      </c>
    </row>
    <row r="3093" spans="1:8" hidden="1">
      <c r="A3093" s="902"/>
      <c r="B3093" s="968"/>
      <c r="C3093" s="1382" t="s">
        <v>927</v>
      </c>
      <c r="D3093" s="896" t="s">
        <v>277</v>
      </c>
      <c r="E3093" s="922">
        <v>0.9</v>
      </c>
      <c r="F3093" s="922">
        <f>'MINI SSR 2022-23'!C42</f>
        <v>220</v>
      </c>
      <c r="G3093" s="969">
        <f>ROUND(E3093*F3093,2)</f>
        <v>198</v>
      </c>
      <c r="H3093" s="964" t="s">
        <v>2313</v>
      </c>
    </row>
    <row r="3094" spans="1:8" hidden="1">
      <c r="A3094" s="902"/>
      <c r="B3094" s="968"/>
      <c r="C3094" s="1382" t="s">
        <v>925</v>
      </c>
      <c r="D3094" s="896" t="s">
        <v>115</v>
      </c>
      <c r="E3094" s="922">
        <v>9</v>
      </c>
      <c r="F3094" s="922">
        <v>30</v>
      </c>
      <c r="G3094" s="969">
        <f>ROUND(E3094*F3094,2)</f>
        <v>270</v>
      </c>
      <c r="H3094" s="964" t="s">
        <v>2313</v>
      </c>
    </row>
    <row r="3095" spans="1:8" hidden="1">
      <c r="A3095" s="902"/>
      <c r="B3095" s="968"/>
      <c r="C3095" s="1382" t="s">
        <v>926</v>
      </c>
      <c r="D3095" s="896"/>
      <c r="E3095" s="922"/>
      <c r="F3095" s="922"/>
      <c r="G3095" s="969">
        <f>SUM(G3091:G3094)</f>
        <v>15143.400000000001</v>
      </c>
      <c r="H3095" s="964" t="s">
        <v>2313</v>
      </c>
    </row>
    <row r="3096" spans="1:8" hidden="1">
      <c r="A3096" s="902"/>
      <c r="B3096" s="968"/>
      <c r="C3096" s="1382" t="s">
        <v>377</v>
      </c>
      <c r="D3096" s="896"/>
      <c r="E3096" s="922"/>
      <c r="F3096" s="922"/>
      <c r="G3096" s="963">
        <f>ROUND(G3095/10,2)</f>
        <v>1514.34</v>
      </c>
      <c r="H3096" s="964" t="s">
        <v>2313</v>
      </c>
    </row>
    <row r="3097" spans="1:8" ht="51" hidden="1">
      <c r="A3097" s="896">
        <v>25</v>
      </c>
      <c r="B3097" s="966"/>
      <c r="C3097" s="1382" t="s">
        <v>2286</v>
      </c>
      <c r="D3097" s="967"/>
      <c r="E3097" s="967"/>
      <c r="F3097" s="967"/>
      <c r="G3097" s="902"/>
      <c r="H3097" s="964" t="s">
        <v>2313</v>
      </c>
    </row>
    <row r="3098" spans="1:8" hidden="1">
      <c r="A3098" s="902"/>
      <c r="B3098" s="902"/>
      <c r="C3098" s="1382" t="s">
        <v>696</v>
      </c>
      <c r="D3098" s="896" t="s">
        <v>4</v>
      </c>
      <c r="E3098" s="920">
        <v>1.0249999999999999</v>
      </c>
      <c r="F3098" s="922">
        <f>'MINI SSR 2022-23'!$C$40</f>
        <v>414</v>
      </c>
      <c r="G3098" s="969">
        <f>ROUND(E3098*F3098,2)</f>
        <v>424.35</v>
      </c>
      <c r="H3098" s="964" t="s">
        <v>2313</v>
      </c>
    </row>
    <row r="3099" spans="1:8" ht="25.5" hidden="1">
      <c r="A3099" s="902"/>
      <c r="B3099" s="968"/>
      <c r="C3099" s="1382" t="s">
        <v>697</v>
      </c>
      <c r="D3099" s="896" t="s">
        <v>4</v>
      </c>
      <c r="E3099" s="922">
        <v>1</v>
      </c>
      <c r="F3099" s="922">
        <f>'MINI SSR 2022-23'!$C$41</f>
        <v>144</v>
      </c>
      <c r="G3099" s="969">
        <f>ROUND(E3099*F3099,2)</f>
        <v>144</v>
      </c>
      <c r="H3099" s="964" t="s">
        <v>2313</v>
      </c>
    </row>
    <row r="3100" spans="1:8" hidden="1">
      <c r="A3100" s="902"/>
      <c r="B3100" s="968"/>
      <c r="C3100" s="1382" t="s">
        <v>2287</v>
      </c>
      <c r="D3100" s="896"/>
      <c r="E3100" s="922"/>
      <c r="F3100" s="922"/>
      <c r="G3100" s="963">
        <f>SUM(G3098:G3099)</f>
        <v>568.35</v>
      </c>
      <c r="H3100" s="964" t="s">
        <v>2313</v>
      </c>
    </row>
    <row r="3101" spans="1:8" ht="51" hidden="1">
      <c r="A3101" s="896">
        <v>26</v>
      </c>
      <c r="B3101" s="966" t="s">
        <v>1344</v>
      </c>
      <c r="C3101" s="1382" t="s">
        <v>1186</v>
      </c>
      <c r="D3101" s="967"/>
      <c r="E3101" s="967"/>
      <c r="F3101" s="967"/>
      <c r="G3101" s="966"/>
      <c r="H3101" s="964" t="s">
        <v>2313</v>
      </c>
    </row>
    <row r="3102" spans="1:8" hidden="1">
      <c r="A3102" s="896"/>
      <c r="B3102" s="966"/>
      <c r="C3102" s="962" t="s">
        <v>84</v>
      </c>
      <c r="D3102" s="967"/>
      <c r="E3102" s="967"/>
      <c r="F3102" s="967"/>
      <c r="G3102" s="972"/>
      <c r="H3102" s="964" t="s">
        <v>2313</v>
      </c>
    </row>
    <row r="3103" spans="1:8" hidden="1">
      <c r="A3103" s="896"/>
      <c r="B3103" s="966"/>
      <c r="C3103" s="962" t="s">
        <v>60</v>
      </c>
      <c r="D3103" s="967"/>
      <c r="E3103" s="967"/>
      <c r="F3103" s="967"/>
      <c r="G3103" s="972"/>
      <c r="H3103" s="964" t="s">
        <v>2313</v>
      </c>
    </row>
    <row r="3104" spans="1:8" hidden="1">
      <c r="A3104" s="896"/>
      <c r="B3104" s="966"/>
      <c r="C3104" s="1382" t="s">
        <v>33</v>
      </c>
      <c r="D3104" s="967" t="s">
        <v>4</v>
      </c>
      <c r="E3104" s="970">
        <v>59.4</v>
      </c>
      <c r="F3104" s="970">
        <f>'lead 22-23'!L8</f>
        <v>4700</v>
      </c>
      <c r="G3104" s="969">
        <f>ROUND(E3104*F3104/1000,2)</f>
        <v>279.18</v>
      </c>
      <c r="H3104" s="964" t="s">
        <v>2313</v>
      </c>
    </row>
    <row r="3105" spans="1:8" hidden="1">
      <c r="A3105" s="896"/>
      <c r="B3105" s="966"/>
      <c r="C3105" s="1382" t="s">
        <v>1193</v>
      </c>
      <c r="D3105" s="967" t="s">
        <v>35</v>
      </c>
      <c r="E3105" s="987">
        <v>1.1000000000000001</v>
      </c>
      <c r="F3105" s="970">
        <f>'lead 22-23'!L21</f>
        <v>1039.9000000000001</v>
      </c>
      <c r="G3105" s="969">
        <f>ROUND(E3105*F3105,2)</f>
        <v>1143.8900000000001</v>
      </c>
      <c r="H3105" s="964" t="s">
        <v>2313</v>
      </c>
    </row>
    <row r="3106" spans="1:8" hidden="1">
      <c r="A3106" s="896"/>
      <c r="B3106" s="966"/>
      <c r="C3106" s="1382" t="s">
        <v>1217</v>
      </c>
      <c r="D3106" s="967" t="s">
        <v>35</v>
      </c>
      <c r="E3106" s="970">
        <v>0.33</v>
      </c>
      <c r="F3106" s="970">
        <f>'lead 22-23'!L12</f>
        <v>1815.9999999999998</v>
      </c>
      <c r="G3106" s="969">
        <f>ROUND(E3106*F3106,2)</f>
        <v>599.28</v>
      </c>
      <c r="H3106" s="964" t="s">
        <v>2313</v>
      </c>
    </row>
    <row r="3107" spans="1:8" hidden="1">
      <c r="A3107" s="967"/>
      <c r="B3107" s="967"/>
      <c r="C3107" s="962" t="s">
        <v>68</v>
      </c>
      <c r="D3107" s="967"/>
      <c r="E3107" s="970"/>
      <c r="F3107" s="970"/>
      <c r="G3107" s="969"/>
      <c r="H3107" s="964" t="s">
        <v>2313</v>
      </c>
    </row>
    <row r="3108" spans="1:8" hidden="1">
      <c r="A3108" s="967"/>
      <c r="B3108" s="967"/>
      <c r="C3108" s="1382" t="s">
        <v>64</v>
      </c>
      <c r="D3108" s="967" t="s">
        <v>27</v>
      </c>
      <c r="E3108" s="970">
        <v>1.2</v>
      </c>
      <c r="F3108" s="970">
        <f>'MINI SSR 2022-23'!$H$3</f>
        <v>630</v>
      </c>
      <c r="G3108" s="969">
        <f>ROUND(E3108*F3108,2)</f>
        <v>756</v>
      </c>
      <c r="H3108" s="964" t="s">
        <v>2313</v>
      </c>
    </row>
    <row r="3109" spans="1:8" hidden="1">
      <c r="A3109" s="967"/>
      <c r="B3109" s="967"/>
      <c r="C3109" s="1382" t="s">
        <v>85</v>
      </c>
      <c r="D3109" s="967" t="s">
        <v>27</v>
      </c>
      <c r="E3109" s="970">
        <v>2</v>
      </c>
      <c r="F3109" s="970">
        <f>'MINI SSR 2022-23'!$H$5</f>
        <v>525</v>
      </c>
      <c r="G3109" s="969">
        <f>ROUND(E3109*F3109,2)</f>
        <v>1050</v>
      </c>
      <c r="H3109" s="964" t="s">
        <v>2313</v>
      </c>
    </row>
    <row r="3110" spans="1:8" hidden="1">
      <c r="A3110" s="967"/>
      <c r="B3110" s="967"/>
      <c r="C3110" s="962" t="s">
        <v>86</v>
      </c>
      <c r="D3110" s="967"/>
      <c r="E3110" s="967"/>
      <c r="F3110" s="967"/>
      <c r="G3110" s="971">
        <f>SUM(G3104:G3109)</f>
        <v>3828.3500000000004</v>
      </c>
      <c r="H3110" s="964" t="s">
        <v>2313</v>
      </c>
    </row>
    <row r="3111" spans="1:8" ht="142.5" hidden="1">
      <c r="A3111" s="896">
        <v>20</v>
      </c>
      <c r="B3111" s="966" t="s">
        <v>83</v>
      </c>
      <c r="C3111" s="1382" t="s">
        <v>1299</v>
      </c>
      <c r="D3111" s="967"/>
      <c r="E3111" s="967"/>
      <c r="F3111" s="967"/>
      <c r="G3111" s="966"/>
      <c r="H3111" s="964" t="s">
        <v>2313</v>
      </c>
    </row>
    <row r="3112" spans="1:8" hidden="1">
      <c r="A3112" s="896"/>
      <c r="B3112" s="966"/>
      <c r="C3112" s="962" t="s">
        <v>84</v>
      </c>
      <c r="D3112" s="967"/>
      <c r="E3112" s="967"/>
      <c r="F3112" s="967"/>
      <c r="G3112" s="972"/>
      <c r="H3112" s="964" t="s">
        <v>2313</v>
      </c>
    </row>
    <row r="3113" spans="1:8" hidden="1">
      <c r="A3113" s="896"/>
      <c r="B3113" s="966"/>
      <c r="C3113" s="962" t="s">
        <v>60</v>
      </c>
      <c r="D3113" s="967"/>
      <c r="E3113" s="967"/>
      <c r="F3113" s="967"/>
      <c r="G3113" s="972"/>
      <c r="H3113" s="964" t="s">
        <v>2313</v>
      </c>
    </row>
    <row r="3114" spans="1:8" hidden="1">
      <c r="A3114" s="896"/>
      <c r="B3114" s="966"/>
      <c r="C3114" s="1382" t="s">
        <v>33</v>
      </c>
      <c r="D3114" s="967" t="s">
        <v>4</v>
      </c>
      <c r="E3114" s="970">
        <v>48</v>
      </c>
      <c r="F3114" s="970">
        <f>'lead 22-23'!L8</f>
        <v>4700</v>
      </c>
      <c r="G3114" s="969">
        <f>ROUND(E3114*F3114/1000,2)</f>
        <v>225.6</v>
      </c>
      <c r="H3114" s="964" t="s">
        <v>2313</v>
      </c>
    </row>
    <row r="3115" spans="1:8" hidden="1">
      <c r="A3115" s="896"/>
      <c r="B3115" s="966"/>
      <c r="C3115" s="1382" t="s">
        <v>1300</v>
      </c>
      <c r="D3115" s="967" t="s">
        <v>11</v>
      </c>
      <c r="E3115" s="988">
        <v>512</v>
      </c>
      <c r="F3115" s="970">
        <f>'lead 22-23'!L15</f>
        <v>8716</v>
      </c>
      <c r="G3115" s="969">
        <f>ROUND(E3115*F3115/1000,2)</f>
        <v>4462.59</v>
      </c>
      <c r="H3115" s="964" t="s">
        <v>2313</v>
      </c>
    </row>
    <row r="3116" spans="1:8" hidden="1">
      <c r="A3116" s="896"/>
      <c r="B3116" s="966"/>
      <c r="C3116" s="1382" t="s">
        <v>113</v>
      </c>
      <c r="D3116" s="967" t="s">
        <v>35</v>
      </c>
      <c r="E3116" s="970">
        <v>0.2</v>
      </c>
      <c r="F3116" s="970">
        <f>'lead 22-23'!L12</f>
        <v>1815.9999999999998</v>
      </c>
      <c r="G3116" s="969">
        <f>ROUND(E3116*F3116,2)</f>
        <v>363.2</v>
      </c>
      <c r="H3116" s="964" t="s">
        <v>2313</v>
      </c>
    </row>
    <row r="3117" spans="1:8" hidden="1">
      <c r="A3117" s="967"/>
      <c r="B3117" s="967"/>
      <c r="C3117" s="962" t="s">
        <v>68</v>
      </c>
      <c r="D3117" s="967"/>
      <c r="E3117" s="970"/>
      <c r="F3117" s="970"/>
      <c r="G3117" s="969"/>
      <c r="H3117" s="964" t="s">
        <v>2313</v>
      </c>
    </row>
    <row r="3118" spans="1:8" hidden="1">
      <c r="A3118" s="967"/>
      <c r="B3118" s="967"/>
      <c r="C3118" s="1382" t="s">
        <v>64</v>
      </c>
      <c r="D3118" s="967" t="s">
        <v>27</v>
      </c>
      <c r="E3118" s="970">
        <v>0.24</v>
      </c>
      <c r="F3118" s="970">
        <f>'MINI SSR 2022-23'!$H$3</f>
        <v>630</v>
      </c>
      <c r="G3118" s="969">
        <f>ROUND(E3118*F3118,2)</f>
        <v>151.19999999999999</v>
      </c>
      <c r="H3118" s="964" t="s">
        <v>2313</v>
      </c>
    </row>
    <row r="3119" spans="1:8" hidden="1">
      <c r="A3119" s="967"/>
      <c r="B3119" s="967"/>
      <c r="C3119" s="1382" t="s">
        <v>69</v>
      </c>
      <c r="D3119" s="967" t="s">
        <v>27</v>
      </c>
      <c r="E3119" s="970">
        <v>0.56000000000000005</v>
      </c>
      <c r="F3119" s="970">
        <f>'MINI SSR 2022-23'!$H$4</f>
        <v>565</v>
      </c>
      <c r="G3119" s="969">
        <f>ROUND(E3119*F3119,2)</f>
        <v>316.39999999999998</v>
      </c>
      <c r="H3119" s="964" t="s">
        <v>2313</v>
      </c>
    </row>
    <row r="3120" spans="1:8" hidden="1">
      <c r="A3120" s="967"/>
      <c r="B3120" s="967"/>
      <c r="C3120" s="1382" t="s">
        <v>85</v>
      </c>
      <c r="D3120" s="967" t="s">
        <v>27</v>
      </c>
      <c r="E3120" s="970">
        <v>1.89</v>
      </c>
      <c r="F3120" s="970">
        <f>'MINI SSR 2022-23'!$H$5</f>
        <v>525</v>
      </c>
      <c r="G3120" s="969">
        <f>ROUND(E3120*F3120,2)</f>
        <v>992.25</v>
      </c>
      <c r="H3120" s="964" t="s">
        <v>2313</v>
      </c>
    </row>
    <row r="3121" spans="1:8" hidden="1">
      <c r="A3121" s="967"/>
      <c r="B3121" s="967"/>
      <c r="C3121" s="962" t="s">
        <v>86</v>
      </c>
      <c r="D3121" s="967"/>
      <c r="E3121" s="967"/>
      <c r="F3121" s="967"/>
      <c r="G3121" s="971">
        <f>SUM(G3114:G3120)</f>
        <v>6511.24</v>
      </c>
      <c r="H3121" s="964" t="s">
        <v>2313</v>
      </c>
    </row>
    <row r="3122" spans="1:8" hidden="1">
      <c r="A3122" s="967"/>
      <c r="B3122" s="967"/>
      <c r="C3122" s="962"/>
      <c r="D3122" s="967"/>
      <c r="E3122" s="966" t="s">
        <v>161</v>
      </c>
      <c r="F3122" s="966" t="s">
        <v>162</v>
      </c>
      <c r="G3122" s="974" t="s">
        <v>163</v>
      </c>
      <c r="H3122" s="964" t="s">
        <v>2313</v>
      </c>
    </row>
    <row r="3123" spans="1:8" hidden="1">
      <c r="A3123" s="967"/>
      <c r="B3123" s="967"/>
      <c r="C3123" s="962" t="s">
        <v>192</v>
      </c>
      <c r="D3123" s="967"/>
      <c r="E3123" s="970">
        <f>G3121</f>
        <v>6511.24</v>
      </c>
      <c r="F3123" s="970">
        <f>E3123</f>
        <v>6511.24</v>
      </c>
      <c r="G3123" s="972">
        <f>F3123</f>
        <v>6511.24</v>
      </c>
      <c r="H3123" s="964" t="s">
        <v>2313</v>
      </c>
    </row>
    <row r="3124" spans="1:8" hidden="1">
      <c r="A3124" s="967"/>
      <c r="B3124" s="967"/>
      <c r="C3124" s="1382" t="s">
        <v>191</v>
      </c>
      <c r="D3124" s="973">
        <v>4.3499999999999996</v>
      </c>
      <c r="E3124" s="967">
        <f>ROUND(D3124*'MINI SSR 2022-23'!E30,2)</f>
        <v>46.89</v>
      </c>
      <c r="F3124" s="967">
        <f>E3124</f>
        <v>46.89</v>
      </c>
      <c r="G3124" s="967">
        <f>E3124</f>
        <v>46.89</v>
      </c>
      <c r="H3124" s="964" t="s">
        <v>2313</v>
      </c>
    </row>
    <row r="3125" spans="1:8" hidden="1">
      <c r="A3125" s="967"/>
      <c r="B3125" s="967"/>
      <c r="C3125" s="1382" t="s">
        <v>193</v>
      </c>
      <c r="D3125" s="973">
        <v>4.3499999999999996</v>
      </c>
      <c r="E3125" s="967">
        <f>ROUND(D3125*'MINI SSR 2022-23'!F30,2)</f>
        <v>368.1</v>
      </c>
      <c r="F3125" s="967">
        <f>ROUND(D3125*'MINI SSR 2022-23'!G30,2)</f>
        <v>527.13</v>
      </c>
      <c r="G3125" s="967">
        <f>ROUND(D3125*'MINI SSR 2022-23'!H30,2)</f>
        <v>686.08</v>
      </c>
      <c r="H3125" s="964" t="s">
        <v>2313</v>
      </c>
    </row>
    <row r="3126" spans="1:8" ht="25.5" hidden="1">
      <c r="A3126" s="967"/>
      <c r="B3126" s="967"/>
      <c r="C3126" s="1382" t="s">
        <v>1285</v>
      </c>
      <c r="D3126" s="967"/>
      <c r="E3126" s="967"/>
      <c r="F3126" s="970">
        <f>ROUND((G3118+G3119+G3120+F3125)*0.1,2)</f>
        <v>198.7</v>
      </c>
      <c r="G3126" s="970">
        <f>ROUND((G3118+G3119+G3120+G3125)*0.2,2)</f>
        <v>429.19</v>
      </c>
      <c r="H3126" s="964" t="s">
        <v>2313</v>
      </c>
    </row>
    <row r="3127" spans="1:8" hidden="1">
      <c r="A3127" s="967"/>
      <c r="B3127" s="967"/>
      <c r="C3127" s="962" t="s">
        <v>86</v>
      </c>
      <c r="D3127" s="967"/>
      <c r="E3127" s="974">
        <f>SUM(E3123:E3126)</f>
        <v>6926.2300000000005</v>
      </c>
      <c r="F3127" s="974">
        <f>SUM(F3123:F3126)</f>
        <v>7283.96</v>
      </c>
      <c r="G3127" s="971">
        <f>SUM(G3123:G3126)</f>
        <v>7673.4</v>
      </c>
      <c r="H3127" s="964" t="s">
        <v>2313</v>
      </c>
    </row>
    <row r="3128" spans="1:8" ht="142.5" hidden="1">
      <c r="A3128" s="896">
        <v>8</v>
      </c>
      <c r="B3128" s="966" t="s">
        <v>1345</v>
      </c>
      <c r="C3128" s="1382" t="s">
        <v>1301</v>
      </c>
      <c r="D3128" s="967"/>
      <c r="E3128" s="967"/>
      <c r="F3128" s="967"/>
      <c r="G3128" s="966"/>
      <c r="H3128" s="964" t="s">
        <v>2313</v>
      </c>
    </row>
    <row r="3129" spans="1:8" hidden="1">
      <c r="A3129" s="896"/>
      <c r="B3129" s="966"/>
      <c r="C3129" s="962" t="s">
        <v>84</v>
      </c>
      <c r="D3129" s="967"/>
      <c r="E3129" s="967"/>
      <c r="F3129" s="967"/>
      <c r="G3129" s="972"/>
      <c r="H3129" s="964" t="s">
        <v>2313</v>
      </c>
    </row>
    <row r="3130" spans="1:8" hidden="1">
      <c r="A3130" s="896"/>
      <c r="B3130" s="966"/>
      <c r="C3130" s="962" t="s">
        <v>60</v>
      </c>
      <c r="D3130" s="967"/>
      <c r="E3130" s="967"/>
      <c r="F3130" s="967"/>
      <c r="G3130" s="972"/>
      <c r="H3130" s="964" t="s">
        <v>2313</v>
      </c>
    </row>
    <row r="3131" spans="1:8" hidden="1">
      <c r="A3131" s="896"/>
      <c r="B3131" s="966"/>
      <c r="C3131" s="1382" t="s">
        <v>33</v>
      </c>
      <c r="D3131" s="967" t="s">
        <v>4</v>
      </c>
      <c r="E3131" s="970">
        <v>36</v>
      </c>
      <c r="F3131" s="970">
        <f>'lead 22-23'!L8</f>
        <v>4700</v>
      </c>
      <c r="G3131" s="969">
        <f>ROUND(E3131*F3131/1000,2)</f>
        <v>169.2</v>
      </c>
      <c r="H3131" s="964" t="s">
        <v>2313</v>
      </c>
    </row>
    <row r="3132" spans="1:8" hidden="1">
      <c r="A3132" s="896"/>
      <c r="B3132" s="966"/>
      <c r="C3132" s="1382" t="s">
        <v>1300</v>
      </c>
      <c r="D3132" s="967" t="s">
        <v>11</v>
      </c>
      <c r="E3132" s="988">
        <v>512</v>
      </c>
      <c r="F3132" s="970">
        <f>'lead 22-23'!L15</f>
        <v>8716</v>
      </c>
      <c r="G3132" s="969">
        <f>ROUND(E3132*F3132/1000,2)</f>
        <v>4462.59</v>
      </c>
      <c r="H3132" s="964" t="s">
        <v>2313</v>
      </c>
    </row>
    <row r="3133" spans="1:8" hidden="1">
      <c r="A3133" s="896"/>
      <c r="B3133" s="966"/>
      <c r="C3133" s="1382" t="s">
        <v>113</v>
      </c>
      <c r="D3133" s="967" t="s">
        <v>35</v>
      </c>
      <c r="E3133" s="970">
        <v>0.2</v>
      </c>
      <c r="F3133" s="970">
        <f>'lead 22-23'!L12</f>
        <v>1815.9999999999998</v>
      </c>
      <c r="G3133" s="969">
        <f>ROUND(E3133*F3133,2)</f>
        <v>363.2</v>
      </c>
      <c r="H3133" s="964" t="s">
        <v>2313</v>
      </c>
    </row>
    <row r="3134" spans="1:8" hidden="1">
      <c r="A3134" s="967"/>
      <c r="B3134" s="967"/>
      <c r="C3134" s="962" t="s">
        <v>68</v>
      </c>
      <c r="D3134" s="967"/>
      <c r="E3134" s="970"/>
      <c r="F3134" s="970"/>
      <c r="G3134" s="969"/>
      <c r="H3134" s="964" t="s">
        <v>2313</v>
      </c>
    </row>
    <row r="3135" spans="1:8" hidden="1">
      <c r="A3135" s="967"/>
      <c r="B3135" s="967"/>
      <c r="C3135" s="1382" t="s">
        <v>64</v>
      </c>
      <c r="D3135" s="967" t="s">
        <v>27</v>
      </c>
      <c r="E3135" s="970">
        <v>0.24</v>
      </c>
      <c r="F3135" s="970">
        <f>'MINI SSR 2022-23'!$H$3</f>
        <v>630</v>
      </c>
      <c r="G3135" s="969">
        <f>ROUND(E3135*F3135,2)</f>
        <v>151.19999999999999</v>
      </c>
      <c r="H3135" s="964" t="s">
        <v>2313</v>
      </c>
    </row>
    <row r="3136" spans="1:8" hidden="1">
      <c r="A3136" s="967"/>
      <c r="B3136" s="967"/>
      <c r="C3136" s="1382" t="s">
        <v>69</v>
      </c>
      <c r="D3136" s="967" t="s">
        <v>27</v>
      </c>
      <c r="E3136" s="970">
        <v>0.56000000000000005</v>
      </c>
      <c r="F3136" s="970">
        <f>'MINI SSR 2022-23'!$H$4</f>
        <v>565</v>
      </c>
      <c r="G3136" s="969">
        <f>ROUND(E3136*F3136,2)</f>
        <v>316.39999999999998</v>
      </c>
      <c r="H3136" s="964" t="s">
        <v>2313</v>
      </c>
    </row>
    <row r="3137" spans="1:8" hidden="1">
      <c r="A3137" s="967"/>
      <c r="B3137" s="967"/>
      <c r="C3137" s="1382" t="s">
        <v>85</v>
      </c>
      <c r="D3137" s="967" t="s">
        <v>27</v>
      </c>
      <c r="E3137" s="970">
        <v>1.89</v>
      </c>
      <c r="F3137" s="970">
        <f>'MINI SSR 2022-23'!$H$5</f>
        <v>525</v>
      </c>
      <c r="G3137" s="969">
        <f>ROUND(E3137*F3137,2)</f>
        <v>992.25</v>
      </c>
      <c r="H3137" s="964" t="s">
        <v>2313</v>
      </c>
    </row>
    <row r="3138" spans="1:8" hidden="1">
      <c r="A3138" s="967"/>
      <c r="B3138" s="967"/>
      <c r="C3138" s="962" t="s">
        <v>86</v>
      </c>
      <c r="D3138" s="967"/>
      <c r="E3138" s="967"/>
      <c r="F3138" s="967"/>
      <c r="G3138" s="971">
        <f>SUM(G3131:G3137)</f>
        <v>6454.8399999999992</v>
      </c>
      <c r="H3138" s="964" t="s">
        <v>2313</v>
      </c>
    </row>
    <row r="3139" spans="1:8" hidden="1">
      <c r="A3139" s="967"/>
      <c r="B3139" s="967"/>
      <c r="C3139" s="962"/>
      <c r="D3139" s="967"/>
      <c r="E3139" s="966" t="s">
        <v>161</v>
      </c>
      <c r="F3139" s="966" t="s">
        <v>162</v>
      </c>
      <c r="G3139" s="974" t="s">
        <v>163</v>
      </c>
      <c r="H3139" s="964" t="s">
        <v>2313</v>
      </c>
    </row>
    <row r="3140" spans="1:8" hidden="1">
      <c r="A3140" s="967"/>
      <c r="B3140" s="967"/>
      <c r="C3140" s="962" t="s">
        <v>192</v>
      </c>
      <c r="D3140" s="967"/>
      <c r="E3140" s="970">
        <f>G3138</f>
        <v>6454.8399999999992</v>
      </c>
      <c r="F3140" s="970">
        <f>E3140</f>
        <v>6454.8399999999992</v>
      </c>
      <c r="G3140" s="972">
        <f>F3140</f>
        <v>6454.8399999999992</v>
      </c>
      <c r="H3140" s="964" t="s">
        <v>2313</v>
      </c>
    </row>
    <row r="3141" spans="1:8" hidden="1">
      <c r="A3141" s="967"/>
      <c r="B3141" s="967"/>
      <c r="C3141" s="1382" t="s">
        <v>191</v>
      </c>
      <c r="D3141" s="973">
        <v>4.3499999999999996</v>
      </c>
      <c r="E3141" s="967">
        <f>ROUND(D3141*'MINI SSR 2022-23'!E30,2)</f>
        <v>46.89</v>
      </c>
      <c r="F3141" s="967">
        <f>E3141</f>
        <v>46.89</v>
      </c>
      <c r="G3141" s="967">
        <f>F3141</f>
        <v>46.89</v>
      </c>
      <c r="H3141" s="964" t="s">
        <v>2313</v>
      </c>
    </row>
    <row r="3142" spans="1:8" hidden="1">
      <c r="A3142" s="967"/>
      <c r="B3142" s="967"/>
      <c r="C3142" s="1382" t="s">
        <v>193</v>
      </c>
      <c r="D3142" s="973">
        <v>4.3499999999999996</v>
      </c>
      <c r="E3142" s="967">
        <f>ROUND(D3142*'MINI SSR 2022-23'!F30,2)</f>
        <v>368.1</v>
      </c>
      <c r="F3142" s="967">
        <f>ROUND(D3142*'MINI SSR 2022-23'!G30,2)</f>
        <v>527.13</v>
      </c>
      <c r="G3142" s="967">
        <f>ROUND(D3142*'MINI SSR 2022-23'!H30,2)</f>
        <v>686.08</v>
      </c>
      <c r="H3142" s="964" t="s">
        <v>2313</v>
      </c>
    </row>
    <row r="3143" spans="1:8" ht="25.5" hidden="1">
      <c r="A3143" s="967"/>
      <c r="B3143" s="967"/>
      <c r="C3143" s="1382" t="s">
        <v>1285</v>
      </c>
      <c r="D3143" s="967"/>
      <c r="E3143" s="967"/>
      <c r="F3143" s="970">
        <f>ROUND((G3135+G3136+G3137+F3142)*0.1,2)</f>
        <v>198.7</v>
      </c>
      <c r="G3143" s="970">
        <f>ROUND((G3135+G3136+G3137+G3142)*0.2,2)</f>
        <v>429.19</v>
      </c>
      <c r="H3143" s="964" t="s">
        <v>2313</v>
      </c>
    </row>
    <row r="3144" spans="1:8" hidden="1">
      <c r="A3144" s="967"/>
      <c r="B3144" s="967"/>
      <c r="C3144" s="962" t="s">
        <v>86</v>
      </c>
      <c r="D3144" s="967"/>
      <c r="E3144" s="974">
        <f>SUM(E3140:E3143)</f>
        <v>6869.83</v>
      </c>
      <c r="F3144" s="974">
        <f>SUM(F3140:F3143)</f>
        <v>7227.5599999999995</v>
      </c>
      <c r="G3144" s="971">
        <f>SUM(G3140:G3143)</f>
        <v>7616.9999999999991</v>
      </c>
      <c r="H3144" s="964" t="s">
        <v>2313</v>
      </c>
    </row>
    <row r="3145" spans="1:8" ht="102" hidden="1">
      <c r="A3145" s="896">
        <v>21</v>
      </c>
      <c r="B3145" s="966" t="s">
        <v>221</v>
      </c>
      <c r="C3145" s="1382" t="s">
        <v>3684</v>
      </c>
      <c r="D3145" s="967"/>
      <c r="E3145" s="967"/>
      <c r="F3145" s="967"/>
      <c r="G3145" s="966"/>
      <c r="H3145" s="964" t="s">
        <v>2313</v>
      </c>
    </row>
    <row r="3146" spans="1:8" hidden="1">
      <c r="A3146" s="896"/>
      <c r="B3146" s="966"/>
      <c r="C3146" s="962" t="s">
        <v>222</v>
      </c>
      <c r="D3146" s="967"/>
      <c r="E3146" s="967"/>
      <c r="F3146" s="967"/>
      <c r="G3146" s="972"/>
      <c r="H3146" s="964" t="s">
        <v>2313</v>
      </c>
    </row>
    <row r="3147" spans="1:8" hidden="1">
      <c r="A3147" s="896"/>
      <c r="B3147" s="966"/>
      <c r="C3147" s="962" t="s">
        <v>60</v>
      </c>
      <c r="D3147" s="967"/>
      <c r="E3147" s="967"/>
      <c r="F3147" s="967"/>
      <c r="G3147" s="972"/>
      <c r="H3147" s="964" t="s">
        <v>2313</v>
      </c>
    </row>
    <row r="3148" spans="1:8" hidden="1">
      <c r="A3148" s="896"/>
      <c r="B3148" s="966"/>
      <c r="C3148" s="1382" t="s">
        <v>33</v>
      </c>
      <c r="D3148" s="967" t="s">
        <v>4</v>
      </c>
      <c r="E3148" s="970">
        <v>72</v>
      </c>
      <c r="F3148" s="970">
        <f>'lead 22-23'!L8</f>
        <v>4700</v>
      </c>
      <c r="G3148" s="969">
        <f>ROUND(E3148*F3148/1000,2)</f>
        <v>338.4</v>
      </c>
      <c r="H3148" s="964" t="s">
        <v>2313</v>
      </c>
    </row>
    <row r="3149" spans="1:8" hidden="1">
      <c r="A3149" s="896"/>
      <c r="B3149" s="966"/>
      <c r="C3149" s="1382" t="s">
        <v>1302</v>
      </c>
      <c r="D3149" s="967" t="s">
        <v>11</v>
      </c>
      <c r="E3149" s="988">
        <v>565</v>
      </c>
      <c r="F3149" s="970">
        <f>'lead 22-23'!L15</f>
        <v>8716</v>
      </c>
      <c r="G3149" s="969">
        <f>ROUND(E3149*F3149/1000,2)</f>
        <v>4924.54</v>
      </c>
      <c r="H3149" s="964" t="s">
        <v>2313</v>
      </c>
    </row>
    <row r="3150" spans="1:8" hidden="1">
      <c r="A3150" s="896"/>
      <c r="B3150" s="966"/>
      <c r="C3150" s="1382" t="s">
        <v>113</v>
      </c>
      <c r="D3150" s="967" t="s">
        <v>35</v>
      </c>
      <c r="E3150" s="970">
        <v>0.22</v>
      </c>
      <c r="F3150" s="970">
        <f>'lead 22-23'!L12</f>
        <v>1815.9999999999998</v>
      </c>
      <c r="G3150" s="969">
        <f>ROUND(E3150*F3150,2)</f>
        <v>399.52</v>
      </c>
      <c r="H3150" s="964" t="s">
        <v>2313</v>
      </c>
    </row>
    <row r="3151" spans="1:8" hidden="1">
      <c r="A3151" s="967"/>
      <c r="B3151" s="967"/>
      <c r="C3151" s="962" t="s">
        <v>68</v>
      </c>
      <c r="D3151" s="967"/>
      <c r="E3151" s="970"/>
      <c r="F3151" s="970"/>
      <c r="G3151" s="969"/>
      <c r="H3151" s="964" t="s">
        <v>2313</v>
      </c>
    </row>
    <row r="3152" spans="1:8" hidden="1">
      <c r="A3152" s="967"/>
      <c r="B3152" s="967"/>
      <c r="C3152" s="1382" t="s">
        <v>64</v>
      </c>
      <c r="D3152" s="967" t="s">
        <v>27</v>
      </c>
      <c r="E3152" s="970">
        <v>0.6</v>
      </c>
      <c r="F3152" s="970">
        <f>'MINI SSR 2022-23'!$H$3</f>
        <v>630</v>
      </c>
      <c r="G3152" s="969">
        <f>ROUND(E3152*F3152,2)</f>
        <v>378</v>
      </c>
      <c r="H3152" s="964" t="s">
        <v>2313</v>
      </c>
    </row>
    <row r="3153" spans="1:8" hidden="1">
      <c r="A3153" s="967"/>
      <c r="B3153" s="967"/>
      <c r="C3153" s="1382" t="s">
        <v>69</v>
      </c>
      <c r="D3153" s="967" t="s">
        <v>27</v>
      </c>
      <c r="E3153" s="970">
        <v>0.6</v>
      </c>
      <c r="F3153" s="970">
        <f>'MINI SSR 2022-23'!$H$4</f>
        <v>565</v>
      </c>
      <c r="G3153" s="969">
        <f>ROUND(E3153*F3153,2)</f>
        <v>339</v>
      </c>
      <c r="H3153" s="964" t="s">
        <v>2313</v>
      </c>
    </row>
    <row r="3154" spans="1:8" hidden="1">
      <c r="A3154" s="967"/>
      <c r="B3154" s="967"/>
      <c r="C3154" s="1382" t="s">
        <v>85</v>
      </c>
      <c r="D3154" s="967" t="s">
        <v>27</v>
      </c>
      <c r="E3154" s="970">
        <v>2.75</v>
      </c>
      <c r="F3154" s="970">
        <f>'MINI SSR 2022-23'!$H$5</f>
        <v>525</v>
      </c>
      <c r="G3154" s="969">
        <f>ROUND(E3154*F3154,2)</f>
        <v>1443.75</v>
      </c>
      <c r="H3154" s="964" t="s">
        <v>2313</v>
      </c>
    </row>
    <row r="3155" spans="1:8" hidden="1">
      <c r="A3155" s="967"/>
      <c r="B3155" s="967"/>
      <c r="C3155" s="962" t="s">
        <v>88</v>
      </c>
      <c r="D3155" s="967"/>
      <c r="E3155" s="970"/>
      <c r="F3155" s="970"/>
      <c r="G3155" s="969">
        <f>SUM(G3148:G3154)</f>
        <v>7823.2099999999991</v>
      </c>
      <c r="H3155" s="964" t="s">
        <v>2313</v>
      </c>
    </row>
    <row r="3156" spans="1:8" hidden="1">
      <c r="A3156" s="967"/>
      <c r="B3156" s="967"/>
      <c r="C3156" s="962"/>
      <c r="D3156" s="967"/>
      <c r="E3156" s="966" t="s">
        <v>161</v>
      </c>
      <c r="F3156" s="974" t="s">
        <v>162</v>
      </c>
      <c r="G3156" s="974" t="s">
        <v>163</v>
      </c>
      <c r="H3156" s="964" t="s">
        <v>2313</v>
      </c>
    </row>
    <row r="3157" spans="1:8" hidden="1">
      <c r="A3157" s="967"/>
      <c r="B3157" s="967"/>
      <c r="C3157" s="962" t="s">
        <v>192</v>
      </c>
      <c r="D3157" s="967"/>
      <c r="E3157" s="970">
        <f>G3155</f>
        <v>7823.2099999999991</v>
      </c>
      <c r="F3157" s="972">
        <f>G3155</f>
        <v>7823.2099999999991</v>
      </c>
      <c r="G3157" s="972">
        <f>G3155</f>
        <v>7823.2099999999991</v>
      </c>
      <c r="H3157" s="964" t="s">
        <v>2313</v>
      </c>
    </row>
    <row r="3158" spans="1:8" hidden="1">
      <c r="A3158" s="967"/>
      <c r="B3158" s="967"/>
      <c r="C3158" s="1382" t="s">
        <v>1645</v>
      </c>
      <c r="D3158" s="973">
        <v>8.6999999999999993</v>
      </c>
      <c r="E3158" s="967">
        <f>ROUND(D3158*'MINI SSR 2022-23'!E30,2)</f>
        <v>93.79</v>
      </c>
      <c r="F3158" s="975">
        <f>E3158</f>
        <v>93.79</v>
      </c>
      <c r="G3158" s="975">
        <f>F3158</f>
        <v>93.79</v>
      </c>
      <c r="H3158" s="964" t="s">
        <v>2313</v>
      </c>
    </row>
    <row r="3159" spans="1:8" hidden="1">
      <c r="A3159" s="967"/>
      <c r="B3159" s="967"/>
      <c r="C3159" s="1382" t="s">
        <v>1646</v>
      </c>
      <c r="D3159" s="973">
        <v>8.6999999999999993</v>
      </c>
      <c r="E3159" s="970">
        <f>8.7*'MINI SSR 2022-23'!F30</f>
        <v>736.19399999999996</v>
      </c>
      <c r="F3159" s="970">
        <f>8.7*'MINI SSR 2022-23'!G30</f>
        <v>1054.2660000000001</v>
      </c>
      <c r="G3159" s="970">
        <f>8.7*'MINI SSR 2022-23'!H30</f>
        <v>1372.164</v>
      </c>
      <c r="H3159" s="964" t="s">
        <v>2313</v>
      </c>
    </row>
    <row r="3160" spans="1:8" ht="25.5" hidden="1">
      <c r="A3160" s="967"/>
      <c r="B3160" s="967"/>
      <c r="C3160" s="1382" t="s">
        <v>1285</v>
      </c>
      <c r="D3160" s="967"/>
      <c r="E3160" s="967"/>
      <c r="F3160" s="989">
        <f>(SUM(G3152:G3154)+F3159)*10%</f>
        <v>321.50160000000005</v>
      </c>
      <c r="G3160" s="989">
        <f>(SUM(G3152:G3154)+G3159)*20%</f>
        <v>706.58280000000002</v>
      </c>
      <c r="H3160" s="964" t="s">
        <v>2313</v>
      </c>
    </row>
    <row r="3161" spans="1:8" hidden="1">
      <c r="A3161" s="967"/>
      <c r="B3161" s="967"/>
      <c r="C3161" s="962" t="s">
        <v>900</v>
      </c>
      <c r="D3161" s="967"/>
      <c r="E3161" s="974">
        <f>SUM(E3157:E3160)</f>
        <v>8653.1939999999995</v>
      </c>
      <c r="F3161" s="971">
        <f>SUM(F3157:F3160)</f>
        <v>9292.7675999999992</v>
      </c>
      <c r="G3161" s="971">
        <f>SUM(G3157:G3160)</f>
        <v>9995.746799999999</v>
      </c>
      <c r="H3161" s="964" t="s">
        <v>2313</v>
      </c>
    </row>
    <row r="3162" spans="1:8" hidden="1">
      <c r="A3162" s="967"/>
      <c r="B3162" s="967"/>
      <c r="C3162" s="962" t="s">
        <v>121</v>
      </c>
      <c r="D3162" s="967"/>
      <c r="E3162" s="974">
        <f>ROUND(E3161/10,2)</f>
        <v>865.32</v>
      </c>
      <c r="F3162" s="971">
        <f>ROUND(F3161/10,2)</f>
        <v>929.28</v>
      </c>
      <c r="G3162" s="971">
        <f>ROUND(G3161/10,2)</f>
        <v>999.57</v>
      </c>
      <c r="H3162" s="964" t="s">
        <v>2313</v>
      </c>
    </row>
    <row r="3163" spans="1:8" ht="127.5" hidden="1">
      <c r="A3163" s="896">
        <v>30</v>
      </c>
      <c r="B3163" s="966" t="s">
        <v>1317</v>
      </c>
      <c r="C3163" s="1382" t="s">
        <v>1194</v>
      </c>
      <c r="D3163" s="967"/>
      <c r="E3163" s="967"/>
      <c r="F3163" s="967"/>
      <c r="G3163" s="966"/>
      <c r="H3163" s="964" t="s">
        <v>2313</v>
      </c>
    </row>
    <row r="3164" spans="1:8" hidden="1">
      <c r="A3164" s="896"/>
      <c r="B3164" s="966"/>
      <c r="C3164" s="962" t="s">
        <v>84</v>
      </c>
      <c r="D3164" s="967"/>
      <c r="E3164" s="967"/>
      <c r="F3164" s="967"/>
      <c r="G3164" s="972"/>
      <c r="H3164" s="964" t="s">
        <v>2313</v>
      </c>
    </row>
    <row r="3165" spans="1:8" hidden="1">
      <c r="A3165" s="896"/>
      <c r="B3165" s="966"/>
      <c r="C3165" s="962" t="s">
        <v>60</v>
      </c>
      <c r="D3165" s="967"/>
      <c r="E3165" s="967"/>
      <c r="F3165" s="967"/>
      <c r="G3165" s="972"/>
      <c r="H3165" s="964" t="s">
        <v>2313</v>
      </c>
    </row>
    <row r="3166" spans="1:8" ht="25.5" hidden="1">
      <c r="A3166" s="896"/>
      <c r="B3166" s="966"/>
      <c r="C3166" s="1382" t="s">
        <v>1197</v>
      </c>
      <c r="D3166" s="967" t="s">
        <v>11</v>
      </c>
      <c r="E3166" s="988">
        <v>110</v>
      </c>
      <c r="F3166" s="970">
        <f>'MINI SSR 2022-23'!C27</f>
        <v>30</v>
      </c>
      <c r="G3166" s="969">
        <f>ROUND(E3166*F3166,2)</f>
        <v>3300</v>
      </c>
      <c r="H3166" s="964" t="s">
        <v>2313</v>
      </c>
    </row>
    <row r="3167" spans="1:8" hidden="1">
      <c r="A3167" s="896"/>
      <c r="B3167" s="966"/>
      <c r="C3167" s="1382" t="s">
        <v>1195</v>
      </c>
      <c r="D3167" s="967" t="s">
        <v>35</v>
      </c>
      <c r="E3167" s="970">
        <v>0.1</v>
      </c>
      <c r="F3167" s="970">
        <f>G2777</f>
        <v>3139.8</v>
      </c>
      <c r="G3167" s="969">
        <f>ROUND(E3167*F3167,2)</f>
        <v>313.98</v>
      </c>
      <c r="H3167" s="964" t="s">
        <v>2313</v>
      </c>
    </row>
    <row r="3168" spans="1:8" hidden="1">
      <c r="A3168" s="967"/>
      <c r="B3168" s="967"/>
      <c r="C3168" s="962" t="s">
        <v>68</v>
      </c>
      <c r="D3168" s="967"/>
      <c r="E3168" s="970"/>
      <c r="F3168" s="970"/>
      <c r="G3168" s="969"/>
      <c r="H3168" s="964" t="s">
        <v>2313</v>
      </c>
    </row>
    <row r="3169" spans="1:8" hidden="1">
      <c r="A3169" s="967"/>
      <c r="B3169" s="967"/>
      <c r="C3169" s="1382" t="s">
        <v>64</v>
      </c>
      <c r="D3169" s="967" t="s">
        <v>27</v>
      </c>
      <c r="E3169" s="970">
        <v>0.42</v>
      </c>
      <c r="F3169" s="970">
        <f>'MINI SSR 2022-23'!$H$3</f>
        <v>630</v>
      </c>
      <c r="G3169" s="969">
        <f>ROUND(E3169*F3169,2)</f>
        <v>264.60000000000002</v>
      </c>
      <c r="H3169" s="964" t="s">
        <v>2313</v>
      </c>
    </row>
    <row r="3170" spans="1:8" hidden="1">
      <c r="A3170" s="967"/>
      <c r="B3170" s="967"/>
      <c r="C3170" s="1382" t="s">
        <v>69</v>
      </c>
      <c r="D3170" s="967" t="s">
        <v>27</v>
      </c>
      <c r="E3170" s="970">
        <v>0.92</v>
      </c>
      <c r="F3170" s="970">
        <f>'MINI SSR 2022-23'!$H$4</f>
        <v>565</v>
      </c>
      <c r="G3170" s="969">
        <f>ROUND(E3170*F3170,2)</f>
        <v>519.79999999999995</v>
      </c>
      <c r="H3170" s="964" t="s">
        <v>2313</v>
      </c>
    </row>
    <row r="3171" spans="1:8" hidden="1">
      <c r="A3171" s="967"/>
      <c r="B3171" s="967"/>
      <c r="C3171" s="1382" t="s">
        <v>375</v>
      </c>
      <c r="D3171" s="967" t="s">
        <v>27</v>
      </c>
      <c r="E3171" s="970">
        <v>0.7</v>
      </c>
      <c r="F3171" s="970">
        <f>'MINI SSR 2022-23'!$H$5</f>
        <v>525</v>
      </c>
      <c r="G3171" s="969">
        <f>ROUND(E3171*F3171,2)</f>
        <v>367.5</v>
      </c>
      <c r="H3171" s="964" t="s">
        <v>2313</v>
      </c>
    </row>
    <row r="3172" spans="1:8" hidden="1">
      <c r="A3172" s="967"/>
      <c r="B3172" s="967"/>
      <c r="C3172" s="1382" t="s">
        <v>1196</v>
      </c>
      <c r="D3172" s="967" t="s">
        <v>27</v>
      </c>
      <c r="E3172" s="970">
        <v>2.1</v>
      </c>
      <c r="F3172" s="970">
        <f>'MINI SSR 2022-23'!$H$5</f>
        <v>525</v>
      </c>
      <c r="G3172" s="969">
        <f>ROUND(E3172*F3172,2)</f>
        <v>1102.5</v>
      </c>
      <c r="H3172" s="964" t="s">
        <v>2313</v>
      </c>
    </row>
    <row r="3173" spans="1:8" hidden="1">
      <c r="A3173" s="967"/>
      <c r="B3173" s="967"/>
      <c r="C3173" s="962" t="s">
        <v>86</v>
      </c>
      <c r="D3173" s="967"/>
      <c r="E3173" s="967"/>
      <c r="F3173" s="967"/>
      <c r="G3173" s="971">
        <f>SUM(G3166:G3172)</f>
        <v>5868.38</v>
      </c>
      <c r="H3173" s="964" t="s">
        <v>2313</v>
      </c>
    </row>
    <row r="3174" spans="1:8" hidden="1">
      <c r="A3174" s="967"/>
      <c r="B3174" s="967"/>
      <c r="C3174" s="962"/>
      <c r="D3174" s="967"/>
      <c r="E3174" s="966" t="s">
        <v>161</v>
      </c>
      <c r="F3174" s="974" t="s">
        <v>162</v>
      </c>
      <c r="G3174" s="974" t="s">
        <v>163</v>
      </c>
      <c r="H3174" s="964" t="s">
        <v>2313</v>
      </c>
    </row>
    <row r="3175" spans="1:8" hidden="1">
      <c r="A3175" s="967"/>
      <c r="B3175" s="967"/>
      <c r="C3175" s="962" t="s">
        <v>192</v>
      </c>
      <c r="D3175" s="967"/>
      <c r="E3175" s="970">
        <f>G3173</f>
        <v>5868.38</v>
      </c>
      <c r="F3175" s="972">
        <f>G3173</f>
        <v>5868.38</v>
      </c>
      <c r="G3175" s="972">
        <f>G3173*1</f>
        <v>5868.38</v>
      </c>
      <c r="H3175" s="964" t="s">
        <v>2313</v>
      </c>
    </row>
    <row r="3176" spans="1:8" hidden="1">
      <c r="A3176" s="967"/>
      <c r="B3176" s="967"/>
      <c r="C3176" s="1382" t="s">
        <v>1647</v>
      </c>
      <c r="D3176" s="973">
        <v>4.3499999999999996</v>
      </c>
      <c r="E3176" s="967">
        <f>ROUND(10.32*D3176,2)</f>
        <v>44.89</v>
      </c>
      <c r="F3176" s="975">
        <f>E3176</f>
        <v>44.89</v>
      </c>
      <c r="G3176" s="975">
        <f>F3176</f>
        <v>44.89</v>
      </c>
      <c r="H3176" s="964" t="s">
        <v>2313</v>
      </c>
    </row>
    <row r="3177" spans="1:8" hidden="1">
      <c r="A3177" s="967"/>
      <c r="B3177" s="967"/>
      <c r="C3177" s="1382" t="s">
        <v>1648</v>
      </c>
      <c r="D3177" s="973">
        <v>4.3499999999999996</v>
      </c>
      <c r="E3177" s="967">
        <f>ROUND('MINI SSR 2022-23'!F30*$D$3177,2)</f>
        <v>368.1</v>
      </c>
      <c r="F3177" s="967">
        <f>ROUND('MINI SSR 2022-23'!G30*$D$3177,2)</f>
        <v>527.13</v>
      </c>
      <c r="G3177" s="967">
        <f>ROUND('MINI SSR 2022-23'!H30*$D$3177,2)</f>
        <v>686.08</v>
      </c>
      <c r="H3177" s="964" t="s">
        <v>2313</v>
      </c>
    </row>
    <row r="3178" spans="1:8" ht="25.5" hidden="1">
      <c r="A3178" s="967"/>
      <c r="B3178" s="967"/>
      <c r="C3178" s="1382" t="s">
        <v>1285</v>
      </c>
      <c r="D3178" s="967"/>
      <c r="E3178" s="967"/>
      <c r="F3178" s="975">
        <f>ROUND((G3169+G3170+G3172+G3171+F3177)*0.1,2)</f>
        <v>278.14999999999998</v>
      </c>
      <c r="G3178" s="975">
        <f>ROUND((G3169+G3170+G3172+G3171+G3177)*0.2,2)</f>
        <v>588.1</v>
      </c>
      <c r="H3178" s="964" t="s">
        <v>2313</v>
      </c>
    </row>
    <row r="3179" spans="1:8" hidden="1">
      <c r="A3179" s="967"/>
      <c r="B3179" s="967"/>
      <c r="C3179" s="962" t="s">
        <v>86</v>
      </c>
      <c r="D3179" s="967"/>
      <c r="E3179" s="974">
        <f>SUM(E3175:E3178)</f>
        <v>6281.3700000000008</v>
      </c>
      <c r="F3179" s="971">
        <f>SUM(F3175:F3178)</f>
        <v>6718.55</v>
      </c>
      <c r="G3179" s="971">
        <f>SUM(G3175:G3178)</f>
        <v>7187.4500000000007</v>
      </c>
      <c r="H3179" s="964" t="s">
        <v>2313</v>
      </c>
    </row>
    <row r="3180" spans="1:8" ht="89.25" hidden="1">
      <c r="A3180" s="896">
        <v>9</v>
      </c>
      <c r="B3180" s="966" t="s">
        <v>87</v>
      </c>
      <c r="C3180" s="1382" t="s">
        <v>1303</v>
      </c>
      <c r="D3180" s="967"/>
      <c r="E3180" s="967"/>
      <c r="F3180" s="967"/>
      <c r="G3180" s="966"/>
      <c r="H3180" s="964" t="s">
        <v>2313</v>
      </c>
    </row>
    <row r="3181" spans="1:8" hidden="1">
      <c r="A3181" s="896"/>
      <c r="B3181" s="966"/>
      <c r="C3181" s="962" t="s">
        <v>42</v>
      </c>
      <c r="D3181" s="967"/>
      <c r="E3181" s="967"/>
      <c r="F3181" s="967"/>
      <c r="G3181" s="972"/>
      <c r="H3181" s="964" t="s">
        <v>2313</v>
      </c>
    </row>
    <row r="3182" spans="1:8" hidden="1">
      <c r="A3182" s="896"/>
      <c r="B3182" s="966"/>
      <c r="C3182" s="962" t="s">
        <v>60</v>
      </c>
      <c r="D3182" s="966"/>
      <c r="E3182" s="966"/>
      <c r="F3182" s="966"/>
      <c r="G3182" s="972"/>
      <c r="H3182" s="964" t="s">
        <v>2313</v>
      </c>
    </row>
    <row r="3183" spans="1:8" hidden="1">
      <c r="A3183" s="896"/>
      <c r="B3183" s="966"/>
      <c r="C3183" s="1382" t="s">
        <v>43</v>
      </c>
      <c r="D3183" s="967" t="s">
        <v>35</v>
      </c>
      <c r="E3183" s="970">
        <v>0.15</v>
      </c>
      <c r="F3183" s="970">
        <f>G2762</f>
        <v>4267.8</v>
      </c>
      <c r="G3183" s="969">
        <f>ROUND(E3183*F3183,2)</f>
        <v>640.16999999999996</v>
      </c>
      <c r="H3183" s="964" t="s">
        <v>2313</v>
      </c>
    </row>
    <row r="3184" spans="1:8" hidden="1">
      <c r="A3184" s="967"/>
      <c r="B3184" s="967"/>
      <c r="C3184" s="962" t="s">
        <v>68</v>
      </c>
      <c r="D3184" s="967"/>
      <c r="E3184" s="970"/>
      <c r="F3184" s="970"/>
      <c r="G3184" s="969"/>
      <c r="H3184" s="964" t="s">
        <v>2313</v>
      </c>
    </row>
    <row r="3185" spans="1:8" hidden="1">
      <c r="A3185" s="967"/>
      <c r="B3185" s="967"/>
      <c r="C3185" s="1382" t="s">
        <v>64</v>
      </c>
      <c r="D3185" s="967" t="s">
        <v>27</v>
      </c>
      <c r="E3185" s="970">
        <v>0.45</v>
      </c>
      <c r="F3185" s="970">
        <f>'MINI SSR 2022-23'!$H$3</f>
        <v>630</v>
      </c>
      <c r="G3185" s="969">
        <f>ROUND(E3185*F3185,2)</f>
        <v>283.5</v>
      </c>
      <c r="H3185" s="964" t="s">
        <v>2313</v>
      </c>
    </row>
    <row r="3186" spans="1:8" hidden="1">
      <c r="A3186" s="967"/>
      <c r="B3186" s="967"/>
      <c r="C3186" s="1382" t="s">
        <v>69</v>
      </c>
      <c r="D3186" s="967" t="s">
        <v>27</v>
      </c>
      <c r="E3186" s="970">
        <v>1.05</v>
      </c>
      <c r="F3186" s="970">
        <f>'MINI SSR 2022-23'!$H$4</f>
        <v>565</v>
      </c>
      <c r="G3186" s="969">
        <f>ROUND(E3186*F3186,2)</f>
        <v>593.25</v>
      </c>
      <c r="H3186" s="964" t="s">
        <v>2313</v>
      </c>
    </row>
    <row r="3187" spans="1:8" hidden="1">
      <c r="A3187" s="967"/>
      <c r="B3187" s="967"/>
      <c r="C3187" s="1382" t="s">
        <v>85</v>
      </c>
      <c r="D3187" s="967" t="s">
        <v>27</v>
      </c>
      <c r="E3187" s="970">
        <v>2.8</v>
      </c>
      <c r="F3187" s="970">
        <f>'MINI SSR 2022-23'!$H$5</f>
        <v>525</v>
      </c>
      <c r="G3187" s="969">
        <f>ROUND(E3187*F3187,2)</f>
        <v>1470</v>
      </c>
      <c r="H3187" s="964" t="s">
        <v>2313</v>
      </c>
    </row>
    <row r="3188" spans="1:8" hidden="1">
      <c r="A3188" s="967"/>
      <c r="B3188" s="967"/>
      <c r="C3188" s="962" t="s">
        <v>88</v>
      </c>
      <c r="D3188" s="967"/>
      <c r="E3188" s="967"/>
      <c r="F3188" s="967"/>
      <c r="G3188" s="963">
        <f>SUM(G3183:G3187)</f>
        <v>2986.92</v>
      </c>
      <c r="H3188" s="964" t="s">
        <v>2313</v>
      </c>
    </row>
    <row r="3189" spans="1:8" hidden="1">
      <c r="A3189" s="967"/>
      <c r="B3189" s="967"/>
      <c r="C3189" s="962"/>
      <c r="D3189" s="967"/>
      <c r="E3189" s="966" t="s">
        <v>161</v>
      </c>
      <c r="F3189" s="966" t="s">
        <v>162</v>
      </c>
      <c r="G3189" s="974" t="s">
        <v>163</v>
      </c>
      <c r="H3189" s="964" t="s">
        <v>2313</v>
      </c>
    </row>
    <row r="3190" spans="1:8" hidden="1">
      <c r="A3190" s="967"/>
      <c r="B3190" s="967"/>
      <c r="C3190" s="962" t="s">
        <v>1273</v>
      </c>
      <c r="D3190" s="967"/>
      <c r="E3190" s="970">
        <f>G3188</f>
        <v>2986.92</v>
      </c>
      <c r="F3190" s="970">
        <f>G3188</f>
        <v>2986.92</v>
      </c>
      <c r="G3190" s="972">
        <f>G3188</f>
        <v>2986.92</v>
      </c>
      <c r="H3190" s="964" t="s">
        <v>2313</v>
      </c>
    </row>
    <row r="3191" spans="1:8" hidden="1">
      <c r="A3191" s="967"/>
      <c r="B3191" s="967"/>
      <c r="C3191" s="1382" t="s">
        <v>1649</v>
      </c>
      <c r="D3191" s="970">
        <v>10</v>
      </c>
      <c r="E3191" s="970">
        <f>ROUND(D3191*'MINI SSR 2022-23'!E33,2)</f>
        <v>25.7</v>
      </c>
      <c r="F3191" s="970">
        <f>E3191</f>
        <v>25.7</v>
      </c>
      <c r="G3191" s="972">
        <f>E3191</f>
        <v>25.7</v>
      </c>
      <c r="H3191" s="964" t="s">
        <v>2313</v>
      </c>
    </row>
    <row r="3192" spans="1:8" hidden="1">
      <c r="A3192" s="967"/>
      <c r="B3192" s="967"/>
      <c r="C3192" s="1382" t="s">
        <v>1650</v>
      </c>
      <c r="D3192" s="970">
        <v>10</v>
      </c>
      <c r="E3192" s="970">
        <f>ROUND(D3192*'MINI SSR 2022-23'!F33,2)</f>
        <v>169.4</v>
      </c>
      <c r="F3192" s="970">
        <f>ROUND(D3192*'MINI SSR 2022-23'!G33,2)</f>
        <v>240.4</v>
      </c>
      <c r="G3192" s="972">
        <f>ROUND(D3192*'MINI SSR 2022-23'!H33,2)</f>
        <v>311.3</v>
      </c>
      <c r="H3192" s="964" t="s">
        <v>2313</v>
      </c>
    </row>
    <row r="3193" spans="1:8" ht="25.5" hidden="1">
      <c r="A3193" s="967"/>
      <c r="B3193" s="967"/>
      <c r="C3193" s="1382" t="s">
        <v>1285</v>
      </c>
      <c r="D3193" s="967"/>
      <c r="E3193" s="967"/>
      <c r="F3193" s="970">
        <f>ROUND((G3185+G3186+G3187+F3192)*0.1,2)</f>
        <v>258.72000000000003</v>
      </c>
      <c r="G3193" s="972">
        <f>ROUND((G3185+G3186+G3187+G3192)*0.2,2)</f>
        <v>531.61</v>
      </c>
      <c r="H3193" s="964" t="s">
        <v>2313</v>
      </c>
    </row>
    <row r="3194" spans="1:8" hidden="1">
      <c r="A3194" s="967"/>
      <c r="B3194" s="967"/>
      <c r="C3194" s="962" t="s">
        <v>88</v>
      </c>
      <c r="D3194" s="967"/>
      <c r="E3194" s="970">
        <f>SUM(E3190:E3193)</f>
        <v>3182.02</v>
      </c>
      <c r="F3194" s="970">
        <f>SUM(F3190:F3193)</f>
        <v>3511.74</v>
      </c>
      <c r="G3194" s="972">
        <f>SUM(G3190:G3193)</f>
        <v>3855.53</v>
      </c>
      <c r="H3194" s="964" t="s">
        <v>2313</v>
      </c>
    </row>
    <row r="3195" spans="1:8" hidden="1">
      <c r="A3195" s="967"/>
      <c r="B3195" s="967"/>
      <c r="C3195" s="962" t="s">
        <v>121</v>
      </c>
      <c r="D3195" s="967"/>
      <c r="E3195" s="974">
        <f>ROUND(E3194/10,2)</f>
        <v>318.2</v>
      </c>
      <c r="F3195" s="974">
        <f>ROUND(F3194/10,2)</f>
        <v>351.17</v>
      </c>
      <c r="G3195" s="971">
        <f>ROUND(G3194/10,2)</f>
        <v>385.55</v>
      </c>
      <c r="H3195" s="964" t="s">
        <v>2313</v>
      </c>
    </row>
    <row r="3196" spans="1:8" ht="89.25" hidden="1">
      <c r="A3196" s="896">
        <v>5</v>
      </c>
      <c r="B3196" s="966" t="s">
        <v>89</v>
      </c>
      <c r="C3196" s="1382" t="s">
        <v>1304</v>
      </c>
      <c r="D3196" s="967"/>
      <c r="E3196" s="967"/>
      <c r="F3196" s="967"/>
      <c r="G3196" s="966"/>
      <c r="H3196" s="964" t="s">
        <v>2313</v>
      </c>
    </row>
    <row r="3197" spans="1:8" hidden="1">
      <c r="A3197" s="896"/>
      <c r="B3197" s="966"/>
      <c r="C3197" s="962" t="s">
        <v>42</v>
      </c>
      <c r="D3197" s="967"/>
      <c r="E3197" s="967"/>
      <c r="F3197" s="967"/>
      <c r="G3197" s="972"/>
      <c r="H3197" s="964" t="s">
        <v>2313</v>
      </c>
    </row>
    <row r="3198" spans="1:8" hidden="1">
      <c r="A3198" s="896"/>
      <c r="B3198" s="966"/>
      <c r="C3198" s="962" t="s">
        <v>60</v>
      </c>
      <c r="D3198" s="966"/>
      <c r="E3198" s="966"/>
      <c r="F3198" s="966"/>
      <c r="G3198" s="972"/>
      <c r="H3198" s="964" t="s">
        <v>2313</v>
      </c>
    </row>
    <row r="3199" spans="1:8" hidden="1">
      <c r="A3199" s="896"/>
      <c r="B3199" s="966"/>
      <c r="C3199" s="1382" t="s">
        <v>48</v>
      </c>
      <c r="D3199" s="967" t="s">
        <v>35</v>
      </c>
      <c r="E3199" s="970">
        <v>0.15</v>
      </c>
      <c r="F3199" s="970">
        <f>G2772</f>
        <v>3365.3999999999996</v>
      </c>
      <c r="G3199" s="969">
        <f>ROUND(E3199*F3199,2)</f>
        <v>504.81</v>
      </c>
      <c r="H3199" s="964" t="s">
        <v>2313</v>
      </c>
    </row>
    <row r="3200" spans="1:8" hidden="1">
      <c r="A3200" s="967"/>
      <c r="B3200" s="967"/>
      <c r="C3200" s="962" t="s">
        <v>68</v>
      </c>
      <c r="D3200" s="967"/>
      <c r="E3200" s="970"/>
      <c r="F3200" s="970"/>
      <c r="G3200" s="969"/>
      <c r="H3200" s="964" t="s">
        <v>2313</v>
      </c>
    </row>
    <row r="3201" spans="1:8" hidden="1">
      <c r="A3201" s="967"/>
      <c r="B3201" s="967"/>
      <c r="C3201" s="1382" t="s">
        <v>64</v>
      </c>
      <c r="D3201" s="967" t="s">
        <v>27</v>
      </c>
      <c r="E3201" s="970">
        <v>0.45</v>
      </c>
      <c r="F3201" s="970">
        <f>'MINI SSR 2022-23'!$H$3</f>
        <v>630</v>
      </c>
      <c r="G3201" s="969">
        <f>ROUND(E3201*F3201,2)</f>
        <v>283.5</v>
      </c>
      <c r="H3201" s="964" t="s">
        <v>2313</v>
      </c>
    </row>
    <row r="3202" spans="1:8" hidden="1">
      <c r="A3202" s="967"/>
      <c r="B3202" s="967"/>
      <c r="C3202" s="1382" t="s">
        <v>69</v>
      </c>
      <c r="D3202" s="967" t="s">
        <v>27</v>
      </c>
      <c r="E3202" s="970">
        <v>1.05</v>
      </c>
      <c r="F3202" s="970">
        <f>'MINI SSR 2022-23'!$H$4</f>
        <v>565</v>
      </c>
      <c r="G3202" s="969">
        <f>ROUND(E3202*F3202,2)</f>
        <v>593.25</v>
      </c>
      <c r="H3202" s="964" t="s">
        <v>2313</v>
      </c>
    </row>
    <row r="3203" spans="1:8" hidden="1">
      <c r="A3203" s="967"/>
      <c r="B3203" s="967"/>
      <c r="C3203" s="1382" t="s">
        <v>85</v>
      </c>
      <c r="D3203" s="967" t="s">
        <v>27</v>
      </c>
      <c r="E3203" s="970">
        <v>2.8</v>
      </c>
      <c r="F3203" s="970">
        <f>'MINI SSR 2022-23'!$H$5</f>
        <v>525</v>
      </c>
      <c r="G3203" s="969">
        <f>ROUND(E3203*F3203,2)</f>
        <v>1470</v>
      </c>
      <c r="H3203" s="964" t="s">
        <v>2313</v>
      </c>
    </row>
    <row r="3204" spans="1:8" hidden="1">
      <c r="A3204" s="967"/>
      <c r="B3204" s="967"/>
      <c r="C3204" s="962" t="s">
        <v>88</v>
      </c>
      <c r="D3204" s="967"/>
      <c r="E3204" s="967"/>
      <c r="F3204" s="967"/>
      <c r="G3204" s="971">
        <f>SUM(G3199:G3203)</f>
        <v>2851.56</v>
      </c>
      <c r="H3204" s="964" t="s">
        <v>2313</v>
      </c>
    </row>
    <row r="3205" spans="1:8" hidden="1">
      <c r="A3205" s="967"/>
      <c r="B3205" s="967"/>
      <c r="C3205" s="962"/>
      <c r="D3205" s="967"/>
      <c r="E3205" s="966" t="s">
        <v>161</v>
      </c>
      <c r="F3205" s="966" t="s">
        <v>162</v>
      </c>
      <c r="G3205" s="974" t="s">
        <v>163</v>
      </c>
      <c r="H3205" s="964" t="s">
        <v>2313</v>
      </c>
    </row>
    <row r="3206" spans="1:8" hidden="1">
      <c r="A3206" s="967"/>
      <c r="B3206" s="967"/>
      <c r="C3206" s="962" t="s">
        <v>1273</v>
      </c>
      <c r="D3206" s="967"/>
      <c r="E3206" s="970">
        <f>G3204</f>
        <v>2851.56</v>
      </c>
      <c r="F3206" s="970">
        <f>G3204</f>
        <v>2851.56</v>
      </c>
      <c r="G3206" s="972">
        <f>G3204</f>
        <v>2851.56</v>
      </c>
      <c r="H3206" s="964" t="s">
        <v>2313</v>
      </c>
    </row>
    <row r="3207" spans="1:8" hidden="1">
      <c r="A3207" s="967"/>
      <c r="B3207" s="967"/>
      <c r="C3207" s="1382" t="s">
        <v>1649</v>
      </c>
      <c r="D3207" s="970">
        <v>10</v>
      </c>
      <c r="E3207" s="970">
        <f>D3207*'MINI SSR 2022-23'!E36</f>
        <v>10.8</v>
      </c>
      <c r="F3207" s="970">
        <f>E3207</f>
        <v>10.8</v>
      </c>
      <c r="G3207" s="972">
        <f>E3207</f>
        <v>10.8</v>
      </c>
      <c r="H3207" s="964" t="s">
        <v>2313</v>
      </c>
    </row>
    <row r="3208" spans="1:8" hidden="1">
      <c r="A3208" s="967"/>
      <c r="B3208" s="967"/>
      <c r="C3208" s="1382" t="s">
        <v>1651</v>
      </c>
      <c r="D3208" s="970">
        <v>10</v>
      </c>
      <c r="E3208" s="970">
        <f>ROUND(D3208*'MINI SSR 2022-23'!F36,2)</f>
        <v>84.7</v>
      </c>
      <c r="F3208" s="970">
        <f>ROUND(D3208*'MINI SSR 2022-23'!G36,2)</f>
        <v>121.2</v>
      </c>
      <c r="G3208" s="972">
        <f>ROUND(D3208*'MINI SSR 2022-23'!H36,2)</f>
        <v>157.69999999999999</v>
      </c>
      <c r="H3208" s="964" t="s">
        <v>2313</v>
      </c>
    </row>
    <row r="3209" spans="1:8" ht="25.5" hidden="1">
      <c r="A3209" s="967"/>
      <c r="B3209" s="967"/>
      <c r="C3209" s="1382" t="s">
        <v>1285</v>
      </c>
      <c r="D3209" s="967"/>
      <c r="E3209" s="967"/>
      <c r="F3209" s="970">
        <f>ROUND((G3201+G3202+G3203+F3208)*0.1,2)</f>
        <v>246.8</v>
      </c>
      <c r="G3209" s="972">
        <f>ROUND((G3201+G3202+G3203+G3208)*0.2,2)</f>
        <v>500.89</v>
      </c>
      <c r="H3209" s="964" t="s">
        <v>2313</v>
      </c>
    </row>
    <row r="3210" spans="1:8" hidden="1">
      <c r="A3210" s="967"/>
      <c r="B3210" s="967"/>
      <c r="C3210" s="962" t="s">
        <v>88</v>
      </c>
      <c r="D3210" s="967"/>
      <c r="E3210" s="970">
        <f>SUM(E3206:E3209)</f>
        <v>2947.06</v>
      </c>
      <c r="F3210" s="970">
        <f>SUM(F3206:F3209)</f>
        <v>3230.36</v>
      </c>
      <c r="G3210" s="972">
        <f>SUM(G3206:G3209)</f>
        <v>3520.95</v>
      </c>
      <c r="H3210" s="964" t="s">
        <v>2313</v>
      </c>
    </row>
    <row r="3211" spans="1:8" hidden="1">
      <c r="A3211" s="967"/>
      <c r="B3211" s="967"/>
      <c r="C3211" s="962" t="s">
        <v>121</v>
      </c>
      <c r="D3211" s="967"/>
      <c r="E3211" s="974">
        <f>ROUND(E3210/10,2)</f>
        <v>294.70999999999998</v>
      </c>
      <c r="F3211" s="974">
        <f>ROUND(F3210/10,2)</f>
        <v>323.04000000000002</v>
      </c>
      <c r="G3211" s="971">
        <f>ROUND(G3210/10,2)</f>
        <v>352.1</v>
      </c>
      <c r="H3211" s="964" t="s">
        <v>2313</v>
      </c>
    </row>
    <row r="3212" spans="1:8" ht="89.25" hidden="1">
      <c r="A3212" s="896">
        <v>6</v>
      </c>
      <c r="B3212" s="966" t="s">
        <v>89</v>
      </c>
      <c r="C3212" s="1382" t="s">
        <v>1305</v>
      </c>
      <c r="D3212" s="967"/>
      <c r="E3212" s="967"/>
      <c r="F3212" s="967"/>
      <c r="G3212" s="966"/>
      <c r="H3212" s="964" t="s">
        <v>2313</v>
      </c>
    </row>
    <row r="3213" spans="1:8" hidden="1">
      <c r="A3213" s="896"/>
      <c r="B3213" s="966"/>
      <c r="C3213" s="962" t="s">
        <v>42</v>
      </c>
      <c r="D3213" s="967"/>
      <c r="E3213" s="967"/>
      <c r="F3213" s="967"/>
      <c r="G3213" s="972"/>
      <c r="H3213" s="964" t="s">
        <v>2313</v>
      </c>
    </row>
    <row r="3214" spans="1:8" hidden="1">
      <c r="A3214" s="896"/>
      <c r="B3214" s="966"/>
      <c r="C3214" s="962" t="s">
        <v>60</v>
      </c>
      <c r="D3214" s="967"/>
      <c r="E3214" s="967"/>
      <c r="F3214" s="967"/>
      <c r="G3214" s="972"/>
      <c r="H3214" s="964" t="s">
        <v>2313</v>
      </c>
    </row>
    <row r="3215" spans="1:8" hidden="1">
      <c r="A3215" s="896"/>
      <c r="B3215" s="966"/>
      <c r="C3215" s="1382" t="s">
        <v>48</v>
      </c>
      <c r="D3215" s="967" t="s">
        <v>35</v>
      </c>
      <c r="E3215" s="970">
        <v>0.21</v>
      </c>
      <c r="F3215" s="970">
        <f>G2772</f>
        <v>3365.3999999999996</v>
      </c>
      <c r="G3215" s="969">
        <f>ROUND(E3215*F3215,2)</f>
        <v>706.73</v>
      </c>
      <c r="H3215" s="964" t="s">
        <v>2313</v>
      </c>
    </row>
    <row r="3216" spans="1:8" hidden="1">
      <c r="A3216" s="967"/>
      <c r="B3216" s="967"/>
      <c r="C3216" s="962" t="s">
        <v>68</v>
      </c>
      <c r="D3216" s="967"/>
      <c r="E3216" s="970"/>
      <c r="F3216" s="970"/>
      <c r="G3216" s="969"/>
      <c r="H3216" s="964" t="s">
        <v>2313</v>
      </c>
    </row>
    <row r="3217" spans="1:8" hidden="1">
      <c r="A3217" s="967"/>
      <c r="B3217" s="967"/>
      <c r="C3217" s="1382" t="s">
        <v>64</v>
      </c>
      <c r="D3217" s="967" t="s">
        <v>27</v>
      </c>
      <c r="E3217" s="970">
        <v>0.45</v>
      </c>
      <c r="F3217" s="970">
        <f>'MINI SSR 2022-23'!$H$3</f>
        <v>630</v>
      </c>
      <c r="G3217" s="969">
        <f>ROUND(E3217*F3217,2)</f>
        <v>283.5</v>
      </c>
      <c r="H3217" s="964" t="s">
        <v>2313</v>
      </c>
    </row>
    <row r="3218" spans="1:8" hidden="1">
      <c r="A3218" s="967"/>
      <c r="B3218" s="967"/>
      <c r="C3218" s="1382" t="s">
        <v>69</v>
      </c>
      <c r="D3218" s="967" t="s">
        <v>27</v>
      </c>
      <c r="E3218" s="970">
        <v>1.05</v>
      </c>
      <c r="F3218" s="970">
        <f>'MINI SSR 2022-23'!$H$4</f>
        <v>565</v>
      </c>
      <c r="G3218" s="969">
        <f>ROUND(E3218*F3218,2)</f>
        <v>593.25</v>
      </c>
      <c r="H3218" s="964" t="s">
        <v>2313</v>
      </c>
    </row>
    <row r="3219" spans="1:8" hidden="1">
      <c r="A3219" s="967"/>
      <c r="B3219" s="967"/>
      <c r="C3219" s="1382" t="s">
        <v>85</v>
      </c>
      <c r="D3219" s="967" t="s">
        <v>27</v>
      </c>
      <c r="E3219" s="970">
        <v>2.8</v>
      </c>
      <c r="F3219" s="970">
        <f>'MINI SSR 2022-23'!$H$5</f>
        <v>525</v>
      </c>
      <c r="G3219" s="969">
        <f>ROUND(E3219*F3219,2)</f>
        <v>1470</v>
      </c>
      <c r="H3219" s="964" t="s">
        <v>2313</v>
      </c>
    </row>
    <row r="3220" spans="1:8" hidden="1">
      <c r="A3220" s="967"/>
      <c r="B3220" s="967"/>
      <c r="C3220" s="962" t="s">
        <v>88</v>
      </c>
      <c r="D3220" s="967"/>
      <c r="E3220" s="967"/>
      <c r="F3220" s="967"/>
      <c r="G3220" s="971">
        <f>SUM(G3215:G3219)</f>
        <v>3053.48</v>
      </c>
      <c r="H3220" s="964" t="s">
        <v>2313</v>
      </c>
    </row>
    <row r="3221" spans="1:8" hidden="1">
      <c r="A3221" s="967"/>
      <c r="B3221" s="967"/>
      <c r="C3221" s="962"/>
      <c r="D3221" s="967"/>
      <c r="E3221" s="966" t="s">
        <v>161</v>
      </c>
      <c r="F3221" s="966" t="s">
        <v>162</v>
      </c>
      <c r="G3221" s="974" t="s">
        <v>163</v>
      </c>
      <c r="H3221" s="964" t="s">
        <v>2313</v>
      </c>
    </row>
    <row r="3222" spans="1:8" hidden="1">
      <c r="A3222" s="967"/>
      <c r="B3222" s="967"/>
      <c r="C3222" s="962" t="s">
        <v>1273</v>
      </c>
      <c r="D3222" s="967"/>
      <c r="E3222" s="970">
        <f>G3220</f>
        <v>3053.48</v>
      </c>
      <c r="F3222" s="970">
        <f>G3220</f>
        <v>3053.48</v>
      </c>
      <c r="G3222" s="972">
        <f>G3220</f>
        <v>3053.48</v>
      </c>
      <c r="H3222" s="964" t="s">
        <v>2313</v>
      </c>
    </row>
    <row r="3223" spans="1:8" hidden="1">
      <c r="A3223" s="967"/>
      <c r="B3223" s="967"/>
      <c r="C3223" s="1382" t="s">
        <v>1649</v>
      </c>
      <c r="D3223" s="970">
        <v>10</v>
      </c>
      <c r="E3223" s="970">
        <f>D3223*'MINI SSR 2022-23'!$E$36</f>
        <v>10.8</v>
      </c>
      <c r="F3223" s="970">
        <f>E3223</f>
        <v>10.8</v>
      </c>
      <c r="G3223" s="972">
        <f>E3223</f>
        <v>10.8</v>
      </c>
      <c r="H3223" s="964" t="s">
        <v>2313</v>
      </c>
    </row>
    <row r="3224" spans="1:8" hidden="1">
      <c r="A3224" s="967"/>
      <c r="B3224" s="967"/>
      <c r="C3224" s="1382" t="s">
        <v>1652</v>
      </c>
      <c r="D3224" s="970">
        <v>10</v>
      </c>
      <c r="E3224" s="970">
        <f>ROUND(D3224*'MINI SSR 2022-23'!F36,2)</f>
        <v>84.7</v>
      </c>
      <c r="F3224" s="970">
        <f>ROUND(D3224*'MINI SSR 2022-23'!G36,2)</f>
        <v>121.2</v>
      </c>
      <c r="G3224" s="972">
        <f>ROUND(D3224*'MINI SSR 2022-23'!H36,2)</f>
        <v>157.69999999999999</v>
      </c>
      <c r="H3224" s="964" t="s">
        <v>2313</v>
      </c>
    </row>
    <row r="3225" spans="1:8" ht="25.5" hidden="1">
      <c r="A3225" s="967"/>
      <c r="B3225" s="967"/>
      <c r="C3225" s="1382" t="s">
        <v>1285</v>
      </c>
      <c r="D3225" s="967"/>
      <c r="E3225" s="967"/>
      <c r="F3225" s="970">
        <f>ROUND((G3217+G3218+G3219+F3224)*0.1,2)</f>
        <v>246.8</v>
      </c>
      <c r="G3225" s="972">
        <f>ROUND((G3217+G3218+G3219+G3224)*0.2,2)</f>
        <v>500.89</v>
      </c>
      <c r="H3225" s="964" t="s">
        <v>2313</v>
      </c>
    </row>
    <row r="3226" spans="1:8" hidden="1">
      <c r="A3226" s="967"/>
      <c r="B3226" s="967"/>
      <c r="C3226" s="962" t="s">
        <v>88</v>
      </c>
      <c r="D3226" s="967"/>
      <c r="E3226" s="970">
        <f>SUM(E3222:E3225)</f>
        <v>3148.98</v>
      </c>
      <c r="F3226" s="970">
        <f>SUM(F3222:F3225)</f>
        <v>3432.28</v>
      </c>
      <c r="G3226" s="972">
        <f>SUM(G3222:G3225)</f>
        <v>3722.87</v>
      </c>
      <c r="H3226" s="964" t="s">
        <v>2313</v>
      </c>
    </row>
    <row r="3227" spans="1:8" hidden="1">
      <c r="A3227" s="967"/>
      <c r="B3227" s="967"/>
      <c r="C3227" s="962" t="s">
        <v>121</v>
      </c>
      <c r="D3227" s="967"/>
      <c r="E3227" s="974">
        <f>ROUND(E3226/10,2)</f>
        <v>314.89999999999998</v>
      </c>
      <c r="F3227" s="974">
        <f>ROUND(F3226/10,2)</f>
        <v>343.23</v>
      </c>
      <c r="G3227" s="971">
        <f>ROUND(G3226/10,2)</f>
        <v>372.29</v>
      </c>
      <c r="H3227" s="964" t="s">
        <v>2313</v>
      </c>
    </row>
    <row r="3228" spans="1:8" ht="89.25" hidden="1">
      <c r="A3228" s="896">
        <v>34</v>
      </c>
      <c r="B3228" s="966" t="s">
        <v>89</v>
      </c>
      <c r="C3228" s="1382" t="s">
        <v>1306</v>
      </c>
      <c r="D3228" s="967"/>
      <c r="E3228" s="967"/>
      <c r="F3228" s="967"/>
      <c r="G3228" s="966" t="s">
        <v>89</v>
      </c>
      <c r="H3228" s="964" t="s">
        <v>2313</v>
      </c>
    </row>
    <row r="3229" spans="1:8" hidden="1">
      <c r="A3229" s="896"/>
      <c r="B3229" s="966"/>
      <c r="C3229" s="962" t="s">
        <v>42</v>
      </c>
      <c r="D3229" s="967"/>
      <c r="E3229" s="967"/>
      <c r="F3229" s="967"/>
      <c r="G3229" s="972"/>
      <c r="H3229" s="964" t="s">
        <v>2313</v>
      </c>
    </row>
    <row r="3230" spans="1:8" hidden="1">
      <c r="A3230" s="896"/>
      <c r="B3230" s="966"/>
      <c r="C3230" s="962" t="s">
        <v>60</v>
      </c>
      <c r="D3230" s="967"/>
      <c r="E3230" s="967"/>
      <c r="F3230" s="967"/>
      <c r="G3230" s="972"/>
      <c r="H3230" s="964" t="s">
        <v>2313</v>
      </c>
    </row>
    <row r="3231" spans="1:8" hidden="1">
      <c r="A3231" s="896"/>
      <c r="B3231" s="966"/>
      <c r="C3231" s="1382" t="s">
        <v>43</v>
      </c>
      <c r="D3231" s="967" t="s">
        <v>35</v>
      </c>
      <c r="E3231" s="970">
        <v>0.21</v>
      </c>
      <c r="F3231" s="970">
        <f>G2762</f>
        <v>4267.8</v>
      </c>
      <c r="G3231" s="969">
        <f>ROUND(E3231*F3231,2)</f>
        <v>896.24</v>
      </c>
      <c r="H3231" s="964" t="s">
        <v>2313</v>
      </c>
    </row>
    <row r="3232" spans="1:8" hidden="1">
      <c r="A3232" s="967"/>
      <c r="B3232" s="967"/>
      <c r="C3232" s="962" t="s">
        <v>68</v>
      </c>
      <c r="D3232" s="967"/>
      <c r="E3232" s="970"/>
      <c r="F3232" s="970"/>
      <c r="G3232" s="969"/>
      <c r="H3232" s="964" t="s">
        <v>2313</v>
      </c>
    </row>
    <row r="3233" spans="1:8" hidden="1">
      <c r="A3233" s="967"/>
      <c r="B3233" s="967"/>
      <c r="C3233" s="1382" t="s">
        <v>64</v>
      </c>
      <c r="D3233" s="967" t="s">
        <v>27</v>
      </c>
      <c r="E3233" s="970">
        <v>0.45</v>
      </c>
      <c r="F3233" s="970">
        <f>'MINI SSR 2022-23'!$H$3</f>
        <v>630</v>
      </c>
      <c r="G3233" s="969">
        <f>ROUND(E3233*F3233,2)</f>
        <v>283.5</v>
      </c>
      <c r="H3233" s="964" t="s">
        <v>2313</v>
      </c>
    </row>
    <row r="3234" spans="1:8" hidden="1">
      <c r="A3234" s="967"/>
      <c r="B3234" s="967"/>
      <c r="C3234" s="1382" t="s">
        <v>69</v>
      </c>
      <c r="D3234" s="967" t="s">
        <v>27</v>
      </c>
      <c r="E3234" s="970">
        <v>1.05</v>
      </c>
      <c r="F3234" s="970">
        <f>'MINI SSR 2022-23'!$H$4</f>
        <v>565</v>
      </c>
      <c r="G3234" s="969">
        <f>ROUND(E3234*F3234,2)</f>
        <v>593.25</v>
      </c>
      <c r="H3234" s="964" t="s">
        <v>2313</v>
      </c>
    </row>
    <row r="3235" spans="1:8" hidden="1">
      <c r="A3235" s="967"/>
      <c r="B3235" s="967"/>
      <c r="C3235" s="1382" t="s">
        <v>85</v>
      </c>
      <c r="D3235" s="967" t="s">
        <v>27</v>
      </c>
      <c r="E3235" s="970">
        <v>2.8</v>
      </c>
      <c r="F3235" s="970">
        <f>'MINI SSR 2022-23'!$H$5</f>
        <v>525</v>
      </c>
      <c r="G3235" s="969">
        <f>ROUND(E3235*F3235,2)</f>
        <v>1470</v>
      </c>
      <c r="H3235" s="964" t="s">
        <v>2313</v>
      </c>
    </row>
    <row r="3236" spans="1:8" hidden="1">
      <c r="A3236" s="967"/>
      <c r="B3236" s="967"/>
      <c r="C3236" s="962" t="s">
        <v>88</v>
      </c>
      <c r="D3236" s="967"/>
      <c r="E3236" s="967"/>
      <c r="F3236" s="967"/>
      <c r="G3236" s="971">
        <f>SUM(G3231:G3235)</f>
        <v>3242.99</v>
      </c>
      <c r="H3236" s="964" t="s">
        <v>2313</v>
      </c>
    </row>
    <row r="3237" spans="1:8" hidden="1">
      <c r="A3237" s="967"/>
      <c r="B3237" s="967"/>
      <c r="C3237" s="962"/>
      <c r="D3237" s="967"/>
      <c r="E3237" s="966" t="s">
        <v>161</v>
      </c>
      <c r="F3237" s="966" t="s">
        <v>162</v>
      </c>
      <c r="G3237" s="974" t="s">
        <v>163</v>
      </c>
      <c r="H3237" s="964" t="s">
        <v>2313</v>
      </c>
    </row>
    <row r="3238" spans="1:8" hidden="1">
      <c r="A3238" s="967"/>
      <c r="B3238" s="967"/>
      <c r="C3238" s="962" t="s">
        <v>1273</v>
      </c>
      <c r="D3238" s="967"/>
      <c r="E3238" s="970">
        <f>G3236</f>
        <v>3242.99</v>
      </c>
      <c r="F3238" s="970">
        <f>G3236</f>
        <v>3242.99</v>
      </c>
      <c r="G3238" s="972">
        <f>G3236</f>
        <v>3242.99</v>
      </c>
      <c r="H3238" s="964" t="s">
        <v>2313</v>
      </c>
    </row>
    <row r="3239" spans="1:8" hidden="1">
      <c r="A3239" s="967"/>
      <c r="B3239" s="967"/>
      <c r="C3239" s="1382" t="s">
        <v>1649</v>
      </c>
      <c r="D3239" s="970">
        <v>10</v>
      </c>
      <c r="E3239" s="970">
        <f>D3239*'MINI SSR 2022-23'!$E$36</f>
        <v>10.8</v>
      </c>
      <c r="F3239" s="970">
        <f>E3239</f>
        <v>10.8</v>
      </c>
      <c r="G3239" s="972">
        <f>E3239</f>
        <v>10.8</v>
      </c>
      <c r="H3239" s="964" t="s">
        <v>2313</v>
      </c>
    </row>
    <row r="3240" spans="1:8" hidden="1">
      <c r="A3240" s="967"/>
      <c r="B3240" s="967"/>
      <c r="C3240" s="1382" t="s">
        <v>1652</v>
      </c>
      <c r="D3240" s="970">
        <v>10</v>
      </c>
      <c r="E3240" s="970">
        <f>ROUND(D3240*'MINI SSR 2022-23'!F36,2)</f>
        <v>84.7</v>
      </c>
      <c r="F3240" s="970">
        <f>ROUND(D3240*'MINI SSR 2022-23'!G36,2)</f>
        <v>121.2</v>
      </c>
      <c r="G3240" s="972">
        <f>ROUND(D3240*'MINI SSR 2022-23'!H36,2)</f>
        <v>157.69999999999999</v>
      </c>
      <c r="H3240" s="964" t="s">
        <v>2313</v>
      </c>
    </row>
    <row r="3241" spans="1:8" ht="25.5" hidden="1">
      <c r="A3241" s="967"/>
      <c r="B3241" s="967"/>
      <c r="C3241" s="1382" t="s">
        <v>1285</v>
      </c>
      <c r="D3241" s="967"/>
      <c r="E3241" s="967"/>
      <c r="F3241" s="970">
        <f>ROUND((G3233+G3234+G3235+F3240)*0.1,2)</f>
        <v>246.8</v>
      </c>
      <c r="G3241" s="972">
        <f>ROUND((G3233+G3234+G3235+G3240)*0.2,2)</f>
        <v>500.89</v>
      </c>
      <c r="H3241" s="964" t="s">
        <v>2313</v>
      </c>
    </row>
    <row r="3242" spans="1:8" hidden="1">
      <c r="A3242" s="967"/>
      <c r="B3242" s="967"/>
      <c r="C3242" s="962" t="s">
        <v>88</v>
      </c>
      <c r="D3242" s="967"/>
      <c r="E3242" s="970">
        <f>SUM(E3238:E3241)</f>
        <v>3338.49</v>
      </c>
      <c r="F3242" s="970">
        <f>SUM(F3238:F3241)</f>
        <v>3621.79</v>
      </c>
      <c r="G3242" s="972">
        <f>SUM(G3238:G3241)</f>
        <v>3912.3799999999997</v>
      </c>
      <c r="H3242" s="964" t="s">
        <v>2313</v>
      </c>
    </row>
    <row r="3243" spans="1:8" hidden="1">
      <c r="A3243" s="967"/>
      <c r="B3243" s="967"/>
      <c r="C3243" s="962" t="s">
        <v>121</v>
      </c>
      <c r="D3243" s="967"/>
      <c r="E3243" s="974">
        <f>ROUND(E3242/10,2)</f>
        <v>333.85</v>
      </c>
      <c r="F3243" s="974">
        <f>ROUND(F3242/10,2)</f>
        <v>362.18</v>
      </c>
      <c r="G3243" s="971">
        <f>ROUND(G3242/10,2)</f>
        <v>391.24</v>
      </c>
      <c r="H3243" s="964" t="s">
        <v>2313</v>
      </c>
    </row>
    <row r="3244" spans="1:8" ht="102" hidden="1">
      <c r="A3244" s="896">
        <v>10</v>
      </c>
      <c r="B3244" s="966" t="s">
        <v>1346</v>
      </c>
      <c r="C3244" s="1382" t="s">
        <v>808</v>
      </c>
      <c r="D3244" s="967"/>
      <c r="E3244" s="967"/>
      <c r="F3244" s="967"/>
      <c r="G3244" s="966"/>
      <c r="H3244" s="964" t="s">
        <v>2313</v>
      </c>
    </row>
    <row r="3245" spans="1:8" hidden="1">
      <c r="A3245" s="896"/>
      <c r="B3245" s="966"/>
      <c r="C3245" s="962" t="s">
        <v>42</v>
      </c>
      <c r="D3245" s="967"/>
      <c r="E3245" s="967"/>
      <c r="F3245" s="967"/>
      <c r="G3245" s="972"/>
      <c r="H3245" s="964" t="s">
        <v>2313</v>
      </c>
    </row>
    <row r="3246" spans="1:8" hidden="1">
      <c r="A3246" s="896"/>
      <c r="B3246" s="966"/>
      <c r="C3246" s="962" t="s">
        <v>317</v>
      </c>
      <c r="D3246" s="967"/>
      <c r="E3246" s="967"/>
      <c r="F3246" s="967"/>
      <c r="G3246" s="972"/>
      <c r="H3246" s="964" t="s">
        <v>2313</v>
      </c>
    </row>
    <row r="3247" spans="1:8" hidden="1">
      <c r="A3247" s="896"/>
      <c r="B3247" s="966"/>
      <c r="C3247" s="1382" t="s">
        <v>107</v>
      </c>
      <c r="D3247" s="967" t="s">
        <v>4</v>
      </c>
      <c r="E3247" s="970">
        <v>31.7</v>
      </c>
      <c r="F3247" s="970">
        <f>'lead 22-23'!L8</f>
        <v>4700</v>
      </c>
      <c r="G3247" s="969">
        <f>ROUND(E3247*F3247/1000,2)</f>
        <v>148.99</v>
      </c>
      <c r="H3247" s="964" t="s">
        <v>2313</v>
      </c>
    </row>
    <row r="3248" spans="1:8" hidden="1">
      <c r="A3248" s="896"/>
      <c r="B3248" s="966"/>
      <c r="C3248" s="1382" t="s">
        <v>318</v>
      </c>
      <c r="D3248" s="967" t="s">
        <v>35</v>
      </c>
      <c r="E3248" s="970">
        <v>0.11</v>
      </c>
      <c r="F3248" s="970">
        <f>'lead 22-23'!L12</f>
        <v>1815.9999999999998</v>
      </c>
      <c r="G3248" s="969">
        <f>ROUND(E3248*F3248,2)</f>
        <v>199.76</v>
      </c>
      <c r="H3248" s="964" t="s">
        <v>2313</v>
      </c>
    </row>
    <row r="3249" spans="1:8" hidden="1">
      <c r="A3249" s="896"/>
      <c r="B3249" s="966"/>
      <c r="C3249" s="962" t="s">
        <v>319</v>
      </c>
      <c r="D3249" s="967"/>
      <c r="E3249" s="967"/>
      <c r="F3249" s="967"/>
      <c r="G3249" s="972"/>
      <c r="H3249" s="964" t="s">
        <v>2313</v>
      </c>
    </row>
    <row r="3250" spans="1:8" hidden="1">
      <c r="A3250" s="896"/>
      <c r="B3250" s="966"/>
      <c r="C3250" s="1382" t="s">
        <v>107</v>
      </c>
      <c r="D3250" s="967" t="s">
        <v>4</v>
      </c>
      <c r="E3250" s="970">
        <v>19.2</v>
      </c>
      <c r="F3250" s="970">
        <f>F3247</f>
        <v>4700</v>
      </c>
      <c r="G3250" s="969">
        <f>ROUND(E3250*F3250/1000,2)</f>
        <v>90.24</v>
      </c>
      <c r="H3250" s="964" t="s">
        <v>2313</v>
      </c>
    </row>
    <row r="3251" spans="1:8" hidden="1">
      <c r="A3251" s="896"/>
      <c r="B3251" s="966"/>
      <c r="C3251" s="1382" t="s">
        <v>318</v>
      </c>
      <c r="D3251" s="967" t="s">
        <v>35</v>
      </c>
      <c r="E3251" s="970">
        <v>0.04</v>
      </c>
      <c r="F3251" s="970">
        <f>F3248</f>
        <v>1815.9999999999998</v>
      </c>
      <c r="G3251" s="969">
        <f>ROUND(E3251*F3251,2)</f>
        <v>72.64</v>
      </c>
      <c r="H3251" s="964" t="s">
        <v>2313</v>
      </c>
    </row>
    <row r="3252" spans="1:8" hidden="1">
      <c r="A3252" s="967"/>
      <c r="B3252" s="967"/>
      <c r="C3252" s="962" t="s">
        <v>68</v>
      </c>
      <c r="D3252" s="967"/>
      <c r="E3252" s="970"/>
      <c r="F3252" s="970"/>
      <c r="G3252" s="969"/>
      <c r="H3252" s="964" t="s">
        <v>2313</v>
      </c>
    </row>
    <row r="3253" spans="1:8" hidden="1">
      <c r="A3253" s="967"/>
      <c r="B3253" s="967"/>
      <c r="C3253" s="1382" t="s">
        <v>64</v>
      </c>
      <c r="D3253" s="967" t="s">
        <v>27</v>
      </c>
      <c r="E3253" s="970">
        <v>0.63</v>
      </c>
      <c r="F3253" s="970">
        <f>'MINI SSR 2022-23'!$H$3</f>
        <v>630</v>
      </c>
      <c r="G3253" s="969">
        <f>ROUND(E3253*F3253,2)</f>
        <v>396.9</v>
      </c>
      <c r="H3253" s="964" t="s">
        <v>2313</v>
      </c>
    </row>
    <row r="3254" spans="1:8" hidden="1">
      <c r="A3254" s="967"/>
      <c r="B3254" s="967"/>
      <c r="C3254" s="1382" t="s">
        <v>69</v>
      </c>
      <c r="D3254" s="967" t="s">
        <v>27</v>
      </c>
      <c r="E3254" s="970">
        <v>1.47</v>
      </c>
      <c r="F3254" s="970">
        <f>'MINI SSR 2022-23'!$H$4</f>
        <v>565</v>
      </c>
      <c r="G3254" s="969">
        <f>ROUND(E3254*F3254,2)</f>
        <v>830.55</v>
      </c>
      <c r="H3254" s="964" t="s">
        <v>2313</v>
      </c>
    </row>
    <row r="3255" spans="1:8" hidden="1">
      <c r="A3255" s="967"/>
      <c r="B3255" s="967"/>
      <c r="C3255" s="1382" t="s">
        <v>85</v>
      </c>
      <c r="D3255" s="967" t="s">
        <v>27</v>
      </c>
      <c r="E3255" s="970">
        <v>3.9</v>
      </c>
      <c r="F3255" s="970">
        <f>'MINI SSR 2022-23'!$H$5</f>
        <v>525</v>
      </c>
      <c r="G3255" s="969">
        <f>ROUND(E3255*F3255,2)</f>
        <v>2047.5</v>
      </c>
      <c r="H3255" s="964" t="s">
        <v>2313</v>
      </c>
    </row>
    <row r="3256" spans="1:8" hidden="1">
      <c r="A3256" s="967"/>
      <c r="B3256" s="967"/>
      <c r="C3256" s="962" t="s">
        <v>88</v>
      </c>
      <c r="D3256" s="967"/>
      <c r="E3256" s="967"/>
      <c r="F3256" s="967"/>
      <c r="G3256" s="971">
        <f>SUM(G3247:G3255)</f>
        <v>3786.58</v>
      </c>
      <c r="H3256" s="964" t="s">
        <v>2313</v>
      </c>
    </row>
    <row r="3257" spans="1:8" hidden="1">
      <c r="A3257" s="967"/>
      <c r="B3257" s="967"/>
      <c r="C3257" s="962"/>
      <c r="D3257" s="967"/>
      <c r="E3257" s="966" t="s">
        <v>161</v>
      </c>
      <c r="F3257" s="966" t="s">
        <v>162</v>
      </c>
      <c r="G3257" s="974" t="s">
        <v>163</v>
      </c>
      <c r="H3257" s="964" t="s">
        <v>2313</v>
      </c>
    </row>
    <row r="3258" spans="1:8" hidden="1">
      <c r="A3258" s="967"/>
      <c r="B3258" s="967"/>
      <c r="C3258" s="962" t="s">
        <v>1273</v>
      </c>
      <c r="D3258" s="967"/>
      <c r="E3258" s="970">
        <f>G3256</f>
        <v>3786.58</v>
      </c>
      <c r="F3258" s="970">
        <f>G3256</f>
        <v>3786.58</v>
      </c>
      <c r="G3258" s="972">
        <f>F3258</f>
        <v>3786.58</v>
      </c>
      <c r="H3258" s="964" t="s">
        <v>2313</v>
      </c>
    </row>
    <row r="3259" spans="1:8" hidden="1">
      <c r="A3259" s="967"/>
      <c r="B3259" s="967"/>
      <c r="C3259" s="1382" t="s">
        <v>1649</v>
      </c>
      <c r="D3259" s="970">
        <v>10</v>
      </c>
      <c r="E3259" s="970">
        <f>D3259*'MINI SSR 2022-23'!$E$36</f>
        <v>10.8</v>
      </c>
      <c r="F3259" s="970">
        <f>E3259</f>
        <v>10.8</v>
      </c>
      <c r="G3259" s="972">
        <f>F3259</f>
        <v>10.8</v>
      </c>
      <c r="H3259" s="964" t="s">
        <v>2313</v>
      </c>
    </row>
    <row r="3260" spans="1:8" hidden="1">
      <c r="A3260" s="967"/>
      <c r="B3260" s="967"/>
      <c r="C3260" s="1382" t="s">
        <v>1650</v>
      </c>
      <c r="D3260" s="970">
        <v>10</v>
      </c>
      <c r="E3260" s="970">
        <f>ROUND(D3260*'MINI SSR 2022-23'!F36,2)</f>
        <v>84.7</v>
      </c>
      <c r="F3260" s="970">
        <f>ROUND(D3260*'MINI SSR 2022-23'!G36,2)</f>
        <v>121.2</v>
      </c>
      <c r="G3260" s="972">
        <f>ROUND(D3260*'MINI SSR 2022-23'!H36,2)</f>
        <v>157.69999999999999</v>
      </c>
      <c r="H3260" s="964" t="s">
        <v>2313</v>
      </c>
    </row>
    <row r="3261" spans="1:8" ht="25.5" hidden="1">
      <c r="A3261" s="967"/>
      <c r="B3261" s="967"/>
      <c r="C3261" s="1382" t="s">
        <v>1285</v>
      </c>
      <c r="D3261" s="967"/>
      <c r="E3261" s="967"/>
      <c r="F3261" s="970">
        <f>ROUND((G3253+G3254+G3255+F3260)*0.1,2)</f>
        <v>339.62</v>
      </c>
      <c r="G3261" s="972">
        <f>ROUND((G3253+G3254+G3255+G3260)*0.2,2)</f>
        <v>686.53</v>
      </c>
      <c r="H3261" s="964" t="s">
        <v>2313</v>
      </c>
    </row>
    <row r="3262" spans="1:8" hidden="1">
      <c r="A3262" s="967"/>
      <c r="B3262" s="967"/>
      <c r="C3262" s="962" t="s">
        <v>88</v>
      </c>
      <c r="D3262" s="967"/>
      <c r="E3262" s="970">
        <f>SUM(E3258:E3261)</f>
        <v>3882.08</v>
      </c>
      <c r="F3262" s="970">
        <f>SUM(F3258:F3261)</f>
        <v>4258.2</v>
      </c>
      <c r="G3262" s="972">
        <f>SUM(G3258:G3261)</f>
        <v>4641.6099999999997</v>
      </c>
      <c r="H3262" s="964" t="s">
        <v>2313</v>
      </c>
    </row>
    <row r="3263" spans="1:8" hidden="1">
      <c r="A3263" s="967"/>
      <c r="B3263" s="967"/>
      <c r="C3263" s="962" t="s">
        <v>121</v>
      </c>
      <c r="D3263" s="967"/>
      <c r="E3263" s="974">
        <f>ROUND(E3262/10,2)</f>
        <v>388.21</v>
      </c>
      <c r="F3263" s="974">
        <f>ROUND(F3262/10,2)</f>
        <v>425.82</v>
      </c>
      <c r="G3263" s="971">
        <f>ROUND(G3262/10,2)</f>
        <v>464.16</v>
      </c>
      <c r="H3263" s="964" t="s">
        <v>2313</v>
      </c>
    </row>
    <row r="3264" spans="1:8" ht="102" hidden="1">
      <c r="A3264" s="896">
        <v>22</v>
      </c>
      <c r="B3264" s="966" t="s">
        <v>1347</v>
      </c>
      <c r="C3264" s="1382" t="s">
        <v>316</v>
      </c>
      <c r="D3264" s="967"/>
      <c r="E3264" s="967"/>
      <c r="F3264" s="967"/>
      <c r="G3264" s="966"/>
      <c r="H3264" s="964" t="s">
        <v>2313</v>
      </c>
    </row>
    <row r="3265" spans="1:8" hidden="1">
      <c r="A3265" s="896"/>
      <c r="B3265" s="966"/>
      <c r="C3265" s="962" t="s">
        <v>42</v>
      </c>
      <c r="D3265" s="967"/>
      <c r="E3265" s="967"/>
      <c r="F3265" s="967"/>
      <c r="G3265" s="972"/>
      <c r="H3265" s="964" t="s">
        <v>2313</v>
      </c>
    </row>
    <row r="3266" spans="1:8" hidden="1">
      <c r="A3266" s="896"/>
      <c r="B3266" s="966"/>
      <c r="C3266" s="962" t="s">
        <v>317</v>
      </c>
      <c r="D3266" s="967"/>
      <c r="E3266" s="967"/>
      <c r="F3266" s="967"/>
      <c r="G3266" s="972"/>
      <c r="H3266" s="964" t="s">
        <v>2313</v>
      </c>
    </row>
    <row r="3267" spans="1:8" hidden="1">
      <c r="A3267" s="896"/>
      <c r="B3267" s="966"/>
      <c r="C3267" s="1382" t="s">
        <v>107</v>
      </c>
      <c r="D3267" s="967" t="s">
        <v>4</v>
      </c>
      <c r="E3267" s="970">
        <v>43</v>
      </c>
      <c r="F3267" s="970">
        <f>F3247</f>
        <v>4700</v>
      </c>
      <c r="G3267" s="969">
        <f>ROUND(E3267*F3267/1000,2)</f>
        <v>202.1</v>
      </c>
      <c r="H3267" s="964" t="s">
        <v>2313</v>
      </c>
    </row>
    <row r="3268" spans="1:8" hidden="1">
      <c r="A3268" s="896"/>
      <c r="B3268" s="966"/>
      <c r="C3268" s="1382" t="s">
        <v>318</v>
      </c>
      <c r="D3268" s="967" t="s">
        <v>35</v>
      </c>
      <c r="E3268" s="970">
        <v>0.18</v>
      </c>
      <c r="F3268" s="970">
        <f>F3248</f>
        <v>1815.9999999999998</v>
      </c>
      <c r="G3268" s="969">
        <f>ROUND(E3268*F3268,2)</f>
        <v>326.88</v>
      </c>
      <c r="H3268" s="964" t="s">
        <v>2313</v>
      </c>
    </row>
    <row r="3269" spans="1:8" hidden="1">
      <c r="A3269" s="896"/>
      <c r="B3269" s="966"/>
      <c r="C3269" s="962" t="s">
        <v>319</v>
      </c>
      <c r="D3269" s="967"/>
      <c r="E3269" s="967"/>
      <c r="F3269" s="967"/>
      <c r="G3269" s="972"/>
      <c r="H3269" s="964" t="s">
        <v>2313</v>
      </c>
    </row>
    <row r="3270" spans="1:8" hidden="1">
      <c r="A3270" s="896"/>
      <c r="B3270" s="966"/>
      <c r="C3270" s="1382" t="s">
        <v>107</v>
      </c>
      <c r="D3270" s="967" t="s">
        <v>4</v>
      </c>
      <c r="E3270" s="970">
        <v>14.5</v>
      </c>
      <c r="F3270" s="970">
        <f>F3267</f>
        <v>4700</v>
      </c>
      <c r="G3270" s="969">
        <f>ROUND(E3270*F3270/1000,2)</f>
        <v>68.150000000000006</v>
      </c>
      <c r="H3270" s="964" t="s">
        <v>2313</v>
      </c>
    </row>
    <row r="3271" spans="1:8" hidden="1">
      <c r="A3271" s="896"/>
      <c r="B3271" s="966"/>
      <c r="C3271" s="1382" t="s">
        <v>318</v>
      </c>
      <c r="D3271" s="967" t="s">
        <v>35</v>
      </c>
      <c r="E3271" s="970">
        <v>0.04</v>
      </c>
      <c r="F3271" s="970">
        <f>F3268</f>
        <v>1815.9999999999998</v>
      </c>
      <c r="G3271" s="969">
        <f>ROUND(E3271*F3271,2)</f>
        <v>72.64</v>
      </c>
      <c r="H3271" s="964" t="s">
        <v>2313</v>
      </c>
    </row>
    <row r="3272" spans="1:8" hidden="1">
      <c r="A3272" s="967"/>
      <c r="B3272" s="967"/>
      <c r="C3272" s="962" t="s">
        <v>68</v>
      </c>
      <c r="D3272" s="967"/>
      <c r="E3272" s="970"/>
      <c r="F3272" s="970"/>
      <c r="G3272" s="969"/>
      <c r="H3272" s="964" t="s">
        <v>2313</v>
      </c>
    </row>
    <row r="3273" spans="1:8" hidden="1">
      <c r="A3273" s="967"/>
      <c r="B3273" s="967"/>
      <c r="C3273" s="1382" t="s">
        <v>64</v>
      </c>
      <c r="D3273" s="967" t="s">
        <v>27</v>
      </c>
      <c r="E3273" s="970">
        <v>0.63</v>
      </c>
      <c r="F3273" s="970">
        <f>'MINI SSR 2022-23'!$H$3</f>
        <v>630</v>
      </c>
      <c r="G3273" s="969">
        <f>ROUND(E3273*F3273,2)</f>
        <v>396.9</v>
      </c>
      <c r="H3273" s="964" t="s">
        <v>2313</v>
      </c>
    </row>
    <row r="3274" spans="1:8" hidden="1">
      <c r="A3274" s="967"/>
      <c r="B3274" s="967"/>
      <c r="C3274" s="1382" t="s">
        <v>69</v>
      </c>
      <c r="D3274" s="967" t="s">
        <v>27</v>
      </c>
      <c r="E3274" s="970">
        <v>1.47</v>
      </c>
      <c r="F3274" s="970">
        <f>'MINI SSR 2022-23'!$H$4</f>
        <v>565</v>
      </c>
      <c r="G3274" s="969">
        <f>ROUND(E3274*F3274,2)</f>
        <v>830.55</v>
      </c>
      <c r="H3274" s="964" t="s">
        <v>2313</v>
      </c>
    </row>
    <row r="3275" spans="1:8" hidden="1">
      <c r="A3275" s="967"/>
      <c r="B3275" s="967"/>
      <c r="C3275" s="1382" t="s">
        <v>85</v>
      </c>
      <c r="D3275" s="967" t="s">
        <v>27</v>
      </c>
      <c r="E3275" s="970">
        <v>3.9</v>
      </c>
      <c r="F3275" s="970">
        <f>'MINI SSR 2022-23'!$H$5</f>
        <v>525</v>
      </c>
      <c r="G3275" s="969">
        <f>ROUND(E3275*F3275,2)</f>
        <v>2047.5</v>
      </c>
      <c r="H3275" s="964" t="s">
        <v>2313</v>
      </c>
    </row>
    <row r="3276" spans="1:8" hidden="1">
      <c r="A3276" s="967"/>
      <c r="B3276" s="967"/>
      <c r="C3276" s="962" t="s">
        <v>88</v>
      </c>
      <c r="D3276" s="967"/>
      <c r="E3276" s="967"/>
      <c r="F3276" s="967"/>
      <c r="G3276" s="971">
        <f>SUM(G3267:G3275)</f>
        <v>3944.7200000000003</v>
      </c>
      <c r="H3276" s="964" t="s">
        <v>2313</v>
      </c>
    </row>
    <row r="3277" spans="1:8" hidden="1">
      <c r="A3277" s="967"/>
      <c r="B3277" s="967"/>
      <c r="C3277" s="962"/>
      <c r="D3277" s="967"/>
      <c r="E3277" s="966" t="s">
        <v>161</v>
      </c>
      <c r="F3277" s="966" t="s">
        <v>162</v>
      </c>
      <c r="G3277" s="974" t="s">
        <v>163</v>
      </c>
      <c r="H3277" s="964" t="s">
        <v>2313</v>
      </c>
    </row>
    <row r="3278" spans="1:8" hidden="1">
      <c r="A3278" s="967"/>
      <c r="B3278" s="967"/>
      <c r="C3278" s="962" t="s">
        <v>1273</v>
      </c>
      <c r="D3278" s="967"/>
      <c r="E3278" s="970">
        <f>G3276</f>
        <v>3944.7200000000003</v>
      </c>
      <c r="F3278" s="970">
        <f>G3276</f>
        <v>3944.7200000000003</v>
      </c>
      <c r="G3278" s="972">
        <f>F3278</f>
        <v>3944.7200000000003</v>
      </c>
      <c r="H3278" s="964" t="s">
        <v>2313</v>
      </c>
    </row>
    <row r="3279" spans="1:8" hidden="1">
      <c r="A3279" s="967"/>
      <c r="B3279" s="967"/>
      <c r="C3279" s="1382" t="s">
        <v>1649</v>
      </c>
      <c r="D3279" s="970">
        <v>10</v>
      </c>
      <c r="E3279" s="970">
        <f>D3279*'MINI SSR 2022-23'!$E$36</f>
        <v>10.8</v>
      </c>
      <c r="F3279" s="970">
        <f>E3279</f>
        <v>10.8</v>
      </c>
      <c r="G3279" s="972">
        <f>F3279</f>
        <v>10.8</v>
      </c>
      <c r="H3279" s="964" t="s">
        <v>2313</v>
      </c>
    </row>
    <row r="3280" spans="1:8" hidden="1">
      <c r="A3280" s="967"/>
      <c r="B3280" s="967"/>
      <c r="C3280" s="1382" t="s">
        <v>1652</v>
      </c>
      <c r="D3280" s="970">
        <v>10</v>
      </c>
      <c r="E3280" s="970">
        <f>ROUND(D3280*'MINI SSR 2022-23'!F36,2)</f>
        <v>84.7</v>
      </c>
      <c r="F3280" s="970">
        <f>ROUND(D3280*'MINI SSR 2022-23'!G36,2)</f>
        <v>121.2</v>
      </c>
      <c r="G3280" s="972">
        <f>ROUND(D3280*'MINI SSR 2022-23'!H36,2)</f>
        <v>157.69999999999999</v>
      </c>
      <c r="H3280" s="964" t="s">
        <v>2313</v>
      </c>
    </row>
    <row r="3281" spans="1:8" ht="25.5" hidden="1">
      <c r="A3281" s="967"/>
      <c r="B3281" s="967"/>
      <c r="C3281" s="1382" t="s">
        <v>1285</v>
      </c>
      <c r="D3281" s="967"/>
      <c r="E3281" s="967"/>
      <c r="F3281" s="970">
        <f>ROUND((G3273+G3274+G3275+F3280)*0.1,2)</f>
        <v>339.62</v>
      </c>
      <c r="G3281" s="972">
        <f>ROUND((G3273+G3274+G3275+G3280)*0.2,2)</f>
        <v>686.53</v>
      </c>
      <c r="H3281" s="964" t="s">
        <v>2313</v>
      </c>
    </row>
    <row r="3282" spans="1:8" hidden="1">
      <c r="A3282" s="967"/>
      <c r="B3282" s="967"/>
      <c r="C3282" s="962" t="s">
        <v>88</v>
      </c>
      <c r="D3282" s="967"/>
      <c r="E3282" s="970">
        <f>SUM(E3278:E3281)</f>
        <v>4040.2200000000003</v>
      </c>
      <c r="F3282" s="970">
        <f>SUM(F3278:F3281)</f>
        <v>4416.34</v>
      </c>
      <c r="G3282" s="972">
        <f>SUM(G3278:G3281)</f>
        <v>4799.75</v>
      </c>
      <c r="H3282" s="964" t="s">
        <v>2313</v>
      </c>
    </row>
    <row r="3283" spans="1:8" hidden="1">
      <c r="A3283" s="967"/>
      <c r="B3283" s="967"/>
      <c r="C3283" s="962" t="s">
        <v>121</v>
      </c>
      <c r="D3283" s="967"/>
      <c r="E3283" s="974">
        <f>ROUND(E3282/10,2)</f>
        <v>404.02</v>
      </c>
      <c r="F3283" s="974">
        <f>ROUND(F3282/10,2)</f>
        <v>441.63</v>
      </c>
      <c r="G3283" s="971">
        <f>ROUND(G3282/10,2)</f>
        <v>479.98</v>
      </c>
      <c r="H3283" s="964" t="s">
        <v>2313</v>
      </c>
    </row>
    <row r="3284" spans="1:8" ht="165.75" hidden="1">
      <c r="A3284" s="896">
        <v>37</v>
      </c>
      <c r="B3284" s="966"/>
      <c r="C3284" s="1382" t="s">
        <v>1171</v>
      </c>
      <c r="D3284" s="967"/>
      <c r="E3284" s="967"/>
      <c r="F3284" s="967"/>
      <c r="G3284" s="972"/>
      <c r="H3284" s="964" t="s">
        <v>2313</v>
      </c>
    </row>
    <row r="3285" spans="1:8" hidden="1">
      <c r="A3285" s="967"/>
      <c r="B3285" s="967"/>
      <c r="C3285" s="1382" t="s">
        <v>868</v>
      </c>
      <c r="D3285" s="967"/>
      <c r="E3285" s="970"/>
      <c r="F3285" s="970"/>
      <c r="G3285" s="969"/>
      <c r="H3285" s="964" t="s">
        <v>2313</v>
      </c>
    </row>
    <row r="3286" spans="1:8" hidden="1">
      <c r="A3286" s="967"/>
      <c r="B3286" s="967"/>
      <c r="C3286" s="1382" t="s">
        <v>863</v>
      </c>
      <c r="D3286" s="967"/>
      <c r="E3286" s="970"/>
      <c r="F3286" s="970"/>
      <c r="G3286" s="969"/>
      <c r="H3286" s="964" t="s">
        <v>2313</v>
      </c>
    </row>
    <row r="3287" spans="1:8" hidden="1">
      <c r="A3287" s="967"/>
      <c r="B3287" s="967"/>
      <c r="C3287" s="1382" t="s">
        <v>1172</v>
      </c>
      <c r="D3287" s="970" t="s">
        <v>77</v>
      </c>
      <c r="E3287" s="970">
        <v>13.3</v>
      </c>
      <c r="F3287" s="990">
        <f>'MINI SSR 2022-23'!C43</f>
        <v>21</v>
      </c>
      <c r="G3287" s="969">
        <f>ROUND(E3287*F3287,2)</f>
        <v>279.3</v>
      </c>
      <c r="H3287" s="964" t="s">
        <v>2313</v>
      </c>
    </row>
    <row r="3288" spans="1:8" hidden="1">
      <c r="A3288" s="896"/>
      <c r="B3288" s="966"/>
      <c r="C3288" s="1382" t="s">
        <v>1173</v>
      </c>
      <c r="D3288" s="970" t="s">
        <v>35</v>
      </c>
      <c r="E3288" s="970">
        <v>0.25</v>
      </c>
      <c r="F3288" s="990">
        <f>G2762</f>
        <v>4267.8</v>
      </c>
      <c r="G3288" s="969">
        <f>ROUND(E3288*F3288,2)</f>
        <v>1066.95</v>
      </c>
      <c r="H3288" s="964" t="s">
        <v>2313</v>
      </c>
    </row>
    <row r="3289" spans="1:8" hidden="1">
      <c r="A3289" s="896"/>
      <c r="B3289" s="966"/>
      <c r="C3289" s="1382" t="s">
        <v>1174</v>
      </c>
      <c r="D3289" s="970" t="s">
        <v>90</v>
      </c>
      <c r="E3289" s="970">
        <v>50</v>
      </c>
      <c r="F3289" s="990">
        <f>'lead 22-23'!L8</f>
        <v>4700</v>
      </c>
      <c r="G3289" s="969">
        <f>ROUND(E3289*F3289/1000,2)</f>
        <v>235</v>
      </c>
      <c r="H3289" s="964" t="s">
        <v>2313</v>
      </c>
    </row>
    <row r="3290" spans="1:8" ht="25.5" hidden="1">
      <c r="A3290" s="896"/>
      <c r="B3290" s="966"/>
      <c r="C3290" s="1382" t="s">
        <v>1175</v>
      </c>
      <c r="D3290" s="970" t="s">
        <v>77</v>
      </c>
      <c r="E3290" s="970">
        <v>21.8</v>
      </c>
      <c r="F3290" s="990">
        <f>E3263</f>
        <v>388.21</v>
      </c>
      <c r="G3290" s="969">
        <f>ROUND(E3290*F3290,2)</f>
        <v>8462.98</v>
      </c>
      <c r="H3290" s="964" t="s">
        <v>2313</v>
      </c>
    </row>
    <row r="3291" spans="1:8" hidden="1">
      <c r="A3291" s="896"/>
      <c r="B3291" s="966"/>
      <c r="C3291" s="962" t="s">
        <v>1176</v>
      </c>
      <c r="D3291" s="967"/>
      <c r="E3291" s="967"/>
      <c r="F3291" s="990"/>
      <c r="G3291" s="969"/>
      <c r="H3291" s="964" t="s">
        <v>2313</v>
      </c>
    </row>
    <row r="3292" spans="1:8" hidden="1">
      <c r="A3292" s="896"/>
      <c r="B3292" s="966"/>
      <c r="C3292" s="1382" t="s">
        <v>865</v>
      </c>
      <c r="D3292" s="970" t="s">
        <v>27</v>
      </c>
      <c r="E3292" s="970">
        <v>8</v>
      </c>
      <c r="F3292" s="990">
        <f>'MINI SSR 2022-23'!$H$3</f>
        <v>630</v>
      </c>
      <c r="G3292" s="969">
        <f>ROUND(E3292*F3292,2)</f>
        <v>5040</v>
      </c>
      <c r="H3292" s="964" t="s">
        <v>2313</v>
      </c>
    </row>
    <row r="3293" spans="1:8" hidden="1">
      <c r="A3293" s="896"/>
      <c r="B3293" s="966"/>
      <c r="C3293" s="1382" t="s">
        <v>1177</v>
      </c>
      <c r="D3293" s="970" t="s">
        <v>27</v>
      </c>
      <c r="E3293" s="970">
        <v>1</v>
      </c>
      <c r="F3293" s="990">
        <f>'MINI SSR 2022-23'!$H$4</f>
        <v>565</v>
      </c>
      <c r="G3293" s="969">
        <f>ROUND(E3293*F3293,2)</f>
        <v>565</v>
      </c>
      <c r="H3293" s="964" t="s">
        <v>2313</v>
      </c>
    </row>
    <row r="3294" spans="1:8" hidden="1">
      <c r="A3294" s="896"/>
      <c r="B3294" s="966"/>
      <c r="C3294" s="1382" t="s">
        <v>864</v>
      </c>
      <c r="D3294" s="970" t="s">
        <v>27</v>
      </c>
      <c r="E3294" s="970">
        <v>10</v>
      </c>
      <c r="F3294" s="990">
        <f>'MINI SSR 2022-23'!$H$5</f>
        <v>525</v>
      </c>
      <c r="G3294" s="969">
        <f>ROUND(E3294*F3294,2)</f>
        <v>5250</v>
      </c>
      <c r="H3294" s="964" t="s">
        <v>2313</v>
      </c>
    </row>
    <row r="3295" spans="1:8" hidden="1">
      <c r="A3295" s="896"/>
      <c r="B3295" s="966"/>
      <c r="C3295" s="962" t="s">
        <v>1178</v>
      </c>
      <c r="D3295" s="970"/>
      <c r="E3295" s="970"/>
      <c r="F3295" s="990"/>
      <c r="G3295" s="969"/>
      <c r="H3295" s="964" t="s">
        <v>2313</v>
      </c>
    </row>
    <row r="3296" spans="1:8" ht="25.5" hidden="1">
      <c r="A3296" s="896"/>
      <c r="B3296" s="966"/>
      <c r="C3296" s="1382" t="s">
        <v>1179</v>
      </c>
      <c r="D3296" s="970" t="s">
        <v>1180</v>
      </c>
      <c r="E3296" s="970">
        <v>2</v>
      </c>
      <c r="F3296" s="990">
        <f>'MINI SSR 2022-23'!$C$30</f>
        <v>667.5</v>
      </c>
      <c r="G3296" s="969">
        <f>ROUND(E3296*F3296,2)</f>
        <v>1335</v>
      </c>
      <c r="H3296" s="964" t="s">
        <v>2313</v>
      </c>
    </row>
    <row r="3297" spans="1:8" hidden="1">
      <c r="A3297" s="896"/>
      <c r="B3297" s="966"/>
      <c r="C3297" s="962" t="s">
        <v>869</v>
      </c>
      <c r="D3297" s="991"/>
      <c r="E3297" s="991"/>
      <c r="F3297" s="991" t="s">
        <v>104</v>
      </c>
      <c r="G3297" s="969">
        <f>SUM(G3287:G3296)</f>
        <v>22234.23</v>
      </c>
      <c r="H3297" s="964" t="s">
        <v>2313</v>
      </c>
    </row>
    <row r="3298" spans="1:8" hidden="1">
      <c r="A3298" s="896"/>
      <c r="B3298" s="966"/>
      <c r="C3298" s="1382"/>
      <c r="D3298" s="990"/>
      <c r="E3298" s="991" t="s">
        <v>161</v>
      </c>
      <c r="F3298" s="991" t="s">
        <v>162</v>
      </c>
      <c r="G3298" s="969"/>
      <c r="H3298" s="964" t="s">
        <v>2313</v>
      </c>
    </row>
    <row r="3299" spans="1:8" hidden="1">
      <c r="A3299" s="896"/>
      <c r="B3299" s="966"/>
      <c r="C3299" s="1382" t="s">
        <v>867</v>
      </c>
      <c r="D3299" s="990"/>
      <c r="E3299" s="990">
        <f>G3297</f>
        <v>22234.23</v>
      </c>
      <c r="F3299" s="990">
        <f>G3297</f>
        <v>22234.23</v>
      </c>
      <c r="G3299" s="969"/>
      <c r="H3299" s="964" t="s">
        <v>2313</v>
      </c>
    </row>
    <row r="3300" spans="1:8" hidden="1">
      <c r="A3300" s="896"/>
      <c r="B3300" s="966"/>
      <c r="C3300" s="1382" t="s">
        <v>1653</v>
      </c>
      <c r="D3300" s="992" t="s">
        <v>326</v>
      </c>
      <c r="E3300" s="990">
        <f>ROUND(D3300*'MINI SSR 2022-23'!E36,2)</f>
        <v>10.8</v>
      </c>
      <c r="F3300" s="990">
        <f>ROUND(D3300*1.03,2)</f>
        <v>10.3</v>
      </c>
      <c r="G3300" s="969"/>
      <c r="H3300" s="964" t="s">
        <v>2313</v>
      </c>
    </row>
    <row r="3301" spans="1:8" hidden="1">
      <c r="A3301" s="896"/>
      <c r="B3301" s="966"/>
      <c r="C3301" s="1382" t="s">
        <v>1654</v>
      </c>
      <c r="D3301" s="992" t="s">
        <v>326</v>
      </c>
      <c r="E3301" s="990">
        <f>ROUND(D3301*'MINI SSR 2022-23'!F36,2)</f>
        <v>84.7</v>
      </c>
      <c r="F3301" s="990">
        <f>ROUND(D3301*'MINI SSR 2022-23'!G36,2)</f>
        <v>121.2</v>
      </c>
      <c r="G3301" s="969"/>
      <c r="H3301" s="964" t="s">
        <v>2313</v>
      </c>
    </row>
    <row r="3302" spans="1:8" hidden="1">
      <c r="A3302" s="896"/>
      <c r="B3302" s="966"/>
      <c r="C3302" s="1382" t="s">
        <v>870</v>
      </c>
      <c r="D3302" s="622" t="s">
        <v>326</v>
      </c>
      <c r="E3302" s="993">
        <v>0</v>
      </c>
      <c r="F3302" s="993">
        <f>ROUND(((SUM(G3292:G3294)+F3301)*D3302/100),2)</f>
        <v>1097.6199999999999</v>
      </c>
      <c r="G3302" s="969"/>
      <c r="H3302" s="964" t="s">
        <v>2313</v>
      </c>
    </row>
    <row r="3303" spans="1:8" hidden="1">
      <c r="A3303" s="896"/>
      <c r="B3303" s="966"/>
      <c r="C3303" s="962" t="s">
        <v>869</v>
      </c>
      <c r="D3303" s="622"/>
      <c r="E3303" s="990">
        <f>SUM(E3299:E3302)</f>
        <v>22329.73</v>
      </c>
      <c r="F3303" s="990">
        <f>SUM(F3299:F3302)</f>
        <v>23463.35</v>
      </c>
      <c r="G3303" s="969"/>
      <c r="H3303" s="964" t="s">
        <v>2313</v>
      </c>
    </row>
    <row r="3304" spans="1:8" hidden="1">
      <c r="A3304" s="896"/>
      <c r="B3304" s="966"/>
      <c r="C3304" s="962" t="s">
        <v>871</v>
      </c>
      <c r="D3304" s="970"/>
      <c r="E3304" s="991">
        <f>ROUND(E3303/10,2)</f>
        <v>2232.9699999999998</v>
      </c>
      <c r="F3304" s="991">
        <f>ROUND(F3303/10,2)</f>
        <v>2346.34</v>
      </c>
      <c r="G3304" s="969"/>
      <c r="H3304" s="964" t="s">
        <v>2313</v>
      </c>
    </row>
    <row r="3305" spans="1:8" ht="102" hidden="1">
      <c r="A3305" s="896">
        <v>12</v>
      </c>
      <c r="B3305" s="966" t="s">
        <v>1312</v>
      </c>
      <c r="C3305" s="1382" t="s">
        <v>1311</v>
      </c>
      <c r="D3305" s="967"/>
      <c r="E3305" s="967"/>
      <c r="F3305" s="967"/>
      <c r="G3305" s="966"/>
      <c r="H3305" s="964" t="s">
        <v>2313</v>
      </c>
    </row>
    <row r="3306" spans="1:8" hidden="1">
      <c r="A3306" s="896"/>
      <c r="B3306" s="966"/>
      <c r="C3306" s="962" t="s">
        <v>42</v>
      </c>
      <c r="D3306" s="967"/>
      <c r="E3306" s="967"/>
      <c r="F3306" s="967"/>
      <c r="G3306" s="972"/>
      <c r="H3306" s="964" t="s">
        <v>2313</v>
      </c>
    </row>
    <row r="3307" spans="1:8" hidden="1">
      <c r="A3307" s="896"/>
      <c r="B3307" s="966"/>
      <c r="C3307" s="962" t="s">
        <v>60</v>
      </c>
      <c r="D3307" s="967"/>
      <c r="E3307" s="967"/>
      <c r="F3307" s="967"/>
      <c r="G3307" s="972"/>
      <c r="H3307" s="964" t="s">
        <v>2313</v>
      </c>
    </row>
    <row r="3308" spans="1:8" hidden="1">
      <c r="A3308" s="896"/>
      <c r="B3308" s="966"/>
      <c r="C3308" s="1382" t="s">
        <v>43</v>
      </c>
      <c r="D3308" s="967" t="s">
        <v>35</v>
      </c>
      <c r="E3308" s="970">
        <v>0.15</v>
      </c>
      <c r="F3308" s="970">
        <f>G2762</f>
        <v>4267.8</v>
      </c>
      <c r="G3308" s="969">
        <f>ROUND(E3308*F3308,2)</f>
        <v>640.16999999999996</v>
      </c>
      <c r="H3308" s="964" t="s">
        <v>2313</v>
      </c>
    </row>
    <row r="3309" spans="1:8" ht="25.5" hidden="1">
      <c r="A3309" s="896"/>
      <c r="B3309" s="966"/>
      <c r="C3309" s="1382" t="s">
        <v>3623</v>
      </c>
      <c r="D3309" s="967" t="s">
        <v>4</v>
      </c>
      <c r="E3309" s="970">
        <v>2</v>
      </c>
      <c r="F3309" s="970">
        <f>'MINI SSR 2022-23'!$C$44</f>
        <v>85</v>
      </c>
      <c r="G3309" s="969">
        <f>ROUND(E3309*F3309,2)</f>
        <v>170</v>
      </c>
      <c r="H3309" s="964" t="s">
        <v>2313</v>
      </c>
    </row>
    <row r="3310" spans="1:8" hidden="1">
      <c r="A3310" s="967"/>
      <c r="B3310" s="967"/>
      <c r="C3310" s="962" t="s">
        <v>68</v>
      </c>
      <c r="D3310" s="967"/>
      <c r="E3310" s="970"/>
      <c r="F3310" s="970"/>
      <c r="G3310" s="969"/>
      <c r="H3310" s="964" t="s">
        <v>2313</v>
      </c>
    </row>
    <row r="3311" spans="1:8" hidden="1">
      <c r="A3311" s="967"/>
      <c r="B3311" s="967"/>
      <c r="C3311" s="1382" t="s">
        <v>64</v>
      </c>
      <c r="D3311" s="967" t="s">
        <v>27</v>
      </c>
      <c r="E3311" s="970">
        <v>0.45</v>
      </c>
      <c r="F3311" s="990">
        <f>'MINI SSR 2022-23'!$H$3</f>
        <v>630</v>
      </c>
      <c r="G3311" s="969">
        <f>ROUND(E3311*F3311,2)</f>
        <v>283.5</v>
      </c>
      <c r="H3311" s="964" t="s">
        <v>2313</v>
      </c>
    </row>
    <row r="3312" spans="1:8" hidden="1">
      <c r="A3312" s="967"/>
      <c r="B3312" s="967"/>
      <c r="C3312" s="1382" t="s">
        <v>69</v>
      </c>
      <c r="D3312" s="967" t="s">
        <v>27</v>
      </c>
      <c r="E3312" s="970">
        <v>1.05</v>
      </c>
      <c r="F3312" s="990">
        <f>'MINI SSR 2022-23'!$H$4</f>
        <v>565</v>
      </c>
      <c r="G3312" s="969">
        <f>ROUND(E3312*F3312,2)</f>
        <v>593.25</v>
      </c>
      <c r="H3312" s="964" t="s">
        <v>2313</v>
      </c>
    </row>
    <row r="3313" spans="1:8" hidden="1">
      <c r="A3313" s="967"/>
      <c r="B3313" s="967"/>
      <c r="C3313" s="1382" t="s">
        <v>85</v>
      </c>
      <c r="D3313" s="967" t="s">
        <v>27</v>
      </c>
      <c r="E3313" s="970">
        <v>2.8</v>
      </c>
      <c r="F3313" s="990">
        <f>'MINI SSR 2022-23'!$H$5</f>
        <v>525</v>
      </c>
      <c r="G3313" s="969">
        <f>ROUND(E3313*F3313,2)</f>
        <v>1470</v>
      </c>
      <c r="H3313" s="964" t="s">
        <v>2313</v>
      </c>
    </row>
    <row r="3314" spans="1:8" hidden="1">
      <c r="A3314" s="967"/>
      <c r="B3314" s="967"/>
      <c r="C3314" s="962" t="s">
        <v>88</v>
      </c>
      <c r="D3314" s="967"/>
      <c r="E3314" s="967"/>
      <c r="F3314" s="967"/>
      <c r="G3314" s="971">
        <f>SUM(G3308:G3313)</f>
        <v>3156.92</v>
      </c>
      <c r="H3314" s="964" t="s">
        <v>2313</v>
      </c>
    </row>
    <row r="3315" spans="1:8" hidden="1">
      <c r="A3315" s="967"/>
      <c r="B3315" s="967"/>
      <c r="C3315" s="962"/>
      <c r="D3315" s="967"/>
      <c r="E3315" s="966" t="s">
        <v>161</v>
      </c>
      <c r="F3315" s="966" t="s">
        <v>162</v>
      </c>
      <c r="G3315" s="974" t="s">
        <v>162</v>
      </c>
      <c r="H3315" s="964" t="s">
        <v>2313</v>
      </c>
    </row>
    <row r="3316" spans="1:8" hidden="1">
      <c r="A3316" s="967"/>
      <c r="B3316" s="967"/>
      <c r="C3316" s="962" t="s">
        <v>1273</v>
      </c>
      <c r="D3316" s="967"/>
      <c r="E3316" s="970">
        <f>G3314</f>
        <v>3156.92</v>
      </c>
      <c r="F3316" s="970">
        <f>G3314</f>
        <v>3156.92</v>
      </c>
      <c r="G3316" s="972">
        <f>G3314</f>
        <v>3156.92</v>
      </c>
      <c r="H3316" s="964" t="s">
        <v>2313</v>
      </c>
    </row>
    <row r="3317" spans="1:8" ht="25.5" hidden="1">
      <c r="A3317" s="967"/>
      <c r="B3317" s="967"/>
      <c r="C3317" s="1382" t="s">
        <v>1285</v>
      </c>
      <c r="D3317" s="967"/>
      <c r="E3317" s="967"/>
      <c r="F3317" s="972">
        <f>(SUM(G3311:G3313)*10%)</f>
        <v>234.67500000000001</v>
      </c>
      <c r="G3317" s="972">
        <f>(SUM(G3311:G3313)*20%)</f>
        <v>469.35</v>
      </c>
      <c r="H3317" s="964" t="s">
        <v>2313</v>
      </c>
    </row>
    <row r="3318" spans="1:8" hidden="1">
      <c r="A3318" s="967"/>
      <c r="B3318" s="967"/>
      <c r="C3318" s="962" t="s">
        <v>88</v>
      </c>
      <c r="D3318" s="967"/>
      <c r="E3318" s="970">
        <f>SUM(E3316:E3317)</f>
        <v>3156.92</v>
      </c>
      <c r="F3318" s="970">
        <f>SUM(F3316:F3317)</f>
        <v>3391.5950000000003</v>
      </c>
      <c r="G3318" s="972">
        <f>SUM(G3316:G3317)</f>
        <v>3626.27</v>
      </c>
      <c r="H3318" s="964" t="s">
        <v>2313</v>
      </c>
    </row>
    <row r="3319" spans="1:8" hidden="1">
      <c r="A3319" s="967"/>
      <c r="B3319" s="967"/>
      <c r="C3319" s="962" t="s">
        <v>121</v>
      </c>
      <c r="D3319" s="967"/>
      <c r="E3319" s="974">
        <f>ROUND(E3318/10,2)</f>
        <v>315.69</v>
      </c>
      <c r="F3319" s="974">
        <f>ROUND(F3318/10,2)</f>
        <v>339.16</v>
      </c>
      <c r="G3319" s="971">
        <f>ROUND(G3318/10,2)</f>
        <v>362.63</v>
      </c>
      <c r="H3319" s="964" t="s">
        <v>2313</v>
      </c>
    </row>
    <row r="3320" spans="1:8" ht="102" hidden="1">
      <c r="A3320" s="896">
        <v>39</v>
      </c>
      <c r="B3320" s="966" t="s">
        <v>1312</v>
      </c>
      <c r="C3320" s="1382" t="s">
        <v>899</v>
      </c>
      <c r="D3320" s="967"/>
      <c r="E3320" s="967"/>
      <c r="F3320" s="967"/>
      <c r="G3320" s="966" t="s">
        <v>148</v>
      </c>
      <c r="H3320" s="964" t="s">
        <v>2313</v>
      </c>
    </row>
    <row r="3321" spans="1:8" hidden="1">
      <c r="A3321" s="896"/>
      <c r="B3321" s="966"/>
      <c r="C3321" s="962" t="s">
        <v>42</v>
      </c>
      <c r="D3321" s="967"/>
      <c r="E3321" s="967"/>
      <c r="F3321" s="967"/>
      <c r="G3321" s="972"/>
      <c r="H3321" s="964" t="s">
        <v>2313</v>
      </c>
    </row>
    <row r="3322" spans="1:8" hidden="1">
      <c r="A3322" s="896"/>
      <c r="B3322" s="966"/>
      <c r="C3322" s="962" t="s">
        <v>60</v>
      </c>
      <c r="D3322" s="967"/>
      <c r="E3322" s="967"/>
      <c r="F3322" s="967"/>
      <c r="G3322" s="972"/>
      <c r="H3322" s="964" t="s">
        <v>2313</v>
      </c>
    </row>
    <row r="3323" spans="1:8" hidden="1">
      <c r="A3323" s="896"/>
      <c r="B3323" s="966"/>
      <c r="C3323" s="1382" t="s">
        <v>43</v>
      </c>
      <c r="D3323" s="967" t="s">
        <v>35</v>
      </c>
      <c r="E3323" s="970">
        <v>0.21</v>
      </c>
      <c r="F3323" s="970">
        <f>G2777</f>
        <v>3139.8</v>
      </c>
      <c r="G3323" s="969">
        <f>ROUND(E3323*F3323,2)</f>
        <v>659.36</v>
      </c>
      <c r="H3323" s="964" t="s">
        <v>2313</v>
      </c>
    </row>
    <row r="3324" spans="1:8" ht="25.5" hidden="1">
      <c r="A3324" s="896"/>
      <c r="B3324" s="966"/>
      <c r="C3324" s="1382" t="s">
        <v>3623</v>
      </c>
      <c r="D3324" s="967" t="s">
        <v>4</v>
      </c>
      <c r="E3324" s="970">
        <v>2</v>
      </c>
      <c r="F3324" s="970">
        <f>'MINI SSR 2022-23'!$C$44</f>
        <v>85</v>
      </c>
      <c r="G3324" s="969">
        <f>ROUND(E3324*F3324,2)</f>
        <v>170</v>
      </c>
      <c r="H3324" s="964" t="s">
        <v>2313</v>
      </c>
    </row>
    <row r="3325" spans="1:8" hidden="1">
      <c r="A3325" s="967"/>
      <c r="B3325" s="967"/>
      <c r="C3325" s="962" t="s">
        <v>68</v>
      </c>
      <c r="D3325" s="967"/>
      <c r="E3325" s="970"/>
      <c r="F3325" s="970"/>
      <c r="G3325" s="969"/>
      <c r="H3325" s="964" t="s">
        <v>2313</v>
      </c>
    </row>
    <row r="3326" spans="1:8" hidden="1">
      <c r="A3326" s="967"/>
      <c r="B3326" s="967"/>
      <c r="C3326" s="1382" t="s">
        <v>64</v>
      </c>
      <c r="D3326" s="967" t="s">
        <v>27</v>
      </c>
      <c r="E3326" s="970">
        <v>0.66</v>
      </c>
      <c r="F3326" s="990">
        <f>'MINI SSR 2022-23'!$H$3</f>
        <v>630</v>
      </c>
      <c r="G3326" s="969">
        <f>ROUND(E3326*F3326,2)</f>
        <v>415.8</v>
      </c>
      <c r="H3326" s="964" t="s">
        <v>2313</v>
      </c>
    </row>
    <row r="3327" spans="1:8" hidden="1">
      <c r="A3327" s="967"/>
      <c r="B3327" s="967"/>
      <c r="C3327" s="1382" t="s">
        <v>69</v>
      </c>
      <c r="D3327" s="967" t="s">
        <v>27</v>
      </c>
      <c r="E3327" s="970">
        <v>1.54</v>
      </c>
      <c r="F3327" s="990">
        <f>'MINI SSR 2022-23'!$H$4</f>
        <v>565</v>
      </c>
      <c r="G3327" s="969">
        <f>ROUND(E3327*F3327,2)</f>
        <v>870.1</v>
      </c>
      <c r="H3327" s="964" t="s">
        <v>2313</v>
      </c>
    </row>
    <row r="3328" spans="1:8" hidden="1">
      <c r="A3328" s="967"/>
      <c r="B3328" s="967"/>
      <c r="C3328" s="1382" t="s">
        <v>85</v>
      </c>
      <c r="D3328" s="967" t="s">
        <v>27</v>
      </c>
      <c r="E3328" s="970">
        <v>3.7</v>
      </c>
      <c r="F3328" s="990">
        <f>'MINI SSR 2022-23'!$H$5</f>
        <v>525</v>
      </c>
      <c r="G3328" s="969">
        <f>ROUND(E3328*F3328,2)</f>
        <v>1942.5</v>
      </c>
      <c r="H3328" s="964" t="s">
        <v>2313</v>
      </c>
    </row>
    <row r="3329" spans="1:8" hidden="1">
      <c r="A3329" s="967"/>
      <c r="B3329" s="967"/>
      <c r="C3329" s="962" t="s">
        <v>88</v>
      </c>
      <c r="D3329" s="967"/>
      <c r="E3329" s="967"/>
      <c r="F3329" s="967"/>
      <c r="G3329" s="971">
        <f>SUM(G3323:G3328)</f>
        <v>4057.76</v>
      </c>
      <c r="H3329" s="964" t="s">
        <v>2313</v>
      </c>
    </row>
    <row r="3330" spans="1:8" hidden="1">
      <c r="A3330" s="967"/>
      <c r="B3330" s="967"/>
      <c r="C3330" s="962"/>
      <c r="D3330" s="967"/>
      <c r="E3330" s="966" t="s">
        <v>161</v>
      </c>
      <c r="F3330" s="966" t="s">
        <v>162</v>
      </c>
      <c r="G3330" s="974" t="s">
        <v>163</v>
      </c>
      <c r="H3330" s="964" t="s">
        <v>2313</v>
      </c>
    </row>
    <row r="3331" spans="1:8" hidden="1">
      <c r="A3331" s="967"/>
      <c r="B3331" s="967"/>
      <c r="C3331" s="962" t="s">
        <v>1273</v>
      </c>
      <c r="D3331" s="967"/>
      <c r="E3331" s="970">
        <f>G3329</f>
        <v>4057.76</v>
      </c>
      <c r="F3331" s="970">
        <f>G3329</f>
        <v>4057.76</v>
      </c>
      <c r="G3331" s="972">
        <f>G3329</f>
        <v>4057.76</v>
      </c>
      <c r="H3331" s="964" t="s">
        <v>2313</v>
      </c>
    </row>
    <row r="3332" spans="1:8" ht="25.5" hidden="1">
      <c r="A3332" s="967"/>
      <c r="B3332" s="967"/>
      <c r="C3332" s="1382" t="s">
        <v>1285</v>
      </c>
      <c r="D3332" s="967"/>
      <c r="E3332" s="967"/>
      <c r="F3332" s="972">
        <f>(SUM(G3326:G3328)*10%)</f>
        <v>322.84000000000003</v>
      </c>
      <c r="G3332" s="972">
        <f>(SUM(G3326:G3328)*20%)</f>
        <v>645.68000000000006</v>
      </c>
      <c r="H3332" s="964" t="s">
        <v>2313</v>
      </c>
    </row>
    <row r="3333" spans="1:8" hidden="1">
      <c r="A3333" s="967"/>
      <c r="B3333" s="967"/>
      <c r="C3333" s="962" t="s">
        <v>88</v>
      </c>
      <c r="D3333" s="967"/>
      <c r="E3333" s="970">
        <f>SUM(E3331:E3332)</f>
        <v>4057.76</v>
      </c>
      <c r="F3333" s="970">
        <f>SUM(F3331:F3332)</f>
        <v>4380.6000000000004</v>
      </c>
      <c r="G3333" s="972">
        <f>SUM(G3331:G3332)</f>
        <v>4703.4400000000005</v>
      </c>
      <c r="H3333" s="964" t="s">
        <v>2313</v>
      </c>
    </row>
    <row r="3334" spans="1:8" hidden="1">
      <c r="A3334" s="967"/>
      <c r="B3334" s="967"/>
      <c r="C3334" s="962" t="s">
        <v>121</v>
      </c>
      <c r="D3334" s="967"/>
      <c r="E3334" s="974">
        <f>ROUND(E3333/10,2)</f>
        <v>405.78</v>
      </c>
      <c r="F3334" s="974">
        <f>ROUND(F3333/10,2)</f>
        <v>438.06</v>
      </c>
      <c r="G3334" s="971">
        <f>ROUND(G3333/10,2)</f>
        <v>470.34</v>
      </c>
      <c r="H3334" s="964" t="s">
        <v>2313</v>
      </c>
    </row>
    <row r="3335" spans="1:8" s="1403" customFormat="1" ht="165.75">
      <c r="A3335" s="1397">
        <v>18</v>
      </c>
      <c r="B3335" s="1490" t="s">
        <v>666</v>
      </c>
      <c r="C3335" s="1484" t="s">
        <v>665</v>
      </c>
      <c r="D3335" s="1481"/>
      <c r="E3335" s="1481"/>
      <c r="F3335" s="1481"/>
      <c r="G3335" s="1490" t="s">
        <v>666</v>
      </c>
      <c r="H3335" s="1483" t="s">
        <v>2313</v>
      </c>
    </row>
    <row r="3336" spans="1:8" s="1403" customFormat="1">
      <c r="A3336" s="1397"/>
      <c r="B3336" s="1490"/>
      <c r="C3336" s="1437" t="s">
        <v>42</v>
      </c>
      <c r="D3336" s="1481"/>
      <c r="E3336" s="1481"/>
      <c r="F3336" s="1481"/>
      <c r="G3336" s="1487"/>
      <c r="H3336" s="1483" t="s">
        <v>2313</v>
      </c>
    </row>
    <row r="3337" spans="1:8" s="1403" customFormat="1">
      <c r="A3337" s="1397"/>
      <c r="B3337" s="1490"/>
      <c r="C3337" s="1437" t="s">
        <v>60</v>
      </c>
      <c r="D3337" s="1481"/>
      <c r="E3337" s="1481"/>
      <c r="F3337" s="1481"/>
      <c r="G3337" s="1487"/>
      <c r="H3337" s="1483" t="s">
        <v>2313</v>
      </c>
    </row>
    <row r="3338" spans="1:8" s="1403" customFormat="1" ht="25.5">
      <c r="A3338" s="1397"/>
      <c r="B3338" s="1490"/>
      <c r="C3338" s="1484" t="s">
        <v>667</v>
      </c>
      <c r="D3338" s="1481" t="s">
        <v>77</v>
      </c>
      <c r="E3338" s="1485">
        <v>10.5</v>
      </c>
      <c r="F3338" s="1485">
        <f>'lead 22-23'!L22</f>
        <v>2257.7440000000001</v>
      </c>
      <c r="G3338" s="1486">
        <f>ROUND(E3338*F3338/1,2)</f>
        <v>23706.31</v>
      </c>
      <c r="H3338" s="1483" t="s">
        <v>2313</v>
      </c>
    </row>
    <row r="3339" spans="1:8" s="1403" customFormat="1">
      <c r="A3339" s="1397"/>
      <c r="B3339" s="1490"/>
      <c r="C3339" s="1484" t="s">
        <v>91</v>
      </c>
      <c r="D3339" s="1481" t="s">
        <v>4</v>
      </c>
      <c r="E3339" s="1485">
        <v>36</v>
      </c>
      <c r="F3339" s="1485">
        <f>'lead 22-23'!L8</f>
        <v>4700</v>
      </c>
      <c r="G3339" s="1486">
        <f>ROUND(E3339*F3339/1000,2)</f>
        <v>169.2</v>
      </c>
      <c r="H3339" s="1483" t="s">
        <v>2313</v>
      </c>
    </row>
    <row r="3340" spans="1:8" s="1403" customFormat="1">
      <c r="A3340" s="1397"/>
      <c r="B3340" s="1490"/>
      <c r="C3340" s="1484" t="s">
        <v>92</v>
      </c>
      <c r="D3340" s="1481" t="s">
        <v>4</v>
      </c>
      <c r="E3340" s="1485">
        <v>33</v>
      </c>
      <c r="F3340" s="1485">
        <f>F3339</f>
        <v>4700</v>
      </c>
      <c r="G3340" s="1486">
        <f>ROUND(E3340*F3340/1000,2)</f>
        <v>155.1</v>
      </c>
      <c r="H3340" s="1483" t="s">
        <v>2313</v>
      </c>
    </row>
    <row r="3341" spans="1:8" s="1403" customFormat="1">
      <c r="A3341" s="1397"/>
      <c r="B3341" s="1490"/>
      <c r="C3341" s="1484" t="s">
        <v>93</v>
      </c>
      <c r="D3341" s="1481" t="s">
        <v>4</v>
      </c>
      <c r="E3341" s="1485">
        <v>6</v>
      </c>
      <c r="F3341" s="1485">
        <f>F3340</f>
        <v>4700</v>
      </c>
      <c r="G3341" s="1486">
        <f>ROUND(E3341*F3341/1000,2)</f>
        <v>28.2</v>
      </c>
      <c r="H3341" s="1483" t="s">
        <v>2313</v>
      </c>
    </row>
    <row r="3342" spans="1:8" s="1403" customFormat="1">
      <c r="A3342" s="1397"/>
      <c r="B3342" s="1490"/>
      <c r="C3342" s="1484" t="s">
        <v>114</v>
      </c>
      <c r="D3342" s="1481" t="s">
        <v>35</v>
      </c>
      <c r="E3342" s="1485">
        <v>0.2</v>
      </c>
      <c r="F3342" s="1485">
        <f>'lead 22-23'!L12</f>
        <v>1815.9999999999998</v>
      </c>
      <c r="G3342" s="1486">
        <f>ROUND(E3342*F3342,2)</f>
        <v>363.2</v>
      </c>
      <c r="H3342" s="1483" t="s">
        <v>2313</v>
      </c>
    </row>
    <row r="3343" spans="1:8" s="1403" customFormat="1">
      <c r="A3343" s="1481"/>
      <c r="B3343" s="1481"/>
      <c r="C3343" s="1437" t="s">
        <v>68</v>
      </c>
      <c r="D3343" s="1481"/>
      <c r="E3343" s="1485"/>
      <c r="F3343" s="1485"/>
      <c r="G3343" s="1486"/>
      <c r="H3343" s="1483" t="s">
        <v>2313</v>
      </c>
    </row>
    <row r="3344" spans="1:8" s="1403" customFormat="1">
      <c r="A3344" s="1481"/>
      <c r="B3344" s="1481"/>
      <c r="C3344" s="1484" t="s">
        <v>64</v>
      </c>
      <c r="D3344" s="1481" t="s">
        <v>27</v>
      </c>
      <c r="E3344" s="1485">
        <v>3</v>
      </c>
      <c r="F3344" s="1488">
        <f>'MINI SSR 2022-23'!$H$3</f>
        <v>630</v>
      </c>
      <c r="G3344" s="1486">
        <f>ROUND(E3344*F3344,2)</f>
        <v>1890</v>
      </c>
      <c r="H3344" s="1483" t="s">
        <v>2313</v>
      </c>
    </row>
    <row r="3345" spans="1:8" s="1403" customFormat="1">
      <c r="A3345" s="1481"/>
      <c r="B3345" s="1481"/>
      <c r="C3345" s="1484" t="s">
        <v>69</v>
      </c>
      <c r="D3345" s="1481" t="s">
        <v>27</v>
      </c>
      <c r="E3345" s="1485">
        <v>1</v>
      </c>
      <c r="F3345" s="1488">
        <f>'MINI SSR 2022-23'!$H$4</f>
        <v>565</v>
      </c>
      <c r="G3345" s="1486">
        <f>ROUND(E3345*F3345,2)</f>
        <v>565</v>
      </c>
      <c r="H3345" s="1483" t="s">
        <v>2313</v>
      </c>
    </row>
    <row r="3346" spans="1:8" s="1403" customFormat="1">
      <c r="A3346" s="1481"/>
      <c r="B3346" s="1481"/>
      <c r="C3346" s="1484" t="s">
        <v>85</v>
      </c>
      <c r="D3346" s="1481" t="s">
        <v>27</v>
      </c>
      <c r="E3346" s="1485">
        <v>8</v>
      </c>
      <c r="F3346" s="1488">
        <f>'MINI SSR 2022-23'!$H$5</f>
        <v>525</v>
      </c>
      <c r="G3346" s="1486">
        <f>ROUND(E3346*F3346,2)</f>
        <v>4200</v>
      </c>
      <c r="H3346" s="1483" t="s">
        <v>2313</v>
      </c>
    </row>
    <row r="3347" spans="1:8" s="1403" customFormat="1">
      <c r="A3347" s="1481"/>
      <c r="B3347" s="1481"/>
      <c r="C3347" s="1484" t="s">
        <v>895</v>
      </c>
      <c r="D3347" s="1481"/>
      <c r="E3347" s="1485">
        <v>0.01</v>
      </c>
      <c r="F3347" s="1485">
        <f>SUM(G3339:G3346)</f>
        <v>7370.7</v>
      </c>
      <c r="G3347" s="1486">
        <f>ROUND(E3347*F3347,2)</f>
        <v>73.709999999999994</v>
      </c>
      <c r="H3347" s="1483" t="s">
        <v>2313</v>
      </c>
    </row>
    <row r="3348" spans="1:8" s="1403" customFormat="1">
      <c r="A3348" s="1481"/>
      <c r="B3348" s="1481"/>
      <c r="C3348" s="1437" t="s">
        <v>88</v>
      </c>
      <c r="D3348" s="1481"/>
      <c r="E3348" s="1481"/>
      <c r="F3348" s="1481"/>
      <c r="G3348" s="1491">
        <f>SUM(G3338:G3347)</f>
        <v>31150.720000000001</v>
      </c>
      <c r="H3348" s="1483" t="s">
        <v>2313</v>
      </c>
    </row>
    <row r="3349" spans="1:8" s="1403" customFormat="1">
      <c r="A3349" s="1481"/>
      <c r="B3349" s="1481"/>
      <c r="C3349" s="1437"/>
      <c r="D3349" s="1481"/>
      <c r="E3349" s="1490" t="s">
        <v>161</v>
      </c>
      <c r="F3349" s="1490" t="s">
        <v>162</v>
      </c>
      <c r="G3349" s="1489" t="s">
        <v>163</v>
      </c>
      <c r="H3349" s="1483" t="s">
        <v>2313</v>
      </c>
    </row>
    <row r="3350" spans="1:8" s="1403" customFormat="1">
      <c r="A3350" s="1481"/>
      <c r="B3350" s="1481"/>
      <c r="C3350" s="1437" t="s">
        <v>1273</v>
      </c>
      <c r="D3350" s="1481"/>
      <c r="E3350" s="1485">
        <f>G3348</f>
        <v>31150.720000000001</v>
      </c>
      <c r="F3350" s="1485">
        <f>G3348</f>
        <v>31150.720000000001</v>
      </c>
      <c r="G3350" s="1487">
        <f>G3348</f>
        <v>31150.720000000001</v>
      </c>
      <c r="H3350" s="1483" t="s">
        <v>2313</v>
      </c>
    </row>
    <row r="3351" spans="1:8" s="1403" customFormat="1" ht="25.5">
      <c r="A3351" s="1481"/>
      <c r="B3351" s="1481"/>
      <c r="C3351" s="1484" t="s">
        <v>1285</v>
      </c>
      <c r="D3351" s="1481"/>
      <c r="E3351" s="1485"/>
      <c r="F3351" s="1487">
        <f>ROUND((G3344+G3345+G3346)*0.1,2)</f>
        <v>665.5</v>
      </c>
      <c r="G3351" s="1487">
        <f>ROUND((G3344+G3345+G3346)*0.2,2)</f>
        <v>1331</v>
      </c>
      <c r="H3351" s="1483" t="s">
        <v>2313</v>
      </c>
    </row>
    <row r="3352" spans="1:8" s="1403" customFormat="1">
      <c r="A3352" s="1481"/>
      <c r="B3352" s="1481"/>
      <c r="C3352" s="1437" t="s">
        <v>88</v>
      </c>
      <c r="D3352" s="1481"/>
      <c r="E3352" s="1485">
        <f>SUM(E3350:E3351)</f>
        <v>31150.720000000001</v>
      </c>
      <c r="F3352" s="1487">
        <f>SUM(F3350:F3351)</f>
        <v>31816.22</v>
      </c>
      <c r="G3352" s="1487">
        <f>SUM(G3350:G3351)</f>
        <v>32481.72</v>
      </c>
      <c r="H3352" s="1483" t="s">
        <v>2313</v>
      </c>
    </row>
    <row r="3353" spans="1:8" s="1403" customFormat="1">
      <c r="A3353" s="1481"/>
      <c r="B3353" s="1481"/>
      <c r="C3353" s="1437" t="s">
        <v>121</v>
      </c>
      <c r="D3353" s="1481"/>
      <c r="E3353" s="1489">
        <f>ROUND(E3352/10,2)</f>
        <v>3115.07</v>
      </c>
      <c r="F3353" s="1489">
        <f>ROUND(F3352/10,2)</f>
        <v>3181.62</v>
      </c>
      <c r="G3353" s="1491">
        <f>ROUND(G3352/10,2)</f>
        <v>3248.17</v>
      </c>
      <c r="H3353" s="1483" t="s">
        <v>2313</v>
      </c>
    </row>
    <row r="3354" spans="1:8" s="1403" customFormat="1" ht="153">
      <c r="A3354" s="1397">
        <v>19</v>
      </c>
      <c r="B3354" s="1490" t="s">
        <v>668</v>
      </c>
      <c r="C3354" s="1484" t="s">
        <v>671</v>
      </c>
      <c r="D3354" s="1481"/>
      <c r="E3354" s="1481"/>
      <c r="F3354" s="1481"/>
      <c r="G3354" s="1490"/>
      <c r="H3354" s="1483" t="s">
        <v>2313</v>
      </c>
    </row>
    <row r="3355" spans="1:8" s="1403" customFormat="1">
      <c r="A3355" s="1397"/>
      <c r="B3355" s="1490"/>
      <c r="C3355" s="1437" t="s">
        <v>42</v>
      </c>
      <c r="D3355" s="1481"/>
      <c r="E3355" s="1481"/>
      <c r="F3355" s="1481"/>
      <c r="G3355" s="1487"/>
      <c r="H3355" s="1483" t="s">
        <v>2313</v>
      </c>
    </row>
    <row r="3356" spans="1:8" s="1403" customFormat="1">
      <c r="A3356" s="1397"/>
      <c r="B3356" s="1490"/>
      <c r="C3356" s="1437" t="s">
        <v>60</v>
      </c>
      <c r="D3356" s="1481"/>
      <c r="E3356" s="1481"/>
      <c r="F3356" s="1481"/>
      <c r="G3356" s="1487"/>
      <c r="H3356" s="1483" t="s">
        <v>2313</v>
      </c>
    </row>
    <row r="3357" spans="1:8" s="1403" customFormat="1" ht="25.5">
      <c r="A3357" s="1397"/>
      <c r="B3357" s="1490"/>
      <c r="C3357" s="1484" t="s">
        <v>667</v>
      </c>
      <c r="D3357" s="1481" t="s">
        <v>77</v>
      </c>
      <c r="E3357" s="1485">
        <v>10.5</v>
      </c>
      <c r="F3357" s="1485">
        <f>F3338</f>
        <v>2257.7440000000001</v>
      </c>
      <c r="G3357" s="1486">
        <f>ROUND(E3357*F3357/1,2)</f>
        <v>23706.31</v>
      </c>
      <c r="H3357" s="1483" t="s">
        <v>2313</v>
      </c>
    </row>
    <row r="3358" spans="1:8" s="1403" customFormat="1">
      <c r="A3358" s="1397"/>
      <c r="B3358" s="1490"/>
      <c r="C3358" s="1484" t="s">
        <v>669</v>
      </c>
      <c r="D3358" s="1481" t="s">
        <v>35</v>
      </c>
      <c r="E3358" s="1485">
        <v>0.12</v>
      </c>
      <c r="F3358" s="1485">
        <f>F3342</f>
        <v>1815.9999999999998</v>
      </c>
      <c r="G3358" s="1486">
        <f>ROUND(E3358*F3358,2)</f>
        <v>217.92</v>
      </c>
      <c r="H3358" s="1483" t="s">
        <v>2313</v>
      </c>
    </row>
    <row r="3359" spans="1:8" s="1403" customFormat="1">
      <c r="A3359" s="1397"/>
      <c r="B3359" s="1490"/>
      <c r="C3359" s="1484" t="s">
        <v>105</v>
      </c>
      <c r="D3359" s="1481" t="s">
        <v>4</v>
      </c>
      <c r="E3359" s="1485">
        <v>57.6</v>
      </c>
      <c r="F3359" s="1485">
        <f>F3339</f>
        <v>4700</v>
      </c>
      <c r="G3359" s="1486">
        <f>ROUND(E3359*F3359/1000,2)</f>
        <v>270.72000000000003</v>
      </c>
      <c r="H3359" s="1483" t="s">
        <v>2313</v>
      </c>
    </row>
    <row r="3360" spans="1:8" s="1403" customFormat="1">
      <c r="A3360" s="1397"/>
      <c r="B3360" s="1490"/>
      <c r="C3360" s="1484" t="s">
        <v>92</v>
      </c>
      <c r="D3360" s="1481" t="s">
        <v>4</v>
      </c>
      <c r="E3360" s="1485">
        <v>33</v>
      </c>
      <c r="F3360" s="1485">
        <f>F3340</f>
        <v>4700</v>
      </c>
      <c r="G3360" s="1486">
        <f>ROUND(E3360*F3360/1000,2)</f>
        <v>155.1</v>
      </c>
      <c r="H3360" s="1483" t="s">
        <v>2313</v>
      </c>
    </row>
    <row r="3361" spans="1:8" s="1403" customFormat="1">
      <c r="A3361" s="1397"/>
      <c r="B3361" s="1490"/>
      <c r="C3361" s="1484" t="s">
        <v>670</v>
      </c>
      <c r="D3361" s="1481" t="s">
        <v>4</v>
      </c>
      <c r="E3361" s="1485">
        <v>5</v>
      </c>
      <c r="F3361" s="1485">
        <f>'MINI SSR 2022-23'!C45</f>
        <v>27.95</v>
      </c>
      <c r="G3361" s="1486">
        <f>ROUND(E3361*F3361,2)</f>
        <v>139.75</v>
      </c>
      <c r="H3361" s="1483" t="s">
        <v>2313</v>
      </c>
    </row>
    <row r="3362" spans="1:8" s="1403" customFormat="1">
      <c r="A3362" s="1481"/>
      <c r="B3362" s="1481"/>
      <c r="C3362" s="1437" t="s">
        <v>68</v>
      </c>
      <c r="D3362" s="1481"/>
      <c r="E3362" s="1485"/>
      <c r="F3362" s="1485"/>
      <c r="G3362" s="1486"/>
      <c r="H3362" s="1483" t="s">
        <v>2313</v>
      </c>
    </row>
    <row r="3363" spans="1:8" s="1403" customFormat="1">
      <c r="A3363" s="1481"/>
      <c r="B3363" s="1481"/>
      <c r="C3363" s="1484" t="s">
        <v>64</v>
      </c>
      <c r="D3363" s="1481" t="s">
        <v>27</v>
      </c>
      <c r="E3363" s="1485">
        <v>2.1</v>
      </c>
      <c r="F3363" s="1488">
        <f>'MINI SSR 2022-23'!$H$3</f>
        <v>630</v>
      </c>
      <c r="G3363" s="1486">
        <f>ROUND(E3363*F3363,2)</f>
        <v>1323</v>
      </c>
      <c r="H3363" s="1483" t="s">
        <v>2313</v>
      </c>
    </row>
    <row r="3364" spans="1:8" s="1403" customFormat="1">
      <c r="A3364" s="1481"/>
      <c r="B3364" s="1481"/>
      <c r="C3364" s="1484" t="s">
        <v>69</v>
      </c>
      <c r="D3364" s="1481" t="s">
        <v>27</v>
      </c>
      <c r="E3364" s="1485">
        <v>4.9000000000000004</v>
      </c>
      <c r="F3364" s="1488">
        <f>'MINI SSR 2022-23'!$H$4</f>
        <v>565</v>
      </c>
      <c r="G3364" s="1486">
        <f>ROUND(E3364*F3364,2)</f>
        <v>2768.5</v>
      </c>
      <c r="H3364" s="1483" t="s">
        <v>2313</v>
      </c>
    </row>
    <row r="3365" spans="1:8" s="1403" customFormat="1">
      <c r="A3365" s="1481"/>
      <c r="B3365" s="1481"/>
      <c r="C3365" s="1484" t="s">
        <v>85</v>
      </c>
      <c r="D3365" s="1481" t="s">
        <v>27</v>
      </c>
      <c r="E3365" s="1485">
        <v>0.8</v>
      </c>
      <c r="F3365" s="1488">
        <f>'MINI SSR 2022-23'!$H$5</f>
        <v>525</v>
      </c>
      <c r="G3365" s="1486">
        <f>ROUND(E3365*F3365,2)</f>
        <v>420</v>
      </c>
      <c r="H3365" s="1483" t="s">
        <v>2313</v>
      </c>
    </row>
    <row r="3366" spans="1:8" s="1403" customFormat="1">
      <c r="A3366" s="1481"/>
      <c r="B3366" s="1481"/>
      <c r="C3366" s="1484" t="s">
        <v>895</v>
      </c>
      <c r="D3366" s="1481"/>
      <c r="E3366" s="1485">
        <v>0.01</v>
      </c>
      <c r="F3366" s="1485">
        <f>SUM(G3358:G3365)</f>
        <v>5294.99</v>
      </c>
      <c r="G3366" s="1486">
        <f>ROUND(E3366*F3366,2)</f>
        <v>52.95</v>
      </c>
      <c r="H3366" s="1483" t="s">
        <v>2313</v>
      </c>
    </row>
    <row r="3367" spans="1:8" s="1403" customFormat="1">
      <c r="A3367" s="1481"/>
      <c r="B3367" s="1481"/>
      <c r="C3367" s="1437" t="s">
        <v>88</v>
      </c>
      <c r="D3367" s="1481"/>
      <c r="E3367" s="1481"/>
      <c r="F3367" s="1481"/>
      <c r="G3367" s="1491">
        <f>SUM(G3357:G3366)</f>
        <v>29054.25</v>
      </c>
      <c r="H3367" s="1483" t="s">
        <v>2313</v>
      </c>
    </row>
    <row r="3368" spans="1:8" s="1403" customFormat="1">
      <c r="A3368" s="1481"/>
      <c r="B3368" s="1481"/>
      <c r="C3368" s="1437"/>
      <c r="D3368" s="1481"/>
      <c r="E3368" s="1490" t="s">
        <v>161</v>
      </c>
      <c r="F3368" s="1490" t="s">
        <v>161</v>
      </c>
      <c r="G3368" s="1489" t="s">
        <v>162</v>
      </c>
      <c r="H3368" s="1483" t="s">
        <v>2313</v>
      </c>
    </row>
    <row r="3369" spans="1:8" s="1403" customFormat="1">
      <c r="A3369" s="1481"/>
      <c r="B3369" s="1481"/>
      <c r="C3369" s="1437" t="s">
        <v>1273</v>
      </c>
      <c r="D3369" s="1481"/>
      <c r="E3369" s="1485">
        <f>G3367</f>
        <v>29054.25</v>
      </c>
      <c r="F3369" s="1485">
        <f>G3367</f>
        <v>29054.25</v>
      </c>
      <c r="G3369" s="1487">
        <f>G3367</f>
        <v>29054.25</v>
      </c>
      <c r="H3369" s="1483" t="s">
        <v>2313</v>
      </c>
    </row>
    <row r="3370" spans="1:8" s="1403" customFormat="1">
      <c r="A3370" s="1481"/>
      <c r="B3370" s="1481"/>
      <c r="C3370" s="1484" t="s">
        <v>1348</v>
      </c>
      <c r="D3370" s="1481"/>
      <c r="E3370" s="1485"/>
      <c r="F3370" s="1487">
        <f>ROUND((G3363+G3364+G3365)*0.1,2)</f>
        <v>451.15</v>
      </c>
      <c r="G3370" s="1487">
        <f>ROUND((G3363+G3364+G3365)*0.2,2)</f>
        <v>902.3</v>
      </c>
      <c r="H3370" s="1483" t="s">
        <v>2313</v>
      </c>
    </row>
    <row r="3371" spans="1:8" s="1403" customFormat="1">
      <c r="A3371" s="1481"/>
      <c r="B3371" s="1481"/>
      <c r="C3371" s="1437" t="s">
        <v>88</v>
      </c>
      <c r="D3371" s="1481"/>
      <c r="E3371" s="1485">
        <f>SUM(E3369:E3370)</f>
        <v>29054.25</v>
      </c>
      <c r="F3371" s="1485">
        <f>SUM(F3369:F3370)</f>
        <v>29505.4</v>
      </c>
      <c r="G3371" s="1487">
        <f>SUM(G3369:G3370)</f>
        <v>29956.55</v>
      </c>
      <c r="H3371" s="1483" t="s">
        <v>2313</v>
      </c>
    </row>
    <row r="3372" spans="1:8" s="1403" customFormat="1">
      <c r="A3372" s="1481"/>
      <c r="B3372" s="1481"/>
      <c r="C3372" s="1437" t="s">
        <v>121</v>
      </c>
      <c r="D3372" s="1481"/>
      <c r="E3372" s="1489">
        <f>ROUND(E3371/10,2)</f>
        <v>2905.43</v>
      </c>
      <c r="F3372" s="1489">
        <f>ROUND(F3371/10,2)</f>
        <v>2950.54</v>
      </c>
      <c r="G3372" s="1491">
        <f>ROUND(G3371/10,2)</f>
        <v>2995.66</v>
      </c>
      <c r="H3372" s="1483" t="s">
        <v>2313</v>
      </c>
    </row>
    <row r="3373" spans="1:8" ht="38.25" hidden="1">
      <c r="A3373" s="896">
        <v>42</v>
      </c>
      <c r="B3373" s="966"/>
      <c r="C3373" s="1382" t="s">
        <v>937</v>
      </c>
      <c r="D3373" s="967"/>
      <c r="E3373" s="967"/>
      <c r="F3373" s="967"/>
      <c r="G3373" s="902"/>
      <c r="H3373" s="964" t="s">
        <v>2313</v>
      </c>
    </row>
    <row r="3374" spans="1:8" hidden="1">
      <c r="A3374" s="902"/>
      <c r="B3374" s="902"/>
      <c r="C3374" s="1382" t="s">
        <v>938</v>
      </c>
      <c r="D3374" s="896" t="s">
        <v>277</v>
      </c>
      <c r="E3374" s="920">
        <v>1</v>
      </c>
      <c r="F3374" s="922">
        <f>'MINI SSR 2022-23'!C46</f>
        <v>453</v>
      </c>
      <c r="G3374" s="969">
        <f>ROUND(E3374*F3374,2)</f>
        <v>453</v>
      </c>
      <c r="H3374" s="964" t="s">
        <v>2313</v>
      </c>
    </row>
    <row r="3375" spans="1:8" hidden="1">
      <c r="A3375" s="902"/>
      <c r="B3375" s="902"/>
      <c r="C3375" s="962" t="s">
        <v>377</v>
      </c>
      <c r="D3375" s="896"/>
      <c r="E3375" s="922"/>
      <c r="F3375" s="922"/>
      <c r="G3375" s="963">
        <f>SUM(G3374:G3374)</f>
        <v>453</v>
      </c>
      <c r="H3375" s="964" t="s">
        <v>2313</v>
      </c>
    </row>
    <row r="3376" spans="1:8" ht="140.25" hidden="1">
      <c r="A3376" s="896">
        <v>43</v>
      </c>
      <c r="B3376" s="966" t="s">
        <v>674</v>
      </c>
      <c r="C3376" s="1382" t="s">
        <v>673</v>
      </c>
      <c r="D3376" s="967"/>
      <c r="E3376" s="967"/>
      <c r="F3376" s="967"/>
      <c r="G3376" s="966"/>
      <c r="H3376" s="964" t="s">
        <v>2313</v>
      </c>
    </row>
    <row r="3377" spans="1:8" hidden="1">
      <c r="A3377" s="896"/>
      <c r="B3377" s="966"/>
      <c r="C3377" s="962" t="s">
        <v>42</v>
      </c>
      <c r="D3377" s="967"/>
      <c r="E3377" s="967"/>
      <c r="F3377" s="967"/>
      <c r="G3377" s="972"/>
      <c r="H3377" s="964" t="s">
        <v>2313</v>
      </c>
    </row>
    <row r="3378" spans="1:8" hidden="1">
      <c r="A3378" s="896"/>
      <c r="B3378" s="966"/>
      <c r="C3378" s="962" t="s">
        <v>60</v>
      </c>
      <c r="D3378" s="967"/>
      <c r="E3378" s="967"/>
      <c r="F3378" s="967"/>
      <c r="G3378" s="972"/>
      <c r="H3378" s="964" t="s">
        <v>2313</v>
      </c>
    </row>
    <row r="3379" spans="1:8" ht="25.5" hidden="1">
      <c r="A3379" s="896"/>
      <c r="B3379" s="966"/>
      <c r="C3379" s="1382" t="s">
        <v>677</v>
      </c>
      <c r="D3379" s="967" t="s">
        <v>77</v>
      </c>
      <c r="E3379" s="970">
        <v>10.5</v>
      </c>
      <c r="F3379" s="970">
        <f>'MINI SSR 2022-23'!C20</f>
        <v>315</v>
      </c>
      <c r="G3379" s="969">
        <f>ROUND(E3379*F3379/1,2)</f>
        <v>3307.5</v>
      </c>
      <c r="H3379" s="964" t="s">
        <v>2313</v>
      </c>
    </row>
    <row r="3380" spans="1:8" hidden="1">
      <c r="A3380" s="896"/>
      <c r="B3380" s="966"/>
      <c r="C3380" s="1382" t="s">
        <v>675</v>
      </c>
      <c r="D3380" s="967" t="s">
        <v>4</v>
      </c>
      <c r="E3380" s="970">
        <v>28.8</v>
      </c>
      <c r="F3380" s="970">
        <f>F3359</f>
        <v>4700</v>
      </c>
      <c r="G3380" s="969">
        <f>ROUND(E3380*F3380/1000,2)</f>
        <v>135.36000000000001</v>
      </c>
      <c r="H3380" s="964" t="s">
        <v>2313</v>
      </c>
    </row>
    <row r="3381" spans="1:8" hidden="1">
      <c r="A3381" s="896"/>
      <c r="B3381" s="966"/>
      <c r="C3381" s="1382" t="s">
        <v>92</v>
      </c>
      <c r="D3381" s="967" t="s">
        <v>4</v>
      </c>
      <c r="E3381" s="970">
        <v>33</v>
      </c>
      <c r="F3381" s="970">
        <f>F3380</f>
        <v>4700</v>
      </c>
      <c r="G3381" s="969">
        <f>ROUND(E3381*F3381/1000,2)</f>
        <v>155.1</v>
      </c>
      <c r="H3381" s="964" t="s">
        <v>2313</v>
      </c>
    </row>
    <row r="3382" spans="1:8" hidden="1">
      <c r="A3382" s="896"/>
      <c r="B3382" s="966"/>
      <c r="C3382" s="1382" t="s">
        <v>93</v>
      </c>
      <c r="D3382" s="967" t="s">
        <v>4</v>
      </c>
      <c r="E3382" s="970">
        <v>6</v>
      </c>
      <c r="F3382" s="970">
        <f>F3381</f>
        <v>4700</v>
      </c>
      <c r="G3382" s="969">
        <f>ROUND(E3382*F3382/1000,2)</f>
        <v>28.2</v>
      </c>
      <c r="H3382" s="964" t="s">
        <v>2313</v>
      </c>
    </row>
    <row r="3383" spans="1:8" hidden="1">
      <c r="A3383" s="896"/>
      <c r="B3383" s="966"/>
      <c r="C3383" s="1382" t="s">
        <v>676</v>
      </c>
      <c r="D3383" s="967" t="s">
        <v>35</v>
      </c>
      <c r="E3383" s="970">
        <v>0.12</v>
      </c>
      <c r="F3383" s="970">
        <f>'lead 22-23'!L12</f>
        <v>1815.9999999999998</v>
      </c>
      <c r="G3383" s="969">
        <f>ROUND(E3383*F3383,2)</f>
        <v>217.92</v>
      </c>
      <c r="H3383" s="964" t="s">
        <v>2313</v>
      </c>
    </row>
    <row r="3384" spans="1:8" hidden="1">
      <c r="A3384" s="967"/>
      <c r="B3384" s="967"/>
      <c r="C3384" s="962" t="s">
        <v>68</v>
      </c>
      <c r="D3384" s="967"/>
      <c r="E3384" s="970"/>
      <c r="F3384" s="970"/>
      <c r="G3384" s="969"/>
      <c r="H3384" s="964" t="s">
        <v>2313</v>
      </c>
    </row>
    <row r="3385" spans="1:8" hidden="1">
      <c r="A3385" s="967"/>
      <c r="B3385" s="967"/>
      <c r="C3385" s="1382" t="s">
        <v>69</v>
      </c>
      <c r="D3385" s="967" t="s">
        <v>27</v>
      </c>
      <c r="E3385" s="970">
        <v>0.96</v>
      </c>
      <c r="F3385" s="990">
        <f>'MINI SSR 2022-23'!$H$3</f>
        <v>630</v>
      </c>
      <c r="G3385" s="969">
        <f>ROUND(E3385*F3385,2)</f>
        <v>604.79999999999995</v>
      </c>
      <c r="H3385" s="964" t="s">
        <v>2313</v>
      </c>
    </row>
    <row r="3386" spans="1:8" hidden="1">
      <c r="A3386" s="967"/>
      <c r="B3386" s="967"/>
      <c r="C3386" s="1382" t="s">
        <v>218</v>
      </c>
      <c r="D3386" s="967" t="s">
        <v>27</v>
      </c>
      <c r="E3386" s="970">
        <v>2.2400000000000002</v>
      </c>
      <c r="F3386" s="990">
        <f>'MINI SSR 2022-23'!$H$4</f>
        <v>565</v>
      </c>
      <c r="G3386" s="969">
        <f>ROUND(E3386*F3386,2)</f>
        <v>1265.5999999999999</v>
      </c>
      <c r="H3386" s="964" t="s">
        <v>2313</v>
      </c>
    </row>
    <row r="3387" spans="1:8" hidden="1">
      <c r="A3387" s="967"/>
      <c r="B3387" s="967"/>
      <c r="C3387" s="1382" t="s">
        <v>85</v>
      </c>
      <c r="D3387" s="967" t="s">
        <v>27</v>
      </c>
      <c r="E3387" s="970">
        <v>3.3</v>
      </c>
      <c r="F3387" s="990">
        <f>'MINI SSR 2022-23'!$H$5</f>
        <v>525</v>
      </c>
      <c r="G3387" s="969">
        <f>ROUND(E3387*F3387,2)</f>
        <v>1732.5</v>
      </c>
      <c r="H3387" s="964" t="s">
        <v>2313</v>
      </c>
    </row>
    <row r="3388" spans="1:8" hidden="1">
      <c r="A3388" s="967"/>
      <c r="B3388" s="967"/>
      <c r="C3388" s="962" t="s">
        <v>88</v>
      </c>
      <c r="D3388" s="967"/>
      <c r="E3388" s="967"/>
      <c r="F3388" s="967"/>
      <c r="G3388" s="971">
        <f>SUM(G3379:G3387)</f>
        <v>7446.98</v>
      </c>
      <c r="H3388" s="964" t="s">
        <v>2313</v>
      </c>
    </row>
    <row r="3389" spans="1:8" hidden="1">
      <c r="A3389" s="967"/>
      <c r="B3389" s="967"/>
      <c r="C3389" s="962"/>
      <c r="D3389" s="967"/>
      <c r="E3389" s="966" t="s">
        <v>161</v>
      </c>
      <c r="F3389" s="966" t="s">
        <v>162</v>
      </c>
      <c r="G3389" s="974" t="s">
        <v>163</v>
      </c>
      <c r="H3389" s="964" t="s">
        <v>2313</v>
      </c>
    </row>
    <row r="3390" spans="1:8" hidden="1">
      <c r="A3390" s="967"/>
      <c r="B3390" s="967"/>
      <c r="C3390" s="962" t="s">
        <v>1273</v>
      </c>
      <c r="D3390" s="967"/>
      <c r="E3390" s="970">
        <f>G3388</f>
        <v>7446.98</v>
      </c>
      <c r="F3390" s="970">
        <f>G3388</f>
        <v>7446.98</v>
      </c>
      <c r="G3390" s="972">
        <f>G3388</f>
        <v>7446.98</v>
      </c>
      <c r="H3390" s="964" t="s">
        <v>2313</v>
      </c>
    </row>
    <row r="3391" spans="1:8" ht="25.5" hidden="1">
      <c r="A3391" s="967"/>
      <c r="B3391" s="967"/>
      <c r="C3391" s="1382" t="s">
        <v>1285</v>
      </c>
      <c r="D3391" s="967"/>
      <c r="E3391" s="970"/>
      <c r="F3391" s="972">
        <f>ROUND((G3386+G3385+G3387)*0.1,2)</f>
        <v>360.29</v>
      </c>
      <c r="G3391" s="972">
        <f>ROUND((G3387+G3385+G3386)*0.2,2)</f>
        <v>720.58</v>
      </c>
      <c r="H3391" s="964" t="s">
        <v>2313</v>
      </c>
    </row>
    <row r="3392" spans="1:8" hidden="1">
      <c r="A3392" s="967"/>
      <c r="B3392" s="967"/>
      <c r="C3392" s="962" t="s">
        <v>88</v>
      </c>
      <c r="D3392" s="967"/>
      <c r="E3392" s="970">
        <f>SUM(E3390:E3391)</f>
        <v>7446.98</v>
      </c>
      <c r="F3392" s="970">
        <f>SUM(F3390:F3391)</f>
        <v>7807.2699999999995</v>
      </c>
      <c r="G3392" s="972">
        <f>SUM(G3390:G3391)</f>
        <v>8167.5599999999995</v>
      </c>
      <c r="H3392" s="964" t="s">
        <v>2313</v>
      </c>
    </row>
    <row r="3393" spans="1:8" hidden="1">
      <c r="A3393" s="967"/>
      <c r="B3393" s="967"/>
      <c r="C3393" s="962" t="s">
        <v>121</v>
      </c>
      <c r="D3393" s="967"/>
      <c r="E3393" s="974">
        <f>ROUND(E3392/10,2)</f>
        <v>744.7</v>
      </c>
      <c r="F3393" s="974">
        <f>ROUND(F3392/10,2)</f>
        <v>780.73</v>
      </c>
      <c r="G3393" s="971">
        <f>ROUND(G3392/10,2)</f>
        <v>816.76</v>
      </c>
      <c r="H3393" s="964" t="s">
        <v>2313</v>
      </c>
    </row>
    <row r="3394" spans="1:8" ht="127.5" hidden="1">
      <c r="A3394" s="896">
        <v>44</v>
      </c>
      <c r="B3394" s="966" t="s">
        <v>199</v>
      </c>
      <c r="C3394" s="1382" t="s">
        <v>679</v>
      </c>
      <c r="D3394" s="967"/>
      <c r="E3394" s="967"/>
      <c r="F3394" s="967"/>
      <c r="G3394" s="966"/>
      <c r="H3394" s="964" t="s">
        <v>2313</v>
      </c>
    </row>
    <row r="3395" spans="1:8" hidden="1">
      <c r="A3395" s="896"/>
      <c r="B3395" s="966"/>
      <c r="C3395" s="962" t="s">
        <v>42</v>
      </c>
      <c r="D3395" s="967"/>
      <c r="E3395" s="967"/>
      <c r="F3395" s="967"/>
      <c r="G3395" s="972"/>
      <c r="H3395" s="964" t="s">
        <v>2313</v>
      </c>
    </row>
    <row r="3396" spans="1:8" hidden="1">
      <c r="A3396" s="896"/>
      <c r="B3396" s="966"/>
      <c r="C3396" s="962" t="s">
        <v>60</v>
      </c>
      <c r="D3396" s="967"/>
      <c r="E3396" s="967"/>
      <c r="F3396" s="967"/>
      <c r="G3396" s="972"/>
      <c r="H3396" s="964" t="s">
        <v>2313</v>
      </c>
    </row>
    <row r="3397" spans="1:8" ht="25.5" hidden="1">
      <c r="A3397" s="896"/>
      <c r="B3397" s="966"/>
      <c r="C3397" s="1382" t="s">
        <v>677</v>
      </c>
      <c r="D3397" s="967" t="s">
        <v>77</v>
      </c>
      <c r="E3397" s="970">
        <v>10.5</v>
      </c>
      <c r="F3397" s="970">
        <f>'MINI SSR 2022-23'!C20</f>
        <v>315</v>
      </c>
      <c r="G3397" s="969">
        <f>ROUND(E3397*F3397/1,2)</f>
        <v>3307.5</v>
      </c>
      <c r="H3397" s="964" t="s">
        <v>2313</v>
      </c>
    </row>
    <row r="3398" spans="1:8" hidden="1">
      <c r="A3398" s="896"/>
      <c r="B3398" s="966"/>
      <c r="C3398" s="1382" t="s">
        <v>200</v>
      </c>
      <c r="D3398" s="967" t="s">
        <v>35</v>
      </c>
      <c r="E3398" s="970">
        <v>0.12</v>
      </c>
      <c r="F3398" s="970">
        <f>F3383</f>
        <v>1815.9999999999998</v>
      </c>
      <c r="G3398" s="969">
        <f>ROUND(E3398*F3398,2)</f>
        <v>217.92</v>
      </c>
      <c r="H3398" s="964" t="s">
        <v>2313</v>
      </c>
    </row>
    <row r="3399" spans="1:8" hidden="1">
      <c r="A3399" s="896"/>
      <c r="B3399" s="966"/>
      <c r="C3399" s="1382" t="s">
        <v>201</v>
      </c>
      <c r="D3399" s="967" t="s">
        <v>4</v>
      </c>
      <c r="E3399" s="970">
        <v>34.56</v>
      </c>
      <c r="F3399" s="970">
        <f>F3380</f>
        <v>4700</v>
      </c>
      <c r="G3399" s="969">
        <f>ROUND(E3399*F3399/1000,2)</f>
        <v>162.43</v>
      </c>
      <c r="H3399" s="964" t="s">
        <v>2313</v>
      </c>
    </row>
    <row r="3400" spans="1:8" hidden="1">
      <c r="A3400" s="896"/>
      <c r="B3400" s="966"/>
      <c r="C3400" s="1382" t="s">
        <v>202</v>
      </c>
      <c r="D3400" s="967" t="s">
        <v>4</v>
      </c>
      <c r="E3400" s="970">
        <v>33</v>
      </c>
      <c r="F3400" s="970">
        <f>F3399</f>
        <v>4700</v>
      </c>
      <c r="G3400" s="969">
        <f>ROUND(E3400*F3400/1000,2)</f>
        <v>155.1</v>
      </c>
      <c r="H3400" s="964" t="s">
        <v>2313</v>
      </c>
    </row>
    <row r="3401" spans="1:8" hidden="1">
      <c r="A3401" s="896"/>
      <c r="B3401" s="966"/>
      <c r="C3401" s="1382" t="s">
        <v>204</v>
      </c>
      <c r="D3401" s="967" t="s">
        <v>4</v>
      </c>
      <c r="E3401" s="970">
        <v>2</v>
      </c>
      <c r="F3401" s="970">
        <f>'MINI SSR 2022-23'!C45</f>
        <v>27.95</v>
      </c>
      <c r="G3401" s="969">
        <f>ROUND(E3401*F3401,2)</f>
        <v>55.9</v>
      </c>
      <c r="H3401" s="964" t="s">
        <v>2313</v>
      </c>
    </row>
    <row r="3402" spans="1:8" hidden="1">
      <c r="A3402" s="967"/>
      <c r="B3402" s="967"/>
      <c r="C3402" s="962" t="s">
        <v>68</v>
      </c>
      <c r="D3402" s="967"/>
      <c r="E3402" s="970"/>
      <c r="F3402" s="970"/>
      <c r="G3402" s="969"/>
      <c r="H3402" s="964" t="s">
        <v>2313</v>
      </c>
    </row>
    <row r="3403" spans="1:8" hidden="1">
      <c r="A3403" s="967"/>
      <c r="B3403" s="967"/>
      <c r="C3403" s="1382" t="s">
        <v>64</v>
      </c>
      <c r="D3403" s="967" t="s">
        <v>27</v>
      </c>
      <c r="E3403" s="970">
        <v>0.96</v>
      </c>
      <c r="F3403" s="990">
        <f>'MINI SSR 2022-23'!$H$3</f>
        <v>630</v>
      </c>
      <c r="G3403" s="969">
        <f>ROUND(E3403*F3403,2)</f>
        <v>604.79999999999995</v>
      </c>
      <c r="H3403" s="964" t="s">
        <v>2313</v>
      </c>
    </row>
    <row r="3404" spans="1:8" hidden="1">
      <c r="A3404" s="967"/>
      <c r="B3404" s="967"/>
      <c r="C3404" s="1382" t="s">
        <v>69</v>
      </c>
      <c r="D3404" s="967" t="s">
        <v>27</v>
      </c>
      <c r="E3404" s="970">
        <v>2.2400000000000002</v>
      </c>
      <c r="F3404" s="990">
        <f>'MINI SSR 2022-23'!$H$4</f>
        <v>565</v>
      </c>
      <c r="G3404" s="969">
        <f>ROUND(E3404*F3404,2)</f>
        <v>1265.5999999999999</v>
      </c>
      <c r="H3404" s="964" t="s">
        <v>2313</v>
      </c>
    </row>
    <row r="3405" spans="1:8" hidden="1">
      <c r="A3405" s="967"/>
      <c r="B3405" s="967"/>
      <c r="C3405" s="1382" t="s">
        <v>85</v>
      </c>
      <c r="D3405" s="967" t="s">
        <v>27</v>
      </c>
      <c r="E3405" s="970">
        <v>3.3</v>
      </c>
      <c r="F3405" s="990">
        <f>'MINI SSR 2022-23'!$H$5</f>
        <v>525</v>
      </c>
      <c r="G3405" s="969">
        <f>ROUND(E3405*F3405,2)</f>
        <v>1732.5</v>
      </c>
      <c r="H3405" s="964" t="s">
        <v>2313</v>
      </c>
    </row>
    <row r="3406" spans="1:8" hidden="1">
      <c r="A3406" s="967"/>
      <c r="B3406" s="967"/>
      <c r="C3406" s="962" t="s">
        <v>88</v>
      </c>
      <c r="D3406" s="967"/>
      <c r="E3406" s="967"/>
      <c r="F3406" s="967"/>
      <c r="G3406" s="971">
        <f>SUM(G3397:G3405)</f>
        <v>7501.75</v>
      </c>
      <c r="H3406" s="964" t="s">
        <v>2313</v>
      </c>
    </row>
    <row r="3407" spans="1:8" hidden="1">
      <c r="A3407" s="967"/>
      <c r="B3407" s="967"/>
      <c r="C3407" s="962"/>
      <c r="D3407" s="967"/>
      <c r="E3407" s="966" t="s">
        <v>161</v>
      </c>
      <c r="F3407" s="966" t="s">
        <v>162</v>
      </c>
      <c r="G3407" s="974" t="s">
        <v>163</v>
      </c>
      <c r="H3407" s="964" t="s">
        <v>2313</v>
      </c>
    </row>
    <row r="3408" spans="1:8" hidden="1">
      <c r="A3408" s="967"/>
      <c r="B3408" s="967"/>
      <c r="C3408" s="962" t="s">
        <v>1274</v>
      </c>
      <c r="D3408" s="967"/>
      <c r="E3408" s="970">
        <f>G3406</f>
        <v>7501.75</v>
      </c>
      <c r="F3408" s="970">
        <f>G3406</f>
        <v>7501.75</v>
      </c>
      <c r="G3408" s="972">
        <f>G3406</f>
        <v>7501.75</v>
      </c>
      <c r="H3408" s="964" t="s">
        <v>2313</v>
      </c>
    </row>
    <row r="3409" spans="1:8" ht="25.5" hidden="1">
      <c r="A3409" s="967"/>
      <c r="B3409" s="967"/>
      <c r="C3409" s="1382" t="s">
        <v>170</v>
      </c>
      <c r="D3409" s="967"/>
      <c r="E3409" s="970"/>
      <c r="F3409" s="972">
        <f>ROUND((G3404+G3403+G3405)*0.1,2)</f>
        <v>360.29</v>
      </c>
      <c r="G3409" s="972">
        <f>ROUND((G3405+G3403+G3404)*0.2,2)</f>
        <v>720.58</v>
      </c>
      <c r="H3409" s="964" t="s">
        <v>2313</v>
      </c>
    </row>
    <row r="3410" spans="1:8" hidden="1">
      <c r="A3410" s="967"/>
      <c r="B3410" s="967"/>
      <c r="C3410" s="962" t="s">
        <v>194</v>
      </c>
      <c r="D3410" s="967"/>
      <c r="E3410" s="970">
        <f>SUM(E3408:E3409)</f>
        <v>7501.75</v>
      </c>
      <c r="F3410" s="970">
        <f>SUM(F3408:F3409)</f>
        <v>7862.04</v>
      </c>
      <c r="G3410" s="972">
        <f>SUM(G3408:G3409)</f>
        <v>8222.33</v>
      </c>
      <c r="H3410" s="964" t="s">
        <v>2313</v>
      </c>
    </row>
    <row r="3411" spans="1:8" hidden="1">
      <c r="A3411" s="967"/>
      <c r="B3411" s="967"/>
      <c r="C3411" s="962" t="s">
        <v>181</v>
      </c>
      <c r="D3411" s="967"/>
      <c r="E3411" s="974">
        <f>ROUND(E3410/10,2)</f>
        <v>750.18</v>
      </c>
      <c r="F3411" s="974">
        <f>ROUND(F3410/10,2)</f>
        <v>786.2</v>
      </c>
      <c r="G3411" s="971">
        <f>ROUND(G3410/10,2)</f>
        <v>822.23</v>
      </c>
      <c r="H3411" s="964" t="s">
        <v>2313</v>
      </c>
    </row>
    <row r="3412" spans="1:8" ht="165.75" hidden="1">
      <c r="A3412" s="896">
        <v>20</v>
      </c>
      <c r="B3412" s="966" t="s">
        <v>195</v>
      </c>
      <c r="C3412" s="1382" t="s">
        <v>212</v>
      </c>
      <c r="D3412" s="967"/>
      <c r="E3412" s="967"/>
      <c r="F3412" s="967"/>
      <c r="G3412" s="966"/>
      <c r="H3412" s="964" t="s">
        <v>2313</v>
      </c>
    </row>
    <row r="3413" spans="1:8" hidden="1">
      <c r="A3413" s="896"/>
      <c r="B3413" s="966"/>
      <c r="C3413" s="962" t="s">
        <v>42</v>
      </c>
      <c r="D3413" s="967"/>
      <c r="E3413" s="967"/>
      <c r="F3413" s="967"/>
      <c r="G3413" s="972"/>
      <c r="H3413" s="964" t="s">
        <v>2313</v>
      </c>
    </row>
    <row r="3414" spans="1:8" hidden="1">
      <c r="A3414" s="896"/>
      <c r="B3414" s="966"/>
      <c r="C3414" s="962" t="s">
        <v>60</v>
      </c>
      <c r="D3414" s="967"/>
      <c r="E3414" s="967"/>
      <c r="F3414" s="967"/>
      <c r="G3414" s="972"/>
      <c r="H3414" s="964" t="s">
        <v>2313</v>
      </c>
    </row>
    <row r="3415" spans="1:8" hidden="1">
      <c r="A3415" s="896"/>
      <c r="B3415" s="966"/>
      <c r="C3415" s="1382" t="s">
        <v>203</v>
      </c>
      <c r="D3415" s="967" t="s">
        <v>77</v>
      </c>
      <c r="E3415" s="970">
        <v>10.5</v>
      </c>
      <c r="F3415" s="970">
        <f>'MINI SSR 2022-23'!C21</f>
        <v>612</v>
      </c>
      <c r="G3415" s="969">
        <f>ROUND(E3415*F3415,2)</f>
        <v>6426</v>
      </c>
      <c r="H3415" s="964" t="s">
        <v>2313</v>
      </c>
    </row>
    <row r="3416" spans="1:8" hidden="1">
      <c r="A3416" s="896"/>
      <c r="B3416" s="966"/>
      <c r="C3416" s="1382" t="s">
        <v>91</v>
      </c>
      <c r="D3416" s="967" t="s">
        <v>4</v>
      </c>
      <c r="E3416" s="970">
        <v>21.6</v>
      </c>
      <c r="F3416" s="970">
        <f>'lead 22-23'!L8</f>
        <v>4700</v>
      </c>
      <c r="G3416" s="969">
        <f>ROUND(E3416*F3416/1000,2)</f>
        <v>101.52</v>
      </c>
      <c r="H3416" s="964" t="s">
        <v>2313</v>
      </c>
    </row>
    <row r="3417" spans="1:8" hidden="1">
      <c r="A3417" s="896"/>
      <c r="B3417" s="966"/>
      <c r="C3417" s="1382" t="s">
        <v>92</v>
      </c>
      <c r="D3417" s="967" t="s">
        <v>4</v>
      </c>
      <c r="E3417" s="970">
        <v>33</v>
      </c>
      <c r="F3417" s="970">
        <f>F3416</f>
        <v>4700</v>
      </c>
      <c r="G3417" s="969">
        <f>ROUND(E3417*F3417/1000,2)</f>
        <v>155.1</v>
      </c>
      <c r="H3417" s="964" t="s">
        <v>2313</v>
      </c>
    </row>
    <row r="3418" spans="1:8" hidden="1">
      <c r="A3418" s="896"/>
      <c r="B3418" s="966"/>
      <c r="C3418" s="1382" t="s">
        <v>196</v>
      </c>
      <c r="D3418" s="967" t="s">
        <v>4</v>
      </c>
      <c r="E3418" s="970">
        <v>6</v>
      </c>
      <c r="F3418" s="970">
        <f>F3417</f>
        <v>4700</v>
      </c>
      <c r="G3418" s="969">
        <f>ROUND(E3418*F3418/1000,2)</f>
        <v>28.2</v>
      </c>
      <c r="H3418" s="964" t="s">
        <v>2313</v>
      </c>
    </row>
    <row r="3419" spans="1:8" hidden="1">
      <c r="A3419" s="896"/>
      <c r="B3419" s="966"/>
      <c r="C3419" s="1382" t="s">
        <v>197</v>
      </c>
      <c r="D3419" s="967" t="s">
        <v>35</v>
      </c>
      <c r="E3419" s="970">
        <v>0.12</v>
      </c>
      <c r="F3419" s="970">
        <f>'lead 22-23'!L12</f>
        <v>1815.9999999999998</v>
      </c>
      <c r="G3419" s="969">
        <f>ROUND(E3419*F3419,2)</f>
        <v>217.92</v>
      </c>
      <c r="H3419" s="964" t="s">
        <v>2313</v>
      </c>
    </row>
    <row r="3420" spans="1:8" hidden="1">
      <c r="A3420" s="896"/>
      <c r="B3420" s="966"/>
      <c r="C3420" s="1382" t="s">
        <v>198</v>
      </c>
      <c r="D3420" s="967" t="s">
        <v>35</v>
      </c>
      <c r="E3420" s="970">
        <v>0.02</v>
      </c>
      <c r="F3420" s="970">
        <f>F3419</f>
        <v>1815.9999999999998</v>
      </c>
      <c r="G3420" s="969">
        <f>ROUND(E3420*F3420,2)</f>
        <v>36.32</v>
      </c>
      <c r="H3420" s="964" t="s">
        <v>2313</v>
      </c>
    </row>
    <row r="3421" spans="1:8" hidden="1">
      <c r="A3421" s="967"/>
      <c r="B3421" s="967"/>
      <c r="C3421" s="962" t="s">
        <v>68</v>
      </c>
      <c r="D3421" s="967"/>
      <c r="E3421" s="970"/>
      <c r="F3421" s="970"/>
      <c r="G3421" s="969"/>
      <c r="H3421" s="964" t="s">
        <v>2313</v>
      </c>
    </row>
    <row r="3422" spans="1:8" hidden="1">
      <c r="A3422" s="967"/>
      <c r="B3422" s="967"/>
      <c r="C3422" s="1382" t="s">
        <v>64</v>
      </c>
      <c r="D3422" s="967" t="s">
        <v>27</v>
      </c>
      <c r="E3422" s="970">
        <v>0.96</v>
      </c>
      <c r="F3422" s="990">
        <f>'MINI SSR 2022-23'!$H$3</f>
        <v>630</v>
      </c>
      <c r="G3422" s="969">
        <f>ROUND(E3422*F3422,2)</f>
        <v>604.79999999999995</v>
      </c>
      <c r="H3422" s="964" t="s">
        <v>2313</v>
      </c>
    </row>
    <row r="3423" spans="1:8" hidden="1">
      <c r="A3423" s="967"/>
      <c r="B3423" s="967"/>
      <c r="C3423" s="1382" t="s">
        <v>69</v>
      </c>
      <c r="D3423" s="967" t="s">
        <v>27</v>
      </c>
      <c r="E3423" s="970">
        <v>2.2400000000000002</v>
      </c>
      <c r="F3423" s="990">
        <f>'MINI SSR 2022-23'!$H$4</f>
        <v>565</v>
      </c>
      <c r="G3423" s="969">
        <f>ROUND(E3423*F3423,2)</f>
        <v>1265.5999999999999</v>
      </c>
      <c r="H3423" s="964" t="s">
        <v>2313</v>
      </c>
    </row>
    <row r="3424" spans="1:8" hidden="1">
      <c r="A3424" s="967"/>
      <c r="B3424" s="967"/>
      <c r="C3424" s="1382" t="s">
        <v>85</v>
      </c>
      <c r="D3424" s="967" t="s">
        <v>27</v>
      </c>
      <c r="E3424" s="970">
        <v>3.3</v>
      </c>
      <c r="F3424" s="990">
        <f>'MINI SSR 2022-23'!$H$5</f>
        <v>525</v>
      </c>
      <c r="G3424" s="969">
        <f>ROUND(E3424*F3424,2)</f>
        <v>1732.5</v>
      </c>
      <c r="H3424" s="964" t="s">
        <v>2313</v>
      </c>
    </row>
    <row r="3425" spans="1:8" hidden="1">
      <c r="A3425" s="967"/>
      <c r="B3425" s="967"/>
      <c r="C3425" s="1382" t="s">
        <v>1220</v>
      </c>
      <c r="D3425" s="967"/>
      <c r="E3425" s="970">
        <v>0.01</v>
      </c>
      <c r="F3425" s="970">
        <f>SUM(G3415:G3424)</f>
        <v>10567.960000000001</v>
      </c>
      <c r="G3425" s="969">
        <f>ROUND(E3425*F3425,2)</f>
        <v>105.68</v>
      </c>
      <c r="H3425" s="964" t="s">
        <v>2313</v>
      </c>
    </row>
    <row r="3426" spans="1:8" hidden="1">
      <c r="A3426" s="967"/>
      <c r="B3426" s="967"/>
      <c r="C3426" s="962" t="s">
        <v>88</v>
      </c>
      <c r="D3426" s="967"/>
      <c r="E3426" s="967"/>
      <c r="F3426" s="967"/>
      <c r="G3426" s="971">
        <f>SUM(G3415:G3425)</f>
        <v>10673.640000000001</v>
      </c>
      <c r="H3426" s="964" t="s">
        <v>2313</v>
      </c>
    </row>
    <row r="3427" spans="1:8" hidden="1">
      <c r="A3427" s="967"/>
      <c r="B3427" s="967"/>
      <c r="C3427" s="962"/>
      <c r="D3427" s="967"/>
      <c r="E3427" s="966" t="s">
        <v>161</v>
      </c>
      <c r="F3427" s="966" t="s">
        <v>162</v>
      </c>
      <c r="G3427" s="974" t="s">
        <v>163</v>
      </c>
      <c r="H3427" s="964" t="s">
        <v>2313</v>
      </c>
    </row>
    <row r="3428" spans="1:8" hidden="1">
      <c r="A3428" s="967"/>
      <c r="B3428" s="967"/>
      <c r="C3428" s="962" t="s">
        <v>1274</v>
      </c>
      <c r="D3428" s="967"/>
      <c r="E3428" s="970">
        <f>G3426</f>
        <v>10673.640000000001</v>
      </c>
      <c r="F3428" s="970">
        <f>G3426</f>
        <v>10673.640000000001</v>
      </c>
      <c r="G3428" s="972">
        <f>G3426</f>
        <v>10673.640000000001</v>
      </c>
      <c r="H3428" s="964" t="s">
        <v>2313</v>
      </c>
    </row>
    <row r="3429" spans="1:8" ht="25.5" hidden="1">
      <c r="A3429" s="967"/>
      <c r="B3429" s="967"/>
      <c r="C3429" s="1382" t="s">
        <v>170</v>
      </c>
      <c r="D3429" s="967"/>
      <c r="E3429" s="967"/>
      <c r="F3429" s="970">
        <f>ROUND((G3422+G3423+G3424)*0.1,2)</f>
        <v>360.29</v>
      </c>
      <c r="G3429" s="975">
        <f>ROUND((G3422+G3423+G3424)*0.2,2)</f>
        <v>720.58</v>
      </c>
      <c r="H3429" s="964" t="s">
        <v>2313</v>
      </c>
    </row>
    <row r="3430" spans="1:8" hidden="1">
      <c r="A3430" s="967"/>
      <c r="B3430" s="967"/>
      <c r="C3430" s="962" t="s">
        <v>194</v>
      </c>
      <c r="D3430" s="967"/>
      <c r="E3430" s="974">
        <f>SUM(E3428:E3429)</f>
        <v>10673.640000000001</v>
      </c>
      <c r="F3430" s="974">
        <f>SUM(F3428:F3429)</f>
        <v>11033.930000000002</v>
      </c>
      <c r="G3430" s="971">
        <f>SUM(G3428:G3429)</f>
        <v>11394.220000000001</v>
      </c>
      <c r="H3430" s="964" t="s">
        <v>2313</v>
      </c>
    </row>
    <row r="3431" spans="1:8" hidden="1">
      <c r="A3431" s="967"/>
      <c r="B3431" s="967"/>
      <c r="C3431" s="962" t="s">
        <v>181</v>
      </c>
      <c r="D3431" s="967"/>
      <c r="E3431" s="974">
        <f>ROUND(E3430/10,2)</f>
        <v>1067.3599999999999</v>
      </c>
      <c r="F3431" s="974">
        <f>ROUND(F3430/10,2)</f>
        <v>1103.3900000000001</v>
      </c>
      <c r="G3431" s="971">
        <f>ROUND(G3430/10,2)</f>
        <v>1139.42</v>
      </c>
      <c r="H3431" s="964" t="s">
        <v>2313</v>
      </c>
    </row>
    <row r="3432" spans="1:8" ht="127.5" hidden="1">
      <c r="A3432" s="896">
        <v>21</v>
      </c>
      <c r="B3432" s="966" t="s">
        <v>199</v>
      </c>
      <c r="C3432" s="1382" t="s">
        <v>213</v>
      </c>
      <c r="D3432" s="967"/>
      <c r="E3432" s="967"/>
      <c r="F3432" s="967"/>
      <c r="G3432" s="966"/>
      <c r="H3432" s="964" t="s">
        <v>2313</v>
      </c>
    </row>
    <row r="3433" spans="1:8" hidden="1">
      <c r="A3433" s="896"/>
      <c r="B3433" s="966"/>
      <c r="C3433" s="962" t="s">
        <v>42</v>
      </c>
      <c r="D3433" s="967"/>
      <c r="E3433" s="967"/>
      <c r="F3433" s="967"/>
      <c r="G3433" s="972"/>
      <c r="H3433" s="964" t="s">
        <v>2313</v>
      </c>
    </row>
    <row r="3434" spans="1:8" hidden="1">
      <c r="A3434" s="896"/>
      <c r="B3434" s="966"/>
      <c r="C3434" s="962" t="s">
        <v>60</v>
      </c>
      <c r="D3434" s="967"/>
      <c r="E3434" s="967"/>
      <c r="F3434" s="967"/>
      <c r="G3434" s="972"/>
      <c r="H3434" s="964" t="s">
        <v>2313</v>
      </c>
    </row>
    <row r="3435" spans="1:8" hidden="1">
      <c r="A3435" s="896"/>
      <c r="B3435" s="966"/>
      <c r="C3435" s="1382" t="s">
        <v>203</v>
      </c>
      <c r="D3435" s="967" t="s">
        <v>77</v>
      </c>
      <c r="E3435" s="970">
        <v>10.5</v>
      </c>
      <c r="F3435" s="970">
        <f>'MINI SSR 2022-23'!C21</f>
        <v>612</v>
      </c>
      <c r="G3435" s="969">
        <f>ROUND(E3435*F3435,2)</f>
        <v>6426</v>
      </c>
      <c r="H3435" s="964" t="s">
        <v>2313</v>
      </c>
    </row>
    <row r="3436" spans="1:8" hidden="1">
      <c r="A3436" s="896"/>
      <c r="B3436" s="966"/>
      <c r="C3436" s="1382" t="s">
        <v>200</v>
      </c>
      <c r="D3436" s="967" t="s">
        <v>35</v>
      </c>
      <c r="E3436" s="970">
        <v>0.12</v>
      </c>
      <c r="F3436" s="970">
        <f>'lead 22-23'!L12</f>
        <v>1815.9999999999998</v>
      </c>
      <c r="G3436" s="969">
        <f>ROUND(E3436*F3436,2)</f>
        <v>217.92</v>
      </c>
      <c r="H3436" s="964" t="s">
        <v>2313</v>
      </c>
    </row>
    <row r="3437" spans="1:8" hidden="1">
      <c r="A3437" s="896"/>
      <c r="B3437" s="966"/>
      <c r="C3437" s="1382" t="s">
        <v>201</v>
      </c>
      <c r="D3437" s="967" t="s">
        <v>4</v>
      </c>
      <c r="E3437" s="970">
        <v>34.56</v>
      </c>
      <c r="F3437" s="970">
        <f>'lead 22-23'!L8</f>
        <v>4700</v>
      </c>
      <c r="G3437" s="969">
        <f>ROUND(E3437*F3437/1000,2)</f>
        <v>162.43</v>
      </c>
      <c r="H3437" s="964" t="s">
        <v>2313</v>
      </c>
    </row>
    <row r="3438" spans="1:8" hidden="1">
      <c r="A3438" s="896"/>
      <c r="B3438" s="966"/>
      <c r="C3438" s="1382" t="s">
        <v>202</v>
      </c>
      <c r="D3438" s="967" t="s">
        <v>4</v>
      </c>
      <c r="E3438" s="970">
        <v>33</v>
      </c>
      <c r="F3438" s="970">
        <f>F3437</f>
        <v>4700</v>
      </c>
      <c r="G3438" s="969">
        <f>ROUND(E3438*F3438/1000,2)</f>
        <v>155.1</v>
      </c>
      <c r="H3438" s="964" t="s">
        <v>2313</v>
      </c>
    </row>
    <row r="3439" spans="1:8" hidden="1">
      <c r="A3439" s="896"/>
      <c r="B3439" s="966"/>
      <c r="C3439" s="1382" t="s">
        <v>204</v>
      </c>
      <c r="D3439" s="967" t="s">
        <v>4</v>
      </c>
      <c r="E3439" s="970">
        <v>2</v>
      </c>
      <c r="F3439" s="970">
        <f>'MINI SSR 2022-23'!C45</f>
        <v>27.95</v>
      </c>
      <c r="G3439" s="969">
        <f>ROUND(E3439*F3439,2)</f>
        <v>55.9</v>
      </c>
      <c r="H3439" s="964" t="s">
        <v>2313</v>
      </c>
    </row>
    <row r="3440" spans="1:8" hidden="1">
      <c r="A3440" s="967"/>
      <c r="B3440" s="967"/>
      <c r="C3440" s="962" t="s">
        <v>68</v>
      </c>
      <c r="D3440" s="967"/>
      <c r="E3440" s="970"/>
      <c r="F3440" s="970"/>
      <c r="G3440" s="969"/>
      <c r="H3440" s="964" t="s">
        <v>2313</v>
      </c>
    </row>
    <row r="3441" spans="1:8" hidden="1">
      <c r="A3441" s="967"/>
      <c r="B3441" s="967"/>
      <c r="C3441" s="1382" t="s">
        <v>64</v>
      </c>
      <c r="D3441" s="967" t="s">
        <v>27</v>
      </c>
      <c r="E3441" s="970">
        <v>0.96</v>
      </c>
      <c r="F3441" s="990">
        <f>'MINI SSR 2022-23'!$H$3</f>
        <v>630</v>
      </c>
      <c r="G3441" s="969">
        <f>ROUND(E3441*F3441,2)</f>
        <v>604.79999999999995</v>
      </c>
      <c r="H3441" s="964" t="s">
        <v>2313</v>
      </c>
    </row>
    <row r="3442" spans="1:8" hidden="1">
      <c r="A3442" s="967"/>
      <c r="B3442" s="967"/>
      <c r="C3442" s="1382" t="s">
        <v>69</v>
      </c>
      <c r="D3442" s="967" t="s">
        <v>27</v>
      </c>
      <c r="E3442" s="970">
        <v>2.2400000000000002</v>
      </c>
      <c r="F3442" s="990">
        <f>'MINI SSR 2022-23'!$H$4</f>
        <v>565</v>
      </c>
      <c r="G3442" s="969">
        <f>ROUND(E3442*F3442,2)</f>
        <v>1265.5999999999999</v>
      </c>
      <c r="H3442" s="964" t="s">
        <v>2313</v>
      </c>
    </row>
    <row r="3443" spans="1:8" hidden="1">
      <c r="A3443" s="967"/>
      <c r="B3443" s="967"/>
      <c r="C3443" s="1382" t="s">
        <v>85</v>
      </c>
      <c r="D3443" s="967" t="s">
        <v>27</v>
      </c>
      <c r="E3443" s="970">
        <v>3.3</v>
      </c>
      <c r="F3443" s="990">
        <f>'MINI SSR 2022-23'!$H$5</f>
        <v>525</v>
      </c>
      <c r="G3443" s="969">
        <f>ROUND(E3443*F3443,2)</f>
        <v>1732.5</v>
      </c>
      <c r="H3443" s="964" t="s">
        <v>2313</v>
      </c>
    </row>
    <row r="3444" spans="1:8" hidden="1">
      <c r="A3444" s="967"/>
      <c r="B3444" s="967"/>
      <c r="C3444" s="962" t="s">
        <v>88</v>
      </c>
      <c r="D3444" s="967"/>
      <c r="E3444" s="967"/>
      <c r="F3444" s="967"/>
      <c r="G3444" s="971">
        <f>SUM(G3435:G3443)</f>
        <v>10620.25</v>
      </c>
      <c r="H3444" s="964" t="s">
        <v>2313</v>
      </c>
    </row>
    <row r="3445" spans="1:8" hidden="1">
      <c r="A3445" s="967"/>
      <c r="B3445" s="967"/>
      <c r="C3445" s="962"/>
      <c r="D3445" s="967"/>
      <c r="E3445" s="966" t="s">
        <v>161</v>
      </c>
      <c r="F3445" s="966" t="s">
        <v>162</v>
      </c>
      <c r="G3445" s="974" t="s">
        <v>163</v>
      </c>
      <c r="H3445" s="964" t="s">
        <v>2313</v>
      </c>
    </row>
    <row r="3446" spans="1:8" hidden="1">
      <c r="A3446" s="967"/>
      <c r="B3446" s="967"/>
      <c r="C3446" s="962" t="s">
        <v>1274</v>
      </c>
      <c r="D3446" s="967"/>
      <c r="E3446" s="970">
        <f>G3444</f>
        <v>10620.25</v>
      </c>
      <c r="F3446" s="970">
        <f>G3444</f>
        <v>10620.25</v>
      </c>
      <c r="G3446" s="972">
        <f>G3444</f>
        <v>10620.25</v>
      </c>
      <c r="H3446" s="964" t="s">
        <v>2313</v>
      </c>
    </row>
    <row r="3447" spans="1:8" ht="25.5" hidden="1">
      <c r="A3447" s="967"/>
      <c r="B3447" s="967"/>
      <c r="C3447" s="1382" t="s">
        <v>170</v>
      </c>
      <c r="D3447" s="967"/>
      <c r="E3447" s="967"/>
      <c r="F3447" s="970">
        <f>ROUND((G3441+G3442+G3443)*0.1,2)</f>
        <v>360.29</v>
      </c>
      <c r="G3447" s="975">
        <f>ROUND((G3441+G3442+G3443)*0.2,2)</f>
        <v>720.58</v>
      </c>
      <c r="H3447" s="964" t="s">
        <v>2313</v>
      </c>
    </row>
    <row r="3448" spans="1:8" hidden="1">
      <c r="A3448" s="967"/>
      <c r="B3448" s="967"/>
      <c r="C3448" s="962" t="s">
        <v>194</v>
      </c>
      <c r="D3448" s="967"/>
      <c r="E3448" s="974">
        <f>SUM(E3446:E3447)</f>
        <v>10620.25</v>
      </c>
      <c r="F3448" s="974">
        <f>SUM(F3446:F3447)</f>
        <v>10980.54</v>
      </c>
      <c r="G3448" s="971">
        <f>SUM(G3446:G3447)</f>
        <v>11340.83</v>
      </c>
      <c r="H3448" s="964" t="s">
        <v>2313</v>
      </c>
    </row>
    <row r="3449" spans="1:8" hidden="1">
      <c r="A3449" s="967"/>
      <c r="B3449" s="967"/>
      <c r="C3449" s="962" t="s">
        <v>181</v>
      </c>
      <c r="D3449" s="967"/>
      <c r="E3449" s="974">
        <f>ROUND(E3448/10,2)</f>
        <v>1062.03</v>
      </c>
      <c r="F3449" s="974">
        <f>ROUND(F3448/10,2)</f>
        <v>1098.05</v>
      </c>
      <c r="G3449" s="971">
        <f>ROUND(G3448/10,2)</f>
        <v>1134.08</v>
      </c>
      <c r="H3449" s="964" t="s">
        <v>2313</v>
      </c>
    </row>
    <row r="3450" spans="1:8" s="1403" customFormat="1" ht="140.25">
      <c r="A3450" s="1397">
        <v>20</v>
      </c>
      <c r="B3450" s="1490" t="s">
        <v>205</v>
      </c>
      <c r="C3450" s="1484" t="s">
        <v>211</v>
      </c>
      <c r="D3450" s="1481"/>
      <c r="E3450" s="1481"/>
      <c r="F3450" s="1481"/>
      <c r="G3450" s="1490"/>
      <c r="H3450" s="1483" t="s">
        <v>2313</v>
      </c>
    </row>
    <row r="3451" spans="1:8" s="1403" customFormat="1">
      <c r="A3451" s="1397"/>
      <c r="B3451" s="1490"/>
      <c r="C3451" s="1437" t="s">
        <v>42</v>
      </c>
      <c r="D3451" s="1481"/>
      <c r="E3451" s="1481"/>
      <c r="F3451" s="1481"/>
      <c r="G3451" s="1487"/>
      <c r="H3451" s="1483" t="s">
        <v>2313</v>
      </c>
    </row>
    <row r="3452" spans="1:8" s="1403" customFormat="1">
      <c r="A3452" s="1397"/>
      <c r="B3452" s="1490"/>
      <c r="C3452" s="1437" t="s">
        <v>60</v>
      </c>
      <c r="D3452" s="1481"/>
      <c r="E3452" s="1481"/>
      <c r="F3452" s="1481"/>
      <c r="G3452" s="1487"/>
      <c r="H3452" s="1483" t="s">
        <v>2313</v>
      </c>
    </row>
    <row r="3453" spans="1:8" s="1403" customFormat="1">
      <c r="A3453" s="1397"/>
      <c r="B3453" s="1490"/>
      <c r="C3453" s="1484" t="s">
        <v>206</v>
      </c>
      <c r="D3453" s="1481" t="s">
        <v>77</v>
      </c>
      <c r="E3453" s="1485">
        <v>10.5</v>
      </c>
      <c r="F3453" s="1485">
        <f>'MINI SSR 2022-23'!C22</f>
        <v>370</v>
      </c>
      <c r="G3453" s="1486">
        <f>ROUND(E3453*F3453,2)</f>
        <v>3885</v>
      </c>
      <c r="H3453" s="1483" t="s">
        <v>2313</v>
      </c>
    </row>
    <row r="3454" spans="1:8" s="1403" customFormat="1">
      <c r="A3454" s="1397"/>
      <c r="B3454" s="1490"/>
      <c r="C3454" s="1484" t="s">
        <v>91</v>
      </c>
      <c r="D3454" s="1481" t="s">
        <v>4</v>
      </c>
      <c r="E3454" s="1485">
        <v>21.6</v>
      </c>
      <c r="F3454" s="1485">
        <f>'lead 22-23'!L8</f>
        <v>4700</v>
      </c>
      <c r="G3454" s="1486">
        <f>ROUND(E3454*F3454/1000,2)</f>
        <v>101.52</v>
      </c>
      <c r="H3454" s="1483" t="s">
        <v>2313</v>
      </c>
    </row>
    <row r="3455" spans="1:8" s="1403" customFormat="1">
      <c r="A3455" s="1397"/>
      <c r="B3455" s="1490"/>
      <c r="C3455" s="1484" t="s">
        <v>92</v>
      </c>
      <c r="D3455" s="1481" t="s">
        <v>4</v>
      </c>
      <c r="E3455" s="1485">
        <v>33</v>
      </c>
      <c r="F3455" s="1485">
        <f>F3454</f>
        <v>4700</v>
      </c>
      <c r="G3455" s="1486">
        <f>ROUND(E3455*F3455/1000,2)</f>
        <v>155.1</v>
      </c>
      <c r="H3455" s="1483" t="s">
        <v>2313</v>
      </c>
    </row>
    <row r="3456" spans="1:8" s="1403" customFormat="1">
      <c r="A3456" s="1397"/>
      <c r="B3456" s="1490"/>
      <c r="C3456" s="1484" t="s">
        <v>204</v>
      </c>
      <c r="D3456" s="1481" t="s">
        <v>4</v>
      </c>
      <c r="E3456" s="1485">
        <v>2</v>
      </c>
      <c r="F3456" s="1485">
        <f>F3439</f>
        <v>27.95</v>
      </c>
      <c r="G3456" s="1486">
        <f>ROUND(E3456*F3456,2)</f>
        <v>55.9</v>
      </c>
      <c r="H3456" s="1483" t="s">
        <v>2313</v>
      </c>
    </row>
    <row r="3457" spans="1:8" s="1403" customFormat="1">
      <c r="A3457" s="1397"/>
      <c r="B3457" s="1490"/>
      <c r="C3457" s="1484" t="s">
        <v>114</v>
      </c>
      <c r="D3457" s="1481" t="s">
        <v>35</v>
      </c>
      <c r="E3457" s="1485">
        <v>0.12</v>
      </c>
      <c r="F3457" s="1485">
        <f>'lead 22-23'!L12</f>
        <v>1815.9999999999998</v>
      </c>
      <c r="G3457" s="1486">
        <f>ROUND(E3457*F3457,2)</f>
        <v>217.92</v>
      </c>
      <c r="H3457" s="1483" t="s">
        <v>2313</v>
      </c>
    </row>
    <row r="3458" spans="1:8" s="1403" customFormat="1">
      <c r="A3458" s="1481"/>
      <c r="B3458" s="1481"/>
      <c r="C3458" s="1437" t="s">
        <v>68</v>
      </c>
      <c r="D3458" s="1481"/>
      <c r="E3458" s="1485"/>
      <c r="F3458" s="1485"/>
      <c r="G3458" s="1486"/>
      <c r="H3458" s="1483" t="s">
        <v>2313</v>
      </c>
    </row>
    <row r="3459" spans="1:8" s="1403" customFormat="1">
      <c r="A3459" s="1481"/>
      <c r="B3459" s="1481"/>
      <c r="C3459" s="1484" t="s">
        <v>64</v>
      </c>
      <c r="D3459" s="1481" t="s">
        <v>27</v>
      </c>
      <c r="E3459" s="1485">
        <v>0.96</v>
      </c>
      <c r="F3459" s="1488">
        <f>'MINI SSR 2022-23'!$H$3</f>
        <v>630</v>
      </c>
      <c r="G3459" s="1486">
        <f>ROUND(E3459*F3459,2)</f>
        <v>604.79999999999995</v>
      </c>
      <c r="H3459" s="1483" t="s">
        <v>2313</v>
      </c>
    </row>
    <row r="3460" spans="1:8" s="1403" customFormat="1">
      <c r="A3460" s="1481"/>
      <c r="B3460" s="1481"/>
      <c r="C3460" s="1484" t="s">
        <v>69</v>
      </c>
      <c r="D3460" s="1481" t="s">
        <v>27</v>
      </c>
      <c r="E3460" s="1485">
        <v>2.2400000000000002</v>
      </c>
      <c r="F3460" s="1488">
        <f>'MINI SSR 2022-23'!$H$4</f>
        <v>565</v>
      </c>
      <c r="G3460" s="1486">
        <f>ROUND(E3460*F3460,2)</f>
        <v>1265.5999999999999</v>
      </c>
      <c r="H3460" s="1483" t="s">
        <v>2313</v>
      </c>
    </row>
    <row r="3461" spans="1:8" s="1403" customFormat="1">
      <c r="A3461" s="1481"/>
      <c r="B3461" s="1481"/>
      <c r="C3461" s="1484" t="s">
        <v>85</v>
      </c>
      <c r="D3461" s="1481" t="s">
        <v>27</v>
      </c>
      <c r="E3461" s="1485">
        <v>3.3</v>
      </c>
      <c r="F3461" s="1488">
        <f>'MINI SSR 2022-23'!$H$5</f>
        <v>525</v>
      </c>
      <c r="G3461" s="1486">
        <f>ROUND(E3461*F3461,2)</f>
        <v>1732.5</v>
      </c>
      <c r="H3461" s="1483" t="s">
        <v>2313</v>
      </c>
    </row>
    <row r="3462" spans="1:8" s="1403" customFormat="1">
      <c r="A3462" s="1481"/>
      <c r="B3462" s="1481"/>
      <c r="C3462" s="1437" t="s">
        <v>88</v>
      </c>
      <c r="D3462" s="1481"/>
      <c r="E3462" s="1481"/>
      <c r="F3462" s="1481"/>
      <c r="G3462" s="1491">
        <f>SUM(G3453:G3461)</f>
        <v>8018.34</v>
      </c>
      <c r="H3462" s="1483" t="s">
        <v>2313</v>
      </c>
    </row>
    <row r="3463" spans="1:8" s="1403" customFormat="1">
      <c r="A3463" s="1481"/>
      <c r="B3463" s="1481"/>
      <c r="C3463" s="1437"/>
      <c r="D3463" s="1481"/>
      <c r="E3463" s="1490" t="s">
        <v>161</v>
      </c>
      <c r="F3463" s="1490" t="s">
        <v>162</v>
      </c>
      <c r="G3463" s="1489" t="s">
        <v>163</v>
      </c>
      <c r="H3463" s="1483" t="s">
        <v>2313</v>
      </c>
    </row>
    <row r="3464" spans="1:8" s="1403" customFormat="1">
      <c r="A3464" s="1481"/>
      <c r="B3464" s="1481"/>
      <c r="C3464" s="1437" t="s">
        <v>1274</v>
      </c>
      <c r="D3464" s="1481"/>
      <c r="E3464" s="1485">
        <f>G3462</f>
        <v>8018.34</v>
      </c>
      <c r="F3464" s="1485">
        <f>G3462</f>
        <v>8018.34</v>
      </c>
      <c r="G3464" s="1487">
        <f>G3462</f>
        <v>8018.34</v>
      </c>
      <c r="H3464" s="1483" t="s">
        <v>2313</v>
      </c>
    </row>
    <row r="3465" spans="1:8" s="1403" customFormat="1" ht="25.5">
      <c r="A3465" s="1481"/>
      <c r="B3465" s="1481"/>
      <c r="C3465" s="1484" t="s">
        <v>170</v>
      </c>
      <c r="D3465" s="1481"/>
      <c r="E3465" s="1481"/>
      <c r="F3465" s="1485">
        <f>ROUND((G3459+G3460+G3461)*0.1,2)</f>
        <v>360.29</v>
      </c>
      <c r="G3465" s="1495">
        <f>ROUND((G3459+G3460+G3461)*0.2,2)</f>
        <v>720.58</v>
      </c>
      <c r="H3465" s="1483" t="s">
        <v>2313</v>
      </c>
    </row>
    <row r="3466" spans="1:8" s="1403" customFormat="1">
      <c r="A3466" s="1481"/>
      <c r="B3466" s="1481"/>
      <c r="C3466" s="1437" t="s">
        <v>194</v>
      </c>
      <c r="D3466" s="1481"/>
      <c r="E3466" s="1489">
        <f>SUM(E3464:E3465)</f>
        <v>8018.34</v>
      </c>
      <c r="F3466" s="1489">
        <f>SUM(F3464:F3465)</f>
        <v>8378.630000000001</v>
      </c>
      <c r="G3466" s="1491">
        <f>SUM(G3464:G3465)</f>
        <v>8738.92</v>
      </c>
      <c r="H3466" s="1483" t="s">
        <v>2313</v>
      </c>
    </row>
    <row r="3467" spans="1:8" s="1403" customFormat="1">
      <c r="A3467" s="1481"/>
      <c r="B3467" s="1481"/>
      <c r="C3467" s="1437" t="s">
        <v>181</v>
      </c>
      <c r="D3467" s="1481"/>
      <c r="E3467" s="1489">
        <f>ROUND(E3466/10,2)</f>
        <v>801.83</v>
      </c>
      <c r="F3467" s="1489">
        <f>ROUND(F3466/10,2)</f>
        <v>837.86</v>
      </c>
      <c r="G3467" s="1491">
        <f>ROUND(G3466/10,2)</f>
        <v>873.89</v>
      </c>
      <c r="H3467" s="1483" t="s">
        <v>2313</v>
      </c>
    </row>
    <row r="3468" spans="1:8" s="1403" customFormat="1" ht="127.5">
      <c r="A3468" s="1397">
        <v>21</v>
      </c>
      <c r="B3468" s="1490" t="s">
        <v>207</v>
      </c>
      <c r="C3468" s="1484" t="s">
        <v>214</v>
      </c>
      <c r="D3468" s="1481"/>
      <c r="E3468" s="1481"/>
      <c r="F3468" s="1481"/>
      <c r="G3468" s="1490"/>
      <c r="H3468" s="1483" t="s">
        <v>2313</v>
      </c>
    </row>
    <row r="3469" spans="1:8" s="1403" customFormat="1">
      <c r="A3469" s="1397"/>
      <c r="B3469" s="1490"/>
      <c r="C3469" s="1437" t="s">
        <v>42</v>
      </c>
      <c r="D3469" s="1481"/>
      <c r="E3469" s="1481"/>
      <c r="F3469" s="1481"/>
      <c r="G3469" s="1487"/>
      <c r="H3469" s="1483" t="s">
        <v>2313</v>
      </c>
    </row>
    <row r="3470" spans="1:8" s="1403" customFormat="1">
      <c r="A3470" s="1397"/>
      <c r="B3470" s="1490"/>
      <c r="C3470" s="1437" t="s">
        <v>60</v>
      </c>
      <c r="D3470" s="1490"/>
      <c r="E3470" s="1490"/>
      <c r="F3470" s="1490"/>
      <c r="G3470" s="1487"/>
      <c r="H3470" s="1483" t="s">
        <v>2313</v>
      </c>
    </row>
    <row r="3471" spans="1:8" s="1403" customFormat="1">
      <c r="A3471" s="1397"/>
      <c r="B3471" s="1490"/>
      <c r="C3471" s="1484" t="s">
        <v>208</v>
      </c>
      <c r="D3471" s="1481" t="s">
        <v>77</v>
      </c>
      <c r="E3471" s="1485">
        <v>10.5</v>
      </c>
      <c r="F3471" s="1485">
        <f>'MINI SSR 2022-23'!C23</f>
        <v>330</v>
      </c>
      <c r="G3471" s="1486">
        <f>ROUND(E3471*F3471,2)</f>
        <v>3465</v>
      </c>
      <c r="H3471" s="1483" t="s">
        <v>2313</v>
      </c>
    </row>
    <row r="3472" spans="1:8" s="1403" customFormat="1">
      <c r="A3472" s="1397"/>
      <c r="B3472" s="1490"/>
      <c r="C3472" s="1484" t="s">
        <v>209</v>
      </c>
      <c r="D3472" s="1481" t="s">
        <v>35</v>
      </c>
      <c r="E3472" s="1485">
        <v>0.12</v>
      </c>
      <c r="F3472" s="1485">
        <f>'lead 22-23'!L12</f>
        <v>1815.9999999999998</v>
      </c>
      <c r="G3472" s="1435">
        <f>ROUND(E3472*F3472,2)</f>
        <v>217.92</v>
      </c>
      <c r="H3472" s="1483" t="s">
        <v>2313</v>
      </c>
    </row>
    <row r="3473" spans="1:8" s="1403" customFormat="1">
      <c r="A3473" s="1397"/>
      <c r="B3473" s="1490"/>
      <c r="C3473" s="1484" t="s">
        <v>210</v>
      </c>
      <c r="D3473" s="1481" t="s">
        <v>4</v>
      </c>
      <c r="E3473" s="1485">
        <v>57.6</v>
      </c>
      <c r="F3473" s="1485">
        <f>'lead 22-23'!L8</f>
        <v>4700</v>
      </c>
      <c r="G3473" s="1435">
        <f>ROUND(E3473*F3473/1000,2)</f>
        <v>270.72000000000003</v>
      </c>
      <c r="H3473" s="1483" t="s">
        <v>2313</v>
      </c>
    </row>
    <row r="3474" spans="1:8" s="1403" customFormat="1">
      <c r="A3474" s="1397"/>
      <c r="B3474" s="1490"/>
      <c r="C3474" s="1484" t="s">
        <v>202</v>
      </c>
      <c r="D3474" s="1481" t="s">
        <v>4</v>
      </c>
      <c r="E3474" s="1485">
        <v>33</v>
      </c>
      <c r="F3474" s="1485">
        <f>F3473</f>
        <v>4700</v>
      </c>
      <c r="G3474" s="1435">
        <f>ROUND(E3474*F3474/1000,2)</f>
        <v>155.1</v>
      </c>
      <c r="H3474" s="1483" t="s">
        <v>2313</v>
      </c>
    </row>
    <row r="3475" spans="1:8" s="1403" customFormat="1">
      <c r="A3475" s="1397"/>
      <c r="B3475" s="1490"/>
      <c r="C3475" s="1484" t="s">
        <v>215</v>
      </c>
      <c r="D3475" s="1481" t="s">
        <v>4</v>
      </c>
      <c r="E3475" s="1485">
        <v>6</v>
      </c>
      <c r="F3475" s="1485">
        <f>F3439</f>
        <v>27.95</v>
      </c>
      <c r="G3475" s="1435">
        <f>ROUND(E3475*F3475,2)</f>
        <v>167.7</v>
      </c>
      <c r="H3475" s="1483" t="s">
        <v>2313</v>
      </c>
    </row>
    <row r="3476" spans="1:8" s="1403" customFormat="1">
      <c r="A3476" s="1481"/>
      <c r="B3476" s="1481"/>
      <c r="C3476" s="1437" t="s">
        <v>68</v>
      </c>
      <c r="D3476" s="1481"/>
      <c r="E3476" s="1485"/>
      <c r="F3476" s="1485"/>
      <c r="G3476" s="1435"/>
      <c r="H3476" s="1483" t="s">
        <v>2313</v>
      </c>
    </row>
    <row r="3477" spans="1:8" s="1403" customFormat="1">
      <c r="A3477" s="1481"/>
      <c r="B3477" s="1481"/>
      <c r="C3477" s="1484" t="s">
        <v>64</v>
      </c>
      <c r="D3477" s="1481" t="s">
        <v>27</v>
      </c>
      <c r="E3477" s="1485">
        <v>0.77</v>
      </c>
      <c r="F3477" s="1488">
        <f>'MINI SSR 2022-23'!$H$3</f>
        <v>630</v>
      </c>
      <c r="G3477" s="1435">
        <f>ROUND(E3477*F3477,2)</f>
        <v>485.1</v>
      </c>
      <c r="H3477" s="1483" t="s">
        <v>2313</v>
      </c>
    </row>
    <row r="3478" spans="1:8" s="1403" customFormat="1">
      <c r="A3478" s="1481"/>
      <c r="B3478" s="1481"/>
      <c r="C3478" s="1484" t="s">
        <v>85</v>
      </c>
      <c r="D3478" s="1481" t="s">
        <v>27</v>
      </c>
      <c r="E3478" s="1485">
        <v>0.8</v>
      </c>
      <c r="F3478" s="1488">
        <f>'MINI SSR 2022-23'!$H$5</f>
        <v>525</v>
      </c>
      <c r="G3478" s="1435">
        <f>ROUND(E3478*F3478,2)</f>
        <v>420</v>
      </c>
      <c r="H3478" s="1483" t="s">
        <v>2313</v>
      </c>
    </row>
    <row r="3479" spans="1:8" s="1403" customFormat="1">
      <c r="A3479" s="1481"/>
      <c r="B3479" s="1481"/>
      <c r="C3479" s="1437" t="s">
        <v>88</v>
      </c>
      <c r="D3479" s="1481"/>
      <c r="E3479" s="1481"/>
      <c r="F3479" s="1481"/>
      <c r="G3479" s="1491">
        <f>SUM(G3471:G3478)</f>
        <v>5181.5400000000009</v>
      </c>
      <c r="H3479" s="1483" t="s">
        <v>2313</v>
      </c>
    </row>
    <row r="3480" spans="1:8" s="1403" customFormat="1">
      <c r="A3480" s="1481"/>
      <c r="B3480" s="1481"/>
      <c r="C3480" s="1437"/>
      <c r="D3480" s="1481"/>
      <c r="E3480" s="1490" t="s">
        <v>161</v>
      </c>
      <c r="F3480" s="1490" t="s">
        <v>162</v>
      </c>
      <c r="G3480" s="1489" t="s">
        <v>163</v>
      </c>
      <c r="H3480" s="1483" t="s">
        <v>2313</v>
      </c>
    </row>
    <row r="3481" spans="1:8" s="1403" customFormat="1">
      <c r="A3481" s="1481"/>
      <c r="B3481" s="1481"/>
      <c r="C3481" s="1437" t="s">
        <v>1274</v>
      </c>
      <c r="D3481" s="1481"/>
      <c r="E3481" s="1485">
        <f>G3479</f>
        <v>5181.5400000000009</v>
      </c>
      <c r="F3481" s="1485">
        <f>G3479</f>
        <v>5181.5400000000009</v>
      </c>
      <c r="G3481" s="1487">
        <f>G3479</f>
        <v>5181.5400000000009</v>
      </c>
      <c r="H3481" s="1483" t="s">
        <v>2313</v>
      </c>
    </row>
    <row r="3482" spans="1:8" s="1403" customFormat="1" ht="25.5">
      <c r="A3482" s="1481"/>
      <c r="B3482" s="1481"/>
      <c r="C3482" s="1484" t="s">
        <v>170</v>
      </c>
      <c r="D3482" s="1481"/>
      <c r="E3482" s="1481"/>
      <c r="F3482" s="1485">
        <f>ROUND((G3477+G3478)*0.1,2)</f>
        <v>90.51</v>
      </c>
      <c r="G3482" s="1487">
        <f>ROUND((G3477+G3478)*0.2,2)</f>
        <v>181.02</v>
      </c>
      <c r="H3482" s="1483" t="s">
        <v>2313</v>
      </c>
    </row>
    <row r="3483" spans="1:8" s="1403" customFormat="1">
      <c r="A3483" s="1481"/>
      <c r="B3483" s="1481"/>
      <c r="C3483" s="1437" t="s">
        <v>194</v>
      </c>
      <c r="D3483" s="1481"/>
      <c r="E3483" s="1489">
        <f>SUM(E3481:E3482)</f>
        <v>5181.5400000000009</v>
      </c>
      <c r="F3483" s="1489">
        <f>SUM(F3481:F3482)</f>
        <v>5272.0500000000011</v>
      </c>
      <c r="G3483" s="1491">
        <f>SUM(G3481:G3482)</f>
        <v>5362.5600000000013</v>
      </c>
      <c r="H3483" s="1483" t="s">
        <v>2313</v>
      </c>
    </row>
    <row r="3484" spans="1:8" s="1403" customFormat="1">
      <c r="A3484" s="1481"/>
      <c r="B3484" s="1481"/>
      <c r="C3484" s="1437" t="s">
        <v>181</v>
      </c>
      <c r="D3484" s="1481"/>
      <c r="E3484" s="1489">
        <f>ROUND(E3483/10,2)</f>
        <v>518.15</v>
      </c>
      <c r="F3484" s="1489">
        <f>ROUND(F3483/10,2)</f>
        <v>527.21</v>
      </c>
      <c r="G3484" s="1491">
        <f>ROUND(G3483/10,2)</f>
        <v>536.26</v>
      </c>
      <c r="H3484" s="1483" t="s">
        <v>2313</v>
      </c>
    </row>
    <row r="3485" spans="1:8" ht="25.5" hidden="1">
      <c r="A3485" s="896">
        <v>49</v>
      </c>
      <c r="B3485" s="966" t="s">
        <v>1349</v>
      </c>
      <c r="C3485" s="1382" t="s">
        <v>1201</v>
      </c>
      <c r="D3485" s="967"/>
      <c r="E3485" s="967"/>
      <c r="F3485" s="967"/>
      <c r="G3485" s="966"/>
      <c r="H3485" s="964" t="s">
        <v>2313</v>
      </c>
    </row>
    <row r="3486" spans="1:8" hidden="1">
      <c r="A3486" s="896"/>
      <c r="B3486" s="966"/>
      <c r="C3486" s="962" t="s">
        <v>868</v>
      </c>
      <c r="D3486" s="967"/>
      <c r="E3486" s="967"/>
      <c r="F3486" s="967"/>
      <c r="G3486" s="972"/>
      <c r="H3486" s="964" t="s">
        <v>2313</v>
      </c>
    </row>
    <row r="3487" spans="1:8" hidden="1">
      <c r="A3487" s="896"/>
      <c r="B3487" s="966"/>
      <c r="C3487" s="962" t="s">
        <v>60</v>
      </c>
      <c r="D3487" s="967"/>
      <c r="E3487" s="967"/>
      <c r="F3487" s="967"/>
      <c r="G3487" s="972"/>
      <c r="H3487" s="964" t="s">
        <v>2313</v>
      </c>
    </row>
    <row r="3488" spans="1:8" hidden="1">
      <c r="A3488" s="896"/>
      <c r="B3488" s="966"/>
      <c r="C3488" s="1382" t="s">
        <v>33</v>
      </c>
      <c r="D3488" s="967" t="s">
        <v>4</v>
      </c>
      <c r="E3488" s="970">
        <v>14.4</v>
      </c>
      <c r="F3488" s="970">
        <f>'lead 22-23'!L8</f>
        <v>4700</v>
      </c>
      <c r="G3488" s="969">
        <f>ROUND(E3488*F3488/1000,2)</f>
        <v>67.680000000000007</v>
      </c>
      <c r="H3488" s="964" t="s">
        <v>2313</v>
      </c>
    </row>
    <row r="3489" spans="1:8" hidden="1">
      <c r="A3489" s="896"/>
      <c r="B3489" s="966"/>
      <c r="C3489" s="1382" t="s">
        <v>113</v>
      </c>
      <c r="D3489" s="967" t="s">
        <v>35</v>
      </c>
      <c r="E3489" s="970">
        <v>0.03</v>
      </c>
      <c r="F3489" s="970">
        <f>'lead 22-23'!L12</f>
        <v>1815.9999999999998</v>
      </c>
      <c r="G3489" s="969">
        <f>ROUND(E3489*F3489,2)</f>
        <v>54.48</v>
      </c>
      <c r="H3489" s="964" t="s">
        <v>2313</v>
      </c>
    </row>
    <row r="3490" spans="1:8" hidden="1">
      <c r="A3490" s="967"/>
      <c r="B3490" s="967"/>
      <c r="C3490" s="962" t="s">
        <v>68</v>
      </c>
      <c r="D3490" s="967"/>
      <c r="E3490" s="970"/>
      <c r="F3490" s="970"/>
      <c r="G3490" s="969"/>
      <c r="H3490" s="964" t="s">
        <v>2313</v>
      </c>
    </row>
    <row r="3491" spans="1:8" hidden="1">
      <c r="A3491" s="967"/>
      <c r="B3491" s="967"/>
      <c r="C3491" s="1382" t="s">
        <v>69</v>
      </c>
      <c r="D3491" s="967" t="s">
        <v>27</v>
      </c>
      <c r="E3491" s="970">
        <v>0.5</v>
      </c>
      <c r="F3491" s="990">
        <f>'MINI SSR 2022-23'!$H$4</f>
        <v>565</v>
      </c>
      <c r="G3491" s="969">
        <f>ROUND(E3491*F3491,2)</f>
        <v>282.5</v>
      </c>
      <c r="H3491" s="964" t="s">
        <v>2313</v>
      </c>
    </row>
    <row r="3492" spans="1:8" hidden="1">
      <c r="A3492" s="967"/>
      <c r="B3492" s="967"/>
      <c r="C3492" s="1382" t="s">
        <v>85</v>
      </c>
      <c r="D3492" s="967" t="s">
        <v>27</v>
      </c>
      <c r="E3492" s="970">
        <v>0.74</v>
      </c>
      <c r="F3492" s="990">
        <f>'MINI SSR 2022-23'!$H$5</f>
        <v>525</v>
      </c>
      <c r="G3492" s="969">
        <f>ROUND(E3492*F3492,2)</f>
        <v>388.5</v>
      </c>
      <c r="H3492" s="964" t="s">
        <v>2313</v>
      </c>
    </row>
    <row r="3493" spans="1:8" hidden="1">
      <c r="A3493" s="967"/>
      <c r="B3493" s="967"/>
      <c r="C3493" s="962" t="s">
        <v>88</v>
      </c>
      <c r="D3493" s="967"/>
      <c r="E3493" s="970"/>
      <c r="F3493" s="970"/>
      <c r="G3493" s="969">
        <f>SUM(G3488:G3492)</f>
        <v>793.16</v>
      </c>
      <c r="H3493" s="964" t="s">
        <v>2313</v>
      </c>
    </row>
    <row r="3494" spans="1:8" ht="114.75" hidden="1">
      <c r="A3494" s="896">
        <v>50</v>
      </c>
      <c r="B3494" s="966" t="s">
        <v>1350</v>
      </c>
      <c r="C3494" s="1382" t="s">
        <v>1202</v>
      </c>
      <c r="D3494" s="967"/>
      <c r="E3494" s="967"/>
      <c r="F3494" s="967"/>
      <c r="G3494" s="966"/>
      <c r="H3494" s="964" t="s">
        <v>2313</v>
      </c>
    </row>
    <row r="3495" spans="1:8" hidden="1">
      <c r="A3495" s="896"/>
      <c r="B3495" s="966"/>
      <c r="C3495" s="962" t="s">
        <v>868</v>
      </c>
      <c r="D3495" s="967"/>
      <c r="E3495" s="967"/>
      <c r="F3495" s="967"/>
      <c r="G3495" s="972"/>
      <c r="H3495" s="964" t="s">
        <v>2313</v>
      </c>
    </row>
    <row r="3496" spans="1:8" hidden="1">
      <c r="A3496" s="896"/>
      <c r="B3496" s="966"/>
      <c r="C3496" s="962" t="s">
        <v>60</v>
      </c>
      <c r="D3496" s="967"/>
      <c r="E3496" s="967"/>
      <c r="F3496" s="967"/>
      <c r="G3496" s="972"/>
      <c r="H3496" s="964" t="s">
        <v>2313</v>
      </c>
    </row>
    <row r="3497" spans="1:8" hidden="1">
      <c r="A3497" s="896"/>
      <c r="B3497" s="966"/>
      <c r="C3497" s="1382" t="s">
        <v>3167</v>
      </c>
      <c r="D3497" s="967" t="s">
        <v>11</v>
      </c>
      <c r="E3497" s="973">
        <v>0.255</v>
      </c>
      <c r="F3497" s="970">
        <f>'lead 22-23'!L23</f>
        <v>19542.199999999997</v>
      </c>
      <c r="G3497" s="969">
        <f>ROUND(E3497*F3497/1,2)</f>
        <v>4983.26</v>
      </c>
      <c r="H3497" s="964" t="s">
        <v>2313</v>
      </c>
    </row>
    <row r="3498" spans="1:8" hidden="1">
      <c r="A3498" s="896"/>
      <c r="B3498" s="966"/>
      <c r="C3498" s="1382" t="s">
        <v>873</v>
      </c>
      <c r="D3498" s="967" t="s">
        <v>141</v>
      </c>
      <c r="E3498" s="970">
        <v>21.6</v>
      </c>
      <c r="F3498" s="970">
        <f>'lead 22-23'!L8</f>
        <v>4700</v>
      </c>
      <c r="G3498" s="969">
        <f>ROUND(E3498*F3498/1000,2)</f>
        <v>101.52</v>
      </c>
      <c r="H3498" s="964" t="s">
        <v>2313</v>
      </c>
    </row>
    <row r="3499" spans="1:8" hidden="1">
      <c r="A3499" s="896"/>
      <c r="B3499" s="966"/>
      <c r="C3499" s="1382" t="s">
        <v>1204</v>
      </c>
      <c r="D3499" s="967" t="s">
        <v>141</v>
      </c>
      <c r="E3499" s="970">
        <v>6</v>
      </c>
      <c r="F3499" s="970">
        <f>F3498</f>
        <v>4700</v>
      </c>
      <c r="G3499" s="969">
        <f>ROUND(E3499*F3499/1000,2)</f>
        <v>28.2</v>
      </c>
      <c r="H3499" s="964" t="s">
        <v>2313</v>
      </c>
    </row>
    <row r="3500" spans="1:8" hidden="1">
      <c r="A3500" s="896"/>
      <c r="B3500" s="966"/>
      <c r="C3500" s="1382" t="s">
        <v>1205</v>
      </c>
      <c r="D3500" s="967" t="s">
        <v>102</v>
      </c>
      <c r="E3500" s="970">
        <v>1</v>
      </c>
      <c r="F3500" s="970">
        <f>G3493</f>
        <v>793.16</v>
      </c>
      <c r="G3500" s="969">
        <f>ROUND(E3500*F3500/1,2)</f>
        <v>793.16</v>
      </c>
      <c r="H3500" s="964" t="s">
        <v>2313</v>
      </c>
    </row>
    <row r="3501" spans="1:8" hidden="1">
      <c r="A3501" s="896"/>
      <c r="B3501" s="966"/>
      <c r="C3501" s="1382" t="s">
        <v>1206</v>
      </c>
      <c r="D3501" s="967" t="s">
        <v>35</v>
      </c>
      <c r="E3501" s="970">
        <v>0.04</v>
      </c>
      <c r="F3501" s="970">
        <f>'lead 22-23'!L12</f>
        <v>1815.9999999999998</v>
      </c>
      <c r="G3501" s="969">
        <f>-ROUND(E3501*F3501,2)</f>
        <v>-72.64</v>
      </c>
      <c r="H3501" s="964" t="s">
        <v>2313</v>
      </c>
    </row>
    <row r="3502" spans="1:8" hidden="1">
      <c r="A3502" s="896"/>
      <c r="B3502" s="966"/>
      <c r="C3502" s="1382" t="s">
        <v>1207</v>
      </c>
      <c r="D3502" s="967" t="s">
        <v>35</v>
      </c>
      <c r="E3502" s="970">
        <v>0.12</v>
      </c>
      <c r="F3502" s="970">
        <f>F3501</f>
        <v>1815.9999999999998</v>
      </c>
      <c r="G3502" s="969">
        <f>ROUND(E3502*F3502,2)</f>
        <v>217.92</v>
      </c>
      <c r="H3502" s="964" t="s">
        <v>2313</v>
      </c>
    </row>
    <row r="3503" spans="1:8" hidden="1">
      <c r="A3503" s="967"/>
      <c r="B3503" s="967"/>
      <c r="C3503" s="962" t="s">
        <v>68</v>
      </c>
      <c r="D3503" s="967"/>
      <c r="E3503" s="970"/>
      <c r="F3503" s="970"/>
      <c r="G3503" s="969"/>
      <c r="H3503" s="964" t="s">
        <v>2313</v>
      </c>
    </row>
    <row r="3504" spans="1:8" hidden="1">
      <c r="A3504" s="967"/>
      <c r="B3504" s="967"/>
      <c r="C3504" s="1382" t="s">
        <v>64</v>
      </c>
      <c r="D3504" s="967" t="s">
        <v>27</v>
      </c>
      <c r="E3504" s="970">
        <v>0.96</v>
      </c>
      <c r="F3504" s="990">
        <f>'MINI SSR 2022-23'!$H$3</f>
        <v>630</v>
      </c>
      <c r="G3504" s="969">
        <f>ROUND(E3504*F3504,2)</f>
        <v>604.79999999999995</v>
      </c>
      <c r="H3504" s="964" t="s">
        <v>2313</v>
      </c>
    </row>
    <row r="3505" spans="1:8" hidden="1">
      <c r="A3505" s="967"/>
      <c r="B3505" s="967"/>
      <c r="C3505" s="1382" t="s">
        <v>69</v>
      </c>
      <c r="D3505" s="967" t="s">
        <v>27</v>
      </c>
      <c r="E3505" s="970">
        <v>2.2400000000000002</v>
      </c>
      <c r="F3505" s="990">
        <f>'MINI SSR 2022-23'!$H$4</f>
        <v>565</v>
      </c>
      <c r="G3505" s="969">
        <f>ROUND(E3505*F3505,2)</f>
        <v>1265.5999999999999</v>
      </c>
      <c r="H3505" s="964" t="s">
        <v>2313</v>
      </c>
    </row>
    <row r="3506" spans="1:8" hidden="1">
      <c r="A3506" s="967"/>
      <c r="B3506" s="967"/>
      <c r="C3506" s="1382" t="s">
        <v>85</v>
      </c>
      <c r="D3506" s="967" t="s">
        <v>27</v>
      </c>
      <c r="E3506" s="970">
        <v>4.3</v>
      </c>
      <c r="F3506" s="990">
        <f>'MINI SSR 2022-23'!$H$5</f>
        <v>525</v>
      </c>
      <c r="G3506" s="969">
        <f>ROUND(E3506*F3506,2)</f>
        <v>2257.5</v>
      </c>
      <c r="H3506" s="964" t="s">
        <v>2313</v>
      </c>
    </row>
    <row r="3507" spans="1:8" hidden="1">
      <c r="A3507" s="967"/>
      <c r="B3507" s="967"/>
      <c r="C3507" s="962" t="s">
        <v>88</v>
      </c>
      <c r="D3507" s="967"/>
      <c r="E3507" s="970"/>
      <c r="F3507" s="970"/>
      <c r="G3507" s="969">
        <f>SUM(G3497:G3506)</f>
        <v>10179.32</v>
      </c>
      <c r="H3507" s="964" t="s">
        <v>2313</v>
      </c>
    </row>
    <row r="3508" spans="1:8" hidden="1">
      <c r="A3508" s="967"/>
      <c r="B3508" s="967"/>
      <c r="C3508" s="962"/>
      <c r="D3508" s="967"/>
      <c r="E3508" s="970" t="s">
        <v>161</v>
      </c>
      <c r="F3508" s="970" t="s">
        <v>162</v>
      </c>
      <c r="G3508" s="922" t="s">
        <v>163</v>
      </c>
      <c r="H3508" s="964" t="s">
        <v>2313</v>
      </c>
    </row>
    <row r="3509" spans="1:8" hidden="1">
      <c r="A3509" s="967"/>
      <c r="B3509" s="967"/>
      <c r="C3509" s="962" t="s">
        <v>1274</v>
      </c>
      <c r="D3509" s="967"/>
      <c r="E3509" s="970">
        <f>G3507</f>
        <v>10179.32</v>
      </c>
      <c r="F3509" s="970">
        <f>G3507</f>
        <v>10179.32</v>
      </c>
      <c r="G3509" s="972">
        <f>G3507</f>
        <v>10179.32</v>
      </c>
      <c r="H3509" s="964" t="s">
        <v>2313</v>
      </c>
    </row>
    <row r="3510" spans="1:8" ht="25.5" hidden="1">
      <c r="A3510" s="967"/>
      <c r="B3510" s="967"/>
      <c r="C3510" s="1382" t="s">
        <v>170</v>
      </c>
      <c r="D3510" s="967"/>
      <c r="E3510" s="967"/>
      <c r="F3510" s="970">
        <f>ROUND((G3505+G3506+G3504)*0.1,2)</f>
        <v>412.79</v>
      </c>
      <c r="G3510" s="972">
        <f>ROUND((G3505+G3506+G3504)*0.2,2)</f>
        <v>825.58</v>
      </c>
      <c r="H3510" s="964" t="s">
        <v>2313</v>
      </c>
    </row>
    <row r="3511" spans="1:8" hidden="1">
      <c r="A3511" s="967"/>
      <c r="B3511" s="967"/>
      <c r="C3511" s="962" t="s">
        <v>194</v>
      </c>
      <c r="D3511" s="967"/>
      <c r="E3511" s="974">
        <f>SUM(E3509:E3510)</f>
        <v>10179.32</v>
      </c>
      <c r="F3511" s="974">
        <f>SUM(F3509:F3510)</f>
        <v>10592.11</v>
      </c>
      <c r="G3511" s="971">
        <f>SUM(G3509:G3510)</f>
        <v>11004.9</v>
      </c>
      <c r="H3511" s="964" t="s">
        <v>2313</v>
      </c>
    </row>
    <row r="3512" spans="1:8" hidden="1">
      <c r="A3512" s="967"/>
      <c r="B3512" s="967"/>
      <c r="C3512" s="962" t="s">
        <v>181</v>
      </c>
      <c r="D3512" s="967"/>
      <c r="E3512" s="974">
        <f>ROUND(E3511/10,2)</f>
        <v>1017.93</v>
      </c>
      <c r="F3512" s="974">
        <f>ROUND(F3511/10,2)</f>
        <v>1059.21</v>
      </c>
      <c r="G3512" s="971">
        <f>ROUND(G3511/10,2)</f>
        <v>1100.49</v>
      </c>
      <c r="H3512" s="964" t="s">
        <v>2313</v>
      </c>
    </row>
    <row r="3513" spans="1:8" ht="114.75" hidden="1">
      <c r="A3513" s="896">
        <v>26</v>
      </c>
      <c r="B3513" s="966"/>
      <c r="C3513" s="1382" t="s">
        <v>2246</v>
      </c>
      <c r="D3513" s="967"/>
      <c r="E3513" s="967"/>
      <c r="F3513" s="967"/>
      <c r="G3513" s="966"/>
      <c r="H3513" s="964" t="s">
        <v>2313</v>
      </c>
    </row>
    <row r="3514" spans="1:8" hidden="1">
      <c r="A3514" s="896"/>
      <c r="B3514" s="966"/>
      <c r="C3514" s="962" t="s">
        <v>60</v>
      </c>
      <c r="D3514" s="967"/>
      <c r="E3514" s="967"/>
      <c r="F3514" s="967"/>
      <c r="G3514" s="972"/>
      <c r="H3514" s="964" t="s">
        <v>2313</v>
      </c>
    </row>
    <row r="3515" spans="1:8" hidden="1">
      <c r="A3515" s="896"/>
      <c r="B3515" s="966"/>
      <c r="C3515" s="1382" t="s">
        <v>2247</v>
      </c>
      <c r="D3515" s="967" t="s">
        <v>102</v>
      </c>
      <c r="E3515" s="973">
        <v>1</v>
      </c>
      <c r="F3515" s="970">
        <f>'MINI SSR 2022-23'!H79</f>
        <v>390</v>
      </c>
      <c r="G3515" s="969">
        <f>ROUND(E3515*F3515/1,2)</f>
        <v>390</v>
      </c>
      <c r="H3515" s="964" t="s">
        <v>2313</v>
      </c>
    </row>
    <row r="3516" spans="1:8" hidden="1">
      <c r="A3516" s="896"/>
      <c r="B3516" s="966"/>
      <c r="C3516" s="1382" t="s">
        <v>2248</v>
      </c>
      <c r="D3516" s="967" t="s">
        <v>102</v>
      </c>
      <c r="E3516" s="973">
        <v>1</v>
      </c>
      <c r="F3516" s="970">
        <f>'MINI SSR 2022-23'!H80</f>
        <v>220</v>
      </c>
      <c r="G3516" s="969">
        <f>ROUND(E3516*F3516/1,2)</f>
        <v>220</v>
      </c>
      <c r="H3516" s="964" t="s">
        <v>2313</v>
      </c>
    </row>
    <row r="3517" spans="1:8" hidden="1">
      <c r="A3517" s="967"/>
      <c r="B3517" s="967"/>
      <c r="C3517" s="962" t="s">
        <v>181</v>
      </c>
      <c r="D3517" s="967"/>
      <c r="E3517" s="974"/>
      <c r="F3517" s="974"/>
      <c r="G3517" s="971">
        <f>SUM(G3515:G3516)</f>
        <v>610</v>
      </c>
      <c r="H3517" s="964" t="s">
        <v>2313</v>
      </c>
    </row>
    <row r="3518" spans="1:8" ht="140.25" hidden="1">
      <c r="A3518" s="896">
        <v>28</v>
      </c>
      <c r="B3518" s="966" t="s">
        <v>2249</v>
      </c>
      <c r="C3518" s="1382" t="s">
        <v>2250</v>
      </c>
      <c r="D3518" s="967"/>
      <c r="E3518" s="967"/>
      <c r="F3518" s="967"/>
      <c r="G3518" s="966"/>
      <c r="H3518" s="964" t="s">
        <v>2313</v>
      </c>
    </row>
    <row r="3519" spans="1:8" hidden="1">
      <c r="A3519" s="896"/>
      <c r="B3519" s="966"/>
      <c r="C3519" s="962" t="s">
        <v>42</v>
      </c>
      <c r="D3519" s="967"/>
      <c r="E3519" s="967"/>
      <c r="F3519" s="967"/>
      <c r="G3519" s="972"/>
      <c r="H3519" s="964" t="s">
        <v>2313</v>
      </c>
    </row>
    <row r="3520" spans="1:8" hidden="1">
      <c r="A3520" s="896"/>
      <c r="B3520" s="966"/>
      <c r="C3520" s="962" t="s">
        <v>60</v>
      </c>
      <c r="D3520" s="967"/>
      <c r="E3520" s="967"/>
      <c r="F3520" s="967"/>
      <c r="G3520" s="972"/>
      <c r="H3520" s="964" t="s">
        <v>2313</v>
      </c>
    </row>
    <row r="3521" spans="1:8" hidden="1">
      <c r="A3521" s="896"/>
      <c r="B3521" s="966"/>
      <c r="C3521" s="1382" t="s">
        <v>2251</v>
      </c>
      <c r="D3521" s="967" t="s">
        <v>35</v>
      </c>
      <c r="E3521" s="970">
        <v>0.17</v>
      </c>
      <c r="F3521" s="970">
        <f>F2788</f>
        <v>2046.91</v>
      </c>
      <c r="G3521" s="969">
        <f>ROUND(E3521*F3521,2)</f>
        <v>347.97</v>
      </c>
      <c r="H3521" s="964" t="s">
        <v>2313</v>
      </c>
    </row>
    <row r="3522" spans="1:8" hidden="1">
      <c r="A3522" s="896"/>
      <c r="B3522" s="966"/>
      <c r="C3522" s="1382" t="s">
        <v>847</v>
      </c>
      <c r="D3522" s="967" t="s">
        <v>4</v>
      </c>
      <c r="E3522" s="970">
        <v>120</v>
      </c>
      <c r="F3522" s="970">
        <f>'lead 22-23'!L8</f>
        <v>4700</v>
      </c>
      <c r="G3522" s="969">
        <f>ROUND(E3522*F3522/1000,2)</f>
        <v>564</v>
      </c>
      <c r="H3522" s="964" t="s">
        <v>2313</v>
      </c>
    </row>
    <row r="3523" spans="1:8" hidden="1">
      <c r="A3523" s="896"/>
      <c r="B3523" s="966"/>
      <c r="C3523" s="1382" t="s">
        <v>837</v>
      </c>
      <c r="D3523" s="967" t="s">
        <v>35</v>
      </c>
      <c r="E3523" s="970">
        <v>8.5000000000000006E-2</v>
      </c>
      <c r="F3523" s="970">
        <f>'lead 22-23'!L13</f>
        <v>1720.9999999999998</v>
      </c>
      <c r="G3523" s="969">
        <f>ROUND(E3523*F3523,2)</f>
        <v>146.29</v>
      </c>
      <c r="H3523" s="964" t="s">
        <v>2313</v>
      </c>
    </row>
    <row r="3524" spans="1:8" hidden="1">
      <c r="A3524" s="967"/>
      <c r="B3524" s="967"/>
      <c r="C3524" s="962" t="s">
        <v>68</v>
      </c>
      <c r="D3524" s="967"/>
      <c r="E3524" s="970"/>
      <c r="F3524" s="970"/>
      <c r="G3524" s="969"/>
      <c r="H3524" s="964" t="s">
        <v>2313</v>
      </c>
    </row>
    <row r="3525" spans="1:8" hidden="1">
      <c r="A3525" s="967"/>
      <c r="B3525" s="967"/>
      <c r="C3525" s="1382" t="s">
        <v>64</v>
      </c>
      <c r="D3525" s="967" t="s">
        <v>27</v>
      </c>
      <c r="E3525" s="970">
        <v>1.25</v>
      </c>
      <c r="F3525" s="990">
        <f>'MINI SSR 2022-23'!H3</f>
        <v>630</v>
      </c>
      <c r="G3525" s="969">
        <f>ROUND(E3525*F3525,2)</f>
        <v>787.5</v>
      </c>
      <c r="H3525" s="964" t="s">
        <v>2313</v>
      </c>
    </row>
    <row r="3526" spans="1:8" hidden="1">
      <c r="A3526" s="967"/>
      <c r="B3526" s="967"/>
      <c r="C3526" s="1382" t="s">
        <v>69</v>
      </c>
      <c r="D3526" s="967" t="s">
        <v>27</v>
      </c>
      <c r="E3526" s="970">
        <v>0.06</v>
      </c>
      <c r="F3526" s="990">
        <f>'MINI SSR 2022-23'!H4</f>
        <v>565</v>
      </c>
      <c r="G3526" s="969">
        <f>ROUND(E3526*F3526,2)</f>
        <v>33.9</v>
      </c>
      <c r="H3526" s="964" t="s">
        <v>2313</v>
      </c>
    </row>
    <row r="3527" spans="1:8" hidden="1">
      <c r="A3527" s="967"/>
      <c r="B3527" s="967"/>
      <c r="C3527" s="1382" t="s">
        <v>85</v>
      </c>
      <c r="D3527" s="967" t="s">
        <v>27</v>
      </c>
      <c r="E3527" s="970">
        <v>3</v>
      </c>
      <c r="F3527" s="990">
        <f>'MINI SSR 2022-23'!H5</f>
        <v>525</v>
      </c>
      <c r="G3527" s="969">
        <f>ROUND(E3527*F3527,2)</f>
        <v>1575</v>
      </c>
      <c r="H3527" s="964" t="s">
        <v>2313</v>
      </c>
    </row>
    <row r="3528" spans="1:8" hidden="1">
      <c r="A3528" s="967"/>
      <c r="B3528" s="967"/>
      <c r="C3528" s="962" t="s">
        <v>88</v>
      </c>
      <c r="D3528" s="967"/>
      <c r="E3528" s="967"/>
      <c r="F3528" s="967"/>
      <c r="G3528" s="971">
        <f>SUM(G3521:G3527)</f>
        <v>3454.66</v>
      </c>
      <c r="H3528" s="964" t="s">
        <v>2313</v>
      </c>
    </row>
    <row r="3529" spans="1:8" hidden="1">
      <c r="A3529" s="967"/>
      <c r="B3529" s="967"/>
      <c r="C3529" s="962"/>
      <c r="D3529" s="967"/>
      <c r="E3529" s="966" t="s">
        <v>161</v>
      </c>
      <c r="F3529" s="966" t="s">
        <v>162</v>
      </c>
      <c r="G3529" s="974" t="s">
        <v>163</v>
      </c>
      <c r="H3529" s="964" t="s">
        <v>2313</v>
      </c>
    </row>
    <row r="3530" spans="1:8" hidden="1">
      <c r="A3530" s="967"/>
      <c r="B3530" s="967"/>
      <c r="C3530" s="962" t="s">
        <v>1274</v>
      </c>
      <c r="D3530" s="967"/>
      <c r="E3530" s="970">
        <f>G3528</f>
        <v>3454.66</v>
      </c>
      <c r="F3530" s="970">
        <f>G3528</f>
        <v>3454.66</v>
      </c>
      <c r="G3530" s="972">
        <f>G3528</f>
        <v>3454.66</v>
      </c>
      <c r="H3530" s="964" t="s">
        <v>2313</v>
      </c>
    </row>
    <row r="3531" spans="1:8" ht="25.5" hidden="1">
      <c r="A3531" s="967"/>
      <c r="B3531" s="967"/>
      <c r="C3531" s="1382" t="s">
        <v>170</v>
      </c>
      <c r="D3531" s="967"/>
      <c r="E3531" s="967"/>
      <c r="F3531" s="970">
        <f>ROUND((G3525+G3526+G3527)*0.1,2)</f>
        <v>239.64</v>
      </c>
      <c r="G3531" s="975">
        <f>ROUND((G3525+G3526+G3527)*0.2,2)</f>
        <v>479.28</v>
      </c>
      <c r="H3531" s="964" t="s">
        <v>2313</v>
      </c>
    </row>
    <row r="3532" spans="1:8" hidden="1">
      <c r="A3532" s="967"/>
      <c r="B3532" s="967"/>
      <c r="C3532" s="962" t="s">
        <v>194</v>
      </c>
      <c r="D3532" s="967"/>
      <c r="E3532" s="974">
        <f>SUM(E3530:E3531)</f>
        <v>3454.66</v>
      </c>
      <c r="F3532" s="974">
        <f>SUM(F3530:F3531)</f>
        <v>3694.2999999999997</v>
      </c>
      <c r="G3532" s="971">
        <f>SUM(G3530:G3531)</f>
        <v>3933.9399999999996</v>
      </c>
      <c r="H3532" s="964" t="s">
        <v>2313</v>
      </c>
    </row>
    <row r="3533" spans="1:8" hidden="1">
      <c r="A3533" s="967"/>
      <c r="B3533" s="967"/>
      <c r="C3533" s="962" t="s">
        <v>181</v>
      </c>
      <c r="D3533" s="967"/>
      <c r="E3533" s="974">
        <f>ROUND(E3532/10,2)</f>
        <v>345.47</v>
      </c>
      <c r="F3533" s="974">
        <f>ROUND(F3532/10,2)</f>
        <v>369.43</v>
      </c>
      <c r="G3533" s="971">
        <f>ROUND(G3532/10,2)</f>
        <v>393.39</v>
      </c>
      <c r="H3533" s="964" t="s">
        <v>2313</v>
      </c>
    </row>
    <row r="3534" spans="1:8" ht="102" hidden="1">
      <c r="A3534" s="896">
        <v>51</v>
      </c>
      <c r="B3534" s="966" t="s">
        <v>878</v>
      </c>
      <c r="C3534" s="1382" t="s">
        <v>879</v>
      </c>
      <c r="D3534" s="967"/>
      <c r="E3534" s="967"/>
      <c r="F3534" s="967"/>
      <c r="G3534" s="966"/>
      <c r="H3534" s="964" t="s">
        <v>2313</v>
      </c>
    </row>
    <row r="3535" spans="1:8" hidden="1">
      <c r="A3535" s="896"/>
      <c r="B3535" s="966"/>
      <c r="C3535" s="962" t="s">
        <v>42</v>
      </c>
      <c r="D3535" s="967"/>
      <c r="E3535" s="967"/>
      <c r="F3535" s="967"/>
      <c r="G3535" s="972"/>
      <c r="H3535" s="964" t="s">
        <v>2313</v>
      </c>
    </row>
    <row r="3536" spans="1:8" hidden="1">
      <c r="A3536" s="896"/>
      <c r="B3536" s="966"/>
      <c r="C3536" s="962" t="s">
        <v>60</v>
      </c>
      <c r="D3536" s="967"/>
      <c r="E3536" s="967"/>
      <c r="F3536" s="967"/>
      <c r="G3536" s="972"/>
      <c r="H3536" s="964" t="s">
        <v>2313</v>
      </c>
    </row>
    <row r="3537" spans="1:8" hidden="1">
      <c r="A3537" s="896"/>
      <c r="B3537" s="966"/>
      <c r="C3537" s="1382" t="s">
        <v>1275</v>
      </c>
      <c r="D3537" s="967" t="s">
        <v>1351</v>
      </c>
      <c r="E3537" s="970">
        <v>1.2</v>
      </c>
      <c r="F3537" s="970">
        <f>'MINI SSR 2022-23'!$G$40</f>
        <v>600</v>
      </c>
      <c r="G3537" s="969">
        <f>ROUND(F3537/20*E3537,2)</f>
        <v>36</v>
      </c>
      <c r="H3537" s="964" t="s">
        <v>2313</v>
      </c>
    </row>
    <row r="3538" spans="1:8" hidden="1">
      <c r="A3538" s="967"/>
      <c r="B3538" s="967"/>
      <c r="C3538" s="962" t="s">
        <v>68</v>
      </c>
      <c r="D3538" s="967"/>
      <c r="E3538" s="970"/>
      <c r="F3538" s="970"/>
      <c r="G3538" s="969"/>
      <c r="H3538" s="964" t="s">
        <v>2313</v>
      </c>
    </row>
    <row r="3539" spans="1:8" hidden="1">
      <c r="A3539" s="967"/>
      <c r="B3539" s="967"/>
      <c r="C3539" s="1382" t="s">
        <v>150</v>
      </c>
      <c r="D3539" s="967" t="s">
        <v>27</v>
      </c>
      <c r="E3539" s="970">
        <v>0.11</v>
      </c>
      <c r="F3539" s="970">
        <f>'MINI SSR 2022-23'!$H$8</f>
        <v>705</v>
      </c>
      <c r="G3539" s="969">
        <f>ROUND(E3539*F3539,2)</f>
        <v>77.55</v>
      </c>
      <c r="H3539" s="964" t="s">
        <v>2313</v>
      </c>
    </row>
    <row r="3540" spans="1:8" hidden="1">
      <c r="A3540" s="967"/>
      <c r="B3540" s="967"/>
      <c r="C3540" s="1382" t="s">
        <v>85</v>
      </c>
      <c r="D3540" s="967" t="s">
        <v>27</v>
      </c>
      <c r="E3540" s="970">
        <v>0.22</v>
      </c>
      <c r="F3540" s="970">
        <f>'MINI SSR 2022-23'!$H$5</f>
        <v>525</v>
      </c>
      <c r="G3540" s="969">
        <f>ROUND(E3540*F3540,2)</f>
        <v>115.5</v>
      </c>
      <c r="H3540" s="964" t="s">
        <v>2313</v>
      </c>
    </row>
    <row r="3541" spans="1:8" hidden="1">
      <c r="A3541" s="967"/>
      <c r="B3541" s="967"/>
      <c r="C3541" s="1382" t="s">
        <v>880</v>
      </c>
      <c r="D3541" s="967"/>
      <c r="E3541" s="970">
        <v>0.05</v>
      </c>
      <c r="F3541" s="970">
        <f>SUM(G3537:G3540)</f>
        <v>229.05</v>
      </c>
      <c r="G3541" s="969">
        <f>ROUND(E3541*F3541,2)</f>
        <v>11.45</v>
      </c>
      <c r="H3541" s="964" t="s">
        <v>2313</v>
      </c>
    </row>
    <row r="3542" spans="1:8" hidden="1">
      <c r="A3542" s="967"/>
      <c r="B3542" s="967"/>
      <c r="C3542" s="962" t="s">
        <v>88</v>
      </c>
      <c r="D3542" s="967"/>
      <c r="E3542" s="967"/>
      <c r="F3542" s="967"/>
      <c r="G3542" s="971">
        <f>SUM(G3537:G3541)</f>
        <v>240.5</v>
      </c>
      <c r="H3542" s="964" t="s">
        <v>2313</v>
      </c>
    </row>
    <row r="3543" spans="1:8" hidden="1">
      <c r="A3543" s="967"/>
      <c r="B3543" s="967"/>
      <c r="C3543" s="962"/>
      <c r="D3543" s="967"/>
      <c r="E3543" s="966" t="s">
        <v>161</v>
      </c>
      <c r="F3543" s="966" t="s">
        <v>162</v>
      </c>
      <c r="G3543" s="974" t="s">
        <v>163</v>
      </c>
      <c r="H3543" s="964" t="s">
        <v>2313</v>
      </c>
    </row>
    <row r="3544" spans="1:8" hidden="1">
      <c r="A3544" s="967"/>
      <c r="B3544" s="967"/>
      <c r="C3544" s="962" t="s">
        <v>1276</v>
      </c>
      <c r="D3544" s="967"/>
      <c r="E3544" s="970">
        <f>G3542</f>
        <v>240.5</v>
      </c>
      <c r="F3544" s="970">
        <f>E3544</f>
        <v>240.5</v>
      </c>
      <c r="G3544" s="972">
        <f>F3544</f>
        <v>240.5</v>
      </c>
      <c r="H3544" s="964" t="s">
        <v>2313</v>
      </c>
    </row>
    <row r="3545" spans="1:8" ht="25.5" hidden="1">
      <c r="A3545" s="967"/>
      <c r="B3545" s="967"/>
      <c r="C3545" s="1382" t="s">
        <v>170</v>
      </c>
      <c r="D3545" s="967"/>
      <c r="E3545" s="967"/>
      <c r="F3545" s="970">
        <f>ROUND((G3539+G3540)*0.1,2)</f>
        <v>19.309999999999999</v>
      </c>
      <c r="G3545" s="972">
        <f>ROUND((G3539+G3540)*0.2,2)</f>
        <v>38.61</v>
      </c>
      <c r="H3545" s="964" t="s">
        <v>2313</v>
      </c>
    </row>
    <row r="3546" spans="1:8" hidden="1">
      <c r="A3546" s="967"/>
      <c r="B3546" s="967"/>
      <c r="C3546" s="962" t="s">
        <v>194</v>
      </c>
      <c r="D3546" s="967"/>
      <c r="E3546" s="974">
        <f>SUM(E3544:E3545)</f>
        <v>240.5</v>
      </c>
      <c r="F3546" s="974">
        <f>SUM(F3544:F3545)</f>
        <v>259.81</v>
      </c>
      <c r="G3546" s="971">
        <f>SUM(G3544:G3545)</f>
        <v>279.11</v>
      </c>
      <c r="H3546" s="964" t="s">
        <v>2313</v>
      </c>
    </row>
    <row r="3547" spans="1:8" hidden="1">
      <c r="A3547" s="967"/>
      <c r="B3547" s="967"/>
      <c r="C3547" s="962" t="s">
        <v>181</v>
      </c>
      <c r="D3547" s="967"/>
      <c r="E3547" s="974">
        <f>ROUND(E3546/10,2)</f>
        <v>24.05</v>
      </c>
      <c r="F3547" s="974">
        <f>ROUND(F3546/10,2)</f>
        <v>25.98</v>
      </c>
      <c r="G3547" s="971">
        <f>ROUND(G3546/10,2)</f>
        <v>27.91</v>
      </c>
      <c r="H3547" s="964" t="s">
        <v>2313</v>
      </c>
    </row>
    <row r="3548" spans="1:8" s="1403" customFormat="1" ht="191.25">
      <c r="A3548" s="1397">
        <v>22</v>
      </c>
      <c r="B3548" s="1490" t="s">
        <v>1328</v>
      </c>
      <c r="C3548" s="1484" t="s">
        <v>891</v>
      </c>
      <c r="D3548" s="1481"/>
      <c r="E3548" s="1481"/>
      <c r="F3548" s="1481"/>
      <c r="G3548" s="1490"/>
      <c r="H3548" s="1483" t="s">
        <v>2313</v>
      </c>
    </row>
    <row r="3549" spans="1:8" s="1403" customFormat="1">
      <c r="A3549" s="1397"/>
      <c r="B3549" s="1490"/>
      <c r="C3549" s="1437" t="s">
        <v>42</v>
      </c>
      <c r="D3549" s="1481"/>
      <c r="E3549" s="1481"/>
      <c r="F3549" s="1481"/>
      <c r="G3549" s="1487"/>
      <c r="H3549" s="1483" t="s">
        <v>2313</v>
      </c>
    </row>
    <row r="3550" spans="1:8" s="1403" customFormat="1">
      <c r="A3550" s="1397"/>
      <c r="B3550" s="1490"/>
      <c r="C3550" s="1437" t="s">
        <v>60</v>
      </c>
      <c r="D3550" s="1481"/>
      <c r="E3550" s="1481"/>
      <c r="F3550" s="1481"/>
      <c r="G3550" s="1487"/>
      <c r="H3550" s="1483" t="s">
        <v>2313</v>
      </c>
    </row>
    <row r="3551" spans="1:8" s="1403" customFormat="1">
      <c r="A3551" s="1397"/>
      <c r="B3551" s="1490"/>
      <c r="C3551" s="1484" t="s">
        <v>892</v>
      </c>
      <c r="D3551" s="1481" t="s">
        <v>1351</v>
      </c>
      <c r="E3551" s="1485">
        <v>23</v>
      </c>
      <c r="F3551" s="1485">
        <f>'MINI SSR 2022-23'!$G$40</f>
        <v>600</v>
      </c>
      <c r="G3551" s="1486">
        <f>ROUND(F3551/20*E3551,2)</f>
        <v>690</v>
      </c>
      <c r="H3551" s="1483" t="s">
        <v>2313</v>
      </c>
    </row>
    <row r="3552" spans="1:8" s="1403" customFormat="1">
      <c r="A3552" s="1481"/>
      <c r="B3552" s="1481"/>
      <c r="C3552" s="1437" t="s">
        <v>68</v>
      </c>
      <c r="D3552" s="1481"/>
      <c r="E3552" s="1485"/>
      <c r="F3552" s="1485"/>
      <c r="G3552" s="1486"/>
      <c r="H3552" s="1483" t="s">
        <v>2313</v>
      </c>
    </row>
    <row r="3553" spans="1:8" s="1403" customFormat="1">
      <c r="A3553" s="1481"/>
      <c r="B3553" s="1481"/>
      <c r="C3553" s="1484" t="s">
        <v>94</v>
      </c>
      <c r="D3553" s="1481" t="s">
        <v>27</v>
      </c>
      <c r="E3553" s="1494">
        <v>0.27300000000000002</v>
      </c>
      <c r="F3553" s="1485">
        <f>'MINI SSR 2022-23'!$H$8</f>
        <v>705</v>
      </c>
      <c r="G3553" s="1486">
        <f>ROUND(E3553*F3553,2)</f>
        <v>192.47</v>
      </c>
      <c r="H3553" s="1483" t="s">
        <v>2313</v>
      </c>
    </row>
    <row r="3554" spans="1:8" s="1403" customFormat="1">
      <c r="A3554" s="1481"/>
      <c r="B3554" s="1481"/>
      <c r="C3554" s="1484" t="s">
        <v>874</v>
      </c>
      <c r="D3554" s="1481" t="s">
        <v>27</v>
      </c>
      <c r="E3554" s="1494">
        <v>0.63700000000000001</v>
      </c>
      <c r="F3554" s="1485">
        <f>'MINI SSR 2022-23'!$H$9</f>
        <v>565</v>
      </c>
      <c r="G3554" s="1486">
        <f>ROUND(E3554*F3554,2)</f>
        <v>359.91</v>
      </c>
      <c r="H3554" s="1483" t="s">
        <v>2313</v>
      </c>
    </row>
    <row r="3555" spans="1:8" s="1403" customFormat="1">
      <c r="A3555" s="1481"/>
      <c r="B3555" s="1481"/>
      <c r="C3555" s="1484" t="s">
        <v>85</v>
      </c>
      <c r="D3555" s="1481" t="s">
        <v>27</v>
      </c>
      <c r="E3555" s="1494">
        <v>0.91</v>
      </c>
      <c r="F3555" s="1485">
        <f>'MINI SSR 2022-23'!$H$5</f>
        <v>525</v>
      </c>
      <c r="G3555" s="1486">
        <f>ROUND(E3555*F3555,2)</f>
        <v>477.75</v>
      </c>
      <c r="H3555" s="1483" t="s">
        <v>2313</v>
      </c>
    </row>
    <row r="3556" spans="1:8" s="1403" customFormat="1">
      <c r="A3556" s="1481"/>
      <c r="B3556" s="1481"/>
      <c r="C3556" s="1484" t="s">
        <v>893</v>
      </c>
      <c r="D3556" s="1481"/>
      <c r="E3556" s="1485">
        <v>0.01</v>
      </c>
      <c r="F3556" s="1485">
        <f>SUM(G3551:G3555)</f>
        <v>1720.13</v>
      </c>
      <c r="G3556" s="1486">
        <f>ROUND(E3556*F3556,2)</f>
        <v>17.2</v>
      </c>
      <c r="H3556" s="1483" t="s">
        <v>2313</v>
      </c>
    </row>
    <row r="3557" spans="1:8" s="1403" customFormat="1">
      <c r="A3557" s="1481"/>
      <c r="B3557" s="1481"/>
      <c r="C3557" s="1437" t="s">
        <v>88</v>
      </c>
      <c r="D3557" s="1481"/>
      <c r="E3557" s="1481"/>
      <c r="F3557" s="1481"/>
      <c r="G3557" s="1491">
        <f>SUM(G3551:G3556)</f>
        <v>1737.3300000000002</v>
      </c>
      <c r="H3557" s="1483" t="s">
        <v>2313</v>
      </c>
    </row>
    <row r="3558" spans="1:8" s="1403" customFormat="1">
      <c r="A3558" s="1481"/>
      <c r="B3558" s="1481"/>
      <c r="C3558" s="1437"/>
      <c r="D3558" s="1481"/>
      <c r="E3558" s="1490" t="s">
        <v>161</v>
      </c>
      <c r="F3558" s="1490" t="s">
        <v>162</v>
      </c>
      <c r="G3558" s="1489" t="s">
        <v>163</v>
      </c>
      <c r="H3558" s="1483" t="s">
        <v>2313</v>
      </c>
    </row>
    <row r="3559" spans="1:8" s="1403" customFormat="1">
      <c r="A3559" s="1481"/>
      <c r="B3559" s="1481"/>
      <c r="C3559" s="1437" t="s">
        <v>1276</v>
      </c>
      <c r="D3559" s="1481"/>
      <c r="E3559" s="1485">
        <f>G3557</f>
        <v>1737.3300000000002</v>
      </c>
      <c r="F3559" s="1485">
        <f>E3559</f>
        <v>1737.3300000000002</v>
      </c>
      <c r="G3559" s="1487">
        <f>F3559</f>
        <v>1737.3300000000002</v>
      </c>
      <c r="H3559" s="1483" t="s">
        <v>2313</v>
      </c>
    </row>
    <row r="3560" spans="1:8" s="1403" customFormat="1" ht="25.5">
      <c r="A3560" s="1481"/>
      <c r="B3560" s="1481"/>
      <c r="C3560" s="1484" t="s">
        <v>170</v>
      </c>
      <c r="D3560" s="1481"/>
      <c r="E3560" s="1481"/>
      <c r="F3560" s="1485">
        <f>ROUND((G3553+G3554+G3555)*0.1,2)</f>
        <v>103.01</v>
      </c>
      <c r="G3560" s="1495">
        <f>ROUND(F3560*2,2)</f>
        <v>206.02</v>
      </c>
      <c r="H3560" s="1483" t="s">
        <v>2313</v>
      </c>
    </row>
    <row r="3561" spans="1:8" s="1403" customFormat="1">
      <c r="A3561" s="1481"/>
      <c r="B3561" s="1481"/>
      <c r="C3561" s="1437" t="s">
        <v>194</v>
      </c>
      <c r="D3561" s="1481"/>
      <c r="E3561" s="1489">
        <f>SUM(E3559:E3560)</f>
        <v>1737.3300000000002</v>
      </c>
      <c r="F3561" s="1489">
        <f>SUM(F3559:F3560)</f>
        <v>1840.3400000000001</v>
      </c>
      <c r="G3561" s="1491">
        <f>SUM(G3559:G3560)</f>
        <v>1943.3500000000001</v>
      </c>
      <c r="H3561" s="1483" t="s">
        <v>2313</v>
      </c>
    </row>
    <row r="3562" spans="1:8" s="1403" customFormat="1">
      <c r="A3562" s="1481"/>
      <c r="B3562" s="1481"/>
      <c r="C3562" s="1437" t="s">
        <v>181</v>
      </c>
      <c r="D3562" s="1481"/>
      <c r="E3562" s="1489">
        <f>ROUND(E3561/10,2)</f>
        <v>173.73</v>
      </c>
      <c r="F3562" s="1489">
        <f>ROUND(F3561/10,2)</f>
        <v>184.03</v>
      </c>
      <c r="G3562" s="1491">
        <f>ROUND(G3561/10,2)</f>
        <v>194.34</v>
      </c>
      <c r="H3562" s="1483" t="s">
        <v>2313</v>
      </c>
    </row>
    <row r="3563" spans="1:8" s="996" customFormat="1" ht="25.5" hidden="1">
      <c r="A3563" s="966">
        <v>25</v>
      </c>
      <c r="B3563" s="994" t="s">
        <v>1352</v>
      </c>
      <c r="C3563" s="1382" t="s">
        <v>1353</v>
      </c>
      <c r="D3563" s="967"/>
      <c r="E3563" s="967"/>
      <c r="F3563" s="995"/>
      <c r="G3563" s="995"/>
      <c r="H3563" s="964" t="s">
        <v>2313</v>
      </c>
    </row>
    <row r="3564" spans="1:8" hidden="1">
      <c r="A3564" s="967"/>
      <c r="B3564" s="966"/>
      <c r="C3564" s="1382" t="s">
        <v>1354</v>
      </c>
      <c r="D3564" s="990"/>
      <c r="E3564" s="990"/>
      <c r="F3564" s="990"/>
      <c r="G3564" s="989"/>
      <c r="H3564" s="964" t="s">
        <v>2313</v>
      </c>
    </row>
    <row r="3565" spans="1:8" hidden="1">
      <c r="A3565" s="967"/>
      <c r="B3565" s="966"/>
      <c r="C3565" s="1382" t="s">
        <v>1355</v>
      </c>
      <c r="D3565" s="990"/>
      <c r="E3565" s="990"/>
      <c r="F3565" s="990"/>
      <c r="G3565" s="989"/>
      <c r="H3565" s="964" t="s">
        <v>2313</v>
      </c>
    </row>
    <row r="3566" spans="1:8" hidden="1">
      <c r="A3566" s="967"/>
      <c r="B3566" s="966"/>
      <c r="C3566" s="1382" t="s">
        <v>3141</v>
      </c>
      <c r="D3566" s="990" t="s">
        <v>90</v>
      </c>
      <c r="E3566" s="990">
        <v>1</v>
      </c>
      <c r="F3566" s="990">
        <f>'MINI SSR 2022-23'!G41</f>
        <v>160</v>
      </c>
      <c r="G3566" s="989">
        <f>ROUND(E3566*F3566,2)</f>
        <v>160</v>
      </c>
      <c r="H3566" s="964" t="s">
        <v>2313</v>
      </c>
    </row>
    <row r="3567" spans="1:8" hidden="1">
      <c r="A3567" s="967"/>
      <c r="B3567" s="966"/>
      <c r="C3567" s="1382" t="s">
        <v>1356</v>
      </c>
      <c r="D3567" s="990"/>
      <c r="E3567" s="990"/>
      <c r="F3567" s="990"/>
      <c r="G3567" s="989"/>
      <c r="H3567" s="964" t="s">
        <v>2313</v>
      </c>
    </row>
    <row r="3568" spans="1:8" hidden="1">
      <c r="A3568" s="967"/>
      <c r="B3568" s="966"/>
      <c r="C3568" s="1382" t="s">
        <v>94</v>
      </c>
      <c r="D3568" s="990" t="s">
        <v>27</v>
      </c>
      <c r="E3568" s="990">
        <v>0.21</v>
      </c>
      <c r="F3568" s="970">
        <f>'MINI SSR 2022-23'!$H$8</f>
        <v>705</v>
      </c>
      <c r="G3568" s="989">
        <f>ROUND(E3568*F3568,2)</f>
        <v>148.05000000000001</v>
      </c>
      <c r="H3568" s="964" t="s">
        <v>2313</v>
      </c>
    </row>
    <row r="3569" spans="1:8" hidden="1">
      <c r="A3569" s="967"/>
      <c r="B3569" s="966"/>
      <c r="C3569" s="1382" t="s">
        <v>874</v>
      </c>
      <c r="D3569" s="990" t="s">
        <v>27</v>
      </c>
      <c r="E3569" s="990">
        <v>0.49</v>
      </c>
      <c r="F3569" s="970">
        <f>'MINI SSR 2022-23'!$H$9</f>
        <v>565</v>
      </c>
      <c r="G3569" s="989">
        <f>ROUND(E3569*F3569,2)</f>
        <v>276.85000000000002</v>
      </c>
      <c r="H3569" s="964" t="s">
        <v>2313</v>
      </c>
    </row>
    <row r="3570" spans="1:8" hidden="1">
      <c r="A3570" s="967"/>
      <c r="B3570" s="966"/>
      <c r="C3570" s="1382" t="s">
        <v>875</v>
      </c>
      <c r="D3570" s="990"/>
      <c r="E3570" s="997">
        <v>5.0000000000000001E-3</v>
      </c>
      <c r="F3570" s="990">
        <f>SUM(G3566:G3569)</f>
        <v>584.90000000000009</v>
      </c>
      <c r="G3570" s="989">
        <f>ROUND(E3570*F3570,2)</f>
        <v>2.92</v>
      </c>
      <c r="H3570" s="964" t="s">
        <v>2313</v>
      </c>
    </row>
    <row r="3571" spans="1:8" hidden="1">
      <c r="A3571" s="967"/>
      <c r="B3571" s="966"/>
      <c r="C3571" s="1382" t="s">
        <v>1357</v>
      </c>
      <c r="D3571" s="990"/>
      <c r="E3571" s="990"/>
      <c r="F3571" s="990"/>
      <c r="G3571" s="989">
        <f>SUM(G3566:G3570)</f>
        <v>587.82000000000005</v>
      </c>
      <c r="H3571" s="964" t="s">
        <v>2313</v>
      </c>
    </row>
    <row r="3572" spans="1:8" s="999" customFormat="1" hidden="1">
      <c r="A3572" s="994"/>
      <c r="B3572" s="994"/>
      <c r="C3572" s="962" t="s">
        <v>869</v>
      </c>
      <c r="D3572" s="991"/>
      <c r="E3572" s="991"/>
      <c r="F3572" s="991"/>
      <c r="G3572" s="998">
        <f>ROUND(SUM(G3571:G3571),2)</f>
        <v>587.82000000000005</v>
      </c>
      <c r="H3572" s="964" t="s">
        <v>2313</v>
      </c>
    </row>
    <row r="3573" spans="1:8" s="996" customFormat="1" ht="25.5" hidden="1">
      <c r="A3573" s="966">
        <v>26</v>
      </c>
      <c r="B3573" s="966" t="s">
        <v>1352</v>
      </c>
      <c r="C3573" s="1382" t="s">
        <v>1358</v>
      </c>
      <c r="D3573" s="967"/>
      <c r="E3573" s="967"/>
      <c r="F3573" s="995"/>
      <c r="G3573" s="995"/>
      <c r="H3573" s="964" t="s">
        <v>2313</v>
      </c>
    </row>
    <row r="3574" spans="1:8" hidden="1">
      <c r="A3574" s="967"/>
      <c r="B3574" s="966"/>
      <c r="C3574" s="1382" t="s">
        <v>1354</v>
      </c>
      <c r="D3574" s="990"/>
      <c r="E3574" s="990"/>
      <c r="F3574" s="990"/>
      <c r="G3574" s="989"/>
      <c r="H3574" s="964" t="s">
        <v>2313</v>
      </c>
    </row>
    <row r="3575" spans="1:8" hidden="1">
      <c r="A3575" s="967"/>
      <c r="B3575" s="966"/>
      <c r="C3575" s="1382" t="s">
        <v>1355</v>
      </c>
      <c r="D3575" s="990"/>
      <c r="E3575" s="990"/>
      <c r="F3575" s="990"/>
      <c r="G3575" s="989"/>
      <c r="H3575" s="964" t="s">
        <v>2313</v>
      </c>
    </row>
    <row r="3576" spans="1:8" hidden="1">
      <c r="A3576" s="967"/>
      <c r="B3576" s="966"/>
      <c r="C3576" s="1382" t="s">
        <v>3142</v>
      </c>
      <c r="D3576" s="990" t="s">
        <v>90</v>
      </c>
      <c r="E3576" s="990">
        <v>1</v>
      </c>
      <c r="F3576" s="990">
        <f>'MINI SSR 2022-23'!G42</f>
        <v>200</v>
      </c>
      <c r="G3576" s="989">
        <f>ROUND(E3576*F3576,2)</f>
        <v>200</v>
      </c>
      <c r="H3576" s="964" t="s">
        <v>2313</v>
      </c>
    </row>
    <row r="3577" spans="1:8" hidden="1">
      <c r="A3577" s="967"/>
      <c r="B3577" s="966"/>
      <c r="C3577" s="1382" t="s">
        <v>1356</v>
      </c>
      <c r="D3577" s="990"/>
      <c r="E3577" s="990"/>
      <c r="F3577" s="990"/>
      <c r="G3577" s="989"/>
      <c r="H3577" s="964" t="s">
        <v>2313</v>
      </c>
    </row>
    <row r="3578" spans="1:8" hidden="1">
      <c r="A3578" s="967"/>
      <c r="B3578" s="966"/>
      <c r="C3578" s="1382" t="s">
        <v>94</v>
      </c>
      <c r="D3578" s="990" t="s">
        <v>27</v>
      </c>
      <c r="E3578" s="990">
        <v>0.21</v>
      </c>
      <c r="F3578" s="970">
        <f>'MINI SSR 2022-23'!$H$8</f>
        <v>705</v>
      </c>
      <c r="G3578" s="989">
        <f>ROUND(E3578*F3578,2)</f>
        <v>148.05000000000001</v>
      </c>
      <c r="H3578" s="964" t="s">
        <v>2313</v>
      </c>
    </row>
    <row r="3579" spans="1:8" hidden="1">
      <c r="A3579" s="967"/>
      <c r="B3579" s="966"/>
      <c r="C3579" s="1382" t="s">
        <v>874</v>
      </c>
      <c r="D3579" s="990" t="s">
        <v>27</v>
      </c>
      <c r="E3579" s="990">
        <v>0.49</v>
      </c>
      <c r="F3579" s="970">
        <f>'MINI SSR 2022-23'!$H$9</f>
        <v>565</v>
      </c>
      <c r="G3579" s="989">
        <f>ROUND(E3579*F3579,2)</f>
        <v>276.85000000000002</v>
      </c>
      <c r="H3579" s="964" t="s">
        <v>2313</v>
      </c>
    </row>
    <row r="3580" spans="1:8" hidden="1">
      <c r="A3580" s="967"/>
      <c r="B3580" s="966"/>
      <c r="C3580" s="1382" t="s">
        <v>875</v>
      </c>
      <c r="D3580" s="990"/>
      <c r="E3580" s="997">
        <v>5.0000000000000001E-3</v>
      </c>
      <c r="F3580" s="990">
        <f>SUM(G3576:G3579)</f>
        <v>624.90000000000009</v>
      </c>
      <c r="G3580" s="989">
        <f>ROUND(E3580*F3580,2)</f>
        <v>3.12</v>
      </c>
      <c r="H3580" s="964" t="s">
        <v>2313</v>
      </c>
    </row>
    <row r="3581" spans="1:8" hidden="1">
      <c r="A3581" s="967"/>
      <c r="B3581" s="966"/>
      <c r="C3581" s="1382" t="s">
        <v>1357</v>
      </c>
      <c r="D3581" s="990"/>
      <c r="E3581" s="990"/>
      <c r="F3581" s="990"/>
      <c r="G3581" s="989">
        <f>SUM(G3576:G3580)</f>
        <v>628.0200000000001</v>
      </c>
      <c r="H3581" s="964" t="s">
        <v>2313</v>
      </c>
    </row>
    <row r="3582" spans="1:8" s="999" customFormat="1" hidden="1">
      <c r="A3582" s="994"/>
      <c r="B3582" s="994"/>
      <c r="C3582" s="962" t="s">
        <v>869</v>
      </c>
      <c r="D3582" s="991"/>
      <c r="E3582" s="991"/>
      <c r="F3582" s="991"/>
      <c r="G3582" s="998">
        <f>ROUND(SUM(G3581:G3581),2)</f>
        <v>628.02</v>
      </c>
      <c r="H3582" s="964" t="s">
        <v>2313</v>
      </c>
    </row>
    <row r="3583" spans="1:8" s="996" customFormat="1" ht="140.25" hidden="1">
      <c r="A3583" s="966">
        <v>27</v>
      </c>
      <c r="B3583" s="966" t="s">
        <v>1328</v>
      </c>
      <c r="C3583" s="1382" t="s">
        <v>1167</v>
      </c>
      <c r="D3583" s="967"/>
      <c r="E3583" s="967"/>
      <c r="F3583" s="995"/>
      <c r="G3583" s="995"/>
      <c r="H3583" s="964" t="s">
        <v>2313</v>
      </c>
    </row>
    <row r="3584" spans="1:8" hidden="1">
      <c r="A3584" s="967"/>
      <c r="B3584" s="966"/>
      <c r="C3584" s="962" t="s">
        <v>1359</v>
      </c>
      <c r="D3584" s="990"/>
      <c r="E3584" s="990"/>
      <c r="F3584" s="990"/>
      <c r="G3584" s="989"/>
      <c r="H3584" s="964" t="s">
        <v>2313</v>
      </c>
    </row>
    <row r="3585" spans="1:8" hidden="1">
      <c r="A3585" s="967"/>
      <c r="B3585" s="966"/>
      <c r="C3585" s="1382" t="s">
        <v>1369</v>
      </c>
      <c r="D3585" s="990" t="s">
        <v>1360</v>
      </c>
      <c r="E3585" s="990">
        <v>1</v>
      </c>
      <c r="F3585" s="990">
        <f>G3572</f>
        <v>587.82000000000005</v>
      </c>
      <c r="G3585" s="989">
        <f>ROUND(E3585*F3585,2)</f>
        <v>587.82000000000005</v>
      </c>
      <c r="H3585" s="964" t="s">
        <v>2313</v>
      </c>
    </row>
    <row r="3586" spans="1:8" hidden="1">
      <c r="A3586" s="967"/>
      <c r="B3586" s="966"/>
      <c r="C3586" s="1382"/>
      <c r="D3586" s="990"/>
      <c r="E3586" s="990"/>
      <c r="F3586" s="990"/>
      <c r="G3586" s="989"/>
      <c r="H3586" s="964" t="s">
        <v>2313</v>
      </c>
    </row>
    <row r="3587" spans="1:8" hidden="1">
      <c r="A3587" s="967"/>
      <c r="B3587" s="966"/>
      <c r="C3587" s="1000" t="s">
        <v>1361</v>
      </c>
      <c r="D3587" s="990"/>
      <c r="E3587" s="990"/>
      <c r="F3587" s="990"/>
      <c r="G3587" s="989"/>
      <c r="H3587" s="964" t="s">
        <v>2313</v>
      </c>
    </row>
    <row r="3588" spans="1:8" hidden="1">
      <c r="A3588" s="967"/>
      <c r="B3588" s="966"/>
      <c r="C3588" s="1382" t="s">
        <v>3143</v>
      </c>
      <c r="D3588" s="896" t="s">
        <v>291</v>
      </c>
      <c r="E3588" s="922">
        <v>0.8</v>
      </c>
      <c r="F3588" s="990">
        <f>'MINI SSR 2022-23'!G43</f>
        <v>190</v>
      </c>
      <c r="G3588" s="989">
        <f>ROUND(E3588*F3588,2)</f>
        <v>152</v>
      </c>
      <c r="H3588" s="964" t="s">
        <v>2313</v>
      </c>
    </row>
    <row r="3589" spans="1:8" hidden="1">
      <c r="A3589" s="967"/>
      <c r="B3589" s="966"/>
      <c r="C3589" s="1000" t="s">
        <v>1363</v>
      </c>
      <c r="D3589" s="896"/>
      <c r="E3589" s="922"/>
      <c r="F3589" s="990"/>
      <c r="G3589" s="989"/>
      <c r="H3589" s="964" t="s">
        <v>2313</v>
      </c>
    </row>
    <row r="3590" spans="1:8" hidden="1">
      <c r="A3590" s="967"/>
      <c r="B3590" s="966"/>
      <c r="C3590" s="1382" t="s">
        <v>1364</v>
      </c>
      <c r="D3590" s="896" t="s">
        <v>27</v>
      </c>
      <c r="E3590" s="970">
        <v>0.36</v>
      </c>
      <c r="F3590" s="970">
        <f>'MINI SSR 2022-23'!$H$8</f>
        <v>705</v>
      </c>
      <c r="G3590" s="989">
        <f>ROUND(E3590*F3590,2)</f>
        <v>253.8</v>
      </c>
      <c r="H3590" s="964" t="s">
        <v>2313</v>
      </c>
    </row>
    <row r="3591" spans="1:8" hidden="1">
      <c r="A3591" s="967"/>
      <c r="B3591" s="966"/>
      <c r="C3591" s="1382" t="s">
        <v>1365</v>
      </c>
      <c r="D3591" s="896" t="s">
        <v>27</v>
      </c>
      <c r="E3591" s="970">
        <v>0.84</v>
      </c>
      <c r="F3591" s="970">
        <f>'MINI SSR 2022-23'!$H$9</f>
        <v>565</v>
      </c>
      <c r="G3591" s="989">
        <f>ROUND(E3591*F3591,2)</f>
        <v>474.6</v>
      </c>
      <c r="H3591" s="964" t="s">
        <v>2313</v>
      </c>
    </row>
    <row r="3592" spans="1:8" hidden="1">
      <c r="A3592" s="967"/>
      <c r="B3592" s="966"/>
      <c r="C3592" s="1382" t="s">
        <v>0</v>
      </c>
      <c r="D3592" s="990"/>
      <c r="E3592" s="990"/>
      <c r="F3592" s="990"/>
      <c r="G3592" s="989">
        <f>SUM(G3585:G3591)</f>
        <v>1468.2200000000003</v>
      </c>
      <c r="H3592" s="964" t="s">
        <v>2313</v>
      </c>
    </row>
    <row r="3593" spans="1:8" hidden="1">
      <c r="A3593" s="967"/>
      <c r="B3593" s="966"/>
      <c r="C3593" s="1382"/>
      <c r="D3593" s="990"/>
      <c r="E3593" s="991" t="s">
        <v>161</v>
      </c>
      <c r="F3593" s="991" t="s">
        <v>162</v>
      </c>
      <c r="G3593" s="991" t="s">
        <v>163</v>
      </c>
      <c r="H3593" s="964" t="s">
        <v>2313</v>
      </c>
    </row>
    <row r="3594" spans="1:8" hidden="1">
      <c r="A3594" s="967"/>
      <c r="B3594" s="966"/>
      <c r="C3594" s="1382" t="s">
        <v>867</v>
      </c>
      <c r="D3594" s="990"/>
      <c r="E3594" s="990">
        <f>G3592</f>
        <v>1468.2200000000003</v>
      </c>
      <c r="F3594" s="1001">
        <f>G3592</f>
        <v>1468.2200000000003</v>
      </c>
      <c r="G3594" s="1001">
        <f>G3592</f>
        <v>1468.2200000000003</v>
      </c>
      <c r="H3594" s="964" t="s">
        <v>2313</v>
      </c>
    </row>
    <row r="3595" spans="1:8" hidden="1">
      <c r="A3595" s="967"/>
      <c r="B3595" s="966"/>
      <c r="C3595" s="1382" t="s">
        <v>1366</v>
      </c>
      <c r="D3595" s="990"/>
      <c r="E3595" s="990"/>
      <c r="F3595" s="989">
        <f>SUM(G3568+G3569+G3590+G3591)*10%</f>
        <v>115.33000000000003</v>
      </c>
      <c r="G3595" s="989">
        <f>SUM(G3568+G3569+G3590+G3591)*20%</f>
        <v>230.66000000000005</v>
      </c>
      <c r="H3595" s="964" t="s">
        <v>2313</v>
      </c>
    </row>
    <row r="3596" spans="1:8" s="999" customFormat="1" hidden="1">
      <c r="A3596" s="994"/>
      <c r="B3596" s="994"/>
      <c r="C3596" s="962" t="s">
        <v>869</v>
      </c>
      <c r="D3596" s="991"/>
      <c r="E3596" s="991">
        <f>SUM(E3594:E3595)</f>
        <v>1468.2200000000003</v>
      </c>
      <c r="F3596" s="998">
        <f>SUM(F3594:F3595)</f>
        <v>1583.5500000000002</v>
      </c>
      <c r="G3596" s="998">
        <f>SUM(G3594:G3595)</f>
        <v>1698.8800000000003</v>
      </c>
      <c r="H3596" s="964" t="s">
        <v>2313</v>
      </c>
    </row>
    <row r="3597" spans="1:8" s="999" customFormat="1" hidden="1">
      <c r="A3597" s="994"/>
      <c r="B3597" s="994"/>
      <c r="C3597" s="962" t="s">
        <v>1367</v>
      </c>
      <c r="D3597" s="991"/>
      <c r="E3597" s="991">
        <f>ROUND(E3596/10,2)</f>
        <v>146.82</v>
      </c>
      <c r="F3597" s="998">
        <f>ROUND(F3596/10,2)</f>
        <v>158.36000000000001</v>
      </c>
      <c r="G3597" s="998">
        <f>ROUND(G3596/10,2)</f>
        <v>169.89</v>
      </c>
      <c r="H3597" s="964" t="s">
        <v>2313</v>
      </c>
    </row>
    <row r="3598" spans="1:8" s="996" customFormat="1" ht="140.25" hidden="1">
      <c r="A3598" s="966">
        <v>26</v>
      </c>
      <c r="B3598" s="966" t="s">
        <v>1328</v>
      </c>
      <c r="C3598" s="1382" t="s">
        <v>1368</v>
      </c>
      <c r="D3598" s="967"/>
      <c r="E3598" s="967"/>
      <c r="F3598" s="995"/>
      <c r="G3598" s="995"/>
      <c r="H3598" s="964" t="s">
        <v>2313</v>
      </c>
    </row>
    <row r="3599" spans="1:8" hidden="1">
      <c r="A3599" s="967"/>
      <c r="B3599" s="966"/>
      <c r="C3599" s="1382" t="s">
        <v>1369</v>
      </c>
      <c r="D3599" s="990" t="s">
        <v>1360</v>
      </c>
      <c r="E3599" s="990">
        <v>1</v>
      </c>
      <c r="F3599" s="990">
        <f>G3582</f>
        <v>628.02</v>
      </c>
      <c r="G3599" s="989">
        <f>ROUND(E3599*F3599,2)</f>
        <v>628.02</v>
      </c>
      <c r="H3599" s="964" t="s">
        <v>2313</v>
      </c>
    </row>
    <row r="3600" spans="1:8" hidden="1">
      <c r="A3600" s="967"/>
      <c r="B3600" s="966"/>
      <c r="C3600" s="1000" t="s">
        <v>1361</v>
      </c>
      <c r="D3600" s="990"/>
      <c r="E3600" s="990"/>
      <c r="F3600" s="990"/>
      <c r="G3600" s="989"/>
      <c r="H3600" s="964" t="s">
        <v>2313</v>
      </c>
    </row>
    <row r="3601" spans="1:8" hidden="1">
      <c r="A3601" s="967"/>
      <c r="B3601" s="966"/>
      <c r="C3601" s="1382" t="s">
        <v>3144</v>
      </c>
      <c r="D3601" s="896" t="s">
        <v>291</v>
      </c>
      <c r="E3601" s="922">
        <v>0.8</v>
      </c>
      <c r="F3601" s="990">
        <f>'MINI SSR 2022-23'!G44</f>
        <v>210</v>
      </c>
      <c r="G3601" s="989">
        <f>ROUND(E3601*F3601,2)</f>
        <v>168</v>
      </c>
      <c r="H3601" s="964" t="s">
        <v>2313</v>
      </c>
    </row>
    <row r="3602" spans="1:8" hidden="1">
      <c r="A3602" s="967"/>
      <c r="B3602" s="966"/>
      <c r="C3602" s="1000" t="s">
        <v>1363</v>
      </c>
      <c r="D3602" s="896"/>
      <c r="E3602" s="922"/>
      <c r="F3602" s="990"/>
      <c r="G3602" s="989"/>
      <c r="H3602" s="964" t="s">
        <v>2313</v>
      </c>
    </row>
    <row r="3603" spans="1:8" hidden="1">
      <c r="A3603" s="967"/>
      <c r="B3603" s="966"/>
      <c r="C3603" s="1382" t="s">
        <v>1364</v>
      </c>
      <c r="D3603" s="896" t="s">
        <v>27</v>
      </c>
      <c r="E3603" s="970">
        <v>0.21</v>
      </c>
      <c r="F3603" s="970">
        <f>'MINI SSR 2022-23'!$H$8</f>
        <v>705</v>
      </c>
      <c r="G3603" s="989">
        <f>ROUND(E3603*F3603,2)</f>
        <v>148.05000000000001</v>
      </c>
      <c r="H3603" s="964" t="s">
        <v>2313</v>
      </c>
    </row>
    <row r="3604" spans="1:8" hidden="1">
      <c r="A3604" s="967"/>
      <c r="B3604" s="966"/>
      <c r="C3604" s="1382" t="s">
        <v>1365</v>
      </c>
      <c r="D3604" s="896" t="s">
        <v>27</v>
      </c>
      <c r="E3604" s="970">
        <v>0.49</v>
      </c>
      <c r="F3604" s="970">
        <f>'MINI SSR 2022-23'!$H$9</f>
        <v>565</v>
      </c>
      <c r="G3604" s="989">
        <f>ROUND(E3604*F3604,2)</f>
        <v>276.85000000000002</v>
      </c>
      <c r="H3604" s="964" t="s">
        <v>2313</v>
      </c>
    </row>
    <row r="3605" spans="1:8" hidden="1">
      <c r="A3605" s="967"/>
      <c r="B3605" s="966"/>
      <c r="C3605" s="1382" t="s">
        <v>311</v>
      </c>
      <c r="D3605" s="896" t="s">
        <v>27</v>
      </c>
      <c r="E3605" s="970">
        <v>1.5</v>
      </c>
      <c r="F3605" s="970">
        <f>'MINI SSR 2022-23'!$H$5</f>
        <v>525</v>
      </c>
      <c r="G3605" s="989">
        <f>ROUND(E3605*F3605,2)</f>
        <v>787.5</v>
      </c>
      <c r="H3605" s="964" t="s">
        <v>2313</v>
      </c>
    </row>
    <row r="3606" spans="1:8" hidden="1">
      <c r="A3606" s="967"/>
      <c r="B3606" s="966"/>
      <c r="C3606" s="1382" t="s">
        <v>0</v>
      </c>
      <c r="D3606" s="990"/>
      <c r="E3606" s="990"/>
      <c r="F3606" s="990"/>
      <c r="G3606" s="989">
        <f>SUM(G3599:G3605)</f>
        <v>2008.42</v>
      </c>
      <c r="H3606" s="964" t="s">
        <v>2313</v>
      </c>
    </row>
    <row r="3607" spans="1:8" hidden="1">
      <c r="A3607" s="967"/>
      <c r="B3607" s="966"/>
      <c r="C3607" s="1382"/>
      <c r="D3607" s="990"/>
      <c r="E3607" s="991" t="s">
        <v>161</v>
      </c>
      <c r="F3607" s="991" t="s">
        <v>162</v>
      </c>
      <c r="G3607" s="991" t="s">
        <v>163</v>
      </c>
      <c r="H3607" s="964" t="s">
        <v>2313</v>
      </c>
    </row>
    <row r="3608" spans="1:8" hidden="1">
      <c r="A3608" s="967"/>
      <c r="B3608" s="966"/>
      <c r="C3608" s="1382" t="s">
        <v>867</v>
      </c>
      <c r="D3608" s="990"/>
      <c r="E3608" s="990">
        <f>G3606</f>
        <v>2008.42</v>
      </c>
      <c r="F3608" s="1001">
        <f>G3606</f>
        <v>2008.42</v>
      </c>
      <c r="G3608" s="1001">
        <f>G3606</f>
        <v>2008.42</v>
      </c>
      <c r="H3608" s="964" t="s">
        <v>2313</v>
      </c>
    </row>
    <row r="3609" spans="1:8" hidden="1">
      <c r="A3609" s="967"/>
      <c r="B3609" s="966"/>
      <c r="C3609" s="1382" t="s">
        <v>870</v>
      </c>
      <c r="D3609" s="990"/>
      <c r="E3609" s="990"/>
      <c r="F3609" s="989">
        <f>SUM(G3578+G3579+G3603+G3604+G3605)*10%</f>
        <v>163.73000000000002</v>
      </c>
      <c r="G3609" s="989">
        <f>SUM(G3578+G3579+G3603+G3604+G3605)*20%</f>
        <v>327.46000000000004</v>
      </c>
      <c r="H3609" s="964" t="s">
        <v>2313</v>
      </c>
    </row>
    <row r="3610" spans="1:8" s="999" customFormat="1" hidden="1">
      <c r="A3610" s="994"/>
      <c r="B3610" s="994"/>
      <c r="C3610" s="962" t="s">
        <v>869</v>
      </c>
      <c r="D3610" s="991"/>
      <c r="E3610" s="991">
        <f>SUM(E3608:E3609)</f>
        <v>2008.42</v>
      </c>
      <c r="F3610" s="998">
        <f>SUM(F3608:F3609)</f>
        <v>2172.15</v>
      </c>
      <c r="G3610" s="998">
        <f>SUM(G3608:G3609)</f>
        <v>2335.88</v>
      </c>
      <c r="H3610" s="964" t="s">
        <v>2313</v>
      </c>
    </row>
    <row r="3611" spans="1:8" s="999" customFormat="1" hidden="1">
      <c r="A3611" s="994"/>
      <c r="B3611" s="994"/>
      <c r="C3611" s="962" t="s">
        <v>1367</v>
      </c>
      <c r="D3611" s="991"/>
      <c r="E3611" s="991">
        <f>ROUND(E3610/10,2)</f>
        <v>200.84</v>
      </c>
      <c r="F3611" s="998">
        <f>ROUND(F3610/10,2)</f>
        <v>217.22</v>
      </c>
      <c r="G3611" s="998">
        <f>ROUND(G3610/10,2)</f>
        <v>233.59</v>
      </c>
      <c r="H3611" s="964" t="s">
        <v>2313</v>
      </c>
    </row>
    <row r="3612" spans="1:8" s="965" customFormat="1" ht="140.25" hidden="1">
      <c r="A3612" s="896">
        <v>27</v>
      </c>
      <c r="B3612" s="966" t="s">
        <v>96</v>
      </c>
      <c r="C3612" s="1382" t="s">
        <v>1307</v>
      </c>
      <c r="D3612" s="967"/>
      <c r="E3612" s="967"/>
      <c r="F3612" s="967"/>
      <c r="G3612" s="966"/>
      <c r="H3612" s="964" t="s">
        <v>2313</v>
      </c>
    </row>
    <row r="3613" spans="1:8" s="965" customFormat="1" hidden="1">
      <c r="A3613" s="896"/>
      <c r="B3613" s="966"/>
      <c r="C3613" s="962" t="s">
        <v>42</v>
      </c>
      <c r="D3613" s="967"/>
      <c r="E3613" s="967"/>
      <c r="F3613" s="967"/>
      <c r="G3613" s="972"/>
      <c r="H3613" s="964" t="s">
        <v>2313</v>
      </c>
    </row>
    <row r="3614" spans="1:8" s="965" customFormat="1" hidden="1">
      <c r="A3614" s="896"/>
      <c r="B3614" s="966"/>
      <c r="C3614" s="962" t="s">
        <v>97</v>
      </c>
      <c r="D3614" s="967"/>
      <c r="E3614" s="967"/>
      <c r="F3614" s="967"/>
      <c r="G3614" s="972"/>
      <c r="H3614" s="964" t="s">
        <v>2313</v>
      </c>
    </row>
    <row r="3615" spans="1:8" s="965" customFormat="1" hidden="1">
      <c r="A3615" s="896"/>
      <c r="B3615" s="966"/>
      <c r="C3615" s="962" t="s">
        <v>60</v>
      </c>
      <c r="D3615" s="967"/>
      <c r="E3615" s="967"/>
      <c r="F3615" s="967"/>
      <c r="G3615" s="972"/>
      <c r="H3615" s="964" t="s">
        <v>2313</v>
      </c>
    </row>
    <row r="3616" spans="1:8" s="965" customFormat="1" hidden="1">
      <c r="A3616" s="896"/>
      <c r="B3616" s="966"/>
      <c r="C3616" s="1382" t="s">
        <v>216</v>
      </c>
      <c r="D3616" s="967" t="s">
        <v>30</v>
      </c>
      <c r="E3616" s="970">
        <v>0.7</v>
      </c>
      <c r="F3616" s="970">
        <f>'MINI SSR 2022-23'!G45</f>
        <v>160</v>
      </c>
      <c r="G3616" s="969">
        <f>ROUND(E3616*F3616,2)</f>
        <v>112</v>
      </c>
      <c r="H3616" s="964" t="s">
        <v>2313</v>
      </c>
    </row>
    <row r="3617" spans="1:8" s="965" customFormat="1" hidden="1">
      <c r="A3617" s="967"/>
      <c r="B3617" s="966"/>
      <c r="C3617" s="962" t="s">
        <v>68</v>
      </c>
      <c r="D3617" s="967"/>
      <c r="E3617" s="970"/>
      <c r="F3617" s="970"/>
      <c r="G3617" s="969"/>
      <c r="H3617" s="964" t="s">
        <v>2313</v>
      </c>
    </row>
    <row r="3618" spans="1:8" s="965" customFormat="1" hidden="1">
      <c r="A3618" s="967"/>
      <c r="B3618" s="967"/>
      <c r="C3618" s="1382" t="s">
        <v>94</v>
      </c>
      <c r="D3618" s="967" t="s">
        <v>27</v>
      </c>
      <c r="E3618" s="970">
        <v>0.21</v>
      </c>
      <c r="F3618" s="970">
        <f>'MINI SSR 2022-23'!$H$8</f>
        <v>705</v>
      </c>
      <c r="G3618" s="969">
        <f>ROUND(E3618*F3618,2)</f>
        <v>148.05000000000001</v>
      </c>
      <c r="H3618" s="964" t="s">
        <v>2313</v>
      </c>
    </row>
    <row r="3619" spans="1:8" s="965" customFormat="1" hidden="1">
      <c r="A3619" s="967"/>
      <c r="B3619" s="967"/>
      <c r="C3619" s="1382" t="s">
        <v>876</v>
      </c>
      <c r="D3619" s="967" t="s">
        <v>27</v>
      </c>
      <c r="E3619" s="970">
        <v>0.48</v>
      </c>
      <c r="F3619" s="970">
        <f>'MINI SSR 2022-23'!$H$9</f>
        <v>565</v>
      </c>
      <c r="G3619" s="969">
        <f>ROUND(E3619*F3619,2)</f>
        <v>271.2</v>
      </c>
      <c r="H3619" s="964" t="s">
        <v>2313</v>
      </c>
    </row>
    <row r="3620" spans="1:8" s="965" customFormat="1" hidden="1">
      <c r="A3620" s="967"/>
      <c r="B3620" s="967"/>
      <c r="C3620" s="1382" t="s">
        <v>95</v>
      </c>
      <c r="D3620" s="967"/>
      <c r="E3620" s="970"/>
      <c r="F3620" s="974">
        <f>SUM(G3616:G3618)</f>
        <v>260.05</v>
      </c>
      <c r="G3620" s="969">
        <f>ROUND(F3620*0.01,2)</f>
        <v>2.6</v>
      </c>
      <c r="H3620" s="964" t="s">
        <v>2313</v>
      </c>
    </row>
    <row r="3621" spans="1:8" s="965" customFormat="1" hidden="1">
      <c r="A3621" s="967"/>
      <c r="B3621" s="967"/>
      <c r="C3621" s="962" t="s">
        <v>98</v>
      </c>
      <c r="D3621" s="967"/>
      <c r="E3621" s="967"/>
      <c r="F3621" s="967"/>
      <c r="G3621" s="971"/>
      <c r="H3621" s="964" t="s">
        <v>2313</v>
      </c>
    </row>
    <row r="3622" spans="1:8" s="965" customFormat="1" hidden="1">
      <c r="A3622" s="967"/>
      <c r="B3622" s="967"/>
      <c r="C3622" s="962" t="s">
        <v>60</v>
      </c>
      <c r="D3622" s="967"/>
      <c r="E3622" s="967"/>
      <c r="F3622" s="967"/>
      <c r="G3622" s="972"/>
      <c r="H3622" s="964" t="s">
        <v>2313</v>
      </c>
    </row>
    <row r="3623" spans="1:8" s="965" customFormat="1" hidden="1">
      <c r="A3623" s="967"/>
      <c r="B3623" s="967"/>
      <c r="C3623" s="1382" t="s">
        <v>217</v>
      </c>
      <c r="D3623" s="967" t="s">
        <v>30</v>
      </c>
      <c r="E3623" s="970">
        <v>1.1000000000000001</v>
      </c>
      <c r="F3623" s="970">
        <f>'MINI SSR 2022-23'!G46</f>
        <v>270</v>
      </c>
      <c r="G3623" s="969">
        <f>ROUND(E3623*F3623,2)</f>
        <v>297</v>
      </c>
      <c r="H3623" s="964" t="s">
        <v>2313</v>
      </c>
    </row>
    <row r="3624" spans="1:8" s="965" customFormat="1" hidden="1">
      <c r="A3624" s="967"/>
      <c r="B3624" s="967"/>
      <c r="C3624" s="962" t="s">
        <v>68</v>
      </c>
      <c r="D3624" s="967"/>
      <c r="E3624" s="970"/>
      <c r="F3624" s="970"/>
      <c r="G3624" s="969"/>
      <c r="H3624" s="964" t="s">
        <v>2313</v>
      </c>
    </row>
    <row r="3625" spans="1:8" hidden="1">
      <c r="A3625" s="967"/>
      <c r="B3625" s="967"/>
      <c r="C3625" s="1382" t="s">
        <v>94</v>
      </c>
      <c r="D3625" s="967" t="s">
        <v>27</v>
      </c>
      <c r="E3625" s="970">
        <v>0.33</v>
      </c>
      <c r="F3625" s="970">
        <f>'MINI SSR 2022-23'!$H$8</f>
        <v>705</v>
      </c>
      <c r="G3625" s="969">
        <f>ROUND(E3625*F3625,2)</f>
        <v>232.65</v>
      </c>
      <c r="H3625" s="964" t="s">
        <v>2313</v>
      </c>
    </row>
    <row r="3626" spans="1:8" hidden="1">
      <c r="A3626" s="967"/>
      <c r="B3626" s="967"/>
      <c r="C3626" s="1382" t="s">
        <v>876</v>
      </c>
      <c r="D3626" s="967" t="s">
        <v>27</v>
      </c>
      <c r="E3626" s="970">
        <v>0.77</v>
      </c>
      <c r="F3626" s="970">
        <f>'MINI SSR 2022-23'!$H$9</f>
        <v>565</v>
      </c>
      <c r="G3626" s="969">
        <f>ROUND(E3626*F3626,2)</f>
        <v>435.05</v>
      </c>
      <c r="H3626" s="964" t="s">
        <v>2313</v>
      </c>
    </row>
    <row r="3627" spans="1:8" hidden="1">
      <c r="A3627" s="967"/>
      <c r="B3627" s="967"/>
      <c r="C3627" s="962" t="s">
        <v>99</v>
      </c>
      <c r="D3627" s="967"/>
      <c r="E3627" s="967"/>
      <c r="F3627" s="967"/>
      <c r="G3627" s="971">
        <f>SUM(G3616:G3626)</f>
        <v>1498.55</v>
      </c>
      <c r="H3627" s="964" t="s">
        <v>2313</v>
      </c>
    </row>
    <row r="3628" spans="1:8" hidden="1">
      <c r="A3628" s="967"/>
      <c r="B3628" s="967"/>
      <c r="C3628" s="962" t="s">
        <v>121</v>
      </c>
      <c r="D3628" s="967"/>
      <c r="E3628" s="967"/>
      <c r="F3628" s="967"/>
      <c r="G3628" s="971">
        <f>ROUND(G3627/10,2)</f>
        <v>149.86000000000001</v>
      </c>
      <c r="H3628" s="964" t="s">
        <v>2313</v>
      </c>
    </row>
    <row r="3629" spans="1:8" ht="63.75" hidden="1">
      <c r="A3629" s="896">
        <v>59</v>
      </c>
      <c r="B3629" s="966"/>
      <c r="C3629" s="1382" t="s">
        <v>1181</v>
      </c>
      <c r="D3629" s="967"/>
      <c r="E3629" s="967"/>
      <c r="F3629" s="967"/>
      <c r="G3629" s="972"/>
      <c r="H3629" s="964" t="s">
        <v>2313</v>
      </c>
    </row>
    <row r="3630" spans="1:8" hidden="1">
      <c r="A3630" s="967"/>
      <c r="B3630" s="967" t="s">
        <v>1420</v>
      </c>
      <c r="C3630" s="1382" t="s">
        <v>1419</v>
      </c>
      <c r="D3630" s="967" t="s">
        <v>102</v>
      </c>
      <c r="E3630" s="970">
        <v>1</v>
      </c>
      <c r="F3630" s="970">
        <v>205</v>
      </c>
      <c r="G3630" s="969">
        <f>ROUND(E3630*F3630,2)</f>
        <v>205</v>
      </c>
      <c r="H3630" s="964" t="s">
        <v>2313</v>
      </c>
    </row>
    <row r="3631" spans="1:8" hidden="1">
      <c r="A3631" s="967"/>
      <c r="B3631" s="967"/>
      <c r="C3631" s="962"/>
      <c r="D3631" s="967"/>
      <c r="E3631" s="967"/>
      <c r="F3631" s="967"/>
      <c r="G3631" s="971">
        <f>SUM(G3630:G3630)</f>
        <v>205</v>
      </c>
      <c r="H3631" s="964" t="s">
        <v>2313</v>
      </c>
    </row>
    <row r="3632" spans="1:8" ht="293.25" hidden="1">
      <c r="A3632" s="896">
        <v>60</v>
      </c>
      <c r="B3632" s="966"/>
      <c r="C3632" s="1382" t="s">
        <v>1183</v>
      </c>
      <c r="D3632" s="967"/>
      <c r="E3632" s="967"/>
      <c r="F3632" s="967"/>
      <c r="G3632" s="972"/>
      <c r="H3632" s="964" t="s">
        <v>2313</v>
      </c>
    </row>
    <row r="3633" spans="1:8" hidden="1">
      <c r="A3633" s="967"/>
      <c r="B3633" s="967"/>
      <c r="C3633" s="1382" t="s">
        <v>222</v>
      </c>
      <c r="D3633" s="967"/>
      <c r="E3633" s="970"/>
      <c r="F3633" s="970"/>
      <c r="G3633" s="969"/>
      <c r="H3633" s="964" t="s">
        <v>2313</v>
      </c>
    </row>
    <row r="3634" spans="1:8" hidden="1">
      <c r="A3634" s="967"/>
      <c r="B3634" s="967" t="s">
        <v>1422</v>
      </c>
      <c r="C3634" s="1382" t="s">
        <v>1421</v>
      </c>
      <c r="D3634" s="970" t="s">
        <v>291</v>
      </c>
      <c r="E3634" s="973">
        <v>6.5000000000000002E-2</v>
      </c>
      <c r="F3634" s="990">
        <f>'MINI SSR 2022-23'!G47</f>
        <v>843</v>
      </c>
      <c r="G3634" s="969">
        <f>ROUND(E3634*F3634,2)</f>
        <v>54.8</v>
      </c>
      <c r="H3634" s="964" t="s">
        <v>2313</v>
      </c>
    </row>
    <row r="3635" spans="1:8" hidden="1">
      <c r="A3635" s="967"/>
      <c r="B3635" s="967" t="s">
        <v>1422</v>
      </c>
      <c r="C3635" s="1382" t="s">
        <v>1423</v>
      </c>
      <c r="D3635" s="970" t="s">
        <v>291</v>
      </c>
      <c r="E3635" s="973">
        <v>3.3000000000000002E-2</v>
      </c>
      <c r="F3635" s="990">
        <f>'MINI SSR 2022-23'!G48</f>
        <v>254</v>
      </c>
      <c r="G3635" s="969">
        <f>ROUND(E3635*F3635,2)</f>
        <v>8.3800000000000008</v>
      </c>
      <c r="H3635" s="964" t="s">
        <v>2313</v>
      </c>
    </row>
    <row r="3636" spans="1:8" hidden="1">
      <c r="A3636" s="896"/>
      <c r="B3636" s="966"/>
      <c r="C3636" s="1382" t="s">
        <v>94</v>
      </c>
      <c r="D3636" s="970" t="s">
        <v>27</v>
      </c>
      <c r="E3636" s="970">
        <v>0.24</v>
      </c>
      <c r="F3636" s="970">
        <f>'MINI SSR 2022-23'!$H$8</f>
        <v>705</v>
      </c>
      <c r="G3636" s="969">
        <f>ROUND(E3636*F3636,2)</f>
        <v>169.2</v>
      </c>
      <c r="H3636" s="964" t="s">
        <v>2313</v>
      </c>
    </row>
    <row r="3637" spans="1:8" hidden="1">
      <c r="A3637" s="896"/>
      <c r="B3637" s="966"/>
      <c r="C3637" s="1382" t="s">
        <v>874</v>
      </c>
      <c r="D3637" s="970" t="s">
        <v>27</v>
      </c>
      <c r="E3637" s="970">
        <v>0.56000000000000005</v>
      </c>
      <c r="F3637" s="970">
        <f>'MINI SSR 2022-23'!$H$9</f>
        <v>565</v>
      </c>
      <c r="G3637" s="969">
        <f>ROUND(E3637*F3637,2)</f>
        <v>316.39999999999998</v>
      </c>
      <c r="H3637" s="964" t="s">
        <v>2313</v>
      </c>
    </row>
    <row r="3638" spans="1:8" hidden="1">
      <c r="A3638" s="896"/>
      <c r="B3638" s="966"/>
      <c r="C3638" s="1382" t="s">
        <v>157</v>
      </c>
      <c r="D3638" s="970" t="s">
        <v>27</v>
      </c>
      <c r="E3638" s="970">
        <v>0.8</v>
      </c>
      <c r="F3638" s="970">
        <f>'MINI SSR 2022-23'!$H$5</f>
        <v>525</v>
      </c>
      <c r="G3638" s="969">
        <f>ROUND(E3638*F3638,2)</f>
        <v>420</v>
      </c>
      <c r="H3638" s="964" t="s">
        <v>2313</v>
      </c>
    </row>
    <row r="3639" spans="1:8" hidden="1">
      <c r="A3639" s="896"/>
      <c r="B3639" s="966"/>
      <c r="C3639" s="962" t="s">
        <v>1182</v>
      </c>
      <c r="D3639" s="970"/>
      <c r="E3639" s="991"/>
      <c r="F3639" s="991"/>
      <c r="G3639" s="969">
        <f>SUM(G3634:G3638)</f>
        <v>968.78</v>
      </c>
      <c r="H3639" s="964" t="s">
        <v>2313</v>
      </c>
    </row>
    <row r="3640" spans="1:8" ht="89.25" hidden="1">
      <c r="A3640" s="896">
        <v>61</v>
      </c>
      <c r="B3640" s="966"/>
      <c r="C3640" s="1382" t="s">
        <v>1184</v>
      </c>
      <c r="D3640" s="967"/>
      <c r="E3640" s="967"/>
      <c r="F3640" s="967"/>
      <c r="G3640" s="972"/>
      <c r="H3640" s="964" t="s">
        <v>2313</v>
      </c>
    </row>
    <row r="3641" spans="1:8" hidden="1">
      <c r="A3641" s="967"/>
      <c r="B3641" s="967"/>
      <c r="C3641" s="1382" t="s">
        <v>1185</v>
      </c>
      <c r="D3641" s="967" t="s">
        <v>102</v>
      </c>
      <c r="E3641" s="970">
        <v>1</v>
      </c>
      <c r="F3641" s="970">
        <v>630</v>
      </c>
      <c r="G3641" s="969">
        <f>ROUND(E3641*F3641,2)</f>
        <v>630</v>
      </c>
      <c r="H3641" s="964" t="s">
        <v>2313</v>
      </c>
    </row>
    <row r="3642" spans="1:8" hidden="1">
      <c r="A3642" s="967"/>
      <c r="B3642" s="967"/>
      <c r="C3642" s="962"/>
      <c r="D3642" s="967"/>
      <c r="E3642" s="967"/>
      <c r="F3642" s="967"/>
      <c r="G3642" s="971">
        <f>SUM(G3641:G3641)</f>
        <v>630</v>
      </c>
      <c r="H3642" s="964" t="s">
        <v>2313</v>
      </c>
    </row>
    <row r="3643" spans="1:8" ht="165.75" hidden="1">
      <c r="A3643" s="896">
        <v>31</v>
      </c>
      <c r="B3643" s="966"/>
      <c r="C3643" s="1382" t="s">
        <v>680</v>
      </c>
      <c r="D3643" s="967"/>
      <c r="E3643" s="967"/>
      <c r="F3643" s="967"/>
      <c r="G3643" s="972"/>
      <c r="H3643" s="964" t="s">
        <v>2313</v>
      </c>
    </row>
    <row r="3644" spans="1:8" hidden="1">
      <c r="A3644" s="967"/>
      <c r="B3644" s="967" t="s">
        <v>1371</v>
      </c>
      <c r="C3644" s="1382" t="s">
        <v>379</v>
      </c>
      <c r="D3644" s="967" t="s">
        <v>102</v>
      </c>
      <c r="E3644" s="970">
        <v>1</v>
      </c>
      <c r="F3644" s="970">
        <f>'MINI SSR 2022-23'!C47</f>
        <v>4025</v>
      </c>
      <c r="G3644" s="969">
        <f>ROUND(E3644*F3644,2)</f>
        <v>4025</v>
      </c>
      <c r="H3644" s="964" t="s">
        <v>2313</v>
      </c>
    </row>
    <row r="3645" spans="1:8" hidden="1">
      <c r="A3645" s="967"/>
      <c r="B3645" s="967"/>
      <c r="C3645" s="962"/>
      <c r="D3645" s="967"/>
      <c r="E3645" s="967"/>
      <c r="F3645" s="967"/>
      <c r="G3645" s="971">
        <f>SUM(G3644:G3644)</f>
        <v>4025</v>
      </c>
      <c r="H3645" s="964" t="s">
        <v>2313</v>
      </c>
    </row>
    <row r="3646" spans="1:8" ht="51" hidden="1">
      <c r="A3646" s="896">
        <v>28</v>
      </c>
      <c r="B3646" s="966"/>
      <c r="C3646" s="1382" t="s">
        <v>951</v>
      </c>
      <c r="D3646" s="967"/>
      <c r="E3646" s="967"/>
      <c r="F3646" s="967"/>
      <c r="G3646" s="972"/>
      <c r="H3646" s="964" t="s">
        <v>2313</v>
      </c>
    </row>
    <row r="3647" spans="1:8" hidden="1">
      <c r="A3647" s="967"/>
      <c r="B3647" s="967" t="s">
        <v>1425</v>
      </c>
      <c r="C3647" s="1382" t="s">
        <v>1424</v>
      </c>
      <c r="D3647" s="967" t="s">
        <v>275</v>
      </c>
      <c r="E3647" s="920">
        <v>1</v>
      </c>
      <c r="F3647" s="922">
        <v>303</v>
      </c>
      <c r="G3647" s="969">
        <f>ROUND(E3647*F3647,2)</f>
        <v>303</v>
      </c>
      <c r="H3647" s="964" t="s">
        <v>2313</v>
      </c>
    </row>
    <row r="3648" spans="1:8" hidden="1">
      <c r="A3648" s="967"/>
      <c r="B3648" s="967"/>
      <c r="C3648" s="1382" t="s">
        <v>953</v>
      </c>
      <c r="D3648" s="967"/>
      <c r="E3648" s="920"/>
      <c r="F3648" s="922"/>
      <c r="G3648" s="969"/>
      <c r="H3648" s="964" t="s">
        <v>2313</v>
      </c>
    </row>
    <row r="3649" spans="1:8" hidden="1">
      <c r="A3649" s="967"/>
      <c r="B3649" s="967"/>
      <c r="C3649" s="1382" t="s">
        <v>3148</v>
      </c>
      <c r="D3649" s="967"/>
      <c r="E3649" s="920"/>
      <c r="F3649" s="922"/>
      <c r="G3649" s="969"/>
      <c r="H3649" s="964" t="s">
        <v>2313</v>
      </c>
    </row>
    <row r="3650" spans="1:8" hidden="1">
      <c r="A3650" s="967"/>
      <c r="B3650" s="967"/>
      <c r="C3650" s="1382" t="s">
        <v>3149</v>
      </c>
      <c r="D3650" s="967"/>
      <c r="E3650" s="920"/>
      <c r="F3650" s="922"/>
      <c r="G3650" s="969"/>
      <c r="H3650" s="964" t="s">
        <v>2313</v>
      </c>
    </row>
    <row r="3651" spans="1:8" hidden="1">
      <c r="A3651" s="967"/>
      <c r="B3651" s="967"/>
      <c r="C3651" s="1382" t="s">
        <v>3150</v>
      </c>
      <c r="D3651" s="967"/>
      <c r="E3651" s="920"/>
      <c r="F3651" s="922"/>
      <c r="G3651" s="969"/>
      <c r="H3651" s="964" t="s">
        <v>2313</v>
      </c>
    </row>
    <row r="3652" spans="1:8" hidden="1">
      <c r="A3652" s="967"/>
      <c r="B3652" s="967"/>
      <c r="C3652" s="1382" t="s">
        <v>957</v>
      </c>
      <c r="D3652" s="967" t="s">
        <v>275</v>
      </c>
      <c r="E3652" s="920">
        <v>1</v>
      </c>
      <c r="F3652" s="922">
        <v>808</v>
      </c>
      <c r="G3652" s="969">
        <f>ROUND(E3652*F3652,2)</f>
        <v>808</v>
      </c>
      <c r="H3652" s="964" t="s">
        <v>2313</v>
      </c>
    </row>
    <row r="3653" spans="1:8" hidden="1">
      <c r="A3653" s="967"/>
      <c r="B3653" s="967"/>
      <c r="C3653" s="1385"/>
      <c r="D3653" s="896"/>
      <c r="E3653" s="920"/>
      <c r="F3653" s="922"/>
      <c r="G3653" s="924"/>
      <c r="H3653" s="964" t="s">
        <v>2313</v>
      </c>
    </row>
    <row r="3654" spans="1:8" hidden="1">
      <c r="A3654" s="967"/>
      <c r="B3654" s="967"/>
      <c r="C3654" s="962"/>
      <c r="D3654" s="967"/>
      <c r="E3654" s="967"/>
      <c r="F3654" s="967"/>
      <c r="G3654" s="971">
        <f>SUM(G3652:G3653)</f>
        <v>808</v>
      </c>
      <c r="H3654" s="964" t="s">
        <v>2313</v>
      </c>
    </row>
    <row r="3655" spans="1:8" ht="51" hidden="1">
      <c r="A3655" s="896">
        <v>64</v>
      </c>
      <c r="B3655" s="966"/>
      <c r="C3655" s="1382" t="s">
        <v>1231</v>
      </c>
      <c r="D3655" s="967"/>
      <c r="E3655" s="967"/>
      <c r="F3655" s="967"/>
      <c r="G3655" s="972"/>
      <c r="H3655" s="964" t="s">
        <v>2313</v>
      </c>
    </row>
    <row r="3656" spans="1:8" hidden="1">
      <c r="A3656" s="967"/>
      <c r="B3656" s="967" t="s">
        <v>1425</v>
      </c>
      <c r="C3656" s="1382" t="s">
        <v>1424</v>
      </c>
      <c r="D3656" s="967" t="s">
        <v>275</v>
      </c>
      <c r="E3656" s="920">
        <v>1</v>
      </c>
      <c r="F3656" s="922">
        <v>303</v>
      </c>
      <c r="G3656" s="969">
        <f>ROUND(E3656*F3656,2)</f>
        <v>303</v>
      </c>
      <c r="H3656" s="964" t="s">
        <v>2313</v>
      </c>
    </row>
    <row r="3657" spans="1:8" hidden="1">
      <c r="A3657" s="967"/>
      <c r="B3657" s="967"/>
      <c r="C3657" s="1382" t="s">
        <v>1235</v>
      </c>
      <c r="D3657" s="967"/>
      <c r="E3657" s="920"/>
      <c r="F3657" s="922"/>
      <c r="G3657" s="969"/>
      <c r="H3657" s="964" t="s">
        <v>2313</v>
      </c>
    </row>
    <row r="3658" spans="1:8" hidden="1">
      <c r="A3658" s="967"/>
      <c r="B3658" s="967"/>
      <c r="C3658" s="1382" t="s">
        <v>3151</v>
      </c>
      <c r="D3658" s="967"/>
      <c r="E3658" s="920"/>
      <c r="F3658" s="922"/>
      <c r="G3658" s="969"/>
      <c r="H3658" s="964" t="s">
        <v>2313</v>
      </c>
    </row>
    <row r="3659" spans="1:8" hidden="1">
      <c r="A3659" s="967"/>
      <c r="B3659" s="967"/>
      <c r="C3659" s="1382" t="s">
        <v>3152</v>
      </c>
      <c r="D3659" s="967"/>
      <c r="E3659" s="920"/>
      <c r="F3659" s="922"/>
      <c r="G3659" s="969"/>
      <c r="H3659" s="964" t="s">
        <v>2313</v>
      </c>
    </row>
    <row r="3660" spans="1:8" hidden="1">
      <c r="A3660" s="967"/>
      <c r="B3660" s="967"/>
      <c r="C3660" s="1382" t="s">
        <v>3153</v>
      </c>
      <c r="D3660" s="967"/>
      <c r="E3660" s="920"/>
      <c r="F3660" s="922"/>
      <c r="G3660" s="969"/>
      <c r="H3660" s="964" t="s">
        <v>2313</v>
      </c>
    </row>
    <row r="3661" spans="1:8" hidden="1">
      <c r="A3661" s="967"/>
      <c r="B3661" s="967"/>
      <c r="C3661" s="1382" t="s">
        <v>1235</v>
      </c>
      <c r="D3661" s="967" t="s">
        <v>275</v>
      </c>
      <c r="E3661" s="920">
        <v>1</v>
      </c>
      <c r="F3661" s="922">
        <v>606</v>
      </c>
      <c r="G3661" s="969">
        <f>ROUND(E3661*F3661,2)</f>
        <v>606</v>
      </c>
      <c r="H3661" s="964" t="s">
        <v>2313</v>
      </c>
    </row>
    <row r="3662" spans="1:8" hidden="1">
      <c r="A3662" s="967"/>
      <c r="B3662" s="967"/>
      <c r="C3662" s="1385"/>
      <c r="D3662" s="896"/>
      <c r="E3662" s="920"/>
      <c r="F3662" s="922"/>
      <c r="G3662" s="924"/>
      <c r="H3662" s="964" t="s">
        <v>2313</v>
      </c>
    </row>
    <row r="3663" spans="1:8" hidden="1">
      <c r="A3663" s="967"/>
      <c r="B3663" s="967"/>
      <c r="C3663" s="962"/>
      <c r="D3663" s="967"/>
      <c r="E3663" s="967"/>
      <c r="F3663" s="967"/>
      <c r="G3663" s="971">
        <f>SUM(G3661:G3662)</f>
        <v>606</v>
      </c>
      <c r="H3663" s="964" t="s">
        <v>2313</v>
      </c>
    </row>
    <row r="3664" spans="1:8" ht="51" hidden="1">
      <c r="A3664" s="896">
        <v>29</v>
      </c>
      <c r="B3664" s="966"/>
      <c r="C3664" s="1382" t="s">
        <v>952</v>
      </c>
      <c r="D3664" s="967"/>
      <c r="E3664" s="967"/>
      <c r="F3664" s="967"/>
      <c r="G3664" s="972"/>
      <c r="H3664" s="964" t="s">
        <v>2313</v>
      </c>
    </row>
    <row r="3665" spans="1:8" hidden="1">
      <c r="A3665" s="967"/>
      <c r="B3665" s="967" t="s">
        <v>1427</v>
      </c>
      <c r="C3665" s="1382" t="s">
        <v>1426</v>
      </c>
      <c r="D3665" s="967" t="s">
        <v>275</v>
      </c>
      <c r="E3665" s="920">
        <v>1</v>
      </c>
      <c r="F3665" s="922">
        <v>157</v>
      </c>
      <c r="G3665" s="969">
        <f>ROUND(E3665*F3665,2)</f>
        <v>157</v>
      </c>
      <c r="H3665" s="964" t="s">
        <v>2313</v>
      </c>
    </row>
    <row r="3666" spans="1:8" hidden="1">
      <c r="A3666" s="967"/>
      <c r="B3666" s="967"/>
      <c r="C3666" s="1385"/>
      <c r="D3666" s="896"/>
      <c r="E3666" s="920"/>
      <c r="F3666" s="922"/>
      <c r="G3666" s="924"/>
      <c r="H3666" s="964" t="s">
        <v>2313</v>
      </c>
    </row>
    <row r="3667" spans="1:8" hidden="1">
      <c r="A3667" s="967"/>
      <c r="B3667" s="967"/>
      <c r="C3667" s="962"/>
      <c r="D3667" s="967"/>
      <c r="E3667" s="967"/>
      <c r="F3667" s="967"/>
      <c r="G3667" s="971">
        <f>SUM(G3665:G3666)</f>
        <v>157</v>
      </c>
      <c r="H3667" s="964" t="s">
        <v>2313</v>
      </c>
    </row>
    <row r="3668" spans="1:8" hidden="1">
      <c r="A3668" s="896">
        <v>25</v>
      </c>
      <c r="B3668" s="966"/>
      <c r="C3668" s="1002" t="s">
        <v>932</v>
      </c>
      <c r="D3668" s="967"/>
      <c r="E3668" s="967"/>
      <c r="F3668" s="967"/>
      <c r="G3668" s="967"/>
      <c r="H3668" s="964" t="s">
        <v>2313</v>
      </c>
    </row>
    <row r="3669" spans="1:8" hidden="1">
      <c r="A3669" s="967"/>
      <c r="B3669" s="967" t="s">
        <v>1406</v>
      </c>
      <c r="C3669" s="1002" t="s">
        <v>379</v>
      </c>
      <c r="D3669" s="967" t="s">
        <v>102</v>
      </c>
      <c r="E3669" s="970">
        <v>1</v>
      </c>
      <c r="F3669" s="970">
        <f>'D&amp;W data'!F907</f>
        <v>388</v>
      </c>
      <c r="G3669" s="969">
        <f>ROUND(E3669*F3669,2)</f>
        <v>388</v>
      </c>
      <c r="H3669" s="964" t="s">
        <v>2313</v>
      </c>
    </row>
    <row r="3670" spans="1:8" hidden="1">
      <c r="A3670" s="967"/>
      <c r="B3670" s="967"/>
      <c r="C3670" s="1002" t="s">
        <v>929</v>
      </c>
      <c r="D3670" s="896" t="s">
        <v>108</v>
      </c>
      <c r="E3670" s="922">
        <v>0.06</v>
      </c>
      <c r="F3670" s="970">
        <f>'D&amp;W data'!F908</f>
        <v>630</v>
      </c>
      <c r="G3670" s="924">
        <f>ROUND(E3670*F3670,2)</f>
        <v>37.799999999999997</v>
      </c>
      <c r="H3670" s="964" t="s">
        <v>2313</v>
      </c>
    </row>
    <row r="3671" spans="1:8" hidden="1">
      <c r="A3671" s="967"/>
      <c r="B3671" s="967"/>
      <c r="C3671" s="1002" t="s">
        <v>930</v>
      </c>
      <c r="D3671" s="896" t="s">
        <v>108</v>
      </c>
      <c r="E3671" s="922">
        <v>0.06</v>
      </c>
      <c r="F3671" s="970">
        <f>'D&amp;W data'!F909</f>
        <v>565</v>
      </c>
      <c r="G3671" s="924">
        <f>ROUND(E3671*F3671,2)</f>
        <v>33.9</v>
      </c>
      <c r="H3671" s="964" t="s">
        <v>2313</v>
      </c>
    </row>
    <row r="3672" spans="1:8" hidden="1">
      <c r="A3672" s="967"/>
      <c r="B3672" s="967"/>
      <c r="C3672" s="1003" t="s">
        <v>931</v>
      </c>
      <c r="D3672" s="896" t="s">
        <v>108</v>
      </c>
      <c r="E3672" s="920">
        <v>0.27500000000000002</v>
      </c>
      <c r="F3672" s="970">
        <f>'D&amp;W data'!F910</f>
        <v>525</v>
      </c>
      <c r="G3672" s="924">
        <f>ROUND(E3672*F3672,2)</f>
        <v>144.38</v>
      </c>
      <c r="H3672" s="964" t="s">
        <v>2313</v>
      </c>
    </row>
    <row r="3673" spans="1:8" hidden="1">
      <c r="A3673" s="967"/>
      <c r="B3673" s="967"/>
      <c r="C3673" s="1004" t="s">
        <v>1402</v>
      </c>
      <c r="D3673" s="967"/>
      <c r="E3673" s="967"/>
      <c r="F3673" s="967"/>
      <c r="G3673" s="971">
        <f>SUM(G3669:G3672)</f>
        <v>604.07999999999993</v>
      </c>
      <c r="H3673" s="964" t="s">
        <v>2313</v>
      </c>
    </row>
    <row r="3674" spans="1:8" ht="15.95" customHeight="1"/>
    <row r="3675" spans="1:8" ht="15.95" customHeight="1"/>
    <row r="3676" spans="1:8" ht="15.95" customHeight="1">
      <c r="C3676" s="964" t="str">
        <f>'lead 19-20'!$H$31</f>
        <v>Deputy Executive Engineer</v>
      </c>
      <c r="E3676" s="964" t="str">
        <f>'lead 19-20'!K31</f>
        <v>Assistant  Engineer</v>
      </c>
    </row>
    <row r="3677" spans="1:8">
      <c r="C3677" s="964" t="str">
        <f>'lead 19-20'!$H$32</f>
        <v>PRI Sub Division</v>
      </c>
      <c r="E3677" s="964" t="str">
        <f>'lead 19-20'!K32</f>
        <v>Mandal Praja parishad</v>
      </c>
    </row>
    <row r="3678" spans="1:8">
      <c r="C3678" s="964" t="str">
        <f>'lead 19-20'!$H$33</f>
        <v>Kanigiri</v>
      </c>
      <c r="E3678" s="964" t="str">
        <f>'lead 19-20'!K33</f>
        <v>Kanigiri</v>
      </c>
    </row>
  </sheetData>
  <autoFilter ref="A6:H3673">
    <filterColumn colId="0">
      <colorFilter dxfId="6"/>
    </filterColumn>
  </autoFilter>
  <mergeCells count="2">
    <mergeCell ref="A1:G1"/>
    <mergeCell ref="A2:G2"/>
  </mergeCells>
  <pageMargins left="0.74" right="0.23" top="0.52" bottom="0.45" header="0.34" footer="0.17"/>
  <pageSetup paperSize="9" orientation="portrait" r:id="rId1"/>
  <headerFooter alignWithMargins="0"/>
  <rowBreaks count="1" manualBreakCount="1">
    <brk id="3559" max="6" man="1"/>
  </rowBreaks>
</worksheet>
</file>

<file path=xl/worksheets/sheet22.xml><?xml version="1.0" encoding="utf-8"?>
<worksheet xmlns="http://schemas.openxmlformats.org/spreadsheetml/2006/main" xmlns:r="http://schemas.openxmlformats.org/officeDocument/2006/relationships">
  <sheetPr filterMode="1">
    <tabColor rgb="FF00B050"/>
  </sheetPr>
  <dimension ref="A1:L950"/>
  <sheetViews>
    <sheetView view="pageBreakPreview" topLeftCell="A483" zoomScale="115" zoomScaleSheetLayoutView="115" workbookViewId="0">
      <selection activeCell="C488" sqref="C488"/>
    </sheetView>
  </sheetViews>
  <sheetFormatPr defaultColWidth="9.140625" defaultRowHeight="12.75"/>
  <cols>
    <col min="1" max="1" width="4.5703125" style="901" customWidth="1"/>
    <col min="2" max="2" width="10.42578125" style="901" customWidth="1"/>
    <col min="3" max="3" width="35.7109375" style="1011" customWidth="1"/>
    <col min="4" max="4" width="6.5703125" style="964" bestFit="1" customWidth="1"/>
    <col min="5" max="5" width="6.28515625" style="964" customWidth="1"/>
    <col min="6" max="6" width="9.5703125" style="964" bestFit="1" customWidth="1"/>
    <col min="7" max="7" width="9.5703125" style="964" customWidth="1"/>
    <col min="8" max="8" width="10.5703125" style="901" customWidth="1"/>
    <col min="9" max="9" width="7.5703125" style="964" customWidth="1"/>
    <col min="10" max="10" width="3" style="901" bestFit="1" customWidth="1"/>
    <col min="11" max="11" width="9.140625" style="901"/>
    <col min="12" max="12" width="8.5703125" style="901" bestFit="1" customWidth="1"/>
    <col min="13" max="13" width="55.5703125" style="901" customWidth="1"/>
    <col min="14" max="14" width="10.42578125" style="901" customWidth="1"/>
    <col min="15" max="15" width="5.42578125" style="901" bestFit="1" customWidth="1"/>
    <col min="16" max="16384" width="9.140625" style="901"/>
  </cols>
  <sheetData>
    <row r="1" spans="1:10">
      <c r="A1" s="1663" t="s">
        <v>2294</v>
      </c>
      <c r="B1" s="1663"/>
      <c r="C1" s="1663"/>
      <c r="D1" s="1663"/>
      <c r="E1" s="1663"/>
      <c r="F1" s="1663"/>
      <c r="G1" s="1663"/>
      <c r="H1" s="1663"/>
    </row>
    <row r="2" spans="1:10" ht="21" customHeight="1">
      <c r="A2" s="1664" t="str">
        <f>'lead 19-20'!B2&amp;'lead 19-20'!C2</f>
        <v>Name of the Work: Providing Additional Space for Health Staff in Grama Sachivalayam of Baduguleru GP of Kanigiri Mandal</v>
      </c>
      <c r="B2" s="1664"/>
      <c r="C2" s="1664"/>
      <c r="D2" s="1664"/>
      <c r="E2" s="1664"/>
      <c r="F2" s="1664"/>
      <c r="G2" s="1664"/>
      <c r="H2" s="1664"/>
    </row>
    <row r="3" spans="1:10">
      <c r="A3" s="1010"/>
      <c r="E3" s="964" t="s">
        <v>270</v>
      </c>
      <c r="F3" s="1012" t="str">
        <f>'lead 19-20'!K4</f>
        <v>20.80 Lakhs</v>
      </c>
      <c r="G3" s="1012"/>
    </row>
    <row r="4" spans="1:10" ht="3" customHeight="1"/>
    <row r="5" spans="1:10" s="1006" customFormat="1" ht="19.5" customHeight="1">
      <c r="A5" s="953" t="s">
        <v>23</v>
      </c>
      <c r="B5" s="953" t="s">
        <v>24</v>
      </c>
      <c r="C5" s="1013" t="s">
        <v>25</v>
      </c>
      <c r="D5" s="953" t="s">
        <v>16</v>
      </c>
      <c r="E5" s="953" t="s">
        <v>6</v>
      </c>
      <c r="F5" s="953" t="s">
        <v>8</v>
      </c>
      <c r="G5" s="953"/>
      <c r="H5" s="953" t="s">
        <v>10</v>
      </c>
    </row>
    <row r="6" spans="1:10" s="1006" customFormat="1" ht="19.5" hidden="1" customHeight="1">
      <c r="A6" s="952"/>
      <c r="B6" s="952"/>
      <c r="C6" s="1013" t="s">
        <v>2015</v>
      </c>
      <c r="D6" s="952"/>
      <c r="E6" s="952"/>
      <c r="F6" s="952"/>
      <c r="G6" s="952"/>
      <c r="H6" s="952"/>
      <c r="I6" s="964" t="s">
        <v>2217</v>
      </c>
    </row>
    <row r="7" spans="1:10" ht="127.5" hidden="1">
      <c r="A7" s="896">
        <v>1</v>
      </c>
      <c r="B7" s="966"/>
      <c r="C7" s="1002" t="s">
        <v>1308</v>
      </c>
      <c r="D7" s="967"/>
      <c r="E7" s="967"/>
      <c r="F7" s="967"/>
      <c r="G7" s="967"/>
      <c r="H7" s="972"/>
      <c r="I7" s="964" t="s">
        <v>2217</v>
      </c>
    </row>
    <row r="8" spans="1:10" hidden="1">
      <c r="A8" s="896"/>
      <c r="B8" s="966"/>
      <c r="C8" s="1004" t="s">
        <v>100</v>
      </c>
      <c r="D8" s="967"/>
      <c r="E8" s="967"/>
      <c r="F8" s="967"/>
      <c r="G8" s="967"/>
      <c r="H8" s="972"/>
      <c r="I8" s="964" t="s">
        <v>2217</v>
      </c>
    </row>
    <row r="9" spans="1:10" s="965" customFormat="1" hidden="1">
      <c r="A9" s="896"/>
      <c r="B9" s="966"/>
      <c r="C9" s="1004" t="s">
        <v>594</v>
      </c>
      <c r="D9" s="967"/>
      <c r="E9" s="967"/>
      <c r="F9" s="967"/>
      <c r="G9" s="967"/>
      <c r="H9" s="972"/>
      <c r="I9" s="964" t="s">
        <v>2217</v>
      </c>
      <c r="J9" s="901"/>
    </row>
    <row r="10" spans="1:10" s="965" customFormat="1" hidden="1">
      <c r="A10" s="896"/>
      <c r="B10" s="966"/>
      <c r="C10" s="1002" t="s">
        <v>2</v>
      </c>
      <c r="D10" s="1014">
        <v>2</v>
      </c>
      <c r="E10" s="1015">
        <v>1.9</v>
      </c>
      <c r="F10" s="1016">
        <v>0.1</v>
      </c>
      <c r="G10" s="1016">
        <v>7.4999999999999997E-2</v>
      </c>
      <c r="H10" s="1017">
        <f>ROUND(D10*E10*F10*G10,4)</f>
        <v>2.8500000000000001E-2</v>
      </c>
      <c r="I10" s="964" t="s">
        <v>2217</v>
      </c>
      <c r="J10" s="901"/>
    </row>
    <row r="11" spans="1:10" s="965" customFormat="1" hidden="1">
      <c r="A11" s="896"/>
      <c r="B11" s="966"/>
      <c r="C11" s="1002" t="s">
        <v>741</v>
      </c>
      <c r="D11" s="1014">
        <v>2</v>
      </c>
      <c r="E11" s="1015">
        <v>1.2</v>
      </c>
      <c r="F11" s="1016">
        <v>0.1</v>
      </c>
      <c r="G11" s="1016">
        <v>7.4999999999999997E-2</v>
      </c>
      <c r="H11" s="1017">
        <f>ROUND(D11*E11*F11*G11,4)</f>
        <v>1.7999999999999999E-2</v>
      </c>
      <c r="I11" s="964" t="s">
        <v>2217</v>
      </c>
      <c r="J11" s="901"/>
    </row>
    <row r="12" spans="1:10" s="965" customFormat="1" hidden="1">
      <c r="A12" s="896"/>
      <c r="B12" s="966"/>
      <c r="C12" s="1004"/>
      <c r="D12" s="967"/>
      <c r="E12" s="967"/>
      <c r="F12" s="967"/>
      <c r="G12" s="967"/>
      <c r="H12" s="1018">
        <f>SUM(H10:H11)</f>
        <v>4.65E-2</v>
      </c>
      <c r="I12" s="964" t="s">
        <v>2217</v>
      </c>
      <c r="J12" s="901"/>
    </row>
    <row r="13" spans="1:10" s="965" customFormat="1" hidden="1">
      <c r="A13" s="896"/>
      <c r="B13" s="966"/>
      <c r="C13" s="1004" t="s">
        <v>320</v>
      </c>
      <c r="D13" s="1014">
        <v>2</v>
      </c>
      <c r="E13" s="1015">
        <v>1.95</v>
      </c>
      <c r="F13" s="1016">
        <v>0.52</v>
      </c>
      <c r="G13" s="1016">
        <v>0.03</v>
      </c>
      <c r="H13" s="1017">
        <f>ROUND(D13*E13*F13*G13,4)</f>
        <v>6.08E-2</v>
      </c>
      <c r="I13" s="964" t="s">
        <v>2217</v>
      </c>
      <c r="J13" s="901"/>
    </row>
    <row r="14" spans="1:10" s="965" customFormat="1" hidden="1">
      <c r="A14" s="896"/>
      <c r="B14" s="966"/>
      <c r="C14" s="1004"/>
      <c r="D14" s="967"/>
      <c r="E14" s="967"/>
      <c r="F14" s="967"/>
      <c r="G14" s="967"/>
      <c r="H14" s="1018">
        <f>SUM(H13)</f>
        <v>6.08E-2</v>
      </c>
      <c r="I14" s="964" t="s">
        <v>2217</v>
      </c>
      <c r="J14" s="901"/>
    </row>
    <row r="15" spans="1:10" s="965" customFormat="1" hidden="1">
      <c r="A15" s="896"/>
      <c r="B15" s="966" t="s">
        <v>1373</v>
      </c>
      <c r="C15" s="1002" t="s">
        <v>1372</v>
      </c>
      <c r="D15" s="967"/>
      <c r="E15" s="967" t="s">
        <v>35</v>
      </c>
      <c r="F15" s="976">
        <f>H12</f>
        <v>4.65E-2</v>
      </c>
      <c r="G15" s="970">
        <f>'MINI SSR 19-20'!C142</f>
        <v>71195</v>
      </c>
      <c r="H15" s="969">
        <f t="shared" ref="H15:H22" si="0">ROUND(F15*G15,2)</f>
        <v>3310.57</v>
      </c>
      <c r="I15" s="964" t="s">
        <v>2217</v>
      </c>
      <c r="J15" s="901"/>
    </row>
    <row r="16" spans="1:10" s="965" customFormat="1" hidden="1">
      <c r="A16" s="896"/>
      <c r="B16" s="966" t="s">
        <v>1375</v>
      </c>
      <c r="C16" s="1002" t="s">
        <v>1374</v>
      </c>
      <c r="D16" s="967"/>
      <c r="E16" s="967" t="s">
        <v>35</v>
      </c>
      <c r="F16" s="976">
        <f>H14</f>
        <v>6.08E-2</v>
      </c>
      <c r="G16" s="970">
        <f>'MINI SSR 19-20'!C143</f>
        <v>142391</v>
      </c>
      <c r="H16" s="969">
        <f t="shared" si="0"/>
        <v>8657.3700000000008</v>
      </c>
      <c r="I16" s="964" t="s">
        <v>2217</v>
      </c>
      <c r="J16" s="901"/>
    </row>
    <row r="17" spans="1:12" s="965" customFormat="1" hidden="1">
      <c r="A17" s="896"/>
      <c r="B17" s="966" t="s">
        <v>1377</v>
      </c>
      <c r="C17" s="1002" t="s">
        <v>1376</v>
      </c>
      <c r="D17" s="967"/>
      <c r="E17" s="967" t="s">
        <v>11</v>
      </c>
      <c r="F17" s="988">
        <v>2</v>
      </c>
      <c r="G17" s="970">
        <f>'MINI SSR 19-20'!G142</f>
        <v>231</v>
      </c>
      <c r="H17" s="969">
        <f t="shared" si="0"/>
        <v>462</v>
      </c>
      <c r="I17" s="964" t="s">
        <v>2217</v>
      </c>
      <c r="J17" s="901"/>
    </row>
    <row r="18" spans="1:12" hidden="1">
      <c r="A18" s="896"/>
      <c r="B18" s="966" t="s">
        <v>1379</v>
      </c>
      <c r="C18" s="1002" t="s">
        <v>1378</v>
      </c>
      <c r="D18" s="967"/>
      <c r="E18" s="967" t="s">
        <v>11</v>
      </c>
      <c r="F18" s="988">
        <v>6</v>
      </c>
      <c r="G18" s="970">
        <f>'MINI SSR 19-20'!G145</f>
        <v>246</v>
      </c>
      <c r="H18" s="969">
        <f t="shared" si="0"/>
        <v>1476</v>
      </c>
      <c r="I18" s="964" t="s">
        <v>2217</v>
      </c>
    </row>
    <row r="19" spans="1:12" hidden="1">
      <c r="A19" s="896"/>
      <c r="B19" s="966" t="s">
        <v>1381</v>
      </c>
      <c r="C19" s="1002" t="s">
        <v>1380</v>
      </c>
      <c r="D19" s="967"/>
      <c r="E19" s="967" t="s">
        <v>11</v>
      </c>
      <c r="F19" s="988"/>
      <c r="G19" s="970">
        <f>'MINI SSR 19-20'!G144</f>
        <v>103</v>
      </c>
      <c r="H19" s="969">
        <f t="shared" si="0"/>
        <v>0</v>
      </c>
      <c r="I19" s="964" t="s">
        <v>2217</v>
      </c>
    </row>
    <row r="20" spans="1:12" hidden="1">
      <c r="A20" s="896"/>
      <c r="B20" s="966" t="s">
        <v>1383</v>
      </c>
      <c r="C20" s="1002" t="s">
        <v>1382</v>
      </c>
      <c r="D20" s="967"/>
      <c r="E20" s="967" t="s">
        <v>11</v>
      </c>
      <c r="F20" s="988">
        <v>2</v>
      </c>
      <c r="G20" s="970">
        <f>'MINI SSR 19-20'!G148</f>
        <v>1087</v>
      </c>
      <c r="H20" s="969">
        <f t="shared" si="0"/>
        <v>2174</v>
      </c>
      <c r="I20" s="964" t="s">
        <v>2217</v>
      </c>
    </row>
    <row r="21" spans="1:12" hidden="1">
      <c r="A21" s="896"/>
      <c r="B21" s="966" t="s">
        <v>1385</v>
      </c>
      <c r="C21" s="1002" t="s">
        <v>1384</v>
      </c>
      <c r="D21" s="967"/>
      <c r="E21" s="967" t="s">
        <v>11</v>
      </c>
      <c r="F21" s="988">
        <v>1</v>
      </c>
      <c r="G21" s="970">
        <f>'MINI SSR 19-20'!G150</f>
        <v>168</v>
      </c>
      <c r="H21" s="969">
        <f t="shared" si="0"/>
        <v>168</v>
      </c>
      <c r="I21" s="964" t="s">
        <v>2217</v>
      </c>
    </row>
    <row r="22" spans="1:12" hidden="1">
      <c r="A22" s="896"/>
      <c r="B22" s="966" t="s">
        <v>1387</v>
      </c>
      <c r="C22" s="1002" t="s">
        <v>1386</v>
      </c>
      <c r="D22" s="967"/>
      <c r="E22" s="967" t="s">
        <v>11</v>
      </c>
      <c r="F22" s="988">
        <v>6</v>
      </c>
      <c r="G22" s="970">
        <f>'MINI SSR 19-20'!G152</f>
        <v>32</v>
      </c>
      <c r="H22" s="969">
        <f t="shared" si="0"/>
        <v>192</v>
      </c>
      <c r="I22" s="964" t="s">
        <v>2217</v>
      </c>
    </row>
    <row r="23" spans="1:12" hidden="1">
      <c r="A23" s="967"/>
      <c r="B23" s="967"/>
      <c r="C23" s="1004" t="s">
        <v>68</v>
      </c>
      <c r="D23" s="967"/>
      <c r="E23" s="967"/>
      <c r="F23" s="970"/>
      <c r="G23" s="974"/>
      <c r="H23" s="969"/>
      <c r="I23" s="964" t="s">
        <v>2217</v>
      </c>
    </row>
    <row r="24" spans="1:12" hidden="1">
      <c r="A24" s="967"/>
      <c r="B24" s="967" t="s">
        <v>1389</v>
      </c>
      <c r="C24" s="1002" t="s">
        <v>1388</v>
      </c>
      <c r="D24" s="967"/>
      <c r="E24" s="967" t="s">
        <v>102</v>
      </c>
      <c r="F24" s="970">
        <v>2.52</v>
      </c>
      <c r="G24" s="970">
        <f>'MINI SSR 19-20'!C149</f>
        <v>1570</v>
      </c>
      <c r="H24" s="969">
        <f>ROUND(F24*G24,2)</f>
        <v>3956.4</v>
      </c>
      <c r="I24" s="964" t="s">
        <v>2217</v>
      </c>
      <c r="L24" s="1019">
        <f>H24</f>
        <v>3956.4</v>
      </c>
    </row>
    <row r="25" spans="1:12" ht="13.5" hidden="1" thickBot="1">
      <c r="A25" s="967"/>
      <c r="B25" s="967"/>
      <c r="C25" s="1004"/>
      <c r="D25" s="967"/>
      <c r="E25" s="967"/>
      <c r="F25" s="967"/>
      <c r="G25" s="967"/>
      <c r="H25" s="971">
        <f>SUM(H15:H24)</f>
        <v>20396.340000000004</v>
      </c>
      <c r="I25" s="964" t="s">
        <v>2217</v>
      </c>
      <c r="L25" s="1020">
        <f>SUM(L24)</f>
        <v>3956.4</v>
      </c>
    </row>
    <row r="26" spans="1:12" ht="127.5" hidden="1">
      <c r="A26" s="896">
        <v>2</v>
      </c>
      <c r="B26" s="966"/>
      <c r="C26" s="1002" t="s">
        <v>2097</v>
      </c>
      <c r="D26" s="967"/>
      <c r="E26" s="967"/>
      <c r="F26" s="967"/>
      <c r="G26" s="967"/>
      <c r="H26" s="972"/>
      <c r="I26" s="964" t="s">
        <v>2217</v>
      </c>
    </row>
    <row r="27" spans="1:12" hidden="1">
      <c r="A27" s="896"/>
      <c r="B27" s="966"/>
      <c r="C27" s="1004" t="s">
        <v>100</v>
      </c>
      <c r="D27" s="967"/>
      <c r="E27" s="967"/>
      <c r="F27" s="967"/>
      <c r="G27" s="967"/>
      <c r="H27" s="972"/>
      <c r="I27" s="964" t="s">
        <v>2217</v>
      </c>
    </row>
    <row r="28" spans="1:12" s="965" customFormat="1" hidden="1">
      <c r="A28" s="896"/>
      <c r="B28" s="966"/>
      <c r="C28" s="1004" t="s">
        <v>1</v>
      </c>
      <c r="D28" s="967"/>
      <c r="E28" s="967"/>
      <c r="F28" s="967"/>
      <c r="G28" s="967"/>
      <c r="H28" s="972"/>
      <c r="I28" s="964" t="s">
        <v>2217</v>
      </c>
      <c r="J28" s="901"/>
    </row>
    <row r="29" spans="1:12" s="965" customFormat="1" hidden="1">
      <c r="A29" s="896"/>
      <c r="B29" s="966"/>
      <c r="C29" s="1002" t="s">
        <v>2</v>
      </c>
      <c r="D29" s="1014">
        <v>2</v>
      </c>
      <c r="E29" s="1015">
        <v>1.9</v>
      </c>
      <c r="F29" s="1016">
        <v>0.1</v>
      </c>
      <c r="G29" s="1016">
        <v>7.4999999999999997E-2</v>
      </c>
      <c r="H29" s="1017">
        <f>ROUND(D29*E29*F29*G29,4)</f>
        <v>2.8500000000000001E-2</v>
      </c>
      <c r="I29" s="964" t="s">
        <v>2217</v>
      </c>
      <c r="J29" s="901"/>
    </row>
    <row r="30" spans="1:12" s="965" customFormat="1" hidden="1">
      <c r="A30" s="896"/>
      <c r="B30" s="966"/>
      <c r="C30" s="1002" t="s">
        <v>741</v>
      </c>
      <c r="D30" s="1014">
        <v>1</v>
      </c>
      <c r="E30" s="1015">
        <v>1.2</v>
      </c>
      <c r="F30" s="1016">
        <v>0.1</v>
      </c>
      <c r="G30" s="1016">
        <v>7.4999999999999997E-2</v>
      </c>
      <c r="H30" s="1017">
        <f>ROUND(D30*E30*F30*G30,4)</f>
        <v>8.9999999999999993E-3</v>
      </c>
      <c r="I30" s="964" t="s">
        <v>2217</v>
      </c>
      <c r="J30" s="901"/>
    </row>
    <row r="31" spans="1:12" s="965" customFormat="1" hidden="1">
      <c r="A31" s="896"/>
      <c r="B31" s="966"/>
      <c r="C31" s="1004"/>
      <c r="D31" s="967"/>
      <c r="E31" s="967"/>
      <c r="F31" s="967"/>
      <c r="G31" s="967"/>
      <c r="H31" s="1018">
        <f>SUM(H29:H30)</f>
        <v>3.7499999999999999E-2</v>
      </c>
      <c r="I31" s="964" t="s">
        <v>2217</v>
      </c>
      <c r="J31" s="901"/>
    </row>
    <row r="32" spans="1:12" s="965" customFormat="1" hidden="1">
      <c r="A32" s="896"/>
      <c r="B32" s="967" t="s">
        <v>1373</v>
      </c>
      <c r="C32" s="1002" t="s">
        <v>1372</v>
      </c>
      <c r="D32" s="967"/>
      <c r="E32" s="967" t="s">
        <v>35</v>
      </c>
      <c r="F32" s="976">
        <f>H31</f>
        <v>3.7499999999999999E-2</v>
      </c>
      <c r="G32" s="970">
        <f>'MINI SSR 19-20'!C142</f>
        <v>71195</v>
      </c>
      <c r="H32" s="969">
        <f t="shared" ref="H32:H40" si="1">ROUND(F32*G32,2)</f>
        <v>2669.81</v>
      </c>
      <c r="I32" s="964" t="s">
        <v>2217</v>
      </c>
      <c r="J32" s="901"/>
    </row>
    <row r="33" spans="1:12" s="965" customFormat="1" hidden="1">
      <c r="A33" s="896"/>
      <c r="B33" s="967" t="s">
        <v>2092</v>
      </c>
      <c r="C33" s="1002" t="s">
        <v>2093</v>
      </c>
      <c r="D33" s="967"/>
      <c r="E33" s="967" t="s">
        <v>102</v>
      </c>
      <c r="F33" s="976">
        <f>ROUND(1.05*1.995,2)</f>
        <v>2.09</v>
      </c>
      <c r="G33" s="970">
        <f>'MINI SSR 19-20'!$C$148</f>
        <v>1790</v>
      </c>
      <c r="H33" s="969">
        <f t="shared" si="1"/>
        <v>3741.1</v>
      </c>
      <c r="I33" s="964" t="s">
        <v>2217</v>
      </c>
      <c r="J33" s="901"/>
    </row>
    <row r="34" spans="1:12" s="965" customFormat="1" hidden="1">
      <c r="A34" s="896"/>
      <c r="B34" s="967" t="s">
        <v>2094</v>
      </c>
      <c r="C34" s="1002" t="s">
        <v>2095</v>
      </c>
      <c r="D34" s="967"/>
      <c r="E34" s="967" t="s">
        <v>102</v>
      </c>
      <c r="F34" s="976">
        <f>ROUND(1.05*1.995,2)</f>
        <v>2.09</v>
      </c>
      <c r="G34" s="970">
        <f>'MINI SSR 19-20'!$C$151</f>
        <v>754</v>
      </c>
      <c r="H34" s="969">
        <f t="shared" si="1"/>
        <v>1575.86</v>
      </c>
      <c r="I34" s="964" t="s">
        <v>2217</v>
      </c>
      <c r="J34" s="901"/>
    </row>
    <row r="35" spans="1:12" hidden="1">
      <c r="A35" s="896"/>
      <c r="B35" s="967" t="s">
        <v>1394</v>
      </c>
      <c r="C35" s="1002" t="s">
        <v>1393</v>
      </c>
      <c r="D35" s="967"/>
      <c r="E35" s="967" t="s">
        <v>11</v>
      </c>
      <c r="F35" s="988">
        <v>2</v>
      </c>
      <c r="G35" s="970">
        <f>'MINI SSR 19-20'!$G$143</f>
        <v>84</v>
      </c>
      <c r="H35" s="969">
        <f t="shared" si="1"/>
        <v>168</v>
      </c>
      <c r="I35" s="964" t="s">
        <v>2217</v>
      </c>
    </row>
    <row r="36" spans="1:12" hidden="1">
      <c r="A36" s="896"/>
      <c r="B36" s="967" t="s">
        <v>1396</v>
      </c>
      <c r="C36" s="1002" t="s">
        <v>1395</v>
      </c>
      <c r="D36" s="967"/>
      <c r="E36" s="967" t="s">
        <v>11</v>
      </c>
      <c r="F36" s="988">
        <v>3</v>
      </c>
      <c r="G36" s="970">
        <f>'MINI SSR 19-20'!$G$146</f>
        <v>117</v>
      </c>
      <c r="H36" s="969">
        <f t="shared" si="1"/>
        <v>351</v>
      </c>
      <c r="I36" s="964" t="s">
        <v>2217</v>
      </c>
    </row>
    <row r="37" spans="1:12" hidden="1">
      <c r="A37" s="896"/>
      <c r="B37" s="967" t="s">
        <v>1381</v>
      </c>
      <c r="C37" s="1002" t="s">
        <v>1380</v>
      </c>
      <c r="D37" s="967"/>
      <c r="E37" s="967" t="s">
        <v>11</v>
      </c>
      <c r="F37" s="988">
        <v>2</v>
      </c>
      <c r="G37" s="970">
        <f>'MINI SSR 19-20'!$G$147</f>
        <v>103</v>
      </c>
      <c r="H37" s="969">
        <f t="shared" si="1"/>
        <v>206</v>
      </c>
      <c r="I37" s="964" t="s">
        <v>2217</v>
      </c>
    </row>
    <row r="38" spans="1:12" hidden="1">
      <c r="A38" s="896"/>
      <c r="B38" s="967" t="s">
        <v>1398</v>
      </c>
      <c r="C38" s="1002" t="s">
        <v>1397</v>
      </c>
      <c r="D38" s="967"/>
      <c r="E38" s="967" t="s">
        <v>11</v>
      </c>
      <c r="F38" s="988">
        <v>2</v>
      </c>
      <c r="G38" s="970">
        <f>'MINI SSR 19-20'!$G$149</f>
        <v>308</v>
      </c>
      <c r="H38" s="969">
        <f t="shared" si="1"/>
        <v>616</v>
      </c>
      <c r="I38" s="964" t="s">
        <v>2217</v>
      </c>
    </row>
    <row r="39" spans="1:12" hidden="1">
      <c r="A39" s="896"/>
      <c r="B39" s="967" t="s">
        <v>1400</v>
      </c>
      <c r="C39" s="1002" t="s">
        <v>1399</v>
      </c>
      <c r="D39" s="967"/>
      <c r="E39" s="967" t="s">
        <v>11</v>
      </c>
      <c r="F39" s="988">
        <v>1</v>
      </c>
      <c r="G39" s="970">
        <f>'MINI SSR 19-20'!$G$155</f>
        <v>53</v>
      </c>
      <c r="H39" s="969">
        <f t="shared" si="1"/>
        <v>53</v>
      </c>
      <c r="I39" s="964" t="s">
        <v>2217</v>
      </c>
    </row>
    <row r="40" spans="1:12" hidden="1">
      <c r="A40" s="896"/>
      <c r="B40" s="967" t="s">
        <v>1387</v>
      </c>
      <c r="C40" s="1002" t="s">
        <v>1386</v>
      </c>
      <c r="D40" s="967"/>
      <c r="E40" s="967" t="s">
        <v>11</v>
      </c>
      <c r="F40" s="988">
        <v>6</v>
      </c>
      <c r="G40" s="970">
        <f>'MINI SSR 19-20'!$G$152</f>
        <v>32</v>
      </c>
      <c r="H40" s="969">
        <f t="shared" si="1"/>
        <v>192</v>
      </c>
      <c r="I40" s="964" t="s">
        <v>2217</v>
      </c>
    </row>
    <row r="41" spans="1:12" hidden="1">
      <c r="A41" s="967"/>
      <c r="B41" s="967"/>
      <c r="C41" s="1004" t="s">
        <v>68</v>
      </c>
      <c r="D41" s="967"/>
      <c r="E41" s="967"/>
      <c r="F41" s="970"/>
      <c r="G41" s="974"/>
      <c r="H41" s="969"/>
      <c r="I41" s="964" t="s">
        <v>2217</v>
      </c>
    </row>
    <row r="42" spans="1:12" ht="25.5" hidden="1">
      <c r="A42" s="967"/>
      <c r="B42" s="967" t="s">
        <v>1389</v>
      </c>
      <c r="C42" s="1002" t="s">
        <v>1401</v>
      </c>
      <c r="D42" s="967"/>
      <c r="E42" s="967" t="s">
        <v>102</v>
      </c>
      <c r="F42" s="970">
        <f>ROUND(1.2*2.1,2)</f>
        <v>2.52</v>
      </c>
      <c r="G42" s="970">
        <f>'MINI SSR 19-20'!C149</f>
        <v>1570</v>
      </c>
      <c r="H42" s="969">
        <f>ROUND(F42*G42*1/3,2)</f>
        <v>1318.8</v>
      </c>
      <c r="I42" s="964" t="s">
        <v>2217</v>
      </c>
      <c r="L42" s="1019"/>
    </row>
    <row r="43" spans="1:12" ht="13.5" hidden="1" thickBot="1">
      <c r="A43" s="967"/>
      <c r="B43" s="967"/>
      <c r="C43" s="1004"/>
      <c r="D43" s="967"/>
      <c r="E43" s="967"/>
      <c r="F43" s="967"/>
      <c r="G43" s="967"/>
      <c r="H43" s="971">
        <f>SUM(H32:H42)</f>
        <v>10891.57</v>
      </c>
      <c r="I43" s="964" t="s">
        <v>2217</v>
      </c>
      <c r="L43" s="1020"/>
    </row>
    <row r="44" spans="1:12" ht="127.5" hidden="1">
      <c r="A44" s="896">
        <v>3</v>
      </c>
      <c r="B44" s="966"/>
      <c r="C44" s="1002" t="s">
        <v>1309</v>
      </c>
      <c r="D44" s="967"/>
      <c r="E44" s="967"/>
      <c r="F44" s="967"/>
      <c r="G44" s="967"/>
      <c r="H44" s="972"/>
      <c r="I44" s="964" t="s">
        <v>2217</v>
      </c>
    </row>
    <row r="45" spans="1:12" hidden="1">
      <c r="A45" s="896"/>
      <c r="B45" s="966"/>
      <c r="C45" s="1004" t="s">
        <v>100</v>
      </c>
      <c r="D45" s="967"/>
      <c r="E45" s="967"/>
      <c r="F45" s="967"/>
      <c r="G45" s="967"/>
      <c r="H45" s="972"/>
      <c r="I45" s="964" t="s">
        <v>2217</v>
      </c>
    </row>
    <row r="46" spans="1:12" s="965" customFormat="1" hidden="1">
      <c r="A46" s="896"/>
      <c r="B46" s="966"/>
      <c r="C46" s="1004" t="s">
        <v>1</v>
      </c>
      <c r="D46" s="967"/>
      <c r="E46" s="967"/>
      <c r="F46" s="967"/>
      <c r="G46" s="967"/>
      <c r="H46" s="972"/>
      <c r="I46" s="964" t="s">
        <v>2217</v>
      </c>
      <c r="J46" s="901"/>
    </row>
    <row r="47" spans="1:12" s="965" customFormat="1" hidden="1">
      <c r="A47" s="896"/>
      <c r="B47" s="966"/>
      <c r="C47" s="1002" t="s">
        <v>2</v>
      </c>
      <c r="D47" s="1014">
        <v>2</v>
      </c>
      <c r="E47" s="1015">
        <v>1.9</v>
      </c>
      <c r="F47" s="1016">
        <v>0.1</v>
      </c>
      <c r="G47" s="1016">
        <v>7.4999999999999997E-2</v>
      </c>
      <c r="H47" s="1017">
        <f>ROUND(D47*E47*F47*G47,4)</f>
        <v>2.8500000000000001E-2</v>
      </c>
      <c r="I47" s="964" t="s">
        <v>2217</v>
      </c>
      <c r="J47" s="901"/>
    </row>
    <row r="48" spans="1:12" s="965" customFormat="1" hidden="1">
      <c r="A48" s="896"/>
      <c r="B48" s="966"/>
      <c r="C48" s="1002" t="s">
        <v>741</v>
      </c>
      <c r="D48" s="1014">
        <v>1</v>
      </c>
      <c r="E48" s="1015">
        <v>1.2</v>
      </c>
      <c r="F48" s="1016">
        <v>0.1</v>
      </c>
      <c r="G48" s="1016">
        <v>7.4999999999999997E-2</v>
      </c>
      <c r="H48" s="1017">
        <f>ROUND(D48*E48*F48*G48,4)</f>
        <v>8.9999999999999993E-3</v>
      </c>
      <c r="I48" s="964" t="s">
        <v>2217</v>
      </c>
      <c r="J48" s="901"/>
    </row>
    <row r="49" spans="1:12" s="965" customFormat="1" hidden="1">
      <c r="A49" s="896"/>
      <c r="B49" s="966"/>
      <c r="C49" s="1004"/>
      <c r="D49" s="967"/>
      <c r="E49" s="967"/>
      <c r="F49" s="967"/>
      <c r="G49" s="967"/>
      <c r="H49" s="1018">
        <f>SUM(H47:H48)</f>
        <v>3.7499999999999999E-2</v>
      </c>
      <c r="I49" s="964" t="s">
        <v>2217</v>
      </c>
      <c r="J49" s="901"/>
    </row>
    <row r="50" spans="1:12" s="965" customFormat="1" hidden="1">
      <c r="A50" s="896"/>
      <c r="B50" s="966" t="s">
        <v>1682</v>
      </c>
      <c r="C50" s="1002" t="s">
        <v>1683</v>
      </c>
      <c r="E50" s="967" t="s">
        <v>35</v>
      </c>
      <c r="F50" s="976">
        <f>H49</f>
        <v>3.7499999999999999E-2</v>
      </c>
      <c r="G50" s="970">
        <f>'MINI SSR 19-20'!$C$144</f>
        <v>46217</v>
      </c>
      <c r="H50" s="969">
        <f t="shared" ref="H50:H58" si="2">ROUND(F50*G50,2)</f>
        <v>1733.14</v>
      </c>
      <c r="I50" s="964" t="s">
        <v>2217</v>
      </c>
      <c r="J50" s="901"/>
    </row>
    <row r="51" spans="1:12" s="965" customFormat="1" hidden="1">
      <c r="A51" s="896"/>
      <c r="B51" s="967" t="s">
        <v>2092</v>
      </c>
      <c r="C51" s="1002" t="s">
        <v>2093</v>
      </c>
      <c r="D51" s="967"/>
      <c r="E51" s="967" t="s">
        <v>102</v>
      </c>
      <c r="F51" s="976">
        <f>ROUND(1.05*1.995,2)</f>
        <v>2.09</v>
      </c>
      <c r="G51" s="970">
        <f>'MINI SSR 19-20'!$C$148</f>
        <v>1790</v>
      </c>
      <c r="H51" s="969">
        <f t="shared" si="2"/>
        <v>3741.1</v>
      </c>
      <c r="I51" s="964" t="s">
        <v>2217</v>
      </c>
      <c r="J51" s="901"/>
    </row>
    <row r="52" spans="1:12" s="965" customFormat="1" hidden="1">
      <c r="A52" s="896"/>
      <c r="B52" s="967" t="s">
        <v>2094</v>
      </c>
      <c r="C52" s="1002" t="s">
        <v>2095</v>
      </c>
      <c r="D52" s="967"/>
      <c r="E52" s="967" t="s">
        <v>102</v>
      </c>
      <c r="F52" s="976">
        <f>ROUND(1.05*1.995,2)</f>
        <v>2.09</v>
      </c>
      <c r="G52" s="970">
        <f>'MINI SSR 19-20'!$C$151</f>
        <v>754</v>
      </c>
      <c r="H52" s="969">
        <f t="shared" si="2"/>
        <v>1575.86</v>
      </c>
      <c r="I52" s="964" t="s">
        <v>2217</v>
      </c>
      <c r="J52" s="901"/>
    </row>
    <row r="53" spans="1:12" hidden="1">
      <c r="A53" s="896"/>
      <c r="B53" s="967" t="s">
        <v>1394</v>
      </c>
      <c r="C53" s="1002" t="s">
        <v>1393</v>
      </c>
      <c r="D53" s="967"/>
      <c r="E53" s="967" t="s">
        <v>11</v>
      </c>
      <c r="F53" s="988">
        <v>2</v>
      </c>
      <c r="G53" s="970">
        <f>'MINI SSR 19-20'!$G$143</f>
        <v>84</v>
      </c>
      <c r="H53" s="969">
        <f t="shared" si="2"/>
        <v>168</v>
      </c>
      <c r="I53" s="964" t="s">
        <v>2217</v>
      </c>
    </row>
    <row r="54" spans="1:12" hidden="1">
      <c r="A54" s="896"/>
      <c r="B54" s="967" t="s">
        <v>1396</v>
      </c>
      <c r="C54" s="1002" t="s">
        <v>1395</v>
      </c>
      <c r="D54" s="967"/>
      <c r="E54" s="967" t="s">
        <v>11</v>
      </c>
      <c r="F54" s="988">
        <v>3</v>
      </c>
      <c r="G54" s="970">
        <f>'MINI SSR 19-20'!$G$146</f>
        <v>117</v>
      </c>
      <c r="H54" s="969">
        <f t="shared" si="2"/>
        <v>351</v>
      </c>
      <c r="I54" s="964" t="s">
        <v>2217</v>
      </c>
    </row>
    <row r="55" spans="1:12" hidden="1">
      <c r="A55" s="896"/>
      <c r="B55" s="967" t="s">
        <v>1381</v>
      </c>
      <c r="C55" s="1002" t="s">
        <v>1380</v>
      </c>
      <c r="D55" s="967"/>
      <c r="E55" s="967" t="s">
        <v>11</v>
      </c>
      <c r="F55" s="988">
        <v>2</v>
      </c>
      <c r="G55" s="970">
        <f>'MINI SSR 19-20'!$G$147</f>
        <v>103</v>
      </c>
      <c r="H55" s="969">
        <f t="shared" si="2"/>
        <v>206</v>
      </c>
      <c r="I55" s="964" t="s">
        <v>2217</v>
      </c>
    </row>
    <row r="56" spans="1:12" hidden="1">
      <c r="A56" s="896"/>
      <c r="B56" s="967" t="s">
        <v>1398</v>
      </c>
      <c r="C56" s="1002" t="s">
        <v>1397</v>
      </c>
      <c r="D56" s="967"/>
      <c r="E56" s="967" t="s">
        <v>11</v>
      </c>
      <c r="F56" s="988">
        <v>2</v>
      </c>
      <c r="G56" s="970">
        <f>'MINI SSR 19-20'!$G$149</f>
        <v>308</v>
      </c>
      <c r="H56" s="969">
        <f t="shared" si="2"/>
        <v>616</v>
      </c>
      <c r="I56" s="964" t="s">
        <v>2217</v>
      </c>
    </row>
    <row r="57" spans="1:12" hidden="1">
      <c r="A57" s="896"/>
      <c r="B57" s="967" t="s">
        <v>1400</v>
      </c>
      <c r="C57" s="1002" t="s">
        <v>1399</v>
      </c>
      <c r="D57" s="967"/>
      <c r="E57" s="967" t="s">
        <v>11</v>
      </c>
      <c r="F57" s="988">
        <v>1</v>
      </c>
      <c r="G57" s="970">
        <f>'MINI SSR 19-20'!$G$155</f>
        <v>53</v>
      </c>
      <c r="H57" s="969">
        <f t="shared" si="2"/>
        <v>53</v>
      </c>
      <c r="I57" s="964" t="s">
        <v>2217</v>
      </c>
    </row>
    <row r="58" spans="1:12" hidden="1">
      <c r="A58" s="896"/>
      <c r="B58" s="967" t="s">
        <v>1387</v>
      </c>
      <c r="C58" s="1002" t="s">
        <v>1386</v>
      </c>
      <c r="D58" s="967"/>
      <c r="E58" s="967" t="s">
        <v>11</v>
      </c>
      <c r="F58" s="988">
        <v>6</v>
      </c>
      <c r="G58" s="970">
        <f>'MINI SSR 19-20'!$G$152</f>
        <v>32</v>
      </c>
      <c r="H58" s="969">
        <f t="shared" si="2"/>
        <v>192</v>
      </c>
      <c r="I58" s="964" t="s">
        <v>2217</v>
      </c>
    </row>
    <row r="59" spans="1:12" hidden="1">
      <c r="A59" s="967"/>
      <c r="B59" s="967"/>
      <c r="C59" s="1004" t="s">
        <v>68</v>
      </c>
      <c r="D59" s="967"/>
      <c r="E59" s="967"/>
      <c r="F59" s="970"/>
      <c r="G59" s="974"/>
      <c r="H59" s="969"/>
      <c r="I59" s="964" t="s">
        <v>2217</v>
      </c>
    </row>
    <row r="60" spans="1:12" hidden="1">
      <c r="A60" s="967"/>
      <c r="B60" s="967" t="s">
        <v>1690</v>
      </c>
      <c r="C60" s="1002" t="s">
        <v>1388</v>
      </c>
      <c r="D60" s="901"/>
      <c r="E60" s="967" t="s">
        <v>102</v>
      </c>
      <c r="F60" s="970">
        <f>ROUND(1.2*2.1,2)</f>
        <v>2.52</v>
      </c>
      <c r="G60" s="970">
        <f>'MINI SSR 19-20'!$C$150</f>
        <v>1452</v>
      </c>
      <c r="H60" s="969">
        <f>ROUND(F60*G60*1/3,2)</f>
        <v>1219.68</v>
      </c>
      <c r="I60" s="964" t="s">
        <v>2217</v>
      </c>
      <c r="L60" s="1019"/>
    </row>
    <row r="61" spans="1:12" ht="13.5" hidden="1" thickBot="1">
      <c r="A61" s="967"/>
      <c r="B61" s="967"/>
      <c r="C61" s="1004"/>
      <c r="D61" s="967"/>
      <c r="E61" s="967"/>
      <c r="F61" s="967"/>
      <c r="G61" s="967"/>
      <c r="H61" s="971">
        <f>SUM(H50:H60)</f>
        <v>9855.7799999999988</v>
      </c>
      <c r="I61" s="964" t="s">
        <v>2217</v>
      </c>
      <c r="L61" s="1020"/>
    </row>
    <row r="62" spans="1:12" ht="127.5" hidden="1">
      <c r="A62" s="896">
        <v>3</v>
      </c>
      <c r="B62" s="966"/>
      <c r="C62" s="1002" t="s">
        <v>1678</v>
      </c>
      <c r="D62" s="967"/>
      <c r="E62" s="967"/>
      <c r="F62" s="967"/>
      <c r="G62" s="967"/>
      <c r="H62" s="972"/>
      <c r="I62" s="964" t="s">
        <v>2217</v>
      </c>
    </row>
    <row r="63" spans="1:12" hidden="1">
      <c r="A63" s="896"/>
      <c r="B63" s="966"/>
      <c r="C63" s="1004" t="s">
        <v>100</v>
      </c>
      <c r="D63" s="967"/>
      <c r="E63" s="967"/>
      <c r="F63" s="967"/>
      <c r="G63" s="967"/>
      <c r="H63" s="972"/>
      <c r="I63" s="964" t="s">
        <v>2217</v>
      </c>
    </row>
    <row r="64" spans="1:12" s="965" customFormat="1" hidden="1">
      <c r="A64" s="896"/>
      <c r="B64" s="966"/>
      <c r="C64" s="1004" t="s">
        <v>594</v>
      </c>
      <c r="D64" s="967"/>
      <c r="E64" s="967"/>
      <c r="F64" s="967"/>
      <c r="G64" s="967"/>
      <c r="H64" s="972"/>
      <c r="I64" s="964" t="s">
        <v>2217</v>
      </c>
      <c r="J64" s="901"/>
    </row>
    <row r="65" spans="1:10" s="965" customFormat="1" hidden="1">
      <c r="A65" s="896"/>
      <c r="B65" s="966"/>
      <c r="C65" s="1002" t="s">
        <v>2</v>
      </c>
      <c r="D65" s="1014">
        <v>2</v>
      </c>
      <c r="E65" s="1015">
        <v>1.9</v>
      </c>
      <c r="F65" s="1016">
        <v>0.1</v>
      </c>
      <c r="G65" s="1016">
        <v>7.4999999999999997E-2</v>
      </c>
      <c r="H65" s="1017">
        <f>ROUND(D65*E65*F65*G65,4)</f>
        <v>2.8500000000000001E-2</v>
      </c>
      <c r="I65" s="964" t="s">
        <v>2217</v>
      </c>
      <c r="J65" s="901"/>
    </row>
    <row r="66" spans="1:10" s="965" customFormat="1" hidden="1">
      <c r="A66" s="896"/>
      <c r="B66" s="966"/>
      <c r="C66" s="1002" t="s">
        <v>741</v>
      </c>
      <c r="D66" s="1014">
        <v>1</v>
      </c>
      <c r="E66" s="1015">
        <v>0.9</v>
      </c>
      <c r="F66" s="1016">
        <v>0.1</v>
      </c>
      <c r="G66" s="1016">
        <v>7.4999999999999997E-2</v>
      </c>
      <c r="H66" s="1017">
        <f>ROUND(D66*E66*F66*G66,4)</f>
        <v>6.7999999999999996E-3</v>
      </c>
      <c r="I66" s="964" t="s">
        <v>2217</v>
      </c>
      <c r="J66" s="901"/>
    </row>
    <row r="67" spans="1:10" s="965" customFormat="1" hidden="1">
      <c r="A67" s="896"/>
      <c r="B67" s="966"/>
      <c r="C67" s="1004"/>
      <c r="D67" s="1014"/>
      <c r="E67" s="1014"/>
      <c r="F67" s="1014"/>
      <c r="G67" s="1014"/>
      <c r="H67" s="1021">
        <f>SUM(H65:H66)</f>
        <v>3.5299999999999998E-2</v>
      </c>
      <c r="I67" s="964" t="s">
        <v>2217</v>
      </c>
      <c r="J67" s="901"/>
    </row>
    <row r="68" spans="1:10" s="965" customFormat="1" hidden="1">
      <c r="A68" s="896"/>
      <c r="B68" s="966"/>
      <c r="C68" s="1004" t="s">
        <v>320</v>
      </c>
      <c r="D68" s="1014">
        <v>1</v>
      </c>
      <c r="E68" s="1015">
        <v>2.0099999999999998</v>
      </c>
      <c r="F68" s="1016">
        <v>0.8</v>
      </c>
      <c r="G68" s="1016">
        <v>0.03</v>
      </c>
      <c r="H68" s="1017">
        <f>ROUND(D68*E68*F68*G68,4)</f>
        <v>4.82E-2</v>
      </c>
      <c r="I68" s="964" t="s">
        <v>2217</v>
      </c>
      <c r="J68" s="901"/>
    </row>
    <row r="69" spans="1:10" s="965" customFormat="1" hidden="1">
      <c r="A69" s="896"/>
      <c r="B69" s="966"/>
      <c r="C69" s="1002"/>
      <c r="D69" s="1014"/>
      <c r="E69" s="1014"/>
      <c r="F69" s="1014"/>
      <c r="G69" s="1014"/>
      <c r="H69" s="1021">
        <f>SUM(H68:H68)</f>
        <v>4.82E-2</v>
      </c>
      <c r="I69" s="964" t="s">
        <v>2217</v>
      </c>
      <c r="J69" s="901"/>
    </row>
    <row r="70" spans="1:10" s="965" customFormat="1" hidden="1">
      <c r="A70" s="896"/>
      <c r="B70" s="966" t="s">
        <v>1373</v>
      </c>
      <c r="C70" s="1002" t="s">
        <v>1372</v>
      </c>
      <c r="E70" s="967" t="s">
        <v>35</v>
      </c>
      <c r="F70" s="976">
        <f>H67</f>
        <v>3.5299999999999998E-2</v>
      </c>
      <c r="G70" s="970">
        <f>'MINI SSR 19-20'!C142</f>
        <v>71195</v>
      </c>
      <c r="H70" s="969">
        <f t="shared" ref="H70:H77" si="3">ROUND(F70*G70,2)</f>
        <v>2513.1799999999998</v>
      </c>
      <c r="I70" s="964" t="s">
        <v>2217</v>
      </c>
      <c r="J70" s="901"/>
    </row>
    <row r="71" spans="1:10" s="965" customFormat="1" hidden="1">
      <c r="A71" s="896"/>
      <c r="B71" s="966" t="s">
        <v>1375</v>
      </c>
      <c r="C71" s="1002" t="s">
        <v>1374</v>
      </c>
      <c r="E71" s="967" t="s">
        <v>35</v>
      </c>
      <c r="F71" s="976">
        <f>H69</f>
        <v>4.82E-2</v>
      </c>
      <c r="G71" s="970">
        <f>'MINI SSR 19-20'!C143</f>
        <v>142391</v>
      </c>
      <c r="H71" s="969">
        <f t="shared" si="3"/>
        <v>6863.25</v>
      </c>
      <c r="I71" s="964" t="s">
        <v>2217</v>
      </c>
      <c r="J71" s="901"/>
    </row>
    <row r="72" spans="1:10" s="965" customFormat="1" hidden="1">
      <c r="A72" s="896"/>
      <c r="B72" s="966" t="s">
        <v>1377</v>
      </c>
      <c r="C72" s="1002" t="s">
        <v>1376</v>
      </c>
      <c r="D72" s="967"/>
      <c r="E72" s="967" t="s">
        <v>11</v>
      </c>
      <c r="F72" s="988">
        <v>2</v>
      </c>
      <c r="G72" s="970">
        <f t="shared" ref="G72:G77" si="4">G17</f>
        <v>231</v>
      </c>
      <c r="H72" s="969">
        <f t="shared" si="3"/>
        <v>462</v>
      </c>
      <c r="I72" s="964" t="s">
        <v>2217</v>
      </c>
      <c r="J72" s="901"/>
    </row>
    <row r="73" spans="1:10" s="965" customFormat="1" hidden="1">
      <c r="A73" s="896"/>
      <c r="B73" s="966" t="s">
        <v>1379</v>
      </c>
      <c r="C73" s="1002" t="s">
        <v>1378</v>
      </c>
      <c r="D73" s="967"/>
      <c r="E73" s="967" t="s">
        <v>11</v>
      </c>
      <c r="F73" s="988">
        <v>3</v>
      </c>
      <c r="G73" s="970">
        <f t="shared" si="4"/>
        <v>246</v>
      </c>
      <c r="H73" s="969">
        <f t="shared" si="3"/>
        <v>738</v>
      </c>
      <c r="I73" s="964" t="s">
        <v>2217</v>
      </c>
      <c r="J73" s="901"/>
    </row>
    <row r="74" spans="1:10" s="965" customFormat="1" hidden="1">
      <c r="A74" s="896"/>
      <c r="B74" s="966" t="s">
        <v>1381</v>
      </c>
      <c r="C74" s="1002" t="s">
        <v>1380</v>
      </c>
      <c r="D74" s="967"/>
      <c r="E74" s="967" t="s">
        <v>11</v>
      </c>
      <c r="F74" s="988"/>
      <c r="G74" s="970">
        <f t="shared" si="4"/>
        <v>103</v>
      </c>
      <c r="H74" s="969">
        <f t="shared" si="3"/>
        <v>0</v>
      </c>
      <c r="I74" s="964" t="s">
        <v>2217</v>
      </c>
      <c r="J74" s="901"/>
    </row>
    <row r="75" spans="1:10" s="965" customFormat="1" hidden="1">
      <c r="A75" s="896"/>
      <c r="B75" s="966" t="s">
        <v>1383</v>
      </c>
      <c r="C75" s="1002" t="s">
        <v>1382</v>
      </c>
      <c r="D75" s="967"/>
      <c r="E75" s="967" t="s">
        <v>11</v>
      </c>
      <c r="F75" s="988">
        <v>2</v>
      </c>
      <c r="G75" s="970">
        <f t="shared" si="4"/>
        <v>1087</v>
      </c>
      <c r="H75" s="969">
        <f t="shared" si="3"/>
        <v>2174</v>
      </c>
      <c r="I75" s="964" t="s">
        <v>2217</v>
      </c>
      <c r="J75" s="901"/>
    </row>
    <row r="76" spans="1:10" hidden="1">
      <c r="A76" s="896"/>
      <c r="B76" s="966" t="s">
        <v>1385</v>
      </c>
      <c r="C76" s="1002" t="s">
        <v>1384</v>
      </c>
      <c r="D76" s="967"/>
      <c r="E76" s="967" t="s">
        <v>11</v>
      </c>
      <c r="F76" s="988">
        <v>1</v>
      </c>
      <c r="G76" s="970">
        <f t="shared" si="4"/>
        <v>168</v>
      </c>
      <c r="H76" s="969">
        <f t="shared" si="3"/>
        <v>168</v>
      </c>
      <c r="I76" s="964" t="s">
        <v>2217</v>
      </c>
    </row>
    <row r="77" spans="1:10" hidden="1">
      <c r="A77" s="896"/>
      <c r="B77" s="966" t="s">
        <v>1387</v>
      </c>
      <c r="C77" s="1002" t="s">
        <v>1386</v>
      </c>
      <c r="D77" s="967"/>
      <c r="E77" s="967" t="s">
        <v>11</v>
      </c>
      <c r="F77" s="988">
        <v>6</v>
      </c>
      <c r="G77" s="970">
        <f t="shared" si="4"/>
        <v>32</v>
      </c>
      <c r="H77" s="969">
        <f t="shared" si="3"/>
        <v>192</v>
      </c>
      <c r="I77" s="964" t="s">
        <v>2217</v>
      </c>
    </row>
    <row r="78" spans="1:10" hidden="1">
      <c r="A78" s="896"/>
      <c r="B78" s="966"/>
      <c r="C78" s="1004" t="s">
        <v>68</v>
      </c>
      <c r="D78" s="901"/>
      <c r="E78" s="967"/>
      <c r="F78" s="970"/>
      <c r="G78" s="970"/>
      <c r="H78" s="969"/>
      <c r="I78" s="964" t="s">
        <v>2217</v>
      </c>
    </row>
    <row r="79" spans="1:10" hidden="1">
      <c r="A79" s="896"/>
      <c r="B79" s="967" t="s">
        <v>1389</v>
      </c>
      <c r="C79" s="1002" t="s">
        <v>1388</v>
      </c>
      <c r="D79" s="901"/>
      <c r="E79" s="967" t="s">
        <v>102</v>
      </c>
      <c r="F79" s="970">
        <f>ROUND(0.9*2.1,2)</f>
        <v>1.89</v>
      </c>
      <c r="G79" s="970">
        <f>G24</f>
        <v>1570</v>
      </c>
      <c r="H79" s="969">
        <f>ROUND(F79*G79*1/3,2)</f>
        <v>989.1</v>
      </c>
      <c r="I79" s="964" t="s">
        <v>2217</v>
      </c>
    </row>
    <row r="80" spans="1:10" hidden="1">
      <c r="A80" s="896"/>
      <c r="B80" s="966"/>
      <c r="C80" s="1004"/>
      <c r="D80" s="967"/>
      <c r="E80" s="967"/>
      <c r="F80" s="967"/>
      <c r="G80" s="967"/>
      <c r="H80" s="971">
        <f>SUM(H70:H79)</f>
        <v>14099.53</v>
      </c>
      <c r="I80" s="964" t="s">
        <v>2217</v>
      </c>
    </row>
    <row r="81" spans="1:10" ht="127.5" hidden="1">
      <c r="A81" s="896">
        <v>4</v>
      </c>
      <c r="B81" s="966"/>
      <c r="C81" s="1002" t="s">
        <v>1679</v>
      </c>
      <c r="D81" s="967"/>
      <c r="E81" s="967"/>
      <c r="F81" s="967"/>
      <c r="G81" s="967"/>
      <c r="H81" s="972"/>
      <c r="I81" s="964" t="s">
        <v>2217</v>
      </c>
    </row>
    <row r="82" spans="1:10" hidden="1">
      <c r="A82" s="896"/>
      <c r="B82" s="966"/>
      <c r="C82" s="1004" t="s">
        <v>100</v>
      </c>
      <c r="D82" s="967"/>
      <c r="E82" s="967"/>
      <c r="F82" s="967"/>
      <c r="G82" s="967"/>
      <c r="H82" s="972"/>
      <c r="I82" s="964" t="s">
        <v>2217</v>
      </c>
    </row>
    <row r="83" spans="1:10" s="965" customFormat="1" hidden="1">
      <c r="A83" s="896"/>
      <c r="B83" s="966"/>
      <c r="C83" s="1004" t="s">
        <v>594</v>
      </c>
      <c r="D83" s="967"/>
      <c r="E83" s="967"/>
      <c r="F83" s="967"/>
      <c r="G83" s="967"/>
      <c r="H83" s="972"/>
      <c r="I83" s="964" t="s">
        <v>2217</v>
      </c>
      <c r="J83" s="901"/>
    </row>
    <row r="84" spans="1:10" s="965" customFormat="1" hidden="1">
      <c r="A84" s="896"/>
      <c r="B84" s="966"/>
      <c r="C84" s="1002" t="s">
        <v>2</v>
      </c>
      <c r="D84" s="1014">
        <v>2</v>
      </c>
      <c r="E84" s="1015">
        <v>1.9</v>
      </c>
      <c r="F84" s="1016">
        <v>0.1</v>
      </c>
      <c r="G84" s="1016">
        <v>7.4999999999999997E-2</v>
      </c>
      <c r="H84" s="1017">
        <f>ROUND(D84*E84*F84*G84,4)</f>
        <v>2.8500000000000001E-2</v>
      </c>
      <c r="I84" s="964" t="s">
        <v>2217</v>
      </c>
      <c r="J84" s="901"/>
    </row>
    <row r="85" spans="1:10" s="965" customFormat="1" hidden="1">
      <c r="A85" s="896"/>
      <c r="B85" s="966"/>
      <c r="C85" s="1002" t="s">
        <v>741</v>
      </c>
      <c r="D85" s="1014">
        <v>1</v>
      </c>
      <c r="E85" s="1015">
        <v>0.8</v>
      </c>
      <c r="F85" s="1016">
        <v>0.1</v>
      </c>
      <c r="G85" s="1016">
        <v>7.4999999999999997E-2</v>
      </c>
      <c r="H85" s="1017">
        <f>ROUND(D85*E85*F85*G85,4)</f>
        <v>6.0000000000000001E-3</v>
      </c>
      <c r="I85" s="964" t="s">
        <v>2217</v>
      </c>
      <c r="J85" s="901"/>
    </row>
    <row r="86" spans="1:10" s="965" customFormat="1" hidden="1">
      <c r="A86" s="896"/>
      <c r="B86" s="966"/>
      <c r="C86" s="1004"/>
      <c r="D86" s="1014"/>
      <c r="E86" s="1014"/>
      <c r="F86" s="1014"/>
      <c r="G86" s="1014"/>
      <c r="H86" s="1021">
        <f>SUM(H84:H85)</f>
        <v>3.4500000000000003E-2</v>
      </c>
      <c r="I86" s="964" t="s">
        <v>2217</v>
      </c>
      <c r="J86" s="901"/>
    </row>
    <row r="87" spans="1:10" s="965" customFormat="1" hidden="1">
      <c r="A87" s="896"/>
      <c r="B87" s="966"/>
      <c r="C87" s="1004" t="s">
        <v>320</v>
      </c>
      <c r="D87" s="1014">
        <v>1</v>
      </c>
      <c r="E87" s="1015">
        <v>2.0099999999999998</v>
      </c>
      <c r="F87" s="1016">
        <v>0.72</v>
      </c>
      <c r="G87" s="1016">
        <v>0.03</v>
      </c>
      <c r="H87" s="1017">
        <f>ROUND(D87*E87*F87*G87,4)</f>
        <v>4.3400000000000001E-2</v>
      </c>
      <c r="I87" s="964" t="s">
        <v>2217</v>
      </c>
      <c r="J87" s="901"/>
    </row>
    <row r="88" spans="1:10" s="965" customFormat="1" hidden="1">
      <c r="A88" s="896"/>
      <c r="B88" s="966"/>
      <c r="C88" s="1002"/>
      <c r="D88" s="1014"/>
      <c r="E88" s="1014"/>
      <c r="F88" s="1014"/>
      <c r="G88" s="1014"/>
      <c r="H88" s="1021">
        <f>SUM(H87:H87)</f>
        <v>4.3400000000000001E-2</v>
      </c>
      <c r="I88" s="964" t="s">
        <v>2217</v>
      </c>
      <c r="J88" s="901"/>
    </row>
    <row r="89" spans="1:10" s="965" customFormat="1" hidden="1">
      <c r="A89" s="896"/>
      <c r="B89" s="966" t="s">
        <v>1373</v>
      </c>
      <c r="C89" s="1002" t="s">
        <v>1372</v>
      </c>
      <c r="E89" s="967" t="s">
        <v>35</v>
      </c>
      <c r="F89" s="976">
        <f>H86</f>
        <v>3.4500000000000003E-2</v>
      </c>
      <c r="G89" s="970">
        <f t="shared" ref="G89:G96" si="5">G70</f>
        <v>71195</v>
      </c>
      <c r="H89" s="969">
        <f t="shared" ref="H89:H96" si="6">ROUND(F89*G89,2)</f>
        <v>2456.23</v>
      </c>
      <c r="I89" s="964" t="s">
        <v>2217</v>
      </c>
      <c r="J89" s="901"/>
    </row>
    <row r="90" spans="1:10" s="965" customFormat="1" hidden="1">
      <c r="A90" s="896"/>
      <c r="B90" s="966" t="s">
        <v>1375</v>
      </c>
      <c r="C90" s="1002" t="s">
        <v>1374</v>
      </c>
      <c r="E90" s="967" t="s">
        <v>35</v>
      </c>
      <c r="F90" s="976">
        <f>H88</f>
        <v>4.3400000000000001E-2</v>
      </c>
      <c r="G90" s="970">
        <f t="shared" si="5"/>
        <v>142391</v>
      </c>
      <c r="H90" s="969">
        <f t="shared" si="6"/>
        <v>6179.77</v>
      </c>
      <c r="I90" s="964" t="s">
        <v>2217</v>
      </c>
      <c r="J90" s="901"/>
    </row>
    <row r="91" spans="1:10" s="965" customFormat="1" hidden="1">
      <c r="A91" s="896"/>
      <c r="B91" s="966" t="s">
        <v>1377</v>
      </c>
      <c r="C91" s="1002" t="s">
        <v>1376</v>
      </c>
      <c r="D91" s="967"/>
      <c r="E91" s="967" t="s">
        <v>11</v>
      </c>
      <c r="F91" s="988">
        <v>2</v>
      </c>
      <c r="G91" s="970">
        <f t="shared" si="5"/>
        <v>231</v>
      </c>
      <c r="H91" s="969">
        <f t="shared" si="6"/>
        <v>462</v>
      </c>
      <c r="I91" s="964" t="s">
        <v>2217</v>
      </c>
      <c r="J91" s="901"/>
    </row>
    <row r="92" spans="1:10" s="965" customFormat="1" hidden="1">
      <c r="A92" s="896"/>
      <c r="B92" s="966" t="s">
        <v>1379</v>
      </c>
      <c r="C92" s="1002" t="s">
        <v>1378</v>
      </c>
      <c r="D92" s="967"/>
      <c r="E92" s="967" t="s">
        <v>11</v>
      </c>
      <c r="F92" s="988">
        <v>3</v>
      </c>
      <c r="G92" s="970">
        <f t="shared" si="5"/>
        <v>246</v>
      </c>
      <c r="H92" s="969">
        <f t="shared" si="6"/>
        <v>738</v>
      </c>
      <c r="I92" s="964" t="s">
        <v>2217</v>
      </c>
      <c r="J92" s="901"/>
    </row>
    <row r="93" spans="1:10" s="965" customFormat="1" hidden="1">
      <c r="A93" s="896"/>
      <c r="B93" s="966" t="s">
        <v>1381</v>
      </c>
      <c r="C93" s="1002" t="s">
        <v>1380</v>
      </c>
      <c r="D93" s="967"/>
      <c r="E93" s="967" t="s">
        <v>11</v>
      </c>
      <c r="F93" s="988"/>
      <c r="G93" s="970">
        <f t="shared" si="5"/>
        <v>103</v>
      </c>
      <c r="H93" s="969">
        <f t="shared" si="6"/>
        <v>0</v>
      </c>
      <c r="I93" s="964" t="s">
        <v>2217</v>
      </c>
      <c r="J93" s="901"/>
    </row>
    <row r="94" spans="1:10" s="965" customFormat="1" hidden="1">
      <c r="A94" s="896"/>
      <c r="B94" s="966" t="s">
        <v>1383</v>
      </c>
      <c r="C94" s="1002" t="s">
        <v>1382</v>
      </c>
      <c r="D94" s="967"/>
      <c r="E94" s="967" t="s">
        <v>11</v>
      </c>
      <c r="F94" s="988">
        <v>2</v>
      </c>
      <c r="G94" s="970">
        <f t="shared" si="5"/>
        <v>1087</v>
      </c>
      <c r="H94" s="969">
        <f t="shared" si="6"/>
        <v>2174</v>
      </c>
      <c r="I94" s="964" t="s">
        <v>2217</v>
      </c>
      <c r="J94" s="901"/>
    </row>
    <row r="95" spans="1:10" hidden="1">
      <c r="A95" s="896"/>
      <c r="B95" s="966" t="s">
        <v>1385</v>
      </c>
      <c r="C95" s="1002" t="s">
        <v>1384</v>
      </c>
      <c r="D95" s="967"/>
      <c r="E95" s="967" t="s">
        <v>11</v>
      </c>
      <c r="F95" s="988">
        <v>1</v>
      </c>
      <c r="G95" s="970">
        <f t="shared" si="5"/>
        <v>168</v>
      </c>
      <c r="H95" s="969">
        <f t="shared" si="6"/>
        <v>168</v>
      </c>
      <c r="I95" s="964" t="s">
        <v>2217</v>
      </c>
    </row>
    <row r="96" spans="1:10" hidden="1">
      <c r="A96" s="896"/>
      <c r="B96" s="966" t="s">
        <v>1387</v>
      </c>
      <c r="C96" s="1002" t="s">
        <v>1386</v>
      </c>
      <c r="D96" s="967"/>
      <c r="E96" s="967" t="s">
        <v>11</v>
      </c>
      <c r="F96" s="988">
        <v>6</v>
      </c>
      <c r="G96" s="970">
        <f t="shared" si="5"/>
        <v>32</v>
      </c>
      <c r="H96" s="969">
        <f t="shared" si="6"/>
        <v>192</v>
      </c>
      <c r="I96" s="964" t="s">
        <v>2217</v>
      </c>
    </row>
    <row r="97" spans="1:10" hidden="1">
      <c r="A97" s="896"/>
      <c r="B97" s="966"/>
      <c r="C97" s="1004" t="s">
        <v>68</v>
      </c>
      <c r="D97" s="901"/>
      <c r="E97" s="967"/>
      <c r="F97" s="970"/>
      <c r="G97" s="970"/>
      <c r="H97" s="969"/>
      <c r="I97" s="964" t="s">
        <v>2217</v>
      </c>
    </row>
    <row r="98" spans="1:10" hidden="1">
      <c r="A98" s="896"/>
      <c r="B98" s="967" t="s">
        <v>1389</v>
      </c>
      <c r="C98" s="1002" t="s">
        <v>1388</v>
      </c>
      <c r="D98" s="901"/>
      <c r="E98" s="967" t="s">
        <v>102</v>
      </c>
      <c r="F98" s="970">
        <f>ROUND(0.9*2.1,2)</f>
        <v>1.89</v>
      </c>
      <c r="G98" s="970">
        <f>G79</f>
        <v>1570</v>
      </c>
      <c r="H98" s="969">
        <f>ROUND(F98*G98*1/3,2)</f>
        <v>989.1</v>
      </c>
      <c r="I98" s="964" t="s">
        <v>2217</v>
      </c>
    </row>
    <row r="99" spans="1:10" hidden="1">
      <c r="A99" s="896"/>
      <c r="B99" s="966"/>
      <c r="C99" s="1004"/>
      <c r="D99" s="967"/>
      <c r="E99" s="967"/>
      <c r="F99" s="967"/>
      <c r="G99" s="967"/>
      <c r="H99" s="971">
        <f>SUM(H89:H98)</f>
        <v>13359.1</v>
      </c>
      <c r="I99" s="964" t="s">
        <v>2217</v>
      </c>
    </row>
    <row r="100" spans="1:10" ht="114.75" hidden="1">
      <c r="A100" s="896">
        <v>2</v>
      </c>
      <c r="B100" s="966"/>
      <c r="C100" s="1002" t="s">
        <v>1680</v>
      </c>
      <c r="D100" s="967"/>
      <c r="E100" s="967"/>
      <c r="F100" s="967"/>
      <c r="G100" s="967"/>
      <c r="H100" s="972"/>
      <c r="I100" s="964" t="s">
        <v>2217</v>
      </c>
    </row>
    <row r="101" spans="1:10" hidden="1">
      <c r="A101" s="896"/>
      <c r="B101" s="966"/>
      <c r="C101" s="1004" t="s">
        <v>100</v>
      </c>
      <c r="D101" s="967"/>
      <c r="E101" s="967"/>
      <c r="F101" s="967"/>
      <c r="G101" s="967"/>
      <c r="H101" s="972"/>
      <c r="I101" s="964" t="s">
        <v>2217</v>
      </c>
    </row>
    <row r="102" spans="1:10" s="965" customFormat="1" hidden="1">
      <c r="A102" s="896"/>
      <c r="B102" s="966"/>
      <c r="C102" s="1004" t="s">
        <v>1</v>
      </c>
      <c r="D102" s="967"/>
      <c r="E102" s="967"/>
      <c r="F102" s="967"/>
      <c r="G102" s="967"/>
      <c r="H102" s="972"/>
      <c r="I102" s="964" t="s">
        <v>2217</v>
      </c>
      <c r="J102" s="901"/>
    </row>
    <row r="103" spans="1:10" s="965" customFormat="1" hidden="1">
      <c r="A103" s="896"/>
      <c r="B103" s="966"/>
      <c r="C103" s="1002" t="s">
        <v>2</v>
      </c>
      <c r="D103" s="1014">
        <v>2</v>
      </c>
      <c r="E103" s="1015">
        <v>1.9</v>
      </c>
      <c r="F103" s="1016">
        <v>0.1</v>
      </c>
      <c r="G103" s="1016">
        <v>7.4999999999999997E-2</v>
      </c>
      <c r="H103" s="1017">
        <f>ROUND(D103*E103*F103*G103,4)</f>
        <v>2.8500000000000001E-2</v>
      </c>
      <c r="I103" s="964" t="s">
        <v>2217</v>
      </c>
      <c r="J103" s="901"/>
    </row>
    <row r="104" spans="1:10" s="965" customFormat="1" hidden="1">
      <c r="A104" s="896"/>
      <c r="B104" s="966"/>
      <c r="C104" s="1002" t="s">
        <v>741</v>
      </c>
      <c r="D104" s="1014">
        <v>1</v>
      </c>
      <c r="E104" s="1015">
        <v>0.9</v>
      </c>
      <c r="F104" s="1016">
        <v>0.1</v>
      </c>
      <c r="G104" s="1016">
        <v>7.4999999999999997E-2</v>
      </c>
      <c r="H104" s="1017">
        <f>ROUND(D104*E104*F104*G104,4)</f>
        <v>6.7999999999999996E-3</v>
      </c>
      <c r="I104" s="964" t="s">
        <v>2217</v>
      </c>
      <c r="J104" s="901"/>
    </row>
    <row r="105" spans="1:10" s="965" customFormat="1" hidden="1">
      <c r="A105" s="896"/>
      <c r="B105" s="966"/>
      <c r="C105" s="1004"/>
      <c r="D105" s="1014"/>
      <c r="E105" s="1014"/>
      <c r="F105" s="1014"/>
      <c r="G105" s="1014"/>
      <c r="H105" s="1021">
        <f>SUM(H103:H104)</f>
        <v>3.5299999999999998E-2</v>
      </c>
      <c r="I105" s="964" t="s">
        <v>2217</v>
      </c>
      <c r="J105" s="901"/>
    </row>
    <row r="106" spans="1:10" s="965" customFormat="1" hidden="1">
      <c r="A106" s="896"/>
      <c r="B106" s="966"/>
      <c r="C106" s="1004" t="s">
        <v>1681</v>
      </c>
      <c r="D106" s="1014">
        <v>2</v>
      </c>
      <c r="E106" s="1015">
        <v>2.0099999999999998</v>
      </c>
      <c r="F106" s="1016">
        <v>0.4</v>
      </c>
      <c r="G106" s="1016">
        <v>0.03</v>
      </c>
      <c r="H106" s="1017">
        <f>ROUND(D106*E106*F106*G106,4)</f>
        <v>4.82E-2</v>
      </c>
      <c r="I106" s="964" t="s">
        <v>2217</v>
      </c>
      <c r="J106" s="901"/>
    </row>
    <row r="107" spans="1:10" s="965" customFormat="1" hidden="1">
      <c r="A107" s="896"/>
      <c r="B107" s="966"/>
      <c r="C107" s="1002"/>
      <c r="D107" s="1014"/>
      <c r="E107" s="1014"/>
      <c r="F107" s="1014"/>
      <c r="G107" s="1014"/>
      <c r="H107" s="1021">
        <f>SUM(H106:H106)</f>
        <v>4.82E-2</v>
      </c>
      <c r="I107" s="964" t="s">
        <v>2217</v>
      </c>
      <c r="J107" s="901"/>
    </row>
    <row r="108" spans="1:10" s="965" customFormat="1" hidden="1">
      <c r="A108" s="896"/>
      <c r="B108" s="966" t="s">
        <v>1682</v>
      </c>
      <c r="C108" s="1002" t="s">
        <v>1683</v>
      </c>
      <c r="E108" s="967" t="s">
        <v>35</v>
      </c>
      <c r="F108" s="976">
        <f>H105</f>
        <v>3.5299999999999998E-2</v>
      </c>
      <c r="G108" s="970">
        <f>'MINI SSR 19-20'!$C$144</f>
        <v>46217</v>
      </c>
      <c r="H108" s="969">
        <f t="shared" ref="H108:H115" si="7">ROUND(F108*G108,2)</f>
        <v>1631.46</v>
      </c>
      <c r="I108" s="964" t="s">
        <v>2217</v>
      </c>
      <c r="J108" s="901"/>
    </row>
    <row r="109" spans="1:10" s="965" customFormat="1" hidden="1">
      <c r="A109" s="896"/>
      <c r="B109" s="966" t="s">
        <v>1684</v>
      </c>
      <c r="C109" s="1002" t="s">
        <v>1685</v>
      </c>
      <c r="E109" s="967" t="s">
        <v>35</v>
      </c>
      <c r="F109" s="976">
        <f>H107</f>
        <v>4.82E-2</v>
      </c>
      <c r="G109" s="970">
        <f>'MINI SSR 19-20'!C145</f>
        <v>58690</v>
      </c>
      <c r="H109" s="969">
        <f t="shared" si="7"/>
        <v>2828.86</v>
      </c>
      <c r="I109" s="964" t="s">
        <v>2217</v>
      </c>
      <c r="J109" s="901"/>
    </row>
    <row r="110" spans="1:10" s="965" customFormat="1" hidden="1">
      <c r="A110" s="896"/>
      <c r="B110" s="966" t="s">
        <v>1394</v>
      </c>
      <c r="C110" s="1002" t="s">
        <v>1686</v>
      </c>
      <c r="D110" s="967"/>
      <c r="E110" s="967" t="s">
        <v>11</v>
      </c>
      <c r="F110" s="988">
        <v>2</v>
      </c>
      <c r="G110" s="970">
        <f>'MINI SSR 19-20'!G143</f>
        <v>84</v>
      </c>
      <c r="H110" s="969">
        <f t="shared" si="7"/>
        <v>168</v>
      </c>
      <c r="I110" s="964" t="s">
        <v>2217</v>
      </c>
      <c r="J110" s="901"/>
    </row>
    <row r="111" spans="1:10" s="965" customFormat="1" hidden="1">
      <c r="A111" s="896"/>
      <c r="B111" s="966" t="s">
        <v>1396</v>
      </c>
      <c r="C111" s="1002" t="s">
        <v>1378</v>
      </c>
      <c r="D111" s="967"/>
      <c r="E111" s="967" t="s">
        <v>11</v>
      </c>
      <c r="F111" s="988">
        <v>6</v>
      </c>
      <c r="G111" s="970">
        <f>'MINI SSR 19-20'!G146</f>
        <v>117</v>
      </c>
      <c r="H111" s="969">
        <f t="shared" si="7"/>
        <v>702</v>
      </c>
      <c r="I111" s="964" t="s">
        <v>2217</v>
      </c>
      <c r="J111" s="901"/>
    </row>
    <row r="112" spans="1:10" s="965" customFormat="1" hidden="1">
      <c r="A112" s="896"/>
      <c r="B112" s="966" t="s">
        <v>1381</v>
      </c>
      <c r="C112" s="1002" t="s">
        <v>1380</v>
      </c>
      <c r="D112" s="967"/>
      <c r="E112" s="967" t="s">
        <v>11</v>
      </c>
      <c r="F112" s="988"/>
      <c r="G112" s="970">
        <f>'MINI SSR 19-20'!G147</f>
        <v>103</v>
      </c>
      <c r="H112" s="969">
        <f t="shared" si="7"/>
        <v>0</v>
      </c>
      <c r="I112" s="964" t="s">
        <v>2217</v>
      </c>
      <c r="J112" s="901"/>
    </row>
    <row r="113" spans="1:10" s="965" customFormat="1" hidden="1">
      <c r="A113" s="896"/>
      <c r="B113" s="966" t="s">
        <v>1398</v>
      </c>
      <c r="C113" s="1002" t="s">
        <v>1687</v>
      </c>
      <c r="D113" s="967"/>
      <c r="E113" s="967" t="s">
        <v>11</v>
      </c>
      <c r="F113" s="988">
        <v>2</v>
      </c>
      <c r="G113" s="970">
        <f>'MINI SSR 19-20'!G149</f>
        <v>308</v>
      </c>
      <c r="H113" s="969">
        <f t="shared" si="7"/>
        <v>616</v>
      </c>
      <c r="I113" s="964" t="s">
        <v>2217</v>
      </c>
      <c r="J113" s="901"/>
    </row>
    <row r="114" spans="1:10" hidden="1">
      <c r="A114" s="896"/>
      <c r="B114" s="966" t="s">
        <v>1688</v>
      </c>
      <c r="C114" s="1002" t="s">
        <v>1689</v>
      </c>
      <c r="D114" s="967"/>
      <c r="E114" s="967" t="s">
        <v>11</v>
      </c>
      <c r="F114" s="988">
        <v>1</v>
      </c>
      <c r="G114" s="970">
        <f>'MINI SSR 19-20'!G155</f>
        <v>53</v>
      </c>
      <c r="H114" s="969">
        <f t="shared" si="7"/>
        <v>53</v>
      </c>
      <c r="I114" s="964" t="s">
        <v>2217</v>
      </c>
    </row>
    <row r="115" spans="1:10" hidden="1">
      <c r="A115" s="896"/>
      <c r="B115" s="966" t="s">
        <v>1387</v>
      </c>
      <c r="C115" s="1002" t="s">
        <v>1386</v>
      </c>
      <c r="D115" s="967"/>
      <c r="E115" s="967" t="s">
        <v>11</v>
      </c>
      <c r="F115" s="988">
        <v>6</v>
      </c>
      <c r="G115" s="970">
        <f>'MINI SSR 19-20'!G152</f>
        <v>32</v>
      </c>
      <c r="H115" s="969">
        <f t="shared" si="7"/>
        <v>192</v>
      </c>
      <c r="I115" s="964" t="s">
        <v>2217</v>
      </c>
    </row>
    <row r="116" spans="1:10" hidden="1">
      <c r="A116" s="896"/>
      <c r="B116" s="966"/>
      <c r="C116" s="1004" t="s">
        <v>68</v>
      </c>
      <c r="D116" s="901"/>
      <c r="E116" s="967"/>
      <c r="F116" s="970"/>
      <c r="G116" s="974"/>
      <c r="H116" s="969"/>
      <c r="I116" s="964" t="s">
        <v>2217</v>
      </c>
    </row>
    <row r="117" spans="1:10" hidden="1">
      <c r="A117" s="896"/>
      <c r="B117" s="967" t="s">
        <v>1690</v>
      </c>
      <c r="C117" s="1002" t="s">
        <v>1388</v>
      </c>
      <c r="D117" s="901"/>
      <c r="E117" s="967" t="s">
        <v>102</v>
      </c>
      <c r="F117" s="970">
        <f>ROUND(0.9*2.1,2)</f>
        <v>1.89</v>
      </c>
      <c r="G117" s="970">
        <f>'MINI SSR 19-20'!$C$150</f>
        <v>1452</v>
      </c>
      <c r="H117" s="969">
        <f>ROUND(F117*G117*1/3,2)</f>
        <v>914.76</v>
      </c>
      <c r="I117" s="964" t="s">
        <v>2217</v>
      </c>
    </row>
    <row r="118" spans="1:10" hidden="1">
      <c r="A118" s="896"/>
      <c r="B118" s="966"/>
      <c r="C118" s="1004"/>
      <c r="D118" s="967"/>
      <c r="E118" s="967"/>
      <c r="F118" s="967"/>
      <c r="G118" s="967"/>
      <c r="H118" s="971">
        <f>SUM(H108:H117)</f>
        <v>7106.08</v>
      </c>
      <c r="I118" s="964" t="s">
        <v>2217</v>
      </c>
    </row>
    <row r="119" spans="1:10" ht="114.75" hidden="1">
      <c r="A119" s="896">
        <v>3</v>
      </c>
      <c r="B119" s="966"/>
      <c r="C119" s="1002" t="s">
        <v>1691</v>
      </c>
      <c r="D119" s="967"/>
      <c r="E119" s="967"/>
      <c r="F119" s="967"/>
      <c r="G119" s="967"/>
      <c r="H119" s="972"/>
      <c r="I119" s="964" t="s">
        <v>2217</v>
      </c>
    </row>
    <row r="120" spans="1:10" hidden="1">
      <c r="A120" s="896"/>
      <c r="B120" s="966"/>
      <c r="C120" s="1004" t="s">
        <v>100</v>
      </c>
      <c r="D120" s="967"/>
      <c r="E120" s="967"/>
      <c r="F120" s="967"/>
      <c r="G120" s="967"/>
      <c r="H120" s="972"/>
      <c r="I120" s="964" t="s">
        <v>2217</v>
      </c>
    </row>
    <row r="121" spans="1:10" s="965" customFormat="1" hidden="1">
      <c r="A121" s="896"/>
      <c r="B121" s="966"/>
      <c r="C121" s="1004" t="s">
        <v>1</v>
      </c>
      <c r="D121" s="967"/>
      <c r="E121" s="967"/>
      <c r="F121" s="967"/>
      <c r="G121" s="967"/>
      <c r="H121" s="972"/>
      <c r="I121" s="964" t="s">
        <v>2217</v>
      </c>
      <c r="J121" s="901"/>
    </row>
    <row r="122" spans="1:10" s="965" customFormat="1" hidden="1">
      <c r="A122" s="896"/>
      <c r="B122" s="966"/>
      <c r="C122" s="1002" t="s">
        <v>2</v>
      </c>
      <c r="D122" s="1014">
        <v>2</v>
      </c>
      <c r="E122" s="1015">
        <v>1.9</v>
      </c>
      <c r="F122" s="1016">
        <v>0.1</v>
      </c>
      <c r="G122" s="1016">
        <v>7.4999999999999997E-2</v>
      </c>
      <c r="H122" s="1017">
        <f>ROUND(D122*E122*F122*G122,4)</f>
        <v>2.8500000000000001E-2</v>
      </c>
      <c r="I122" s="964" t="s">
        <v>2217</v>
      </c>
      <c r="J122" s="901"/>
    </row>
    <row r="123" spans="1:10" s="965" customFormat="1" hidden="1">
      <c r="A123" s="896"/>
      <c r="B123" s="966"/>
      <c r="C123" s="1002" t="s">
        <v>741</v>
      </c>
      <c r="D123" s="1014">
        <v>1</v>
      </c>
      <c r="E123" s="1015">
        <v>0.8</v>
      </c>
      <c r="F123" s="1016">
        <v>0.1</v>
      </c>
      <c r="G123" s="1016">
        <v>7.4999999999999997E-2</v>
      </c>
      <c r="H123" s="1017">
        <f>ROUND(D123*E123*F123*G123,4)</f>
        <v>6.0000000000000001E-3</v>
      </c>
      <c r="I123" s="964" t="s">
        <v>2217</v>
      </c>
      <c r="J123" s="901"/>
    </row>
    <row r="124" spans="1:10" s="965" customFormat="1" hidden="1">
      <c r="A124" s="896"/>
      <c r="B124" s="966"/>
      <c r="C124" s="1004"/>
      <c r="D124" s="1014"/>
      <c r="E124" s="1014"/>
      <c r="F124" s="1014"/>
      <c r="G124" s="1014"/>
      <c r="H124" s="1021">
        <f>SUM(H122:H123)</f>
        <v>3.4500000000000003E-2</v>
      </c>
      <c r="I124" s="964" t="s">
        <v>2217</v>
      </c>
      <c r="J124" s="901"/>
    </row>
    <row r="125" spans="1:10" s="965" customFormat="1" hidden="1">
      <c r="A125" s="896"/>
      <c r="B125" s="966"/>
      <c r="C125" s="1004" t="s">
        <v>1681</v>
      </c>
      <c r="D125" s="1014">
        <v>1</v>
      </c>
      <c r="E125" s="1015">
        <v>2.0099999999999998</v>
      </c>
      <c r="F125" s="1016">
        <v>0.72</v>
      </c>
      <c r="G125" s="1016">
        <v>0.03</v>
      </c>
      <c r="H125" s="1017">
        <f>ROUND(D125*E125*F125*G125,4)</f>
        <v>4.3400000000000001E-2</v>
      </c>
      <c r="I125" s="964" t="s">
        <v>2217</v>
      </c>
      <c r="J125" s="901"/>
    </row>
    <row r="126" spans="1:10" s="965" customFormat="1" hidden="1">
      <c r="A126" s="896"/>
      <c r="B126" s="966"/>
      <c r="C126" s="1002"/>
      <c r="D126" s="1014"/>
      <c r="E126" s="1014"/>
      <c r="F126" s="1014"/>
      <c r="G126" s="1014"/>
      <c r="H126" s="1021">
        <f>SUM(H125:H125)</f>
        <v>4.3400000000000001E-2</v>
      </c>
      <c r="I126" s="964" t="s">
        <v>2217</v>
      </c>
      <c r="J126" s="901"/>
    </row>
    <row r="127" spans="1:10" s="965" customFormat="1" hidden="1">
      <c r="A127" s="896"/>
      <c r="B127" s="966" t="s">
        <v>1682</v>
      </c>
      <c r="C127" s="1002" t="s">
        <v>1683</v>
      </c>
      <c r="E127" s="967" t="s">
        <v>35</v>
      </c>
      <c r="F127" s="976">
        <f>H124</f>
        <v>3.4500000000000003E-2</v>
      </c>
      <c r="G127" s="970">
        <f>'MINI SSR 19-20'!C144</f>
        <v>46217</v>
      </c>
      <c r="H127" s="969">
        <f t="shared" ref="H127:H134" si="8">ROUND(F127*G127,2)</f>
        <v>1594.49</v>
      </c>
      <c r="I127" s="964" t="s">
        <v>2217</v>
      </c>
      <c r="J127" s="901"/>
    </row>
    <row r="128" spans="1:10" s="965" customFormat="1" hidden="1">
      <c r="A128" s="896"/>
      <c r="B128" s="966" t="s">
        <v>1684</v>
      </c>
      <c r="C128" s="1002" t="s">
        <v>1685</v>
      </c>
      <c r="E128" s="967" t="s">
        <v>35</v>
      </c>
      <c r="F128" s="976">
        <f>H126</f>
        <v>4.3400000000000001E-2</v>
      </c>
      <c r="G128" s="970">
        <f>'MINI SSR 19-20'!C145</f>
        <v>58690</v>
      </c>
      <c r="H128" s="969">
        <f t="shared" si="8"/>
        <v>2547.15</v>
      </c>
      <c r="I128" s="964" t="s">
        <v>2217</v>
      </c>
      <c r="J128" s="901"/>
    </row>
    <row r="129" spans="1:10" s="965" customFormat="1" hidden="1">
      <c r="A129" s="896"/>
      <c r="B129" s="966" t="s">
        <v>1394</v>
      </c>
      <c r="C129" s="1002" t="s">
        <v>1686</v>
      </c>
      <c r="D129" s="967"/>
      <c r="E129" s="967" t="s">
        <v>11</v>
      </c>
      <c r="F129" s="988">
        <v>2</v>
      </c>
      <c r="G129" s="970">
        <f t="shared" ref="G129:G134" si="9">G110</f>
        <v>84</v>
      </c>
      <c r="H129" s="969">
        <f t="shared" si="8"/>
        <v>168</v>
      </c>
      <c r="I129" s="964" t="s">
        <v>2217</v>
      </c>
      <c r="J129" s="901"/>
    </row>
    <row r="130" spans="1:10" s="965" customFormat="1" hidden="1">
      <c r="A130" s="896"/>
      <c r="B130" s="966" t="s">
        <v>1396</v>
      </c>
      <c r="C130" s="1002" t="s">
        <v>1378</v>
      </c>
      <c r="D130" s="967"/>
      <c r="E130" s="967" t="s">
        <v>11</v>
      </c>
      <c r="F130" s="988">
        <v>3</v>
      </c>
      <c r="G130" s="970">
        <f t="shared" si="9"/>
        <v>117</v>
      </c>
      <c r="H130" s="969">
        <f t="shared" si="8"/>
        <v>351</v>
      </c>
      <c r="I130" s="964" t="s">
        <v>2217</v>
      </c>
      <c r="J130" s="901"/>
    </row>
    <row r="131" spans="1:10" s="965" customFormat="1" hidden="1">
      <c r="A131" s="896"/>
      <c r="B131" s="966" t="s">
        <v>1381</v>
      </c>
      <c r="C131" s="1002" t="s">
        <v>1380</v>
      </c>
      <c r="D131" s="967"/>
      <c r="E131" s="967" t="s">
        <v>11</v>
      </c>
      <c r="F131" s="988"/>
      <c r="G131" s="970">
        <f t="shared" si="9"/>
        <v>103</v>
      </c>
      <c r="H131" s="969">
        <f t="shared" si="8"/>
        <v>0</v>
      </c>
      <c r="I131" s="964" t="s">
        <v>2217</v>
      </c>
      <c r="J131" s="901"/>
    </row>
    <row r="132" spans="1:10" s="965" customFormat="1" hidden="1">
      <c r="A132" s="896"/>
      <c r="B132" s="966" t="s">
        <v>1398</v>
      </c>
      <c r="C132" s="1002" t="s">
        <v>1687</v>
      </c>
      <c r="D132" s="967"/>
      <c r="E132" s="967" t="s">
        <v>11</v>
      </c>
      <c r="F132" s="988">
        <v>2</v>
      </c>
      <c r="G132" s="970">
        <f t="shared" si="9"/>
        <v>308</v>
      </c>
      <c r="H132" s="969">
        <f t="shared" si="8"/>
        <v>616</v>
      </c>
      <c r="I132" s="964" t="s">
        <v>2217</v>
      </c>
      <c r="J132" s="901"/>
    </row>
    <row r="133" spans="1:10" hidden="1">
      <c r="A133" s="896"/>
      <c r="B133" s="966" t="s">
        <v>1688</v>
      </c>
      <c r="C133" s="1002" t="s">
        <v>1689</v>
      </c>
      <c r="D133" s="967"/>
      <c r="E133" s="967" t="s">
        <v>11</v>
      </c>
      <c r="F133" s="988">
        <v>1</v>
      </c>
      <c r="G133" s="970">
        <f t="shared" si="9"/>
        <v>53</v>
      </c>
      <c r="H133" s="969">
        <f t="shared" si="8"/>
        <v>53</v>
      </c>
      <c r="I133" s="964" t="s">
        <v>2217</v>
      </c>
    </row>
    <row r="134" spans="1:10" hidden="1">
      <c r="A134" s="896"/>
      <c r="B134" s="966" t="s">
        <v>1387</v>
      </c>
      <c r="C134" s="1002" t="s">
        <v>1386</v>
      </c>
      <c r="D134" s="967"/>
      <c r="E134" s="967" t="s">
        <v>11</v>
      </c>
      <c r="F134" s="988">
        <v>6</v>
      </c>
      <c r="G134" s="970">
        <f t="shared" si="9"/>
        <v>32</v>
      </c>
      <c r="H134" s="969">
        <f t="shared" si="8"/>
        <v>192</v>
      </c>
      <c r="I134" s="964" t="s">
        <v>2217</v>
      </c>
    </row>
    <row r="135" spans="1:10" hidden="1">
      <c r="A135" s="896"/>
      <c r="B135" s="966"/>
      <c r="C135" s="1004" t="s">
        <v>68</v>
      </c>
      <c r="D135" s="901"/>
      <c r="E135" s="967"/>
      <c r="F135" s="970"/>
      <c r="G135" s="970"/>
      <c r="H135" s="969"/>
      <c r="I135" s="964" t="s">
        <v>2217</v>
      </c>
    </row>
    <row r="136" spans="1:10" hidden="1">
      <c r="A136" s="896"/>
      <c r="B136" s="967" t="s">
        <v>1690</v>
      </c>
      <c r="C136" s="1002" t="s">
        <v>1388</v>
      </c>
      <c r="D136" s="901"/>
      <c r="E136" s="967" t="s">
        <v>102</v>
      </c>
      <c r="F136" s="970">
        <f>ROUND(0.8*2.1,2)</f>
        <v>1.68</v>
      </c>
      <c r="G136" s="970">
        <f>G117</f>
        <v>1452</v>
      </c>
      <c r="H136" s="969">
        <f>ROUND(F136*G136*1/3,2)</f>
        <v>813.12</v>
      </c>
      <c r="I136" s="964" t="s">
        <v>2217</v>
      </c>
    </row>
    <row r="137" spans="1:10" hidden="1">
      <c r="A137" s="896"/>
      <c r="B137" s="966"/>
      <c r="C137" s="1004"/>
      <c r="D137" s="967"/>
      <c r="E137" s="967"/>
      <c r="F137" s="967"/>
      <c r="G137" s="967"/>
      <c r="H137" s="971">
        <f>SUM(H127:H136)</f>
        <v>6334.76</v>
      </c>
      <c r="I137" s="964" t="s">
        <v>2217</v>
      </c>
    </row>
    <row r="138" spans="1:10" ht="127.5" hidden="1">
      <c r="A138" s="896">
        <v>5</v>
      </c>
      <c r="B138" s="966"/>
      <c r="C138" s="1002" t="s">
        <v>1310</v>
      </c>
      <c r="D138" s="967"/>
      <c r="E138" s="967"/>
      <c r="F138" s="967"/>
      <c r="G138" s="967"/>
      <c r="H138" s="972"/>
      <c r="I138" s="964" t="s">
        <v>2217</v>
      </c>
    </row>
    <row r="139" spans="1:10" hidden="1">
      <c r="A139" s="896"/>
      <c r="B139" s="966"/>
      <c r="C139" s="1004" t="s">
        <v>100</v>
      </c>
      <c r="D139" s="967"/>
      <c r="E139" s="967"/>
      <c r="F139" s="967"/>
      <c r="G139" s="967"/>
      <c r="H139" s="972"/>
      <c r="I139" s="964" t="s">
        <v>2217</v>
      </c>
    </row>
    <row r="140" spans="1:10" s="965" customFormat="1" hidden="1">
      <c r="A140" s="896"/>
      <c r="B140" s="966"/>
      <c r="C140" s="1004" t="s">
        <v>594</v>
      </c>
      <c r="D140" s="967"/>
      <c r="E140" s="967"/>
      <c r="F140" s="967"/>
      <c r="G140" s="967"/>
      <c r="H140" s="972"/>
      <c r="I140" s="964" t="s">
        <v>2217</v>
      </c>
      <c r="J140" s="901"/>
    </row>
    <row r="141" spans="1:10" s="965" customFormat="1" hidden="1">
      <c r="A141" s="896"/>
      <c r="B141" s="966"/>
      <c r="C141" s="1002" t="s">
        <v>2</v>
      </c>
      <c r="D141" s="1014">
        <v>2</v>
      </c>
      <c r="E141" s="1015">
        <v>1.9</v>
      </c>
      <c r="F141" s="1016">
        <v>0.1</v>
      </c>
      <c r="G141" s="1016">
        <v>7.4999999999999997E-2</v>
      </c>
      <c r="H141" s="1017">
        <f>ROUND(D141*E141*F141*G141,4)</f>
        <v>2.8500000000000001E-2</v>
      </c>
      <c r="I141" s="964" t="s">
        <v>2217</v>
      </c>
      <c r="J141" s="901"/>
    </row>
    <row r="142" spans="1:10" s="965" customFormat="1" hidden="1">
      <c r="A142" s="896"/>
      <c r="B142" s="966"/>
      <c r="C142" s="1002" t="s">
        <v>741</v>
      </c>
      <c r="D142" s="1014">
        <v>1</v>
      </c>
      <c r="E142" s="1015">
        <v>1.05</v>
      </c>
      <c r="F142" s="1016">
        <v>0.1</v>
      </c>
      <c r="G142" s="1016">
        <v>7.4999999999999997E-2</v>
      </c>
      <c r="H142" s="1017">
        <f>ROUND(D142*E142*F142*G142,4)</f>
        <v>7.9000000000000008E-3</v>
      </c>
      <c r="I142" s="964" t="s">
        <v>2217</v>
      </c>
      <c r="J142" s="901"/>
    </row>
    <row r="143" spans="1:10" s="965" customFormat="1" hidden="1">
      <c r="A143" s="896"/>
      <c r="B143" s="966"/>
      <c r="C143" s="1004"/>
      <c r="D143" s="1014"/>
      <c r="E143" s="1014"/>
      <c r="F143" s="1014"/>
      <c r="G143" s="1014"/>
      <c r="H143" s="1021">
        <f>SUM(H141:H142)</f>
        <v>3.6400000000000002E-2</v>
      </c>
      <c r="I143" s="964" t="s">
        <v>2217</v>
      </c>
      <c r="J143" s="901"/>
    </row>
    <row r="144" spans="1:10" s="965" customFormat="1" hidden="1">
      <c r="A144" s="896"/>
      <c r="B144" s="966"/>
      <c r="C144" s="1004" t="s">
        <v>320</v>
      </c>
      <c r="D144" s="1014">
        <v>1</v>
      </c>
      <c r="E144" s="1015">
        <v>2.0099999999999998</v>
      </c>
      <c r="F144" s="1016">
        <v>0.94</v>
      </c>
      <c r="G144" s="1016">
        <v>0.03</v>
      </c>
      <c r="H144" s="1017">
        <f>ROUND(D144*E144*F144*G144,4)</f>
        <v>5.67E-2</v>
      </c>
      <c r="I144" s="964" t="s">
        <v>2217</v>
      </c>
      <c r="J144" s="901"/>
    </row>
    <row r="145" spans="1:10" s="965" customFormat="1" hidden="1">
      <c r="A145" s="896"/>
      <c r="B145" s="966"/>
      <c r="C145" s="1002"/>
      <c r="D145" s="1014"/>
      <c r="E145" s="1014"/>
      <c r="F145" s="1014"/>
      <c r="G145" s="1014"/>
      <c r="H145" s="1021">
        <f>SUM(H144:H144)</f>
        <v>5.67E-2</v>
      </c>
      <c r="I145" s="964" t="s">
        <v>2217</v>
      </c>
      <c r="J145" s="901"/>
    </row>
    <row r="146" spans="1:10" s="965" customFormat="1" hidden="1">
      <c r="A146" s="896"/>
      <c r="B146" s="966" t="s">
        <v>1373</v>
      </c>
      <c r="C146" s="1002" t="s">
        <v>1372</v>
      </c>
      <c r="E146" s="967" t="s">
        <v>35</v>
      </c>
      <c r="F146" s="976">
        <f>H143</f>
        <v>3.6400000000000002E-2</v>
      </c>
      <c r="G146" s="970">
        <f>'MINI SSR 19-20'!$C$142</f>
        <v>71195</v>
      </c>
      <c r="H146" s="969">
        <f t="shared" ref="H146:H153" si="10">ROUND(F146*G146,2)</f>
        <v>2591.5</v>
      </c>
      <c r="I146" s="964" t="s">
        <v>2217</v>
      </c>
      <c r="J146" s="901"/>
    </row>
    <row r="147" spans="1:10" s="965" customFormat="1" hidden="1">
      <c r="A147" s="896"/>
      <c r="B147" s="966" t="s">
        <v>1375</v>
      </c>
      <c r="C147" s="1002" t="s">
        <v>1374</v>
      </c>
      <c r="E147" s="967" t="s">
        <v>35</v>
      </c>
      <c r="F147" s="976">
        <f>H145</f>
        <v>5.67E-2</v>
      </c>
      <c r="G147" s="970">
        <f>'MINI SSR 19-20'!C143</f>
        <v>142391</v>
      </c>
      <c r="H147" s="969">
        <f t="shared" si="10"/>
        <v>8073.57</v>
      </c>
      <c r="I147" s="964" t="s">
        <v>2217</v>
      </c>
      <c r="J147" s="901"/>
    </row>
    <row r="148" spans="1:10" s="965" customFormat="1" hidden="1">
      <c r="A148" s="896"/>
      <c r="B148" s="966" t="s">
        <v>1377</v>
      </c>
      <c r="C148" s="1002" t="s">
        <v>1376</v>
      </c>
      <c r="D148" s="967"/>
      <c r="E148" s="967" t="s">
        <v>11</v>
      </c>
      <c r="F148" s="988">
        <v>2</v>
      </c>
      <c r="G148" s="970">
        <f t="shared" ref="G148:G153" si="11">G17</f>
        <v>231</v>
      </c>
      <c r="H148" s="969">
        <f t="shared" si="10"/>
        <v>462</v>
      </c>
      <c r="I148" s="964" t="s">
        <v>2217</v>
      </c>
      <c r="J148" s="901"/>
    </row>
    <row r="149" spans="1:10" s="965" customFormat="1" hidden="1">
      <c r="A149" s="896"/>
      <c r="B149" s="966" t="s">
        <v>1379</v>
      </c>
      <c r="C149" s="1002" t="s">
        <v>1378</v>
      </c>
      <c r="D149" s="967"/>
      <c r="E149" s="967" t="s">
        <v>11</v>
      </c>
      <c r="F149" s="988">
        <v>3</v>
      </c>
      <c r="G149" s="970">
        <f t="shared" si="11"/>
        <v>246</v>
      </c>
      <c r="H149" s="969">
        <f t="shared" si="10"/>
        <v>738</v>
      </c>
      <c r="I149" s="964" t="s">
        <v>2217</v>
      </c>
      <c r="J149" s="901"/>
    </row>
    <row r="150" spans="1:10" s="965" customFormat="1" hidden="1">
      <c r="A150" s="896"/>
      <c r="B150" s="966" t="s">
        <v>1381</v>
      </c>
      <c r="C150" s="1002" t="s">
        <v>1380</v>
      </c>
      <c r="D150" s="967"/>
      <c r="E150" s="967" t="s">
        <v>11</v>
      </c>
      <c r="F150" s="988"/>
      <c r="G150" s="970">
        <f t="shared" si="11"/>
        <v>103</v>
      </c>
      <c r="H150" s="969">
        <f t="shared" si="10"/>
        <v>0</v>
      </c>
      <c r="I150" s="964" t="s">
        <v>2217</v>
      </c>
      <c r="J150" s="901"/>
    </row>
    <row r="151" spans="1:10" s="965" customFormat="1" hidden="1">
      <c r="A151" s="896"/>
      <c r="B151" s="966" t="s">
        <v>1383</v>
      </c>
      <c r="C151" s="1002" t="s">
        <v>1382</v>
      </c>
      <c r="D151" s="967"/>
      <c r="E151" s="967" t="s">
        <v>11</v>
      </c>
      <c r="F151" s="988">
        <v>2</v>
      </c>
      <c r="G151" s="970">
        <f t="shared" si="11"/>
        <v>1087</v>
      </c>
      <c r="H151" s="969">
        <f t="shared" si="10"/>
        <v>2174</v>
      </c>
      <c r="I151" s="964" t="s">
        <v>2217</v>
      </c>
      <c r="J151" s="901"/>
    </row>
    <row r="152" spans="1:10" hidden="1">
      <c r="A152" s="896"/>
      <c r="B152" s="966" t="s">
        <v>1385</v>
      </c>
      <c r="C152" s="1002" t="s">
        <v>1384</v>
      </c>
      <c r="D152" s="967"/>
      <c r="E152" s="967" t="s">
        <v>11</v>
      </c>
      <c r="F152" s="988">
        <v>1</v>
      </c>
      <c r="G152" s="970">
        <f t="shared" si="11"/>
        <v>168</v>
      </c>
      <c r="H152" s="969">
        <f t="shared" si="10"/>
        <v>168</v>
      </c>
      <c r="I152" s="964" t="s">
        <v>2217</v>
      </c>
    </row>
    <row r="153" spans="1:10" hidden="1">
      <c r="A153" s="896"/>
      <c r="B153" s="966" t="s">
        <v>1387</v>
      </c>
      <c r="C153" s="1002" t="s">
        <v>1386</v>
      </c>
      <c r="D153" s="967"/>
      <c r="E153" s="967" t="s">
        <v>11</v>
      </c>
      <c r="F153" s="988">
        <v>6</v>
      </c>
      <c r="G153" s="970">
        <f t="shared" si="11"/>
        <v>32</v>
      </c>
      <c r="H153" s="969">
        <f t="shared" si="10"/>
        <v>192</v>
      </c>
      <c r="I153" s="964" t="s">
        <v>2217</v>
      </c>
    </row>
    <row r="154" spans="1:10" hidden="1">
      <c r="A154" s="896"/>
      <c r="B154" s="966"/>
      <c r="C154" s="1004" t="s">
        <v>68</v>
      </c>
      <c r="D154" s="901"/>
      <c r="E154" s="967"/>
      <c r="F154" s="970"/>
      <c r="G154" s="970"/>
      <c r="H154" s="969"/>
      <c r="I154" s="964" t="s">
        <v>2217</v>
      </c>
    </row>
    <row r="155" spans="1:10" hidden="1">
      <c r="A155" s="896"/>
      <c r="B155" s="967" t="s">
        <v>1389</v>
      </c>
      <c r="C155" s="1002" t="s">
        <v>1388</v>
      </c>
      <c r="D155" s="901"/>
      <c r="E155" s="967" t="s">
        <v>102</v>
      </c>
      <c r="F155" s="970">
        <f>ROUND(1.05*2.1,2)</f>
        <v>2.21</v>
      </c>
      <c r="G155" s="970">
        <f>G24</f>
        <v>1570</v>
      </c>
      <c r="H155" s="969">
        <f>ROUND(F155*G155*1/3,2)</f>
        <v>1156.57</v>
      </c>
      <c r="I155" s="964" t="s">
        <v>2217</v>
      </c>
    </row>
    <row r="156" spans="1:10" hidden="1">
      <c r="A156" s="896"/>
      <c r="B156" s="966"/>
      <c r="C156" s="1004"/>
      <c r="D156" s="967"/>
      <c r="E156" s="967"/>
      <c r="F156" s="967"/>
      <c r="G156" s="967"/>
      <c r="H156" s="971">
        <f>SUM(H146:H155)</f>
        <v>15555.64</v>
      </c>
      <c r="I156" s="964" t="s">
        <v>2217</v>
      </c>
    </row>
    <row r="157" spans="1:10" ht="127.5" hidden="1">
      <c r="A157" s="896">
        <v>4</v>
      </c>
      <c r="B157" s="966"/>
      <c r="C157" s="1002" t="s">
        <v>2204</v>
      </c>
      <c r="D157" s="967"/>
      <c r="E157" s="967"/>
      <c r="F157" s="967"/>
      <c r="G157" s="967"/>
      <c r="H157" s="972"/>
      <c r="I157" s="964" t="s">
        <v>2217</v>
      </c>
    </row>
    <row r="158" spans="1:10" hidden="1">
      <c r="A158" s="896"/>
      <c r="B158" s="966"/>
      <c r="C158" s="1004" t="s">
        <v>100</v>
      </c>
      <c r="D158" s="967"/>
      <c r="E158" s="967"/>
      <c r="F158" s="967"/>
      <c r="G158" s="967"/>
      <c r="H158" s="972"/>
      <c r="I158" s="964" t="s">
        <v>2217</v>
      </c>
    </row>
    <row r="159" spans="1:10" s="965" customFormat="1" hidden="1">
      <c r="A159" s="896"/>
      <c r="B159" s="966"/>
      <c r="C159" s="1004" t="s">
        <v>60</v>
      </c>
      <c r="D159" s="967"/>
      <c r="E159" s="967"/>
      <c r="F159" s="967"/>
      <c r="G159" s="967"/>
      <c r="H159" s="972"/>
      <c r="I159" s="964" t="s">
        <v>2217</v>
      </c>
      <c r="J159" s="901"/>
    </row>
    <row r="160" spans="1:10" s="965" customFormat="1" hidden="1">
      <c r="A160" s="896"/>
      <c r="B160" s="966"/>
      <c r="C160" s="1004" t="s">
        <v>1</v>
      </c>
      <c r="D160" s="967"/>
      <c r="E160" s="967"/>
      <c r="F160" s="967"/>
      <c r="G160" s="967"/>
      <c r="H160" s="972"/>
      <c r="I160" s="964" t="s">
        <v>2217</v>
      </c>
      <c r="J160" s="901"/>
    </row>
    <row r="161" spans="1:12" s="965" customFormat="1" hidden="1">
      <c r="A161" s="896"/>
      <c r="B161" s="966"/>
      <c r="C161" s="1002" t="s">
        <v>2</v>
      </c>
      <c r="D161" s="1014">
        <v>2</v>
      </c>
      <c r="E161" s="1015">
        <v>1.95</v>
      </c>
      <c r="F161" s="1016">
        <v>0.1</v>
      </c>
      <c r="G161" s="1016">
        <v>7.4999999999999997E-2</v>
      </c>
      <c r="H161" s="1017">
        <f>ROUND(D161*E161*F161*G161,4)</f>
        <v>2.93E-2</v>
      </c>
      <c r="I161" s="964" t="s">
        <v>2217</v>
      </c>
      <c r="J161" s="901"/>
    </row>
    <row r="162" spans="1:12" s="965" customFormat="1" hidden="1">
      <c r="A162" s="896"/>
      <c r="B162" s="966"/>
      <c r="C162" s="1002" t="s">
        <v>741</v>
      </c>
      <c r="D162" s="1014">
        <v>2</v>
      </c>
      <c r="E162" s="1015">
        <v>1.05</v>
      </c>
      <c r="F162" s="1016">
        <v>0.1</v>
      </c>
      <c r="G162" s="1016">
        <v>7.4999999999999997E-2</v>
      </c>
      <c r="H162" s="1017">
        <f>ROUND(D162*E162*F162*G162,4)</f>
        <v>1.5800000000000002E-2</v>
      </c>
      <c r="I162" s="964" t="s">
        <v>2217</v>
      </c>
      <c r="J162" s="901"/>
    </row>
    <row r="163" spans="1:12" s="965" customFormat="1" hidden="1">
      <c r="A163" s="896"/>
      <c r="B163" s="966"/>
      <c r="C163" s="1004"/>
      <c r="D163" s="967"/>
      <c r="E163" s="967"/>
      <c r="F163" s="967"/>
      <c r="G163" s="967"/>
      <c r="H163" s="1018">
        <f>SUM(H161:H162)</f>
        <v>4.5100000000000001E-2</v>
      </c>
      <c r="I163" s="964" t="s">
        <v>2217</v>
      </c>
      <c r="J163" s="901"/>
    </row>
    <row r="164" spans="1:12" s="965" customFormat="1" hidden="1">
      <c r="A164" s="896"/>
      <c r="B164" s="966" t="s">
        <v>1373</v>
      </c>
      <c r="C164" s="1002" t="s">
        <v>1372</v>
      </c>
      <c r="D164" s="967"/>
      <c r="E164" s="967" t="s">
        <v>35</v>
      </c>
      <c r="F164" s="976">
        <f>H163</f>
        <v>4.5100000000000001E-2</v>
      </c>
      <c r="G164" s="970">
        <f>'MINI SSR 19-20'!$C$142</f>
        <v>71195</v>
      </c>
      <c r="H164" s="969">
        <f t="shared" ref="H164:H172" si="12">ROUND(F164*G164,2)</f>
        <v>3210.89</v>
      </c>
      <c r="I164" s="964" t="s">
        <v>2217</v>
      </c>
      <c r="J164" s="901"/>
    </row>
    <row r="165" spans="1:12" s="965" customFormat="1" hidden="1">
      <c r="A165" s="896"/>
      <c r="B165" s="967" t="s">
        <v>2092</v>
      </c>
      <c r="C165" s="1002" t="s">
        <v>2093</v>
      </c>
      <c r="D165" s="967"/>
      <c r="E165" s="967" t="s">
        <v>102</v>
      </c>
      <c r="F165" s="976">
        <f>ROUND(0.74*1.995,2)</f>
        <v>1.48</v>
      </c>
      <c r="G165" s="970">
        <f>'MINI SSR 19-20'!$C$148</f>
        <v>1790</v>
      </c>
      <c r="H165" s="969">
        <f t="shared" si="12"/>
        <v>2649.2</v>
      </c>
      <c r="I165" s="964" t="s">
        <v>2217</v>
      </c>
      <c r="J165" s="901"/>
      <c r="K165" s="965">
        <f>(1*0.775)/1.05</f>
        <v>0.73809523809523814</v>
      </c>
    </row>
    <row r="166" spans="1:12" s="965" customFormat="1" hidden="1">
      <c r="A166" s="896"/>
      <c r="B166" s="967" t="s">
        <v>2094</v>
      </c>
      <c r="C166" s="1002" t="s">
        <v>2098</v>
      </c>
      <c r="D166" s="967"/>
      <c r="E166" s="967" t="s">
        <v>102</v>
      </c>
      <c r="F166" s="976">
        <f>F165</f>
        <v>1.48</v>
      </c>
      <c r="G166" s="970">
        <f>'MINI SSR 19-20'!$C$151</f>
        <v>754</v>
      </c>
      <c r="H166" s="969">
        <f t="shared" si="12"/>
        <v>1115.92</v>
      </c>
      <c r="I166" s="964" t="s">
        <v>2217</v>
      </c>
      <c r="J166" s="901"/>
    </row>
    <row r="167" spans="1:12" hidden="1">
      <c r="A167" s="896"/>
      <c r="B167" s="967" t="s">
        <v>1394</v>
      </c>
      <c r="C167" s="1002" t="s">
        <v>1393</v>
      </c>
      <c r="D167" s="967"/>
      <c r="E167" s="967" t="s">
        <v>11</v>
      </c>
      <c r="F167" s="988">
        <v>2</v>
      </c>
      <c r="G167" s="970">
        <f>'MINI SSR 19-20'!$G$143</f>
        <v>84</v>
      </c>
      <c r="H167" s="969">
        <f t="shared" si="12"/>
        <v>168</v>
      </c>
      <c r="I167" s="964" t="s">
        <v>2217</v>
      </c>
    </row>
    <row r="168" spans="1:12" hidden="1">
      <c r="A168" s="896"/>
      <c r="B168" s="967" t="s">
        <v>1396</v>
      </c>
      <c r="C168" s="1002" t="s">
        <v>1395</v>
      </c>
      <c r="D168" s="967"/>
      <c r="E168" s="967" t="s">
        <v>11</v>
      </c>
      <c r="F168" s="988">
        <v>3</v>
      </c>
      <c r="G168" s="970">
        <f>'MINI SSR 19-20'!$G$146</f>
        <v>117</v>
      </c>
      <c r="H168" s="969">
        <f t="shared" si="12"/>
        <v>351</v>
      </c>
      <c r="I168" s="964" t="s">
        <v>2217</v>
      </c>
    </row>
    <row r="169" spans="1:12" hidden="1">
      <c r="A169" s="896"/>
      <c r="B169" s="967" t="s">
        <v>1381</v>
      </c>
      <c r="C169" s="1002" t="s">
        <v>1380</v>
      </c>
      <c r="D169" s="967"/>
      <c r="E169" s="967" t="s">
        <v>11</v>
      </c>
      <c r="F169" s="988">
        <v>2</v>
      </c>
      <c r="G169" s="970">
        <f>'MINI SSR 19-20'!$G$144</f>
        <v>103</v>
      </c>
      <c r="H169" s="969">
        <f t="shared" si="12"/>
        <v>206</v>
      </c>
      <c r="I169" s="964" t="s">
        <v>2217</v>
      </c>
    </row>
    <row r="170" spans="1:12" hidden="1">
      <c r="A170" s="896"/>
      <c r="B170" s="967" t="s">
        <v>1398</v>
      </c>
      <c r="C170" s="1002" t="s">
        <v>1397</v>
      </c>
      <c r="D170" s="967"/>
      <c r="E170" s="967" t="s">
        <v>11</v>
      </c>
      <c r="F170" s="988">
        <v>2</v>
      </c>
      <c r="G170" s="970">
        <f>'MINI SSR 19-20'!$G$149</f>
        <v>308</v>
      </c>
      <c r="H170" s="969">
        <f t="shared" si="12"/>
        <v>616</v>
      </c>
      <c r="I170" s="964" t="s">
        <v>2217</v>
      </c>
    </row>
    <row r="171" spans="1:12" hidden="1">
      <c r="A171" s="896"/>
      <c r="B171" s="967" t="s">
        <v>1400</v>
      </c>
      <c r="C171" s="1002" t="s">
        <v>1399</v>
      </c>
      <c r="D171" s="967"/>
      <c r="E171" s="967" t="s">
        <v>11</v>
      </c>
      <c r="F171" s="988">
        <v>1</v>
      </c>
      <c r="G171" s="970">
        <f>'MINI SSR 19-20'!$G$155</f>
        <v>53</v>
      </c>
      <c r="H171" s="969">
        <f t="shared" si="12"/>
        <v>53</v>
      </c>
      <c r="I171" s="964" t="s">
        <v>2217</v>
      </c>
    </row>
    <row r="172" spans="1:12" hidden="1">
      <c r="A172" s="896"/>
      <c r="B172" s="967" t="s">
        <v>1387</v>
      </c>
      <c r="C172" s="1002" t="s">
        <v>1386</v>
      </c>
      <c r="D172" s="967"/>
      <c r="E172" s="967" t="s">
        <v>11</v>
      </c>
      <c r="F172" s="988">
        <v>6</v>
      </c>
      <c r="G172" s="970">
        <f>'MINI SSR 19-20'!$G$152</f>
        <v>32</v>
      </c>
      <c r="H172" s="969">
        <f t="shared" si="12"/>
        <v>192</v>
      </c>
      <c r="I172" s="964" t="s">
        <v>2217</v>
      </c>
    </row>
    <row r="173" spans="1:12" hidden="1">
      <c r="A173" s="967"/>
      <c r="B173" s="967"/>
      <c r="C173" s="1004" t="s">
        <v>68</v>
      </c>
      <c r="D173" s="967"/>
      <c r="E173" s="967"/>
      <c r="F173" s="970"/>
      <c r="G173" s="974"/>
      <c r="H173" s="969"/>
      <c r="I173" s="964" t="s">
        <v>2217</v>
      </c>
    </row>
    <row r="174" spans="1:12" ht="25.5" hidden="1">
      <c r="A174" s="967"/>
      <c r="B174" s="967" t="s">
        <v>1389</v>
      </c>
      <c r="C174" s="1002" t="s">
        <v>1401</v>
      </c>
      <c r="D174" s="967"/>
      <c r="E174" s="967" t="s">
        <v>102</v>
      </c>
      <c r="F174" s="970">
        <f>ROUND(1.05*2.1,2)</f>
        <v>2.21</v>
      </c>
      <c r="G174" s="970">
        <f>'MINI SSR 19-20'!$C$150</f>
        <v>1452</v>
      </c>
      <c r="H174" s="969">
        <f>ROUND(F174*G174*1/3,2)</f>
        <v>1069.6400000000001</v>
      </c>
      <c r="I174" s="964" t="s">
        <v>2217</v>
      </c>
      <c r="L174" s="1019"/>
    </row>
    <row r="175" spans="1:12" ht="13.5" hidden="1" thickBot="1">
      <c r="A175" s="967"/>
      <c r="B175" s="967"/>
      <c r="C175" s="1004"/>
      <c r="D175" s="967"/>
      <c r="E175" s="967"/>
      <c r="F175" s="967"/>
      <c r="G175" s="967"/>
      <c r="H175" s="971">
        <f>SUM(H164:H174)</f>
        <v>9631.65</v>
      </c>
      <c r="I175" s="964" t="s">
        <v>2217</v>
      </c>
      <c r="L175" s="1020">
        <f>SUM(L174)</f>
        <v>0</v>
      </c>
    </row>
    <row r="176" spans="1:12" ht="127.5" hidden="1">
      <c r="A176" s="896">
        <v>5</v>
      </c>
      <c r="B176" s="966"/>
      <c r="C176" s="1002" t="s">
        <v>2138</v>
      </c>
      <c r="D176" s="967"/>
      <c r="E176" s="967"/>
      <c r="F176" s="967"/>
      <c r="G176" s="967"/>
      <c r="H176" s="972"/>
      <c r="I176" s="964" t="s">
        <v>2217</v>
      </c>
    </row>
    <row r="177" spans="1:10" hidden="1">
      <c r="A177" s="896"/>
      <c r="B177" s="966"/>
      <c r="C177" s="1004" t="s">
        <v>100</v>
      </c>
      <c r="D177" s="967"/>
      <c r="E177" s="967"/>
      <c r="F177" s="967"/>
      <c r="G177" s="967"/>
      <c r="H177" s="972"/>
      <c r="I177" s="964" t="s">
        <v>2217</v>
      </c>
    </row>
    <row r="178" spans="1:10" s="965" customFormat="1" hidden="1">
      <c r="A178" s="896"/>
      <c r="B178" s="966"/>
      <c r="C178" s="1004" t="s">
        <v>60</v>
      </c>
      <c r="D178" s="967"/>
      <c r="E178" s="967"/>
      <c r="F178" s="967"/>
      <c r="G178" s="967"/>
      <c r="H178" s="972"/>
      <c r="I178" s="964" t="s">
        <v>2217</v>
      </c>
      <c r="J178" s="901"/>
    </row>
    <row r="179" spans="1:10" s="965" customFormat="1" hidden="1">
      <c r="A179" s="896"/>
      <c r="B179" s="966"/>
      <c r="C179" s="1004" t="s">
        <v>1</v>
      </c>
      <c r="D179" s="967"/>
      <c r="E179" s="967"/>
      <c r="F179" s="967"/>
      <c r="G179" s="967"/>
      <c r="H179" s="972"/>
      <c r="I179" s="964" t="s">
        <v>2217</v>
      </c>
      <c r="J179" s="901"/>
    </row>
    <row r="180" spans="1:10" s="965" customFormat="1" hidden="1">
      <c r="A180" s="896"/>
      <c r="B180" s="966"/>
      <c r="C180" s="1002" t="s">
        <v>2</v>
      </c>
      <c r="D180" s="1014">
        <v>2</v>
      </c>
      <c r="E180" s="1015">
        <v>1.95</v>
      </c>
      <c r="F180" s="1016">
        <v>0.1</v>
      </c>
      <c r="G180" s="1016">
        <v>7.4999999999999997E-2</v>
      </c>
      <c r="H180" s="1017">
        <f>ROUND(D180*E180*F180*G180,4)</f>
        <v>2.93E-2</v>
      </c>
      <c r="I180" s="964" t="s">
        <v>2217</v>
      </c>
      <c r="J180" s="901"/>
    </row>
    <row r="181" spans="1:10" s="965" customFormat="1" hidden="1">
      <c r="A181" s="896"/>
      <c r="B181" s="966"/>
      <c r="C181" s="1002" t="s">
        <v>741</v>
      </c>
      <c r="D181" s="1014">
        <v>2</v>
      </c>
      <c r="E181" s="1015">
        <v>0.9</v>
      </c>
      <c r="F181" s="1016">
        <v>0.1</v>
      </c>
      <c r="G181" s="1016">
        <v>7.4999999999999997E-2</v>
      </c>
      <c r="H181" s="1017">
        <f>ROUND(D181*E181*F181*G181,4)</f>
        <v>1.35E-2</v>
      </c>
      <c r="I181" s="964" t="s">
        <v>2217</v>
      </c>
      <c r="J181" s="901"/>
    </row>
    <row r="182" spans="1:10" s="965" customFormat="1" hidden="1">
      <c r="A182" s="896"/>
      <c r="B182" s="966"/>
      <c r="C182" s="1004"/>
      <c r="D182" s="967"/>
      <c r="E182" s="967"/>
      <c r="F182" s="967"/>
      <c r="G182" s="967"/>
      <c r="H182" s="1018">
        <f>SUM(H180:H181)</f>
        <v>4.2799999999999998E-2</v>
      </c>
      <c r="I182" s="964" t="s">
        <v>2217</v>
      </c>
      <c r="J182" s="901"/>
    </row>
    <row r="183" spans="1:10" s="965" customFormat="1" hidden="1">
      <c r="A183" s="896"/>
      <c r="B183" s="966" t="s">
        <v>1373</v>
      </c>
      <c r="C183" s="1002" t="s">
        <v>1372</v>
      </c>
      <c r="D183" s="967"/>
      <c r="E183" s="967" t="s">
        <v>35</v>
      </c>
      <c r="F183" s="976">
        <f>H182</f>
        <v>4.2799999999999998E-2</v>
      </c>
      <c r="G183" s="970">
        <f>'MINI SSR 19-20'!$C$142</f>
        <v>71195</v>
      </c>
      <c r="H183" s="969">
        <f t="shared" ref="H183:H191" si="13">ROUND(F183*G183,2)</f>
        <v>3047.15</v>
      </c>
      <c r="I183" s="964" t="s">
        <v>2217</v>
      </c>
      <c r="J183" s="901"/>
    </row>
    <row r="184" spans="1:10" s="965" customFormat="1" hidden="1">
      <c r="A184" s="896"/>
      <c r="B184" s="967" t="s">
        <v>2092</v>
      </c>
      <c r="C184" s="1002" t="s">
        <v>2093</v>
      </c>
      <c r="D184" s="967"/>
      <c r="E184" s="967" t="s">
        <v>102</v>
      </c>
      <c r="F184" s="976">
        <f>ROUND(0.66*1.995,2)</f>
        <v>1.32</v>
      </c>
      <c r="G184" s="970">
        <f>'MINI SSR 19-20'!$C$148</f>
        <v>1790</v>
      </c>
      <c r="H184" s="969">
        <f t="shared" si="13"/>
        <v>2362.8000000000002</v>
      </c>
      <c r="I184" s="964" t="s">
        <v>2217</v>
      </c>
      <c r="J184" s="901"/>
    </row>
    <row r="185" spans="1:10" s="965" customFormat="1" hidden="1">
      <c r="A185" s="896"/>
      <c r="B185" s="967" t="s">
        <v>2094</v>
      </c>
      <c r="C185" s="1002" t="s">
        <v>2098</v>
      </c>
      <c r="D185" s="967"/>
      <c r="E185" s="967" t="s">
        <v>102</v>
      </c>
      <c r="F185" s="976">
        <f>F184</f>
        <v>1.32</v>
      </c>
      <c r="G185" s="970">
        <f>'MINI SSR 19-20'!$C$151</f>
        <v>754</v>
      </c>
      <c r="H185" s="969">
        <f t="shared" si="13"/>
        <v>995.28</v>
      </c>
      <c r="I185" s="964" t="s">
        <v>2217</v>
      </c>
      <c r="J185" s="901"/>
    </row>
    <row r="186" spans="1:10" hidden="1">
      <c r="A186" s="896"/>
      <c r="B186" s="967" t="s">
        <v>1394</v>
      </c>
      <c r="C186" s="1002" t="s">
        <v>1393</v>
      </c>
      <c r="D186" s="967"/>
      <c r="E186" s="967" t="s">
        <v>11</v>
      </c>
      <c r="F186" s="988">
        <v>2</v>
      </c>
      <c r="G186" s="970">
        <f>'MINI SSR 19-20'!$G$143</f>
        <v>84</v>
      </c>
      <c r="H186" s="969">
        <f t="shared" si="13"/>
        <v>168</v>
      </c>
      <c r="I186" s="964" t="s">
        <v>2217</v>
      </c>
    </row>
    <row r="187" spans="1:10" hidden="1">
      <c r="A187" s="896"/>
      <c r="B187" s="967" t="s">
        <v>1396</v>
      </c>
      <c r="C187" s="1002" t="s">
        <v>1395</v>
      </c>
      <c r="D187" s="967"/>
      <c r="E187" s="967" t="s">
        <v>11</v>
      </c>
      <c r="F187" s="988">
        <v>3</v>
      </c>
      <c r="G187" s="970">
        <f>'MINI SSR 19-20'!$G$146</f>
        <v>117</v>
      </c>
      <c r="H187" s="969">
        <f t="shared" si="13"/>
        <v>351</v>
      </c>
      <c r="I187" s="964" t="s">
        <v>2217</v>
      </c>
    </row>
    <row r="188" spans="1:10" hidden="1">
      <c r="A188" s="896"/>
      <c r="B188" s="967" t="s">
        <v>1381</v>
      </c>
      <c r="C188" s="1002" t="s">
        <v>1380</v>
      </c>
      <c r="D188" s="967"/>
      <c r="E188" s="967" t="s">
        <v>11</v>
      </c>
      <c r="F188" s="988">
        <v>2</v>
      </c>
      <c r="G188" s="970">
        <f>'MINI SSR 19-20'!$G$144</f>
        <v>103</v>
      </c>
      <c r="H188" s="969">
        <f t="shared" si="13"/>
        <v>206</v>
      </c>
      <c r="I188" s="964" t="s">
        <v>2217</v>
      </c>
    </row>
    <row r="189" spans="1:10" hidden="1">
      <c r="A189" s="896"/>
      <c r="B189" s="967" t="s">
        <v>1398</v>
      </c>
      <c r="C189" s="1002" t="s">
        <v>1397</v>
      </c>
      <c r="D189" s="967"/>
      <c r="E189" s="967" t="s">
        <v>11</v>
      </c>
      <c r="F189" s="988">
        <v>2</v>
      </c>
      <c r="G189" s="970">
        <f>'MINI SSR 19-20'!$G$149</f>
        <v>308</v>
      </c>
      <c r="H189" s="969">
        <f t="shared" si="13"/>
        <v>616</v>
      </c>
      <c r="I189" s="964" t="s">
        <v>2217</v>
      </c>
    </row>
    <row r="190" spans="1:10" hidden="1">
      <c r="A190" s="896"/>
      <c r="B190" s="967" t="s">
        <v>1400</v>
      </c>
      <c r="C190" s="1002" t="s">
        <v>1399</v>
      </c>
      <c r="D190" s="967"/>
      <c r="E190" s="967" t="s">
        <v>11</v>
      </c>
      <c r="F190" s="988">
        <v>1</v>
      </c>
      <c r="G190" s="970">
        <f>'MINI SSR 19-20'!$G$155</f>
        <v>53</v>
      </c>
      <c r="H190" s="969">
        <f t="shared" si="13"/>
        <v>53</v>
      </c>
      <c r="I190" s="964" t="s">
        <v>2217</v>
      </c>
    </row>
    <row r="191" spans="1:10" hidden="1">
      <c r="A191" s="896"/>
      <c r="B191" s="967" t="s">
        <v>1387</v>
      </c>
      <c r="C191" s="1002" t="s">
        <v>1386</v>
      </c>
      <c r="D191" s="967"/>
      <c r="E191" s="967" t="s">
        <v>11</v>
      </c>
      <c r="F191" s="988">
        <v>6</v>
      </c>
      <c r="G191" s="970">
        <f>'MINI SSR 19-20'!$G$152</f>
        <v>32</v>
      </c>
      <c r="H191" s="969">
        <f t="shared" si="13"/>
        <v>192</v>
      </c>
      <c r="I191" s="964" t="s">
        <v>2217</v>
      </c>
    </row>
    <row r="192" spans="1:10" hidden="1">
      <c r="A192" s="967"/>
      <c r="B192" s="967"/>
      <c r="C192" s="1004" t="s">
        <v>68</v>
      </c>
      <c r="D192" s="967"/>
      <c r="E192" s="967"/>
      <c r="F192" s="970"/>
      <c r="G192" s="974"/>
      <c r="H192" s="969"/>
      <c r="I192" s="964" t="s">
        <v>2217</v>
      </c>
    </row>
    <row r="193" spans="1:12" ht="25.5" hidden="1">
      <c r="A193" s="967"/>
      <c r="B193" s="967" t="s">
        <v>1389</v>
      </c>
      <c r="C193" s="1002" t="s">
        <v>1401</v>
      </c>
      <c r="D193" s="967"/>
      <c r="E193" s="967" t="s">
        <v>102</v>
      </c>
      <c r="F193" s="970">
        <f>ROUND(0.9*2.1,2)</f>
        <v>1.89</v>
      </c>
      <c r="G193" s="970">
        <f>'MINI SSR 19-20'!$C$150</f>
        <v>1452</v>
      </c>
      <c r="H193" s="969">
        <f>ROUND(F193*G193*1/3,2)</f>
        <v>914.76</v>
      </c>
      <c r="I193" s="964" t="s">
        <v>2217</v>
      </c>
      <c r="L193" s="1019"/>
    </row>
    <row r="194" spans="1:12" ht="13.5" hidden="1" thickBot="1">
      <c r="A194" s="967"/>
      <c r="B194" s="967"/>
      <c r="C194" s="1004"/>
      <c r="D194" s="967"/>
      <c r="E194" s="967"/>
      <c r="F194" s="967"/>
      <c r="G194" s="967"/>
      <c r="H194" s="971">
        <f>SUM(H183:H193)</f>
        <v>8905.99</v>
      </c>
      <c r="I194" s="964" t="s">
        <v>2217</v>
      </c>
      <c r="L194" s="1020">
        <f>SUM(L193)</f>
        <v>0</v>
      </c>
    </row>
    <row r="195" spans="1:12" ht="51" hidden="1">
      <c r="A195" s="896">
        <v>7</v>
      </c>
      <c r="B195" s="966"/>
      <c r="C195" s="1002" t="s">
        <v>1199</v>
      </c>
      <c r="D195" s="967"/>
      <c r="E195" s="967"/>
      <c r="F195" s="967"/>
      <c r="G195" s="967"/>
      <c r="H195" s="972"/>
      <c r="I195" s="964" t="s">
        <v>2217</v>
      </c>
    </row>
    <row r="196" spans="1:12" s="965" customFormat="1" hidden="1">
      <c r="A196" s="896"/>
      <c r="B196" s="966"/>
      <c r="C196" s="1002" t="s">
        <v>695</v>
      </c>
      <c r="E196" s="967" t="s">
        <v>35</v>
      </c>
      <c r="F196" s="973">
        <v>8.0000000000000002E-3</v>
      </c>
      <c r="G196" s="970">
        <f>'MINI SSR 19-20'!C144</f>
        <v>46217</v>
      </c>
      <c r="H196" s="969">
        <f>ROUND(F196*G196,2)</f>
        <v>369.74</v>
      </c>
      <c r="I196" s="964" t="s">
        <v>2217</v>
      </c>
      <c r="J196" s="901"/>
    </row>
    <row r="197" spans="1:12" s="965" customFormat="1" hidden="1">
      <c r="A197" s="896"/>
      <c r="B197" s="966"/>
      <c r="C197" s="1002" t="s">
        <v>1198</v>
      </c>
      <c r="E197" s="967" t="s">
        <v>4</v>
      </c>
      <c r="F197" s="973">
        <v>0.5</v>
      </c>
      <c r="G197" s="970">
        <f>'lead 19-20'!L9/1000</f>
        <v>48.97</v>
      </c>
      <c r="H197" s="969">
        <f>ROUND(F197*G197,2)</f>
        <v>24.49</v>
      </c>
      <c r="I197" s="964" t="s">
        <v>2217</v>
      </c>
      <c r="J197" s="901"/>
    </row>
    <row r="198" spans="1:12" s="965" customFormat="1" hidden="1">
      <c r="A198" s="896"/>
      <c r="B198" s="966" t="s">
        <v>1405</v>
      </c>
      <c r="C198" s="1002" t="s">
        <v>1404</v>
      </c>
      <c r="E198" s="967" t="s">
        <v>102</v>
      </c>
      <c r="F198" s="973">
        <v>0.27</v>
      </c>
      <c r="G198" s="970">
        <f>'MINI SSR 19-20'!G153</f>
        <v>373</v>
      </c>
      <c r="H198" s="969">
        <f>ROUND(F198*G198,2)</f>
        <v>100.71</v>
      </c>
      <c r="I198" s="964" t="s">
        <v>2217</v>
      </c>
      <c r="J198" s="901"/>
    </row>
    <row r="199" spans="1:12" hidden="1">
      <c r="A199" s="967"/>
      <c r="B199" s="967"/>
      <c r="C199" s="1002"/>
      <c r="D199" s="967"/>
      <c r="E199" s="970"/>
      <c r="F199" s="970"/>
      <c r="G199" s="970"/>
      <c r="H199" s="969"/>
      <c r="I199" s="964" t="s">
        <v>2217</v>
      </c>
      <c r="L199" s="1019"/>
    </row>
    <row r="200" spans="1:12" ht="13.5" hidden="1" thickBot="1">
      <c r="A200" s="967"/>
      <c r="B200" s="967"/>
      <c r="C200" s="1004" t="s">
        <v>1403</v>
      </c>
      <c r="D200" s="967"/>
      <c r="E200" s="967"/>
      <c r="F200" s="967"/>
      <c r="G200" s="967"/>
      <c r="H200" s="971">
        <f>SUM(H196:H199)</f>
        <v>494.94</v>
      </c>
      <c r="I200" s="964" t="s">
        <v>2217</v>
      </c>
      <c r="L200" s="1020">
        <f>SUM(L199)</f>
        <v>0</v>
      </c>
    </row>
    <row r="201" spans="1:12" hidden="1">
      <c r="A201" s="896">
        <v>2</v>
      </c>
      <c r="B201" s="966"/>
      <c r="C201" s="1002" t="s">
        <v>932</v>
      </c>
      <c r="D201" s="967"/>
      <c r="E201" s="967"/>
      <c r="F201" s="967"/>
      <c r="G201" s="967"/>
      <c r="H201" s="972"/>
      <c r="I201" s="964" t="s">
        <v>2217</v>
      </c>
    </row>
    <row r="202" spans="1:12" hidden="1">
      <c r="A202" s="967"/>
      <c r="B202" s="967" t="s">
        <v>1406</v>
      </c>
      <c r="C202" s="1002" t="s">
        <v>379</v>
      </c>
      <c r="D202" s="967" t="s">
        <v>102</v>
      </c>
      <c r="E202" s="970">
        <v>1</v>
      </c>
      <c r="F202" s="970">
        <f>'MINI SSR 19-20'!G154</f>
        <v>340</v>
      </c>
      <c r="G202" s="970"/>
      <c r="H202" s="969">
        <f>ROUND(E202*F202,2)</f>
        <v>340</v>
      </c>
      <c r="I202" s="964" t="s">
        <v>2217</v>
      </c>
    </row>
    <row r="203" spans="1:12" hidden="1">
      <c r="A203" s="967"/>
      <c r="B203" s="967"/>
      <c r="C203" s="1002" t="s">
        <v>929</v>
      </c>
      <c r="D203" s="896" t="s">
        <v>108</v>
      </c>
      <c r="E203" s="922">
        <v>0.06</v>
      </c>
      <c r="F203" s="922">
        <f>'MINI SSR 19-20'!H3</f>
        <v>500</v>
      </c>
      <c r="G203" s="922"/>
      <c r="H203" s="924">
        <f>ROUND(E203*F203,2)</f>
        <v>30</v>
      </c>
      <c r="I203" s="964" t="s">
        <v>2217</v>
      </c>
    </row>
    <row r="204" spans="1:12" hidden="1">
      <c r="A204" s="967"/>
      <c r="B204" s="967"/>
      <c r="C204" s="1002" t="s">
        <v>930</v>
      </c>
      <c r="D204" s="896" t="s">
        <v>108</v>
      </c>
      <c r="E204" s="922">
        <v>0.06</v>
      </c>
      <c r="F204" s="922">
        <f>'MINI SSR 19-20'!H4</f>
        <v>460</v>
      </c>
      <c r="G204" s="922"/>
      <c r="H204" s="924">
        <f>ROUND(E204*F204,2)</f>
        <v>27.6</v>
      </c>
      <c r="I204" s="964" t="s">
        <v>2217</v>
      </c>
    </row>
    <row r="205" spans="1:12" hidden="1">
      <c r="A205" s="967"/>
      <c r="B205" s="967"/>
      <c r="C205" s="1003" t="s">
        <v>931</v>
      </c>
      <c r="D205" s="896" t="s">
        <v>108</v>
      </c>
      <c r="E205" s="920">
        <v>0.27500000000000002</v>
      </c>
      <c r="F205" s="922">
        <f>'MINI SSR 19-20'!H5</f>
        <v>420</v>
      </c>
      <c r="G205" s="922"/>
      <c r="H205" s="924">
        <f>ROUND(E205*F205,2)</f>
        <v>115.5</v>
      </c>
      <c r="I205" s="964" t="s">
        <v>2217</v>
      </c>
    </row>
    <row r="206" spans="1:12" hidden="1">
      <c r="A206" s="967"/>
      <c r="B206" s="967"/>
      <c r="C206" s="1004" t="s">
        <v>1402</v>
      </c>
      <c r="D206" s="967"/>
      <c r="E206" s="967"/>
      <c r="F206" s="967"/>
      <c r="G206" s="967"/>
      <c r="H206" s="971">
        <f>SUM(H202:H205)</f>
        <v>513.1</v>
      </c>
      <c r="I206" s="964" t="s">
        <v>2217</v>
      </c>
    </row>
    <row r="207" spans="1:12" ht="255" hidden="1">
      <c r="A207" s="896">
        <v>5</v>
      </c>
      <c r="B207" s="966"/>
      <c r="C207" s="1002" t="s">
        <v>910</v>
      </c>
      <c r="D207" s="967"/>
      <c r="E207" s="967"/>
      <c r="F207" s="967"/>
      <c r="G207" s="967"/>
      <c r="H207" s="972"/>
      <c r="I207" s="964" t="s">
        <v>2217</v>
      </c>
    </row>
    <row r="208" spans="1:12" hidden="1">
      <c r="A208" s="967"/>
      <c r="B208" s="967"/>
      <c r="C208" s="1002" t="s">
        <v>911</v>
      </c>
      <c r="D208" s="967"/>
      <c r="E208" s="973"/>
      <c r="F208" s="970"/>
      <c r="G208" s="970"/>
      <c r="H208" s="969"/>
      <c r="I208" s="964" t="s">
        <v>2217</v>
      </c>
    </row>
    <row r="209" spans="1:12" hidden="1">
      <c r="A209" s="967"/>
      <c r="B209" s="967" t="s">
        <v>1408</v>
      </c>
      <c r="C209" s="1002" t="s">
        <v>1407</v>
      </c>
      <c r="D209" s="967"/>
      <c r="E209" s="967" t="s">
        <v>277</v>
      </c>
      <c r="F209" s="973">
        <v>6.7</v>
      </c>
      <c r="G209" s="970">
        <f>'MINI SSR 19-20'!C147</f>
        <v>805</v>
      </c>
      <c r="H209" s="969">
        <f t="shared" ref="H209:H216" si="14">ROUND(F209*G209,2)</f>
        <v>5393.5</v>
      </c>
      <c r="I209" s="964" t="s">
        <v>2217</v>
      </c>
    </row>
    <row r="210" spans="1:12" hidden="1">
      <c r="A210" s="967"/>
      <c r="B210" s="967" t="s">
        <v>1410</v>
      </c>
      <c r="C210" s="1002" t="s">
        <v>1409</v>
      </c>
      <c r="D210" s="967"/>
      <c r="E210" s="967" t="s">
        <v>102</v>
      </c>
      <c r="F210" s="973">
        <v>0.86899999999999999</v>
      </c>
      <c r="G210" s="970">
        <f>'MINI SSR 19-20'!C151</f>
        <v>754</v>
      </c>
      <c r="H210" s="969">
        <f t="shared" si="14"/>
        <v>655.23</v>
      </c>
      <c r="I210" s="964" t="s">
        <v>2217</v>
      </c>
    </row>
    <row r="211" spans="1:12" hidden="1">
      <c r="A211" s="967"/>
      <c r="B211" s="967" t="s">
        <v>1391</v>
      </c>
      <c r="C211" s="1002" t="s">
        <v>379</v>
      </c>
      <c r="D211" s="967"/>
      <c r="E211" s="967" t="s">
        <v>102</v>
      </c>
      <c r="F211" s="973">
        <f>ROUND(1.1*2.03,2)</f>
        <v>2.23</v>
      </c>
      <c r="G211" s="970">
        <f>'MINI SSR 19-20'!C146</f>
        <v>3030</v>
      </c>
      <c r="H211" s="969">
        <f t="shared" si="14"/>
        <v>6756.9</v>
      </c>
      <c r="I211" s="964" t="s">
        <v>2217</v>
      </c>
    </row>
    <row r="212" spans="1:12" hidden="1">
      <c r="A212" s="967"/>
      <c r="B212" s="967" t="s">
        <v>1392</v>
      </c>
      <c r="C212" s="1002" t="s">
        <v>1411</v>
      </c>
      <c r="D212" s="967"/>
      <c r="E212" s="967" t="s">
        <v>102</v>
      </c>
      <c r="F212" s="973">
        <v>1.6870000000000001</v>
      </c>
      <c r="G212" s="970">
        <f>'MINI SSR 19-20'!C151</f>
        <v>754</v>
      </c>
      <c r="H212" s="969">
        <f t="shared" si="14"/>
        <v>1272</v>
      </c>
      <c r="I212" s="964" t="s">
        <v>2217</v>
      </c>
      <c r="L212" s="1019"/>
    </row>
    <row r="213" spans="1:12" hidden="1">
      <c r="A213" s="896"/>
      <c r="B213" s="966" t="s">
        <v>1413</v>
      </c>
      <c r="C213" s="1002" t="s">
        <v>1412</v>
      </c>
      <c r="D213" s="967"/>
      <c r="E213" s="967" t="s">
        <v>11</v>
      </c>
      <c r="F213" s="988">
        <v>2</v>
      </c>
      <c r="G213" s="970">
        <f>'MINI SSR 19-20'!G144</f>
        <v>103</v>
      </c>
      <c r="H213" s="969">
        <f t="shared" si="14"/>
        <v>206</v>
      </c>
      <c r="I213" s="964" t="s">
        <v>2217</v>
      </c>
    </row>
    <row r="214" spans="1:12" hidden="1">
      <c r="A214" s="896"/>
      <c r="B214" s="966" t="s">
        <v>1381</v>
      </c>
      <c r="C214" s="1002" t="s">
        <v>1380</v>
      </c>
      <c r="D214" s="967"/>
      <c r="E214" s="967" t="s">
        <v>11</v>
      </c>
      <c r="F214" s="988">
        <v>4</v>
      </c>
      <c r="G214" s="970">
        <f>'MINI SSR 19-20'!G147</f>
        <v>103</v>
      </c>
      <c r="H214" s="969">
        <f t="shared" si="14"/>
        <v>412</v>
      </c>
      <c r="I214" s="964" t="s">
        <v>2217</v>
      </c>
    </row>
    <row r="215" spans="1:12" hidden="1">
      <c r="A215" s="896"/>
      <c r="B215" s="966" t="s">
        <v>1398</v>
      </c>
      <c r="C215" s="1002" t="s">
        <v>1397</v>
      </c>
      <c r="D215" s="967"/>
      <c r="E215" s="967" t="s">
        <v>11</v>
      </c>
      <c r="F215" s="988">
        <v>2</v>
      </c>
      <c r="G215" s="970">
        <f>'MINI SSR 19-20'!G149</f>
        <v>308</v>
      </c>
      <c r="H215" s="969">
        <f t="shared" si="14"/>
        <v>616</v>
      </c>
      <c r="I215" s="964" t="s">
        <v>2217</v>
      </c>
    </row>
    <row r="216" spans="1:12" hidden="1">
      <c r="A216" s="896"/>
      <c r="B216" s="966"/>
      <c r="C216" s="1002" t="s">
        <v>912</v>
      </c>
      <c r="D216" s="967"/>
      <c r="E216" s="967" t="s">
        <v>11</v>
      </c>
      <c r="F216" s="988">
        <v>1</v>
      </c>
      <c r="G216" s="970">
        <f>'MINI SSR 19-20'!G155</f>
        <v>53</v>
      </c>
      <c r="H216" s="969">
        <f t="shared" si="14"/>
        <v>53</v>
      </c>
      <c r="I216" s="964" t="s">
        <v>2217</v>
      </c>
    </row>
    <row r="217" spans="1:12" hidden="1">
      <c r="A217" s="967"/>
      <c r="B217" s="967"/>
      <c r="C217" s="1002" t="s">
        <v>909</v>
      </c>
      <c r="D217" s="967"/>
      <c r="E217" s="970"/>
      <c r="F217" s="970"/>
      <c r="G217" s="970"/>
      <c r="H217" s="971">
        <f>SUM(H209:H216)</f>
        <v>15364.63</v>
      </c>
      <c r="I217" s="964" t="s">
        <v>2217</v>
      </c>
    </row>
    <row r="218" spans="1:12" hidden="1">
      <c r="A218" s="967"/>
      <c r="B218" s="967"/>
      <c r="C218" s="1002" t="s">
        <v>121</v>
      </c>
      <c r="D218" s="967"/>
      <c r="E218" s="967"/>
      <c r="F218" s="967"/>
      <c r="G218" s="967"/>
      <c r="H218" s="971">
        <f>ROUND(H217/2.556,2)</f>
        <v>6011.2</v>
      </c>
      <c r="I218" s="964" t="s">
        <v>2217</v>
      </c>
    </row>
    <row r="219" spans="1:12" ht="255" hidden="1">
      <c r="A219" s="896">
        <v>2</v>
      </c>
      <c r="B219" s="966"/>
      <c r="C219" s="1002" t="s">
        <v>910</v>
      </c>
      <c r="D219" s="967"/>
      <c r="E219" s="967"/>
      <c r="F219" s="967"/>
      <c r="G219" s="967"/>
      <c r="H219" s="972"/>
      <c r="I219" s="964" t="s">
        <v>2217</v>
      </c>
    </row>
    <row r="220" spans="1:12" hidden="1">
      <c r="A220" s="967"/>
      <c r="B220" s="967"/>
      <c r="C220" s="1002" t="s">
        <v>911</v>
      </c>
      <c r="D220" s="967"/>
      <c r="E220" s="973"/>
      <c r="F220" s="970"/>
      <c r="G220" s="970"/>
      <c r="H220" s="969"/>
      <c r="I220" s="964" t="s">
        <v>2217</v>
      </c>
    </row>
    <row r="221" spans="1:12" hidden="1">
      <c r="A221" s="967"/>
      <c r="B221" s="967" t="s">
        <v>1408</v>
      </c>
      <c r="C221" s="1002" t="s">
        <v>1407</v>
      </c>
      <c r="D221" s="967"/>
      <c r="E221" s="967" t="s">
        <v>277</v>
      </c>
      <c r="F221" s="973">
        <v>5.45</v>
      </c>
      <c r="G221" s="970">
        <f t="shared" ref="G221:G228" si="15">G209</f>
        <v>805</v>
      </c>
      <c r="H221" s="969">
        <f t="shared" ref="H221:H228" si="16">ROUND(F221*G221,2)</f>
        <v>4387.25</v>
      </c>
      <c r="I221" s="964" t="s">
        <v>2217</v>
      </c>
    </row>
    <row r="222" spans="1:12" hidden="1">
      <c r="A222" s="967"/>
      <c r="B222" s="967" t="s">
        <v>1410</v>
      </c>
      <c r="C222" s="1002" t="s">
        <v>1409</v>
      </c>
      <c r="D222" s="967"/>
      <c r="E222" s="967" t="s">
        <v>102</v>
      </c>
      <c r="F222" s="973">
        <v>0.86899999999999999</v>
      </c>
      <c r="G222" s="970">
        <f t="shared" si="15"/>
        <v>754</v>
      </c>
      <c r="H222" s="969">
        <f t="shared" si="16"/>
        <v>655.23</v>
      </c>
      <c r="I222" s="964" t="s">
        <v>2217</v>
      </c>
    </row>
    <row r="223" spans="1:12" hidden="1">
      <c r="A223" s="967"/>
      <c r="B223" s="967" t="s">
        <v>1391</v>
      </c>
      <c r="C223" s="1002" t="s">
        <v>379</v>
      </c>
      <c r="D223" s="967"/>
      <c r="E223" s="967" t="s">
        <v>102</v>
      </c>
      <c r="F223" s="973">
        <f>ROUND(1.1*2.03,2)</f>
        <v>2.23</v>
      </c>
      <c r="G223" s="970">
        <f t="shared" si="15"/>
        <v>3030</v>
      </c>
      <c r="H223" s="969">
        <f t="shared" si="16"/>
        <v>6756.9</v>
      </c>
      <c r="I223" s="964" t="s">
        <v>2217</v>
      </c>
    </row>
    <row r="224" spans="1:12" hidden="1">
      <c r="A224" s="967"/>
      <c r="B224" s="967" t="s">
        <v>1392</v>
      </c>
      <c r="C224" s="1002" t="s">
        <v>1411</v>
      </c>
      <c r="D224" s="967"/>
      <c r="E224" s="967" t="s">
        <v>102</v>
      </c>
      <c r="F224" s="973">
        <v>1.6870000000000001</v>
      </c>
      <c r="G224" s="970">
        <f t="shared" si="15"/>
        <v>754</v>
      </c>
      <c r="H224" s="969">
        <f t="shared" si="16"/>
        <v>1272</v>
      </c>
      <c r="I224" s="964" t="s">
        <v>2217</v>
      </c>
      <c r="L224" s="1019"/>
    </row>
    <row r="225" spans="1:9" hidden="1">
      <c r="A225" s="896"/>
      <c r="B225" s="966" t="s">
        <v>1413</v>
      </c>
      <c r="C225" s="1002" t="s">
        <v>1412</v>
      </c>
      <c r="D225" s="967"/>
      <c r="E225" s="967" t="s">
        <v>11</v>
      </c>
      <c r="F225" s="988">
        <v>2</v>
      </c>
      <c r="G225" s="970">
        <f t="shared" si="15"/>
        <v>103</v>
      </c>
      <c r="H225" s="969">
        <f t="shared" si="16"/>
        <v>206</v>
      </c>
      <c r="I225" s="964" t="s">
        <v>2217</v>
      </c>
    </row>
    <row r="226" spans="1:9" hidden="1">
      <c r="A226" s="896"/>
      <c r="B226" s="966" t="s">
        <v>1381</v>
      </c>
      <c r="C226" s="1002" t="s">
        <v>1380</v>
      </c>
      <c r="D226" s="967"/>
      <c r="E226" s="967" t="s">
        <v>11</v>
      </c>
      <c r="F226" s="988">
        <v>4</v>
      </c>
      <c r="G226" s="970">
        <f t="shared" si="15"/>
        <v>103</v>
      </c>
      <c r="H226" s="969">
        <f t="shared" si="16"/>
        <v>412</v>
      </c>
      <c r="I226" s="964" t="s">
        <v>2217</v>
      </c>
    </row>
    <row r="227" spans="1:9" hidden="1">
      <c r="A227" s="896"/>
      <c r="B227" s="966" t="s">
        <v>1398</v>
      </c>
      <c r="C227" s="1002" t="s">
        <v>1397</v>
      </c>
      <c r="D227" s="967"/>
      <c r="E227" s="967" t="s">
        <v>11</v>
      </c>
      <c r="F227" s="988">
        <v>2</v>
      </c>
      <c r="G227" s="970">
        <f t="shared" si="15"/>
        <v>308</v>
      </c>
      <c r="H227" s="969">
        <f t="shared" si="16"/>
        <v>616</v>
      </c>
      <c r="I227" s="964" t="s">
        <v>2217</v>
      </c>
    </row>
    <row r="228" spans="1:9" hidden="1">
      <c r="A228" s="896"/>
      <c r="B228" s="966"/>
      <c r="C228" s="1002" t="s">
        <v>912</v>
      </c>
      <c r="D228" s="967"/>
      <c r="E228" s="967" t="s">
        <v>11</v>
      </c>
      <c r="F228" s="988">
        <v>1</v>
      </c>
      <c r="G228" s="970">
        <f t="shared" si="15"/>
        <v>53</v>
      </c>
      <c r="H228" s="969">
        <f t="shared" si="16"/>
        <v>53</v>
      </c>
      <c r="I228" s="964" t="s">
        <v>2217</v>
      </c>
    </row>
    <row r="229" spans="1:9" hidden="1">
      <c r="A229" s="967"/>
      <c r="B229" s="967"/>
      <c r="C229" s="1002" t="s">
        <v>909</v>
      </c>
      <c r="D229" s="967"/>
      <c r="E229" s="970"/>
      <c r="F229" s="970"/>
      <c r="G229" s="970"/>
      <c r="H229" s="971">
        <f>SUM(H221:H228)</f>
        <v>14358.38</v>
      </c>
      <c r="I229" s="964" t="s">
        <v>2217</v>
      </c>
    </row>
    <row r="230" spans="1:9" hidden="1">
      <c r="A230" s="967"/>
      <c r="B230" s="967"/>
      <c r="C230" s="1002" t="s">
        <v>121</v>
      </c>
      <c r="D230" s="967"/>
      <c r="E230" s="967"/>
      <c r="F230" s="967"/>
      <c r="G230" s="967"/>
      <c r="H230" s="971">
        <f>ROUND(H229/2.556,2)</f>
        <v>5617.52</v>
      </c>
      <c r="I230" s="964" t="s">
        <v>2217</v>
      </c>
    </row>
    <row r="231" spans="1:9" ht="357" hidden="1">
      <c r="A231" s="896">
        <v>6</v>
      </c>
      <c r="B231" s="966"/>
      <c r="C231" s="1002" t="s">
        <v>717</v>
      </c>
      <c r="D231" s="967"/>
      <c r="E231" s="967"/>
      <c r="F231" s="967"/>
      <c r="G231" s="967"/>
      <c r="H231" s="972"/>
      <c r="I231" s="964" t="s">
        <v>2217</v>
      </c>
    </row>
    <row r="232" spans="1:9" hidden="1">
      <c r="A232" s="967"/>
      <c r="B232" s="967" t="s">
        <v>1415</v>
      </c>
      <c r="C232" s="1002" t="s">
        <v>1414</v>
      </c>
      <c r="D232" s="967" t="s">
        <v>102</v>
      </c>
      <c r="E232" s="970">
        <v>1</v>
      </c>
      <c r="F232" s="970">
        <f>'MINI SSR 19-20'!C153</f>
        <v>6038</v>
      </c>
      <c r="G232" s="970"/>
      <c r="H232" s="969">
        <f>ROUND(E232*F232,2)</f>
        <v>6038</v>
      </c>
      <c r="I232" s="964" t="s">
        <v>2217</v>
      </c>
    </row>
    <row r="233" spans="1:9" hidden="1">
      <c r="A233" s="967"/>
      <c r="B233" s="967"/>
      <c r="C233" s="1004"/>
      <c r="D233" s="967"/>
      <c r="E233" s="967"/>
      <c r="F233" s="967"/>
      <c r="G233" s="967"/>
      <c r="H233" s="971">
        <f>SUM(H232:H232)</f>
        <v>6038</v>
      </c>
      <c r="I233" s="964" t="s">
        <v>2217</v>
      </c>
    </row>
    <row r="234" spans="1:9" hidden="1">
      <c r="A234" s="967">
        <v>7</v>
      </c>
      <c r="B234" s="967" t="s">
        <v>1415</v>
      </c>
      <c r="C234" s="1002" t="s">
        <v>1416</v>
      </c>
      <c r="D234" s="967" t="s">
        <v>102</v>
      </c>
      <c r="E234" s="970">
        <v>1</v>
      </c>
      <c r="F234" s="970">
        <f>'MINI SSR 19-20'!C152</f>
        <v>8058</v>
      </c>
      <c r="G234" s="970"/>
      <c r="H234" s="969">
        <f>ROUND(E234*F234,2)</f>
        <v>8058</v>
      </c>
      <c r="I234" s="964" t="s">
        <v>2217</v>
      </c>
    </row>
    <row r="235" spans="1:9" hidden="1">
      <c r="A235" s="967"/>
      <c r="B235" s="967"/>
      <c r="C235" s="1004"/>
      <c r="D235" s="967"/>
      <c r="E235" s="967"/>
      <c r="F235" s="967"/>
      <c r="G235" s="967"/>
      <c r="H235" s="971">
        <f>SUM(H234:H234)</f>
        <v>8058</v>
      </c>
      <c r="I235" s="964" t="s">
        <v>2217</v>
      </c>
    </row>
    <row r="236" spans="1:9" hidden="1">
      <c r="A236" s="967">
        <v>8</v>
      </c>
      <c r="B236" s="967" t="s">
        <v>1418</v>
      </c>
      <c r="C236" s="1002" t="s">
        <v>1417</v>
      </c>
      <c r="D236" s="967" t="s">
        <v>102</v>
      </c>
      <c r="E236" s="970">
        <v>1</v>
      </c>
      <c r="F236" s="970">
        <f>'MINI SSR 19-20'!C154</f>
        <v>5830</v>
      </c>
      <c r="G236" s="970"/>
      <c r="H236" s="969">
        <f>ROUND(E236*F236,2)</f>
        <v>5830</v>
      </c>
      <c r="I236" s="964" t="s">
        <v>2217</v>
      </c>
    </row>
    <row r="237" spans="1:9" hidden="1">
      <c r="A237" s="967"/>
      <c r="B237" s="967"/>
      <c r="C237" s="1004"/>
      <c r="D237" s="967"/>
      <c r="E237" s="967"/>
      <c r="F237" s="967"/>
      <c r="G237" s="967"/>
      <c r="H237" s="971">
        <f>SUM(H236:H236)</f>
        <v>5830</v>
      </c>
      <c r="I237" s="964" t="s">
        <v>2217</v>
      </c>
    </row>
    <row r="238" spans="1:9" ht="38.25" hidden="1">
      <c r="A238" s="896">
        <v>3</v>
      </c>
      <c r="B238" s="966"/>
      <c r="C238" s="1002" t="s">
        <v>2284</v>
      </c>
      <c r="D238" s="967"/>
      <c r="E238" s="967"/>
      <c r="F238" s="967"/>
      <c r="G238" s="967"/>
      <c r="H238" s="972"/>
      <c r="I238" s="964" t="s">
        <v>2217</v>
      </c>
    </row>
    <row r="239" spans="1:9" hidden="1">
      <c r="A239" s="967"/>
      <c r="B239" s="967" t="s">
        <v>2282</v>
      </c>
      <c r="C239" s="1002" t="s">
        <v>1414</v>
      </c>
      <c r="D239" s="967" t="s">
        <v>102</v>
      </c>
      <c r="E239" s="970">
        <v>1</v>
      </c>
      <c r="F239" s="970">
        <f>'MINI SSR 19-20'!C156</f>
        <v>3797</v>
      </c>
      <c r="G239" s="970"/>
      <c r="H239" s="969">
        <f>ROUND(E239*F239,2)</f>
        <v>3797</v>
      </c>
      <c r="I239" s="964" t="s">
        <v>2217</v>
      </c>
    </row>
    <row r="240" spans="1:9" hidden="1">
      <c r="A240" s="967"/>
      <c r="B240" s="967"/>
      <c r="C240" s="1004"/>
      <c r="D240" s="967"/>
      <c r="E240" s="967"/>
      <c r="F240" s="967"/>
      <c r="G240" s="967"/>
      <c r="H240" s="971">
        <f>SUM(H239:H239)</f>
        <v>3797</v>
      </c>
      <c r="I240" s="964" t="s">
        <v>2217</v>
      </c>
    </row>
    <row r="241" spans="1:10" hidden="1">
      <c r="A241" s="967"/>
      <c r="B241" s="967"/>
      <c r="C241" s="1013" t="s">
        <v>2016</v>
      </c>
      <c r="D241" s="967"/>
      <c r="E241" s="967"/>
      <c r="F241" s="967"/>
      <c r="G241" s="967"/>
      <c r="H241" s="971"/>
    </row>
    <row r="242" spans="1:10" ht="127.5" hidden="1">
      <c r="A242" s="896">
        <v>1</v>
      </c>
      <c r="B242" s="966"/>
      <c r="C242" s="1002" t="s">
        <v>1308</v>
      </c>
      <c r="D242" s="967"/>
      <c r="E242" s="967"/>
      <c r="F242" s="967"/>
      <c r="G242" s="967"/>
      <c r="H242" s="972"/>
      <c r="I242" s="964" t="s">
        <v>2299</v>
      </c>
    </row>
    <row r="243" spans="1:10" hidden="1">
      <c r="A243" s="896"/>
      <c r="B243" s="966"/>
      <c r="C243" s="1004" t="s">
        <v>100</v>
      </c>
      <c r="D243" s="967"/>
      <c r="E243" s="967"/>
      <c r="F243" s="967"/>
      <c r="G243" s="967"/>
      <c r="H243" s="972"/>
      <c r="I243" s="964" t="s">
        <v>2299</v>
      </c>
    </row>
    <row r="244" spans="1:10" s="965" customFormat="1" hidden="1">
      <c r="A244" s="896"/>
      <c r="B244" s="966"/>
      <c r="C244" s="1004" t="s">
        <v>594</v>
      </c>
      <c r="D244" s="967"/>
      <c r="E244" s="967"/>
      <c r="F244" s="967"/>
      <c r="G244" s="967"/>
      <c r="H244" s="972"/>
      <c r="I244" s="964" t="s">
        <v>2299</v>
      </c>
      <c r="J244" s="901"/>
    </row>
    <row r="245" spans="1:10" s="965" customFormat="1" hidden="1">
      <c r="A245" s="896"/>
      <c r="B245" s="966"/>
      <c r="C245" s="1002" t="s">
        <v>2</v>
      </c>
      <c r="D245" s="1014">
        <v>2</v>
      </c>
      <c r="E245" s="1015">
        <v>1.9</v>
      </c>
      <c r="F245" s="1016">
        <v>0.1</v>
      </c>
      <c r="G245" s="1016">
        <v>7.4999999999999997E-2</v>
      </c>
      <c r="H245" s="1017">
        <f>ROUND(D245*E245*F245*G245,4)</f>
        <v>2.8500000000000001E-2</v>
      </c>
      <c r="I245" s="964" t="s">
        <v>2299</v>
      </c>
      <c r="J245" s="901"/>
    </row>
    <row r="246" spans="1:10" s="965" customFormat="1" hidden="1">
      <c r="A246" s="896"/>
      <c r="B246" s="966"/>
      <c r="C246" s="1002" t="s">
        <v>741</v>
      </c>
      <c r="D246" s="1014">
        <v>2</v>
      </c>
      <c r="E246" s="1015">
        <v>1.2</v>
      </c>
      <c r="F246" s="1016">
        <v>0.1</v>
      </c>
      <c r="G246" s="1016">
        <v>7.4999999999999997E-2</v>
      </c>
      <c r="H246" s="1017">
        <f>ROUND(D246*E246*F246*G246,4)</f>
        <v>1.7999999999999999E-2</v>
      </c>
      <c r="I246" s="964" t="s">
        <v>2299</v>
      </c>
      <c r="J246" s="901"/>
    </row>
    <row r="247" spans="1:10" s="965" customFormat="1" hidden="1">
      <c r="A247" s="896"/>
      <c r="B247" s="966"/>
      <c r="C247" s="1004"/>
      <c r="D247" s="967"/>
      <c r="E247" s="967"/>
      <c r="F247" s="967"/>
      <c r="G247" s="967"/>
      <c r="H247" s="1018">
        <f>SUM(H245:H246)</f>
        <v>4.65E-2</v>
      </c>
      <c r="I247" s="964" t="s">
        <v>2299</v>
      </c>
      <c r="J247" s="901"/>
    </row>
    <row r="248" spans="1:10" s="965" customFormat="1" hidden="1">
      <c r="A248" s="896"/>
      <c r="B248" s="966"/>
      <c r="C248" s="1004" t="s">
        <v>320</v>
      </c>
      <c r="D248" s="1014">
        <v>2</v>
      </c>
      <c r="E248" s="1015">
        <v>1.95</v>
      </c>
      <c r="F248" s="1016">
        <v>0.52</v>
      </c>
      <c r="G248" s="1016">
        <v>0.03</v>
      </c>
      <c r="H248" s="1017">
        <f>ROUND(D248*E248*F248*G248,4)</f>
        <v>6.08E-2</v>
      </c>
      <c r="I248" s="964" t="s">
        <v>2299</v>
      </c>
      <c r="J248" s="901"/>
    </row>
    <row r="249" spans="1:10" s="965" customFormat="1" hidden="1">
      <c r="A249" s="896"/>
      <c r="B249" s="966"/>
      <c r="C249" s="1004"/>
      <c r="D249" s="967"/>
      <c r="E249" s="967"/>
      <c r="F249" s="967"/>
      <c r="G249" s="967"/>
      <c r="H249" s="1018">
        <f>SUM(H248)</f>
        <v>6.08E-2</v>
      </c>
      <c r="I249" s="964" t="s">
        <v>2299</v>
      </c>
      <c r="J249" s="901"/>
    </row>
    <row r="250" spans="1:10" s="965" customFormat="1" hidden="1">
      <c r="A250" s="896"/>
      <c r="B250" s="966" t="s">
        <v>1373</v>
      </c>
      <c r="C250" s="1002" t="s">
        <v>1372</v>
      </c>
      <c r="D250" s="967"/>
      <c r="E250" s="967" t="s">
        <v>35</v>
      </c>
      <c r="F250" s="976">
        <f>H247</f>
        <v>4.65E-2</v>
      </c>
      <c r="G250" s="970">
        <f>'MINI SSR 2020-21'!C142</f>
        <v>71195</v>
      </c>
      <c r="H250" s="969">
        <f t="shared" ref="H250:H257" si="17">ROUND(F250*G250,2)</f>
        <v>3310.57</v>
      </c>
      <c r="I250" s="964" t="s">
        <v>2299</v>
      </c>
      <c r="J250" s="901"/>
    </row>
    <row r="251" spans="1:10" s="965" customFormat="1" hidden="1">
      <c r="A251" s="896"/>
      <c r="B251" s="966" t="s">
        <v>1375</v>
      </c>
      <c r="C251" s="1002" t="s">
        <v>1374</v>
      </c>
      <c r="D251" s="967"/>
      <c r="E251" s="967" t="s">
        <v>35</v>
      </c>
      <c r="F251" s="976">
        <f>H249</f>
        <v>6.08E-2</v>
      </c>
      <c r="G251" s="970">
        <f>'MINI SSR 2020-21'!C143</f>
        <v>142391</v>
      </c>
      <c r="H251" s="969">
        <f t="shared" si="17"/>
        <v>8657.3700000000008</v>
      </c>
      <c r="I251" s="964" t="s">
        <v>2299</v>
      </c>
      <c r="J251" s="901"/>
    </row>
    <row r="252" spans="1:10" s="965" customFormat="1" hidden="1">
      <c r="A252" s="896"/>
      <c r="B252" s="966" t="s">
        <v>1377</v>
      </c>
      <c r="C252" s="1002" t="s">
        <v>1376</v>
      </c>
      <c r="D252" s="967"/>
      <c r="E252" s="967" t="s">
        <v>11</v>
      </c>
      <c r="F252" s="988">
        <v>2</v>
      </c>
      <c r="G252" s="970">
        <f>'MINI SSR 2020-21'!G142</f>
        <v>231</v>
      </c>
      <c r="H252" s="969">
        <f t="shared" si="17"/>
        <v>462</v>
      </c>
      <c r="I252" s="964" t="s">
        <v>2299</v>
      </c>
      <c r="J252" s="901"/>
    </row>
    <row r="253" spans="1:10" hidden="1">
      <c r="A253" s="896"/>
      <c r="B253" s="966" t="s">
        <v>1379</v>
      </c>
      <c r="C253" s="1002" t="s">
        <v>1378</v>
      </c>
      <c r="D253" s="967"/>
      <c r="E253" s="967" t="s">
        <v>11</v>
      </c>
      <c r="F253" s="988">
        <v>6</v>
      </c>
      <c r="G253" s="970">
        <f>'MINI SSR 2020-21'!G145</f>
        <v>246</v>
      </c>
      <c r="H253" s="969">
        <f t="shared" si="17"/>
        <v>1476</v>
      </c>
      <c r="I253" s="964" t="s">
        <v>2299</v>
      </c>
    </row>
    <row r="254" spans="1:10" hidden="1">
      <c r="A254" s="896"/>
      <c r="B254" s="966" t="s">
        <v>1381</v>
      </c>
      <c r="C254" s="1002" t="s">
        <v>1380</v>
      </c>
      <c r="D254" s="967"/>
      <c r="E254" s="967" t="s">
        <v>11</v>
      </c>
      <c r="F254" s="988"/>
      <c r="G254" s="970">
        <f>'MINI SSR 2020-21'!G144</f>
        <v>103</v>
      </c>
      <c r="H254" s="969">
        <f t="shared" si="17"/>
        <v>0</v>
      </c>
      <c r="I254" s="964" t="s">
        <v>2299</v>
      </c>
    </row>
    <row r="255" spans="1:10" hidden="1">
      <c r="A255" s="896"/>
      <c r="B255" s="966" t="s">
        <v>1383</v>
      </c>
      <c r="C255" s="1002" t="s">
        <v>1382</v>
      </c>
      <c r="D255" s="967"/>
      <c r="E255" s="967" t="s">
        <v>11</v>
      </c>
      <c r="F255" s="988">
        <v>2</v>
      </c>
      <c r="G255" s="970">
        <f>'MINI SSR 2020-21'!G148</f>
        <v>1087</v>
      </c>
      <c r="H255" s="969">
        <f t="shared" si="17"/>
        <v>2174</v>
      </c>
      <c r="I255" s="964" t="s">
        <v>2299</v>
      </c>
    </row>
    <row r="256" spans="1:10" hidden="1">
      <c r="A256" s="896"/>
      <c r="B256" s="966" t="s">
        <v>1385</v>
      </c>
      <c r="C256" s="1002" t="s">
        <v>1384</v>
      </c>
      <c r="D256" s="967"/>
      <c r="E256" s="967" t="s">
        <v>11</v>
      </c>
      <c r="F256" s="988">
        <v>1</v>
      </c>
      <c r="G256" s="970">
        <f>'MINI SSR 2020-21'!G150</f>
        <v>168</v>
      </c>
      <c r="H256" s="969">
        <f t="shared" si="17"/>
        <v>168</v>
      </c>
      <c r="I256" s="964" t="s">
        <v>2299</v>
      </c>
    </row>
    <row r="257" spans="1:12" hidden="1">
      <c r="A257" s="896"/>
      <c r="B257" s="966" t="s">
        <v>1387</v>
      </c>
      <c r="C257" s="1002" t="s">
        <v>1386</v>
      </c>
      <c r="D257" s="967"/>
      <c r="E257" s="967" t="s">
        <v>11</v>
      </c>
      <c r="F257" s="988">
        <v>6</v>
      </c>
      <c r="G257" s="970">
        <f>'MINI SSR 2020-21'!G152</f>
        <v>32</v>
      </c>
      <c r="H257" s="969">
        <f t="shared" si="17"/>
        <v>192</v>
      </c>
      <c r="I257" s="964" t="s">
        <v>2299</v>
      </c>
    </row>
    <row r="258" spans="1:12" hidden="1">
      <c r="A258" s="967"/>
      <c r="B258" s="967"/>
      <c r="C258" s="1004" t="s">
        <v>68</v>
      </c>
      <c r="D258" s="967"/>
      <c r="E258" s="967"/>
      <c r="F258" s="970"/>
      <c r="G258" s="974"/>
      <c r="H258" s="969"/>
      <c r="I258" s="964" t="s">
        <v>2299</v>
      </c>
    </row>
    <row r="259" spans="1:12" hidden="1">
      <c r="A259" s="967"/>
      <c r="B259" s="967" t="s">
        <v>1389</v>
      </c>
      <c r="C259" s="1002" t="s">
        <v>1388</v>
      </c>
      <c r="D259" s="967"/>
      <c r="E259" s="967" t="s">
        <v>102</v>
      </c>
      <c r="F259" s="970">
        <v>2.52</v>
      </c>
      <c r="G259" s="970">
        <f>'MINI SSR 2020-21'!C149</f>
        <v>1570</v>
      </c>
      <c r="H259" s="969">
        <f>ROUND(F259*G259,2)</f>
        <v>3956.4</v>
      </c>
      <c r="I259" s="964" t="s">
        <v>2299</v>
      </c>
      <c r="L259" s="1019">
        <f>H259</f>
        <v>3956.4</v>
      </c>
    </row>
    <row r="260" spans="1:12" ht="13.5" hidden="1" thickBot="1">
      <c r="A260" s="967"/>
      <c r="B260" s="967"/>
      <c r="C260" s="1004"/>
      <c r="D260" s="967"/>
      <c r="E260" s="967"/>
      <c r="F260" s="967"/>
      <c r="G260" s="967"/>
      <c r="H260" s="971">
        <f>SUM(H250:H259)</f>
        <v>20396.340000000004</v>
      </c>
      <c r="I260" s="964" t="s">
        <v>2299</v>
      </c>
      <c r="L260" s="1020">
        <f>SUM(L259)</f>
        <v>3956.4</v>
      </c>
    </row>
    <row r="261" spans="1:12" ht="76.5" hidden="1">
      <c r="A261" s="896">
        <v>2</v>
      </c>
      <c r="B261" s="966"/>
      <c r="C261" s="1002" t="s">
        <v>2759</v>
      </c>
      <c r="D261" s="967"/>
      <c r="E261" s="967"/>
      <c r="F261" s="967"/>
      <c r="G261" s="967"/>
      <c r="H261" s="972"/>
      <c r="I261" s="964" t="s">
        <v>2299</v>
      </c>
    </row>
    <row r="262" spans="1:12" hidden="1">
      <c r="A262" s="896"/>
      <c r="B262" s="966"/>
      <c r="C262" s="1004" t="s">
        <v>100</v>
      </c>
      <c r="D262" s="967"/>
      <c r="E262" s="967"/>
      <c r="F262" s="967"/>
      <c r="G262" s="967"/>
      <c r="H262" s="972"/>
      <c r="I262" s="964" t="s">
        <v>2299</v>
      </c>
    </row>
    <row r="263" spans="1:12" s="965" customFormat="1" hidden="1">
      <c r="A263" s="896"/>
      <c r="B263" s="966"/>
      <c r="C263" s="1004" t="s">
        <v>2771</v>
      </c>
      <c r="D263" s="967"/>
      <c r="E263" s="967"/>
      <c r="F263" s="967"/>
      <c r="G263" s="967"/>
      <c r="H263" s="972"/>
      <c r="I263" s="964" t="s">
        <v>2299</v>
      </c>
      <c r="J263" s="901"/>
    </row>
    <row r="264" spans="1:12" s="965" customFormat="1" hidden="1">
      <c r="A264" s="896"/>
      <c r="B264" s="966"/>
      <c r="C264" s="1002" t="s">
        <v>2</v>
      </c>
      <c r="D264" s="1014">
        <v>2</v>
      </c>
      <c r="E264" s="1015">
        <v>1.9</v>
      </c>
      <c r="F264" s="1016">
        <v>0.1</v>
      </c>
      <c r="G264" s="1016">
        <v>7.4999999999999997E-2</v>
      </c>
      <c r="H264" s="1017">
        <f>ROUND(D264*E264*F264*G264,4)</f>
        <v>2.8500000000000001E-2</v>
      </c>
      <c r="I264" s="964" t="s">
        <v>2299</v>
      </c>
      <c r="J264" s="901"/>
    </row>
    <row r="265" spans="1:12" s="965" customFormat="1" hidden="1">
      <c r="A265" s="896"/>
      <c r="B265" s="966"/>
      <c r="C265" s="1002" t="s">
        <v>741</v>
      </c>
      <c r="D265" s="1014">
        <v>1</v>
      </c>
      <c r="E265" s="1015">
        <v>1.2</v>
      </c>
      <c r="F265" s="1016">
        <v>0.1</v>
      </c>
      <c r="G265" s="1016">
        <v>7.4999999999999997E-2</v>
      </c>
      <c r="H265" s="1017">
        <f>ROUND(D265*E265*F265*G265,4)</f>
        <v>8.9999999999999993E-3</v>
      </c>
      <c r="I265" s="964" t="s">
        <v>2299</v>
      </c>
      <c r="J265" s="901"/>
    </row>
    <row r="266" spans="1:12" s="965" customFormat="1" hidden="1">
      <c r="A266" s="896"/>
      <c r="B266" s="966"/>
      <c r="C266" s="1004"/>
      <c r="D266" s="967"/>
      <c r="E266" s="967"/>
      <c r="F266" s="967"/>
      <c r="G266" s="967"/>
      <c r="H266" s="1018">
        <f>SUM(H264:H265)</f>
        <v>3.7499999999999999E-2</v>
      </c>
      <c r="I266" s="964" t="s">
        <v>2299</v>
      </c>
      <c r="J266" s="901"/>
    </row>
    <row r="267" spans="1:12" s="965" customFormat="1" hidden="1">
      <c r="A267" s="896"/>
      <c r="B267" s="967" t="s">
        <v>1373</v>
      </c>
      <c r="C267" s="1002" t="s">
        <v>1372</v>
      </c>
      <c r="D267" s="967"/>
      <c r="E267" s="967" t="s">
        <v>35</v>
      </c>
      <c r="F267" s="976">
        <f>H266</f>
        <v>3.7499999999999999E-2</v>
      </c>
      <c r="G267" s="970">
        <f>'MINI SSR 2020-21'!C142</f>
        <v>71195</v>
      </c>
      <c r="H267" s="969">
        <f t="shared" ref="H267:H275" si="18">ROUND(F267*G267,2)</f>
        <v>2669.81</v>
      </c>
      <c r="I267" s="964" t="s">
        <v>2299</v>
      </c>
      <c r="J267" s="901"/>
    </row>
    <row r="268" spans="1:12" s="965" customFormat="1" hidden="1">
      <c r="A268" s="896"/>
      <c r="B268" s="967" t="s">
        <v>2092</v>
      </c>
      <c r="C268" s="1002" t="s">
        <v>2093</v>
      </c>
      <c r="D268" s="967"/>
      <c r="E268" s="967" t="s">
        <v>102</v>
      </c>
      <c r="F268" s="976">
        <f>ROUND(1.05*1.995,2)</f>
        <v>2.09</v>
      </c>
      <c r="G268" s="970">
        <f>'MINI SSR 2020-21'!$C$148</f>
        <v>1790</v>
      </c>
      <c r="H268" s="969"/>
      <c r="I268" s="964" t="s">
        <v>2299</v>
      </c>
      <c r="J268" s="901"/>
    </row>
    <row r="269" spans="1:12" s="965" customFormat="1" hidden="1">
      <c r="A269" s="896"/>
      <c r="B269" s="967" t="s">
        <v>2094</v>
      </c>
      <c r="C269" s="1002" t="s">
        <v>2095</v>
      </c>
      <c r="D269" s="967"/>
      <c r="E269" s="967" t="s">
        <v>102</v>
      </c>
      <c r="F269" s="976">
        <f>ROUND(1.05*1.995,2)</f>
        <v>2.09</v>
      </c>
      <c r="G269" s="970">
        <f>'MINI SSR 2020-21'!$C$151</f>
        <v>754</v>
      </c>
      <c r="H269" s="969"/>
      <c r="I269" s="964" t="s">
        <v>2299</v>
      </c>
      <c r="J269" s="901"/>
    </row>
    <row r="270" spans="1:12" hidden="1">
      <c r="A270" s="896"/>
      <c r="B270" s="967" t="s">
        <v>1394</v>
      </c>
      <c r="C270" s="1002" t="s">
        <v>1393</v>
      </c>
      <c r="D270" s="967"/>
      <c r="E270" s="967" t="s">
        <v>11</v>
      </c>
      <c r="F270" s="988">
        <v>2</v>
      </c>
      <c r="G270" s="970">
        <f>'MINI SSR 2020-21'!$G$143</f>
        <v>84</v>
      </c>
      <c r="H270" s="969"/>
      <c r="I270" s="964" t="s">
        <v>2299</v>
      </c>
    </row>
    <row r="271" spans="1:12" hidden="1">
      <c r="A271" s="896"/>
      <c r="B271" s="967" t="s">
        <v>1396</v>
      </c>
      <c r="C271" s="1002" t="s">
        <v>1395</v>
      </c>
      <c r="D271" s="967"/>
      <c r="E271" s="967" t="s">
        <v>11</v>
      </c>
      <c r="F271" s="988">
        <v>3</v>
      </c>
      <c r="G271" s="970">
        <f>'MINI SSR 2020-21'!$G$146</f>
        <v>117</v>
      </c>
      <c r="H271" s="969"/>
      <c r="I271" s="964" t="s">
        <v>2299</v>
      </c>
    </row>
    <row r="272" spans="1:12" hidden="1">
      <c r="A272" s="896"/>
      <c r="B272" s="967" t="s">
        <v>1381</v>
      </c>
      <c r="C272" s="1002" t="s">
        <v>1380</v>
      </c>
      <c r="D272" s="967"/>
      <c r="E272" s="967" t="s">
        <v>11</v>
      </c>
      <c r="F272" s="988">
        <v>2</v>
      </c>
      <c r="G272" s="970">
        <f>'MINI SSR 2020-21'!$G$147</f>
        <v>103</v>
      </c>
      <c r="H272" s="969"/>
      <c r="I272" s="964" t="s">
        <v>2299</v>
      </c>
    </row>
    <row r="273" spans="1:12" hidden="1">
      <c r="A273" s="896"/>
      <c r="B273" s="967" t="s">
        <v>1398</v>
      </c>
      <c r="C273" s="1002" t="s">
        <v>1397</v>
      </c>
      <c r="D273" s="967"/>
      <c r="E273" s="967" t="s">
        <v>11</v>
      </c>
      <c r="F273" s="988">
        <v>2</v>
      </c>
      <c r="G273" s="970">
        <f>'MINI SSR 2020-21'!$G$149</f>
        <v>308</v>
      </c>
      <c r="H273" s="969"/>
      <c r="I273" s="964" t="s">
        <v>2299</v>
      </c>
    </row>
    <row r="274" spans="1:12" hidden="1">
      <c r="A274" s="896"/>
      <c r="B274" s="967" t="s">
        <v>1400</v>
      </c>
      <c r="C274" s="1002" t="s">
        <v>1399</v>
      </c>
      <c r="D274" s="967"/>
      <c r="E274" s="967" t="s">
        <v>11</v>
      </c>
      <c r="F274" s="988">
        <v>1</v>
      </c>
      <c r="G274" s="970">
        <f>'MINI SSR 2020-21'!$G$155</f>
        <v>53</v>
      </c>
      <c r="H274" s="969"/>
      <c r="I274" s="964" t="s">
        <v>2299</v>
      </c>
    </row>
    <row r="275" spans="1:12" hidden="1">
      <c r="A275" s="896"/>
      <c r="B275" s="967" t="s">
        <v>1387</v>
      </c>
      <c r="C275" s="1002" t="s">
        <v>1386</v>
      </c>
      <c r="D275" s="967"/>
      <c r="E275" s="967" t="s">
        <v>11</v>
      </c>
      <c r="F275" s="988">
        <v>6</v>
      </c>
      <c r="G275" s="970">
        <f>'MINI SSR 2020-21'!$G$152</f>
        <v>32</v>
      </c>
      <c r="H275" s="969">
        <f t="shared" si="18"/>
        <v>192</v>
      </c>
      <c r="I275" s="964" t="s">
        <v>2299</v>
      </c>
    </row>
    <row r="276" spans="1:12" hidden="1">
      <c r="A276" s="967"/>
      <c r="B276" s="967"/>
      <c r="C276" s="1004" t="s">
        <v>68</v>
      </c>
      <c r="D276" s="967"/>
      <c r="E276" s="967"/>
      <c r="F276" s="970"/>
      <c r="G276" s="974"/>
      <c r="H276" s="969"/>
      <c r="I276" s="964" t="s">
        <v>2299</v>
      </c>
    </row>
    <row r="277" spans="1:12" ht="25.5" hidden="1">
      <c r="A277" s="967"/>
      <c r="B277" s="967" t="s">
        <v>1389</v>
      </c>
      <c r="C277" s="1002" t="s">
        <v>1401</v>
      </c>
      <c r="D277" s="967"/>
      <c r="E277" s="967" t="s">
        <v>102</v>
      </c>
      <c r="F277" s="970">
        <f>ROUND(1.2*2.1,2)</f>
        <v>2.52</v>
      </c>
      <c r="G277" s="970">
        <f>'MINI SSR 2020-21'!C149</f>
        <v>1570</v>
      </c>
      <c r="H277" s="969">
        <f>ROUND(F277*G277*1/3,2)</f>
        <v>1318.8</v>
      </c>
      <c r="I277" s="964" t="s">
        <v>2299</v>
      </c>
      <c r="L277" s="1019"/>
    </row>
    <row r="278" spans="1:12" ht="13.5" hidden="1" thickBot="1">
      <c r="A278" s="967"/>
      <c r="B278" s="967"/>
      <c r="C278" s="1004"/>
      <c r="D278" s="967"/>
      <c r="E278" s="967"/>
      <c r="F278" s="967"/>
      <c r="G278" s="967"/>
      <c r="H278" s="971">
        <f>SUM(H267:H277)</f>
        <v>4180.6099999999997</v>
      </c>
      <c r="I278" s="964" t="s">
        <v>2299</v>
      </c>
      <c r="L278" s="1020"/>
    </row>
    <row r="279" spans="1:12" ht="127.5" hidden="1">
      <c r="A279" s="896">
        <v>3</v>
      </c>
      <c r="B279" s="966"/>
      <c r="C279" s="1002" t="s">
        <v>1309</v>
      </c>
      <c r="D279" s="967"/>
      <c r="E279" s="967"/>
      <c r="F279" s="967"/>
      <c r="G279" s="967"/>
      <c r="H279" s="972"/>
      <c r="I279" s="964" t="s">
        <v>2299</v>
      </c>
    </row>
    <row r="280" spans="1:12" hidden="1">
      <c r="A280" s="896"/>
      <c r="B280" s="966"/>
      <c r="C280" s="1004" t="s">
        <v>100</v>
      </c>
      <c r="D280" s="967"/>
      <c r="E280" s="967"/>
      <c r="F280" s="967"/>
      <c r="G280" s="967"/>
      <c r="H280" s="972"/>
      <c r="I280" s="964" t="s">
        <v>2299</v>
      </c>
    </row>
    <row r="281" spans="1:12" s="965" customFormat="1" hidden="1">
      <c r="A281" s="896"/>
      <c r="B281" s="966"/>
      <c r="C281" s="1004" t="s">
        <v>1</v>
      </c>
      <c r="D281" s="967"/>
      <c r="E281" s="967"/>
      <c r="F281" s="967"/>
      <c r="G281" s="967"/>
      <c r="H281" s="972"/>
      <c r="I281" s="964" t="s">
        <v>2299</v>
      </c>
      <c r="J281" s="901"/>
    </row>
    <row r="282" spans="1:12" s="965" customFormat="1" hidden="1">
      <c r="A282" s="896"/>
      <c r="B282" s="966"/>
      <c r="C282" s="1002" t="s">
        <v>2</v>
      </c>
      <c r="D282" s="1014">
        <v>2</v>
      </c>
      <c r="E282" s="1015">
        <v>1.9</v>
      </c>
      <c r="F282" s="1016">
        <v>0.1</v>
      </c>
      <c r="G282" s="1016">
        <v>7.4999999999999997E-2</v>
      </c>
      <c r="H282" s="1017">
        <f>ROUND(D282*E282*F282*G282,4)</f>
        <v>2.8500000000000001E-2</v>
      </c>
      <c r="I282" s="964" t="s">
        <v>2299</v>
      </c>
      <c r="J282" s="901"/>
    </row>
    <row r="283" spans="1:12" s="965" customFormat="1" hidden="1">
      <c r="A283" s="896"/>
      <c r="B283" s="966"/>
      <c r="C283" s="1002" t="s">
        <v>741</v>
      </c>
      <c r="D283" s="1014">
        <v>1</v>
      </c>
      <c r="E283" s="1015">
        <v>1.2</v>
      </c>
      <c r="F283" s="1016">
        <v>0.1</v>
      </c>
      <c r="G283" s="1016">
        <v>7.4999999999999997E-2</v>
      </c>
      <c r="H283" s="1017">
        <f>ROUND(D283*E283*F283*G283,4)</f>
        <v>8.9999999999999993E-3</v>
      </c>
      <c r="I283" s="964" t="s">
        <v>2299</v>
      </c>
      <c r="J283" s="901"/>
    </row>
    <row r="284" spans="1:12" s="965" customFormat="1" hidden="1">
      <c r="A284" s="896"/>
      <c r="B284" s="966"/>
      <c r="C284" s="1004"/>
      <c r="D284" s="967"/>
      <c r="E284" s="967"/>
      <c r="F284" s="967"/>
      <c r="G284" s="967"/>
      <c r="H284" s="1018">
        <f>SUM(H282:H283)</f>
        <v>3.7499999999999999E-2</v>
      </c>
      <c r="I284" s="964" t="s">
        <v>2299</v>
      </c>
      <c r="J284" s="901"/>
    </row>
    <row r="285" spans="1:12" s="965" customFormat="1" hidden="1">
      <c r="A285" s="896"/>
      <c r="B285" s="966" t="s">
        <v>1682</v>
      </c>
      <c r="C285" s="1002" t="s">
        <v>1683</v>
      </c>
      <c r="E285" s="967" t="s">
        <v>35</v>
      </c>
      <c r="F285" s="976">
        <f>H284</f>
        <v>3.7499999999999999E-2</v>
      </c>
      <c r="G285" s="970">
        <f>'MINI SSR 2020-21'!$C$144</f>
        <v>46217</v>
      </c>
      <c r="H285" s="969">
        <f t="shared" ref="H285:H293" si="19">ROUND(F285*G285,2)</f>
        <v>1733.14</v>
      </c>
      <c r="I285" s="964" t="s">
        <v>2299</v>
      </c>
      <c r="J285" s="901"/>
    </row>
    <row r="286" spans="1:12" s="965" customFormat="1" hidden="1">
      <c r="A286" s="896"/>
      <c r="B286" s="967" t="s">
        <v>2092</v>
      </c>
      <c r="C286" s="1002" t="s">
        <v>2093</v>
      </c>
      <c r="D286" s="967"/>
      <c r="E286" s="967" t="s">
        <v>102</v>
      </c>
      <c r="F286" s="976">
        <f>ROUND(1.05*1.995,2)</f>
        <v>2.09</v>
      </c>
      <c r="G286" s="970">
        <f>'MINI SSR 2020-21'!$C$148</f>
        <v>1790</v>
      </c>
      <c r="H286" s="969">
        <f t="shared" si="19"/>
        <v>3741.1</v>
      </c>
      <c r="I286" s="964" t="s">
        <v>2299</v>
      </c>
      <c r="J286" s="901"/>
    </row>
    <row r="287" spans="1:12" s="965" customFormat="1" hidden="1">
      <c r="A287" s="896"/>
      <c r="B287" s="967" t="s">
        <v>2094</v>
      </c>
      <c r="C287" s="1002" t="s">
        <v>2095</v>
      </c>
      <c r="D287" s="967"/>
      <c r="E287" s="967" t="s">
        <v>102</v>
      </c>
      <c r="F287" s="976">
        <f>ROUND(1.05*1.995,2)</f>
        <v>2.09</v>
      </c>
      <c r="G287" s="970">
        <f>'MINI SSR 2020-21'!$C$151</f>
        <v>754</v>
      </c>
      <c r="H287" s="969">
        <f t="shared" si="19"/>
        <v>1575.86</v>
      </c>
      <c r="I287" s="964" t="s">
        <v>2299</v>
      </c>
      <c r="J287" s="901"/>
    </row>
    <row r="288" spans="1:12" hidden="1">
      <c r="A288" s="896"/>
      <c r="B288" s="967" t="s">
        <v>1394</v>
      </c>
      <c r="C288" s="1002" t="s">
        <v>1393</v>
      </c>
      <c r="D288" s="967"/>
      <c r="E288" s="967" t="s">
        <v>11</v>
      </c>
      <c r="F288" s="988">
        <v>2</v>
      </c>
      <c r="G288" s="970">
        <f>'MINI SSR 2020-21'!$G$143</f>
        <v>84</v>
      </c>
      <c r="H288" s="969">
        <f t="shared" si="19"/>
        <v>168</v>
      </c>
      <c r="I288" s="964" t="s">
        <v>2299</v>
      </c>
    </row>
    <row r="289" spans="1:12" hidden="1">
      <c r="A289" s="896"/>
      <c r="B289" s="967" t="s">
        <v>1396</v>
      </c>
      <c r="C289" s="1002" t="s">
        <v>1395</v>
      </c>
      <c r="D289" s="967"/>
      <c r="E289" s="967" t="s">
        <v>11</v>
      </c>
      <c r="F289" s="988">
        <v>3</v>
      </c>
      <c r="G289" s="970">
        <f>'MINI SSR 2020-21'!$G$146</f>
        <v>117</v>
      </c>
      <c r="H289" s="969">
        <f t="shared" si="19"/>
        <v>351</v>
      </c>
      <c r="I289" s="964" t="s">
        <v>2299</v>
      </c>
    </row>
    <row r="290" spans="1:12" hidden="1">
      <c r="A290" s="896"/>
      <c r="B290" s="967" t="s">
        <v>1381</v>
      </c>
      <c r="C290" s="1002" t="s">
        <v>1380</v>
      </c>
      <c r="D290" s="967"/>
      <c r="E290" s="967" t="s">
        <v>11</v>
      </c>
      <c r="F290" s="988">
        <v>2</v>
      </c>
      <c r="G290" s="970">
        <f>'MINI SSR 2020-21'!$G$147</f>
        <v>103</v>
      </c>
      <c r="H290" s="969">
        <f t="shared" si="19"/>
        <v>206</v>
      </c>
      <c r="I290" s="964" t="s">
        <v>2299</v>
      </c>
    </row>
    <row r="291" spans="1:12" hidden="1">
      <c r="A291" s="896"/>
      <c r="B291" s="967" t="s">
        <v>1398</v>
      </c>
      <c r="C291" s="1002" t="s">
        <v>1397</v>
      </c>
      <c r="D291" s="967"/>
      <c r="E291" s="967" t="s">
        <v>11</v>
      </c>
      <c r="F291" s="988">
        <v>2</v>
      </c>
      <c r="G291" s="970">
        <f>'MINI SSR 2020-21'!$G$149</f>
        <v>308</v>
      </c>
      <c r="H291" s="969">
        <f t="shared" si="19"/>
        <v>616</v>
      </c>
      <c r="I291" s="964" t="s">
        <v>2299</v>
      </c>
    </row>
    <row r="292" spans="1:12" hidden="1">
      <c r="A292" s="896"/>
      <c r="B292" s="967" t="s">
        <v>1400</v>
      </c>
      <c r="C292" s="1002" t="s">
        <v>1399</v>
      </c>
      <c r="D292" s="967"/>
      <c r="E292" s="967" t="s">
        <v>11</v>
      </c>
      <c r="F292" s="988">
        <v>1</v>
      </c>
      <c r="G292" s="970">
        <f>'MINI SSR 2020-21'!$G$155</f>
        <v>53</v>
      </c>
      <c r="H292" s="969">
        <f t="shared" si="19"/>
        <v>53</v>
      </c>
      <c r="I292" s="964" t="s">
        <v>2299</v>
      </c>
    </row>
    <row r="293" spans="1:12" hidden="1">
      <c r="A293" s="896"/>
      <c r="B293" s="967" t="s">
        <v>1387</v>
      </c>
      <c r="C293" s="1002" t="s">
        <v>1386</v>
      </c>
      <c r="D293" s="967"/>
      <c r="E293" s="967" t="s">
        <v>11</v>
      </c>
      <c r="F293" s="988">
        <v>6</v>
      </c>
      <c r="G293" s="970">
        <f>'MINI SSR 2020-21'!$G$152</f>
        <v>32</v>
      </c>
      <c r="H293" s="969">
        <f t="shared" si="19"/>
        <v>192</v>
      </c>
      <c r="I293" s="964" t="s">
        <v>2299</v>
      </c>
    </row>
    <row r="294" spans="1:12" hidden="1">
      <c r="A294" s="967"/>
      <c r="B294" s="967"/>
      <c r="C294" s="1004" t="s">
        <v>68</v>
      </c>
      <c r="D294" s="967"/>
      <c r="E294" s="967"/>
      <c r="F294" s="970"/>
      <c r="G294" s="974"/>
      <c r="H294" s="969"/>
      <c r="I294" s="964" t="s">
        <v>2299</v>
      </c>
    </row>
    <row r="295" spans="1:12" hidden="1">
      <c r="A295" s="967"/>
      <c r="B295" s="967" t="s">
        <v>1690</v>
      </c>
      <c r="C295" s="1002" t="s">
        <v>1388</v>
      </c>
      <c r="D295" s="901"/>
      <c r="E295" s="967" t="s">
        <v>102</v>
      </c>
      <c r="F295" s="970">
        <f>ROUND(1.2*2.1,2)</f>
        <v>2.52</v>
      </c>
      <c r="G295" s="970">
        <f>'MINI SSR 2020-21'!$C$150</f>
        <v>1452</v>
      </c>
      <c r="H295" s="969">
        <f>ROUND(F295*G295*1/3,2)</f>
        <v>1219.68</v>
      </c>
      <c r="I295" s="964" t="s">
        <v>2299</v>
      </c>
      <c r="L295" s="1019"/>
    </row>
    <row r="296" spans="1:12" ht="13.5" hidden="1" thickBot="1">
      <c r="A296" s="967"/>
      <c r="B296" s="967"/>
      <c r="C296" s="1004"/>
      <c r="D296" s="967"/>
      <c r="E296" s="967"/>
      <c r="F296" s="967"/>
      <c r="G296" s="967"/>
      <c r="H296" s="971">
        <f>SUM(H285:H295)</f>
        <v>9855.7799999999988</v>
      </c>
      <c r="I296" s="964" t="s">
        <v>2299</v>
      </c>
      <c r="L296" s="1020"/>
    </row>
    <row r="297" spans="1:12" ht="127.5" hidden="1">
      <c r="A297" s="896">
        <v>3</v>
      </c>
      <c r="B297" s="966"/>
      <c r="C297" s="1002" t="s">
        <v>1678</v>
      </c>
      <c r="D297" s="967"/>
      <c r="E297" s="967"/>
      <c r="F297" s="967"/>
      <c r="G297" s="967"/>
      <c r="H297" s="972"/>
      <c r="I297" s="964" t="s">
        <v>2299</v>
      </c>
    </row>
    <row r="298" spans="1:12" hidden="1">
      <c r="A298" s="896"/>
      <c r="B298" s="966"/>
      <c r="C298" s="1004" t="s">
        <v>100</v>
      </c>
      <c r="D298" s="967"/>
      <c r="E298" s="967"/>
      <c r="F298" s="967"/>
      <c r="G298" s="967"/>
      <c r="H298" s="972"/>
      <c r="I298" s="964" t="s">
        <v>2299</v>
      </c>
    </row>
    <row r="299" spans="1:12" s="965" customFormat="1" hidden="1">
      <c r="A299" s="896"/>
      <c r="B299" s="966"/>
      <c r="C299" s="1004" t="s">
        <v>594</v>
      </c>
      <c r="D299" s="967"/>
      <c r="E299" s="967"/>
      <c r="F299" s="967"/>
      <c r="G299" s="967"/>
      <c r="H299" s="972"/>
      <c r="I299" s="964" t="s">
        <v>2299</v>
      </c>
      <c r="J299" s="901"/>
    </row>
    <row r="300" spans="1:12" s="965" customFormat="1" hidden="1">
      <c r="A300" s="896"/>
      <c r="B300" s="966"/>
      <c r="C300" s="1002" t="s">
        <v>2</v>
      </c>
      <c r="D300" s="1014">
        <v>2</v>
      </c>
      <c r="E300" s="1015">
        <v>1.9</v>
      </c>
      <c r="F300" s="1016">
        <v>0.1</v>
      </c>
      <c r="G300" s="1016">
        <v>7.4999999999999997E-2</v>
      </c>
      <c r="H300" s="1017">
        <f>ROUND(D300*E300*F300*G300,4)</f>
        <v>2.8500000000000001E-2</v>
      </c>
      <c r="I300" s="964" t="s">
        <v>2299</v>
      </c>
      <c r="J300" s="901"/>
    </row>
    <row r="301" spans="1:12" s="965" customFormat="1" hidden="1">
      <c r="A301" s="896"/>
      <c r="B301" s="966"/>
      <c r="C301" s="1002" t="s">
        <v>741</v>
      </c>
      <c r="D301" s="1014">
        <v>1</v>
      </c>
      <c r="E301" s="1015">
        <v>0.9</v>
      </c>
      <c r="F301" s="1016">
        <v>0.1</v>
      </c>
      <c r="G301" s="1016">
        <v>7.4999999999999997E-2</v>
      </c>
      <c r="H301" s="1017">
        <f>ROUND(D301*E301*F301*G301,4)</f>
        <v>6.7999999999999996E-3</v>
      </c>
      <c r="I301" s="964" t="s">
        <v>2299</v>
      </c>
      <c r="J301" s="901"/>
    </row>
    <row r="302" spans="1:12" s="965" customFormat="1" hidden="1">
      <c r="A302" s="896"/>
      <c r="B302" s="966"/>
      <c r="C302" s="1004"/>
      <c r="D302" s="1014"/>
      <c r="E302" s="1014"/>
      <c r="F302" s="1014"/>
      <c r="G302" s="1014"/>
      <c r="H302" s="1021">
        <f>SUM(H300:H301)</f>
        <v>3.5299999999999998E-2</v>
      </c>
      <c r="I302" s="964" t="s">
        <v>2299</v>
      </c>
      <c r="J302" s="901"/>
    </row>
    <row r="303" spans="1:12" s="965" customFormat="1" hidden="1">
      <c r="A303" s="896"/>
      <c r="B303" s="966"/>
      <c r="C303" s="1004" t="s">
        <v>320</v>
      </c>
      <c r="D303" s="1014">
        <v>1</v>
      </c>
      <c r="E303" s="1015">
        <v>2.0099999999999998</v>
      </c>
      <c r="F303" s="1016">
        <v>0.8</v>
      </c>
      <c r="G303" s="1016">
        <v>0.03</v>
      </c>
      <c r="H303" s="1017">
        <f>ROUND(D303*E303*F303*G303,4)</f>
        <v>4.82E-2</v>
      </c>
      <c r="I303" s="964" t="s">
        <v>2299</v>
      </c>
      <c r="J303" s="901"/>
    </row>
    <row r="304" spans="1:12" s="965" customFormat="1" hidden="1">
      <c r="A304" s="896"/>
      <c r="B304" s="966"/>
      <c r="C304" s="1002"/>
      <c r="D304" s="1014"/>
      <c r="E304" s="1014"/>
      <c r="F304" s="1014"/>
      <c r="G304" s="1014"/>
      <c r="H304" s="1021">
        <f>SUM(H303:H303)</f>
        <v>4.82E-2</v>
      </c>
      <c r="I304" s="964" t="s">
        <v>2299</v>
      </c>
      <c r="J304" s="901"/>
    </row>
    <row r="305" spans="1:10" s="965" customFormat="1" hidden="1">
      <c r="A305" s="896"/>
      <c r="B305" s="966" t="s">
        <v>1373</v>
      </c>
      <c r="C305" s="1002" t="s">
        <v>1372</v>
      </c>
      <c r="E305" s="967" t="s">
        <v>35</v>
      </c>
      <c r="F305" s="976">
        <f>H302</f>
        <v>3.5299999999999998E-2</v>
      </c>
      <c r="G305" s="970">
        <f>'MINI SSR 2020-21'!C142</f>
        <v>71195</v>
      </c>
      <c r="H305" s="969">
        <f t="shared" ref="H305:H312" si="20">ROUND(F305*G305,2)</f>
        <v>2513.1799999999998</v>
      </c>
      <c r="I305" s="964" t="s">
        <v>2299</v>
      </c>
      <c r="J305" s="901"/>
    </row>
    <row r="306" spans="1:10" s="965" customFormat="1" hidden="1">
      <c r="A306" s="896"/>
      <c r="B306" s="966" t="s">
        <v>1375</v>
      </c>
      <c r="C306" s="1002" t="s">
        <v>1374</v>
      </c>
      <c r="E306" s="967" t="s">
        <v>35</v>
      </c>
      <c r="F306" s="976">
        <f>H304</f>
        <v>4.82E-2</v>
      </c>
      <c r="G306" s="970">
        <f>'MINI SSR 2020-21'!C143</f>
        <v>142391</v>
      </c>
      <c r="H306" s="969">
        <f t="shared" si="20"/>
        <v>6863.25</v>
      </c>
      <c r="I306" s="964" t="s">
        <v>2299</v>
      </c>
      <c r="J306" s="901"/>
    </row>
    <row r="307" spans="1:10" s="965" customFormat="1" hidden="1">
      <c r="A307" s="896"/>
      <c r="B307" s="966" t="s">
        <v>1377</v>
      </c>
      <c r="C307" s="1002" t="s">
        <v>1376</v>
      </c>
      <c r="D307" s="967"/>
      <c r="E307" s="967" t="s">
        <v>11</v>
      </c>
      <c r="F307" s="988">
        <v>2</v>
      </c>
      <c r="G307" s="970">
        <f t="shared" ref="G307:G312" si="21">G252</f>
        <v>231</v>
      </c>
      <c r="H307" s="969">
        <f t="shared" si="20"/>
        <v>462</v>
      </c>
      <c r="I307" s="964" t="s">
        <v>2299</v>
      </c>
      <c r="J307" s="901"/>
    </row>
    <row r="308" spans="1:10" s="965" customFormat="1" hidden="1">
      <c r="A308" s="896"/>
      <c r="B308" s="966" t="s">
        <v>1379</v>
      </c>
      <c r="C308" s="1002" t="s">
        <v>1378</v>
      </c>
      <c r="D308" s="967"/>
      <c r="E308" s="967" t="s">
        <v>11</v>
      </c>
      <c r="F308" s="988">
        <v>3</v>
      </c>
      <c r="G308" s="970">
        <f t="shared" si="21"/>
        <v>246</v>
      </c>
      <c r="H308" s="969">
        <f t="shared" si="20"/>
        <v>738</v>
      </c>
      <c r="I308" s="964" t="s">
        <v>2299</v>
      </c>
      <c r="J308" s="901"/>
    </row>
    <row r="309" spans="1:10" s="965" customFormat="1" hidden="1">
      <c r="A309" s="896"/>
      <c r="B309" s="966" t="s">
        <v>1381</v>
      </c>
      <c r="C309" s="1002" t="s">
        <v>1380</v>
      </c>
      <c r="D309" s="967"/>
      <c r="E309" s="967" t="s">
        <v>11</v>
      </c>
      <c r="F309" s="988"/>
      <c r="G309" s="970">
        <f t="shared" si="21"/>
        <v>103</v>
      </c>
      <c r="H309" s="969">
        <f t="shared" si="20"/>
        <v>0</v>
      </c>
      <c r="I309" s="964" t="s">
        <v>2299</v>
      </c>
      <c r="J309" s="901"/>
    </row>
    <row r="310" spans="1:10" s="965" customFormat="1" hidden="1">
      <c r="A310" s="896"/>
      <c r="B310" s="966" t="s">
        <v>1383</v>
      </c>
      <c r="C310" s="1002" t="s">
        <v>1382</v>
      </c>
      <c r="D310" s="967"/>
      <c r="E310" s="967" t="s">
        <v>11</v>
      </c>
      <c r="F310" s="988">
        <v>2</v>
      </c>
      <c r="G310" s="970">
        <f t="shared" si="21"/>
        <v>1087</v>
      </c>
      <c r="H310" s="969">
        <f t="shared" si="20"/>
        <v>2174</v>
      </c>
      <c r="I310" s="964" t="s">
        <v>2299</v>
      </c>
      <c r="J310" s="901"/>
    </row>
    <row r="311" spans="1:10" hidden="1">
      <c r="A311" s="896"/>
      <c r="B311" s="966" t="s">
        <v>1385</v>
      </c>
      <c r="C311" s="1002" t="s">
        <v>1384</v>
      </c>
      <c r="D311" s="967"/>
      <c r="E311" s="967" t="s">
        <v>11</v>
      </c>
      <c r="F311" s="988">
        <v>1</v>
      </c>
      <c r="G311" s="970">
        <f t="shared" si="21"/>
        <v>168</v>
      </c>
      <c r="H311" s="969">
        <f t="shared" si="20"/>
        <v>168</v>
      </c>
      <c r="I311" s="964" t="s">
        <v>2299</v>
      </c>
    </row>
    <row r="312" spans="1:10" hidden="1">
      <c r="A312" s="896"/>
      <c r="B312" s="966" t="s">
        <v>1387</v>
      </c>
      <c r="C312" s="1002" t="s">
        <v>1386</v>
      </c>
      <c r="D312" s="967"/>
      <c r="E312" s="967" t="s">
        <v>11</v>
      </c>
      <c r="F312" s="988">
        <v>6</v>
      </c>
      <c r="G312" s="970">
        <f t="shared" si="21"/>
        <v>32</v>
      </c>
      <c r="H312" s="969">
        <f t="shared" si="20"/>
        <v>192</v>
      </c>
      <c r="I312" s="964" t="s">
        <v>2299</v>
      </c>
    </row>
    <row r="313" spans="1:10" hidden="1">
      <c r="A313" s="896"/>
      <c r="B313" s="966"/>
      <c r="C313" s="1004" t="s">
        <v>68</v>
      </c>
      <c r="D313" s="901"/>
      <c r="E313" s="967"/>
      <c r="F313" s="970"/>
      <c r="G313" s="970"/>
      <c r="H313" s="969"/>
      <c r="I313" s="964" t="s">
        <v>2299</v>
      </c>
    </row>
    <row r="314" spans="1:10" hidden="1">
      <c r="A314" s="896"/>
      <c r="B314" s="967" t="s">
        <v>1389</v>
      </c>
      <c r="C314" s="1002" t="s">
        <v>1388</v>
      </c>
      <c r="D314" s="901"/>
      <c r="E314" s="967" t="s">
        <v>102</v>
      </c>
      <c r="F314" s="970">
        <f>ROUND(0.9*2.1,2)</f>
        <v>1.89</v>
      </c>
      <c r="G314" s="970">
        <f>G259</f>
        <v>1570</v>
      </c>
      <c r="H314" s="969">
        <f>ROUND(F314*G314*1/3,2)</f>
        <v>989.1</v>
      </c>
      <c r="I314" s="964" t="s">
        <v>2299</v>
      </c>
    </row>
    <row r="315" spans="1:10" hidden="1">
      <c r="A315" s="896"/>
      <c r="B315" s="966"/>
      <c r="C315" s="1004"/>
      <c r="D315" s="967"/>
      <c r="E315" s="967"/>
      <c r="F315" s="967"/>
      <c r="G315" s="967"/>
      <c r="H315" s="971">
        <f>SUM(H305:H314)</f>
        <v>14099.53</v>
      </c>
      <c r="I315" s="964" t="s">
        <v>2299</v>
      </c>
    </row>
    <row r="316" spans="1:10" ht="127.5" hidden="1">
      <c r="A316" s="896">
        <v>4</v>
      </c>
      <c r="B316" s="966"/>
      <c r="C316" s="1002" t="s">
        <v>1679</v>
      </c>
      <c r="D316" s="967"/>
      <c r="E316" s="967"/>
      <c r="F316" s="967"/>
      <c r="G316" s="967"/>
      <c r="H316" s="972"/>
      <c r="I316" s="964" t="s">
        <v>2299</v>
      </c>
    </row>
    <row r="317" spans="1:10" hidden="1">
      <c r="A317" s="896"/>
      <c r="B317" s="966"/>
      <c r="C317" s="1004" t="s">
        <v>100</v>
      </c>
      <c r="D317" s="967"/>
      <c r="E317" s="967"/>
      <c r="F317" s="967"/>
      <c r="G317" s="967"/>
      <c r="H317" s="972"/>
      <c r="I317" s="964" t="s">
        <v>2299</v>
      </c>
    </row>
    <row r="318" spans="1:10" s="965" customFormat="1" hidden="1">
      <c r="A318" s="896"/>
      <c r="B318" s="966"/>
      <c r="C318" s="1004" t="s">
        <v>594</v>
      </c>
      <c r="D318" s="967"/>
      <c r="E318" s="967"/>
      <c r="F318" s="967"/>
      <c r="G318" s="967"/>
      <c r="H318" s="972"/>
      <c r="I318" s="964" t="s">
        <v>2299</v>
      </c>
      <c r="J318" s="901"/>
    </row>
    <row r="319" spans="1:10" s="965" customFormat="1" hidden="1">
      <c r="A319" s="896"/>
      <c r="B319" s="966"/>
      <c r="C319" s="1002" t="s">
        <v>2</v>
      </c>
      <c r="D319" s="1014">
        <v>2</v>
      </c>
      <c r="E319" s="1015">
        <v>1.9</v>
      </c>
      <c r="F319" s="1016">
        <v>0.1</v>
      </c>
      <c r="G319" s="1016">
        <v>7.4999999999999997E-2</v>
      </c>
      <c r="H319" s="1017">
        <f>ROUND(D319*E319*F319*G319,4)</f>
        <v>2.8500000000000001E-2</v>
      </c>
      <c r="I319" s="964" t="s">
        <v>2299</v>
      </c>
      <c r="J319" s="901"/>
    </row>
    <row r="320" spans="1:10" s="965" customFormat="1" hidden="1">
      <c r="A320" s="896"/>
      <c r="B320" s="966"/>
      <c r="C320" s="1002" t="s">
        <v>741</v>
      </c>
      <c r="D320" s="1014">
        <v>1</v>
      </c>
      <c r="E320" s="1015">
        <v>0.8</v>
      </c>
      <c r="F320" s="1016">
        <v>0.1</v>
      </c>
      <c r="G320" s="1016">
        <v>7.4999999999999997E-2</v>
      </c>
      <c r="H320" s="1017">
        <f>ROUND(D320*E320*F320*G320,4)</f>
        <v>6.0000000000000001E-3</v>
      </c>
      <c r="I320" s="964" t="s">
        <v>2299</v>
      </c>
      <c r="J320" s="901"/>
    </row>
    <row r="321" spans="1:10" s="965" customFormat="1" hidden="1">
      <c r="A321" s="896"/>
      <c r="B321" s="966"/>
      <c r="C321" s="1004"/>
      <c r="D321" s="1014"/>
      <c r="E321" s="1014"/>
      <c r="F321" s="1014"/>
      <c r="G321" s="1014"/>
      <c r="H321" s="1021">
        <f>SUM(H319:H320)</f>
        <v>3.4500000000000003E-2</v>
      </c>
      <c r="I321" s="964" t="s">
        <v>2299</v>
      </c>
      <c r="J321" s="901"/>
    </row>
    <row r="322" spans="1:10" s="965" customFormat="1" hidden="1">
      <c r="A322" s="896"/>
      <c r="B322" s="966"/>
      <c r="C322" s="1004" t="s">
        <v>320</v>
      </c>
      <c r="D322" s="1014">
        <v>1</v>
      </c>
      <c r="E322" s="1015">
        <v>2.0099999999999998</v>
      </c>
      <c r="F322" s="1016">
        <v>0.72</v>
      </c>
      <c r="G322" s="1016">
        <v>0.03</v>
      </c>
      <c r="H322" s="1017">
        <f>ROUND(D322*E322*F322*G322,4)</f>
        <v>4.3400000000000001E-2</v>
      </c>
      <c r="I322" s="964" t="s">
        <v>2299</v>
      </c>
      <c r="J322" s="901"/>
    </row>
    <row r="323" spans="1:10" s="965" customFormat="1" hidden="1">
      <c r="A323" s="896"/>
      <c r="B323" s="966"/>
      <c r="C323" s="1002"/>
      <c r="D323" s="1014"/>
      <c r="E323" s="1014"/>
      <c r="F323" s="1014"/>
      <c r="G323" s="1014"/>
      <c r="H323" s="1021">
        <f>SUM(H322:H322)</f>
        <v>4.3400000000000001E-2</v>
      </c>
      <c r="I323" s="964" t="s">
        <v>2299</v>
      </c>
      <c r="J323" s="901"/>
    </row>
    <row r="324" spans="1:10" s="965" customFormat="1" hidden="1">
      <c r="A324" s="896"/>
      <c r="B324" s="966" t="s">
        <v>1373</v>
      </c>
      <c r="C324" s="1002" t="s">
        <v>1372</v>
      </c>
      <c r="E324" s="967" t="s">
        <v>35</v>
      </c>
      <c r="F324" s="976">
        <f>H321</f>
        <v>3.4500000000000003E-2</v>
      </c>
      <c r="G324" s="970">
        <f t="shared" ref="G324:G331" si="22">G305</f>
        <v>71195</v>
      </c>
      <c r="H324" s="969">
        <f t="shared" ref="H324:H331" si="23">ROUND(F324*G324,2)</f>
        <v>2456.23</v>
      </c>
      <c r="I324" s="964" t="s">
        <v>2299</v>
      </c>
      <c r="J324" s="901"/>
    </row>
    <row r="325" spans="1:10" s="965" customFormat="1" hidden="1">
      <c r="A325" s="896"/>
      <c r="B325" s="966" t="s">
        <v>1375</v>
      </c>
      <c r="C325" s="1002" t="s">
        <v>1374</v>
      </c>
      <c r="E325" s="967" t="s">
        <v>35</v>
      </c>
      <c r="F325" s="976">
        <f>H323</f>
        <v>4.3400000000000001E-2</v>
      </c>
      <c r="G325" s="970">
        <f t="shared" si="22"/>
        <v>142391</v>
      </c>
      <c r="H325" s="969">
        <f t="shared" si="23"/>
        <v>6179.77</v>
      </c>
      <c r="I325" s="964" t="s">
        <v>2299</v>
      </c>
      <c r="J325" s="901"/>
    </row>
    <row r="326" spans="1:10" s="965" customFormat="1" hidden="1">
      <c r="A326" s="896"/>
      <c r="B326" s="966" t="s">
        <v>1377</v>
      </c>
      <c r="C326" s="1002" t="s">
        <v>1376</v>
      </c>
      <c r="D326" s="967"/>
      <c r="E326" s="967" t="s">
        <v>11</v>
      </c>
      <c r="F326" s="988">
        <v>2</v>
      </c>
      <c r="G326" s="970">
        <f t="shared" si="22"/>
        <v>231</v>
      </c>
      <c r="H326" s="969">
        <f t="shared" si="23"/>
        <v>462</v>
      </c>
      <c r="I326" s="964" t="s">
        <v>2299</v>
      </c>
      <c r="J326" s="901"/>
    </row>
    <row r="327" spans="1:10" s="965" customFormat="1" hidden="1">
      <c r="A327" s="896"/>
      <c r="B327" s="966" t="s">
        <v>1379</v>
      </c>
      <c r="C327" s="1002" t="s">
        <v>1378</v>
      </c>
      <c r="D327" s="967"/>
      <c r="E327" s="967" t="s">
        <v>11</v>
      </c>
      <c r="F327" s="988">
        <v>3</v>
      </c>
      <c r="G327" s="970">
        <f t="shared" si="22"/>
        <v>246</v>
      </c>
      <c r="H327" s="969">
        <f t="shared" si="23"/>
        <v>738</v>
      </c>
      <c r="I327" s="964" t="s">
        <v>2299</v>
      </c>
      <c r="J327" s="901"/>
    </row>
    <row r="328" spans="1:10" s="965" customFormat="1" hidden="1">
      <c r="A328" s="896"/>
      <c r="B328" s="966" t="s">
        <v>1381</v>
      </c>
      <c r="C328" s="1002" t="s">
        <v>1380</v>
      </c>
      <c r="D328" s="967"/>
      <c r="E328" s="967" t="s">
        <v>11</v>
      </c>
      <c r="F328" s="988"/>
      <c r="G328" s="970">
        <f t="shared" si="22"/>
        <v>103</v>
      </c>
      <c r="H328" s="969">
        <f t="shared" si="23"/>
        <v>0</v>
      </c>
      <c r="I328" s="964" t="s">
        <v>2299</v>
      </c>
      <c r="J328" s="901"/>
    </row>
    <row r="329" spans="1:10" s="965" customFormat="1" hidden="1">
      <c r="A329" s="896"/>
      <c r="B329" s="966" t="s">
        <v>1383</v>
      </c>
      <c r="C329" s="1002" t="s">
        <v>1382</v>
      </c>
      <c r="D329" s="967"/>
      <c r="E329" s="967" t="s">
        <v>11</v>
      </c>
      <c r="F329" s="988">
        <v>2</v>
      </c>
      <c r="G329" s="970">
        <f t="shared" si="22"/>
        <v>1087</v>
      </c>
      <c r="H329" s="969">
        <f t="shared" si="23"/>
        <v>2174</v>
      </c>
      <c r="I329" s="964" t="s">
        <v>2299</v>
      </c>
      <c r="J329" s="901"/>
    </row>
    <row r="330" spans="1:10" hidden="1">
      <c r="A330" s="896"/>
      <c r="B330" s="966" t="s">
        <v>1385</v>
      </c>
      <c r="C330" s="1002" t="s">
        <v>1384</v>
      </c>
      <c r="D330" s="967"/>
      <c r="E330" s="967" t="s">
        <v>11</v>
      </c>
      <c r="F330" s="988">
        <v>1</v>
      </c>
      <c r="G330" s="970">
        <f t="shared" si="22"/>
        <v>168</v>
      </c>
      <c r="H330" s="969">
        <f t="shared" si="23"/>
        <v>168</v>
      </c>
      <c r="I330" s="964" t="s">
        <v>2299</v>
      </c>
    </row>
    <row r="331" spans="1:10" hidden="1">
      <c r="A331" s="896"/>
      <c r="B331" s="966" t="s">
        <v>1387</v>
      </c>
      <c r="C331" s="1002" t="s">
        <v>1386</v>
      </c>
      <c r="D331" s="967"/>
      <c r="E331" s="967" t="s">
        <v>11</v>
      </c>
      <c r="F331" s="988">
        <v>6</v>
      </c>
      <c r="G331" s="970">
        <f t="shared" si="22"/>
        <v>32</v>
      </c>
      <c r="H331" s="969">
        <f t="shared" si="23"/>
        <v>192</v>
      </c>
      <c r="I331" s="964" t="s">
        <v>2299</v>
      </c>
    </row>
    <row r="332" spans="1:10" hidden="1">
      <c r="A332" s="896"/>
      <c r="B332" s="966"/>
      <c r="C332" s="1004" t="s">
        <v>68</v>
      </c>
      <c r="D332" s="901"/>
      <c r="E332" s="967"/>
      <c r="F332" s="970"/>
      <c r="G332" s="970"/>
      <c r="H332" s="969"/>
      <c r="I332" s="964" t="s">
        <v>2299</v>
      </c>
    </row>
    <row r="333" spans="1:10" hidden="1">
      <c r="A333" s="896"/>
      <c r="B333" s="967" t="s">
        <v>1389</v>
      </c>
      <c r="C333" s="1002" t="s">
        <v>1388</v>
      </c>
      <c r="D333" s="901"/>
      <c r="E333" s="967" t="s">
        <v>102</v>
      </c>
      <c r="F333" s="970">
        <f>ROUND(0.9*2.1,2)</f>
        <v>1.89</v>
      </c>
      <c r="G333" s="970">
        <f>G314</f>
        <v>1570</v>
      </c>
      <c r="H333" s="969">
        <f>ROUND(F333*G333*1/3,2)</f>
        <v>989.1</v>
      </c>
      <c r="I333" s="964" t="s">
        <v>2299</v>
      </c>
    </row>
    <row r="334" spans="1:10" hidden="1">
      <c r="A334" s="896"/>
      <c r="B334" s="966"/>
      <c r="C334" s="1004"/>
      <c r="D334" s="967"/>
      <c r="E334" s="967"/>
      <c r="F334" s="967"/>
      <c r="G334" s="967"/>
      <c r="H334" s="971">
        <f>SUM(H324:H333)</f>
        <v>13359.1</v>
      </c>
      <c r="I334" s="964" t="s">
        <v>2299</v>
      </c>
    </row>
    <row r="335" spans="1:10" ht="114.75" hidden="1">
      <c r="A335" s="896">
        <v>2</v>
      </c>
      <c r="B335" s="966"/>
      <c r="C335" s="1002" t="s">
        <v>1680</v>
      </c>
      <c r="D335" s="967"/>
      <c r="E335" s="967"/>
      <c r="F335" s="967"/>
      <c r="G335" s="967"/>
      <c r="H335" s="972"/>
      <c r="I335" s="964" t="s">
        <v>2299</v>
      </c>
    </row>
    <row r="336" spans="1:10" hidden="1">
      <c r="A336" s="896"/>
      <c r="B336" s="966"/>
      <c r="C336" s="1004" t="s">
        <v>100</v>
      </c>
      <c r="D336" s="967"/>
      <c r="E336" s="967"/>
      <c r="F336" s="967"/>
      <c r="G336" s="967"/>
      <c r="H336" s="972"/>
      <c r="I336" s="964" t="s">
        <v>2299</v>
      </c>
    </row>
    <row r="337" spans="1:10" s="965" customFormat="1" hidden="1">
      <c r="A337" s="896"/>
      <c r="B337" s="966"/>
      <c r="C337" s="1004" t="s">
        <v>1</v>
      </c>
      <c r="D337" s="967"/>
      <c r="E337" s="967"/>
      <c r="F337" s="967"/>
      <c r="G337" s="967"/>
      <c r="H337" s="972"/>
      <c r="I337" s="964" t="s">
        <v>2299</v>
      </c>
      <c r="J337" s="901"/>
    </row>
    <row r="338" spans="1:10" s="965" customFormat="1" hidden="1">
      <c r="A338" s="896"/>
      <c r="B338" s="966"/>
      <c r="C338" s="1002" t="s">
        <v>2</v>
      </c>
      <c r="D338" s="1014">
        <v>2</v>
      </c>
      <c r="E338" s="1015">
        <v>1.9</v>
      </c>
      <c r="F338" s="1016">
        <v>0.1</v>
      </c>
      <c r="G338" s="1016">
        <v>7.4999999999999997E-2</v>
      </c>
      <c r="H338" s="1017">
        <f>ROUND(D338*E338*F338*G338,4)</f>
        <v>2.8500000000000001E-2</v>
      </c>
      <c r="I338" s="964" t="s">
        <v>2299</v>
      </c>
      <c r="J338" s="901"/>
    </row>
    <row r="339" spans="1:10" s="965" customFormat="1" hidden="1">
      <c r="A339" s="896"/>
      <c r="B339" s="966"/>
      <c r="C339" s="1002" t="s">
        <v>741</v>
      </c>
      <c r="D339" s="1014">
        <v>1</v>
      </c>
      <c r="E339" s="1015">
        <v>0.9</v>
      </c>
      <c r="F339" s="1016">
        <v>0.1</v>
      </c>
      <c r="G339" s="1016">
        <v>7.4999999999999997E-2</v>
      </c>
      <c r="H339" s="1017">
        <f>ROUND(D339*E339*F339*G339,4)</f>
        <v>6.7999999999999996E-3</v>
      </c>
      <c r="I339" s="964" t="s">
        <v>2299</v>
      </c>
      <c r="J339" s="901"/>
    </row>
    <row r="340" spans="1:10" s="965" customFormat="1" hidden="1">
      <c r="A340" s="896"/>
      <c r="B340" s="966"/>
      <c r="C340" s="1004"/>
      <c r="D340" s="1014"/>
      <c r="E340" s="1014"/>
      <c r="F340" s="1014"/>
      <c r="G340" s="1014"/>
      <c r="H340" s="1021">
        <f>SUM(H338:H339)</f>
        <v>3.5299999999999998E-2</v>
      </c>
      <c r="I340" s="964" t="s">
        <v>2299</v>
      </c>
      <c r="J340" s="901"/>
    </row>
    <row r="341" spans="1:10" s="965" customFormat="1" hidden="1">
      <c r="A341" s="896"/>
      <c r="B341" s="966"/>
      <c r="C341" s="1004" t="s">
        <v>1681</v>
      </c>
      <c r="D341" s="1014">
        <v>2</v>
      </c>
      <c r="E341" s="1015">
        <v>2.0099999999999998</v>
      </c>
      <c r="F341" s="1016">
        <v>0.4</v>
      </c>
      <c r="G341" s="1016">
        <v>0.03</v>
      </c>
      <c r="H341" s="1017">
        <f>ROUND(D341*E341*F341*G341,4)</f>
        <v>4.82E-2</v>
      </c>
      <c r="I341" s="964" t="s">
        <v>2299</v>
      </c>
      <c r="J341" s="901"/>
    </row>
    <row r="342" spans="1:10" s="965" customFormat="1" hidden="1">
      <c r="A342" s="896"/>
      <c r="B342" s="966"/>
      <c r="C342" s="1002"/>
      <c r="D342" s="1014"/>
      <c r="E342" s="1014"/>
      <c r="F342" s="1014"/>
      <c r="G342" s="1014"/>
      <c r="H342" s="1021">
        <f>SUM(H341:H341)</f>
        <v>4.82E-2</v>
      </c>
      <c r="I342" s="964" t="s">
        <v>2299</v>
      </c>
      <c r="J342" s="901"/>
    </row>
    <row r="343" spans="1:10" s="965" customFormat="1" hidden="1">
      <c r="A343" s="896"/>
      <c r="B343" s="966" t="s">
        <v>1682</v>
      </c>
      <c r="C343" s="1002" t="s">
        <v>1683</v>
      </c>
      <c r="E343" s="967" t="s">
        <v>35</v>
      </c>
      <c r="F343" s="976">
        <f>H340</f>
        <v>3.5299999999999998E-2</v>
      </c>
      <c r="G343" s="970">
        <f>'MINI SSR 2020-21'!$C$144</f>
        <v>46217</v>
      </c>
      <c r="H343" s="969">
        <f t="shared" ref="H343:H350" si="24">ROUND(F343*G343,2)</f>
        <v>1631.46</v>
      </c>
      <c r="I343" s="964" t="s">
        <v>2299</v>
      </c>
      <c r="J343" s="901"/>
    </row>
    <row r="344" spans="1:10" s="965" customFormat="1" hidden="1">
      <c r="A344" s="896"/>
      <c r="B344" s="966" t="s">
        <v>1684</v>
      </c>
      <c r="C344" s="1002" t="s">
        <v>1685</v>
      </c>
      <c r="E344" s="967" t="s">
        <v>35</v>
      </c>
      <c r="F344" s="976">
        <f>H342</f>
        <v>4.82E-2</v>
      </c>
      <c r="G344" s="970">
        <f>'MINI SSR 2020-21'!C145</f>
        <v>58690</v>
      </c>
      <c r="H344" s="969">
        <f t="shared" si="24"/>
        <v>2828.86</v>
      </c>
      <c r="I344" s="964" t="s">
        <v>2299</v>
      </c>
      <c r="J344" s="901"/>
    </row>
    <row r="345" spans="1:10" s="965" customFormat="1" hidden="1">
      <c r="A345" s="896"/>
      <c r="B345" s="966" t="s">
        <v>1394</v>
      </c>
      <c r="C345" s="1002" t="s">
        <v>1686</v>
      </c>
      <c r="D345" s="967"/>
      <c r="E345" s="967" t="s">
        <v>11</v>
      </c>
      <c r="F345" s="988">
        <v>2</v>
      </c>
      <c r="G345" s="970">
        <f>'MINI SSR 2020-21'!G143</f>
        <v>84</v>
      </c>
      <c r="H345" s="969">
        <f t="shared" si="24"/>
        <v>168</v>
      </c>
      <c r="I345" s="964" t="s">
        <v>2299</v>
      </c>
      <c r="J345" s="901"/>
    </row>
    <row r="346" spans="1:10" s="965" customFormat="1" hidden="1">
      <c r="A346" s="896"/>
      <c r="B346" s="966" t="s">
        <v>1396</v>
      </c>
      <c r="C346" s="1002" t="s">
        <v>1378</v>
      </c>
      <c r="D346" s="967"/>
      <c r="E346" s="967" t="s">
        <v>11</v>
      </c>
      <c r="F346" s="988">
        <v>6</v>
      </c>
      <c r="G346" s="970">
        <f>'MINI SSR 2020-21'!G146</f>
        <v>117</v>
      </c>
      <c r="H346" s="969">
        <f t="shared" si="24"/>
        <v>702</v>
      </c>
      <c r="I346" s="964" t="s">
        <v>2299</v>
      </c>
      <c r="J346" s="901"/>
    </row>
    <row r="347" spans="1:10" s="965" customFormat="1" hidden="1">
      <c r="A347" s="896"/>
      <c r="B347" s="966" t="s">
        <v>1381</v>
      </c>
      <c r="C347" s="1002" t="s">
        <v>1380</v>
      </c>
      <c r="D347" s="967"/>
      <c r="E347" s="967" t="s">
        <v>11</v>
      </c>
      <c r="F347" s="988"/>
      <c r="G347" s="970">
        <f>'MINI SSR 2020-21'!G147</f>
        <v>103</v>
      </c>
      <c r="H347" s="969">
        <f t="shared" si="24"/>
        <v>0</v>
      </c>
      <c r="I347" s="964" t="s">
        <v>2299</v>
      </c>
      <c r="J347" s="901"/>
    </row>
    <row r="348" spans="1:10" s="965" customFormat="1" hidden="1">
      <c r="A348" s="896"/>
      <c r="B348" s="966" t="s">
        <v>1398</v>
      </c>
      <c r="C348" s="1002" t="s">
        <v>1687</v>
      </c>
      <c r="D348" s="967"/>
      <c r="E348" s="967" t="s">
        <v>11</v>
      </c>
      <c r="F348" s="988">
        <v>2</v>
      </c>
      <c r="G348" s="970">
        <f>'MINI SSR 2020-21'!G149</f>
        <v>308</v>
      </c>
      <c r="H348" s="969">
        <f t="shared" si="24"/>
        <v>616</v>
      </c>
      <c r="I348" s="964" t="s">
        <v>2299</v>
      </c>
      <c r="J348" s="901"/>
    </row>
    <row r="349" spans="1:10" hidden="1">
      <c r="A349" s="896"/>
      <c r="B349" s="966" t="s">
        <v>1688</v>
      </c>
      <c r="C349" s="1002" t="s">
        <v>1689</v>
      </c>
      <c r="D349" s="967"/>
      <c r="E349" s="967" t="s">
        <v>11</v>
      </c>
      <c r="F349" s="988">
        <v>1</v>
      </c>
      <c r="G349" s="970">
        <f>'MINI SSR 2020-21'!G155</f>
        <v>53</v>
      </c>
      <c r="H349" s="969">
        <f t="shared" si="24"/>
        <v>53</v>
      </c>
      <c r="I349" s="964" t="s">
        <v>2299</v>
      </c>
    </row>
    <row r="350" spans="1:10" hidden="1">
      <c r="A350" s="896"/>
      <c r="B350" s="966" t="s">
        <v>1387</v>
      </c>
      <c r="C350" s="1002" t="s">
        <v>1386</v>
      </c>
      <c r="D350" s="967"/>
      <c r="E350" s="967" t="s">
        <v>11</v>
      </c>
      <c r="F350" s="988">
        <v>6</v>
      </c>
      <c r="G350" s="970">
        <f>'MINI SSR 2020-21'!G152</f>
        <v>32</v>
      </c>
      <c r="H350" s="969">
        <f t="shared" si="24"/>
        <v>192</v>
      </c>
      <c r="I350" s="964" t="s">
        <v>2299</v>
      </c>
    </row>
    <row r="351" spans="1:10" hidden="1">
      <c r="A351" s="896"/>
      <c r="B351" s="966"/>
      <c r="C351" s="1004" t="s">
        <v>68</v>
      </c>
      <c r="D351" s="901"/>
      <c r="E351" s="967"/>
      <c r="F351" s="970"/>
      <c r="G351" s="974"/>
      <c r="H351" s="969"/>
      <c r="I351" s="964" t="s">
        <v>2299</v>
      </c>
    </row>
    <row r="352" spans="1:10" hidden="1">
      <c r="A352" s="896"/>
      <c r="B352" s="967" t="s">
        <v>1690</v>
      </c>
      <c r="C352" s="1002" t="s">
        <v>1388</v>
      </c>
      <c r="D352" s="901"/>
      <c r="E352" s="967" t="s">
        <v>102</v>
      </c>
      <c r="F352" s="970">
        <f>ROUND(0.9*2.1,2)</f>
        <v>1.89</v>
      </c>
      <c r="G352" s="970">
        <f>'MINI SSR 2020-21'!$C$150</f>
        <v>1452</v>
      </c>
      <c r="H352" s="969">
        <f>ROUND(F352*G352*1/3,2)</f>
        <v>914.76</v>
      </c>
      <c r="I352" s="964" t="s">
        <v>2299</v>
      </c>
    </row>
    <row r="353" spans="1:10" hidden="1">
      <c r="A353" s="896"/>
      <c r="B353" s="966"/>
      <c r="C353" s="1004"/>
      <c r="D353" s="967"/>
      <c r="E353" s="967"/>
      <c r="F353" s="967"/>
      <c r="G353" s="967"/>
      <c r="H353" s="971">
        <f>SUM(H343:H352)</f>
        <v>7106.08</v>
      </c>
      <c r="I353" s="964" t="s">
        <v>2299</v>
      </c>
    </row>
    <row r="354" spans="1:10" ht="114.75" hidden="1">
      <c r="A354" s="896">
        <v>3</v>
      </c>
      <c r="B354" s="966"/>
      <c r="C354" s="1002" t="s">
        <v>1691</v>
      </c>
      <c r="D354" s="967"/>
      <c r="E354" s="967"/>
      <c r="F354" s="967"/>
      <c r="G354" s="967"/>
      <c r="H354" s="972"/>
      <c r="I354" s="964" t="s">
        <v>2299</v>
      </c>
    </row>
    <row r="355" spans="1:10" hidden="1">
      <c r="A355" s="896"/>
      <c r="B355" s="966"/>
      <c r="C355" s="1004" t="s">
        <v>100</v>
      </c>
      <c r="D355" s="967"/>
      <c r="E355" s="967"/>
      <c r="F355" s="967"/>
      <c r="G355" s="967"/>
      <c r="H355" s="972"/>
      <c r="I355" s="964" t="s">
        <v>2299</v>
      </c>
    </row>
    <row r="356" spans="1:10" s="965" customFormat="1" hidden="1">
      <c r="A356" s="896"/>
      <c r="B356" s="966"/>
      <c r="C356" s="1004" t="s">
        <v>1</v>
      </c>
      <c r="D356" s="967"/>
      <c r="E356" s="967"/>
      <c r="F356" s="967"/>
      <c r="G356" s="967"/>
      <c r="H356" s="972"/>
      <c r="I356" s="964" t="s">
        <v>2299</v>
      </c>
      <c r="J356" s="901"/>
    </row>
    <row r="357" spans="1:10" s="965" customFormat="1" hidden="1">
      <c r="A357" s="896"/>
      <c r="B357" s="966"/>
      <c r="C357" s="1002" t="s">
        <v>2</v>
      </c>
      <c r="D357" s="1014">
        <v>2</v>
      </c>
      <c r="E357" s="1015">
        <v>1.9</v>
      </c>
      <c r="F357" s="1016">
        <v>0.1</v>
      </c>
      <c r="G357" s="1016">
        <v>7.4999999999999997E-2</v>
      </c>
      <c r="H357" s="1017">
        <f>ROUND(D357*E357*F357*G357,4)</f>
        <v>2.8500000000000001E-2</v>
      </c>
      <c r="I357" s="964" t="s">
        <v>2299</v>
      </c>
      <c r="J357" s="901"/>
    </row>
    <row r="358" spans="1:10" s="965" customFormat="1" hidden="1">
      <c r="A358" s="896"/>
      <c r="B358" s="966"/>
      <c r="C358" s="1002" t="s">
        <v>741</v>
      </c>
      <c r="D358" s="1014">
        <v>1</v>
      </c>
      <c r="E358" s="1015">
        <v>0.8</v>
      </c>
      <c r="F358" s="1016">
        <v>0.1</v>
      </c>
      <c r="G358" s="1016">
        <v>7.4999999999999997E-2</v>
      </c>
      <c r="H358" s="1017">
        <f>ROUND(D358*E358*F358*G358,4)</f>
        <v>6.0000000000000001E-3</v>
      </c>
      <c r="I358" s="964" t="s">
        <v>2299</v>
      </c>
      <c r="J358" s="901"/>
    </row>
    <row r="359" spans="1:10" s="965" customFormat="1" hidden="1">
      <c r="A359" s="896"/>
      <c r="B359" s="966"/>
      <c r="C359" s="1004"/>
      <c r="D359" s="1014"/>
      <c r="E359" s="1014"/>
      <c r="F359" s="1014"/>
      <c r="G359" s="1014"/>
      <c r="H359" s="1021">
        <f>SUM(H357:H358)</f>
        <v>3.4500000000000003E-2</v>
      </c>
      <c r="I359" s="964" t="s">
        <v>2299</v>
      </c>
      <c r="J359" s="901"/>
    </row>
    <row r="360" spans="1:10" s="965" customFormat="1" hidden="1">
      <c r="A360" s="896"/>
      <c r="B360" s="966"/>
      <c r="C360" s="1004" t="s">
        <v>1681</v>
      </c>
      <c r="D360" s="1014">
        <v>1</v>
      </c>
      <c r="E360" s="1015">
        <v>2.0099999999999998</v>
      </c>
      <c r="F360" s="1016">
        <v>0.72</v>
      </c>
      <c r="G360" s="1016">
        <v>0.03</v>
      </c>
      <c r="H360" s="1017">
        <f>ROUND(D360*E360*F360*G360,4)</f>
        <v>4.3400000000000001E-2</v>
      </c>
      <c r="I360" s="964" t="s">
        <v>2299</v>
      </c>
      <c r="J360" s="901"/>
    </row>
    <row r="361" spans="1:10" s="965" customFormat="1" hidden="1">
      <c r="A361" s="896"/>
      <c r="B361" s="966"/>
      <c r="C361" s="1002"/>
      <c r="D361" s="1014"/>
      <c r="E361" s="1014"/>
      <c r="F361" s="1014"/>
      <c r="G361" s="1014"/>
      <c r="H361" s="1021">
        <f>SUM(H360:H360)</f>
        <v>4.3400000000000001E-2</v>
      </c>
      <c r="I361" s="964" t="s">
        <v>2299</v>
      </c>
      <c r="J361" s="901"/>
    </row>
    <row r="362" spans="1:10" s="965" customFormat="1" hidden="1">
      <c r="A362" s="896"/>
      <c r="B362" s="966" t="s">
        <v>1682</v>
      </c>
      <c r="C362" s="1002" t="s">
        <v>1683</v>
      </c>
      <c r="E362" s="967" t="s">
        <v>35</v>
      </c>
      <c r="F362" s="976">
        <f>H359</f>
        <v>3.4500000000000003E-2</v>
      </c>
      <c r="G362" s="970">
        <f>'MINI SSR 2020-21'!C144</f>
        <v>46217</v>
      </c>
      <c r="H362" s="969">
        <f t="shared" ref="H362:H369" si="25">ROUND(F362*G362,2)</f>
        <v>1594.49</v>
      </c>
      <c r="I362" s="964" t="s">
        <v>2299</v>
      </c>
      <c r="J362" s="901"/>
    </row>
    <row r="363" spans="1:10" s="965" customFormat="1" hidden="1">
      <c r="A363" s="896"/>
      <c r="B363" s="966" t="s">
        <v>1684</v>
      </c>
      <c r="C363" s="1002" t="s">
        <v>1685</v>
      </c>
      <c r="E363" s="967" t="s">
        <v>35</v>
      </c>
      <c r="F363" s="976">
        <f>H361</f>
        <v>4.3400000000000001E-2</v>
      </c>
      <c r="G363" s="970">
        <f>'MINI SSR 2020-21'!C145</f>
        <v>58690</v>
      </c>
      <c r="H363" s="969">
        <f t="shared" si="25"/>
        <v>2547.15</v>
      </c>
      <c r="I363" s="964" t="s">
        <v>2299</v>
      </c>
      <c r="J363" s="901"/>
    </row>
    <row r="364" spans="1:10" s="965" customFormat="1" hidden="1">
      <c r="A364" s="896"/>
      <c r="B364" s="966" t="s">
        <v>1394</v>
      </c>
      <c r="C364" s="1002" t="s">
        <v>1686</v>
      </c>
      <c r="D364" s="967"/>
      <c r="E364" s="967" t="s">
        <v>11</v>
      </c>
      <c r="F364" s="988">
        <v>2</v>
      </c>
      <c r="G364" s="970">
        <f t="shared" ref="G364:G369" si="26">G345</f>
        <v>84</v>
      </c>
      <c r="H364" s="969">
        <f t="shared" si="25"/>
        <v>168</v>
      </c>
      <c r="I364" s="964" t="s">
        <v>2299</v>
      </c>
      <c r="J364" s="901"/>
    </row>
    <row r="365" spans="1:10" s="965" customFormat="1" hidden="1">
      <c r="A365" s="896"/>
      <c r="B365" s="966" t="s">
        <v>1396</v>
      </c>
      <c r="C365" s="1002" t="s">
        <v>1378</v>
      </c>
      <c r="D365" s="967"/>
      <c r="E365" s="967" t="s">
        <v>11</v>
      </c>
      <c r="F365" s="988">
        <v>3</v>
      </c>
      <c r="G365" s="970">
        <f t="shared" si="26"/>
        <v>117</v>
      </c>
      <c r="H365" s="969">
        <f t="shared" si="25"/>
        <v>351</v>
      </c>
      <c r="I365" s="964" t="s">
        <v>2299</v>
      </c>
      <c r="J365" s="901"/>
    </row>
    <row r="366" spans="1:10" s="965" customFormat="1" hidden="1">
      <c r="A366" s="896"/>
      <c r="B366" s="966" t="s">
        <v>1381</v>
      </c>
      <c r="C366" s="1002" t="s">
        <v>1380</v>
      </c>
      <c r="D366" s="967"/>
      <c r="E366" s="967" t="s">
        <v>11</v>
      </c>
      <c r="F366" s="988"/>
      <c r="G366" s="970">
        <f t="shared" si="26"/>
        <v>103</v>
      </c>
      <c r="H366" s="969">
        <f t="shared" si="25"/>
        <v>0</v>
      </c>
      <c r="I366" s="964" t="s">
        <v>2299</v>
      </c>
      <c r="J366" s="901"/>
    </row>
    <row r="367" spans="1:10" s="965" customFormat="1" hidden="1">
      <c r="A367" s="896"/>
      <c r="B367" s="966" t="s">
        <v>1398</v>
      </c>
      <c r="C367" s="1002" t="s">
        <v>1687</v>
      </c>
      <c r="D367" s="967"/>
      <c r="E367" s="967" t="s">
        <v>11</v>
      </c>
      <c r="F367" s="988">
        <v>2</v>
      </c>
      <c r="G367" s="970">
        <f t="shared" si="26"/>
        <v>308</v>
      </c>
      <c r="H367" s="969">
        <f t="shared" si="25"/>
        <v>616</v>
      </c>
      <c r="I367" s="964" t="s">
        <v>2299</v>
      </c>
      <c r="J367" s="901"/>
    </row>
    <row r="368" spans="1:10" hidden="1">
      <c r="A368" s="896"/>
      <c r="B368" s="966" t="s">
        <v>1688</v>
      </c>
      <c r="C368" s="1002" t="s">
        <v>1689</v>
      </c>
      <c r="D368" s="967"/>
      <c r="E368" s="967" t="s">
        <v>11</v>
      </c>
      <c r="F368" s="988">
        <v>1</v>
      </c>
      <c r="G368" s="970">
        <f t="shared" si="26"/>
        <v>53</v>
      </c>
      <c r="H368" s="969">
        <f t="shared" si="25"/>
        <v>53</v>
      </c>
      <c r="I368" s="964" t="s">
        <v>2299</v>
      </c>
    </row>
    <row r="369" spans="1:10" hidden="1">
      <c r="A369" s="896"/>
      <c r="B369" s="966" t="s">
        <v>1387</v>
      </c>
      <c r="C369" s="1002" t="s">
        <v>1386</v>
      </c>
      <c r="D369" s="967"/>
      <c r="E369" s="967" t="s">
        <v>11</v>
      </c>
      <c r="F369" s="988">
        <v>6</v>
      </c>
      <c r="G369" s="970">
        <f t="shared" si="26"/>
        <v>32</v>
      </c>
      <c r="H369" s="969">
        <f t="shared" si="25"/>
        <v>192</v>
      </c>
      <c r="I369" s="964" t="s">
        <v>2299</v>
      </c>
    </row>
    <row r="370" spans="1:10" hidden="1">
      <c r="A370" s="896"/>
      <c r="B370" s="966"/>
      <c r="C370" s="1004" t="s">
        <v>68</v>
      </c>
      <c r="D370" s="901"/>
      <c r="E370" s="967"/>
      <c r="F370" s="970"/>
      <c r="G370" s="970"/>
      <c r="H370" s="969"/>
      <c r="I370" s="964" t="s">
        <v>2299</v>
      </c>
    </row>
    <row r="371" spans="1:10" hidden="1">
      <c r="A371" s="896"/>
      <c r="B371" s="967" t="s">
        <v>1690</v>
      </c>
      <c r="C371" s="1002" t="s">
        <v>1388</v>
      </c>
      <c r="D371" s="901"/>
      <c r="E371" s="967" t="s">
        <v>102</v>
      </c>
      <c r="F371" s="970">
        <f>ROUND(0.8*2.1,2)</f>
        <v>1.68</v>
      </c>
      <c r="G371" s="970">
        <f>G352</f>
        <v>1452</v>
      </c>
      <c r="H371" s="969">
        <f>ROUND(F371*G371*1/3,2)</f>
        <v>813.12</v>
      </c>
      <c r="I371" s="964" t="s">
        <v>2299</v>
      </c>
    </row>
    <row r="372" spans="1:10" hidden="1">
      <c r="A372" s="896"/>
      <c r="B372" s="966"/>
      <c r="C372" s="1004"/>
      <c r="D372" s="967"/>
      <c r="E372" s="967"/>
      <c r="F372" s="967"/>
      <c r="G372" s="967"/>
      <c r="H372" s="971">
        <f>SUM(H362:H371)</f>
        <v>6334.76</v>
      </c>
      <c r="I372" s="964" t="s">
        <v>2299</v>
      </c>
    </row>
    <row r="373" spans="1:10" ht="127.5" hidden="1">
      <c r="A373" s="896">
        <v>5</v>
      </c>
      <c r="B373" s="966"/>
      <c r="C373" s="1002" t="s">
        <v>1310</v>
      </c>
      <c r="D373" s="967"/>
      <c r="E373" s="967"/>
      <c r="F373" s="967"/>
      <c r="G373" s="967"/>
      <c r="H373" s="972"/>
      <c r="I373" s="964" t="s">
        <v>2299</v>
      </c>
    </row>
    <row r="374" spans="1:10" hidden="1">
      <c r="A374" s="896"/>
      <c r="B374" s="966"/>
      <c r="C374" s="1004" t="s">
        <v>100</v>
      </c>
      <c r="D374" s="967"/>
      <c r="E374" s="967"/>
      <c r="F374" s="967"/>
      <c r="G374" s="967"/>
      <c r="H374" s="972"/>
      <c r="I374" s="964" t="s">
        <v>2299</v>
      </c>
    </row>
    <row r="375" spans="1:10" s="965" customFormat="1" hidden="1">
      <c r="A375" s="896"/>
      <c r="B375" s="966"/>
      <c r="C375" s="1004" t="s">
        <v>594</v>
      </c>
      <c r="D375" s="967"/>
      <c r="E375" s="967"/>
      <c r="F375" s="967"/>
      <c r="G375" s="967"/>
      <c r="H375" s="972"/>
      <c r="I375" s="964" t="s">
        <v>2299</v>
      </c>
      <c r="J375" s="901"/>
    </row>
    <row r="376" spans="1:10" s="965" customFormat="1" hidden="1">
      <c r="A376" s="896"/>
      <c r="B376" s="966"/>
      <c r="C376" s="1002" t="s">
        <v>2</v>
      </c>
      <c r="D376" s="1014">
        <v>2</v>
      </c>
      <c r="E376" s="1015">
        <v>1.9</v>
      </c>
      <c r="F376" s="1016">
        <v>0.1</v>
      </c>
      <c r="G376" s="1016">
        <v>7.4999999999999997E-2</v>
      </c>
      <c r="H376" s="1017">
        <f>ROUND(D376*E376*F376*G376,4)</f>
        <v>2.8500000000000001E-2</v>
      </c>
      <c r="I376" s="964" t="s">
        <v>2299</v>
      </c>
      <c r="J376" s="901"/>
    </row>
    <row r="377" spans="1:10" s="965" customFormat="1" hidden="1">
      <c r="A377" s="896"/>
      <c r="B377" s="966"/>
      <c r="C377" s="1002" t="s">
        <v>741</v>
      </c>
      <c r="D377" s="1014">
        <v>1</v>
      </c>
      <c r="E377" s="1015">
        <v>1.05</v>
      </c>
      <c r="F377" s="1016">
        <v>0.1</v>
      </c>
      <c r="G377" s="1016">
        <v>7.4999999999999997E-2</v>
      </c>
      <c r="H377" s="1017">
        <f>ROUND(D377*E377*F377*G377,4)</f>
        <v>7.9000000000000008E-3</v>
      </c>
      <c r="I377" s="964" t="s">
        <v>2299</v>
      </c>
      <c r="J377" s="901"/>
    </row>
    <row r="378" spans="1:10" s="965" customFormat="1" hidden="1">
      <c r="A378" s="896"/>
      <c r="B378" s="966"/>
      <c r="C378" s="1004"/>
      <c r="D378" s="1014"/>
      <c r="E378" s="1014"/>
      <c r="F378" s="1014"/>
      <c r="G378" s="1014"/>
      <c r="H378" s="1021">
        <f>SUM(H376:H377)</f>
        <v>3.6400000000000002E-2</v>
      </c>
      <c r="I378" s="964" t="s">
        <v>2299</v>
      </c>
      <c r="J378" s="901"/>
    </row>
    <row r="379" spans="1:10" s="965" customFormat="1" hidden="1">
      <c r="A379" s="896"/>
      <c r="B379" s="966"/>
      <c r="C379" s="1004" t="s">
        <v>320</v>
      </c>
      <c r="D379" s="1014">
        <v>1</v>
      </c>
      <c r="E379" s="1015">
        <v>2.0099999999999998</v>
      </c>
      <c r="F379" s="1016">
        <v>0.94</v>
      </c>
      <c r="G379" s="1016">
        <v>0.03</v>
      </c>
      <c r="H379" s="1017">
        <f>ROUND(D379*E379*F379*G379,4)</f>
        <v>5.67E-2</v>
      </c>
      <c r="I379" s="964" t="s">
        <v>2299</v>
      </c>
      <c r="J379" s="901"/>
    </row>
    <row r="380" spans="1:10" s="965" customFormat="1" hidden="1">
      <c r="A380" s="896"/>
      <c r="B380" s="966"/>
      <c r="C380" s="1002"/>
      <c r="D380" s="1014"/>
      <c r="E380" s="1014"/>
      <c r="F380" s="1014"/>
      <c r="G380" s="1014"/>
      <c r="H380" s="1021">
        <f>SUM(H379:H379)</f>
        <v>5.67E-2</v>
      </c>
      <c r="I380" s="964" t="s">
        <v>2299</v>
      </c>
      <c r="J380" s="901"/>
    </row>
    <row r="381" spans="1:10" s="965" customFormat="1" hidden="1">
      <c r="A381" s="896"/>
      <c r="B381" s="966" t="s">
        <v>1373</v>
      </c>
      <c r="C381" s="1002" t="s">
        <v>1372</v>
      </c>
      <c r="E381" s="967" t="s">
        <v>35</v>
      </c>
      <c r="F381" s="976">
        <f>H378</f>
        <v>3.6400000000000002E-2</v>
      </c>
      <c r="G381" s="970">
        <f>'MINI SSR 2020-21'!$C$142</f>
        <v>71195</v>
      </c>
      <c r="H381" s="969">
        <f t="shared" ref="H381:H388" si="27">ROUND(F381*G381,2)</f>
        <v>2591.5</v>
      </c>
      <c r="I381" s="964" t="s">
        <v>2299</v>
      </c>
      <c r="J381" s="901"/>
    </row>
    <row r="382" spans="1:10" s="965" customFormat="1" hidden="1">
      <c r="A382" s="896"/>
      <c r="B382" s="966" t="s">
        <v>1375</v>
      </c>
      <c r="C382" s="1002" t="s">
        <v>1374</v>
      </c>
      <c r="E382" s="967" t="s">
        <v>35</v>
      </c>
      <c r="F382" s="976">
        <f>H380</f>
        <v>5.67E-2</v>
      </c>
      <c r="G382" s="970">
        <f>'MINI SSR 2020-21'!C143</f>
        <v>142391</v>
      </c>
      <c r="H382" s="969">
        <f t="shared" si="27"/>
        <v>8073.57</v>
      </c>
      <c r="I382" s="964" t="s">
        <v>2299</v>
      </c>
      <c r="J382" s="901"/>
    </row>
    <row r="383" spans="1:10" s="965" customFormat="1" hidden="1">
      <c r="A383" s="896"/>
      <c r="B383" s="966" t="s">
        <v>1377</v>
      </c>
      <c r="C383" s="1002" t="s">
        <v>1376</v>
      </c>
      <c r="D383" s="967"/>
      <c r="E383" s="967" t="s">
        <v>11</v>
      </c>
      <c r="F383" s="988">
        <v>2</v>
      </c>
      <c r="G383" s="970">
        <f t="shared" ref="G383:G388" si="28">G252</f>
        <v>231</v>
      </c>
      <c r="H383" s="969">
        <f t="shared" si="27"/>
        <v>462</v>
      </c>
      <c r="I383" s="964" t="s">
        <v>2299</v>
      </c>
      <c r="J383" s="901"/>
    </row>
    <row r="384" spans="1:10" s="965" customFormat="1" hidden="1">
      <c r="A384" s="896"/>
      <c r="B384" s="966" t="s">
        <v>1379</v>
      </c>
      <c r="C384" s="1002" t="s">
        <v>1378</v>
      </c>
      <c r="D384" s="967"/>
      <c r="E384" s="967" t="s">
        <v>11</v>
      </c>
      <c r="F384" s="988">
        <v>3</v>
      </c>
      <c r="G384" s="970">
        <f t="shared" si="28"/>
        <v>246</v>
      </c>
      <c r="H384" s="969">
        <f t="shared" si="27"/>
        <v>738</v>
      </c>
      <c r="I384" s="964" t="s">
        <v>2299</v>
      </c>
      <c r="J384" s="901"/>
    </row>
    <row r="385" spans="1:11" s="965" customFormat="1" hidden="1">
      <c r="A385" s="896"/>
      <c r="B385" s="966" t="s">
        <v>1381</v>
      </c>
      <c r="C385" s="1002" t="s">
        <v>1380</v>
      </c>
      <c r="D385" s="967"/>
      <c r="E385" s="967" t="s">
        <v>11</v>
      </c>
      <c r="F385" s="988"/>
      <c r="G385" s="970">
        <f t="shared" si="28"/>
        <v>103</v>
      </c>
      <c r="H385" s="969">
        <f t="shared" si="27"/>
        <v>0</v>
      </c>
      <c r="I385" s="964" t="s">
        <v>2299</v>
      </c>
      <c r="J385" s="901"/>
    </row>
    <row r="386" spans="1:11" s="965" customFormat="1" hidden="1">
      <c r="A386" s="896"/>
      <c r="B386" s="966" t="s">
        <v>1383</v>
      </c>
      <c r="C386" s="1002" t="s">
        <v>1382</v>
      </c>
      <c r="D386" s="967"/>
      <c r="E386" s="967" t="s">
        <v>11</v>
      </c>
      <c r="F386" s="988">
        <v>2</v>
      </c>
      <c r="G386" s="970">
        <f t="shared" si="28"/>
        <v>1087</v>
      </c>
      <c r="H386" s="969">
        <f t="shared" si="27"/>
        <v>2174</v>
      </c>
      <c r="I386" s="964" t="s">
        <v>2299</v>
      </c>
      <c r="J386" s="901"/>
    </row>
    <row r="387" spans="1:11" hidden="1">
      <c r="A387" s="896"/>
      <c r="B387" s="966" t="s">
        <v>1385</v>
      </c>
      <c r="C387" s="1002" t="s">
        <v>1384</v>
      </c>
      <c r="D387" s="967"/>
      <c r="E387" s="967" t="s">
        <v>11</v>
      </c>
      <c r="F387" s="988">
        <v>1</v>
      </c>
      <c r="G387" s="970">
        <f t="shared" si="28"/>
        <v>168</v>
      </c>
      <c r="H387" s="969">
        <f t="shared" si="27"/>
        <v>168</v>
      </c>
      <c r="I387" s="964" t="s">
        <v>2299</v>
      </c>
    </row>
    <row r="388" spans="1:11" hidden="1">
      <c r="A388" s="896"/>
      <c r="B388" s="966" t="s">
        <v>1387</v>
      </c>
      <c r="C388" s="1002" t="s">
        <v>1386</v>
      </c>
      <c r="D388" s="967"/>
      <c r="E388" s="967" t="s">
        <v>11</v>
      </c>
      <c r="F388" s="988">
        <v>6</v>
      </c>
      <c r="G388" s="970">
        <f t="shared" si="28"/>
        <v>32</v>
      </c>
      <c r="H388" s="969">
        <f t="shared" si="27"/>
        <v>192</v>
      </c>
      <c r="I388" s="964" t="s">
        <v>2299</v>
      </c>
    </row>
    <row r="389" spans="1:11" hidden="1">
      <c r="A389" s="896"/>
      <c r="B389" s="966"/>
      <c r="C389" s="1004" t="s">
        <v>68</v>
      </c>
      <c r="D389" s="901"/>
      <c r="E389" s="967"/>
      <c r="F389" s="970"/>
      <c r="G389" s="970"/>
      <c r="H389" s="969"/>
      <c r="I389" s="964" t="s">
        <v>2299</v>
      </c>
    </row>
    <row r="390" spans="1:11" hidden="1">
      <c r="A390" s="896"/>
      <c r="B390" s="967" t="s">
        <v>1389</v>
      </c>
      <c r="C390" s="1002" t="s">
        <v>1388</v>
      </c>
      <c r="D390" s="901"/>
      <c r="E390" s="967" t="s">
        <v>102</v>
      </c>
      <c r="F390" s="970">
        <f>ROUND(1.05*2.1,2)</f>
        <v>2.21</v>
      </c>
      <c r="G390" s="970">
        <f>G259</f>
        <v>1570</v>
      </c>
      <c r="H390" s="969">
        <f>ROUND(F390*G390*1/3,2)</f>
        <v>1156.57</v>
      </c>
      <c r="I390" s="964" t="s">
        <v>2299</v>
      </c>
    </row>
    <row r="391" spans="1:11" hidden="1">
      <c r="A391" s="896"/>
      <c r="B391" s="966"/>
      <c r="C391" s="1004"/>
      <c r="D391" s="967"/>
      <c r="E391" s="967"/>
      <c r="F391" s="967"/>
      <c r="G391" s="967"/>
      <c r="H391" s="971">
        <f>SUM(H381:H390)</f>
        <v>15555.64</v>
      </c>
      <c r="I391" s="964" t="s">
        <v>2299</v>
      </c>
    </row>
    <row r="392" spans="1:11" ht="76.5" hidden="1">
      <c r="A392" s="896">
        <v>3</v>
      </c>
      <c r="B392" s="966"/>
      <c r="C392" s="1002" t="s">
        <v>2760</v>
      </c>
      <c r="D392" s="967"/>
      <c r="E392" s="967"/>
      <c r="F392" s="967"/>
      <c r="G392" s="967"/>
      <c r="H392" s="972"/>
      <c r="I392" s="964" t="s">
        <v>2299</v>
      </c>
    </row>
    <row r="393" spans="1:11" hidden="1">
      <c r="A393" s="896"/>
      <c r="B393" s="966"/>
      <c r="C393" s="1004" t="s">
        <v>100</v>
      </c>
      <c r="D393" s="967"/>
      <c r="E393" s="967"/>
      <c r="F393" s="967"/>
      <c r="G393" s="967"/>
      <c r="H393" s="972"/>
      <c r="I393" s="964" t="s">
        <v>2299</v>
      </c>
    </row>
    <row r="394" spans="1:11" s="965" customFormat="1" hidden="1">
      <c r="A394" s="896"/>
      <c r="B394" s="966"/>
      <c r="C394" s="1004" t="s">
        <v>60</v>
      </c>
      <c r="D394" s="967"/>
      <c r="E394" s="967"/>
      <c r="F394" s="967"/>
      <c r="G394" s="967"/>
      <c r="H394" s="972"/>
      <c r="I394" s="964" t="s">
        <v>2299</v>
      </c>
      <c r="J394" s="901"/>
    </row>
    <row r="395" spans="1:11" s="965" customFormat="1" hidden="1">
      <c r="A395" s="896"/>
      <c r="B395" s="966"/>
      <c r="C395" s="1004" t="s">
        <v>1</v>
      </c>
      <c r="D395" s="967"/>
      <c r="E395" s="967"/>
      <c r="F395" s="967"/>
      <c r="G395" s="967"/>
      <c r="H395" s="972"/>
      <c r="I395" s="964" t="s">
        <v>2299</v>
      </c>
      <c r="J395" s="901"/>
    </row>
    <row r="396" spans="1:11" s="965" customFormat="1" hidden="1">
      <c r="A396" s="896"/>
      <c r="B396" s="966"/>
      <c r="C396" s="1002" t="s">
        <v>2</v>
      </c>
      <c r="D396" s="1014">
        <v>2</v>
      </c>
      <c r="E396" s="1015">
        <v>1.95</v>
      </c>
      <c r="F396" s="1016">
        <v>0.1</v>
      </c>
      <c r="G396" s="1016">
        <v>7.4999999999999997E-2</v>
      </c>
      <c r="H396" s="1017">
        <f>ROUND(D396*E396*F396*G396,4)</f>
        <v>2.93E-2</v>
      </c>
      <c r="I396" s="964" t="s">
        <v>2299</v>
      </c>
      <c r="J396" s="901"/>
    </row>
    <row r="397" spans="1:11" s="965" customFormat="1" hidden="1">
      <c r="A397" s="896"/>
      <c r="B397" s="966"/>
      <c r="C397" s="1002" t="s">
        <v>741</v>
      </c>
      <c r="D397" s="1014">
        <v>2</v>
      </c>
      <c r="E397" s="1015">
        <v>1.05</v>
      </c>
      <c r="F397" s="1016">
        <v>0.1</v>
      </c>
      <c r="G397" s="1016">
        <v>7.4999999999999997E-2</v>
      </c>
      <c r="H397" s="1017">
        <f>ROUND(D397*E397*F397*G397,4)</f>
        <v>1.5800000000000002E-2</v>
      </c>
      <c r="I397" s="964" t="s">
        <v>2299</v>
      </c>
      <c r="J397" s="901"/>
    </row>
    <row r="398" spans="1:11" s="965" customFormat="1" hidden="1">
      <c r="A398" s="896"/>
      <c r="B398" s="966"/>
      <c r="C398" s="1004"/>
      <c r="D398" s="967"/>
      <c r="E398" s="967"/>
      <c r="F398" s="967"/>
      <c r="G398" s="967"/>
      <c r="H398" s="1018">
        <f>SUM(H396:H397)</f>
        <v>4.5100000000000001E-2</v>
      </c>
      <c r="I398" s="964" t="s">
        <v>2299</v>
      </c>
      <c r="J398" s="901"/>
    </row>
    <row r="399" spans="1:11" s="965" customFormat="1" hidden="1">
      <c r="A399" s="896"/>
      <c r="B399" s="966" t="s">
        <v>1373</v>
      </c>
      <c r="C399" s="1002" t="s">
        <v>1372</v>
      </c>
      <c r="D399" s="967"/>
      <c r="E399" s="967" t="s">
        <v>35</v>
      </c>
      <c r="F399" s="976">
        <f>H398</f>
        <v>4.5100000000000001E-2</v>
      </c>
      <c r="G399" s="970">
        <f>'MINI SSR 2020-21'!$C$142</f>
        <v>71195</v>
      </c>
      <c r="H399" s="969">
        <f t="shared" ref="H399:H407" si="29">ROUND(F399*G399,2)</f>
        <v>3210.89</v>
      </c>
      <c r="I399" s="964" t="s">
        <v>2299</v>
      </c>
      <c r="J399" s="901"/>
    </row>
    <row r="400" spans="1:11" s="965" customFormat="1" hidden="1">
      <c r="A400" s="896"/>
      <c r="B400" s="967" t="s">
        <v>2092</v>
      </c>
      <c r="C400" s="1002" t="s">
        <v>2093</v>
      </c>
      <c r="D400" s="967"/>
      <c r="E400" s="967" t="s">
        <v>102</v>
      </c>
      <c r="F400" s="976">
        <f>ROUND(0.74*1.995,2)</f>
        <v>1.48</v>
      </c>
      <c r="G400" s="970">
        <f>'MINI SSR 2020-21'!$C$148</f>
        <v>1790</v>
      </c>
      <c r="H400" s="969"/>
      <c r="I400" s="964" t="s">
        <v>2299</v>
      </c>
      <c r="J400" s="901"/>
      <c r="K400" s="965">
        <f>(1*0.775)/1.05</f>
        <v>0.73809523809523814</v>
      </c>
    </row>
    <row r="401" spans="1:12" s="965" customFormat="1" hidden="1">
      <c r="A401" s="896"/>
      <c r="B401" s="967" t="s">
        <v>2094</v>
      </c>
      <c r="C401" s="1002" t="s">
        <v>2098</v>
      </c>
      <c r="D401" s="967"/>
      <c r="E401" s="967" t="s">
        <v>102</v>
      </c>
      <c r="F401" s="976">
        <f>F400</f>
        <v>1.48</v>
      </c>
      <c r="G401" s="970">
        <f>'MINI SSR 2020-21'!$C$151</f>
        <v>754</v>
      </c>
      <c r="H401" s="969"/>
      <c r="I401" s="964" t="s">
        <v>2299</v>
      </c>
      <c r="J401" s="901"/>
    </row>
    <row r="402" spans="1:12" hidden="1">
      <c r="A402" s="896"/>
      <c r="B402" s="967" t="s">
        <v>1394</v>
      </c>
      <c r="C402" s="1002" t="s">
        <v>1393</v>
      </c>
      <c r="D402" s="967"/>
      <c r="E402" s="967" t="s">
        <v>11</v>
      </c>
      <c r="F402" s="988">
        <v>2</v>
      </c>
      <c r="G402" s="970">
        <f>'MINI SSR 2020-21'!$G$143</f>
        <v>84</v>
      </c>
      <c r="H402" s="969"/>
      <c r="I402" s="964" t="s">
        <v>2299</v>
      </c>
    </row>
    <row r="403" spans="1:12" hidden="1">
      <c r="A403" s="896"/>
      <c r="B403" s="967" t="s">
        <v>1396</v>
      </c>
      <c r="C403" s="1002" t="s">
        <v>1395</v>
      </c>
      <c r="D403" s="967"/>
      <c r="E403" s="967" t="s">
        <v>11</v>
      </c>
      <c r="F403" s="988">
        <v>3</v>
      </c>
      <c r="G403" s="970">
        <f>'MINI SSR 2020-21'!$G$146</f>
        <v>117</v>
      </c>
      <c r="H403" s="969"/>
      <c r="I403" s="964" t="s">
        <v>2299</v>
      </c>
    </row>
    <row r="404" spans="1:12" hidden="1">
      <c r="A404" s="896"/>
      <c r="B404" s="967" t="s">
        <v>1381</v>
      </c>
      <c r="C404" s="1002" t="s">
        <v>1380</v>
      </c>
      <c r="D404" s="967"/>
      <c r="E404" s="967" t="s">
        <v>11</v>
      </c>
      <c r="F404" s="988">
        <v>2</v>
      </c>
      <c r="G404" s="970">
        <f>'MINI SSR 2020-21'!$G$144</f>
        <v>103</v>
      </c>
      <c r="H404" s="969"/>
      <c r="I404" s="964" t="s">
        <v>2299</v>
      </c>
    </row>
    <row r="405" spans="1:12" hidden="1">
      <c r="A405" s="896"/>
      <c r="B405" s="967" t="s">
        <v>1398</v>
      </c>
      <c r="C405" s="1002" t="s">
        <v>1397</v>
      </c>
      <c r="D405" s="967"/>
      <c r="E405" s="967" t="s">
        <v>11</v>
      </c>
      <c r="F405" s="988">
        <v>2</v>
      </c>
      <c r="G405" s="970">
        <f>'MINI SSR 2020-21'!$G$149</f>
        <v>308</v>
      </c>
      <c r="H405" s="969"/>
      <c r="I405" s="964" t="s">
        <v>2299</v>
      </c>
    </row>
    <row r="406" spans="1:12" hidden="1">
      <c r="A406" s="896"/>
      <c r="B406" s="967" t="s">
        <v>1400</v>
      </c>
      <c r="C406" s="1002" t="s">
        <v>1399</v>
      </c>
      <c r="D406" s="967"/>
      <c r="E406" s="967" t="s">
        <v>11</v>
      </c>
      <c r="F406" s="988">
        <v>1</v>
      </c>
      <c r="G406" s="970">
        <f>'MINI SSR 2020-21'!$G$155</f>
        <v>53</v>
      </c>
      <c r="H406" s="969"/>
      <c r="I406" s="964" t="s">
        <v>2299</v>
      </c>
    </row>
    <row r="407" spans="1:12" hidden="1">
      <c r="A407" s="896"/>
      <c r="B407" s="967" t="s">
        <v>1387</v>
      </c>
      <c r="C407" s="1002" t="s">
        <v>1386</v>
      </c>
      <c r="D407" s="967"/>
      <c r="E407" s="967" t="s">
        <v>11</v>
      </c>
      <c r="F407" s="988">
        <v>6</v>
      </c>
      <c r="G407" s="970">
        <f>'MINI SSR 2020-21'!$G$152</f>
        <v>32</v>
      </c>
      <c r="H407" s="969">
        <f t="shared" si="29"/>
        <v>192</v>
      </c>
      <c r="I407" s="964" t="s">
        <v>2299</v>
      </c>
    </row>
    <row r="408" spans="1:12" hidden="1">
      <c r="A408" s="967"/>
      <c r="B408" s="967"/>
      <c r="C408" s="1004" t="s">
        <v>68</v>
      </c>
      <c r="D408" s="967"/>
      <c r="E408" s="967"/>
      <c r="F408" s="970"/>
      <c r="G408" s="974"/>
      <c r="H408" s="969"/>
      <c r="I408" s="964" t="s">
        <v>2299</v>
      </c>
    </row>
    <row r="409" spans="1:12" ht="25.5" hidden="1">
      <c r="A409" s="967"/>
      <c r="B409" s="967" t="s">
        <v>1389</v>
      </c>
      <c r="C409" s="1002" t="s">
        <v>1401</v>
      </c>
      <c r="D409" s="967"/>
      <c r="E409" s="967" t="s">
        <v>102</v>
      </c>
      <c r="F409" s="970">
        <f>ROUND(1.05*2.1,2)</f>
        <v>2.21</v>
      </c>
      <c r="G409" s="970">
        <f>'MINI SSR 2020-21'!$C$150</f>
        <v>1452</v>
      </c>
      <c r="H409" s="969">
        <f>ROUND(F409*G409*1/3,2)</f>
        <v>1069.6400000000001</v>
      </c>
      <c r="I409" s="964" t="s">
        <v>2299</v>
      </c>
      <c r="L409" s="1019"/>
    </row>
    <row r="410" spans="1:12" ht="13.5" hidden="1" thickBot="1">
      <c r="A410" s="967"/>
      <c r="B410" s="967"/>
      <c r="C410" s="1004"/>
      <c r="D410" s="967"/>
      <c r="E410" s="967"/>
      <c r="F410" s="967"/>
      <c r="G410" s="967"/>
      <c r="H410" s="971">
        <f>SUM(H399:H409)</f>
        <v>4472.53</v>
      </c>
      <c r="I410" s="964" t="s">
        <v>2299</v>
      </c>
      <c r="L410" s="1020">
        <f>SUM(L409)</f>
        <v>0</v>
      </c>
    </row>
    <row r="411" spans="1:12" ht="127.5" hidden="1">
      <c r="A411" s="896">
        <v>5</v>
      </c>
      <c r="B411" s="966"/>
      <c r="C411" s="1002" t="s">
        <v>2138</v>
      </c>
      <c r="D411" s="967"/>
      <c r="E411" s="967"/>
      <c r="F411" s="967"/>
      <c r="G411" s="967"/>
      <c r="H411" s="972"/>
      <c r="I411" s="964" t="s">
        <v>2299</v>
      </c>
    </row>
    <row r="412" spans="1:12" hidden="1">
      <c r="A412" s="896"/>
      <c r="B412" s="966"/>
      <c r="C412" s="1004" t="s">
        <v>100</v>
      </c>
      <c r="D412" s="967"/>
      <c r="E412" s="967"/>
      <c r="F412" s="967"/>
      <c r="G412" s="967"/>
      <c r="H412" s="972"/>
      <c r="I412" s="964" t="s">
        <v>2299</v>
      </c>
    </row>
    <row r="413" spans="1:12" s="965" customFormat="1" hidden="1">
      <c r="A413" s="896"/>
      <c r="B413" s="966"/>
      <c r="C413" s="1004" t="s">
        <v>60</v>
      </c>
      <c r="D413" s="967"/>
      <c r="E413" s="967"/>
      <c r="F413" s="967"/>
      <c r="G413" s="967"/>
      <c r="H413" s="972"/>
      <c r="I413" s="964" t="s">
        <v>2299</v>
      </c>
      <c r="J413" s="901"/>
    </row>
    <row r="414" spans="1:12" s="965" customFormat="1" hidden="1">
      <c r="A414" s="896"/>
      <c r="B414" s="966"/>
      <c r="C414" s="1004" t="s">
        <v>1</v>
      </c>
      <c r="D414" s="967"/>
      <c r="E414" s="967"/>
      <c r="F414" s="967"/>
      <c r="G414" s="967"/>
      <c r="H414" s="972"/>
      <c r="I414" s="964" t="s">
        <v>2299</v>
      </c>
      <c r="J414" s="901"/>
    </row>
    <row r="415" spans="1:12" s="965" customFormat="1" hidden="1">
      <c r="A415" s="896"/>
      <c r="B415" s="966"/>
      <c r="C415" s="1002" t="s">
        <v>2</v>
      </c>
      <c r="D415" s="1014">
        <v>2</v>
      </c>
      <c r="E415" s="1015">
        <v>1.95</v>
      </c>
      <c r="F415" s="1016">
        <v>0.1</v>
      </c>
      <c r="G415" s="1016">
        <v>7.4999999999999997E-2</v>
      </c>
      <c r="H415" s="1017">
        <f>ROUND(D415*E415*F415*G415,4)</f>
        <v>2.93E-2</v>
      </c>
      <c r="I415" s="964" t="s">
        <v>2299</v>
      </c>
      <c r="J415" s="901"/>
    </row>
    <row r="416" spans="1:12" s="965" customFormat="1" hidden="1">
      <c r="A416" s="896"/>
      <c r="B416" s="966"/>
      <c r="C416" s="1002" t="s">
        <v>741</v>
      </c>
      <c r="D416" s="1014">
        <v>2</v>
      </c>
      <c r="E416" s="1015">
        <v>0.9</v>
      </c>
      <c r="F416" s="1016">
        <v>0.1</v>
      </c>
      <c r="G416" s="1016">
        <v>7.4999999999999997E-2</v>
      </c>
      <c r="H416" s="1017">
        <f>ROUND(D416*E416*F416*G416,4)</f>
        <v>1.35E-2</v>
      </c>
      <c r="I416" s="964" t="s">
        <v>2299</v>
      </c>
      <c r="J416" s="901"/>
    </row>
    <row r="417" spans="1:12" s="965" customFormat="1" hidden="1">
      <c r="A417" s="896"/>
      <c r="B417" s="966"/>
      <c r="C417" s="1004"/>
      <c r="D417" s="967"/>
      <c r="E417" s="967"/>
      <c r="F417" s="967"/>
      <c r="G417" s="967"/>
      <c r="H417" s="1018">
        <f>SUM(H415:H416)</f>
        <v>4.2799999999999998E-2</v>
      </c>
      <c r="I417" s="964" t="s">
        <v>2299</v>
      </c>
      <c r="J417" s="901"/>
    </row>
    <row r="418" spans="1:12" s="965" customFormat="1" hidden="1">
      <c r="A418" s="896"/>
      <c r="B418" s="966" t="s">
        <v>1373</v>
      </c>
      <c r="C418" s="1002" t="s">
        <v>1372</v>
      </c>
      <c r="D418" s="967"/>
      <c r="E418" s="967" t="s">
        <v>35</v>
      </c>
      <c r="F418" s="976">
        <f>H417</f>
        <v>4.2799999999999998E-2</v>
      </c>
      <c r="G418" s="970">
        <f>'MINI SSR 2020-21'!$C$142</f>
        <v>71195</v>
      </c>
      <c r="H418" s="969">
        <f t="shared" ref="H418:H426" si="30">ROUND(F418*G418,2)</f>
        <v>3047.15</v>
      </c>
      <c r="I418" s="964" t="s">
        <v>2299</v>
      </c>
      <c r="J418" s="901"/>
    </row>
    <row r="419" spans="1:12" s="965" customFormat="1" hidden="1">
      <c r="A419" s="896"/>
      <c r="B419" s="967" t="s">
        <v>2092</v>
      </c>
      <c r="C419" s="1002" t="s">
        <v>2093</v>
      </c>
      <c r="D419" s="967"/>
      <c r="E419" s="967" t="s">
        <v>102</v>
      </c>
      <c r="F419" s="976">
        <f>ROUND(0.66*1.995,2)</f>
        <v>1.32</v>
      </c>
      <c r="G419" s="970">
        <f>'MINI SSR 2020-21'!$C$148</f>
        <v>1790</v>
      </c>
      <c r="H419" s="969">
        <f t="shared" si="30"/>
        <v>2362.8000000000002</v>
      </c>
      <c r="I419" s="964" t="s">
        <v>2299</v>
      </c>
      <c r="J419" s="901"/>
    </row>
    <row r="420" spans="1:12" s="965" customFormat="1" hidden="1">
      <c r="A420" s="896"/>
      <c r="B420" s="967" t="s">
        <v>2094</v>
      </c>
      <c r="C420" s="1002" t="s">
        <v>2098</v>
      </c>
      <c r="D420" s="967"/>
      <c r="E420" s="967" t="s">
        <v>102</v>
      </c>
      <c r="F420" s="976">
        <f>F419</f>
        <v>1.32</v>
      </c>
      <c r="G420" s="970">
        <f>'MINI SSR 2020-21'!$C$151</f>
        <v>754</v>
      </c>
      <c r="H420" s="969">
        <f t="shared" si="30"/>
        <v>995.28</v>
      </c>
      <c r="I420" s="964" t="s">
        <v>2299</v>
      </c>
      <c r="J420" s="901"/>
    </row>
    <row r="421" spans="1:12" hidden="1">
      <c r="A421" s="896"/>
      <c r="B421" s="967" t="s">
        <v>1394</v>
      </c>
      <c r="C421" s="1002" t="s">
        <v>1393</v>
      </c>
      <c r="D421" s="967"/>
      <c r="E421" s="967" t="s">
        <v>11</v>
      </c>
      <c r="F421" s="988">
        <v>2</v>
      </c>
      <c r="G421" s="970">
        <f>'MINI SSR 2020-21'!$G$143</f>
        <v>84</v>
      </c>
      <c r="H421" s="969">
        <f t="shared" si="30"/>
        <v>168</v>
      </c>
      <c r="I421" s="964" t="s">
        <v>2299</v>
      </c>
    </row>
    <row r="422" spans="1:12" hidden="1">
      <c r="A422" s="896"/>
      <c r="B422" s="967" t="s">
        <v>1396</v>
      </c>
      <c r="C422" s="1002" t="s">
        <v>1395</v>
      </c>
      <c r="D422" s="967"/>
      <c r="E422" s="967" t="s">
        <v>11</v>
      </c>
      <c r="F422" s="988">
        <v>3</v>
      </c>
      <c r="G422" s="970">
        <f>'MINI SSR 2020-21'!$G$146</f>
        <v>117</v>
      </c>
      <c r="H422" s="969">
        <f t="shared" si="30"/>
        <v>351</v>
      </c>
      <c r="I422" s="964" t="s">
        <v>2299</v>
      </c>
    </row>
    <row r="423" spans="1:12" hidden="1">
      <c r="A423" s="896"/>
      <c r="B423" s="967" t="s">
        <v>1381</v>
      </c>
      <c r="C423" s="1002" t="s">
        <v>1380</v>
      </c>
      <c r="D423" s="967"/>
      <c r="E423" s="967" t="s">
        <v>11</v>
      </c>
      <c r="F423" s="988">
        <v>2</v>
      </c>
      <c r="G423" s="970">
        <f>'MINI SSR 2020-21'!$G$144</f>
        <v>103</v>
      </c>
      <c r="H423" s="969">
        <f t="shared" si="30"/>
        <v>206</v>
      </c>
      <c r="I423" s="964" t="s">
        <v>2299</v>
      </c>
    </row>
    <row r="424" spans="1:12" hidden="1">
      <c r="A424" s="896"/>
      <c r="B424" s="967" t="s">
        <v>1398</v>
      </c>
      <c r="C424" s="1002" t="s">
        <v>1397</v>
      </c>
      <c r="D424" s="967"/>
      <c r="E424" s="967" t="s">
        <v>11</v>
      </c>
      <c r="F424" s="988">
        <v>2</v>
      </c>
      <c r="G424" s="970">
        <f>'MINI SSR 2020-21'!$G$149</f>
        <v>308</v>
      </c>
      <c r="H424" s="969">
        <f t="shared" si="30"/>
        <v>616</v>
      </c>
      <c r="I424" s="964" t="s">
        <v>2299</v>
      </c>
    </row>
    <row r="425" spans="1:12" hidden="1">
      <c r="A425" s="896"/>
      <c r="B425" s="967" t="s">
        <v>1400</v>
      </c>
      <c r="C425" s="1002" t="s">
        <v>1399</v>
      </c>
      <c r="D425" s="967"/>
      <c r="E425" s="967" t="s">
        <v>11</v>
      </c>
      <c r="F425" s="988">
        <v>1</v>
      </c>
      <c r="G425" s="970">
        <f>'MINI SSR 2020-21'!$G$155</f>
        <v>53</v>
      </c>
      <c r="H425" s="969">
        <f t="shared" si="30"/>
        <v>53</v>
      </c>
      <c r="I425" s="964" t="s">
        <v>2299</v>
      </c>
    </row>
    <row r="426" spans="1:12" hidden="1">
      <c r="A426" s="896"/>
      <c r="B426" s="967" t="s">
        <v>1387</v>
      </c>
      <c r="C426" s="1002" t="s">
        <v>1386</v>
      </c>
      <c r="D426" s="967"/>
      <c r="E426" s="967" t="s">
        <v>11</v>
      </c>
      <c r="F426" s="988">
        <v>6</v>
      </c>
      <c r="G426" s="970">
        <f>'MINI SSR 2020-21'!$G$152</f>
        <v>32</v>
      </c>
      <c r="H426" s="969">
        <f t="shared" si="30"/>
        <v>192</v>
      </c>
      <c r="I426" s="964" t="s">
        <v>2299</v>
      </c>
    </row>
    <row r="427" spans="1:12" hidden="1">
      <c r="A427" s="967"/>
      <c r="B427" s="967"/>
      <c r="C427" s="1004" t="s">
        <v>68</v>
      </c>
      <c r="D427" s="967"/>
      <c r="E427" s="967"/>
      <c r="F427" s="970"/>
      <c r="G427" s="974"/>
      <c r="H427" s="969"/>
      <c r="I427" s="964" t="s">
        <v>2299</v>
      </c>
    </row>
    <row r="428" spans="1:12" ht="25.5" hidden="1">
      <c r="A428" s="967"/>
      <c r="B428" s="967" t="s">
        <v>1389</v>
      </c>
      <c r="C428" s="1002" t="s">
        <v>1401</v>
      </c>
      <c r="D428" s="967"/>
      <c r="E428" s="967" t="s">
        <v>102</v>
      </c>
      <c r="F428" s="970">
        <f>ROUND(0.9*2.1,2)</f>
        <v>1.89</v>
      </c>
      <c r="G428" s="970">
        <f>'MINI SSR 2020-21'!$C$150</f>
        <v>1452</v>
      </c>
      <c r="H428" s="969">
        <f>ROUND(F428*G428*1/3,2)</f>
        <v>914.76</v>
      </c>
      <c r="I428" s="964" t="s">
        <v>2299</v>
      </c>
      <c r="L428" s="1019"/>
    </row>
    <row r="429" spans="1:12" ht="13.5" hidden="1" thickBot="1">
      <c r="A429" s="967"/>
      <c r="B429" s="967"/>
      <c r="C429" s="1004"/>
      <c r="D429" s="967"/>
      <c r="E429" s="967"/>
      <c r="F429" s="967"/>
      <c r="G429" s="967"/>
      <c r="H429" s="971">
        <f>SUM(H418:H428)</f>
        <v>8905.99</v>
      </c>
      <c r="I429" s="964" t="s">
        <v>2299</v>
      </c>
      <c r="L429" s="1020">
        <f>SUM(L428)</f>
        <v>0</v>
      </c>
    </row>
    <row r="430" spans="1:12" ht="51" hidden="1">
      <c r="A430" s="896">
        <v>7</v>
      </c>
      <c r="B430" s="966"/>
      <c r="C430" s="1002" t="s">
        <v>1199</v>
      </c>
      <c r="D430" s="967"/>
      <c r="E430" s="967"/>
      <c r="F430" s="967"/>
      <c r="G430" s="967"/>
      <c r="H430" s="972"/>
      <c r="I430" s="964" t="s">
        <v>2299</v>
      </c>
    </row>
    <row r="431" spans="1:12" s="965" customFormat="1" hidden="1">
      <c r="A431" s="896"/>
      <c r="B431" s="966"/>
      <c r="C431" s="1002" t="s">
        <v>695</v>
      </c>
      <c r="E431" s="967" t="s">
        <v>35</v>
      </c>
      <c r="F431" s="973">
        <v>8.0000000000000002E-3</v>
      </c>
      <c r="G431" s="970">
        <f>'MINI SSR 2020-21'!C144</f>
        <v>46217</v>
      </c>
      <c r="H431" s="969">
        <f>ROUND(F431*G431,2)</f>
        <v>369.74</v>
      </c>
      <c r="I431" s="964" t="s">
        <v>2299</v>
      </c>
      <c r="J431" s="901"/>
    </row>
    <row r="432" spans="1:12" s="965" customFormat="1" hidden="1">
      <c r="A432" s="896"/>
      <c r="B432" s="966"/>
      <c r="C432" s="1002" t="s">
        <v>1198</v>
      </c>
      <c r="E432" s="967" t="s">
        <v>4</v>
      </c>
      <c r="F432" s="973">
        <v>0.5</v>
      </c>
      <c r="G432" s="970">
        <f>'lead 20-21'!L9/1000</f>
        <v>48.38</v>
      </c>
      <c r="H432" s="969">
        <f>ROUND(F432*G432,2)</f>
        <v>24.19</v>
      </c>
      <c r="I432" s="964" t="s">
        <v>2299</v>
      </c>
      <c r="J432" s="901"/>
    </row>
    <row r="433" spans="1:12" s="965" customFormat="1" hidden="1">
      <c r="A433" s="896"/>
      <c r="B433" s="966" t="s">
        <v>1405</v>
      </c>
      <c r="C433" s="1002" t="s">
        <v>1404</v>
      </c>
      <c r="E433" s="967" t="s">
        <v>102</v>
      </c>
      <c r="F433" s="973">
        <v>0.27</v>
      </c>
      <c r="G433" s="970">
        <f>'MINI SSR 2020-21'!G153</f>
        <v>373</v>
      </c>
      <c r="H433" s="969">
        <f>ROUND(F433*G433,2)</f>
        <v>100.71</v>
      </c>
      <c r="I433" s="964" t="s">
        <v>2299</v>
      </c>
      <c r="J433" s="901"/>
    </row>
    <row r="434" spans="1:12" hidden="1">
      <c r="A434" s="967"/>
      <c r="B434" s="967"/>
      <c r="C434" s="1002"/>
      <c r="D434" s="967"/>
      <c r="E434" s="970"/>
      <c r="F434" s="970"/>
      <c r="G434" s="970"/>
      <c r="H434" s="969"/>
      <c r="I434" s="964" t="s">
        <v>2299</v>
      </c>
      <c r="L434" s="1019"/>
    </row>
    <row r="435" spans="1:12" ht="13.5" hidden="1" thickBot="1">
      <c r="A435" s="967"/>
      <c r="B435" s="967"/>
      <c r="C435" s="1004" t="s">
        <v>1403</v>
      </c>
      <c r="D435" s="967"/>
      <c r="E435" s="967"/>
      <c r="F435" s="967"/>
      <c r="G435" s="967"/>
      <c r="H435" s="971">
        <f>SUM(H431:H434)</f>
        <v>494.64</v>
      </c>
      <c r="I435" s="964" t="s">
        <v>2299</v>
      </c>
      <c r="L435" s="1020">
        <f>SUM(L434)</f>
        <v>0</v>
      </c>
    </row>
    <row r="436" spans="1:12" hidden="1">
      <c r="A436" s="896">
        <v>2</v>
      </c>
      <c r="B436" s="966"/>
      <c r="C436" s="1002" t="s">
        <v>932</v>
      </c>
      <c r="D436" s="967"/>
      <c r="E436" s="967"/>
      <c r="F436" s="967"/>
      <c r="G436" s="967"/>
      <c r="H436" s="972"/>
      <c r="I436" s="964" t="s">
        <v>2299</v>
      </c>
    </row>
    <row r="437" spans="1:12" hidden="1">
      <c r="A437" s="967"/>
      <c r="B437" s="967" t="s">
        <v>1406</v>
      </c>
      <c r="C437" s="1002" t="s">
        <v>379</v>
      </c>
      <c r="D437" s="967" t="s">
        <v>102</v>
      </c>
      <c r="E437" s="970">
        <v>1</v>
      </c>
      <c r="F437" s="970">
        <f>'MINI SSR 2020-21'!G154</f>
        <v>340</v>
      </c>
      <c r="G437" s="970"/>
      <c r="H437" s="969">
        <f>ROUND(E437*F437,2)</f>
        <v>340</v>
      </c>
      <c r="I437" s="964" t="s">
        <v>2299</v>
      </c>
    </row>
    <row r="438" spans="1:12" hidden="1">
      <c r="A438" s="967"/>
      <c r="B438" s="967"/>
      <c r="C438" s="1002" t="s">
        <v>929</v>
      </c>
      <c r="D438" s="896" t="s">
        <v>108</v>
      </c>
      <c r="E438" s="922">
        <v>0.06</v>
      </c>
      <c r="F438" s="922">
        <f>'MINI SSR 2020-21'!H3</f>
        <v>550</v>
      </c>
      <c r="G438" s="922"/>
      <c r="H438" s="924">
        <f>ROUND(E438*F438,2)</f>
        <v>33</v>
      </c>
      <c r="I438" s="964" t="s">
        <v>2299</v>
      </c>
    </row>
    <row r="439" spans="1:12" hidden="1">
      <c r="A439" s="967"/>
      <c r="B439" s="967"/>
      <c r="C439" s="1002" t="s">
        <v>930</v>
      </c>
      <c r="D439" s="896" t="s">
        <v>108</v>
      </c>
      <c r="E439" s="922">
        <v>0.06</v>
      </c>
      <c r="F439" s="922">
        <f>'MINI SSR 2020-21'!H4</f>
        <v>500</v>
      </c>
      <c r="G439" s="922"/>
      <c r="H439" s="924">
        <f>ROUND(E439*F439,2)</f>
        <v>30</v>
      </c>
      <c r="I439" s="964" t="s">
        <v>2299</v>
      </c>
    </row>
    <row r="440" spans="1:12" hidden="1">
      <c r="A440" s="967"/>
      <c r="B440" s="967"/>
      <c r="C440" s="1003" t="s">
        <v>931</v>
      </c>
      <c r="D440" s="896" t="s">
        <v>108</v>
      </c>
      <c r="E440" s="920">
        <v>0.27500000000000002</v>
      </c>
      <c r="F440" s="922">
        <f>'MINI SSR 2020-21'!H5</f>
        <v>460</v>
      </c>
      <c r="G440" s="922"/>
      <c r="H440" s="924">
        <f>ROUND(E440*F440,2)</f>
        <v>126.5</v>
      </c>
      <c r="I440" s="964" t="s">
        <v>2299</v>
      </c>
    </row>
    <row r="441" spans="1:12" hidden="1">
      <c r="A441" s="967"/>
      <c r="B441" s="967"/>
      <c r="C441" s="1004" t="s">
        <v>1402</v>
      </c>
      <c r="D441" s="967"/>
      <c r="E441" s="967"/>
      <c r="F441" s="967"/>
      <c r="G441" s="967"/>
      <c r="H441" s="971">
        <f>SUM(H437:H440)</f>
        <v>529.5</v>
      </c>
      <c r="I441" s="964" t="s">
        <v>2299</v>
      </c>
    </row>
    <row r="442" spans="1:12" ht="255" hidden="1">
      <c r="A442" s="896">
        <v>5</v>
      </c>
      <c r="B442" s="966"/>
      <c r="C442" s="1002" t="s">
        <v>910</v>
      </c>
      <c r="D442" s="967"/>
      <c r="E442" s="967"/>
      <c r="F442" s="967"/>
      <c r="G442" s="967"/>
      <c r="H442" s="972"/>
      <c r="I442" s="964" t="s">
        <v>2299</v>
      </c>
    </row>
    <row r="443" spans="1:12" hidden="1">
      <c r="A443" s="967"/>
      <c r="B443" s="967"/>
      <c r="C443" s="1002" t="s">
        <v>911</v>
      </c>
      <c r="D443" s="967"/>
      <c r="E443" s="973"/>
      <c r="F443" s="970"/>
      <c r="G443" s="970"/>
      <c r="H443" s="969"/>
      <c r="I443" s="964" t="s">
        <v>2299</v>
      </c>
    </row>
    <row r="444" spans="1:12" hidden="1">
      <c r="A444" s="967"/>
      <c r="B444" s="967" t="s">
        <v>1408</v>
      </c>
      <c r="C444" s="1002" t="s">
        <v>1407</v>
      </c>
      <c r="D444" s="967"/>
      <c r="E444" s="967" t="s">
        <v>277</v>
      </c>
      <c r="F444" s="973">
        <v>6.7</v>
      </c>
      <c r="G444" s="970">
        <f>'MINI SSR 2020-21'!C147</f>
        <v>805</v>
      </c>
      <c r="H444" s="969">
        <f t="shared" ref="H444:H451" si="31">ROUND(F444*G444,2)</f>
        <v>5393.5</v>
      </c>
      <c r="I444" s="964" t="s">
        <v>2299</v>
      </c>
    </row>
    <row r="445" spans="1:12" hidden="1">
      <c r="A445" s="967"/>
      <c r="B445" s="967" t="s">
        <v>1410</v>
      </c>
      <c r="C445" s="1002" t="s">
        <v>1409</v>
      </c>
      <c r="D445" s="967"/>
      <c r="E445" s="967" t="s">
        <v>102</v>
      </c>
      <c r="F445" s="973">
        <v>0.86899999999999999</v>
      </c>
      <c r="G445" s="970">
        <f>'MINI SSR 2020-21'!C151</f>
        <v>754</v>
      </c>
      <c r="H445" s="969">
        <f t="shared" si="31"/>
        <v>655.23</v>
      </c>
      <c r="I445" s="964" t="s">
        <v>2299</v>
      </c>
    </row>
    <row r="446" spans="1:12" hidden="1">
      <c r="A446" s="967"/>
      <c r="B446" s="967" t="s">
        <v>1391</v>
      </c>
      <c r="C446" s="1002" t="s">
        <v>379</v>
      </c>
      <c r="D446" s="967"/>
      <c r="E446" s="967" t="s">
        <v>102</v>
      </c>
      <c r="F446" s="973">
        <f>ROUND(1.1*2.03,2)</f>
        <v>2.23</v>
      </c>
      <c r="G446" s="970">
        <f>'MINI SSR 2020-21'!C146</f>
        <v>3030</v>
      </c>
      <c r="H446" s="969">
        <f t="shared" si="31"/>
        <v>6756.9</v>
      </c>
      <c r="I446" s="964" t="s">
        <v>2299</v>
      </c>
    </row>
    <row r="447" spans="1:12" hidden="1">
      <c r="A447" s="967"/>
      <c r="B447" s="967" t="s">
        <v>1392</v>
      </c>
      <c r="C447" s="1002" t="s">
        <v>1411</v>
      </c>
      <c r="D447" s="967"/>
      <c r="E447" s="967" t="s">
        <v>102</v>
      </c>
      <c r="F447" s="973">
        <v>1.6870000000000001</v>
      </c>
      <c r="G447" s="970">
        <f>'MINI SSR 2020-21'!C151</f>
        <v>754</v>
      </c>
      <c r="H447" s="969">
        <f t="shared" si="31"/>
        <v>1272</v>
      </c>
      <c r="I447" s="964" t="s">
        <v>2299</v>
      </c>
      <c r="L447" s="1019"/>
    </row>
    <row r="448" spans="1:12" hidden="1">
      <c r="A448" s="896"/>
      <c r="B448" s="966" t="s">
        <v>1413</v>
      </c>
      <c r="C448" s="1002" t="s">
        <v>1412</v>
      </c>
      <c r="D448" s="967"/>
      <c r="E448" s="967" t="s">
        <v>11</v>
      </c>
      <c r="F448" s="988">
        <v>2</v>
      </c>
      <c r="G448" s="970">
        <f>'MINI SSR 2020-21'!G144</f>
        <v>103</v>
      </c>
      <c r="H448" s="969">
        <f t="shared" si="31"/>
        <v>206</v>
      </c>
      <c r="I448" s="964" t="s">
        <v>2299</v>
      </c>
    </row>
    <row r="449" spans="1:12" hidden="1">
      <c r="A449" s="896"/>
      <c r="B449" s="966" t="s">
        <v>1381</v>
      </c>
      <c r="C449" s="1002" t="s">
        <v>1380</v>
      </c>
      <c r="D449" s="967"/>
      <c r="E449" s="967" t="s">
        <v>11</v>
      </c>
      <c r="F449" s="988">
        <v>4</v>
      </c>
      <c r="G449" s="970">
        <f>'MINI SSR 2020-21'!G147</f>
        <v>103</v>
      </c>
      <c r="H449" s="969">
        <f t="shared" si="31"/>
        <v>412</v>
      </c>
      <c r="I449" s="964" t="s">
        <v>2299</v>
      </c>
    </row>
    <row r="450" spans="1:12" hidden="1">
      <c r="A450" s="896"/>
      <c r="B450" s="966" t="s">
        <v>1398</v>
      </c>
      <c r="C450" s="1002" t="s">
        <v>1397</v>
      </c>
      <c r="D450" s="967"/>
      <c r="E450" s="967" t="s">
        <v>11</v>
      </c>
      <c r="F450" s="988">
        <v>2</v>
      </c>
      <c r="G450" s="970">
        <f>'MINI SSR 2020-21'!G149</f>
        <v>308</v>
      </c>
      <c r="H450" s="969">
        <f t="shared" si="31"/>
        <v>616</v>
      </c>
      <c r="I450" s="964" t="s">
        <v>2299</v>
      </c>
    </row>
    <row r="451" spans="1:12" hidden="1">
      <c r="A451" s="896"/>
      <c r="B451" s="966"/>
      <c r="C451" s="1002" t="s">
        <v>912</v>
      </c>
      <c r="D451" s="967"/>
      <c r="E451" s="967" t="s">
        <v>11</v>
      </c>
      <c r="F451" s="988">
        <v>1</v>
      </c>
      <c r="G451" s="970">
        <f>'MINI SSR 2020-21'!G155</f>
        <v>53</v>
      </c>
      <c r="H451" s="969">
        <f t="shared" si="31"/>
        <v>53</v>
      </c>
      <c r="I451" s="964" t="s">
        <v>2299</v>
      </c>
    </row>
    <row r="452" spans="1:12" hidden="1">
      <c r="A452" s="967"/>
      <c r="B452" s="967"/>
      <c r="C452" s="1002" t="s">
        <v>909</v>
      </c>
      <c r="D452" s="967"/>
      <c r="E452" s="970"/>
      <c r="F452" s="970"/>
      <c r="G452" s="970"/>
      <c r="H452" s="971">
        <f>SUM(H444:H451)</f>
        <v>15364.63</v>
      </c>
      <c r="I452" s="964" t="s">
        <v>2299</v>
      </c>
    </row>
    <row r="453" spans="1:12" hidden="1">
      <c r="A453" s="967"/>
      <c r="B453" s="967"/>
      <c r="C453" s="1002" t="s">
        <v>121</v>
      </c>
      <c r="D453" s="967"/>
      <c r="E453" s="967"/>
      <c r="F453" s="967"/>
      <c r="G453" s="967"/>
      <c r="H453" s="971">
        <f>ROUND(H452/2.556,2)</f>
        <v>6011.2</v>
      </c>
      <c r="I453" s="964" t="s">
        <v>2299</v>
      </c>
    </row>
    <row r="454" spans="1:12" ht="255" hidden="1">
      <c r="A454" s="896">
        <v>2</v>
      </c>
      <c r="B454" s="966"/>
      <c r="C454" s="1002" t="s">
        <v>910</v>
      </c>
      <c r="D454" s="967"/>
      <c r="E454" s="967"/>
      <c r="F454" s="967"/>
      <c r="G454" s="967"/>
      <c r="H454" s="972"/>
      <c r="I454" s="964" t="s">
        <v>2299</v>
      </c>
    </row>
    <row r="455" spans="1:12" hidden="1">
      <c r="A455" s="967"/>
      <c r="B455" s="967"/>
      <c r="C455" s="1002" t="s">
        <v>911</v>
      </c>
      <c r="D455" s="967"/>
      <c r="E455" s="973"/>
      <c r="F455" s="970"/>
      <c r="G455" s="970"/>
      <c r="H455" s="969"/>
      <c r="I455" s="964" t="s">
        <v>2299</v>
      </c>
    </row>
    <row r="456" spans="1:12" hidden="1">
      <c r="A456" s="967"/>
      <c r="B456" s="967" t="s">
        <v>1408</v>
      </c>
      <c r="C456" s="1002" t="s">
        <v>1407</v>
      </c>
      <c r="D456" s="967"/>
      <c r="E456" s="967" t="s">
        <v>277</v>
      </c>
      <c r="F456" s="973">
        <v>5.45</v>
      </c>
      <c r="G456" s="970">
        <f t="shared" ref="G456:G463" si="32">G444</f>
        <v>805</v>
      </c>
      <c r="H456" s="969">
        <f t="shared" ref="H456:H463" si="33">ROUND(F456*G456,2)</f>
        <v>4387.25</v>
      </c>
      <c r="I456" s="964" t="s">
        <v>2299</v>
      </c>
    </row>
    <row r="457" spans="1:12" hidden="1">
      <c r="A457" s="967"/>
      <c r="B457" s="967" t="s">
        <v>1410</v>
      </c>
      <c r="C457" s="1002" t="s">
        <v>1409</v>
      </c>
      <c r="D457" s="967"/>
      <c r="E457" s="967" t="s">
        <v>102</v>
      </c>
      <c r="F457" s="973">
        <v>0.86899999999999999</v>
      </c>
      <c r="G457" s="970">
        <f t="shared" si="32"/>
        <v>754</v>
      </c>
      <c r="H457" s="969">
        <f t="shared" si="33"/>
        <v>655.23</v>
      </c>
      <c r="I457" s="964" t="s">
        <v>2299</v>
      </c>
    </row>
    <row r="458" spans="1:12" hidden="1">
      <c r="A458" s="967"/>
      <c r="B458" s="967" t="s">
        <v>1391</v>
      </c>
      <c r="C458" s="1002" t="s">
        <v>379</v>
      </c>
      <c r="D458" s="967"/>
      <c r="E458" s="967" t="s">
        <v>102</v>
      </c>
      <c r="F458" s="973">
        <f>ROUND(1.1*2.03,2)</f>
        <v>2.23</v>
      </c>
      <c r="G458" s="970">
        <f t="shared" si="32"/>
        <v>3030</v>
      </c>
      <c r="H458" s="969">
        <f t="shared" si="33"/>
        <v>6756.9</v>
      </c>
      <c r="I458" s="964" t="s">
        <v>2299</v>
      </c>
    </row>
    <row r="459" spans="1:12" hidden="1">
      <c r="A459" s="967"/>
      <c r="B459" s="967" t="s">
        <v>1392</v>
      </c>
      <c r="C459" s="1002" t="s">
        <v>1411</v>
      </c>
      <c r="D459" s="967"/>
      <c r="E459" s="967" t="s">
        <v>102</v>
      </c>
      <c r="F459" s="973">
        <v>1.6870000000000001</v>
      </c>
      <c r="G459" s="970">
        <f t="shared" si="32"/>
        <v>754</v>
      </c>
      <c r="H459" s="969">
        <f t="shared" si="33"/>
        <v>1272</v>
      </c>
      <c r="I459" s="964" t="s">
        <v>2299</v>
      </c>
      <c r="L459" s="1019"/>
    </row>
    <row r="460" spans="1:12" hidden="1">
      <c r="A460" s="896"/>
      <c r="B460" s="966" t="s">
        <v>1413</v>
      </c>
      <c r="C460" s="1002" t="s">
        <v>1412</v>
      </c>
      <c r="D460" s="967"/>
      <c r="E460" s="967" t="s">
        <v>11</v>
      </c>
      <c r="F460" s="988">
        <v>2</v>
      </c>
      <c r="G460" s="970">
        <f t="shared" si="32"/>
        <v>103</v>
      </c>
      <c r="H460" s="969">
        <f t="shared" si="33"/>
        <v>206</v>
      </c>
      <c r="I460" s="964" t="s">
        <v>2299</v>
      </c>
    </row>
    <row r="461" spans="1:12" hidden="1">
      <c r="A461" s="896"/>
      <c r="B461" s="966" t="s">
        <v>1381</v>
      </c>
      <c r="C461" s="1002" t="s">
        <v>1380</v>
      </c>
      <c r="D461" s="967"/>
      <c r="E461" s="967" t="s">
        <v>11</v>
      </c>
      <c r="F461" s="988">
        <v>4</v>
      </c>
      <c r="G461" s="970">
        <f t="shared" si="32"/>
        <v>103</v>
      </c>
      <c r="H461" s="969">
        <f t="shared" si="33"/>
        <v>412</v>
      </c>
      <c r="I461" s="964" t="s">
        <v>2299</v>
      </c>
    </row>
    <row r="462" spans="1:12" hidden="1">
      <c r="A462" s="896"/>
      <c r="B462" s="966" t="s">
        <v>1398</v>
      </c>
      <c r="C462" s="1002" t="s">
        <v>1397</v>
      </c>
      <c r="D462" s="967"/>
      <c r="E462" s="967" t="s">
        <v>11</v>
      </c>
      <c r="F462" s="988">
        <v>2</v>
      </c>
      <c r="G462" s="970">
        <f t="shared" si="32"/>
        <v>308</v>
      </c>
      <c r="H462" s="969">
        <f t="shared" si="33"/>
        <v>616</v>
      </c>
      <c r="I462" s="964" t="s">
        <v>2299</v>
      </c>
    </row>
    <row r="463" spans="1:12" hidden="1">
      <c r="A463" s="896"/>
      <c r="B463" s="966"/>
      <c r="C463" s="1002" t="s">
        <v>912</v>
      </c>
      <c r="D463" s="967"/>
      <c r="E463" s="967" t="s">
        <v>11</v>
      </c>
      <c r="F463" s="988">
        <v>1</v>
      </c>
      <c r="G463" s="970">
        <f t="shared" si="32"/>
        <v>53</v>
      </c>
      <c r="H463" s="969">
        <f t="shared" si="33"/>
        <v>53</v>
      </c>
      <c r="I463" s="964" t="s">
        <v>2299</v>
      </c>
    </row>
    <row r="464" spans="1:12" hidden="1">
      <c r="A464" s="967"/>
      <c r="B464" s="967"/>
      <c r="C464" s="1002" t="s">
        <v>909</v>
      </c>
      <c r="D464" s="967"/>
      <c r="E464" s="970"/>
      <c r="F464" s="970"/>
      <c r="G464" s="970"/>
      <c r="H464" s="971">
        <f>SUM(H456:H463)</f>
        <v>14358.38</v>
      </c>
      <c r="I464" s="964" t="s">
        <v>2299</v>
      </c>
    </row>
    <row r="465" spans="1:10" hidden="1">
      <c r="A465" s="967"/>
      <c r="B465" s="967"/>
      <c r="C465" s="1002" t="s">
        <v>121</v>
      </c>
      <c r="D465" s="967"/>
      <c r="E465" s="967"/>
      <c r="F465" s="967"/>
      <c r="G465" s="967"/>
      <c r="H465" s="971">
        <f>ROUND(H464/2.556,2)</f>
        <v>5617.52</v>
      </c>
      <c r="I465" s="964" t="s">
        <v>2299</v>
      </c>
    </row>
    <row r="466" spans="1:10" ht="357" hidden="1">
      <c r="A466" s="896">
        <v>5</v>
      </c>
      <c r="B466" s="966"/>
      <c r="C466" s="1002" t="s">
        <v>717</v>
      </c>
      <c r="D466" s="967"/>
      <c r="E466" s="967"/>
      <c r="F466" s="967"/>
      <c r="G466" s="967"/>
      <c r="H466" s="972"/>
      <c r="I466" s="964" t="s">
        <v>2299</v>
      </c>
    </row>
    <row r="467" spans="1:10" hidden="1">
      <c r="A467" s="967"/>
      <c r="B467" s="967" t="s">
        <v>1415</v>
      </c>
      <c r="C467" s="1002" t="s">
        <v>1414</v>
      </c>
      <c r="D467" s="967" t="s">
        <v>102</v>
      </c>
      <c r="E467" s="970">
        <v>1</v>
      </c>
      <c r="F467" s="970">
        <f>'MINI SSR 2020-21'!C153</f>
        <v>6038</v>
      </c>
      <c r="G467" s="970"/>
      <c r="H467" s="969">
        <f>ROUND(E467*F467,2)</f>
        <v>6038</v>
      </c>
      <c r="I467" s="964" t="s">
        <v>2299</v>
      </c>
    </row>
    <row r="468" spans="1:10" hidden="1">
      <c r="A468" s="967"/>
      <c r="B468" s="967"/>
      <c r="C468" s="1004"/>
      <c r="D468" s="967"/>
      <c r="E468" s="967"/>
      <c r="F468" s="967"/>
      <c r="G468" s="967"/>
      <c r="H468" s="971">
        <f>SUM(H467:H467)</f>
        <v>6038</v>
      </c>
      <c r="I468" s="964" t="s">
        <v>2299</v>
      </c>
    </row>
    <row r="469" spans="1:10" hidden="1">
      <c r="A469" s="967">
        <v>6</v>
      </c>
      <c r="B469" s="967" t="s">
        <v>1415</v>
      </c>
      <c r="C469" s="1002" t="s">
        <v>1416</v>
      </c>
      <c r="D469" s="967" t="s">
        <v>102</v>
      </c>
      <c r="E469" s="970">
        <v>1</v>
      </c>
      <c r="F469" s="970">
        <f>'MINI SSR 2020-21'!C152</f>
        <v>8058</v>
      </c>
      <c r="G469" s="970"/>
      <c r="H469" s="969">
        <f>ROUND(E469*F469,2)</f>
        <v>8058</v>
      </c>
      <c r="I469" s="964" t="s">
        <v>2299</v>
      </c>
    </row>
    <row r="470" spans="1:10" hidden="1">
      <c r="A470" s="967"/>
      <c r="B470" s="967"/>
      <c r="C470" s="1004"/>
      <c r="D470" s="967"/>
      <c r="E470" s="967"/>
      <c r="F470" s="967"/>
      <c r="G470" s="967"/>
      <c r="H470" s="971">
        <f>SUM(H469:H469)</f>
        <v>8058</v>
      </c>
      <c r="I470" s="964" t="s">
        <v>2299</v>
      </c>
    </row>
    <row r="471" spans="1:10" hidden="1">
      <c r="A471" s="967">
        <v>8</v>
      </c>
      <c r="B471" s="967" t="s">
        <v>1418</v>
      </c>
      <c r="C471" s="1002" t="s">
        <v>1417</v>
      </c>
      <c r="D471" s="967" t="s">
        <v>102</v>
      </c>
      <c r="E471" s="970">
        <v>1</v>
      </c>
      <c r="F471" s="970">
        <f>'MINI SSR 2020-21'!C154</f>
        <v>5830</v>
      </c>
      <c r="G471" s="970"/>
      <c r="H471" s="969">
        <f>ROUND(E471*F471,2)</f>
        <v>5830</v>
      </c>
      <c r="I471" s="964" t="s">
        <v>2299</v>
      </c>
    </row>
    <row r="472" spans="1:10" hidden="1">
      <c r="A472" s="967"/>
      <c r="B472" s="967"/>
      <c r="C472" s="1004"/>
      <c r="D472" s="967"/>
      <c r="E472" s="967"/>
      <c r="F472" s="967"/>
      <c r="G472" s="967"/>
      <c r="H472" s="971">
        <f>SUM(H471:H471)</f>
        <v>5830</v>
      </c>
      <c r="I472" s="964" t="s">
        <v>2299</v>
      </c>
    </row>
    <row r="473" spans="1:10" ht="38.25" hidden="1">
      <c r="A473" s="896">
        <v>3</v>
      </c>
      <c r="B473" s="966"/>
      <c r="C473" s="1002" t="s">
        <v>2284</v>
      </c>
      <c r="D473" s="967"/>
      <c r="E473" s="967"/>
      <c r="F473" s="967"/>
      <c r="G473" s="967"/>
      <c r="H473" s="972"/>
      <c r="I473" s="964" t="s">
        <v>2299</v>
      </c>
    </row>
    <row r="474" spans="1:10" hidden="1">
      <c r="A474" s="967"/>
      <c r="B474" s="967" t="s">
        <v>2282</v>
      </c>
      <c r="C474" s="1002" t="s">
        <v>1414</v>
      </c>
      <c r="D474" s="967" t="s">
        <v>102</v>
      </c>
      <c r="E474" s="970">
        <v>1</v>
      </c>
      <c r="F474" s="970">
        <f>'MINI SSR 2020-21'!C156</f>
        <v>3797</v>
      </c>
      <c r="G474" s="970"/>
      <c r="H474" s="969">
        <f>ROUND(E474*F474,2)</f>
        <v>3797</v>
      </c>
      <c r="I474" s="964" t="s">
        <v>2299</v>
      </c>
    </row>
    <row r="475" spans="1:10" hidden="1">
      <c r="A475" s="967"/>
      <c r="B475" s="967"/>
      <c r="C475" s="1004"/>
      <c r="D475" s="967"/>
      <c r="E475" s="967"/>
      <c r="F475" s="967"/>
      <c r="G475" s="967"/>
      <c r="H475" s="971">
        <f>SUM(H474:H474)</f>
        <v>3797</v>
      </c>
      <c r="I475" s="964" t="s">
        <v>2299</v>
      </c>
    </row>
    <row r="476" spans="1:10" s="1006" customFormat="1" ht="19.5" customHeight="1">
      <c r="A476" s="953"/>
      <c r="B476" s="953"/>
      <c r="C476" s="1013" t="s">
        <v>2310</v>
      </c>
      <c r="D476" s="953"/>
      <c r="E476" s="953"/>
      <c r="F476" s="953"/>
      <c r="G476" s="953"/>
      <c r="H476" s="953"/>
      <c r="I476" s="964" t="s">
        <v>2312</v>
      </c>
    </row>
    <row r="477" spans="1:10" ht="127.5">
      <c r="A477" s="896">
        <v>1</v>
      </c>
      <c r="B477" s="966"/>
      <c r="C477" s="1002" t="s">
        <v>3679</v>
      </c>
      <c r="D477" s="967"/>
      <c r="E477" s="967"/>
      <c r="F477" s="967"/>
      <c r="G477" s="967"/>
      <c r="H477" s="972"/>
      <c r="I477" s="964" t="s">
        <v>2312</v>
      </c>
    </row>
    <row r="478" spans="1:10">
      <c r="A478" s="896"/>
      <c r="B478" s="966"/>
      <c r="C478" s="1004" t="s">
        <v>100</v>
      </c>
      <c r="D478" s="967"/>
      <c r="E478" s="967"/>
      <c r="F478" s="967"/>
      <c r="G478" s="967"/>
      <c r="H478" s="972"/>
      <c r="I478" s="964" t="s">
        <v>2312</v>
      </c>
    </row>
    <row r="479" spans="1:10" s="965" customFormat="1">
      <c r="A479" s="896"/>
      <c r="B479" s="966"/>
      <c r="C479" s="1004" t="s">
        <v>594</v>
      </c>
      <c r="D479" s="967"/>
      <c r="E479" s="967"/>
      <c r="F479" s="967"/>
      <c r="G479" s="967"/>
      <c r="H479" s="972"/>
      <c r="I479" s="964" t="s">
        <v>2312</v>
      </c>
      <c r="J479" s="901"/>
    </row>
    <row r="480" spans="1:10" s="965" customFormat="1">
      <c r="A480" s="896"/>
      <c r="B480" s="966"/>
      <c r="C480" s="1002" t="s">
        <v>2</v>
      </c>
      <c r="D480" s="1014">
        <v>2</v>
      </c>
      <c r="E480" s="1015">
        <f>2.1-0.075-0.075</f>
        <v>1.95</v>
      </c>
      <c r="F480" s="1016">
        <v>0.1</v>
      </c>
      <c r="G480" s="1016">
        <v>7.4999999999999997E-2</v>
      </c>
      <c r="H480" s="1017">
        <f>ROUND(D480*E480*F480*G480,4)</f>
        <v>2.93E-2</v>
      </c>
      <c r="I480" s="964" t="s">
        <v>2312</v>
      </c>
      <c r="J480" s="901"/>
    </row>
    <row r="481" spans="1:12" s="965" customFormat="1">
      <c r="A481" s="896"/>
      <c r="B481" s="966"/>
      <c r="C481" s="1002" t="s">
        <v>741</v>
      </c>
      <c r="D481" s="1014">
        <v>2</v>
      </c>
      <c r="E481" s="1015">
        <v>1.2</v>
      </c>
      <c r="F481" s="1016">
        <v>0.1</v>
      </c>
      <c r="G481" s="1016">
        <v>7.4999999999999997E-2</v>
      </c>
      <c r="H481" s="1017">
        <f>ROUND(D481*E481*F481*G481,4)</f>
        <v>1.7999999999999999E-2</v>
      </c>
      <c r="I481" s="964" t="s">
        <v>2312</v>
      </c>
      <c r="J481" s="901"/>
    </row>
    <row r="482" spans="1:12" s="965" customFormat="1">
      <c r="A482" s="896"/>
      <c r="B482" s="966"/>
      <c r="C482" s="1004"/>
      <c r="D482" s="967"/>
      <c r="E482" s="967"/>
      <c r="F482" s="967"/>
      <c r="G482" s="967"/>
      <c r="H482" s="1018">
        <f>SUM(H480:H481)</f>
        <v>4.7299999999999995E-2</v>
      </c>
      <c r="I482" s="964" t="s">
        <v>2312</v>
      </c>
      <c r="J482" s="901"/>
    </row>
    <row r="483" spans="1:12" s="965" customFormat="1">
      <c r="A483" s="896"/>
      <c r="B483" s="966"/>
      <c r="C483" s="1004" t="s">
        <v>320</v>
      </c>
      <c r="D483" s="1014">
        <v>2</v>
      </c>
      <c r="E483" s="1015">
        <f>2.1-0.075-0.075+0.02</f>
        <v>1.97</v>
      </c>
      <c r="F483" s="1016">
        <f>(1.2-0.075-0.075+0.02)/2</f>
        <v>0.53500000000000003</v>
      </c>
      <c r="G483" s="1016">
        <v>0.03</v>
      </c>
      <c r="H483" s="1017">
        <f>ROUND(D483*E483*F483*G483,4)</f>
        <v>6.3200000000000006E-2</v>
      </c>
      <c r="I483" s="964" t="s">
        <v>2312</v>
      </c>
      <c r="J483" s="901"/>
    </row>
    <row r="484" spans="1:12" s="965" customFormat="1">
      <c r="A484" s="896"/>
      <c r="B484" s="966"/>
      <c r="C484" s="1004"/>
      <c r="D484" s="967"/>
      <c r="E484" s="967"/>
      <c r="F484" s="967"/>
      <c r="G484" s="967"/>
      <c r="H484" s="1018">
        <f>SUM(H483)</f>
        <v>6.3200000000000006E-2</v>
      </c>
      <c r="I484" s="964" t="s">
        <v>2312</v>
      </c>
      <c r="J484" s="901"/>
    </row>
    <row r="485" spans="1:12" s="965" customFormat="1">
      <c r="A485" s="896"/>
      <c r="B485" s="966" t="s">
        <v>1373</v>
      </c>
      <c r="C485" s="1002" t="s">
        <v>1372</v>
      </c>
      <c r="D485" s="967"/>
      <c r="E485" s="967" t="s">
        <v>35</v>
      </c>
      <c r="F485" s="976">
        <f>H482</f>
        <v>4.7299999999999995E-2</v>
      </c>
      <c r="G485" s="970">
        <f>'MINI SSR 21-22'!C142</f>
        <v>74500</v>
      </c>
      <c r="H485" s="969">
        <f t="shared" ref="H485:H492" si="34">ROUND(F485*G485,2)</f>
        <v>3523.85</v>
      </c>
      <c r="I485" s="964" t="s">
        <v>2312</v>
      </c>
      <c r="J485" s="901"/>
    </row>
    <row r="486" spans="1:12" s="965" customFormat="1">
      <c r="A486" s="896"/>
      <c r="B486" s="966" t="s">
        <v>1375</v>
      </c>
      <c r="C486" s="1002" t="s">
        <v>1374</v>
      </c>
      <c r="D486" s="967"/>
      <c r="E486" s="967" t="s">
        <v>35</v>
      </c>
      <c r="F486" s="976">
        <f>H484</f>
        <v>6.3200000000000006E-2</v>
      </c>
      <c r="G486" s="970">
        <f>'MINI SSR 21-22'!$C$143</f>
        <v>149000</v>
      </c>
      <c r="H486" s="969">
        <f t="shared" si="34"/>
        <v>9416.7999999999993</v>
      </c>
      <c r="I486" s="964" t="s">
        <v>2312</v>
      </c>
      <c r="J486" s="901"/>
    </row>
    <row r="487" spans="1:12" s="965" customFormat="1">
      <c r="A487" s="896"/>
      <c r="B487" s="967" t="s">
        <v>1394</v>
      </c>
      <c r="C487" s="1002" t="s">
        <v>1393</v>
      </c>
      <c r="D487" s="967"/>
      <c r="E487" s="967" t="s">
        <v>11</v>
      </c>
      <c r="F487" s="988">
        <v>2</v>
      </c>
      <c r="G487" s="970">
        <f>'MINI SSR 21-22'!$G$143</f>
        <v>84</v>
      </c>
      <c r="H487" s="969">
        <f t="shared" si="34"/>
        <v>168</v>
      </c>
      <c r="I487" s="964" t="s">
        <v>2312</v>
      </c>
      <c r="J487" s="901"/>
    </row>
    <row r="488" spans="1:12">
      <c r="A488" s="896"/>
      <c r="B488" s="967" t="s">
        <v>1396</v>
      </c>
      <c r="C488" s="1002" t="s">
        <v>1395</v>
      </c>
      <c r="D488" s="967"/>
      <c r="E488" s="967" t="s">
        <v>11</v>
      </c>
      <c r="F488" s="988">
        <v>6</v>
      </c>
      <c r="G488" s="970">
        <f>'MINI SSR 21-22'!$G$146</f>
        <v>117</v>
      </c>
      <c r="H488" s="969">
        <f t="shared" si="34"/>
        <v>702</v>
      </c>
      <c r="I488" s="964" t="s">
        <v>2312</v>
      </c>
    </row>
    <row r="489" spans="1:12">
      <c r="A489" s="896"/>
      <c r="B489" s="966" t="s">
        <v>1381</v>
      </c>
      <c r="C489" s="1002" t="s">
        <v>1380</v>
      </c>
      <c r="D489" s="967"/>
      <c r="E489" s="967" t="s">
        <v>11</v>
      </c>
      <c r="F489" s="988"/>
      <c r="G489" s="970">
        <f>'MINI SSR 21-22'!G144</f>
        <v>103</v>
      </c>
      <c r="H489" s="969">
        <f t="shared" si="34"/>
        <v>0</v>
      </c>
      <c r="I489" s="964" t="s">
        <v>2312</v>
      </c>
    </row>
    <row r="490" spans="1:12">
      <c r="A490" s="896"/>
      <c r="B490" s="967" t="s">
        <v>1398</v>
      </c>
      <c r="C490" s="1002" t="s">
        <v>1397</v>
      </c>
      <c r="D490" s="967"/>
      <c r="E490" s="967" t="s">
        <v>11</v>
      </c>
      <c r="F490" s="988">
        <v>2</v>
      </c>
      <c r="G490" s="970">
        <f>'MINI SSR 21-22'!$G$149</f>
        <v>308</v>
      </c>
      <c r="H490" s="969">
        <f t="shared" si="34"/>
        <v>616</v>
      </c>
      <c r="I490" s="964" t="s">
        <v>2312</v>
      </c>
    </row>
    <row r="491" spans="1:12">
      <c r="A491" s="896"/>
      <c r="B491" s="967" t="s">
        <v>1400</v>
      </c>
      <c r="C491" s="1002" t="s">
        <v>1399</v>
      </c>
      <c r="D491" s="967"/>
      <c r="E491" s="967" t="s">
        <v>11</v>
      </c>
      <c r="F491" s="988">
        <v>1</v>
      </c>
      <c r="G491" s="970">
        <f>'MINI SSR 21-22'!$G$155</f>
        <v>53</v>
      </c>
      <c r="H491" s="969">
        <f t="shared" si="34"/>
        <v>53</v>
      </c>
      <c r="I491" s="964" t="s">
        <v>2312</v>
      </c>
    </row>
    <row r="492" spans="1:12">
      <c r="A492" s="896"/>
      <c r="B492" s="966" t="s">
        <v>1387</v>
      </c>
      <c r="C492" s="1002" t="s">
        <v>1386</v>
      </c>
      <c r="D492" s="967"/>
      <c r="E492" s="967" t="s">
        <v>11</v>
      </c>
      <c r="F492" s="988">
        <v>6</v>
      </c>
      <c r="G492" s="970">
        <f>'MINI SSR 21-22'!G152</f>
        <v>35</v>
      </c>
      <c r="H492" s="969">
        <f t="shared" si="34"/>
        <v>210</v>
      </c>
      <c r="I492" s="964" t="s">
        <v>2312</v>
      </c>
    </row>
    <row r="493" spans="1:12">
      <c r="A493" s="967"/>
      <c r="B493" s="967"/>
      <c r="C493" s="1004" t="s">
        <v>68</v>
      </c>
      <c r="D493" s="967"/>
      <c r="E493" s="967"/>
      <c r="F493" s="970"/>
      <c r="G493" s="974"/>
      <c r="H493" s="969"/>
      <c r="I493" s="964" t="s">
        <v>2312</v>
      </c>
    </row>
    <row r="494" spans="1:12">
      <c r="A494" s="967"/>
      <c r="B494" s="967" t="s">
        <v>1389</v>
      </c>
      <c r="C494" s="1002" t="s">
        <v>1388</v>
      </c>
      <c r="D494" s="967"/>
      <c r="E494" s="967" t="s">
        <v>102</v>
      </c>
      <c r="F494" s="970">
        <f>ROUND(1.2*2.1,2)</f>
        <v>2.52</v>
      </c>
      <c r="G494" s="970">
        <f>'MINI SSR 21-22'!C149</f>
        <v>1672</v>
      </c>
      <c r="H494" s="969">
        <f>ROUND(F494*G494,2)</f>
        <v>4213.4399999999996</v>
      </c>
      <c r="I494" s="964" t="s">
        <v>2312</v>
      </c>
      <c r="L494" s="1019">
        <f>H494</f>
        <v>4213.4399999999996</v>
      </c>
    </row>
    <row r="495" spans="1:12" ht="13.5" thickBot="1">
      <c r="A495" s="967"/>
      <c r="B495" s="967"/>
      <c r="C495" s="1004"/>
      <c r="D495" s="967"/>
      <c r="E495" s="967"/>
      <c r="F495" s="967"/>
      <c r="G495" s="967"/>
      <c r="H495" s="971">
        <f>SUM(H485:H494)</f>
        <v>18903.09</v>
      </c>
      <c r="I495" s="964" t="s">
        <v>2312</v>
      </c>
      <c r="L495" s="1020">
        <f>SUM(L494)</f>
        <v>4213.4399999999996</v>
      </c>
    </row>
    <row r="496" spans="1:12" ht="128.25" hidden="1" thickTop="1">
      <c r="A496" s="896">
        <v>2</v>
      </c>
      <c r="B496" s="966"/>
      <c r="C496" s="1002" t="s">
        <v>2097</v>
      </c>
      <c r="D496" s="967"/>
      <c r="E496" s="967"/>
      <c r="F496" s="967"/>
      <c r="G496" s="967"/>
      <c r="H496" s="972"/>
      <c r="I496" s="964" t="s">
        <v>2312</v>
      </c>
    </row>
    <row r="497" spans="1:12" ht="13.5" hidden="1" thickTop="1">
      <c r="A497" s="896"/>
      <c r="B497" s="966"/>
      <c r="C497" s="1004" t="s">
        <v>100</v>
      </c>
      <c r="D497" s="967"/>
      <c r="E497" s="967"/>
      <c r="F497" s="967"/>
      <c r="G497" s="967"/>
      <c r="H497" s="972"/>
      <c r="I497" s="964" t="s">
        <v>2312</v>
      </c>
    </row>
    <row r="498" spans="1:12" s="965" customFormat="1" ht="13.5" hidden="1" thickTop="1">
      <c r="A498" s="896"/>
      <c r="B498" s="966"/>
      <c r="C498" s="1004" t="s">
        <v>1</v>
      </c>
      <c r="D498" s="967"/>
      <c r="E498" s="967"/>
      <c r="F498" s="967"/>
      <c r="G498" s="967"/>
      <c r="H498" s="972"/>
      <c r="I498" s="964" t="s">
        <v>2312</v>
      </c>
      <c r="J498" s="901"/>
    </row>
    <row r="499" spans="1:12" s="965" customFormat="1" ht="13.5" hidden="1" thickTop="1">
      <c r="A499" s="896"/>
      <c r="B499" s="966"/>
      <c r="C499" s="1002" t="s">
        <v>2</v>
      </c>
      <c r="D499" s="1014">
        <v>2</v>
      </c>
      <c r="E499" s="1015">
        <v>1.9</v>
      </c>
      <c r="F499" s="1016">
        <v>0.1</v>
      </c>
      <c r="G499" s="1016">
        <v>7.4999999999999997E-2</v>
      </c>
      <c r="H499" s="1017">
        <f>ROUND(D499*E499*F499*G499,4)</f>
        <v>2.8500000000000001E-2</v>
      </c>
      <c r="I499" s="964" t="s">
        <v>2312</v>
      </c>
      <c r="J499" s="901"/>
    </row>
    <row r="500" spans="1:12" s="965" customFormat="1" ht="13.5" hidden="1" thickTop="1">
      <c r="A500" s="896"/>
      <c r="B500" s="966"/>
      <c r="C500" s="1002" t="s">
        <v>741</v>
      </c>
      <c r="D500" s="1014">
        <v>1</v>
      </c>
      <c r="E500" s="1015">
        <v>1.2</v>
      </c>
      <c r="F500" s="1016">
        <v>0.1</v>
      </c>
      <c r="G500" s="1016">
        <v>7.4999999999999997E-2</v>
      </c>
      <c r="H500" s="1017">
        <f>ROUND(D500*E500*F500*G500,4)</f>
        <v>8.9999999999999993E-3</v>
      </c>
      <c r="I500" s="964" t="s">
        <v>2312</v>
      </c>
      <c r="J500" s="901"/>
    </row>
    <row r="501" spans="1:12" s="965" customFormat="1" ht="13.5" hidden="1" thickTop="1">
      <c r="A501" s="896"/>
      <c r="B501" s="966"/>
      <c r="C501" s="1004"/>
      <c r="D501" s="967"/>
      <c r="E501" s="967"/>
      <c r="F501" s="967"/>
      <c r="G501" s="967"/>
      <c r="H501" s="1018">
        <f>SUM(H499:H500)</f>
        <v>3.7499999999999999E-2</v>
      </c>
      <c r="I501" s="964" t="s">
        <v>2312</v>
      </c>
      <c r="J501" s="901"/>
    </row>
    <row r="502" spans="1:12" s="965" customFormat="1" ht="13.5" hidden="1" thickTop="1">
      <c r="A502" s="896"/>
      <c r="B502" s="967" t="s">
        <v>1373</v>
      </c>
      <c r="C502" s="1002" t="s">
        <v>1372</v>
      </c>
      <c r="D502" s="967"/>
      <c r="E502" s="967" t="s">
        <v>35</v>
      </c>
      <c r="F502" s="976">
        <f>H501</f>
        <v>3.7499999999999999E-2</v>
      </c>
      <c r="G502" s="970">
        <f>'MINI SSR 21-22'!C142</f>
        <v>74500</v>
      </c>
      <c r="H502" s="969">
        <f t="shared" ref="H502:H510" si="35">ROUND(F502*G502,2)</f>
        <v>2793.75</v>
      </c>
      <c r="I502" s="964" t="s">
        <v>2312</v>
      </c>
      <c r="J502" s="901"/>
    </row>
    <row r="503" spans="1:12" s="965" customFormat="1" ht="13.5" hidden="1" thickTop="1">
      <c r="A503" s="896"/>
      <c r="B503" s="967" t="s">
        <v>2092</v>
      </c>
      <c r="C503" s="1002" t="s">
        <v>2093</v>
      </c>
      <c r="D503" s="967"/>
      <c r="E503" s="967" t="s">
        <v>102</v>
      </c>
      <c r="F503" s="976">
        <f>ROUND(1.05*1.995,2)</f>
        <v>2.09</v>
      </c>
      <c r="G503" s="970">
        <f>'MINI SSR 21-22'!$C$148</f>
        <v>1790</v>
      </c>
      <c r="H503" s="969">
        <f t="shared" si="35"/>
        <v>3741.1</v>
      </c>
      <c r="I503" s="964" t="s">
        <v>2312</v>
      </c>
      <c r="J503" s="901"/>
    </row>
    <row r="504" spans="1:12" s="965" customFormat="1" ht="13.5" hidden="1" thickTop="1">
      <c r="A504" s="896"/>
      <c r="B504" s="967" t="s">
        <v>2094</v>
      </c>
      <c r="C504" s="1002" t="s">
        <v>2095</v>
      </c>
      <c r="D504" s="967"/>
      <c r="E504" s="967" t="s">
        <v>102</v>
      </c>
      <c r="F504" s="976">
        <f>ROUND(1.05*1.995,2)</f>
        <v>2.09</v>
      </c>
      <c r="G504" s="970">
        <f>'MINI SSR 21-22'!$C$151</f>
        <v>800</v>
      </c>
      <c r="H504" s="969">
        <f t="shared" si="35"/>
        <v>1672</v>
      </c>
      <c r="I504" s="964" t="s">
        <v>2312</v>
      </c>
      <c r="J504" s="901"/>
    </row>
    <row r="505" spans="1:12" ht="13.5" hidden="1" thickTop="1">
      <c r="A505" s="896"/>
      <c r="B505" s="967" t="s">
        <v>1394</v>
      </c>
      <c r="C505" s="1002" t="s">
        <v>1393</v>
      </c>
      <c r="D505" s="967"/>
      <c r="E505" s="967" t="s">
        <v>11</v>
      </c>
      <c r="F505" s="988">
        <v>2</v>
      </c>
      <c r="G505" s="970">
        <f>'MINI SSR 21-22'!$G$143</f>
        <v>84</v>
      </c>
      <c r="H505" s="969">
        <f t="shared" si="35"/>
        <v>168</v>
      </c>
      <c r="I505" s="964" t="s">
        <v>2312</v>
      </c>
    </row>
    <row r="506" spans="1:12" ht="13.5" hidden="1" thickTop="1">
      <c r="A506" s="896"/>
      <c r="B506" s="967" t="s">
        <v>1396</v>
      </c>
      <c r="C506" s="1002" t="s">
        <v>1395</v>
      </c>
      <c r="D506" s="967"/>
      <c r="E506" s="967" t="s">
        <v>11</v>
      </c>
      <c r="F506" s="988">
        <v>3</v>
      </c>
      <c r="G506" s="970">
        <f>'MINI SSR 21-22'!$G$146</f>
        <v>117</v>
      </c>
      <c r="H506" s="969">
        <f t="shared" si="35"/>
        <v>351</v>
      </c>
      <c r="I506" s="964" t="s">
        <v>2312</v>
      </c>
    </row>
    <row r="507" spans="1:12" ht="13.5" hidden="1" thickTop="1">
      <c r="A507" s="896"/>
      <c r="B507" s="967" t="s">
        <v>1381</v>
      </c>
      <c r="C507" s="1002" t="s">
        <v>1380</v>
      </c>
      <c r="D507" s="967"/>
      <c r="E507" s="967" t="s">
        <v>11</v>
      </c>
      <c r="F507" s="988">
        <v>2</v>
      </c>
      <c r="G507" s="970">
        <f>'MINI SSR 21-22'!$G$147</f>
        <v>103</v>
      </c>
      <c r="H507" s="969">
        <f t="shared" si="35"/>
        <v>206</v>
      </c>
      <c r="I507" s="964" t="s">
        <v>2312</v>
      </c>
    </row>
    <row r="508" spans="1:12" ht="13.5" hidden="1" thickTop="1">
      <c r="A508" s="896"/>
      <c r="B508" s="967" t="s">
        <v>1398</v>
      </c>
      <c r="C508" s="1002" t="s">
        <v>1397</v>
      </c>
      <c r="D508" s="967"/>
      <c r="E508" s="967" t="s">
        <v>11</v>
      </c>
      <c r="F508" s="988">
        <v>2</v>
      </c>
      <c r="G508" s="970">
        <f>'MINI SSR 21-22'!$G$149</f>
        <v>308</v>
      </c>
      <c r="H508" s="969">
        <f t="shared" si="35"/>
        <v>616</v>
      </c>
      <c r="I508" s="964" t="s">
        <v>2312</v>
      </c>
    </row>
    <row r="509" spans="1:12" ht="13.5" hidden="1" thickTop="1">
      <c r="A509" s="896"/>
      <c r="B509" s="967" t="s">
        <v>1400</v>
      </c>
      <c r="C509" s="1002" t="s">
        <v>1399</v>
      </c>
      <c r="D509" s="967"/>
      <c r="E509" s="967" t="s">
        <v>11</v>
      </c>
      <c r="F509" s="988">
        <v>1</v>
      </c>
      <c r="G509" s="970">
        <f>'MINI SSR 21-22'!$G$155</f>
        <v>53</v>
      </c>
      <c r="H509" s="969">
        <f t="shared" si="35"/>
        <v>53</v>
      </c>
      <c r="I509" s="964" t="s">
        <v>2312</v>
      </c>
    </row>
    <row r="510" spans="1:12" ht="13.5" hidden="1" thickTop="1">
      <c r="A510" s="896"/>
      <c r="B510" s="967" t="s">
        <v>1387</v>
      </c>
      <c r="C510" s="1002" t="s">
        <v>1386</v>
      </c>
      <c r="D510" s="967"/>
      <c r="E510" s="967" t="s">
        <v>11</v>
      </c>
      <c r="F510" s="988">
        <v>6</v>
      </c>
      <c r="G510" s="970">
        <f>'MINI SSR 21-22'!$G$152</f>
        <v>35</v>
      </c>
      <c r="H510" s="969">
        <f t="shared" si="35"/>
        <v>210</v>
      </c>
      <c r="I510" s="964" t="s">
        <v>2312</v>
      </c>
    </row>
    <row r="511" spans="1:12" ht="13.5" hidden="1" thickTop="1">
      <c r="A511" s="967"/>
      <c r="B511" s="967"/>
      <c r="C511" s="1004" t="s">
        <v>68</v>
      </c>
      <c r="D511" s="967"/>
      <c r="E511" s="967"/>
      <c r="F511" s="970"/>
      <c r="G511" s="974"/>
      <c r="H511" s="969"/>
      <c r="I511" s="964" t="s">
        <v>2312</v>
      </c>
    </row>
    <row r="512" spans="1:12" ht="26.25" hidden="1" thickTop="1">
      <c r="A512" s="967"/>
      <c r="B512" s="967" t="s">
        <v>1389</v>
      </c>
      <c r="C512" s="1002" t="s">
        <v>1401</v>
      </c>
      <c r="D512" s="967"/>
      <c r="E512" s="967" t="s">
        <v>102</v>
      </c>
      <c r="F512" s="970">
        <f>ROUND(1.2*2.1,2)</f>
        <v>2.52</v>
      </c>
      <c r="G512" s="970">
        <f>'MINI SSR 21-22'!C149</f>
        <v>1672</v>
      </c>
      <c r="H512" s="969">
        <f>ROUND(F512*G512*1/3,2)</f>
        <v>1404.48</v>
      </c>
      <c r="I512" s="964" t="s">
        <v>2312</v>
      </c>
      <c r="L512" s="1019"/>
    </row>
    <row r="513" spans="1:12" ht="14.25" hidden="1" thickTop="1" thickBot="1">
      <c r="A513" s="967"/>
      <c r="B513" s="967"/>
      <c r="C513" s="1004"/>
      <c r="D513" s="967"/>
      <c r="E513" s="967"/>
      <c r="F513" s="967"/>
      <c r="G513" s="967"/>
      <c r="H513" s="971">
        <f>SUM(H502:H512)</f>
        <v>11215.33</v>
      </c>
      <c r="I513" s="964" t="s">
        <v>2312</v>
      </c>
      <c r="L513" s="1020"/>
    </row>
    <row r="514" spans="1:12" ht="128.25" hidden="1" thickTop="1">
      <c r="A514" s="896">
        <v>3</v>
      </c>
      <c r="B514" s="966"/>
      <c r="C514" s="1002" t="s">
        <v>1309</v>
      </c>
      <c r="D514" s="967"/>
      <c r="E514" s="967"/>
      <c r="F514" s="967"/>
      <c r="G514" s="967"/>
      <c r="H514" s="972"/>
      <c r="I514" s="964" t="s">
        <v>2312</v>
      </c>
    </row>
    <row r="515" spans="1:12" ht="13.5" hidden="1" thickTop="1">
      <c r="A515" s="896"/>
      <c r="B515" s="966"/>
      <c r="C515" s="1004" t="s">
        <v>100</v>
      </c>
      <c r="D515" s="967"/>
      <c r="E515" s="967"/>
      <c r="F515" s="967"/>
      <c r="G515" s="967"/>
      <c r="H515" s="972"/>
      <c r="I515" s="964" t="s">
        <v>2312</v>
      </c>
    </row>
    <row r="516" spans="1:12" s="965" customFormat="1" ht="13.5" hidden="1" thickTop="1">
      <c r="A516" s="896"/>
      <c r="B516" s="966"/>
      <c r="C516" s="1004" t="s">
        <v>1</v>
      </c>
      <c r="D516" s="967"/>
      <c r="E516" s="967"/>
      <c r="F516" s="967"/>
      <c r="G516" s="967"/>
      <c r="H516" s="972"/>
      <c r="I516" s="964" t="s">
        <v>2312</v>
      </c>
      <c r="J516" s="901"/>
    </row>
    <row r="517" spans="1:12" s="965" customFormat="1" ht="13.5" hidden="1" thickTop="1">
      <c r="A517" s="896"/>
      <c r="B517" s="966"/>
      <c r="C517" s="1002" t="s">
        <v>2</v>
      </c>
      <c r="D517" s="1014">
        <v>2</v>
      </c>
      <c r="E517" s="1015">
        <v>1.9</v>
      </c>
      <c r="F517" s="1016">
        <v>0.1</v>
      </c>
      <c r="G517" s="1016">
        <v>7.4999999999999997E-2</v>
      </c>
      <c r="H517" s="1017">
        <f>ROUND(D517*E517*F517*G517,4)</f>
        <v>2.8500000000000001E-2</v>
      </c>
      <c r="I517" s="964" t="s">
        <v>2312</v>
      </c>
      <c r="J517" s="901"/>
    </row>
    <row r="518" spans="1:12" s="965" customFormat="1" ht="13.5" hidden="1" thickTop="1">
      <c r="A518" s="896"/>
      <c r="B518" s="966"/>
      <c r="C518" s="1002" t="s">
        <v>741</v>
      </c>
      <c r="D518" s="1014">
        <v>1</v>
      </c>
      <c r="E518" s="1015">
        <v>1.2</v>
      </c>
      <c r="F518" s="1016">
        <v>0.1</v>
      </c>
      <c r="G518" s="1016">
        <v>7.4999999999999997E-2</v>
      </c>
      <c r="H518" s="1017">
        <f>ROUND(D518*E518*F518*G518,4)</f>
        <v>8.9999999999999993E-3</v>
      </c>
      <c r="I518" s="964" t="s">
        <v>2312</v>
      </c>
      <c r="J518" s="901"/>
    </row>
    <row r="519" spans="1:12" s="965" customFormat="1" ht="13.5" hidden="1" thickTop="1">
      <c r="A519" s="896"/>
      <c r="B519" s="966"/>
      <c r="C519" s="1004"/>
      <c r="D519" s="967"/>
      <c r="E519" s="967"/>
      <c r="F519" s="967"/>
      <c r="G519" s="967"/>
      <c r="H519" s="1018">
        <f>SUM(H517:H518)</f>
        <v>3.7499999999999999E-2</v>
      </c>
      <c r="I519" s="964" t="s">
        <v>2312</v>
      </c>
      <c r="J519" s="901"/>
    </row>
    <row r="520" spans="1:12" s="965" customFormat="1" ht="13.5" hidden="1" thickTop="1">
      <c r="A520" s="896"/>
      <c r="B520" s="966" t="s">
        <v>1682</v>
      </c>
      <c r="C520" s="1002" t="s">
        <v>1683</v>
      </c>
      <c r="E520" s="967" t="s">
        <v>35</v>
      </c>
      <c r="F520" s="976">
        <f>H519</f>
        <v>3.7499999999999999E-2</v>
      </c>
      <c r="G520" s="970">
        <f>'MINI SSR 21-22'!$C$144</f>
        <v>48500</v>
      </c>
      <c r="H520" s="969">
        <f t="shared" ref="H520:H528" si="36">ROUND(F520*G520,2)</f>
        <v>1818.75</v>
      </c>
      <c r="I520" s="964" t="s">
        <v>2312</v>
      </c>
      <c r="J520" s="901"/>
    </row>
    <row r="521" spans="1:12" s="965" customFormat="1" ht="13.5" hidden="1" thickTop="1">
      <c r="A521" s="896"/>
      <c r="B521" s="967" t="s">
        <v>2092</v>
      </c>
      <c r="C521" s="1002" t="s">
        <v>2093</v>
      </c>
      <c r="D521" s="967"/>
      <c r="E521" s="967" t="s">
        <v>102</v>
      </c>
      <c r="F521" s="976">
        <f>ROUND(1.05*1.995,2)</f>
        <v>2.09</v>
      </c>
      <c r="G521" s="970">
        <f>'MINI SSR 21-22'!$C$148</f>
        <v>1790</v>
      </c>
      <c r="H521" s="969">
        <f t="shared" si="36"/>
        <v>3741.1</v>
      </c>
      <c r="I521" s="964" t="s">
        <v>2312</v>
      </c>
      <c r="J521" s="901"/>
    </row>
    <row r="522" spans="1:12" s="965" customFormat="1" ht="13.5" hidden="1" thickTop="1">
      <c r="A522" s="896"/>
      <c r="B522" s="967" t="s">
        <v>2094</v>
      </c>
      <c r="C522" s="1002" t="s">
        <v>2095</v>
      </c>
      <c r="D522" s="967"/>
      <c r="E522" s="967" t="s">
        <v>102</v>
      </c>
      <c r="F522" s="976">
        <f>ROUND(1.05*1.995,2)</f>
        <v>2.09</v>
      </c>
      <c r="G522" s="970">
        <f>'MINI SSR 21-22'!$C$151</f>
        <v>800</v>
      </c>
      <c r="H522" s="969">
        <f t="shared" si="36"/>
        <v>1672</v>
      </c>
      <c r="I522" s="964" t="s">
        <v>2312</v>
      </c>
      <c r="J522" s="901"/>
    </row>
    <row r="523" spans="1:12" ht="13.5" hidden="1" thickTop="1">
      <c r="A523" s="896"/>
      <c r="B523" s="967" t="s">
        <v>1394</v>
      </c>
      <c r="C523" s="1002" t="s">
        <v>1393</v>
      </c>
      <c r="D523" s="967"/>
      <c r="E523" s="967" t="s">
        <v>11</v>
      </c>
      <c r="F523" s="988">
        <v>2</v>
      </c>
      <c r="G523" s="970">
        <f>'MINI SSR 21-22'!$G$143</f>
        <v>84</v>
      </c>
      <c r="H523" s="969">
        <f t="shared" si="36"/>
        <v>168</v>
      </c>
      <c r="I523" s="964" t="s">
        <v>2312</v>
      </c>
    </row>
    <row r="524" spans="1:12" ht="13.5" hidden="1" thickTop="1">
      <c r="A524" s="896"/>
      <c r="B524" s="967" t="s">
        <v>1396</v>
      </c>
      <c r="C524" s="1002" t="s">
        <v>1395</v>
      </c>
      <c r="D524" s="967"/>
      <c r="E524" s="967" t="s">
        <v>11</v>
      </c>
      <c r="F524" s="988">
        <v>3</v>
      </c>
      <c r="G524" s="970">
        <f>'MINI SSR 21-22'!$G$146</f>
        <v>117</v>
      </c>
      <c r="H524" s="969">
        <f t="shared" si="36"/>
        <v>351</v>
      </c>
      <c r="I524" s="964" t="s">
        <v>2312</v>
      </c>
    </row>
    <row r="525" spans="1:12" ht="13.5" hidden="1" thickTop="1">
      <c r="A525" s="896"/>
      <c r="B525" s="967" t="s">
        <v>1381</v>
      </c>
      <c r="C525" s="1002" t="s">
        <v>1380</v>
      </c>
      <c r="D525" s="967"/>
      <c r="E525" s="967" t="s">
        <v>11</v>
      </c>
      <c r="F525" s="988">
        <v>2</v>
      </c>
      <c r="G525" s="970">
        <f>'MINI SSR 21-22'!$G$147</f>
        <v>103</v>
      </c>
      <c r="H525" s="969">
        <f t="shared" si="36"/>
        <v>206</v>
      </c>
      <c r="I525" s="964" t="s">
        <v>2312</v>
      </c>
    </row>
    <row r="526" spans="1:12" ht="13.5" hidden="1" thickTop="1">
      <c r="A526" s="896"/>
      <c r="B526" s="967" t="s">
        <v>1398</v>
      </c>
      <c r="C526" s="1002" t="s">
        <v>1397</v>
      </c>
      <c r="D526" s="967"/>
      <c r="E526" s="967" t="s">
        <v>11</v>
      </c>
      <c r="F526" s="988">
        <v>2</v>
      </c>
      <c r="G526" s="970">
        <f>'MINI SSR 21-22'!$G$149</f>
        <v>308</v>
      </c>
      <c r="H526" s="969">
        <f t="shared" si="36"/>
        <v>616</v>
      </c>
      <c r="I526" s="964" t="s">
        <v>2312</v>
      </c>
    </row>
    <row r="527" spans="1:12" ht="13.5" hidden="1" thickTop="1">
      <c r="A527" s="896"/>
      <c r="B527" s="967" t="s">
        <v>1400</v>
      </c>
      <c r="C527" s="1002" t="s">
        <v>1399</v>
      </c>
      <c r="D527" s="967"/>
      <c r="E527" s="967" t="s">
        <v>11</v>
      </c>
      <c r="F527" s="988">
        <v>1</v>
      </c>
      <c r="G527" s="970">
        <f>'MINI SSR 21-22'!$G$155</f>
        <v>53</v>
      </c>
      <c r="H527" s="969">
        <f t="shared" si="36"/>
        <v>53</v>
      </c>
      <c r="I527" s="964" t="s">
        <v>2312</v>
      </c>
    </row>
    <row r="528" spans="1:12" ht="13.5" hidden="1" thickTop="1">
      <c r="A528" s="896"/>
      <c r="B528" s="967" t="s">
        <v>1387</v>
      </c>
      <c r="C528" s="1002" t="s">
        <v>1386</v>
      </c>
      <c r="D528" s="967"/>
      <c r="E528" s="967" t="s">
        <v>11</v>
      </c>
      <c r="F528" s="988">
        <v>6</v>
      </c>
      <c r="G528" s="970">
        <f>'MINI SSR 21-22'!$G$152</f>
        <v>35</v>
      </c>
      <c r="H528" s="969">
        <f t="shared" si="36"/>
        <v>210</v>
      </c>
      <c r="I528" s="964" t="s">
        <v>2312</v>
      </c>
    </row>
    <row r="529" spans="1:12" ht="13.5" hidden="1" thickTop="1">
      <c r="A529" s="967"/>
      <c r="B529" s="967"/>
      <c r="C529" s="1004" t="s">
        <v>68</v>
      </c>
      <c r="D529" s="967"/>
      <c r="E529" s="967"/>
      <c r="F529" s="970"/>
      <c r="G529" s="974"/>
      <c r="H529" s="969"/>
      <c r="I529" s="964" t="s">
        <v>2312</v>
      </c>
    </row>
    <row r="530" spans="1:12" ht="13.5" hidden="1" thickTop="1">
      <c r="A530" s="967"/>
      <c r="B530" s="967" t="s">
        <v>1690</v>
      </c>
      <c r="C530" s="1002" t="s">
        <v>1388</v>
      </c>
      <c r="D530" s="901"/>
      <c r="E530" s="967" t="s">
        <v>102</v>
      </c>
      <c r="F530" s="970">
        <f>ROUND(1.2*2.1,2)</f>
        <v>2.52</v>
      </c>
      <c r="G530" s="970">
        <f>'MINI SSR 21-22'!$C$150</f>
        <v>1546</v>
      </c>
      <c r="H530" s="969">
        <f>ROUND(F530*G530*1/3,2)</f>
        <v>1298.6400000000001</v>
      </c>
      <c r="I530" s="964" t="s">
        <v>2312</v>
      </c>
      <c r="L530" s="1019"/>
    </row>
    <row r="531" spans="1:12" ht="14.25" hidden="1" thickTop="1" thickBot="1">
      <c r="A531" s="967"/>
      <c r="B531" s="967"/>
      <c r="C531" s="1004"/>
      <c r="D531" s="967"/>
      <c r="E531" s="967"/>
      <c r="F531" s="967"/>
      <c r="G531" s="967"/>
      <c r="H531" s="971">
        <f>SUM(H520:H530)</f>
        <v>10134.49</v>
      </c>
      <c r="I531" s="964" t="s">
        <v>2312</v>
      </c>
      <c r="L531" s="1020"/>
    </row>
    <row r="532" spans="1:12" ht="115.5" thickTop="1">
      <c r="A532" s="896">
        <v>2</v>
      </c>
      <c r="B532" s="966"/>
      <c r="C532" s="1002" t="s">
        <v>2404</v>
      </c>
      <c r="D532" s="967"/>
      <c r="E532" s="967"/>
      <c r="F532" s="967"/>
      <c r="G532" s="967"/>
      <c r="H532" s="972"/>
      <c r="I532" s="964" t="s">
        <v>2312</v>
      </c>
    </row>
    <row r="533" spans="1:12">
      <c r="A533" s="896"/>
      <c r="B533" s="966"/>
      <c r="C533" s="1004" t="s">
        <v>100</v>
      </c>
      <c r="D533" s="967"/>
      <c r="E533" s="967"/>
      <c r="F533" s="967"/>
      <c r="G533" s="967"/>
      <c r="H533" s="972"/>
      <c r="I533" s="964" t="s">
        <v>2312</v>
      </c>
    </row>
    <row r="534" spans="1:12" s="965" customFormat="1">
      <c r="A534" s="896"/>
      <c r="B534" s="966"/>
      <c r="C534" s="1004" t="s">
        <v>594</v>
      </c>
      <c r="D534" s="967"/>
      <c r="E534" s="967"/>
      <c r="F534" s="967"/>
      <c r="G534" s="967"/>
      <c r="H534" s="972"/>
      <c r="I534" s="964" t="s">
        <v>2312</v>
      </c>
      <c r="J534" s="901"/>
    </row>
    <row r="535" spans="1:12" s="965" customFormat="1">
      <c r="A535" s="896"/>
      <c r="B535" s="966"/>
      <c r="C535" s="1002" t="s">
        <v>2</v>
      </c>
      <c r="D535" s="1014">
        <v>2</v>
      </c>
      <c r="E535" s="1015">
        <f>2.1-0.075-0.075</f>
        <v>1.95</v>
      </c>
      <c r="F535" s="1016">
        <v>0.1</v>
      </c>
      <c r="G535" s="1016">
        <v>7.4999999999999997E-2</v>
      </c>
      <c r="H535" s="1017">
        <f>ROUND(D535*E535*F535*G535,4)</f>
        <v>2.93E-2</v>
      </c>
      <c r="I535" s="964" t="s">
        <v>2312</v>
      </c>
      <c r="J535" s="901"/>
    </row>
    <row r="536" spans="1:12" s="965" customFormat="1">
      <c r="A536" s="896"/>
      <c r="B536" s="966"/>
      <c r="C536" s="1002" t="s">
        <v>741</v>
      </c>
      <c r="D536" s="1014">
        <v>2</v>
      </c>
      <c r="E536" s="1015">
        <v>0.9</v>
      </c>
      <c r="F536" s="1016">
        <v>0.1</v>
      </c>
      <c r="G536" s="1016">
        <v>7.4999999999999997E-2</v>
      </c>
      <c r="H536" s="1017">
        <f>ROUND(D536*E536*F536*G536,4)</f>
        <v>1.35E-2</v>
      </c>
      <c r="I536" s="964" t="s">
        <v>2312</v>
      </c>
      <c r="J536" s="901"/>
    </row>
    <row r="537" spans="1:12" s="965" customFormat="1">
      <c r="A537" s="896"/>
      <c r="B537" s="966"/>
      <c r="C537" s="1004"/>
      <c r="D537" s="1014"/>
      <c r="E537" s="967"/>
      <c r="F537" s="967"/>
      <c r="G537" s="1014"/>
      <c r="H537" s="1021">
        <f>SUM(H535:H536)</f>
        <v>4.2799999999999998E-2</v>
      </c>
      <c r="I537" s="964" t="s">
        <v>2312</v>
      </c>
      <c r="J537" s="901"/>
    </row>
    <row r="538" spans="1:12" s="965" customFormat="1">
      <c r="A538" s="896"/>
      <c r="B538" s="966"/>
      <c r="C538" s="1004" t="s">
        <v>1681</v>
      </c>
      <c r="D538" s="1014">
        <v>1</v>
      </c>
      <c r="E538" s="1015">
        <f>2.1-0.075-0.075+0.02</f>
        <v>1.97</v>
      </c>
      <c r="F538" s="1016">
        <f>(0.9-0.075-0.075+0.02)/1</f>
        <v>0.77000000000000013</v>
      </c>
      <c r="G538" s="1016">
        <v>0.03</v>
      </c>
      <c r="H538" s="1017">
        <f>ROUND(D538*E538*F538*G538,4)</f>
        <v>4.5499999999999999E-2</v>
      </c>
      <c r="I538" s="964" t="s">
        <v>2312</v>
      </c>
      <c r="J538" s="901"/>
    </row>
    <row r="539" spans="1:12" s="965" customFormat="1">
      <c r="A539" s="896"/>
      <c r="B539" s="966"/>
      <c r="C539" s="1002"/>
      <c r="D539" s="1014"/>
      <c r="E539" s="1014"/>
      <c r="F539" s="1014"/>
      <c r="G539" s="1014"/>
      <c r="H539" s="1021">
        <f>SUM(H538:H538)</f>
        <v>4.5499999999999999E-2</v>
      </c>
      <c r="I539" s="964" t="s">
        <v>2312</v>
      </c>
      <c r="J539" s="901"/>
    </row>
    <row r="540" spans="1:12" s="965" customFormat="1">
      <c r="A540" s="896"/>
      <c r="B540" s="966" t="s">
        <v>1373</v>
      </c>
      <c r="C540" s="1002" t="s">
        <v>1372</v>
      </c>
      <c r="D540" s="967"/>
      <c r="E540" s="967" t="s">
        <v>35</v>
      </c>
      <c r="F540" s="976">
        <f>H537</f>
        <v>4.2799999999999998E-2</v>
      </c>
      <c r="G540" s="970">
        <f>'MINI SSR 21-22'!C142</f>
        <v>74500</v>
      </c>
      <c r="H540" s="969">
        <f t="shared" ref="H540:H547" si="37">ROUND(F540*G540,2)</f>
        <v>3188.6</v>
      </c>
      <c r="I540" s="964" t="s">
        <v>2312</v>
      </c>
      <c r="J540" s="901"/>
    </row>
    <row r="541" spans="1:12" s="965" customFormat="1">
      <c r="A541" s="896"/>
      <c r="B541" s="966" t="s">
        <v>1375</v>
      </c>
      <c r="C541" s="1002" t="s">
        <v>1374</v>
      </c>
      <c r="D541" s="967"/>
      <c r="E541" s="967" t="s">
        <v>35</v>
      </c>
      <c r="F541" s="976">
        <f>H539</f>
        <v>4.5499999999999999E-2</v>
      </c>
      <c r="G541" s="970">
        <f>'MINI SSR 21-22'!$C$143</f>
        <v>149000</v>
      </c>
      <c r="H541" s="969">
        <f t="shared" si="37"/>
        <v>6779.5</v>
      </c>
      <c r="I541" s="964" t="s">
        <v>2312</v>
      </c>
      <c r="J541" s="901"/>
    </row>
    <row r="542" spans="1:12" s="965" customFormat="1">
      <c r="A542" s="896"/>
      <c r="B542" s="967" t="s">
        <v>1394</v>
      </c>
      <c r="C542" s="1002" t="s">
        <v>1393</v>
      </c>
      <c r="D542" s="967"/>
      <c r="E542" s="967" t="s">
        <v>11</v>
      </c>
      <c r="F542" s="988">
        <v>2</v>
      </c>
      <c r="G542" s="970">
        <f>'MINI SSR 21-22'!$G$143</f>
        <v>84</v>
      </c>
      <c r="H542" s="969">
        <f t="shared" si="37"/>
        <v>168</v>
      </c>
      <c r="I542" s="964" t="s">
        <v>2312</v>
      </c>
      <c r="J542" s="901"/>
    </row>
    <row r="543" spans="1:12" s="965" customFormat="1">
      <c r="A543" s="896"/>
      <c r="B543" s="967" t="s">
        <v>1396</v>
      </c>
      <c r="C543" s="1002" t="s">
        <v>1395</v>
      </c>
      <c r="D543" s="967"/>
      <c r="E543" s="967" t="s">
        <v>11</v>
      </c>
      <c r="F543" s="988">
        <v>6</v>
      </c>
      <c r="G543" s="970">
        <f>'MINI SSR 21-22'!$G$146</f>
        <v>117</v>
      </c>
      <c r="H543" s="969">
        <f t="shared" si="37"/>
        <v>702</v>
      </c>
      <c r="I543" s="964" t="s">
        <v>2312</v>
      </c>
      <c r="J543" s="901"/>
    </row>
    <row r="544" spans="1:12" s="965" customFormat="1">
      <c r="A544" s="896"/>
      <c r="B544" s="966" t="s">
        <v>1381</v>
      </c>
      <c r="C544" s="1002" t="s">
        <v>1380</v>
      </c>
      <c r="D544" s="967"/>
      <c r="E544" s="967" t="s">
        <v>11</v>
      </c>
      <c r="F544" s="988"/>
      <c r="G544" s="970">
        <f t="shared" ref="G544:G547" si="38">G489</f>
        <v>103</v>
      </c>
      <c r="H544" s="969">
        <f t="shared" si="37"/>
        <v>0</v>
      </c>
      <c r="I544" s="964" t="s">
        <v>2312</v>
      </c>
      <c r="J544" s="901"/>
    </row>
    <row r="545" spans="1:10" s="965" customFormat="1">
      <c r="A545" s="896"/>
      <c r="B545" s="967" t="s">
        <v>1398</v>
      </c>
      <c r="C545" s="1002" t="s">
        <v>1397</v>
      </c>
      <c r="D545" s="967"/>
      <c r="E545" s="967" t="s">
        <v>11</v>
      </c>
      <c r="F545" s="988">
        <v>2</v>
      </c>
      <c r="G545" s="970">
        <f>'MINI SSR 21-22'!$G$149</f>
        <v>308</v>
      </c>
      <c r="H545" s="969">
        <f t="shared" si="37"/>
        <v>616</v>
      </c>
      <c r="I545" s="964" t="s">
        <v>2312</v>
      </c>
      <c r="J545" s="901"/>
    </row>
    <row r="546" spans="1:10">
      <c r="A546" s="896"/>
      <c r="B546" s="967" t="s">
        <v>1400</v>
      </c>
      <c r="C546" s="1002" t="s">
        <v>1399</v>
      </c>
      <c r="D546" s="967"/>
      <c r="E546" s="967" t="s">
        <v>11</v>
      </c>
      <c r="F546" s="988">
        <v>1</v>
      </c>
      <c r="G546" s="970">
        <f>'MINI SSR 21-22'!$G$155</f>
        <v>53</v>
      </c>
      <c r="H546" s="969">
        <f t="shared" si="37"/>
        <v>53</v>
      </c>
      <c r="I546" s="964" t="s">
        <v>2312</v>
      </c>
    </row>
    <row r="547" spans="1:10">
      <c r="A547" s="896"/>
      <c r="B547" s="966" t="s">
        <v>1387</v>
      </c>
      <c r="C547" s="1002" t="s">
        <v>1386</v>
      </c>
      <c r="D547" s="967"/>
      <c r="E547" s="967" t="s">
        <v>11</v>
      </c>
      <c r="F547" s="988">
        <v>6</v>
      </c>
      <c r="G547" s="970">
        <f t="shared" si="38"/>
        <v>35</v>
      </c>
      <c r="H547" s="969">
        <f t="shared" si="37"/>
        <v>210</v>
      </c>
      <c r="I547" s="964" t="s">
        <v>2312</v>
      </c>
    </row>
    <row r="548" spans="1:10">
      <c r="A548" s="896"/>
      <c r="B548" s="966"/>
      <c r="C548" s="1004" t="s">
        <v>68</v>
      </c>
      <c r="D548" s="901"/>
      <c r="E548" s="967"/>
      <c r="F548" s="970"/>
      <c r="G548" s="970"/>
      <c r="H548" s="969"/>
      <c r="I548" s="964" t="s">
        <v>2312</v>
      </c>
    </row>
    <row r="549" spans="1:10">
      <c r="A549" s="896"/>
      <c r="B549" s="967" t="s">
        <v>1389</v>
      </c>
      <c r="C549" s="1002" t="s">
        <v>1388</v>
      </c>
      <c r="D549" s="901"/>
      <c r="E549" s="967" t="s">
        <v>102</v>
      </c>
      <c r="F549" s="970">
        <f>ROUND(0.9*2.1,2)</f>
        <v>1.89</v>
      </c>
      <c r="G549" s="970">
        <f>G494</f>
        <v>1672</v>
      </c>
      <c r="H549" s="969">
        <f>ROUND(F549*G549*1/3,2)</f>
        <v>1053.3599999999999</v>
      </c>
      <c r="I549" s="964" t="s">
        <v>2312</v>
      </c>
    </row>
    <row r="550" spans="1:10">
      <c r="A550" s="896"/>
      <c r="B550" s="966"/>
      <c r="C550" s="1004"/>
      <c r="D550" s="967"/>
      <c r="E550" s="967"/>
      <c r="F550" s="967"/>
      <c r="G550" s="967"/>
      <c r="H550" s="971">
        <f>SUM(H540:H549)</f>
        <v>12770.460000000001</v>
      </c>
      <c r="I550" s="964" t="s">
        <v>2312</v>
      </c>
    </row>
    <row r="551" spans="1:10" ht="114.75">
      <c r="A551" s="896">
        <v>3</v>
      </c>
      <c r="B551" s="966"/>
      <c r="C551" s="1002" t="s">
        <v>3682</v>
      </c>
      <c r="D551" s="967"/>
      <c r="E551" s="967"/>
      <c r="F551" s="967"/>
      <c r="G551" s="967"/>
      <c r="H551" s="972"/>
      <c r="I551" s="964" t="s">
        <v>2312</v>
      </c>
    </row>
    <row r="552" spans="1:10">
      <c r="A552" s="896"/>
      <c r="B552" s="966"/>
      <c r="C552" s="1004" t="s">
        <v>100</v>
      </c>
      <c r="D552" s="967"/>
      <c r="E552" s="967"/>
      <c r="F552" s="967"/>
      <c r="G552" s="967"/>
      <c r="H552" s="972"/>
      <c r="I552" s="964" t="s">
        <v>2312</v>
      </c>
    </row>
    <row r="553" spans="1:10" s="965" customFormat="1">
      <c r="A553" s="896"/>
      <c r="B553" s="966"/>
      <c r="C553" s="1004" t="s">
        <v>594</v>
      </c>
      <c r="D553" s="967"/>
      <c r="E553" s="967"/>
      <c r="F553" s="967"/>
      <c r="G553" s="967"/>
      <c r="H553" s="972"/>
      <c r="I553" s="964" t="s">
        <v>2312</v>
      </c>
      <c r="J553" s="901"/>
    </row>
    <row r="554" spans="1:10" s="965" customFormat="1">
      <c r="A554" s="896"/>
      <c r="B554" s="966"/>
      <c r="C554" s="1002" t="s">
        <v>2</v>
      </c>
      <c r="D554" s="1014">
        <v>2</v>
      </c>
      <c r="E554" s="1015">
        <f>2.1-0.075-0.075</f>
        <v>1.95</v>
      </c>
      <c r="F554" s="1016">
        <v>0.1</v>
      </c>
      <c r="G554" s="1016">
        <v>7.4999999999999997E-2</v>
      </c>
      <c r="H554" s="1017">
        <f>ROUND(D554*E554*F554*G554,4)</f>
        <v>2.93E-2</v>
      </c>
      <c r="I554" s="964" t="s">
        <v>2312</v>
      </c>
      <c r="J554" s="901"/>
    </row>
    <row r="555" spans="1:10" s="965" customFormat="1">
      <c r="A555" s="896"/>
      <c r="B555" s="966"/>
      <c r="C555" s="1002" t="s">
        <v>741</v>
      </c>
      <c r="D555" s="1014">
        <v>2</v>
      </c>
      <c r="E555" s="1015">
        <v>0.75</v>
      </c>
      <c r="F555" s="1016">
        <v>0.1</v>
      </c>
      <c r="G555" s="1016">
        <v>7.4999999999999997E-2</v>
      </c>
      <c r="H555" s="1017">
        <f>ROUND(D555*E555*F555*G555,4)</f>
        <v>1.1299999999999999E-2</v>
      </c>
      <c r="I555" s="964" t="s">
        <v>2312</v>
      </c>
      <c r="J555" s="901"/>
    </row>
    <row r="556" spans="1:10" s="965" customFormat="1">
      <c r="A556" s="896"/>
      <c r="B556" s="966"/>
      <c r="C556" s="1004"/>
      <c r="D556" s="1014"/>
      <c r="E556" s="967"/>
      <c r="F556" s="967"/>
      <c r="G556" s="1014"/>
      <c r="H556" s="1021">
        <f>SUM(H554:H555)</f>
        <v>4.0599999999999997E-2</v>
      </c>
      <c r="I556" s="964" t="s">
        <v>2312</v>
      </c>
      <c r="J556" s="901"/>
    </row>
    <row r="557" spans="1:10" s="965" customFormat="1">
      <c r="A557" s="896"/>
      <c r="B557" s="966"/>
      <c r="C557" s="1004" t="s">
        <v>320</v>
      </c>
      <c r="D557" s="1014">
        <v>1</v>
      </c>
      <c r="E557" s="1015">
        <f>2.1-0.075-0.075+0.02</f>
        <v>1.97</v>
      </c>
      <c r="F557" s="1016">
        <f>(0.75-0.075-0.075+0.02)</f>
        <v>0.62000000000000011</v>
      </c>
      <c r="G557" s="1016">
        <v>0.03</v>
      </c>
      <c r="H557" s="1017">
        <f>ROUND(D557*E557*F557*G557,4)</f>
        <v>3.6600000000000001E-2</v>
      </c>
      <c r="I557" s="964" t="s">
        <v>2312</v>
      </c>
      <c r="J557" s="901"/>
    </row>
    <row r="558" spans="1:10" s="965" customFormat="1">
      <c r="A558" s="896"/>
      <c r="B558" s="966"/>
      <c r="C558" s="1002"/>
      <c r="D558" s="1014"/>
      <c r="E558" s="1014"/>
      <c r="F558" s="1014"/>
      <c r="G558" s="1014"/>
      <c r="H558" s="1021">
        <f>SUM(H557:H557)</f>
        <v>3.6600000000000001E-2</v>
      </c>
      <c r="I558" s="964" t="s">
        <v>2312</v>
      </c>
      <c r="J558" s="901"/>
    </row>
    <row r="559" spans="1:10" s="965" customFormat="1">
      <c r="A559" s="896"/>
      <c r="B559" s="966" t="s">
        <v>1373</v>
      </c>
      <c r="C559" s="1002" t="s">
        <v>1372</v>
      </c>
      <c r="E559" s="967" t="s">
        <v>35</v>
      </c>
      <c r="F559" s="976">
        <f>H556</f>
        <v>4.0599999999999997E-2</v>
      </c>
      <c r="G559" s="970">
        <f t="shared" ref="G559:G566" si="39">G540</f>
        <v>74500</v>
      </c>
      <c r="H559" s="969">
        <f t="shared" ref="H559:H566" si="40">ROUND(F559*G559,2)</f>
        <v>3024.7</v>
      </c>
      <c r="I559" s="964" t="s">
        <v>2312</v>
      </c>
      <c r="J559" s="901"/>
    </row>
    <row r="560" spans="1:10" s="965" customFormat="1">
      <c r="A560" s="896"/>
      <c r="B560" s="966" t="s">
        <v>1375</v>
      </c>
      <c r="C560" s="1002" t="s">
        <v>1374</v>
      </c>
      <c r="D560" s="967"/>
      <c r="E560" s="967" t="s">
        <v>35</v>
      </c>
      <c r="F560" s="976">
        <f>H558</f>
        <v>3.6600000000000001E-2</v>
      </c>
      <c r="G560" s="970">
        <f>'MINI SSR 21-22'!$C$143</f>
        <v>149000</v>
      </c>
      <c r="H560" s="969">
        <f t="shared" si="40"/>
        <v>5453.4</v>
      </c>
      <c r="I560" s="964" t="s">
        <v>2312</v>
      </c>
      <c r="J560" s="901"/>
    </row>
    <row r="561" spans="1:10" s="965" customFormat="1">
      <c r="A561" s="896"/>
      <c r="B561" s="967" t="s">
        <v>1394</v>
      </c>
      <c r="C561" s="1002" t="s">
        <v>1393</v>
      </c>
      <c r="D561" s="967"/>
      <c r="E561" s="967" t="s">
        <v>11</v>
      </c>
      <c r="F561" s="988">
        <v>2</v>
      </c>
      <c r="G561" s="970">
        <f>'MINI SSR 21-22'!$G$143</f>
        <v>84</v>
      </c>
      <c r="H561" s="969">
        <f t="shared" si="40"/>
        <v>168</v>
      </c>
      <c r="I561" s="964" t="s">
        <v>2312</v>
      </c>
      <c r="J561" s="901"/>
    </row>
    <row r="562" spans="1:10" s="965" customFormat="1">
      <c r="A562" s="896"/>
      <c r="B562" s="967" t="s">
        <v>1396</v>
      </c>
      <c r="C562" s="1002" t="s">
        <v>1395</v>
      </c>
      <c r="D562" s="967"/>
      <c r="E562" s="967" t="s">
        <v>11</v>
      </c>
      <c r="F562" s="988">
        <v>3</v>
      </c>
      <c r="G562" s="970">
        <f>'MINI SSR 21-22'!$G$146</f>
        <v>117</v>
      </c>
      <c r="H562" s="969">
        <f t="shared" si="40"/>
        <v>351</v>
      </c>
      <c r="I562" s="964" t="s">
        <v>2312</v>
      </c>
      <c r="J562" s="901"/>
    </row>
    <row r="563" spans="1:10" s="965" customFormat="1">
      <c r="A563" s="896"/>
      <c r="B563" s="966" t="s">
        <v>1381</v>
      </c>
      <c r="C563" s="1002" t="s">
        <v>1380</v>
      </c>
      <c r="D563" s="967"/>
      <c r="E563" s="967" t="s">
        <v>11</v>
      </c>
      <c r="F563" s="988"/>
      <c r="G563" s="970">
        <f t="shared" ref="G563" si="41">G508</f>
        <v>308</v>
      </c>
      <c r="H563" s="969">
        <f t="shared" si="40"/>
        <v>0</v>
      </c>
      <c r="I563" s="964" t="s">
        <v>2312</v>
      </c>
      <c r="J563" s="901"/>
    </row>
    <row r="564" spans="1:10" s="965" customFormat="1">
      <c r="A564" s="896"/>
      <c r="B564" s="967" t="s">
        <v>1398</v>
      </c>
      <c r="C564" s="1002" t="s">
        <v>1397</v>
      </c>
      <c r="D564" s="967"/>
      <c r="E564" s="967" t="s">
        <v>11</v>
      </c>
      <c r="F564" s="988">
        <v>2</v>
      </c>
      <c r="G564" s="970">
        <f>'MINI SSR 21-22'!$G$149</f>
        <v>308</v>
      </c>
      <c r="H564" s="969">
        <f t="shared" si="40"/>
        <v>616</v>
      </c>
      <c r="I564" s="964" t="s">
        <v>2312</v>
      </c>
      <c r="J564" s="901"/>
    </row>
    <row r="565" spans="1:10">
      <c r="A565" s="896"/>
      <c r="B565" s="967" t="s">
        <v>1400</v>
      </c>
      <c r="C565" s="1002" t="s">
        <v>1399</v>
      </c>
      <c r="D565" s="967"/>
      <c r="E565" s="967" t="s">
        <v>11</v>
      </c>
      <c r="F565" s="988">
        <v>1</v>
      </c>
      <c r="G565" s="970">
        <f>'MINI SSR 21-22'!$G$155</f>
        <v>53</v>
      </c>
      <c r="H565" s="969">
        <f t="shared" si="40"/>
        <v>53</v>
      </c>
      <c r="I565" s="964" t="s">
        <v>2312</v>
      </c>
    </row>
    <row r="566" spans="1:10">
      <c r="A566" s="896"/>
      <c r="B566" s="966" t="s">
        <v>1387</v>
      </c>
      <c r="C566" s="1002" t="s">
        <v>1386</v>
      </c>
      <c r="D566" s="967"/>
      <c r="E566" s="967" t="s">
        <v>11</v>
      </c>
      <c r="F566" s="988">
        <v>6</v>
      </c>
      <c r="G566" s="970">
        <f t="shared" si="39"/>
        <v>35</v>
      </c>
      <c r="H566" s="969">
        <f t="shared" si="40"/>
        <v>210</v>
      </c>
      <c r="I566" s="964" t="s">
        <v>2312</v>
      </c>
    </row>
    <row r="567" spans="1:10">
      <c r="A567" s="896"/>
      <c r="B567" s="966"/>
      <c r="C567" s="1004" t="s">
        <v>68</v>
      </c>
      <c r="D567" s="901"/>
      <c r="E567" s="967"/>
      <c r="F567" s="970"/>
      <c r="G567" s="970"/>
      <c r="H567" s="969"/>
      <c r="I567" s="964" t="s">
        <v>2312</v>
      </c>
    </row>
    <row r="568" spans="1:10">
      <c r="A568" s="896"/>
      <c r="B568" s="967" t="s">
        <v>1389</v>
      </c>
      <c r="C568" s="1002" t="s">
        <v>1388</v>
      </c>
      <c r="D568" s="901"/>
      <c r="E568" s="967" t="s">
        <v>102</v>
      </c>
      <c r="F568" s="970">
        <f>ROUND(0.75*2.1,2)</f>
        <v>1.58</v>
      </c>
      <c r="G568" s="970">
        <f>G549</f>
        <v>1672</v>
      </c>
      <c r="H568" s="969">
        <f>ROUND(F568*G568*1/3,2)</f>
        <v>880.59</v>
      </c>
      <c r="I568" s="964" t="s">
        <v>2312</v>
      </c>
    </row>
    <row r="569" spans="1:10">
      <c r="A569" s="896"/>
      <c r="B569" s="966"/>
      <c r="C569" s="1004"/>
      <c r="D569" s="967"/>
      <c r="E569" s="967"/>
      <c r="F569" s="967"/>
      <c r="G569" s="967"/>
      <c r="H569" s="971">
        <f>SUM(H559:H568)</f>
        <v>10756.689999999999</v>
      </c>
      <c r="I569" s="964" t="s">
        <v>2312</v>
      </c>
    </row>
    <row r="570" spans="1:10" ht="114.75" hidden="1">
      <c r="A570" s="896">
        <v>2</v>
      </c>
      <c r="B570" s="966"/>
      <c r="C570" s="1002" t="s">
        <v>1680</v>
      </c>
      <c r="D570" s="967"/>
      <c r="E570" s="967"/>
      <c r="F570" s="967"/>
      <c r="G570" s="967"/>
      <c r="H570" s="972"/>
      <c r="I570" s="964" t="s">
        <v>2312</v>
      </c>
    </row>
    <row r="571" spans="1:10" hidden="1">
      <c r="A571" s="896"/>
      <c r="B571" s="966"/>
      <c r="C571" s="1004" t="s">
        <v>100</v>
      </c>
      <c r="D571" s="967"/>
      <c r="E571" s="967"/>
      <c r="F571" s="967"/>
      <c r="G571" s="967"/>
      <c r="H571" s="972"/>
      <c r="I571" s="964" t="s">
        <v>2312</v>
      </c>
    </row>
    <row r="572" spans="1:10" s="965" customFormat="1" hidden="1">
      <c r="A572" s="896"/>
      <c r="B572" s="966"/>
      <c r="C572" s="1004" t="s">
        <v>1</v>
      </c>
      <c r="D572" s="967"/>
      <c r="E572" s="967"/>
      <c r="F572" s="967"/>
      <c r="G572" s="967"/>
      <c r="H572" s="972"/>
      <c r="I572" s="964" t="s">
        <v>2312</v>
      </c>
      <c r="J572" s="901"/>
    </row>
    <row r="573" spans="1:10" s="965" customFormat="1" hidden="1">
      <c r="A573" s="896"/>
      <c r="B573" s="966"/>
      <c r="C573" s="1002" t="s">
        <v>2</v>
      </c>
      <c r="D573" s="1014">
        <v>2</v>
      </c>
      <c r="E573" s="1015">
        <v>1.9</v>
      </c>
      <c r="F573" s="1016">
        <v>0.1</v>
      </c>
      <c r="G573" s="1016">
        <v>7.4999999999999997E-2</v>
      </c>
      <c r="H573" s="1017">
        <f>ROUND(D573*E573*F573*G573,4)</f>
        <v>2.8500000000000001E-2</v>
      </c>
      <c r="I573" s="964" t="s">
        <v>2312</v>
      </c>
      <c r="J573" s="901"/>
    </row>
    <row r="574" spans="1:10" s="965" customFormat="1" hidden="1">
      <c r="A574" s="896"/>
      <c r="B574" s="966"/>
      <c r="C574" s="1002" t="s">
        <v>741</v>
      </c>
      <c r="D574" s="1014">
        <v>1</v>
      </c>
      <c r="E574" s="1015">
        <v>0.9</v>
      </c>
      <c r="F574" s="1016">
        <v>0.1</v>
      </c>
      <c r="G574" s="1016">
        <v>7.4999999999999997E-2</v>
      </c>
      <c r="H574" s="1017">
        <f>ROUND(D574*E574*F574*G574,4)</f>
        <v>6.7999999999999996E-3</v>
      </c>
      <c r="I574" s="964" t="s">
        <v>2312</v>
      </c>
      <c r="J574" s="901"/>
    </row>
    <row r="575" spans="1:10" s="965" customFormat="1" hidden="1">
      <c r="A575" s="896"/>
      <c r="B575" s="966"/>
      <c r="C575" s="1004"/>
      <c r="D575" s="1014"/>
      <c r="E575" s="1014"/>
      <c r="F575" s="1014"/>
      <c r="G575" s="1014"/>
      <c r="H575" s="1021">
        <f>SUM(H573:H574)</f>
        <v>3.5299999999999998E-2</v>
      </c>
      <c r="I575" s="964" t="s">
        <v>2312</v>
      </c>
      <c r="J575" s="901"/>
    </row>
    <row r="576" spans="1:10" s="965" customFormat="1" hidden="1">
      <c r="A576" s="896"/>
      <c r="B576" s="966"/>
      <c r="C576" s="1004" t="s">
        <v>1681</v>
      </c>
      <c r="D576" s="1014">
        <v>2</v>
      </c>
      <c r="E576" s="1015">
        <v>2.0099999999999998</v>
      </c>
      <c r="F576" s="1016">
        <v>0.4</v>
      </c>
      <c r="G576" s="1016">
        <v>0.03</v>
      </c>
      <c r="H576" s="1017">
        <f>ROUND(D576*E576*F576*G576,4)</f>
        <v>4.82E-2</v>
      </c>
      <c r="I576" s="964" t="s">
        <v>2312</v>
      </c>
      <c r="J576" s="901"/>
    </row>
    <row r="577" spans="1:10" s="965" customFormat="1" hidden="1">
      <c r="A577" s="896"/>
      <c r="B577" s="966"/>
      <c r="C577" s="1002"/>
      <c r="D577" s="1014"/>
      <c r="E577" s="1014"/>
      <c r="F577" s="1014"/>
      <c r="G577" s="1014"/>
      <c r="H577" s="1021">
        <f>SUM(H576:H576)</f>
        <v>4.82E-2</v>
      </c>
      <c r="I577" s="964" t="s">
        <v>2312</v>
      </c>
      <c r="J577" s="901"/>
    </row>
    <row r="578" spans="1:10" s="965" customFormat="1" hidden="1">
      <c r="A578" s="896"/>
      <c r="B578" s="966" t="s">
        <v>1682</v>
      </c>
      <c r="C578" s="1002" t="s">
        <v>1683</v>
      </c>
      <c r="E578" s="967" t="s">
        <v>35</v>
      </c>
      <c r="F578" s="976">
        <f>H575</f>
        <v>3.5299999999999998E-2</v>
      </c>
      <c r="G578" s="970">
        <f>'MINI SSR 21-22'!$C$144</f>
        <v>48500</v>
      </c>
      <c r="H578" s="969">
        <f t="shared" ref="H578:H585" si="42">ROUND(F578*G578,2)</f>
        <v>1712.05</v>
      </c>
      <c r="I578" s="964" t="s">
        <v>2312</v>
      </c>
      <c r="J578" s="901"/>
    </row>
    <row r="579" spans="1:10" s="965" customFormat="1" hidden="1">
      <c r="A579" s="896"/>
      <c r="B579" s="966" t="s">
        <v>1684</v>
      </c>
      <c r="C579" s="1002" t="s">
        <v>1685</v>
      </c>
      <c r="E579" s="967" t="s">
        <v>35</v>
      </c>
      <c r="F579" s="976">
        <f>H577</f>
        <v>4.82E-2</v>
      </c>
      <c r="G579" s="970">
        <f>'MINI SSR 21-22'!$C$145</f>
        <v>61000</v>
      </c>
      <c r="H579" s="969">
        <f t="shared" si="42"/>
        <v>2940.2</v>
      </c>
      <c r="I579" s="964" t="s">
        <v>2312</v>
      </c>
      <c r="J579" s="901"/>
    </row>
    <row r="580" spans="1:10" s="965" customFormat="1" hidden="1">
      <c r="A580" s="896"/>
      <c r="B580" s="966" t="s">
        <v>1394</v>
      </c>
      <c r="C580" s="1002" t="s">
        <v>1686</v>
      </c>
      <c r="D580" s="967"/>
      <c r="E580" s="967" t="s">
        <v>11</v>
      </c>
      <c r="F580" s="988">
        <v>2</v>
      </c>
      <c r="G580" s="970">
        <f>'MINI SSR 21-22'!G143</f>
        <v>84</v>
      </c>
      <c r="H580" s="969">
        <f t="shared" si="42"/>
        <v>168</v>
      </c>
      <c r="I580" s="964" t="s">
        <v>2312</v>
      </c>
      <c r="J580" s="901"/>
    </row>
    <row r="581" spans="1:10" s="965" customFormat="1" hidden="1">
      <c r="A581" s="896"/>
      <c r="B581" s="966" t="s">
        <v>1396</v>
      </c>
      <c r="C581" s="1002" t="s">
        <v>1378</v>
      </c>
      <c r="D581" s="967"/>
      <c r="E581" s="967" t="s">
        <v>11</v>
      </c>
      <c r="F581" s="988">
        <v>6</v>
      </c>
      <c r="G581" s="970">
        <f>'MINI SSR 21-22'!G146</f>
        <v>117</v>
      </c>
      <c r="H581" s="969">
        <f t="shared" si="42"/>
        <v>702</v>
      </c>
      <c r="I581" s="964" t="s">
        <v>2312</v>
      </c>
      <c r="J581" s="901"/>
    </row>
    <row r="582" spans="1:10" s="965" customFormat="1" hidden="1">
      <c r="A582" s="896"/>
      <c r="B582" s="966" t="s">
        <v>1381</v>
      </c>
      <c r="C582" s="1002" t="s">
        <v>1380</v>
      </c>
      <c r="D582" s="967"/>
      <c r="E582" s="967" t="s">
        <v>11</v>
      </c>
      <c r="F582" s="988"/>
      <c r="G582" s="970">
        <f>'MINI SSR 21-22'!G147</f>
        <v>103</v>
      </c>
      <c r="H582" s="969">
        <f t="shared" si="42"/>
        <v>0</v>
      </c>
      <c r="I582" s="964" t="s">
        <v>2312</v>
      </c>
      <c r="J582" s="901"/>
    </row>
    <row r="583" spans="1:10" s="965" customFormat="1" hidden="1">
      <c r="A583" s="896"/>
      <c r="B583" s="966" t="s">
        <v>1398</v>
      </c>
      <c r="C583" s="1002" t="s">
        <v>1687</v>
      </c>
      <c r="D583" s="967"/>
      <c r="E583" s="967" t="s">
        <v>11</v>
      </c>
      <c r="F583" s="988">
        <v>2</v>
      </c>
      <c r="G583" s="970">
        <f>'MINI SSR 21-22'!G149</f>
        <v>308</v>
      </c>
      <c r="H583" s="969">
        <f t="shared" si="42"/>
        <v>616</v>
      </c>
      <c r="I583" s="964" t="s">
        <v>2312</v>
      </c>
      <c r="J583" s="901"/>
    </row>
    <row r="584" spans="1:10" hidden="1">
      <c r="A584" s="896"/>
      <c r="B584" s="966" t="s">
        <v>1688</v>
      </c>
      <c r="C584" s="1002" t="s">
        <v>1689</v>
      </c>
      <c r="D584" s="967"/>
      <c r="E584" s="967" t="s">
        <v>11</v>
      </c>
      <c r="F584" s="988">
        <v>1</v>
      </c>
      <c r="G584" s="970">
        <f>'MINI SSR 21-22'!G155</f>
        <v>53</v>
      </c>
      <c r="H584" s="969">
        <f t="shared" si="42"/>
        <v>53</v>
      </c>
      <c r="I584" s="964" t="s">
        <v>2312</v>
      </c>
    </row>
    <row r="585" spans="1:10" hidden="1">
      <c r="A585" s="896"/>
      <c r="B585" s="966" t="s">
        <v>1387</v>
      </c>
      <c r="C585" s="1002" t="s">
        <v>1386</v>
      </c>
      <c r="D585" s="967"/>
      <c r="E585" s="967" t="s">
        <v>11</v>
      </c>
      <c r="F585" s="988">
        <v>6</v>
      </c>
      <c r="G585" s="970">
        <f>'MINI SSR 21-22'!G152</f>
        <v>35</v>
      </c>
      <c r="H585" s="969">
        <f t="shared" si="42"/>
        <v>210</v>
      </c>
      <c r="I585" s="964" t="s">
        <v>2312</v>
      </c>
    </row>
    <row r="586" spans="1:10" hidden="1">
      <c r="A586" s="896"/>
      <c r="B586" s="966"/>
      <c r="C586" s="1004" t="s">
        <v>68</v>
      </c>
      <c r="D586" s="901"/>
      <c r="E586" s="967"/>
      <c r="F586" s="970"/>
      <c r="G586" s="974"/>
      <c r="H586" s="969"/>
      <c r="I586" s="964" t="s">
        <v>2312</v>
      </c>
    </row>
    <row r="587" spans="1:10" hidden="1">
      <c r="A587" s="896"/>
      <c r="B587" s="967" t="s">
        <v>1690</v>
      </c>
      <c r="C587" s="1002" t="s">
        <v>1388</v>
      </c>
      <c r="D587" s="901"/>
      <c r="E587" s="967" t="s">
        <v>102</v>
      </c>
      <c r="F587" s="970">
        <f>ROUND(0.9*2.1,2)</f>
        <v>1.89</v>
      </c>
      <c r="G587" s="970">
        <f>'MINI SSR 21-22'!$C$150</f>
        <v>1546</v>
      </c>
      <c r="H587" s="969">
        <f>ROUND(F587*G587*1/3,2)</f>
        <v>973.98</v>
      </c>
      <c r="I587" s="964" t="s">
        <v>2312</v>
      </c>
    </row>
    <row r="588" spans="1:10" hidden="1">
      <c r="A588" s="896"/>
      <c r="B588" s="966"/>
      <c r="C588" s="1004"/>
      <c r="D588" s="967"/>
      <c r="E588" s="967"/>
      <c r="F588" s="967"/>
      <c r="G588" s="967"/>
      <c r="H588" s="971">
        <f>SUM(H578:H587)</f>
        <v>7375.23</v>
      </c>
      <c r="I588" s="964" t="s">
        <v>2312</v>
      </c>
    </row>
    <row r="589" spans="1:10" ht="114.75" hidden="1">
      <c r="A589" s="896">
        <v>3</v>
      </c>
      <c r="B589" s="966"/>
      <c r="C589" s="1002" t="s">
        <v>1691</v>
      </c>
      <c r="D589" s="967"/>
      <c r="E589" s="967"/>
      <c r="F589" s="967"/>
      <c r="G589" s="967"/>
      <c r="H589" s="972"/>
      <c r="I589" s="964" t="s">
        <v>2312</v>
      </c>
    </row>
    <row r="590" spans="1:10" hidden="1">
      <c r="A590" s="896"/>
      <c r="B590" s="966"/>
      <c r="C590" s="1004" t="s">
        <v>100</v>
      </c>
      <c r="D590" s="967"/>
      <c r="E590" s="967"/>
      <c r="F590" s="967"/>
      <c r="G590" s="967"/>
      <c r="H590" s="972"/>
      <c r="I590" s="964" t="s">
        <v>2312</v>
      </c>
    </row>
    <row r="591" spans="1:10" s="965" customFormat="1" hidden="1">
      <c r="A591" s="896"/>
      <c r="B591" s="966"/>
      <c r="C591" s="1004" t="s">
        <v>1</v>
      </c>
      <c r="D591" s="967"/>
      <c r="E591" s="967"/>
      <c r="F591" s="967"/>
      <c r="G591" s="967"/>
      <c r="H591" s="972"/>
      <c r="I591" s="964" t="s">
        <v>2312</v>
      </c>
      <c r="J591" s="901"/>
    </row>
    <row r="592" spans="1:10" s="965" customFormat="1" hidden="1">
      <c r="A592" s="896"/>
      <c r="B592" s="966"/>
      <c r="C592" s="1002" t="s">
        <v>2</v>
      </c>
      <c r="D592" s="1014">
        <v>2</v>
      </c>
      <c r="E592" s="1015">
        <v>1.9</v>
      </c>
      <c r="F592" s="1016">
        <v>0.1</v>
      </c>
      <c r="G592" s="1016">
        <v>7.4999999999999997E-2</v>
      </c>
      <c r="H592" s="1017">
        <f>ROUND(D592*E592*F592*G592,4)</f>
        <v>2.8500000000000001E-2</v>
      </c>
      <c r="I592" s="964" t="s">
        <v>2312</v>
      </c>
      <c r="J592" s="901"/>
    </row>
    <row r="593" spans="1:10" s="965" customFormat="1" hidden="1">
      <c r="A593" s="896"/>
      <c r="B593" s="966"/>
      <c r="C593" s="1002" t="s">
        <v>741</v>
      </c>
      <c r="D593" s="1014">
        <v>1</v>
      </c>
      <c r="E593" s="1015">
        <v>0.8</v>
      </c>
      <c r="F593" s="1016">
        <v>0.1</v>
      </c>
      <c r="G593" s="1016">
        <v>7.4999999999999997E-2</v>
      </c>
      <c r="H593" s="1017">
        <f>ROUND(D593*E593*F593*G593,4)</f>
        <v>6.0000000000000001E-3</v>
      </c>
      <c r="I593" s="964" t="s">
        <v>2312</v>
      </c>
      <c r="J593" s="901"/>
    </row>
    <row r="594" spans="1:10" s="965" customFormat="1" hidden="1">
      <c r="A594" s="896"/>
      <c r="B594" s="966"/>
      <c r="C594" s="1004"/>
      <c r="D594" s="1014"/>
      <c r="E594" s="1014"/>
      <c r="F594" s="1014"/>
      <c r="G594" s="1014"/>
      <c r="H594" s="1021">
        <f>SUM(H592:H593)</f>
        <v>3.4500000000000003E-2</v>
      </c>
      <c r="I594" s="964" t="s">
        <v>2312</v>
      </c>
      <c r="J594" s="901"/>
    </row>
    <row r="595" spans="1:10" s="965" customFormat="1" hidden="1">
      <c r="A595" s="896"/>
      <c r="B595" s="966"/>
      <c r="C595" s="1004" t="s">
        <v>1681</v>
      </c>
      <c r="D595" s="1014">
        <v>1</v>
      </c>
      <c r="E595" s="1015">
        <v>2.0099999999999998</v>
      </c>
      <c r="F595" s="1016">
        <v>0.72</v>
      </c>
      <c r="G595" s="1016">
        <v>0.03</v>
      </c>
      <c r="H595" s="1017">
        <f>ROUND(D595*E595*F595*G595,4)</f>
        <v>4.3400000000000001E-2</v>
      </c>
      <c r="I595" s="964" t="s">
        <v>2312</v>
      </c>
      <c r="J595" s="901"/>
    </row>
    <row r="596" spans="1:10" s="965" customFormat="1" hidden="1">
      <c r="A596" s="896"/>
      <c r="B596" s="966"/>
      <c r="C596" s="1002"/>
      <c r="D596" s="1014"/>
      <c r="E596" s="1014"/>
      <c r="F596" s="1014"/>
      <c r="G596" s="1014"/>
      <c r="H596" s="1021">
        <f>SUM(H595:H595)</f>
        <v>4.3400000000000001E-2</v>
      </c>
      <c r="I596" s="964" t="s">
        <v>2312</v>
      </c>
      <c r="J596" s="901"/>
    </row>
    <row r="597" spans="1:10" s="965" customFormat="1" hidden="1">
      <c r="A597" s="896"/>
      <c r="B597" s="966" t="s">
        <v>1682</v>
      </c>
      <c r="C597" s="1002" t="s">
        <v>1683</v>
      </c>
      <c r="E597" s="967" t="s">
        <v>35</v>
      </c>
      <c r="F597" s="976">
        <f>H594</f>
        <v>3.4500000000000003E-2</v>
      </c>
      <c r="G597" s="970">
        <f>'MINI SSR 21-22'!C144</f>
        <v>48500</v>
      </c>
      <c r="H597" s="969">
        <f t="shared" ref="H597:H604" si="43">ROUND(F597*G597,2)</f>
        <v>1673.25</v>
      </c>
      <c r="I597" s="964" t="s">
        <v>2312</v>
      </c>
      <c r="J597" s="901"/>
    </row>
    <row r="598" spans="1:10" s="965" customFormat="1" hidden="1">
      <c r="A598" s="896"/>
      <c r="B598" s="966" t="s">
        <v>1684</v>
      </c>
      <c r="C598" s="1002" t="s">
        <v>1685</v>
      </c>
      <c r="E598" s="967" t="s">
        <v>35</v>
      </c>
      <c r="F598" s="976">
        <f>H596</f>
        <v>4.3400000000000001E-2</v>
      </c>
      <c r="G598" s="970">
        <f>'MINI SSR 21-22'!C145</f>
        <v>61000</v>
      </c>
      <c r="H598" s="969">
        <f t="shared" si="43"/>
        <v>2647.4</v>
      </c>
      <c r="I598" s="964" t="s">
        <v>2312</v>
      </c>
      <c r="J598" s="901"/>
    </row>
    <row r="599" spans="1:10" s="965" customFormat="1" hidden="1">
      <c r="A599" s="896"/>
      <c r="B599" s="966" t="s">
        <v>1394</v>
      </c>
      <c r="C599" s="1002" t="s">
        <v>1686</v>
      </c>
      <c r="D599" s="967"/>
      <c r="E599" s="967" t="s">
        <v>11</v>
      </c>
      <c r="F599" s="988">
        <v>2</v>
      </c>
      <c r="G599" s="970">
        <f t="shared" ref="G599:G604" si="44">G580</f>
        <v>84</v>
      </c>
      <c r="H599" s="969">
        <f t="shared" si="43"/>
        <v>168</v>
      </c>
      <c r="I599" s="964" t="s">
        <v>2312</v>
      </c>
      <c r="J599" s="901"/>
    </row>
    <row r="600" spans="1:10" s="965" customFormat="1" hidden="1">
      <c r="A600" s="896"/>
      <c r="B600" s="966" t="s">
        <v>1396</v>
      </c>
      <c r="C600" s="1002" t="s">
        <v>1378</v>
      </c>
      <c r="D600" s="967"/>
      <c r="E600" s="967" t="s">
        <v>11</v>
      </c>
      <c r="F600" s="988">
        <v>3</v>
      </c>
      <c r="G600" s="970">
        <f t="shared" si="44"/>
        <v>117</v>
      </c>
      <c r="H600" s="969">
        <f t="shared" si="43"/>
        <v>351</v>
      </c>
      <c r="I600" s="964" t="s">
        <v>2312</v>
      </c>
      <c r="J600" s="901"/>
    </row>
    <row r="601" spans="1:10" s="965" customFormat="1" hidden="1">
      <c r="A601" s="896"/>
      <c r="B601" s="966" t="s">
        <v>1381</v>
      </c>
      <c r="C601" s="1002" t="s">
        <v>1380</v>
      </c>
      <c r="D601" s="967"/>
      <c r="E601" s="967" t="s">
        <v>11</v>
      </c>
      <c r="F601" s="988"/>
      <c r="G601" s="970">
        <f t="shared" si="44"/>
        <v>103</v>
      </c>
      <c r="H601" s="969">
        <f t="shared" si="43"/>
        <v>0</v>
      </c>
      <c r="I601" s="964" t="s">
        <v>2312</v>
      </c>
      <c r="J601" s="901"/>
    </row>
    <row r="602" spans="1:10" s="965" customFormat="1" hidden="1">
      <c r="A602" s="896"/>
      <c r="B602" s="966" t="s">
        <v>1398</v>
      </c>
      <c r="C602" s="1002" t="s">
        <v>1687</v>
      </c>
      <c r="D602" s="967"/>
      <c r="E602" s="967" t="s">
        <v>11</v>
      </c>
      <c r="F602" s="988">
        <v>2</v>
      </c>
      <c r="G602" s="970">
        <f t="shared" si="44"/>
        <v>308</v>
      </c>
      <c r="H602" s="969">
        <f t="shared" si="43"/>
        <v>616</v>
      </c>
      <c r="I602" s="964" t="s">
        <v>2312</v>
      </c>
      <c r="J602" s="901"/>
    </row>
    <row r="603" spans="1:10" hidden="1">
      <c r="A603" s="896"/>
      <c r="B603" s="966" t="s">
        <v>1688</v>
      </c>
      <c r="C603" s="1002" t="s">
        <v>1689</v>
      </c>
      <c r="D603" s="967"/>
      <c r="E603" s="967" t="s">
        <v>11</v>
      </c>
      <c r="F603" s="988">
        <v>1</v>
      </c>
      <c r="G603" s="970">
        <f t="shared" si="44"/>
        <v>53</v>
      </c>
      <c r="H603" s="969">
        <f t="shared" si="43"/>
        <v>53</v>
      </c>
      <c r="I603" s="964" t="s">
        <v>2312</v>
      </c>
    </row>
    <row r="604" spans="1:10" hidden="1">
      <c r="A604" s="896"/>
      <c r="B604" s="966" t="s">
        <v>1387</v>
      </c>
      <c r="C604" s="1002" t="s">
        <v>1386</v>
      </c>
      <c r="D604" s="967"/>
      <c r="E604" s="967" t="s">
        <v>11</v>
      </c>
      <c r="F604" s="988">
        <v>6</v>
      </c>
      <c r="G604" s="970">
        <f t="shared" si="44"/>
        <v>35</v>
      </c>
      <c r="H604" s="969">
        <f t="shared" si="43"/>
        <v>210</v>
      </c>
      <c r="I604" s="964" t="s">
        <v>2312</v>
      </c>
    </row>
    <row r="605" spans="1:10" hidden="1">
      <c r="A605" s="896"/>
      <c r="B605" s="966"/>
      <c r="C605" s="1004" t="s">
        <v>68</v>
      </c>
      <c r="D605" s="901"/>
      <c r="E605" s="967"/>
      <c r="F605" s="970"/>
      <c r="G605" s="970"/>
      <c r="H605" s="969"/>
      <c r="I605" s="964" t="s">
        <v>2312</v>
      </c>
    </row>
    <row r="606" spans="1:10" hidden="1">
      <c r="A606" s="896"/>
      <c r="B606" s="967" t="s">
        <v>1690</v>
      </c>
      <c r="C606" s="1002" t="s">
        <v>1388</v>
      </c>
      <c r="D606" s="901"/>
      <c r="E606" s="967" t="s">
        <v>102</v>
      </c>
      <c r="F606" s="970">
        <f>ROUND(0.8*2.1,2)</f>
        <v>1.68</v>
      </c>
      <c r="G606" s="970">
        <f>G587</f>
        <v>1546</v>
      </c>
      <c r="H606" s="969">
        <f>ROUND(F606*G606*1/3,2)</f>
        <v>865.76</v>
      </c>
      <c r="I606" s="964" t="s">
        <v>2312</v>
      </c>
    </row>
    <row r="607" spans="1:10" hidden="1">
      <c r="A607" s="896"/>
      <c r="B607" s="966"/>
      <c r="C607" s="1004"/>
      <c r="D607" s="967"/>
      <c r="E607" s="967"/>
      <c r="F607" s="967"/>
      <c r="G607" s="967"/>
      <c r="H607" s="971">
        <f>SUM(H597:H606)</f>
        <v>6584.41</v>
      </c>
      <c r="I607" s="964" t="s">
        <v>2312</v>
      </c>
    </row>
    <row r="608" spans="1:10" ht="127.5" hidden="1">
      <c r="A608" s="896">
        <v>5</v>
      </c>
      <c r="B608" s="966"/>
      <c r="C608" s="1002" t="s">
        <v>1310</v>
      </c>
      <c r="D608" s="967"/>
      <c r="E608" s="967"/>
      <c r="F608" s="967"/>
      <c r="G608" s="967"/>
      <c r="H608" s="972"/>
      <c r="I608" s="964" t="s">
        <v>2312</v>
      </c>
    </row>
    <row r="609" spans="1:10" hidden="1">
      <c r="A609" s="896"/>
      <c r="B609" s="966"/>
      <c r="C609" s="1004" t="s">
        <v>100</v>
      </c>
      <c r="D609" s="967"/>
      <c r="E609" s="967"/>
      <c r="F609" s="967"/>
      <c r="G609" s="967"/>
      <c r="H609" s="972"/>
      <c r="I609" s="964" t="s">
        <v>2312</v>
      </c>
    </row>
    <row r="610" spans="1:10" s="965" customFormat="1" hidden="1">
      <c r="A610" s="896"/>
      <c r="B610" s="966"/>
      <c r="C610" s="1004" t="s">
        <v>594</v>
      </c>
      <c r="D610" s="967"/>
      <c r="E610" s="967"/>
      <c r="F610" s="967"/>
      <c r="G610" s="967"/>
      <c r="H610" s="972"/>
      <c r="I610" s="964" t="s">
        <v>2312</v>
      </c>
      <c r="J610" s="901"/>
    </row>
    <row r="611" spans="1:10" s="965" customFormat="1" hidden="1">
      <c r="A611" s="896"/>
      <c r="B611" s="966"/>
      <c r="C611" s="1002" t="s">
        <v>2</v>
      </c>
      <c r="D611" s="1014">
        <v>2</v>
      </c>
      <c r="E611" s="1015">
        <v>1.9</v>
      </c>
      <c r="F611" s="1016">
        <v>0.1</v>
      </c>
      <c r="G611" s="1016">
        <v>7.4999999999999997E-2</v>
      </c>
      <c r="H611" s="1017">
        <f>ROUND(D611*E611*F611*G611,4)</f>
        <v>2.8500000000000001E-2</v>
      </c>
      <c r="I611" s="964" t="s">
        <v>2312</v>
      </c>
      <c r="J611" s="901"/>
    </row>
    <row r="612" spans="1:10" s="965" customFormat="1" hidden="1">
      <c r="A612" s="896"/>
      <c r="B612" s="966"/>
      <c r="C612" s="1002" t="s">
        <v>741</v>
      </c>
      <c r="D612" s="1014">
        <v>1</v>
      </c>
      <c r="E612" s="1015">
        <v>1.05</v>
      </c>
      <c r="F612" s="1016">
        <v>0.1</v>
      </c>
      <c r="G612" s="1016">
        <v>7.4999999999999997E-2</v>
      </c>
      <c r="H612" s="1017">
        <f>ROUND(D612*E612*F612*G612,4)</f>
        <v>7.9000000000000008E-3</v>
      </c>
      <c r="I612" s="964" t="s">
        <v>2312</v>
      </c>
      <c r="J612" s="901"/>
    </row>
    <row r="613" spans="1:10" s="965" customFormat="1" hidden="1">
      <c r="A613" s="896"/>
      <c r="B613" s="966"/>
      <c r="C613" s="1004"/>
      <c r="D613" s="1014"/>
      <c r="E613" s="1014"/>
      <c r="F613" s="1014"/>
      <c r="G613" s="1014"/>
      <c r="H613" s="1021">
        <f>SUM(H611:H612)</f>
        <v>3.6400000000000002E-2</v>
      </c>
      <c r="I613" s="964" t="s">
        <v>2312</v>
      </c>
      <c r="J613" s="901"/>
    </row>
    <row r="614" spans="1:10" s="965" customFormat="1" hidden="1">
      <c r="A614" s="896"/>
      <c r="B614" s="966"/>
      <c r="C614" s="1004" t="s">
        <v>320</v>
      </c>
      <c r="D614" s="1014">
        <v>1</v>
      </c>
      <c r="E614" s="1015">
        <v>2.0099999999999998</v>
      </c>
      <c r="F614" s="1016">
        <v>0.94</v>
      </c>
      <c r="G614" s="1016">
        <v>0.03</v>
      </c>
      <c r="H614" s="1017">
        <f>ROUND(D614*E614*F614*G614,4)</f>
        <v>5.67E-2</v>
      </c>
      <c r="I614" s="964" t="s">
        <v>2312</v>
      </c>
      <c r="J614" s="901"/>
    </row>
    <row r="615" spans="1:10" s="965" customFormat="1" hidden="1">
      <c r="A615" s="896"/>
      <c r="B615" s="966"/>
      <c r="C615" s="1002"/>
      <c r="D615" s="1014"/>
      <c r="E615" s="1014"/>
      <c r="F615" s="1014"/>
      <c r="G615" s="1014"/>
      <c r="H615" s="1021">
        <f>SUM(H614:H614)</f>
        <v>5.67E-2</v>
      </c>
      <c r="I615" s="964" t="s">
        <v>2312</v>
      </c>
      <c r="J615" s="901"/>
    </row>
    <row r="616" spans="1:10" s="965" customFormat="1" hidden="1">
      <c r="A616" s="896"/>
      <c r="B616" s="966" t="s">
        <v>1373</v>
      </c>
      <c r="C616" s="1002" t="s">
        <v>1372</v>
      </c>
      <c r="E616" s="967" t="s">
        <v>35</v>
      </c>
      <c r="F616" s="976">
        <f>H613</f>
        <v>3.6400000000000002E-2</v>
      </c>
      <c r="G616" s="970">
        <f>'MINI SSR 21-22'!$C$142</f>
        <v>74500</v>
      </c>
      <c r="H616" s="969">
        <f t="shared" ref="H616:H623" si="45">ROUND(F616*G616,2)</f>
        <v>2711.8</v>
      </c>
      <c r="I616" s="964" t="s">
        <v>2312</v>
      </c>
      <c r="J616" s="901"/>
    </row>
    <row r="617" spans="1:10" s="965" customFormat="1" hidden="1">
      <c r="A617" s="896"/>
      <c r="B617" s="966" t="s">
        <v>1375</v>
      </c>
      <c r="C617" s="1002" t="s">
        <v>1374</v>
      </c>
      <c r="E617" s="967" t="s">
        <v>35</v>
      </c>
      <c r="F617" s="976">
        <f>H615</f>
        <v>5.67E-2</v>
      </c>
      <c r="G617" s="970">
        <f>'MINI SSR 21-22'!C143</f>
        <v>149000</v>
      </c>
      <c r="H617" s="969">
        <f t="shared" si="45"/>
        <v>8448.2999999999993</v>
      </c>
      <c r="I617" s="964" t="s">
        <v>2312</v>
      </c>
      <c r="J617" s="901"/>
    </row>
    <row r="618" spans="1:10" s="965" customFormat="1" hidden="1">
      <c r="A618" s="896"/>
      <c r="B618" s="966" t="s">
        <v>1377</v>
      </c>
      <c r="C618" s="1002" t="s">
        <v>1376</v>
      </c>
      <c r="D618" s="967"/>
      <c r="E618" s="967" t="s">
        <v>11</v>
      </c>
      <c r="F618" s="988">
        <v>2</v>
      </c>
      <c r="G618" s="970">
        <f t="shared" ref="G618:G623" si="46">G487</f>
        <v>84</v>
      </c>
      <c r="H618" s="969">
        <f t="shared" si="45"/>
        <v>168</v>
      </c>
      <c r="I618" s="964" t="s">
        <v>2312</v>
      </c>
      <c r="J618" s="901"/>
    </row>
    <row r="619" spans="1:10" s="965" customFormat="1" hidden="1">
      <c r="A619" s="896"/>
      <c r="B619" s="966" t="s">
        <v>1379</v>
      </c>
      <c r="C619" s="1002" t="s">
        <v>1378</v>
      </c>
      <c r="D619" s="967"/>
      <c r="E619" s="967" t="s">
        <v>11</v>
      </c>
      <c r="F619" s="988">
        <v>3</v>
      </c>
      <c r="G619" s="970">
        <f t="shared" si="46"/>
        <v>117</v>
      </c>
      <c r="H619" s="969">
        <f t="shared" si="45"/>
        <v>351</v>
      </c>
      <c r="I619" s="964" t="s">
        <v>2312</v>
      </c>
      <c r="J619" s="901"/>
    </row>
    <row r="620" spans="1:10" s="965" customFormat="1" hidden="1">
      <c r="A620" s="896"/>
      <c r="B620" s="966" t="s">
        <v>1381</v>
      </c>
      <c r="C620" s="1002" t="s">
        <v>1380</v>
      </c>
      <c r="D620" s="967"/>
      <c r="E620" s="967" t="s">
        <v>11</v>
      </c>
      <c r="F620" s="988"/>
      <c r="G620" s="970">
        <f t="shared" si="46"/>
        <v>103</v>
      </c>
      <c r="H620" s="969">
        <f t="shared" si="45"/>
        <v>0</v>
      </c>
      <c r="I620" s="964" t="s">
        <v>2312</v>
      </c>
      <c r="J620" s="901"/>
    </row>
    <row r="621" spans="1:10" s="965" customFormat="1" hidden="1">
      <c r="A621" s="896"/>
      <c r="B621" s="966" t="s">
        <v>1383</v>
      </c>
      <c r="C621" s="1002" t="s">
        <v>1382</v>
      </c>
      <c r="D621" s="967"/>
      <c r="E621" s="967" t="s">
        <v>11</v>
      </c>
      <c r="F621" s="988">
        <v>2</v>
      </c>
      <c r="G621" s="970">
        <f t="shared" si="46"/>
        <v>308</v>
      </c>
      <c r="H621" s="969">
        <f t="shared" si="45"/>
        <v>616</v>
      </c>
      <c r="I621" s="964" t="s">
        <v>2312</v>
      </c>
      <c r="J621" s="901"/>
    </row>
    <row r="622" spans="1:10" hidden="1">
      <c r="A622" s="896"/>
      <c r="B622" s="966" t="s">
        <v>1385</v>
      </c>
      <c r="C622" s="1002" t="s">
        <v>1384</v>
      </c>
      <c r="D622" s="967"/>
      <c r="E622" s="967" t="s">
        <v>11</v>
      </c>
      <c r="F622" s="988">
        <v>1</v>
      </c>
      <c r="G622" s="970">
        <f t="shared" si="46"/>
        <v>53</v>
      </c>
      <c r="H622" s="969">
        <f t="shared" si="45"/>
        <v>53</v>
      </c>
      <c r="I622" s="964" t="s">
        <v>2312</v>
      </c>
    </row>
    <row r="623" spans="1:10" hidden="1">
      <c r="A623" s="896"/>
      <c r="B623" s="966" t="s">
        <v>1387</v>
      </c>
      <c r="C623" s="1002" t="s">
        <v>1386</v>
      </c>
      <c r="D623" s="967"/>
      <c r="E623" s="967" t="s">
        <v>11</v>
      </c>
      <c r="F623" s="988">
        <v>6</v>
      </c>
      <c r="G623" s="970">
        <f t="shared" si="46"/>
        <v>35</v>
      </c>
      <c r="H623" s="969">
        <f t="shared" si="45"/>
        <v>210</v>
      </c>
      <c r="I623" s="964" t="s">
        <v>2312</v>
      </c>
    </row>
    <row r="624" spans="1:10" hidden="1">
      <c r="A624" s="896"/>
      <c r="B624" s="966"/>
      <c r="C624" s="1004" t="s">
        <v>68</v>
      </c>
      <c r="D624" s="901"/>
      <c r="E624" s="967"/>
      <c r="F624" s="970"/>
      <c r="G624" s="970"/>
      <c r="H624" s="969"/>
      <c r="I624" s="964" t="s">
        <v>2312</v>
      </c>
    </row>
    <row r="625" spans="1:11" hidden="1">
      <c r="A625" s="896"/>
      <c r="B625" s="967" t="s">
        <v>1389</v>
      </c>
      <c r="C625" s="1002" t="s">
        <v>1388</v>
      </c>
      <c r="D625" s="901"/>
      <c r="E625" s="967" t="s">
        <v>102</v>
      </c>
      <c r="F625" s="970">
        <f>ROUND(1.05*2.1,2)</f>
        <v>2.21</v>
      </c>
      <c r="G625" s="970">
        <f>G494</f>
        <v>1672</v>
      </c>
      <c r="H625" s="969">
        <f>ROUND(F625*G625*1/3,2)</f>
        <v>1231.71</v>
      </c>
      <c r="I625" s="964" t="s">
        <v>2312</v>
      </c>
    </row>
    <row r="626" spans="1:11" hidden="1">
      <c r="A626" s="896"/>
      <c r="B626" s="966"/>
      <c r="C626" s="1004"/>
      <c r="D626" s="967"/>
      <c r="E626" s="967"/>
      <c r="F626" s="967"/>
      <c r="G626" s="967"/>
      <c r="H626" s="971">
        <f>SUM(H616:H625)</f>
        <v>13789.809999999998</v>
      </c>
      <c r="I626" s="964" t="s">
        <v>2312</v>
      </c>
    </row>
    <row r="627" spans="1:11" ht="127.5" hidden="1">
      <c r="A627" s="896">
        <v>4</v>
      </c>
      <c r="B627" s="966"/>
      <c r="C627" s="1002" t="s">
        <v>2204</v>
      </c>
      <c r="D627" s="967"/>
      <c r="E627" s="967"/>
      <c r="F627" s="967"/>
      <c r="G627" s="967"/>
      <c r="H627" s="972"/>
      <c r="I627" s="964" t="s">
        <v>2312</v>
      </c>
    </row>
    <row r="628" spans="1:11" hidden="1">
      <c r="A628" s="896"/>
      <c r="B628" s="966"/>
      <c r="C628" s="1004" t="s">
        <v>100</v>
      </c>
      <c r="D628" s="967"/>
      <c r="E628" s="967"/>
      <c r="F628" s="967"/>
      <c r="G628" s="967"/>
      <c r="H628" s="972"/>
      <c r="I628" s="964" t="s">
        <v>2312</v>
      </c>
    </row>
    <row r="629" spans="1:11" s="965" customFormat="1" hidden="1">
      <c r="A629" s="896"/>
      <c r="B629" s="966"/>
      <c r="C629" s="1004" t="s">
        <v>60</v>
      </c>
      <c r="D629" s="967"/>
      <c r="E629" s="967"/>
      <c r="F629" s="967"/>
      <c r="G629" s="967"/>
      <c r="H629" s="972"/>
      <c r="I629" s="964" t="s">
        <v>2312</v>
      </c>
      <c r="J629" s="901"/>
    </row>
    <row r="630" spans="1:11" s="965" customFormat="1" hidden="1">
      <c r="A630" s="896"/>
      <c r="B630" s="966"/>
      <c r="C630" s="1004" t="s">
        <v>1</v>
      </c>
      <c r="D630" s="967"/>
      <c r="E630" s="967"/>
      <c r="F630" s="967"/>
      <c r="G630" s="967"/>
      <c r="H630" s="972"/>
      <c r="I630" s="964" t="s">
        <v>2312</v>
      </c>
      <c r="J630" s="901"/>
    </row>
    <row r="631" spans="1:11" s="965" customFormat="1" hidden="1">
      <c r="A631" s="896"/>
      <c r="B631" s="966"/>
      <c r="C631" s="1002" t="s">
        <v>2</v>
      </c>
      <c r="D631" s="1014">
        <v>2</v>
      </c>
      <c r="E631" s="1015">
        <v>1.95</v>
      </c>
      <c r="F631" s="1016">
        <v>0.1</v>
      </c>
      <c r="G631" s="1016">
        <v>7.4999999999999997E-2</v>
      </c>
      <c r="H631" s="1017">
        <f>ROUND(D631*E631*F631*G631,4)</f>
        <v>2.93E-2</v>
      </c>
      <c r="I631" s="964" t="s">
        <v>2312</v>
      </c>
      <c r="J631" s="901"/>
    </row>
    <row r="632" spans="1:11" s="965" customFormat="1" hidden="1">
      <c r="A632" s="896"/>
      <c r="B632" s="966"/>
      <c r="C632" s="1002" t="s">
        <v>741</v>
      </c>
      <c r="D632" s="1014">
        <v>2</v>
      </c>
      <c r="E632" s="1015">
        <v>1.05</v>
      </c>
      <c r="F632" s="1016">
        <v>0.1</v>
      </c>
      <c r="G632" s="1016">
        <v>7.4999999999999997E-2</v>
      </c>
      <c r="H632" s="1017">
        <f>ROUND(D632*E632*F632*G632,4)</f>
        <v>1.5800000000000002E-2</v>
      </c>
      <c r="I632" s="964" t="s">
        <v>2312</v>
      </c>
      <c r="J632" s="901"/>
    </row>
    <row r="633" spans="1:11" s="965" customFormat="1" hidden="1">
      <c r="A633" s="896"/>
      <c r="B633" s="966"/>
      <c r="C633" s="1004"/>
      <c r="D633" s="967"/>
      <c r="E633" s="967"/>
      <c r="F633" s="967"/>
      <c r="G633" s="967"/>
      <c r="H633" s="1018">
        <f>SUM(H631:H632)</f>
        <v>4.5100000000000001E-2</v>
      </c>
      <c r="I633" s="964" t="s">
        <v>2312</v>
      </c>
      <c r="J633" s="901"/>
    </row>
    <row r="634" spans="1:11" s="965" customFormat="1" hidden="1">
      <c r="A634" s="896"/>
      <c r="B634" s="966" t="s">
        <v>1373</v>
      </c>
      <c r="C634" s="1002" t="s">
        <v>1372</v>
      </c>
      <c r="D634" s="967"/>
      <c r="E634" s="967" t="s">
        <v>35</v>
      </c>
      <c r="F634" s="976">
        <f>H633</f>
        <v>4.5100000000000001E-2</v>
      </c>
      <c r="G634" s="970">
        <f>'MINI SSR 21-22'!$C$142</f>
        <v>74500</v>
      </c>
      <c r="H634" s="969">
        <f t="shared" ref="H634:H642" si="47">ROUND(F634*G634,2)</f>
        <v>3359.95</v>
      </c>
      <c r="I634" s="964" t="s">
        <v>2312</v>
      </c>
      <c r="J634" s="901"/>
    </row>
    <row r="635" spans="1:11" s="965" customFormat="1" hidden="1">
      <c r="A635" s="896"/>
      <c r="B635" s="967" t="s">
        <v>2092</v>
      </c>
      <c r="C635" s="1002" t="s">
        <v>2093</v>
      </c>
      <c r="D635" s="967"/>
      <c r="E635" s="967" t="s">
        <v>102</v>
      </c>
      <c r="F635" s="976">
        <f>ROUND(0.74*1.995,2)</f>
        <v>1.48</v>
      </c>
      <c r="G635" s="970">
        <f>'MINI SSR 21-22'!$C$148</f>
        <v>1790</v>
      </c>
      <c r="H635" s="969">
        <f t="shared" si="47"/>
        <v>2649.2</v>
      </c>
      <c r="I635" s="964" t="s">
        <v>2312</v>
      </c>
      <c r="J635" s="901"/>
      <c r="K635" s="965">
        <f>(1*0.775)/1.05</f>
        <v>0.73809523809523814</v>
      </c>
    </row>
    <row r="636" spans="1:11" s="965" customFormat="1" hidden="1">
      <c r="A636" s="896"/>
      <c r="B636" s="967" t="s">
        <v>2094</v>
      </c>
      <c r="C636" s="1002" t="s">
        <v>2098</v>
      </c>
      <c r="D636" s="967"/>
      <c r="E636" s="967" t="s">
        <v>102</v>
      </c>
      <c r="F636" s="976">
        <f>F635</f>
        <v>1.48</v>
      </c>
      <c r="G636" s="970">
        <f>'MINI SSR 21-22'!$C$151</f>
        <v>800</v>
      </c>
      <c r="H636" s="969">
        <f t="shared" si="47"/>
        <v>1184</v>
      </c>
      <c r="I636" s="964" t="s">
        <v>2312</v>
      </c>
      <c r="J636" s="901"/>
    </row>
    <row r="637" spans="1:11" hidden="1">
      <c r="A637" s="896"/>
      <c r="B637" s="967" t="s">
        <v>1394</v>
      </c>
      <c r="C637" s="1002" t="s">
        <v>1393</v>
      </c>
      <c r="D637" s="967"/>
      <c r="E637" s="967" t="s">
        <v>11</v>
      </c>
      <c r="F637" s="988">
        <v>2</v>
      </c>
      <c r="G637" s="970">
        <f>'MINI SSR 21-22'!$G$143</f>
        <v>84</v>
      </c>
      <c r="H637" s="969">
        <f t="shared" si="47"/>
        <v>168</v>
      </c>
      <c r="I637" s="964" t="s">
        <v>2312</v>
      </c>
    </row>
    <row r="638" spans="1:11" hidden="1">
      <c r="A638" s="896"/>
      <c r="B638" s="967" t="s">
        <v>1396</v>
      </c>
      <c r="C638" s="1002" t="s">
        <v>1395</v>
      </c>
      <c r="D638" s="967"/>
      <c r="E638" s="967" t="s">
        <v>11</v>
      </c>
      <c r="F638" s="988">
        <v>3</v>
      </c>
      <c r="G638" s="970">
        <f>'MINI SSR 21-22'!$G$146</f>
        <v>117</v>
      </c>
      <c r="H638" s="969">
        <f t="shared" si="47"/>
        <v>351</v>
      </c>
      <c r="I638" s="964" t="s">
        <v>2312</v>
      </c>
    </row>
    <row r="639" spans="1:11" hidden="1">
      <c r="A639" s="896"/>
      <c r="B639" s="967" t="s">
        <v>1381</v>
      </c>
      <c r="C639" s="1002" t="s">
        <v>1380</v>
      </c>
      <c r="D639" s="967"/>
      <c r="E639" s="967" t="s">
        <v>11</v>
      </c>
      <c r="F639" s="988">
        <v>2</v>
      </c>
      <c r="G639" s="970">
        <f>'MINI SSR 21-22'!$G$144</f>
        <v>103</v>
      </c>
      <c r="H639" s="969">
        <f t="shared" si="47"/>
        <v>206</v>
      </c>
      <c r="I639" s="964" t="s">
        <v>2312</v>
      </c>
    </row>
    <row r="640" spans="1:11" hidden="1">
      <c r="A640" s="896"/>
      <c r="B640" s="967" t="s">
        <v>1398</v>
      </c>
      <c r="C640" s="1002" t="s">
        <v>1397</v>
      </c>
      <c r="D640" s="967"/>
      <c r="E640" s="967" t="s">
        <v>11</v>
      </c>
      <c r="F640" s="988">
        <v>2</v>
      </c>
      <c r="G640" s="970">
        <f>'MINI SSR 21-22'!$G$149</f>
        <v>308</v>
      </c>
      <c r="H640" s="969">
        <f t="shared" si="47"/>
        <v>616</v>
      </c>
      <c r="I640" s="964" t="s">
        <v>2312</v>
      </c>
    </row>
    <row r="641" spans="1:12" hidden="1">
      <c r="A641" s="896"/>
      <c r="B641" s="967" t="s">
        <v>1400</v>
      </c>
      <c r="C641" s="1002" t="s">
        <v>1399</v>
      </c>
      <c r="D641" s="967"/>
      <c r="E641" s="967" t="s">
        <v>11</v>
      </c>
      <c r="F641" s="988">
        <v>1</v>
      </c>
      <c r="G641" s="970">
        <f>'MINI SSR 21-22'!$G$155</f>
        <v>53</v>
      </c>
      <c r="H641" s="969">
        <f t="shared" si="47"/>
        <v>53</v>
      </c>
      <c r="I641" s="964" t="s">
        <v>2312</v>
      </c>
    </row>
    <row r="642" spans="1:12" hidden="1">
      <c r="A642" s="896"/>
      <c r="B642" s="967" t="s">
        <v>1387</v>
      </c>
      <c r="C642" s="1002" t="s">
        <v>1386</v>
      </c>
      <c r="D642" s="967"/>
      <c r="E642" s="967" t="s">
        <v>11</v>
      </c>
      <c r="F642" s="988">
        <v>6</v>
      </c>
      <c r="G642" s="970">
        <f>'MINI SSR 21-22'!$G$152</f>
        <v>35</v>
      </c>
      <c r="H642" s="969">
        <f t="shared" si="47"/>
        <v>210</v>
      </c>
      <c r="I642" s="964" t="s">
        <v>2312</v>
      </c>
    </row>
    <row r="643" spans="1:12" hidden="1">
      <c r="A643" s="967"/>
      <c r="B643" s="967"/>
      <c r="C643" s="1004" t="s">
        <v>68</v>
      </c>
      <c r="D643" s="967"/>
      <c r="E643" s="967"/>
      <c r="F643" s="970"/>
      <c r="G643" s="974"/>
      <c r="H643" s="969"/>
      <c r="I643" s="964" t="s">
        <v>2312</v>
      </c>
    </row>
    <row r="644" spans="1:12" ht="25.5" hidden="1">
      <c r="A644" s="967"/>
      <c r="B644" s="967" t="s">
        <v>1389</v>
      </c>
      <c r="C644" s="1002" t="s">
        <v>1401</v>
      </c>
      <c r="D644" s="967"/>
      <c r="E644" s="967" t="s">
        <v>102</v>
      </c>
      <c r="F644" s="970">
        <f>ROUND(1.05*2.1,2)</f>
        <v>2.21</v>
      </c>
      <c r="G644" s="970">
        <f>'MINI SSR 21-22'!$C$150</f>
        <v>1546</v>
      </c>
      <c r="H644" s="969">
        <f>ROUND(F644*G644*1/3,2)</f>
        <v>1138.8900000000001</v>
      </c>
      <c r="I644" s="964" t="s">
        <v>2312</v>
      </c>
      <c r="L644" s="1019"/>
    </row>
    <row r="645" spans="1:12" ht="13.5" hidden="1" thickBot="1">
      <c r="A645" s="967"/>
      <c r="B645" s="967"/>
      <c r="C645" s="1004"/>
      <c r="D645" s="967"/>
      <c r="E645" s="967"/>
      <c r="F645" s="967"/>
      <c r="G645" s="967"/>
      <c r="H645" s="971">
        <f>SUM(H634:H644)</f>
        <v>9936.0399999999991</v>
      </c>
      <c r="I645" s="964" t="s">
        <v>2312</v>
      </c>
      <c r="L645" s="1020">
        <f>SUM(L644)</f>
        <v>0</v>
      </c>
    </row>
    <row r="646" spans="1:12" ht="127.5" hidden="1">
      <c r="A646" s="896">
        <v>2</v>
      </c>
      <c r="B646" s="966"/>
      <c r="C646" s="1002" t="s">
        <v>2138</v>
      </c>
      <c r="D646" s="967"/>
      <c r="E646" s="967"/>
      <c r="F646" s="967"/>
      <c r="G646" s="967"/>
      <c r="H646" s="972"/>
      <c r="I646" s="964" t="s">
        <v>2312</v>
      </c>
    </row>
    <row r="647" spans="1:12" hidden="1">
      <c r="A647" s="896"/>
      <c r="B647" s="966"/>
      <c r="C647" s="1004" t="s">
        <v>100</v>
      </c>
      <c r="D647" s="967"/>
      <c r="E647" s="967"/>
      <c r="F647" s="967"/>
      <c r="G647" s="967"/>
      <c r="H647" s="972"/>
      <c r="I647" s="964" t="s">
        <v>2312</v>
      </c>
    </row>
    <row r="648" spans="1:12" s="965" customFormat="1" hidden="1">
      <c r="A648" s="896"/>
      <c r="B648" s="966"/>
      <c r="C648" s="1004" t="s">
        <v>60</v>
      </c>
      <c r="D648" s="967"/>
      <c r="E648" s="967"/>
      <c r="F648" s="967"/>
      <c r="G648" s="967"/>
      <c r="H648" s="972"/>
      <c r="I648" s="964" t="s">
        <v>2312</v>
      </c>
      <c r="J648" s="901"/>
    </row>
    <row r="649" spans="1:12" s="965" customFormat="1" hidden="1">
      <c r="A649" s="896"/>
      <c r="B649" s="966"/>
      <c r="C649" s="1004" t="s">
        <v>1</v>
      </c>
      <c r="D649" s="967"/>
      <c r="E649" s="967"/>
      <c r="F649" s="967"/>
      <c r="G649" s="967"/>
      <c r="H649" s="972"/>
      <c r="I649" s="964" t="s">
        <v>2312</v>
      </c>
      <c r="J649" s="901"/>
    </row>
    <row r="650" spans="1:12" s="965" customFormat="1" hidden="1">
      <c r="A650" s="896"/>
      <c r="B650" s="966"/>
      <c r="C650" s="1002" t="s">
        <v>2</v>
      </c>
      <c r="D650" s="1014">
        <v>2</v>
      </c>
      <c r="E650" s="1015">
        <v>1.95</v>
      </c>
      <c r="F650" s="1016">
        <v>0.1</v>
      </c>
      <c r="G650" s="1016">
        <v>7.4999999999999997E-2</v>
      </c>
      <c r="H650" s="1017">
        <f>ROUND(D650*E650*F650*G650,4)</f>
        <v>2.93E-2</v>
      </c>
      <c r="I650" s="964" t="s">
        <v>2312</v>
      </c>
      <c r="J650" s="901"/>
    </row>
    <row r="651" spans="1:12" s="965" customFormat="1" hidden="1">
      <c r="A651" s="896"/>
      <c r="B651" s="966"/>
      <c r="C651" s="1002" t="s">
        <v>741</v>
      </c>
      <c r="D651" s="1014">
        <v>2</v>
      </c>
      <c r="E651" s="1015">
        <v>0.9</v>
      </c>
      <c r="F651" s="1016">
        <v>0.1</v>
      </c>
      <c r="G651" s="1016">
        <v>7.4999999999999997E-2</v>
      </c>
      <c r="H651" s="1017">
        <f>ROUND(D651*E651*F651*G651,4)</f>
        <v>1.35E-2</v>
      </c>
      <c r="I651" s="964" t="s">
        <v>2312</v>
      </c>
      <c r="J651" s="901"/>
    </row>
    <row r="652" spans="1:12" s="965" customFormat="1" hidden="1">
      <c r="A652" s="896"/>
      <c r="B652" s="966"/>
      <c r="C652" s="1004"/>
      <c r="D652" s="967"/>
      <c r="E652" s="967"/>
      <c r="F652" s="967"/>
      <c r="G652" s="967"/>
      <c r="H652" s="1018">
        <f>SUM(H650:H651)</f>
        <v>4.2799999999999998E-2</v>
      </c>
      <c r="I652" s="964" t="s">
        <v>2312</v>
      </c>
      <c r="J652" s="901"/>
    </row>
    <row r="653" spans="1:12" s="965" customFormat="1" hidden="1">
      <c r="A653" s="896"/>
      <c r="B653" s="966" t="s">
        <v>1373</v>
      </c>
      <c r="C653" s="1002" t="s">
        <v>1372</v>
      </c>
      <c r="D653" s="967"/>
      <c r="E653" s="967" t="s">
        <v>35</v>
      </c>
      <c r="F653" s="976">
        <f>H652</f>
        <v>4.2799999999999998E-2</v>
      </c>
      <c r="G653" s="970">
        <f>'MINI SSR 21-22'!$C$142</f>
        <v>74500</v>
      </c>
      <c r="H653" s="969">
        <f t="shared" ref="H653:H661" si="48">ROUND(F653*G653,2)</f>
        <v>3188.6</v>
      </c>
      <c r="I653" s="964" t="s">
        <v>2312</v>
      </c>
      <c r="J653" s="901"/>
    </row>
    <row r="654" spans="1:12" s="965" customFormat="1" hidden="1">
      <c r="A654" s="896"/>
      <c r="B654" s="967" t="s">
        <v>2092</v>
      </c>
      <c r="C654" s="1002" t="s">
        <v>2093</v>
      </c>
      <c r="D654" s="967"/>
      <c r="E654" s="967" t="s">
        <v>102</v>
      </c>
      <c r="F654" s="976">
        <f>ROUND(0.66*1.995,2)</f>
        <v>1.32</v>
      </c>
      <c r="G654" s="970">
        <f>'MINI SSR 21-22'!$C$148</f>
        <v>1790</v>
      </c>
      <c r="H654" s="969">
        <f t="shared" si="48"/>
        <v>2362.8000000000002</v>
      </c>
      <c r="I654" s="964" t="s">
        <v>2312</v>
      </c>
      <c r="J654" s="901"/>
    </row>
    <row r="655" spans="1:12" s="965" customFormat="1" hidden="1">
      <c r="A655" s="896"/>
      <c r="B655" s="967" t="s">
        <v>2094</v>
      </c>
      <c r="C655" s="1002" t="s">
        <v>2098</v>
      </c>
      <c r="D655" s="967"/>
      <c r="E655" s="967" t="s">
        <v>102</v>
      </c>
      <c r="F655" s="976">
        <f>F654</f>
        <v>1.32</v>
      </c>
      <c r="G655" s="970">
        <f>'MINI SSR 21-22'!$C$151</f>
        <v>800</v>
      </c>
      <c r="H655" s="969">
        <f t="shared" si="48"/>
        <v>1056</v>
      </c>
      <c r="I655" s="964" t="s">
        <v>2312</v>
      </c>
      <c r="J655" s="901"/>
    </row>
    <row r="656" spans="1:12" hidden="1">
      <c r="A656" s="896"/>
      <c r="B656" s="967" t="s">
        <v>1394</v>
      </c>
      <c r="C656" s="1002" t="s">
        <v>1393</v>
      </c>
      <c r="D656" s="967"/>
      <c r="E656" s="967" t="s">
        <v>11</v>
      </c>
      <c r="F656" s="988">
        <v>2</v>
      </c>
      <c r="G656" s="970">
        <f>'MINI SSR 21-22'!$G$143</f>
        <v>84</v>
      </c>
      <c r="H656" s="969">
        <f t="shared" si="48"/>
        <v>168</v>
      </c>
      <c r="I656" s="964" t="s">
        <v>2312</v>
      </c>
    </row>
    <row r="657" spans="1:12" hidden="1">
      <c r="A657" s="896"/>
      <c r="B657" s="967" t="s">
        <v>1396</v>
      </c>
      <c r="C657" s="1002" t="s">
        <v>1395</v>
      </c>
      <c r="D657" s="967"/>
      <c r="E657" s="967" t="s">
        <v>11</v>
      </c>
      <c r="F657" s="988">
        <v>3</v>
      </c>
      <c r="G657" s="970">
        <f>'MINI SSR 21-22'!$G$146</f>
        <v>117</v>
      </c>
      <c r="H657" s="969">
        <f t="shared" si="48"/>
        <v>351</v>
      </c>
      <c r="I657" s="964" t="s">
        <v>2312</v>
      </c>
    </row>
    <row r="658" spans="1:12" hidden="1">
      <c r="A658" s="896"/>
      <c r="B658" s="967" t="s">
        <v>1381</v>
      </c>
      <c r="C658" s="1002" t="s">
        <v>1380</v>
      </c>
      <c r="D658" s="967"/>
      <c r="E658" s="967" t="s">
        <v>11</v>
      </c>
      <c r="F658" s="988">
        <v>2</v>
      </c>
      <c r="G658" s="970">
        <f>'MINI SSR 21-22'!$G$144</f>
        <v>103</v>
      </c>
      <c r="H658" s="969">
        <f t="shared" si="48"/>
        <v>206</v>
      </c>
      <c r="I658" s="964" t="s">
        <v>2312</v>
      </c>
    </row>
    <row r="659" spans="1:12" hidden="1">
      <c r="A659" s="896"/>
      <c r="B659" s="967" t="s">
        <v>1398</v>
      </c>
      <c r="C659" s="1002" t="s">
        <v>1397</v>
      </c>
      <c r="D659" s="967"/>
      <c r="E659" s="967" t="s">
        <v>11</v>
      </c>
      <c r="F659" s="988">
        <v>2</v>
      </c>
      <c r="G659" s="970">
        <f>'MINI SSR 21-22'!$G$149</f>
        <v>308</v>
      </c>
      <c r="H659" s="969">
        <f t="shared" si="48"/>
        <v>616</v>
      </c>
      <c r="I659" s="964" t="s">
        <v>2312</v>
      </c>
    </row>
    <row r="660" spans="1:12" hidden="1">
      <c r="A660" s="896"/>
      <c r="B660" s="967" t="s">
        <v>1400</v>
      </c>
      <c r="C660" s="1002" t="s">
        <v>1399</v>
      </c>
      <c r="D660" s="967"/>
      <c r="E660" s="967" t="s">
        <v>11</v>
      </c>
      <c r="F660" s="988">
        <v>1</v>
      </c>
      <c r="G660" s="970">
        <f>'MINI SSR 21-22'!$G$155</f>
        <v>53</v>
      </c>
      <c r="H660" s="969">
        <f t="shared" si="48"/>
        <v>53</v>
      </c>
      <c r="I660" s="964" t="s">
        <v>2312</v>
      </c>
    </row>
    <row r="661" spans="1:12" hidden="1">
      <c r="A661" s="896"/>
      <c r="B661" s="967" t="s">
        <v>1387</v>
      </c>
      <c r="C661" s="1002" t="s">
        <v>1386</v>
      </c>
      <c r="D661" s="967"/>
      <c r="E661" s="967" t="s">
        <v>11</v>
      </c>
      <c r="F661" s="988">
        <v>6</v>
      </c>
      <c r="G661" s="970">
        <f>'MINI SSR 21-22'!$G$152</f>
        <v>35</v>
      </c>
      <c r="H661" s="969">
        <f t="shared" si="48"/>
        <v>210</v>
      </c>
      <c r="I661" s="964" t="s">
        <v>2312</v>
      </c>
    </row>
    <row r="662" spans="1:12" hidden="1">
      <c r="A662" s="967"/>
      <c r="B662" s="967"/>
      <c r="C662" s="1004" t="s">
        <v>68</v>
      </c>
      <c r="D662" s="967"/>
      <c r="E662" s="967"/>
      <c r="F662" s="970"/>
      <c r="G662" s="974"/>
      <c r="H662" s="969"/>
      <c r="I662" s="964" t="s">
        <v>2312</v>
      </c>
    </row>
    <row r="663" spans="1:12" ht="25.5" hidden="1">
      <c r="A663" s="967"/>
      <c r="B663" s="967" t="s">
        <v>1389</v>
      </c>
      <c r="C663" s="1002" t="s">
        <v>1401</v>
      </c>
      <c r="D663" s="967"/>
      <c r="E663" s="967" t="s">
        <v>102</v>
      </c>
      <c r="F663" s="970">
        <f>ROUND(0.9*2.1,2)</f>
        <v>1.89</v>
      </c>
      <c r="G663" s="970">
        <f>'MINI SSR 21-22'!$C$150</f>
        <v>1546</v>
      </c>
      <c r="H663" s="969">
        <f>ROUND(F663*G663*1/3,2)</f>
        <v>973.98</v>
      </c>
      <c r="I663" s="964" t="s">
        <v>2312</v>
      </c>
      <c r="L663" s="1019"/>
    </row>
    <row r="664" spans="1:12" ht="13.5" hidden="1" thickBot="1">
      <c r="A664" s="967"/>
      <c r="B664" s="967"/>
      <c r="C664" s="1004"/>
      <c r="D664" s="967"/>
      <c r="E664" s="967"/>
      <c r="F664" s="967"/>
      <c r="G664" s="967"/>
      <c r="H664" s="971">
        <f>SUM(H653:H663)</f>
        <v>9185.3799999999992</v>
      </c>
      <c r="I664" s="964" t="s">
        <v>2312</v>
      </c>
      <c r="L664" s="1020">
        <f>SUM(L663)</f>
        <v>0</v>
      </c>
    </row>
    <row r="665" spans="1:12" ht="51" hidden="1">
      <c r="A665" s="896">
        <v>7</v>
      </c>
      <c r="B665" s="966"/>
      <c r="C665" s="1002" t="s">
        <v>1199</v>
      </c>
      <c r="D665" s="967"/>
      <c r="E665" s="967"/>
      <c r="F665" s="967"/>
      <c r="G665" s="967"/>
      <c r="H665" s="972"/>
      <c r="I665" s="964" t="s">
        <v>2312</v>
      </c>
    </row>
    <row r="666" spans="1:12" s="965" customFormat="1" hidden="1">
      <c r="A666" s="896"/>
      <c r="B666" s="966"/>
      <c r="C666" s="1002" t="s">
        <v>695</v>
      </c>
      <c r="E666" s="967" t="s">
        <v>35</v>
      </c>
      <c r="F666" s="973">
        <v>8.0000000000000002E-3</v>
      </c>
      <c r="G666" s="970">
        <f>'MINI SSR 21-22'!C144</f>
        <v>48500</v>
      </c>
      <c r="H666" s="969">
        <f>ROUND(F666*G666,2)</f>
        <v>388</v>
      </c>
      <c r="I666" s="964" t="s">
        <v>2312</v>
      </c>
      <c r="J666" s="901"/>
    </row>
    <row r="667" spans="1:12" s="965" customFormat="1" hidden="1">
      <c r="A667" s="896"/>
      <c r="B667" s="966"/>
      <c r="C667" s="1002" t="s">
        <v>1198</v>
      </c>
      <c r="E667" s="967" t="s">
        <v>4</v>
      </c>
      <c r="F667" s="973">
        <v>0.5</v>
      </c>
      <c r="G667" s="970">
        <f>'lead 21-22'!L9/1000</f>
        <v>64.31</v>
      </c>
      <c r="H667" s="969">
        <f>ROUND(F667*G667,2)</f>
        <v>32.159999999999997</v>
      </c>
      <c r="I667" s="964" t="s">
        <v>2312</v>
      </c>
      <c r="J667" s="901"/>
    </row>
    <row r="668" spans="1:12" s="965" customFormat="1" hidden="1">
      <c r="A668" s="896"/>
      <c r="B668" s="966" t="s">
        <v>1405</v>
      </c>
      <c r="C668" s="1002" t="s">
        <v>1404</v>
      </c>
      <c r="E668" s="967" t="s">
        <v>102</v>
      </c>
      <c r="F668" s="973">
        <v>0.27</v>
      </c>
      <c r="G668" s="970">
        <f>'MINI SSR 21-22'!G153</f>
        <v>373</v>
      </c>
      <c r="H668" s="969">
        <f>ROUND(F668*G668,2)</f>
        <v>100.71</v>
      </c>
      <c r="I668" s="964" t="s">
        <v>2312</v>
      </c>
      <c r="J668" s="901"/>
    </row>
    <row r="669" spans="1:12" hidden="1">
      <c r="A669" s="967"/>
      <c r="B669" s="967"/>
      <c r="C669" s="1002"/>
      <c r="D669" s="967"/>
      <c r="E669" s="970"/>
      <c r="F669" s="970"/>
      <c r="G669" s="970"/>
      <c r="H669" s="969"/>
      <c r="I669" s="964" t="s">
        <v>2312</v>
      </c>
      <c r="L669" s="1019"/>
    </row>
    <row r="670" spans="1:12" ht="13.5" hidden="1" thickBot="1">
      <c r="A670" s="967"/>
      <c r="B670" s="967"/>
      <c r="C670" s="1004" t="s">
        <v>1403</v>
      </c>
      <c r="D670" s="967"/>
      <c r="E670" s="967"/>
      <c r="F670" s="967"/>
      <c r="G670" s="967"/>
      <c r="H670" s="971">
        <f>SUM(H666:H669)</f>
        <v>520.87</v>
      </c>
      <c r="I670" s="964" t="s">
        <v>2312</v>
      </c>
      <c r="L670" s="1020">
        <f>SUM(L669)</f>
        <v>0</v>
      </c>
    </row>
    <row r="671" spans="1:12" hidden="1">
      <c r="A671" s="896">
        <v>2</v>
      </c>
      <c r="B671" s="966"/>
      <c r="C671" s="1002" t="s">
        <v>932</v>
      </c>
      <c r="D671" s="967"/>
      <c r="E671" s="967"/>
      <c r="F671" s="967"/>
      <c r="G671" s="967"/>
      <c r="H671" s="972"/>
      <c r="I671" s="964" t="s">
        <v>2312</v>
      </c>
    </row>
    <row r="672" spans="1:12" hidden="1">
      <c r="A672" s="967"/>
      <c r="B672" s="967" t="s">
        <v>1406</v>
      </c>
      <c r="C672" s="1002" t="s">
        <v>379</v>
      </c>
      <c r="D672" s="967" t="s">
        <v>102</v>
      </c>
      <c r="E672" s="970">
        <v>1</v>
      </c>
      <c r="F672" s="970">
        <f>'MINI SSR 21-22'!G154</f>
        <v>353</v>
      </c>
      <c r="G672" s="970"/>
      <c r="H672" s="969">
        <f>ROUND(E672*F672,2)</f>
        <v>353</v>
      </c>
      <c r="I672" s="964" t="s">
        <v>2312</v>
      </c>
    </row>
    <row r="673" spans="1:12" hidden="1">
      <c r="A673" s="967"/>
      <c r="B673" s="967"/>
      <c r="C673" s="1002" t="s">
        <v>929</v>
      </c>
      <c r="D673" s="896" t="s">
        <v>108</v>
      </c>
      <c r="E673" s="922">
        <v>0.06</v>
      </c>
      <c r="F673" s="922">
        <f>'MINI SSR 21-22'!H3</f>
        <v>585</v>
      </c>
      <c r="G673" s="922"/>
      <c r="H673" s="924">
        <f>ROUND(E673*F673,2)</f>
        <v>35.1</v>
      </c>
      <c r="I673" s="964" t="s">
        <v>2312</v>
      </c>
    </row>
    <row r="674" spans="1:12" hidden="1">
      <c r="A674" s="967"/>
      <c r="B674" s="967"/>
      <c r="C674" s="1002" t="s">
        <v>930</v>
      </c>
      <c r="D674" s="896" t="s">
        <v>108</v>
      </c>
      <c r="E674" s="922">
        <v>0.06</v>
      </c>
      <c r="F674" s="922">
        <f>'MINI SSR 21-22'!H4</f>
        <v>525</v>
      </c>
      <c r="G674" s="922"/>
      <c r="H674" s="924">
        <f>ROUND(E674*F674,2)</f>
        <v>31.5</v>
      </c>
      <c r="I674" s="964" t="s">
        <v>2312</v>
      </c>
    </row>
    <row r="675" spans="1:12" hidden="1">
      <c r="A675" s="967"/>
      <c r="B675" s="967"/>
      <c r="C675" s="1003" t="s">
        <v>931</v>
      </c>
      <c r="D675" s="896" t="s">
        <v>108</v>
      </c>
      <c r="E675" s="920">
        <v>0.27500000000000002</v>
      </c>
      <c r="F675" s="922">
        <f>'MINI SSR 21-22'!H5</f>
        <v>490</v>
      </c>
      <c r="G675" s="922"/>
      <c r="H675" s="924">
        <f>ROUND(E675*F675,2)</f>
        <v>134.75</v>
      </c>
      <c r="I675" s="964" t="s">
        <v>2312</v>
      </c>
    </row>
    <row r="676" spans="1:12" hidden="1">
      <c r="A676" s="967"/>
      <c r="B676" s="967"/>
      <c r="C676" s="1004" t="s">
        <v>1402</v>
      </c>
      <c r="D676" s="967"/>
      <c r="E676" s="967"/>
      <c r="F676" s="967"/>
      <c r="G676" s="967"/>
      <c r="H676" s="971">
        <f>SUM(H672:H675)</f>
        <v>554.35</v>
      </c>
      <c r="I676" s="964" t="s">
        <v>2312</v>
      </c>
    </row>
    <row r="677" spans="1:12" ht="255" hidden="1">
      <c r="A677" s="896">
        <v>5</v>
      </c>
      <c r="B677" s="966"/>
      <c r="C677" s="1002" t="s">
        <v>910</v>
      </c>
      <c r="D677" s="967"/>
      <c r="E677" s="967"/>
      <c r="F677" s="967"/>
      <c r="G677" s="967"/>
      <c r="H677" s="972"/>
      <c r="I677" s="964" t="s">
        <v>2312</v>
      </c>
    </row>
    <row r="678" spans="1:12" hidden="1">
      <c r="A678" s="967"/>
      <c r="B678" s="967"/>
      <c r="C678" s="1002" t="s">
        <v>911</v>
      </c>
      <c r="D678" s="967"/>
      <c r="E678" s="973"/>
      <c r="F678" s="970"/>
      <c r="G678" s="970"/>
      <c r="H678" s="969"/>
      <c r="I678" s="964" t="s">
        <v>2312</v>
      </c>
    </row>
    <row r="679" spans="1:12" hidden="1">
      <c r="A679" s="967"/>
      <c r="B679" s="967" t="s">
        <v>1408</v>
      </c>
      <c r="C679" s="1002" t="s">
        <v>1407</v>
      </c>
      <c r="D679" s="967"/>
      <c r="E679" s="967" t="s">
        <v>277</v>
      </c>
      <c r="F679" s="973">
        <v>6.7</v>
      </c>
      <c r="G679" s="970">
        <f>'MINI SSR 21-22'!C147</f>
        <v>805</v>
      </c>
      <c r="H679" s="969">
        <f t="shared" ref="H679:H686" si="49">ROUND(F679*G679,2)</f>
        <v>5393.5</v>
      </c>
      <c r="I679" s="964" t="s">
        <v>2312</v>
      </c>
    </row>
    <row r="680" spans="1:12" hidden="1">
      <c r="A680" s="967"/>
      <c r="B680" s="967" t="s">
        <v>1410</v>
      </c>
      <c r="C680" s="1002" t="s">
        <v>1409</v>
      </c>
      <c r="D680" s="967"/>
      <c r="E680" s="967" t="s">
        <v>102</v>
      </c>
      <c r="F680" s="973">
        <v>0.86899999999999999</v>
      </c>
      <c r="G680" s="970">
        <f>'MINI SSR 21-22'!C151</f>
        <v>800</v>
      </c>
      <c r="H680" s="969">
        <f t="shared" si="49"/>
        <v>695.2</v>
      </c>
      <c r="I680" s="964" t="s">
        <v>2312</v>
      </c>
    </row>
    <row r="681" spans="1:12" hidden="1">
      <c r="A681" s="967"/>
      <c r="B681" s="967" t="s">
        <v>1391</v>
      </c>
      <c r="C681" s="1002" t="s">
        <v>379</v>
      </c>
      <c r="D681" s="967"/>
      <c r="E681" s="967" t="s">
        <v>102</v>
      </c>
      <c r="F681" s="973">
        <f>ROUND(1.1*2.03,2)</f>
        <v>2.23</v>
      </c>
      <c r="G681" s="970">
        <f>'MINI SSR 21-22'!C146</f>
        <v>3030</v>
      </c>
      <c r="H681" s="969">
        <f t="shared" si="49"/>
        <v>6756.9</v>
      </c>
      <c r="I681" s="964" t="s">
        <v>2312</v>
      </c>
    </row>
    <row r="682" spans="1:12" hidden="1">
      <c r="A682" s="967"/>
      <c r="B682" s="967" t="s">
        <v>1392</v>
      </c>
      <c r="C682" s="1002" t="s">
        <v>1411</v>
      </c>
      <c r="D682" s="967"/>
      <c r="E682" s="967" t="s">
        <v>102</v>
      </c>
      <c r="F682" s="973">
        <v>1.6870000000000001</v>
      </c>
      <c r="G682" s="970">
        <f>'MINI SSR 21-22'!C151</f>
        <v>800</v>
      </c>
      <c r="H682" s="969">
        <f t="shared" si="49"/>
        <v>1349.6</v>
      </c>
      <c r="I682" s="964" t="s">
        <v>2312</v>
      </c>
      <c r="L682" s="1019"/>
    </row>
    <row r="683" spans="1:12" hidden="1">
      <c r="A683" s="896"/>
      <c r="B683" s="966" t="s">
        <v>1413</v>
      </c>
      <c r="C683" s="1002" t="s">
        <v>1412</v>
      </c>
      <c r="D683" s="967"/>
      <c r="E683" s="967" t="s">
        <v>11</v>
      </c>
      <c r="F683" s="988">
        <v>2</v>
      </c>
      <c r="G683" s="970">
        <f>'MINI SSR 21-22'!G144</f>
        <v>103</v>
      </c>
      <c r="H683" s="969">
        <f t="shared" si="49"/>
        <v>206</v>
      </c>
      <c r="I683" s="964" t="s">
        <v>2312</v>
      </c>
    </row>
    <row r="684" spans="1:12" hidden="1">
      <c r="A684" s="896"/>
      <c r="B684" s="966" t="s">
        <v>1381</v>
      </c>
      <c r="C684" s="1002" t="s">
        <v>1380</v>
      </c>
      <c r="D684" s="967"/>
      <c r="E684" s="967" t="s">
        <v>11</v>
      </c>
      <c r="F684" s="988">
        <v>4</v>
      </c>
      <c r="G684" s="970">
        <f>'MINI SSR 21-22'!G147</f>
        <v>103</v>
      </c>
      <c r="H684" s="969">
        <f t="shared" si="49"/>
        <v>412</v>
      </c>
      <c r="I684" s="964" t="s">
        <v>2312</v>
      </c>
    </row>
    <row r="685" spans="1:12" hidden="1">
      <c r="A685" s="896"/>
      <c r="B685" s="966" t="s">
        <v>1398</v>
      </c>
      <c r="C685" s="1002" t="s">
        <v>1397</v>
      </c>
      <c r="D685" s="967"/>
      <c r="E685" s="967" t="s">
        <v>11</v>
      </c>
      <c r="F685" s="988">
        <v>2</v>
      </c>
      <c r="G685" s="970">
        <f>'MINI SSR 21-22'!G149</f>
        <v>308</v>
      </c>
      <c r="H685" s="969">
        <f t="shared" si="49"/>
        <v>616</v>
      </c>
      <c r="I685" s="964" t="s">
        <v>2312</v>
      </c>
    </row>
    <row r="686" spans="1:12" hidden="1">
      <c r="A686" s="896"/>
      <c r="B686" s="966"/>
      <c r="C686" s="1002" t="s">
        <v>912</v>
      </c>
      <c r="D686" s="967"/>
      <c r="E686" s="967" t="s">
        <v>11</v>
      </c>
      <c r="F686" s="988">
        <v>1</v>
      </c>
      <c r="G686" s="970">
        <f>'MINI SSR 21-22'!G155</f>
        <v>53</v>
      </c>
      <c r="H686" s="969">
        <f t="shared" si="49"/>
        <v>53</v>
      </c>
      <c r="I686" s="964" t="s">
        <v>2312</v>
      </c>
    </row>
    <row r="687" spans="1:12" hidden="1">
      <c r="A687" s="967"/>
      <c r="B687" s="967"/>
      <c r="C687" s="1002" t="s">
        <v>909</v>
      </c>
      <c r="D687" s="967"/>
      <c r="E687" s="970"/>
      <c r="F687" s="970"/>
      <c r="G687" s="970"/>
      <c r="H687" s="971">
        <f>SUM(H679:H686)</f>
        <v>15482.199999999999</v>
      </c>
      <c r="I687" s="964" t="s">
        <v>2312</v>
      </c>
    </row>
    <row r="688" spans="1:12" hidden="1">
      <c r="A688" s="967"/>
      <c r="B688" s="967"/>
      <c r="C688" s="1002" t="s">
        <v>121</v>
      </c>
      <c r="D688" s="967"/>
      <c r="E688" s="967"/>
      <c r="F688" s="967"/>
      <c r="G688" s="967"/>
      <c r="H688" s="971">
        <f>ROUND(H687/2.556,2)</f>
        <v>6057.2</v>
      </c>
      <c r="I688" s="964" t="s">
        <v>2312</v>
      </c>
    </row>
    <row r="689" spans="1:12" ht="255" hidden="1">
      <c r="A689" s="896">
        <v>2</v>
      </c>
      <c r="B689" s="966"/>
      <c r="C689" s="1002" t="s">
        <v>910</v>
      </c>
      <c r="D689" s="967"/>
      <c r="E689" s="967"/>
      <c r="F689" s="967"/>
      <c r="G689" s="967"/>
      <c r="H689" s="972"/>
      <c r="I689" s="964" t="s">
        <v>2312</v>
      </c>
    </row>
    <row r="690" spans="1:12" hidden="1">
      <c r="A690" s="967"/>
      <c r="B690" s="967"/>
      <c r="C690" s="1002" t="s">
        <v>911</v>
      </c>
      <c r="D690" s="967"/>
      <c r="E690" s="973"/>
      <c r="F690" s="970"/>
      <c r="G690" s="970"/>
      <c r="H690" s="969"/>
      <c r="I690" s="964" t="s">
        <v>2312</v>
      </c>
    </row>
    <row r="691" spans="1:12" hidden="1">
      <c r="A691" s="967"/>
      <c r="B691" s="967" t="s">
        <v>1408</v>
      </c>
      <c r="C691" s="1002" t="s">
        <v>1407</v>
      </c>
      <c r="D691" s="967"/>
      <c r="E691" s="967" t="s">
        <v>277</v>
      </c>
      <c r="F691" s="973">
        <v>5.45</v>
      </c>
      <c r="G691" s="970">
        <f t="shared" ref="G691:G698" si="50">G679</f>
        <v>805</v>
      </c>
      <c r="H691" s="969">
        <f t="shared" ref="H691:H698" si="51">ROUND(F691*G691,2)</f>
        <v>4387.25</v>
      </c>
      <c r="I691" s="964" t="s">
        <v>2312</v>
      </c>
    </row>
    <row r="692" spans="1:12" hidden="1">
      <c r="A692" s="967"/>
      <c r="B692" s="967" t="s">
        <v>1410</v>
      </c>
      <c r="C692" s="1002" t="s">
        <v>1409</v>
      </c>
      <c r="D692" s="967"/>
      <c r="E692" s="967" t="s">
        <v>102</v>
      </c>
      <c r="F692" s="973">
        <v>0.86899999999999999</v>
      </c>
      <c r="G692" s="970">
        <f t="shared" si="50"/>
        <v>800</v>
      </c>
      <c r="H692" s="969">
        <f t="shared" si="51"/>
        <v>695.2</v>
      </c>
      <c r="I692" s="964" t="s">
        <v>2312</v>
      </c>
    </row>
    <row r="693" spans="1:12" hidden="1">
      <c r="A693" s="967"/>
      <c r="B693" s="967" t="s">
        <v>1391</v>
      </c>
      <c r="C693" s="1002" t="s">
        <v>379</v>
      </c>
      <c r="D693" s="967"/>
      <c r="E693" s="967" t="s">
        <v>102</v>
      </c>
      <c r="F693" s="973">
        <f>ROUND(1.1*2.03,2)</f>
        <v>2.23</v>
      </c>
      <c r="G693" s="970">
        <f t="shared" si="50"/>
        <v>3030</v>
      </c>
      <c r="H693" s="969">
        <f t="shared" si="51"/>
        <v>6756.9</v>
      </c>
      <c r="I693" s="964" t="s">
        <v>2312</v>
      </c>
    </row>
    <row r="694" spans="1:12" hidden="1">
      <c r="A694" s="967"/>
      <c r="B694" s="967" t="s">
        <v>1392</v>
      </c>
      <c r="C694" s="1002" t="s">
        <v>1411</v>
      </c>
      <c r="D694" s="967"/>
      <c r="E694" s="967" t="s">
        <v>102</v>
      </c>
      <c r="F694" s="973">
        <v>1.6870000000000001</v>
      </c>
      <c r="G694" s="970">
        <f t="shared" si="50"/>
        <v>800</v>
      </c>
      <c r="H694" s="969">
        <f t="shared" si="51"/>
        <v>1349.6</v>
      </c>
      <c r="I694" s="964" t="s">
        <v>2312</v>
      </c>
      <c r="L694" s="1019"/>
    </row>
    <row r="695" spans="1:12" hidden="1">
      <c r="A695" s="896"/>
      <c r="B695" s="966" t="s">
        <v>1413</v>
      </c>
      <c r="C695" s="1002" t="s">
        <v>1412</v>
      </c>
      <c r="D695" s="967"/>
      <c r="E695" s="967" t="s">
        <v>11</v>
      </c>
      <c r="F695" s="988">
        <v>2</v>
      </c>
      <c r="G695" s="970">
        <f t="shared" si="50"/>
        <v>103</v>
      </c>
      <c r="H695" s="969">
        <f t="shared" si="51"/>
        <v>206</v>
      </c>
      <c r="I695" s="964" t="s">
        <v>2312</v>
      </c>
    </row>
    <row r="696" spans="1:12" hidden="1">
      <c r="A696" s="896"/>
      <c r="B696" s="966" t="s">
        <v>1381</v>
      </c>
      <c r="C696" s="1002" t="s">
        <v>1380</v>
      </c>
      <c r="D696" s="967"/>
      <c r="E696" s="967" t="s">
        <v>11</v>
      </c>
      <c r="F696" s="988">
        <v>4</v>
      </c>
      <c r="G696" s="970">
        <f t="shared" si="50"/>
        <v>103</v>
      </c>
      <c r="H696" s="969">
        <f t="shared" si="51"/>
        <v>412</v>
      </c>
      <c r="I696" s="964" t="s">
        <v>2312</v>
      </c>
    </row>
    <row r="697" spans="1:12" hidden="1">
      <c r="A697" s="896"/>
      <c r="B697" s="966" t="s">
        <v>1398</v>
      </c>
      <c r="C697" s="1002" t="s">
        <v>1397</v>
      </c>
      <c r="D697" s="967"/>
      <c r="E697" s="967" t="s">
        <v>11</v>
      </c>
      <c r="F697" s="988">
        <v>2</v>
      </c>
      <c r="G697" s="970">
        <f t="shared" si="50"/>
        <v>308</v>
      </c>
      <c r="H697" s="969">
        <f t="shared" si="51"/>
        <v>616</v>
      </c>
      <c r="I697" s="964" t="s">
        <v>2312</v>
      </c>
    </row>
    <row r="698" spans="1:12" hidden="1">
      <c r="A698" s="896"/>
      <c r="B698" s="966"/>
      <c r="C698" s="1002" t="s">
        <v>912</v>
      </c>
      <c r="D698" s="967"/>
      <c r="E698" s="967" t="s">
        <v>11</v>
      </c>
      <c r="F698" s="988">
        <v>1</v>
      </c>
      <c r="G698" s="970">
        <f t="shared" si="50"/>
        <v>53</v>
      </c>
      <c r="H698" s="969">
        <f t="shared" si="51"/>
        <v>53</v>
      </c>
      <c r="I698" s="964" t="s">
        <v>2312</v>
      </c>
    </row>
    <row r="699" spans="1:12" hidden="1">
      <c r="A699" s="967"/>
      <c r="B699" s="967"/>
      <c r="C699" s="1002" t="s">
        <v>909</v>
      </c>
      <c r="D699" s="967"/>
      <c r="E699" s="970"/>
      <c r="F699" s="970"/>
      <c r="G699" s="970"/>
      <c r="H699" s="971">
        <f>SUM(H691:H698)</f>
        <v>14475.949999999999</v>
      </c>
      <c r="I699" s="964" t="s">
        <v>2312</v>
      </c>
    </row>
    <row r="700" spans="1:12" hidden="1">
      <c r="A700" s="967"/>
      <c r="B700" s="967"/>
      <c r="C700" s="1002" t="s">
        <v>121</v>
      </c>
      <c r="D700" s="967"/>
      <c r="E700" s="967"/>
      <c r="F700" s="967"/>
      <c r="G700" s="967"/>
      <c r="H700" s="971">
        <f>ROUND(H699/2.556,2)</f>
        <v>5663.52</v>
      </c>
      <c r="I700" s="964" t="s">
        <v>2312</v>
      </c>
    </row>
    <row r="701" spans="1:12" ht="258.75">
      <c r="A701" s="896">
        <v>4</v>
      </c>
      <c r="B701" s="966"/>
      <c r="C701" s="1377" t="s">
        <v>3615</v>
      </c>
      <c r="D701" s="967"/>
      <c r="E701" s="967"/>
      <c r="F701" s="967"/>
      <c r="G701" s="967"/>
      <c r="H701" s="972"/>
      <c r="I701" s="964" t="s">
        <v>2312</v>
      </c>
    </row>
    <row r="702" spans="1:12" hidden="1">
      <c r="A702" s="967"/>
      <c r="B702" s="967" t="s">
        <v>1415</v>
      </c>
      <c r="C702" s="1002" t="s">
        <v>1414</v>
      </c>
      <c r="D702" s="967" t="s">
        <v>102</v>
      </c>
      <c r="E702" s="970">
        <v>1</v>
      </c>
      <c r="F702" s="970">
        <f>'MINI SSR 21-22'!C153</f>
        <v>6038</v>
      </c>
      <c r="G702" s="970"/>
      <c r="H702" s="969">
        <f>ROUND(E702*F702,2)</f>
        <v>6038</v>
      </c>
      <c r="I702" s="964" t="s">
        <v>2312</v>
      </c>
    </row>
    <row r="703" spans="1:12" hidden="1">
      <c r="A703" s="967"/>
      <c r="B703" s="967"/>
      <c r="C703" s="1004"/>
      <c r="D703" s="967"/>
      <c r="E703" s="967"/>
      <c r="F703" s="967"/>
      <c r="G703" s="967"/>
      <c r="H703" s="971">
        <f>SUM(H702:H702)</f>
        <v>6038</v>
      </c>
      <c r="I703" s="964" t="s">
        <v>2312</v>
      </c>
    </row>
    <row r="704" spans="1:12">
      <c r="A704" s="967"/>
      <c r="B704" s="967" t="s">
        <v>1415</v>
      </c>
      <c r="C704" s="1002" t="s">
        <v>1416</v>
      </c>
      <c r="D704" s="967" t="s">
        <v>102</v>
      </c>
      <c r="E704" s="970">
        <v>1</v>
      </c>
      <c r="F704" s="970">
        <f>'MINI SSR 21-22'!C152</f>
        <v>8058</v>
      </c>
      <c r="G704" s="970"/>
      <c r="H704" s="969">
        <f>ROUND(E704*F704,2)</f>
        <v>8058</v>
      </c>
      <c r="I704" s="964" t="s">
        <v>2312</v>
      </c>
    </row>
    <row r="705" spans="1:10">
      <c r="A705" s="967"/>
      <c r="B705" s="967"/>
      <c r="C705" s="1004"/>
      <c r="D705" s="967"/>
      <c r="E705" s="967"/>
      <c r="F705" s="967"/>
      <c r="G705" s="967"/>
      <c r="H705" s="971">
        <f>SUM(H704:H704)</f>
        <v>8058</v>
      </c>
      <c r="I705" s="964" t="s">
        <v>2312</v>
      </c>
    </row>
    <row r="706" spans="1:10" hidden="1">
      <c r="A706" s="967">
        <v>6</v>
      </c>
      <c r="B706" s="967" t="s">
        <v>1418</v>
      </c>
      <c r="C706" s="1002" t="s">
        <v>1417</v>
      </c>
      <c r="D706" s="967" t="s">
        <v>102</v>
      </c>
      <c r="E706" s="970">
        <v>1</v>
      </c>
      <c r="F706" s="970">
        <f>'MINI SSR 21-22'!C154</f>
        <v>5830</v>
      </c>
      <c r="G706" s="970"/>
      <c r="H706" s="969">
        <f>ROUND(E706*F706,2)</f>
        <v>5830</v>
      </c>
      <c r="I706" s="964" t="s">
        <v>2312</v>
      </c>
    </row>
    <row r="707" spans="1:10" hidden="1">
      <c r="A707" s="967"/>
      <c r="B707" s="967"/>
      <c r="C707" s="1004"/>
      <c r="D707" s="967"/>
      <c r="E707" s="967"/>
      <c r="F707" s="967"/>
      <c r="G707" s="967"/>
      <c r="H707" s="971">
        <f>SUM(H706:H706)</f>
        <v>5830</v>
      </c>
      <c r="I707" s="964" t="s">
        <v>2312</v>
      </c>
    </row>
    <row r="708" spans="1:10" ht="38.25" hidden="1">
      <c r="A708" s="896">
        <v>3</v>
      </c>
      <c r="B708" s="966"/>
      <c r="C708" s="1002" t="s">
        <v>2284</v>
      </c>
      <c r="D708" s="967"/>
      <c r="E708" s="967"/>
      <c r="F708" s="967"/>
      <c r="G708" s="967"/>
      <c r="H708" s="972"/>
      <c r="I708" s="964" t="s">
        <v>2312</v>
      </c>
    </row>
    <row r="709" spans="1:10" hidden="1">
      <c r="A709" s="967"/>
      <c r="B709" s="967" t="s">
        <v>2282</v>
      </c>
      <c r="C709" s="1002" t="s">
        <v>1414</v>
      </c>
      <c r="D709" s="967" t="s">
        <v>102</v>
      </c>
      <c r="E709" s="970">
        <v>1</v>
      </c>
      <c r="F709" s="970">
        <f>'MINI SSR 21-22'!C156</f>
        <v>3797</v>
      </c>
      <c r="G709" s="970"/>
      <c r="H709" s="969">
        <f>ROUND(E709*F709,2)</f>
        <v>3797</v>
      </c>
      <c r="I709" s="964" t="s">
        <v>2312</v>
      </c>
    </row>
    <row r="710" spans="1:10" hidden="1">
      <c r="A710" s="967"/>
      <c r="B710" s="967"/>
      <c r="C710" s="1004"/>
      <c r="D710" s="967"/>
      <c r="E710" s="967"/>
      <c r="F710" s="967"/>
      <c r="G710" s="967"/>
      <c r="H710" s="971">
        <f>SUM(H709:H709)</f>
        <v>3797</v>
      </c>
      <c r="I710" s="964" t="s">
        <v>2312</v>
      </c>
    </row>
    <row r="711" spans="1:10" hidden="1">
      <c r="A711" s="967"/>
      <c r="B711" s="967"/>
      <c r="C711" s="1013" t="s">
        <v>2311</v>
      </c>
      <c r="D711" s="967"/>
      <c r="E711" s="967"/>
      <c r="F711" s="967"/>
      <c r="G711" s="967"/>
      <c r="H711" s="971"/>
      <c r="I711" s="964" t="s">
        <v>2313</v>
      </c>
    </row>
    <row r="712" spans="1:10" ht="127.5" hidden="1">
      <c r="A712" s="896">
        <v>1</v>
      </c>
      <c r="B712" s="966"/>
      <c r="C712" s="1002" t="s">
        <v>1308</v>
      </c>
      <c r="D712" s="967"/>
      <c r="E712" s="967"/>
      <c r="F712" s="967"/>
      <c r="G712" s="967"/>
      <c r="H712" s="972"/>
      <c r="I712" s="964" t="s">
        <v>2313</v>
      </c>
    </row>
    <row r="713" spans="1:10" hidden="1">
      <c r="A713" s="896"/>
      <c r="B713" s="966"/>
      <c r="C713" s="1004" t="s">
        <v>100</v>
      </c>
      <c r="D713" s="967"/>
      <c r="E713" s="967"/>
      <c r="F713" s="967"/>
      <c r="G713" s="967"/>
      <c r="H713" s="972"/>
      <c r="I713" s="964" t="s">
        <v>2313</v>
      </c>
    </row>
    <row r="714" spans="1:10" s="965" customFormat="1" hidden="1">
      <c r="A714" s="896"/>
      <c r="B714" s="966"/>
      <c r="C714" s="1004" t="s">
        <v>594</v>
      </c>
      <c r="D714" s="967"/>
      <c r="E714" s="967"/>
      <c r="F714" s="967"/>
      <c r="G714" s="967"/>
      <c r="H714" s="972"/>
      <c r="I714" s="964" t="s">
        <v>2313</v>
      </c>
      <c r="J714" s="901"/>
    </row>
    <row r="715" spans="1:10" s="965" customFormat="1" hidden="1">
      <c r="A715" s="896"/>
      <c r="B715" s="966"/>
      <c r="C715" s="1002" t="s">
        <v>2</v>
      </c>
      <c r="D715" s="1014">
        <v>2</v>
      </c>
      <c r="E715" s="1015">
        <v>1.9</v>
      </c>
      <c r="F715" s="1016">
        <v>0.1</v>
      </c>
      <c r="G715" s="1016">
        <v>7.4999999999999997E-2</v>
      </c>
      <c r="H715" s="1017">
        <f>ROUND(D715*E715*F715*G715,4)</f>
        <v>2.8500000000000001E-2</v>
      </c>
      <c r="I715" s="964" t="s">
        <v>2313</v>
      </c>
      <c r="J715" s="901"/>
    </row>
    <row r="716" spans="1:10" s="965" customFormat="1" hidden="1">
      <c r="A716" s="896"/>
      <c r="B716" s="966"/>
      <c r="C716" s="1002" t="s">
        <v>741</v>
      </c>
      <c r="D716" s="1014">
        <v>2</v>
      </c>
      <c r="E716" s="1015">
        <v>1.2</v>
      </c>
      <c r="F716" s="1016">
        <v>0.1</v>
      </c>
      <c r="G716" s="1016">
        <v>7.4999999999999997E-2</v>
      </c>
      <c r="H716" s="1017">
        <f>ROUND(D716*E716*F716*G716,4)</f>
        <v>1.7999999999999999E-2</v>
      </c>
      <c r="I716" s="964" t="s">
        <v>2313</v>
      </c>
      <c r="J716" s="901"/>
    </row>
    <row r="717" spans="1:10" s="965" customFormat="1" hidden="1">
      <c r="A717" s="896"/>
      <c r="B717" s="966"/>
      <c r="C717" s="1004"/>
      <c r="D717" s="967"/>
      <c r="E717" s="967"/>
      <c r="F717" s="967"/>
      <c r="G717" s="967"/>
      <c r="H717" s="1018">
        <f>SUM(H715:H716)</f>
        <v>4.65E-2</v>
      </c>
      <c r="I717" s="964" t="s">
        <v>2313</v>
      </c>
      <c r="J717" s="901"/>
    </row>
    <row r="718" spans="1:10" s="965" customFormat="1" hidden="1">
      <c r="A718" s="896"/>
      <c r="B718" s="966"/>
      <c r="C718" s="1004" t="s">
        <v>320</v>
      </c>
      <c r="D718" s="1014">
        <v>2</v>
      </c>
      <c r="E718" s="1015">
        <v>1.95</v>
      </c>
      <c r="F718" s="1016">
        <v>0.52</v>
      </c>
      <c r="G718" s="1016">
        <v>0.03</v>
      </c>
      <c r="H718" s="1017">
        <f>ROUND(D718*E718*F718*G718,4)</f>
        <v>6.08E-2</v>
      </c>
      <c r="I718" s="964" t="s">
        <v>2313</v>
      </c>
      <c r="J718" s="901"/>
    </row>
    <row r="719" spans="1:10" s="965" customFormat="1" hidden="1">
      <c r="A719" s="896"/>
      <c r="B719" s="966"/>
      <c r="C719" s="1004"/>
      <c r="D719" s="967"/>
      <c r="E719" s="967"/>
      <c r="F719" s="967"/>
      <c r="G719" s="967"/>
      <c r="H719" s="1018">
        <f>SUM(H718)</f>
        <v>6.08E-2</v>
      </c>
      <c r="I719" s="964" t="s">
        <v>2313</v>
      </c>
      <c r="J719" s="901"/>
    </row>
    <row r="720" spans="1:10" s="965" customFormat="1" hidden="1">
      <c r="A720" s="896"/>
      <c r="B720" s="966" t="s">
        <v>1373</v>
      </c>
      <c r="C720" s="1002" t="s">
        <v>1372</v>
      </c>
      <c r="D720" s="967"/>
      <c r="E720" s="967" t="s">
        <v>35</v>
      </c>
      <c r="F720" s="976">
        <f>H717</f>
        <v>4.65E-2</v>
      </c>
      <c r="G720" s="970">
        <f>'MINI SSR 2022-23'!C142</f>
        <v>81950</v>
      </c>
      <c r="H720" s="969">
        <f t="shared" ref="H720:H727" si="52">ROUND(F720*G720,2)</f>
        <v>3810.68</v>
      </c>
      <c r="I720" s="964" t="s">
        <v>2313</v>
      </c>
      <c r="J720" s="901"/>
    </row>
    <row r="721" spans="1:12" s="965" customFormat="1" hidden="1">
      <c r="A721" s="896"/>
      <c r="B721" s="966" t="s">
        <v>1375</v>
      </c>
      <c r="C721" s="1002" t="s">
        <v>1374</v>
      </c>
      <c r="D721" s="967"/>
      <c r="E721" s="967" t="s">
        <v>35</v>
      </c>
      <c r="F721" s="976">
        <f>H719</f>
        <v>6.08E-2</v>
      </c>
      <c r="G721" s="970">
        <f>'MINI SSR 2022-23'!C143</f>
        <v>160920</v>
      </c>
      <c r="H721" s="969">
        <f t="shared" si="52"/>
        <v>9783.94</v>
      </c>
      <c r="I721" s="964" t="s">
        <v>2313</v>
      </c>
      <c r="J721" s="901"/>
    </row>
    <row r="722" spans="1:12" s="965" customFormat="1" hidden="1">
      <c r="A722" s="896"/>
      <c r="B722" s="966" t="s">
        <v>1377</v>
      </c>
      <c r="C722" s="1002" t="s">
        <v>1376</v>
      </c>
      <c r="D722" s="967"/>
      <c r="E722" s="967" t="s">
        <v>11</v>
      </c>
      <c r="F722" s="988">
        <v>2</v>
      </c>
      <c r="G722" s="970">
        <f>'MINI SSR 2022-23'!G142</f>
        <v>255</v>
      </c>
      <c r="H722" s="969">
        <f t="shared" si="52"/>
        <v>510</v>
      </c>
      <c r="I722" s="964" t="s">
        <v>2313</v>
      </c>
      <c r="J722" s="901"/>
    </row>
    <row r="723" spans="1:12" hidden="1">
      <c r="A723" s="896"/>
      <c r="B723" s="966" t="s">
        <v>1379</v>
      </c>
      <c r="C723" s="1002" t="s">
        <v>1378</v>
      </c>
      <c r="D723" s="967"/>
      <c r="E723" s="967" t="s">
        <v>11</v>
      </c>
      <c r="F723" s="988">
        <v>6</v>
      </c>
      <c r="G723" s="970">
        <f>'MINI SSR 2022-23'!G145</f>
        <v>273</v>
      </c>
      <c r="H723" s="969">
        <f t="shared" si="52"/>
        <v>1638</v>
      </c>
      <c r="I723" s="964" t="s">
        <v>2313</v>
      </c>
    </row>
    <row r="724" spans="1:12" hidden="1">
      <c r="A724" s="896"/>
      <c r="B724" s="966" t="s">
        <v>1381</v>
      </c>
      <c r="C724" s="1002" t="s">
        <v>1380</v>
      </c>
      <c r="D724" s="967"/>
      <c r="E724" s="967" t="s">
        <v>11</v>
      </c>
      <c r="F724" s="988"/>
      <c r="G724" s="970">
        <f>'MINI SSR 2022-23'!G144</f>
        <v>108</v>
      </c>
      <c r="H724" s="969">
        <f t="shared" si="52"/>
        <v>0</v>
      </c>
      <c r="I724" s="964" t="s">
        <v>2313</v>
      </c>
    </row>
    <row r="725" spans="1:12" hidden="1">
      <c r="A725" s="896"/>
      <c r="B725" s="966" t="s">
        <v>1383</v>
      </c>
      <c r="C725" s="1002" t="s">
        <v>1382</v>
      </c>
      <c r="D725" s="967"/>
      <c r="E725" s="967" t="s">
        <v>11</v>
      </c>
      <c r="F725" s="988">
        <v>2</v>
      </c>
      <c r="G725" s="970">
        <f>'MINI SSR 2022-23'!G148</f>
        <v>1195</v>
      </c>
      <c r="H725" s="969">
        <f t="shared" si="52"/>
        <v>2390</v>
      </c>
      <c r="I725" s="964" t="s">
        <v>2313</v>
      </c>
    </row>
    <row r="726" spans="1:12" hidden="1">
      <c r="A726" s="896"/>
      <c r="B726" s="966" t="s">
        <v>1385</v>
      </c>
      <c r="C726" s="1002" t="s">
        <v>1384</v>
      </c>
      <c r="D726" s="967"/>
      <c r="E726" s="967" t="s">
        <v>11</v>
      </c>
      <c r="F726" s="988">
        <v>1</v>
      </c>
      <c r="G726" s="970">
        <f>'MINI SSR 2022-23'!G150</f>
        <v>185</v>
      </c>
      <c r="H726" s="969">
        <f t="shared" si="52"/>
        <v>185</v>
      </c>
      <c r="I726" s="964" t="s">
        <v>2313</v>
      </c>
    </row>
    <row r="727" spans="1:12" hidden="1">
      <c r="A727" s="896"/>
      <c r="B727" s="966" t="s">
        <v>1387</v>
      </c>
      <c r="C727" s="1002" t="s">
        <v>1386</v>
      </c>
      <c r="D727" s="967"/>
      <c r="E727" s="967" t="s">
        <v>11</v>
      </c>
      <c r="F727" s="988">
        <v>6</v>
      </c>
      <c r="G727" s="970">
        <f>'MINI SSR 2022-23'!G152</f>
        <v>39</v>
      </c>
      <c r="H727" s="969">
        <f t="shared" si="52"/>
        <v>234</v>
      </c>
      <c r="I727" s="964" t="s">
        <v>2313</v>
      </c>
    </row>
    <row r="728" spans="1:12" hidden="1">
      <c r="A728" s="967"/>
      <c r="B728" s="967"/>
      <c r="C728" s="1004" t="s">
        <v>68</v>
      </c>
      <c r="D728" s="967"/>
      <c r="E728" s="967"/>
      <c r="F728" s="970"/>
      <c r="G728" s="974"/>
      <c r="H728" s="969"/>
      <c r="I728" s="964" t="s">
        <v>2313</v>
      </c>
    </row>
    <row r="729" spans="1:12" hidden="1">
      <c r="A729" s="967"/>
      <c r="B729" s="967" t="s">
        <v>1389</v>
      </c>
      <c r="C729" s="1002" t="s">
        <v>1388</v>
      </c>
      <c r="D729" s="967"/>
      <c r="E729" s="967" t="s">
        <v>102</v>
      </c>
      <c r="F729" s="970">
        <f>ROUND(1.2*2.1,2)</f>
        <v>2.52</v>
      </c>
      <c r="G729" s="970">
        <f>'MINI SSR 2022-23'!C149</f>
        <v>1727</v>
      </c>
      <c r="H729" s="969">
        <f>ROUND(F729*G729,2)</f>
        <v>4352.04</v>
      </c>
      <c r="I729" s="964" t="s">
        <v>2313</v>
      </c>
      <c r="L729" s="1019">
        <f>H729</f>
        <v>4352.04</v>
      </c>
    </row>
    <row r="730" spans="1:12" ht="13.5" hidden="1" thickBot="1">
      <c r="A730" s="967"/>
      <c r="B730" s="967"/>
      <c r="C730" s="1004"/>
      <c r="D730" s="967"/>
      <c r="E730" s="967"/>
      <c r="F730" s="967"/>
      <c r="G730" s="967"/>
      <c r="H730" s="971">
        <f>SUM(H720:H729)</f>
        <v>22903.660000000003</v>
      </c>
      <c r="I730" s="964" t="s">
        <v>2313</v>
      </c>
      <c r="L730" s="1020">
        <f>SUM(L729)</f>
        <v>4352.04</v>
      </c>
    </row>
    <row r="731" spans="1:12" ht="127.5" hidden="1">
      <c r="A731" s="896">
        <v>2</v>
      </c>
      <c r="B731" s="966"/>
      <c r="C731" s="1002" t="s">
        <v>1309</v>
      </c>
      <c r="D731" s="967"/>
      <c r="E731" s="967"/>
      <c r="F731" s="967"/>
      <c r="G731" s="967"/>
      <c r="H731" s="972"/>
      <c r="I731" s="964" t="s">
        <v>2313</v>
      </c>
    </row>
    <row r="732" spans="1:12" hidden="1">
      <c r="A732" s="896"/>
      <c r="B732" s="966"/>
      <c r="C732" s="1004" t="s">
        <v>100</v>
      </c>
      <c r="D732" s="967"/>
      <c r="E732" s="967"/>
      <c r="F732" s="967"/>
      <c r="G732" s="967"/>
      <c r="H732" s="972"/>
      <c r="I732" s="964" t="s">
        <v>2313</v>
      </c>
    </row>
    <row r="733" spans="1:12" s="965" customFormat="1" hidden="1">
      <c r="A733" s="896"/>
      <c r="B733" s="966"/>
      <c r="C733" s="1004" t="s">
        <v>1</v>
      </c>
      <c r="D733" s="967"/>
      <c r="E733" s="967"/>
      <c r="F733" s="967"/>
      <c r="G733" s="967"/>
      <c r="H733" s="972"/>
      <c r="I733" s="964" t="s">
        <v>2313</v>
      </c>
      <c r="J733" s="901"/>
    </row>
    <row r="734" spans="1:12" s="965" customFormat="1" hidden="1">
      <c r="A734" s="896"/>
      <c r="B734" s="966"/>
      <c r="C734" s="1002" t="s">
        <v>2</v>
      </c>
      <c r="D734" s="1014">
        <v>2</v>
      </c>
      <c r="E734" s="1015">
        <v>1.9</v>
      </c>
      <c r="F734" s="1016">
        <v>0.1</v>
      </c>
      <c r="G734" s="1016">
        <v>7.4999999999999997E-2</v>
      </c>
      <c r="H734" s="1017">
        <f>ROUND(D734*E734*F734*G734,4)</f>
        <v>2.8500000000000001E-2</v>
      </c>
      <c r="I734" s="964" t="s">
        <v>2313</v>
      </c>
      <c r="J734" s="901"/>
    </row>
    <row r="735" spans="1:12" s="965" customFormat="1" hidden="1">
      <c r="A735" s="896"/>
      <c r="B735" s="966"/>
      <c r="C735" s="1002" t="s">
        <v>741</v>
      </c>
      <c r="D735" s="1014">
        <v>1</v>
      </c>
      <c r="E735" s="1015">
        <v>1.2</v>
      </c>
      <c r="F735" s="1016">
        <v>0.1</v>
      </c>
      <c r="G735" s="1016">
        <v>7.4999999999999997E-2</v>
      </c>
      <c r="H735" s="1017">
        <f>ROUND(D735*E735*F735*G735,4)</f>
        <v>8.9999999999999993E-3</v>
      </c>
      <c r="I735" s="964" t="s">
        <v>2313</v>
      </c>
      <c r="J735" s="901"/>
    </row>
    <row r="736" spans="1:12" s="965" customFormat="1" hidden="1">
      <c r="A736" s="896"/>
      <c r="B736" s="966"/>
      <c r="C736" s="1004"/>
      <c r="D736" s="967"/>
      <c r="E736" s="967"/>
      <c r="F736" s="967"/>
      <c r="G736" s="967"/>
      <c r="H736" s="1018">
        <f>SUM(H734:H735)</f>
        <v>3.7499999999999999E-2</v>
      </c>
      <c r="I736" s="964" t="s">
        <v>2313</v>
      </c>
      <c r="J736" s="901"/>
    </row>
    <row r="737" spans="1:12" s="965" customFormat="1" hidden="1">
      <c r="A737" s="896"/>
      <c r="B737" s="966" t="s">
        <v>1682</v>
      </c>
      <c r="C737" s="1002" t="s">
        <v>1683</v>
      </c>
      <c r="E737" s="967" t="s">
        <v>35</v>
      </c>
      <c r="F737" s="976">
        <f>H736</f>
        <v>3.7499999999999999E-2</v>
      </c>
      <c r="G737" s="970">
        <f>'MINI SSR 2022-23'!$C$144</f>
        <v>51000</v>
      </c>
      <c r="H737" s="969">
        <f t="shared" ref="H737:H745" si="53">ROUND(F737*G737,2)</f>
        <v>1912.5</v>
      </c>
      <c r="I737" s="964" t="s">
        <v>2313</v>
      </c>
      <c r="J737" s="901"/>
    </row>
    <row r="738" spans="1:12" s="965" customFormat="1" hidden="1">
      <c r="A738" s="896"/>
      <c r="B738" s="967" t="s">
        <v>2092</v>
      </c>
      <c r="C738" s="1002" t="s">
        <v>2093</v>
      </c>
      <c r="D738" s="967"/>
      <c r="E738" s="967" t="s">
        <v>102</v>
      </c>
      <c r="F738" s="976">
        <f>ROUND(1.05*1.995,2)</f>
        <v>2.09</v>
      </c>
      <c r="G738" s="970">
        <f>'MINI SSR 2022-23'!$C$148</f>
        <v>2000</v>
      </c>
      <c r="H738" s="969">
        <f t="shared" si="53"/>
        <v>4180</v>
      </c>
      <c r="I738" s="964" t="s">
        <v>2313</v>
      </c>
      <c r="J738" s="901"/>
    </row>
    <row r="739" spans="1:12" s="965" customFormat="1" hidden="1">
      <c r="A739" s="896"/>
      <c r="B739" s="967" t="s">
        <v>2094</v>
      </c>
      <c r="C739" s="1002" t="s">
        <v>2095</v>
      </c>
      <c r="D739" s="967"/>
      <c r="E739" s="967" t="s">
        <v>102</v>
      </c>
      <c r="F739" s="976">
        <f>ROUND(1.05*1.995,2)</f>
        <v>2.09</v>
      </c>
      <c r="G739" s="970">
        <f>'MINI SSR 2022-23'!$C$151</f>
        <v>1036</v>
      </c>
      <c r="H739" s="969">
        <f t="shared" si="53"/>
        <v>2165.2399999999998</v>
      </c>
      <c r="I739" s="964" t="s">
        <v>2313</v>
      </c>
      <c r="J739" s="901"/>
    </row>
    <row r="740" spans="1:12" hidden="1">
      <c r="A740" s="896"/>
      <c r="B740" s="967" t="s">
        <v>1394</v>
      </c>
      <c r="C740" s="1002" t="s">
        <v>1393</v>
      </c>
      <c r="D740" s="967"/>
      <c r="E740" s="967" t="s">
        <v>11</v>
      </c>
      <c r="F740" s="988">
        <v>2</v>
      </c>
      <c r="G740" s="970">
        <f>'MINI SSR 2022-23'!$G$143</f>
        <v>86.5</v>
      </c>
      <c r="H740" s="969">
        <f t="shared" si="53"/>
        <v>173</v>
      </c>
      <c r="I740" s="964" t="s">
        <v>2313</v>
      </c>
    </row>
    <row r="741" spans="1:12" hidden="1">
      <c r="A741" s="896"/>
      <c r="B741" s="967" t="s">
        <v>1396</v>
      </c>
      <c r="C741" s="1002" t="s">
        <v>1395</v>
      </c>
      <c r="D741" s="967"/>
      <c r="E741" s="967" t="s">
        <v>11</v>
      </c>
      <c r="F741" s="988">
        <v>3</v>
      </c>
      <c r="G741" s="970">
        <f>'MINI SSR 2022-23'!$G$146</f>
        <v>129</v>
      </c>
      <c r="H741" s="969">
        <f t="shared" si="53"/>
        <v>387</v>
      </c>
      <c r="I741" s="964" t="s">
        <v>2313</v>
      </c>
    </row>
    <row r="742" spans="1:12" hidden="1">
      <c r="A742" s="896"/>
      <c r="B742" s="967" t="s">
        <v>1381</v>
      </c>
      <c r="C742" s="1002" t="s">
        <v>1380</v>
      </c>
      <c r="D742" s="967"/>
      <c r="E742" s="967" t="s">
        <v>11</v>
      </c>
      <c r="F742" s="988">
        <v>2</v>
      </c>
      <c r="G742" s="970">
        <f>'MINI SSR 2022-23'!$G$147</f>
        <v>114</v>
      </c>
      <c r="H742" s="969">
        <f t="shared" si="53"/>
        <v>228</v>
      </c>
      <c r="I742" s="964" t="s">
        <v>2313</v>
      </c>
    </row>
    <row r="743" spans="1:12" hidden="1">
      <c r="A743" s="896"/>
      <c r="B743" s="967" t="s">
        <v>1398</v>
      </c>
      <c r="C743" s="1002" t="s">
        <v>1397</v>
      </c>
      <c r="D743" s="967"/>
      <c r="E743" s="967" t="s">
        <v>11</v>
      </c>
      <c r="F743" s="988">
        <v>2</v>
      </c>
      <c r="G743" s="970">
        <f>'MINI SSR 2022-23'!$G$149</f>
        <v>338</v>
      </c>
      <c r="H743" s="969">
        <f t="shared" si="53"/>
        <v>676</v>
      </c>
      <c r="I743" s="964" t="s">
        <v>2313</v>
      </c>
    </row>
    <row r="744" spans="1:12" hidden="1">
      <c r="A744" s="896"/>
      <c r="B744" s="967" t="s">
        <v>1400</v>
      </c>
      <c r="C744" s="1002" t="s">
        <v>1399</v>
      </c>
      <c r="D744" s="967"/>
      <c r="E744" s="967" t="s">
        <v>11</v>
      </c>
      <c r="F744" s="988">
        <v>1</v>
      </c>
      <c r="G744" s="970">
        <f>'MINI SSR 2022-23'!$G$155</f>
        <v>58</v>
      </c>
      <c r="H744" s="969">
        <f t="shared" si="53"/>
        <v>58</v>
      </c>
      <c r="I744" s="964" t="s">
        <v>2313</v>
      </c>
    </row>
    <row r="745" spans="1:12" hidden="1">
      <c r="A745" s="896"/>
      <c r="B745" s="967" t="s">
        <v>1387</v>
      </c>
      <c r="C745" s="1002" t="s">
        <v>1386</v>
      </c>
      <c r="D745" s="967"/>
      <c r="E745" s="967" t="s">
        <v>11</v>
      </c>
      <c r="F745" s="988">
        <v>6</v>
      </c>
      <c r="G745" s="970">
        <f>'MINI SSR 2022-23'!$G$152</f>
        <v>39</v>
      </c>
      <c r="H745" s="969">
        <f t="shared" si="53"/>
        <v>234</v>
      </c>
      <c r="I745" s="964" t="s">
        <v>2313</v>
      </c>
    </row>
    <row r="746" spans="1:12" hidden="1">
      <c r="A746" s="967"/>
      <c r="B746" s="967"/>
      <c r="C746" s="1004" t="s">
        <v>68</v>
      </c>
      <c r="D746" s="967"/>
      <c r="E746" s="967"/>
      <c r="F746" s="970"/>
      <c r="G746" s="974"/>
      <c r="H746" s="969"/>
      <c r="I746" s="964" t="s">
        <v>2313</v>
      </c>
    </row>
    <row r="747" spans="1:12" ht="25.5" hidden="1">
      <c r="A747" s="967"/>
      <c r="B747" s="967" t="s">
        <v>1389</v>
      </c>
      <c r="C747" s="1002" t="s">
        <v>1401</v>
      </c>
      <c r="D747" s="967"/>
      <c r="E747" s="967" t="s">
        <v>102</v>
      </c>
      <c r="F747" s="970">
        <f>ROUND(1.2*2.1,2)</f>
        <v>2.52</v>
      </c>
      <c r="G747" s="970">
        <f>'MINI SSR 2022-23'!C149</f>
        <v>1727</v>
      </c>
      <c r="H747" s="969">
        <f>ROUND(F747*G747*1/3,2)</f>
        <v>1450.68</v>
      </c>
      <c r="I747" s="964" t="s">
        <v>2313</v>
      </c>
      <c r="L747" s="1019"/>
    </row>
    <row r="748" spans="1:12" ht="13.5" hidden="1" thickBot="1">
      <c r="A748" s="967"/>
      <c r="B748" s="967"/>
      <c r="C748" s="1004"/>
      <c r="D748" s="967"/>
      <c r="E748" s="967"/>
      <c r="F748" s="967"/>
      <c r="G748" s="967"/>
      <c r="H748" s="971">
        <f>SUM(H737:H747)</f>
        <v>11464.42</v>
      </c>
      <c r="I748" s="964" t="s">
        <v>2313</v>
      </c>
      <c r="L748" s="1020"/>
    </row>
    <row r="749" spans="1:12" ht="127.5" hidden="1">
      <c r="A749" s="896">
        <v>3</v>
      </c>
      <c r="B749" s="966"/>
      <c r="C749" s="1002" t="s">
        <v>1309</v>
      </c>
      <c r="D749" s="967"/>
      <c r="E749" s="967"/>
      <c r="F749" s="967"/>
      <c r="G749" s="967"/>
      <c r="H749" s="972"/>
      <c r="I749" s="964" t="s">
        <v>2313</v>
      </c>
    </row>
    <row r="750" spans="1:12" hidden="1">
      <c r="A750" s="896"/>
      <c r="B750" s="966"/>
      <c r="C750" s="1004" t="s">
        <v>100</v>
      </c>
      <c r="D750" s="967"/>
      <c r="E750" s="967"/>
      <c r="F750" s="967"/>
      <c r="G750" s="967"/>
      <c r="H750" s="972"/>
      <c r="I750" s="964" t="s">
        <v>2313</v>
      </c>
    </row>
    <row r="751" spans="1:12" s="965" customFormat="1" hidden="1">
      <c r="A751" s="896"/>
      <c r="B751" s="966"/>
      <c r="C751" s="1004" t="s">
        <v>1</v>
      </c>
      <c r="D751" s="967"/>
      <c r="E751" s="967"/>
      <c r="F751" s="967"/>
      <c r="G751" s="967"/>
      <c r="H751" s="972"/>
      <c r="I751" s="964" t="s">
        <v>2313</v>
      </c>
      <c r="J751" s="901"/>
    </row>
    <row r="752" spans="1:12" s="965" customFormat="1" hidden="1">
      <c r="A752" s="896"/>
      <c r="B752" s="966"/>
      <c r="C752" s="1002" t="s">
        <v>2</v>
      </c>
      <c r="D752" s="1014">
        <v>2</v>
      </c>
      <c r="E752" s="1015">
        <v>1.9</v>
      </c>
      <c r="F752" s="1016">
        <v>0.1</v>
      </c>
      <c r="G752" s="1016">
        <v>7.4999999999999997E-2</v>
      </c>
      <c r="H752" s="1017">
        <f>ROUND(D752*E752*F752*G752,4)</f>
        <v>2.8500000000000001E-2</v>
      </c>
      <c r="I752" s="964" t="s">
        <v>2313</v>
      </c>
      <c r="J752" s="901"/>
    </row>
    <row r="753" spans="1:12" s="965" customFormat="1" hidden="1">
      <c r="A753" s="896"/>
      <c r="B753" s="966"/>
      <c r="C753" s="1002" t="s">
        <v>741</v>
      </c>
      <c r="D753" s="1014">
        <v>1</v>
      </c>
      <c r="E753" s="1015">
        <v>1.2</v>
      </c>
      <c r="F753" s="1016">
        <v>0.1</v>
      </c>
      <c r="G753" s="1016">
        <v>7.4999999999999997E-2</v>
      </c>
      <c r="H753" s="1017">
        <f>ROUND(D753*E753*F753*G753,4)</f>
        <v>8.9999999999999993E-3</v>
      </c>
      <c r="I753" s="964" t="s">
        <v>2313</v>
      </c>
      <c r="J753" s="901"/>
    </row>
    <row r="754" spans="1:12" s="965" customFormat="1" hidden="1">
      <c r="A754" s="896"/>
      <c r="B754" s="966"/>
      <c r="C754" s="1004"/>
      <c r="D754" s="967"/>
      <c r="E754" s="967"/>
      <c r="F754" s="967"/>
      <c r="G754" s="967"/>
      <c r="H754" s="1018">
        <f>SUM(H752:H753)</f>
        <v>3.7499999999999999E-2</v>
      </c>
      <c r="I754" s="964" t="s">
        <v>2313</v>
      </c>
      <c r="J754" s="901"/>
    </row>
    <row r="755" spans="1:12" s="965" customFormat="1" hidden="1">
      <c r="A755" s="896"/>
      <c r="B755" s="966" t="s">
        <v>1682</v>
      </c>
      <c r="C755" s="1002" t="s">
        <v>1683</v>
      </c>
      <c r="E755" s="967" t="s">
        <v>35</v>
      </c>
      <c r="F755" s="976">
        <f>H754</f>
        <v>3.7499999999999999E-2</v>
      </c>
      <c r="G755" s="970">
        <f>'MINI SSR 2022-23'!$C$144</f>
        <v>51000</v>
      </c>
      <c r="H755" s="969">
        <f t="shared" ref="H755:H763" si="54">ROUND(F755*G755,2)</f>
        <v>1912.5</v>
      </c>
      <c r="I755" s="964" t="s">
        <v>2313</v>
      </c>
      <c r="J755" s="901"/>
    </row>
    <row r="756" spans="1:12" s="965" customFormat="1" hidden="1">
      <c r="A756" s="896"/>
      <c r="B756" s="967" t="s">
        <v>2092</v>
      </c>
      <c r="C756" s="1002" t="s">
        <v>2093</v>
      </c>
      <c r="D756" s="967"/>
      <c r="E756" s="967" t="s">
        <v>102</v>
      </c>
      <c r="F756" s="976">
        <f>ROUND(1.05*1.995,2)</f>
        <v>2.09</v>
      </c>
      <c r="G756" s="970">
        <f>'MINI SSR 2022-23'!$C$148</f>
        <v>2000</v>
      </c>
      <c r="H756" s="969">
        <f t="shared" si="54"/>
        <v>4180</v>
      </c>
      <c r="I756" s="964" t="s">
        <v>2313</v>
      </c>
      <c r="J756" s="901"/>
    </row>
    <row r="757" spans="1:12" s="965" customFormat="1" hidden="1">
      <c r="A757" s="896"/>
      <c r="B757" s="967" t="s">
        <v>2094</v>
      </c>
      <c r="C757" s="1002" t="s">
        <v>2095</v>
      </c>
      <c r="D757" s="967"/>
      <c r="E757" s="967" t="s">
        <v>102</v>
      </c>
      <c r="F757" s="976">
        <f>ROUND(1.05*1.995,2)</f>
        <v>2.09</v>
      </c>
      <c r="G757" s="970">
        <f>'MINI SSR 2022-23'!$C$151</f>
        <v>1036</v>
      </c>
      <c r="H757" s="969">
        <f t="shared" si="54"/>
        <v>2165.2399999999998</v>
      </c>
      <c r="I757" s="964" t="s">
        <v>2313</v>
      </c>
      <c r="J757" s="901"/>
    </row>
    <row r="758" spans="1:12" hidden="1">
      <c r="A758" s="896"/>
      <c r="B758" s="967" t="s">
        <v>1394</v>
      </c>
      <c r="C758" s="1002" t="s">
        <v>1393</v>
      </c>
      <c r="D758" s="967"/>
      <c r="E758" s="967" t="s">
        <v>11</v>
      </c>
      <c r="F758" s="988">
        <v>2</v>
      </c>
      <c r="G758" s="970">
        <f>'MINI SSR 2022-23'!$G$143</f>
        <v>86.5</v>
      </c>
      <c r="H758" s="969">
        <f t="shared" si="54"/>
        <v>173</v>
      </c>
      <c r="I758" s="964" t="s">
        <v>2313</v>
      </c>
    </row>
    <row r="759" spans="1:12" hidden="1">
      <c r="A759" s="896"/>
      <c r="B759" s="967" t="s">
        <v>1396</v>
      </c>
      <c r="C759" s="1002" t="s">
        <v>1395</v>
      </c>
      <c r="D759" s="967"/>
      <c r="E759" s="967" t="s">
        <v>11</v>
      </c>
      <c r="F759" s="988">
        <v>3</v>
      </c>
      <c r="G759" s="970">
        <f>'MINI SSR 2022-23'!$G$146</f>
        <v>129</v>
      </c>
      <c r="H759" s="969">
        <f t="shared" si="54"/>
        <v>387</v>
      </c>
      <c r="I759" s="964" t="s">
        <v>2313</v>
      </c>
    </row>
    <row r="760" spans="1:12" hidden="1">
      <c r="A760" s="896"/>
      <c r="B760" s="967" t="s">
        <v>1381</v>
      </c>
      <c r="C760" s="1002" t="s">
        <v>1380</v>
      </c>
      <c r="D760" s="967"/>
      <c r="E760" s="967" t="s">
        <v>11</v>
      </c>
      <c r="F760" s="988">
        <v>2</v>
      </c>
      <c r="G760" s="970">
        <f>'MINI SSR 2022-23'!$G$147</f>
        <v>114</v>
      </c>
      <c r="H760" s="969">
        <f t="shared" si="54"/>
        <v>228</v>
      </c>
      <c r="I760" s="964" t="s">
        <v>2313</v>
      </c>
    </row>
    <row r="761" spans="1:12" hidden="1">
      <c r="A761" s="896"/>
      <c r="B761" s="967" t="s">
        <v>1398</v>
      </c>
      <c r="C761" s="1002" t="s">
        <v>1397</v>
      </c>
      <c r="D761" s="967"/>
      <c r="E761" s="967" t="s">
        <v>11</v>
      </c>
      <c r="F761" s="988">
        <v>2</v>
      </c>
      <c r="G761" s="970">
        <f>'MINI SSR 2022-23'!$G$149</f>
        <v>338</v>
      </c>
      <c r="H761" s="969">
        <f t="shared" si="54"/>
        <v>676</v>
      </c>
      <c r="I761" s="964" t="s">
        <v>2313</v>
      </c>
    </row>
    <row r="762" spans="1:12" hidden="1">
      <c r="A762" s="896"/>
      <c r="B762" s="967" t="s">
        <v>1400</v>
      </c>
      <c r="C762" s="1002" t="s">
        <v>1399</v>
      </c>
      <c r="D762" s="967"/>
      <c r="E762" s="967" t="s">
        <v>11</v>
      </c>
      <c r="F762" s="988">
        <v>1</v>
      </c>
      <c r="G762" s="970">
        <f>'MINI SSR 2022-23'!$G$155</f>
        <v>58</v>
      </c>
      <c r="H762" s="969">
        <f t="shared" si="54"/>
        <v>58</v>
      </c>
      <c r="I762" s="964" t="s">
        <v>2313</v>
      </c>
    </row>
    <row r="763" spans="1:12" hidden="1">
      <c r="A763" s="896"/>
      <c r="B763" s="967" t="s">
        <v>1387</v>
      </c>
      <c r="C763" s="1002" t="s">
        <v>1386</v>
      </c>
      <c r="D763" s="967"/>
      <c r="E763" s="967" t="s">
        <v>11</v>
      </c>
      <c r="F763" s="988">
        <v>6</v>
      </c>
      <c r="G763" s="970">
        <f>'MINI SSR 2022-23'!$G$152</f>
        <v>39</v>
      </c>
      <c r="H763" s="969">
        <f t="shared" si="54"/>
        <v>234</v>
      </c>
      <c r="I763" s="964" t="s">
        <v>2313</v>
      </c>
    </row>
    <row r="764" spans="1:12" hidden="1">
      <c r="A764" s="967"/>
      <c r="B764" s="967"/>
      <c r="C764" s="1004" t="s">
        <v>68</v>
      </c>
      <c r="D764" s="967"/>
      <c r="E764" s="967"/>
      <c r="F764" s="970"/>
      <c r="G764" s="974"/>
      <c r="H764" s="969"/>
      <c r="I764" s="964" t="s">
        <v>2313</v>
      </c>
    </row>
    <row r="765" spans="1:12" hidden="1">
      <c r="A765" s="967"/>
      <c r="B765" s="967" t="s">
        <v>1690</v>
      </c>
      <c r="C765" s="1002" t="s">
        <v>1388</v>
      </c>
      <c r="D765" s="901"/>
      <c r="E765" s="967" t="s">
        <v>102</v>
      </c>
      <c r="F765" s="970">
        <f>ROUND(1.2*2.1,2)</f>
        <v>2.52</v>
      </c>
      <c r="G765" s="970">
        <f>'MINI SSR 2022-23'!$C$150</f>
        <v>1701</v>
      </c>
      <c r="H765" s="969">
        <f>ROUND(F765*G765*1/3,2)</f>
        <v>1428.84</v>
      </c>
      <c r="I765" s="964" t="s">
        <v>2313</v>
      </c>
      <c r="L765" s="1019"/>
    </row>
    <row r="766" spans="1:12" ht="13.5" hidden="1" thickBot="1">
      <c r="A766" s="967"/>
      <c r="B766" s="967"/>
      <c r="C766" s="1004"/>
      <c r="D766" s="967"/>
      <c r="E766" s="967"/>
      <c r="F766" s="967"/>
      <c r="G766" s="967"/>
      <c r="H766" s="971">
        <f>SUM(H755:H765)</f>
        <v>11442.58</v>
      </c>
      <c r="I766" s="964" t="s">
        <v>2313</v>
      </c>
      <c r="L766" s="1020"/>
    </row>
    <row r="767" spans="1:12" ht="127.5" hidden="1">
      <c r="A767" s="896">
        <v>3</v>
      </c>
      <c r="B767" s="966"/>
      <c r="C767" s="1002" t="s">
        <v>1678</v>
      </c>
      <c r="D767" s="967"/>
      <c r="E767" s="967"/>
      <c r="F767" s="967"/>
      <c r="G767" s="967"/>
      <c r="H767" s="972"/>
      <c r="I767" s="964" t="s">
        <v>2313</v>
      </c>
    </row>
    <row r="768" spans="1:12" hidden="1">
      <c r="A768" s="896"/>
      <c r="B768" s="966"/>
      <c r="C768" s="1004" t="s">
        <v>100</v>
      </c>
      <c r="D768" s="967"/>
      <c r="E768" s="967"/>
      <c r="F768" s="967"/>
      <c r="G768" s="967"/>
      <c r="H768" s="972"/>
      <c r="I768" s="964" t="s">
        <v>2313</v>
      </c>
    </row>
    <row r="769" spans="1:10" s="965" customFormat="1" hidden="1">
      <c r="A769" s="896"/>
      <c r="B769" s="966"/>
      <c r="C769" s="1004" t="s">
        <v>594</v>
      </c>
      <c r="D769" s="967"/>
      <c r="E769" s="967"/>
      <c r="F769" s="967"/>
      <c r="G769" s="967"/>
      <c r="H769" s="972"/>
      <c r="I769" s="964" t="s">
        <v>2313</v>
      </c>
      <c r="J769" s="901"/>
    </row>
    <row r="770" spans="1:10" s="965" customFormat="1" hidden="1">
      <c r="A770" s="896"/>
      <c r="B770" s="966"/>
      <c r="C770" s="1002" t="s">
        <v>2</v>
      </c>
      <c r="D770" s="1014">
        <v>2</v>
      </c>
      <c r="E770" s="1015">
        <v>1.9</v>
      </c>
      <c r="F770" s="1016">
        <v>0.1</v>
      </c>
      <c r="G770" s="1016">
        <v>7.4999999999999997E-2</v>
      </c>
      <c r="H770" s="1017">
        <f>ROUND(D770*E770*F770*G770,4)</f>
        <v>2.8500000000000001E-2</v>
      </c>
      <c r="I770" s="964" t="s">
        <v>2313</v>
      </c>
      <c r="J770" s="901"/>
    </row>
    <row r="771" spans="1:10" s="965" customFormat="1" hidden="1">
      <c r="A771" s="896"/>
      <c r="B771" s="966"/>
      <c r="C771" s="1002" t="s">
        <v>741</v>
      </c>
      <c r="D771" s="1014">
        <v>1</v>
      </c>
      <c r="E771" s="1015">
        <v>0.9</v>
      </c>
      <c r="F771" s="1016">
        <v>0.1</v>
      </c>
      <c r="G771" s="1016">
        <v>7.4999999999999997E-2</v>
      </c>
      <c r="H771" s="1017">
        <f>ROUND(D771*E771*F771*G771,4)</f>
        <v>6.7999999999999996E-3</v>
      </c>
      <c r="I771" s="964" t="s">
        <v>2313</v>
      </c>
      <c r="J771" s="901"/>
    </row>
    <row r="772" spans="1:10" s="965" customFormat="1" hidden="1">
      <c r="A772" s="896"/>
      <c r="B772" s="966"/>
      <c r="C772" s="1004"/>
      <c r="D772" s="1014"/>
      <c r="E772" s="1014"/>
      <c r="F772" s="1014"/>
      <c r="G772" s="1014"/>
      <c r="H772" s="1021">
        <f>SUM(H770:H771)</f>
        <v>3.5299999999999998E-2</v>
      </c>
      <c r="I772" s="964" t="s">
        <v>2313</v>
      </c>
      <c r="J772" s="901"/>
    </row>
    <row r="773" spans="1:10" s="965" customFormat="1" hidden="1">
      <c r="A773" s="896"/>
      <c r="B773" s="966"/>
      <c r="C773" s="1004" t="s">
        <v>320</v>
      </c>
      <c r="D773" s="1014">
        <v>1</v>
      </c>
      <c r="E773" s="1015">
        <v>2.0099999999999998</v>
      </c>
      <c r="F773" s="1016">
        <v>0.8</v>
      </c>
      <c r="G773" s="1016">
        <v>0.03</v>
      </c>
      <c r="H773" s="1017">
        <f>ROUND(D773*E773*F773*G773,4)</f>
        <v>4.82E-2</v>
      </c>
      <c r="I773" s="964" t="s">
        <v>2313</v>
      </c>
      <c r="J773" s="901"/>
    </row>
    <row r="774" spans="1:10" s="965" customFormat="1" hidden="1">
      <c r="A774" s="896"/>
      <c r="B774" s="966"/>
      <c r="C774" s="1002"/>
      <c r="D774" s="1014"/>
      <c r="E774" s="1014"/>
      <c r="F774" s="1014"/>
      <c r="G774" s="1014"/>
      <c r="H774" s="1021">
        <f>SUM(H773:H773)</f>
        <v>4.82E-2</v>
      </c>
      <c r="I774" s="964" t="s">
        <v>2313</v>
      </c>
      <c r="J774" s="901"/>
    </row>
    <row r="775" spans="1:10" s="965" customFormat="1" hidden="1">
      <c r="A775" s="896"/>
      <c r="B775" s="966" t="s">
        <v>1373</v>
      </c>
      <c r="C775" s="1002" t="s">
        <v>1372</v>
      </c>
      <c r="E775" s="967" t="s">
        <v>35</v>
      </c>
      <c r="F775" s="976">
        <f>H772</f>
        <v>3.5299999999999998E-2</v>
      </c>
      <c r="G775" s="970">
        <f>'MINI SSR 2022-23'!C142</f>
        <v>81950</v>
      </c>
      <c r="H775" s="969">
        <f t="shared" ref="H775:H782" si="55">ROUND(F775*G775,2)</f>
        <v>2892.84</v>
      </c>
      <c r="I775" s="964" t="s">
        <v>2313</v>
      </c>
      <c r="J775" s="901"/>
    </row>
    <row r="776" spans="1:10" s="965" customFormat="1" hidden="1">
      <c r="A776" s="896"/>
      <c r="B776" s="966" t="s">
        <v>1375</v>
      </c>
      <c r="C776" s="1002" t="s">
        <v>1374</v>
      </c>
      <c r="E776" s="967" t="s">
        <v>35</v>
      </c>
      <c r="F776" s="976">
        <f>H774</f>
        <v>4.82E-2</v>
      </c>
      <c r="G776" s="970">
        <f>'MINI SSR 2022-23'!C143</f>
        <v>160920</v>
      </c>
      <c r="H776" s="969">
        <f t="shared" si="55"/>
        <v>7756.34</v>
      </c>
      <c r="I776" s="964" t="s">
        <v>2313</v>
      </c>
      <c r="J776" s="901"/>
    </row>
    <row r="777" spans="1:10" s="965" customFormat="1" hidden="1">
      <c r="A777" s="896"/>
      <c r="B777" s="966" t="s">
        <v>1377</v>
      </c>
      <c r="C777" s="1002" t="s">
        <v>1376</v>
      </c>
      <c r="D777" s="967"/>
      <c r="E777" s="967" t="s">
        <v>11</v>
      </c>
      <c r="F777" s="988">
        <v>2</v>
      </c>
      <c r="G777" s="970">
        <f t="shared" ref="G777:G782" si="56">G722</f>
        <v>255</v>
      </c>
      <c r="H777" s="969">
        <f t="shared" si="55"/>
        <v>510</v>
      </c>
      <c r="I777" s="964" t="s">
        <v>2313</v>
      </c>
      <c r="J777" s="901"/>
    </row>
    <row r="778" spans="1:10" s="965" customFormat="1" hidden="1">
      <c r="A778" s="896"/>
      <c r="B778" s="966" t="s">
        <v>1379</v>
      </c>
      <c r="C778" s="1002" t="s">
        <v>1378</v>
      </c>
      <c r="D778" s="967"/>
      <c r="E778" s="967" t="s">
        <v>11</v>
      </c>
      <c r="F778" s="988">
        <v>3</v>
      </c>
      <c r="G778" s="970">
        <f t="shared" si="56"/>
        <v>273</v>
      </c>
      <c r="H778" s="969">
        <f t="shared" si="55"/>
        <v>819</v>
      </c>
      <c r="I778" s="964" t="s">
        <v>2313</v>
      </c>
      <c r="J778" s="901"/>
    </row>
    <row r="779" spans="1:10" s="965" customFormat="1" hidden="1">
      <c r="A779" s="896"/>
      <c r="B779" s="966" t="s">
        <v>1381</v>
      </c>
      <c r="C779" s="1002" t="s">
        <v>1380</v>
      </c>
      <c r="D779" s="967"/>
      <c r="E779" s="967" t="s">
        <v>11</v>
      </c>
      <c r="F779" s="988"/>
      <c r="G779" s="970">
        <f t="shared" si="56"/>
        <v>108</v>
      </c>
      <c r="H779" s="969">
        <f t="shared" si="55"/>
        <v>0</v>
      </c>
      <c r="I779" s="964" t="s">
        <v>2313</v>
      </c>
      <c r="J779" s="901"/>
    </row>
    <row r="780" spans="1:10" s="965" customFormat="1" hidden="1">
      <c r="A780" s="896"/>
      <c r="B780" s="966" t="s">
        <v>1383</v>
      </c>
      <c r="C780" s="1002" t="s">
        <v>1382</v>
      </c>
      <c r="D780" s="967"/>
      <c r="E780" s="967" t="s">
        <v>11</v>
      </c>
      <c r="F780" s="988">
        <v>2</v>
      </c>
      <c r="G780" s="970">
        <f t="shared" si="56"/>
        <v>1195</v>
      </c>
      <c r="H780" s="969">
        <f t="shared" si="55"/>
        <v>2390</v>
      </c>
      <c r="I780" s="964" t="s">
        <v>2313</v>
      </c>
      <c r="J780" s="901"/>
    </row>
    <row r="781" spans="1:10" hidden="1">
      <c r="A781" s="896"/>
      <c r="B781" s="966" t="s">
        <v>1385</v>
      </c>
      <c r="C781" s="1002" t="s">
        <v>1384</v>
      </c>
      <c r="D781" s="967"/>
      <c r="E781" s="967" t="s">
        <v>11</v>
      </c>
      <c r="F781" s="988">
        <v>1</v>
      </c>
      <c r="G781" s="970">
        <f t="shared" si="56"/>
        <v>185</v>
      </c>
      <c r="H781" s="969">
        <f t="shared" si="55"/>
        <v>185</v>
      </c>
      <c r="I781" s="964" t="s">
        <v>2313</v>
      </c>
    </row>
    <row r="782" spans="1:10" hidden="1">
      <c r="A782" s="896"/>
      <c r="B782" s="966" t="s">
        <v>1387</v>
      </c>
      <c r="C782" s="1002" t="s">
        <v>1386</v>
      </c>
      <c r="D782" s="967"/>
      <c r="E782" s="967" t="s">
        <v>11</v>
      </c>
      <c r="F782" s="988">
        <v>6</v>
      </c>
      <c r="G782" s="970">
        <f t="shared" si="56"/>
        <v>39</v>
      </c>
      <c r="H782" s="969">
        <f t="shared" si="55"/>
        <v>234</v>
      </c>
      <c r="I782" s="964" t="s">
        <v>2313</v>
      </c>
    </row>
    <row r="783" spans="1:10" hidden="1">
      <c r="A783" s="896"/>
      <c r="B783" s="966"/>
      <c r="C783" s="1004" t="s">
        <v>68</v>
      </c>
      <c r="D783" s="901"/>
      <c r="E783" s="967"/>
      <c r="F783" s="970"/>
      <c r="G783" s="970"/>
      <c r="H783" s="969"/>
      <c r="I783" s="964" t="s">
        <v>2313</v>
      </c>
    </row>
    <row r="784" spans="1:10" hidden="1">
      <c r="A784" s="896"/>
      <c r="B784" s="967" t="s">
        <v>1389</v>
      </c>
      <c r="C784" s="1002" t="s">
        <v>1388</v>
      </c>
      <c r="D784" s="901"/>
      <c r="E784" s="967" t="s">
        <v>102</v>
      </c>
      <c r="F784" s="970">
        <f>ROUND(0.9*2.1,2)</f>
        <v>1.89</v>
      </c>
      <c r="G784" s="970">
        <f>G729</f>
        <v>1727</v>
      </c>
      <c r="H784" s="969">
        <f>ROUND(F784*G784*1/3,2)</f>
        <v>1088.01</v>
      </c>
      <c r="I784" s="964" t="s">
        <v>2313</v>
      </c>
    </row>
    <row r="785" spans="1:10" hidden="1">
      <c r="A785" s="896"/>
      <c r="B785" s="966"/>
      <c r="C785" s="1004"/>
      <c r="D785" s="967"/>
      <c r="E785" s="967"/>
      <c r="F785" s="967"/>
      <c r="G785" s="967"/>
      <c r="H785" s="971">
        <f>SUM(H775:H784)</f>
        <v>15875.19</v>
      </c>
      <c r="I785" s="964" t="s">
        <v>2313</v>
      </c>
    </row>
    <row r="786" spans="1:10" ht="127.5" hidden="1">
      <c r="A786" s="896">
        <v>4</v>
      </c>
      <c r="B786" s="966"/>
      <c r="C786" s="1002" t="s">
        <v>1679</v>
      </c>
      <c r="D786" s="967"/>
      <c r="E786" s="967"/>
      <c r="F786" s="967"/>
      <c r="G786" s="967"/>
      <c r="H786" s="972"/>
      <c r="I786" s="964" t="s">
        <v>2313</v>
      </c>
    </row>
    <row r="787" spans="1:10" hidden="1">
      <c r="A787" s="896"/>
      <c r="B787" s="966"/>
      <c r="C787" s="1004" t="s">
        <v>100</v>
      </c>
      <c r="D787" s="967"/>
      <c r="E787" s="967"/>
      <c r="F787" s="967"/>
      <c r="G787" s="967"/>
      <c r="H787" s="972"/>
      <c r="I787" s="964" t="s">
        <v>2313</v>
      </c>
    </row>
    <row r="788" spans="1:10" s="965" customFormat="1" hidden="1">
      <c r="A788" s="896"/>
      <c r="B788" s="966"/>
      <c r="C788" s="1004" t="s">
        <v>594</v>
      </c>
      <c r="D788" s="967"/>
      <c r="E788" s="967"/>
      <c r="F788" s="967"/>
      <c r="G788" s="967"/>
      <c r="H788" s="972"/>
      <c r="I788" s="964" t="s">
        <v>2313</v>
      </c>
      <c r="J788" s="901"/>
    </row>
    <row r="789" spans="1:10" s="965" customFormat="1" hidden="1">
      <c r="A789" s="896"/>
      <c r="B789" s="966"/>
      <c r="C789" s="1002" t="s">
        <v>2</v>
      </c>
      <c r="D789" s="1014">
        <v>2</v>
      </c>
      <c r="E789" s="1015">
        <v>1.9</v>
      </c>
      <c r="F789" s="1016">
        <v>0.1</v>
      </c>
      <c r="G789" s="1016">
        <v>7.4999999999999997E-2</v>
      </c>
      <c r="H789" s="1017">
        <f>ROUND(D789*E789*F789*G789,4)</f>
        <v>2.8500000000000001E-2</v>
      </c>
      <c r="I789" s="964" t="s">
        <v>2313</v>
      </c>
      <c r="J789" s="901"/>
    </row>
    <row r="790" spans="1:10" s="965" customFormat="1" hidden="1">
      <c r="A790" s="896"/>
      <c r="B790" s="966"/>
      <c r="C790" s="1002" t="s">
        <v>741</v>
      </c>
      <c r="D790" s="1014">
        <v>1</v>
      </c>
      <c r="E790" s="1015">
        <v>0.8</v>
      </c>
      <c r="F790" s="1016">
        <v>0.1</v>
      </c>
      <c r="G790" s="1016">
        <v>7.4999999999999997E-2</v>
      </c>
      <c r="H790" s="1017">
        <f>ROUND(D790*E790*F790*G790,4)</f>
        <v>6.0000000000000001E-3</v>
      </c>
      <c r="I790" s="964" t="s">
        <v>2313</v>
      </c>
      <c r="J790" s="901"/>
    </row>
    <row r="791" spans="1:10" s="965" customFormat="1" hidden="1">
      <c r="A791" s="896"/>
      <c r="B791" s="966"/>
      <c r="C791" s="1004"/>
      <c r="D791" s="1014"/>
      <c r="E791" s="1014"/>
      <c r="F791" s="1014"/>
      <c r="G791" s="1014"/>
      <c r="H791" s="1021">
        <f>SUM(H789:H790)</f>
        <v>3.4500000000000003E-2</v>
      </c>
      <c r="I791" s="964" t="s">
        <v>2313</v>
      </c>
      <c r="J791" s="901"/>
    </row>
    <row r="792" spans="1:10" s="965" customFormat="1" hidden="1">
      <c r="A792" s="896"/>
      <c r="B792" s="966"/>
      <c r="C792" s="1004" t="s">
        <v>320</v>
      </c>
      <c r="D792" s="1014">
        <v>1</v>
      </c>
      <c r="E792" s="1015">
        <v>2.0099999999999998</v>
      </c>
      <c r="F792" s="1016">
        <v>0.72</v>
      </c>
      <c r="G792" s="1016">
        <v>0.03</v>
      </c>
      <c r="H792" s="1017">
        <f>ROUND(D792*E792*F792*G792,4)</f>
        <v>4.3400000000000001E-2</v>
      </c>
      <c r="I792" s="964" t="s">
        <v>2313</v>
      </c>
      <c r="J792" s="901"/>
    </row>
    <row r="793" spans="1:10" s="965" customFormat="1" hidden="1">
      <c r="A793" s="896"/>
      <c r="B793" s="966"/>
      <c r="C793" s="1002"/>
      <c r="D793" s="1014"/>
      <c r="E793" s="1014"/>
      <c r="F793" s="1014"/>
      <c r="G793" s="1014"/>
      <c r="H793" s="1021">
        <f>SUM(H792:H792)</f>
        <v>4.3400000000000001E-2</v>
      </c>
      <c r="I793" s="964" t="s">
        <v>2313</v>
      </c>
      <c r="J793" s="901"/>
    </row>
    <row r="794" spans="1:10" s="965" customFormat="1" hidden="1">
      <c r="A794" s="896"/>
      <c r="B794" s="966" t="s">
        <v>1373</v>
      </c>
      <c r="C794" s="1002" t="s">
        <v>1372</v>
      </c>
      <c r="E794" s="967" t="s">
        <v>35</v>
      </c>
      <c r="F794" s="976">
        <f>H791</f>
        <v>3.4500000000000003E-2</v>
      </c>
      <c r="G794" s="970">
        <f t="shared" ref="G794:G801" si="57">G775</f>
        <v>81950</v>
      </c>
      <c r="H794" s="969">
        <f t="shared" ref="H794:H801" si="58">ROUND(F794*G794,2)</f>
        <v>2827.28</v>
      </c>
      <c r="I794" s="964" t="s">
        <v>2313</v>
      </c>
      <c r="J794" s="901"/>
    </row>
    <row r="795" spans="1:10" s="965" customFormat="1" hidden="1">
      <c r="A795" s="896"/>
      <c r="B795" s="966" t="s">
        <v>1375</v>
      </c>
      <c r="C795" s="1002" t="s">
        <v>1374</v>
      </c>
      <c r="E795" s="967" t="s">
        <v>35</v>
      </c>
      <c r="F795" s="976">
        <f>H793</f>
        <v>4.3400000000000001E-2</v>
      </c>
      <c r="G795" s="970">
        <f t="shared" si="57"/>
        <v>160920</v>
      </c>
      <c r="H795" s="969">
        <f t="shared" si="58"/>
        <v>6983.93</v>
      </c>
      <c r="I795" s="964" t="s">
        <v>2313</v>
      </c>
      <c r="J795" s="901"/>
    </row>
    <row r="796" spans="1:10" s="965" customFormat="1" hidden="1">
      <c r="A796" s="896"/>
      <c r="B796" s="966" t="s">
        <v>1377</v>
      </c>
      <c r="C796" s="1002" t="s">
        <v>1376</v>
      </c>
      <c r="D796" s="967"/>
      <c r="E796" s="967" t="s">
        <v>11</v>
      </c>
      <c r="F796" s="988">
        <v>2</v>
      </c>
      <c r="G796" s="970">
        <f t="shared" si="57"/>
        <v>255</v>
      </c>
      <c r="H796" s="969">
        <f t="shared" si="58"/>
        <v>510</v>
      </c>
      <c r="I796" s="964" t="s">
        <v>2313</v>
      </c>
      <c r="J796" s="901"/>
    </row>
    <row r="797" spans="1:10" s="965" customFormat="1" hidden="1">
      <c r="A797" s="896"/>
      <c r="B797" s="966" t="s">
        <v>1379</v>
      </c>
      <c r="C797" s="1002" t="s">
        <v>1378</v>
      </c>
      <c r="D797" s="967"/>
      <c r="E797" s="967" t="s">
        <v>11</v>
      </c>
      <c r="F797" s="988">
        <v>3</v>
      </c>
      <c r="G797" s="970">
        <f t="shared" si="57"/>
        <v>273</v>
      </c>
      <c r="H797" s="969">
        <f t="shared" si="58"/>
        <v>819</v>
      </c>
      <c r="I797" s="964" t="s">
        <v>2313</v>
      </c>
      <c r="J797" s="901"/>
    </row>
    <row r="798" spans="1:10" s="965" customFormat="1" hidden="1">
      <c r="A798" s="896"/>
      <c r="B798" s="966" t="s">
        <v>1381</v>
      </c>
      <c r="C798" s="1002" t="s">
        <v>1380</v>
      </c>
      <c r="D798" s="967"/>
      <c r="E798" s="967" t="s">
        <v>11</v>
      </c>
      <c r="F798" s="988"/>
      <c r="G798" s="970">
        <f t="shared" si="57"/>
        <v>108</v>
      </c>
      <c r="H798" s="969">
        <f t="shared" si="58"/>
        <v>0</v>
      </c>
      <c r="I798" s="964" t="s">
        <v>2313</v>
      </c>
      <c r="J798" s="901"/>
    </row>
    <row r="799" spans="1:10" s="965" customFormat="1" hidden="1">
      <c r="A799" s="896"/>
      <c r="B799" s="966" t="s">
        <v>1383</v>
      </c>
      <c r="C799" s="1002" t="s">
        <v>1382</v>
      </c>
      <c r="D799" s="967"/>
      <c r="E799" s="967" t="s">
        <v>11</v>
      </c>
      <c r="F799" s="988">
        <v>2</v>
      </c>
      <c r="G799" s="970">
        <f t="shared" si="57"/>
        <v>1195</v>
      </c>
      <c r="H799" s="969">
        <f t="shared" si="58"/>
        <v>2390</v>
      </c>
      <c r="I799" s="964" t="s">
        <v>2313</v>
      </c>
      <c r="J799" s="901"/>
    </row>
    <row r="800" spans="1:10" hidden="1">
      <c r="A800" s="896"/>
      <c r="B800" s="966" t="s">
        <v>1385</v>
      </c>
      <c r="C800" s="1002" t="s">
        <v>1384</v>
      </c>
      <c r="D800" s="967"/>
      <c r="E800" s="967" t="s">
        <v>11</v>
      </c>
      <c r="F800" s="988">
        <v>1</v>
      </c>
      <c r="G800" s="970">
        <f t="shared" si="57"/>
        <v>185</v>
      </c>
      <c r="H800" s="969">
        <f t="shared" si="58"/>
        <v>185</v>
      </c>
      <c r="I800" s="964" t="s">
        <v>2313</v>
      </c>
    </row>
    <row r="801" spans="1:10" hidden="1">
      <c r="A801" s="896"/>
      <c r="B801" s="966" t="s">
        <v>1387</v>
      </c>
      <c r="C801" s="1002" t="s">
        <v>1386</v>
      </c>
      <c r="D801" s="967"/>
      <c r="E801" s="967" t="s">
        <v>11</v>
      </c>
      <c r="F801" s="988">
        <v>6</v>
      </c>
      <c r="G801" s="970">
        <f t="shared" si="57"/>
        <v>39</v>
      </c>
      <c r="H801" s="969">
        <f t="shared" si="58"/>
        <v>234</v>
      </c>
      <c r="I801" s="964" t="s">
        <v>2313</v>
      </c>
    </row>
    <row r="802" spans="1:10" hidden="1">
      <c r="A802" s="896"/>
      <c r="B802" s="966"/>
      <c r="C802" s="1004" t="s">
        <v>68</v>
      </c>
      <c r="D802" s="901"/>
      <c r="E802" s="967"/>
      <c r="F802" s="970"/>
      <c r="G802" s="970"/>
      <c r="H802" s="969"/>
      <c r="I802" s="964" t="s">
        <v>2313</v>
      </c>
    </row>
    <row r="803" spans="1:10" hidden="1">
      <c r="A803" s="896"/>
      <c r="B803" s="967" t="s">
        <v>1389</v>
      </c>
      <c r="C803" s="1002" t="s">
        <v>1388</v>
      </c>
      <c r="D803" s="901"/>
      <c r="E803" s="967" t="s">
        <v>102</v>
      </c>
      <c r="F803" s="970">
        <f>ROUND(0.9*2.1,2)</f>
        <v>1.89</v>
      </c>
      <c r="G803" s="970">
        <f>G784</f>
        <v>1727</v>
      </c>
      <c r="H803" s="969">
        <f>ROUND(F803*G803*1/3,2)</f>
        <v>1088.01</v>
      </c>
      <c r="I803" s="964" t="s">
        <v>2313</v>
      </c>
    </row>
    <row r="804" spans="1:10" hidden="1">
      <c r="A804" s="896"/>
      <c r="B804" s="966"/>
      <c r="C804" s="1004"/>
      <c r="D804" s="967"/>
      <c r="E804" s="967"/>
      <c r="F804" s="967"/>
      <c r="G804" s="967"/>
      <c r="H804" s="971">
        <f>SUM(H794:H803)</f>
        <v>15037.220000000001</v>
      </c>
      <c r="I804" s="964" t="s">
        <v>2313</v>
      </c>
    </row>
    <row r="805" spans="1:10" ht="114.75" hidden="1">
      <c r="A805" s="896">
        <v>2</v>
      </c>
      <c r="B805" s="966"/>
      <c r="C805" s="1002" t="s">
        <v>1680</v>
      </c>
      <c r="D805" s="967"/>
      <c r="E805" s="967"/>
      <c r="F805" s="967"/>
      <c r="G805" s="967"/>
      <c r="H805" s="972"/>
      <c r="I805" s="964" t="s">
        <v>2313</v>
      </c>
    </row>
    <row r="806" spans="1:10" hidden="1">
      <c r="A806" s="896"/>
      <c r="B806" s="966"/>
      <c r="C806" s="1004" t="s">
        <v>100</v>
      </c>
      <c r="D806" s="967"/>
      <c r="E806" s="967"/>
      <c r="F806" s="967"/>
      <c r="G806" s="967"/>
      <c r="H806" s="972"/>
      <c r="I806" s="964" t="s">
        <v>2313</v>
      </c>
    </row>
    <row r="807" spans="1:10" s="965" customFormat="1" hidden="1">
      <c r="A807" s="896"/>
      <c r="B807" s="966"/>
      <c r="C807" s="1004" t="s">
        <v>1</v>
      </c>
      <c r="D807" s="967"/>
      <c r="E807" s="967"/>
      <c r="F807" s="967"/>
      <c r="G807" s="967"/>
      <c r="H807" s="972"/>
      <c r="I807" s="964" t="s">
        <v>2313</v>
      </c>
      <c r="J807" s="901"/>
    </row>
    <row r="808" spans="1:10" s="965" customFormat="1" hidden="1">
      <c r="A808" s="896"/>
      <c r="B808" s="966"/>
      <c r="C808" s="1002" t="s">
        <v>2</v>
      </c>
      <c r="D808" s="1014">
        <v>2</v>
      </c>
      <c r="E808" s="1015">
        <v>1.9</v>
      </c>
      <c r="F808" s="1016">
        <v>0.1</v>
      </c>
      <c r="G808" s="1016">
        <v>7.4999999999999997E-2</v>
      </c>
      <c r="H808" s="1017">
        <f>ROUND(D808*E808*F808*G808,4)</f>
        <v>2.8500000000000001E-2</v>
      </c>
      <c r="I808" s="964" t="s">
        <v>2313</v>
      </c>
      <c r="J808" s="901"/>
    </row>
    <row r="809" spans="1:10" s="965" customFormat="1" hidden="1">
      <c r="A809" s="896"/>
      <c r="B809" s="966"/>
      <c r="C809" s="1002" t="s">
        <v>741</v>
      </c>
      <c r="D809" s="1014">
        <v>1</v>
      </c>
      <c r="E809" s="1015">
        <v>0.9</v>
      </c>
      <c r="F809" s="1016">
        <v>0.1</v>
      </c>
      <c r="G809" s="1016">
        <v>7.4999999999999997E-2</v>
      </c>
      <c r="H809" s="1017">
        <f>ROUND(D809*E809*F809*G809,4)</f>
        <v>6.7999999999999996E-3</v>
      </c>
      <c r="I809" s="964" t="s">
        <v>2313</v>
      </c>
      <c r="J809" s="901"/>
    </row>
    <row r="810" spans="1:10" s="965" customFormat="1" hidden="1">
      <c r="A810" s="896"/>
      <c r="B810" s="966"/>
      <c r="C810" s="1004"/>
      <c r="D810" s="1014"/>
      <c r="E810" s="1014"/>
      <c r="F810" s="1014"/>
      <c r="G810" s="1014"/>
      <c r="H810" s="1021">
        <f>SUM(H808:H809)</f>
        <v>3.5299999999999998E-2</v>
      </c>
      <c r="I810" s="964" t="s">
        <v>2313</v>
      </c>
      <c r="J810" s="901"/>
    </row>
    <row r="811" spans="1:10" s="965" customFormat="1" hidden="1">
      <c r="A811" s="896"/>
      <c r="B811" s="966"/>
      <c r="C811" s="1004" t="s">
        <v>1681</v>
      </c>
      <c r="D811" s="1014">
        <v>2</v>
      </c>
      <c r="E811" s="1015">
        <v>2.0099999999999998</v>
      </c>
      <c r="F811" s="1016">
        <v>0.4</v>
      </c>
      <c r="G811" s="1016">
        <v>0.03</v>
      </c>
      <c r="H811" s="1017">
        <f>ROUND(D811*E811*F811*G811,4)</f>
        <v>4.82E-2</v>
      </c>
      <c r="I811" s="964" t="s">
        <v>2313</v>
      </c>
      <c r="J811" s="901"/>
    </row>
    <row r="812" spans="1:10" s="965" customFormat="1" hidden="1">
      <c r="A812" s="896"/>
      <c r="B812" s="966"/>
      <c r="C812" s="1002"/>
      <c r="D812" s="1014"/>
      <c r="E812" s="1014"/>
      <c r="F812" s="1014"/>
      <c r="G812" s="1014"/>
      <c r="H812" s="1021">
        <f>SUM(H811:H811)</f>
        <v>4.82E-2</v>
      </c>
      <c r="I812" s="964" t="s">
        <v>2313</v>
      </c>
      <c r="J812" s="901"/>
    </row>
    <row r="813" spans="1:10" s="965" customFormat="1" hidden="1">
      <c r="A813" s="896"/>
      <c r="B813" s="966" t="s">
        <v>1682</v>
      </c>
      <c r="C813" s="1002" t="s">
        <v>1683</v>
      </c>
      <c r="E813" s="967" t="s">
        <v>35</v>
      </c>
      <c r="F813" s="976">
        <f>H810</f>
        <v>3.5299999999999998E-2</v>
      </c>
      <c r="G813" s="970">
        <f>'MINI SSR 2022-23'!$C$144</f>
        <v>51000</v>
      </c>
      <c r="H813" s="969">
        <f t="shared" ref="H813:H820" si="59">ROUND(F813*G813,2)</f>
        <v>1800.3</v>
      </c>
      <c r="I813" s="964" t="s">
        <v>2313</v>
      </c>
      <c r="J813" s="901"/>
    </row>
    <row r="814" spans="1:10" s="965" customFormat="1" hidden="1">
      <c r="A814" s="896"/>
      <c r="B814" s="966" t="s">
        <v>1684</v>
      </c>
      <c r="C814" s="1002" t="s">
        <v>1685</v>
      </c>
      <c r="E814" s="967" t="s">
        <v>35</v>
      </c>
      <c r="F814" s="976">
        <f>H812</f>
        <v>4.82E-2</v>
      </c>
      <c r="G814" s="970">
        <f>'MINI SSR 2022-23'!C145</f>
        <v>63950</v>
      </c>
      <c r="H814" s="969">
        <f t="shared" si="59"/>
        <v>3082.39</v>
      </c>
      <c r="I814" s="964" t="s">
        <v>2313</v>
      </c>
      <c r="J814" s="901"/>
    </row>
    <row r="815" spans="1:10" s="965" customFormat="1" hidden="1">
      <c r="A815" s="896"/>
      <c r="B815" s="966" t="s">
        <v>1394</v>
      </c>
      <c r="C815" s="1002" t="s">
        <v>1686</v>
      </c>
      <c r="D815" s="967"/>
      <c r="E815" s="967" t="s">
        <v>11</v>
      </c>
      <c r="F815" s="988">
        <v>2</v>
      </c>
      <c r="G815" s="970">
        <f>'MINI SSR 2022-23'!G143</f>
        <v>86.5</v>
      </c>
      <c r="H815" s="969">
        <f t="shared" si="59"/>
        <v>173</v>
      </c>
      <c r="I815" s="964" t="s">
        <v>2313</v>
      </c>
      <c r="J815" s="901"/>
    </row>
    <row r="816" spans="1:10" s="965" customFormat="1" hidden="1">
      <c r="A816" s="896"/>
      <c r="B816" s="966" t="s">
        <v>1396</v>
      </c>
      <c r="C816" s="1002" t="s">
        <v>1378</v>
      </c>
      <c r="D816" s="967"/>
      <c r="E816" s="967" t="s">
        <v>11</v>
      </c>
      <c r="F816" s="988">
        <v>6</v>
      </c>
      <c r="G816" s="970">
        <f>'MINI SSR 2022-23'!G146</f>
        <v>129</v>
      </c>
      <c r="H816" s="969">
        <f t="shared" si="59"/>
        <v>774</v>
      </c>
      <c r="I816" s="964" t="s">
        <v>2313</v>
      </c>
      <c r="J816" s="901"/>
    </row>
    <row r="817" spans="1:10" s="965" customFormat="1" hidden="1">
      <c r="A817" s="896"/>
      <c r="B817" s="966" t="s">
        <v>1381</v>
      </c>
      <c r="C817" s="1002" t="s">
        <v>1380</v>
      </c>
      <c r="D817" s="967"/>
      <c r="E817" s="967" t="s">
        <v>11</v>
      </c>
      <c r="F817" s="988"/>
      <c r="G817" s="970">
        <f>'MINI SSR 2022-23'!G147</f>
        <v>114</v>
      </c>
      <c r="H817" s="969">
        <f t="shared" si="59"/>
        <v>0</v>
      </c>
      <c r="I817" s="964" t="s">
        <v>2313</v>
      </c>
      <c r="J817" s="901"/>
    </row>
    <row r="818" spans="1:10" s="965" customFormat="1" hidden="1">
      <c r="A818" s="896"/>
      <c r="B818" s="966" t="s">
        <v>1398</v>
      </c>
      <c r="C818" s="1002" t="s">
        <v>1687</v>
      </c>
      <c r="D818" s="967"/>
      <c r="E818" s="967" t="s">
        <v>11</v>
      </c>
      <c r="F818" s="988">
        <v>2</v>
      </c>
      <c r="G818" s="970">
        <f>'MINI SSR 2022-23'!G149</f>
        <v>338</v>
      </c>
      <c r="H818" s="969">
        <f t="shared" si="59"/>
        <v>676</v>
      </c>
      <c r="I818" s="964" t="s">
        <v>2313</v>
      </c>
      <c r="J818" s="901"/>
    </row>
    <row r="819" spans="1:10" hidden="1">
      <c r="A819" s="896"/>
      <c r="B819" s="966" t="s">
        <v>1688</v>
      </c>
      <c r="C819" s="1002" t="s">
        <v>1689</v>
      </c>
      <c r="D819" s="967"/>
      <c r="E819" s="967" t="s">
        <v>11</v>
      </c>
      <c r="F819" s="988">
        <v>1</v>
      </c>
      <c r="G819" s="970">
        <f>'MINI SSR 2022-23'!G155</f>
        <v>58</v>
      </c>
      <c r="H819" s="969">
        <f t="shared" si="59"/>
        <v>58</v>
      </c>
      <c r="I819" s="964" t="s">
        <v>2313</v>
      </c>
    </row>
    <row r="820" spans="1:10" hidden="1">
      <c r="A820" s="896"/>
      <c r="B820" s="966" t="s">
        <v>1387</v>
      </c>
      <c r="C820" s="1002" t="s">
        <v>1386</v>
      </c>
      <c r="D820" s="967"/>
      <c r="E820" s="967" t="s">
        <v>11</v>
      </c>
      <c r="F820" s="988">
        <v>6</v>
      </c>
      <c r="G820" s="970">
        <f>'MINI SSR 2022-23'!G152</f>
        <v>39</v>
      </c>
      <c r="H820" s="969">
        <f t="shared" si="59"/>
        <v>234</v>
      </c>
      <c r="I820" s="964" t="s">
        <v>2313</v>
      </c>
    </row>
    <row r="821" spans="1:10" hidden="1">
      <c r="A821" s="896"/>
      <c r="B821" s="966"/>
      <c r="C821" s="1004" t="s">
        <v>68</v>
      </c>
      <c r="D821" s="901"/>
      <c r="E821" s="967"/>
      <c r="F821" s="970"/>
      <c r="G821" s="974"/>
      <c r="H821" s="969"/>
      <c r="I821" s="964" t="s">
        <v>2313</v>
      </c>
    </row>
    <row r="822" spans="1:10" hidden="1">
      <c r="A822" s="896"/>
      <c r="B822" s="967" t="s">
        <v>1690</v>
      </c>
      <c r="C822" s="1002" t="s">
        <v>1388</v>
      </c>
      <c r="D822" s="901"/>
      <c r="E822" s="967" t="s">
        <v>102</v>
      </c>
      <c r="F822" s="970">
        <f>ROUND(0.9*2.1,2)</f>
        <v>1.89</v>
      </c>
      <c r="G822" s="970">
        <f>'MINI SSR 2022-23'!$C$150</f>
        <v>1701</v>
      </c>
      <c r="H822" s="969">
        <f>ROUND(F822*G822*1/3,2)</f>
        <v>1071.6300000000001</v>
      </c>
      <c r="I822" s="964" t="s">
        <v>2313</v>
      </c>
    </row>
    <row r="823" spans="1:10" hidden="1">
      <c r="A823" s="896"/>
      <c r="B823" s="966"/>
      <c r="C823" s="1004"/>
      <c r="D823" s="967"/>
      <c r="E823" s="967"/>
      <c r="F823" s="967"/>
      <c r="G823" s="967"/>
      <c r="H823" s="971">
        <f>SUM(H813:H822)</f>
        <v>7869.32</v>
      </c>
      <c r="I823" s="964" t="s">
        <v>2313</v>
      </c>
    </row>
    <row r="824" spans="1:10" ht="114.75" hidden="1">
      <c r="A824" s="896">
        <v>3</v>
      </c>
      <c r="B824" s="966"/>
      <c r="C824" s="1002" t="s">
        <v>1691</v>
      </c>
      <c r="D824" s="967"/>
      <c r="E824" s="967"/>
      <c r="F824" s="967"/>
      <c r="G824" s="967"/>
      <c r="H824" s="972"/>
      <c r="I824" s="964" t="s">
        <v>2313</v>
      </c>
    </row>
    <row r="825" spans="1:10" hidden="1">
      <c r="A825" s="896"/>
      <c r="B825" s="966"/>
      <c r="C825" s="1004" t="s">
        <v>100</v>
      </c>
      <c r="D825" s="967"/>
      <c r="E825" s="967"/>
      <c r="F825" s="967"/>
      <c r="G825" s="967"/>
      <c r="H825" s="972"/>
      <c r="I825" s="964" t="s">
        <v>2313</v>
      </c>
    </row>
    <row r="826" spans="1:10" s="965" customFormat="1" hidden="1">
      <c r="A826" s="896"/>
      <c r="B826" s="966"/>
      <c r="C826" s="1004" t="s">
        <v>1</v>
      </c>
      <c r="D826" s="967"/>
      <c r="E826" s="967"/>
      <c r="F826" s="967"/>
      <c r="G826" s="967"/>
      <c r="H826" s="972"/>
      <c r="I826" s="964" t="s">
        <v>2313</v>
      </c>
      <c r="J826" s="901"/>
    </row>
    <row r="827" spans="1:10" s="965" customFormat="1" hidden="1">
      <c r="A827" s="896"/>
      <c r="B827" s="966"/>
      <c r="C827" s="1002" t="s">
        <v>2</v>
      </c>
      <c r="D827" s="1014">
        <v>2</v>
      </c>
      <c r="E827" s="1015">
        <v>1.9</v>
      </c>
      <c r="F827" s="1016">
        <v>0.1</v>
      </c>
      <c r="G827" s="1016">
        <v>7.4999999999999997E-2</v>
      </c>
      <c r="H827" s="1017">
        <f>ROUND(D827*E827*F827*G827,4)</f>
        <v>2.8500000000000001E-2</v>
      </c>
      <c r="I827" s="964" t="s">
        <v>2313</v>
      </c>
      <c r="J827" s="901"/>
    </row>
    <row r="828" spans="1:10" s="965" customFormat="1" hidden="1">
      <c r="A828" s="896"/>
      <c r="B828" s="966"/>
      <c r="C828" s="1002" t="s">
        <v>741</v>
      </c>
      <c r="D828" s="1014">
        <v>1</v>
      </c>
      <c r="E828" s="1015">
        <v>0.8</v>
      </c>
      <c r="F828" s="1016">
        <v>0.1</v>
      </c>
      <c r="G828" s="1016">
        <v>7.4999999999999997E-2</v>
      </c>
      <c r="H828" s="1017">
        <f>ROUND(D828*E828*F828*G828,4)</f>
        <v>6.0000000000000001E-3</v>
      </c>
      <c r="I828" s="964" t="s">
        <v>2313</v>
      </c>
      <c r="J828" s="901"/>
    </row>
    <row r="829" spans="1:10" s="965" customFormat="1" hidden="1">
      <c r="A829" s="896"/>
      <c r="B829" s="966"/>
      <c r="C829" s="1004"/>
      <c r="D829" s="1014"/>
      <c r="E829" s="1014"/>
      <c r="F829" s="1014"/>
      <c r="G829" s="1014"/>
      <c r="H829" s="1021">
        <f>SUM(H827:H828)</f>
        <v>3.4500000000000003E-2</v>
      </c>
      <c r="I829" s="964" t="s">
        <v>2313</v>
      </c>
      <c r="J829" s="901"/>
    </row>
    <row r="830" spans="1:10" s="965" customFormat="1" hidden="1">
      <c r="A830" s="896"/>
      <c r="B830" s="966"/>
      <c r="C830" s="1004" t="s">
        <v>1681</v>
      </c>
      <c r="D830" s="1014">
        <v>1</v>
      </c>
      <c r="E830" s="1015">
        <v>2.0099999999999998</v>
      </c>
      <c r="F830" s="1016">
        <v>0.72</v>
      </c>
      <c r="G830" s="1016">
        <v>0.03</v>
      </c>
      <c r="H830" s="1017">
        <f>ROUND(D830*E830*F830*G830,4)</f>
        <v>4.3400000000000001E-2</v>
      </c>
      <c r="I830" s="964" t="s">
        <v>2313</v>
      </c>
      <c r="J830" s="901"/>
    </row>
    <row r="831" spans="1:10" s="965" customFormat="1" hidden="1">
      <c r="A831" s="896"/>
      <c r="B831" s="966"/>
      <c r="C831" s="1002"/>
      <c r="D831" s="1014"/>
      <c r="E831" s="1014"/>
      <c r="F831" s="1014"/>
      <c r="G831" s="1014"/>
      <c r="H831" s="1021">
        <f>SUM(H830:H830)</f>
        <v>4.3400000000000001E-2</v>
      </c>
      <c r="I831" s="964" t="s">
        <v>2313</v>
      </c>
      <c r="J831" s="901"/>
    </row>
    <row r="832" spans="1:10" s="965" customFormat="1" hidden="1">
      <c r="A832" s="896"/>
      <c r="B832" s="966" t="s">
        <v>1682</v>
      </c>
      <c r="C832" s="1002" t="s">
        <v>1683</v>
      </c>
      <c r="E832" s="967" t="s">
        <v>35</v>
      </c>
      <c r="F832" s="976">
        <f>H829</f>
        <v>3.4500000000000003E-2</v>
      </c>
      <c r="G832" s="970">
        <f>'MINI SSR 2022-23'!C144</f>
        <v>51000</v>
      </c>
      <c r="H832" s="969">
        <f t="shared" ref="H832:H839" si="60">ROUND(F832*G832,2)</f>
        <v>1759.5</v>
      </c>
      <c r="I832" s="964" t="s">
        <v>2313</v>
      </c>
      <c r="J832" s="901"/>
    </row>
    <row r="833" spans="1:10" s="965" customFormat="1" hidden="1">
      <c r="A833" s="896"/>
      <c r="B833" s="966" t="s">
        <v>1684</v>
      </c>
      <c r="C833" s="1002" t="s">
        <v>1685</v>
      </c>
      <c r="E833" s="967" t="s">
        <v>35</v>
      </c>
      <c r="F833" s="976">
        <f>H831</f>
        <v>4.3400000000000001E-2</v>
      </c>
      <c r="G833" s="970">
        <f>'MINI SSR 2022-23'!C145</f>
        <v>63950</v>
      </c>
      <c r="H833" s="969">
        <f t="shared" si="60"/>
        <v>2775.43</v>
      </c>
      <c r="I833" s="964" t="s">
        <v>2313</v>
      </c>
      <c r="J833" s="901"/>
    </row>
    <row r="834" spans="1:10" s="965" customFormat="1" hidden="1">
      <c r="A834" s="896"/>
      <c r="B834" s="966" t="s">
        <v>1394</v>
      </c>
      <c r="C834" s="1002" t="s">
        <v>1686</v>
      </c>
      <c r="D834" s="967"/>
      <c r="E834" s="967" t="s">
        <v>11</v>
      </c>
      <c r="F834" s="988">
        <v>2</v>
      </c>
      <c r="G834" s="970">
        <f t="shared" ref="G834:G839" si="61">G815</f>
        <v>86.5</v>
      </c>
      <c r="H834" s="969">
        <f t="shared" si="60"/>
        <v>173</v>
      </c>
      <c r="I834" s="964" t="s">
        <v>2313</v>
      </c>
      <c r="J834" s="901"/>
    </row>
    <row r="835" spans="1:10" s="965" customFormat="1" hidden="1">
      <c r="A835" s="896"/>
      <c r="B835" s="966" t="s">
        <v>1396</v>
      </c>
      <c r="C835" s="1002" t="s">
        <v>1378</v>
      </c>
      <c r="D835" s="967"/>
      <c r="E835" s="967" t="s">
        <v>11</v>
      </c>
      <c r="F835" s="988">
        <v>3</v>
      </c>
      <c r="G835" s="970">
        <f t="shared" si="61"/>
        <v>129</v>
      </c>
      <c r="H835" s="969">
        <f t="shared" si="60"/>
        <v>387</v>
      </c>
      <c r="I835" s="964" t="s">
        <v>2313</v>
      </c>
      <c r="J835" s="901"/>
    </row>
    <row r="836" spans="1:10" s="965" customFormat="1" hidden="1">
      <c r="A836" s="896"/>
      <c r="B836" s="966" t="s">
        <v>1381</v>
      </c>
      <c r="C836" s="1002" t="s">
        <v>1380</v>
      </c>
      <c r="D836" s="967"/>
      <c r="E836" s="967" t="s">
        <v>11</v>
      </c>
      <c r="F836" s="988"/>
      <c r="G836" s="970">
        <f t="shared" si="61"/>
        <v>114</v>
      </c>
      <c r="H836" s="969">
        <f t="shared" si="60"/>
        <v>0</v>
      </c>
      <c r="I836" s="964" t="s">
        <v>2313</v>
      </c>
      <c r="J836" s="901"/>
    </row>
    <row r="837" spans="1:10" s="965" customFormat="1" hidden="1">
      <c r="A837" s="896"/>
      <c r="B837" s="966" t="s">
        <v>1398</v>
      </c>
      <c r="C837" s="1002" t="s">
        <v>1687</v>
      </c>
      <c r="D837" s="967"/>
      <c r="E837" s="967" t="s">
        <v>11</v>
      </c>
      <c r="F837" s="988">
        <v>2</v>
      </c>
      <c r="G837" s="970">
        <f t="shared" si="61"/>
        <v>338</v>
      </c>
      <c r="H837" s="969">
        <f t="shared" si="60"/>
        <v>676</v>
      </c>
      <c r="I837" s="964" t="s">
        <v>2313</v>
      </c>
      <c r="J837" s="901"/>
    </row>
    <row r="838" spans="1:10" hidden="1">
      <c r="A838" s="896"/>
      <c r="B838" s="966" t="s">
        <v>1688</v>
      </c>
      <c r="C838" s="1002" t="s">
        <v>1689</v>
      </c>
      <c r="D838" s="967"/>
      <c r="E838" s="967" t="s">
        <v>11</v>
      </c>
      <c r="F838" s="988">
        <v>1</v>
      </c>
      <c r="G838" s="970">
        <f t="shared" si="61"/>
        <v>58</v>
      </c>
      <c r="H838" s="969">
        <f t="shared" si="60"/>
        <v>58</v>
      </c>
      <c r="I838" s="964" t="s">
        <v>2313</v>
      </c>
    </row>
    <row r="839" spans="1:10" hidden="1">
      <c r="A839" s="896"/>
      <c r="B839" s="966" t="s">
        <v>1387</v>
      </c>
      <c r="C839" s="1002" t="s">
        <v>1386</v>
      </c>
      <c r="D839" s="967"/>
      <c r="E839" s="967" t="s">
        <v>11</v>
      </c>
      <c r="F839" s="988">
        <v>6</v>
      </c>
      <c r="G839" s="970">
        <f t="shared" si="61"/>
        <v>39</v>
      </c>
      <c r="H839" s="969">
        <f t="shared" si="60"/>
        <v>234</v>
      </c>
      <c r="I839" s="964" t="s">
        <v>2313</v>
      </c>
    </row>
    <row r="840" spans="1:10" hidden="1">
      <c r="A840" s="896"/>
      <c r="B840" s="966"/>
      <c r="C840" s="1004" t="s">
        <v>68</v>
      </c>
      <c r="D840" s="901"/>
      <c r="E840" s="967"/>
      <c r="F840" s="970"/>
      <c r="G840" s="970"/>
      <c r="H840" s="969"/>
      <c r="I840" s="964" t="s">
        <v>2313</v>
      </c>
    </row>
    <row r="841" spans="1:10" hidden="1">
      <c r="A841" s="896"/>
      <c r="B841" s="967" t="s">
        <v>1690</v>
      </c>
      <c r="C841" s="1002" t="s">
        <v>1388</v>
      </c>
      <c r="D841" s="901"/>
      <c r="E841" s="967" t="s">
        <v>102</v>
      </c>
      <c r="F841" s="970">
        <f>ROUND(0.8*2.1,2)</f>
        <v>1.68</v>
      </c>
      <c r="G841" s="970">
        <f>G822</f>
        <v>1701</v>
      </c>
      <c r="H841" s="969">
        <f>ROUND(F841*G841*1/3,2)</f>
        <v>952.56</v>
      </c>
      <c r="I841" s="964" t="s">
        <v>2313</v>
      </c>
    </row>
    <row r="842" spans="1:10" hidden="1">
      <c r="A842" s="896"/>
      <c r="B842" s="966"/>
      <c r="C842" s="1004"/>
      <c r="D842" s="967"/>
      <c r="E842" s="967"/>
      <c r="F842" s="967"/>
      <c r="G842" s="967"/>
      <c r="H842" s="971">
        <f>SUM(H832:H841)</f>
        <v>7015.49</v>
      </c>
      <c r="I842" s="964" t="s">
        <v>2313</v>
      </c>
    </row>
    <row r="843" spans="1:10" ht="127.5" hidden="1">
      <c r="A843" s="896">
        <v>5</v>
      </c>
      <c r="B843" s="966"/>
      <c r="C843" s="1002" t="s">
        <v>1310</v>
      </c>
      <c r="D843" s="967"/>
      <c r="E843" s="967"/>
      <c r="F843" s="967"/>
      <c r="G843" s="967"/>
      <c r="H843" s="972"/>
      <c r="I843" s="964" t="s">
        <v>2313</v>
      </c>
    </row>
    <row r="844" spans="1:10" hidden="1">
      <c r="A844" s="896"/>
      <c r="B844" s="966"/>
      <c r="C844" s="1004" t="s">
        <v>100</v>
      </c>
      <c r="D844" s="967"/>
      <c r="E844" s="967"/>
      <c r="F844" s="967"/>
      <c r="G844" s="967"/>
      <c r="H844" s="972"/>
      <c r="I844" s="964" t="s">
        <v>2313</v>
      </c>
    </row>
    <row r="845" spans="1:10" s="965" customFormat="1" hidden="1">
      <c r="A845" s="896"/>
      <c r="B845" s="966"/>
      <c r="C845" s="1004" t="s">
        <v>594</v>
      </c>
      <c r="D845" s="967"/>
      <c r="E845" s="967"/>
      <c r="F845" s="967"/>
      <c r="G845" s="967"/>
      <c r="H845" s="972"/>
      <c r="I845" s="964" t="s">
        <v>2313</v>
      </c>
      <c r="J845" s="901"/>
    </row>
    <row r="846" spans="1:10" s="965" customFormat="1" hidden="1">
      <c r="A846" s="896"/>
      <c r="B846" s="966"/>
      <c r="C846" s="1002" t="s">
        <v>2</v>
      </c>
      <c r="D846" s="1014">
        <v>2</v>
      </c>
      <c r="E846" s="1015">
        <v>1.9</v>
      </c>
      <c r="F846" s="1016">
        <v>0.1</v>
      </c>
      <c r="G846" s="1016">
        <v>7.4999999999999997E-2</v>
      </c>
      <c r="H846" s="1017">
        <f>ROUND(D846*E846*F846*G846,4)</f>
        <v>2.8500000000000001E-2</v>
      </c>
      <c r="I846" s="964" t="s">
        <v>2313</v>
      </c>
      <c r="J846" s="901"/>
    </row>
    <row r="847" spans="1:10" s="965" customFormat="1" hidden="1">
      <c r="A847" s="896"/>
      <c r="B847" s="966"/>
      <c r="C847" s="1002" t="s">
        <v>741</v>
      </c>
      <c r="D847" s="1014">
        <v>1</v>
      </c>
      <c r="E847" s="1015">
        <v>1.05</v>
      </c>
      <c r="F847" s="1016">
        <v>0.1</v>
      </c>
      <c r="G847" s="1016">
        <v>7.4999999999999997E-2</v>
      </c>
      <c r="H847" s="1017">
        <f>ROUND(D847*E847*F847*G847,4)</f>
        <v>7.9000000000000008E-3</v>
      </c>
      <c r="I847" s="964" t="s">
        <v>2313</v>
      </c>
      <c r="J847" s="901"/>
    </row>
    <row r="848" spans="1:10" s="965" customFormat="1" hidden="1">
      <c r="A848" s="896"/>
      <c r="B848" s="966"/>
      <c r="C848" s="1004"/>
      <c r="D848" s="1014"/>
      <c r="E848" s="1014"/>
      <c r="F848" s="1014"/>
      <c r="G848" s="1014"/>
      <c r="H848" s="1021">
        <f>SUM(H846:H847)</f>
        <v>3.6400000000000002E-2</v>
      </c>
      <c r="I848" s="964" t="s">
        <v>2313</v>
      </c>
      <c r="J848" s="901"/>
    </row>
    <row r="849" spans="1:10" s="965" customFormat="1" hidden="1">
      <c r="A849" s="896"/>
      <c r="B849" s="966"/>
      <c r="C849" s="1004" t="s">
        <v>320</v>
      </c>
      <c r="D849" s="1014">
        <v>1</v>
      </c>
      <c r="E849" s="1015">
        <v>2.0099999999999998</v>
      </c>
      <c r="F849" s="1016">
        <v>0.94</v>
      </c>
      <c r="G849" s="1016">
        <v>0.03</v>
      </c>
      <c r="H849" s="1017">
        <f>ROUND(D849*E849*F849*G849,4)</f>
        <v>5.67E-2</v>
      </c>
      <c r="I849" s="964" t="s">
        <v>2313</v>
      </c>
      <c r="J849" s="901"/>
    </row>
    <row r="850" spans="1:10" s="965" customFormat="1" hidden="1">
      <c r="A850" s="896"/>
      <c r="B850" s="966"/>
      <c r="C850" s="1002"/>
      <c r="D850" s="1014"/>
      <c r="E850" s="1014"/>
      <c r="F850" s="1014"/>
      <c r="G850" s="1014"/>
      <c r="H850" s="1021">
        <f>SUM(H849:H849)</f>
        <v>5.67E-2</v>
      </c>
      <c r="I850" s="964" t="s">
        <v>2313</v>
      </c>
      <c r="J850" s="901"/>
    </row>
    <row r="851" spans="1:10" s="965" customFormat="1" hidden="1">
      <c r="A851" s="896"/>
      <c r="B851" s="966" t="s">
        <v>1373</v>
      </c>
      <c r="C851" s="1002" t="s">
        <v>1372</v>
      </c>
      <c r="E851" s="967" t="s">
        <v>35</v>
      </c>
      <c r="F851" s="976">
        <f>H848</f>
        <v>3.6400000000000002E-2</v>
      </c>
      <c r="G851" s="970">
        <f>'MINI SSR 2022-23'!$C$142</f>
        <v>81950</v>
      </c>
      <c r="H851" s="969">
        <f t="shared" ref="H851:H858" si="62">ROUND(F851*G851,2)</f>
        <v>2982.98</v>
      </c>
      <c r="I851" s="964" t="s">
        <v>2313</v>
      </c>
      <c r="J851" s="901"/>
    </row>
    <row r="852" spans="1:10" s="965" customFormat="1" hidden="1">
      <c r="A852" s="896"/>
      <c r="B852" s="966" t="s">
        <v>1375</v>
      </c>
      <c r="C852" s="1002" t="s">
        <v>1374</v>
      </c>
      <c r="E852" s="967" t="s">
        <v>35</v>
      </c>
      <c r="F852" s="976">
        <f>H850</f>
        <v>5.67E-2</v>
      </c>
      <c r="G852" s="970">
        <f>'MINI SSR 2022-23'!C143</f>
        <v>160920</v>
      </c>
      <c r="H852" s="969">
        <f t="shared" si="62"/>
        <v>9124.16</v>
      </c>
      <c r="I852" s="964" t="s">
        <v>2313</v>
      </c>
      <c r="J852" s="901"/>
    </row>
    <row r="853" spans="1:10" s="965" customFormat="1" hidden="1">
      <c r="A853" s="896"/>
      <c r="B853" s="966" t="s">
        <v>1377</v>
      </c>
      <c r="C853" s="1002" t="s">
        <v>1376</v>
      </c>
      <c r="D853" s="967"/>
      <c r="E853" s="967" t="s">
        <v>11</v>
      </c>
      <c r="F853" s="988">
        <v>2</v>
      </c>
      <c r="G853" s="970">
        <f t="shared" ref="G853:G858" si="63">G722</f>
        <v>255</v>
      </c>
      <c r="H853" s="969">
        <f t="shared" si="62"/>
        <v>510</v>
      </c>
      <c r="I853" s="964" t="s">
        <v>2313</v>
      </c>
      <c r="J853" s="901"/>
    </row>
    <row r="854" spans="1:10" s="965" customFormat="1" hidden="1">
      <c r="A854" s="896"/>
      <c r="B854" s="966" t="s">
        <v>1379</v>
      </c>
      <c r="C854" s="1002" t="s">
        <v>1378</v>
      </c>
      <c r="D854" s="967"/>
      <c r="E854" s="967" t="s">
        <v>11</v>
      </c>
      <c r="F854" s="988">
        <v>3</v>
      </c>
      <c r="G854" s="970">
        <f t="shared" si="63"/>
        <v>273</v>
      </c>
      <c r="H854" s="969">
        <f t="shared" si="62"/>
        <v>819</v>
      </c>
      <c r="I854" s="964" t="s">
        <v>2313</v>
      </c>
      <c r="J854" s="901"/>
    </row>
    <row r="855" spans="1:10" s="965" customFormat="1" hidden="1">
      <c r="A855" s="896"/>
      <c r="B855" s="966" t="s">
        <v>1381</v>
      </c>
      <c r="C855" s="1002" t="s">
        <v>1380</v>
      </c>
      <c r="D855" s="967"/>
      <c r="E855" s="967" t="s">
        <v>11</v>
      </c>
      <c r="F855" s="988"/>
      <c r="G855" s="970">
        <f t="shared" si="63"/>
        <v>108</v>
      </c>
      <c r="H855" s="969">
        <f t="shared" si="62"/>
        <v>0</v>
      </c>
      <c r="I855" s="964" t="s">
        <v>2313</v>
      </c>
      <c r="J855" s="901"/>
    </row>
    <row r="856" spans="1:10" s="965" customFormat="1" hidden="1">
      <c r="A856" s="896"/>
      <c r="B856" s="966" t="s">
        <v>1383</v>
      </c>
      <c r="C856" s="1002" t="s">
        <v>1382</v>
      </c>
      <c r="D856" s="967"/>
      <c r="E856" s="967" t="s">
        <v>11</v>
      </c>
      <c r="F856" s="988">
        <v>2</v>
      </c>
      <c r="G856" s="970">
        <f t="shared" si="63"/>
        <v>1195</v>
      </c>
      <c r="H856" s="969">
        <f t="shared" si="62"/>
        <v>2390</v>
      </c>
      <c r="I856" s="964" t="s">
        <v>2313</v>
      </c>
      <c r="J856" s="901"/>
    </row>
    <row r="857" spans="1:10" hidden="1">
      <c r="A857" s="896"/>
      <c r="B857" s="966" t="s">
        <v>1385</v>
      </c>
      <c r="C857" s="1002" t="s">
        <v>1384</v>
      </c>
      <c r="D857" s="967"/>
      <c r="E857" s="967" t="s">
        <v>11</v>
      </c>
      <c r="F857" s="988">
        <v>1</v>
      </c>
      <c r="G857" s="970">
        <f t="shared" si="63"/>
        <v>185</v>
      </c>
      <c r="H857" s="969">
        <f t="shared" si="62"/>
        <v>185</v>
      </c>
      <c r="I857" s="964" t="s">
        <v>2313</v>
      </c>
    </row>
    <row r="858" spans="1:10" hidden="1">
      <c r="A858" s="896"/>
      <c r="B858" s="966" t="s">
        <v>1387</v>
      </c>
      <c r="C858" s="1002" t="s">
        <v>1386</v>
      </c>
      <c r="D858" s="967"/>
      <c r="E858" s="967" t="s">
        <v>11</v>
      </c>
      <c r="F858" s="988">
        <v>6</v>
      </c>
      <c r="G858" s="970">
        <f t="shared" si="63"/>
        <v>39</v>
      </c>
      <c r="H858" s="969">
        <f t="shared" si="62"/>
        <v>234</v>
      </c>
      <c r="I858" s="964" t="s">
        <v>2313</v>
      </c>
    </row>
    <row r="859" spans="1:10" hidden="1">
      <c r="A859" s="896"/>
      <c r="B859" s="966"/>
      <c r="C859" s="1004" t="s">
        <v>68</v>
      </c>
      <c r="D859" s="901"/>
      <c r="E859" s="967"/>
      <c r="F859" s="970"/>
      <c r="G859" s="970"/>
      <c r="H859" s="969"/>
      <c r="I859" s="964" t="s">
        <v>2313</v>
      </c>
    </row>
    <row r="860" spans="1:10" hidden="1">
      <c r="A860" s="896"/>
      <c r="B860" s="967" t="s">
        <v>1389</v>
      </c>
      <c r="C860" s="1002" t="s">
        <v>1388</v>
      </c>
      <c r="D860" s="901"/>
      <c r="E860" s="967" t="s">
        <v>102</v>
      </c>
      <c r="F860" s="970">
        <f>ROUND(1.05*2.1,2)</f>
        <v>2.21</v>
      </c>
      <c r="G860" s="970">
        <f>G729</f>
        <v>1727</v>
      </c>
      <c r="H860" s="969">
        <f>ROUND(F860*G860*1/3,2)</f>
        <v>1272.22</v>
      </c>
      <c r="I860" s="964" t="s">
        <v>2313</v>
      </c>
    </row>
    <row r="861" spans="1:10" hidden="1">
      <c r="A861" s="896"/>
      <c r="B861" s="966"/>
      <c r="C861" s="1004"/>
      <c r="D861" s="967"/>
      <c r="E861" s="967"/>
      <c r="F861" s="967"/>
      <c r="G861" s="967"/>
      <c r="H861" s="971">
        <f>SUM(H851:H860)</f>
        <v>17517.36</v>
      </c>
      <c r="I861" s="964" t="s">
        <v>2313</v>
      </c>
    </row>
    <row r="862" spans="1:10" ht="127.5" hidden="1">
      <c r="A862" s="896">
        <v>4</v>
      </c>
      <c r="B862" s="966"/>
      <c r="C862" s="1002" t="s">
        <v>2204</v>
      </c>
      <c r="D862" s="967"/>
      <c r="E862" s="967"/>
      <c r="F862" s="967"/>
      <c r="G862" s="967"/>
      <c r="H862" s="972"/>
      <c r="I862" s="964" t="s">
        <v>2313</v>
      </c>
    </row>
    <row r="863" spans="1:10" hidden="1">
      <c r="A863" s="896"/>
      <c r="B863" s="966"/>
      <c r="C863" s="1004" t="s">
        <v>100</v>
      </c>
      <c r="D863" s="967"/>
      <c r="E863" s="967"/>
      <c r="F863" s="967"/>
      <c r="G863" s="967"/>
      <c r="H863" s="972"/>
      <c r="I863" s="964" t="s">
        <v>2313</v>
      </c>
    </row>
    <row r="864" spans="1:10" s="965" customFormat="1" hidden="1">
      <c r="A864" s="896"/>
      <c r="B864" s="966"/>
      <c r="C864" s="1004" t="s">
        <v>60</v>
      </c>
      <c r="D864" s="967"/>
      <c r="E864" s="967"/>
      <c r="F864" s="967"/>
      <c r="G864" s="967"/>
      <c r="H864" s="972"/>
      <c r="I864" s="964" t="s">
        <v>2313</v>
      </c>
      <c r="J864" s="901"/>
    </row>
    <row r="865" spans="1:12" s="965" customFormat="1" hidden="1">
      <c r="A865" s="896"/>
      <c r="B865" s="966"/>
      <c r="C865" s="1004" t="s">
        <v>1</v>
      </c>
      <c r="D865" s="967"/>
      <c r="E865" s="967"/>
      <c r="F865" s="967"/>
      <c r="G865" s="967"/>
      <c r="H865" s="972"/>
      <c r="I865" s="964" t="s">
        <v>2313</v>
      </c>
      <c r="J865" s="901"/>
    </row>
    <row r="866" spans="1:12" s="965" customFormat="1" hidden="1">
      <c r="A866" s="896"/>
      <c r="B866" s="966"/>
      <c r="C866" s="1002" t="s">
        <v>2</v>
      </c>
      <c r="D866" s="1014">
        <v>2</v>
      </c>
      <c r="E866" s="1015">
        <v>1.95</v>
      </c>
      <c r="F866" s="1016">
        <v>0.1</v>
      </c>
      <c r="G866" s="1016">
        <v>7.4999999999999997E-2</v>
      </c>
      <c r="H866" s="1017">
        <f>ROUND(D866*E866*F866*G866,4)</f>
        <v>2.93E-2</v>
      </c>
      <c r="I866" s="964" t="s">
        <v>2313</v>
      </c>
      <c r="J866" s="901"/>
    </row>
    <row r="867" spans="1:12" s="965" customFormat="1" hidden="1">
      <c r="A867" s="896"/>
      <c r="B867" s="966"/>
      <c r="C867" s="1002" t="s">
        <v>741</v>
      </c>
      <c r="D867" s="1014">
        <v>2</v>
      </c>
      <c r="E867" s="1015">
        <v>1.05</v>
      </c>
      <c r="F867" s="1016">
        <v>0.1</v>
      </c>
      <c r="G867" s="1016">
        <v>7.4999999999999997E-2</v>
      </c>
      <c r="H867" s="1017">
        <f>ROUND(D867*E867*F867*G867,4)</f>
        <v>1.5800000000000002E-2</v>
      </c>
      <c r="I867" s="964" t="s">
        <v>2313</v>
      </c>
      <c r="J867" s="901"/>
    </row>
    <row r="868" spans="1:12" s="965" customFormat="1" hidden="1">
      <c r="A868" s="896"/>
      <c r="B868" s="966"/>
      <c r="C868" s="1004"/>
      <c r="D868" s="967"/>
      <c r="E868" s="967"/>
      <c r="F868" s="967"/>
      <c r="G868" s="967"/>
      <c r="H868" s="1018">
        <f>SUM(H866:H867)</f>
        <v>4.5100000000000001E-2</v>
      </c>
      <c r="I868" s="964" t="s">
        <v>2313</v>
      </c>
      <c r="J868" s="901"/>
    </row>
    <row r="869" spans="1:12" s="965" customFormat="1" hidden="1">
      <c r="A869" s="896"/>
      <c r="B869" s="966" t="s">
        <v>1373</v>
      </c>
      <c r="C869" s="1002" t="s">
        <v>1372</v>
      </c>
      <c r="D869" s="967"/>
      <c r="E869" s="967" t="s">
        <v>35</v>
      </c>
      <c r="F869" s="976">
        <f>H868</f>
        <v>4.5100000000000001E-2</v>
      </c>
      <c r="G869" s="970">
        <f>'MINI SSR 2022-23'!$C$142</f>
        <v>81950</v>
      </c>
      <c r="H869" s="969">
        <f t="shared" ref="H869:H877" si="64">ROUND(F869*G869,2)</f>
        <v>3695.95</v>
      </c>
      <c r="I869" s="964" t="s">
        <v>2313</v>
      </c>
      <c r="J869" s="901"/>
    </row>
    <row r="870" spans="1:12" s="965" customFormat="1" hidden="1">
      <c r="A870" s="896"/>
      <c r="B870" s="967" t="s">
        <v>2092</v>
      </c>
      <c r="C870" s="1002" t="s">
        <v>2093</v>
      </c>
      <c r="D870" s="967"/>
      <c r="E870" s="967" t="s">
        <v>102</v>
      </c>
      <c r="F870" s="976">
        <f>ROUND(0.74*1.995,2)</f>
        <v>1.48</v>
      </c>
      <c r="G870" s="970">
        <f>'MINI SSR 2022-23'!$C$148</f>
        <v>2000</v>
      </c>
      <c r="H870" s="969">
        <f t="shared" si="64"/>
        <v>2960</v>
      </c>
      <c r="I870" s="964" t="s">
        <v>2313</v>
      </c>
      <c r="J870" s="901"/>
      <c r="K870" s="965">
        <f>(1*0.775)/1.05</f>
        <v>0.73809523809523814</v>
      </c>
    </row>
    <row r="871" spans="1:12" s="965" customFormat="1" hidden="1">
      <c r="A871" s="896"/>
      <c r="B871" s="967" t="s">
        <v>2094</v>
      </c>
      <c r="C871" s="1002" t="s">
        <v>2098</v>
      </c>
      <c r="D871" s="967"/>
      <c r="E871" s="967" t="s">
        <v>102</v>
      </c>
      <c r="F871" s="976">
        <f>F870</f>
        <v>1.48</v>
      </c>
      <c r="G871" s="970">
        <f>'MINI SSR 2022-23'!$C$151</f>
        <v>1036</v>
      </c>
      <c r="H871" s="969">
        <f t="shared" si="64"/>
        <v>1533.28</v>
      </c>
      <c r="I871" s="964" t="s">
        <v>2313</v>
      </c>
      <c r="J871" s="901"/>
    </row>
    <row r="872" spans="1:12" hidden="1">
      <c r="A872" s="896"/>
      <c r="B872" s="967" t="s">
        <v>1394</v>
      </c>
      <c r="C872" s="1002" t="s">
        <v>1393</v>
      </c>
      <c r="D872" s="967"/>
      <c r="E872" s="967" t="s">
        <v>11</v>
      </c>
      <c r="F872" s="988">
        <v>2</v>
      </c>
      <c r="G872" s="970">
        <f>'MINI SSR 2022-23'!$G$143</f>
        <v>86.5</v>
      </c>
      <c r="H872" s="969">
        <f t="shared" si="64"/>
        <v>173</v>
      </c>
      <c r="I872" s="964" t="s">
        <v>2313</v>
      </c>
    </row>
    <row r="873" spans="1:12" hidden="1">
      <c r="A873" s="896"/>
      <c r="B873" s="967" t="s">
        <v>1396</v>
      </c>
      <c r="C873" s="1002" t="s">
        <v>1395</v>
      </c>
      <c r="D873" s="967"/>
      <c r="E873" s="967" t="s">
        <v>11</v>
      </c>
      <c r="F873" s="988">
        <v>3</v>
      </c>
      <c r="G873" s="970">
        <f>'MINI SSR 2022-23'!$G$146</f>
        <v>129</v>
      </c>
      <c r="H873" s="969">
        <f t="shared" si="64"/>
        <v>387</v>
      </c>
      <c r="I873" s="964" t="s">
        <v>2313</v>
      </c>
    </row>
    <row r="874" spans="1:12" hidden="1">
      <c r="A874" s="896"/>
      <c r="B874" s="967" t="s">
        <v>1381</v>
      </c>
      <c r="C874" s="1002" t="s">
        <v>1380</v>
      </c>
      <c r="D874" s="967"/>
      <c r="E874" s="967" t="s">
        <v>11</v>
      </c>
      <c r="F874" s="988">
        <v>2</v>
      </c>
      <c r="G874" s="970">
        <f>'MINI SSR 2022-23'!$G$144</f>
        <v>108</v>
      </c>
      <c r="H874" s="969">
        <f t="shared" si="64"/>
        <v>216</v>
      </c>
      <c r="I874" s="964" t="s">
        <v>2313</v>
      </c>
    </row>
    <row r="875" spans="1:12" hidden="1">
      <c r="A875" s="896"/>
      <c r="B875" s="967" t="s">
        <v>1398</v>
      </c>
      <c r="C875" s="1002" t="s">
        <v>1397</v>
      </c>
      <c r="D875" s="967"/>
      <c r="E875" s="967" t="s">
        <v>11</v>
      </c>
      <c r="F875" s="988">
        <v>2</v>
      </c>
      <c r="G875" s="970">
        <f>'MINI SSR 2022-23'!$G$149</f>
        <v>338</v>
      </c>
      <c r="H875" s="969">
        <f t="shared" si="64"/>
        <v>676</v>
      </c>
      <c r="I875" s="964" t="s">
        <v>2313</v>
      </c>
    </row>
    <row r="876" spans="1:12" hidden="1">
      <c r="A876" s="896"/>
      <c r="B876" s="967" t="s">
        <v>1400</v>
      </c>
      <c r="C876" s="1002" t="s">
        <v>1399</v>
      </c>
      <c r="D876" s="967"/>
      <c r="E876" s="967" t="s">
        <v>11</v>
      </c>
      <c r="F876" s="988">
        <v>1</v>
      </c>
      <c r="G876" s="970">
        <f>'MINI SSR 2022-23'!$G$155</f>
        <v>58</v>
      </c>
      <c r="H876" s="969">
        <f t="shared" si="64"/>
        <v>58</v>
      </c>
      <c r="I876" s="964" t="s">
        <v>2313</v>
      </c>
    </row>
    <row r="877" spans="1:12" hidden="1">
      <c r="A877" s="896"/>
      <c r="B877" s="967" t="s">
        <v>1387</v>
      </c>
      <c r="C877" s="1002" t="s">
        <v>1386</v>
      </c>
      <c r="D877" s="967"/>
      <c r="E877" s="967" t="s">
        <v>11</v>
      </c>
      <c r="F877" s="988">
        <v>6</v>
      </c>
      <c r="G877" s="970">
        <f>'MINI SSR 2022-23'!$G$152</f>
        <v>39</v>
      </c>
      <c r="H877" s="969">
        <f t="shared" si="64"/>
        <v>234</v>
      </c>
      <c r="I877" s="964" t="s">
        <v>2313</v>
      </c>
    </row>
    <row r="878" spans="1:12" hidden="1">
      <c r="A878" s="967"/>
      <c r="B878" s="967"/>
      <c r="C878" s="1004" t="s">
        <v>68</v>
      </c>
      <c r="D878" s="967"/>
      <c r="E878" s="967"/>
      <c r="F878" s="970"/>
      <c r="G878" s="974"/>
      <c r="H878" s="969"/>
      <c r="I878" s="964" t="s">
        <v>2313</v>
      </c>
    </row>
    <row r="879" spans="1:12" ht="25.5" hidden="1">
      <c r="A879" s="967"/>
      <c r="B879" s="967" t="s">
        <v>1389</v>
      </c>
      <c r="C879" s="1002" t="s">
        <v>1401</v>
      </c>
      <c r="D879" s="967"/>
      <c r="E879" s="967" t="s">
        <v>102</v>
      </c>
      <c r="F879" s="970">
        <f>ROUND(1.05*2.1,2)</f>
        <v>2.21</v>
      </c>
      <c r="G879" s="970">
        <f>'MINI SSR 2022-23'!$C$150</f>
        <v>1701</v>
      </c>
      <c r="H879" s="969">
        <f>ROUND(F879*G879*1/3,2)</f>
        <v>1253.07</v>
      </c>
      <c r="I879" s="964" t="s">
        <v>2313</v>
      </c>
      <c r="L879" s="1019"/>
    </row>
    <row r="880" spans="1:12" ht="13.5" hidden="1" thickBot="1">
      <c r="A880" s="967"/>
      <c r="B880" s="967"/>
      <c r="C880" s="1004"/>
      <c r="D880" s="967"/>
      <c r="E880" s="967"/>
      <c r="F880" s="967"/>
      <c r="G880" s="967"/>
      <c r="H880" s="971">
        <f>SUM(H869:H879)</f>
        <v>11186.3</v>
      </c>
      <c r="I880" s="964" t="s">
        <v>2313</v>
      </c>
      <c r="L880" s="1020">
        <f>SUM(L879)</f>
        <v>0</v>
      </c>
    </row>
    <row r="881" spans="1:10" ht="127.5" hidden="1">
      <c r="A881" s="896">
        <v>5</v>
      </c>
      <c r="B881" s="966"/>
      <c r="C881" s="1002" t="s">
        <v>2138</v>
      </c>
      <c r="D881" s="967"/>
      <c r="E881" s="967"/>
      <c r="F881" s="967"/>
      <c r="G881" s="967"/>
      <c r="H881" s="972"/>
      <c r="I881" s="964" t="s">
        <v>2313</v>
      </c>
    </row>
    <row r="882" spans="1:10" hidden="1">
      <c r="A882" s="896"/>
      <c r="B882" s="966"/>
      <c r="C882" s="1004" t="s">
        <v>100</v>
      </c>
      <c r="D882" s="967"/>
      <c r="E882" s="967"/>
      <c r="F882" s="967"/>
      <c r="G882" s="967"/>
      <c r="H882" s="972"/>
      <c r="I882" s="964" t="s">
        <v>2313</v>
      </c>
    </row>
    <row r="883" spans="1:10" s="965" customFormat="1" hidden="1">
      <c r="A883" s="896"/>
      <c r="B883" s="966"/>
      <c r="C883" s="1004" t="s">
        <v>60</v>
      </c>
      <c r="D883" s="967"/>
      <c r="E883" s="967"/>
      <c r="F883" s="967"/>
      <c r="G883" s="967"/>
      <c r="H883" s="972"/>
      <c r="I883" s="964" t="s">
        <v>2313</v>
      </c>
      <c r="J883" s="901"/>
    </row>
    <row r="884" spans="1:10" s="965" customFormat="1" hidden="1">
      <c r="A884" s="896"/>
      <c r="B884" s="966"/>
      <c r="C884" s="1004" t="s">
        <v>1</v>
      </c>
      <c r="D884" s="967"/>
      <c r="E884" s="967"/>
      <c r="F884" s="967"/>
      <c r="G884" s="967"/>
      <c r="H884" s="972"/>
      <c r="I884" s="964" t="s">
        <v>2313</v>
      </c>
      <c r="J884" s="901"/>
    </row>
    <row r="885" spans="1:10" s="965" customFormat="1" hidden="1">
      <c r="A885" s="896"/>
      <c r="B885" s="966"/>
      <c r="C885" s="1002" t="s">
        <v>2</v>
      </c>
      <c r="D885" s="1014">
        <v>2</v>
      </c>
      <c r="E885" s="1015">
        <v>1.95</v>
      </c>
      <c r="F885" s="1016">
        <v>0.1</v>
      </c>
      <c r="G885" s="1016">
        <v>7.4999999999999997E-2</v>
      </c>
      <c r="H885" s="1017">
        <f>ROUND(D885*E885*F885*G885,4)</f>
        <v>2.93E-2</v>
      </c>
      <c r="I885" s="964" t="s">
        <v>2313</v>
      </c>
      <c r="J885" s="901"/>
    </row>
    <row r="886" spans="1:10" s="965" customFormat="1" hidden="1">
      <c r="A886" s="896"/>
      <c r="B886" s="966"/>
      <c r="C886" s="1002" t="s">
        <v>741</v>
      </c>
      <c r="D886" s="1014">
        <v>2</v>
      </c>
      <c r="E886" s="1015">
        <v>0.9</v>
      </c>
      <c r="F886" s="1016">
        <v>0.1</v>
      </c>
      <c r="G886" s="1016">
        <v>7.4999999999999997E-2</v>
      </c>
      <c r="H886" s="1017">
        <f>ROUND(D886*E886*F886*G886,4)</f>
        <v>1.35E-2</v>
      </c>
      <c r="I886" s="964" t="s">
        <v>2313</v>
      </c>
      <c r="J886" s="901"/>
    </row>
    <row r="887" spans="1:10" s="965" customFormat="1" hidden="1">
      <c r="A887" s="896"/>
      <c r="B887" s="966"/>
      <c r="C887" s="1004"/>
      <c r="D887" s="967"/>
      <c r="E887" s="967"/>
      <c r="F887" s="967"/>
      <c r="G887" s="967"/>
      <c r="H887" s="1018">
        <f>SUM(H885:H886)</f>
        <v>4.2799999999999998E-2</v>
      </c>
      <c r="I887" s="964" t="s">
        <v>2313</v>
      </c>
      <c r="J887" s="901"/>
    </row>
    <row r="888" spans="1:10" s="965" customFormat="1" hidden="1">
      <c r="A888" s="896"/>
      <c r="B888" s="966" t="s">
        <v>1373</v>
      </c>
      <c r="C888" s="1002" t="s">
        <v>1372</v>
      </c>
      <c r="D888" s="967"/>
      <c r="E888" s="967" t="s">
        <v>35</v>
      </c>
      <c r="F888" s="976">
        <f>H887</f>
        <v>4.2799999999999998E-2</v>
      </c>
      <c r="G888" s="970">
        <f>'MINI SSR 2022-23'!$C$142</f>
        <v>81950</v>
      </c>
      <c r="H888" s="969">
        <f t="shared" ref="H888:H896" si="65">ROUND(F888*G888,2)</f>
        <v>3507.46</v>
      </c>
      <c r="I888" s="964" t="s">
        <v>2313</v>
      </c>
      <c r="J888" s="901"/>
    </row>
    <row r="889" spans="1:10" s="965" customFormat="1" hidden="1">
      <c r="A889" s="896"/>
      <c r="B889" s="967" t="s">
        <v>2092</v>
      </c>
      <c r="C889" s="1002" t="s">
        <v>2093</v>
      </c>
      <c r="D889" s="967"/>
      <c r="E889" s="967" t="s">
        <v>102</v>
      </c>
      <c r="F889" s="976">
        <f>ROUND(0.66*1.995,2)</f>
        <v>1.32</v>
      </c>
      <c r="G889" s="970">
        <f>'MINI SSR 2022-23'!$C$148</f>
        <v>2000</v>
      </c>
      <c r="H889" s="969">
        <f t="shared" si="65"/>
        <v>2640</v>
      </c>
      <c r="I889" s="964" t="s">
        <v>2313</v>
      </c>
      <c r="J889" s="901"/>
    </row>
    <row r="890" spans="1:10" s="965" customFormat="1" hidden="1">
      <c r="A890" s="896"/>
      <c r="B890" s="967" t="s">
        <v>2094</v>
      </c>
      <c r="C890" s="1002" t="s">
        <v>2098</v>
      </c>
      <c r="D890" s="967"/>
      <c r="E890" s="967" t="s">
        <v>102</v>
      </c>
      <c r="F890" s="976">
        <f>F889</f>
        <v>1.32</v>
      </c>
      <c r="G890" s="970">
        <f>'MINI SSR 2022-23'!$C$151</f>
        <v>1036</v>
      </c>
      <c r="H890" s="969">
        <f t="shared" si="65"/>
        <v>1367.52</v>
      </c>
      <c r="I890" s="964" t="s">
        <v>2313</v>
      </c>
      <c r="J890" s="901"/>
    </row>
    <row r="891" spans="1:10" hidden="1">
      <c r="A891" s="896"/>
      <c r="B891" s="967" t="s">
        <v>1394</v>
      </c>
      <c r="C891" s="1002" t="s">
        <v>1393</v>
      </c>
      <c r="D891" s="967"/>
      <c r="E891" s="967" t="s">
        <v>11</v>
      </c>
      <c r="F891" s="988">
        <v>2</v>
      </c>
      <c r="G891" s="970">
        <f>'MINI SSR 2022-23'!$G$143</f>
        <v>86.5</v>
      </c>
      <c r="H891" s="969">
        <f t="shared" si="65"/>
        <v>173</v>
      </c>
      <c r="I891" s="964" t="s">
        <v>2313</v>
      </c>
    </row>
    <row r="892" spans="1:10" hidden="1">
      <c r="A892" s="896"/>
      <c r="B892" s="967" t="s">
        <v>1396</v>
      </c>
      <c r="C892" s="1002" t="s">
        <v>1395</v>
      </c>
      <c r="D892" s="967"/>
      <c r="E892" s="967" t="s">
        <v>11</v>
      </c>
      <c r="F892" s="988">
        <v>3</v>
      </c>
      <c r="G892" s="970">
        <f>'MINI SSR 2022-23'!$G$146</f>
        <v>129</v>
      </c>
      <c r="H892" s="969">
        <f t="shared" si="65"/>
        <v>387</v>
      </c>
      <c r="I892" s="964" t="s">
        <v>2313</v>
      </c>
    </row>
    <row r="893" spans="1:10" hidden="1">
      <c r="A893" s="896"/>
      <c r="B893" s="967" t="s">
        <v>1381</v>
      </c>
      <c r="C893" s="1002" t="s">
        <v>1380</v>
      </c>
      <c r="D893" s="967"/>
      <c r="E893" s="967" t="s">
        <v>11</v>
      </c>
      <c r="F893" s="988">
        <v>2</v>
      </c>
      <c r="G893" s="970">
        <f>'MINI SSR 2022-23'!$G$144</f>
        <v>108</v>
      </c>
      <c r="H893" s="969">
        <f t="shared" si="65"/>
        <v>216</v>
      </c>
      <c r="I893" s="964" t="s">
        <v>2313</v>
      </c>
    </row>
    <row r="894" spans="1:10" hidden="1">
      <c r="A894" s="896"/>
      <c r="B894" s="967" t="s">
        <v>1398</v>
      </c>
      <c r="C894" s="1002" t="s">
        <v>1397</v>
      </c>
      <c r="D894" s="967"/>
      <c r="E894" s="967" t="s">
        <v>11</v>
      </c>
      <c r="F894" s="988">
        <v>2</v>
      </c>
      <c r="G894" s="970">
        <f>'MINI SSR 2022-23'!$G$149</f>
        <v>338</v>
      </c>
      <c r="H894" s="969">
        <f t="shared" si="65"/>
        <v>676</v>
      </c>
      <c r="I894" s="964" t="s">
        <v>2313</v>
      </c>
    </row>
    <row r="895" spans="1:10" hidden="1">
      <c r="A895" s="896"/>
      <c r="B895" s="967" t="s">
        <v>1400</v>
      </c>
      <c r="C895" s="1002" t="s">
        <v>1399</v>
      </c>
      <c r="D895" s="967"/>
      <c r="E895" s="967" t="s">
        <v>11</v>
      </c>
      <c r="F895" s="988">
        <v>1</v>
      </c>
      <c r="G895" s="970">
        <f>'MINI SSR 2022-23'!$G$155</f>
        <v>58</v>
      </c>
      <c r="H895" s="969">
        <f t="shared" si="65"/>
        <v>58</v>
      </c>
      <c r="I895" s="964" t="s">
        <v>2313</v>
      </c>
    </row>
    <row r="896" spans="1:10" hidden="1">
      <c r="A896" s="896"/>
      <c r="B896" s="967" t="s">
        <v>1387</v>
      </c>
      <c r="C896" s="1002" t="s">
        <v>1386</v>
      </c>
      <c r="D896" s="967"/>
      <c r="E896" s="967" t="s">
        <v>11</v>
      </c>
      <c r="F896" s="988">
        <v>6</v>
      </c>
      <c r="G896" s="970">
        <f>'MINI SSR 2022-23'!$G$152</f>
        <v>39</v>
      </c>
      <c r="H896" s="969">
        <f t="shared" si="65"/>
        <v>234</v>
      </c>
      <c r="I896" s="964" t="s">
        <v>2313</v>
      </c>
    </row>
    <row r="897" spans="1:12" hidden="1">
      <c r="A897" s="967"/>
      <c r="B897" s="967"/>
      <c r="C897" s="1004" t="s">
        <v>68</v>
      </c>
      <c r="D897" s="967"/>
      <c r="E897" s="967"/>
      <c r="F897" s="970"/>
      <c r="G897" s="974"/>
      <c r="H897" s="969"/>
      <c r="I897" s="964" t="s">
        <v>2313</v>
      </c>
    </row>
    <row r="898" spans="1:12" ht="25.5" hidden="1">
      <c r="A898" s="967"/>
      <c r="B898" s="967" t="s">
        <v>1389</v>
      </c>
      <c r="C898" s="1002" t="s">
        <v>1401</v>
      </c>
      <c r="D898" s="967"/>
      <c r="E898" s="967" t="s">
        <v>102</v>
      </c>
      <c r="F898" s="970">
        <f>ROUND(0.9*2.1,2)</f>
        <v>1.89</v>
      </c>
      <c r="G898" s="970">
        <f>'MINI SSR 2022-23'!$C$150</f>
        <v>1701</v>
      </c>
      <c r="H898" s="969">
        <f>ROUND(F898*G898*1/3,2)</f>
        <v>1071.6300000000001</v>
      </c>
      <c r="I898" s="964" t="s">
        <v>2313</v>
      </c>
      <c r="L898" s="1019"/>
    </row>
    <row r="899" spans="1:12" ht="13.5" hidden="1" thickBot="1">
      <c r="A899" s="967"/>
      <c r="B899" s="967"/>
      <c r="C899" s="1004"/>
      <c r="D899" s="967"/>
      <c r="E899" s="967"/>
      <c r="F899" s="967"/>
      <c r="G899" s="967"/>
      <c r="H899" s="971">
        <f>SUM(H888:H898)</f>
        <v>10330.61</v>
      </c>
      <c r="I899" s="964" t="s">
        <v>2313</v>
      </c>
      <c r="L899" s="1020">
        <f>SUM(L898)</f>
        <v>0</v>
      </c>
    </row>
    <row r="900" spans="1:12" ht="51" hidden="1">
      <c r="A900" s="896">
        <v>7</v>
      </c>
      <c r="B900" s="966"/>
      <c r="C900" s="1002" t="s">
        <v>1199</v>
      </c>
      <c r="D900" s="967"/>
      <c r="E900" s="967"/>
      <c r="F900" s="967"/>
      <c r="G900" s="967"/>
      <c r="H900" s="972"/>
      <c r="I900" s="964" t="s">
        <v>2313</v>
      </c>
    </row>
    <row r="901" spans="1:12" s="965" customFormat="1" hidden="1">
      <c r="A901" s="896"/>
      <c r="B901" s="966"/>
      <c r="C901" s="1002" t="s">
        <v>695</v>
      </c>
      <c r="E901" s="967" t="s">
        <v>35</v>
      </c>
      <c r="F901" s="973">
        <v>8.0000000000000002E-3</v>
      </c>
      <c r="G901" s="970">
        <f>'MINI SSR 2022-23'!C144</f>
        <v>51000</v>
      </c>
      <c r="H901" s="969">
        <f>ROUND(F901*G901,2)</f>
        <v>408</v>
      </c>
      <c r="I901" s="964" t="s">
        <v>2313</v>
      </c>
      <c r="J901" s="901"/>
    </row>
    <row r="902" spans="1:12" s="965" customFormat="1" hidden="1">
      <c r="A902" s="896"/>
      <c r="B902" s="966"/>
      <c r="C902" s="1002" t="s">
        <v>1198</v>
      </c>
      <c r="E902" s="967" t="s">
        <v>4</v>
      </c>
      <c r="F902" s="973">
        <v>0.5</v>
      </c>
      <c r="G902" s="970">
        <f>'lead 22-23'!L9/1000</f>
        <v>75.52</v>
      </c>
      <c r="H902" s="969">
        <f>ROUND(F902*G902,2)</f>
        <v>37.76</v>
      </c>
      <c r="I902" s="964" t="s">
        <v>2313</v>
      </c>
      <c r="J902" s="901"/>
    </row>
    <row r="903" spans="1:12" s="965" customFormat="1" hidden="1">
      <c r="A903" s="896"/>
      <c r="B903" s="966" t="s">
        <v>1405</v>
      </c>
      <c r="C903" s="1002" t="s">
        <v>1404</v>
      </c>
      <c r="E903" s="967" t="s">
        <v>102</v>
      </c>
      <c r="F903" s="973">
        <v>0.27</v>
      </c>
      <c r="G903" s="970">
        <f>'MINI SSR 2022-23'!G153</f>
        <v>486</v>
      </c>
      <c r="H903" s="969">
        <f>ROUND(F903*G903,2)</f>
        <v>131.22</v>
      </c>
      <c r="I903" s="964" t="s">
        <v>2313</v>
      </c>
      <c r="J903" s="901"/>
    </row>
    <row r="904" spans="1:12" hidden="1">
      <c r="A904" s="967"/>
      <c r="B904" s="967"/>
      <c r="C904" s="1002"/>
      <c r="D904" s="967"/>
      <c r="E904" s="970"/>
      <c r="F904" s="970"/>
      <c r="G904" s="970"/>
      <c r="H904" s="969"/>
      <c r="I904" s="964" t="s">
        <v>2313</v>
      </c>
      <c r="L904" s="1019"/>
    </row>
    <row r="905" spans="1:12" ht="13.5" hidden="1" thickBot="1">
      <c r="A905" s="967"/>
      <c r="B905" s="967"/>
      <c r="C905" s="1004" t="s">
        <v>1403</v>
      </c>
      <c r="D905" s="967"/>
      <c r="E905" s="967"/>
      <c r="F905" s="967"/>
      <c r="G905" s="967"/>
      <c r="H905" s="971">
        <f>SUM(H901:H904)</f>
        <v>576.98</v>
      </c>
      <c r="I905" s="964" t="s">
        <v>2313</v>
      </c>
      <c r="L905" s="1020">
        <f>SUM(L904)</f>
        <v>0</v>
      </c>
    </row>
    <row r="906" spans="1:12" hidden="1">
      <c r="A906" s="896">
        <v>1</v>
      </c>
      <c r="B906" s="966"/>
      <c r="C906" s="1002" t="s">
        <v>932</v>
      </c>
      <c r="D906" s="967"/>
      <c r="E906" s="967"/>
      <c r="F906" s="967"/>
      <c r="G906" s="967"/>
      <c r="H906" s="972"/>
      <c r="I906" s="964" t="s">
        <v>2313</v>
      </c>
    </row>
    <row r="907" spans="1:12" hidden="1">
      <c r="A907" s="967"/>
      <c r="B907" s="967" t="s">
        <v>1406</v>
      </c>
      <c r="C907" s="1002" t="s">
        <v>379</v>
      </c>
      <c r="D907" s="967" t="s">
        <v>102</v>
      </c>
      <c r="E907" s="970">
        <v>1</v>
      </c>
      <c r="F907" s="970">
        <f>'MINI SSR 2022-23'!G154</f>
        <v>388</v>
      </c>
      <c r="G907" s="970"/>
      <c r="H907" s="969">
        <f>ROUND(E907*F907,2)</f>
        <v>388</v>
      </c>
      <c r="I907" s="964" t="s">
        <v>2313</v>
      </c>
    </row>
    <row r="908" spans="1:12" hidden="1">
      <c r="A908" s="967"/>
      <c r="B908" s="967"/>
      <c r="C908" s="1002" t="s">
        <v>929</v>
      </c>
      <c r="D908" s="896" t="s">
        <v>108</v>
      </c>
      <c r="E908" s="922">
        <v>0.06</v>
      </c>
      <c r="F908" s="922">
        <f>'MINI SSR 2022-23'!H3</f>
        <v>630</v>
      </c>
      <c r="G908" s="922"/>
      <c r="H908" s="924">
        <f>ROUND(E908*F908,2)</f>
        <v>37.799999999999997</v>
      </c>
      <c r="I908" s="964" t="s">
        <v>2313</v>
      </c>
    </row>
    <row r="909" spans="1:12" hidden="1">
      <c r="A909" s="967"/>
      <c r="B909" s="967"/>
      <c r="C909" s="1002" t="s">
        <v>930</v>
      </c>
      <c r="D909" s="896" t="s">
        <v>108</v>
      </c>
      <c r="E909" s="922">
        <v>0.06</v>
      </c>
      <c r="F909" s="922">
        <f>'MINI SSR 2022-23'!H4</f>
        <v>565</v>
      </c>
      <c r="G909" s="922"/>
      <c r="H909" s="924">
        <f>ROUND(E909*F909,2)</f>
        <v>33.9</v>
      </c>
      <c r="I909" s="964" t="s">
        <v>2313</v>
      </c>
    </row>
    <row r="910" spans="1:12" hidden="1">
      <c r="A910" s="967"/>
      <c r="B910" s="967"/>
      <c r="C910" s="1003" t="s">
        <v>931</v>
      </c>
      <c r="D910" s="896" t="s">
        <v>108</v>
      </c>
      <c r="E910" s="920">
        <v>0.27500000000000002</v>
      </c>
      <c r="F910" s="922">
        <f>'MINI SSR 2022-23'!H5</f>
        <v>525</v>
      </c>
      <c r="G910" s="922"/>
      <c r="H910" s="924">
        <f>ROUND(E910*F910,2)</f>
        <v>144.38</v>
      </c>
      <c r="I910" s="964" t="s">
        <v>2313</v>
      </c>
    </row>
    <row r="911" spans="1:12" hidden="1">
      <c r="A911" s="967"/>
      <c r="B911" s="967"/>
      <c r="C911" s="1004" t="s">
        <v>1402</v>
      </c>
      <c r="D911" s="967"/>
      <c r="E911" s="967"/>
      <c r="F911" s="967"/>
      <c r="G911" s="967"/>
      <c r="H911" s="971">
        <f>SUM(H907:H910)</f>
        <v>604.07999999999993</v>
      </c>
      <c r="I911" s="964" t="s">
        <v>2313</v>
      </c>
    </row>
    <row r="912" spans="1:12" ht="255" hidden="1">
      <c r="A912" s="896">
        <v>5</v>
      </c>
      <c r="B912" s="966"/>
      <c r="C912" s="1002" t="s">
        <v>910</v>
      </c>
      <c r="D912" s="967"/>
      <c r="E912" s="967"/>
      <c r="F912" s="967"/>
      <c r="G912" s="967"/>
      <c r="H912" s="972"/>
      <c r="I912" s="964" t="s">
        <v>2313</v>
      </c>
    </row>
    <row r="913" spans="1:12" hidden="1">
      <c r="A913" s="967"/>
      <c r="B913" s="967"/>
      <c r="C913" s="1002" t="s">
        <v>911</v>
      </c>
      <c r="D913" s="967"/>
      <c r="E913" s="973"/>
      <c r="F913" s="970"/>
      <c r="G913" s="970"/>
      <c r="H913" s="969"/>
      <c r="I913" s="964" t="s">
        <v>2313</v>
      </c>
    </row>
    <row r="914" spans="1:12" hidden="1">
      <c r="A914" s="967"/>
      <c r="B914" s="967" t="s">
        <v>1408</v>
      </c>
      <c r="C914" s="1002" t="s">
        <v>1407</v>
      </c>
      <c r="D914" s="967"/>
      <c r="E914" s="967" t="s">
        <v>277</v>
      </c>
      <c r="F914" s="973">
        <v>6.7</v>
      </c>
      <c r="G914" s="970">
        <f>'MINI SSR 2022-23'!C147</f>
        <v>920</v>
      </c>
      <c r="H914" s="969">
        <f t="shared" ref="H914:H921" si="66">ROUND(F914*G914,2)</f>
        <v>6164</v>
      </c>
      <c r="I914" s="964" t="s">
        <v>2313</v>
      </c>
    </row>
    <row r="915" spans="1:12" hidden="1">
      <c r="A915" s="967"/>
      <c r="B915" s="967" t="s">
        <v>1410</v>
      </c>
      <c r="C915" s="1002" t="s">
        <v>1409</v>
      </c>
      <c r="D915" s="967"/>
      <c r="E915" s="967" t="s">
        <v>102</v>
      </c>
      <c r="F915" s="973">
        <v>0.86899999999999999</v>
      </c>
      <c r="G915" s="970">
        <f>'MINI SSR 2022-23'!C151</f>
        <v>1036</v>
      </c>
      <c r="H915" s="969">
        <f t="shared" si="66"/>
        <v>900.28</v>
      </c>
      <c r="I915" s="964" t="s">
        <v>2313</v>
      </c>
    </row>
    <row r="916" spans="1:12" hidden="1">
      <c r="A916" s="967"/>
      <c r="B916" s="967" t="s">
        <v>1391</v>
      </c>
      <c r="C916" s="1002" t="s">
        <v>379</v>
      </c>
      <c r="D916" s="967"/>
      <c r="E916" s="967" t="s">
        <v>102</v>
      </c>
      <c r="F916" s="973">
        <f>ROUND(1.1*2.03,2)</f>
        <v>2.23</v>
      </c>
      <c r="G916" s="970">
        <f>'MINI SSR 2022-23'!C146</f>
        <v>3394</v>
      </c>
      <c r="H916" s="969">
        <f t="shared" si="66"/>
        <v>7568.62</v>
      </c>
      <c r="I916" s="964" t="s">
        <v>2313</v>
      </c>
    </row>
    <row r="917" spans="1:12" hidden="1">
      <c r="A917" s="967"/>
      <c r="B917" s="967" t="s">
        <v>1392</v>
      </c>
      <c r="C917" s="1002" t="s">
        <v>1411</v>
      </c>
      <c r="D917" s="967"/>
      <c r="E917" s="967" t="s">
        <v>102</v>
      </c>
      <c r="F917" s="973">
        <v>1.6870000000000001</v>
      </c>
      <c r="G917" s="970">
        <f>'MINI SSR 2022-23'!C151</f>
        <v>1036</v>
      </c>
      <c r="H917" s="969">
        <f t="shared" si="66"/>
        <v>1747.73</v>
      </c>
      <c r="I917" s="964" t="s">
        <v>2313</v>
      </c>
      <c r="L917" s="1019"/>
    </row>
    <row r="918" spans="1:12" hidden="1">
      <c r="A918" s="896"/>
      <c r="B918" s="966" t="s">
        <v>1413</v>
      </c>
      <c r="C918" s="1002" t="s">
        <v>1412</v>
      </c>
      <c r="D918" s="967"/>
      <c r="E918" s="967" t="s">
        <v>11</v>
      </c>
      <c r="F918" s="988">
        <v>2</v>
      </c>
      <c r="G918" s="970">
        <f>'MINI SSR 2022-23'!G144</f>
        <v>108</v>
      </c>
      <c r="H918" s="969">
        <f t="shared" si="66"/>
        <v>216</v>
      </c>
      <c r="I918" s="964" t="s">
        <v>2313</v>
      </c>
    </row>
    <row r="919" spans="1:12" hidden="1">
      <c r="A919" s="896"/>
      <c r="B919" s="966" t="s">
        <v>1381</v>
      </c>
      <c r="C919" s="1002" t="s">
        <v>1380</v>
      </c>
      <c r="D919" s="967"/>
      <c r="E919" s="967" t="s">
        <v>11</v>
      </c>
      <c r="F919" s="988">
        <v>4</v>
      </c>
      <c r="G919" s="970">
        <f>'MINI SSR 2022-23'!G147</f>
        <v>114</v>
      </c>
      <c r="H919" s="969">
        <f t="shared" si="66"/>
        <v>456</v>
      </c>
      <c r="I919" s="964" t="s">
        <v>2313</v>
      </c>
    </row>
    <row r="920" spans="1:12" hidden="1">
      <c r="A920" s="896"/>
      <c r="B920" s="966" t="s">
        <v>1398</v>
      </c>
      <c r="C920" s="1002" t="s">
        <v>1397</v>
      </c>
      <c r="D920" s="967"/>
      <c r="E920" s="967" t="s">
        <v>11</v>
      </c>
      <c r="F920" s="988">
        <v>2</v>
      </c>
      <c r="G920" s="970">
        <f>'MINI SSR 2022-23'!G149</f>
        <v>338</v>
      </c>
      <c r="H920" s="969">
        <f t="shared" si="66"/>
        <v>676</v>
      </c>
      <c r="I920" s="964" t="s">
        <v>2313</v>
      </c>
    </row>
    <row r="921" spans="1:12" hidden="1">
      <c r="A921" s="896"/>
      <c r="B921" s="966"/>
      <c r="C921" s="1002" t="s">
        <v>912</v>
      </c>
      <c r="D921" s="967"/>
      <c r="E921" s="967" t="s">
        <v>11</v>
      </c>
      <c r="F921" s="988">
        <v>1</v>
      </c>
      <c r="G921" s="970">
        <f>'MINI SSR 2022-23'!G155</f>
        <v>58</v>
      </c>
      <c r="H921" s="969">
        <f t="shared" si="66"/>
        <v>58</v>
      </c>
      <c r="I921" s="964" t="s">
        <v>2313</v>
      </c>
    </row>
    <row r="922" spans="1:12" hidden="1">
      <c r="A922" s="967"/>
      <c r="B922" s="967"/>
      <c r="C922" s="1002" t="s">
        <v>909</v>
      </c>
      <c r="D922" s="967"/>
      <c r="E922" s="970"/>
      <c r="F922" s="970"/>
      <c r="G922" s="970"/>
      <c r="H922" s="971">
        <f>SUM(H914:H921)</f>
        <v>17786.629999999997</v>
      </c>
      <c r="I922" s="964" t="s">
        <v>2313</v>
      </c>
    </row>
    <row r="923" spans="1:12" hidden="1">
      <c r="A923" s="967"/>
      <c r="B923" s="967"/>
      <c r="C923" s="1002" t="s">
        <v>121</v>
      </c>
      <c r="D923" s="967"/>
      <c r="E923" s="967"/>
      <c r="F923" s="967"/>
      <c r="G923" s="967"/>
      <c r="H923" s="971">
        <f>ROUND(H922/2.556,2)</f>
        <v>6958.78</v>
      </c>
      <c r="I923" s="964" t="s">
        <v>2313</v>
      </c>
    </row>
    <row r="924" spans="1:12" ht="255" hidden="1">
      <c r="A924" s="896">
        <v>2</v>
      </c>
      <c r="B924" s="966"/>
      <c r="C924" s="1002" t="s">
        <v>910</v>
      </c>
      <c r="D924" s="967"/>
      <c r="E924" s="967"/>
      <c r="F924" s="967"/>
      <c r="G924" s="967"/>
      <c r="H924" s="972"/>
      <c r="I924" s="964" t="s">
        <v>2313</v>
      </c>
    </row>
    <row r="925" spans="1:12" hidden="1">
      <c r="A925" s="967"/>
      <c r="B925" s="967"/>
      <c r="C925" s="1002" t="s">
        <v>911</v>
      </c>
      <c r="D925" s="967"/>
      <c r="E925" s="973"/>
      <c r="F925" s="970"/>
      <c r="G925" s="970"/>
      <c r="H925" s="969"/>
      <c r="I925" s="964" t="s">
        <v>2313</v>
      </c>
    </row>
    <row r="926" spans="1:12" hidden="1">
      <c r="A926" s="967"/>
      <c r="B926" s="967" t="s">
        <v>1408</v>
      </c>
      <c r="C926" s="1002" t="s">
        <v>1407</v>
      </c>
      <c r="D926" s="967"/>
      <c r="E926" s="967" t="s">
        <v>277</v>
      </c>
      <c r="F926" s="973">
        <v>5.45</v>
      </c>
      <c r="G926" s="970">
        <f t="shared" ref="G926:G933" si="67">G914</f>
        <v>920</v>
      </c>
      <c r="H926" s="969">
        <f t="shared" ref="H926:H933" si="68">ROUND(F926*G926,2)</f>
        <v>5014</v>
      </c>
      <c r="I926" s="964" t="s">
        <v>2313</v>
      </c>
    </row>
    <row r="927" spans="1:12" hidden="1">
      <c r="A927" s="967"/>
      <c r="B927" s="967" t="s">
        <v>1410</v>
      </c>
      <c r="C927" s="1002" t="s">
        <v>1409</v>
      </c>
      <c r="D927" s="967"/>
      <c r="E927" s="967" t="s">
        <v>102</v>
      </c>
      <c r="F927" s="973">
        <v>0.86899999999999999</v>
      </c>
      <c r="G927" s="970">
        <f t="shared" si="67"/>
        <v>1036</v>
      </c>
      <c r="H927" s="969">
        <f t="shared" si="68"/>
        <v>900.28</v>
      </c>
      <c r="I927" s="964" t="s">
        <v>2313</v>
      </c>
    </row>
    <row r="928" spans="1:12" hidden="1">
      <c r="A928" s="967"/>
      <c r="B928" s="967" t="s">
        <v>1391</v>
      </c>
      <c r="C928" s="1002" t="s">
        <v>379</v>
      </c>
      <c r="D928" s="967"/>
      <c r="E928" s="967" t="s">
        <v>102</v>
      </c>
      <c r="F928" s="973">
        <f>ROUND(1.1*2.03,2)</f>
        <v>2.23</v>
      </c>
      <c r="G928" s="970">
        <f t="shared" si="67"/>
        <v>3394</v>
      </c>
      <c r="H928" s="969">
        <f t="shared" si="68"/>
        <v>7568.62</v>
      </c>
      <c r="I928" s="964" t="s">
        <v>2313</v>
      </c>
    </row>
    <row r="929" spans="1:12" hidden="1">
      <c r="A929" s="967"/>
      <c r="B929" s="967" t="s">
        <v>1392</v>
      </c>
      <c r="C929" s="1002" t="s">
        <v>1411</v>
      </c>
      <c r="D929" s="967"/>
      <c r="E929" s="967" t="s">
        <v>102</v>
      </c>
      <c r="F929" s="973">
        <v>1.6870000000000001</v>
      </c>
      <c r="G929" s="970">
        <f t="shared" si="67"/>
        <v>1036</v>
      </c>
      <c r="H929" s="969">
        <f t="shared" si="68"/>
        <v>1747.73</v>
      </c>
      <c r="I929" s="964" t="s">
        <v>2313</v>
      </c>
      <c r="L929" s="1019"/>
    </row>
    <row r="930" spans="1:12" hidden="1">
      <c r="A930" s="896"/>
      <c r="B930" s="966" t="s">
        <v>1413</v>
      </c>
      <c r="C930" s="1002" t="s">
        <v>1412</v>
      </c>
      <c r="D930" s="967"/>
      <c r="E930" s="967" t="s">
        <v>11</v>
      </c>
      <c r="F930" s="988">
        <v>2</v>
      </c>
      <c r="G930" s="970">
        <f t="shared" si="67"/>
        <v>108</v>
      </c>
      <c r="H930" s="969">
        <f t="shared" si="68"/>
        <v>216</v>
      </c>
      <c r="I930" s="964" t="s">
        <v>2313</v>
      </c>
    </row>
    <row r="931" spans="1:12" hidden="1">
      <c r="A931" s="896"/>
      <c r="B931" s="966" t="s">
        <v>1381</v>
      </c>
      <c r="C931" s="1002" t="s">
        <v>1380</v>
      </c>
      <c r="D931" s="967"/>
      <c r="E931" s="967" t="s">
        <v>11</v>
      </c>
      <c r="F931" s="988">
        <v>4</v>
      </c>
      <c r="G931" s="970">
        <f t="shared" si="67"/>
        <v>114</v>
      </c>
      <c r="H931" s="969">
        <f t="shared" si="68"/>
        <v>456</v>
      </c>
      <c r="I931" s="964" t="s">
        <v>2313</v>
      </c>
    </row>
    <row r="932" spans="1:12" hidden="1">
      <c r="A932" s="896"/>
      <c r="B932" s="966" t="s">
        <v>1398</v>
      </c>
      <c r="C932" s="1002" t="s">
        <v>1397</v>
      </c>
      <c r="D932" s="967"/>
      <c r="E932" s="967" t="s">
        <v>11</v>
      </c>
      <c r="F932" s="988">
        <v>2</v>
      </c>
      <c r="G932" s="970">
        <f t="shared" si="67"/>
        <v>338</v>
      </c>
      <c r="H932" s="969">
        <f t="shared" si="68"/>
        <v>676</v>
      </c>
      <c r="I932" s="964" t="s">
        <v>2313</v>
      </c>
    </row>
    <row r="933" spans="1:12" hidden="1">
      <c r="A933" s="896"/>
      <c r="B933" s="966"/>
      <c r="C933" s="1002" t="s">
        <v>912</v>
      </c>
      <c r="D933" s="967"/>
      <c r="E933" s="967" t="s">
        <v>11</v>
      </c>
      <c r="F933" s="988">
        <v>1</v>
      </c>
      <c r="G933" s="970">
        <f t="shared" si="67"/>
        <v>58</v>
      </c>
      <c r="H933" s="969">
        <f t="shared" si="68"/>
        <v>58</v>
      </c>
      <c r="I933" s="964" t="s">
        <v>2313</v>
      </c>
    </row>
    <row r="934" spans="1:12" hidden="1">
      <c r="A934" s="967"/>
      <c r="B934" s="967"/>
      <c r="C934" s="1002" t="s">
        <v>909</v>
      </c>
      <c r="D934" s="967"/>
      <c r="E934" s="970"/>
      <c r="F934" s="970"/>
      <c r="G934" s="970"/>
      <c r="H934" s="971">
        <f>SUM(H926:H933)</f>
        <v>16636.629999999997</v>
      </c>
      <c r="I934" s="964" t="s">
        <v>2313</v>
      </c>
    </row>
    <row r="935" spans="1:12" hidden="1">
      <c r="A935" s="967"/>
      <c r="B935" s="967"/>
      <c r="C935" s="1002" t="s">
        <v>121</v>
      </c>
      <c r="D935" s="967"/>
      <c r="E935" s="967"/>
      <c r="F935" s="967"/>
      <c r="G935" s="967"/>
      <c r="H935" s="971">
        <f>ROUND(H934/2.556,2)</f>
        <v>6508.85</v>
      </c>
      <c r="I935" s="964" t="s">
        <v>2313</v>
      </c>
    </row>
    <row r="936" spans="1:12" ht="357" hidden="1">
      <c r="A936" s="896">
        <v>2</v>
      </c>
      <c r="B936" s="966"/>
      <c r="C936" s="1002" t="s">
        <v>717</v>
      </c>
      <c r="D936" s="967"/>
      <c r="E936" s="967"/>
      <c r="F936" s="967"/>
      <c r="G936" s="967"/>
      <c r="H936" s="972"/>
      <c r="I936" s="964" t="s">
        <v>2313</v>
      </c>
    </row>
    <row r="937" spans="1:12" hidden="1">
      <c r="A937" s="967"/>
      <c r="B937" s="967" t="s">
        <v>1415</v>
      </c>
      <c r="C937" s="1002" t="s">
        <v>1414</v>
      </c>
      <c r="D937" s="967" t="s">
        <v>102</v>
      </c>
      <c r="E937" s="970">
        <v>1</v>
      </c>
      <c r="F937" s="970">
        <f>'MINI SSR 2022-23'!C153</f>
        <v>6460</v>
      </c>
      <c r="G937" s="970"/>
      <c r="H937" s="969">
        <f>ROUND(E937*F937,2)</f>
        <v>6460</v>
      </c>
      <c r="I937" s="964" t="s">
        <v>2313</v>
      </c>
    </row>
    <row r="938" spans="1:12" hidden="1">
      <c r="A938" s="967"/>
      <c r="B938" s="967"/>
      <c r="C938" s="1004"/>
      <c r="D938" s="967"/>
      <c r="E938" s="967"/>
      <c r="F938" s="967"/>
      <c r="G938" s="967"/>
      <c r="H938" s="971">
        <f>SUM(H937:H937)</f>
        <v>6460</v>
      </c>
      <c r="I938" s="964" t="s">
        <v>2313</v>
      </c>
    </row>
    <row r="939" spans="1:12" hidden="1">
      <c r="A939" s="967"/>
      <c r="B939" s="967" t="s">
        <v>1990</v>
      </c>
      <c r="C939" s="1002" t="s">
        <v>1416</v>
      </c>
      <c r="D939" s="967" t="s">
        <v>102</v>
      </c>
      <c r="E939" s="970">
        <v>1</v>
      </c>
      <c r="F939" s="970">
        <f>'MINI SSR 2022-23'!C152</f>
        <v>8622</v>
      </c>
      <c r="G939" s="970"/>
      <c r="H939" s="969">
        <f>ROUND(E939*F939,2)</f>
        <v>8622</v>
      </c>
      <c r="I939" s="964" t="s">
        <v>2313</v>
      </c>
    </row>
    <row r="940" spans="1:12" hidden="1">
      <c r="A940" s="967"/>
      <c r="B940" s="967"/>
      <c r="C940" s="1004"/>
      <c r="D940" s="967"/>
      <c r="E940" s="967"/>
      <c r="F940" s="967"/>
      <c r="G940" s="967"/>
      <c r="H940" s="971">
        <f>SUM(H939:H939)</f>
        <v>8622</v>
      </c>
      <c r="I940" s="964" t="s">
        <v>2313</v>
      </c>
    </row>
    <row r="941" spans="1:12" hidden="1">
      <c r="A941" s="967">
        <v>5</v>
      </c>
      <c r="B941" s="967" t="s">
        <v>1418</v>
      </c>
      <c r="C941" s="1002" t="s">
        <v>1417</v>
      </c>
      <c r="D941" s="967" t="s">
        <v>102</v>
      </c>
      <c r="E941" s="970">
        <v>1</v>
      </c>
      <c r="F941" s="970">
        <f>'MINI SSR 2022-23'!C154</f>
        <v>6238</v>
      </c>
      <c r="G941" s="970"/>
      <c r="H941" s="969">
        <f>ROUND(E941*F941,2)</f>
        <v>6238</v>
      </c>
      <c r="I941" s="964" t="s">
        <v>2313</v>
      </c>
    </row>
    <row r="942" spans="1:12" hidden="1">
      <c r="A942" s="967"/>
      <c r="B942" s="967"/>
      <c r="C942" s="1004"/>
      <c r="D942" s="967"/>
      <c r="E942" s="967"/>
      <c r="F942" s="967"/>
      <c r="G942" s="967"/>
      <c r="H942" s="971">
        <f>SUM(H941:H941)</f>
        <v>6238</v>
      </c>
      <c r="I942" s="964" t="s">
        <v>2313</v>
      </c>
    </row>
    <row r="943" spans="1:12" ht="38.25" hidden="1">
      <c r="A943" s="896">
        <v>3</v>
      </c>
      <c r="B943" s="966"/>
      <c r="C943" s="1002" t="s">
        <v>2284</v>
      </c>
      <c r="D943" s="967"/>
      <c r="E943" s="967"/>
      <c r="F943" s="967"/>
      <c r="G943" s="967"/>
      <c r="H943" s="972"/>
      <c r="I943" s="964" t="s">
        <v>2313</v>
      </c>
    </row>
    <row r="944" spans="1:12" hidden="1">
      <c r="A944" s="967"/>
      <c r="B944" s="967" t="s">
        <v>2282</v>
      </c>
      <c r="C944" s="1002" t="s">
        <v>1414</v>
      </c>
      <c r="D944" s="967" t="s">
        <v>102</v>
      </c>
      <c r="E944" s="970">
        <v>1</v>
      </c>
      <c r="F944" s="970">
        <f>'MINI SSR 2022-23'!C156</f>
        <v>4062</v>
      </c>
      <c r="G944" s="970"/>
      <c r="H944" s="969">
        <f>ROUND(E944*F944,2)</f>
        <v>4062</v>
      </c>
      <c r="I944" s="964" t="s">
        <v>2313</v>
      </c>
    </row>
    <row r="945" spans="1:9" hidden="1">
      <c r="A945" s="967"/>
      <c r="B945" s="967"/>
      <c r="C945" s="1004"/>
      <c r="D945" s="967"/>
      <c r="E945" s="967"/>
      <c r="F945" s="967"/>
      <c r="G945" s="967"/>
      <c r="H945" s="971">
        <f>SUM(H944:H944)</f>
        <v>4062</v>
      </c>
      <c r="I945" s="964" t="s">
        <v>2313</v>
      </c>
    </row>
    <row r="946" spans="1:9" ht="15.95" customHeight="1"/>
    <row r="947" spans="1:9" ht="15.95" customHeight="1"/>
    <row r="948" spans="1:9" ht="15.95" customHeight="1">
      <c r="D948" s="964" t="str">
        <f>'lead 19-20'!$H$31</f>
        <v>Deputy Executive Engineer</v>
      </c>
      <c r="G948" s="964" t="str">
        <f>'lead 19-20'!K31</f>
        <v>Assistant  Engineer</v>
      </c>
    </row>
    <row r="949" spans="1:9">
      <c r="D949" s="964" t="str">
        <f>'lead 19-20'!$H$32</f>
        <v>PRI Sub Division</v>
      </c>
      <c r="G949" s="964" t="str">
        <f>'lead 19-20'!K32</f>
        <v>Mandal Praja parishad</v>
      </c>
    </row>
    <row r="950" spans="1:9">
      <c r="D950" s="964" t="str">
        <f>'lead 19-20'!$H$33</f>
        <v>Kanigiri</v>
      </c>
      <c r="G950" s="964" t="str">
        <f>'lead 19-20'!K33</f>
        <v>Kanigiri</v>
      </c>
    </row>
  </sheetData>
  <autoFilter ref="A5:H945">
    <filterColumn colId="0">
      <colorFilter dxfId="5"/>
    </filterColumn>
  </autoFilter>
  <mergeCells count="2">
    <mergeCell ref="A1:H1"/>
    <mergeCell ref="A2:H2"/>
  </mergeCells>
  <pageMargins left="0.74" right="0.23" top="0.52" bottom="0.45" header="0.34" footer="0.17"/>
  <pageSetup paperSize="9" orientation="portrait" r:id="rId1"/>
  <headerFooter alignWithMargins="0"/>
</worksheet>
</file>

<file path=xl/worksheets/sheet23.xml><?xml version="1.0" encoding="utf-8"?>
<worksheet xmlns="http://schemas.openxmlformats.org/spreadsheetml/2006/main" xmlns:r="http://schemas.openxmlformats.org/officeDocument/2006/relationships">
  <sheetPr>
    <tabColor rgb="FF00B050"/>
  </sheetPr>
  <dimension ref="A1:H595"/>
  <sheetViews>
    <sheetView view="pageBreakPreview" zoomScale="115" zoomScaleNormal="70" zoomScaleSheetLayoutView="115" workbookViewId="0">
      <pane ySplit="3" topLeftCell="A585" activePane="bottomLeft" state="frozen"/>
      <selection activeCell="C31" sqref="C31:E31"/>
      <selection pane="bottomLeft" activeCell="D6" sqref="D6"/>
    </sheetView>
  </sheetViews>
  <sheetFormatPr defaultColWidth="13.85546875" defaultRowHeight="12.75"/>
  <cols>
    <col min="1" max="1" width="8.7109375" style="671" customWidth="1"/>
    <col min="2" max="2" width="4.7109375" style="860" customWidth="1"/>
    <col min="3" max="3" width="48" style="729" customWidth="1"/>
    <col min="4" max="4" width="6.85546875" style="730" customWidth="1"/>
    <col min="5" max="5" width="9.28515625" style="731" customWidth="1"/>
    <col min="6" max="6" width="8.7109375" style="731" customWidth="1"/>
    <col min="7" max="7" width="9.140625" style="732" bestFit="1" customWidth="1"/>
    <col min="8" max="8" width="7.7109375" style="670" customWidth="1"/>
    <col min="9" max="16384" width="13.85546875" style="670"/>
  </cols>
  <sheetData>
    <row r="1" spans="1:8" ht="15" customHeight="1">
      <c r="B1" s="1665" t="s">
        <v>2296</v>
      </c>
      <c r="C1" s="1665"/>
      <c r="D1" s="1665"/>
      <c r="E1" s="1665"/>
      <c r="F1" s="1665"/>
      <c r="G1" s="672"/>
    </row>
    <row r="2" spans="1:8" s="673" customFormat="1" ht="29.25" customHeight="1">
      <c r="A2" s="673" t="s">
        <v>321</v>
      </c>
      <c r="B2" s="674" t="s">
        <v>23</v>
      </c>
      <c r="C2" s="673" t="s">
        <v>322</v>
      </c>
      <c r="D2" s="673" t="s">
        <v>16</v>
      </c>
      <c r="E2" s="675" t="s">
        <v>138</v>
      </c>
      <c r="F2" s="675" t="s">
        <v>323</v>
      </c>
      <c r="G2" s="676" t="s">
        <v>324</v>
      </c>
    </row>
    <row r="3" spans="1:8" s="673" customFormat="1" ht="15" customHeight="1">
      <c r="A3" s="673">
        <v>1</v>
      </c>
      <c r="B3" s="673">
        <v>2</v>
      </c>
      <c r="C3" s="673">
        <v>3</v>
      </c>
      <c r="D3" s="673">
        <v>4</v>
      </c>
      <c r="E3" s="677">
        <v>5</v>
      </c>
      <c r="F3" s="677">
        <v>6</v>
      </c>
      <c r="G3" s="677">
        <v>7</v>
      </c>
    </row>
    <row r="4" spans="1:8" s="606" customFormat="1" ht="15">
      <c r="A4" s="678"/>
      <c r="B4" s="678"/>
      <c r="C4" s="679" t="s">
        <v>2015</v>
      </c>
      <c r="D4" s="680"/>
      <c r="E4" s="681"/>
      <c r="F4" s="682"/>
      <c r="G4" s="683"/>
      <c r="H4" s="592" t="s">
        <v>2217</v>
      </c>
    </row>
    <row r="5" spans="1:8" s="366" customFormat="1" ht="72">
      <c r="A5" s="678"/>
      <c r="B5" s="684">
        <v>1</v>
      </c>
      <c r="C5" s="685" t="s">
        <v>328</v>
      </c>
      <c r="D5" s="685"/>
      <c r="E5" s="685"/>
      <c r="F5" s="685"/>
      <c r="G5" s="686"/>
      <c r="H5" s="592" t="s">
        <v>2217</v>
      </c>
    </row>
    <row r="6" spans="1:8" s="366" customFormat="1">
      <c r="A6" s="678"/>
      <c r="B6" s="684"/>
      <c r="C6" s="421" t="s">
        <v>329</v>
      </c>
      <c r="D6" s="687" t="s">
        <v>115</v>
      </c>
      <c r="E6" s="687">
        <v>1</v>
      </c>
      <c r="F6" s="688">
        <f>'MINI SSR 19-20'!C66</f>
        <v>1784</v>
      </c>
      <c r="G6" s="686">
        <f>ROUND(E6*F6,2)</f>
        <v>1784</v>
      </c>
      <c r="H6" s="592" t="s">
        <v>2217</v>
      </c>
    </row>
    <row r="7" spans="1:8" s="366" customFormat="1">
      <c r="A7" s="678"/>
      <c r="B7" s="684"/>
      <c r="C7" s="421" t="s">
        <v>330</v>
      </c>
      <c r="D7" s="687" t="s">
        <v>115</v>
      </c>
      <c r="E7" s="687">
        <v>1</v>
      </c>
      <c r="F7" s="688">
        <f>'MINI SSR 19-20'!C67</f>
        <v>2226</v>
      </c>
      <c r="G7" s="686">
        <f>ROUND(E7*F7,2)</f>
        <v>2226</v>
      </c>
      <c r="H7" s="592" t="s">
        <v>2217</v>
      </c>
    </row>
    <row r="8" spans="1:8" s="366" customFormat="1">
      <c r="A8" s="678"/>
      <c r="B8" s="684"/>
      <c r="C8" s="421" t="s">
        <v>331</v>
      </c>
      <c r="D8" s="687" t="s">
        <v>115</v>
      </c>
      <c r="E8" s="687">
        <v>1</v>
      </c>
      <c r="F8" s="688">
        <f>'MINI SSR 19-20'!C68</f>
        <v>766</v>
      </c>
      <c r="G8" s="686">
        <f>ROUND(E8*F8,2)</f>
        <v>766</v>
      </c>
      <c r="H8" s="592" t="s">
        <v>2217</v>
      </c>
    </row>
    <row r="9" spans="1:8">
      <c r="A9" s="678"/>
      <c r="B9" s="684"/>
      <c r="C9" s="421"/>
      <c r="D9" s="687"/>
      <c r="E9" s="687"/>
      <c r="F9" s="688"/>
      <c r="G9" s="686">
        <f>SUM(G6:G8)</f>
        <v>4776</v>
      </c>
      <c r="H9" s="592" t="s">
        <v>2217</v>
      </c>
    </row>
    <row r="10" spans="1:8">
      <c r="A10" s="678"/>
      <c r="B10" s="684"/>
      <c r="C10" s="689" t="s">
        <v>332</v>
      </c>
      <c r="D10" s="690"/>
      <c r="E10" s="691"/>
      <c r="F10" s="691"/>
      <c r="G10" s="692">
        <v>0</v>
      </c>
      <c r="H10" s="592" t="s">
        <v>2217</v>
      </c>
    </row>
    <row r="11" spans="1:8">
      <c r="A11" s="678"/>
      <c r="B11" s="684"/>
      <c r="C11" s="421"/>
      <c r="D11" s="687"/>
      <c r="E11" s="687"/>
      <c r="F11" s="688"/>
      <c r="G11" s="686">
        <f>SUM(G9:G10)</f>
        <v>4776</v>
      </c>
      <c r="H11" s="592" t="s">
        <v>2217</v>
      </c>
    </row>
    <row r="12" spans="1:8" s="366" customFormat="1" ht="36">
      <c r="A12" s="678"/>
      <c r="B12" s="684">
        <v>2</v>
      </c>
      <c r="C12" s="685" t="s">
        <v>608</v>
      </c>
      <c r="D12" s="685"/>
      <c r="E12" s="685"/>
      <c r="F12" s="685"/>
      <c r="G12" s="686"/>
      <c r="H12" s="592" t="s">
        <v>2217</v>
      </c>
    </row>
    <row r="13" spans="1:8" s="366" customFormat="1">
      <c r="A13" s="678"/>
      <c r="B13" s="684"/>
      <c r="C13" s="421" t="s">
        <v>609</v>
      </c>
      <c r="D13" s="687" t="s">
        <v>115</v>
      </c>
      <c r="E13" s="687">
        <v>1</v>
      </c>
      <c r="F13" s="688">
        <f>'MINI SSR 19-20'!C69</f>
        <v>934</v>
      </c>
      <c r="G13" s="686">
        <f>ROUND(E13*F13,2)</f>
        <v>934</v>
      </c>
      <c r="H13" s="592" t="s">
        <v>2217</v>
      </c>
    </row>
    <row r="14" spans="1:8">
      <c r="A14" s="678"/>
      <c r="B14" s="684"/>
      <c r="C14" s="421"/>
      <c r="D14" s="687"/>
      <c r="E14" s="687"/>
      <c r="F14" s="688"/>
      <c r="G14" s="686">
        <f>SUM(G13)</f>
        <v>934</v>
      </c>
      <c r="H14" s="592" t="s">
        <v>2217</v>
      </c>
    </row>
    <row r="15" spans="1:8" s="366" customFormat="1" ht="60">
      <c r="A15" s="678"/>
      <c r="B15" s="684">
        <v>2</v>
      </c>
      <c r="C15" s="685" t="s">
        <v>1253</v>
      </c>
      <c r="D15" s="685"/>
      <c r="E15" s="685"/>
      <c r="F15" s="685"/>
      <c r="G15" s="686"/>
      <c r="H15" s="592" t="s">
        <v>2217</v>
      </c>
    </row>
    <row r="16" spans="1:8" s="366" customFormat="1">
      <c r="A16" s="678"/>
      <c r="B16" s="684"/>
      <c r="C16" s="421" t="s">
        <v>1254</v>
      </c>
      <c r="D16" s="687" t="s">
        <v>115</v>
      </c>
      <c r="E16" s="687">
        <v>1</v>
      </c>
      <c r="F16" s="688">
        <f>'MINI SSR 19-20'!C70</f>
        <v>2385</v>
      </c>
      <c r="G16" s="686">
        <f>ROUND(E16*F16,2)</f>
        <v>2385</v>
      </c>
      <c r="H16" s="592" t="s">
        <v>2217</v>
      </c>
    </row>
    <row r="17" spans="1:8">
      <c r="A17" s="678"/>
      <c r="B17" s="684"/>
      <c r="C17" s="421"/>
      <c r="D17" s="687"/>
      <c r="E17" s="687"/>
      <c r="F17" s="688"/>
      <c r="G17" s="686">
        <f>SUM(G16)</f>
        <v>2385</v>
      </c>
      <c r="H17" s="592" t="s">
        <v>2217</v>
      </c>
    </row>
    <row r="18" spans="1:8" s="698" customFormat="1" ht="152.25" customHeight="1">
      <c r="A18" s="693"/>
      <c r="B18" s="693">
        <v>3</v>
      </c>
      <c r="C18" s="694" t="s">
        <v>333</v>
      </c>
      <c r="D18" s="695"/>
      <c r="E18" s="694"/>
      <c r="F18" s="696"/>
      <c r="G18" s="697"/>
      <c r="H18" s="592" t="s">
        <v>2217</v>
      </c>
    </row>
    <row r="19" spans="1:8" s="698" customFormat="1">
      <c r="A19" s="693"/>
      <c r="B19" s="693"/>
      <c r="C19" s="699" t="s">
        <v>334</v>
      </c>
      <c r="D19" s="687" t="s">
        <v>115</v>
      </c>
      <c r="E19" s="687">
        <v>1</v>
      </c>
      <c r="F19" s="688">
        <f>'MINI SSR 19-20'!C71</f>
        <v>1370</v>
      </c>
      <c r="G19" s="686">
        <f>ROUND(E19*F19,2)</f>
        <v>1370</v>
      </c>
      <c r="H19" s="592" t="s">
        <v>2217</v>
      </c>
    </row>
    <row r="20" spans="1:8" s="698" customFormat="1">
      <c r="A20" s="693"/>
      <c r="B20" s="693"/>
      <c r="C20" s="699" t="s">
        <v>335</v>
      </c>
      <c r="D20" s="687" t="s">
        <v>115</v>
      </c>
      <c r="E20" s="687">
        <v>1</v>
      </c>
      <c r="F20" s="688">
        <f>'MINI SSR 19-20'!C72</f>
        <v>349</v>
      </c>
      <c r="G20" s="686">
        <f>ROUND(E20*F20,2)</f>
        <v>349</v>
      </c>
      <c r="H20" s="592" t="s">
        <v>2217</v>
      </c>
    </row>
    <row r="21" spans="1:8" s="698" customFormat="1" ht="24">
      <c r="A21" s="693"/>
      <c r="B21" s="693"/>
      <c r="C21" s="699" t="s">
        <v>336</v>
      </c>
      <c r="D21" s="687" t="s">
        <v>115</v>
      </c>
      <c r="E21" s="687">
        <v>1</v>
      </c>
      <c r="F21" s="688">
        <f>'MINI SSR 19-20'!C73</f>
        <v>86</v>
      </c>
      <c r="G21" s="686">
        <f>ROUND(E21*F21,2)</f>
        <v>86</v>
      </c>
      <c r="H21" s="592" t="s">
        <v>2217</v>
      </c>
    </row>
    <row r="22" spans="1:8" s="698" customFormat="1">
      <c r="A22" s="693"/>
      <c r="B22" s="693"/>
      <c r="C22" s="699" t="s">
        <v>337</v>
      </c>
      <c r="D22" s="687" t="s">
        <v>115</v>
      </c>
      <c r="E22" s="687">
        <v>1</v>
      </c>
      <c r="F22" s="688">
        <f>'MINI SSR 19-20'!C74</f>
        <v>22</v>
      </c>
      <c r="G22" s="686">
        <f>ROUND(E22*F22,2)</f>
        <v>22</v>
      </c>
      <c r="H22" s="592" t="s">
        <v>2217</v>
      </c>
    </row>
    <row r="23" spans="1:8" s="698" customFormat="1">
      <c r="A23" s="693"/>
      <c r="B23" s="693"/>
      <c r="C23" s="700"/>
      <c r="D23" s="687"/>
      <c r="E23" s="687"/>
      <c r="F23" s="688"/>
      <c r="G23" s="686">
        <f>SUM(G19:G22)</f>
        <v>1827</v>
      </c>
      <c r="H23" s="592" t="s">
        <v>2217</v>
      </c>
    </row>
    <row r="24" spans="1:8">
      <c r="A24" s="678"/>
      <c r="B24" s="684"/>
      <c r="C24" s="689" t="s">
        <v>332</v>
      </c>
      <c r="D24" s="690"/>
      <c r="E24" s="691"/>
      <c r="F24" s="691"/>
      <c r="G24" s="692">
        <v>0</v>
      </c>
      <c r="H24" s="592" t="s">
        <v>2217</v>
      </c>
    </row>
    <row r="25" spans="1:8">
      <c r="A25" s="678"/>
      <c r="B25" s="684"/>
      <c r="C25" s="421"/>
      <c r="D25" s="687"/>
      <c r="E25" s="687"/>
      <c r="F25" s="688"/>
      <c r="G25" s="686">
        <f>SUM(G23:G24)</f>
        <v>1827</v>
      </c>
      <c r="H25" s="592" t="s">
        <v>2217</v>
      </c>
    </row>
    <row r="26" spans="1:8" s="698" customFormat="1" ht="68.25" customHeight="1">
      <c r="A26" s="693"/>
      <c r="B26" s="693">
        <v>6</v>
      </c>
      <c r="C26" s="694" t="s">
        <v>339</v>
      </c>
      <c r="D26" s="695"/>
      <c r="E26" s="694"/>
      <c r="F26" s="696"/>
      <c r="G26" s="697"/>
      <c r="H26" s="592" t="s">
        <v>2217</v>
      </c>
    </row>
    <row r="27" spans="1:8" s="698" customFormat="1">
      <c r="A27" s="693"/>
      <c r="B27" s="693"/>
      <c r="C27" s="699" t="s">
        <v>340</v>
      </c>
      <c r="D27" s="687" t="s">
        <v>115</v>
      </c>
      <c r="E27" s="687">
        <v>1</v>
      </c>
      <c r="F27" s="688">
        <f>'MINI SSR 19-20'!C77</f>
        <v>117</v>
      </c>
      <c r="G27" s="686">
        <f>ROUND(E27*F27,2)</f>
        <v>117</v>
      </c>
      <c r="H27" s="592" t="s">
        <v>2217</v>
      </c>
    </row>
    <row r="28" spans="1:8">
      <c r="A28" s="678"/>
      <c r="B28" s="684"/>
      <c r="C28" s="689" t="s">
        <v>332</v>
      </c>
      <c r="D28" s="690"/>
      <c r="E28" s="691"/>
      <c r="F28" s="691"/>
      <c r="G28" s="692">
        <v>0</v>
      </c>
      <c r="H28" s="592" t="s">
        <v>2217</v>
      </c>
    </row>
    <row r="29" spans="1:8">
      <c r="A29" s="678"/>
      <c r="B29" s="684"/>
      <c r="C29" s="421"/>
      <c r="D29" s="687"/>
      <c r="E29" s="687"/>
      <c r="F29" s="688"/>
      <c r="G29" s="686">
        <f>SUM(G27:G28)</f>
        <v>117</v>
      </c>
      <c r="H29" s="592" t="s">
        <v>2217</v>
      </c>
    </row>
    <row r="30" spans="1:8" s="606" customFormat="1" ht="36">
      <c r="A30" s="678"/>
      <c r="B30" s="678">
        <v>4</v>
      </c>
      <c r="C30" s="685" t="s">
        <v>341</v>
      </c>
      <c r="D30" s="685"/>
      <c r="E30" s="685"/>
      <c r="F30" s="685"/>
      <c r="G30" s="685"/>
      <c r="H30" s="592" t="s">
        <v>2217</v>
      </c>
    </row>
    <row r="31" spans="1:8" s="606" customFormat="1" ht="15">
      <c r="A31" s="678"/>
      <c r="B31" s="678"/>
      <c r="C31" s="701" t="s">
        <v>342</v>
      </c>
      <c r="D31" s="701"/>
      <c r="E31" s="702"/>
      <c r="F31" s="702"/>
      <c r="G31" s="703"/>
      <c r="H31" s="592" t="s">
        <v>2217</v>
      </c>
    </row>
    <row r="32" spans="1:8" s="606" customFormat="1" ht="15">
      <c r="A32" s="678"/>
      <c r="B32" s="678"/>
      <c r="C32" s="701" t="s">
        <v>343</v>
      </c>
      <c r="D32" s="701" t="s">
        <v>277</v>
      </c>
      <c r="E32" s="702">
        <v>1</v>
      </c>
      <c r="F32" s="702">
        <f>'MINI SSR 19-20'!C78</f>
        <v>410</v>
      </c>
      <c r="G32" s="686">
        <f>ROUND(E32*F32,2)</f>
        <v>410</v>
      </c>
      <c r="H32" s="592" t="s">
        <v>2217</v>
      </c>
    </row>
    <row r="33" spans="1:8">
      <c r="A33" s="678"/>
      <c r="B33" s="684"/>
      <c r="C33" s="689" t="s">
        <v>332</v>
      </c>
      <c r="D33" s="690"/>
      <c r="E33" s="691"/>
      <c r="F33" s="691"/>
      <c r="G33" s="692">
        <v>0</v>
      </c>
      <c r="H33" s="592" t="s">
        <v>2217</v>
      </c>
    </row>
    <row r="34" spans="1:8" s="606" customFormat="1" ht="15">
      <c r="A34" s="678"/>
      <c r="B34" s="678"/>
      <c r="C34" s="701" t="s">
        <v>344</v>
      </c>
      <c r="D34" s="701"/>
      <c r="E34" s="701"/>
      <c r="F34" s="701"/>
      <c r="G34" s="683">
        <f>SUM(G32:G33)</f>
        <v>410</v>
      </c>
      <c r="H34" s="592" t="s">
        <v>2217</v>
      </c>
    </row>
    <row r="35" spans="1:8" s="606" customFormat="1" ht="15">
      <c r="A35" s="678"/>
      <c r="B35" s="678"/>
      <c r="C35" s="701" t="s">
        <v>345</v>
      </c>
      <c r="D35" s="701"/>
      <c r="E35" s="701"/>
      <c r="F35" s="701"/>
      <c r="G35" s="683">
        <f>G34/3</f>
        <v>136.66666666666666</v>
      </c>
      <c r="H35" s="592" t="s">
        <v>2217</v>
      </c>
    </row>
    <row r="36" spans="1:8" s="606" customFormat="1" ht="36">
      <c r="A36" s="678"/>
      <c r="B36" s="678">
        <v>5</v>
      </c>
      <c r="C36" s="685" t="s">
        <v>346</v>
      </c>
      <c r="D36" s="685"/>
      <c r="E36" s="685"/>
      <c r="F36" s="685"/>
      <c r="G36" s="685"/>
      <c r="H36" s="592" t="s">
        <v>2217</v>
      </c>
    </row>
    <row r="37" spans="1:8" s="606" customFormat="1" ht="15">
      <c r="A37" s="678"/>
      <c r="B37" s="678"/>
      <c r="C37" s="701" t="s">
        <v>342</v>
      </c>
      <c r="D37" s="701"/>
      <c r="E37" s="702"/>
      <c r="F37" s="702"/>
      <c r="G37" s="703"/>
      <c r="H37" s="592" t="s">
        <v>2217</v>
      </c>
    </row>
    <row r="38" spans="1:8" s="606" customFormat="1" ht="15">
      <c r="A38" s="678"/>
      <c r="B38" s="678"/>
      <c r="C38" s="701" t="s">
        <v>347</v>
      </c>
      <c r="D38" s="701" t="s">
        <v>277</v>
      </c>
      <c r="E38" s="702">
        <v>1</v>
      </c>
      <c r="F38" s="702">
        <f>'MINI SSR 19-20'!C79</f>
        <v>389</v>
      </c>
      <c r="G38" s="686">
        <f>ROUND(E38*F38,2)</f>
        <v>389</v>
      </c>
      <c r="H38" s="592" t="s">
        <v>2217</v>
      </c>
    </row>
    <row r="39" spans="1:8">
      <c r="A39" s="678"/>
      <c r="B39" s="684"/>
      <c r="C39" s="689" t="s">
        <v>332</v>
      </c>
      <c r="D39" s="690"/>
      <c r="E39" s="691"/>
      <c r="F39" s="691"/>
      <c r="G39" s="692">
        <v>0</v>
      </c>
      <c r="H39" s="592" t="s">
        <v>2217</v>
      </c>
    </row>
    <row r="40" spans="1:8" s="606" customFormat="1" ht="15">
      <c r="A40" s="678"/>
      <c r="B40" s="678"/>
      <c r="C40" s="701" t="s">
        <v>344</v>
      </c>
      <c r="D40" s="701"/>
      <c r="E40" s="701"/>
      <c r="F40" s="701"/>
      <c r="G40" s="683">
        <f>SUM(G38:G39)</f>
        <v>389</v>
      </c>
      <c r="H40" s="592" t="s">
        <v>2217</v>
      </c>
    </row>
    <row r="41" spans="1:8" s="606" customFormat="1" ht="15">
      <c r="A41" s="678"/>
      <c r="B41" s="678"/>
      <c r="C41" s="701" t="s">
        <v>345</v>
      </c>
      <c r="D41" s="701"/>
      <c r="E41" s="701"/>
      <c r="F41" s="701"/>
      <c r="G41" s="683">
        <f>G40/3</f>
        <v>129.66666666666666</v>
      </c>
      <c r="H41" s="592" t="s">
        <v>2217</v>
      </c>
    </row>
    <row r="42" spans="1:8" s="606" customFormat="1" ht="36">
      <c r="A42" s="678"/>
      <c r="B42" s="678">
        <v>6</v>
      </c>
      <c r="C42" s="685" t="s">
        <v>348</v>
      </c>
      <c r="D42" s="685"/>
      <c r="E42" s="685"/>
      <c r="F42" s="685"/>
      <c r="G42" s="685"/>
      <c r="H42" s="592" t="s">
        <v>2217</v>
      </c>
    </row>
    <row r="43" spans="1:8" s="606" customFormat="1" ht="15">
      <c r="A43" s="678"/>
      <c r="B43" s="678"/>
      <c r="C43" s="701" t="s">
        <v>342</v>
      </c>
      <c r="D43" s="701"/>
      <c r="E43" s="702"/>
      <c r="F43" s="702"/>
      <c r="G43" s="703"/>
      <c r="H43" s="592" t="s">
        <v>2217</v>
      </c>
    </row>
    <row r="44" spans="1:8" s="606" customFormat="1" ht="15">
      <c r="A44" s="678"/>
      <c r="B44" s="678"/>
      <c r="C44" s="701" t="s">
        <v>349</v>
      </c>
      <c r="D44" s="701" t="s">
        <v>277</v>
      </c>
      <c r="E44" s="702">
        <v>1</v>
      </c>
      <c r="F44" s="702">
        <f>'MINI SSR 19-20'!C80</f>
        <v>244</v>
      </c>
      <c r="G44" s="686">
        <f>ROUND(E44*F44,2)</f>
        <v>244</v>
      </c>
      <c r="H44" s="592" t="s">
        <v>2217</v>
      </c>
    </row>
    <row r="45" spans="1:8">
      <c r="A45" s="678"/>
      <c r="B45" s="684"/>
      <c r="C45" s="689" t="s">
        <v>332</v>
      </c>
      <c r="D45" s="690"/>
      <c r="E45" s="691"/>
      <c r="F45" s="691"/>
      <c r="G45" s="692">
        <v>0</v>
      </c>
      <c r="H45" s="592" t="s">
        <v>2217</v>
      </c>
    </row>
    <row r="46" spans="1:8" s="606" customFormat="1" ht="15">
      <c r="A46" s="678"/>
      <c r="B46" s="678"/>
      <c r="C46" s="701" t="s">
        <v>344</v>
      </c>
      <c r="D46" s="701"/>
      <c r="E46" s="701"/>
      <c r="F46" s="701"/>
      <c r="G46" s="683">
        <f>SUM(G44:G45)</f>
        <v>244</v>
      </c>
      <c r="H46" s="592" t="s">
        <v>2217</v>
      </c>
    </row>
    <row r="47" spans="1:8" s="606" customFormat="1" ht="15">
      <c r="A47" s="678"/>
      <c r="B47" s="678"/>
      <c r="C47" s="701" t="s">
        <v>345</v>
      </c>
      <c r="D47" s="701"/>
      <c r="E47" s="701"/>
      <c r="F47" s="701"/>
      <c r="G47" s="683">
        <f>G46/3</f>
        <v>81.333333333333329</v>
      </c>
      <c r="H47" s="592" t="s">
        <v>2217</v>
      </c>
    </row>
    <row r="48" spans="1:8" s="705" customFormat="1" ht="60">
      <c r="A48" s="678"/>
      <c r="B48" s="678">
        <v>7</v>
      </c>
      <c r="C48" s="421" t="s">
        <v>350</v>
      </c>
      <c r="D48" s="421"/>
      <c r="E48" s="678"/>
      <c r="F48" s="678"/>
      <c r="G48" s="704"/>
      <c r="H48" s="592" t="s">
        <v>2217</v>
      </c>
    </row>
    <row r="49" spans="1:8" s="705" customFormat="1">
      <c r="A49" s="685"/>
      <c r="B49" s="678"/>
      <c r="C49" s="679" t="s">
        <v>351</v>
      </c>
      <c r="D49" s="680" t="s">
        <v>279</v>
      </c>
      <c r="E49" s="681">
        <v>1</v>
      </c>
      <c r="F49" s="682">
        <f>'MINI SSR 19-20'!C81</f>
        <v>70</v>
      </c>
      <c r="G49" s="686">
        <f>ROUND(E49*F49,2)</f>
        <v>70</v>
      </c>
      <c r="H49" s="592" t="s">
        <v>2217</v>
      </c>
    </row>
    <row r="50" spans="1:8">
      <c r="A50" s="678"/>
      <c r="B50" s="684"/>
      <c r="C50" s="689" t="s">
        <v>332</v>
      </c>
      <c r="D50" s="690"/>
      <c r="E50" s="691"/>
      <c r="F50" s="691"/>
      <c r="G50" s="692">
        <v>0</v>
      </c>
      <c r="H50" s="592" t="s">
        <v>2217</v>
      </c>
    </row>
    <row r="51" spans="1:8" s="705" customFormat="1">
      <c r="A51" s="685"/>
      <c r="B51" s="678"/>
      <c r="C51" s="679"/>
      <c r="D51" s="680"/>
      <c r="E51" s="681"/>
      <c r="F51" s="682"/>
      <c r="G51" s="683">
        <f>SUM(G49:G50)</f>
        <v>70</v>
      </c>
      <c r="H51" s="592" t="s">
        <v>2217</v>
      </c>
    </row>
    <row r="52" spans="1:8" s="606" customFormat="1" ht="24">
      <c r="A52" s="678"/>
      <c r="B52" s="678">
        <v>11</v>
      </c>
      <c r="C52" s="421" t="s">
        <v>685</v>
      </c>
      <c r="D52" s="701"/>
      <c r="E52" s="680"/>
      <c r="F52" s="680"/>
      <c r="G52" s="701"/>
      <c r="H52" s="592" t="s">
        <v>2217</v>
      </c>
    </row>
    <row r="53" spans="1:8" s="606" customFormat="1" ht="15">
      <c r="A53" s="678"/>
      <c r="B53" s="678"/>
      <c r="C53" s="679" t="s">
        <v>686</v>
      </c>
      <c r="D53" s="680" t="s">
        <v>115</v>
      </c>
      <c r="E53" s="681">
        <v>1</v>
      </c>
      <c r="F53" s="682">
        <f>'MINI SSR 19-20'!C82</f>
        <v>1483</v>
      </c>
      <c r="G53" s="686">
        <f>ROUND(E53*F53,2)</f>
        <v>1483</v>
      </c>
      <c r="H53" s="592" t="s">
        <v>2217</v>
      </c>
    </row>
    <row r="54" spans="1:8">
      <c r="A54" s="678"/>
      <c r="B54" s="684"/>
      <c r="C54" s="689" t="s">
        <v>332</v>
      </c>
      <c r="D54" s="690"/>
      <c r="E54" s="691"/>
      <c r="F54" s="691"/>
      <c r="G54" s="692">
        <v>0</v>
      </c>
      <c r="H54" s="592" t="s">
        <v>2217</v>
      </c>
    </row>
    <row r="55" spans="1:8" s="606" customFormat="1" ht="15">
      <c r="A55" s="678"/>
      <c r="B55" s="678"/>
      <c r="C55" s="679"/>
      <c r="D55" s="680"/>
      <c r="E55" s="681"/>
      <c r="F55" s="682"/>
      <c r="G55" s="683">
        <f>SUM(G53:G54)</f>
        <v>1483</v>
      </c>
      <c r="H55" s="592" t="s">
        <v>2217</v>
      </c>
    </row>
    <row r="56" spans="1:8" s="606" customFormat="1" ht="48">
      <c r="A56" s="678"/>
      <c r="B56" s="678">
        <v>8</v>
      </c>
      <c r="C56" s="421" t="s">
        <v>352</v>
      </c>
      <c r="D56" s="701"/>
      <c r="E56" s="680"/>
      <c r="F56" s="680"/>
      <c r="G56" s="701"/>
      <c r="H56" s="592" t="s">
        <v>2217</v>
      </c>
    </row>
    <row r="57" spans="1:8" s="606" customFormat="1" ht="15">
      <c r="A57" s="678"/>
      <c r="B57" s="678"/>
      <c r="C57" s="679" t="s">
        <v>353</v>
      </c>
      <c r="D57" s="680" t="s">
        <v>115</v>
      </c>
      <c r="E57" s="681">
        <v>1</v>
      </c>
      <c r="F57" s="682">
        <f>'MINI SSR 19-20'!C72</f>
        <v>349</v>
      </c>
      <c r="G57" s="686">
        <f>ROUND(E57*F57,2)</f>
        <v>349</v>
      </c>
      <c r="H57" s="592" t="s">
        <v>2217</v>
      </c>
    </row>
    <row r="58" spans="1:8">
      <c r="A58" s="678"/>
      <c r="B58" s="684"/>
      <c r="C58" s="689" t="s">
        <v>332</v>
      </c>
      <c r="D58" s="690"/>
      <c r="E58" s="691"/>
      <c r="F58" s="691"/>
      <c r="G58" s="692">
        <v>0</v>
      </c>
      <c r="H58" s="592" t="s">
        <v>2217</v>
      </c>
    </row>
    <row r="59" spans="1:8" s="606" customFormat="1" ht="15">
      <c r="A59" s="678"/>
      <c r="B59" s="678"/>
      <c r="C59" s="679"/>
      <c r="D59" s="680"/>
      <c r="E59" s="681"/>
      <c r="F59" s="682"/>
      <c r="G59" s="683">
        <f>SUM(G57:G58)</f>
        <v>349</v>
      </c>
      <c r="H59" s="592" t="s">
        <v>2217</v>
      </c>
    </row>
    <row r="60" spans="1:8" s="606" customFormat="1" ht="72">
      <c r="A60" s="678"/>
      <c r="B60" s="678">
        <v>13</v>
      </c>
      <c r="C60" s="421" t="s">
        <v>354</v>
      </c>
      <c r="D60" s="701"/>
      <c r="E60" s="680"/>
      <c r="F60" s="680"/>
      <c r="G60" s="701"/>
      <c r="H60" s="592" t="s">
        <v>2217</v>
      </c>
    </row>
    <row r="61" spans="1:8" s="606" customFormat="1" ht="15">
      <c r="A61" s="678"/>
      <c r="B61" s="678"/>
      <c r="C61" s="679" t="s">
        <v>355</v>
      </c>
      <c r="D61" s="680" t="s">
        <v>115</v>
      </c>
      <c r="E61" s="681">
        <v>1</v>
      </c>
      <c r="F61" s="682">
        <f>'MINI SSR 19-20'!C83</f>
        <v>3758</v>
      </c>
      <c r="G61" s="686">
        <f>ROUND(E61*F61,2)</f>
        <v>3758</v>
      </c>
      <c r="H61" s="592" t="s">
        <v>2217</v>
      </c>
    </row>
    <row r="62" spans="1:8">
      <c r="A62" s="678"/>
      <c r="B62" s="684"/>
      <c r="C62" s="689" t="s">
        <v>332</v>
      </c>
      <c r="D62" s="690"/>
      <c r="E62" s="691"/>
      <c r="F62" s="691"/>
      <c r="G62" s="692">
        <v>0</v>
      </c>
      <c r="H62" s="592" t="s">
        <v>2217</v>
      </c>
    </row>
    <row r="63" spans="1:8" s="606" customFormat="1" ht="15">
      <c r="A63" s="678"/>
      <c r="B63" s="678"/>
      <c r="C63" s="679"/>
      <c r="D63" s="680"/>
      <c r="E63" s="681"/>
      <c r="F63" s="682"/>
      <c r="G63" s="683">
        <f>SUM(G61:G62)</f>
        <v>3758</v>
      </c>
      <c r="H63" s="592" t="s">
        <v>2217</v>
      </c>
    </row>
    <row r="64" spans="1:8" s="606" customFormat="1" ht="60">
      <c r="A64" s="678"/>
      <c r="B64" s="678">
        <v>9</v>
      </c>
      <c r="C64" s="421" t="s">
        <v>290</v>
      </c>
      <c r="D64" s="685"/>
      <c r="E64" s="678"/>
      <c r="F64" s="678"/>
      <c r="G64" s="704"/>
      <c r="H64" s="592" t="s">
        <v>2217</v>
      </c>
    </row>
    <row r="65" spans="1:8" s="606" customFormat="1" ht="15">
      <c r="A65" s="678"/>
      <c r="B65" s="678"/>
      <c r="C65" s="679" t="s">
        <v>356</v>
      </c>
      <c r="D65" s="680" t="s">
        <v>357</v>
      </c>
      <c r="E65" s="682">
        <v>1</v>
      </c>
      <c r="F65" s="682">
        <f>'MINI SSR 19-20'!H66</f>
        <v>5</v>
      </c>
      <c r="G65" s="686">
        <f>ROUND(E65*F65,2)</f>
        <v>5</v>
      </c>
      <c r="H65" s="592" t="s">
        <v>2217</v>
      </c>
    </row>
    <row r="66" spans="1:8" s="606" customFormat="1" ht="15">
      <c r="A66" s="678"/>
      <c r="B66" s="706"/>
      <c r="C66" s="679" t="s">
        <v>358</v>
      </c>
      <c r="D66" s="680" t="s">
        <v>357</v>
      </c>
      <c r="E66" s="682">
        <v>1</v>
      </c>
      <c r="F66" s="682">
        <f>'MINI SSR 19-20'!H67</f>
        <v>1</v>
      </c>
      <c r="G66" s="686">
        <f>ROUND(E66*F66,2)</f>
        <v>1</v>
      </c>
      <c r="H66" s="592" t="s">
        <v>2217</v>
      </c>
    </row>
    <row r="67" spans="1:8" s="606" customFormat="1" ht="15">
      <c r="A67" s="678"/>
      <c r="B67" s="706"/>
      <c r="C67" s="679"/>
      <c r="D67" s="680"/>
      <c r="E67" s="682"/>
      <c r="F67" s="682"/>
      <c r="G67" s="683">
        <f>SUM(G65:G66)</f>
        <v>6</v>
      </c>
      <c r="H67" s="592" t="s">
        <v>2217</v>
      </c>
    </row>
    <row r="68" spans="1:8">
      <c r="A68" s="678"/>
      <c r="B68" s="684"/>
      <c r="C68" s="689" t="s">
        <v>332</v>
      </c>
      <c r="D68" s="690"/>
      <c r="E68" s="691"/>
      <c r="F68" s="691"/>
      <c r="G68" s="692">
        <v>0</v>
      </c>
      <c r="H68" s="592" t="s">
        <v>2217</v>
      </c>
    </row>
    <row r="69" spans="1:8" s="606" customFormat="1" ht="15">
      <c r="A69" s="678"/>
      <c r="B69" s="706"/>
      <c r="C69" s="679"/>
      <c r="D69" s="680"/>
      <c r="E69" s="682"/>
      <c r="F69" s="682"/>
      <c r="G69" s="683">
        <f>SUM(G67:G68)</f>
        <v>6</v>
      </c>
      <c r="H69" s="592" t="s">
        <v>2217</v>
      </c>
    </row>
    <row r="70" spans="1:8" s="606" customFormat="1" ht="72">
      <c r="A70" s="678"/>
      <c r="B70" s="678">
        <v>10</v>
      </c>
      <c r="C70" s="421" t="s">
        <v>276</v>
      </c>
      <c r="D70" s="421"/>
      <c r="E70" s="421"/>
      <c r="F70" s="678"/>
      <c r="G70" s="704"/>
      <c r="H70" s="592" t="s">
        <v>2217</v>
      </c>
    </row>
    <row r="71" spans="1:8" s="606" customFormat="1" ht="15">
      <c r="A71" s="678"/>
      <c r="B71" s="678"/>
      <c r="C71" s="421" t="s">
        <v>359</v>
      </c>
      <c r="D71" s="701" t="s">
        <v>277</v>
      </c>
      <c r="E71" s="702">
        <v>1</v>
      </c>
      <c r="F71" s="682">
        <f>'MINI SSR 19-20'!H68</f>
        <v>53</v>
      </c>
      <c r="G71" s="686">
        <f>ROUND(E71*F71,2)</f>
        <v>53</v>
      </c>
      <c r="H71" s="592" t="s">
        <v>2217</v>
      </c>
    </row>
    <row r="72" spans="1:8">
      <c r="A72" s="678"/>
      <c r="B72" s="684"/>
      <c r="C72" s="689" t="s">
        <v>332</v>
      </c>
      <c r="D72" s="690"/>
      <c r="E72" s="691"/>
      <c r="F72" s="691"/>
      <c r="G72" s="692">
        <v>0</v>
      </c>
      <c r="H72" s="592" t="s">
        <v>2217</v>
      </c>
    </row>
    <row r="73" spans="1:8" s="606" customFormat="1" ht="15">
      <c r="A73" s="678"/>
      <c r="B73" s="706"/>
      <c r="C73" s="679"/>
      <c r="D73" s="680"/>
      <c r="E73" s="682"/>
      <c r="F73" s="682"/>
      <c r="G73" s="703">
        <f>SUM(G71:G72)</f>
        <v>53</v>
      </c>
      <c r="H73" s="592" t="s">
        <v>2217</v>
      </c>
    </row>
    <row r="74" spans="1:8" s="606" customFormat="1" ht="15">
      <c r="A74" s="678"/>
      <c r="B74" s="678"/>
      <c r="C74" s="421" t="s">
        <v>360</v>
      </c>
      <c r="D74" s="701" t="s">
        <v>277</v>
      </c>
      <c r="E74" s="702">
        <v>1</v>
      </c>
      <c r="F74" s="682">
        <f>'MINI SSR 19-20'!H69</f>
        <v>85</v>
      </c>
      <c r="G74" s="686">
        <f>ROUND(E74*F74,2)</f>
        <v>85</v>
      </c>
      <c r="H74" s="592" t="s">
        <v>2217</v>
      </c>
    </row>
    <row r="75" spans="1:8">
      <c r="A75" s="678"/>
      <c r="B75" s="684"/>
      <c r="C75" s="689" t="s">
        <v>332</v>
      </c>
      <c r="D75" s="690"/>
      <c r="E75" s="691"/>
      <c r="F75" s="691"/>
      <c r="G75" s="692">
        <v>0</v>
      </c>
      <c r="H75" s="592" t="s">
        <v>2217</v>
      </c>
    </row>
    <row r="76" spans="1:8" s="606" customFormat="1" ht="15">
      <c r="A76" s="678"/>
      <c r="B76" s="706"/>
      <c r="C76" s="679"/>
      <c r="D76" s="680"/>
      <c r="E76" s="682"/>
      <c r="F76" s="682"/>
      <c r="G76" s="703">
        <f>SUM(G74:G75)</f>
        <v>85</v>
      </c>
      <c r="H76" s="592" t="s">
        <v>2217</v>
      </c>
    </row>
    <row r="77" spans="1:8" s="606" customFormat="1" ht="15">
      <c r="A77" s="678"/>
      <c r="B77" s="678"/>
      <c r="C77" s="421" t="s">
        <v>3160</v>
      </c>
      <c r="D77" s="701" t="s">
        <v>277</v>
      </c>
      <c r="E77" s="702">
        <v>1</v>
      </c>
      <c r="F77" s="682">
        <f>'MINI SSR 19-20'!H70</f>
        <v>123</v>
      </c>
      <c r="G77" s="686">
        <f>ROUND(E77*F77,2)</f>
        <v>123</v>
      </c>
      <c r="H77" s="592" t="s">
        <v>2217</v>
      </c>
    </row>
    <row r="78" spans="1:8">
      <c r="A78" s="678"/>
      <c r="B78" s="684"/>
      <c r="C78" s="689" t="s">
        <v>332</v>
      </c>
      <c r="D78" s="690"/>
      <c r="E78" s="691"/>
      <c r="F78" s="691"/>
      <c r="G78" s="692">
        <v>0</v>
      </c>
      <c r="H78" s="592" t="s">
        <v>2217</v>
      </c>
    </row>
    <row r="79" spans="1:8" s="606" customFormat="1" ht="15">
      <c r="A79" s="678"/>
      <c r="B79" s="706"/>
      <c r="C79" s="679"/>
      <c r="D79" s="680"/>
      <c r="E79" s="682"/>
      <c r="F79" s="682"/>
      <c r="G79" s="703">
        <f>SUM(G77:G78)</f>
        <v>123</v>
      </c>
      <c r="H79" s="592" t="s">
        <v>2217</v>
      </c>
    </row>
    <row r="80" spans="1:8" s="606" customFormat="1" ht="15">
      <c r="A80" s="678"/>
      <c r="B80" s="678"/>
      <c r="C80" s="421" t="s">
        <v>362</v>
      </c>
      <c r="D80" s="701" t="s">
        <v>277</v>
      </c>
      <c r="E80" s="702">
        <v>1</v>
      </c>
      <c r="F80" s="682">
        <f>'MINI SSR 19-20'!H71</f>
        <v>193</v>
      </c>
      <c r="G80" s="686">
        <f>ROUND(E80*F80,2)</f>
        <v>193</v>
      </c>
      <c r="H80" s="592" t="s">
        <v>2217</v>
      </c>
    </row>
    <row r="81" spans="1:8">
      <c r="A81" s="678"/>
      <c r="B81" s="684"/>
      <c r="C81" s="689" t="s">
        <v>332</v>
      </c>
      <c r="D81" s="690"/>
      <c r="E81" s="691"/>
      <c r="F81" s="691"/>
      <c r="G81" s="692">
        <v>0</v>
      </c>
      <c r="H81" s="592" t="s">
        <v>2217</v>
      </c>
    </row>
    <row r="82" spans="1:8" s="606" customFormat="1" ht="15">
      <c r="A82" s="678"/>
      <c r="B82" s="706"/>
      <c r="C82" s="679"/>
      <c r="D82" s="680"/>
      <c r="E82" s="682"/>
      <c r="F82" s="682"/>
      <c r="G82" s="703">
        <f>SUM(G80:G81)</f>
        <v>193</v>
      </c>
      <c r="H82" s="592" t="s">
        <v>2217</v>
      </c>
    </row>
    <row r="83" spans="1:8" s="705" customFormat="1" ht="48">
      <c r="A83" s="678"/>
      <c r="B83" s="678">
        <v>16</v>
      </c>
      <c r="C83" s="421" t="s">
        <v>1261</v>
      </c>
      <c r="D83" s="421"/>
      <c r="E83" s="678"/>
      <c r="F83" s="678"/>
      <c r="G83" s="704"/>
      <c r="H83" s="592" t="s">
        <v>2217</v>
      </c>
    </row>
    <row r="84" spans="1:8" s="705" customFormat="1">
      <c r="A84" s="685"/>
      <c r="B84" s="678"/>
      <c r="C84" s="679" t="s">
        <v>380</v>
      </c>
      <c r="D84" s="680" t="s">
        <v>279</v>
      </c>
      <c r="E84" s="681">
        <v>1</v>
      </c>
      <c r="F84" s="682">
        <f>'MINI SSR 19-20'!H72</f>
        <v>24</v>
      </c>
      <c r="G84" s="686">
        <f>ROUND(E84*F84,2)</f>
        <v>24</v>
      </c>
      <c r="H84" s="592" t="s">
        <v>2217</v>
      </c>
    </row>
    <row r="85" spans="1:8">
      <c r="A85" s="678"/>
      <c r="B85" s="684"/>
      <c r="C85" s="689" t="s">
        <v>332</v>
      </c>
      <c r="D85" s="690"/>
      <c r="E85" s="691"/>
      <c r="F85" s="691"/>
      <c r="G85" s="692">
        <v>0</v>
      </c>
      <c r="H85" s="592" t="s">
        <v>2217</v>
      </c>
    </row>
    <row r="86" spans="1:8" s="705" customFormat="1">
      <c r="A86" s="685"/>
      <c r="B86" s="678"/>
      <c r="C86" s="679"/>
      <c r="D86" s="680"/>
      <c r="E86" s="681"/>
      <c r="F86" s="682"/>
      <c r="G86" s="683">
        <f>SUM(G84:G85)</f>
        <v>24</v>
      </c>
      <c r="H86" s="592" t="s">
        <v>2217</v>
      </c>
    </row>
    <row r="87" spans="1:8" s="705" customFormat="1" ht="72">
      <c r="A87" s="678"/>
      <c r="B87" s="678">
        <v>11</v>
      </c>
      <c r="C87" s="421" t="s">
        <v>363</v>
      </c>
      <c r="D87" s="421"/>
      <c r="E87" s="678"/>
      <c r="F87" s="678"/>
      <c r="G87" s="704"/>
      <c r="H87" s="592" t="s">
        <v>2217</v>
      </c>
    </row>
    <row r="88" spans="1:8" s="705" customFormat="1">
      <c r="A88" s="685"/>
      <c r="B88" s="678"/>
      <c r="C88" s="679" t="s">
        <v>364</v>
      </c>
      <c r="D88" s="680" t="s">
        <v>279</v>
      </c>
      <c r="E88" s="681">
        <v>1</v>
      </c>
      <c r="F88" s="682">
        <f>'MINI SSR 19-20'!H73</f>
        <v>31</v>
      </c>
      <c r="G88" s="686">
        <f>ROUND(E88*F88,2)</f>
        <v>31</v>
      </c>
      <c r="H88" s="592" t="s">
        <v>2217</v>
      </c>
    </row>
    <row r="89" spans="1:8">
      <c r="A89" s="678"/>
      <c r="B89" s="684"/>
      <c r="C89" s="689" t="s">
        <v>332</v>
      </c>
      <c r="D89" s="690"/>
      <c r="E89" s="691"/>
      <c r="F89" s="691"/>
      <c r="G89" s="692">
        <v>0</v>
      </c>
      <c r="H89" s="592" t="s">
        <v>2217</v>
      </c>
    </row>
    <row r="90" spans="1:8" s="705" customFormat="1">
      <c r="A90" s="685"/>
      <c r="B90" s="678"/>
      <c r="C90" s="679"/>
      <c r="D90" s="680"/>
      <c r="E90" s="681"/>
      <c r="F90" s="682"/>
      <c r="G90" s="683">
        <f>SUM(G88:G89)</f>
        <v>31</v>
      </c>
      <c r="H90" s="592" t="s">
        <v>2217</v>
      </c>
    </row>
    <row r="91" spans="1:8" s="606" customFormat="1" ht="48">
      <c r="A91" s="678"/>
      <c r="B91" s="678">
        <v>18</v>
      </c>
      <c r="C91" s="421" t="s">
        <v>365</v>
      </c>
      <c r="D91" s="685"/>
      <c r="E91" s="678"/>
      <c r="F91" s="678"/>
      <c r="G91" s="704"/>
      <c r="H91" s="592" t="s">
        <v>2217</v>
      </c>
    </row>
    <row r="92" spans="1:8" s="606" customFormat="1" ht="15">
      <c r="A92" s="678"/>
      <c r="B92" s="678"/>
      <c r="C92" s="679" t="s">
        <v>366</v>
      </c>
      <c r="D92" s="680" t="s">
        <v>115</v>
      </c>
      <c r="E92" s="682">
        <v>1</v>
      </c>
      <c r="F92" s="682">
        <f>'MINI SSR 19-20'!H74</f>
        <v>1051</v>
      </c>
      <c r="G92" s="686">
        <f>ROUND(E92*F92,2)</f>
        <v>1051</v>
      </c>
      <c r="H92" s="592" t="s">
        <v>2217</v>
      </c>
    </row>
    <row r="93" spans="1:8">
      <c r="A93" s="678"/>
      <c r="B93" s="684"/>
      <c r="C93" s="689" t="s">
        <v>332</v>
      </c>
      <c r="D93" s="690"/>
      <c r="E93" s="691"/>
      <c r="F93" s="691"/>
      <c r="G93" s="692">
        <v>0</v>
      </c>
      <c r="H93" s="592" t="s">
        <v>2217</v>
      </c>
    </row>
    <row r="94" spans="1:8" s="606" customFormat="1" ht="15">
      <c r="A94" s="678"/>
      <c r="B94" s="706"/>
      <c r="C94" s="679"/>
      <c r="D94" s="680"/>
      <c r="E94" s="682"/>
      <c r="F94" s="682"/>
      <c r="G94" s="683">
        <f>SUM(G92:G93)</f>
        <v>1051</v>
      </c>
      <c r="H94" s="592" t="s">
        <v>2217</v>
      </c>
    </row>
    <row r="95" spans="1:8" s="705" customFormat="1" ht="108">
      <c r="A95" s="707"/>
      <c r="B95" s="678">
        <v>19</v>
      </c>
      <c r="C95" s="685" t="s">
        <v>367</v>
      </c>
      <c r="D95" s="685"/>
      <c r="E95" s="685"/>
      <c r="F95" s="685"/>
      <c r="G95" s="708"/>
      <c r="H95" s="592" t="s">
        <v>2217</v>
      </c>
    </row>
    <row r="96" spans="1:8" s="705" customFormat="1">
      <c r="A96" s="709"/>
      <c r="B96" s="706"/>
      <c r="C96" s="710" t="s">
        <v>368</v>
      </c>
      <c r="D96" s="711"/>
      <c r="E96" s="711"/>
      <c r="F96" s="712"/>
      <c r="G96" s="713"/>
      <c r="H96" s="592" t="s">
        <v>2217</v>
      </c>
    </row>
    <row r="97" spans="1:8" s="705" customFormat="1">
      <c r="A97" s="709"/>
      <c r="B97" s="678"/>
      <c r="C97" s="709" t="s">
        <v>369</v>
      </c>
      <c r="D97" s="712" t="s">
        <v>370</v>
      </c>
      <c r="E97" s="711">
        <v>1</v>
      </c>
      <c r="F97" s="711">
        <f>'MINI SSR 19-20'!C78</f>
        <v>410</v>
      </c>
      <c r="G97" s="686">
        <f t="shared" ref="G97:G102" si="0">ROUND(E97*F97,2)</f>
        <v>410</v>
      </c>
      <c r="H97" s="592" t="s">
        <v>2217</v>
      </c>
    </row>
    <row r="98" spans="1:8" s="705" customFormat="1">
      <c r="A98" s="709"/>
      <c r="B98" s="678"/>
      <c r="C98" s="714" t="s">
        <v>371</v>
      </c>
      <c r="D98" s="712" t="s">
        <v>115</v>
      </c>
      <c r="E98" s="711">
        <v>1</v>
      </c>
      <c r="F98" s="711">
        <f>'MINI SSR 19-20'!H75</f>
        <v>70</v>
      </c>
      <c r="G98" s="686">
        <f t="shared" si="0"/>
        <v>70</v>
      </c>
      <c r="H98" s="592" t="s">
        <v>2217</v>
      </c>
    </row>
    <row r="99" spans="1:8" s="705" customFormat="1">
      <c r="A99" s="709"/>
      <c r="B99" s="678"/>
      <c r="C99" s="714" t="s">
        <v>372</v>
      </c>
      <c r="D99" s="712" t="s">
        <v>115</v>
      </c>
      <c r="E99" s="711">
        <v>3</v>
      </c>
      <c r="F99" s="711">
        <f>'MINI SSR 19-20'!H76</f>
        <v>15</v>
      </c>
      <c r="G99" s="686">
        <f t="shared" si="0"/>
        <v>45</v>
      </c>
      <c r="H99" s="592" t="s">
        <v>2217</v>
      </c>
    </row>
    <row r="100" spans="1:8" s="705" customFormat="1">
      <c r="A100" s="709"/>
      <c r="B100" s="678"/>
      <c r="C100" s="715" t="s">
        <v>373</v>
      </c>
      <c r="D100" s="712" t="s">
        <v>108</v>
      </c>
      <c r="E100" s="711">
        <v>0.3</v>
      </c>
      <c r="F100" s="711">
        <f>'MINI SSR 19-20'!H8</f>
        <v>580</v>
      </c>
      <c r="G100" s="686">
        <f t="shared" si="0"/>
        <v>174</v>
      </c>
      <c r="H100" s="592" t="s">
        <v>2217</v>
      </c>
    </row>
    <row r="101" spans="1:8" s="705" customFormat="1">
      <c r="A101" s="709"/>
      <c r="B101" s="678"/>
      <c r="C101" s="715" t="s">
        <v>374</v>
      </c>
      <c r="D101" s="712" t="s">
        <v>108</v>
      </c>
      <c r="E101" s="711">
        <v>0.7</v>
      </c>
      <c r="F101" s="711">
        <f>'MINI SSR 19-20'!H9</f>
        <v>460</v>
      </c>
      <c r="G101" s="686">
        <f t="shared" si="0"/>
        <v>322</v>
      </c>
      <c r="H101" s="592" t="s">
        <v>2217</v>
      </c>
    </row>
    <row r="102" spans="1:8" s="705" customFormat="1">
      <c r="A102" s="709"/>
      <c r="B102" s="678"/>
      <c r="C102" s="715" t="s">
        <v>375</v>
      </c>
      <c r="D102" s="712" t="s">
        <v>108</v>
      </c>
      <c r="E102" s="711">
        <v>1</v>
      </c>
      <c r="F102" s="711">
        <f>'MINI SSR 19-20'!H5</f>
        <v>420</v>
      </c>
      <c r="G102" s="686">
        <f t="shared" si="0"/>
        <v>420</v>
      </c>
      <c r="H102" s="592" t="s">
        <v>2217</v>
      </c>
    </row>
    <row r="103" spans="1:8" s="705" customFormat="1">
      <c r="A103" s="709"/>
      <c r="B103" s="678"/>
      <c r="C103" s="715"/>
      <c r="D103" s="712"/>
      <c r="E103" s="711"/>
      <c r="F103" s="711"/>
      <c r="G103" s="713">
        <f>SUM(G97:G102)</f>
        <v>1441</v>
      </c>
      <c r="H103" s="592" t="s">
        <v>2217</v>
      </c>
    </row>
    <row r="104" spans="1:8">
      <c r="A104" s="678"/>
      <c r="B104" s="684"/>
      <c r="C104" s="689" t="s">
        <v>332</v>
      </c>
      <c r="D104" s="690"/>
      <c r="E104" s="691"/>
      <c r="F104" s="691"/>
      <c r="G104" s="692">
        <v>0</v>
      </c>
      <c r="H104" s="592" t="s">
        <v>2217</v>
      </c>
    </row>
    <row r="105" spans="1:8" s="705" customFormat="1">
      <c r="A105" s="709"/>
      <c r="B105" s="706"/>
      <c r="C105" s="715" t="s">
        <v>376</v>
      </c>
      <c r="D105" s="712"/>
      <c r="E105" s="711"/>
      <c r="F105" s="711"/>
      <c r="G105" s="713">
        <f>SUM(G103:G104)</f>
        <v>1441</v>
      </c>
      <c r="H105" s="592" t="s">
        <v>2217</v>
      </c>
    </row>
    <row r="106" spans="1:8" s="705" customFormat="1">
      <c r="A106" s="709"/>
      <c r="B106" s="706"/>
      <c r="C106" s="715" t="s">
        <v>377</v>
      </c>
      <c r="D106" s="712"/>
      <c r="E106" s="711"/>
      <c r="F106" s="711"/>
      <c r="G106" s="716">
        <f>G105/3</f>
        <v>480.33333333333331</v>
      </c>
      <c r="H106" s="592" t="s">
        <v>2217</v>
      </c>
    </row>
    <row r="107" spans="1:8" s="620" customFormat="1" ht="113.25" customHeight="1">
      <c r="A107" s="717"/>
      <c r="B107" s="717">
        <v>1</v>
      </c>
      <c r="C107" s="818" t="s">
        <v>595</v>
      </c>
      <c r="D107" s="818"/>
      <c r="E107" s="621"/>
      <c r="F107" s="621"/>
      <c r="G107" s="38"/>
      <c r="H107" s="592" t="s">
        <v>2217</v>
      </c>
    </row>
    <row r="108" spans="1:8" s="620" customFormat="1">
      <c r="A108" s="623"/>
      <c r="B108" s="621"/>
      <c r="C108" s="624" t="s">
        <v>596</v>
      </c>
      <c r="D108" s="16" t="s">
        <v>279</v>
      </c>
      <c r="E108" s="718">
        <v>1</v>
      </c>
      <c r="F108" s="10">
        <f>'MINI SSR 19-20'!C86</f>
        <v>446.4</v>
      </c>
      <c r="G108" s="9">
        <f>(E108*F108)/1</f>
        <v>446.4</v>
      </c>
      <c r="H108" s="592" t="s">
        <v>2217</v>
      </c>
    </row>
    <row r="109" spans="1:8" s="620" customFormat="1">
      <c r="A109" s="623"/>
      <c r="B109" s="621"/>
      <c r="C109" s="624"/>
      <c r="D109" s="16"/>
      <c r="E109" s="718"/>
      <c r="F109" s="10"/>
      <c r="G109" s="9"/>
      <c r="H109" s="592" t="s">
        <v>2217</v>
      </c>
    </row>
    <row r="110" spans="1:8" s="620" customFormat="1">
      <c r="A110" s="623"/>
      <c r="B110" s="621"/>
      <c r="C110" s="624" t="s">
        <v>597</v>
      </c>
      <c r="D110" s="16" t="s">
        <v>279</v>
      </c>
      <c r="E110" s="718">
        <v>1</v>
      </c>
      <c r="F110" s="10">
        <f>'MINI SSR 19-20'!C87</f>
        <v>477.6</v>
      </c>
      <c r="G110" s="9">
        <f>(E110*F110)/1</f>
        <v>477.6</v>
      </c>
      <c r="H110" s="592" t="s">
        <v>2217</v>
      </c>
    </row>
    <row r="111" spans="1:8" s="620" customFormat="1">
      <c r="A111" s="623"/>
      <c r="B111" s="621"/>
      <c r="C111" s="624"/>
      <c r="D111" s="16"/>
      <c r="E111" s="718"/>
      <c r="F111" s="10"/>
      <c r="G111" s="9"/>
      <c r="H111" s="592" t="s">
        <v>2217</v>
      </c>
    </row>
    <row r="112" spans="1:8" s="620" customFormat="1">
      <c r="A112" s="623"/>
      <c r="B112" s="621"/>
      <c r="C112" s="624" t="s">
        <v>598</v>
      </c>
      <c r="D112" s="16" t="s">
        <v>279</v>
      </c>
      <c r="E112" s="718">
        <v>1</v>
      </c>
      <c r="F112" s="10">
        <f>'MINI SSR 19-20'!C88</f>
        <v>600</v>
      </c>
      <c r="G112" s="9">
        <f>(E112*F112)/1</f>
        <v>600</v>
      </c>
      <c r="H112" s="592" t="s">
        <v>2217</v>
      </c>
    </row>
    <row r="113" spans="1:8" s="620" customFormat="1">
      <c r="A113" s="623"/>
      <c r="B113" s="621"/>
      <c r="C113" s="624"/>
      <c r="D113" s="16"/>
      <c r="E113" s="718"/>
      <c r="F113" s="10"/>
      <c r="G113" s="9"/>
      <c r="H113" s="592" t="s">
        <v>2217</v>
      </c>
    </row>
    <row r="114" spans="1:8" s="620" customFormat="1" ht="51">
      <c r="A114" s="621"/>
      <c r="B114" s="621">
        <v>12</v>
      </c>
      <c r="C114" s="818" t="s">
        <v>592</v>
      </c>
      <c r="D114" s="818"/>
      <c r="E114" s="621"/>
      <c r="F114" s="621"/>
      <c r="G114" s="38"/>
      <c r="H114" s="592" t="s">
        <v>2217</v>
      </c>
    </row>
    <row r="115" spans="1:8" s="620" customFormat="1">
      <c r="A115" s="623"/>
      <c r="B115" s="621"/>
      <c r="C115" s="624" t="s">
        <v>599</v>
      </c>
      <c r="D115" s="16" t="s">
        <v>275</v>
      </c>
      <c r="E115" s="718">
        <v>1</v>
      </c>
      <c r="F115" s="10">
        <f>'MINI SSR 19-20'!C89</f>
        <v>24300</v>
      </c>
      <c r="G115" s="9">
        <f>(E115*F115)/1</f>
        <v>24300</v>
      </c>
      <c r="H115" s="592" t="s">
        <v>2217</v>
      </c>
    </row>
    <row r="116" spans="1:8" s="620" customFormat="1">
      <c r="A116" s="623"/>
      <c r="B116" s="621"/>
      <c r="C116" s="624"/>
      <c r="D116" s="16"/>
      <c r="E116" s="718"/>
      <c r="F116" s="10"/>
      <c r="G116" s="9">
        <f>SUM(G115:G115)</f>
        <v>24300</v>
      </c>
      <c r="H116" s="592" t="s">
        <v>2217</v>
      </c>
    </row>
    <row r="117" spans="1:8" s="620" customFormat="1" ht="51">
      <c r="A117" s="621"/>
      <c r="B117" s="621">
        <v>2</v>
      </c>
      <c r="C117" s="818" t="s">
        <v>1534</v>
      </c>
      <c r="D117" s="818"/>
      <c r="E117" s="621"/>
      <c r="F117" s="621"/>
      <c r="G117" s="38"/>
      <c r="H117" s="592" t="s">
        <v>2217</v>
      </c>
    </row>
    <row r="118" spans="1:8" s="620" customFormat="1">
      <c r="A118" s="623"/>
      <c r="B118" s="621"/>
      <c r="C118" s="624" t="s">
        <v>1568</v>
      </c>
      <c r="D118" s="16" t="s">
        <v>275</v>
      </c>
      <c r="E118" s="718">
        <v>1</v>
      </c>
      <c r="F118" s="10">
        <f>'MINI SSR 19-20'!C90</f>
        <v>16700</v>
      </c>
      <c r="G118" s="9">
        <f>(E118*F118)/1</f>
        <v>16700</v>
      </c>
      <c r="H118" s="592" t="s">
        <v>2217</v>
      </c>
    </row>
    <row r="119" spans="1:8" s="620" customFormat="1">
      <c r="A119" s="623"/>
      <c r="B119" s="621"/>
      <c r="C119" s="624" t="s">
        <v>2753</v>
      </c>
      <c r="D119" s="16" t="s">
        <v>275</v>
      </c>
      <c r="E119" s="718">
        <v>2</v>
      </c>
      <c r="F119" s="10">
        <v>196</v>
      </c>
      <c r="G119" s="9">
        <f t="shared" ref="G119:G123" si="1">(E119*F119)/1</f>
        <v>392</v>
      </c>
      <c r="H119" s="592" t="s">
        <v>2217</v>
      </c>
    </row>
    <row r="120" spans="1:8" s="620" customFormat="1">
      <c r="A120" s="623"/>
      <c r="B120" s="621"/>
      <c r="C120" s="624" t="s">
        <v>2750</v>
      </c>
      <c r="D120" s="16"/>
      <c r="E120" s="718">
        <f>G118</f>
        <v>16700</v>
      </c>
      <c r="F120" s="10">
        <v>0.02</v>
      </c>
      <c r="G120" s="9">
        <f t="shared" si="1"/>
        <v>334</v>
      </c>
      <c r="H120" s="592" t="s">
        <v>2217</v>
      </c>
    </row>
    <row r="121" spans="1:8" s="620" customFormat="1">
      <c r="A121" s="623"/>
      <c r="B121" s="621"/>
      <c r="C121" s="624" t="s">
        <v>2751</v>
      </c>
      <c r="D121" s="16" t="s">
        <v>275</v>
      </c>
      <c r="E121" s="718">
        <v>0.5</v>
      </c>
      <c r="F121" s="10">
        <v>550</v>
      </c>
      <c r="G121" s="9">
        <f t="shared" si="1"/>
        <v>275</v>
      </c>
      <c r="H121" s="592" t="s">
        <v>2217</v>
      </c>
    </row>
    <row r="122" spans="1:8" s="620" customFormat="1">
      <c r="A122" s="623"/>
      <c r="B122" s="621"/>
      <c r="C122" s="624" t="s">
        <v>157</v>
      </c>
      <c r="D122" s="16" t="s">
        <v>275</v>
      </c>
      <c r="E122" s="718">
        <v>1</v>
      </c>
      <c r="F122" s="10">
        <f>'MINI SSR 19-20'!H18</f>
        <v>418</v>
      </c>
      <c r="G122" s="9">
        <f t="shared" si="1"/>
        <v>418</v>
      </c>
      <c r="H122" s="592" t="s">
        <v>2217</v>
      </c>
    </row>
    <row r="123" spans="1:8" s="620" customFormat="1">
      <c r="A123" s="623"/>
      <c r="B123" s="621"/>
      <c r="C123" s="624" t="s">
        <v>2752</v>
      </c>
      <c r="D123" s="16" t="s">
        <v>275</v>
      </c>
      <c r="E123" s="718">
        <v>0.5</v>
      </c>
      <c r="F123" s="10">
        <v>580</v>
      </c>
      <c r="G123" s="9">
        <f t="shared" si="1"/>
        <v>290</v>
      </c>
      <c r="H123" s="592" t="s">
        <v>2217</v>
      </c>
    </row>
    <row r="124" spans="1:8" s="620" customFormat="1">
      <c r="A124" s="623"/>
      <c r="B124" s="621"/>
      <c r="C124" s="624"/>
      <c r="D124" s="16"/>
      <c r="E124" s="718"/>
      <c r="F124" s="10"/>
      <c r="G124" s="9">
        <f>SUM(G118:G123)</f>
        <v>18409</v>
      </c>
      <c r="H124" s="592" t="s">
        <v>2217</v>
      </c>
    </row>
    <row r="125" spans="1:8" s="620" customFormat="1" ht="51">
      <c r="A125" s="621"/>
      <c r="B125" s="621">
        <v>3</v>
      </c>
      <c r="C125" s="818" t="s">
        <v>600</v>
      </c>
      <c r="D125" s="818"/>
      <c r="E125" s="621"/>
      <c r="F125" s="621"/>
      <c r="G125" s="38"/>
      <c r="H125" s="592" t="s">
        <v>2217</v>
      </c>
    </row>
    <row r="126" spans="1:8" s="620" customFormat="1">
      <c r="A126" s="623"/>
      <c r="B126" s="621"/>
      <c r="C126" s="818" t="s">
        <v>378</v>
      </c>
      <c r="D126" s="16" t="s">
        <v>289</v>
      </c>
      <c r="E126" s="718">
        <v>1</v>
      </c>
      <c r="F126" s="10">
        <f>'MINI SSR 19-20'!C91</f>
        <v>325</v>
      </c>
      <c r="G126" s="9">
        <f>(E126*F126)/1</f>
        <v>325</v>
      </c>
      <c r="H126" s="592" t="s">
        <v>2217</v>
      </c>
    </row>
    <row r="127" spans="1:8" s="620" customFormat="1">
      <c r="A127" s="623"/>
      <c r="B127" s="621"/>
      <c r="C127" s="624"/>
      <c r="D127" s="16"/>
      <c r="E127" s="718"/>
      <c r="F127" s="10"/>
      <c r="G127" s="9">
        <f>SUM(G126:G126)</f>
        <v>325</v>
      </c>
      <c r="H127" s="592" t="s">
        <v>2217</v>
      </c>
    </row>
    <row r="128" spans="1:8" s="620" customFormat="1" ht="38.25">
      <c r="A128" s="621"/>
      <c r="B128" s="621">
        <v>4</v>
      </c>
      <c r="C128" s="357" t="s">
        <v>283</v>
      </c>
      <c r="D128" s="357"/>
      <c r="E128" s="717"/>
      <c r="F128" s="717"/>
      <c r="G128" s="719"/>
      <c r="H128" s="592" t="s">
        <v>2217</v>
      </c>
    </row>
    <row r="129" spans="1:8" s="620" customFormat="1">
      <c r="A129" s="623"/>
      <c r="B129" s="621"/>
      <c r="C129" s="608" t="s">
        <v>3170</v>
      </c>
      <c r="D129" s="605" t="s">
        <v>279</v>
      </c>
      <c r="E129" s="610">
        <v>1</v>
      </c>
      <c r="F129" s="607">
        <f>'MINI SSR 19-20'!C92</f>
        <v>64</v>
      </c>
      <c r="G129" s="609">
        <f>(E129*F129)/1</f>
        <v>64</v>
      </c>
      <c r="H129" s="592" t="s">
        <v>2217</v>
      </c>
    </row>
    <row r="130" spans="1:8" s="620" customFormat="1">
      <c r="A130" s="623"/>
      <c r="B130" s="621"/>
      <c r="C130" s="608"/>
      <c r="D130" s="605"/>
      <c r="E130" s="610"/>
      <c r="F130" s="607"/>
      <c r="G130" s="609">
        <f>SUM(G129:G129)</f>
        <v>64</v>
      </c>
      <c r="H130" s="592" t="s">
        <v>2217</v>
      </c>
    </row>
    <row r="131" spans="1:8" s="620" customFormat="1">
      <c r="A131" s="621"/>
      <c r="B131" s="621">
        <v>5</v>
      </c>
      <c r="C131" s="818" t="s">
        <v>287</v>
      </c>
      <c r="D131" s="818"/>
      <c r="E131" s="621"/>
      <c r="F131" s="621"/>
      <c r="G131" s="38"/>
      <c r="H131" s="592" t="s">
        <v>2217</v>
      </c>
    </row>
    <row r="132" spans="1:8" s="620" customFormat="1">
      <c r="A132" s="623"/>
      <c r="B132" s="621"/>
      <c r="C132" s="624" t="s">
        <v>3171</v>
      </c>
      <c r="D132" s="16" t="s">
        <v>275</v>
      </c>
      <c r="E132" s="718">
        <v>1</v>
      </c>
      <c r="F132" s="10">
        <f>'MINI SSR 19-20'!C93</f>
        <v>145.19999999999999</v>
      </c>
      <c r="G132" s="9">
        <f>(E132*F132)/1</f>
        <v>145.19999999999999</v>
      </c>
      <c r="H132" s="592" t="s">
        <v>2217</v>
      </c>
    </row>
    <row r="133" spans="1:8" s="620" customFormat="1">
      <c r="A133" s="623"/>
      <c r="B133" s="621"/>
      <c r="C133" s="624"/>
      <c r="D133" s="16"/>
      <c r="E133" s="718"/>
      <c r="F133" s="10"/>
      <c r="G133" s="9">
        <f>SUM(G132:G132)</f>
        <v>145.19999999999999</v>
      </c>
      <c r="H133" s="592" t="s">
        <v>2217</v>
      </c>
    </row>
    <row r="134" spans="1:8" s="620" customFormat="1">
      <c r="A134" s="621"/>
      <c r="B134" s="621">
        <v>6</v>
      </c>
      <c r="C134" s="818" t="s">
        <v>284</v>
      </c>
      <c r="D134" s="818"/>
      <c r="E134" s="621"/>
      <c r="F134" s="621"/>
      <c r="G134" s="38"/>
      <c r="H134" s="592" t="s">
        <v>2217</v>
      </c>
    </row>
    <row r="135" spans="1:8" s="620" customFormat="1">
      <c r="A135" s="623"/>
      <c r="B135" s="621"/>
      <c r="C135" s="624" t="s">
        <v>3172</v>
      </c>
      <c r="D135" s="16" t="s">
        <v>275</v>
      </c>
      <c r="E135" s="718">
        <v>1</v>
      </c>
      <c r="F135" s="10">
        <f>'MINI SSR 19-20'!C94</f>
        <v>109</v>
      </c>
      <c r="G135" s="9">
        <f>(E135*F135)/1</f>
        <v>109</v>
      </c>
      <c r="H135" s="592" t="s">
        <v>2217</v>
      </c>
    </row>
    <row r="136" spans="1:8" s="620" customFormat="1">
      <c r="A136" s="623"/>
      <c r="B136" s="621"/>
      <c r="C136" s="624"/>
      <c r="D136" s="16"/>
      <c r="E136" s="718"/>
      <c r="F136" s="10"/>
      <c r="G136" s="9">
        <f>SUM(G135:G135)</f>
        <v>109</v>
      </c>
      <c r="H136" s="592" t="s">
        <v>2217</v>
      </c>
    </row>
    <row r="137" spans="1:8" s="620" customFormat="1">
      <c r="A137" s="621"/>
      <c r="B137" s="621">
        <v>7</v>
      </c>
      <c r="C137" s="818" t="s">
        <v>1996</v>
      </c>
      <c r="D137" s="818"/>
      <c r="E137" s="621"/>
      <c r="F137" s="621"/>
      <c r="G137" s="38"/>
      <c r="H137" s="592" t="s">
        <v>2217</v>
      </c>
    </row>
    <row r="138" spans="1:8" s="620" customFormat="1">
      <c r="A138" s="623"/>
      <c r="B138" s="621"/>
      <c r="C138" s="624" t="s">
        <v>379</v>
      </c>
      <c r="D138" s="16" t="s">
        <v>279</v>
      </c>
      <c r="E138" s="718">
        <v>1</v>
      </c>
      <c r="F138" s="10">
        <f>'MINI SSR 19-20'!C95</f>
        <v>198</v>
      </c>
      <c r="G138" s="9">
        <f>(E138*F138)/1</f>
        <v>198</v>
      </c>
      <c r="H138" s="592" t="s">
        <v>2217</v>
      </c>
    </row>
    <row r="139" spans="1:8" s="620" customFormat="1">
      <c r="A139" s="623"/>
      <c r="B139" s="621"/>
      <c r="C139" s="624"/>
      <c r="D139" s="16"/>
      <c r="E139" s="718"/>
      <c r="F139" s="10"/>
      <c r="G139" s="9">
        <f>SUM(G138:G138)</f>
        <v>198</v>
      </c>
      <c r="H139" s="592" t="s">
        <v>2217</v>
      </c>
    </row>
    <row r="140" spans="1:8" s="620" customFormat="1">
      <c r="A140" s="621"/>
      <c r="B140" s="621">
        <v>8</v>
      </c>
      <c r="C140" s="818" t="s">
        <v>1997</v>
      </c>
      <c r="D140" s="818"/>
      <c r="E140" s="621"/>
      <c r="F140" s="621"/>
      <c r="G140" s="38"/>
      <c r="H140" s="592" t="s">
        <v>2217</v>
      </c>
    </row>
    <row r="141" spans="1:8" s="620" customFormat="1">
      <c r="A141" s="623"/>
      <c r="B141" s="621"/>
      <c r="C141" s="624" t="s">
        <v>3173</v>
      </c>
      <c r="D141" s="16" t="s">
        <v>275</v>
      </c>
      <c r="E141" s="718">
        <v>1</v>
      </c>
      <c r="F141" s="10">
        <f>'MINI SSR 19-20'!C96</f>
        <v>22</v>
      </c>
      <c r="G141" s="9">
        <f>(E141*F141)/1</f>
        <v>22</v>
      </c>
      <c r="H141" s="592" t="s">
        <v>2217</v>
      </c>
    </row>
    <row r="142" spans="1:8" s="620" customFormat="1">
      <c r="A142" s="623"/>
      <c r="B142" s="621"/>
      <c r="C142" s="624"/>
      <c r="D142" s="16"/>
      <c r="E142" s="718"/>
      <c r="F142" s="10"/>
      <c r="G142" s="9">
        <f>SUM(G141:G141)</f>
        <v>22</v>
      </c>
      <c r="H142" s="592" t="s">
        <v>2217</v>
      </c>
    </row>
    <row r="143" spans="1:8" s="620" customFormat="1" ht="51">
      <c r="A143" s="621"/>
      <c r="B143" s="621">
        <v>9</v>
      </c>
      <c r="C143" s="818" t="s">
        <v>601</v>
      </c>
      <c r="D143" s="818"/>
      <c r="E143" s="621"/>
      <c r="F143" s="621"/>
      <c r="G143" s="38"/>
      <c r="H143" s="592" t="s">
        <v>2217</v>
      </c>
    </row>
    <row r="144" spans="1:8" s="620" customFormat="1">
      <c r="A144" s="623"/>
      <c r="B144" s="621"/>
      <c r="C144" s="624" t="s">
        <v>602</v>
      </c>
      <c r="D144" s="16" t="s">
        <v>279</v>
      </c>
      <c r="E144" s="718">
        <v>1</v>
      </c>
      <c r="F144" s="10">
        <f>'MINI SSR 19-20'!C97</f>
        <v>80</v>
      </c>
      <c r="G144" s="9">
        <f>(E144*F144)/1</f>
        <v>80</v>
      </c>
      <c r="H144" s="592" t="s">
        <v>2217</v>
      </c>
    </row>
    <row r="145" spans="1:8" s="620" customFormat="1">
      <c r="A145" s="623"/>
      <c r="B145" s="621"/>
      <c r="C145" s="624"/>
      <c r="D145" s="16"/>
      <c r="E145" s="718"/>
      <c r="F145" s="10"/>
      <c r="G145" s="9">
        <f>SUM(G144:G144)</f>
        <v>80</v>
      </c>
      <c r="H145" s="592" t="s">
        <v>2217</v>
      </c>
    </row>
    <row r="146" spans="1:8" s="620" customFormat="1" ht="102">
      <c r="A146" s="621"/>
      <c r="B146" s="621">
        <v>10</v>
      </c>
      <c r="C146" s="818" t="s">
        <v>381</v>
      </c>
      <c r="D146" s="818"/>
      <c r="E146" s="621"/>
      <c r="F146" s="621"/>
      <c r="G146" s="38"/>
      <c r="H146" s="592" t="s">
        <v>2217</v>
      </c>
    </row>
    <row r="147" spans="1:8" s="620" customFormat="1">
      <c r="A147" s="623"/>
      <c r="B147" s="621"/>
      <c r="C147" s="608" t="s">
        <v>382</v>
      </c>
      <c r="D147" s="16" t="s">
        <v>115</v>
      </c>
      <c r="E147" s="718">
        <v>1</v>
      </c>
      <c r="F147" s="10">
        <f>'MINI SSR 19-20'!C98</f>
        <v>4500</v>
      </c>
      <c r="G147" s="9">
        <f>(E147*F147)/1</f>
        <v>4500</v>
      </c>
      <c r="H147" s="592" t="s">
        <v>2217</v>
      </c>
    </row>
    <row r="148" spans="1:8" s="620" customFormat="1">
      <c r="A148" s="623"/>
      <c r="B148" s="621"/>
      <c r="C148" s="624"/>
      <c r="D148" s="16"/>
      <c r="E148" s="718"/>
      <c r="F148" s="10"/>
      <c r="G148" s="9">
        <f>SUM(G147:G147)</f>
        <v>4500</v>
      </c>
      <c r="H148" s="592" t="s">
        <v>2217</v>
      </c>
    </row>
    <row r="149" spans="1:8" s="606" customFormat="1" ht="15">
      <c r="A149" s="717"/>
      <c r="B149" s="717"/>
      <c r="C149" s="608"/>
      <c r="D149" s="605"/>
      <c r="E149" s="610"/>
      <c r="F149" s="607"/>
      <c r="G149" s="609"/>
      <c r="H149" s="592" t="s">
        <v>2217</v>
      </c>
    </row>
    <row r="150" spans="1:8" s="606" customFormat="1" ht="24">
      <c r="A150" s="678"/>
      <c r="B150" s="678">
        <v>12</v>
      </c>
      <c r="C150" s="421" t="s">
        <v>718</v>
      </c>
      <c r="D150" s="701"/>
      <c r="E150" s="680"/>
      <c r="F150" s="680"/>
      <c r="G150" s="701"/>
      <c r="H150" s="592" t="s">
        <v>2217</v>
      </c>
    </row>
    <row r="151" spans="1:8" s="606" customFormat="1" ht="15">
      <c r="A151" s="678"/>
      <c r="B151" s="678"/>
      <c r="C151" s="679" t="s">
        <v>338</v>
      </c>
      <c r="D151" s="680" t="s">
        <v>115</v>
      </c>
      <c r="E151" s="681">
        <v>1</v>
      </c>
      <c r="F151" s="682">
        <f>'MINI SSR 19-20'!C75</f>
        <v>122</v>
      </c>
      <c r="G151" s="686">
        <f>ROUND(E151*F151,2)</f>
        <v>122</v>
      </c>
      <c r="H151" s="592" t="s">
        <v>2217</v>
      </c>
    </row>
    <row r="152" spans="1:8" s="606" customFormat="1" ht="15">
      <c r="A152" s="678"/>
      <c r="B152" s="678"/>
      <c r="C152" s="679"/>
      <c r="D152" s="680"/>
      <c r="E152" s="681"/>
      <c r="F152" s="682"/>
      <c r="G152" s="683">
        <f>SUM(G151:G151)</f>
        <v>122</v>
      </c>
      <c r="H152" s="592" t="s">
        <v>2217</v>
      </c>
    </row>
    <row r="153" spans="1:8" s="606" customFormat="1" ht="15">
      <c r="A153" s="678"/>
      <c r="B153" s="678"/>
      <c r="C153" s="679" t="s">
        <v>2016</v>
      </c>
      <c r="D153" s="680"/>
      <c r="E153" s="681"/>
      <c r="F153" s="682"/>
      <c r="G153" s="683"/>
      <c r="H153" s="58" t="s">
        <v>2299</v>
      </c>
    </row>
    <row r="154" spans="1:8" s="366" customFormat="1" ht="72">
      <c r="A154" s="678"/>
      <c r="B154" s="684">
        <v>1</v>
      </c>
      <c r="C154" s="685" t="s">
        <v>328</v>
      </c>
      <c r="D154" s="685"/>
      <c r="E154" s="685"/>
      <c r="F154" s="685"/>
      <c r="G154" s="686"/>
      <c r="H154" s="58" t="s">
        <v>2299</v>
      </c>
    </row>
    <row r="155" spans="1:8" s="366" customFormat="1">
      <c r="A155" s="678"/>
      <c r="B155" s="684"/>
      <c r="C155" s="421" t="s">
        <v>329</v>
      </c>
      <c r="D155" s="687" t="s">
        <v>115</v>
      </c>
      <c r="E155" s="687">
        <v>1</v>
      </c>
      <c r="F155" s="688">
        <f>'MINI SSR 2020-21'!C66</f>
        <v>1784</v>
      </c>
      <c r="G155" s="686">
        <f>ROUND(E155*F155,2)</f>
        <v>1784</v>
      </c>
      <c r="H155" s="58" t="s">
        <v>2299</v>
      </c>
    </row>
    <row r="156" spans="1:8" s="366" customFormat="1">
      <c r="A156" s="678"/>
      <c r="B156" s="684"/>
      <c r="C156" s="421" t="s">
        <v>330</v>
      </c>
      <c r="D156" s="687" t="s">
        <v>115</v>
      </c>
      <c r="E156" s="687">
        <v>1</v>
      </c>
      <c r="F156" s="688">
        <f>'MINI SSR 2020-21'!C67</f>
        <v>2226</v>
      </c>
      <c r="G156" s="686">
        <f>ROUND(E156*F156,2)</f>
        <v>2226</v>
      </c>
      <c r="H156" s="58" t="s">
        <v>2299</v>
      </c>
    </row>
    <row r="157" spans="1:8" s="366" customFormat="1">
      <c r="A157" s="678"/>
      <c r="B157" s="684"/>
      <c r="C157" s="421" t="s">
        <v>331</v>
      </c>
      <c r="D157" s="687" t="s">
        <v>115</v>
      </c>
      <c r="E157" s="687">
        <v>1</v>
      </c>
      <c r="F157" s="688">
        <f>'MINI SSR 2020-21'!C68</f>
        <v>766</v>
      </c>
      <c r="G157" s="686">
        <f>ROUND(E157*F157,2)</f>
        <v>766</v>
      </c>
      <c r="H157" s="58" t="s">
        <v>2299</v>
      </c>
    </row>
    <row r="158" spans="1:8">
      <c r="A158" s="678"/>
      <c r="B158" s="684"/>
      <c r="C158" s="421"/>
      <c r="D158" s="687"/>
      <c r="E158" s="687"/>
      <c r="F158" s="688"/>
      <c r="G158" s="686">
        <f>SUM(G155:G157)</f>
        <v>4776</v>
      </c>
      <c r="H158" s="58" t="s">
        <v>2299</v>
      </c>
    </row>
    <row r="159" spans="1:8">
      <c r="A159" s="678"/>
      <c r="B159" s="684"/>
      <c r="C159" s="689" t="s">
        <v>332</v>
      </c>
      <c r="D159" s="690"/>
      <c r="E159" s="691"/>
      <c r="F159" s="691"/>
      <c r="G159" s="692">
        <v>0</v>
      </c>
      <c r="H159" s="58" t="s">
        <v>2299</v>
      </c>
    </row>
    <row r="160" spans="1:8">
      <c r="A160" s="678"/>
      <c r="B160" s="684"/>
      <c r="C160" s="421"/>
      <c r="D160" s="687"/>
      <c r="E160" s="687"/>
      <c r="F160" s="688"/>
      <c r="G160" s="686">
        <f>SUM(G158:G159)</f>
        <v>4776</v>
      </c>
      <c r="H160" s="58" t="s">
        <v>2299</v>
      </c>
    </row>
    <row r="161" spans="1:8" s="366" customFormat="1" ht="36">
      <c r="A161" s="678"/>
      <c r="B161" s="684">
        <v>2</v>
      </c>
      <c r="C161" s="685" t="s">
        <v>608</v>
      </c>
      <c r="D161" s="685"/>
      <c r="E161" s="685"/>
      <c r="F161" s="685"/>
      <c r="G161" s="686"/>
      <c r="H161" s="58" t="s">
        <v>2299</v>
      </c>
    </row>
    <row r="162" spans="1:8" s="366" customFormat="1">
      <c r="A162" s="678"/>
      <c r="B162" s="684"/>
      <c r="C162" s="421" t="s">
        <v>609</v>
      </c>
      <c r="D162" s="687" t="s">
        <v>115</v>
      </c>
      <c r="E162" s="687">
        <v>1</v>
      </c>
      <c r="F162" s="688">
        <f>'MINI SSR 2020-21'!C69</f>
        <v>934</v>
      </c>
      <c r="G162" s="686">
        <f>ROUND(E162*F162,2)</f>
        <v>934</v>
      </c>
      <c r="H162" s="58" t="s">
        <v>2299</v>
      </c>
    </row>
    <row r="163" spans="1:8">
      <c r="A163" s="678"/>
      <c r="B163" s="684"/>
      <c r="C163" s="421"/>
      <c r="D163" s="687"/>
      <c r="E163" s="687"/>
      <c r="F163" s="688"/>
      <c r="G163" s="686">
        <f>SUM(G162)</f>
        <v>934</v>
      </c>
      <c r="H163" s="58" t="s">
        <v>2299</v>
      </c>
    </row>
    <row r="164" spans="1:8" s="366" customFormat="1" ht="60">
      <c r="A164" s="678"/>
      <c r="B164" s="684">
        <v>2</v>
      </c>
      <c r="C164" s="685" t="s">
        <v>1253</v>
      </c>
      <c r="D164" s="685"/>
      <c r="E164" s="685"/>
      <c r="F164" s="685"/>
      <c r="G164" s="686"/>
      <c r="H164" s="58" t="s">
        <v>2299</v>
      </c>
    </row>
    <row r="165" spans="1:8" s="366" customFormat="1">
      <c r="A165" s="678"/>
      <c r="B165" s="684"/>
      <c r="C165" s="421" t="s">
        <v>1254</v>
      </c>
      <c r="D165" s="687" t="s">
        <v>115</v>
      </c>
      <c r="E165" s="687">
        <v>1</v>
      </c>
      <c r="F165" s="688">
        <f>'MINI SSR 2020-21'!C70</f>
        <v>2385</v>
      </c>
      <c r="G165" s="686">
        <f>ROUND(E165*F165,2)</f>
        <v>2385</v>
      </c>
      <c r="H165" s="58" t="s">
        <v>2299</v>
      </c>
    </row>
    <row r="166" spans="1:8">
      <c r="A166" s="678"/>
      <c r="B166" s="684"/>
      <c r="C166" s="421"/>
      <c r="D166" s="687"/>
      <c r="E166" s="687"/>
      <c r="F166" s="688"/>
      <c r="G166" s="686">
        <f>SUM(G165)</f>
        <v>2385</v>
      </c>
      <c r="H166" s="58" t="s">
        <v>2299</v>
      </c>
    </row>
    <row r="167" spans="1:8" s="698" customFormat="1" ht="152.25" customHeight="1">
      <c r="A167" s="693"/>
      <c r="B167" s="693">
        <v>2</v>
      </c>
      <c r="C167" s="694" t="s">
        <v>333</v>
      </c>
      <c r="D167" s="695"/>
      <c r="E167" s="694"/>
      <c r="F167" s="696"/>
      <c r="G167" s="697"/>
      <c r="H167" s="58" t="s">
        <v>2299</v>
      </c>
    </row>
    <row r="168" spans="1:8" s="698" customFormat="1">
      <c r="A168" s="693"/>
      <c r="B168" s="693"/>
      <c r="C168" s="699" t="s">
        <v>334</v>
      </c>
      <c r="D168" s="687" t="s">
        <v>115</v>
      </c>
      <c r="E168" s="687">
        <v>1</v>
      </c>
      <c r="F168" s="688">
        <f>'MINI SSR 2020-21'!C71</f>
        <v>1370</v>
      </c>
      <c r="G168" s="686">
        <f>ROUND(E168*F168,2)</f>
        <v>1370</v>
      </c>
      <c r="H168" s="58" t="s">
        <v>2299</v>
      </c>
    </row>
    <row r="169" spans="1:8" s="698" customFormat="1">
      <c r="A169" s="693"/>
      <c r="B169" s="693"/>
      <c r="C169" s="699" t="s">
        <v>335</v>
      </c>
      <c r="D169" s="687" t="s">
        <v>115</v>
      </c>
      <c r="E169" s="687">
        <v>1</v>
      </c>
      <c r="F169" s="688">
        <f>'MINI SSR 2020-21'!C72</f>
        <v>349</v>
      </c>
      <c r="G169" s="686">
        <f>ROUND(E169*F169,2)</f>
        <v>349</v>
      </c>
      <c r="H169" s="58" t="s">
        <v>2299</v>
      </c>
    </row>
    <row r="170" spans="1:8" s="698" customFormat="1" ht="24">
      <c r="A170" s="693"/>
      <c r="B170" s="693"/>
      <c r="C170" s="699" t="s">
        <v>336</v>
      </c>
      <c r="D170" s="687" t="s">
        <v>115</v>
      </c>
      <c r="E170" s="687">
        <v>1</v>
      </c>
      <c r="F170" s="688">
        <f>'MINI SSR 2020-21'!C73</f>
        <v>86</v>
      </c>
      <c r="G170" s="686">
        <f>ROUND(E170*F170,2)</f>
        <v>86</v>
      </c>
      <c r="H170" s="58" t="s">
        <v>2299</v>
      </c>
    </row>
    <row r="171" spans="1:8" s="698" customFormat="1">
      <c r="A171" s="693"/>
      <c r="B171" s="693"/>
      <c r="C171" s="699" t="s">
        <v>337</v>
      </c>
      <c r="D171" s="687" t="s">
        <v>115</v>
      </c>
      <c r="E171" s="687">
        <v>1</v>
      </c>
      <c r="F171" s="688">
        <f>'MINI SSR 2020-21'!C74</f>
        <v>22</v>
      </c>
      <c r="G171" s="686">
        <f>ROUND(E171*F171,2)</f>
        <v>22</v>
      </c>
      <c r="H171" s="58" t="s">
        <v>2299</v>
      </c>
    </row>
    <row r="172" spans="1:8" s="698" customFormat="1">
      <c r="A172" s="693"/>
      <c r="B172" s="693"/>
      <c r="C172" s="700"/>
      <c r="D172" s="687"/>
      <c r="E172" s="687"/>
      <c r="F172" s="688"/>
      <c r="G172" s="686">
        <f>SUM(G168:G171)</f>
        <v>1827</v>
      </c>
      <c r="H172" s="58" t="s">
        <v>2299</v>
      </c>
    </row>
    <row r="173" spans="1:8">
      <c r="A173" s="678"/>
      <c r="B173" s="684"/>
      <c r="C173" s="689" t="s">
        <v>332</v>
      </c>
      <c r="D173" s="690"/>
      <c r="E173" s="691"/>
      <c r="F173" s="691"/>
      <c r="G173" s="692">
        <v>0</v>
      </c>
      <c r="H173" s="58" t="s">
        <v>2299</v>
      </c>
    </row>
    <row r="174" spans="1:8">
      <c r="A174" s="678"/>
      <c r="B174" s="684"/>
      <c r="C174" s="421"/>
      <c r="D174" s="687"/>
      <c r="E174" s="687"/>
      <c r="F174" s="688"/>
      <c r="G174" s="686">
        <f>SUM(G172:G173)</f>
        <v>1827</v>
      </c>
      <c r="H174" s="58" t="s">
        <v>2299</v>
      </c>
    </row>
    <row r="175" spans="1:8" s="698" customFormat="1" ht="68.25" customHeight="1">
      <c r="A175" s="693"/>
      <c r="B175" s="693">
        <v>6</v>
      </c>
      <c r="C175" s="694" t="s">
        <v>339</v>
      </c>
      <c r="D175" s="695"/>
      <c r="E175" s="694"/>
      <c r="F175" s="696"/>
      <c r="G175" s="697"/>
      <c r="H175" s="58" t="s">
        <v>2299</v>
      </c>
    </row>
    <row r="176" spans="1:8" s="698" customFormat="1">
      <c r="A176" s="693"/>
      <c r="B176" s="693"/>
      <c r="C176" s="699" t="s">
        <v>340</v>
      </c>
      <c r="D176" s="687" t="s">
        <v>115</v>
      </c>
      <c r="E176" s="687">
        <v>1</v>
      </c>
      <c r="F176" s="688">
        <f>'MINI SSR 2020-21'!C77</f>
        <v>117</v>
      </c>
      <c r="G176" s="686">
        <f>ROUND(E176*F176,2)</f>
        <v>117</v>
      </c>
      <c r="H176" s="58" t="s">
        <v>2299</v>
      </c>
    </row>
    <row r="177" spans="1:8">
      <c r="A177" s="678"/>
      <c r="B177" s="684"/>
      <c r="C177" s="689" t="s">
        <v>332</v>
      </c>
      <c r="D177" s="690"/>
      <c r="E177" s="691"/>
      <c r="F177" s="691"/>
      <c r="G177" s="692">
        <v>0</v>
      </c>
      <c r="H177" s="58" t="s">
        <v>2299</v>
      </c>
    </row>
    <row r="178" spans="1:8">
      <c r="A178" s="678"/>
      <c r="B178" s="684"/>
      <c r="C178" s="421"/>
      <c r="D178" s="687"/>
      <c r="E178" s="687"/>
      <c r="F178" s="688"/>
      <c r="G178" s="686">
        <f>SUM(G176:G177)</f>
        <v>117</v>
      </c>
      <c r="H178" s="58" t="s">
        <v>2299</v>
      </c>
    </row>
    <row r="179" spans="1:8" s="606" customFormat="1" ht="36">
      <c r="A179" s="678"/>
      <c r="B179" s="678">
        <v>3</v>
      </c>
      <c r="C179" s="685" t="s">
        <v>341</v>
      </c>
      <c r="D179" s="685"/>
      <c r="E179" s="685"/>
      <c r="F179" s="685"/>
      <c r="G179" s="685"/>
      <c r="H179" s="58" t="s">
        <v>2299</v>
      </c>
    </row>
    <row r="180" spans="1:8" s="606" customFormat="1" ht="15">
      <c r="A180" s="678"/>
      <c r="B180" s="678"/>
      <c r="C180" s="701" t="s">
        <v>342</v>
      </c>
      <c r="D180" s="701"/>
      <c r="E180" s="702"/>
      <c r="F180" s="702"/>
      <c r="G180" s="703"/>
      <c r="H180" s="58" t="s">
        <v>2299</v>
      </c>
    </row>
    <row r="181" spans="1:8" s="606" customFormat="1" ht="15">
      <c r="A181" s="678"/>
      <c r="B181" s="678"/>
      <c r="C181" s="701" t="s">
        <v>343</v>
      </c>
      <c r="D181" s="701" t="s">
        <v>277</v>
      </c>
      <c r="E181" s="702">
        <v>1</v>
      </c>
      <c r="F181" s="702">
        <f>'MINI SSR 2020-21'!C78</f>
        <v>410</v>
      </c>
      <c r="G181" s="686">
        <f>ROUND(E181*F181,2)</f>
        <v>410</v>
      </c>
      <c r="H181" s="58" t="s">
        <v>2299</v>
      </c>
    </row>
    <row r="182" spans="1:8">
      <c r="A182" s="678"/>
      <c r="B182" s="684"/>
      <c r="C182" s="689" t="s">
        <v>332</v>
      </c>
      <c r="D182" s="690"/>
      <c r="E182" s="691"/>
      <c r="F182" s="691"/>
      <c r="G182" s="692">
        <v>0</v>
      </c>
      <c r="H182" s="58" t="s">
        <v>2299</v>
      </c>
    </row>
    <row r="183" spans="1:8" s="606" customFormat="1" ht="15">
      <c r="A183" s="678"/>
      <c r="B183" s="678"/>
      <c r="C183" s="701" t="s">
        <v>344</v>
      </c>
      <c r="D183" s="701"/>
      <c r="E183" s="701"/>
      <c r="F183" s="701"/>
      <c r="G183" s="683">
        <f>SUM(G181:G182)</f>
        <v>410</v>
      </c>
      <c r="H183" s="58" t="s">
        <v>2299</v>
      </c>
    </row>
    <row r="184" spans="1:8" s="606" customFormat="1" ht="15">
      <c r="A184" s="678"/>
      <c r="B184" s="678"/>
      <c r="C184" s="701" t="s">
        <v>345</v>
      </c>
      <c r="D184" s="701"/>
      <c r="E184" s="701"/>
      <c r="F184" s="701"/>
      <c r="G184" s="683">
        <f>G183/3</f>
        <v>136.66666666666666</v>
      </c>
      <c r="H184" s="58" t="s">
        <v>2299</v>
      </c>
    </row>
    <row r="185" spans="1:8" s="606" customFormat="1" ht="36">
      <c r="A185" s="678"/>
      <c r="B185" s="678">
        <v>4</v>
      </c>
      <c r="C185" s="685" t="s">
        <v>346</v>
      </c>
      <c r="D185" s="685"/>
      <c r="E185" s="685"/>
      <c r="F185" s="685"/>
      <c r="G185" s="685"/>
      <c r="H185" s="58" t="s">
        <v>2299</v>
      </c>
    </row>
    <row r="186" spans="1:8" s="606" customFormat="1" ht="15">
      <c r="A186" s="678"/>
      <c r="B186" s="678"/>
      <c r="C186" s="701" t="s">
        <v>342</v>
      </c>
      <c r="D186" s="701"/>
      <c r="E186" s="702"/>
      <c r="F186" s="702"/>
      <c r="G186" s="703"/>
      <c r="H186" s="58" t="s">
        <v>2299</v>
      </c>
    </row>
    <row r="187" spans="1:8" s="606" customFormat="1" ht="15">
      <c r="A187" s="678"/>
      <c r="B187" s="678"/>
      <c r="C187" s="701" t="s">
        <v>347</v>
      </c>
      <c r="D187" s="701" t="s">
        <v>277</v>
      </c>
      <c r="E187" s="702">
        <v>1</v>
      </c>
      <c r="F187" s="702">
        <f>'MINI SSR 2020-21'!C79</f>
        <v>389</v>
      </c>
      <c r="G187" s="686">
        <f>ROUND(E187*F187,2)</f>
        <v>389</v>
      </c>
      <c r="H187" s="58" t="s">
        <v>2299</v>
      </c>
    </row>
    <row r="188" spans="1:8">
      <c r="A188" s="678"/>
      <c r="B188" s="684"/>
      <c r="C188" s="689" t="s">
        <v>332</v>
      </c>
      <c r="D188" s="690"/>
      <c r="E188" s="691"/>
      <c r="F188" s="691"/>
      <c r="G188" s="692">
        <v>0</v>
      </c>
      <c r="H188" s="58" t="s">
        <v>2299</v>
      </c>
    </row>
    <row r="189" spans="1:8" s="606" customFormat="1" ht="15">
      <c r="A189" s="678"/>
      <c r="B189" s="678"/>
      <c r="C189" s="701" t="s">
        <v>344</v>
      </c>
      <c r="D189" s="701"/>
      <c r="E189" s="701"/>
      <c r="F189" s="701"/>
      <c r="G189" s="683">
        <f>SUM(G187:G188)</f>
        <v>389</v>
      </c>
      <c r="H189" s="58" t="s">
        <v>2299</v>
      </c>
    </row>
    <row r="190" spans="1:8" s="606" customFormat="1" ht="15">
      <c r="A190" s="678"/>
      <c r="B190" s="678"/>
      <c r="C190" s="701" t="s">
        <v>345</v>
      </c>
      <c r="D190" s="701"/>
      <c r="E190" s="701"/>
      <c r="F190" s="701"/>
      <c r="G190" s="683">
        <f>G189/3</f>
        <v>129.66666666666666</v>
      </c>
      <c r="H190" s="58" t="s">
        <v>2299</v>
      </c>
    </row>
    <row r="191" spans="1:8" s="606" customFormat="1" ht="36">
      <c r="A191" s="678"/>
      <c r="B191" s="678">
        <v>5</v>
      </c>
      <c r="C191" s="685" t="s">
        <v>348</v>
      </c>
      <c r="D191" s="685"/>
      <c r="E191" s="685"/>
      <c r="F191" s="685"/>
      <c r="G191" s="685"/>
      <c r="H191" s="58" t="s">
        <v>2299</v>
      </c>
    </row>
    <row r="192" spans="1:8" s="606" customFormat="1" ht="15">
      <c r="A192" s="678"/>
      <c r="B192" s="678"/>
      <c r="C192" s="701" t="s">
        <v>342</v>
      </c>
      <c r="D192" s="701"/>
      <c r="E192" s="702"/>
      <c r="F192" s="702"/>
      <c r="G192" s="703"/>
      <c r="H192" s="58" t="s">
        <v>2299</v>
      </c>
    </row>
    <row r="193" spans="1:8" s="606" customFormat="1" ht="15">
      <c r="A193" s="678"/>
      <c r="B193" s="678"/>
      <c r="C193" s="701" t="s">
        <v>349</v>
      </c>
      <c r="D193" s="701" t="s">
        <v>277</v>
      </c>
      <c r="E193" s="702">
        <v>1</v>
      </c>
      <c r="F193" s="702">
        <f>'MINI SSR 2020-21'!C80</f>
        <v>244</v>
      </c>
      <c r="G193" s="686">
        <f>ROUND(E193*F193,2)</f>
        <v>244</v>
      </c>
      <c r="H193" s="58" t="s">
        <v>2299</v>
      </c>
    </row>
    <row r="194" spans="1:8">
      <c r="A194" s="678"/>
      <c r="B194" s="684"/>
      <c r="C194" s="689" t="s">
        <v>332</v>
      </c>
      <c r="D194" s="690"/>
      <c r="E194" s="691"/>
      <c r="F194" s="691"/>
      <c r="G194" s="692">
        <v>0</v>
      </c>
      <c r="H194" s="58" t="s">
        <v>2299</v>
      </c>
    </row>
    <row r="195" spans="1:8" s="606" customFormat="1" ht="15">
      <c r="A195" s="678"/>
      <c r="B195" s="678"/>
      <c r="C195" s="701" t="s">
        <v>344</v>
      </c>
      <c r="D195" s="701"/>
      <c r="E195" s="701"/>
      <c r="F195" s="701"/>
      <c r="G195" s="683">
        <f>SUM(G193:G194)</f>
        <v>244</v>
      </c>
      <c r="H195" s="58" t="s">
        <v>2299</v>
      </c>
    </row>
    <row r="196" spans="1:8" s="606" customFormat="1" ht="15">
      <c r="A196" s="678"/>
      <c r="B196" s="678"/>
      <c r="C196" s="701" t="s">
        <v>345</v>
      </c>
      <c r="D196" s="701"/>
      <c r="E196" s="701"/>
      <c r="F196" s="701"/>
      <c r="G196" s="683">
        <f>G195/3</f>
        <v>81.333333333333329</v>
      </c>
      <c r="H196" s="58" t="s">
        <v>2299</v>
      </c>
    </row>
    <row r="197" spans="1:8" s="705" customFormat="1" ht="60">
      <c r="A197" s="678"/>
      <c r="B197" s="678">
        <v>6</v>
      </c>
      <c r="C197" s="421" t="s">
        <v>350</v>
      </c>
      <c r="D197" s="421"/>
      <c r="E197" s="678"/>
      <c r="F197" s="678"/>
      <c r="G197" s="704"/>
      <c r="H197" s="58" t="s">
        <v>2299</v>
      </c>
    </row>
    <row r="198" spans="1:8" s="705" customFormat="1">
      <c r="A198" s="685"/>
      <c r="B198" s="678"/>
      <c r="C198" s="679" t="s">
        <v>351</v>
      </c>
      <c r="D198" s="680" t="s">
        <v>279</v>
      </c>
      <c r="E198" s="681">
        <v>1</v>
      </c>
      <c r="F198" s="682">
        <f>'MINI SSR 2020-21'!C81</f>
        <v>70</v>
      </c>
      <c r="G198" s="686">
        <f>ROUND(E198*F198,2)</f>
        <v>70</v>
      </c>
      <c r="H198" s="58" t="s">
        <v>2299</v>
      </c>
    </row>
    <row r="199" spans="1:8">
      <c r="A199" s="678"/>
      <c r="B199" s="684"/>
      <c r="C199" s="689" t="s">
        <v>332</v>
      </c>
      <c r="D199" s="690"/>
      <c r="E199" s="691"/>
      <c r="F199" s="691"/>
      <c r="G199" s="692">
        <v>0</v>
      </c>
      <c r="H199" s="58" t="s">
        <v>2299</v>
      </c>
    </row>
    <row r="200" spans="1:8" s="705" customFormat="1">
      <c r="A200" s="685"/>
      <c r="B200" s="678"/>
      <c r="C200" s="679"/>
      <c r="D200" s="680"/>
      <c r="E200" s="681"/>
      <c r="F200" s="682"/>
      <c r="G200" s="683">
        <f>SUM(G198:G199)</f>
        <v>70</v>
      </c>
      <c r="H200" s="58" t="s">
        <v>2299</v>
      </c>
    </row>
    <row r="201" spans="1:8" s="606" customFormat="1" ht="24">
      <c r="A201" s="678"/>
      <c r="B201" s="678">
        <v>8</v>
      </c>
      <c r="C201" s="421" t="s">
        <v>2560</v>
      </c>
      <c r="D201" s="701"/>
      <c r="E201" s="680"/>
      <c r="F201" s="680"/>
      <c r="G201" s="701"/>
      <c r="H201" s="58" t="s">
        <v>2299</v>
      </c>
    </row>
    <row r="202" spans="1:8" s="606" customFormat="1" ht="15">
      <c r="A202" s="678"/>
      <c r="B202" s="678"/>
      <c r="C202" s="679" t="s">
        <v>2561</v>
      </c>
      <c r="D202" s="680" t="s">
        <v>115</v>
      </c>
      <c r="E202" s="681">
        <v>1</v>
      </c>
      <c r="F202" s="682">
        <v>2769</v>
      </c>
      <c r="G202" s="686">
        <f>ROUND(E202*F202,2)</f>
        <v>2769</v>
      </c>
      <c r="H202" s="58" t="s">
        <v>2299</v>
      </c>
    </row>
    <row r="203" spans="1:8">
      <c r="A203" s="678"/>
      <c r="B203" s="684"/>
      <c r="C203" s="689" t="s">
        <v>332</v>
      </c>
      <c r="D203" s="690"/>
      <c r="E203" s="691"/>
      <c r="F203" s="691"/>
      <c r="G203" s="692">
        <v>0</v>
      </c>
      <c r="H203" s="58" t="s">
        <v>2299</v>
      </c>
    </row>
    <row r="204" spans="1:8" s="606" customFormat="1" ht="15">
      <c r="A204" s="678"/>
      <c r="B204" s="678"/>
      <c r="C204" s="679"/>
      <c r="D204" s="680"/>
      <c r="E204" s="681"/>
      <c r="F204" s="682"/>
      <c r="G204" s="683">
        <f>SUM(G202:G203)</f>
        <v>2769</v>
      </c>
      <c r="H204" s="58" t="s">
        <v>2299</v>
      </c>
    </row>
    <row r="205" spans="1:8" s="606" customFormat="1" ht="48">
      <c r="A205" s="678"/>
      <c r="B205" s="678">
        <v>7</v>
      </c>
      <c r="C205" s="421" t="s">
        <v>352</v>
      </c>
      <c r="D205" s="701"/>
      <c r="E205" s="680"/>
      <c r="F205" s="680"/>
      <c r="G205" s="701"/>
      <c r="H205" s="58" t="s">
        <v>2299</v>
      </c>
    </row>
    <row r="206" spans="1:8" s="606" customFormat="1" ht="15">
      <c r="A206" s="678"/>
      <c r="B206" s="678"/>
      <c r="C206" s="679" t="s">
        <v>353</v>
      </c>
      <c r="D206" s="680" t="s">
        <v>115</v>
      </c>
      <c r="E206" s="681">
        <v>1</v>
      </c>
      <c r="F206" s="682">
        <f>'MINI SSR 2020-21'!C72</f>
        <v>349</v>
      </c>
      <c r="G206" s="686">
        <f>ROUND(E206*F206,2)</f>
        <v>349</v>
      </c>
      <c r="H206" s="58" t="s">
        <v>2299</v>
      </c>
    </row>
    <row r="207" spans="1:8">
      <c r="A207" s="678"/>
      <c r="B207" s="684"/>
      <c r="C207" s="689" t="s">
        <v>332</v>
      </c>
      <c r="D207" s="690"/>
      <c r="E207" s="691"/>
      <c r="F207" s="691"/>
      <c r="G207" s="692">
        <v>0</v>
      </c>
      <c r="H207" s="58" t="s">
        <v>2299</v>
      </c>
    </row>
    <row r="208" spans="1:8" s="606" customFormat="1" ht="15">
      <c r="A208" s="678"/>
      <c r="B208" s="678"/>
      <c r="C208" s="679"/>
      <c r="D208" s="680"/>
      <c r="E208" s="681"/>
      <c r="F208" s="682"/>
      <c r="G208" s="683">
        <f>SUM(G206:G207)</f>
        <v>349</v>
      </c>
      <c r="H208" s="58" t="s">
        <v>2299</v>
      </c>
    </row>
    <row r="209" spans="1:8" s="606" customFormat="1" ht="72">
      <c r="A209" s="678"/>
      <c r="B209" s="678">
        <v>13</v>
      </c>
      <c r="C209" s="421" t="s">
        <v>354</v>
      </c>
      <c r="D209" s="701"/>
      <c r="E209" s="680"/>
      <c r="F209" s="680"/>
      <c r="G209" s="701"/>
      <c r="H209" s="58" t="s">
        <v>2299</v>
      </c>
    </row>
    <row r="210" spans="1:8" s="606" customFormat="1" ht="15">
      <c r="A210" s="678"/>
      <c r="B210" s="678"/>
      <c r="C210" s="679" t="s">
        <v>355</v>
      </c>
      <c r="D210" s="680" t="s">
        <v>115</v>
      </c>
      <c r="E210" s="681">
        <v>1</v>
      </c>
      <c r="F210" s="682">
        <f>'MINI SSR 2020-21'!C83</f>
        <v>3758</v>
      </c>
      <c r="G210" s="686">
        <f>ROUND(E210*F210,2)</f>
        <v>3758</v>
      </c>
      <c r="H210" s="58" t="s">
        <v>2299</v>
      </c>
    </row>
    <row r="211" spans="1:8">
      <c r="A211" s="678"/>
      <c r="B211" s="684"/>
      <c r="C211" s="689" t="s">
        <v>332</v>
      </c>
      <c r="D211" s="690"/>
      <c r="E211" s="691"/>
      <c r="F211" s="691"/>
      <c r="G211" s="692">
        <v>0</v>
      </c>
      <c r="H211" s="58" t="s">
        <v>2299</v>
      </c>
    </row>
    <row r="212" spans="1:8" s="606" customFormat="1" ht="15">
      <c r="A212" s="678"/>
      <c r="B212" s="678"/>
      <c r="C212" s="679"/>
      <c r="D212" s="680"/>
      <c r="E212" s="681"/>
      <c r="F212" s="682"/>
      <c r="G212" s="683">
        <f>SUM(G210:G211)</f>
        <v>3758</v>
      </c>
      <c r="H212" s="58" t="s">
        <v>2299</v>
      </c>
    </row>
    <row r="213" spans="1:8" s="606" customFormat="1" ht="60">
      <c r="A213" s="678"/>
      <c r="B213" s="678">
        <v>8</v>
      </c>
      <c r="C213" s="421" t="s">
        <v>290</v>
      </c>
      <c r="D213" s="685"/>
      <c r="E213" s="678"/>
      <c r="F213" s="678"/>
      <c r="G213" s="704"/>
      <c r="H213" s="58" t="s">
        <v>2299</v>
      </c>
    </row>
    <row r="214" spans="1:8" s="606" customFormat="1" ht="15">
      <c r="A214" s="678"/>
      <c r="B214" s="678"/>
      <c r="C214" s="679" t="s">
        <v>356</v>
      </c>
      <c r="D214" s="680" t="s">
        <v>357</v>
      </c>
      <c r="E214" s="682">
        <v>1</v>
      </c>
      <c r="F214" s="682">
        <f>'MINI SSR 2020-21'!H66</f>
        <v>5</v>
      </c>
      <c r="G214" s="686">
        <f>ROUND(E214*F214,2)</f>
        <v>5</v>
      </c>
      <c r="H214" s="58" t="s">
        <v>2299</v>
      </c>
    </row>
    <row r="215" spans="1:8" s="606" customFormat="1" ht="15">
      <c r="A215" s="678"/>
      <c r="B215" s="706"/>
      <c r="C215" s="679" t="s">
        <v>358</v>
      </c>
      <c r="D215" s="680" t="s">
        <v>357</v>
      </c>
      <c r="E215" s="682">
        <v>1</v>
      </c>
      <c r="F215" s="682">
        <f>'MINI SSR 2020-21'!H67</f>
        <v>1</v>
      </c>
      <c r="G215" s="686">
        <f>ROUND(E215*F215,2)</f>
        <v>1</v>
      </c>
      <c r="H215" s="58" t="s">
        <v>2299</v>
      </c>
    </row>
    <row r="216" spans="1:8" s="606" customFormat="1" ht="15">
      <c r="A216" s="678"/>
      <c r="B216" s="706"/>
      <c r="C216" s="679"/>
      <c r="D216" s="680"/>
      <c r="E216" s="682"/>
      <c r="F216" s="682"/>
      <c r="G216" s="683">
        <f>SUM(G214:G215)</f>
        <v>6</v>
      </c>
      <c r="H216" s="58" t="s">
        <v>2299</v>
      </c>
    </row>
    <row r="217" spans="1:8">
      <c r="A217" s="678"/>
      <c r="B217" s="684"/>
      <c r="C217" s="689" t="s">
        <v>332</v>
      </c>
      <c r="D217" s="690"/>
      <c r="E217" s="691"/>
      <c r="F217" s="691"/>
      <c r="G217" s="692">
        <v>0</v>
      </c>
      <c r="H217" s="58" t="s">
        <v>2299</v>
      </c>
    </row>
    <row r="218" spans="1:8" s="606" customFormat="1" ht="15">
      <c r="A218" s="678"/>
      <c r="B218" s="706"/>
      <c r="C218" s="679"/>
      <c r="D218" s="680"/>
      <c r="E218" s="682"/>
      <c r="F218" s="682"/>
      <c r="G218" s="683">
        <f>SUM(G216:G217)</f>
        <v>6</v>
      </c>
      <c r="H218" s="58" t="s">
        <v>2299</v>
      </c>
    </row>
    <row r="219" spans="1:8" s="606" customFormat="1" ht="72">
      <c r="A219" s="678"/>
      <c r="B219" s="678">
        <v>9</v>
      </c>
      <c r="C219" s="421" t="s">
        <v>276</v>
      </c>
      <c r="D219" s="421"/>
      <c r="E219" s="421"/>
      <c r="F219" s="678"/>
      <c r="G219" s="704"/>
      <c r="H219" s="58" t="s">
        <v>2299</v>
      </c>
    </row>
    <row r="220" spans="1:8" s="606" customFormat="1" ht="15">
      <c r="A220" s="678"/>
      <c r="B220" s="678"/>
      <c r="C220" s="421" t="s">
        <v>359</v>
      </c>
      <c r="D220" s="701" t="s">
        <v>277</v>
      </c>
      <c r="E220" s="702">
        <v>1</v>
      </c>
      <c r="F220" s="682">
        <f>'MINI SSR 2020-21'!H68</f>
        <v>53</v>
      </c>
      <c r="G220" s="686">
        <f>ROUND(E220*F220,2)</f>
        <v>53</v>
      </c>
      <c r="H220" s="58" t="s">
        <v>2299</v>
      </c>
    </row>
    <row r="221" spans="1:8">
      <c r="A221" s="678"/>
      <c r="B221" s="684"/>
      <c r="C221" s="689" t="s">
        <v>332</v>
      </c>
      <c r="D221" s="690"/>
      <c r="E221" s="691"/>
      <c r="F221" s="691"/>
      <c r="G221" s="692">
        <v>0</v>
      </c>
      <c r="H221" s="58" t="s">
        <v>2299</v>
      </c>
    </row>
    <row r="222" spans="1:8" s="606" customFormat="1" ht="15">
      <c r="A222" s="678"/>
      <c r="B222" s="706"/>
      <c r="C222" s="679"/>
      <c r="D222" s="680"/>
      <c r="E222" s="682"/>
      <c r="F222" s="682"/>
      <c r="G222" s="703">
        <f>SUM(G220:G221)</f>
        <v>53</v>
      </c>
      <c r="H222" s="58" t="s">
        <v>2299</v>
      </c>
    </row>
    <row r="223" spans="1:8" s="606" customFormat="1" ht="15">
      <c r="A223" s="678"/>
      <c r="B223" s="678"/>
      <c r="C223" s="421" t="s">
        <v>360</v>
      </c>
      <c r="D223" s="701" t="s">
        <v>277</v>
      </c>
      <c r="E223" s="702">
        <v>1</v>
      </c>
      <c r="F223" s="682">
        <f>'MINI SSR 2020-21'!H69</f>
        <v>85</v>
      </c>
      <c r="G223" s="686">
        <f>ROUND(E223*F223,2)</f>
        <v>85</v>
      </c>
      <c r="H223" s="58" t="s">
        <v>2299</v>
      </c>
    </row>
    <row r="224" spans="1:8">
      <c r="A224" s="678"/>
      <c r="B224" s="684"/>
      <c r="C224" s="689" t="s">
        <v>332</v>
      </c>
      <c r="D224" s="690"/>
      <c r="E224" s="691"/>
      <c r="F224" s="691"/>
      <c r="G224" s="692">
        <v>0</v>
      </c>
      <c r="H224" s="58" t="s">
        <v>2299</v>
      </c>
    </row>
    <row r="225" spans="1:8" s="606" customFormat="1" ht="15">
      <c r="A225" s="678"/>
      <c r="B225" s="706"/>
      <c r="C225" s="679"/>
      <c r="D225" s="680"/>
      <c r="E225" s="682"/>
      <c r="F225" s="682"/>
      <c r="G225" s="703">
        <f>SUM(G223:G224)</f>
        <v>85</v>
      </c>
      <c r="H225" s="58" t="s">
        <v>2299</v>
      </c>
    </row>
    <row r="226" spans="1:8" s="606" customFormat="1" ht="15">
      <c r="A226" s="678"/>
      <c r="B226" s="678"/>
      <c r="C226" s="421" t="s">
        <v>3160</v>
      </c>
      <c r="D226" s="701" t="s">
        <v>277</v>
      </c>
      <c r="E226" s="702">
        <v>1</v>
      </c>
      <c r="F226" s="682">
        <f>'MINI SSR 2020-21'!H70</f>
        <v>123</v>
      </c>
      <c r="G226" s="686">
        <f>ROUND(E226*F226,2)</f>
        <v>123</v>
      </c>
      <c r="H226" s="58" t="s">
        <v>2299</v>
      </c>
    </row>
    <row r="227" spans="1:8">
      <c r="A227" s="678"/>
      <c r="B227" s="684"/>
      <c r="C227" s="689" t="s">
        <v>332</v>
      </c>
      <c r="D227" s="690"/>
      <c r="E227" s="691"/>
      <c r="F227" s="691"/>
      <c r="G227" s="692">
        <v>0</v>
      </c>
      <c r="H227" s="58" t="s">
        <v>2299</v>
      </c>
    </row>
    <row r="228" spans="1:8" s="606" customFormat="1" ht="15">
      <c r="A228" s="678"/>
      <c r="B228" s="706"/>
      <c r="C228" s="679"/>
      <c r="D228" s="680"/>
      <c r="E228" s="682"/>
      <c r="F228" s="682"/>
      <c r="G228" s="703">
        <f>SUM(G226:G227)</f>
        <v>123</v>
      </c>
      <c r="H228" s="58" t="s">
        <v>2299</v>
      </c>
    </row>
    <row r="229" spans="1:8" s="606" customFormat="1" ht="15">
      <c r="A229" s="678"/>
      <c r="B229" s="678"/>
      <c r="C229" s="421" t="s">
        <v>362</v>
      </c>
      <c r="D229" s="701" t="s">
        <v>277</v>
      </c>
      <c r="E229" s="702">
        <v>1</v>
      </c>
      <c r="F229" s="682">
        <f>'MINI SSR 2020-21'!H71</f>
        <v>193</v>
      </c>
      <c r="G229" s="686">
        <f>ROUND(E229*F229,2)</f>
        <v>193</v>
      </c>
      <c r="H229" s="58" t="s">
        <v>2299</v>
      </c>
    </row>
    <row r="230" spans="1:8">
      <c r="A230" s="678"/>
      <c r="B230" s="684"/>
      <c r="C230" s="689" t="s">
        <v>332</v>
      </c>
      <c r="D230" s="690"/>
      <c r="E230" s="691"/>
      <c r="F230" s="691"/>
      <c r="G230" s="692">
        <v>0</v>
      </c>
      <c r="H230" s="58" t="s">
        <v>2299</v>
      </c>
    </row>
    <row r="231" spans="1:8" s="606" customFormat="1" ht="15">
      <c r="A231" s="678"/>
      <c r="B231" s="706"/>
      <c r="C231" s="679"/>
      <c r="D231" s="680"/>
      <c r="E231" s="682"/>
      <c r="F231" s="682"/>
      <c r="G231" s="703">
        <f>SUM(G229:G230)</f>
        <v>193</v>
      </c>
      <c r="H231" s="58" t="s">
        <v>2299</v>
      </c>
    </row>
    <row r="232" spans="1:8" s="705" customFormat="1" ht="48">
      <c r="A232" s="678"/>
      <c r="B232" s="678">
        <v>16</v>
      </c>
      <c r="C232" s="421" t="s">
        <v>1261</v>
      </c>
      <c r="D232" s="421"/>
      <c r="E232" s="678"/>
      <c r="F232" s="678"/>
      <c r="G232" s="704"/>
      <c r="H232" s="58" t="s">
        <v>2299</v>
      </c>
    </row>
    <row r="233" spans="1:8" s="705" customFormat="1">
      <c r="A233" s="685"/>
      <c r="B233" s="678"/>
      <c r="C233" s="679" t="s">
        <v>380</v>
      </c>
      <c r="D233" s="680" t="s">
        <v>279</v>
      </c>
      <c r="E233" s="681">
        <v>1</v>
      </c>
      <c r="F233" s="682">
        <f>'MINI SSR 2020-21'!H72</f>
        <v>24</v>
      </c>
      <c r="G233" s="686">
        <f>ROUND(E233*F233,2)</f>
        <v>24</v>
      </c>
      <c r="H233" s="58" t="s">
        <v>2299</v>
      </c>
    </row>
    <row r="234" spans="1:8">
      <c r="A234" s="678"/>
      <c r="B234" s="684"/>
      <c r="C234" s="689" t="s">
        <v>332</v>
      </c>
      <c r="D234" s="690"/>
      <c r="E234" s="691"/>
      <c r="F234" s="691"/>
      <c r="G234" s="692">
        <v>0</v>
      </c>
      <c r="H234" s="58" t="s">
        <v>2299</v>
      </c>
    </row>
    <row r="235" spans="1:8" s="705" customFormat="1">
      <c r="A235" s="685"/>
      <c r="B235" s="678"/>
      <c r="C235" s="679"/>
      <c r="D235" s="680"/>
      <c r="E235" s="681"/>
      <c r="F235" s="682"/>
      <c r="G235" s="683">
        <f>SUM(G233:G234)</f>
        <v>24</v>
      </c>
      <c r="H235" s="58" t="s">
        <v>2299</v>
      </c>
    </row>
    <row r="236" spans="1:8" s="705" customFormat="1" ht="72">
      <c r="A236" s="678"/>
      <c r="B236" s="678">
        <v>10</v>
      </c>
      <c r="C236" s="421" t="s">
        <v>363</v>
      </c>
      <c r="D236" s="421"/>
      <c r="E236" s="678"/>
      <c r="F236" s="678"/>
      <c r="G236" s="704"/>
      <c r="H236" s="58" t="s">
        <v>2299</v>
      </c>
    </row>
    <row r="237" spans="1:8" s="705" customFormat="1">
      <c r="A237" s="685"/>
      <c r="B237" s="678"/>
      <c r="C237" s="679" t="s">
        <v>364</v>
      </c>
      <c r="D237" s="680" t="s">
        <v>279</v>
      </c>
      <c r="E237" s="681">
        <v>1</v>
      </c>
      <c r="F237" s="682">
        <f>'MINI SSR 2020-21'!H73</f>
        <v>31</v>
      </c>
      <c r="G237" s="686">
        <f>ROUND(E237*F237,2)</f>
        <v>31</v>
      </c>
      <c r="H237" s="58" t="s">
        <v>2299</v>
      </c>
    </row>
    <row r="238" spans="1:8">
      <c r="A238" s="678"/>
      <c r="B238" s="684"/>
      <c r="C238" s="689" t="s">
        <v>332</v>
      </c>
      <c r="D238" s="690"/>
      <c r="E238" s="691"/>
      <c r="F238" s="691"/>
      <c r="G238" s="692">
        <v>0</v>
      </c>
      <c r="H238" s="58" t="s">
        <v>2299</v>
      </c>
    </row>
    <row r="239" spans="1:8" s="705" customFormat="1">
      <c r="A239" s="685"/>
      <c r="B239" s="678"/>
      <c r="C239" s="679"/>
      <c r="D239" s="680"/>
      <c r="E239" s="681"/>
      <c r="F239" s="682"/>
      <c r="G239" s="683">
        <f>SUM(G237:G238)</f>
        <v>31</v>
      </c>
      <c r="H239" s="58" t="s">
        <v>2299</v>
      </c>
    </row>
    <row r="240" spans="1:8" s="606" customFormat="1" ht="48">
      <c r="A240" s="678"/>
      <c r="B240" s="678">
        <v>18</v>
      </c>
      <c r="C240" s="421" t="s">
        <v>365</v>
      </c>
      <c r="D240" s="685"/>
      <c r="E240" s="678"/>
      <c r="F240" s="678"/>
      <c r="G240" s="704"/>
      <c r="H240" s="58" t="s">
        <v>2299</v>
      </c>
    </row>
    <row r="241" spans="1:8" s="606" customFormat="1" ht="15">
      <c r="A241" s="678"/>
      <c r="B241" s="678"/>
      <c r="C241" s="679" t="s">
        <v>366</v>
      </c>
      <c r="D241" s="680" t="s">
        <v>115</v>
      </c>
      <c r="E241" s="682">
        <v>1</v>
      </c>
      <c r="F241" s="682">
        <f>'MINI SSR 2020-21'!H74</f>
        <v>1051</v>
      </c>
      <c r="G241" s="686">
        <f>ROUND(E241*F241,2)</f>
        <v>1051</v>
      </c>
      <c r="H241" s="58" t="s">
        <v>2299</v>
      </c>
    </row>
    <row r="242" spans="1:8">
      <c r="A242" s="678"/>
      <c r="B242" s="684"/>
      <c r="C242" s="689" t="s">
        <v>332</v>
      </c>
      <c r="D242" s="690"/>
      <c r="E242" s="691"/>
      <c r="F242" s="691"/>
      <c r="G242" s="692">
        <v>0</v>
      </c>
      <c r="H242" s="58" t="s">
        <v>2299</v>
      </c>
    </row>
    <row r="243" spans="1:8" s="606" customFormat="1" ht="15">
      <c r="A243" s="678"/>
      <c r="B243" s="706"/>
      <c r="C243" s="679"/>
      <c r="D243" s="680"/>
      <c r="E243" s="682"/>
      <c r="F243" s="682"/>
      <c r="G243" s="683">
        <f>SUM(G241:G242)</f>
        <v>1051</v>
      </c>
      <c r="H243" s="58" t="s">
        <v>2299</v>
      </c>
    </row>
    <row r="244" spans="1:8" s="705" customFormat="1" ht="108">
      <c r="A244" s="707"/>
      <c r="B244" s="678">
        <v>19</v>
      </c>
      <c r="C244" s="685" t="s">
        <v>367</v>
      </c>
      <c r="D244" s="685"/>
      <c r="E244" s="685"/>
      <c r="F244" s="685"/>
      <c r="G244" s="708"/>
      <c r="H244" s="58" t="s">
        <v>2299</v>
      </c>
    </row>
    <row r="245" spans="1:8" s="705" customFormat="1">
      <c r="A245" s="709"/>
      <c r="B245" s="706"/>
      <c r="C245" s="710" t="s">
        <v>368</v>
      </c>
      <c r="D245" s="711"/>
      <c r="E245" s="711"/>
      <c r="F245" s="712"/>
      <c r="G245" s="713"/>
      <c r="H245" s="58" t="s">
        <v>2299</v>
      </c>
    </row>
    <row r="246" spans="1:8" s="705" customFormat="1">
      <c r="A246" s="709"/>
      <c r="B246" s="678"/>
      <c r="C246" s="709" t="s">
        <v>369</v>
      </c>
      <c r="D246" s="712" t="s">
        <v>370</v>
      </c>
      <c r="E246" s="711">
        <v>1</v>
      </c>
      <c r="F246" s="711">
        <f>'MINI SSR 2020-21'!C78</f>
        <v>410</v>
      </c>
      <c r="G246" s="686">
        <f t="shared" ref="G246:G251" si="2">ROUND(E246*F246,2)</f>
        <v>410</v>
      </c>
      <c r="H246" s="58" t="s">
        <v>2299</v>
      </c>
    </row>
    <row r="247" spans="1:8" s="705" customFormat="1">
      <c r="A247" s="709"/>
      <c r="B247" s="678"/>
      <c r="C247" s="714" t="s">
        <v>371</v>
      </c>
      <c r="D247" s="712" t="s">
        <v>115</v>
      </c>
      <c r="E247" s="711">
        <v>1</v>
      </c>
      <c r="F247" s="711">
        <f>'MINI SSR 2020-21'!H75</f>
        <v>70</v>
      </c>
      <c r="G247" s="686">
        <f t="shared" si="2"/>
        <v>70</v>
      </c>
      <c r="H247" s="58" t="s">
        <v>2299</v>
      </c>
    </row>
    <row r="248" spans="1:8" s="705" customFormat="1">
      <c r="A248" s="709"/>
      <c r="B248" s="678"/>
      <c r="C248" s="714" t="s">
        <v>372</v>
      </c>
      <c r="D248" s="712" t="s">
        <v>115</v>
      </c>
      <c r="E248" s="711">
        <v>3</v>
      </c>
      <c r="F248" s="711">
        <f>'MINI SSR 2020-21'!H76</f>
        <v>15</v>
      </c>
      <c r="G248" s="686">
        <f t="shared" si="2"/>
        <v>45</v>
      </c>
      <c r="H248" s="58" t="s">
        <v>2299</v>
      </c>
    </row>
    <row r="249" spans="1:8" s="705" customFormat="1">
      <c r="A249" s="709"/>
      <c r="B249" s="678"/>
      <c r="C249" s="715" t="s">
        <v>373</v>
      </c>
      <c r="D249" s="712" t="s">
        <v>108</v>
      </c>
      <c r="E249" s="711">
        <v>0.3</v>
      </c>
      <c r="F249" s="711">
        <f>'MINI SSR 2020-21'!H8</f>
        <v>615</v>
      </c>
      <c r="G249" s="686">
        <f t="shared" si="2"/>
        <v>184.5</v>
      </c>
      <c r="H249" s="58" t="s">
        <v>2299</v>
      </c>
    </row>
    <row r="250" spans="1:8" s="705" customFormat="1">
      <c r="A250" s="709"/>
      <c r="B250" s="678"/>
      <c r="C250" s="715" t="s">
        <v>374</v>
      </c>
      <c r="D250" s="712" t="s">
        <v>108</v>
      </c>
      <c r="E250" s="711">
        <v>0.7</v>
      </c>
      <c r="F250" s="711">
        <f>'MINI SSR 2020-21'!H9</f>
        <v>500</v>
      </c>
      <c r="G250" s="686">
        <f t="shared" si="2"/>
        <v>350</v>
      </c>
      <c r="H250" s="58" t="s">
        <v>2299</v>
      </c>
    </row>
    <row r="251" spans="1:8" s="705" customFormat="1">
      <c r="A251" s="709"/>
      <c r="B251" s="678"/>
      <c r="C251" s="715" t="s">
        <v>375</v>
      </c>
      <c r="D251" s="712" t="s">
        <v>108</v>
      </c>
      <c r="E251" s="711">
        <v>1</v>
      </c>
      <c r="F251" s="711">
        <f>'MINI SSR 2020-21'!H5</f>
        <v>460</v>
      </c>
      <c r="G251" s="686">
        <f t="shared" si="2"/>
        <v>460</v>
      </c>
      <c r="H251" s="58" t="s">
        <v>2299</v>
      </c>
    </row>
    <row r="252" spans="1:8" s="705" customFormat="1">
      <c r="A252" s="709"/>
      <c r="B252" s="678"/>
      <c r="C252" s="715"/>
      <c r="D252" s="712"/>
      <c r="E252" s="711"/>
      <c r="F252" s="711"/>
      <c r="G252" s="713">
        <f>SUM(G246:G251)</f>
        <v>1519.5</v>
      </c>
      <c r="H252" s="58" t="s">
        <v>2299</v>
      </c>
    </row>
    <row r="253" spans="1:8">
      <c r="A253" s="678"/>
      <c r="B253" s="684"/>
      <c r="C253" s="689" t="s">
        <v>332</v>
      </c>
      <c r="D253" s="690"/>
      <c r="E253" s="691"/>
      <c r="F253" s="691"/>
      <c r="G253" s="692">
        <v>0</v>
      </c>
      <c r="H253" s="58" t="s">
        <v>2299</v>
      </c>
    </row>
    <row r="254" spans="1:8" s="705" customFormat="1">
      <c r="A254" s="709"/>
      <c r="B254" s="706"/>
      <c r="C254" s="715" t="s">
        <v>376</v>
      </c>
      <c r="D254" s="712"/>
      <c r="E254" s="711"/>
      <c r="F254" s="711"/>
      <c r="G254" s="713">
        <f>SUM(G252:G253)</f>
        <v>1519.5</v>
      </c>
      <c r="H254" s="58" t="s">
        <v>2299</v>
      </c>
    </row>
    <row r="255" spans="1:8" s="705" customFormat="1">
      <c r="A255" s="709"/>
      <c r="B255" s="706"/>
      <c r="C255" s="715" t="s">
        <v>377</v>
      </c>
      <c r="D255" s="712"/>
      <c r="E255" s="711"/>
      <c r="F255" s="711"/>
      <c r="G255" s="716">
        <f>G254/3</f>
        <v>506.5</v>
      </c>
      <c r="H255" s="58" t="s">
        <v>2299</v>
      </c>
    </row>
    <row r="256" spans="1:8" s="620" customFormat="1" ht="113.25" customHeight="1">
      <c r="A256" s="717"/>
      <c r="B256" s="717">
        <v>11</v>
      </c>
      <c r="C256" s="818" t="s">
        <v>595</v>
      </c>
      <c r="D256" s="818"/>
      <c r="E256" s="621"/>
      <c r="F256" s="621"/>
      <c r="G256" s="38"/>
      <c r="H256" s="58" t="s">
        <v>2299</v>
      </c>
    </row>
    <row r="257" spans="1:8" s="620" customFormat="1">
      <c r="A257" s="623"/>
      <c r="B257" s="621"/>
      <c r="C257" s="624" t="s">
        <v>596</v>
      </c>
      <c r="D257" s="16" t="s">
        <v>279</v>
      </c>
      <c r="E257" s="718">
        <v>1</v>
      </c>
      <c r="F257" s="10">
        <f>'MINI SSR 2020-21'!C86</f>
        <v>446.4</v>
      </c>
      <c r="G257" s="9">
        <f>(E257*F257)/1</f>
        <v>446.4</v>
      </c>
      <c r="H257" s="58" t="s">
        <v>2299</v>
      </c>
    </row>
    <row r="258" spans="1:8" s="620" customFormat="1">
      <c r="A258" s="623"/>
      <c r="B258" s="621"/>
      <c r="C258" s="624"/>
      <c r="D258" s="16"/>
      <c r="E258" s="718"/>
      <c r="F258" s="10"/>
      <c r="G258" s="9"/>
      <c r="H258" s="58" t="s">
        <v>2299</v>
      </c>
    </row>
    <row r="259" spans="1:8" s="620" customFormat="1">
      <c r="A259" s="623"/>
      <c r="B259" s="621"/>
      <c r="C259" s="624" t="s">
        <v>597</v>
      </c>
      <c r="D259" s="16" t="s">
        <v>279</v>
      </c>
      <c r="E259" s="718">
        <v>1</v>
      </c>
      <c r="F259" s="10">
        <f>'MINI SSR 2020-21'!C87</f>
        <v>477.6</v>
      </c>
      <c r="G259" s="9">
        <f>(E259*F259)/1</f>
        <v>477.6</v>
      </c>
      <c r="H259" s="58" t="s">
        <v>2299</v>
      </c>
    </row>
    <row r="260" spans="1:8" s="620" customFormat="1">
      <c r="A260" s="623"/>
      <c r="B260" s="621"/>
      <c r="C260" s="624"/>
      <c r="D260" s="16"/>
      <c r="E260" s="718"/>
      <c r="F260" s="10"/>
      <c r="G260" s="9"/>
      <c r="H260" s="58" t="s">
        <v>2299</v>
      </c>
    </row>
    <row r="261" spans="1:8" s="620" customFormat="1">
      <c r="A261" s="623"/>
      <c r="B261" s="621"/>
      <c r="C261" s="624" t="s">
        <v>598</v>
      </c>
      <c r="D261" s="16" t="s">
        <v>279</v>
      </c>
      <c r="E261" s="718">
        <v>1</v>
      </c>
      <c r="F261" s="10">
        <f>'MINI SSR 2020-21'!C88</f>
        <v>535.70000000000005</v>
      </c>
      <c r="G261" s="9">
        <f>(E261*F261)/1</f>
        <v>535.70000000000005</v>
      </c>
      <c r="H261" s="58" t="s">
        <v>2299</v>
      </c>
    </row>
    <row r="262" spans="1:8" s="620" customFormat="1">
      <c r="A262" s="623"/>
      <c r="B262" s="621"/>
      <c r="C262" s="624"/>
      <c r="D262" s="16"/>
      <c r="E262" s="718"/>
      <c r="F262" s="10"/>
      <c r="G262" s="9"/>
      <c r="H262" s="58" t="s">
        <v>2299</v>
      </c>
    </row>
    <row r="263" spans="1:8" s="620" customFormat="1" ht="51">
      <c r="A263" s="621"/>
      <c r="B263" s="621">
        <v>12</v>
      </c>
      <c r="C263" s="818" t="s">
        <v>592</v>
      </c>
      <c r="D263" s="818"/>
      <c r="E263" s="621"/>
      <c r="F263" s="621"/>
      <c r="G263" s="38"/>
      <c r="H263" s="58" t="s">
        <v>2299</v>
      </c>
    </row>
    <row r="264" spans="1:8" s="620" customFormat="1">
      <c r="A264" s="623"/>
      <c r="B264" s="621"/>
      <c r="C264" s="624" t="s">
        <v>599</v>
      </c>
      <c r="D264" s="16" t="s">
        <v>275</v>
      </c>
      <c r="E264" s="718">
        <v>1</v>
      </c>
      <c r="F264" s="10">
        <f>'MINI SSR 2020-21'!C89</f>
        <v>24300</v>
      </c>
      <c r="G264" s="9">
        <f>(E264*F264)/1</f>
        <v>24300</v>
      </c>
      <c r="H264" s="58" t="s">
        <v>2299</v>
      </c>
    </row>
    <row r="265" spans="1:8" s="620" customFormat="1">
      <c r="A265" s="623"/>
      <c r="B265" s="621"/>
      <c r="C265" s="624"/>
      <c r="D265" s="16"/>
      <c r="E265" s="718"/>
      <c r="F265" s="10"/>
      <c r="G265" s="9">
        <f>SUM(G264:G264)</f>
        <v>24300</v>
      </c>
      <c r="H265" s="58" t="s">
        <v>2299</v>
      </c>
    </row>
    <row r="266" spans="1:8" s="620" customFormat="1" ht="127.5">
      <c r="A266" s="621"/>
      <c r="B266" s="621">
        <v>13</v>
      </c>
      <c r="C266" s="818" t="s">
        <v>2748</v>
      </c>
      <c r="D266" s="818"/>
      <c r="E266" s="621"/>
      <c r="F266" s="621"/>
      <c r="G266" s="38"/>
      <c r="H266" s="58" t="s">
        <v>2299</v>
      </c>
    </row>
    <row r="267" spans="1:8" s="620" customFormat="1" ht="25.5">
      <c r="A267" s="623"/>
      <c r="B267" s="621"/>
      <c r="C267" s="624" t="s">
        <v>2749</v>
      </c>
      <c r="D267" s="16" t="s">
        <v>275</v>
      </c>
      <c r="E267" s="718">
        <v>1</v>
      </c>
      <c r="F267" s="10">
        <f>'MINI SSR 2020-21'!C90</f>
        <v>16700</v>
      </c>
      <c r="G267" s="9">
        <f>(E267*F267)/1</f>
        <v>16700</v>
      </c>
      <c r="H267" s="58" t="s">
        <v>2299</v>
      </c>
    </row>
    <row r="268" spans="1:8" s="620" customFormat="1">
      <c r="A268" s="623"/>
      <c r="B268" s="621"/>
      <c r="C268" s="624" t="s">
        <v>2753</v>
      </c>
      <c r="D268" s="16" t="s">
        <v>275</v>
      </c>
      <c r="E268" s="718">
        <v>2</v>
      </c>
      <c r="F268" s="10">
        <v>196</v>
      </c>
      <c r="G268" s="9">
        <f t="shared" ref="G268:G272" si="3">(E268*F268)/1</f>
        <v>392</v>
      </c>
      <c r="H268" s="58" t="s">
        <v>2299</v>
      </c>
    </row>
    <row r="269" spans="1:8" s="620" customFormat="1">
      <c r="A269" s="623"/>
      <c r="B269" s="621"/>
      <c r="C269" s="624" t="s">
        <v>2750</v>
      </c>
      <c r="D269" s="16"/>
      <c r="E269" s="718">
        <f>G267</f>
        <v>16700</v>
      </c>
      <c r="F269" s="10">
        <v>0.02</v>
      </c>
      <c r="G269" s="9">
        <f t="shared" si="3"/>
        <v>334</v>
      </c>
      <c r="H269" s="58" t="s">
        <v>2299</v>
      </c>
    </row>
    <row r="270" spans="1:8" s="620" customFormat="1">
      <c r="A270" s="623"/>
      <c r="B270" s="621"/>
      <c r="C270" s="624" t="s">
        <v>2751</v>
      </c>
      <c r="D270" s="16" t="s">
        <v>275</v>
      </c>
      <c r="E270" s="718">
        <v>0.5</v>
      </c>
      <c r="F270" s="10">
        <v>585</v>
      </c>
      <c r="G270" s="9">
        <f t="shared" si="3"/>
        <v>292.5</v>
      </c>
      <c r="H270" s="58" t="s">
        <v>2299</v>
      </c>
    </row>
    <row r="271" spans="1:8" s="620" customFormat="1">
      <c r="A271" s="623"/>
      <c r="B271" s="621"/>
      <c r="C271" s="624" t="s">
        <v>157</v>
      </c>
      <c r="D271" s="16" t="s">
        <v>275</v>
      </c>
      <c r="E271" s="718">
        <v>1</v>
      </c>
      <c r="F271" s="10">
        <v>500</v>
      </c>
      <c r="G271" s="9">
        <f t="shared" si="3"/>
        <v>500</v>
      </c>
      <c r="H271" s="58" t="s">
        <v>2299</v>
      </c>
    </row>
    <row r="272" spans="1:8" s="620" customFormat="1">
      <c r="A272" s="623"/>
      <c r="B272" s="621"/>
      <c r="C272" s="624" t="s">
        <v>2752</v>
      </c>
      <c r="D272" s="16" t="s">
        <v>275</v>
      </c>
      <c r="E272" s="718">
        <v>0.5</v>
      </c>
      <c r="F272" s="10">
        <v>615</v>
      </c>
      <c r="G272" s="9">
        <f t="shared" si="3"/>
        <v>307.5</v>
      </c>
      <c r="H272" s="58" t="s">
        <v>2299</v>
      </c>
    </row>
    <row r="273" spans="1:8" s="620" customFormat="1">
      <c r="A273" s="623"/>
      <c r="B273" s="621"/>
      <c r="C273" s="624"/>
      <c r="D273" s="16"/>
      <c r="E273" s="718"/>
      <c r="F273" s="10"/>
      <c r="G273" s="9"/>
      <c r="H273" s="58" t="s">
        <v>2299</v>
      </c>
    </row>
    <row r="274" spans="1:8" s="620" customFormat="1">
      <c r="A274" s="623"/>
      <c r="B274" s="621"/>
      <c r="C274" s="624"/>
      <c r="D274" s="16"/>
      <c r="E274" s="718"/>
      <c r="F274" s="10"/>
      <c r="G274" s="9">
        <f>SUM(G267:G273)</f>
        <v>18526</v>
      </c>
      <c r="H274" s="58" t="s">
        <v>2299</v>
      </c>
    </row>
    <row r="275" spans="1:8" s="620" customFormat="1" ht="51">
      <c r="A275" s="621"/>
      <c r="B275" s="621">
        <v>14</v>
      </c>
      <c r="C275" s="818" t="s">
        <v>600</v>
      </c>
      <c r="D275" s="818"/>
      <c r="E275" s="621"/>
      <c r="F275" s="621"/>
      <c r="G275" s="38"/>
      <c r="H275" s="58" t="s">
        <v>2299</v>
      </c>
    </row>
    <row r="276" spans="1:8" s="620" customFormat="1">
      <c r="A276" s="623"/>
      <c r="B276" s="621"/>
      <c r="C276" s="818" t="s">
        <v>378</v>
      </c>
      <c r="D276" s="16" t="s">
        <v>289</v>
      </c>
      <c r="E276" s="718">
        <v>1</v>
      </c>
      <c r="F276" s="10">
        <f>'MINI SSR 2020-21'!C91</f>
        <v>325</v>
      </c>
      <c r="G276" s="9">
        <f>(E276*F276)/1</f>
        <v>325</v>
      </c>
      <c r="H276" s="58" t="s">
        <v>2299</v>
      </c>
    </row>
    <row r="277" spans="1:8" s="620" customFormat="1">
      <c r="A277" s="623"/>
      <c r="B277" s="621"/>
      <c r="C277" s="624"/>
      <c r="D277" s="16"/>
      <c r="E277" s="718"/>
      <c r="F277" s="10"/>
      <c r="G277" s="9">
        <f>SUM(G276:G276)</f>
        <v>325</v>
      </c>
      <c r="H277" s="58" t="s">
        <v>2299</v>
      </c>
    </row>
    <row r="278" spans="1:8" s="620" customFormat="1" ht="38.25">
      <c r="A278" s="621"/>
      <c r="B278" s="621">
        <v>15</v>
      </c>
      <c r="C278" s="357" t="s">
        <v>283</v>
      </c>
      <c r="D278" s="357"/>
      <c r="E278" s="717"/>
      <c r="F278" s="717"/>
      <c r="G278" s="719"/>
      <c r="H278" s="58" t="s">
        <v>2299</v>
      </c>
    </row>
    <row r="279" spans="1:8" s="620" customFormat="1">
      <c r="A279" s="623"/>
      <c r="B279" s="621"/>
      <c r="C279" s="608" t="s">
        <v>379</v>
      </c>
      <c r="D279" s="605" t="s">
        <v>279</v>
      </c>
      <c r="E279" s="610">
        <v>1</v>
      </c>
      <c r="F279" s="607">
        <f>'MINI SSR 2020-21'!C92</f>
        <v>59</v>
      </c>
      <c r="G279" s="609">
        <f>(E279*F279)/1</f>
        <v>59</v>
      </c>
      <c r="H279" s="58" t="s">
        <v>2299</v>
      </c>
    </row>
    <row r="280" spans="1:8" s="620" customFormat="1">
      <c r="A280" s="623"/>
      <c r="B280" s="621"/>
      <c r="C280" s="608"/>
      <c r="D280" s="605"/>
      <c r="E280" s="610"/>
      <c r="F280" s="607"/>
      <c r="G280" s="609">
        <f>SUM(G279:G279)</f>
        <v>59</v>
      </c>
      <c r="H280" s="58" t="s">
        <v>2299</v>
      </c>
    </row>
    <row r="281" spans="1:8" s="620" customFormat="1">
      <c r="A281" s="621"/>
      <c r="B281" s="621">
        <v>16</v>
      </c>
      <c r="C281" s="818" t="s">
        <v>287</v>
      </c>
      <c r="D281" s="818"/>
      <c r="E281" s="621"/>
      <c r="F281" s="621"/>
      <c r="G281" s="38"/>
      <c r="H281" s="58" t="s">
        <v>2299</v>
      </c>
    </row>
    <row r="282" spans="1:8" s="620" customFormat="1">
      <c r="A282" s="623"/>
      <c r="B282" s="621"/>
      <c r="C282" s="624" t="s">
        <v>380</v>
      </c>
      <c r="D282" s="16" t="s">
        <v>275</v>
      </c>
      <c r="E282" s="718">
        <v>1</v>
      </c>
      <c r="F282" s="10">
        <f>'MINI SSR 2020-21'!C93</f>
        <v>175</v>
      </c>
      <c r="G282" s="9">
        <f>(E282*F282)/1</f>
        <v>175</v>
      </c>
      <c r="H282" s="58" t="s">
        <v>2299</v>
      </c>
    </row>
    <row r="283" spans="1:8" s="620" customFormat="1">
      <c r="A283" s="623"/>
      <c r="B283" s="621"/>
      <c r="C283" s="624"/>
      <c r="D283" s="16"/>
      <c r="E283" s="718"/>
      <c r="F283" s="10"/>
      <c r="G283" s="9">
        <f>SUM(G282:G282)</f>
        <v>175</v>
      </c>
      <c r="H283" s="58" t="s">
        <v>2299</v>
      </c>
    </row>
    <row r="284" spans="1:8" s="620" customFormat="1">
      <c r="A284" s="621"/>
      <c r="B284" s="621">
        <v>17</v>
      </c>
      <c r="C284" s="818" t="s">
        <v>284</v>
      </c>
      <c r="D284" s="818"/>
      <c r="E284" s="621"/>
      <c r="F284" s="621"/>
      <c r="G284" s="38"/>
      <c r="H284" s="58" t="s">
        <v>2299</v>
      </c>
    </row>
    <row r="285" spans="1:8" s="620" customFormat="1">
      <c r="A285" s="623"/>
      <c r="B285" s="621"/>
      <c r="C285" s="624" t="s">
        <v>380</v>
      </c>
      <c r="D285" s="16" t="s">
        <v>275</v>
      </c>
      <c r="E285" s="718">
        <v>1</v>
      </c>
      <c r="F285" s="10">
        <f>'MINI SSR 2020-21'!C94</f>
        <v>300</v>
      </c>
      <c r="G285" s="9">
        <f>(E285*F285)/1</f>
        <v>300</v>
      </c>
      <c r="H285" s="58" t="s">
        <v>2299</v>
      </c>
    </row>
    <row r="286" spans="1:8" s="620" customFormat="1">
      <c r="A286" s="623"/>
      <c r="B286" s="621"/>
      <c r="C286" s="624"/>
      <c r="D286" s="16"/>
      <c r="E286" s="718"/>
      <c r="F286" s="10"/>
      <c r="G286" s="9">
        <f>SUM(G285:G285)</f>
        <v>300</v>
      </c>
      <c r="H286" s="58" t="s">
        <v>2299</v>
      </c>
    </row>
    <row r="287" spans="1:8" s="620" customFormat="1">
      <c r="A287" s="621"/>
      <c r="B287" s="621">
        <v>18</v>
      </c>
      <c r="C287" s="818" t="s">
        <v>1996</v>
      </c>
      <c r="D287" s="818"/>
      <c r="E287" s="621"/>
      <c r="F287" s="621"/>
      <c r="G287" s="38"/>
      <c r="H287" s="58" t="s">
        <v>2299</v>
      </c>
    </row>
    <row r="288" spans="1:8" s="620" customFormat="1">
      <c r="A288" s="623"/>
      <c r="B288" s="621"/>
      <c r="C288" s="624" t="s">
        <v>379</v>
      </c>
      <c r="D288" s="16" t="s">
        <v>279</v>
      </c>
      <c r="E288" s="718">
        <v>1</v>
      </c>
      <c r="F288" s="10">
        <f>'MINI SSR 2020-21'!C95</f>
        <v>400</v>
      </c>
      <c r="G288" s="9">
        <f>(E288*F288)/1</f>
        <v>400</v>
      </c>
      <c r="H288" s="58" t="s">
        <v>2299</v>
      </c>
    </row>
    <row r="289" spans="1:8" s="620" customFormat="1">
      <c r="A289" s="623"/>
      <c r="B289" s="621"/>
      <c r="C289" s="624"/>
      <c r="D289" s="16"/>
      <c r="E289" s="718"/>
      <c r="F289" s="10"/>
      <c r="G289" s="9">
        <f>SUM(G288:G288)</f>
        <v>400</v>
      </c>
      <c r="H289" s="58" t="s">
        <v>2299</v>
      </c>
    </row>
    <row r="290" spans="1:8" s="620" customFormat="1">
      <c r="A290" s="621"/>
      <c r="B290" s="621">
        <v>19</v>
      </c>
      <c r="C290" s="818" t="s">
        <v>1997</v>
      </c>
      <c r="D290" s="818"/>
      <c r="E290" s="621"/>
      <c r="F290" s="621"/>
      <c r="G290" s="38"/>
      <c r="H290" s="58" t="s">
        <v>2299</v>
      </c>
    </row>
    <row r="291" spans="1:8" s="620" customFormat="1">
      <c r="A291" s="623"/>
      <c r="B291" s="621"/>
      <c r="C291" s="624" t="s">
        <v>380</v>
      </c>
      <c r="D291" s="16" t="s">
        <v>275</v>
      </c>
      <c r="E291" s="718">
        <v>1</v>
      </c>
      <c r="F291" s="10">
        <f>'MINI SSR 2020-21'!C96</f>
        <v>70</v>
      </c>
      <c r="G291" s="9">
        <f>(E291*F291)/1</f>
        <v>70</v>
      </c>
      <c r="H291" s="58" t="s">
        <v>2299</v>
      </c>
    </row>
    <row r="292" spans="1:8" s="620" customFormat="1">
      <c r="A292" s="623"/>
      <c r="B292" s="621"/>
      <c r="C292" s="624"/>
      <c r="D292" s="16"/>
      <c r="E292" s="718"/>
      <c r="F292" s="10"/>
      <c r="G292" s="9">
        <f>SUM(G291:G291)</f>
        <v>70</v>
      </c>
      <c r="H292" s="58" t="s">
        <v>2299</v>
      </c>
    </row>
    <row r="293" spans="1:8" s="620" customFormat="1" ht="51">
      <c r="A293" s="621"/>
      <c r="B293" s="621">
        <v>20</v>
      </c>
      <c r="C293" s="818" t="s">
        <v>601</v>
      </c>
      <c r="D293" s="818"/>
      <c r="E293" s="621"/>
      <c r="F293" s="621"/>
      <c r="G293" s="38"/>
      <c r="H293" s="58" t="s">
        <v>2299</v>
      </c>
    </row>
    <row r="294" spans="1:8" s="620" customFormat="1">
      <c r="A294" s="623"/>
      <c r="B294" s="621"/>
      <c r="C294" s="624" t="s">
        <v>602</v>
      </c>
      <c r="D294" s="16" t="s">
        <v>279</v>
      </c>
      <c r="E294" s="718">
        <v>1</v>
      </c>
      <c r="F294" s="10">
        <f>'MINI SSR 2020-21'!C97</f>
        <v>80</v>
      </c>
      <c r="G294" s="9">
        <f>(E294*F294)/1</f>
        <v>80</v>
      </c>
      <c r="H294" s="58" t="s">
        <v>2299</v>
      </c>
    </row>
    <row r="295" spans="1:8" s="620" customFormat="1">
      <c r="A295" s="623"/>
      <c r="B295" s="621"/>
      <c r="C295" s="624"/>
      <c r="D295" s="16"/>
      <c r="E295" s="718"/>
      <c r="F295" s="10"/>
      <c r="G295" s="9">
        <f>SUM(G294:G294)</f>
        <v>80</v>
      </c>
      <c r="H295" s="58" t="s">
        <v>2299</v>
      </c>
    </row>
    <row r="296" spans="1:8" s="620" customFormat="1" ht="102">
      <c r="A296" s="621"/>
      <c r="B296" s="621">
        <v>21</v>
      </c>
      <c r="C296" s="818" t="s">
        <v>381</v>
      </c>
      <c r="D296" s="818"/>
      <c r="E296" s="621"/>
      <c r="F296" s="621"/>
      <c r="G296" s="38"/>
      <c r="H296" s="58" t="s">
        <v>2299</v>
      </c>
    </row>
    <row r="297" spans="1:8" s="620" customFormat="1">
      <c r="A297" s="623"/>
      <c r="B297" s="621"/>
      <c r="C297" s="608" t="s">
        <v>382</v>
      </c>
      <c r="D297" s="16" t="s">
        <v>115</v>
      </c>
      <c r="E297" s="718">
        <v>1</v>
      </c>
      <c r="F297" s="10">
        <f>'MINI SSR 2020-21'!C98</f>
        <v>4500</v>
      </c>
      <c r="G297" s="9">
        <f>(E297*F297)/1</f>
        <v>4500</v>
      </c>
      <c r="H297" s="58" t="s">
        <v>2299</v>
      </c>
    </row>
    <row r="298" spans="1:8" s="620" customFormat="1">
      <c r="A298" s="623"/>
      <c r="B298" s="621"/>
      <c r="C298" s="624"/>
      <c r="D298" s="16"/>
      <c r="E298" s="718"/>
      <c r="F298" s="10"/>
      <c r="G298" s="9">
        <f>SUM(G297:G297)</f>
        <v>4500</v>
      </c>
      <c r="H298" s="58" t="s">
        <v>2299</v>
      </c>
    </row>
    <row r="299" spans="1:8" s="606" customFormat="1" ht="15">
      <c r="A299" s="717"/>
      <c r="B299" s="717"/>
      <c r="C299" s="608"/>
      <c r="D299" s="605"/>
      <c r="E299" s="610"/>
      <c r="F299" s="607"/>
      <c r="G299" s="609"/>
      <c r="H299" s="58" t="s">
        <v>2299</v>
      </c>
    </row>
    <row r="300" spans="1:8" s="606" customFormat="1" ht="24">
      <c r="A300" s="678"/>
      <c r="B300" s="678">
        <v>22</v>
      </c>
      <c r="C300" s="421" t="s">
        <v>718</v>
      </c>
      <c r="D300" s="701"/>
      <c r="E300" s="680"/>
      <c r="F300" s="680"/>
      <c r="G300" s="701"/>
      <c r="H300" s="58" t="s">
        <v>2299</v>
      </c>
    </row>
    <row r="301" spans="1:8" s="606" customFormat="1" ht="15">
      <c r="A301" s="678"/>
      <c r="B301" s="678"/>
      <c r="C301" s="679" t="s">
        <v>338</v>
      </c>
      <c r="D301" s="680" t="s">
        <v>115</v>
      </c>
      <c r="E301" s="681">
        <v>1</v>
      </c>
      <c r="F301" s="682">
        <f>'MINI SSR 2020-21'!C75</f>
        <v>86</v>
      </c>
      <c r="G301" s="686">
        <f>ROUND(E301*F301,2)</f>
        <v>86</v>
      </c>
      <c r="H301" s="58" t="s">
        <v>2299</v>
      </c>
    </row>
    <row r="302" spans="1:8" s="606" customFormat="1" ht="15">
      <c r="A302" s="678"/>
      <c r="B302" s="678"/>
      <c r="C302" s="679"/>
      <c r="D302" s="680"/>
      <c r="E302" s="681"/>
      <c r="F302" s="682"/>
      <c r="G302" s="683">
        <f>SUM(G301:G301)</f>
        <v>86</v>
      </c>
      <c r="H302" s="58" t="s">
        <v>2299</v>
      </c>
    </row>
    <row r="303" spans="1:8" s="606" customFormat="1" ht="15">
      <c r="A303" s="678"/>
      <c r="B303" s="678"/>
      <c r="C303" s="680" t="s">
        <v>2310</v>
      </c>
      <c r="D303" s="680"/>
      <c r="E303" s="681"/>
      <c r="F303" s="682"/>
      <c r="G303" s="683"/>
      <c r="H303" s="592" t="s">
        <v>2312</v>
      </c>
    </row>
    <row r="304" spans="1:8" s="366" customFormat="1" ht="72">
      <c r="A304" s="678"/>
      <c r="B304" s="684">
        <v>1</v>
      </c>
      <c r="C304" s="685" t="s">
        <v>328</v>
      </c>
      <c r="D304" s="685"/>
      <c r="E304" s="685"/>
      <c r="F304" s="685"/>
      <c r="G304" s="686"/>
      <c r="H304" s="592" t="s">
        <v>2312</v>
      </c>
    </row>
    <row r="305" spans="1:8" s="366" customFormat="1">
      <c r="A305" s="678"/>
      <c r="B305" s="684"/>
      <c r="C305" s="421" t="s">
        <v>329</v>
      </c>
      <c r="D305" s="687" t="s">
        <v>115</v>
      </c>
      <c r="E305" s="687">
        <v>1</v>
      </c>
      <c r="F305" s="688">
        <f>'MINI SSR 21-22'!C66</f>
        <v>1870</v>
      </c>
      <c r="G305" s="686">
        <f>ROUND(E305*F305,2)</f>
        <v>1870</v>
      </c>
      <c r="H305" s="592" t="s">
        <v>2312</v>
      </c>
    </row>
    <row r="306" spans="1:8" s="366" customFormat="1">
      <c r="A306" s="678"/>
      <c r="B306" s="684"/>
      <c r="C306" s="421" t="s">
        <v>330</v>
      </c>
      <c r="D306" s="687" t="s">
        <v>115</v>
      </c>
      <c r="E306" s="687">
        <v>1</v>
      </c>
      <c r="F306" s="688">
        <f>'MINI SSR 21-22'!C67</f>
        <v>2333</v>
      </c>
      <c r="G306" s="686">
        <f>ROUND(E306*F306,2)</f>
        <v>2333</v>
      </c>
      <c r="H306" s="592" t="s">
        <v>2312</v>
      </c>
    </row>
    <row r="307" spans="1:8" s="366" customFormat="1">
      <c r="A307" s="678"/>
      <c r="B307" s="684"/>
      <c r="C307" s="421" t="s">
        <v>331</v>
      </c>
      <c r="D307" s="687" t="s">
        <v>115</v>
      </c>
      <c r="E307" s="687">
        <v>1</v>
      </c>
      <c r="F307" s="688">
        <f>'MINI SSR 21-22'!C68</f>
        <v>803</v>
      </c>
      <c r="G307" s="686">
        <f>ROUND(E307*F307,2)</f>
        <v>803</v>
      </c>
      <c r="H307" s="592" t="s">
        <v>2312</v>
      </c>
    </row>
    <row r="308" spans="1:8">
      <c r="A308" s="678"/>
      <c r="B308" s="684"/>
      <c r="C308" s="421"/>
      <c r="D308" s="687"/>
      <c r="E308" s="687"/>
      <c r="F308" s="688"/>
      <c r="G308" s="686">
        <f>SUM(G305:G307)</f>
        <v>5006</v>
      </c>
      <c r="H308" s="592" t="s">
        <v>2312</v>
      </c>
    </row>
    <row r="309" spans="1:8">
      <c r="A309" s="678"/>
      <c r="B309" s="684"/>
      <c r="C309" s="689" t="s">
        <v>332</v>
      </c>
      <c r="D309" s="690"/>
      <c r="E309" s="691"/>
      <c r="F309" s="691"/>
      <c r="G309" s="692">
        <v>0</v>
      </c>
      <c r="H309" s="592" t="s">
        <v>2312</v>
      </c>
    </row>
    <row r="310" spans="1:8">
      <c r="A310" s="678"/>
      <c r="B310" s="684"/>
      <c r="C310" s="421"/>
      <c r="D310" s="687"/>
      <c r="E310" s="687"/>
      <c r="F310" s="688"/>
      <c r="G310" s="686">
        <f>SUM(G308:G309)</f>
        <v>5006</v>
      </c>
      <c r="H310" s="592" t="s">
        <v>2312</v>
      </c>
    </row>
    <row r="311" spans="1:8" s="366" customFormat="1" ht="36">
      <c r="A311" s="678"/>
      <c r="B311" s="684">
        <v>2</v>
      </c>
      <c r="C311" s="685" t="s">
        <v>608</v>
      </c>
      <c r="D311" s="685"/>
      <c r="E311" s="685"/>
      <c r="F311" s="685"/>
      <c r="G311" s="686"/>
      <c r="H311" s="592" t="s">
        <v>2312</v>
      </c>
    </row>
    <row r="312" spans="1:8" s="366" customFormat="1">
      <c r="A312" s="678"/>
      <c r="B312" s="684"/>
      <c r="C312" s="421" t="s">
        <v>609</v>
      </c>
      <c r="D312" s="687" t="s">
        <v>115</v>
      </c>
      <c r="E312" s="687">
        <v>1</v>
      </c>
      <c r="F312" s="688">
        <f>'MINI SSR 21-22'!C69</f>
        <v>979</v>
      </c>
      <c r="G312" s="686">
        <f>ROUND(E312*F312,2)</f>
        <v>979</v>
      </c>
      <c r="H312" s="592" t="s">
        <v>2312</v>
      </c>
    </row>
    <row r="313" spans="1:8">
      <c r="A313" s="678"/>
      <c r="B313" s="684"/>
      <c r="C313" s="421"/>
      <c r="D313" s="687"/>
      <c r="E313" s="687"/>
      <c r="F313" s="688"/>
      <c r="G313" s="686">
        <f>SUM(G312)</f>
        <v>979</v>
      </c>
      <c r="H313" s="592" t="s">
        <v>2312</v>
      </c>
    </row>
    <row r="314" spans="1:8" s="366" customFormat="1" ht="60">
      <c r="A314" s="678"/>
      <c r="B314" s="684">
        <v>2</v>
      </c>
      <c r="C314" s="685" t="s">
        <v>1253</v>
      </c>
      <c r="D314" s="685"/>
      <c r="E314" s="685"/>
      <c r="F314" s="685"/>
      <c r="G314" s="686"/>
      <c r="H314" s="592" t="s">
        <v>2312</v>
      </c>
    </row>
    <row r="315" spans="1:8" s="366" customFormat="1">
      <c r="A315" s="678"/>
      <c r="B315" s="684"/>
      <c r="C315" s="421" t="s">
        <v>1254</v>
      </c>
      <c r="D315" s="687" t="s">
        <v>115</v>
      </c>
      <c r="E315" s="687">
        <v>1</v>
      </c>
      <c r="F315" s="688">
        <f>'MINI SSR 21-22'!C70</f>
        <v>2499</v>
      </c>
      <c r="G315" s="686">
        <f>ROUND(E315*F315,2)</f>
        <v>2499</v>
      </c>
      <c r="H315" s="592" t="s">
        <v>2312</v>
      </c>
    </row>
    <row r="316" spans="1:8">
      <c r="A316" s="678"/>
      <c r="B316" s="684"/>
      <c r="C316" s="421"/>
      <c r="D316" s="687"/>
      <c r="E316" s="687"/>
      <c r="F316" s="688"/>
      <c r="G316" s="686">
        <f>SUM(G315)</f>
        <v>2499</v>
      </c>
      <c r="H316" s="592" t="s">
        <v>2312</v>
      </c>
    </row>
    <row r="317" spans="1:8" s="698" customFormat="1" ht="152.25" customHeight="1">
      <c r="A317" s="693"/>
      <c r="B317" s="693">
        <v>3</v>
      </c>
      <c r="C317" s="694" t="s">
        <v>333</v>
      </c>
      <c r="D317" s="695"/>
      <c r="E317" s="694"/>
      <c r="F317" s="696"/>
      <c r="G317" s="697"/>
      <c r="H317" s="592" t="s">
        <v>2312</v>
      </c>
    </row>
    <row r="318" spans="1:8" s="698" customFormat="1">
      <c r="A318" s="693"/>
      <c r="B318" s="693"/>
      <c r="C318" s="699" t="s">
        <v>334</v>
      </c>
      <c r="D318" s="687" t="s">
        <v>115</v>
      </c>
      <c r="E318" s="687">
        <v>1</v>
      </c>
      <c r="F318" s="688">
        <f>'MINI SSR 21-22'!C71</f>
        <v>1436</v>
      </c>
      <c r="G318" s="686">
        <f>ROUND(E318*F318,2)</f>
        <v>1436</v>
      </c>
      <c r="H318" s="592" t="s">
        <v>2312</v>
      </c>
    </row>
    <row r="319" spans="1:8" s="698" customFormat="1">
      <c r="A319" s="693"/>
      <c r="B319" s="693"/>
      <c r="C319" s="699" t="s">
        <v>335</v>
      </c>
      <c r="D319" s="687" t="s">
        <v>115</v>
      </c>
      <c r="E319" s="687">
        <v>1</v>
      </c>
      <c r="F319" s="688">
        <f>'MINI SSR 21-22'!C72</f>
        <v>366</v>
      </c>
      <c r="G319" s="686">
        <f>ROUND(E319*F319,2)</f>
        <v>366</v>
      </c>
      <c r="H319" s="592" t="s">
        <v>2312</v>
      </c>
    </row>
    <row r="320" spans="1:8" s="698" customFormat="1" ht="24">
      <c r="A320" s="693"/>
      <c r="B320" s="693"/>
      <c r="C320" s="699" t="s">
        <v>336</v>
      </c>
      <c r="D320" s="687" t="s">
        <v>115</v>
      </c>
      <c r="E320" s="687">
        <v>1</v>
      </c>
      <c r="F320" s="688">
        <f>'MINI SSR 21-22'!C73</f>
        <v>90</v>
      </c>
      <c r="G320" s="686">
        <f>ROUND(E320*F320,2)</f>
        <v>90</v>
      </c>
      <c r="H320" s="592" t="s">
        <v>2312</v>
      </c>
    </row>
    <row r="321" spans="1:8" s="698" customFormat="1">
      <c r="A321" s="693"/>
      <c r="B321" s="693"/>
      <c r="C321" s="699" t="s">
        <v>337</v>
      </c>
      <c r="D321" s="687" t="s">
        <v>115</v>
      </c>
      <c r="E321" s="687">
        <v>1</v>
      </c>
      <c r="F321" s="688">
        <f>'MINI SSR 21-22'!C74</f>
        <v>23</v>
      </c>
      <c r="G321" s="686">
        <f>ROUND(E321*F321,2)</f>
        <v>23</v>
      </c>
      <c r="H321" s="592" t="s">
        <v>2312</v>
      </c>
    </row>
    <row r="322" spans="1:8" s="698" customFormat="1">
      <c r="A322" s="693"/>
      <c r="B322" s="693"/>
      <c r="C322" s="700"/>
      <c r="D322" s="687"/>
      <c r="E322" s="687"/>
      <c r="F322" s="688"/>
      <c r="G322" s="686">
        <f>SUM(G318:G321)</f>
        <v>1915</v>
      </c>
      <c r="H322" s="592" t="s">
        <v>2312</v>
      </c>
    </row>
    <row r="323" spans="1:8">
      <c r="A323" s="678"/>
      <c r="B323" s="684"/>
      <c r="C323" s="689" t="s">
        <v>332</v>
      </c>
      <c r="D323" s="690"/>
      <c r="E323" s="691"/>
      <c r="F323" s="691"/>
      <c r="G323" s="692">
        <v>0</v>
      </c>
      <c r="H323" s="592" t="s">
        <v>2312</v>
      </c>
    </row>
    <row r="324" spans="1:8">
      <c r="A324" s="678"/>
      <c r="B324" s="684"/>
      <c r="C324" s="421"/>
      <c r="D324" s="687"/>
      <c r="E324" s="687"/>
      <c r="F324" s="688"/>
      <c r="G324" s="686">
        <f>SUM(G322:G323)</f>
        <v>1915</v>
      </c>
      <c r="H324" s="592" t="s">
        <v>2312</v>
      </c>
    </row>
    <row r="325" spans="1:8" s="698" customFormat="1" ht="68.25" customHeight="1">
      <c r="A325" s="693"/>
      <c r="B325" s="693">
        <v>6</v>
      </c>
      <c r="C325" s="694" t="s">
        <v>339</v>
      </c>
      <c r="D325" s="695"/>
      <c r="E325" s="694"/>
      <c r="F325" s="696"/>
      <c r="G325" s="697"/>
      <c r="H325" s="592" t="s">
        <v>2312</v>
      </c>
    </row>
    <row r="326" spans="1:8" s="698" customFormat="1">
      <c r="A326" s="693"/>
      <c r="B326" s="693"/>
      <c r="C326" s="699" t="s">
        <v>340</v>
      </c>
      <c r="D326" s="687" t="s">
        <v>115</v>
      </c>
      <c r="E326" s="687">
        <v>1</v>
      </c>
      <c r="F326" s="688">
        <f>'MINI SSR 21-22'!C77</f>
        <v>122</v>
      </c>
      <c r="G326" s="686">
        <f>ROUND(E326*F326,2)</f>
        <v>122</v>
      </c>
      <c r="H326" s="592" t="s">
        <v>2312</v>
      </c>
    </row>
    <row r="327" spans="1:8">
      <c r="A327" s="678"/>
      <c r="B327" s="684"/>
      <c r="C327" s="689" t="s">
        <v>332</v>
      </c>
      <c r="D327" s="690"/>
      <c r="E327" s="691"/>
      <c r="F327" s="691"/>
      <c r="G327" s="692">
        <v>0</v>
      </c>
      <c r="H327" s="592" t="s">
        <v>2312</v>
      </c>
    </row>
    <row r="328" spans="1:8">
      <c r="A328" s="678"/>
      <c r="B328" s="684"/>
      <c r="C328" s="421"/>
      <c r="D328" s="687"/>
      <c r="E328" s="687"/>
      <c r="F328" s="688"/>
      <c r="G328" s="686">
        <f>SUM(G326:G327)</f>
        <v>122</v>
      </c>
      <c r="H328" s="592" t="s">
        <v>2312</v>
      </c>
    </row>
    <row r="329" spans="1:8" s="606" customFormat="1" ht="36">
      <c r="A329" s="678"/>
      <c r="B329" s="678">
        <v>1</v>
      </c>
      <c r="C329" s="685" t="s">
        <v>341</v>
      </c>
      <c r="D329" s="678"/>
      <c r="E329" s="678"/>
      <c r="F329" s="678"/>
      <c r="G329" s="685"/>
      <c r="H329" s="592" t="s">
        <v>2312</v>
      </c>
    </row>
    <row r="330" spans="1:8" s="606" customFormat="1" ht="15">
      <c r="A330" s="678"/>
      <c r="B330" s="678"/>
      <c r="C330" s="701" t="s">
        <v>342</v>
      </c>
      <c r="D330" s="680"/>
      <c r="E330" s="682"/>
      <c r="F330" s="682"/>
      <c r="G330" s="703"/>
      <c r="H330" s="592" t="s">
        <v>2312</v>
      </c>
    </row>
    <row r="331" spans="1:8" s="606" customFormat="1" ht="15">
      <c r="A331" s="678"/>
      <c r="B331" s="678"/>
      <c r="C331" s="701" t="s">
        <v>343</v>
      </c>
      <c r="D331" s="680" t="s">
        <v>277</v>
      </c>
      <c r="E331" s="682">
        <v>1</v>
      </c>
      <c r="F331" s="682">
        <f>'MINI SSR 21-22'!C78</f>
        <v>426</v>
      </c>
      <c r="G331" s="686">
        <f>ROUND(E331*F331,2)</f>
        <v>426</v>
      </c>
      <c r="H331" s="592" t="s">
        <v>2312</v>
      </c>
    </row>
    <row r="332" spans="1:8">
      <c r="A332" s="678"/>
      <c r="B332" s="684"/>
      <c r="C332" s="689" t="s">
        <v>332</v>
      </c>
      <c r="D332" s="690"/>
      <c r="E332" s="691"/>
      <c r="F332" s="691"/>
      <c r="G332" s="692">
        <v>0</v>
      </c>
      <c r="H332" s="592" t="s">
        <v>2312</v>
      </c>
    </row>
    <row r="333" spans="1:8" s="606" customFormat="1" ht="15">
      <c r="A333" s="678"/>
      <c r="B333" s="678"/>
      <c r="C333" s="701" t="s">
        <v>344</v>
      </c>
      <c r="D333" s="680"/>
      <c r="E333" s="680"/>
      <c r="F333" s="680"/>
      <c r="G333" s="683">
        <f>SUM(G331:G332)</f>
        <v>426</v>
      </c>
      <c r="H333" s="592" t="s">
        <v>2312</v>
      </c>
    </row>
    <row r="334" spans="1:8" s="606" customFormat="1" ht="15">
      <c r="A334" s="678"/>
      <c r="B334" s="678"/>
      <c r="C334" s="701" t="s">
        <v>345</v>
      </c>
      <c r="D334" s="680"/>
      <c r="E334" s="680"/>
      <c r="F334" s="680"/>
      <c r="G334" s="683">
        <f>G333/3</f>
        <v>142</v>
      </c>
      <c r="H334" s="592" t="s">
        <v>2312</v>
      </c>
    </row>
    <row r="335" spans="1:8" s="606" customFormat="1" ht="36">
      <c r="A335" s="678"/>
      <c r="B335" s="678">
        <v>5</v>
      </c>
      <c r="C335" s="685" t="s">
        <v>346</v>
      </c>
      <c r="D335" s="685"/>
      <c r="E335" s="685"/>
      <c r="F335" s="685"/>
      <c r="G335" s="685"/>
      <c r="H335" s="592" t="s">
        <v>2312</v>
      </c>
    </row>
    <row r="336" spans="1:8" s="606" customFormat="1" ht="15">
      <c r="A336" s="678"/>
      <c r="B336" s="678"/>
      <c r="C336" s="701" t="s">
        <v>342</v>
      </c>
      <c r="D336" s="701"/>
      <c r="E336" s="702"/>
      <c r="F336" s="702"/>
      <c r="G336" s="703"/>
      <c r="H336" s="592" t="s">
        <v>2312</v>
      </c>
    </row>
    <row r="337" spans="1:8" s="606" customFormat="1" ht="15">
      <c r="A337" s="678"/>
      <c r="B337" s="678"/>
      <c r="C337" s="701" t="s">
        <v>347</v>
      </c>
      <c r="D337" s="701" t="s">
        <v>277</v>
      </c>
      <c r="E337" s="702">
        <v>1</v>
      </c>
      <c r="F337" s="702">
        <f>'MINI SSR 21-22'!C79</f>
        <v>405</v>
      </c>
      <c r="G337" s="686">
        <f>ROUND(E337*F337,2)</f>
        <v>405</v>
      </c>
      <c r="H337" s="592" t="s">
        <v>2312</v>
      </c>
    </row>
    <row r="338" spans="1:8">
      <c r="A338" s="678"/>
      <c r="B338" s="684"/>
      <c r="C338" s="689" t="s">
        <v>332</v>
      </c>
      <c r="D338" s="690"/>
      <c r="E338" s="691"/>
      <c r="F338" s="691"/>
      <c r="G338" s="692">
        <v>0</v>
      </c>
      <c r="H338" s="592" t="s">
        <v>2312</v>
      </c>
    </row>
    <row r="339" spans="1:8" s="606" customFormat="1" ht="15">
      <c r="A339" s="678"/>
      <c r="B339" s="678"/>
      <c r="C339" s="701" t="s">
        <v>344</v>
      </c>
      <c r="D339" s="701"/>
      <c r="E339" s="701"/>
      <c r="F339" s="701"/>
      <c r="G339" s="683">
        <f>SUM(G337:G338)</f>
        <v>405</v>
      </c>
      <c r="H339" s="592" t="s">
        <v>2312</v>
      </c>
    </row>
    <row r="340" spans="1:8" s="606" customFormat="1" ht="15">
      <c r="A340" s="678"/>
      <c r="B340" s="678"/>
      <c r="C340" s="701" t="s">
        <v>345</v>
      </c>
      <c r="D340" s="701"/>
      <c r="E340" s="701"/>
      <c r="F340" s="701"/>
      <c r="G340" s="683">
        <f>G339/3</f>
        <v>135</v>
      </c>
      <c r="H340" s="592" t="s">
        <v>2312</v>
      </c>
    </row>
    <row r="341" spans="1:8" s="606" customFormat="1" ht="36">
      <c r="A341" s="678"/>
      <c r="B341" s="678">
        <v>2</v>
      </c>
      <c r="C341" s="685" t="s">
        <v>348</v>
      </c>
      <c r="D341" s="678"/>
      <c r="E341" s="678"/>
      <c r="F341" s="678"/>
      <c r="G341" s="685"/>
      <c r="H341" s="592" t="s">
        <v>2312</v>
      </c>
    </row>
    <row r="342" spans="1:8" s="606" customFormat="1" ht="15">
      <c r="A342" s="678"/>
      <c r="B342" s="678"/>
      <c r="C342" s="701" t="s">
        <v>342</v>
      </c>
      <c r="D342" s="680"/>
      <c r="E342" s="682"/>
      <c r="F342" s="682"/>
      <c r="G342" s="703"/>
      <c r="H342" s="592" t="s">
        <v>2312</v>
      </c>
    </row>
    <row r="343" spans="1:8" s="606" customFormat="1" ht="15">
      <c r="A343" s="678"/>
      <c r="B343" s="678"/>
      <c r="C343" s="701" t="s">
        <v>349</v>
      </c>
      <c r="D343" s="680" t="s">
        <v>277</v>
      </c>
      <c r="E343" s="682">
        <v>1</v>
      </c>
      <c r="F343" s="682">
        <f>'MINI SSR 21-22'!C80</f>
        <v>254</v>
      </c>
      <c r="G343" s="686">
        <f>ROUND(E343*F343,2)</f>
        <v>254</v>
      </c>
      <c r="H343" s="592" t="s">
        <v>2312</v>
      </c>
    </row>
    <row r="344" spans="1:8">
      <c r="A344" s="678"/>
      <c r="B344" s="684"/>
      <c r="C344" s="689" t="s">
        <v>332</v>
      </c>
      <c r="D344" s="690"/>
      <c r="E344" s="691"/>
      <c r="F344" s="691"/>
      <c r="G344" s="692">
        <v>0</v>
      </c>
      <c r="H344" s="592" t="s">
        <v>2312</v>
      </c>
    </row>
    <row r="345" spans="1:8" s="606" customFormat="1" ht="15">
      <c r="A345" s="678"/>
      <c r="B345" s="678"/>
      <c r="C345" s="701" t="s">
        <v>344</v>
      </c>
      <c r="D345" s="680"/>
      <c r="E345" s="680"/>
      <c r="F345" s="680"/>
      <c r="G345" s="683">
        <f>SUM(G343:G344)</f>
        <v>254</v>
      </c>
      <c r="H345" s="592" t="s">
        <v>2312</v>
      </c>
    </row>
    <row r="346" spans="1:8" s="606" customFormat="1" ht="15">
      <c r="A346" s="678"/>
      <c r="B346" s="678"/>
      <c r="C346" s="701" t="s">
        <v>345</v>
      </c>
      <c r="D346" s="680"/>
      <c r="E346" s="680"/>
      <c r="F346" s="680"/>
      <c r="G346" s="683">
        <f>G345/3</f>
        <v>84.666666666666671</v>
      </c>
      <c r="H346" s="592" t="s">
        <v>2312</v>
      </c>
    </row>
    <row r="347" spans="1:8" s="705" customFormat="1" ht="60">
      <c r="A347" s="678"/>
      <c r="B347" s="678">
        <v>3</v>
      </c>
      <c r="C347" s="421" t="s">
        <v>350</v>
      </c>
      <c r="D347" s="678"/>
      <c r="E347" s="678"/>
      <c r="F347" s="678"/>
      <c r="G347" s="704"/>
      <c r="H347" s="592" t="s">
        <v>2312</v>
      </c>
    </row>
    <row r="348" spans="1:8" s="705" customFormat="1">
      <c r="A348" s="685"/>
      <c r="B348" s="678"/>
      <c r="C348" s="679" t="s">
        <v>351</v>
      </c>
      <c r="D348" s="680" t="s">
        <v>279</v>
      </c>
      <c r="E348" s="681">
        <v>1</v>
      </c>
      <c r="F348" s="682">
        <f>'MINI SSR 21-22'!C81</f>
        <v>74</v>
      </c>
      <c r="G348" s="686">
        <f>ROUND(E348*F348,2)</f>
        <v>74</v>
      </c>
      <c r="H348" s="592" t="s">
        <v>2312</v>
      </c>
    </row>
    <row r="349" spans="1:8">
      <c r="A349" s="678"/>
      <c r="B349" s="684"/>
      <c r="C349" s="689" t="s">
        <v>332</v>
      </c>
      <c r="D349" s="690"/>
      <c r="E349" s="691"/>
      <c r="F349" s="691"/>
      <c r="G349" s="692">
        <v>0</v>
      </c>
      <c r="H349" s="592" t="s">
        <v>2312</v>
      </c>
    </row>
    <row r="350" spans="1:8" s="705" customFormat="1">
      <c r="A350" s="685"/>
      <c r="B350" s="678"/>
      <c r="C350" s="679"/>
      <c r="D350" s="680"/>
      <c r="E350" s="681"/>
      <c r="F350" s="682"/>
      <c r="G350" s="683">
        <f>SUM(G348:G349)</f>
        <v>74</v>
      </c>
      <c r="H350" s="592" t="s">
        <v>2312</v>
      </c>
    </row>
    <row r="351" spans="1:8" s="606" customFormat="1" ht="24">
      <c r="A351" s="678"/>
      <c r="B351" s="678">
        <v>11</v>
      </c>
      <c r="C351" s="421" t="s">
        <v>685</v>
      </c>
      <c r="D351" s="701"/>
      <c r="E351" s="680"/>
      <c r="F351" s="680"/>
      <c r="G351" s="701"/>
      <c r="H351" s="592" t="s">
        <v>2312</v>
      </c>
    </row>
    <row r="352" spans="1:8" s="606" customFormat="1" ht="15">
      <c r="A352" s="678"/>
      <c r="B352" s="678"/>
      <c r="C352" s="679" t="s">
        <v>686</v>
      </c>
      <c r="D352" s="680" t="s">
        <v>115</v>
      </c>
      <c r="E352" s="681">
        <v>1</v>
      </c>
      <c r="F352" s="682">
        <f>'MINI SSR 21-22'!C82</f>
        <v>1554</v>
      </c>
      <c r="G352" s="686">
        <f>ROUND(E352*F352,2)</f>
        <v>1554</v>
      </c>
      <c r="H352" s="592" t="s">
        <v>2312</v>
      </c>
    </row>
    <row r="353" spans="1:8">
      <c r="A353" s="678"/>
      <c r="B353" s="684"/>
      <c r="C353" s="689" t="s">
        <v>332</v>
      </c>
      <c r="D353" s="690"/>
      <c r="E353" s="691"/>
      <c r="F353" s="691"/>
      <c r="G353" s="692">
        <v>0</v>
      </c>
      <c r="H353" s="592" t="s">
        <v>2312</v>
      </c>
    </row>
    <row r="354" spans="1:8" s="606" customFormat="1" ht="15">
      <c r="A354" s="678"/>
      <c r="B354" s="678"/>
      <c r="C354" s="679"/>
      <c r="D354" s="680"/>
      <c r="E354" s="681"/>
      <c r="F354" s="682"/>
      <c r="G354" s="683">
        <f>SUM(G352:G353)</f>
        <v>1554</v>
      </c>
      <c r="H354" s="592" t="s">
        <v>2312</v>
      </c>
    </row>
    <row r="355" spans="1:8" s="606" customFormat="1" ht="48">
      <c r="A355" s="678"/>
      <c r="B355" s="678">
        <v>8</v>
      </c>
      <c r="C355" s="421" t="s">
        <v>352</v>
      </c>
      <c r="D355" s="701"/>
      <c r="E355" s="680"/>
      <c r="F355" s="680"/>
      <c r="G355" s="701"/>
      <c r="H355" s="592" t="s">
        <v>2312</v>
      </c>
    </row>
    <row r="356" spans="1:8" s="606" customFormat="1" ht="15">
      <c r="A356" s="678"/>
      <c r="B356" s="678"/>
      <c r="C356" s="679" t="s">
        <v>353</v>
      </c>
      <c r="D356" s="680" t="s">
        <v>115</v>
      </c>
      <c r="E356" s="681">
        <v>1</v>
      </c>
      <c r="F356" s="682">
        <f>'MINI SSR 21-22'!C72</f>
        <v>366</v>
      </c>
      <c r="G356" s="686">
        <f>ROUND(E356*F356,2)</f>
        <v>366</v>
      </c>
      <c r="H356" s="592" t="s">
        <v>2312</v>
      </c>
    </row>
    <row r="357" spans="1:8">
      <c r="A357" s="678"/>
      <c r="B357" s="684"/>
      <c r="C357" s="689" t="s">
        <v>332</v>
      </c>
      <c r="D357" s="690"/>
      <c r="E357" s="691"/>
      <c r="F357" s="691"/>
      <c r="G357" s="692">
        <v>0</v>
      </c>
      <c r="H357" s="592" t="s">
        <v>2312</v>
      </c>
    </row>
    <row r="358" spans="1:8" s="606" customFormat="1" ht="15">
      <c r="A358" s="678"/>
      <c r="B358" s="678"/>
      <c r="C358" s="679"/>
      <c r="D358" s="680"/>
      <c r="E358" s="681"/>
      <c r="F358" s="682"/>
      <c r="G358" s="683">
        <f>SUM(G356:G357)</f>
        <v>366</v>
      </c>
      <c r="H358" s="592" t="s">
        <v>2312</v>
      </c>
    </row>
    <row r="359" spans="1:8" s="606" customFormat="1" ht="72">
      <c r="A359" s="678"/>
      <c r="B359" s="678">
        <v>13</v>
      </c>
      <c r="C359" s="421" t="s">
        <v>354</v>
      </c>
      <c r="D359" s="701"/>
      <c r="E359" s="680"/>
      <c r="F359" s="680"/>
      <c r="G359" s="701"/>
      <c r="H359" s="592" t="s">
        <v>2312</v>
      </c>
    </row>
    <row r="360" spans="1:8" s="606" customFormat="1" ht="15">
      <c r="A360" s="678"/>
      <c r="B360" s="678"/>
      <c r="C360" s="679" t="s">
        <v>355</v>
      </c>
      <c r="D360" s="680" t="s">
        <v>115</v>
      </c>
      <c r="E360" s="681">
        <v>1</v>
      </c>
      <c r="F360" s="682">
        <f>'MINI SSR 21-22'!C83</f>
        <v>3938</v>
      </c>
      <c r="G360" s="686">
        <f>ROUND(E360*F360,2)</f>
        <v>3938</v>
      </c>
      <c r="H360" s="592" t="s">
        <v>2312</v>
      </c>
    </row>
    <row r="361" spans="1:8">
      <c r="A361" s="678"/>
      <c r="B361" s="684"/>
      <c r="C361" s="689" t="s">
        <v>332</v>
      </c>
      <c r="D361" s="690"/>
      <c r="E361" s="691"/>
      <c r="F361" s="691"/>
      <c r="G361" s="692">
        <v>0</v>
      </c>
      <c r="H361" s="592" t="s">
        <v>2312</v>
      </c>
    </row>
    <row r="362" spans="1:8" s="606" customFormat="1" ht="15">
      <c r="A362" s="678"/>
      <c r="B362" s="678"/>
      <c r="C362" s="679"/>
      <c r="D362" s="680"/>
      <c r="E362" s="681"/>
      <c r="F362" s="682"/>
      <c r="G362" s="683">
        <f>SUM(G360:G361)</f>
        <v>3938</v>
      </c>
      <c r="H362" s="592" t="s">
        <v>2312</v>
      </c>
    </row>
    <row r="363" spans="1:8" s="606" customFormat="1" ht="60">
      <c r="A363" s="678"/>
      <c r="B363" s="678">
        <v>9</v>
      </c>
      <c r="C363" s="421" t="s">
        <v>290</v>
      </c>
      <c r="D363" s="685"/>
      <c r="E363" s="678"/>
      <c r="F363" s="678"/>
      <c r="G363" s="704"/>
      <c r="H363" s="592" t="s">
        <v>2312</v>
      </c>
    </row>
    <row r="364" spans="1:8" s="606" customFormat="1" ht="15">
      <c r="A364" s="678"/>
      <c r="B364" s="678"/>
      <c r="C364" s="679" t="s">
        <v>356</v>
      </c>
      <c r="D364" s="680" t="s">
        <v>357</v>
      </c>
      <c r="E364" s="682">
        <v>1</v>
      </c>
      <c r="F364" s="682">
        <f>'MINI SSR 21-22'!H66</f>
        <v>5</v>
      </c>
      <c r="G364" s="686">
        <f>ROUND(E364*F364,2)</f>
        <v>5</v>
      </c>
      <c r="H364" s="592" t="s">
        <v>2312</v>
      </c>
    </row>
    <row r="365" spans="1:8" s="606" customFormat="1" ht="15">
      <c r="A365" s="678"/>
      <c r="B365" s="706"/>
      <c r="C365" s="679" t="s">
        <v>358</v>
      </c>
      <c r="D365" s="680" t="s">
        <v>357</v>
      </c>
      <c r="E365" s="682">
        <v>1</v>
      </c>
      <c r="F365" s="682">
        <f>'MINI SSR 21-22'!H67</f>
        <v>1</v>
      </c>
      <c r="G365" s="686">
        <f>ROUND(E365*F365,2)</f>
        <v>1</v>
      </c>
      <c r="H365" s="592" t="s">
        <v>2312</v>
      </c>
    </row>
    <row r="366" spans="1:8" s="606" customFormat="1" ht="15">
      <c r="A366" s="678"/>
      <c r="B366" s="706"/>
      <c r="C366" s="679"/>
      <c r="D366" s="680"/>
      <c r="E366" s="682"/>
      <c r="F366" s="682"/>
      <c r="G366" s="683">
        <f>SUM(G364:G365)</f>
        <v>6</v>
      </c>
      <c r="H366" s="592" t="s">
        <v>2312</v>
      </c>
    </row>
    <row r="367" spans="1:8">
      <c r="A367" s="678"/>
      <c r="B367" s="684"/>
      <c r="C367" s="689" t="s">
        <v>332</v>
      </c>
      <c r="D367" s="690"/>
      <c r="E367" s="691"/>
      <c r="F367" s="691"/>
      <c r="G367" s="692">
        <v>0</v>
      </c>
      <c r="H367" s="592" t="s">
        <v>2312</v>
      </c>
    </row>
    <row r="368" spans="1:8" s="606" customFormat="1" ht="15">
      <c r="A368" s="678"/>
      <c r="B368" s="706"/>
      <c r="C368" s="679"/>
      <c r="D368" s="680"/>
      <c r="E368" s="682"/>
      <c r="F368" s="682"/>
      <c r="G368" s="683">
        <f>SUM(G366:G367)</f>
        <v>6</v>
      </c>
      <c r="H368" s="592" t="s">
        <v>2312</v>
      </c>
    </row>
    <row r="369" spans="1:8" s="606" customFormat="1" ht="72">
      <c r="A369" s="678"/>
      <c r="B369" s="678">
        <v>4</v>
      </c>
      <c r="C369" s="421" t="s">
        <v>276</v>
      </c>
      <c r="D369" s="678"/>
      <c r="E369" s="678"/>
      <c r="F369" s="678"/>
      <c r="G369" s="704"/>
      <c r="H369" s="592" t="s">
        <v>2312</v>
      </c>
    </row>
    <row r="370" spans="1:8" s="606" customFormat="1" ht="15">
      <c r="A370" s="678"/>
      <c r="B370" s="678"/>
      <c r="C370" s="421" t="s">
        <v>359</v>
      </c>
      <c r="D370" s="701" t="s">
        <v>277</v>
      </c>
      <c r="E370" s="702">
        <v>1</v>
      </c>
      <c r="F370" s="682">
        <f>'MINI SSR 21-22'!H68</f>
        <v>56</v>
      </c>
      <c r="G370" s="686">
        <f>ROUND(E370*F370,2)</f>
        <v>56</v>
      </c>
      <c r="H370" s="592" t="s">
        <v>2312</v>
      </c>
    </row>
    <row r="371" spans="1:8">
      <c r="A371" s="678"/>
      <c r="B371" s="684"/>
      <c r="C371" s="689" t="s">
        <v>332</v>
      </c>
      <c r="D371" s="690"/>
      <c r="E371" s="691"/>
      <c r="F371" s="691"/>
      <c r="G371" s="692">
        <v>0</v>
      </c>
      <c r="H371" s="592" t="s">
        <v>2312</v>
      </c>
    </row>
    <row r="372" spans="1:8" s="606" customFormat="1" ht="15">
      <c r="A372" s="678"/>
      <c r="B372" s="706"/>
      <c r="C372" s="679"/>
      <c r="D372" s="680"/>
      <c r="E372" s="682"/>
      <c r="F372" s="682"/>
      <c r="G372" s="703">
        <f>SUM(G370:G371)</f>
        <v>56</v>
      </c>
      <c r="H372" s="592" t="s">
        <v>2312</v>
      </c>
    </row>
    <row r="373" spans="1:8" s="606" customFormat="1" ht="15">
      <c r="A373" s="678"/>
      <c r="B373" s="678"/>
      <c r="C373" s="421" t="s">
        <v>360</v>
      </c>
      <c r="D373" s="680" t="s">
        <v>277</v>
      </c>
      <c r="E373" s="682">
        <v>1</v>
      </c>
      <c r="F373" s="682">
        <f>'MINI SSR 21-22'!H69</f>
        <v>89</v>
      </c>
      <c r="G373" s="686">
        <f>ROUND(E373*F373,2)</f>
        <v>89</v>
      </c>
      <c r="H373" s="592" t="s">
        <v>2312</v>
      </c>
    </row>
    <row r="374" spans="1:8">
      <c r="A374" s="678"/>
      <c r="B374" s="684"/>
      <c r="C374" s="689" t="s">
        <v>332</v>
      </c>
      <c r="D374" s="690"/>
      <c r="E374" s="691"/>
      <c r="F374" s="691"/>
      <c r="G374" s="692">
        <v>0</v>
      </c>
      <c r="H374" s="592" t="s">
        <v>2312</v>
      </c>
    </row>
    <row r="375" spans="1:8" s="606" customFormat="1" ht="15">
      <c r="A375" s="678"/>
      <c r="B375" s="706"/>
      <c r="C375" s="679"/>
      <c r="D375" s="680"/>
      <c r="E375" s="682"/>
      <c r="F375" s="682"/>
      <c r="G375" s="703">
        <f>SUM(G373:G374)</f>
        <v>89</v>
      </c>
      <c r="H375" s="592" t="s">
        <v>2312</v>
      </c>
    </row>
    <row r="376" spans="1:8" s="606" customFormat="1" ht="15">
      <c r="A376" s="678"/>
      <c r="B376" s="678"/>
      <c r="C376" s="421" t="s">
        <v>361</v>
      </c>
      <c r="D376" s="701" t="s">
        <v>277</v>
      </c>
      <c r="E376" s="702">
        <v>1</v>
      </c>
      <c r="F376" s="682">
        <f>'MINI SSR 21-22'!H70</f>
        <v>129</v>
      </c>
      <c r="G376" s="686">
        <f>ROUND(E376*F376,2)</f>
        <v>129</v>
      </c>
      <c r="H376" s="592" t="s">
        <v>2312</v>
      </c>
    </row>
    <row r="377" spans="1:8">
      <c r="A377" s="678"/>
      <c r="B377" s="684"/>
      <c r="C377" s="689" t="s">
        <v>332</v>
      </c>
      <c r="D377" s="690"/>
      <c r="E377" s="691"/>
      <c r="F377" s="691"/>
      <c r="G377" s="692">
        <v>0</v>
      </c>
      <c r="H377" s="592" t="s">
        <v>2312</v>
      </c>
    </row>
    <row r="378" spans="1:8" s="606" customFormat="1" ht="15">
      <c r="A378" s="678"/>
      <c r="B378" s="706"/>
      <c r="C378" s="679"/>
      <c r="D378" s="680"/>
      <c r="E378" s="682"/>
      <c r="F378" s="682"/>
      <c r="G378" s="703">
        <f>SUM(G376:G377)</f>
        <v>129</v>
      </c>
      <c r="H378" s="592" t="s">
        <v>2312</v>
      </c>
    </row>
    <row r="379" spans="1:8" s="606" customFormat="1" ht="15">
      <c r="A379" s="678"/>
      <c r="B379" s="678"/>
      <c r="C379" s="421" t="s">
        <v>362</v>
      </c>
      <c r="D379" s="701" t="s">
        <v>277</v>
      </c>
      <c r="E379" s="702">
        <v>1</v>
      </c>
      <c r="F379" s="682">
        <f>'MINI SSR 21-22'!H71</f>
        <v>202</v>
      </c>
      <c r="G379" s="686">
        <f>ROUND(E379*F379,2)</f>
        <v>202</v>
      </c>
      <c r="H379" s="592" t="s">
        <v>2312</v>
      </c>
    </row>
    <row r="380" spans="1:8">
      <c r="A380" s="678"/>
      <c r="B380" s="684"/>
      <c r="C380" s="689" t="s">
        <v>332</v>
      </c>
      <c r="D380" s="690"/>
      <c r="E380" s="691"/>
      <c r="F380" s="691"/>
      <c r="G380" s="692">
        <v>0</v>
      </c>
      <c r="H380" s="592" t="s">
        <v>2312</v>
      </c>
    </row>
    <row r="381" spans="1:8" s="606" customFormat="1" ht="15">
      <c r="A381" s="678"/>
      <c r="B381" s="706"/>
      <c r="C381" s="679"/>
      <c r="D381" s="680"/>
      <c r="E381" s="682"/>
      <c r="F381" s="682"/>
      <c r="G381" s="703">
        <f>SUM(G379:G380)</f>
        <v>202</v>
      </c>
      <c r="H381" s="592" t="s">
        <v>2312</v>
      </c>
    </row>
    <row r="382" spans="1:8" s="705" customFormat="1" ht="48">
      <c r="A382" s="678"/>
      <c r="B382" s="678">
        <v>16</v>
      </c>
      <c r="C382" s="421" t="s">
        <v>1261</v>
      </c>
      <c r="D382" s="421"/>
      <c r="E382" s="678"/>
      <c r="F382" s="678"/>
      <c r="G382" s="704"/>
      <c r="H382" s="592" t="s">
        <v>2312</v>
      </c>
    </row>
    <row r="383" spans="1:8" s="705" customFormat="1">
      <c r="A383" s="685"/>
      <c r="B383" s="678"/>
      <c r="C383" s="679" t="s">
        <v>380</v>
      </c>
      <c r="D383" s="680" t="s">
        <v>279</v>
      </c>
      <c r="E383" s="681">
        <v>1</v>
      </c>
      <c r="F383" s="682">
        <f>'MINI SSR 21-22'!H72</f>
        <v>33</v>
      </c>
      <c r="G383" s="686">
        <f>ROUND(E383*F383,2)</f>
        <v>33</v>
      </c>
      <c r="H383" s="592" t="s">
        <v>2312</v>
      </c>
    </row>
    <row r="384" spans="1:8">
      <c r="A384" s="678"/>
      <c r="B384" s="684"/>
      <c r="C384" s="689" t="s">
        <v>332</v>
      </c>
      <c r="D384" s="690"/>
      <c r="E384" s="691"/>
      <c r="F384" s="691"/>
      <c r="G384" s="692">
        <v>0</v>
      </c>
      <c r="H384" s="592" t="s">
        <v>2312</v>
      </c>
    </row>
    <row r="385" spans="1:8" s="705" customFormat="1">
      <c r="A385" s="685"/>
      <c r="B385" s="678"/>
      <c r="C385" s="679"/>
      <c r="D385" s="680"/>
      <c r="E385" s="681"/>
      <c r="F385" s="682"/>
      <c r="G385" s="683">
        <f>SUM(G383:G384)</f>
        <v>33</v>
      </c>
      <c r="H385" s="592" t="s">
        <v>2312</v>
      </c>
    </row>
    <row r="386" spans="1:8" s="705" customFormat="1" ht="72">
      <c r="A386" s="678"/>
      <c r="B386" s="678">
        <v>5</v>
      </c>
      <c r="C386" s="421" t="s">
        <v>363</v>
      </c>
      <c r="D386" s="678"/>
      <c r="E386" s="678"/>
      <c r="F386" s="678"/>
      <c r="G386" s="704"/>
      <c r="H386" s="592" t="s">
        <v>2312</v>
      </c>
    </row>
    <row r="387" spans="1:8" s="705" customFormat="1">
      <c r="A387" s="685"/>
      <c r="B387" s="678"/>
      <c r="C387" s="679" t="s">
        <v>364</v>
      </c>
      <c r="D387" s="680" t="s">
        <v>279</v>
      </c>
      <c r="E387" s="681">
        <v>1</v>
      </c>
      <c r="F387" s="682">
        <f>'MINI SSR 21-22'!H73</f>
        <v>33</v>
      </c>
      <c r="G387" s="686">
        <f>ROUND(E387*F387,2)</f>
        <v>33</v>
      </c>
      <c r="H387" s="592" t="s">
        <v>2312</v>
      </c>
    </row>
    <row r="388" spans="1:8">
      <c r="A388" s="678"/>
      <c r="B388" s="684"/>
      <c r="C388" s="689" t="s">
        <v>332</v>
      </c>
      <c r="D388" s="690"/>
      <c r="E388" s="691"/>
      <c r="F388" s="691"/>
      <c r="G388" s="692">
        <v>0</v>
      </c>
      <c r="H388" s="592" t="s">
        <v>2312</v>
      </c>
    </row>
    <row r="389" spans="1:8" s="705" customFormat="1">
      <c r="A389" s="685"/>
      <c r="B389" s="678"/>
      <c r="C389" s="679"/>
      <c r="D389" s="680"/>
      <c r="E389" s="681"/>
      <c r="F389" s="682"/>
      <c r="G389" s="683">
        <f>SUM(G387:G388)</f>
        <v>33</v>
      </c>
      <c r="H389" s="592" t="s">
        <v>2312</v>
      </c>
    </row>
    <row r="390" spans="1:8" s="606" customFormat="1" ht="48">
      <c r="A390" s="678"/>
      <c r="B390" s="678">
        <v>18</v>
      </c>
      <c r="C390" s="421" t="s">
        <v>365</v>
      </c>
      <c r="D390" s="685"/>
      <c r="E390" s="678"/>
      <c r="F390" s="678"/>
      <c r="G390" s="704"/>
      <c r="H390" s="592" t="s">
        <v>2312</v>
      </c>
    </row>
    <row r="391" spans="1:8" s="606" customFormat="1" ht="15">
      <c r="A391" s="678"/>
      <c r="B391" s="678"/>
      <c r="C391" s="679" t="s">
        <v>366</v>
      </c>
      <c r="D391" s="680" t="s">
        <v>115</v>
      </c>
      <c r="E391" s="682">
        <v>1</v>
      </c>
      <c r="F391" s="682">
        <f>'MINI SSR 21-22'!H74</f>
        <v>1101</v>
      </c>
      <c r="G391" s="686">
        <f>ROUND(E391*F391,2)</f>
        <v>1101</v>
      </c>
      <c r="H391" s="592" t="s">
        <v>2312</v>
      </c>
    </row>
    <row r="392" spans="1:8">
      <c r="A392" s="678"/>
      <c r="B392" s="684"/>
      <c r="C392" s="689" t="s">
        <v>332</v>
      </c>
      <c r="D392" s="690"/>
      <c r="E392" s="691"/>
      <c r="F392" s="691"/>
      <c r="G392" s="692">
        <v>0</v>
      </c>
      <c r="H392" s="592" t="s">
        <v>2312</v>
      </c>
    </row>
    <row r="393" spans="1:8" s="606" customFormat="1" ht="15">
      <c r="A393" s="678"/>
      <c r="B393" s="706"/>
      <c r="C393" s="679"/>
      <c r="D393" s="680"/>
      <c r="E393" s="682"/>
      <c r="F393" s="682"/>
      <c r="G393" s="683">
        <f>SUM(G391:G392)</f>
        <v>1101</v>
      </c>
      <c r="H393" s="592" t="s">
        <v>2312</v>
      </c>
    </row>
    <row r="394" spans="1:8" s="705" customFormat="1" ht="108">
      <c r="A394" s="707"/>
      <c r="B394" s="678">
        <v>19</v>
      </c>
      <c r="C394" s="685" t="s">
        <v>367</v>
      </c>
      <c r="D394" s="685"/>
      <c r="E394" s="685"/>
      <c r="F394" s="685"/>
      <c r="G394" s="708"/>
      <c r="H394" s="592" t="s">
        <v>2312</v>
      </c>
    </row>
    <row r="395" spans="1:8" s="705" customFormat="1">
      <c r="A395" s="709"/>
      <c r="B395" s="706"/>
      <c r="C395" s="710" t="s">
        <v>368</v>
      </c>
      <c r="D395" s="711"/>
      <c r="E395" s="711"/>
      <c r="F395" s="712"/>
      <c r="G395" s="713"/>
      <c r="H395" s="592" t="s">
        <v>2312</v>
      </c>
    </row>
    <row r="396" spans="1:8" s="705" customFormat="1">
      <c r="A396" s="709"/>
      <c r="B396" s="678"/>
      <c r="C396" s="709" t="s">
        <v>369</v>
      </c>
      <c r="D396" s="712" t="s">
        <v>370</v>
      </c>
      <c r="E396" s="711">
        <v>1</v>
      </c>
      <c r="F396" s="711">
        <f>'MINI SSR 21-22'!C78</f>
        <v>426</v>
      </c>
      <c r="G396" s="686">
        <f t="shared" ref="G396:G401" si="4">ROUND(E396*F396,2)</f>
        <v>426</v>
      </c>
      <c r="H396" s="592" t="s">
        <v>2312</v>
      </c>
    </row>
    <row r="397" spans="1:8" s="705" customFormat="1">
      <c r="A397" s="709"/>
      <c r="B397" s="678"/>
      <c r="C397" s="714" t="s">
        <v>371</v>
      </c>
      <c r="D397" s="712" t="s">
        <v>115</v>
      </c>
      <c r="E397" s="711">
        <v>1</v>
      </c>
      <c r="F397" s="711">
        <f>'MINI SSR 21-22'!H75</f>
        <v>73</v>
      </c>
      <c r="G397" s="686">
        <f t="shared" si="4"/>
        <v>73</v>
      </c>
      <c r="H397" s="592" t="s">
        <v>2312</v>
      </c>
    </row>
    <row r="398" spans="1:8" s="705" customFormat="1">
      <c r="A398" s="709"/>
      <c r="B398" s="678"/>
      <c r="C398" s="714" t="s">
        <v>372</v>
      </c>
      <c r="D398" s="712" t="s">
        <v>115</v>
      </c>
      <c r="E398" s="711">
        <v>3</v>
      </c>
      <c r="F398" s="711">
        <f>'MINI SSR 21-22'!H76</f>
        <v>16</v>
      </c>
      <c r="G398" s="686">
        <f t="shared" si="4"/>
        <v>48</v>
      </c>
      <c r="H398" s="592" t="s">
        <v>2312</v>
      </c>
    </row>
    <row r="399" spans="1:8" s="705" customFormat="1">
      <c r="A399" s="709"/>
      <c r="B399" s="678"/>
      <c r="C399" s="715" t="s">
        <v>373</v>
      </c>
      <c r="D399" s="712" t="s">
        <v>108</v>
      </c>
      <c r="E399" s="711">
        <v>0.3</v>
      </c>
      <c r="F399" s="711">
        <f>'MINI SSR 21-22'!H8</f>
        <v>655</v>
      </c>
      <c r="G399" s="686">
        <f t="shared" si="4"/>
        <v>196.5</v>
      </c>
      <c r="H399" s="592" t="s">
        <v>2312</v>
      </c>
    </row>
    <row r="400" spans="1:8" s="705" customFormat="1">
      <c r="A400" s="709"/>
      <c r="B400" s="678"/>
      <c r="C400" s="715" t="s">
        <v>374</v>
      </c>
      <c r="D400" s="712" t="s">
        <v>108</v>
      </c>
      <c r="E400" s="711">
        <v>0.7</v>
      </c>
      <c r="F400" s="711">
        <f>'MINI SSR 21-22'!H9</f>
        <v>525</v>
      </c>
      <c r="G400" s="686">
        <f t="shared" si="4"/>
        <v>367.5</v>
      </c>
      <c r="H400" s="592" t="s">
        <v>2312</v>
      </c>
    </row>
    <row r="401" spans="1:8" s="705" customFormat="1">
      <c r="A401" s="709"/>
      <c r="B401" s="678"/>
      <c r="C401" s="715" t="s">
        <v>375</v>
      </c>
      <c r="D401" s="712" t="s">
        <v>108</v>
      </c>
      <c r="E401" s="711">
        <v>1</v>
      </c>
      <c r="F401" s="711">
        <f>'MINI SSR 21-22'!H5</f>
        <v>490</v>
      </c>
      <c r="G401" s="686">
        <f t="shared" si="4"/>
        <v>490</v>
      </c>
      <c r="H401" s="592" t="s">
        <v>2312</v>
      </c>
    </row>
    <row r="402" spans="1:8" s="705" customFormat="1">
      <c r="A402" s="709"/>
      <c r="B402" s="678"/>
      <c r="C402" s="715"/>
      <c r="D402" s="712"/>
      <c r="E402" s="711"/>
      <c r="F402" s="711"/>
      <c r="G402" s="713">
        <f>SUM(G396:G401)</f>
        <v>1601</v>
      </c>
      <c r="H402" s="592" t="s">
        <v>2312</v>
      </c>
    </row>
    <row r="403" spans="1:8">
      <c r="A403" s="678"/>
      <c r="B403" s="684"/>
      <c r="C403" s="689" t="s">
        <v>332</v>
      </c>
      <c r="D403" s="690"/>
      <c r="E403" s="691"/>
      <c r="F403" s="691"/>
      <c r="G403" s="692">
        <v>0</v>
      </c>
      <c r="H403" s="592" t="s">
        <v>2312</v>
      </c>
    </row>
    <row r="404" spans="1:8" s="705" customFormat="1">
      <c r="A404" s="709"/>
      <c r="B404" s="706"/>
      <c r="C404" s="715" t="s">
        <v>376</v>
      </c>
      <c r="D404" s="712"/>
      <c r="E404" s="711"/>
      <c r="F404" s="711"/>
      <c r="G404" s="713">
        <f>SUM(G402:G403)</f>
        <v>1601</v>
      </c>
      <c r="H404" s="592" t="s">
        <v>2312</v>
      </c>
    </row>
    <row r="405" spans="1:8" s="705" customFormat="1">
      <c r="A405" s="709"/>
      <c r="B405" s="706"/>
      <c r="C405" s="715" t="s">
        <v>377</v>
      </c>
      <c r="D405" s="712"/>
      <c r="E405" s="711"/>
      <c r="F405" s="711"/>
      <c r="G405" s="716">
        <f>G404/3</f>
        <v>533.66666666666663</v>
      </c>
      <c r="H405" s="592" t="s">
        <v>2312</v>
      </c>
    </row>
    <row r="406" spans="1:8" s="620" customFormat="1" ht="113.25" customHeight="1">
      <c r="A406" s="717"/>
      <c r="B406" s="717">
        <v>11</v>
      </c>
      <c r="C406" s="818" t="s">
        <v>595</v>
      </c>
      <c r="D406" s="818"/>
      <c r="E406" s="621"/>
      <c r="F406" s="621"/>
      <c r="G406" s="38"/>
      <c r="H406" s="592" t="s">
        <v>2312</v>
      </c>
    </row>
    <row r="407" spans="1:8" s="620" customFormat="1">
      <c r="A407" s="623"/>
      <c r="B407" s="621"/>
      <c r="C407" s="624" t="s">
        <v>596</v>
      </c>
      <c r="D407" s="16" t="s">
        <v>279</v>
      </c>
      <c r="E407" s="718">
        <v>1</v>
      </c>
      <c r="F407" s="10">
        <f>'MINI SSR 21-22'!C86</f>
        <v>470</v>
      </c>
      <c r="G407" s="9">
        <f>(E407*F407)/1</f>
        <v>470</v>
      </c>
      <c r="H407" s="592" t="s">
        <v>2312</v>
      </c>
    </row>
    <row r="408" spans="1:8" s="620" customFormat="1">
      <c r="A408" s="623"/>
      <c r="B408" s="621"/>
      <c r="C408" s="624"/>
      <c r="D408" s="16"/>
      <c r="E408" s="718"/>
      <c r="F408" s="10"/>
      <c r="G408" s="9"/>
      <c r="H408" s="592" t="s">
        <v>2312</v>
      </c>
    </row>
    <row r="409" spans="1:8" s="620" customFormat="1">
      <c r="A409" s="623"/>
      <c r="B409" s="621"/>
      <c r="C409" s="624" t="s">
        <v>597</v>
      </c>
      <c r="D409" s="16" t="s">
        <v>279</v>
      </c>
      <c r="E409" s="718">
        <v>1</v>
      </c>
      <c r="F409" s="10">
        <f>'MINI SSR 21-22'!C87</f>
        <v>502</v>
      </c>
      <c r="G409" s="9">
        <f>(E409*F409)/1</f>
        <v>502</v>
      </c>
      <c r="H409" s="592" t="s">
        <v>2312</v>
      </c>
    </row>
    <row r="410" spans="1:8" s="620" customFormat="1">
      <c r="A410" s="623"/>
      <c r="B410" s="621"/>
      <c r="C410" s="624"/>
      <c r="D410" s="16"/>
      <c r="E410" s="718"/>
      <c r="F410" s="10"/>
      <c r="G410" s="9"/>
      <c r="H410" s="592" t="s">
        <v>2312</v>
      </c>
    </row>
    <row r="411" spans="1:8" s="620" customFormat="1">
      <c r="A411" s="623"/>
      <c r="B411" s="621"/>
      <c r="C411" s="624" t="s">
        <v>598</v>
      </c>
      <c r="D411" s="16" t="s">
        <v>279</v>
      </c>
      <c r="E411" s="718">
        <v>1</v>
      </c>
      <c r="F411" s="10">
        <f>'MINI SSR 21-22'!C88</f>
        <v>563</v>
      </c>
      <c r="G411" s="9">
        <f>(E411*F411)/1</f>
        <v>563</v>
      </c>
      <c r="H411" s="592" t="s">
        <v>2312</v>
      </c>
    </row>
    <row r="412" spans="1:8" s="620" customFormat="1">
      <c r="A412" s="623"/>
      <c r="B412" s="621"/>
      <c r="C412" s="624"/>
      <c r="D412" s="16"/>
      <c r="E412" s="718"/>
      <c r="F412" s="10"/>
      <c r="G412" s="9"/>
      <c r="H412" s="592" t="s">
        <v>2312</v>
      </c>
    </row>
    <row r="413" spans="1:8" s="620" customFormat="1" ht="51">
      <c r="A413" s="621"/>
      <c r="B413" s="621">
        <v>12</v>
      </c>
      <c r="C413" s="818" t="s">
        <v>592</v>
      </c>
      <c r="D413" s="818"/>
      <c r="E413" s="621"/>
      <c r="F413" s="621"/>
      <c r="G413" s="38"/>
      <c r="H413" s="592" t="s">
        <v>2312</v>
      </c>
    </row>
    <row r="414" spans="1:8" s="620" customFormat="1">
      <c r="A414" s="623"/>
      <c r="B414" s="621"/>
      <c r="C414" s="624" t="s">
        <v>599</v>
      </c>
      <c r="D414" s="16" t="s">
        <v>275</v>
      </c>
      <c r="E414" s="718">
        <v>1</v>
      </c>
      <c r="F414" s="10">
        <f>'MINI SSR 21-22'!C89</f>
        <v>26730</v>
      </c>
      <c r="G414" s="9">
        <f>(E414*F414)/1</f>
        <v>26730</v>
      </c>
      <c r="H414" s="592" t="s">
        <v>2312</v>
      </c>
    </row>
    <row r="415" spans="1:8" s="620" customFormat="1">
      <c r="A415" s="623"/>
      <c r="B415" s="621"/>
      <c r="C415" s="624"/>
      <c r="D415" s="16"/>
      <c r="E415" s="718"/>
      <c r="F415" s="10"/>
      <c r="G415" s="9">
        <f>SUM(G414:G414)</f>
        <v>26730</v>
      </c>
      <c r="H415" s="592" t="s">
        <v>2312</v>
      </c>
    </row>
    <row r="416" spans="1:8" s="620" customFormat="1" ht="51">
      <c r="A416" s="621"/>
      <c r="B416" s="621">
        <v>13</v>
      </c>
      <c r="C416" s="818" t="s">
        <v>1534</v>
      </c>
      <c r="D416" s="818"/>
      <c r="E416" s="621"/>
      <c r="F416" s="621"/>
      <c r="G416" s="38"/>
      <c r="H416" s="592" t="s">
        <v>2312</v>
      </c>
    </row>
    <row r="417" spans="1:8" s="620" customFormat="1">
      <c r="A417" s="623"/>
      <c r="B417" s="621"/>
      <c r="C417" s="624" t="s">
        <v>1568</v>
      </c>
      <c r="D417" s="16" t="s">
        <v>275</v>
      </c>
      <c r="E417" s="718">
        <v>1</v>
      </c>
      <c r="F417" s="10">
        <f>'MINI SSR 21-22'!C90</f>
        <v>18370</v>
      </c>
      <c r="G417" s="9">
        <f>(E417*F417)/1</f>
        <v>18370</v>
      </c>
      <c r="H417" s="592" t="s">
        <v>2312</v>
      </c>
    </row>
    <row r="418" spans="1:8" s="620" customFormat="1">
      <c r="A418" s="623"/>
      <c r="B418" s="621"/>
      <c r="C418" s="624"/>
      <c r="D418" s="16"/>
      <c r="E418" s="718"/>
      <c r="F418" s="10"/>
      <c r="G418" s="9">
        <f>SUM(G417:G417)</f>
        <v>18370</v>
      </c>
      <c r="H418" s="592" t="s">
        <v>2312</v>
      </c>
    </row>
    <row r="419" spans="1:8" s="620" customFormat="1" ht="51">
      <c r="A419" s="621"/>
      <c r="B419" s="621">
        <v>14</v>
      </c>
      <c r="C419" s="818" t="s">
        <v>600</v>
      </c>
      <c r="D419" s="818"/>
      <c r="E419" s="621"/>
      <c r="F419" s="621"/>
      <c r="G419" s="38"/>
      <c r="H419" s="592" t="s">
        <v>2312</v>
      </c>
    </row>
    <row r="420" spans="1:8" s="620" customFormat="1">
      <c r="A420" s="623"/>
      <c r="B420" s="621"/>
      <c r="C420" s="818" t="s">
        <v>378</v>
      </c>
      <c r="D420" s="16" t="s">
        <v>289</v>
      </c>
      <c r="E420" s="718">
        <v>1</v>
      </c>
      <c r="F420" s="10">
        <f>'MINI SSR 21-22'!C91</f>
        <v>342</v>
      </c>
      <c r="G420" s="9">
        <f>(E420*F420)/1</f>
        <v>342</v>
      </c>
      <c r="H420" s="592" t="s">
        <v>2312</v>
      </c>
    </row>
    <row r="421" spans="1:8" s="620" customFormat="1">
      <c r="A421" s="623"/>
      <c r="B421" s="621"/>
      <c r="C421" s="624"/>
      <c r="D421" s="16"/>
      <c r="E421" s="718"/>
      <c r="F421" s="10"/>
      <c r="G421" s="9">
        <f>SUM(G420:G420)</f>
        <v>342</v>
      </c>
      <c r="H421" s="592" t="s">
        <v>2312</v>
      </c>
    </row>
    <row r="422" spans="1:8" s="620" customFormat="1" ht="38.25">
      <c r="A422" s="621"/>
      <c r="B422" s="621">
        <v>15</v>
      </c>
      <c r="C422" s="357" t="s">
        <v>283</v>
      </c>
      <c r="D422" s="357"/>
      <c r="E422" s="717"/>
      <c r="F422" s="717"/>
      <c r="G422" s="719"/>
      <c r="H422" s="592" t="s">
        <v>2312</v>
      </c>
    </row>
    <row r="423" spans="1:8" s="620" customFormat="1">
      <c r="A423" s="623"/>
      <c r="B423" s="621"/>
      <c r="C423" s="608" t="s">
        <v>379</v>
      </c>
      <c r="D423" s="605" t="s">
        <v>279</v>
      </c>
      <c r="E423" s="610">
        <v>1</v>
      </c>
      <c r="F423" s="607">
        <f>'MINI SSR 21-22'!C92</f>
        <v>73</v>
      </c>
      <c r="G423" s="609">
        <f>(E423*F423)/1</f>
        <v>73</v>
      </c>
      <c r="H423" s="592" t="s">
        <v>2312</v>
      </c>
    </row>
    <row r="424" spans="1:8" s="620" customFormat="1">
      <c r="A424" s="623"/>
      <c r="B424" s="621"/>
      <c r="C424" s="608"/>
      <c r="D424" s="605"/>
      <c r="E424" s="610"/>
      <c r="F424" s="607"/>
      <c r="G424" s="609">
        <f>SUM(G423:G423)</f>
        <v>73</v>
      </c>
      <c r="H424" s="592" t="s">
        <v>2312</v>
      </c>
    </row>
    <row r="425" spans="1:8" s="620" customFormat="1">
      <c r="A425" s="621"/>
      <c r="B425" s="621">
        <v>16</v>
      </c>
      <c r="C425" s="818" t="s">
        <v>287</v>
      </c>
      <c r="D425" s="818"/>
      <c r="E425" s="621"/>
      <c r="F425" s="621"/>
      <c r="G425" s="38"/>
      <c r="H425" s="592" t="s">
        <v>2312</v>
      </c>
    </row>
    <row r="426" spans="1:8" s="620" customFormat="1">
      <c r="A426" s="623"/>
      <c r="B426" s="621"/>
      <c r="C426" s="624" t="s">
        <v>380</v>
      </c>
      <c r="D426" s="16" t="s">
        <v>275</v>
      </c>
      <c r="E426" s="718">
        <v>1</v>
      </c>
      <c r="F426" s="10">
        <f>'MINI SSR 21-22'!C93</f>
        <v>177</v>
      </c>
      <c r="G426" s="9">
        <f>(E426*F426)/1</f>
        <v>177</v>
      </c>
      <c r="H426" s="592" t="s">
        <v>2312</v>
      </c>
    </row>
    <row r="427" spans="1:8" s="620" customFormat="1">
      <c r="A427" s="623"/>
      <c r="B427" s="621"/>
      <c r="C427" s="624"/>
      <c r="D427" s="16"/>
      <c r="E427" s="718"/>
      <c r="F427" s="10"/>
      <c r="G427" s="9">
        <f>SUM(G426:G426)</f>
        <v>177</v>
      </c>
      <c r="H427" s="592" t="s">
        <v>2312</v>
      </c>
    </row>
    <row r="428" spans="1:8" s="620" customFormat="1">
      <c r="A428" s="621"/>
      <c r="B428" s="621">
        <v>17</v>
      </c>
      <c r="C428" s="818" t="s">
        <v>284</v>
      </c>
      <c r="D428" s="818"/>
      <c r="E428" s="621"/>
      <c r="F428" s="621"/>
      <c r="G428" s="38"/>
      <c r="H428" s="592" t="s">
        <v>2312</v>
      </c>
    </row>
    <row r="429" spans="1:8" s="620" customFormat="1">
      <c r="A429" s="623"/>
      <c r="B429" s="621"/>
      <c r="C429" s="624" t="s">
        <v>380</v>
      </c>
      <c r="D429" s="16" t="s">
        <v>275</v>
      </c>
      <c r="E429" s="718">
        <v>1</v>
      </c>
      <c r="F429" s="10">
        <f>'MINI SSR 21-22'!C94</f>
        <v>315</v>
      </c>
      <c r="G429" s="9">
        <f>(E429*F429)/1</f>
        <v>315</v>
      </c>
      <c r="H429" s="592" t="s">
        <v>2312</v>
      </c>
    </row>
    <row r="430" spans="1:8" s="620" customFormat="1">
      <c r="A430" s="623"/>
      <c r="B430" s="621"/>
      <c r="C430" s="624"/>
      <c r="D430" s="16"/>
      <c r="E430" s="718"/>
      <c r="F430" s="10"/>
      <c r="G430" s="9">
        <f>SUM(G429:G429)</f>
        <v>315</v>
      </c>
      <c r="H430" s="592" t="s">
        <v>2312</v>
      </c>
    </row>
    <row r="431" spans="1:8" s="620" customFormat="1">
      <c r="A431" s="621"/>
      <c r="B431" s="621">
        <v>18</v>
      </c>
      <c r="C431" s="818" t="s">
        <v>1996</v>
      </c>
      <c r="D431" s="818"/>
      <c r="E431" s="621"/>
      <c r="F431" s="621"/>
      <c r="G431" s="38"/>
      <c r="H431" s="592" t="s">
        <v>2312</v>
      </c>
    </row>
    <row r="432" spans="1:8" s="620" customFormat="1">
      <c r="A432" s="623"/>
      <c r="B432" s="621"/>
      <c r="C432" s="624" t="s">
        <v>379</v>
      </c>
      <c r="D432" s="16" t="s">
        <v>279</v>
      </c>
      <c r="E432" s="718">
        <v>1</v>
      </c>
      <c r="F432" s="10">
        <f>'MINI SSR 21-22'!C95</f>
        <v>420</v>
      </c>
      <c r="G432" s="9">
        <f>(E432*F432)/1</f>
        <v>420</v>
      </c>
      <c r="H432" s="592" t="s">
        <v>2312</v>
      </c>
    </row>
    <row r="433" spans="1:8" s="620" customFormat="1">
      <c r="A433" s="623"/>
      <c r="B433" s="621"/>
      <c r="C433" s="624"/>
      <c r="D433" s="16"/>
      <c r="E433" s="718"/>
      <c r="F433" s="10"/>
      <c r="G433" s="9">
        <f>SUM(G432:G432)</f>
        <v>420</v>
      </c>
      <c r="H433" s="592" t="s">
        <v>2312</v>
      </c>
    </row>
    <row r="434" spans="1:8" s="620" customFormat="1">
      <c r="A434" s="621"/>
      <c r="B434" s="621">
        <v>19</v>
      </c>
      <c r="C434" s="818" t="s">
        <v>1997</v>
      </c>
      <c r="D434" s="818"/>
      <c r="E434" s="621"/>
      <c r="F434" s="621"/>
      <c r="G434" s="38"/>
      <c r="H434" s="592" t="s">
        <v>2312</v>
      </c>
    </row>
    <row r="435" spans="1:8" s="620" customFormat="1">
      <c r="A435" s="623"/>
      <c r="B435" s="621"/>
      <c r="C435" s="624" t="s">
        <v>380</v>
      </c>
      <c r="D435" s="16" t="s">
        <v>275</v>
      </c>
      <c r="E435" s="718">
        <v>1</v>
      </c>
      <c r="F435" s="10">
        <f>'MINI SSR 21-22'!C96</f>
        <v>73</v>
      </c>
      <c r="G435" s="9">
        <f>(E435*F435)/1</f>
        <v>73</v>
      </c>
      <c r="H435" s="592" t="s">
        <v>2312</v>
      </c>
    </row>
    <row r="436" spans="1:8" s="620" customFormat="1">
      <c r="A436" s="623"/>
      <c r="B436" s="621"/>
      <c r="C436" s="624"/>
      <c r="D436" s="16"/>
      <c r="E436" s="718"/>
      <c r="F436" s="10"/>
      <c r="G436" s="9">
        <f>SUM(G435:G435)</f>
        <v>73</v>
      </c>
      <c r="H436" s="592" t="s">
        <v>2312</v>
      </c>
    </row>
    <row r="437" spans="1:8" s="620" customFormat="1" ht="51">
      <c r="A437" s="621"/>
      <c r="B437" s="621">
        <v>20</v>
      </c>
      <c r="C437" s="818" t="s">
        <v>601</v>
      </c>
      <c r="D437" s="818"/>
      <c r="E437" s="621"/>
      <c r="F437" s="621"/>
      <c r="G437" s="38"/>
      <c r="H437" s="592" t="s">
        <v>2312</v>
      </c>
    </row>
    <row r="438" spans="1:8" s="620" customFormat="1">
      <c r="A438" s="623"/>
      <c r="B438" s="621"/>
      <c r="C438" s="624" t="s">
        <v>602</v>
      </c>
      <c r="D438" s="16" t="s">
        <v>279</v>
      </c>
      <c r="E438" s="718">
        <v>1</v>
      </c>
      <c r="F438" s="10">
        <f>'MINI SSR 21-22'!C97</f>
        <v>92</v>
      </c>
      <c r="G438" s="9">
        <f>(E438*F438)/1</f>
        <v>92</v>
      </c>
      <c r="H438" s="592" t="s">
        <v>2312</v>
      </c>
    </row>
    <row r="439" spans="1:8" s="620" customFormat="1">
      <c r="A439" s="623"/>
      <c r="B439" s="621"/>
      <c r="C439" s="624"/>
      <c r="D439" s="16"/>
      <c r="E439" s="718"/>
      <c r="F439" s="10"/>
      <c r="G439" s="9">
        <f>SUM(G438:G438)</f>
        <v>92</v>
      </c>
      <c r="H439" s="592" t="s">
        <v>2312</v>
      </c>
    </row>
    <row r="440" spans="1:8" s="620" customFormat="1" ht="102">
      <c r="A440" s="621"/>
      <c r="B440" s="621">
        <v>21</v>
      </c>
      <c r="C440" s="818" t="s">
        <v>381</v>
      </c>
      <c r="D440" s="818"/>
      <c r="E440" s="621"/>
      <c r="F440" s="621"/>
      <c r="G440" s="38"/>
      <c r="H440" s="592" t="s">
        <v>2312</v>
      </c>
    </row>
    <row r="441" spans="1:8" s="620" customFormat="1">
      <c r="A441" s="623"/>
      <c r="B441" s="621"/>
      <c r="C441" s="608" t="s">
        <v>382</v>
      </c>
      <c r="D441" s="16" t="s">
        <v>115</v>
      </c>
      <c r="E441" s="718">
        <v>1</v>
      </c>
      <c r="F441" s="10">
        <f>'MINI SSR 21-22'!C98</f>
        <v>4950</v>
      </c>
      <c r="G441" s="9">
        <f>(E441*F441)/1</f>
        <v>4950</v>
      </c>
      <c r="H441" s="592" t="s">
        <v>2312</v>
      </c>
    </row>
    <row r="442" spans="1:8" s="620" customFormat="1">
      <c r="A442" s="623"/>
      <c r="B442" s="621"/>
      <c r="C442" s="624"/>
      <c r="D442" s="16"/>
      <c r="E442" s="718"/>
      <c r="F442" s="10"/>
      <c r="G442" s="9">
        <f>SUM(G441:G441)</f>
        <v>4950</v>
      </c>
      <c r="H442" s="592" t="s">
        <v>2312</v>
      </c>
    </row>
    <row r="443" spans="1:8" s="606" customFormat="1" ht="15">
      <c r="A443" s="717"/>
      <c r="B443" s="717"/>
      <c r="C443" s="608"/>
      <c r="D443" s="605"/>
      <c r="E443" s="610"/>
      <c r="F443" s="607"/>
      <c r="G443" s="609"/>
      <c r="H443" s="592" t="s">
        <v>2312</v>
      </c>
    </row>
    <row r="444" spans="1:8" s="606" customFormat="1" ht="24">
      <c r="A444" s="678"/>
      <c r="B444" s="678">
        <v>12</v>
      </c>
      <c r="C444" s="421" t="s">
        <v>718</v>
      </c>
      <c r="D444" s="701"/>
      <c r="E444" s="680"/>
      <c r="F444" s="680"/>
      <c r="G444" s="701"/>
      <c r="H444" s="592" t="s">
        <v>2312</v>
      </c>
    </row>
    <row r="445" spans="1:8" s="606" customFormat="1" ht="15">
      <c r="A445" s="678"/>
      <c r="B445" s="678"/>
      <c r="C445" s="679" t="s">
        <v>338</v>
      </c>
      <c r="D445" s="680" t="s">
        <v>115</v>
      </c>
      <c r="E445" s="681">
        <v>1</v>
      </c>
      <c r="F445" s="682">
        <f>'MINI SSR 21-22'!C75</f>
        <v>89</v>
      </c>
      <c r="G445" s="686">
        <f>ROUND(E445*F445,2)</f>
        <v>89</v>
      </c>
      <c r="H445" s="592" t="s">
        <v>2312</v>
      </c>
    </row>
    <row r="446" spans="1:8" s="606" customFormat="1" ht="15">
      <c r="A446" s="678"/>
      <c r="B446" s="678"/>
      <c r="C446" s="679"/>
      <c r="D446" s="680"/>
      <c r="E446" s="681"/>
      <c r="F446" s="682"/>
      <c r="G446" s="683">
        <f>SUM(G445:G445)</f>
        <v>89</v>
      </c>
      <c r="H446" s="592" t="s">
        <v>2312</v>
      </c>
    </row>
    <row r="447" spans="1:8" s="606" customFormat="1" ht="15">
      <c r="A447" s="678"/>
      <c r="B447" s="678"/>
      <c r="C447" s="679" t="s">
        <v>2311</v>
      </c>
      <c r="D447" s="680"/>
      <c r="E447" s="681"/>
      <c r="F447" s="682"/>
      <c r="G447" s="683"/>
      <c r="H447" s="592" t="s">
        <v>2313</v>
      </c>
    </row>
    <row r="448" spans="1:8" s="366" customFormat="1" ht="72">
      <c r="A448" s="678"/>
      <c r="B448" s="684">
        <v>11</v>
      </c>
      <c r="C448" s="685" t="s">
        <v>328</v>
      </c>
      <c r="D448" s="685"/>
      <c r="E448" s="685"/>
      <c r="F448" s="685"/>
      <c r="G448" s="686"/>
      <c r="H448" s="592" t="s">
        <v>2313</v>
      </c>
    </row>
    <row r="449" spans="1:8" s="366" customFormat="1">
      <c r="A449" s="678"/>
      <c r="B449" s="684"/>
      <c r="C449" s="421" t="s">
        <v>329</v>
      </c>
      <c r="D449" s="687" t="s">
        <v>115</v>
      </c>
      <c r="E449" s="687">
        <v>1</v>
      </c>
      <c r="F449" s="688">
        <f>'MINI SSR 2022-23'!C66</f>
        <v>1979</v>
      </c>
      <c r="G449" s="686">
        <f>ROUND(E449*F449,2)</f>
        <v>1979</v>
      </c>
      <c r="H449" s="592" t="s">
        <v>2313</v>
      </c>
    </row>
    <row r="450" spans="1:8" s="366" customFormat="1">
      <c r="A450" s="678"/>
      <c r="B450" s="684"/>
      <c r="C450" s="421" t="s">
        <v>330</v>
      </c>
      <c r="D450" s="687" t="s">
        <v>115</v>
      </c>
      <c r="E450" s="687">
        <v>1</v>
      </c>
      <c r="F450" s="688">
        <f>'MINI SSR 2022-23'!C67</f>
        <v>2468</v>
      </c>
      <c r="G450" s="686">
        <f>ROUND(E450*F450,2)</f>
        <v>2468</v>
      </c>
      <c r="H450" s="592" t="s">
        <v>2313</v>
      </c>
    </row>
    <row r="451" spans="1:8" s="366" customFormat="1">
      <c r="A451" s="678"/>
      <c r="B451" s="684"/>
      <c r="C451" s="421" t="s">
        <v>331</v>
      </c>
      <c r="D451" s="687" t="s">
        <v>115</v>
      </c>
      <c r="E451" s="687">
        <v>1</v>
      </c>
      <c r="F451" s="688">
        <f>'MINI SSR 2022-23'!C68</f>
        <v>850</v>
      </c>
      <c r="G451" s="686">
        <f>ROUND(E451*F451,2)</f>
        <v>850</v>
      </c>
      <c r="H451" s="592" t="s">
        <v>2313</v>
      </c>
    </row>
    <row r="452" spans="1:8">
      <c r="A452" s="678"/>
      <c r="B452" s="684"/>
      <c r="C452" s="421"/>
      <c r="D452" s="687"/>
      <c r="E452" s="687"/>
      <c r="F452" s="688"/>
      <c r="G452" s="686">
        <f>SUM(G449:G451)</f>
        <v>5297</v>
      </c>
      <c r="H452" s="592" t="s">
        <v>2313</v>
      </c>
    </row>
    <row r="453" spans="1:8">
      <c r="A453" s="678"/>
      <c r="B453" s="684"/>
      <c r="C453" s="689" t="s">
        <v>332</v>
      </c>
      <c r="D453" s="690"/>
      <c r="E453" s="691"/>
      <c r="F453" s="691"/>
      <c r="G453" s="692">
        <v>0</v>
      </c>
      <c r="H453" s="592" t="s">
        <v>2313</v>
      </c>
    </row>
    <row r="454" spans="1:8">
      <c r="A454" s="678"/>
      <c r="B454" s="684"/>
      <c r="C454" s="421"/>
      <c r="D454" s="687"/>
      <c r="E454" s="687"/>
      <c r="F454" s="688"/>
      <c r="G454" s="686">
        <f>SUM(G452:G453)</f>
        <v>5297</v>
      </c>
      <c r="H454" s="592" t="s">
        <v>2313</v>
      </c>
    </row>
    <row r="455" spans="1:8" s="366" customFormat="1" ht="36">
      <c r="A455" s="678"/>
      <c r="B455" s="684">
        <v>2</v>
      </c>
      <c r="C455" s="685" t="s">
        <v>608</v>
      </c>
      <c r="D455" s="685"/>
      <c r="E455" s="685"/>
      <c r="F455" s="685"/>
      <c r="G455" s="686"/>
      <c r="H455" s="592" t="s">
        <v>2313</v>
      </c>
    </row>
    <row r="456" spans="1:8" s="366" customFormat="1">
      <c r="A456" s="678"/>
      <c r="B456" s="684"/>
      <c r="C456" s="421" t="s">
        <v>609</v>
      </c>
      <c r="D456" s="687" t="s">
        <v>115</v>
      </c>
      <c r="E456" s="687">
        <v>1</v>
      </c>
      <c r="F456" s="688">
        <f>'MINI SSR 2022-23'!C69</f>
        <v>1036</v>
      </c>
      <c r="G456" s="686">
        <f>ROUND(E456*F456,2)</f>
        <v>1036</v>
      </c>
      <c r="H456" s="592" t="s">
        <v>2313</v>
      </c>
    </row>
    <row r="457" spans="1:8">
      <c r="A457" s="678"/>
      <c r="B457" s="684"/>
      <c r="C457" s="421"/>
      <c r="D457" s="687"/>
      <c r="E457" s="687"/>
      <c r="F457" s="688"/>
      <c r="G457" s="686">
        <f>SUM(G456)</f>
        <v>1036</v>
      </c>
      <c r="H457" s="592" t="s">
        <v>2313</v>
      </c>
    </row>
    <row r="458" spans="1:8" s="366" customFormat="1" ht="60">
      <c r="A458" s="678"/>
      <c r="B458" s="684">
        <v>2</v>
      </c>
      <c r="C458" s="685" t="s">
        <v>1253</v>
      </c>
      <c r="D458" s="685"/>
      <c r="E458" s="685"/>
      <c r="F458" s="685"/>
      <c r="G458" s="686"/>
      <c r="H458" s="592" t="s">
        <v>2313</v>
      </c>
    </row>
    <row r="459" spans="1:8" s="366" customFormat="1">
      <c r="A459" s="678"/>
      <c r="B459" s="684"/>
      <c r="C459" s="421" t="s">
        <v>1254</v>
      </c>
      <c r="D459" s="687" t="s">
        <v>115</v>
      </c>
      <c r="E459" s="687">
        <v>1</v>
      </c>
      <c r="F459" s="688">
        <f>'MINI SSR 2022-23'!C70</f>
        <v>2644</v>
      </c>
      <c r="G459" s="686">
        <f>ROUND(E459*F459,2)</f>
        <v>2644</v>
      </c>
      <c r="H459" s="592" t="s">
        <v>2313</v>
      </c>
    </row>
    <row r="460" spans="1:8">
      <c r="A460" s="678"/>
      <c r="B460" s="684"/>
      <c r="C460" s="421"/>
      <c r="D460" s="687"/>
      <c r="E460" s="687"/>
      <c r="F460" s="688"/>
      <c r="G460" s="686">
        <f>SUM(G459)</f>
        <v>2644</v>
      </c>
      <c r="H460" s="592" t="s">
        <v>2313</v>
      </c>
    </row>
    <row r="461" spans="1:8" s="698" customFormat="1" ht="152.25" customHeight="1">
      <c r="A461" s="693"/>
      <c r="B461" s="693">
        <v>12</v>
      </c>
      <c r="C461" s="694" t="s">
        <v>333</v>
      </c>
      <c r="D461" s="695"/>
      <c r="E461" s="694"/>
      <c r="F461" s="696"/>
      <c r="G461" s="697"/>
      <c r="H461" s="592" t="s">
        <v>2313</v>
      </c>
    </row>
    <row r="462" spans="1:8" s="698" customFormat="1">
      <c r="A462" s="693"/>
      <c r="B462" s="693"/>
      <c r="C462" s="699" t="s">
        <v>334</v>
      </c>
      <c r="D462" s="687" t="s">
        <v>115</v>
      </c>
      <c r="E462" s="687">
        <v>1</v>
      </c>
      <c r="F462" s="688">
        <f>'MINI SSR 2022-23'!C71</f>
        <v>1519</v>
      </c>
      <c r="G462" s="686">
        <f>ROUND(E462*F462,2)</f>
        <v>1519</v>
      </c>
      <c r="H462" s="592" t="s">
        <v>2313</v>
      </c>
    </row>
    <row r="463" spans="1:8" s="698" customFormat="1">
      <c r="A463" s="693"/>
      <c r="B463" s="693"/>
      <c r="C463" s="699" t="s">
        <v>335</v>
      </c>
      <c r="D463" s="687" t="s">
        <v>115</v>
      </c>
      <c r="E463" s="687">
        <v>1</v>
      </c>
      <c r="F463" s="688">
        <f>'MINI SSR 2022-23'!C72</f>
        <v>387</v>
      </c>
      <c r="G463" s="686">
        <f>ROUND(E463*F463,2)</f>
        <v>387</v>
      </c>
      <c r="H463" s="592" t="s">
        <v>2313</v>
      </c>
    </row>
    <row r="464" spans="1:8" s="698" customFormat="1" ht="24">
      <c r="A464" s="693"/>
      <c r="B464" s="693"/>
      <c r="C464" s="699" t="s">
        <v>336</v>
      </c>
      <c r="D464" s="687" t="s">
        <v>115</v>
      </c>
      <c r="E464" s="687">
        <v>1</v>
      </c>
      <c r="F464" s="688">
        <f>'MINI SSR 2022-23'!C73</f>
        <v>95</v>
      </c>
      <c r="G464" s="686">
        <f>ROUND(E464*F464,2)</f>
        <v>95</v>
      </c>
      <c r="H464" s="592" t="s">
        <v>2313</v>
      </c>
    </row>
    <row r="465" spans="1:8" s="698" customFormat="1">
      <c r="A465" s="693"/>
      <c r="B465" s="693"/>
      <c r="C465" s="699" t="s">
        <v>337</v>
      </c>
      <c r="D465" s="687" t="s">
        <v>115</v>
      </c>
      <c r="E465" s="687">
        <v>1</v>
      </c>
      <c r="F465" s="688">
        <f>'MINI SSR 2022-23'!C74</f>
        <v>24</v>
      </c>
      <c r="G465" s="686">
        <f>ROUND(E465*F465,2)</f>
        <v>24</v>
      </c>
      <c r="H465" s="592" t="s">
        <v>2313</v>
      </c>
    </row>
    <row r="466" spans="1:8" s="698" customFormat="1">
      <c r="A466" s="693"/>
      <c r="B466" s="693"/>
      <c r="C466" s="700"/>
      <c r="D466" s="687"/>
      <c r="E466" s="687"/>
      <c r="F466" s="688"/>
      <c r="G466" s="686">
        <f>SUM(G462:G465)</f>
        <v>2025</v>
      </c>
      <c r="H466" s="592" t="s">
        <v>2313</v>
      </c>
    </row>
    <row r="467" spans="1:8">
      <c r="A467" s="678"/>
      <c r="B467" s="684"/>
      <c r="C467" s="689" t="s">
        <v>332</v>
      </c>
      <c r="D467" s="690"/>
      <c r="E467" s="691"/>
      <c r="F467" s="691"/>
      <c r="G467" s="692">
        <v>0</v>
      </c>
      <c r="H467" s="592" t="s">
        <v>2313</v>
      </c>
    </row>
    <row r="468" spans="1:8">
      <c r="A468" s="678"/>
      <c r="B468" s="684"/>
      <c r="C468" s="421"/>
      <c r="D468" s="687"/>
      <c r="E468" s="687"/>
      <c r="F468" s="688"/>
      <c r="G468" s="686">
        <f>SUM(G466:G467)</f>
        <v>2025</v>
      </c>
      <c r="H468" s="592" t="s">
        <v>2313</v>
      </c>
    </row>
    <row r="469" spans="1:8" s="698" customFormat="1" ht="68.25" customHeight="1">
      <c r="A469" s="693"/>
      <c r="B469" s="693">
        <v>6</v>
      </c>
      <c r="C469" s="694" t="s">
        <v>339</v>
      </c>
      <c r="D469" s="695"/>
      <c r="E469" s="694"/>
      <c r="F469" s="696"/>
      <c r="G469" s="697"/>
      <c r="H469" s="592" t="s">
        <v>2313</v>
      </c>
    </row>
    <row r="470" spans="1:8" s="698" customFormat="1">
      <c r="A470" s="693"/>
      <c r="B470" s="693"/>
      <c r="C470" s="699" t="s">
        <v>340</v>
      </c>
      <c r="D470" s="687" t="s">
        <v>115</v>
      </c>
      <c r="E470" s="687">
        <v>1</v>
      </c>
      <c r="F470" s="688">
        <f>'MINI SSR 2022-23'!C77</f>
        <v>128</v>
      </c>
      <c r="G470" s="686">
        <f>ROUND(E470*F470,2)</f>
        <v>128</v>
      </c>
      <c r="H470" s="592" t="s">
        <v>2313</v>
      </c>
    </row>
    <row r="471" spans="1:8">
      <c r="A471" s="678"/>
      <c r="B471" s="684"/>
      <c r="C471" s="689" t="s">
        <v>332</v>
      </c>
      <c r="D471" s="690"/>
      <c r="E471" s="691"/>
      <c r="F471" s="691"/>
      <c r="G471" s="692">
        <v>0</v>
      </c>
      <c r="H471" s="592" t="s">
        <v>2313</v>
      </c>
    </row>
    <row r="472" spans="1:8">
      <c r="A472" s="678"/>
      <c r="B472" s="684"/>
      <c r="C472" s="421"/>
      <c r="D472" s="687"/>
      <c r="E472" s="687"/>
      <c r="F472" s="688"/>
      <c r="G472" s="686">
        <f>SUM(G470:G471)</f>
        <v>128</v>
      </c>
      <c r="H472" s="592" t="s">
        <v>2313</v>
      </c>
    </row>
    <row r="473" spans="1:8" s="606" customFormat="1" ht="36">
      <c r="A473" s="678"/>
      <c r="B473" s="678">
        <v>13</v>
      </c>
      <c r="C473" s="685" t="s">
        <v>341</v>
      </c>
      <c r="D473" s="685"/>
      <c r="E473" s="685"/>
      <c r="F473" s="685"/>
      <c r="G473" s="685"/>
      <c r="H473" s="592" t="s">
        <v>2313</v>
      </c>
    </row>
    <row r="474" spans="1:8" s="606" customFormat="1" ht="15">
      <c r="A474" s="678"/>
      <c r="B474" s="678"/>
      <c r="C474" s="701" t="s">
        <v>342</v>
      </c>
      <c r="D474" s="701"/>
      <c r="E474" s="702"/>
      <c r="F474" s="702"/>
      <c r="G474" s="703"/>
      <c r="H474" s="592" t="s">
        <v>2313</v>
      </c>
    </row>
    <row r="475" spans="1:8" s="606" customFormat="1" ht="15">
      <c r="A475" s="678"/>
      <c r="B475" s="678"/>
      <c r="C475" s="701" t="s">
        <v>343</v>
      </c>
      <c r="D475" s="701" t="s">
        <v>277</v>
      </c>
      <c r="E475" s="702">
        <v>1</v>
      </c>
      <c r="F475" s="702">
        <f>'MINI SSR 2022-23'!C78</f>
        <v>447</v>
      </c>
      <c r="G475" s="686">
        <f>ROUND(E475*F475,2)</f>
        <v>447</v>
      </c>
      <c r="H475" s="592" t="s">
        <v>2313</v>
      </c>
    </row>
    <row r="476" spans="1:8">
      <c r="A476" s="678"/>
      <c r="B476" s="684"/>
      <c r="C476" s="689" t="s">
        <v>332</v>
      </c>
      <c r="D476" s="690"/>
      <c r="E476" s="691"/>
      <c r="F476" s="691"/>
      <c r="G476" s="692">
        <v>0</v>
      </c>
      <c r="H476" s="592" t="s">
        <v>2313</v>
      </c>
    </row>
    <row r="477" spans="1:8" s="606" customFormat="1" ht="15">
      <c r="A477" s="678"/>
      <c r="B477" s="678"/>
      <c r="C477" s="701" t="s">
        <v>344</v>
      </c>
      <c r="D477" s="701"/>
      <c r="E477" s="701"/>
      <c r="F477" s="701"/>
      <c r="G477" s="683">
        <f>SUM(G475:G476)</f>
        <v>447</v>
      </c>
      <c r="H477" s="592" t="s">
        <v>2313</v>
      </c>
    </row>
    <row r="478" spans="1:8" s="606" customFormat="1" ht="15">
      <c r="A478" s="678"/>
      <c r="B478" s="678"/>
      <c r="C478" s="701" t="s">
        <v>345</v>
      </c>
      <c r="D478" s="701"/>
      <c r="E478" s="701"/>
      <c r="F478" s="701"/>
      <c r="G478" s="683">
        <f>G477/3</f>
        <v>149</v>
      </c>
      <c r="H478" s="592" t="s">
        <v>2313</v>
      </c>
    </row>
    <row r="479" spans="1:8" s="606" customFormat="1" ht="36">
      <c r="A479" s="678"/>
      <c r="B479" s="678">
        <v>5</v>
      </c>
      <c r="C479" s="685" t="s">
        <v>346</v>
      </c>
      <c r="D479" s="685"/>
      <c r="E479" s="685"/>
      <c r="F479" s="685"/>
      <c r="G479" s="685"/>
      <c r="H479" s="592" t="s">
        <v>2313</v>
      </c>
    </row>
    <row r="480" spans="1:8" s="606" customFormat="1" ht="15">
      <c r="A480" s="678"/>
      <c r="B480" s="678"/>
      <c r="C480" s="701" t="s">
        <v>342</v>
      </c>
      <c r="D480" s="701"/>
      <c r="E480" s="702"/>
      <c r="F480" s="702"/>
      <c r="G480" s="703"/>
      <c r="H480" s="592" t="s">
        <v>2313</v>
      </c>
    </row>
    <row r="481" spans="1:8" s="606" customFormat="1" ht="15">
      <c r="A481" s="678"/>
      <c r="B481" s="678"/>
      <c r="C481" s="701" t="s">
        <v>347</v>
      </c>
      <c r="D481" s="701" t="s">
        <v>277</v>
      </c>
      <c r="E481" s="702">
        <v>1</v>
      </c>
      <c r="F481" s="702">
        <f>'MINI SSR 2022-23'!C79</f>
        <v>425</v>
      </c>
      <c r="G481" s="686">
        <f>ROUND(E481*F481,2)</f>
        <v>425</v>
      </c>
      <c r="H481" s="592" t="s">
        <v>2313</v>
      </c>
    </row>
    <row r="482" spans="1:8">
      <c r="A482" s="678"/>
      <c r="B482" s="684"/>
      <c r="C482" s="689" t="s">
        <v>332</v>
      </c>
      <c r="D482" s="690"/>
      <c r="E482" s="691"/>
      <c r="F482" s="691"/>
      <c r="G482" s="692">
        <v>0</v>
      </c>
      <c r="H482" s="592" t="s">
        <v>2313</v>
      </c>
    </row>
    <row r="483" spans="1:8" s="606" customFormat="1" ht="15">
      <c r="A483" s="678"/>
      <c r="B483" s="678"/>
      <c r="C483" s="701" t="s">
        <v>344</v>
      </c>
      <c r="D483" s="701"/>
      <c r="E483" s="701"/>
      <c r="F483" s="701"/>
      <c r="G483" s="683">
        <f>SUM(G481:G482)</f>
        <v>425</v>
      </c>
      <c r="H483" s="592" t="s">
        <v>2313</v>
      </c>
    </row>
    <row r="484" spans="1:8" s="606" customFormat="1" ht="15">
      <c r="A484" s="678"/>
      <c r="B484" s="678"/>
      <c r="C484" s="701" t="s">
        <v>345</v>
      </c>
      <c r="D484" s="701"/>
      <c r="E484" s="701"/>
      <c r="F484" s="701"/>
      <c r="G484" s="683">
        <f>G483/3</f>
        <v>141.66666666666666</v>
      </c>
      <c r="H484" s="592" t="s">
        <v>2313</v>
      </c>
    </row>
    <row r="485" spans="1:8" s="606" customFormat="1" ht="36">
      <c r="A485" s="678"/>
      <c r="B485" s="678">
        <v>14</v>
      </c>
      <c r="C485" s="685" t="s">
        <v>348</v>
      </c>
      <c r="D485" s="685"/>
      <c r="E485" s="685"/>
      <c r="F485" s="685"/>
      <c r="G485" s="685"/>
      <c r="H485" s="592" t="s">
        <v>2313</v>
      </c>
    </row>
    <row r="486" spans="1:8" s="606" customFormat="1" ht="15">
      <c r="A486" s="678"/>
      <c r="B486" s="678"/>
      <c r="C486" s="701" t="s">
        <v>342</v>
      </c>
      <c r="D486" s="701"/>
      <c r="E486" s="702"/>
      <c r="F486" s="702"/>
      <c r="G486" s="703"/>
      <c r="H486" s="592" t="s">
        <v>2313</v>
      </c>
    </row>
    <row r="487" spans="1:8" s="606" customFormat="1" ht="15">
      <c r="A487" s="678"/>
      <c r="B487" s="678"/>
      <c r="C487" s="701" t="s">
        <v>349</v>
      </c>
      <c r="D487" s="701" t="s">
        <v>277</v>
      </c>
      <c r="E487" s="702">
        <v>1</v>
      </c>
      <c r="F487" s="702">
        <f>'MINI SSR 2022-23'!C80</f>
        <v>267</v>
      </c>
      <c r="G487" s="686">
        <f>ROUND(E487*F487,2)</f>
        <v>267</v>
      </c>
      <c r="H487" s="592" t="s">
        <v>2313</v>
      </c>
    </row>
    <row r="488" spans="1:8">
      <c r="A488" s="678"/>
      <c r="B488" s="684"/>
      <c r="C488" s="689" t="s">
        <v>332</v>
      </c>
      <c r="D488" s="690"/>
      <c r="E488" s="691"/>
      <c r="F488" s="691"/>
      <c r="G488" s="692">
        <v>0</v>
      </c>
      <c r="H488" s="592" t="s">
        <v>2313</v>
      </c>
    </row>
    <row r="489" spans="1:8" s="606" customFormat="1" ht="15">
      <c r="A489" s="678"/>
      <c r="B489" s="678"/>
      <c r="C489" s="701" t="s">
        <v>344</v>
      </c>
      <c r="D489" s="701"/>
      <c r="E489" s="701"/>
      <c r="F489" s="701"/>
      <c r="G489" s="683">
        <f>SUM(G487:G488)</f>
        <v>267</v>
      </c>
      <c r="H489" s="592" t="s">
        <v>2313</v>
      </c>
    </row>
    <row r="490" spans="1:8" s="606" customFormat="1" ht="15">
      <c r="A490" s="678"/>
      <c r="B490" s="678"/>
      <c r="C490" s="701" t="s">
        <v>345</v>
      </c>
      <c r="D490" s="701"/>
      <c r="E490" s="701"/>
      <c r="F490" s="701"/>
      <c r="G490" s="683">
        <f>G489/3</f>
        <v>89</v>
      </c>
      <c r="H490" s="592" t="s">
        <v>2313</v>
      </c>
    </row>
    <row r="491" spans="1:8" s="705" customFormat="1" ht="60">
      <c r="A491" s="678"/>
      <c r="B491" s="678">
        <v>15</v>
      </c>
      <c r="C491" s="421" t="s">
        <v>350</v>
      </c>
      <c r="D491" s="421"/>
      <c r="E491" s="678"/>
      <c r="F491" s="678"/>
      <c r="G491" s="704"/>
      <c r="H491" s="592" t="s">
        <v>2313</v>
      </c>
    </row>
    <row r="492" spans="1:8" s="705" customFormat="1">
      <c r="A492" s="685"/>
      <c r="B492" s="678"/>
      <c r="C492" s="679" t="s">
        <v>351</v>
      </c>
      <c r="D492" s="680" t="s">
        <v>279</v>
      </c>
      <c r="E492" s="681">
        <v>1</v>
      </c>
      <c r="F492" s="682">
        <f>'MINI SSR 2022-23'!C81</f>
        <v>79</v>
      </c>
      <c r="G492" s="686">
        <f>ROUND(E492*F492,2)</f>
        <v>79</v>
      </c>
      <c r="H492" s="592" t="s">
        <v>2313</v>
      </c>
    </row>
    <row r="493" spans="1:8">
      <c r="A493" s="678"/>
      <c r="B493" s="684"/>
      <c r="C493" s="689" t="s">
        <v>332</v>
      </c>
      <c r="D493" s="690"/>
      <c r="E493" s="691"/>
      <c r="F493" s="691"/>
      <c r="G493" s="692">
        <v>0</v>
      </c>
      <c r="H493" s="592" t="s">
        <v>2313</v>
      </c>
    </row>
    <row r="494" spans="1:8" s="705" customFormat="1">
      <c r="A494" s="685"/>
      <c r="B494" s="678"/>
      <c r="C494" s="679"/>
      <c r="D494" s="680"/>
      <c r="E494" s="681"/>
      <c r="F494" s="682"/>
      <c r="G494" s="683">
        <f>SUM(G492:G493)</f>
        <v>79</v>
      </c>
      <c r="H494" s="592" t="s">
        <v>2313</v>
      </c>
    </row>
    <row r="495" spans="1:8" s="606" customFormat="1" ht="24">
      <c r="A495" s="678"/>
      <c r="B495" s="678">
        <v>11</v>
      </c>
      <c r="C495" s="421" t="s">
        <v>685</v>
      </c>
      <c r="D495" s="701"/>
      <c r="E495" s="680"/>
      <c r="F495" s="680"/>
      <c r="G495" s="701"/>
      <c r="H495" s="592" t="s">
        <v>2313</v>
      </c>
    </row>
    <row r="496" spans="1:8" s="606" customFormat="1" ht="15">
      <c r="A496" s="678"/>
      <c r="B496" s="678"/>
      <c r="C496" s="679" t="s">
        <v>686</v>
      </c>
      <c r="D496" s="680" t="s">
        <v>115</v>
      </c>
      <c r="E496" s="681">
        <v>1</v>
      </c>
      <c r="F496" s="682">
        <f>'MINI SSR 2022-23'!C82</f>
        <v>1644</v>
      </c>
      <c r="G496" s="686">
        <f>ROUND(E496*F496,2)</f>
        <v>1644</v>
      </c>
      <c r="H496" s="592" t="s">
        <v>2313</v>
      </c>
    </row>
    <row r="497" spans="1:8">
      <c r="A497" s="678"/>
      <c r="B497" s="684"/>
      <c r="C497" s="689" t="s">
        <v>332</v>
      </c>
      <c r="D497" s="690"/>
      <c r="E497" s="691"/>
      <c r="F497" s="691"/>
      <c r="G497" s="692">
        <v>0</v>
      </c>
      <c r="H497" s="592" t="s">
        <v>2313</v>
      </c>
    </row>
    <row r="498" spans="1:8" s="606" customFormat="1" ht="15">
      <c r="A498" s="678"/>
      <c r="B498" s="678"/>
      <c r="C498" s="679"/>
      <c r="D498" s="680"/>
      <c r="E498" s="681"/>
      <c r="F498" s="682"/>
      <c r="G498" s="683">
        <f>SUM(G496:G497)</f>
        <v>1644</v>
      </c>
      <c r="H498" s="592" t="s">
        <v>2313</v>
      </c>
    </row>
    <row r="499" spans="1:8" s="606" customFormat="1" ht="48">
      <c r="A499" s="678"/>
      <c r="B499" s="678">
        <v>16</v>
      </c>
      <c r="C499" s="421" t="s">
        <v>352</v>
      </c>
      <c r="D499" s="701"/>
      <c r="E499" s="680"/>
      <c r="F499" s="680"/>
      <c r="G499" s="701"/>
      <c r="H499" s="592" t="s">
        <v>2313</v>
      </c>
    </row>
    <row r="500" spans="1:8" s="606" customFormat="1" ht="15">
      <c r="A500" s="678"/>
      <c r="B500" s="678"/>
      <c r="C500" s="679" t="s">
        <v>353</v>
      </c>
      <c r="D500" s="680" t="s">
        <v>115</v>
      </c>
      <c r="E500" s="681">
        <v>1</v>
      </c>
      <c r="F500" s="682">
        <f>'MINI SSR 2022-23'!C72</f>
        <v>387</v>
      </c>
      <c r="G500" s="686">
        <f>ROUND(E500*F500,2)</f>
        <v>387</v>
      </c>
      <c r="H500" s="592" t="s">
        <v>2313</v>
      </c>
    </row>
    <row r="501" spans="1:8">
      <c r="A501" s="678"/>
      <c r="B501" s="684"/>
      <c r="C501" s="689" t="s">
        <v>332</v>
      </c>
      <c r="D501" s="690"/>
      <c r="E501" s="691"/>
      <c r="F501" s="691"/>
      <c r="G501" s="692">
        <v>0</v>
      </c>
      <c r="H501" s="592" t="s">
        <v>2313</v>
      </c>
    </row>
    <row r="502" spans="1:8" s="606" customFormat="1" ht="15">
      <c r="A502" s="678"/>
      <c r="B502" s="678"/>
      <c r="C502" s="679"/>
      <c r="D502" s="680"/>
      <c r="E502" s="681"/>
      <c r="F502" s="682"/>
      <c r="G502" s="683">
        <f>SUM(G500:G501)</f>
        <v>387</v>
      </c>
      <c r="H502" s="592" t="s">
        <v>2313</v>
      </c>
    </row>
    <row r="503" spans="1:8" s="606" customFormat="1" ht="72">
      <c r="A503" s="678"/>
      <c r="B503" s="678">
        <v>13</v>
      </c>
      <c r="C503" s="421" t="s">
        <v>354</v>
      </c>
      <c r="D503" s="701"/>
      <c r="E503" s="680"/>
      <c r="F503" s="680"/>
      <c r="G503" s="701"/>
      <c r="H503" s="592" t="s">
        <v>2313</v>
      </c>
    </row>
    <row r="504" spans="1:8" s="606" customFormat="1" ht="15">
      <c r="A504" s="678"/>
      <c r="B504" s="678"/>
      <c r="C504" s="679" t="s">
        <v>355</v>
      </c>
      <c r="D504" s="680" t="s">
        <v>115</v>
      </c>
      <c r="E504" s="681">
        <v>1</v>
      </c>
      <c r="F504" s="682">
        <f>'MINI SSR 2022-23'!C83</f>
        <v>4166</v>
      </c>
      <c r="G504" s="686">
        <f>ROUND(E504*F504,2)</f>
        <v>4166</v>
      </c>
      <c r="H504" s="592" t="s">
        <v>2313</v>
      </c>
    </row>
    <row r="505" spans="1:8">
      <c r="A505" s="678"/>
      <c r="B505" s="684"/>
      <c r="C505" s="689" t="s">
        <v>332</v>
      </c>
      <c r="D505" s="690"/>
      <c r="E505" s="691"/>
      <c r="F505" s="691"/>
      <c r="G505" s="692">
        <v>0</v>
      </c>
      <c r="H505" s="592" t="s">
        <v>2313</v>
      </c>
    </row>
    <row r="506" spans="1:8" s="606" customFormat="1" ht="15">
      <c r="A506" s="678"/>
      <c r="B506" s="678"/>
      <c r="C506" s="679"/>
      <c r="D506" s="680"/>
      <c r="E506" s="681"/>
      <c r="F506" s="682"/>
      <c r="G506" s="683">
        <f>SUM(G504:G505)</f>
        <v>4166</v>
      </c>
      <c r="H506" s="592" t="s">
        <v>2313</v>
      </c>
    </row>
    <row r="507" spans="1:8" s="606" customFormat="1" ht="60">
      <c r="A507" s="678"/>
      <c r="B507" s="678">
        <v>17</v>
      </c>
      <c r="C507" s="421" t="s">
        <v>290</v>
      </c>
      <c r="D507" s="685"/>
      <c r="E507" s="678"/>
      <c r="F507" s="678"/>
      <c r="G507" s="704"/>
      <c r="H507" s="592" t="s">
        <v>2313</v>
      </c>
    </row>
    <row r="508" spans="1:8" s="606" customFormat="1" ht="15">
      <c r="A508" s="678"/>
      <c r="B508" s="678"/>
      <c r="C508" s="679" t="s">
        <v>356</v>
      </c>
      <c r="D508" s="680" t="s">
        <v>357</v>
      </c>
      <c r="E508" s="682">
        <v>1</v>
      </c>
      <c r="F508" s="682">
        <f>'MINI SSR 2022-23'!H66</f>
        <v>8.5</v>
      </c>
      <c r="G508" s="686">
        <f>ROUND(E508*F508,2)</f>
        <v>8.5</v>
      </c>
      <c r="H508" s="592" t="s">
        <v>2313</v>
      </c>
    </row>
    <row r="509" spans="1:8" s="606" customFormat="1" ht="15">
      <c r="A509" s="678"/>
      <c r="B509" s="706"/>
      <c r="C509" s="679" t="s">
        <v>358</v>
      </c>
      <c r="D509" s="680" t="s">
        <v>357</v>
      </c>
      <c r="E509" s="682">
        <v>1</v>
      </c>
      <c r="F509" s="682">
        <f>'MINI SSR 2022-23'!H67</f>
        <v>1</v>
      </c>
      <c r="G509" s="686">
        <f>ROUND(E509*F509,2)</f>
        <v>1</v>
      </c>
      <c r="H509" s="592" t="s">
        <v>2313</v>
      </c>
    </row>
    <row r="510" spans="1:8" s="606" customFormat="1" ht="15">
      <c r="A510" s="678"/>
      <c r="B510" s="706"/>
      <c r="C510" s="679"/>
      <c r="D510" s="680"/>
      <c r="E510" s="682"/>
      <c r="F510" s="682"/>
      <c r="G510" s="683">
        <f>SUM(G508:G509)</f>
        <v>9.5</v>
      </c>
      <c r="H510" s="592" t="s">
        <v>2313</v>
      </c>
    </row>
    <row r="511" spans="1:8">
      <c r="A511" s="678"/>
      <c r="B511" s="684"/>
      <c r="C511" s="689" t="s">
        <v>332</v>
      </c>
      <c r="D511" s="690"/>
      <c r="E511" s="691"/>
      <c r="F511" s="691"/>
      <c r="G511" s="692">
        <v>0</v>
      </c>
      <c r="H511" s="592" t="s">
        <v>2313</v>
      </c>
    </row>
    <row r="512" spans="1:8" s="606" customFormat="1" ht="15">
      <c r="A512" s="678"/>
      <c r="B512" s="706"/>
      <c r="C512" s="679"/>
      <c r="D512" s="680"/>
      <c r="E512" s="682"/>
      <c r="F512" s="682"/>
      <c r="G512" s="683">
        <f>SUM(G510:G511)</f>
        <v>9.5</v>
      </c>
      <c r="H512" s="592" t="s">
        <v>2313</v>
      </c>
    </row>
    <row r="513" spans="1:8" s="606" customFormat="1" ht="72">
      <c r="A513" s="678"/>
      <c r="B513" s="678">
        <v>18</v>
      </c>
      <c r="C513" s="421" t="s">
        <v>276</v>
      </c>
      <c r="D513" s="421"/>
      <c r="E513" s="421"/>
      <c r="F513" s="678"/>
      <c r="G513" s="704"/>
      <c r="H513" s="592" t="s">
        <v>2313</v>
      </c>
    </row>
    <row r="514" spans="1:8" s="606" customFormat="1" ht="15">
      <c r="A514" s="678"/>
      <c r="B514" s="678"/>
      <c r="C514" s="421" t="s">
        <v>359</v>
      </c>
      <c r="D514" s="701" t="s">
        <v>277</v>
      </c>
      <c r="E514" s="702">
        <v>1</v>
      </c>
      <c r="F514" s="682">
        <f>'MINI SSR 2022-23'!H68</f>
        <v>59</v>
      </c>
      <c r="G514" s="686">
        <f>ROUND(E514*F514,2)</f>
        <v>59</v>
      </c>
      <c r="H514" s="592" t="s">
        <v>2313</v>
      </c>
    </row>
    <row r="515" spans="1:8">
      <c r="A515" s="678"/>
      <c r="B515" s="684"/>
      <c r="C515" s="689" t="s">
        <v>332</v>
      </c>
      <c r="D515" s="690"/>
      <c r="E515" s="691"/>
      <c r="F515" s="691"/>
      <c r="G515" s="692">
        <v>0</v>
      </c>
      <c r="H515" s="592" t="s">
        <v>2313</v>
      </c>
    </row>
    <row r="516" spans="1:8" s="606" customFormat="1" ht="15">
      <c r="A516" s="678"/>
      <c r="B516" s="706"/>
      <c r="C516" s="679"/>
      <c r="D516" s="680"/>
      <c r="E516" s="682"/>
      <c r="F516" s="682"/>
      <c r="G516" s="703">
        <f>SUM(G514:G515)</f>
        <v>59</v>
      </c>
      <c r="H516" s="592" t="s">
        <v>2313</v>
      </c>
    </row>
    <row r="517" spans="1:8" s="606" customFormat="1" ht="15">
      <c r="A517" s="678"/>
      <c r="B517" s="678"/>
      <c r="C517" s="421" t="s">
        <v>360</v>
      </c>
      <c r="D517" s="701" t="s">
        <v>277</v>
      </c>
      <c r="E517" s="702">
        <v>1</v>
      </c>
      <c r="F517" s="682">
        <f>'MINI SSR 2022-23'!H69</f>
        <v>94</v>
      </c>
      <c r="G517" s="686">
        <f>ROUND(E517*F517,2)</f>
        <v>94</v>
      </c>
      <c r="H517" s="592" t="s">
        <v>2313</v>
      </c>
    </row>
    <row r="518" spans="1:8">
      <c r="A518" s="678"/>
      <c r="B518" s="684"/>
      <c r="C518" s="689" t="s">
        <v>332</v>
      </c>
      <c r="D518" s="690"/>
      <c r="E518" s="691"/>
      <c r="F518" s="691"/>
      <c r="G518" s="692">
        <v>0</v>
      </c>
      <c r="H518" s="592" t="s">
        <v>2313</v>
      </c>
    </row>
    <row r="519" spans="1:8" s="606" customFormat="1" ht="15">
      <c r="A519" s="678"/>
      <c r="B519" s="706"/>
      <c r="C519" s="679"/>
      <c r="D519" s="680"/>
      <c r="E519" s="682"/>
      <c r="F519" s="682"/>
      <c r="G519" s="703">
        <f>SUM(G517:G518)</f>
        <v>94</v>
      </c>
      <c r="H519" s="592" t="s">
        <v>2313</v>
      </c>
    </row>
    <row r="520" spans="1:8" s="606" customFormat="1" ht="15">
      <c r="A520" s="678"/>
      <c r="B520" s="678"/>
      <c r="C520" s="421" t="s">
        <v>3160</v>
      </c>
      <c r="D520" s="701" t="s">
        <v>277</v>
      </c>
      <c r="E520" s="702">
        <v>1</v>
      </c>
      <c r="F520" s="682">
        <f>'MINI SSR 2022-23'!H70</f>
        <v>136</v>
      </c>
      <c r="G520" s="686">
        <f>ROUND(E520*F520,2)</f>
        <v>136</v>
      </c>
      <c r="H520" s="592" t="s">
        <v>2313</v>
      </c>
    </row>
    <row r="521" spans="1:8">
      <c r="A521" s="678"/>
      <c r="B521" s="684"/>
      <c r="C521" s="689" t="s">
        <v>332</v>
      </c>
      <c r="D521" s="690"/>
      <c r="E521" s="691"/>
      <c r="F521" s="691"/>
      <c r="G521" s="692">
        <v>0</v>
      </c>
      <c r="H521" s="592" t="s">
        <v>2313</v>
      </c>
    </row>
    <row r="522" spans="1:8" s="606" customFormat="1" ht="15">
      <c r="A522" s="678"/>
      <c r="B522" s="706"/>
      <c r="C522" s="679"/>
      <c r="D522" s="680"/>
      <c r="E522" s="682"/>
      <c r="F522" s="682"/>
      <c r="G522" s="703">
        <f>SUM(G520:G521)</f>
        <v>136</v>
      </c>
      <c r="H522" s="592" t="s">
        <v>2313</v>
      </c>
    </row>
    <row r="523" spans="1:8" s="606" customFormat="1" ht="15">
      <c r="A523" s="678"/>
      <c r="B523" s="678"/>
      <c r="C523" s="421" t="s">
        <v>362</v>
      </c>
      <c r="D523" s="701" t="s">
        <v>277</v>
      </c>
      <c r="E523" s="702">
        <v>1</v>
      </c>
      <c r="F523" s="682">
        <f>'MINI SSR 2022-23'!H71</f>
        <v>214</v>
      </c>
      <c r="G523" s="686">
        <f>ROUND(E523*F523,2)</f>
        <v>214</v>
      </c>
      <c r="H523" s="592" t="s">
        <v>2313</v>
      </c>
    </row>
    <row r="524" spans="1:8">
      <c r="A524" s="678"/>
      <c r="B524" s="684"/>
      <c r="C524" s="689" t="s">
        <v>332</v>
      </c>
      <c r="D524" s="690"/>
      <c r="E524" s="691"/>
      <c r="F524" s="691"/>
      <c r="G524" s="692">
        <v>0</v>
      </c>
      <c r="H524" s="592" t="s">
        <v>2313</v>
      </c>
    </row>
    <row r="525" spans="1:8" s="606" customFormat="1" ht="15">
      <c r="A525" s="678"/>
      <c r="B525" s="706"/>
      <c r="C525" s="679"/>
      <c r="D525" s="680"/>
      <c r="E525" s="682"/>
      <c r="F525" s="682"/>
      <c r="G525" s="703">
        <f>SUM(G523:G524)</f>
        <v>214</v>
      </c>
      <c r="H525" s="592" t="s">
        <v>2313</v>
      </c>
    </row>
    <row r="526" spans="1:8" s="705" customFormat="1" ht="48">
      <c r="A526" s="678"/>
      <c r="B526" s="678">
        <v>16</v>
      </c>
      <c r="C526" s="421" t="s">
        <v>1261</v>
      </c>
      <c r="D526" s="421"/>
      <c r="E526" s="678"/>
      <c r="F526" s="678"/>
      <c r="G526" s="704"/>
      <c r="H526" s="592" t="s">
        <v>2313</v>
      </c>
    </row>
    <row r="527" spans="1:8" s="705" customFormat="1">
      <c r="A527" s="685"/>
      <c r="B527" s="678"/>
      <c r="C527" s="679" t="s">
        <v>380</v>
      </c>
      <c r="D527" s="680" t="s">
        <v>279</v>
      </c>
      <c r="E527" s="681">
        <v>1</v>
      </c>
      <c r="F527" s="682">
        <f>'MINI SSR 2022-23'!H72</f>
        <v>35</v>
      </c>
      <c r="G527" s="686">
        <f>ROUND(E527*F527,2)</f>
        <v>35</v>
      </c>
      <c r="H527" s="592" t="s">
        <v>2313</v>
      </c>
    </row>
    <row r="528" spans="1:8">
      <c r="A528" s="678"/>
      <c r="B528" s="684"/>
      <c r="C528" s="689" t="s">
        <v>332</v>
      </c>
      <c r="D528" s="690"/>
      <c r="E528" s="691"/>
      <c r="F528" s="691"/>
      <c r="G528" s="692">
        <v>0</v>
      </c>
      <c r="H528" s="592" t="s">
        <v>2313</v>
      </c>
    </row>
    <row r="529" spans="1:8" s="705" customFormat="1">
      <c r="A529" s="685"/>
      <c r="B529" s="678"/>
      <c r="C529" s="679"/>
      <c r="D529" s="680"/>
      <c r="E529" s="681"/>
      <c r="F529" s="682"/>
      <c r="G529" s="683">
        <f>SUM(G527:G528)</f>
        <v>35</v>
      </c>
      <c r="H529" s="592" t="s">
        <v>2313</v>
      </c>
    </row>
    <row r="530" spans="1:8" s="705" customFormat="1" ht="72">
      <c r="A530" s="678"/>
      <c r="B530" s="678">
        <v>19</v>
      </c>
      <c r="C530" s="421" t="s">
        <v>363</v>
      </c>
      <c r="D530" s="421"/>
      <c r="E530" s="678"/>
      <c r="F530" s="678"/>
      <c r="G530" s="704"/>
      <c r="H530" s="592" t="s">
        <v>2313</v>
      </c>
    </row>
    <row r="531" spans="1:8" s="705" customFormat="1">
      <c r="A531" s="685"/>
      <c r="B531" s="678"/>
      <c r="C531" s="679" t="s">
        <v>364</v>
      </c>
      <c r="D531" s="680" t="s">
        <v>279</v>
      </c>
      <c r="E531" s="681">
        <v>1</v>
      </c>
      <c r="F531" s="682">
        <f>'MINI SSR 2022-23'!H73</f>
        <v>33</v>
      </c>
      <c r="G531" s="686">
        <f>ROUND(E531*F531,2)</f>
        <v>33</v>
      </c>
      <c r="H531" s="592" t="s">
        <v>2313</v>
      </c>
    </row>
    <row r="532" spans="1:8">
      <c r="A532" s="678"/>
      <c r="B532" s="684"/>
      <c r="C532" s="689" t="s">
        <v>332</v>
      </c>
      <c r="D532" s="690"/>
      <c r="E532" s="691"/>
      <c r="F532" s="691"/>
      <c r="G532" s="692">
        <v>0</v>
      </c>
      <c r="H532" s="592" t="s">
        <v>2313</v>
      </c>
    </row>
    <row r="533" spans="1:8" s="705" customFormat="1">
      <c r="A533" s="685"/>
      <c r="B533" s="678"/>
      <c r="C533" s="679"/>
      <c r="D533" s="680"/>
      <c r="E533" s="681"/>
      <c r="F533" s="682"/>
      <c r="G533" s="683">
        <f>SUM(G531:G532)</f>
        <v>33</v>
      </c>
      <c r="H533" s="592" t="s">
        <v>2313</v>
      </c>
    </row>
    <row r="534" spans="1:8" s="606" customFormat="1" ht="48">
      <c r="A534" s="678"/>
      <c r="B534" s="678">
        <v>18</v>
      </c>
      <c r="C534" s="421" t="s">
        <v>365</v>
      </c>
      <c r="D534" s="685"/>
      <c r="E534" s="678"/>
      <c r="F534" s="678"/>
      <c r="G534" s="704"/>
      <c r="H534" s="592" t="s">
        <v>2313</v>
      </c>
    </row>
    <row r="535" spans="1:8" s="606" customFormat="1" ht="15">
      <c r="A535" s="678"/>
      <c r="B535" s="678"/>
      <c r="C535" s="679" t="s">
        <v>366</v>
      </c>
      <c r="D535" s="680" t="s">
        <v>115</v>
      </c>
      <c r="E535" s="682">
        <v>1</v>
      </c>
      <c r="F535" s="682">
        <f>'MINI SSR 2022-23'!H74</f>
        <v>1165</v>
      </c>
      <c r="G535" s="686">
        <f>ROUND(E535*F535,2)</f>
        <v>1165</v>
      </c>
      <c r="H535" s="592" t="s">
        <v>2313</v>
      </c>
    </row>
    <row r="536" spans="1:8">
      <c r="A536" s="678"/>
      <c r="B536" s="684"/>
      <c r="C536" s="689" t="s">
        <v>332</v>
      </c>
      <c r="D536" s="690"/>
      <c r="E536" s="691"/>
      <c r="F536" s="691"/>
      <c r="G536" s="692">
        <v>0</v>
      </c>
      <c r="H536" s="592" t="s">
        <v>2313</v>
      </c>
    </row>
    <row r="537" spans="1:8" s="606" customFormat="1" ht="15">
      <c r="A537" s="678"/>
      <c r="B537" s="706"/>
      <c r="C537" s="679"/>
      <c r="D537" s="680"/>
      <c r="E537" s="682"/>
      <c r="F537" s="682"/>
      <c r="G537" s="683">
        <f>SUM(G535:G536)</f>
        <v>1165</v>
      </c>
      <c r="H537" s="592" t="s">
        <v>2313</v>
      </c>
    </row>
    <row r="538" spans="1:8" s="705" customFormat="1" ht="108">
      <c r="A538" s="707"/>
      <c r="B538" s="678">
        <v>19</v>
      </c>
      <c r="C538" s="685" t="s">
        <v>367</v>
      </c>
      <c r="D538" s="685"/>
      <c r="E538" s="685"/>
      <c r="F538" s="685"/>
      <c r="G538" s="708"/>
      <c r="H538" s="592" t="s">
        <v>2313</v>
      </c>
    </row>
    <row r="539" spans="1:8" s="705" customFormat="1">
      <c r="A539" s="709"/>
      <c r="B539" s="706"/>
      <c r="C539" s="710" t="s">
        <v>368</v>
      </c>
      <c r="D539" s="711"/>
      <c r="E539" s="711"/>
      <c r="F539" s="712"/>
      <c r="G539" s="713"/>
      <c r="H539" s="592" t="s">
        <v>2313</v>
      </c>
    </row>
    <row r="540" spans="1:8" s="705" customFormat="1">
      <c r="A540" s="709"/>
      <c r="B540" s="678"/>
      <c r="C540" s="709" t="s">
        <v>369</v>
      </c>
      <c r="D540" s="712" t="s">
        <v>370</v>
      </c>
      <c r="E540" s="711">
        <v>1</v>
      </c>
      <c r="F540" s="711">
        <f>'MINI SSR 2022-23'!C78</f>
        <v>447</v>
      </c>
      <c r="G540" s="686">
        <f t="shared" ref="G540:G545" si="5">ROUND(E540*F540,2)</f>
        <v>447</v>
      </c>
      <c r="H540" s="592" t="s">
        <v>2313</v>
      </c>
    </row>
    <row r="541" spans="1:8" s="705" customFormat="1">
      <c r="A541" s="709"/>
      <c r="B541" s="678"/>
      <c r="C541" s="714" t="s">
        <v>371</v>
      </c>
      <c r="D541" s="712" t="s">
        <v>115</v>
      </c>
      <c r="E541" s="711">
        <v>1</v>
      </c>
      <c r="F541" s="711">
        <f>'MINI SSR 2022-23'!H75</f>
        <v>77</v>
      </c>
      <c r="G541" s="686">
        <f t="shared" si="5"/>
        <v>77</v>
      </c>
      <c r="H541" s="592" t="s">
        <v>2313</v>
      </c>
    </row>
    <row r="542" spans="1:8" s="705" customFormat="1">
      <c r="A542" s="709"/>
      <c r="B542" s="678"/>
      <c r="C542" s="714" t="s">
        <v>372</v>
      </c>
      <c r="D542" s="712" t="s">
        <v>115</v>
      </c>
      <c r="E542" s="711">
        <v>3</v>
      </c>
      <c r="F542" s="711">
        <f>'MINI SSR 2022-23'!H76</f>
        <v>17</v>
      </c>
      <c r="G542" s="686">
        <f t="shared" si="5"/>
        <v>51</v>
      </c>
      <c r="H542" s="592" t="s">
        <v>2313</v>
      </c>
    </row>
    <row r="543" spans="1:8" s="705" customFormat="1">
      <c r="A543" s="709"/>
      <c r="B543" s="678"/>
      <c r="C543" s="715" t="s">
        <v>373</v>
      </c>
      <c r="D543" s="712" t="s">
        <v>108</v>
      </c>
      <c r="E543" s="711">
        <v>0.3</v>
      </c>
      <c r="F543" s="711">
        <f>'MINI SSR 2022-23'!H8</f>
        <v>705</v>
      </c>
      <c r="G543" s="686">
        <f t="shared" si="5"/>
        <v>211.5</v>
      </c>
      <c r="H543" s="592" t="s">
        <v>2313</v>
      </c>
    </row>
    <row r="544" spans="1:8" s="705" customFormat="1">
      <c r="A544" s="709"/>
      <c r="B544" s="678"/>
      <c r="C544" s="715" t="s">
        <v>374</v>
      </c>
      <c r="D544" s="712" t="s">
        <v>108</v>
      </c>
      <c r="E544" s="711">
        <v>0.7</v>
      </c>
      <c r="F544" s="711">
        <f>'MINI SSR 2022-23'!H9</f>
        <v>565</v>
      </c>
      <c r="G544" s="686">
        <f t="shared" si="5"/>
        <v>395.5</v>
      </c>
      <c r="H544" s="592" t="s">
        <v>2313</v>
      </c>
    </row>
    <row r="545" spans="1:8" s="705" customFormat="1">
      <c r="A545" s="709"/>
      <c r="B545" s="678"/>
      <c r="C545" s="715" t="s">
        <v>375</v>
      </c>
      <c r="D545" s="712" t="s">
        <v>108</v>
      </c>
      <c r="E545" s="711">
        <v>1</v>
      </c>
      <c r="F545" s="711">
        <f>'MINI SSR 2022-23'!H5</f>
        <v>525</v>
      </c>
      <c r="G545" s="686">
        <f t="shared" si="5"/>
        <v>525</v>
      </c>
      <c r="H545" s="592" t="s">
        <v>2313</v>
      </c>
    </row>
    <row r="546" spans="1:8" s="705" customFormat="1">
      <c r="A546" s="709"/>
      <c r="B546" s="678"/>
      <c r="C546" s="715"/>
      <c r="D546" s="712"/>
      <c r="E546" s="711"/>
      <c r="F546" s="711"/>
      <c r="G546" s="713">
        <f>SUM(G540:G545)</f>
        <v>1707</v>
      </c>
      <c r="H546" s="592" t="s">
        <v>2313</v>
      </c>
    </row>
    <row r="547" spans="1:8">
      <c r="A547" s="678"/>
      <c r="B547" s="684"/>
      <c r="C547" s="689" t="s">
        <v>332</v>
      </c>
      <c r="D547" s="690"/>
      <c r="E547" s="691"/>
      <c r="F547" s="691"/>
      <c r="G547" s="692">
        <v>0</v>
      </c>
      <c r="H547" s="592" t="s">
        <v>2313</v>
      </c>
    </row>
    <row r="548" spans="1:8" s="705" customFormat="1">
      <c r="A548" s="709"/>
      <c r="B548" s="706"/>
      <c r="C548" s="715" t="s">
        <v>376</v>
      </c>
      <c r="D548" s="712"/>
      <c r="E548" s="711"/>
      <c r="F548" s="711"/>
      <c r="G548" s="713">
        <f>SUM(G546:G547)</f>
        <v>1707</v>
      </c>
      <c r="H548" s="592" t="s">
        <v>2313</v>
      </c>
    </row>
    <row r="549" spans="1:8" s="705" customFormat="1">
      <c r="A549" s="709"/>
      <c r="B549" s="706"/>
      <c r="C549" s="715" t="s">
        <v>377</v>
      </c>
      <c r="D549" s="712"/>
      <c r="E549" s="711"/>
      <c r="F549" s="711"/>
      <c r="G549" s="716">
        <f>G548/3</f>
        <v>569</v>
      </c>
      <c r="H549" s="592" t="s">
        <v>2313</v>
      </c>
    </row>
    <row r="550" spans="1:8" s="620" customFormat="1" ht="113.25" customHeight="1">
      <c r="A550" s="717"/>
      <c r="B550" s="717">
        <v>11</v>
      </c>
      <c r="C550" s="818" t="s">
        <v>595</v>
      </c>
      <c r="D550" s="818"/>
      <c r="E550" s="621"/>
      <c r="F550" s="621"/>
      <c r="G550" s="38"/>
      <c r="H550" s="592" t="s">
        <v>2313</v>
      </c>
    </row>
    <row r="551" spans="1:8" s="620" customFormat="1">
      <c r="A551" s="623"/>
      <c r="B551" s="621"/>
      <c r="C551" s="624" t="s">
        <v>596</v>
      </c>
      <c r="D551" s="16" t="s">
        <v>279</v>
      </c>
      <c r="E551" s="718">
        <v>1</v>
      </c>
      <c r="F551" s="10">
        <f>'MINI SSR 2022-23'!C86</f>
        <v>446.4</v>
      </c>
      <c r="G551" s="9">
        <f>(E551*F551)/1</f>
        <v>446.4</v>
      </c>
      <c r="H551" s="592" t="s">
        <v>2313</v>
      </c>
    </row>
    <row r="552" spans="1:8" s="620" customFormat="1">
      <c r="A552" s="623"/>
      <c r="B552" s="621"/>
      <c r="C552" s="624"/>
      <c r="D552" s="16"/>
      <c r="E552" s="718"/>
      <c r="F552" s="10"/>
      <c r="G552" s="9"/>
      <c r="H552" s="592" t="s">
        <v>2313</v>
      </c>
    </row>
    <row r="553" spans="1:8" s="620" customFormat="1">
      <c r="A553" s="623"/>
      <c r="B553" s="621"/>
      <c r="C553" s="624" t="s">
        <v>597</v>
      </c>
      <c r="D553" s="16" t="s">
        <v>279</v>
      </c>
      <c r="E553" s="718">
        <v>1</v>
      </c>
      <c r="F553" s="10">
        <f>'MINI SSR 2022-23'!C87</f>
        <v>477.6</v>
      </c>
      <c r="G553" s="9">
        <f>(E553*F553)/1</f>
        <v>477.6</v>
      </c>
      <c r="H553" s="592" t="s">
        <v>2313</v>
      </c>
    </row>
    <row r="554" spans="1:8" s="620" customFormat="1">
      <c r="A554" s="623"/>
      <c r="B554" s="621"/>
      <c r="C554" s="624"/>
      <c r="D554" s="16"/>
      <c r="E554" s="718"/>
      <c r="F554" s="10"/>
      <c r="G554" s="9"/>
      <c r="H554" s="592" t="s">
        <v>2313</v>
      </c>
    </row>
    <row r="555" spans="1:8" s="620" customFormat="1">
      <c r="A555" s="623"/>
      <c r="B555" s="621"/>
      <c r="C555" s="624" t="s">
        <v>598</v>
      </c>
      <c r="D555" s="16" t="s">
        <v>279</v>
      </c>
      <c r="E555" s="718">
        <v>1</v>
      </c>
      <c r="F555" s="10">
        <f>'MINI SSR 2022-23'!C88</f>
        <v>535.70000000000005</v>
      </c>
      <c r="G555" s="9">
        <f>(E555*F555)/1</f>
        <v>535.70000000000005</v>
      </c>
      <c r="H555" s="592" t="s">
        <v>2313</v>
      </c>
    </row>
    <row r="556" spans="1:8" s="620" customFormat="1">
      <c r="A556" s="623"/>
      <c r="B556" s="621"/>
      <c r="C556" s="624"/>
      <c r="D556" s="16"/>
      <c r="E556" s="718"/>
      <c r="F556" s="10"/>
      <c r="G556" s="9"/>
      <c r="H556" s="592" t="s">
        <v>2313</v>
      </c>
    </row>
    <row r="557" spans="1:8" s="620" customFormat="1" ht="51">
      <c r="A557" s="621"/>
      <c r="B557" s="621">
        <v>12</v>
      </c>
      <c r="C557" s="818" t="s">
        <v>592</v>
      </c>
      <c r="D557" s="818"/>
      <c r="E557" s="621"/>
      <c r="F557" s="621"/>
      <c r="G557" s="38"/>
      <c r="H557" s="592" t="s">
        <v>2313</v>
      </c>
    </row>
    <row r="558" spans="1:8" s="620" customFormat="1">
      <c r="A558" s="623"/>
      <c r="B558" s="621"/>
      <c r="C558" s="624" t="s">
        <v>599</v>
      </c>
      <c r="D558" s="16" t="s">
        <v>275</v>
      </c>
      <c r="E558" s="718">
        <v>1</v>
      </c>
      <c r="F558" s="10">
        <f>'MINI SSR 2022-23'!C89</f>
        <v>26730</v>
      </c>
      <c r="G558" s="9">
        <f>(E558*F558)/1</f>
        <v>26730</v>
      </c>
      <c r="H558" s="592" t="s">
        <v>2313</v>
      </c>
    </row>
    <row r="559" spans="1:8" s="620" customFormat="1">
      <c r="A559" s="623"/>
      <c r="B559" s="621"/>
      <c r="C559" s="624"/>
      <c r="D559" s="16"/>
      <c r="E559" s="718"/>
      <c r="F559" s="10"/>
      <c r="G559" s="9">
        <f>SUM(G558:G558)</f>
        <v>26730</v>
      </c>
      <c r="H559" s="592" t="s">
        <v>2313</v>
      </c>
    </row>
    <row r="560" spans="1:8" s="620" customFormat="1" ht="51">
      <c r="A560" s="621"/>
      <c r="B560" s="621">
        <v>13</v>
      </c>
      <c r="C560" s="818" t="s">
        <v>1534</v>
      </c>
      <c r="D560" s="818"/>
      <c r="E560" s="621"/>
      <c r="F560" s="621"/>
      <c r="G560" s="38"/>
      <c r="H560" s="592" t="s">
        <v>2313</v>
      </c>
    </row>
    <row r="561" spans="1:8" s="620" customFormat="1">
      <c r="A561" s="623"/>
      <c r="B561" s="621"/>
      <c r="C561" s="624" t="s">
        <v>1568</v>
      </c>
      <c r="D561" s="16" t="s">
        <v>275</v>
      </c>
      <c r="E561" s="718">
        <v>1</v>
      </c>
      <c r="F561" s="10">
        <f>'MINI SSR 2022-23'!C90</f>
        <v>18370</v>
      </c>
      <c r="G561" s="9">
        <f>(E561*F561)/1</f>
        <v>18370</v>
      </c>
      <c r="H561" s="592" t="s">
        <v>2313</v>
      </c>
    </row>
    <row r="562" spans="1:8" s="620" customFormat="1">
      <c r="A562" s="623"/>
      <c r="B562" s="621"/>
      <c r="C562" s="624"/>
      <c r="D562" s="16"/>
      <c r="E562" s="718"/>
      <c r="F562" s="10"/>
      <c r="G562" s="9">
        <f>SUM(G561:G561)</f>
        <v>18370</v>
      </c>
      <c r="H562" s="592" t="s">
        <v>2313</v>
      </c>
    </row>
    <row r="563" spans="1:8" s="620" customFormat="1" ht="51">
      <c r="A563" s="621"/>
      <c r="B563" s="621">
        <v>14</v>
      </c>
      <c r="C563" s="818" t="s">
        <v>600</v>
      </c>
      <c r="D563" s="818"/>
      <c r="E563" s="621"/>
      <c r="F563" s="621"/>
      <c r="G563" s="38"/>
      <c r="H563" s="592" t="s">
        <v>2313</v>
      </c>
    </row>
    <row r="564" spans="1:8" s="620" customFormat="1">
      <c r="A564" s="623"/>
      <c r="B564" s="621"/>
      <c r="C564" s="818" t="s">
        <v>378</v>
      </c>
      <c r="D564" s="16" t="s">
        <v>289</v>
      </c>
      <c r="E564" s="718">
        <v>1</v>
      </c>
      <c r="F564" s="10">
        <f>'MINI SSR 2022-23'!C91</f>
        <v>325</v>
      </c>
      <c r="G564" s="9">
        <f>(E564*F564)/1</f>
        <v>325</v>
      </c>
      <c r="H564" s="592" t="s">
        <v>2313</v>
      </c>
    </row>
    <row r="565" spans="1:8" s="620" customFormat="1">
      <c r="A565" s="623"/>
      <c r="B565" s="621"/>
      <c r="C565" s="624"/>
      <c r="D565" s="16"/>
      <c r="E565" s="718"/>
      <c r="F565" s="10"/>
      <c r="G565" s="9">
        <f>SUM(G564:G564)</f>
        <v>325</v>
      </c>
      <c r="H565" s="592" t="s">
        <v>2313</v>
      </c>
    </row>
    <row r="566" spans="1:8" s="620" customFormat="1" ht="38.25">
      <c r="A566" s="621"/>
      <c r="B566" s="621">
        <v>15</v>
      </c>
      <c r="C566" s="357" t="s">
        <v>283</v>
      </c>
      <c r="D566" s="357"/>
      <c r="E566" s="717"/>
      <c r="F566" s="717"/>
      <c r="G566" s="719"/>
      <c r="H566" s="592" t="s">
        <v>2313</v>
      </c>
    </row>
    <row r="567" spans="1:8" s="620" customFormat="1">
      <c r="A567" s="623"/>
      <c r="B567" s="621"/>
      <c r="C567" s="608" t="s">
        <v>379</v>
      </c>
      <c r="D567" s="605" t="s">
        <v>279</v>
      </c>
      <c r="E567" s="610">
        <v>1</v>
      </c>
      <c r="F567" s="607">
        <f>'MINI SSR 2022-23'!C92</f>
        <v>85</v>
      </c>
      <c r="G567" s="609">
        <f>(E567*F567)/1</f>
        <v>85</v>
      </c>
      <c r="H567" s="592" t="s">
        <v>2313</v>
      </c>
    </row>
    <row r="568" spans="1:8" s="620" customFormat="1">
      <c r="A568" s="623"/>
      <c r="B568" s="621"/>
      <c r="C568" s="608"/>
      <c r="D568" s="605"/>
      <c r="E568" s="610"/>
      <c r="F568" s="607"/>
      <c r="G568" s="609">
        <f>SUM(G567:G567)</f>
        <v>85</v>
      </c>
      <c r="H568" s="592" t="s">
        <v>2313</v>
      </c>
    </row>
    <row r="569" spans="1:8" s="620" customFormat="1">
      <c r="A569" s="621"/>
      <c r="B569" s="621">
        <v>16</v>
      </c>
      <c r="C569" s="818" t="s">
        <v>287</v>
      </c>
      <c r="D569" s="818"/>
      <c r="E569" s="621"/>
      <c r="F569" s="621"/>
      <c r="G569" s="38"/>
      <c r="H569" s="592" t="s">
        <v>2313</v>
      </c>
    </row>
    <row r="570" spans="1:8" s="620" customFormat="1">
      <c r="A570" s="623"/>
      <c r="B570" s="621"/>
      <c r="C570" s="624" t="s">
        <v>380</v>
      </c>
      <c r="D570" s="16" t="s">
        <v>275</v>
      </c>
      <c r="E570" s="718">
        <v>1</v>
      </c>
      <c r="F570" s="10">
        <f>'MINI SSR 2022-23'!C93</f>
        <v>194</v>
      </c>
      <c r="G570" s="9">
        <f>(E570*F570)/1</f>
        <v>194</v>
      </c>
      <c r="H570" s="592" t="s">
        <v>2313</v>
      </c>
    </row>
    <row r="571" spans="1:8" s="620" customFormat="1">
      <c r="A571" s="623"/>
      <c r="B571" s="621"/>
      <c r="C571" s="624"/>
      <c r="D571" s="16"/>
      <c r="E571" s="718"/>
      <c r="F571" s="10"/>
      <c r="G571" s="9">
        <f>SUM(G570:G570)</f>
        <v>194</v>
      </c>
      <c r="H571" s="592" t="s">
        <v>2313</v>
      </c>
    </row>
    <row r="572" spans="1:8" s="620" customFormat="1">
      <c r="A572" s="621"/>
      <c r="B572" s="621">
        <v>17</v>
      </c>
      <c r="C572" s="818" t="s">
        <v>284</v>
      </c>
      <c r="D572" s="818"/>
      <c r="E572" s="621"/>
      <c r="F572" s="621"/>
      <c r="G572" s="38"/>
      <c r="H572" s="592" t="s">
        <v>2313</v>
      </c>
    </row>
    <row r="573" spans="1:8" s="620" customFormat="1">
      <c r="A573" s="623"/>
      <c r="B573" s="621"/>
      <c r="C573" s="624" t="s">
        <v>380</v>
      </c>
      <c r="D573" s="16" t="s">
        <v>275</v>
      </c>
      <c r="E573" s="718">
        <v>1</v>
      </c>
      <c r="F573" s="10">
        <f>'MINI SSR 2022-23'!C94</f>
        <v>300</v>
      </c>
      <c r="G573" s="9">
        <f>(E573*F573)/1</f>
        <v>300</v>
      </c>
      <c r="H573" s="592" t="s">
        <v>2313</v>
      </c>
    </row>
    <row r="574" spans="1:8" s="620" customFormat="1">
      <c r="A574" s="623"/>
      <c r="B574" s="621"/>
      <c r="C574" s="624"/>
      <c r="D574" s="16"/>
      <c r="E574" s="718"/>
      <c r="F574" s="10"/>
      <c r="G574" s="9">
        <f>SUM(G573:G573)</f>
        <v>300</v>
      </c>
      <c r="H574" s="592" t="s">
        <v>2313</v>
      </c>
    </row>
    <row r="575" spans="1:8" s="620" customFormat="1">
      <c r="A575" s="621"/>
      <c r="B575" s="621">
        <v>18</v>
      </c>
      <c r="C575" s="818" t="s">
        <v>1996</v>
      </c>
      <c r="D575" s="818"/>
      <c r="E575" s="621"/>
      <c r="F575" s="621"/>
      <c r="G575" s="38"/>
      <c r="H575" s="592" t="s">
        <v>2313</v>
      </c>
    </row>
    <row r="576" spans="1:8" s="620" customFormat="1">
      <c r="A576" s="623"/>
      <c r="B576" s="621"/>
      <c r="C576" s="624" t="s">
        <v>379</v>
      </c>
      <c r="D576" s="16" t="s">
        <v>279</v>
      </c>
      <c r="E576" s="718">
        <v>1</v>
      </c>
      <c r="F576" s="10">
        <f>'MINI SSR 2022-23'!C95</f>
        <v>400</v>
      </c>
      <c r="G576" s="9">
        <f>(E576*F576)/1</f>
        <v>400</v>
      </c>
      <c r="H576" s="592" t="s">
        <v>2313</v>
      </c>
    </row>
    <row r="577" spans="1:8" s="620" customFormat="1">
      <c r="A577" s="623"/>
      <c r="B577" s="621"/>
      <c r="C577" s="624"/>
      <c r="D577" s="16"/>
      <c r="E577" s="718"/>
      <c r="F577" s="10"/>
      <c r="G577" s="9">
        <f>SUM(G576:G576)</f>
        <v>400</v>
      </c>
      <c r="H577" s="592" t="s">
        <v>2313</v>
      </c>
    </row>
    <row r="578" spans="1:8" s="620" customFormat="1">
      <c r="A578" s="621"/>
      <c r="B578" s="621">
        <v>19</v>
      </c>
      <c r="C578" s="818" t="s">
        <v>1997</v>
      </c>
      <c r="D578" s="818"/>
      <c r="E578" s="621"/>
      <c r="F578" s="621"/>
      <c r="G578" s="38"/>
      <c r="H578" s="592" t="s">
        <v>2313</v>
      </c>
    </row>
    <row r="579" spans="1:8" s="620" customFormat="1">
      <c r="A579" s="623"/>
      <c r="B579" s="621"/>
      <c r="C579" s="624" t="s">
        <v>380</v>
      </c>
      <c r="D579" s="16" t="s">
        <v>275</v>
      </c>
      <c r="E579" s="718">
        <v>1</v>
      </c>
      <c r="F579" s="10">
        <f>'MINI SSR 2022-23'!C96</f>
        <v>77</v>
      </c>
      <c r="G579" s="9">
        <f>(E579*F579)/1</f>
        <v>77</v>
      </c>
      <c r="H579" s="592" t="s">
        <v>2313</v>
      </c>
    </row>
    <row r="580" spans="1:8" s="620" customFormat="1">
      <c r="A580" s="623"/>
      <c r="B580" s="621"/>
      <c r="C580" s="624"/>
      <c r="D580" s="16"/>
      <c r="E580" s="718"/>
      <c r="F580" s="10"/>
      <c r="G580" s="9">
        <f>SUM(G579:G579)</f>
        <v>77</v>
      </c>
      <c r="H580" s="592" t="s">
        <v>2313</v>
      </c>
    </row>
    <row r="581" spans="1:8" s="620" customFormat="1" ht="51">
      <c r="A581" s="621"/>
      <c r="B581" s="621">
        <v>20</v>
      </c>
      <c r="C581" s="818" t="s">
        <v>601</v>
      </c>
      <c r="D581" s="818"/>
      <c r="E581" s="621"/>
      <c r="F581" s="621"/>
      <c r="G581" s="38"/>
      <c r="H581" s="592" t="s">
        <v>2313</v>
      </c>
    </row>
    <row r="582" spans="1:8" s="620" customFormat="1">
      <c r="A582" s="623"/>
      <c r="B582" s="621"/>
      <c r="C582" s="624" t="s">
        <v>602</v>
      </c>
      <c r="D582" s="16" t="s">
        <v>279</v>
      </c>
      <c r="E582" s="718">
        <v>1</v>
      </c>
      <c r="F582" s="10">
        <f>'MINI SSR 2022-23'!C97</f>
        <v>105</v>
      </c>
      <c r="G582" s="9">
        <f>(E582*F582)/1</f>
        <v>105</v>
      </c>
      <c r="H582" s="592" t="s">
        <v>2313</v>
      </c>
    </row>
    <row r="583" spans="1:8" s="620" customFormat="1">
      <c r="A583" s="623"/>
      <c r="B583" s="621"/>
      <c r="C583" s="624"/>
      <c r="D583" s="16"/>
      <c r="E583" s="718"/>
      <c r="F583" s="10"/>
      <c r="G583" s="9">
        <f>SUM(G582:G582)</f>
        <v>105</v>
      </c>
      <c r="H583" s="592" t="s">
        <v>2313</v>
      </c>
    </row>
    <row r="584" spans="1:8" s="620" customFormat="1" ht="102">
      <c r="A584" s="621"/>
      <c r="B584" s="621">
        <v>21</v>
      </c>
      <c r="C584" s="818" t="s">
        <v>381</v>
      </c>
      <c r="D584" s="818"/>
      <c r="E584" s="621"/>
      <c r="F584" s="621"/>
      <c r="G584" s="38"/>
      <c r="H584" s="592" t="s">
        <v>2313</v>
      </c>
    </row>
    <row r="585" spans="1:8" s="620" customFormat="1">
      <c r="A585" s="623"/>
      <c r="B585" s="621"/>
      <c r="C585" s="608" t="s">
        <v>382</v>
      </c>
      <c r="D585" s="16" t="s">
        <v>115</v>
      </c>
      <c r="E585" s="718">
        <v>1</v>
      </c>
      <c r="F585" s="10">
        <f>'MINI SSR 2022-23'!C98</f>
        <v>5445</v>
      </c>
      <c r="G585" s="9">
        <f>(E585*F585)/1</f>
        <v>5445</v>
      </c>
      <c r="H585" s="592" t="s">
        <v>2313</v>
      </c>
    </row>
    <row r="586" spans="1:8" s="620" customFormat="1">
      <c r="A586" s="623"/>
      <c r="B586" s="621"/>
      <c r="C586" s="624"/>
      <c r="D586" s="16"/>
      <c r="E586" s="718"/>
      <c r="F586" s="10"/>
      <c r="G586" s="9">
        <f>SUM(G585:G585)</f>
        <v>5445</v>
      </c>
      <c r="H586" s="592" t="s">
        <v>2313</v>
      </c>
    </row>
    <row r="587" spans="1:8" s="606" customFormat="1" ht="15">
      <c r="A587" s="717"/>
      <c r="B587" s="717"/>
      <c r="C587" s="608"/>
      <c r="D587" s="605"/>
      <c r="E587" s="610"/>
      <c r="F587" s="607"/>
      <c r="G587" s="609"/>
      <c r="H587" s="592" t="s">
        <v>2313</v>
      </c>
    </row>
    <row r="588" spans="1:8" s="606" customFormat="1" ht="24">
      <c r="A588" s="678"/>
      <c r="B588" s="678">
        <v>20</v>
      </c>
      <c r="C588" s="421" t="s">
        <v>718</v>
      </c>
      <c r="D588" s="701"/>
      <c r="E588" s="680"/>
      <c r="F588" s="680"/>
      <c r="G588" s="701"/>
      <c r="H588" s="592" t="s">
        <v>2313</v>
      </c>
    </row>
    <row r="589" spans="1:8" s="606" customFormat="1" ht="15">
      <c r="A589" s="678"/>
      <c r="B589" s="678"/>
      <c r="C589" s="679" t="s">
        <v>338</v>
      </c>
      <c r="D589" s="680" t="s">
        <v>115</v>
      </c>
      <c r="E589" s="681">
        <v>1</v>
      </c>
      <c r="F589" s="682">
        <f>'MINI SSR 2022-23'!C75</f>
        <v>93</v>
      </c>
      <c r="G589" s="686">
        <f>ROUND(E589*F589,2)</f>
        <v>93</v>
      </c>
      <c r="H589" s="592" t="s">
        <v>2313</v>
      </c>
    </row>
    <row r="590" spans="1:8" s="606" customFormat="1" ht="15">
      <c r="A590" s="678"/>
      <c r="B590" s="678"/>
      <c r="C590" s="679"/>
      <c r="D590" s="680"/>
      <c r="E590" s="681"/>
      <c r="F590" s="682"/>
      <c r="G590" s="683">
        <f>SUM(G589:G589)</f>
        <v>93</v>
      </c>
      <c r="H590" s="592" t="s">
        <v>2313</v>
      </c>
    </row>
    <row r="591" spans="1:8" s="726" customFormat="1" ht="11.25">
      <c r="A591" s="720"/>
      <c r="B591" s="721"/>
      <c r="C591" s="722"/>
      <c r="D591" s="723"/>
      <c r="E591" s="724"/>
      <c r="F591" s="723"/>
      <c r="G591" s="725"/>
    </row>
    <row r="592" spans="1:8" s="726" customFormat="1" ht="11.25">
      <c r="A592" s="720"/>
      <c r="B592" s="721"/>
      <c r="C592" s="722"/>
      <c r="D592" s="723"/>
      <c r="E592" s="724"/>
      <c r="F592" s="723"/>
      <c r="G592" s="725"/>
    </row>
    <row r="593" spans="1:7" s="726" customFormat="1" ht="11.25">
      <c r="A593" s="720"/>
      <c r="B593" s="721"/>
      <c r="C593" s="727" t="str">
        <f>'lead 19-20'!H31</f>
        <v>Deputy Executive Engineer</v>
      </c>
      <c r="D593" s="723"/>
      <c r="E593" s="724"/>
      <c r="F593" s="723" t="str">
        <f>'lead 19-20'!K31</f>
        <v>Assistant  Engineer</v>
      </c>
      <c r="G593" s="725"/>
    </row>
    <row r="594" spans="1:7">
      <c r="A594" s="670"/>
      <c r="C594" s="727" t="str">
        <f>'lead 19-20'!H32</f>
        <v>PRI Sub Division</v>
      </c>
      <c r="D594" s="760"/>
      <c r="E594" s="760"/>
      <c r="F594" s="723" t="str">
        <f>'lead 19-20'!K32</f>
        <v>Mandal Praja parishad</v>
      </c>
      <c r="G594" s="728"/>
    </row>
    <row r="595" spans="1:7">
      <c r="A595" s="670"/>
      <c r="C595" s="727" t="str">
        <f>'lead 19-20'!H33</f>
        <v>Kanigiri</v>
      </c>
      <c r="D595" s="760"/>
      <c r="E595" s="760"/>
      <c r="F595" s="723" t="str">
        <f>'lead 19-20'!K33</f>
        <v>Kanigiri</v>
      </c>
      <c r="G595" s="728"/>
    </row>
  </sheetData>
  <autoFilter ref="A3:G590"/>
  <mergeCells count="1">
    <mergeCell ref="B1:F1"/>
  </mergeCells>
  <printOptions horizontalCentered="1"/>
  <pageMargins left="0.2" right="0.2" top="0.25" bottom="0.25" header="0.3" footer="0.3"/>
  <pageSetup paperSize="9" orientation="portrait" verticalDpi="300" r:id="rId1"/>
</worksheet>
</file>

<file path=xl/worksheets/sheet24.xml><?xml version="1.0" encoding="utf-8"?>
<worksheet xmlns="http://schemas.openxmlformats.org/spreadsheetml/2006/main" xmlns:r="http://schemas.openxmlformats.org/officeDocument/2006/relationships">
  <sheetPr filterMode="1">
    <tabColor rgb="FF00B050"/>
  </sheetPr>
  <dimension ref="A1:J1145"/>
  <sheetViews>
    <sheetView view="pageBreakPreview" zoomScaleSheetLayoutView="100" workbookViewId="0">
      <selection sqref="A1:I1"/>
    </sheetView>
  </sheetViews>
  <sheetFormatPr defaultColWidth="9.140625" defaultRowHeight="12.75"/>
  <cols>
    <col min="1" max="1" width="9.140625" style="1023"/>
    <col min="2" max="2" width="5.140625" style="1055" customWidth="1"/>
    <col min="3" max="3" width="45.5703125" style="1023" customWidth="1"/>
    <col min="4" max="4" width="9.140625" style="1023"/>
    <col min="5" max="5" width="4.7109375" style="1023" customWidth="1"/>
    <col min="6" max="6" width="3.28515625" style="1023" customWidth="1"/>
    <col min="7" max="7" width="5" style="1023" customWidth="1"/>
    <col min="8" max="8" width="9.5703125" style="1023" bestFit="1" customWidth="1"/>
    <col min="9" max="9" width="9.140625" style="1023"/>
    <col min="10" max="10" width="9.140625" style="1022"/>
    <col min="11" max="16384" width="9.140625" style="1023"/>
  </cols>
  <sheetData>
    <row r="1" spans="1:10" ht="18.75">
      <c r="A1" s="1666" t="s">
        <v>2295</v>
      </c>
      <c r="B1" s="1666"/>
      <c r="C1" s="1666"/>
      <c r="D1" s="1666"/>
      <c r="E1" s="1666"/>
      <c r="F1" s="1666"/>
      <c r="G1" s="1666"/>
      <c r="H1" s="1666"/>
      <c r="I1" s="1666"/>
    </row>
    <row r="2" spans="1:10" ht="32.25" customHeight="1">
      <c r="A2" s="1250" t="s">
        <v>321</v>
      </c>
      <c r="B2" s="1250" t="s">
        <v>23</v>
      </c>
      <c r="C2" s="1250" t="s">
        <v>322</v>
      </c>
      <c r="D2" s="1667" t="s">
        <v>6</v>
      </c>
      <c r="E2" s="1667"/>
      <c r="F2" s="1668" t="s">
        <v>383</v>
      </c>
      <c r="G2" s="1668"/>
      <c r="H2" s="1251" t="s">
        <v>323</v>
      </c>
      <c r="I2" s="1251" t="s">
        <v>324</v>
      </c>
    </row>
    <row r="3" spans="1:10" s="1022" customFormat="1" ht="18" customHeight="1">
      <c r="A3" s="1250">
        <v>1</v>
      </c>
      <c r="B3" s="1250">
        <v>2</v>
      </c>
      <c r="C3" s="1250">
        <v>3</v>
      </c>
      <c r="D3" s="1667">
        <v>4</v>
      </c>
      <c r="E3" s="1667"/>
      <c r="F3" s="1669">
        <v>5</v>
      </c>
      <c r="G3" s="1669"/>
      <c r="H3" s="1252">
        <v>6</v>
      </c>
      <c r="I3" s="1252">
        <v>7</v>
      </c>
    </row>
    <row r="4" spans="1:10" s="1509" customFormat="1">
      <c r="A4" s="1501"/>
      <c r="B4" s="1502"/>
      <c r="C4" s="1502" t="s">
        <v>2015</v>
      </c>
      <c r="D4" s="1503"/>
      <c r="E4" s="1504"/>
      <c r="F4" s="1505"/>
      <c r="G4" s="1506"/>
      <c r="H4" s="1507"/>
      <c r="I4" s="1508"/>
      <c r="J4" s="1483" t="s">
        <v>2299</v>
      </c>
    </row>
    <row r="5" spans="1:10" s="1509" customFormat="1" ht="33.75">
      <c r="A5" s="1507" t="s">
        <v>1495</v>
      </c>
      <c r="B5" s="1502">
        <v>1</v>
      </c>
      <c r="C5" s="1510" t="s">
        <v>1504</v>
      </c>
      <c r="D5" s="1511"/>
      <c r="E5" s="1512"/>
      <c r="F5" s="1511"/>
      <c r="G5" s="1512"/>
      <c r="H5" s="1513"/>
      <c r="I5" s="1513"/>
      <c r="J5" s="1483" t="s">
        <v>2217</v>
      </c>
    </row>
    <row r="6" spans="1:10" s="1509" customFormat="1">
      <c r="A6" s="1501"/>
      <c r="B6" s="1502"/>
      <c r="C6" s="1510" t="s">
        <v>1496</v>
      </c>
      <c r="D6" s="1514"/>
      <c r="E6" s="1504"/>
      <c r="F6" s="1514"/>
      <c r="G6" s="1504"/>
      <c r="H6" s="1510"/>
      <c r="I6" s="1510"/>
      <c r="J6" s="1483" t="s">
        <v>2217</v>
      </c>
    </row>
    <row r="7" spans="1:10" s="1509" customFormat="1">
      <c r="A7" s="1501"/>
      <c r="B7" s="1502"/>
      <c r="C7" s="1515" t="s">
        <v>384</v>
      </c>
      <c r="D7" s="1516"/>
      <c r="E7" s="1517"/>
      <c r="F7" s="1518"/>
      <c r="G7" s="1519"/>
      <c r="H7" s="1507"/>
      <c r="I7" s="1520"/>
      <c r="J7" s="1483" t="s">
        <v>2217</v>
      </c>
    </row>
    <row r="8" spans="1:10" s="1509" customFormat="1">
      <c r="A8" s="1501"/>
      <c r="B8" s="1502"/>
      <c r="C8" s="1521" t="s">
        <v>156</v>
      </c>
      <c r="D8" s="1503">
        <v>2</v>
      </c>
      <c r="E8" s="1522" t="s">
        <v>27</v>
      </c>
      <c r="F8" s="1505">
        <v>1</v>
      </c>
      <c r="G8" s="1522" t="s">
        <v>27</v>
      </c>
      <c r="H8" s="1507">
        <f>'MINI SSR 19-20'!$H$16</f>
        <v>575</v>
      </c>
      <c r="I8" s="1520">
        <f>SUM(D8*H8/F8)</f>
        <v>1150</v>
      </c>
      <c r="J8" s="1483" t="s">
        <v>2217</v>
      </c>
    </row>
    <row r="9" spans="1:10" s="1509" customFormat="1">
      <c r="A9" s="1501"/>
      <c r="B9" s="1502"/>
      <c r="C9" s="1523" t="s">
        <v>1499</v>
      </c>
      <c r="D9" s="1503">
        <v>2</v>
      </c>
      <c r="E9" s="1522" t="s">
        <v>27</v>
      </c>
      <c r="F9" s="1505">
        <v>1</v>
      </c>
      <c r="G9" s="1522" t="s">
        <v>27</v>
      </c>
      <c r="H9" s="1507">
        <f>'MINI SSR 19-20'!$H$17</f>
        <v>471</v>
      </c>
      <c r="I9" s="1520">
        <f>SUM(D9*H9/F9)</f>
        <v>942</v>
      </c>
      <c r="J9" s="1483" t="s">
        <v>2217</v>
      </c>
    </row>
    <row r="10" spans="1:10" s="1509" customFormat="1">
      <c r="A10" s="1501"/>
      <c r="B10" s="1502"/>
      <c r="C10" s="1521" t="s">
        <v>1500</v>
      </c>
      <c r="D10" s="1503">
        <v>2</v>
      </c>
      <c r="E10" s="1522" t="s">
        <v>27</v>
      </c>
      <c r="F10" s="1505">
        <v>1</v>
      </c>
      <c r="G10" s="1522" t="s">
        <v>27</v>
      </c>
      <c r="H10" s="1507">
        <f>'MINI SSR 19-20'!$H$18</f>
        <v>418</v>
      </c>
      <c r="I10" s="1520">
        <f>SUM(D10*H10/F10)</f>
        <v>836</v>
      </c>
      <c r="J10" s="1483" t="s">
        <v>2217</v>
      </c>
    </row>
    <row r="11" spans="1:10" s="1509" customFormat="1">
      <c r="A11" s="1501"/>
      <c r="B11" s="1502"/>
      <c r="C11" s="1515" t="s">
        <v>327</v>
      </c>
      <c r="D11" s="1503"/>
      <c r="E11" s="1506"/>
      <c r="F11" s="1524"/>
      <c r="G11" s="1506"/>
      <c r="H11" s="1507"/>
      <c r="I11" s="1525"/>
      <c r="J11" s="1483" t="s">
        <v>2217</v>
      </c>
    </row>
    <row r="12" spans="1:10" s="1509" customFormat="1">
      <c r="A12" s="1501" t="s">
        <v>3165</v>
      </c>
      <c r="B12" s="1502"/>
      <c r="C12" s="1510" t="s">
        <v>1497</v>
      </c>
      <c r="D12" s="1503">
        <v>12</v>
      </c>
      <c r="E12" s="1522" t="s">
        <v>325</v>
      </c>
      <c r="F12" s="1505">
        <v>1</v>
      </c>
      <c r="G12" s="1522" t="s">
        <v>115</v>
      </c>
      <c r="H12" s="1507">
        <f>'MINI SSR 19-20'!C99</f>
        <v>65</v>
      </c>
      <c r="I12" s="1520">
        <f>SUM(D12*H12/F12)</f>
        <v>780</v>
      </c>
      <c r="J12" s="1483" t="s">
        <v>2217</v>
      </c>
    </row>
    <row r="13" spans="1:10" s="1509" customFormat="1">
      <c r="A13" s="1501" t="s">
        <v>1502</v>
      </c>
      <c r="B13" s="1502"/>
      <c r="C13" s="1510" t="s">
        <v>1498</v>
      </c>
      <c r="D13" s="1503">
        <v>12</v>
      </c>
      <c r="E13" s="1522" t="s">
        <v>325</v>
      </c>
      <c r="F13" s="1505">
        <v>1</v>
      </c>
      <c r="G13" s="1522" t="s">
        <v>115</v>
      </c>
      <c r="H13" s="1507">
        <f>'MINI SSR 19-20'!C101</f>
        <v>8</v>
      </c>
      <c r="I13" s="1520">
        <f>SUM(D13*H13/F13)</f>
        <v>96</v>
      </c>
      <c r="J13" s="1483" t="s">
        <v>2217</v>
      </c>
    </row>
    <row r="14" spans="1:10" s="1509" customFormat="1">
      <c r="A14" s="1501" t="s">
        <v>1503</v>
      </c>
      <c r="B14" s="1502"/>
      <c r="C14" s="1510" t="s">
        <v>1507</v>
      </c>
      <c r="D14" s="1503">
        <v>100</v>
      </c>
      <c r="E14" s="1522" t="s">
        <v>385</v>
      </c>
      <c r="F14" s="1505">
        <v>1</v>
      </c>
      <c r="G14" s="1522" t="s">
        <v>385</v>
      </c>
      <c r="H14" s="1507">
        <f>'MINI SSR 19-20'!C102</f>
        <v>33</v>
      </c>
      <c r="I14" s="1520">
        <f>SUM(D14*H14/F14)</f>
        <v>3300</v>
      </c>
      <c r="J14" s="1483" t="s">
        <v>2217</v>
      </c>
    </row>
    <row r="15" spans="1:10" s="1509" customFormat="1">
      <c r="A15" s="1526"/>
      <c r="B15" s="1527"/>
      <c r="C15" s="1513" t="s">
        <v>386</v>
      </c>
      <c r="D15" s="1503"/>
      <c r="E15" s="1522"/>
      <c r="F15" s="1505"/>
      <c r="G15" s="1522"/>
      <c r="H15" s="1507"/>
      <c r="I15" s="1525">
        <f>SUM(I8:I14)</f>
        <v>7104</v>
      </c>
      <c r="J15" s="1483" t="s">
        <v>2217</v>
      </c>
    </row>
    <row r="16" spans="1:10" s="1509" customFormat="1">
      <c r="A16" s="1526"/>
      <c r="B16" s="1527"/>
      <c r="C16" s="1513" t="s">
        <v>387</v>
      </c>
      <c r="D16" s="1528"/>
      <c r="E16" s="1522"/>
      <c r="F16" s="1505"/>
      <c r="G16" s="1522"/>
      <c r="H16" s="1529"/>
      <c r="I16" s="1525">
        <f>ROUND(I15/100,2)</f>
        <v>71.040000000000006</v>
      </c>
      <c r="J16" s="1483" t="s">
        <v>2217</v>
      </c>
    </row>
    <row r="17" spans="1:10" ht="33.75" hidden="1">
      <c r="A17" s="1029" t="s">
        <v>1655</v>
      </c>
      <c r="B17" s="1005">
        <v>2</v>
      </c>
      <c r="C17" s="1031" t="s">
        <v>1508</v>
      </c>
      <c r="D17" s="1032"/>
      <c r="E17" s="1033"/>
      <c r="F17" s="1032"/>
      <c r="G17" s="1033"/>
      <c r="H17" s="1034"/>
      <c r="I17" s="1034"/>
      <c r="J17" s="964" t="s">
        <v>2217</v>
      </c>
    </row>
    <row r="18" spans="1:10" hidden="1">
      <c r="A18" s="1024"/>
      <c r="B18" s="1005"/>
      <c r="C18" s="1031" t="s">
        <v>1496</v>
      </c>
      <c r="D18" s="1035"/>
      <c r="E18" s="1026"/>
      <c r="F18" s="1035"/>
      <c r="G18" s="1026"/>
      <c r="H18" s="1031"/>
      <c r="I18" s="1031"/>
      <c r="J18" s="964" t="s">
        <v>2217</v>
      </c>
    </row>
    <row r="19" spans="1:10" hidden="1">
      <c r="A19" s="1024"/>
      <c r="B19" s="1005"/>
      <c r="C19" s="1036" t="s">
        <v>384</v>
      </c>
      <c r="D19" s="1037"/>
      <c r="E19" s="1038"/>
      <c r="F19" s="1039"/>
      <c r="G19" s="1040"/>
      <c r="H19" s="1029"/>
      <c r="I19" s="1041"/>
      <c r="J19" s="964" t="s">
        <v>2217</v>
      </c>
    </row>
    <row r="20" spans="1:10" hidden="1">
      <c r="A20" s="1024"/>
      <c r="B20" s="1005"/>
      <c r="C20" s="1042" t="s">
        <v>156</v>
      </c>
      <c r="D20" s="1025">
        <v>2</v>
      </c>
      <c r="E20" s="1043" t="s">
        <v>27</v>
      </c>
      <c r="F20" s="1027">
        <v>1</v>
      </c>
      <c r="G20" s="1043" t="s">
        <v>27</v>
      </c>
      <c r="H20" s="1029">
        <f>'MINI SSR 19-20'!$H$16</f>
        <v>575</v>
      </c>
      <c r="I20" s="1041">
        <f>SUM(D20*H20/F20)</f>
        <v>1150</v>
      </c>
      <c r="J20" s="964" t="s">
        <v>2217</v>
      </c>
    </row>
    <row r="21" spans="1:10" hidden="1">
      <c r="A21" s="1024"/>
      <c r="B21" s="1005"/>
      <c r="C21" s="1044" t="s">
        <v>1499</v>
      </c>
      <c r="D21" s="1025">
        <v>2</v>
      </c>
      <c r="E21" s="1043" t="s">
        <v>27</v>
      </c>
      <c r="F21" s="1027">
        <v>1</v>
      </c>
      <c r="G21" s="1043" t="s">
        <v>27</v>
      </c>
      <c r="H21" s="1029">
        <f>'MINI SSR 19-20'!$H$17</f>
        <v>471</v>
      </c>
      <c r="I21" s="1041">
        <f>SUM(D21*H21/F21)</f>
        <v>942</v>
      </c>
      <c r="J21" s="964" t="s">
        <v>2217</v>
      </c>
    </row>
    <row r="22" spans="1:10" hidden="1">
      <c r="A22" s="1024"/>
      <c r="B22" s="1005"/>
      <c r="C22" s="1042" t="s">
        <v>1500</v>
      </c>
      <c r="D22" s="1025">
        <v>2</v>
      </c>
      <c r="E22" s="1043" t="s">
        <v>27</v>
      </c>
      <c r="F22" s="1027">
        <v>1</v>
      </c>
      <c r="G22" s="1043" t="s">
        <v>27</v>
      </c>
      <c r="H22" s="1029">
        <f>'MINI SSR 19-20'!$H$18</f>
        <v>418</v>
      </c>
      <c r="I22" s="1041">
        <f>SUM(D22*H22/F22)</f>
        <v>836</v>
      </c>
      <c r="J22" s="964" t="s">
        <v>2217</v>
      </c>
    </row>
    <row r="23" spans="1:10" hidden="1">
      <c r="A23" s="1024"/>
      <c r="B23" s="1005"/>
      <c r="C23" s="1042" t="s">
        <v>1506</v>
      </c>
      <c r="D23" s="1025">
        <v>2</v>
      </c>
      <c r="E23" s="1043" t="s">
        <v>27</v>
      </c>
      <c r="F23" s="1027">
        <v>1</v>
      </c>
      <c r="G23" s="1043" t="s">
        <v>27</v>
      </c>
      <c r="H23" s="1029">
        <f>'MINI SSR 19-20'!$H$3</f>
        <v>500</v>
      </c>
      <c r="I23" s="1041">
        <f>SUM(D23*H23/F23)</f>
        <v>1000</v>
      </c>
      <c r="J23" s="964" t="s">
        <v>2217</v>
      </c>
    </row>
    <row r="24" spans="1:10" hidden="1">
      <c r="A24" s="1024"/>
      <c r="B24" s="1005"/>
      <c r="C24" s="1036" t="s">
        <v>327</v>
      </c>
      <c r="D24" s="1025"/>
      <c r="E24" s="1028"/>
      <c r="F24" s="1045"/>
      <c r="G24" s="1028"/>
      <c r="H24" s="1029"/>
      <c r="I24" s="1046"/>
      <c r="J24" s="964" t="s">
        <v>2217</v>
      </c>
    </row>
    <row r="25" spans="1:10" hidden="1">
      <c r="A25" s="1024" t="s">
        <v>1503</v>
      </c>
      <c r="B25" s="1005"/>
      <c r="C25" s="1056" t="s">
        <v>1507</v>
      </c>
      <c r="D25" s="1025">
        <v>100</v>
      </c>
      <c r="E25" s="1043" t="s">
        <v>325</v>
      </c>
      <c r="F25" s="1027">
        <v>1</v>
      </c>
      <c r="G25" s="1043" t="s">
        <v>115</v>
      </c>
      <c r="H25" s="1029">
        <f>'MINI SSR 19-20'!C102</f>
        <v>33</v>
      </c>
      <c r="I25" s="1041">
        <f>SUM(D25*H25/F25)</f>
        <v>3300</v>
      </c>
      <c r="J25" s="964" t="s">
        <v>2217</v>
      </c>
    </row>
    <row r="26" spans="1:10" hidden="1">
      <c r="A26" s="1024" t="s">
        <v>1509</v>
      </c>
      <c r="B26" s="1005"/>
      <c r="C26" s="1057" t="s">
        <v>1505</v>
      </c>
      <c r="D26" s="1025">
        <v>200</v>
      </c>
      <c r="E26" s="1043" t="s">
        <v>325</v>
      </c>
      <c r="F26" s="1027">
        <v>100</v>
      </c>
      <c r="G26" s="1043" t="s">
        <v>115</v>
      </c>
      <c r="H26" s="1029">
        <f>'MINI SSR 19-20'!C103</f>
        <v>30</v>
      </c>
      <c r="I26" s="1041">
        <f t="shared" ref="I26:I29" si="0">SUM(D26*H26/F26)</f>
        <v>60</v>
      </c>
      <c r="J26" s="964" t="s">
        <v>2217</v>
      </c>
    </row>
    <row r="27" spans="1:10" hidden="1">
      <c r="A27" s="1024" t="s">
        <v>1501</v>
      </c>
      <c r="B27" s="1005"/>
      <c r="C27" s="1031" t="s">
        <v>1497</v>
      </c>
      <c r="D27" s="1025">
        <v>12</v>
      </c>
      <c r="E27" s="1043" t="s">
        <v>325</v>
      </c>
      <c r="F27" s="1027">
        <v>1</v>
      </c>
      <c r="G27" s="1043" t="s">
        <v>115</v>
      </c>
      <c r="H27" s="1029">
        <f>'MINI SSR 19-20'!C100</f>
        <v>25</v>
      </c>
      <c r="I27" s="1041">
        <f t="shared" si="0"/>
        <v>300</v>
      </c>
      <c r="J27" s="964" t="s">
        <v>2217</v>
      </c>
    </row>
    <row r="28" spans="1:10" hidden="1">
      <c r="A28" s="1024" t="s">
        <v>1502</v>
      </c>
      <c r="B28" s="1005"/>
      <c r="C28" s="1031" t="s">
        <v>1498</v>
      </c>
      <c r="D28" s="1025">
        <v>12</v>
      </c>
      <c r="E28" s="1043" t="s">
        <v>325</v>
      </c>
      <c r="F28" s="1027">
        <v>1</v>
      </c>
      <c r="G28" s="1043" t="s">
        <v>115</v>
      </c>
      <c r="H28" s="1029">
        <f>'MINI SSR 19-20'!C101</f>
        <v>8</v>
      </c>
      <c r="I28" s="1041">
        <f t="shared" si="0"/>
        <v>96</v>
      </c>
      <c r="J28" s="964" t="s">
        <v>2217</v>
      </c>
    </row>
    <row r="29" spans="1:10" hidden="1">
      <c r="A29" s="1024"/>
      <c r="B29" s="1005"/>
      <c r="C29" s="1056" t="s">
        <v>847</v>
      </c>
      <c r="D29" s="1025">
        <v>50</v>
      </c>
      <c r="E29" s="1043" t="s">
        <v>4</v>
      </c>
      <c r="F29" s="1027">
        <v>1</v>
      </c>
      <c r="G29" s="1043" t="s">
        <v>4</v>
      </c>
      <c r="H29" s="1029">
        <f>'lead 19-20'!L8/1000</f>
        <v>4.7</v>
      </c>
      <c r="I29" s="1041">
        <f t="shared" si="0"/>
        <v>235</v>
      </c>
      <c r="J29" s="964" t="s">
        <v>2217</v>
      </c>
    </row>
    <row r="30" spans="1:10" hidden="1">
      <c r="A30" s="1047"/>
      <c r="B30" s="1048"/>
      <c r="C30" s="1034" t="s">
        <v>386</v>
      </c>
      <c r="D30" s="1025"/>
      <c r="E30" s="1043"/>
      <c r="F30" s="1027"/>
      <c r="G30" s="1043"/>
      <c r="H30" s="1029"/>
      <c r="I30" s="1046">
        <f>SUM(I20:I29)</f>
        <v>7919</v>
      </c>
      <c r="J30" s="964" t="s">
        <v>2217</v>
      </c>
    </row>
    <row r="31" spans="1:10" hidden="1">
      <c r="A31" s="1047"/>
      <c r="B31" s="1048"/>
      <c r="C31" s="1034" t="s">
        <v>387</v>
      </c>
      <c r="D31" s="1049"/>
      <c r="E31" s="1043"/>
      <c r="F31" s="1027"/>
      <c r="G31" s="1043"/>
      <c r="H31" s="1050"/>
      <c r="I31" s="1046">
        <f>ROUND(I30/100,2)</f>
        <v>79.19</v>
      </c>
      <c r="J31" s="964" t="s">
        <v>2217</v>
      </c>
    </row>
    <row r="32" spans="1:10" hidden="1">
      <c r="A32" s="1047"/>
      <c r="B32" s="1048"/>
      <c r="C32" s="1036"/>
      <c r="D32" s="1058"/>
      <c r="E32" s="1059"/>
      <c r="F32" s="1058"/>
      <c r="G32" s="1059"/>
      <c r="H32" s="1060"/>
      <c r="I32" s="1060"/>
      <c r="J32" s="964" t="s">
        <v>2217</v>
      </c>
    </row>
    <row r="33" spans="1:10" hidden="1">
      <c r="A33" s="1047"/>
      <c r="B33" s="1048">
        <v>3</v>
      </c>
      <c r="C33" s="1031" t="s">
        <v>389</v>
      </c>
      <c r="D33" s="1032"/>
      <c r="E33" s="1033"/>
      <c r="F33" s="1032"/>
      <c r="G33" s="1033"/>
      <c r="H33" s="1034"/>
      <c r="I33" s="1034"/>
      <c r="J33" s="964" t="s">
        <v>2217</v>
      </c>
    </row>
    <row r="34" spans="1:10" hidden="1">
      <c r="A34" s="1047"/>
      <c r="B34" s="1048"/>
      <c r="C34" s="1042" t="s">
        <v>390</v>
      </c>
      <c r="D34" s="1025">
        <v>1</v>
      </c>
      <c r="E34" s="1043" t="s">
        <v>277</v>
      </c>
      <c r="F34" s="1027">
        <v>1</v>
      </c>
      <c r="G34" s="1043" t="s">
        <v>277</v>
      </c>
      <c r="H34" s="1029">
        <f>'MINI SSR 19-20'!C104</f>
        <v>55</v>
      </c>
      <c r="I34" s="1041">
        <f>SUM(D34*H34/F34)</f>
        <v>55</v>
      </c>
      <c r="J34" s="964" t="s">
        <v>2217</v>
      </c>
    </row>
    <row r="35" spans="1:10" hidden="1">
      <c r="A35" s="1047"/>
      <c r="B35" s="1048"/>
      <c r="C35" s="1044"/>
      <c r="D35" s="1025"/>
      <c r="E35" s="1043"/>
      <c r="F35" s="1027"/>
      <c r="G35" s="1043"/>
      <c r="H35" s="1029"/>
      <c r="I35" s="1041">
        <f>SUM(I34)</f>
        <v>55</v>
      </c>
      <c r="J35" s="964" t="s">
        <v>2217</v>
      </c>
    </row>
    <row r="36" spans="1:10" ht="22.5" hidden="1">
      <c r="A36" s="1047"/>
      <c r="B36" s="1048">
        <v>1</v>
      </c>
      <c r="C36" s="1031" t="s">
        <v>427</v>
      </c>
      <c r="D36" s="1032"/>
      <c r="E36" s="1033"/>
      <c r="F36" s="1032"/>
      <c r="G36" s="1033"/>
      <c r="H36" s="1034"/>
      <c r="I36" s="1034"/>
      <c r="J36" s="964" t="s">
        <v>2217</v>
      </c>
    </row>
    <row r="37" spans="1:10" hidden="1">
      <c r="A37" s="1047"/>
      <c r="B37" s="1048"/>
      <c r="C37" s="1042" t="s">
        <v>433</v>
      </c>
      <c r="D37" s="1025">
        <v>1</v>
      </c>
      <c r="E37" s="1043" t="s">
        <v>325</v>
      </c>
      <c r="F37" s="1027">
        <v>1</v>
      </c>
      <c r="G37" s="1043" t="s">
        <v>325</v>
      </c>
      <c r="H37" s="1029">
        <f>'MINI SSR 19-20'!C106</f>
        <v>205</v>
      </c>
      <c r="I37" s="1041">
        <f>SUM(D37*H37/F37)</f>
        <v>205</v>
      </c>
      <c r="J37" s="964" t="s">
        <v>2217</v>
      </c>
    </row>
    <row r="38" spans="1:10" hidden="1">
      <c r="A38" s="1047"/>
      <c r="B38" s="1048"/>
      <c r="C38" s="1044"/>
      <c r="D38" s="1025"/>
      <c r="E38" s="1043"/>
      <c r="F38" s="1027"/>
      <c r="G38" s="1043"/>
      <c r="H38" s="1029"/>
      <c r="I38" s="1041">
        <f>SUM(I37)</f>
        <v>205</v>
      </c>
      <c r="J38" s="964" t="s">
        <v>2217</v>
      </c>
    </row>
    <row r="39" spans="1:10" ht="22.5" hidden="1">
      <c r="A39" s="1047"/>
      <c r="B39" s="1048">
        <v>2</v>
      </c>
      <c r="C39" s="1031" t="s">
        <v>610</v>
      </c>
      <c r="D39" s="1032"/>
      <c r="E39" s="1033"/>
      <c r="F39" s="1032"/>
      <c r="G39" s="1033"/>
      <c r="H39" s="1034"/>
      <c r="I39" s="1034"/>
      <c r="J39" s="964" t="s">
        <v>2217</v>
      </c>
    </row>
    <row r="40" spans="1:10" hidden="1">
      <c r="A40" s="1047"/>
      <c r="B40" s="1048"/>
      <c r="C40" s="1042" t="s">
        <v>611</v>
      </c>
      <c r="D40" s="1025">
        <v>1</v>
      </c>
      <c r="E40" s="1043" t="s">
        <v>325</v>
      </c>
      <c r="F40" s="1027">
        <v>1</v>
      </c>
      <c r="G40" s="1043" t="s">
        <v>325</v>
      </c>
      <c r="H40" s="1029">
        <f>'MINI SSR 19-20'!C107</f>
        <v>170</v>
      </c>
      <c r="I40" s="1041">
        <f>SUM(D40*H40/F40)</f>
        <v>170</v>
      </c>
      <c r="J40" s="964" t="s">
        <v>2217</v>
      </c>
    </row>
    <row r="41" spans="1:10" hidden="1">
      <c r="A41" s="1047"/>
      <c r="B41" s="1048"/>
      <c r="C41" s="1044"/>
      <c r="D41" s="1025"/>
      <c r="E41" s="1043"/>
      <c r="F41" s="1027"/>
      <c r="G41" s="1043"/>
      <c r="H41" s="1029"/>
      <c r="I41" s="1041">
        <f>SUM(I40)</f>
        <v>170</v>
      </c>
      <c r="J41" s="964" t="s">
        <v>2217</v>
      </c>
    </row>
    <row r="42" spans="1:10" ht="22.5" hidden="1">
      <c r="A42" s="1047"/>
      <c r="B42" s="1048">
        <v>3</v>
      </c>
      <c r="C42" s="1031" t="s">
        <v>690</v>
      </c>
      <c r="D42" s="1032"/>
      <c r="E42" s="1033"/>
      <c r="F42" s="1032"/>
      <c r="G42" s="1033"/>
      <c r="H42" s="1034"/>
      <c r="I42" s="1034"/>
      <c r="J42" s="964" t="s">
        <v>2217</v>
      </c>
    </row>
    <row r="43" spans="1:10" hidden="1">
      <c r="A43" s="1047"/>
      <c r="B43" s="1048"/>
      <c r="C43" s="1042" t="s">
        <v>691</v>
      </c>
      <c r="D43" s="1025">
        <v>1</v>
      </c>
      <c r="E43" s="1043" t="s">
        <v>325</v>
      </c>
      <c r="F43" s="1027">
        <v>1</v>
      </c>
      <c r="G43" s="1043" t="s">
        <v>325</v>
      </c>
      <c r="H43" s="1029">
        <f>'MINI SSR 19-20'!C108</f>
        <v>130</v>
      </c>
      <c r="I43" s="1041">
        <f>SUM(D43*H43/F43)</f>
        <v>130</v>
      </c>
      <c r="J43" s="964" t="s">
        <v>2217</v>
      </c>
    </row>
    <row r="44" spans="1:10" hidden="1">
      <c r="A44" s="1047"/>
      <c r="B44" s="1048"/>
      <c r="C44" s="1044"/>
      <c r="D44" s="1025"/>
      <c r="E44" s="1043"/>
      <c r="F44" s="1027"/>
      <c r="G44" s="1043"/>
      <c r="H44" s="1029"/>
      <c r="I44" s="1041">
        <f>SUM(I43)</f>
        <v>130</v>
      </c>
      <c r="J44" s="964" t="s">
        <v>2217</v>
      </c>
    </row>
    <row r="45" spans="1:10" ht="22.5" hidden="1">
      <c r="A45" s="1047"/>
      <c r="B45" s="1048">
        <v>4</v>
      </c>
      <c r="C45" s="1031" t="s">
        <v>790</v>
      </c>
      <c r="D45" s="1032"/>
      <c r="E45" s="1033"/>
      <c r="F45" s="1032"/>
      <c r="G45" s="1033"/>
      <c r="H45" s="1034"/>
      <c r="I45" s="1034"/>
      <c r="J45" s="964" t="s">
        <v>2217</v>
      </c>
    </row>
    <row r="46" spans="1:10" hidden="1">
      <c r="A46" s="1047"/>
      <c r="B46" s="1048"/>
      <c r="C46" s="1042" t="s">
        <v>791</v>
      </c>
      <c r="D46" s="1025">
        <v>1</v>
      </c>
      <c r="E46" s="1043" t="s">
        <v>325</v>
      </c>
      <c r="F46" s="1027">
        <v>1</v>
      </c>
      <c r="G46" s="1043" t="s">
        <v>325</v>
      </c>
      <c r="H46" s="1029">
        <f>'MINI SSR 19-20'!C109</f>
        <v>95</v>
      </c>
      <c r="I46" s="1041">
        <f>SUM(D46*H46/F46)</f>
        <v>95</v>
      </c>
      <c r="J46" s="964" t="s">
        <v>2217</v>
      </c>
    </row>
    <row r="47" spans="1:10" hidden="1">
      <c r="A47" s="1047"/>
      <c r="B47" s="1048"/>
      <c r="C47" s="1044"/>
      <c r="D47" s="1025"/>
      <c r="E47" s="1043"/>
      <c r="F47" s="1027"/>
      <c r="G47" s="1043"/>
      <c r="H47" s="1029"/>
      <c r="I47" s="1041">
        <f>SUM(I46)</f>
        <v>95</v>
      </c>
      <c r="J47" s="964" t="s">
        <v>2217</v>
      </c>
    </row>
    <row r="48" spans="1:10" ht="22.5" hidden="1">
      <c r="A48" s="1047"/>
      <c r="B48" s="1048">
        <v>8</v>
      </c>
      <c r="C48" s="1031" t="s">
        <v>612</v>
      </c>
      <c r="D48" s="1032"/>
      <c r="E48" s="1033"/>
      <c r="F48" s="1032"/>
      <c r="G48" s="1033"/>
      <c r="H48" s="1034"/>
      <c r="I48" s="1034"/>
      <c r="J48" s="964" t="s">
        <v>2217</v>
      </c>
    </row>
    <row r="49" spans="1:10" hidden="1">
      <c r="A49" s="1047"/>
      <c r="B49" s="1048"/>
      <c r="C49" s="1042" t="s">
        <v>614</v>
      </c>
      <c r="D49" s="1025">
        <v>1</v>
      </c>
      <c r="E49" s="1043" t="s">
        <v>325</v>
      </c>
      <c r="F49" s="1027">
        <v>1</v>
      </c>
      <c r="G49" s="1043" t="s">
        <v>325</v>
      </c>
      <c r="H49" s="1029">
        <f>H37</f>
        <v>205</v>
      </c>
      <c r="I49" s="1041">
        <f>SUM(D49*H49/F49)</f>
        <v>205</v>
      </c>
      <c r="J49" s="964" t="s">
        <v>2217</v>
      </c>
    </row>
    <row r="50" spans="1:10" hidden="1">
      <c r="A50" s="1047"/>
      <c r="B50" s="1048"/>
      <c r="C50" s="1042" t="s">
        <v>613</v>
      </c>
      <c r="D50" s="1025">
        <v>1</v>
      </c>
      <c r="E50" s="1043" t="s">
        <v>325</v>
      </c>
      <c r="F50" s="1027">
        <v>1</v>
      </c>
      <c r="G50" s="1043" t="s">
        <v>325</v>
      </c>
      <c r="H50" s="1029">
        <f>H43</f>
        <v>130</v>
      </c>
      <c r="I50" s="1041">
        <f>SUM(D50*H50/F50)</f>
        <v>130</v>
      </c>
      <c r="J50" s="964" t="s">
        <v>2217</v>
      </c>
    </row>
    <row r="51" spans="1:10" hidden="1">
      <c r="A51" s="1047"/>
      <c r="B51" s="1048"/>
      <c r="C51" s="1044"/>
      <c r="D51" s="1025"/>
      <c r="E51" s="1043"/>
      <c r="F51" s="1027"/>
      <c r="G51" s="1043"/>
      <c r="H51" s="1029"/>
      <c r="I51" s="1041">
        <f>SUM(I49:I50)</f>
        <v>335</v>
      </c>
      <c r="J51" s="964" t="s">
        <v>2217</v>
      </c>
    </row>
    <row r="52" spans="1:10" ht="22.5" hidden="1">
      <c r="A52" s="1047"/>
      <c r="B52" s="1048">
        <v>9</v>
      </c>
      <c r="C52" s="1031" t="s">
        <v>1510</v>
      </c>
      <c r="D52" s="1032"/>
      <c r="E52" s="1033"/>
      <c r="F52" s="1032"/>
      <c r="G52" s="1033"/>
      <c r="H52" s="1034"/>
      <c r="I52" s="1034"/>
      <c r="J52" s="964" t="s">
        <v>2217</v>
      </c>
    </row>
    <row r="53" spans="1:10" hidden="1">
      <c r="A53" s="1047"/>
      <c r="B53" s="1048"/>
      <c r="C53" s="1042" t="s">
        <v>614</v>
      </c>
      <c r="D53" s="1025">
        <v>1</v>
      </c>
      <c r="E53" s="1043" t="s">
        <v>325</v>
      </c>
      <c r="F53" s="1027">
        <v>1</v>
      </c>
      <c r="G53" s="1043" t="s">
        <v>325</v>
      </c>
      <c r="H53" s="1029">
        <f>H37</f>
        <v>205</v>
      </c>
      <c r="I53" s="1041">
        <f>SUM(D53*H53/F53)</f>
        <v>205</v>
      </c>
      <c r="J53" s="964" t="s">
        <v>2217</v>
      </c>
    </row>
    <row r="54" spans="1:10" hidden="1">
      <c r="A54" s="1047"/>
      <c r="B54" s="1048"/>
      <c r="C54" s="1042" t="s">
        <v>1511</v>
      </c>
      <c r="D54" s="1025">
        <v>1</v>
      </c>
      <c r="E54" s="1043" t="s">
        <v>325</v>
      </c>
      <c r="F54" s="1027">
        <v>1</v>
      </c>
      <c r="G54" s="1043" t="s">
        <v>325</v>
      </c>
      <c r="H54" s="1029">
        <f>'MINI SSR 19-20'!C109</f>
        <v>95</v>
      </c>
      <c r="I54" s="1041">
        <f>SUM(D54*H54/F54)</f>
        <v>95</v>
      </c>
      <c r="J54" s="964" t="s">
        <v>2217</v>
      </c>
    </row>
    <row r="55" spans="1:10" hidden="1">
      <c r="A55" s="1047"/>
      <c r="B55" s="1048"/>
      <c r="C55" s="1044"/>
      <c r="D55" s="1025"/>
      <c r="E55" s="1043"/>
      <c r="F55" s="1027"/>
      <c r="G55" s="1043"/>
      <c r="H55" s="1029"/>
      <c r="I55" s="1041">
        <f>SUM(I53:I54)</f>
        <v>300</v>
      </c>
      <c r="J55" s="964" t="s">
        <v>2217</v>
      </c>
    </row>
    <row r="56" spans="1:10" ht="22.5" hidden="1">
      <c r="A56" s="1047"/>
      <c r="B56" s="1048">
        <v>5</v>
      </c>
      <c r="C56" s="1031" t="s">
        <v>428</v>
      </c>
      <c r="D56" s="1032"/>
      <c r="E56" s="1033"/>
      <c r="F56" s="1032"/>
      <c r="G56" s="1033"/>
      <c r="H56" s="1034"/>
      <c r="I56" s="1034"/>
      <c r="J56" s="964" t="s">
        <v>2217</v>
      </c>
    </row>
    <row r="57" spans="1:10" hidden="1">
      <c r="A57" s="1047"/>
      <c r="B57" s="1048"/>
      <c r="C57" s="1042" t="s">
        <v>434</v>
      </c>
      <c r="D57" s="1025">
        <v>1</v>
      </c>
      <c r="E57" s="1043" t="s">
        <v>325</v>
      </c>
      <c r="F57" s="1027">
        <v>1</v>
      </c>
      <c r="G57" s="1043" t="s">
        <v>325</v>
      </c>
      <c r="H57" s="1029">
        <f>'MINI SSR 19-20'!C112</f>
        <v>57</v>
      </c>
      <c r="I57" s="1041">
        <f>SUM(D57*H57/F57)</f>
        <v>57</v>
      </c>
      <c r="J57" s="964" t="s">
        <v>2217</v>
      </c>
    </row>
    <row r="58" spans="1:10" hidden="1">
      <c r="A58" s="1047"/>
      <c r="B58" s="1048"/>
      <c r="C58" s="1044"/>
      <c r="D58" s="1025"/>
      <c r="E58" s="1043"/>
      <c r="F58" s="1027"/>
      <c r="G58" s="1043"/>
      <c r="H58" s="1029"/>
      <c r="I58" s="1041">
        <f>SUM(I57)</f>
        <v>57</v>
      </c>
      <c r="J58" s="964" t="s">
        <v>2217</v>
      </c>
    </row>
    <row r="59" spans="1:10" hidden="1">
      <c r="A59" s="1047"/>
      <c r="B59" s="1048">
        <v>8</v>
      </c>
      <c r="C59" s="1031" t="s">
        <v>437</v>
      </c>
      <c r="D59" s="1032"/>
      <c r="E59" s="1033"/>
      <c r="F59" s="1032"/>
      <c r="G59" s="1033"/>
      <c r="H59" s="1034"/>
      <c r="I59" s="1034"/>
      <c r="J59" s="964" t="s">
        <v>2217</v>
      </c>
    </row>
    <row r="60" spans="1:10" hidden="1">
      <c r="A60" s="1047"/>
      <c r="B60" s="1048"/>
      <c r="C60" s="1042" t="s">
        <v>438</v>
      </c>
      <c r="D60" s="1025">
        <v>1</v>
      </c>
      <c r="E60" s="1043" t="s">
        <v>325</v>
      </c>
      <c r="F60" s="1027">
        <v>1</v>
      </c>
      <c r="G60" s="1043" t="s">
        <v>325</v>
      </c>
      <c r="H60" s="1029">
        <f>'MINI SSR 19-20'!E106</f>
        <v>190</v>
      </c>
      <c r="I60" s="1041">
        <f>SUM(D60*H60/F60)</f>
        <v>190</v>
      </c>
      <c r="J60" s="964" t="s">
        <v>2217</v>
      </c>
    </row>
    <row r="61" spans="1:10" hidden="1">
      <c r="A61" s="1047"/>
      <c r="B61" s="1048"/>
      <c r="C61" s="1044"/>
      <c r="D61" s="1025"/>
      <c r="E61" s="1043"/>
      <c r="F61" s="1027"/>
      <c r="G61" s="1043"/>
      <c r="H61" s="1029"/>
      <c r="I61" s="1041">
        <f>SUM(I60)</f>
        <v>190</v>
      </c>
      <c r="J61" s="964" t="s">
        <v>2217</v>
      </c>
    </row>
    <row r="62" spans="1:10" hidden="1">
      <c r="A62" s="1047"/>
      <c r="B62" s="1048">
        <v>9</v>
      </c>
      <c r="C62" s="1031" t="s">
        <v>615</v>
      </c>
      <c r="D62" s="1032"/>
      <c r="E62" s="1033"/>
      <c r="F62" s="1032"/>
      <c r="G62" s="1033"/>
      <c r="H62" s="1034"/>
      <c r="I62" s="1034"/>
      <c r="J62" s="964" t="s">
        <v>2217</v>
      </c>
    </row>
    <row r="63" spans="1:10" hidden="1">
      <c r="A63" s="1047"/>
      <c r="B63" s="1048"/>
      <c r="C63" s="1042" t="s">
        <v>616</v>
      </c>
      <c r="D63" s="1025">
        <v>1</v>
      </c>
      <c r="E63" s="1043" t="s">
        <v>325</v>
      </c>
      <c r="F63" s="1027">
        <v>1</v>
      </c>
      <c r="G63" s="1043" t="s">
        <v>325</v>
      </c>
      <c r="H63" s="1029">
        <f>'MINI SSR 19-20'!E107</f>
        <v>155</v>
      </c>
      <c r="I63" s="1041">
        <f>SUM(D63*H63/F63)</f>
        <v>155</v>
      </c>
      <c r="J63" s="964" t="s">
        <v>2217</v>
      </c>
    </row>
    <row r="64" spans="1:10" hidden="1">
      <c r="A64" s="1047"/>
      <c r="B64" s="1048"/>
      <c r="C64" s="1044"/>
      <c r="D64" s="1025"/>
      <c r="E64" s="1043"/>
      <c r="F64" s="1027"/>
      <c r="G64" s="1043"/>
      <c r="H64" s="1029"/>
      <c r="I64" s="1041">
        <f>SUM(I63)</f>
        <v>155</v>
      </c>
      <c r="J64" s="964" t="s">
        <v>2217</v>
      </c>
    </row>
    <row r="65" spans="1:10" hidden="1">
      <c r="A65" s="1047"/>
      <c r="B65" s="1048">
        <v>10</v>
      </c>
      <c r="C65" s="1031" t="s">
        <v>694</v>
      </c>
      <c r="D65" s="1032"/>
      <c r="E65" s="1033"/>
      <c r="F65" s="1032"/>
      <c r="G65" s="1033"/>
      <c r="H65" s="1034"/>
      <c r="I65" s="1034"/>
      <c r="J65" s="964" t="s">
        <v>2217</v>
      </c>
    </row>
    <row r="66" spans="1:10" hidden="1">
      <c r="A66" s="1047"/>
      <c r="B66" s="1048"/>
      <c r="C66" s="1042" t="s">
        <v>619</v>
      </c>
      <c r="D66" s="1025">
        <v>1</v>
      </c>
      <c r="E66" s="1043" t="s">
        <v>325</v>
      </c>
      <c r="F66" s="1027">
        <v>1</v>
      </c>
      <c r="G66" s="1043" t="s">
        <v>325</v>
      </c>
      <c r="H66" s="1029">
        <f>'MINI SSR 19-20'!E108</f>
        <v>120</v>
      </c>
      <c r="I66" s="1041">
        <f>SUM(D66*H66/F66)</f>
        <v>120</v>
      </c>
      <c r="J66" s="964" t="s">
        <v>2217</v>
      </c>
    </row>
    <row r="67" spans="1:10" hidden="1">
      <c r="A67" s="1047"/>
      <c r="B67" s="1048"/>
      <c r="C67" s="1044"/>
      <c r="D67" s="1025"/>
      <c r="E67" s="1043"/>
      <c r="F67" s="1027"/>
      <c r="G67" s="1043"/>
      <c r="H67" s="1029"/>
      <c r="I67" s="1041">
        <f>SUM(I66)</f>
        <v>120</v>
      </c>
      <c r="J67" s="964" t="s">
        <v>2217</v>
      </c>
    </row>
    <row r="68" spans="1:10" hidden="1">
      <c r="A68" s="1047"/>
      <c r="B68" s="1048">
        <v>11</v>
      </c>
      <c r="C68" s="1031" t="s">
        <v>792</v>
      </c>
      <c r="D68" s="1032"/>
      <c r="E68" s="1033"/>
      <c r="F68" s="1032"/>
      <c r="G68" s="1033"/>
      <c r="H68" s="1034"/>
      <c r="I68" s="1034"/>
      <c r="J68" s="964" t="s">
        <v>2217</v>
      </c>
    </row>
    <row r="69" spans="1:10" hidden="1">
      <c r="A69" s="1047"/>
      <c r="B69" s="1048"/>
      <c r="C69" s="1042" t="s">
        <v>793</v>
      </c>
      <c r="D69" s="1025">
        <v>1</v>
      </c>
      <c r="E69" s="1043" t="s">
        <v>325</v>
      </c>
      <c r="F69" s="1027">
        <v>1</v>
      </c>
      <c r="G69" s="1043" t="s">
        <v>325</v>
      </c>
      <c r="H69" s="1029">
        <f>'MINI SSR 19-20'!E109</f>
        <v>80</v>
      </c>
      <c r="I69" s="1041">
        <f>SUM(D69*H69/F69)</f>
        <v>80</v>
      </c>
      <c r="J69" s="964" t="s">
        <v>2217</v>
      </c>
    </row>
    <row r="70" spans="1:10" hidden="1">
      <c r="A70" s="1047"/>
      <c r="B70" s="1048"/>
      <c r="C70" s="1044"/>
      <c r="D70" s="1025"/>
      <c r="E70" s="1043"/>
      <c r="F70" s="1027"/>
      <c r="G70" s="1043"/>
      <c r="H70" s="1029"/>
      <c r="I70" s="1041">
        <f>SUM(I69)</f>
        <v>80</v>
      </c>
      <c r="J70" s="964" t="s">
        <v>2217</v>
      </c>
    </row>
    <row r="71" spans="1:10" hidden="1">
      <c r="A71" s="1047"/>
      <c r="B71" s="1048">
        <v>15</v>
      </c>
      <c r="C71" s="1031" t="s">
        <v>617</v>
      </c>
      <c r="D71" s="1032"/>
      <c r="E71" s="1033"/>
      <c r="F71" s="1032"/>
      <c r="G71" s="1033"/>
      <c r="H71" s="1034"/>
      <c r="I71" s="1034"/>
      <c r="J71" s="964" t="s">
        <v>2217</v>
      </c>
    </row>
    <row r="72" spans="1:10" hidden="1">
      <c r="A72" s="1047"/>
      <c r="B72" s="1048"/>
      <c r="C72" s="1042" t="s">
        <v>618</v>
      </c>
      <c r="D72" s="1025">
        <v>1</v>
      </c>
      <c r="E72" s="1043" t="s">
        <v>325</v>
      </c>
      <c r="F72" s="1027">
        <v>1</v>
      </c>
      <c r="G72" s="1043" t="s">
        <v>325</v>
      </c>
      <c r="H72" s="1029">
        <f>'MINI SSR 19-20'!E106</f>
        <v>190</v>
      </c>
      <c r="I72" s="1041">
        <f>SUM(D72*H72/F72)</f>
        <v>190</v>
      </c>
      <c r="J72" s="964" t="s">
        <v>2217</v>
      </c>
    </row>
    <row r="73" spans="1:10" hidden="1">
      <c r="A73" s="1047"/>
      <c r="B73" s="1048"/>
      <c r="C73" s="1042" t="s">
        <v>619</v>
      </c>
      <c r="D73" s="1025">
        <v>1</v>
      </c>
      <c r="E73" s="1043" t="s">
        <v>325</v>
      </c>
      <c r="F73" s="1027">
        <v>1</v>
      </c>
      <c r="G73" s="1043" t="s">
        <v>325</v>
      </c>
      <c r="H73" s="1029">
        <f>'MINI SSR 19-20'!E108</f>
        <v>120</v>
      </c>
      <c r="I73" s="1041">
        <f>SUM(D73*H73/F73)</f>
        <v>120</v>
      </c>
      <c r="J73" s="964" t="s">
        <v>2217</v>
      </c>
    </row>
    <row r="74" spans="1:10" hidden="1">
      <c r="A74" s="1047"/>
      <c r="B74" s="1048"/>
      <c r="C74" s="1044"/>
      <c r="D74" s="1025"/>
      <c r="E74" s="1043"/>
      <c r="F74" s="1027"/>
      <c r="G74" s="1043"/>
      <c r="H74" s="1029"/>
      <c r="I74" s="1041">
        <f>SUM(I72:I73)</f>
        <v>310</v>
      </c>
      <c r="J74" s="964" t="s">
        <v>2217</v>
      </c>
    </row>
    <row r="75" spans="1:10" hidden="1">
      <c r="A75" s="1047"/>
      <c r="B75" s="1048">
        <v>12</v>
      </c>
      <c r="C75" s="1031" t="s">
        <v>439</v>
      </c>
      <c r="D75" s="1032"/>
      <c r="E75" s="1033"/>
      <c r="F75" s="1032"/>
      <c r="G75" s="1033"/>
      <c r="H75" s="1034"/>
      <c r="I75" s="1034"/>
      <c r="J75" s="964" t="s">
        <v>2217</v>
      </c>
    </row>
    <row r="76" spans="1:10" hidden="1">
      <c r="A76" s="1047"/>
      <c r="B76" s="1048"/>
      <c r="C76" s="1042" t="s">
        <v>440</v>
      </c>
      <c r="D76" s="1025">
        <v>1</v>
      </c>
      <c r="E76" s="1043" t="s">
        <v>325</v>
      </c>
      <c r="F76" s="1027">
        <v>1</v>
      </c>
      <c r="G76" s="1043" t="s">
        <v>325</v>
      </c>
      <c r="H76" s="1029">
        <f>'MINI SSR 19-20'!E112</f>
        <v>60</v>
      </c>
      <c r="I76" s="1041">
        <f>SUM(D76*H76/F76)</f>
        <v>60</v>
      </c>
      <c r="J76" s="964" t="s">
        <v>2217</v>
      </c>
    </row>
    <row r="77" spans="1:10" hidden="1">
      <c r="A77" s="1047"/>
      <c r="B77" s="1048"/>
      <c r="C77" s="1044"/>
      <c r="D77" s="1025"/>
      <c r="E77" s="1043"/>
      <c r="F77" s="1027"/>
      <c r="G77" s="1043"/>
      <c r="H77" s="1029"/>
      <c r="I77" s="1041">
        <f>SUM(I76)</f>
        <v>60</v>
      </c>
      <c r="J77" s="964" t="s">
        <v>2217</v>
      </c>
    </row>
    <row r="78" spans="1:10" hidden="1">
      <c r="A78" s="1047"/>
      <c r="B78" s="1048"/>
      <c r="C78" s="1047"/>
      <c r="D78" s="1058"/>
      <c r="E78" s="1059"/>
      <c r="F78" s="1058"/>
      <c r="G78" s="1059"/>
      <c r="H78" s="1047"/>
      <c r="I78" s="1047"/>
      <c r="J78" s="964" t="s">
        <v>2217</v>
      </c>
    </row>
    <row r="79" spans="1:10" hidden="1">
      <c r="A79" s="1047"/>
      <c r="B79" s="1048">
        <v>5</v>
      </c>
      <c r="C79" s="1031" t="s">
        <v>624</v>
      </c>
      <c r="D79" s="1032"/>
      <c r="E79" s="1033"/>
      <c r="F79" s="1032"/>
      <c r="G79" s="1033"/>
      <c r="H79" s="1034"/>
      <c r="I79" s="1034"/>
      <c r="J79" s="964" t="s">
        <v>2217</v>
      </c>
    </row>
    <row r="80" spans="1:10" hidden="1">
      <c r="A80" s="1047"/>
      <c r="B80" s="1048"/>
      <c r="C80" s="1042" t="s">
        <v>625</v>
      </c>
      <c r="D80" s="1025">
        <v>1</v>
      </c>
      <c r="E80" s="1043" t="s">
        <v>325</v>
      </c>
      <c r="F80" s="1027">
        <v>1</v>
      </c>
      <c r="G80" s="1043" t="s">
        <v>325</v>
      </c>
      <c r="H80" s="1029">
        <f>'MINI SSR 19-20'!C114</f>
        <v>18</v>
      </c>
      <c r="I80" s="1041">
        <f>SUM(D80*H80/F80)</f>
        <v>18</v>
      </c>
      <c r="J80" s="964" t="s">
        <v>2217</v>
      </c>
    </row>
    <row r="81" spans="1:10" hidden="1">
      <c r="A81" s="1047"/>
      <c r="B81" s="1048"/>
      <c r="C81" s="1044"/>
      <c r="D81" s="1025"/>
      <c r="E81" s="1043"/>
      <c r="F81" s="1027"/>
      <c r="G81" s="1043"/>
      <c r="H81" s="1029"/>
      <c r="I81" s="1041">
        <f>SUM(I80)</f>
        <v>18</v>
      </c>
      <c r="J81" s="964" t="s">
        <v>2217</v>
      </c>
    </row>
    <row r="82" spans="1:10" ht="22.5" hidden="1">
      <c r="A82" s="1047"/>
      <c r="B82" s="1048">
        <v>18</v>
      </c>
      <c r="C82" s="1031" t="s">
        <v>794</v>
      </c>
      <c r="D82" s="1032"/>
      <c r="E82" s="1033"/>
      <c r="F82" s="1032"/>
      <c r="G82" s="1033"/>
      <c r="H82" s="1034"/>
      <c r="I82" s="1034"/>
      <c r="J82" s="964" t="s">
        <v>2217</v>
      </c>
    </row>
    <row r="83" spans="1:10" hidden="1">
      <c r="A83" s="1047"/>
      <c r="B83" s="1048"/>
      <c r="C83" s="1042" t="s">
        <v>795</v>
      </c>
      <c r="D83" s="1025">
        <v>1</v>
      </c>
      <c r="E83" s="1043" t="s">
        <v>325</v>
      </c>
      <c r="F83" s="1027">
        <v>1</v>
      </c>
      <c r="G83" s="1043" t="s">
        <v>325</v>
      </c>
      <c r="H83" s="1029">
        <f>'MINI SSR 19-20'!C115</f>
        <v>1290</v>
      </c>
      <c r="I83" s="1041">
        <f>SUM(D83*H83/F83)</f>
        <v>1290</v>
      </c>
      <c r="J83" s="964" t="s">
        <v>2217</v>
      </c>
    </row>
    <row r="84" spans="1:10" hidden="1">
      <c r="A84" s="1047"/>
      <c r="B84" s="1048"/>
      <c r="C84" s="1044"/>
      <c r="D84" s="1025"/>
      <c r="E84" s="1043"/>
      <c r="F84" s="1027"/>
      <c r="G84" s="1043"/>
      <c r="H84" s="1029"/>
      <c r="I84" s="1041">
        <f>SUM(I83)</f>
        <v>1290</v>
      </c>
      <c r="J84" s="964" t="s">
        <v>2217</v>
      </c>
    </row>
    <row r="85" spans="1:10" ht="67.5" hidden="1">
      <c r="A85" s="1051" t="s">
        <v>721</v>
      </c>
      <c r="B85" s="1024">
        <v>6</v>
      </c>
      <c r="C85" s="1031" t="s">
        <v>436</v>
      </c>
      <c r="D85" s="1035"/>
      <c r="E85" s="1026"/>
      <c r="F85" s="1035"/>
      <c r="G85" s="1026"/>
      <c r="H85" s="1031"/>
      <c r="I85" s="1031"/>
      <c r="J85" s="964" t="s">
        <v>2217</v>
      </c>
    </row>
    <row r="86" spans="1:10" ht="22.5" hidden="1">
      <c r="A86" s="1029"/>
      <c r="B86" s="1005"/>
      <c r="C86" s="1031" t="s">
        <v>391</v>
      </c>
      <c r="D86" s="1025"/>
      <c r="E86" s="1028"/>
      <c r="F86" s="1027"/>
      <c r="G86" s="1028"/>
      <c r="H86" s="1029"/>
      <c r="I86" s="1030"/>
      <c r="J86" s="964" t="s">
        <v>2217</v>
      </c>
    </row>
    <row r="87" spans="1:10" ht="33.75" hidden="1">
      <c r="A87" s="1029"/>
      <c r="B87" s="1005"/>
      <c r="C87" s="1031" t="s">
        <v>392</v>
      </c>
      <c r="D87" s="1035"/>
      <c r="E87" s="1026"/>
      <c r="F87" s="1035"/>
      <c r="G87" s="1026"/>
      <c r="H87" s="1031"/>
      <c r="I87" s="1031"/>
      <c r="J87" s="964" t="s">
        <v>2217</v>
      </c>
    </row>
    <row r="88" spans="1:10" hidden="1">
      <c r="A88" s="1029"/>
      <c r="B88" s="1005"/>
      <c r="C88" s="1031" t="s">
        <v>384</v>
      </c>
      <c r="D88" s="1025"/>
      <c r="E88" s="1028"/>
      <c r="F88" s="1027"/>
      <c r="G88" s="1028"/>
      <c r="H88" s="1029"/>
      <c r="I88" s="1030"/>
      <c r="J88" s="964" t="s">
        <v>2217</v>
      </c>
    </row>
    <row r="89" spans="1:10" hidden="1">
      <c r="A89" s="1029"/>
      <c r="B89" s="1005"/>
      <c r="C89" s="1031" t="s">
        <v>1656</v>
      </c>
      <c r="D89" s="1025">
        <v>0.6</v>
      </c>
      <c r="E89" s="1043" t="s">
        <v>27</v>
      </c>
      <c r="F89" s="1027">
        <v>1</v>
      </c>
      <c r="G89" s="1043" t="s">
        <v>27</v>
      </c>
      <c r="H89" s="1029">
        <f>'MINI SSR 19-20'!$H$16</f>
        <v>575</v>
      </c>
      <c r="I89" s="1030">
        <f>SUM(D89*H89/F89)</f>
        <v>345</v>
      </c>
      <c r="J89" s="964" t="s">
        <v>2217</v>
      </c>
    </row>
    <row r="90" spans="1:10" hidden="1">
      <c r="A90" s="1029"/>
      <c r="B90" s="1005"/>
      <c r="C90" s="1031" t="s">
        <v>1657</v>
      </c>
      <c r="D90" s="1025">
        <v>1.2</v>
      </c>
      <c r="E90" s="1043" t="s">
        <v>27</v>
      </c>
      <c r="F90" s="1027">
        <v>1</v>
      </c>
      <c r="G90" s="1043" t="s">
        <v>27</v>
      </c>
      <c r="H90" s="1029">
        <f>'MINI SSR 19-20'!$H$17</f>
        <v>471</v>
      </c>
      <c r="I90" s="1041">
        <f>SUM(D90*H90/F90)</f>
        <v>565.19999999999993</v>
      </c>
      <c r="J90" s="964" t="s">
        <v>2217</v>
      </c>
    </row>
    <row r="91" spans="1:10" hidden="1">
      <c r="A91" s="1029"/>
      <c r="B91" s="1005"/>
      <c r="C91" s="1031" t="s">
        <v>700</v>
      </c>
      <c r="D91" s="1025">
        <v>0.6</v>
      </c>
      <c r="E91" s="1043" t="s">
        <v>27</v>
      </c>
      <c r="F91" s="1027">
        <v>1</v>
      </c>
      <c r="G91" s="1043" t="s">
        <v>27</v>
      </c>
      <c r="H91" s="1029">
        <f>'MINI SSR 19-20'!$H$18</f>
        <v>418</v>
      </c>
      <c r="I91" s="1041">
        <f>SUM(D91*H91/F91)</f>
        <v>250.79999999999998</v>
      </c>
      <c r="J91" s="964" t="s">
        <v>2217</v>
      </c>
    </row>
    <row r="92" spans="1:10" hidden="1">
      <c r="A92" s="1029"/>
      <c r="B92" s="1005"/>
      <c r="C92" s="1031" t="s">
        <v>327</v>
      </c>
      <c r="D92" s="1025"/>
      <c r="E92" s="1043"/>
      <c r="F92" s="1027"/>
      <c r="G92" s="1043"/>
      <c r="H92" s="1029"/>
      <c r="I92" s="1030"/>
      <c r="J92" s="964" t="s">
        <v>2217</v>
      </c>
    </row>
    <row r="93" spans="1:10" hidden="1">
      <c r="A93" s="1029"/>
      <c r="B93" s="1005"/>
      <c r="C93" s="1052" t="s">
        <v>621</v>
      </c>
      <c r="D93" s="1053">
        <v>6</v>
      </c>
      <c r="E93" s="1028" t="s">
        <v>325</v>
      </c>
      <c r="F93" s="1027">
        <v>1</v>
      </c>
      <c r="G93" s="1028" t="s">
        <v>115</v>
      </c>
      <c r="H93" s="1029">
        <f>'MINI SSR 19-20'!C116</f>
        <v>15</v>
      </c>
      <c r="I93" s="1030">
        <f>SUM(D93*H93/F93)</f>
        <v>90</v>
      </c>
      <c r="J93" s="964" t="s">
        <v>2217</v>
      </c>
    </row>
    <row r="94" spans="1:10" ht="45" hidden="1">
      <c r="A94" s="1029"/>
      <c r="B94" s="1005"/>
      <c r="C94" s="1052" t="s">
        <v>394</v>
      </c>
      <c r="D94" s="1025">
        <v>100</v>
      </c>
      <c r="E94" s="1043" t="s">
        <v>395</v>
      </c>
      <c r="F94" s="1027">
        <v>100</v>
      </c>
      <c r="G94" s="1043" t="s">
        <v>395</v>
      </c>
      <c r="H94" s="1029">
        <f>'MINI SSR 19-20'!C119</f>
        <v>1050</v>
      </c>
      <c r="I94" s="1030">
        <f>SUM(D94*H94/F94)</f>
        <v>1050</v>
      </c>
      <c r="J94" s="964" t="s">
        <v>2217</v>
      </c>
    </row>
    <row r="95" spans="1:10" hidden="1">
      <c r="A95" s="1029"/>
      <c r="B95" s="1005"/>
      <c r="C95" s="1031" t="s">
        <v>396</v>
      </c>
      <c r="D95" s="1025"/>
      <c r="E95" s="1028"/>
      <c r="F95" s="1027"/>
      <c r="G95" s="1028"/>
      <c r="H95" s="1029"/>
      <c r="I95" s="1030">
        <f>SUM(I89:I94)</f>
        <v>2301</v>
      </c>
      <c r="J95" s="964" t="s">
        <v>2217</v>
      </c>
    </row>
    <row r="96" spans="1:10" hidden="1">
      <c r="A96" s="1029"/>
      <c r="B96" s="1005"/>
      <c r="C96" s="1031" t="s">
        <v>397</v>
      </c>
      <c r="D96" s="1025"/>
      <c r="E96" s="1028"/>
      <c r="F96" s="1027"/>
      <c r="G96" s="1028"/>
      <c r="H96" s="1029"/>
      <c r="I96" s="1030">
        <f>ROUND(I95/6,2)</f>
        <v>383.5</v>
      </c>
      <c r="J96" s="964" t="s">
        <v>2217</v>
      </c>
    </row>
    <row r="97" spans="1:10" ht="67.5" hidden="1">
      <c r="A97" s="1051" t="s">
        <v>721</v>
      </c>
      <c r="B97" s="1024">
        <v>11</v>
      </c>
      <c r="C97" s="1031" t="s">
        <v>435</v>
      </c>
      <c r="D97" s="1035"/>
      <c r="E97" s="1026"/>
      <c r="F97" s="1035"/>
      <c r="G97" s="1026"/>
      <c r="H97" s="1031"/>
      <c r="I97" s="1031"/>
      <c r="J97" s="964" t="s">
        <v>2217</v>
      </c>
    </row>
    <row r="98" spans="1:10" ht="22.5" hidden="1">
      <c r="A98" s="1029"/>
      <c r="B98" s="1005"/>
      <c r="C98" s="1031" t="s">
        <v>391</v>
      </c>
      <c r="D98" s="1025"/>
      <c r="E98" s="1028"/>
      <c r="F98" s="1027"/>
      <c r="G98" s="1028"/>
      <c r="H98" s="1029"/>
      <c r="I98" s="1030"/>
      <c r="J98" s="964" t="s">
        <v>2217</v>
      </c>
    </row>
    <row r="99" spans="1:10" ht="33.75" hidden="1">
      <c r="A99" s="1029"/>
      <c r="B99" s="1005"/>
      <c r="C99" s="1031" t="s">
        <v>392</v>
      </c>
      <c r="D99" s="1035"/>
      <c r="E99" s="1026"/>
      <c r="F99" s="1035"/>
      <c r="G99" s="1026"/>
      <c r="H99" s="1031"/>
      <c r="I99" s="1031"/>
      <c r="J99" s="964" t="s">
        <v>2217</v>
      </c>
    </row>
    <row r="100" spans="1:10" hidden="1">
      <c r="A100" s="1029"/>
      <c r="B100" s="1005"/>
      <c r="C100" s="1031" t="s">
        <v>384</v>
      </c>
      <c r="D100" s="1025"/>
      <c r="E100" s="1028"/>
      <c r="F100" s="1027"/>
      <c r="G100" s="1028"/>
      <c r="H100" s="1029"/>
      <c r="I100" s="1030"/>
      <c r="J100" s="964" t="s">
        <v>2217</v>
      </c>
    </row>
    <row r="101" spans="1:10" hidden="1">
      <c r="A101" s="1029"/>
      <c r="B101" s="1005"/>
      <c r="C101" s="1031" t="s">
        <v>1656</v>
      </c>
      <c r="D101" s="1025">
        <v>0.6</v>
      </c>
      <c r="E101" s="1043" t="s">
        <v>27</v>
      </c>
      <c r="F101" s="1027">
        <v>1</v>
      </c>
      <c r="G101" s="1043" t="s">
        <v>27</v>
      </c>
      <c r="H101" s="1029">
        <f>'MINI SSR 19-20'!$H$16</f>
        <v>575</v>
      </c>
      <c r="I101" s="1030">
        <f>SUM(D101*H101/F101)</f>
        <v>345</v>
      </c>
      <c r="J101" s="964" t="s">
        <v>2217</v>
      </c>
    </row>
    <row r="102" spans="1:10" hidden="1">
      <c r="A102" s="1029"/>
      <c r="B102" s="1005"/>
      <c r="C102" s="1031" t="s">
        <v>1657</v>
      </c>
      <c r="D102" s="1025">
        <v>1.2</v>
      </c>
      <c r="E102" s="1043" t="s">
        <v>27</v>
      </c>
      <c r="F102" s="1027">
        <v>1</v>
      </c>
      <c r="G102" s="1043" t="s">
        <v>27</v>
      </c>
      <c r="H102" s="1029">
        <f>'MINI SSR 19-20'!$H$17</f>
        <v>471</v>
      </c>
      <c r="I102" s="1041">
        <f>SUM(D102*H102/F102)</f>
        <v>565.19999999999993</v>
      </c>
      <c r="J102" s="964" t="s">
        <v>2217</v>
      </c>
    </row>
    <row r="103" spans="1:10" hidden="1">
      <c r="A103" s="1029"/>
      <c r="B103" s="1005"/>
      <c r="C103" s="1031" t="s">
        <v>700</v>
      </c>
      <c r="D103" s="1025">
        <v>0.6</v>
      </c>
      <c r="E103" s="1043" t="s">
        <v>27</v>
      </c>
      <c r="F103" s="1027">
        <v>1</v>
      </c>
      <c r="G103" s="1043" t="s">
        <v>27</v>
      </c>
      <c r="H103" s="1029">
        <f>'MINI SSR 19-20'!$H$18</f>
        <v>418</v>
      </c>
      <c r="I103" s="1041">
        <f>SUM(D103*H103/F103)</f>
        <v>250.79999999999998</v>
      </c>
      <c r="J103" s="964" t="s">
        <v>2217</v>
      </c>
    </row>
    <row r="104" spans="1:10" hidden="1">
      <c r="A104" s="1029"/>
      <c r="B104" s="1005"/>
      <c r="C104" s="1031" t="s">
        <v>327</v>
      </c>
      <c r="D104" s="1025"/>
      <c r="E104" s="1043"/>
      <c r="F104" s="1027"/>
      <c r="G104" s="1043"/>
      <c r="H104" s="1029"/>
      <c r="I104" s="1030"/>
      <c r="J104" s="964" t="s">
        <v>2217</v>
      </c>
    </row>
    <row r="105" spans="1:10" hidden="1">
      <c r="A105" s="1029"/>
      <c r="B105" s="1005"/>
      <c r="C105" s="1052" t="s">
        <v>621</v>
      </c>
      <c r="D105" s="1053">
        <v>6</v>
      </c>
      <c r="E105" s="1028" t="s">
        <v>325</v>
      </c>
      <c r="F105" s="1027">
        <v>1</v>
      </c>
      <c r="G105" s="1028" t="s">
        <v>115</v>
      </c>
      <c r="H105" s="1029">
        <f>'MINI SSR 19-20'!C116</f>
        <v>15</v>
      </c>
      <c r="I105" s="1030">
        <f>SUM(D105*H105/F105)</f>
        <v>90</v>
      </c>
      <c r="J105" s="964" t="s">
        <v>2217</v>
      </c>
    </row>
    <row r="106" spans="1:10" ht="22.5" hidden="1">
      <c r="A106" s="1029"/>
      <c r="B106" s="1005"/>
      <c r="C106" s="1054" t="s">
        <v>393</v>
      </c>
      <c r="D106" s="1053">
        <v>6</v>
      </c>
      <c r="E106" s="1028" t="s">
        <v>325</v>
      </c>
      <c r="F106" s="1027">
        <v>1</v>
      </c>
      <c r="G106" s="1028" t="s">
        <v>115</v>
      </c>
      <c r="H106" s="1029">
        <f>'MINI SSR 19-20'!C120</f>
        <v>19</v>
      </c>
      <c r="I106" s="1030">
        <f>SUM(D106*H106/F106)</f>
        <v>114</v>
      </c>
      <c r="J106" s="964" t="s">
        <v>2217</v>
      </c>
    </row>
    <row r="107" spans="1:10" ht="45" hidden="1">
      <c r="A107" s="1029"/>
      <c r="B107" s="1005"/>
      <c r="C107" s="1052" t="s">
        <v>394</v>
      </c>
      <c r="D107" s="1025">
        <v>100</v>
      </c>
      <c r="E107" s="1043" t="s">
        <v>395</v>
      </c>
      <c r="F107" s="1027">
        <v>100</v>
      </c>
      <c r="G107" s="1043" t="s">
        <v>395</v>
      </c>
      <c r="H107" s="1029">
        <f>'MINI SSR 19-20'!C119</f>
        <v>1050</v>
      </c>
      <c r="I107" s="1030">
        <f>SUM(D107*H107/F107)</f>
        <v>1050</v>
      </c>
      <c r="J107" s="964" t="s">
        <v>2217</v>
      </c>
    </row>
    <row r="108" spans="1:10" hidden="1">
      <c r="A108" s="1029"/>
      <c r="B108" s="1005"/>
      <c r="C108" s="1031" t="s">
        <v>396</v>
      </c>
      <c r="D108" s="1025"/>
      <c r="E108" s="1028"/>
      <c r="F108" s="1027"/>
      <c r="G108" s="1028"/>
      <c r="H108" s="1029"/>
      <c r="I108" s="1030">
        <f>SUM(I101:I107)</f>
        <v>2415</v>
      </c>
      <c r="J108" s="964" t="s">
        <v>2217</v>
      </c>
    </row>
    <row r="109" spans="1:10" hidden="1">
      <c r="A109" s="1029"/>
      <c r="B109" s="1005"/>
      <c r="C109" s="1031" t="s">
        <v>397</v>
      </c>
      <c r="D109" s="1025"/>
      <c r="E109" s="1028"/>
      <c r="F109" s="1027"/>
      <c r="G109" s="1028"/>
      <c r="H109" s="1029"/>
      <c r="I109" s="1030">
        <f>ROUND(I108/6,2)</f>
        <v>402.5</v>
      </c>
      <c r="J109" s="964" t="s">
        <v>2217</v>
      </c>
    </row>
    <row r="110" spans="1:10" ht="45" hidden="1">
      <c r="A110" s="1051" t="s">
        <v>722</v>
      </c>
      <c r="B110" s="1024">
        <v>7</v>
      </c>
      <c r="C110" s="1031" t="s">
        <v>432</v>
      </c>
      <c r="D110" s="1035"/>
      <c r="E110" s="1026"/>
      <c r="F110" s="1035"/>
      <c r="G110" s="1026"/>
      <c r="H110" s="1031"/>
      <c r="I110" s="1031"/>
      <c r="J110" s="964" t="s">
        <v>2217</v>
      </c>
    </row>
    <row r="111" spans="1:10" hidden="1">
      <c r="A111" s="1029"/>
      <c r="B111" s="1005"/>
      <c r="C111" s="1031" t="s">
        <v>384</v>
      </c>
      <c r="D111" s="1025"/>
      <c r="E111" s="1028"/>
      <c r="F111" s="1027"/>
      <c r="G111" s="1028"/>
      <c r="H111" s="1029"/>
      <c r="I111" s="1030"/>
      <c r="J111" s="964" t="s">
        <v>2217</v>
      </c>
    </row>
    <row r="112" spans="1:10" hidden="1">
      <c r="A112" s="1029"/>
      <c r="B112" s="1005"/>
      <c r="C112" s="1031" t="s">
        <v>1656</v>
      </c>
      <c r="D112" s="1061">
        <v>6.7000000000000004E-2</v>
      </c>
      <c r="E112" s="1043" t="s">
        <v>27</v>
      </c>
      <c r="F112" s="1027">
        <v>1</v>
      </c>
      <c r="G112" s="1043" t="s">
        <v>27</v>
      </c>
      <c r="H112" s="1029">
        <f>'MINI SSR 19-20'!$H$16</f>
        <v>575</v>
      </c>
      <c r="I112" s="1030">
        <f>SUM(D112*H112/F112)</f>
        <v>38.525000000000006</v>
      </c>
      <c r="J112" s="964" t="s">
        <v>2217</v>
      </c>
    </row>
    <row r="113" spans="1:10" hidden="1">
      <c r="A113" s="1029"/>
      <c r="B113" s="1005"/>
      <c r="C113" s="1031" t="s">
        <v>700</v>
      </c>
      <c r="D113" s="1061">
        <v>6.7000000000000004E-2</v>
      </c>
      <c r="E113" s="1043" t="s">
        <v>27</v>
      </c>
      <c r="F113" s="1027">
        <v>1</v>
      </c>
      <c r="G113" s="1043" t="s">
        <v>27</v>
      </c>
      <c r="H113" s="1029">
        <f>'MINI SSR 19-20'!$H$18</f>
        <v>418</v>
      </c>
      <c r="I113" s="1041">
        <f>SUM(D113*H113/F113)</f>
        <v>28.006</v>
      </c>
      <c r="J113" s="964" t="s">
        <v>2217</v>
      </c>
    </row>
    <row r="114" spans="1:10" hidden="1">
      <c r="A114" s="1029"/>
      <c r="B114" s="1005"/>
      <c r="C114" s="1031" t="s">
        <v>327</v>
      </c>
      <c r="D114" s="1025"/>
      <c r="E114" s="1043"/>
      <c r="F114" s="1027"/>
      <c r="G114" s="1043"/>
      <c r="H114" s="1029"/>
      <c r="I114" s="1030"/>
      <c r="J114" s="964" t="s">
        <v>2217</v>
      </c>
    </row>
    <row r="115" spans="1:10" hidden="1">
      <c r="A115" s="1029"/>
      <c r="B115" s="1005"/>
      <c r="C115" s="1052" t="s">
        <v>621</v>
      </c>
      <c r="D115" s="1053">
        <v>1</v>
      </c>
      <c r="E115" s="1028" t="s">
        <v>325</v>
      </c>
      <c r="F115" s="1027">
        <v>1</v>
      </c>
      <c r="G115" s="1028" t="s">
        <v>115</v>
      </c>
      <c r="H115" s="1029">
        <f>'MINI SSR 19-20'!C116</f>
        <v>15</v>
      </c>
      <c r="I115" s="1030">
        <f>SUM(D115*H115/F115)</f>
        <v>15</v>
      </c>
      <c r="J115" s="964" t="s">
        <v>2217</v>
      </c>
    </row>
    <row r="116" spans="1:10" hidden="1">
      <c r="A116" s="1029"/>
      <c r="B116" s="1005"/>
      <c r="C116" s="1052" t="s">
        <v>622</v>
      </c>
      <c r="D116" s="1053">
        <v>1</v>
      </c>
      <c r="E116" s="1028" t="s">
        <v>115</v>
      </c>
      <c r="F116" s="1027">
        <v>1</v>
      </c>
      <c r="G116" s="1028" t="s">
        <v>115</v>
      </c>
      <c r="H116" s="1029">
        <f>'MINI SSR 19-20'!C118</f>
        <v>24</v>
      </c>
      <c r="I116" s="1030">
        <f>SUM(D116*H116/F116)</f>
        <v>24</v>
      </c>
      <c r="J116" s="964" t="s">
        <v>2217</v>
      </c>
    </row>
    <row r="117" spans="1:10" hidden="1">
      <c r="A117" s="1029"/>
      <c r="B117" s="1005"/>
      <c r="C117" s="1036" t="s">
        <v>388</v>
      </c>
      <c r="D117" s="1049"/>
      <c r="E117" s="1028"/>
      <c r="F117" s="1062"/>
      <c r="G117" s="1063"/>
      <c r="H117" s="1064"/>
      <c r="I117" s="1030">
        <f>SUM(I112:I116)</f>
        <v>105.53100000000001</v>
      </c>
      <c r="J117" s="964" t="s">
        <v>2217</v>
      </c>
    </row>
    <row r="118" spans="1:10" ht="45" hidden="1">
      <c r="A118" s="1051" t="s">
        <v>1262</v>
      </c>
      <c r="B118" s="1024">
        <v>9</v>
      </c>
      <c r="C118" s="1031" t="s">
        <v>1237</v>
      </c>
      <c r="D118" s="1035"/>
      <c r="E118" s="1026"/>
      <c r="F118" s="1035"/>
      <c r="G118" s="1026"/>
      <c r="H118" s="1031"/>
      <c r="I118" s="1031"/>
      <c r="J118" s="964" t="s">
        <v>2217</v>
      </c>
    </row>
    <row r="119" spans="1:10" hidden="1">
      <c r="A119" s="1029"/>
      <c r="B119" s="1005"/>
      <c r="C119" s="1031" t="s">
        <v>384</v>
      </c>
      <c r="D119" s="1025"/>
      <c r="E119" s="1028"/>
      <c r="F119" s="1027"/>
      <c r="G119" s="1028"/>
      <c r="H119" s="1029"/>
      <c r="I119" s="1030"/>
      <c r="J119" s="964" t="s">
        <v>2217</v>
      </c>
    </row>
    <row r="120" spans="1:10" hidden="1">
      <c r="A120" s="1029"/>
      <c r="B120" s="1005"/>
      <c r="C120" s="1031" t="s">
        <v>1656</v>
      </c>
      <c r="D120" s="1061">
        <v>0.1</v>
      </c>
      <c r="E120" s="1043" t="s">
        <v>27</v>
      </c>
      <c r="F120" s="1027">
        <v>1</v>
      </c>
      <c r="G120" s="1043" t="s">
        <v>27</v>
      </c>
      <c r="H120" s="1029">
        <f>'MINI SSR 19-20'!$H$16</f>
        <v>575</v>
      </c>
      <c r="I120" s="1030">
        <f>SUM(D120*H120/F120)</f>
        <v>57.5</v>
      </c>
      <c r="J120" s="964" t="s">
        <v>2217</v>
      </c>
    </row>
    <row r="121" spans="1:10" hidden="1">
      <c r="A121" s="1029"/>
      <c r="B121" s="1005"/>
      <c r="C121" s="1031" t="s">
        <v>700</v>
      </c>
      <c r="D121" s="1061">
        <v>0.1</v>
      </c>
      <c r="E121" s="1043" t="s">
        <v>27</v>
      </c>
      <c r="F121" s="1027">
        <v>1</v>
      </c>
      <c r="G121" s="1043" t="s">
        <v>27</v>
      </c>
      <c r="H121" s="1029">
        <f>'MINI SSR 19-20'!$H$18</f>
        <v>418</v>
      </c>
      <c r="I121" s="1041">
        <f>SUM(D121*H121/F121)</f>
        <v>41.800000000000004</v>
      </c>
      <c r="J121" s="964" t="s">
        <v>2217</v>
      </c>
    </row>
    <row r="122" spans="1:10" hidden="1">
      <c r="A122" s="1029"/>
      <c r="B122" s="1005"/>
      <c r="C122" s="1031" t="s">
        <v>327</v>
      </c>
      <c r="D122" s="1025"/>
      <c r="E122" s="1043"/>
      <c r="F122" s="1027"/>
      <c r="G122" s="1043"/>
      <c r="H122" s="1029"/>
      <c r="I122" s="1030"/>
      <c r="J122" s="964" t="s">
        <v>2217</v>
      </c>
    </row>
    <row r="123" spans="1:10" hidden="1">
      <c r="A123" s="1029"/>
      <c r="B123" s="1005"/>
      <c r="C123" s="1052" t="s">
        <v>1263</v>
      </c>
      <c r="D123" s="1053">
        <v>1</v>
      </c>
      <c r="E123" s="1028" t="s">
        <v>325</v>
      </c>
      <c r="F123" s="1027">
        <v>1</v>
      </c>
      <c r="G123" s="1028" t="s">
        <v>115</v>
      </c>
      <c r="H123" s="1029">
        <f>'MINI SSR 19-20'!C121</f>
        <v>40</v>
      </c>
      <c r="I123" s="1030">
        <f>SUM(D123*H123/F123)</f>
        <v>40</v>
      </c>
      <c r="J123" s="964" t="s">
        <v>2217</v>
      </c>
    </row>
    <row r="124" spans="1:10" hidden="1">
      <c r="A124" s="1029"/>
      <c r="B124" s="1005"/>
      <c r="C124" s="1052" t="s">
        <v>1265</v>
      </c>
      <c r="D124" s="1053">
        <v>1</v>
      </c>
      <c r="E124" s="1028" t="s">
        <v>115</v>
      </c>
      <c r="F124" s="1027">
        <v>1</v>
      </c>
      <c r="G124" s="1028" t="s">
        <v>115</v>
      </c>
      <c r="H124" s="1029">
        <f>'MINI SSR 19-20'!C122</f>
        <v>115</v>
      </c>
      <c r="I124" s="1030">
        <f>SUM(D124*H124/F124)</f>
        <v>115</v>
      </c>
      <c r="J124" s="964" t="s">
        <v>2217</v>
      </c>
    </row>
    <row r="125" spans="1:10" ht="22.5" hidden="1">
      <c r="A125" s="1029"/>
      <c r="B125" s="1005"/>
      <c r="C125" s="1052" t="s">
        <v>1264</v>
      </c>
      <c r="D125" s="1053">
        <v>1</v>
      </c>
      <c r="E125" s="1028" t="s">
        <v>115</v>
      </c>
      <c r="F125" s="1027">
        <v>1</v>
      </c>
      <c r="G125" s="1028" t="s">
        <v>115</v>
      </c>
      <c r="H125" s="1029">
        <f>'MINI SSR 19-20'!C123</f>
        <v>90</v>
      </c>
      <c r="I125" s="1030">
        <f>SUM(D125*H125/F125)</f>
        <v>90</v>
      </c>
      <c r="J125" s="964" t="s">
        <v>2217</v>
      </c>
    </row>
    <row r="126" spans="1:10" hidden="1">
      <c r="A126" s="1029"/>
      <c r="B126" s="1005"/>
      <c r="C126" s="1036" t="s">
        <v>388</v>
      </c>
      <c r="D126" s="1049"/>
      <c r="E126" s="1028"/>
      <c r="F126" s="1062"/>
      <c r="G126" s="1063"/>
      <c r="H126" s="1064"/>
      <c r="I126" s="1030">
        <f>SUM(I120:I125)</f>
        <v>344.3</v>
      </c>
      <c r="J126" s="964" t="s">
        <v>2217</v>
      </c>
    </row>
    <row r="127" spans="1:10" ht="45" hidden="1">
      <c r="A127" s="1029" t="s">
        <v>441</v>
      </c>
      <c r="B127" s="1024">
        <v>27</v>
      </c>
      <c r="C127" s="1031" t="s">
        <v>620</v>
      </c>
      <c r="D127" s="1035"/>
      <c r="E127" s="1026"/>
      <c r="F127" s="1035"/>
      <c r="G127" s="1026"/>
      <c r="H127" s="1031"/>
      <c r="I127" s="1031"/>
      <c r="J127" s="964" t="s">
        <v>2217</v>
      </c>
    </row>
    <row r="128" spans="1:10" hidden="1">
      <c r="A128" s="1029"/>
      <c r="B128" s="1005"/>
      <c r="C128" s="1031" t="s">
        <v>384</v>
      </c>
      <c r="D128" s="1025"/>
      <c r="E128" s="1028"/>
      <c r="F128" s="1027"/>
      <c r="G128" s="1028"/>
      <c r="H128" s="1029"/>
      <c r="I128" s="1030"/>
      <c r="J128" s="964" t="s">
        <v>2217</v>
      </c>
    </row>
    <row r="129" spans="1:10" hidden="1">
      <c r="A129" s="1029"/>
      <c r="B129" s="1005"/>
      <c r="C129" s="1031" t="s">
        <v>1656</v>
      </c>
      <c r="D129" s="1061">
        <v>6.7000000000000004E-2</v>
      </c>
      <c r="E129" s="1043" t="s">
        <v>27</v>
      </c>
      <c r="F129" s="1027">
        <v>1</v>
      </c>
      <c r="G129" s="1043" t="s">
        <v>27</v>
      </c>
      <c r="H129" s="1029">
        <f>'MINI SSR 19-20'!$H$16</f>
        <v>575</v>
      </c>
      <c r="I129" s="1030">
        <f>SUM(D129*H129/F129)</f>
        <v>38.525000000000006</v>
      </c>
      <c r="J129" s="964" t="s">
        <v>2217</v>
      </c>
    </row>
    <row r="130" spans="1:10" hidden="1">
      <c r="A130" s="1029"/>
      <c r="B130" s="1005"/>
      <c r="C130" s="1031" t="s">
        <v>700</v>
      </c>
      <c r="D130" s="1061">
        <v>6.7000000000000004E-2</v>
      </c>
      <c r="E130" s="1043" t="s">
        <v>27</v>
      </c>
      <c r="F130" s="1027">
        <v>1</v>
      </c>
      <c r="G130" s="1043" t="s">
        <v>27</v>
      </c>
      <c r="H130" s="1029">
        <f>'MINI SSR 19-20'!$H$18</f>
        <v>418</v>
      </c>
      <c r="I130" s="1041">
        <f>SUM(D130*H130/F130)</f>
        <v>28.006</v>
      </c>
      <c r="J130" s="964" t="s">
        <v>2217</v>
      </c>
    </row>
    <row r="131" spans="1:10" hidden="1">
      <c r="A131" s="1029"/>
      <c r="B131" s="1005"/>
      <c r="C131" s="1031" t="s">
        <v>327</v>
      </c>
      <c r="D131" s="1025"/>
      <c r="E131" s="1043"/>
      <c r="F131" s="1027"/>
      <c r="G131" s="1043"/>
      <c r="H131" s="1029"/>
      <c r="I131" s="1030"/>
      <c r="J131" s="964" t="s">
        <v>2217</v>
      </c>
    </row>
    <row r="132" spans="1:10" hidden="1">
      <c r="A132" s="1029"/>
      <c r="B132" s="1005"/>
      <c r="C132" s="1052" t="s">
        <v>621</v>
      </c>
      <c r="D132" s="1053">
        <v>1</v>
      </c>
      <c r="E132" s="1028" t="s">
        <v>325</v>
      </c>
      <c r="F132" s="1027">
        <v>1</v>
      </c>
      <c r="G132" s="1028" t="s">
        <v>115</v>
      </c>
      <c r="H132" s="1029">
        <f>'MINI SSR 19-20'!C116</f>
        <v>15</v>
      </c>
      <c r="I132" s="1030">
        <f>SUM(D132*H132/F132)</f>
        <v>15</v>
      </c>
      <c r="J132" s="964" t="s">
        <v>2217</v>
      </c>
    </row>
    <row r="133" spans="1:10" hidden="1">
      <c r="A133" s="1029"/>
      <c r="B133" s="1005"/>
      <c r="C133" s="1052" t="s">
        <v>623</v>
      </c>
      <c r="D133" s="1053">
        <v>1</v>
      </c>
      <c r="E133" s="1028" t="s">
        <v>115</v>
      </c>
      <c r="F133" s="1027">
        <v>1</v>
      </c>
      <c r="G133" s="1028" t="s">
        <v>115</v>
      </c>
      <c r="H133" s="1029">
        <f>'MINI SSR 19-20'!C117</f>
        <v>18</v>
      </c>
      <c r="I133" s="1030">
        <f>SUM(D133*H133/F133)</f>
        <v>18</v>
      </c>
      <c r="J133" s="964" t="s">
        <v>2217</v>
      </c>
    </row>
    <row r="134" spans="1:10" hidden="1">
      <c r="A134" s="1029"/>
      <c r="B134" s="1005"/>
      <c r="C134" s="1031" t="s">
        <v>945</v>
      </c>
      <c r="D134" s="1049"/>
      <c r="E134" s="1028"/>
      <c r="F134" s="1062"/>
      <c r="G134" s="1063"/>
      <c r="H134" s="1064"/>
      <c r="I134" s="1030">
        <f>SUM(I129:I133)</f>
        <v>99.531000000000006</v>
      </c>
      <c r="J134" s="964" t="s">
        <v>2217</v>
      </c>
    </row>
    <row r="135" spans="1:10" ht="33.75" hidden="1">
      <c r="A135" s="1029" t="s">
        <v>1659</v>
      </c>
      <c r="B135" s="1024">
        <v>29</v>
      </c>
      <c r="C135" s="1031" t="s">
        <v>1660</v>
      </c>
      <c r="D135" s="1032"/>
      <c r="E135" s="1033"/>
      <c r="F135" s="1032"/>
      <c r="G135" s="1033"/>
      <c r="H135" s="1005"/>
      <c r="I135" s="1034"/>
      <c r="J135" s="964" t="s">
        <v>2217</v>
      </c>
    </row>
    <row r="136" spans="1:10" ht="22.5" hidden="1">
      <c r="A136" s="1024"/>
      <c r="B136" s="1005"/>
      <c r="C136" s="1031" t="s">
        <v>391</v>
      </c>
      <c r="D136" s="1025"/>
      <c r="E136" s="1028"/>
      <c r="F136" s="1027"/>
      <c r="G136" s="1028"/>
      <c r="H136" s="1029"/>
      <c r="I136" s="1030"/>
      <c r="J136" s="964" t="s">
        <v>2217</v>
      </c>
    </row>
    <row r="137" spans="1:10" hidden="1">
      <c r="A137" s="1024"/>
      <c r="B137" s="1005"/>
      <c r="C137" s="1031" t="s">
        <v>384</v>
      </c>
      <c r="D137" s="1025"/>
      <c r="E137" s="1028"/>
      <c r="F137" s="1027"/>
      <c r="G137" s="1028"/>
      <c r="H137" s="1029"/>
      <c r="I137" s="1030"/>
      <c r="J137" s="964" t="s">
        <v>2217</v>
      </c>
    </row>
    <row r="138" spans="1:10" hidden="1">
      <c r="A138" s="1024"/>
      <c r="B138" s="1005"/>
      <c r="C138" s="1042" t="s">
        <v>1656</v>
      </c>
      <c r="D138" s="1025">
        <v>0.67</v>
      </c>
      <c r="E138" s="1043" t="s">
        <v>27</v>
      </c>
      <c r="F138" s="1027">
        <v>1</v>
      </c>
      <c r="G138" s="1043" t="s">
        <v>27</v>
      </c>
      <c r="H138" s="1029">
        <f>'MINI SSR 19-20'!$H$16</f>
        <v>575</v>
      </c>
      <c r="I138" s="1030">
        <f>SUM(D138*H138/F138)</f>
        <v>385.25</v>
      </c>
      <c r="J138" s="964" t="s">
        <v>2217</v>
      </c>
    </row>
    <row r="139" spans="1:10" hidden="1">
      <c r="A139" s="1024"/>
      <c r="B139" s="1005"/>
      <c r="C139" s="1042" t="s">
        <v>1657</v>
      </c>
      <c r="D139" s="1025">
        <v>2</v>
      </c>
      <c r="E139" s="1043" t="s">
        <v>27</v>
      </c>
      <c r="F139" s="1027">
        <v>1</v>
      </c>
      <c r="G139" s="1043" t="s">
        <v>27</v>
      </c>
      <c r="H139" s="1029">
        <f>'MINI SSR 19-20'!$H$17</f>
        <v>471</v>
      </c>
      <c r="I139" s="1030">
        <f>SUM(D139*H139/F139)</f>
        <v>942</v>
      </c>
      <c r="J139" s="964" t="s">
        <v>2217</v>
      </c>
    </row>
    <row r="140" spans="1:10" hidden="1">
      <c r="A140" s="1024"/>
      <c r="B140" s="1005"/>
      <c r="C140" s="1042" t="s">
        <v>700</v>
      </c>
      <c r="D140" s="1025">
        <v>0.67</v>
      </c>
      <c r="E140" s="1043" t="s">
        <v>27</v>
      </c>
      <c r="F140" s="1027">
        <v>1</v>
      </c>
      <c r="G140" s="1043" t="s">
        <v>27</v>
      </c>
      <c r="H140" s="1029">
        <f>'MINI SSR 19-20'!$H$18</f>
        <v>418</v>
      </c>
      <c r="I140" s="1030">
        <f>SUM(D140*H140/F140)</f>
        <v>280.06</v>
      </c>
      <c r="J140" s="964" t="s">
        <v>2217</v>
      </c>
    </row>
    <row r="141" spans="1:10" hidden="1">
      <c r="A141" s="1024"/>
      <c r="B141" s="1005"/>
      <c r="C141" s="1031" t="s">
        <v>327</v>
      </c>
      <c r="D141" s="1025"/>
      <c r="E141" s="1043"/>
      <c r="F141" s="1027"/>
      <c r="G141" s="1043"/>
      <c r="H141" s="1029"/>
      <c r="I141" s="1030"/>
      <c r="J141" s="964" t="s">
        <v>2217</v>
      </c>
    </row>
    <row r="142" spans="1:10" ht="33.75" hidden="1">
      <c r="A142" s="1024"/>
      <c r="B142" s="1005">
        <v>30</v>
      </c>
      <c r="C142" s="1052" t="s">
        <v>398</v>
      </c>
      <c r="D142" s="1025">
        <v>200</v>
      </c>
      <c r="E142" s="1028" t="s">
        <v>395</v>
      </c>
      <c r="F142" s="1027">
        <v>100</v>
      </c>
      <c r="G142" s="1028" t="s">
        <v>395</v>
      </c>
      <c r="H142" s="1029">
        <f>'MINI SSR 19-20'!C128</f>
        <v>1510</v>
      </c>
      <c r="I142" s="1030">
        <f>SUM(D142*H142/F142)</f>
        <v>3020</v>
      </c>
      <c r="J142" s="964" t="s">
        <v>2217</v>
      </c>
    </row>
    <row r="143" spans="1:10" hidden="1">
      <c r="A143" s="1024"/>
      <c r="B143" s="1005"/>
      <c r="C143" s="1031" t="s">
        <v>399</v>
      </c>
      <c r="D143" s="1025"/>
      <c r="E143" s="1028"/>
      <c r="F143" s="1027"/>
      <c r="G143" s="1028"/>
      <c r="H143" s="1029"/>
      <c r="I143" s="1030">
        <f>SUM(I142:I142)</f>
        <v>3020</v>
      </c>
      <c r="J143" s="964" t="s">
        <v>2217</v>
      </c>
    </row>
    <row r="144" spans="1:10" hidden="1">
      <c r="A144" s="1024"/>
      <c r="B144" s="1005"/>
      <c r="C144" s="1031" t="s">
        <v>400</v>
      </c>
      <c r="D144" s="1025"/>
      <c r="E144" s="1028"/>
      <c r="F144" s="1027"/>
      <c r="G144" s="1028"/>
      <c r="H144" s="1029"/>
      <c r="I144" s="1030">
        <f>SUM(I143/100)</f>
        <v>30.2</v>
      </c>
      <c r="J144" s="964" t="s">
        <v>2217</v>
      </c>
    </row>
    <row r="145" spans="1:10" hidden="1">
      <c r="A145" s="1024"/>
      <c r="B145" s="1005"/>
      <c r="C145" s="1031" t="s">
        <v>399</v>
      </c>
      <c r="D145" s="1025"/>
      <c r="E145" s="1028"/>
      <c r="F145" s="1027"/>
      <c r="G145" s="1028"/>
      <c r="H145" s="1064"/>
      <c r="I145" s="1030">
        <f>SUM(I142:I144)</f>
        <v>6070.2</v>
      </c>
      <c r="J145" s="964" t="s">
        <v>2217</v>
      </c>
    </row>
    <row r="146" spans="1:10" hidden="1">
      <c r="A146" s="1024"/>
      <c r="B146" s="1005"/>
      <c r="C146" s="1031" t="s">
        <v>400</v>
      </c>
      <c r="D146" s="1025"/>
      <c r="E146" s="1028"/>
      <c r="F146" s="1027"/>
      <c r="G146" s="1028"/>
      <c r="H146" s="1064"/>
      <c r="I146" s="1030">
        <f>ROUND(I145/100,2)</f>
        <v>60.7</v>
      </c>
      <c r="J146" s="964" t="s">
        <v>2217</v>
      </c>
    </row>
    <row r="147" spans="1:10" ht="33.75" hidden="1">
      <c r="A147" s="1029" t="s">
        <v>2081</v>
      </c>
      <c r="B147" s="1024">
        <v>8</v>
      </c>
      <c r="C147" s="1031" t="s">
        <v>2086</v>
      </c>
      <c r="D147" s="1032"/>
      <c r="E147" s="1033"/>
      <c r="F147" s="1032"/>
      <c r="G147" s="1033"/>
      <c r="H147" s="1005"/>
      <c r="I147" s="1034"/>
      <c r="J147" s="964" t="s">
        <v>2217</v>
      </c>
    </row>
    <row r="148" spans="1:10" hidden="1">
      <c r="A148" s="1024"/>
      <c r="B148" s="1005"/>
      <c r="C148" s="1031" t="s">
        <v>384</v>
      </c>
      <c r="D148" s="1025"/>
      <c r="E148" s="1028"/>
      <c r="F148" s="1027"/>
      <c r="G148" s="1028"/>
      <c r="H148" s="1029"/>
      <c r="I148" s="1030"/>
      <c r="J148" s="964" t="s">
        <v>2217</v>
      </c>
    </row>
    <row r="149" spans="1:10" hidden="1">
      <c r="A149" s="1024"/>
      <c r="B149" s="1005"/>
      <c r="C149" s="1042" t="s">
        <v>1656</v>
      </c>
      <c r="D149" s="1025">
        <v>0.34</v>
      </c>
      <c r="E149" s="1043" t="s">
        <v>27</v>
      </c>
      <c r="F149" s="1027">
        <v>1</v>
      </c>
      <c r="G149" s="1043" t="s">
        <v>27</v>
      </c>
      <c r="H149" s="1029">
        <f>'MINI SSR 19-20'!$H$16</f>
        <v>575</v>
      </c>
      <c r="I149" s="1030">
        <f>SUM(D149*H149/F149)</f>
        <v>195.5</v>
      </c>
      <c r="J149" s="964" t="s">
        <v>2217</v>
      </c>
    </row>
    <row r="150" spans="1:10" hidden="1">
      <c r="A150" s="1024"/>
      <c r="B150" s="1005"/>
      <c r="C150" s="1042" t="s">
        <v>1657</v>
      </c>
      <c r="D150" s="1025">
        <v>1</v>
      </c>
      <c r="E150" s="1043" t="s">
        <v>27</v>
      </c>
      <c r="F150" s="1027">
        <v>1</v>
      </c>
      <c r="G150" s="1043" t="s">
        <v>27</v>
      </c>
      <c r="H150" s="1029">
        <f>'MINI SSR 19-20'!$H$17</f>
        <v>471</v>
      </c>
      <c r="I150" s="1030">
        <f>SUM(D150*H150/F150)</f>
        <v>471</v>
      </c>
      <c r="J150" s="964" t="s">
        <v>2217</v>
      </c>
    </row>
    <row r="151" spans="1:10" hidden="1">
      <c r="A151" s="1024"/>
      <c r="B151" s="1005"/>
      <c r="C151" s="1042" t="s">
        <v>700</v>
      </c>
      <c r="D151" s="1025">
        <v>0.34</v>
      </c>
      <c r="E151" s="1043" t="s">
        <v>27</v>
      </c>
      <c r="F151" s="1027">
        <v>1</v>
      </c>
      <c r="G151" s="1043" t="s">
        <v>27</v>
      </c>
      <c r="H151" s="1029">
        <f>'MINI SSR 19-20'!$H$18</f>
        <v>418</v>
      </c>
      <c r="I151" s="1030">
        <f>SUM(D151*H151/F151)</f>
        <v>142.12</v>
      </c>
      <c r="J151" s="964" t="s">
        <v>2217</v>
      </c>
    </row>
    <row r="152" spans="1:10" hidden="1">
      <c r="A152" s="1024"/>
      <c r="B152" s="1005"/>
      <c r="C152" s="1052" t="s">
        <v>2082</v>
      </c>
      <c r="D152" s="1025">
        <v>100</v>
      </c>
      <c r="E152" s="1028" t="s">
        <v>395</v>
      </c>
      <c r="F152" s="1027">
        <v>100</v>
      </c>
      <c r="G152" s="1028" t="s">
        <v>395</v>
      </c>
      <c r="H152" s="1029">
        <f>'MINI SSR 19-20'!C134</f>
        <v>1050</v>
      </c>
      <c r="I152" s="1030">
        <f>SUM(D152*H152/F152)</f>
        <v>1050</v>
      </c>
      <c r="J152" s="964" t="s">
        <v>2217</v>
      </c>
    </row>
    <row r="153" spans="1:10" hidden="1">
      <c r="A153" s="1024"/>
      <c r="B153" s="1005"/>
      <c r="C153" s="1031" t="s">
        <v>399</v>
      </c>
      <c r="D153" s="1025"/>
      <c r="E153" s="1028"/>
      <c r="F153" s="1027"/>
      <c r="G153" s="1028"/>
      <c r="H153" s="1029"/>
      <c r="I153" s="1030">
        <f>SUM(I149:I152)</f>
        <v>1858.62</v>
      </c>
      <c r="J153" s="964" t="s">
        <v>2217</v>
      </c>
    </row>
    <row r="154" spans="1:10" hidden="1">
      <c r="A154" s="1024"/>
      <c r="B154" s="1005"/>
      <c r="C154" s="1031" t="s">
        <v>400</v>
      </c>
      <c r="D154" s="1025"/>
      <c r="E154" s="1028"/>
      <c r="F154" s="1027"/>
      <c r="G154" s="1028"/>
      <c r="H154" s="1029"/>
      <c r="I154" s="1030">
        <f>ROUND(I153/100,2)</f>
        <v>18.59</v>
      </c>
      <c r="J154" s="964" t="s">
        <v>2217</v>
      </c>
    </row>
    <row r="155" spans="1:10" ht="46.5" hidden="1" customHeight="1">
      <c r="A155" s="1051" t="s">
        <v>723</v>
      </c>
      <c r="B155" s="1024">
        <v>9</v>
      </c>
      <c r="C155" s="1031" t="s">
        <v>401</v>
      </c>
      <c r="D155" s="1032"/>
      <c r="E155" s="1033"/>
      <c r="F155" s="1032"/>
      <c r="G155" s="1033"/>
      <c r="H155" s="1005"/>
      <c r="I155" s="1030"/>
      <c r="J155" s="964" t="s">
        <v>2217</v>
      </c>
    </row>
    <row r="156" spans="1:10" ht="22.5" hidden="1">
      <c r="A156" s="1024"/>
      <c r="B156" s="1005"/>
      <c r="C156" s="1031" t="s">
        <v>391</v>
      </c>
      <c r="D156" s="1025"/>
      <c r="E156" s="1028"/>
      <c r="F156" s="1027"/>
      <c r="G156" s="1028"/>
      <c r="H156" s="1029"/>
      <c r="I156" s="1030"/>
      <c r="J156" s="964" t="s">
        <v>2217</v>
      </c>
    </row>
    <row r="157" spans="1:10" hidden="1">
      <c r="A157" s="1024"/>
      <c r="B157" s="1005"/>
      <c r="C157" s="1031" t="s">
        <v>384</v>
      </c>
      <c r="D157" s="1025"/>
      <c r="E157" s="1028"/>
      <c r="F157" s="1027"/>
      <c r="G157" s="1028"/>
      <c r="H157" s="1029"/>
      <c r="I157" s="1030"/>
      <c r="J157" s="964" t="s">
        <v>2217</v>
      </c>
    </row>
    <row r="158" spans="1:10" hidden="1">
      <c r="A158" s="1024"/>
      <c r="B158" s="1005"/>
      <c r="C158" s="1042" t="s">
        <v>1656</v>
      </c>
      <c r="D158" s="1025">
        <v>0.67</v>
      </c>
      <c r="E158" s="1043" t="s">
        <v>27</v>
      </c>
      <c r="F158" s="1027">
        <v>1</v>
      </c>
      <c r="G158" s="1043" t="s">
        <v>27</v>
      </c>
      <c r="H158" s="1029">
        <f>'MINI SSR 19-20'!$H$16</f>
        <v>575</v>
      </c>
      <c r="I158" s="1030">
        <f>SUM(D158*H158/F158)</f>
        <v>385.25</v>
      </c>
      <c r="J158" s="964" t="s">
        <v>2217</v>
      </c>
    </row>
    <row r="159" spans="1:10" hidden="1">
      <c r="A159" s="1024"/>
      <c r="B159" s="1005"/>
      <c r="C159" s="1042" t="s">
        <v>1657</v>
      </c>
      <c r="D159" s="1025">
        <v>2</v>
      </c>
      <c r="E159" s="1043" t="s">
        <v>27</v>
      </c>
      <c r="F159" s="1027">
        <v>1</v>
      </c>
      <c r="G159" s="1043" t="s">
        <v>27</v>
      </c>
      <c r="H159" s="1029">
        <f>'MINI SSR 19-20'!$H$17</f>
        <v>471</v>
      </c>
      <c r="I159" s="1030">
        <f>SUM(D159*H159/F159)</f>
        <v>942</v>
      </c>
      <c r="J159" s="964" t="s">
        <v>2217</v>
      </c>
    </row>
    <row r="160" spans="1:10" hidden="1">
      <c r="A160" s="1024"/>
      <c r="B160" s="1005"/>
      <c r="C160" s="1042" t="s">
        <v>700</v>
      </c>
      <c r="D160" s="1025">
        <v>0.67</v>
      </c>
      <c r="E160" s="1043" t="s">
        <v>27</v>
      </c>
      <c r="F160" s="1027">
        <v>1</v>
      </c>
      <c r="G160" s="1043" t="s">
        <v>27</v>
      </c>
      <c r="H160" s="1029">
        <f>'MINI SSR 19-20'!$H$18</f>
        <v>418</v>
      </c>
      <c r="I160" s="1030">
        <f>SUM(D160*H160/F160)</f>
        <v>280.06</v>
      </c>
      <c r="J160" s="964" t="s">
        <v>2217</v>
      </c>
    </row>
    <row r="161" spans="1:10" hidden="1">
      <c r="A161" s="1024"/>
      <c r="B161" s="1005"/>
      <c r="C161" s="1031" t="s">
        <v>327</v>
      </c>
      <c r="D161" s="1025"/>
      <c r="E161" s="1043"/>
      <c r="F161" s="1027"/>
      <c r="G161" s="1043"/>
      <c r="H161" s="1029"/>
      <c r="I161" s="1030"/>
      <c r="J161" s="964" t="s">
        <v>2217</v>
      </c>
    </row>
    <row r="162" spans="1:10" ht="33.75" hidden="1">
      <c r="A162" s="1024"/>
      <c r="B162" s="1005"/>
      <c r="C162" s="1052" t="s">
        <v>1661</v>
      </c>
      <c r="D162" s="1025">
        <v>200</v>
      </c>
      <c r="E162" s="1028" t="s">
        <v>395</v>
      </c>
      <c r="F162" s="1027">
        <v>100</v>
      </c>
      <c r="G162" s="1028" t="s">
        <v>395</v>
      </c>
      <c r="H162" s="1029">
        <f>'MINI SSR 19-20'!C129</f>
        <v>2440</v>
      </c>
      <c r="I162" s="1030">
        <f>SUM(D162*H162/F162)</f>
        <v>4880</v>
      </c>
      <c r="J162" s="964" t="s">
        <v>2217</v>
      </c>
    </row>
    <row r="163" spans="1:10" hidden="1">
      <c r="A163" s="1024"/>
      <c r="B163" s="1005"/>
      <c r="C163" s="1031" t="s">
        <v>399</v>
      </c>
      <c r="D163" s="1025"/>
      <c r="E163" s="1028"/>
      <c r="F163" s="1027"/>
      <c r="G163" s="1028"/>
      <c r="H163" s="1029"/>
      <c r="I163" s="1030">
        <f>SUM(I158:I162)</f>
        <v>6487.3099999999995</v>
      </c>
      <c r="J163" s="964" t="s">
        <v>2217</v>
      </c>
    </row>
    <row r="164" spans="1:10" hidden="1">
      <c r="A164" s="1024"/>
      <c r="B164" s="1005"/>
      <c r="C164" s="1031" t="s">
        <v>400</v>
      </c>
      <c r="D164" s="1025"/>
      <c r="E164" s="1028"/>
      <c r="F164" s="1027"/>
      <c r="G164" s="1028"/>
      <c r="H164" s="1029"/>
      <c r="I164" s="1030">
        <f>SUM(I163/100)</f>
        <v>64.873099999999994</v>
      </c>
      <c r="J164" s="964" t="s">
        <v>2217</v>
      </c>
    </row>
    <row r="165" spans="1:10" ht="45" hidden="1">
      <c r="A165" s="1051" t="s">
        <v>724</v>
      </c>
      <c r="B165" s="1024">
        <v>11</v>
      </c>
      <c r="C165" s="1031" t="s">
        <v>402</v>
      </c>
      <c r="D165" s="1032"/>
      <c r="E165" s="1033"/>
      <c r="F165" s="1032"/>
      <c r="G165" s="1033"/>
      <c r="H165" s="1005"/>
      <c r="I165" s="1030"/>
      <c r="J165" s="964" t="s">
        <v>2217</v>
      </c>
    </row>
    <row r="166" spans="1:10" ht="22.5" hidden="1">
      <c r="A166" s="1029"/>
      <c r="B166" s="1005"/>
      <c r="C166" s="1031" t="s">
        <v>403</v>
      </c>
      <c r="D166" s="1025"/>
      <c r="E166" s="1028"/>
      <c r="F166" s="1027"/>
      <c r="G166" s="1028"/>
      <c r="H166" s="1029"/>
      <c r="I166" s="1030"/>
      <c r="J166" s="964" t="s">
        <v>2217</v>
      </c>
    </row>
    <row r="167" spans="1:10" hidden="1">
      <c r="A167" s="1029"/>
      <c r="B167" s="1005"/>
      <c r="C167" s="1031" t="s">
        <v>384</v>
      </c>
      <c r="D167" s="1025"/>
      <c r="E167" s="1028"/>
      <c r="F167" s="1027"/>
      <c r="G167" s="1028"/>
      <c r="H167" s="1029"/>
      <c r="I167" s="1030"/>
      <c r="J167" s="964" t="s">
        <v>2217</v>
      </c>
    </row>
    <row r="168" spans="1:10" hidden="1">
      <c r="A168" s="1029"/>
      <c r="B168" s="1005"/>
      <c r="C168" s="1042" t="s">
        <v>1656</v>
      </c>
      <c r="D168" s="1025">
        <v>1</v>
      </c>
      <c r="E168" s="1043" t="s">
        <v>27</v>
      </c>
      <c r="F168" s="1027">
        <v>1</v>
      </c>
      <c r="G168" s="1043" t="s">
        <v>27</v>
      </c>
      <c r="H168" s="1029">
        <f>'MINI SSR 19-20'!$H$16</f>
        <v>575</v>
      </c>
      <c r="I168" s="1030">
        <f>SUM(D168*H168/F168)</f>
        <v>575</v>
      </c>
      <c r="J168" s="964" t="s">
        <v>2217</v>
      </c>
    </row>
    <row r="169" spans="1:10" hidden="1">
      <c r="A169" s="1029"/>
      <c r="B169" s="1005"/>
      <c r="C169" s="1042" t="s">
        <v>1657</v>
      </c>
      <c r="D169" s="1025">
        <v>3</v>
      </c>
      <c r="E169" s="1043" t="s">
        <v>27</v>
      </c>
      <c r="F169" s="1027">
        <v>1</v>
      </c>
      <c r="G169" s="1043" t="s">
        <v>27</v>
      </c>
      <c r="H169" s="1029">
        <f>'MINI SSR 19-20'!$H$17</f>
        <v>471</v>
      </c>
      <c r="I169" s="1030">
        <f>SUM(D169*H169/F169)</f>
        <v>1413</v>
      </c>
      <c r="J169" s="964" t="s">
        <v>2217</v>
      </c>
    </row>
    <row r="170" spans="1:10" hidden="1">
      <c r="A170" s="1029"/>
      <c r="B170" s="1005"/>
      <c r="C170" s="1042" t="s">
        <v>700</v>
      </c>
      <c r="D170" s="1025">
        <v>1</v>
      </c>
      <c r="E170" s="1043" t="s">
        <v>27</v>
      </c>
      <c r="F170" s="1027">
        <v>1</v>
      </c>
      <c r="G170" s="1043" t="s">
        <v>27</v>
      </c>
      <c r="H170" s="1029">
        <f>'MINI SSR 19-20'!$H$18</f>
        <v>418</v>
      </c>
      <c r="I170" s="1030">
        <f>SUM(D170*H170/F170)</f>
        <v>418</v>
      </c>
      <c r="J170" s="964" t="s">
        <v>2217</v>
      </c>
    </row>
    <row r="171" spans="1:10" hidden="1">
      <c r="A171" s="1029"/>
      <c r="B171" s="1005"/>
      <c r="C171" s="1031" t="s">
        <v>327</v>
      </c>
      <c r="D171" s="1025"/>
      <c r="E171" s="1043"/>
      <c r="F171" s="1027"/>
      <c r="G171" s="1043"/>
      <c r="H171" s="1029"/>
      <c r="I171" s="1030"/>
      <c r="J171" s="964" t="s">
        <v>2217</v>
      </c>
    </row>
    <row r="172" spans="1:10" ht="33.75" hidden="1">
      <c r="A172" s="1029"/>
      <c r="B172" s="1005"/>
      <c r="C172" s="1052" t="s">
        <v>1662</v>
      </c>
      <c r="D172" s="1025">
        <v>200</v>
      </c>
      <c r="E172" s="1028" t="s">
        <v>395</v>
      </c>
      <c r="F172" s="1027">
        <v>100</v>
      </c>
      <c r="G172" s="1028" t="s">
        <v>395</v>
      </c>
      <c r="H172" s="1029">
        <f>'MINI SSR 19-20'!C130</f>
        <v>3725</v>
      </c>
      <c r="I172" s="1030">
        <f>SUM(D172*H172/F172)</f>
        <v>7450</v>
      </c>
      <c r="J172" s="964" t="s">
        <v>2217</v>
      </c>
    </row>
    <row r="173" spans="1:10" hidden="1">
      <c r="A173" s="1029"/>
      <c r="B173" s="1005"/>
      <c r="C173" s="1031" t="s">
        <v>399</v>
      </c>
      <c r="D173" s="1025"/>
      <c r="E173" s="1028"/>
      <c r="F173" s="1027"/>
      <c r="G173" s="1028"/>
      <c r="H173" s="1029"/>
      <c r="I173" s="1030">
        <f>SUM(I168:I172)</f>
        <v>9856</v>
      </c>
      <c r="J173" s="964" t="s">
        <v>2217</v>
      </c>
    </row>
    <row r="174" spans="1:10" hidden="1">
      <c r="A174" s="1029"/>
      <c r="B174" s="1005"/>
      <c r="C174" s="1031" t="s">
        <v>400</v>
      </c>
      <c r="D174" s="1025"/>
      <c r="E174" s="1028"/>
      <c r="F174" s="1027"/>
      <c r="G174" s="1028"/>
      <c r="H174" s="1029"/>
      <c r="I174" s="1030">
        <f>SUM(I173/100)</f>
        <v>98.56</v>
      </c>
      <c r="J174" s="964" t="s">
        <v>2217</v>
      </c>
    </row>
    <row r="175" spans="1:10" ht="45" hidden="1">
      <c r="A175" s="1051" t="s">
        <v>881</v>
      </c>
      <c r="B175" s="1024">
        <v>10</v>
      </c>
      <c r="C175" s="1031" t="s">
        <v>882</v>
      </c>
      <c r="D175" s="1032"/>
      <c r="E175" s="1033"/>
      <c r="F175" s="1032"/>
      <c r="G175" s="1033"/>
      <c r="H175" s="1005"/>
      <c r="I175" s="1030"/>
      <c r="J175" s="964" t="s">
        <v>2217</v>
      </c>
    </row>
    <row r="176" spans="1:10" hidden="1">
      <c r="A176" s="1029"/>
      <c r="B176" s="1005"/>
      <c r="C176" s="1031" t="s">
        <v>384</v>
      </c>
      <c r="D176" s="1025"/>
      <c r="E176" s="1028"/>
      <c r="F176" s="1027"/>
      <c r="G176" s="1028"/>
      <c r="H176" s="1029"/>
      <c r="I176" s="1030"/>
      <c r="J176" s="964" t="s">
        <v>2217</v>
      </c>
    </row>
    <row r="177" spans="1:10" hidden="1">
      <c r="A177" s="1029"/>
      <c r="B177" s="1005"/>
      <c r="C177" s="1042" t="s">
        <v>156</v>
      </c>
      <c r="D177" s="1025">
        <v>1</v>
      </c>
      <c r="E177" s="1043" t="s">
        <v>27</v>
      </c>
      <c r="F177" s="1027">
        <v>1</v>
      </c>
      <c r="G177" s="1043" t="s">
        <v>27</v>
      </c>
      <c r="H177" s="1029">
        <f>'MINI SSR 19-20'!$H$16</f>
        <v>575</v>
      </c>
      <c r="I177" s="1030">
        <f>SUM(D177*H177/F177)</f>
        <v>575</v>
      </c>
      <c r="J177" s="964" t="s">
        <v>2217</v>
      </c>
    </row>
    <row r="178" spans="1:10" hidden="1">
      <c r="A178" s="1029"/>
      <c r="B178" s="1005"/>
      <c r="C178" s="1042" t="s">
        <v>886</v>
      </c>
      <c r="D178" s="1025">
        <v>1</v>
      </c>
      <c r="E178" s="1043" t="s">
        <v>27</v>
      </c>
      <c r="F178" s="1027">
        <v>1</v>
      </c>
      <c r="G178" s="1043" t="s">
        <v>27</v>
      </c>
      <c r="H178" s="1029">
        <f>'MINI SSR 19-20'!$H$17</f>
        <v>471</v>
      </c>
      <c r="I178" s="1030">
        <f>SUM(D178*H178/F178)</f>
        <v>471</v>
      </c>
      <c r="J178" s="964" t="s">
        <v>2217</v>
      </c>
    </row>
    <row r="179" spans="1:10" hidden="1">
      <c r="A179" s="1029"/>
      <c r="B179" s="1005"/>
      <c r="C179" s="1042" t="s">
        <v>700</v>
      </c>
      <c r="D179" s="1025">
        <v>1</v>
      </c>
      <c r="E179" s="1043" t="s">
        <v>27</v>
      </c>
      <c r="F179" s="1027">
        <v>1</v>
      </c>
      <c r="G179" s="1043" t="s">
        <v>27</v>
      </c>
      <c r="H179" s="1029">
        <f>'MINI SSR 19-20'!$H$18</f>
        <v>418</v>
      </c>
      <c r="I179" s="1030">
        <f>SUM(D179*H179/F179)</f>
        <v>418</v>
      </c>
      <c r="J179" s="964" t="s">
        <v>2217</v>
      </c>
    </row>
    <row r="180" spans="1:10" hidden="1">
      <c r="A180" s="1029"/>
      <c r="B180" s="1005"/>
      <c r="C180" s="1031" t="s">
        <v>327</v>
      </c>
      <c r="D180" s="1025"/>
      <c r="E180" s="1043"/>
      <c r="F180" s="1027"/>
      <c r="G180" s="1043"/>
      <c r="H180" s="1029"/>
      <c r="I180" s="1030"/>
      <c r="J180" s="964" t="s">
        <v>2217</v>
      </c>
    </row>
    <row r="181" spans="1:10" hidden="1">
      <c r="A181" s="1029"/>
      <c r="B181" s="1005"/>
      <c r="C181" s="1052" t="s">
        <v>883</v>
      </c>
      <c r="D181" s="1025">
        <v>200</v>
      </c>
      <c r="E181" s="1028" t="s">
        <v>395</v>
      </c>
      <c r="F181" s="1027">
        <v>100</v>
      </c>
      <c r="G181" s="1028" t="s">
        <v>395</v>
      </c>
      <c r="H181" s="1029">
        <f>'MINI SSR 19-20'!C131</f>
        <v>1375</v>
      </c>
      <c r="I181" s="1030">
        <f>SUM(D181*H181/F181)</f>
        <v>2750</v>
      </c>
      <c r="J181" s="964" t="s">
        <v>2217</v>
      </c>
    </row>
    <row r="182" spans="1:10" hidden="1">
      <c r="A182" s="1029"/>
      <c r="B182" s="1005"/>
      <c r="C182" s="1052" t="s">
        <v>884</v>
      </c>
      <c r="D182" s="1025">
        <v>6.7</v>
      </c>
      <c r="E182" s="1028" t="s">
        <v>4</v>
      </c>
      <c r="F182" s="1027">
        <v>1</v>
      </c>
      <c r="G182" s="1028" t="s">
        <v>4</v>
      </c>
      <c r="H182" s="1029">
        <f>'MINI SSR 19-20'!C132</f>
        <v>65</v>
      </c>
      <c r="I182" s="1030">
        <f t="shared" ref="I182:I183" si="1">SUM(D182*H182/F182)</f>
        <v>435.5</v>
      </c>
      <c r="J182" s="964" t="s">
        <v>2217</v>
      </c>
    </row>
    <row r="183" spans="1:10" hidden="1">
      <c r="A183" s="1029"/>
      <c r="B183" s="1005"/>
      <c r="C183" s="1052" t="s">
        <v>885</v>
      </c>
      <c r="D183" s="1025">
        <v>100</v>
      </c>
      <c r="E183" s="1028" t="s">
        <v>325</v>
      </c>
      <c r="F183" s="1027">
        <v>100</v>
      </c>
      <c r="G183" s="1028" t="s">
        <v>115</v>
      </c>
      <c r="H183" s="1029">
        <f>'MINI SSR 19-20'!C133</f>
        <v>430</v>
      </c>
      <c r="I183" s="1030">
        <f t="shared" si="1"/>
        <v>430</v>
      </c>
      <c r="J183" s="964" t="s">
        <v>2217</v>
      </c>
    </row>
    <row r="184" spans="1:10" hidden="1">
      <c r="A184" s="1029"/>
      <c r="B184" s="1005"/>
      <c r="C184" s="1031" t="s">
        <v>399</v>
      </c>
      <c r="D184" s="1025"/>
      <c r="E184" s="1028"/>
      <c r="F184" s="1027"/>
      <c r="G184" s="1028"/>
      <c r="H184" s="1029"/>
      <c r="I184" s="1030">
        <f>SUM(I177:I183)</f>
        <v>5079.5</v>
      </c>
      <c r="J184" s="964" t="s">
        <v>2217</v>
      </c>
    </row>
    <row r="185" spans="1:10" hidden="1">
      <c r="A185" s="1029"/>
      <c r="B185" s="1005"/>
      <c r="C185" s="1031" t="s">
        <v>400</v>
      </c>
      <c r="D185" s="1025"/>
      <c r="E185" s="1028"/>
      <c r="F185" s="1027"/>
      <c r="G185" s="1028"/>
      <c r="H185" s="1029"/>
      <c r="I185" s="1030">
        <f>SUM(I184/100)</f>
        <v>50.795000000000002</v>
      </c>
      <c r="J185" s="964" t="s">
        <v>2217</v>
      </c>
    </row>
    <row r="186" spans="1:10" ht="33.75" hidden="1">
      <c r="A186" s="1051" t="s">
        <v>725</v>
      </c>
      <c r="B186" s="1024">
        <v>11</v>
      </c>
      <c r="C186" s="1031" t="s">
        <v>1267</v>
      </c>
      <c r="D186" s="1035"/>
      <c r="E186" s="1026"/>
      <c r="F186" s="1035"/>
      <c r="G186" s="1026"/>
      <c r="H186" s="1031"/>
      <c r="I186" s="1031"/>
      <c r="J186" s="964" t="s">
        <v>2217</v>
      </c>
    </row>
    <row r="187" spans="1:10" ht="22.5" hidden="1">
      <c r="A187" s="1024"/>
      <c r="B187" s="1005"/>
      <c r="C187" s="1031" t="s">
        <v>404</v>
      </c>
      <c r="D187" s="1035"/>
      <c r="E187" s="1026"/>
      <c r="F187" s="1035"/>
      <c r="G187" s="1026"/>
      <c r="H187" s="1031"/>
      <c r="I187" s="1031"/>
      <c r="J187" s="964" t="s">
        <v>2217</v>
      </c>
    </row>
    <row r="188" spans="1:10" hidden="1">
      <c r="A188" s="1024"/>
      <c r="B188" s="1005"/>
      <c r="C188" s="1031" t="s">
        <v>384</v>
      </c>
      <c r="D188" s="1025"/>
      <c r="E188" s="1028"/>
      <c r="F188" s="1027"/>
      <c r="G188" s="1028"/>
      <c r="H188" s="1029"/>
      <c r="I188" s="1030"/>
      <c r="J188" s="964" t="s">
        <v>2217</v>
      </c>
    </row>
    <row r="189" spans="1:10" hidden="1">
      <c r="A189" s="1024"/>
      <c r="B189" s="1005"/>
      <c r="C189" s="1042" t="s">
        <v>1656</v>
      </c>
      <c r="D189" s="1025">
        <v>0.05</v>
      </c>
      <c r="E189" s="1043" t="s">
        <v>27</v>
      </c>
      <c r="F189" s="1027">
        <v>1</v>
      </c>
      <c r="G189" s="1043" t="s">
        <v>27</v>
      </c>
      <c r="H189" s="1029">
        <f>'MINI SSR 19-20'!$H$16</f>
        <v>575</v>
      </c>
      <c r="I189" s="1030">
        <f>SUM(D189*H189/F189)</f>
        <v>28.75</v>
      </c>
      <c r="J189" s="964" t="s">
        <v>2217</v>
      </c>
    </row>
    <row r="190" spans="1:10" hidden="1">
      <c r="A190" s="1024"/>
      <c r="B190" s="1005"/>
      <c r="C190" s="1042" t="s">
        <v>700</v>
      </c>
      <c r="D190" s="1025">
        <v>0.05</v>
      </c>
      <c r="E190" s="1043" t="s">
        <v>27</v>
      </c>
      <c r="F190" s="1027">
        <v>1</v>
      </c>
      <c r="G190" s="1043" t="s">
        <v>27</v>
      </c>
      <c r="H190" s="1029">
        <f>'MINI SSR 19-20'!$H$18</f>
        <v>418</v>
      </c>
      <c r="I190" s="1041">
        <f>SUM(D190*H190/F190)</f>
        <v>20.900000000000002</v>
      </c>
      <c r="J190" s="964" t="s">
        <v>2217</v>
      </c>
    </row>
    <row r="191" spans="1:10" hidden="1">
      <c r="A191" s="1024"/>
      <c r="B191" s="1005"/>
      <c r="C191" s="1031" t="s">
        <v>327</v>
      </c>
      <c r="D191" s="1025"/>
      <c r="E191" s="1043"/>
      <c r="F191" s="1027"/>
      <c r="G191" s="1043"/>
      <c r="H191" s="1029"/>
      <c r="I191" s="1030"/>
      <c r="J191" s="964" t="s">
        <v>2217</v>
      </c>
    </row>
    <row r="192" spans="1:10" ht="33.75" hidden="1">
      <c r="A192" s="1024"/>
      <c r="B192" s="1005"/>
      <c r="C192" s="1031" t="s">
        <v>1663</v>
      </c>
      <c r="D192" s="1053">
        <v>1</v>
      </c>
      <c r="E192" s="1028" t="s">
        <v>325</v>
      </c>
      <c r="F192" s="1027">
        <v>1</v>
      </c>
      <c r="G192" s="1028" t="s">
        <v>115</v>
      </c>
      <c r="H192" s="1029">
        <f>'MINI SSR 19-20'!G114</f>
        <v>18</v>
      </c>
      <c r="I192" s="1030">
        <f>SUM(D192*H192/F192)</f>
        <v>18</v>
      </c>
      <c r="J192" s="964" t="s">
        <v>2217</v>
      </c>
    </row>
    <row r="193" spans="1:10" hidden="1">
      <c r="A193" s="1024"/>
      <c r="B193" s="1005"/>
      <c r="C193" s="1031" t="s">
        <v>1266</v>
      </c>
      <c r="D193" s="1053">
        <v>1</v>
      </c>
      <c r="E193" s="1028" t="s">
        <v>325</v>
      </c>
      <c r="F193" s="1027">
        <v>1</v>
      </c>
      <c r="G193" s="1028" t="s">
        <v>115</v>
      </c>
      <c r="H193" s="1029">
        <f>'MINI SSR 19-20'!G115</f>
        <v>110</v>
      </c>
      <c r="I193" s="1030">
        <f>SUM(D193*H193/F193)</f>
        <v>110</v>
      </c>
      <c r="J193" s="964" t="s">
        <v>2217</v>
      </c>
    </row>
    <row r="194" spans="1:10" hidden="1">
      <c r="A194" s="1024"/>
      <c r="B194" s="1005"/>
      <c r="C194" s="1031" t="s">
        <v>405</v>
      </c>
      <c r="D194" s="1025"/>
      <c r="E194" s="1043"/>
      <c r="F194" s="1027"/>
      <c r="G194" s="1043"/>
      <c r="H194" s="1029"/>
      <c r="I194" s="1030">
        <f>SUM(I189:I193)</f>
        <v>177.65</v>
      </c>
      <c r="J194" s="964" t="s">
        <v>2217</v>
      </c>
    </row>
    <row r="195" spans="1:10" ht="45" hidden="1">
      <c r="A195" s="1029" t="s">
        <v>1664</v>
      </c>
      <c r="B195" s="1024">
        <v>8</v>
      </c>
      <c r="C195" s="1031" t="s">
        <v>406</v>
      </c>
      <c r="D195" s="1035"/>
      <c r="E195" s="1026"/>
      <c r="F195" s="1035"/>
      <c r="G195" s="1026"/>
      <c r="H195" s="1031"/>
      <c r="I195" s="1031"/>
      <c r="J195" s="964" t="s">
        <v>2217</v>
      </c>
    </row>
    <row r="196" spans="1:10" ht="33.75" hidden="1">
      <c r="A196" s="1024"/>
      <c r="B196" s="1024"/>
      <c r="C196" s="1031" t="s">
        <v>407</v>
      </c>
      <c r="D196" s="1065"/>
      <c r="E196" s="1026"/>
      <c r="F196" s="1035"/>
      <c r="G196" s="1026"/>
      <c r="H196" s="1031"/>
      <c r="I196" s="1031"/>
      <c r="J196" s="964" t="s">
        <v>2217</v>
      </c>
    </row>
    <row r="197" spans="1:10" ht="33.75" hidden="1">
      <c r="A197" s="1024"/>
      <c r="B197" s="1024"/>
      <c r="C197" s="1031" t="s">
        <v>408</v>
      </c>
      <c r="D197" s="1065"/>
      <c r="E197" s="1026"/>
      <c r="F197" s="1035"/>
      <c r="G197" s="1026"/>
      <c r="H197" s="1031"/>
      <c r="I197" s="1031"/>
      <c r="J197" s="964" t="s">
        <v>2217</v>
      </c>
    </row>
    <row r="198" spans="1:10" hidden="1">
      <c r="A198" s="1024"/>
      <c r="B198" s="1005"/>
      <c r="C198" s="1066" t="s">
        <v>409</v>
      </c>
      <c r="D198" s="1025"/>
      <c r="E198" s="1028"/>
      <c r="F198" s="1027"/>
      <c r="G198" s="1028"/>
      <c r="H198" s="1029"/>
      <c r="I198" s="1030"/>
      <c r="J198" s="964" t="s">
        <v>2217</v>
      </c>
    </row>
    <row r="199" spans="1:10" hidden="1">
      <c r="A199" s="1024"/>
      <c r="B199" s="1005"/>
      <c r="C199" s="1042" t="s">
        <v>1656</v>
      </c>
      <c r="D199" s="1061">
        <v>0.125</v>
      </c>
      <c r="E199" s="1043" t="s">
        <v>27</v>
      </c>
      <c r="F199" s="1027">
        <v>1</v>
      </c>
      <c r="G199" s="1043" t="s">
        <v>27</v>
      </c>
      <c r="H199" s="1029">
        <f>'MINI SSR 19-20'!$H$16</f>
        <v>575</v>
      </c>
      <c r="I199" s="1030">
        <f>SUM(D199*H199/F199)</f>
        <v>71.875</v>
      </c>
      <c r="J199" s="964" t="s">
        <v>2217</v>
      </c>
    </row>
    <row r="200" spans="1:10" hidden="1">
      <c r="A200" s="1024"/>
      <c r="B200" s="1005"/>
      <c r="C200" s="1042" t="s">
        <v>700</v>
      </c>
      <c r="D200" s="1061">
        <v>0.125</v>
      </c>
      <c r="E200" s="1043" t="s">
        <v>27</v>
      </c>
      <c r="F200" s="1027">
        <v>1</v>
      </c>
      <c r="G200" s="1043" t="s">
        <v>27</v>
      </c>
      <c r="H200" s="1029">
        <f>'MINI SSR 19-20'!$H$18</f>
        <v>418</v>
      </c>
      <c r="I200" s="1041">
        <f>SUM(D200*H200/F200)</f>
        <v>52.25</v>
      </c>
      <c r="J200" s="964" t="s">
        <v>2217</v>
      </c>
    </row>
    <row r="201" spans="1:10" hidden="1">
      <c r="A201" s="1024"/>
      <c r="B201" s="1005"/>
      <c r="C201" s="1031" t="s">
        <v>410</v>
      </c>
      <c r="D201" s="1025"/>
      <c r="E201" s="1043"/>
      <c r="F201" s="1027"/>
      <c r="G201" s="1043"/>
      <c r="H201" s="1029"/>
      <c r="I201" s="1030"/>
      <c r="J201" s="964" t="s">
        <v>2217</v>
      </c>
    </row>
    <row r="202" spans="1:10" hidden="1">
      <c r="A202" s="1024"/>
      <c r="B202" s="1005"/>
      <c r="C202" s="1052" t="s">
        <v>1665</v>
      </c>
      <c r="D202" s="1025">
        <v>1</v>
      </c>
      <c r="E202" s="1028" t="s">
        <v>385</v>
      </c>
      <c r="F202" s="1027">
        <v>100</v>
      </c>
      <c r="G202" s="1028" t="s">
        <v>395</v>
      </c>
      <c r="H202" s="1029">
        <f>'MINI SSR 19-20'!G116</f>
        <v>950</v>
      </c>
      <c r="I202" s="1030">
        <f>SUM(D202*H202/F202)</f>
        <v>9.5</v>
      </c>
      <c r="J202" s="964" t="s">
        <v>2217</v>
      </c>
    </row>
    <row r="203" spans="1:10" hidden="1">
      <c r="A203" s="1024"/>
      <c r="B203" s="1005"/>
      <c r="C203" s="1052" t="s">
        <v>1666</v>
      </c>
      <c r="D203" s="1025">
        <v>1</v>
      </c>
      <c r="E203" s="1028" t="s">
        <v>115</v>
      </c>
      <c r="F203" s="1027">
        <v>1</v>
      </c>
      <c r="G203" s="1028" t="s">
        <v>115</v>
      </c>
      <c r="H203" s="1029">
        <f>'MINI SSR 19-20'!G117</f>
        <v>180</v>
      </c>
      <c r="I203" s="1030">
        <f>SUM(D203*H203/F203)</f>
        <v>180</v>
      </c>
      <c r="J203" s="964" t="s">
        <v>2217</v>
      </c>
    </row>
    <row r="204" spans="1:10" hidden="1">
      <c r="A204" s="1024"/>
      <c r="B204" s="1005"/>
      <c r="C204" s="1052" t="s">
        <v>1667</v>
      </c>
      <c r="D204" s="1025">
        <v>1</v>
      </c>
      <c r="E204" s="1028" t="s">
        <v>325</v>
      </c>
      <c r="F204" s="1027">
        <v>1</v>
      </c>
      <c r="G204" s="1028" t="s">
        <v>325</v>
      </c>
      <c r="H204" s="1029">
        <f>'MINI SSR 19-20'!G118</f>
        <v>2300</v>
      </c>
      <c r="I204" s="1030">
        <f>SUM(D204*H204/F204)</f>
        <v>2300</v>
      </c>
      <c r="J204" s="964" t="s">
        <v>2217</v>
      </c>
    </row>
    <row r="205" spans="1:10" hidden="1">
      <c r="A205" s="1024"/>
      <c r="B205" s="1005"/>
      <c r="C205" s="1031" t="s">
        <v>411</v>
      </c>
      <c r="D205" s="1025"/>
      <c r="E205" s="1028"/>
      <c r="F205" s="1027"/>
      <c r="G205" s="1028"/>
      <c r="H205" s="1067">
        <v>0.01</v>
      </c>
      <c r="I205" s="1030">
        <f>SUM(I204*H205)</f>
        <v>23</v>
      </c>
      <c r="J205" s="964" t="s">
        <v>2217</v>
      </c>
    </row>
    <row r="206" spans="1:10" hidden="1">
      <c r="A206" s="1024"/>
      <c r="B206" s="1005"/>
      <c r="C206" s="1036" t="s">
        <v>388</v>
      </c>
      <c r="D206" s="1032"/>
      <c r="E206" s="1033"/>
      <c r="F206" s="1032"/>
      <c r="G206" s="1068"/>
      <c r="H206" s="1064"/>
      <c r="I206" s="1030">
        <f>SUM(I199:I205)</f>
        <v>2636.625</v>
      </c>
      <c r="J206" s="964" t="s">
        <v>2217</v>
      </c>
    </row>
    <row r="207" spans="1:10" ht="33.75" hidden="1">
      <c r="A207" s="1029" t="s">
        <v>1668</v>
      </c>
      <c r="B207" s="1024">
        <v>12</v>
      </c>
      <c r="C207" s="1031" t="s">
        <v>946</v>
      </c>
      <c r="D207" s="1035"/>
      <c r="E207" s="1026"/>
      <c r="F207" s="1035"/>
      <c r="G207" s="1026"/>
      <c r="H207" s="1031"/>
      <c r="I207" s="1031"/>
      <c r="J207" s="964" t="s">
        <v>2217</v>
      </c>
    </row>
    <row r="208" spans="1:10" hidden="1">
      <c r="A208" s="1024"/>
      <c r="B208" s="1005"/>
      <c r="C208" s="1052" t="s">
        <v>970</v>
      </c>
      <c r="D208" s="1025">
        <v>1</v>
      </c>
      <c r="E208" s="1028" t="s">
        <v>325</v>
      </c>
      <c r="F208" s="1027">
        <v>1</v>
      </c>
      <c r="G208" s="1028" t="s">
        <v>325</v>
      </c>
      <c r="H208" s="1029">
        <f>'MINI SSR 19-20'!G118</f>
        <v>2300</v>
      </c>
      <c r="I208" s="1030">
        <f>SUM(D208*H208/F208)</f>
        <v>2300</v>
      </c>
      <c r="J208" s="964" t="s">
        <v>2217</v>
      </c>
    </row>
    <row r="209" spans="1:10" hidden="1">
      <c r="A209" s="1024"/>
      <c r="B209" s="1005"/>
      <c r="C209" s="1031" t="s">
        <v>411</v>
      </c>
      <c r="D209" s="1025"/>
      <c r="E209" s="1028"/>
      <c r="F209" s="1027"/>
      <c r="G209" s="1028"/>
      <c r="H209" s="1067">
        <v>0.01</v>
      </c>
      <c r="I209" s="1030">
        <f>SUM(I208*H209)</f>
        <v>23</v>
      </c>
      <c r="J209" s="964" t="s">
        <v>2217</v>
      </c>
    </row>
    <row r="210" spans="1:10" hidden="1">
      <c r="A210" s="1024"/>
      <c r="B210" s="1005"/>
      <c r="C210" s="1036" t="s">
        <v>388</v>
      </c>
      <c r="D210" s="1032"/>
      <c r="E210" s="1033"/>
      <c r="F210" s="1032"/>
      <c r="G210" s="1068"/>
      <c r="H210" s="1064"/>
      <c r="I210" s="1030">
        <f>SUM(I208:I209)</f>
        <v>2323</v>
      </c>
      <c r="J210" s="964" t="s">
        <v>2217</v>
      </c>
    </row>
    <row r="211" spans="1:10" ht="22.5" hidden="1">
      <c r="A211" s="1029" t="s">
        <v>1669</v>
      </c>
      <c r="B211" s="1024">
        <v>13</v>
      </c>
      <c r="C211" s="1031" t="s">
        <v>1670</v>
      </c>
      <c r="D211" s="1035"/>
      <c r="E211" s="1026"/>
      <c r="F211" s="1035"/>
      <c r="G211" s="1026"/>
      <c r="H211" s="1031"/>
      <c r="I211" s="1031"/>
      <c r="J211" s="964" t="s">
        <v>2217</v>
      </c>
    </row>
    <row r="212" spans="1:10" hidden="1">
      <c r="A212" s="1024"/>
      <c r="B212" s="1005"/>
      <c r="C212" s="1052" t="s">
        <v>1666</v>
      </c>
      <c r="D212" s="1025">
        <v>1</v>
      </c>
      <c r="E212" s="1028" t="s">
        <v>325</v>
      </c>
      <c r="F212" s="1027">
        <v>1</v>
      </c>
      <c r="G212" s="1028" t="s">
        <v>325</v>
      </c>
      <c r="H212" s="1029">
        <f>'MINI SSR 19-20'!G117</f>
        <v>180</v>
      </c>
      <c r="I212" s="1030">
        <f>SUM(D212*H212/F212)</f>
        <v>180</v>
      </c>
      <c r="J212" s="964" t="s">
        <v>2217</v>
      </c>
    </row>
    <row r="213" spans="1:10" hidden="1">
      <c r="A213" s="1024"/>
      <c r="B213" s="1005"/>
      <c r="C213" s="1042" t="s">
        <v>1656</v>
      </c>
      <c r="D213" s="1061">
        <v>0.1</v>
      </c>
      <c r="E213" s="1043" t="s">
        <v>27</v>
      </c>
      <c r="F213" s="1027">
        <v>1</v>
      </c>
      <c r="G213" s="1043" t="s">
        <v>27</v>
      </c>
      <c r="H213" s="1029">
        <f>'MINI SSR 19-20'!$H$16</f>
        <v>575</v>
      </c>
      <c r="I213" s="1030">
        <f>SUM(D213*H213/F213)</f>
        <v>57.5</v>
      </c>
      <c r="J213" s="964" t="s">
        <v>2217</v>
      </c>
    </row>
    <row r="214" spans="1:10" hidden="1">
      <c r="A214" s="1024"/>
      <c r="B214" s="1005"/>
      <c r="C214" s="1031"/>
      <c r="D214" s="1025"/>
      <c r="E214" s="1028"/>
      <c r="F214" s="1027"/>
      <c r="G214" s="1028"/>
      <c r="H214" s="1067"/>
      <c r="I214" s="1030"/>
      <c r="J214" s="964" t="s">
        <v>2217</v>
      </c>
    </row>
    <row r="215" spans="1:10" hidden="1">
      <c r="A215" s="1024"/>
      <c r="B215" s="1005"/>
      <c r="C215" s="1036" t="s">
        <v>388</v>
      </c>
      <c r="D215" s="1032"/>
      <c r="E215" s="1033"/>
      <c r="F215" s="1032"/>
      <c r="G215" s="1068"/>
      <c r="H215" s="1064"/>
      <c r="I215" s="1030">
        <f>SUM(I212:I214)</f>
        <v>237.5</v>
      </c>
      <c r="J215" s="964" t="s">
        <v>2217</v>
      </c>
    </row>
    <row r="216" spans="1:10" ht="22.5" hidden="1">
      <c r="A216" s="1029" t="s">
        <v>1664</v>
      </c>
      <c r="B216" s="1024">
        <v>14</v>
      </c>
      <c r="C216" s="1031" t="s">
        <v>948</v>
      </c>
      <c r="D216" s="1035"/>
      <c r="E216" s="1026"/>
      <c r="F216" s="1035"/>
      <c r="G216" s="1026"/>
      <c r="H216" s="1031"/>
      <c r="I216" s="1031"/>
      <c r="J216" s="964" t="s">
        <v>2217</v>
      </c>
    </row>
    <row r="217" spans="1:10" hidden="1">
      <c r="A217" s="1024"/>
      <c r="B217" s="1005"/>
      <c r="C217" s="1066" t="s">
        <v>409</v>
      </c>
      <c r="D217" s="1025"/>
      <c r="E217" s="1028"/>
      <c r="F217" s="1027"/>
      <c r="G217" s="1028"/>
      <c r="H217" s="1029"/>
      <c r="I217" s="1030"/>
      <c r="J217" s="964" t="s">
        <v>2217</v>
      </c>
    </row>
    <row r="218" spans="1:10" hidden="1">
      <c r="A218" s="1024"/>
      <c r="B218" s="1005"/>
      <c r="C218" s="1042" t="s">
        <v>1656</v>
      </c>
      <c r="D218" s="1061">
        <v>0.125</v>
      </c>
      <c r="E218" s="1043" t="s">
        <v>27</v>
      </c>
      <c r="F218" s="1027">
        <v>1</v>
      </c>
      <c r="G218" s="1043" t="s">
        <v>27</v>
      </c>
      <c r="H218" s="1029">
        <f>'MINI SSR 19-20'!$H$16</f>
        <v>575</v>
      </c>
      <c r="I218" s="1030">
        <f>SUM(D218*H218/F218)</f>
        <v>71.875</v>
      </c>
      <c r="J218" s="964" t="s">
        <v>2217</v>
      </c>
    </row>
    <row r="219" spans="1:10" hidden="1">
      <c r="A219" s="1024"/>
      <c r="B219" s="1005"/>
      <c r="C219" s="1042" t="s">
        <v>700</v>
      </c>
      <c r="D219" s="1061">
        <v>0.125</v>
      </c>
      <c r="E219" s="1043" t="s">
        <v>27</v>
      </c>
      <c r="F219" s="1027">
        <v>1</v>
      </c>
      <c r="G219" s="1043" t="s">
        <v>27</v>
      </c>
      <c r="H219" s="1029">
        <f>'MINI SSR 19-20'!$H$18</f>
        <v>418</v>
      </c>
      <c r="I219" s="1041">
        <f>SUM(D219*H219/F219)</f>
        <v>52.25</v>
      </c>
      <c r="J219" s="964" t="s">
        <v>2217</v>
      </c>
    </row>
    <row r="220" spans="1:10" hidden="1">
      <c r="A220" s="1024"/>
      <c r="B220" s="1005"/>
      <c r="C220" s="1031" t="s">
        <v>410</v>
      </c>
      <c r="D220" s="1025"/>
      <c r="E220" s="1043"/>
      <c r="F220" s="1027"/>
      <c r="G220" s="1043"/>
      <c r="H220" s="1029"/>
      <c r="I220" s="1030"/>
      <c r="J220" s="964" t="s">
        <v>2217</v>
      </c>
    </row>
    <row r="221" spans="1:10" hidden="1">
      <c r="A221" s="1024"/>
      <c r="B221" s="1005"/>
      <c r="C221" s="1052" t="s">
        <v>949</v>
      </c>
      <c r="D221" s="1025">
        <v>1</v>
      </c>
      <c r="E221" s="1028" t="s">
        <v>385</v>
      </c>
      <c r="F221" s="1027">
        <v>100</v>
      </c>
      <c r="G221" s="1028" t="s">
        <v>395</v>
      </c>
      <c r="H221" s="1029">
        <f>'MINI SSR 19-20'!G116</f>
        <v>950</v>
      </c>
      <c r="I221" s="1030">
        <f>SUM(D221*H221/F221)</f>
        <v>9.5</v>
      </c>
      <c r="J221" s="964" t="s">
        <v>2217</v>
      </c>
    </row>
    <row r="222" spans="1:10" hidden="1">
      <c r="A222" s="1024"/>
      <c r="B222" s="1005"/>
      <c r="C222" s="1036" t="s">
        <v>388</v>
      </c>
      <c r="D222" s="1032"/>
      <c r="E222" s="1033"/>
      <c r="F222" s="1032"/>
      <c r="G222" s="1068"/>
      <c r="H222" s="1064"/>
      <c r="I222" s="1030">
        <f>SUM(I218:I221)</f>
        <v>133.625</v>
      </c>
      <c r="J222" s="964" t="s">
        <v>2217</v>
      </c>
    </row>
    <row r="223" spans="1:10" ht="33.75" hidden="1">
      <c r="A223" s="1029" t="s">
        <v>1671</v>
      </c>
      <c r="B223" s="1024">
        <v>39</v>
      </c>
      <c r="C223" s="1031" t="s">
        <v>950</v>
      </c>
      <c r="D223" s="1035"/>
      <c r="E223" s="1026"/>
      <c r="F223" s="1035"/>
      <c r="G223" s="1026"/>
      <c r="H223" s="1031"/>
      <c r="I223" s="1031"/>
      <c r="J223" s="964" t="s">
        <v>2217</v>
      </c>
    </row>
    <row r="224" spans="1:10" hidden="1">
      <c r="A224" s="1024"/>
      <c r="B224" s="1005"/>
      <c r="C224" s="1066" t="s">
        <v>409</v>
      </c>
      <c r="D224" s="1025"/>
      <c r="E224" s="1028"/>
      <c r="F224" s="1027"/>
      <c r="G224" s="1028"/>
      <c r="H224" s="1029"/>
      <c r="I224" s="1030"/>
      <c r="J224" s="964" t="s">
        <v>2217</v>
      </c>
    </row>
    <row r="225" spans="1:10" hidden="1">
      <c r="A225" s="1024"/>
      <c r="B225" s="1005"/>
      <c r="C225" s="1042" t="s">
        <v>700</v>
      </c>
      <c r="D225" s="1061">
        <v>0.1</v>
      </c>
      <c r="E225" s="1043" t="s">
        <v>27</v>
      </c>
      <c r="F225" s="1027">
        <v>1</v>
      </c>
      <c r="G225" s="1043" t="s">
        <v>27</v>
      </c>
      <c r="H225" s="1029">
        <f>'MINI SSR 19-20'!$H$18</f>
        <v>418</v>
      </c>
      <c r="I225" s="1041">
        <f>SUM(D225*H225/F225)</f>
        <v>41.800000000000004</v>
      </c>
      <c r="J225" s="964" t="s">
        <v>2217</v>
      </c>
    </row>
    <row r="226" spans="1:10" hidden="1">
      <c r="A226" s="1024"/>
      <c r="B226" s="1005"/>
      <c r="C226" s="1031" t="s">
        <v>410</v>
      </c>
      <c r="D226" s="1025"/>
      <c r="E226" s="1043"/>
      <c r="F226" s="1027"/>
      <c r="G226" s="1043"/>
      <c r="H226" s="1029"/>
      <c r="I226" s="1030"/>
      <c r="J226" s="964" t="s">
        <v>2217</v>
      </c>
    </row>
    <row r="227" spans="1:10" ht="22.5" hidden="1">
      <c r="A227" s="1024"/>
      <c r="B227" s="1005"/>
      <c r="C227" s="1052" t="s">
        <v>1672</v>
      </c>
      <c r="D227" s="1025">
        <v>1</v>
      </c>
      <c r="E227" s="1028" t="s">
        <v>115</v>
      </c>
      <c r="F227" s="1027">
        <v>1</v>
      </c>
      <c r="G227" s="1028" t="s">
        <v>115</v>
      </c>
      <c r="H227" s="1029">
        <f>'MINI SSR 19-20'!G119</f>
        <v>85</v>
      </c>
      <c r="I227" s="1030">
        <f>SUM(D227*H227/F227)</f>
        <v>85</v>
      </c>
      <c r="J227" s="964" t="s">
        <v>2217</v>
      </c>
    </row>
    <row r="228" spans="1:10" hidden="1">
      <c r="A228" s="1024"/>
      <c r="B228" s="1005"/>
      <c r="C228" s="1036" t="s">
        <v>388</v>
      </c>
      <c r="D228" s="1032"/>
      <c r="E228" s="1033"/>
      <c r="F228" s="1032"/>
      <c r="G228" s="1068"/>
      <c r="H228" s="1064"/>
      <c r="I228" s="1030">
        <f>SUM(I225:I227)</f>
        <v>126.80000000000001</v>
      </c>
      <c r="J228" s="964" t="s">
        <v>2217</v>
      </c>
    </row>
    <row r="229" spans="1:10" ht="22.5" hidden="1">
      <c r="A229" s="1029" t="s">
        <v>1673</v>
      </c>
      <c r="B229" s="1048">
        <v>15</v>
      </c>
      <c r="C229" s="1031" t="s">
        <v>1674</v>
      </c>
      <c r="D229" s="1032"/>
      <c r="E229" s="1033"/>
      <c r="F229" s="1032"/>
      <c r="G229" s="1033"/>
      <c r="H229" s="1034"/>
      <c r="I229" s="1034"/>
      <c r="J229" s="964" t="s">
        <v>2217</v>
      </c>
    </row>
    <row r="230" spans="1:10" hidden="1">
      <c r="A230" s="1047"/>
      <c r="B230" s="1048"/>
      <c r="C230" s="1042" t="s">
        <v>1572</v>
      </c>
      <c r="D230" s="1025">
        <v>1</v>
      </c>
      <c r="E230" s="1043" t="s">
        <v>325</v>
      </c>
      <c r="F230" s="1027">
        <v>1</v>
      </c>
      <c r="G230" s="1043" t="s">
        <v>325</v>
      </c>
      <c r="H230" s="1029">
        <f>'MINI SSR 19-20'!G120</f>
        <v>100</v>
      </c>
      <c r="I230" s="1041">
        <f>SUM(D230*H230/F230)</f>
        <v>100</v>
      </c>
      <c r="J230" s="964" t="s">
        <v>2217</v>
      </c>
    </row>
    <row r="231" spans="1:10" hidden="1">
      <c r="A231" s="1024"/>
      <c r="B231" s="1005"/>
      <c r="C231" s="1042" t="s">
        <v>1675</v>
      </c>
      <c r="D231" s="1061">
        <v>0.16600000000000001</v>
      </c>
      <c r="E231" s="1043" t="s">
        <v>27</v>
      </c>
      <c r="F231" s="1027">
        <v>1</v>
      </c>
      <c r="G231" s="1043" t="s">
        <v>27</v>
      </c>
      <c r="H231" s="1029">
        <f>'MINI SSR 19-20'!H3</f>
        <v>500</v>
      </c>
      <c r="I231" s="1041">
        <f>SUM(D231*H231/F231)</f>
        <v>83</v>
      </c>
      <c r="J231" s="964" t="s">
        <v>2217</v>
      </c>
    </row>
    <row r="232" spans="1:10" hidden="1">
      <c r="A232" s="1024"/>
      <c r="B232" s="1005"/>
      <c r="C232" s="1042" t="s">
        <v>1676</v>
      </c>
      <c r="D232" s="1061">
        <v>0.16600000000000001</v>
      </c>
      <c r="E232" s="1043" t="s">
        <v>27</v>
      </c>
      <c r="F232" s="1027">
        <v>1</v>
      </c>
      <c r="G232" s="1043" t="s">
        <v>27</v>
      </c>
      <c r="H232" s="1029">
        <f>'MINI SSR 19-20'!$H$18</f>
        <v>418</v>
      </c>
      <c r="I232" s="1041">
        <f>SUM(D232*H232/F232)</f>
        <v>69.388000000000005</v>
      </c>
      <c r="J232" s="964" t="s">
        <v>2217</v>
      </c>
    </row>
    <row r="233" spans="1:10" hidden="1">
      <c r="A233" s="1047"/>
      <c r="B233" s="1048"/>
      <c r="C233" s="1044"/>
      <c r="D233" s="1025"/>
      <c r="E233" s="1043"/>
      <c r="F233" s="1027"/>
      <c r="G233" s="1043"/>
      <c r="H233" s="1029"/>
      <c r="I233" s="1041">
        <f>SUM(I230:I232)</f>
        <v>252.38800000000001</v>
      </c>
      <c r="J233" s="964" t="s">
        <v>2217</v>
      </c>
    </row>
    <row r="234" spans="1:10" ht="56.25" hidden="1">
      <c r="A234" s="1051" t="s">
        <v>726</v>
      </c>
      <c r="B234" s="1024">
        <v>16</v>
      </c>
      <c r="C234" s="1031" t="s">
        <v>412</v>
      </c>
      <c r="D234" s="1035"/>
      <c r="E234" s="1026"/>
      <c r="F234" s="1035"/>
      <c r="G234" s="1026"/>
      <c r="H234" s="1031"/>
      <c r="I234" s="1031"/>
      <c r="J234" s="964" t="s">
        <v>2217</v>
      </c>
    </row>
    <row r="235" spans="1:10" hidden="1">
      <c r="A235" s="1024"/>
      <c r="B235" s="1005"/>
      <c r="C235" s="1031" t="s">
        <v>409</v>
      </c>
      <c r="D235" s="1025"/>
      <c r="E235" s="1028"/>
      <c r="F235" s="1027"/>
      <c r="G235" s="1028"/>
      <c r="H235" s="1029"/>
      <c r="I235" s="1030"/>
      <c r="J235" s="964" t="s">
        <v>2217</v>
      </c>
    </row>
    <row r="236" spans="1:10" hidden="1">
      <c r="A236" s="1024"/>
      <c r="B236" s="1005"/>
      <c r="C236" s="1042" t="s">
        <v>1656</v>
      </c>
      <c r="D236" s="1025">
        <v>0.1</v>
      </c>
      <c r="E236" s="1043" t="s">
        <v>27</v>
      </c>
      <c r="F236" s="1027">
        <v>1</v>
      </c>
      <c r="G236" s="1043" t="s">
        <v>27</v>
      </c>
      <c r="H236" s="1029">
        <f>'MINI SSR 19-20'!$H$16</f>
        <v>575</v>
      </c>
      <c r="I236" s="1030">
        <f>SUM(D236*H236/F236)</f>
        <v>57.5</v>
      </c>
      <c r="J236" s="964" t="s">
        <v>2217</v>
      </c>
    </row>
    <row r="237" spans="1:10" hidden="1">
      <c r="A237" s="1024"/>
      <c r="B237" s="1005"/>
      <c r="C237" s="1042" t="s">
        <v>1657</v>
      </c>
      <c r="D237" s="1025">
        <v>0.1</v>
      </c>
      <c r="E237" s="1043" t="s">
        <v>27</v>
      </c>
      <c r="F237" s="1027">
        <v>1</v>
      </c>
      <c r="G237" s="1043" t="s">
        <v>27</v>
      </c>
      <c r="H237" s="1029">
        <f>'MINI SSR 19-20'!$H$17</f>
        <v>471</v>
      </c>
      <c r="I237" s="1030">
        <f>SUM(D237*H237/F237)</f>
        <v>47.1</v>
      </c>
      <c r="J237" s="964" t="s">
        <v>2217</v>
      </c>
    </row>
    <row r="238" spans="1:10" hidden="1">
      <c r="A238" s="1024"/>
      <c r="B238" s="1005"/>
      <c r="C238" s="1031" t="s">
        <v>327</v>
      </c>
      <c r="D238" s="1025"/>
      <c r="E238" s="1043"/>
      <c r="F238" s="1027"/>
      <c r="G238" s="1043"/>
      <c r="H238" s="1029"/>
      <c r="I238" s="1030"/>
      <c r="J238" s="964" t="s">
        <v>2217</v>
      </c>
    </row>
    <row r="239" spans="1:10" hidden="1">
      <c r="A239" s="1024"/>
      <c r="B239" s="1005"/>
      <c r="C239" s="1052" t="s">
        <v>1677</v>
      </c>
      <c r="D239" s="1025">
        <v>1</v>
      </c>
      <c r="E239" s="1028" t="s">
        <v>385</v>
      </c>
      <c r="F239" s="1027">
        <v>100</v>
      </c>
      <c r="G239" s="1028" t="s">
        <v>395</v>
      </c>
      <c r="H239" s="1029">
        <f>'MINI SSR 19-20'!G116</f>
        <v>950</v>
      </c>
      <c r="I239" s="1030">
        <f>SUM(D239*H239/F239)</f>
        <v>9.5</v>
      </c>
      <c r="J239" s="964" t="s">
        <v>2217</v>
      </c>
    </row>
    <row r="240" spans="1:10" hidden="1">
      <c r="A240" s="1024"/>
      <c r="B240" s="1005"/>
      <c r="C240" s="1052" t="s">
        <v>2099</v>
      </c>
      <c r="D240" s="1053">
        <v>1</v>
      </c>
      <c r="E240" s="1028" t="s">
        <v>115</v>
      </c>
      <c r="F240" s="1027">
        <v>1</v>
      </c>
      <c r="G240" s="1028" t="s">
        <v>115</v>
      </c>
      <c r="H240" s="1029">
        <f>'MINI SSR 19-20'!G121</f>
        <v>290</v>
      </c>
      <c r="I240" s="1030">
        <f>SUM(D240*H240/F240)</f>
        <v>290</v>
      </c>
      <c r="J240" s="964" t="s">
        <v>2217</v>
      </c>
    </row>
    <row r="241" spans="1:10" hidden="1">
      <c r="A241" s="1024"/>
      <c r="B241" s="1005"/>
      <c r="C241" s="1031" t="s">
        <v>405</v>
      </c>
      <c r="D241" s="1025"/>
      <c r="E241" s="1026"/>
      <c r="F241" s="1027"/>
      <c r="G241" s="1028"/>
      <c r="H241" s="1029"/>
      <c r="I241" s="1030">
        <f>SUM(I236:I240)</f>
        <v>404.1</v>
      </c>
      <c r="J241" s="964" t="s">
        <v>2217</v>
      </c>
    </row>
    <row r="242" spans="1:10" hidden="1">
      <c r="A242" s="1047"/>
      <c r="B242" s="1048"/>
      <c r="C242" s="1047"/>
      <c r="D242" s="1058"/>
      <c r="E242" s="1059"/>
      <c r="F242" s="1058"/>
      <c r="G242" s="1059"/>
      <c r="H242" s="1047"/>
      <c r="I242" s="1047"/>
      <c r="J242" s="964" t="s">
        <v>2217</v>
      </c>
    </row>
    <row r="243" spans="1:10" ht="67.5" hidden="1">
      <c r="A243" s="1051" t="s">
        <v>727</v>
      </c>
      <c r="B243" s="1024">
        <v>17</v>
      </c>
      <c r="C243" s="1031" t="s">
        <v>698</v>
      </c>
      <c r="D243" s="1035"/>
      <c r="E243" s="1026"/>
      <c r="F243" s="1035"/>
      <c r="G243" s="1026"/>
      <c r="H243" s="1031"/>
      <c r="I243" s="1031"/>
      <c r="J243" s="964" t="s">
        <v>2217</v>
      </c>
    </row>
    <row r="244" spans="1:10" hidden="1">
      <c r="A244" s="1024"/>
      <c r="B244" s="1005"/>
      <c r="C244" s="1031" t="s">
        <v>409</v>
      </c>
      <c r="D244" s="1025"/>
      <c r="E244" s="1028"/>
      <c r="F244" s="1027"/>
      <c r="G244" s="1028"/>
      <c r="H244" s="1029"/>
      <c r="I244" s="1030"/>
      <c r="J244" s="964" t="s">
        <v>2217</v>
      </c>
    </row>
    <row r="245" spans="1:10" hidden="1">
      <c r="A245" s="1024"/>
      <c r="B245" s="1005"/>
      <c r="C245" s="1042" t="s">
        <v>699</v>
      </c>
      <c r="D245" s="1025">
        <v>0.5</v>
      </c>
      <c r="E245" s="1043" t="s">
        <v>27</v>
      </c>
      <c r="F245" s="1027">
        <v>1</v>
      </c>
      <c r="G245" s="1043" t="s">
        <v>27</v>
      </c>
      <c r="H245" s="1029">
        <f>'MINI SSR 19-20'!$H$16</f>
        <v>575</v>
      </c>
      <c r="I245" s="1030">
        <f>SUM(D245*H245/F245)</f>
        <v>287.5</v>
      </c>
      <c r="J245" s="964" t="s">
        <v>2217</v>
      </c>
    </row>
    <row r="246" spans="1:10" hidden="1">
      <c r="A246" s="1024"/>
      <c r="B246" s="1005"/>
      <c r="C246" s="1042" t="s">
        <v>219</v>
      </c>
      <c r="D246" s="1025">
        <v>0.5</v>
      </c>
      <c r="E246" s="1043" t="s">
        <v>27</v>
      </c>
      <c r="F246" s="1027">
        <v>1</v>
      </c>
      <c r="G246" s="1043" t="s">
        <v>27</v>
      </c>
      <c r="H246" s="1029">
        <f>'MINI SSR 19-20'!$H$17</f>
        <v>471</v>
      </c>
      <c r="I246" s="1030">
        <f>SUM(D246*H246/F246)</f>
        <v>235.5</v>
      </c>
      <c r="J246" s="964" t="s">
        <v>2217</v>
      </c>
    </row>
    <row r="247" spans="1:10" hidden="1">
      <c r="A247" s="1024"/>
      <c r="B247" s="1005"/>
      <c r="C247" s="1042" t="s">
        <v>700</v>
      </c>
      <c r="D247" s="1025">
        <v>1</v>
      </c>
      <c r="E247" s="1043" t="s">
        <v>27</v>
      </c>
      <c r="F247" s="1027">
        <v>1</v>
      </c>
      <c r="G247" s="1043" t="s">
        <v>27</v>
      </c>
      <c r="H247" s="1029">
        <f>'MINI SSR 19-20'!$H$18</f>
        <v>418</v>
      </c>
      <c r="I247" s="1041">
        <f>SUM(D247*H247/F247)</f>
        <v>418</v>
      </c>
      <c r="J247" s="964" t="s">
        <v>2217</v>
      </c>
    </row>
    <row r="248" spans="1:10" hidden="1">
      <c r="A248" s="1024"/>
      <c r="B248" s="1005"/>
      <c r="C248" s="1031" t="s">
        <v>327</v>
      </c>
      <c r="D248" s="1025"/>
      <c r="E248" s="1043"/>
      <c r="F248" s="1027"/>
      <c r="G248" s="1043"/>
      <c r="H248" s="1029"/>
      <c r="I248" s="1030"/>
      <c r="J248" s="964" t="s">
        <v>2217</v>
      </c>
    </row>
    <row r="249" spans="1:10" ht="22.5" hidden="1">
      <c r="A249" s="1024"/>
      <c r="B249" s="1024"/>
      <c r="C249" s="1031" t="s">
        <v>701</v>
      </c>
      <c r="D249" s="1069">
        <v>1</v>
      </c>
      <c r="E249" s="1026" t="s">
        <v>325</v>
      </c>
      <c r="F249" s="1069">
        <v>1</v>
      </c>
      <c r="G249" s="1026" t="s">
        <v>115</v>
      </c>
      <c r="H249" s="1051">
        <f>'MINI SSR 19-20'!G122</f>
        <v>875</v>
      </c>
      <c r="I249" s="1070">
        <f>SUM(D249*H249/F249)</f>
        <v>875</v>
      </c>
      <c r="J249" s="964" t="s">
        <v>2217</v>
      </c>
    </row>
    <row r="250" spans="1:10" hidden="1">
      <c r="A250" s="1024"/>
      <c r="B250" s="1005"/>
      <c r="C250" s="1052" t="s">
        <v>702</v>
      </c>
      <c r="D250" s="1053">
        <v>1</v>
      </c>
      <c r="E250" s="1028" t="s">
        <v>325</v>
      </c>
      <c r="F250" s="1027">
        <v>1</v>
      </c>
      <c r="G250" s="1028" t="s">
        <v>115</v>
      </c>
      <c r="H250" s="1051">
        <f>'MINI SSR 19-20'!G123</f>
        <v>360</v>
      </c>
      <c r="I250" s="1030">
        <f>SUM(D250*H250/F250)</f>
        <v>360</v>
      </c>
      <c r="J250" s="964" t="s">
        <v>2217</v>
      </c>
    </row>
    <row r="251" spans="1:10" hidden="1">
      <c r="A251" s="1024"/>
      <c r="B251" s="1005"/>
      <c r="C251" s="1052" t="s">
        <v>703</v>
      </c>
      <c r="D251" s="1053">
        <v>4</v>
      </c>
      <c r="E251" s="1028" t="s">
        <v>325</v>
      </c>
      <c r="F251" s="1027">
        <v>1</v>
      </c>
      <c r="G251" s="1028" t="s">
        <v>115</v>
      </c>
      <c r="H251" s="1051">
        <f>'MINI SSR 19-20'!G124</f>
        <v>190</v>
      </c>
      <c r="I251" s="1030">
        <f>SUM(D251*H251/F251)</f>
        <v>760</v>
      </c>
      <c r="J251" s="964" t="s">
        <v>2217</v>
      </c>
    </row>
    <row r="252" spans="1:10" hidden="1">
      <c r="A252" s="1024"/>
      <c r="B252" s="1071"/>
      <c r="C252" s="1036" t="s">
        <v>388</v>
      </c>
      <c r="D252" s="1072"/>
      <c r="E252" s="1073"/>
      <c r="F252" s="1045"/>
      <c r="G252" s="1063"/>
      <c r="H252" s="1064"/>
      <c r="I252" s="1074">
        <f>SUM(I245:I251)</f>
        <v>2936</v>
      </c>
      <c r="J252" s="964" t="s">
        <v>2217</v>
      </c>
    </row>
    <row r="253" spans="1:10" ht="45" hidden="1">
      <c r="A253" s="1051"/>
      <c r="B253" s="1024">
        <v>18</v>
      </c>
      <c r="C253" s="1031" t="s">
        <v>941</v>
      </c>
      <c r="D253" s="1035"/>
      <c r="E253" s="1026"/>
      <c r="F253" s="1035"/>
      <c r="G253" s="1026"/>
      <c r="H253" s="1031"/>
      <c r="I253" s="1031"/>
      <c r="J253" s="964" t="s">
        <v>2217</v>
      </c>
    </row>
    <row r="254" spans="1:10" hidden="1">
      <c r="A254" s="1024"/>
      <c r="B254" s="1005"/>
      <c r="C254" s="1031" t="s">
        <v>327</v>
      </c>
      <c r="D254" s="1025"/>
      <c r="E254" s="1043"/>
      <c r="F254" s="1027"/>
      <c r="G254" s="1043"/>
      <c r="H254" s="1029"/>
      <c r="I254" s="1030"/>
      <c r="J254" s="964" t="s">
        <v>2217</v>
      </c>
    </row>
    <row r="255" spans="1:10" hidden="1">
      <c r="A255" s="1024"/>
      <c r="B255" s="1024"/>
      <c r="C255" s="1031" t="s">
        <v>942</v>
      </c>
      <c r="D255" s="1069">
        <v>2</v>
      </c>
      <c r="E255" s="1026" t="s">
        <v>325</v>
      </c>
      <c r="F255" s="1069">
        <v>1</v>
      </c>
      <c r="G255" s="1026" t="s">
        <v>115</v>
      </c>
      <c r="H255" s="1051">
        <f>'MINI SSR 19-20'!G125</f>
        <v>100</v>
      </c>
      <c r="I255" s="1070">
        <f>SUM(D255*H255/F255)</f>
        <v>200</v>
      </c>
      <c r="J255" s="964" t="s">
        <v>2217</v>
      </c>
    </row>
    <row r="256" spans="1:10" hidden="1">
      <c r="A256" s="1024"/>
      <c r="B256" s="1005"/>
      <c r="C256" s="1052" t="s">
        <v>943</v>
      </c>
      <c r="D256" s="1053">
        <v>4</v>
      </c>
      <c r="E256" s="1028" t="s">
        <v>277</v>
      </c>
      <c r="F256" s="1027">
        <v>1</v>
      </c>
      <c r="G256" s="1028" t="s">
        <v>115</v>
      </c>
      <c r="H256" s="1029">
        <f>'MINI SSR 19-20'!G126/100</f>
        <v>51</v>
      </c>
      <c r="I256" s="1030">
        <f>SUM(D256*H256/F256)</f>
        <v>204</v>
      </c>
      <c r="J256" s="964" t="s">
        <v>2217</v>
      </c>
    </row>
    <row r="257" spans="1:10" hidden="1">
      <c r="A257" s="1024"/>
      <c r="B257" s="1005"/>
      <c r="C257" s="1052" t="s">
        <v>944</v>
      </c>
      <c r="D257" s="1053">
        <v>1</v>
      </c>
      <c r="E257" s="1028" t="s">
        <v>325</v>
      </c>
      <c r="F257" s="1027">
        <v>1</v>
      </c>
      <c r="G257" s="1028" t="s">
        <v>115</v>
      </c>
      <c r="H257" s="1029">
        <f>'MINI SSR 19-20'!G127</f>
        <v>190</v>
      </c>
      <c r="I257" s="1030">
        <f>SUM(D257*H257/F257)</f>
        <v>190</v>
      </c>
      <c r="J257" s="964" t="s">
        <v>2217</v>
      </c>
    </row>
    <row r="258" spans="1:10" hidden="1">
      <c r="A258" s="1024"/>
      <c r="B258" s="1005"/>
      <c r="C258" s="1031" t="s">
        <v>409</v>
      </c>
      <c r="D258" s="1025"/>
      <c r="E258" s="1028"/>
      <c r="F258" s="1027"/>
      <c r="G258" s="1028"/>
      <c r="H258" s="1029"/>
      <c r="I258" s="1030"/>
      <c r="J258" s="964" t="s">
        <v>2217</v>
      </c>
    </row>
    <row r="259" spans="1:10" hidden="1">
      <c r="A259" s="1024"/>
      <c r="B259" s="1005"/>
      <c r="C259" s="1042" t="s">
        <v>699</v>
      </c>
      <c r="D259" s="1025">
        <v>0.2</v>
      </c>
      <c r="E259" s="1043" t="s">
        <v>27</v>
      </c>
      <c r="F259" s="1027">
        <v>1</v>
      </c>
      <c r="G259" s="1043" t="s">
        <v>27</v>
      </c>
      <c r="H259" s="1029">
        <f>'MINI SSR 19-20'!$H$16</f>
        <v>575</v>
      </c>
      <c r="I259" s="1030">
        <f>SUM(D259*H259/F259)</f>
        <v>115</v>
      </c>
      <c r="J259" s="964" t="s">
        <v>2217</v>
      </c>
    </row>
    <row r="260" spans="1:10" hidden="1">
      <c r="A260" s="1024"/>
      <c r="B260" s="1005"/>
      <c r="C260" s="1042" t="s">
        <v>219</v>
      </c>
      <c r="D260" s="1025">
        <v>0.2</v>
      </c>
      <c r="E260" s="1043" t="s">
        <v>27</v>
      </c>
      <c r="F260" s="1027">
        <v>1</v>
      </c>
      <c r="G260" s="1043" t="s">
        <v>27</v>
      </c>
      <c r="H260" s="1029">
        <f>'MINI SSR 19-20'!$H$17</f>
        <v>471</v>
      </c>
      <c r="I260" s="1030">
        <f>SUM(D260*H260/F260)</f>
        <v>94.2</v>
      </c>
      <c r="J260" s="964" t="s">
        <v>2217</v>
      </c>
    </row>
    <row r="261" spans="1:10" hidden="1">
      <c r="A261" s="1024"/>
      <c r="B261" s="1005"/>
      <c r="C261" s="1042" t="s">
        <v>700</v>
      </c>
      <c r="D261" s="1025">
        <v>0.2</v>
      </c>
      <c r="E261" s="1043" t="s">
        <v>27</v>
      </c>
      <c r="F261" s="1027">
        <v>1</v>
      </c>
      <c r="G261" s="1043" t="s">
        <v>27</v>
      </c>
      <c r="H261" s="1029">
        <f>'MINI SSR 19-20'!$H$18</f>
        <v>418</v>
      </c>
      <c r="I261" s="1041">
        <f>SUM(D261*H261/F261)</f>
        <v>83.600000000000009</v>
      </c>
      <c r="J261" s="964" t="s">
        <v>2217</v>
      </c>
    </row>
    <row r="262" spans="1:10" hidden="1">
      <c r="A262" s="1024"/>
      <c r="B262" s="1071"/>
      <c r="C262" s="1036" t="s">
        <v>388</v>
      </c>
      <c r="D262" s="1072"/>
      <c r="E262" s="1073"/>
      <c r="F262" s="1045"/>
      <c r="G262" s="1063"/>
      <c r="H262" s="1064"/>
      <c r="I262" s="1074">
        <f>SUM(I255:I261)</f>
        <v>886.80000000000007</v>
      </c>
      <c r="J262" s="964" t="s">
        <v>2217</v>
      </c>
    </row>
    <row r="263" spans="1:10" ht="78.75" hidden="1">
      <c r="A263" s="1051" t="s">
        <v>728</v>
      </c>
      <c r="B263" s="1005">
        <v>19</v>
      </c>
      <c r="C263" s="1031" t="s">
        <v>413</v>
      </c>
      <c r="D263" s="1035"/>
      <c r="E263" s="1026"/>
      <c r="F263" s="1035"/>
      <c r="G263" s="1026"/>
      <c r="H263" s="1031"/>
      <c r="I263" s="1031"/>
      <c r="J263" s="964" t="s">
        <v>2217</v>
      </c>
    </row>
    <row r="264" spans="1:10" hidden="1">
      <c r="A264" s="1005"/>
      <c r="B264" s="1005"/>
      <c r="C264" s="1066" t="s">
        <v>414</v>
      </c>
      <c r="D264" s="1075"/>
      <c r="E264" s="1076"/>
      <c r="F264" s="1027"/>
      <c r="G264" s="1076"/>
      <c r="H264" s="1029"/>
      <c r="I264" s="1030"/>
      <c r="J264" s="964" t="s">
        <v>2217</v>
      </c>
    </row>
    <row r="265" spans="1:10" hidden="1">
      <c r="A265" s="1005"/>
      <c r="B265" s="1005"/>
      <c r="C265" s="1042" t="s">
        <v>1657</v>
      </c>
      <c r="D265" s="1025">
        <v>0.5</v>
      </c>
      <c r="E265" s="1028" t="s">
        <v>325</v>
      </c>
      <c r="F265" s="1027">
        <v>1</v>
      </c>
      <c r="G265" s="1028" t="s">
        <v>115</v>
      </c>
      <c r="H265" s="1029">
        <f>'MINI SSR 19-20'!$H$17</f>
        <v>471</v>
      </c>
      <c r="I265" s="1030">
        <f>SUM(D265*H265/F265)</f>
        <v>235.5</v>
      </c>
      <c r="J265" s="964" t="s">
        <v>2217</v>
      </c>
    </row>
    <row r="266" spans="1:10" hidden="1">
      <c r="A266" s="1005"/>
      <c r="B266" s="1005"/>
      <c r="C266" s="1042" t="s">
        <v>700</v>
      </c>
      <c r="D266" s="1025">
        <v>0.5</v>
      </c>
      <c r="E266" s="1043" t="s">
        <v>27</v>
      </c>
      <c r="F266" s="1027">
        <v>1</v>
      </c>
      <c r="G266" s="1043" t="s">
        <v>27</v>
      </c>
      <c r="H266" s="1029">
        <f>'MINI SSR 19-20'!$H$18</f>
        <v>418</v>
      </c>
      <c r="I266" s="1041">
        <f>SUM(D266*H266/F266)</f>
        <v>209</v>
      </c>
      <c r="J266" s="964" t="s">
        <v>2217</v>
      </c>
    </row>
    <row r="267" spans="1:10" hidden="1">
      <c r="A267" s="1005"/>
      <c r="B267" s="1005"/>
      <c r="C267" s="1031" t="s">
        <v>106</v>
      </c>
      <c r="D267" s="1025"/>
      <c r="E267" s="1028"/>
      <c r="F267" s="1027"/>
      <c r="G267" s="1028"/>
      <c r="H267" s="1029"/>
      <c r="I267" s="1030"/>
      <c r="J267" s="964" t="s">
        <v>2217</v>
      </c>
    </row>
    <row r="268" spans="1:10" hidden="1">
      <c r="A268" s="1005"/>
      <c r="B268" s="1005"/>
      <c r="C268" s="1042" t="s">
        <v>729</v>
      </c>
      <c r="D268" s="1025">
        <v>2.5</v>
      </c>
      <c r="E268" s="1076" t="s">
        <v>385</v>
      </c>
      <c r="F268" s="1027">
        <v>1</v>
      </c>
      <c r="G268" s="1076" t="s">
        <v>385</v>
      </c>
      <c r="H268" s="1029">
        <f>'MINI SSR 19-20'!G128</f>
        <v>350</v>
      </c>
      <c r="I268" s="1030">
        <f>SUM(D268*H268/F268)</f>
        <v>875</v>
      </c>
      <c r="J268" s="964" t="s">
        <v>2217</v>
      </c>
    </row>
    <row r="269" spans="1:10" hidden="1">
      <c r="A269" s="1005"/>
      <c r="B269" s="1005"/>
      <c r="C269" s="1031" t="s">
        <v>730</v>
      </c>
      <c r="D269" s="1025">
        <v>0.24</v>
      </c>
      <c r="E269" s="1076" t="s">
        <v>141</v>
      </c>
      <c r="F269" s="1027">
        <v>1</v>
      </c>
      <c r="G269" s="1076" t="s">
        <v>4</v>
      </c>
      <c r="H269" s="1029">
        <f>'MINI SSR 19-20'!G129</f>
        <v>65</v>
      </c>
      <c r="I269" s="1030">
        <f>SUM(D269*H269/F269)</f>
        <v>15.6</v>
      </c>
      <c r="J269" s="964" t="s">
        <v>2217</v>
      </c>
    </row>
    <row r="270" spans="1:10" hidden="1">
      <c r="A270" s="1005"/>
      <c r="B270" s="1005"/>
      <c r="C270" s="1031" t="s">
        <v>731</v>
      </c>
      <c r="D270" s="1025">
        <v>0.83</v>
      </c>
      <c r="E270" s="1076" t="s">
        <v>141</v>
      </c>
      <c r="F270" s="1027">
        <v>1</v>
      </c>
      <c r="G270" s="1076" t="s">
        <v>90</v>
      </c>
      <c r="H270" s="1029">
        <f>'MINI SSR 19-20'!G130</f>
        <v>65</v>
      </c>
      <c r="I270" s="1030">
        <f>SUM(D270*H270/F270)</f>
        <v>53.949999999999996</v>
      </c>
      <c r="J270" s="964" t="s">
        <v>2217</v>
      </c>
    </row>
    <row r="271" spans="1:10" hidden="1">
      <c r="A271" s="1005"/>
      <c r="B271" s="1005"/>
      <c r="C271" s="1042" t="s">
        <v>732</v>
      </c>
      <c r="D271" s="1025">
        <v>16</v>
      </c>
      <c r="E271" s="1076" t="s">
        <v>325</v>
      </c>
      <c r="F271" s="1027">
        <v>1</v>
      </c>
      <c r="G271" s="1028" t="s">
        <v>115</v>
      </c>
      <c r="H271" s="1029">
        <f>'MINI SSR 19-20'!G131</f>
        <v>6</v>
      </c>
      <c r="I271" s="1030">
        <f t="shared" ref="I271:I278" si="2">SUM(D271*H271/F271)</f>
        <v>96</v>
      </c>
      <c r="J271" s="964" t="s">
        <v>2217</v>
      </c>
    </row>
    <row r="272" spans="1:10" hidden="1">
      <c r="A272" s="1005"/>
      <c r="B272" s="1005"/>
      <c r="C272" s="1042" t="s">
        <v>733</v>
      </c>
      <c r="D272" s="1025">
        <v>2</v>
      </c>
      <c r="E272" s="1076" t="s">
        <v>415</v>
      </c>
      <c r="F272" s="1027">
        <v>1</v>
      </c>
      <c r="G272" s="1076" t="s">
        <v>416</v>
      </c>
      <c r="H272" s="1029">
        <f>'MINI SSR 19-20'!G132</f>
        <v>12</v>
      </c>
      <c r="I272" s="1030">
        <f t="shared" si="2"/>
        <v>24</v>
      </c>
      <c r="J272" s="964" t="s">
        <v>2217</v>
      </c>
    </row>
    <row r="273" spans="1:10" hidden="1">
      <c r="A273" s="1005"/>
      <c r="B273" s="1005"/>
      <c r="C273" s="1042" t="s">
        <v>734</v>
      </c>
      <c r="D273" s="1025">
        <v>1</v>
      </c>
      <c r="E273" s="1028" t="s">
        <v>115</v>
      </c>
      <c r="F273" s="1027">
        <v>1</v>
      </c>
      <c r="G273" s="1028" t="s">
        <v>115</v>
      </c>
      <c r="H273" s="1029">
        <f>'MINI SSR 19-20'!G133</f>
        <v>250</v>
      </c>
      <c r="I273" s="1030">
        <f t="shared" si="2"/>
        <v>250</v>
      </c>
      <c r="J273" s="964" t="s">
        <v>2217</v>
      </c>
    </row>
    <row r="274" spans="1:10" hidden="1">
      <c r="A274" s="1005"/>
      <c r="B274" s="1005"/>
      <c r="C274" s="1042" t="s">
        <v>735</v>
      </c>
      <c r="D274" s="1025">
        <v>1</v>
      </c>
      <c r="E274" s="1076" t="s">
        <v>115</v>
      </c>
      <c r="F274" s="1027">
        <v>1</v>
      </c>
      <c r="G274" s="1076" t="s">
        <v>115</v>
      </c>
      <c r="H274" s="1029">
        <f>'MINI SSR 19-20'!G134</f>
        <v>130</v>
      </c>
      <c r="I274" s="1030">
        <f t="shared" si="2"/>
        <v>130</v>
      </c>
      <c r="J274" s="964" t="s">
        <v>2217</v>
      </c>
    </row>
    <row r="275" spans="1:10" hidden="1">
      <c r="A275" s="1005"/>
      <c r="B275" s="1005"/>
      <c r="C275" s="1042" t="s">
        <v>736</v>
      </c>
      <c r="D275" s="1025">
        <v>40</v>
      </c>
      <c r="E275" s="1076" t="s">
        <v>4</v>
      </c>
      <c r="F275" s="1027">
        <v>1</v>
      </c>
      <c r="G275" s="1076" t="s">
        <v>4</v>
      </c>
      <c r="H275" s="1029">
        <f>'MINI SSR 19-20'!G135</f>
        <v>20</v>
      </c>
      <c r="I275" s="1030">
        <f t="shared" si="2"/>
        <v>800</v>
      </c>
      <c r="J275" s="964" t="s">
        <v>2217</v>
      </c>
    </row>
    <row r="276" spans="1:10" hidden="1">
      <c r="A276" s="1005"/>
      <c r="B276" s="1005"/>
      <c r="C276" s="1042" t="s">
        <v>737</v>
      </c>
      <c r="D276" s="1025">
        <v>20</v>
      </c>
      <c r="E276" s="1076" t="s">
        <v>4</v>
      </c>
      <c r="F276" s="1027">
        <v>1</v>
      </c>
      <c r="G276" s="1076" t="s">
        <v>4</v>
      </c>
      <c r="H276" s="1029">
        <f>'MINI SSR 19-20'!G136</f>
        <v>15</v>
      </c>
      <c r="I276" s="1030">
        <f t="shared" si="2"/>
        <v>300</v>
      </c>
      <c r="J276" s="964" t="s">
        <v>2217</v>
      </c>
    </row>
    <row r="277" spans="1:10" ht="22.5" hidden="1">
      <c r="A277" s="1005"/>
      <c r="B277" s="1005"/>
      <c r="C277" s="1031" t="s">
        <v>738</v>
      </c>
      <c r="D277" s="1025">
        <v>0.65</v>
      </c>
      <c r="E277" s="1028" t="s">
        <v>35</v>
      </c>
      <c r="F277" s="1027">
        <v>1</v>
      </c>
      <c r="G277" s="1028" t="s">
        <v>35</v>
      </c>
      <c r="H277" s="1029">
        <f>'MINI SSR 19-20'!G137</f>
        <v>250</v>
      </c>
      <c r="I277" s="1030">
        <f t="shared" si="2"/>
        <v>162.5</v>
      </c>
      <c r="J277" s="964" t="s">
        <v>2217</v>
      </c>
    </row>
    <row r="278" spans="1:10" ht="22.5" hidden="1">
      <c r="A278" s="1005"/>
      <c r="B278" s="1005"/>
      <c r="C278" s="1031" t="s">
        <v>739</v>
      </c>
      <c r="D278" s="1025">
        <v>0.65</v>
      </c>
      <c r="E278" s="1028" t="s">
        <v>35</v>
      </c>
      <c r="F278" s="1027">
        <v>1</v>
      </c>
      <c r="G278" s="1028" t="s">
        <v>35</v>
      </c>
      <c r="H278" s="1029">
        <f>'MINI SSR 19-20'!G138</f>
        <v>250</v>
      </c>
      <c r="I278" s="1030">
        <f t="shared" si="2"/>
        <v>162.5</v>
      </c>
      <c r="J278" s="964" t="s">
        <v>2217</v>
      </c>
    </row>
    <row r="279" spans="1:10" ht="22.5" hidden="1">
      <c r="A279" s="1005"/>
      <c r="B279" s="1005"/>
      <c r="C279" s="1031" t="s">
        <v>417</v>
      </c>
      <c r="D279" s="1077">
        <v>0.25</v>
      </c>
      <c r="E279" s="1076"/>
      <c r="F279" s="1027"/>
      <c r="G279" s="1076"/>
      <c r="H279" s="1029">
        <f>I277+I278</f>
        <v>325</v>
      </c>
      <c r="I279" s="1030">
        <f>SUM(H279*D279)</f>
        <v>81.25</v>
      </c>
      <c r="J279" s="964" t="s">
        <v>2217</v>
      </c>
    </row>
    <row r="280" spans="1:10" hidden="1">
      <c r="A280" s="1005"/>
      <c r="B280" s="1005"/>
      <c r="C280" s="1031" t="s">
        <v>418</v>
      </c>
      <c r="D280" s="1025"/>
      <c r="E280" s="1028"/>
      <c r="F280" s="1027"/>
      <c r="G280" s="1028"/>
      <c r="H280" s="1029"/>
      <c r="I280" s="1030">
        <v>9.52</v>
      </c>
      <c r="J280" s="964" t="s">
        <v>2217</v>
      </c>
    </row>
    <row r="281" spans="1:10" hidden="1">
      <c r="A281" s="1005"/>
      <c r="B281" s="1005"/>
      <c r="C281" s="1031" t="s">
        <v>405</v>
      </c>
      <c r="D281" s="1025"/>
      <c r="E281" s="1028"/>
      <c r="F281" s="1027"/>
      <c r="G281" s="1028"/>
      <c r="H281" s="1029"/>
      <c r="I281" s="1030">
        <f>SUM(I265:I280)</f>
        <v>3404.82</v>
      </c>
      <c r="J281" s="964" t="s">
        <v>2217</v>
      </c>
    </row>
    <row r="282" spans="1:10" ht="106.5" hidden="1" customHeight="1">
      <c r="A282" s="1051"/>
      <c r="B282" s="1024">
        <v>28</v>
      </c>
      <c r="C282" s="1031" t="s">
        <v>2252</v>
      </c>
      <c r="D282" s="1035"/>
      <c r="E282" s="1026"/>
      <c r="F282" s="1035"/>
      <c r="G282" s="1026"/>
      <c r="H282" s="1031"/>
      <c r="I282" s="1031"/>
      <c r="J282" s="964" t="s">
        <v>2217</v>
      </c>
    </row>
    <row r="283" spans="1:10" hidden="1">
      <c r="A283" s="1024"/>
      <c r="B283" s="1005"/>
      <c r="C283" s="1042" t="s">
        <v>2089</v>
      </c>
      <c r="D283" s="1025">
        <v>1</v>
      </c>
      <c r="E283" s="1043" t="s">
        <v>115</v>
      </c>
      <c r="F283" s="1027">
        <v>1</v>
      </c>
      <c r="G283" s="1043" t="s">
        <v>115</v>
      </c>
      <c r="H283" s="1029">
        <f>'MINI SSR 19-20'!G139</f>
        <v>1980</v>
      </c>
      <c r="I283" s="1030">
        <f>SUM(D283*H283/F283)</f>
        <v>1980</v>
      </c>
      <c r="J283" s="964" t="s">
        <v>2217</v>
      </c>
    </row>
    <row r="284" spans="1:10" hidden="1">
      <c r="A284" s="1024"/>
      <c r="B284" s="1005"/>
      <c r="C284" s="1031" t="s">
        <v>405</v>
      </c>
      <c r="D284" s="1025"/>
      <c r="E284" s="1026"/>
      <c r="F284" s="1027"/>
      <c r="G284" s="1028"/>
      <c r="H284" s="1029"/>
      <c r="I284" s="1030">
        <f>SUM(I283:I283)</f>
        <v>1980</v>
      </c>
      <c r="J284" s="964" t="s">
        <v>2217</v>
      </c>
    </row>
    <row r="285" spans="1:10" ht="106.5" hidden="1" customHeight="1">
      <c r="A285" s="1051"/>
      <c r="B285" s="1024">
        <v>28</v>
      </c>
      <c r="C285" s="1031" t="s">
        <v>2253</v>
      </c>
      <c r="D285" s="1035"/>
      <c r="E285" s="1026"/>
      <c r="F285" s="1035"/>
      <c r="G285" s="1026"/>
      <c r="H285" s="1031"/>
      <c r="I285" s="1031"/>
      <c r="J285" s="964" t="s">
        <v>2217</v>
      </c>
    </row>
    <row r="286" spans="1:10" hidden="1">
      <c r="A286" s="1024"/>
      <c r="B286" s="1005"/>
      <c r="C286" s="1042" t="s">
        <v>2260</v>
      </c>
      <c r="D286" s="1025">
        <v>1</v>
      </c>
      <c r="E286" s="1043" t="s">
        <v>115</v>
      </c>
      <c r="F286" s="1027">
        <v>1</v>
      </c>
      <c r="G286" s="1043" t="s">
        <v>115</v>
      </c>
      <c r="H286" s="1029">
        <f>'MINI SSR 19-20'!G140</f>
        <v>5900</v>
      </c>
      <c r="I286" s="1030">
        <f>SUM(D286*H286/F286)</f>
        <v>5900</v>
      </c>
      <c r="J286" s="964" t="s">
        <v>2217</v>
      </c>
    </row>
    <row r="287" spans="1:10" hidden="1">
      <c r="A287" s="1024"/>
      <c r="B287" s="1005"/>
      <c r="C287" s="1031" t="s">
        <v>405</v>
      </c>
      <c r="D287" s="1025"/>
      <c r="E287" s="1026"/>
      <c r="F287" s="1027"/>
      <c r="G287" s="1028"/>
      <c r="H287" s="1029"/>
      <c r="I287" s="1030">
        <f>SUM(I286:I286)</f>
        <v>5900</v>
      </c>
      <c r="J287" s="964" t="s">
        <v>2217</v>
      </c>
    </row>
    <row r="288" spans="1:10" hidden="1">
      <c r="A288" s="1024"/>
      <c r="B288" s="1005"/>
      <c r="C288" s="1005" t="s">
        <v>2016</v>
      </c>
      <c r="D288" s="1025"/>
      <c r="E288" s="1026"/>
      <c r="F288" s="1027"/>
      <c r="G288" s="1028"/>
      <c r="H288" s="1029"/>
      <c r="I288" s="1030"/>
      <c r="J288" s="964" t="s">
        <v>2299</v>
      </c>
    </row>
    <row r="289" spans="1:10" ht="33.75" hidden="1">
      <c r="A289" s="1029" t="s">
        <v>1495</v>
      </c>
      <c r="B289" s="1005">
        <v>1</v>
      </c>
      <c r="C289" s="1031" t="s">
        <v>1504</v>
      </c>
      <c r="D289" s="1032"/>
      <c r="E289" s="1033"/>
      <c r="F289" s="1032"/>
      <c r="G289" s="1033"/>
      <c r="H289" s="1034"/>
      <c r="I289" s="1034"/>
      <c r="J289" s="964" t="s">
        <v>2299</v>
      </c>
    </row>
    <row r="290" spans="1:10" hidden="1">
      <c r="A290" s="1024"/>
      <c r="B290" s="1005"/>
      <c r="C290" s="1031" t="s">
        <v>1496</v>
      </c>
      <c r="D290" s="1035"/>
      <c r="E290" s="1026"/>
      <c r="F290" s="1035"/>
      <c r="G290" s="1026"/>
      <c r="H290" s="1031"/>
      <c r="I290" s="1031"/>
      <c r="J290" s="964" t="s">
        <v>2299</v>
      </c>
    </row>
    <row r="291" spans="1:10" hidden="1">
      <c r="A291" s="1024"/>
      <c r="B291" s="1005"/>
      <c r="C291" s="1036" t="s">
        <v>384</v>
      </c>
      <c r="D291" s="1037"/>
      <c r="E291" s="1038"/>
      <c r="F291" s="1039"/>
      <c r="G291" s="1040"/>
      <c r="H291" s="1029"/>
      <c r="I291" s="1041"/>
      <c r="J291" s="964" t="s">
        <v>2299</v>
      </c>
    </row>
    <row r="292" spans="1:10" hidden="1">
      <c r="A292" s="1024"/>
      <c r="B292" s="1005"/>
      <c r="C292" s="1042" t="s">
        <v>156</v>
      </c>
      <c r="D292" s="1025">
        <v>2</v>
      </c>
      <c r="E292" s="1043" t="s">
        <v>27</v>
      </c>
      <c r="F292" s="1027">
        <v>1</v>
      </c>
      <c r="G292" s="1043" t="s">
        <v>27</v>
      </c>
      <c r="H292" s="1029">
        <f>'MINI SSR 2020-21'!$H$16</f>
        <v>610</v>
      </c>
      <c r="I292" s="1041">
        <f>SUM(D292*H292/F292)</f>
        <v>1220</v>
      </c>
      <c r="J292" s="964" t="s">
        <v>2299</v>
      </c>
    </row>
    <row r="293" spans="1:10" hidden="1">
      <c r="A293" s="1024"/>
      <c r="B293" s="1005"/>
      <c r="C293" s="1044" t="s">
        <v>1499</v>
      </c>
      <c r="D293" s="1025">
        <v>2</v>
      </c>
      <c r="E293" s="1043" t="s">
        <v>27</v>
      </c>
      <c r="F293" s="1027">
        <v>1</v>
      </c>
      <c r="G293" s="1043" t="s">
        <v>27</v>
      </c>
      <c r="H293" s="1029">
        <f>'MINI SSR 2020-21'!$H$17</f>
        <v>500</v>
      </c>
      <c r="I293" s="1041">
        <f>SUM(D293*H293/F293)</f>
        <v>1000</v>
      </c>
      <c r="J293" s="964" t="s">
        <v>2299</v>
      </c>
    </row>
    <row r="294" spans="1:10" hidden="1">
      <c r="A294" s="1024"/>
      <c r="B294" s="1005"/>
      <c r="C294" s="1042" t="s">
        <v>1500</v>
      </c>
      <c r="D294" s="1025">
        <v>2</v>
      </c>
      <c r="E294" s="1043" t="s">
        <v>27</v>
      </c>
      <c r="F294" s="1027">
        <v>1</v>
      </c>
      <c r="G294" s="1043" t="s">
        <v>27</v>
      </c>
      <c r="H294" s="1029">
        <f>'MINI SSR 2020-21'!$H$18</f>
        <v>445</v>
      </c>
      <c r="I294" s="1041">
        <f>SUM(D294*H294/F294)</f>
        <v>890</v>
      </c>
      <c r="J294" s="964" t="s">
        <v>2299</v>
      </c>
    </row>
    <row r="295" spans="1:10" hidden="1">
      <c r="A295" s="1024"/>
      <c r="B295" s="1005"/>
      <c r="C295" s="1036" t="s">
        <v>327</v>
      </c>
      <c r="D295" s="1025"/>
      <c r="E295" s="1028"/>
      <c r="F295" s="1045"/>
      <c r="G295" s="1028"/>
      <c r="H295" s="1029"/>
      <c r="I295" s="1046"/>
      <c r="J295" s="964" t="s">
        <v>2299</v>
      </c>
    </row>
    <row r="296" spans="1:10" hidden="1">
      <c r="A296" s="1024" t="s">
        <v>3166</v>
      </c>
      <c r="B296" s="1005"/>
      <c r="C296" s="1031" t="s">
        <v>1497</v>
      </c>
      <c r="D296" s="1025">
        <v>12</v>
      </c>
      <c r="E296" s="1043" t="s">
        <v>325</v>
      </c>
      <c r="F296" s="1027">
        <v>1</v>
      </c>
      <c r="G296" s="1043" t="s">
        <v>115</v>
      </c>
      <c r="H296" s="1029">
        <f>'MINI SSR 2020-21'!C99</f>
        <v>65</v>
      </c>
      <c r="I296" s="1041">
        <f>SUM(D296*H296/F296)</f>
        <v>780</v>
      </c>
      <c r="J296" s="964" t="s">
        <v>2299</v>
      </c>
    </row>
    <row r="297" spans="1:10" hidden="1">
      <c r="A297" s="1024" t="s">
        <v>1502</v>
      </c>
      <c r="B297" s="1005"/>
      <c r="C297" s="1031" t="s">
        <v>1498</v>
      </c>
      <c r="D297" s="1025">
        <v>12</v>
      </c>
      <c r="E297" s="1043" t="s">
        <v>325</v>
      </c>
      <c r="F297" s="1027">
        <v>1</v>
      </c>
      <c r="G297" s="1043" t="s">
        <v>115</v>
      </c>
      <c r="H297" s="1029">
        <f>'MINI SSR 2020-21'!C101</f>
        <v>8</v>
      </c>
      <c r="I297" s="1041">
        <f>SUM(D297*H297/F297)</f>
        <v>96</v>
      </c>
      <c r="J297" s="964" t="s">
        <v>2299</v>
      </c>
    </row>
    <row r="298" spans="1:10" hidden="1">
      <c r="A298" s="1024" t="s">
        <v>1503</v>
      </c>
      <c r="B298" s="1005"/>
      <c r="C298" s="1031" t="s">
        <v>1507</v>
      </c>
      <c r="D298" s="1025">
        <v>100</v>
      </c>
      <c r="E298" s="1043" t="s">
        <v>385</v>
      </c>
      <c r="F298" s="1027">
        <v>1</v>
      </c>
      <c r="G298" s="1043" t="s">
        <v>385</v>
      </c>
      <c r="H298" s="1029">
        <f>'MINI SSR 2020-21'!C102</f>
        <v>25</v>
      </c>
      <c r="I298" s="1041">
        <f>SUM(D298*H298/F298)</f>
        <v>2500</v>
      </c>
      <c r="J298" s="964" t="s">
        <v>2299</v>
      </c>
    </row>
    <row r="299" spans="1:10" hidden="1">
      <c r="A299" s="1047"/>
      <c r="B299" s="1048"/>
      <c r="C299" s="1034" t="s">
        <v>386</v>
      </c>
      <c r="D299" s="1025"/>
      <c r="E299" s="1043"/>
      <c r="F299" s="1027"/>
      <c r="G299" s="1043"/>
      <c r="H299" s="1029"/>
      <c r="I299" s="1046">
        <f>SUM(I292:I298)</f>
        <v>6486</v>
      </c>
      <c r="J299" s="964" t="s">
        <v>2299</v>
      </c>
    </row>
    <row r="300" spans="1:10" hidden="1">
      <c r="A300" s="1047"/>
      <c r="B300" s="1048"/>
      <c r="C300" s="1034" t="s">
        <v>387</v>
      </c>
      <c r="D300" s="1049"/>
      <c r="E300" s="1043"/>
      <c r="F300" s="1027"/>
      <c r="G300" s="1043"/>
      <c r="H300" s="1050"/>
      <c r="I300" s="1046">
        <f>ROUND(I299/100,2)</f>
        <v>64.86</v>
      </c>
      <c r="J300" s="964" t="s">
        <v>2299</v>
      </c>
    </row>
    <row r="301" spans="1:10" ht="33.75" hidden="1">
      <c r="A301" s="1029" t="s">
        <v>1655</v>
      </c>
      <c r="B301" s="1005">
        <v>2</v>
      </c>
      <c r="C301" s="1031" t="s">
        <v>1508</v>
      </c>
      <c r="D301" s="1032"/>
      <c r="E301" s="1033"/>
      <c r="F301" s="1032"/>
      <c r="G301" s="1033"/>
      <c r="H301" s="1034"/>
      <c r="I301" s="1034"/>
      <c r="J301" s="964" t="s">
        <v>2299</v>
      </c>
    </row>
    <row r="302" spans="1:10" hidden="1">
      <c r="A302" s="1024"/>
      <c r="B302" s="1005"/>
      <c r="C302" s="1031" t="s">
        <v>1496</v>
      </c>
      <c r="D302" s="1035"/>
      <c r="E302" s="1026"/>
      <c r="F302" s="1035"/>
      <c r="G302" s="1026"/>
      <c r="H302" s="1031"/>
      <c r="I302" s="1031"/>
      <c r="J302" s="964" t="s">
        <v>2299</v>
      </c>
    </row>
    <row r="303" spans="1:10" hidden="1">
      <c r="A303" s="1024"/>
      <c r="B303" s="1005"/>
      <c r="C303" s="1036" t="s">
        <v>384</v>
      </c>
      <c r="D303" s="1037"/>
      <c r="E303" s="1038"/>
      <c r="F303" s="1039"/>
      <c r="G303" s="1040"/>
      <c r="H303" s="1029"/>
      <c r="I303" s="1041"/>
      <c r="J303" s="964" t="s">
        <v>2299</v>
      </c>
    </row>
    <row r="304" spans="1:10" hidden="1">
      <c r="A304" s="1024"/>
      <c r="B304" s="1005"/>
      <c r="C304" s="1042" t="s">
        <v>156</v>
      </c>
      <c r="D304" s="1025">
        <v>2</v>
      </c>
      <c r="E304" s="1043" t="s">
        <v>27</v>
      </c>
      <c r="F304" s="1027">
        <v>1</v>
      </c>
      <c r="G304" s="1043" t="s">
        <v>27</v>
      </c>
      <c r="H304" s="1029">
        <f>'MINI SSR 2020-21'!$H$16</f>
        <v>610</v>
      </c>
      <c r="I304" s="1041">
        <f>SUM(D304*H304/F304)</f>
        <v>1220</v>
      </c>
      <c r="J304" s="964" t="s">
        <v>2299</v>
      </c>
    </row>
    <row r="305" spans="1:10" hidden="1">
      <c r="A305" s="1024"/>
      <c r="B305" s="1005"/>
      <c r="C305" s="1044" t="s">
        <v>1499</v>
      </c>
      <c r="D305" s="1025">
        <v>2</v>
      </c>
      <c r="E305" s="1043" t="s">
        <v>27</v>
      </c>
      <c r="F305" s="1027">
        <v>1</v>
      </c>
      <c r="G305" s="1043" t="s">
        <v>27</v>
      </c>
      <c r="H305" s="1029">
        <f>'MINI SSR 2020-21'!$H$17</f>
        <v>500</v>
      </c>
      <c r="I305" s="1041">
        <f>SUM(D305*H305/F305)</f>
        <v>1000</v>
      </c>
      <c r="J305" s="964" t="s">
        <v>2299</v>
      </c>
    </row>
    <row r="306" spans="1:10" hidden="1">
      <c r="A306" s="1024"/>
      <c r="B306" s="1005"/>
      <c r="C306" s="1042" t="s">
        <v>1500</v>
      </c>
      <c r="D306" s="1025">
        <v>2</v>
      </c>
      <c r="E306" s="1043" t="s">
        <v>27</v>
      </c>
      <c r="F306" s="1027">
        <v>1</v>
      </c>
      <c r="G306" s="1043" t="s">
        <v>27</v>
      </c>
      <c r="H306" s="1029">
        <f>'MINI SSR 2020-21'!$H$18</f>
        <v>445</v>
      </c>
      <c r="I306" s="1041">
        <f>SUM(D306*H306/F306)</f>
        <v>890</v>
      </c>
      <c r="J306" s="964" t="s">
        <v>2299</v>
      </c>
    </row>
    <row r="307" spans="1:10" hidden="1">
      <c r="A307" s="1024"/>
      <c r="B307" s="1005"/>
      <c r="C307" s="1042" t="s">
        <v>1506</v>
      </c>
      <c r="D307" s="1025">
        <v>2</v>
      </c>
      <c r="E307" s="1043" t="s">
        <v>27</v>
      </c>
      <c r="F307" s="1027">
        <v>1</v>
      </c>
      <c r="G307" s="1043" t="s">
        <v>27</v>
      </c>
      <c r="H307" s="1029">
        <f>'MINI SSR 2020-21'!$H$3</f>
        <v>550</v>
      </c>
      <c r="I307" s="1041">
        <f>SUM(D307*H307/F307)</f>
        <v>1100</v>
      </c>
      <c r="J307" s="964" t="s">
        <v>2299</v>
      </c>
    </row>
    <row r="308" spans="1:10" hidden="1">
      <c r="A308" s="1024"/>
      <c r="B308" s="1005"/>
      <c r="C308" s="1036" t="s">
        <v>327</v>
      </c>
      <c r="D308" s="1025"/>
      <c r="E308" s="1028"/>
      <c r="F308" s="1045"/>
      <c r="G308" s="1028"/>
      <c r="H308" s="1029"/>
      <c r="I308" s="1046"/>
      <c r="J308" s="964" t="s">
        <v>2299</v>
      </c>
    </row>
    <row r="309" spans="1:10" hidden="1">
      <c r="A309" s="1024" t="s">
        <v>1503</v>
      </c>
      <c r="B309" s="1005"/>
      <c r="C309" s="1056" t="s">
        <v>1507</v>
      </c>
      <c r="D309" s="1025">
        <v>100</v>
      </c>
      <c r="E309" s="1043" t="s">
        <v>325</v>
      </c>
      <c r="F309" s="1027">
        <v>1</v>
      </c>
      <c r="G309" s="1043" t="s">
        <v>115</v>
      </c>
      <c r="H309" s="1029">
        <f>'MINI SSR 2020-21'!C102</f>
        <v>25</v>
      </c>
      <c r="I309" s="1041">
        <f>SUM(D309*H309/F309)</f>
        <v>2500</v>
      </c>
      <c r="J309" s="964" t="s">
        <v>2299</v>
      </c>
    </row>
    <row r="310" spans="1:10" hidden="1">
      <c r="A310" s="1024" t="s">
        <v>1509</v>
      </c>
      <c r="B310" s="1005"/>
      <c r="C310" s="1057" t="s">
        <v>1505</v>
      </c>
      <c r="D310" s="1025">
        <v>200</v>
      </c>
      <c r="E310" s="1043" t="s">
        <v>325</v>
      </c>
      <c r="F310" s="1027">
        <v>100</v>
      </c>
      <c r="G310" s="1043" t="s">
        <v>115</v>
      </c>
      <c r="H310" s="1029">
        <f>'MINI SSR 2020-21'!C103</f>
        <v>30</v>
      </c>
      <c r="I310" s="1041">
        <f>SUM(D310*H310/F310)</f>
        <v>60</v>
      </c>
      <c r="J310" s="964" t="s">
        <v>2299</v>
      </c>
    </row>
    <row r="311" spans="1:10" hidden="1">
      <c r="A311" s="1024" t="s">
        <v>1501</v>
      </c>
      <c r="B311" s="1005"/>
      <c r="C311" s="1031" t="s">
        <v>1497</v>
      </c>
      <c r="D311" s="1025">
        <v>12</v>
      </c>
      <c r="E311" s="1043" t="s">
        <v>325</v>
      </c>
      <c r="F311" s="1027">
        <v>1</v>
      </c>
      <c r="G311" s="1043" t="s">
        <v>115</v>
      </c>
      <c r="H311" s="1029">
        <f>'MINI SSR 2020-21'!C100</f>
        <v>20</v>
      </c>
      <c r="I311" s="1041">
        <f>SUM(D311*H311/F311)</f>
        <v>240</v>
      </c>
      <c r="J311" s="964" t="s">
        <v>2299</v>
      </c>
    </row>
    <row r="312" spans="1:10" hidden="1">
      <c r="A312" s="1024" t="s">
        <v>1502</v>
      </c>
      <c r="B312" s="1005"/>
      <c r="C312" s="1031" t="s">
        <v>1498</v>
      </c>
      <c r="D312" s="1025">
        <v>12</v>
      </c>
      <c r="E312" s="1043" t="s">
        <v>325</v>
      </c>
      <c r="F312" s="1027">
        <v>1</v>
      </c>
      <c r="G312" s="1043" t="s">
        <v>115</v>
      </c>
      <c r="H312" s="1029">
        <f>'MINI SSR 2020-21'!C101</f>
        <v>8</v>
      </c>
      <c r="I312" s="1041">
        <f>SUM(D312*H312/F312)</f>
        <v>96</v>
      </c>
      <c r="J312" s="964" t="s">
        <v>2299</v>
      </c>
    </row>
    <row r="313" spans="1:10" hidden="1">
      <c r="A313" s="1024"/>
      <c r="B313" s="1005"/>
      <c r="C313" s="1056" t="s">
        <v>847</v>
      </c>
      <c r="D313" s="1025">
        <v>50</v>
      </c>
      <c r="E313" s="1043" t="s">
        <v>4</v>
      </c>
      <c r="F313" s="1027">
        <v>1</v>
      </c>
      <c r="G313" s="1043" t="s">
        <v>4</v>
      </c>
      <c r="H313" s="1029">
        <f>'lead 20-21'!L8/1000</f>
        <v>4.7</v>
      </c>
      <c r="I313" s="1041">
        <f>SUM(D313*H313/F313)</f>
        <v>235</v>
      </c>
      <c r="J313" s="964" t="s">
        <v>2299</v>
      </c>
    </row>
    <row r="314" spans="1:10" hidden="1">
      <c r="A314" s="1047"/>
      <c r="B314" s="1048"/>
      <c r="C314" s="1034" t="s">
        <v>386</v>
      </c>
      <c r="D314" s="1025"/>
      <c r="E314" s="1043"/>
      <c r="F314" s="1027"/>
      <c r="G314" s="1043"/>
      <c r="H314" s="1029"/>
      <c r="I314" s="1046">
        <f>SUM(I304:I313)</f>
        <v>7341</v>
      </c>
      <c r="J314" s="964" t="s">
        <v>2299</v>
      </c>
    </row>
    <row r="315" spans="1:10" hidden="1">
      <c r="A315" s="1047"/>
      <c r="B315" s="1048"/>
      <c r="C315" s="1034" t="s">
        <v>387</v>
      </c>
      <c r="D315" s="1049"/>
      <c r="E315" s="1043"/>
      <c r="F315" s="1027"/>
      <c r="G315" s="1043"/>
      <c r="H315" s="1050"/>
      <c r="I315" s="1046">
        <f>ROUND(I314/100,2)</f>
        <v>73.41</v>
      </c>
      <c r="J315" s="964" t="s">
        <v>2299</v>
      </c>
    </row>
    <row r="316" spans="1:10" hidden="1">
      <c r="A316" s="1047"/>
      <c r="B316" s="1048"/>
      <c r="C316" s="1036"/>
      <c r="D316" s="1058"/>
      <c r="E316" s="1059"/>
      <c r="F316" s="1058"/>
      <c r="G316" s="1059"/>
      <c r="H316" s="1060"/>
      <c r="I316" s="1060"/>
      <c r="J316" s="964" t="s">
        <v>2299</v>
      </c>
    </row>
    <row r="317" spans="1:10" hidden="1">
      <c r="A317" s="1047"/>
      <c r="B317" s="1048">
        <v>3</v>
      </c>
      <c r="C317" s="1031" t="s">
        <v>389</v>
      </c>
      <c r="D317" s="1032"/>
      <c r="E317" s="1033"/>
      <c r="F317" s="1032"/>
      <c r="G317" s="1033"/>
      <c r="H317" s="1034"/>
      <c r="I317" s="1034"/>
      <c r="J317" s="964" t="s">
        <v>2299</v>
      </c>
    </row>
    <row r="318" spans="1:10" hidden="1">
      <c r="A318" s="1047"/>
      <c r="B318" s="1048"/>
      <c r="C318" s="1042" t="s">
        <v>390</v>
      </c>
      <c r="D318" s="1025">
        <v>1</v>
      </c>
      <c r="E318" s="1043" t="s">
        <v>277</v>
      </c>
      <c r="F318" s="1027">
        <v>1</v>
      </c>
      <c r="G318" s="1043" t="s">
        <v>277</v>
      </c>
      <c r="H318" s="1029">
        <f>'MINI SSR 2020-21'!C104</f>
        <v>55</v>
      </c>
      <c r="I318" s="1041">
        <f>SUM(D318*H318/F318)</f>
        <v>55</v>
      </c>
      <c r="J318" s="964" t="s">
        <v>2299</v>
      </c>
    </row>
    <row r="319" spans="1:10" hidden="1">
      <c r="A319" s="1047"/>
      <c r="B319" s="1048"/>
      <c r="C319" s="1044"/>
      <c r="D319" s="1025"/>
      <c r="E319" s="1043"/>
      <c r="F319" s="1027"/>
      <c r="G319" s="1043"/>
      <c r="H319" s="1029"/>
      <c r="I319" s="1041">
        <f>SUM(I318)</f>
        <v>55</v>
      </c>
      <c r="J319" s="964" t="s">
        <v>2299</v>
      </c>
    </row>
    <row r="320" spans="1:10" ht="22.5" hidden="1">
      <c r="A320" s="1047"/>
      <c r="B320" s="1048">
        <v>3</v>
      </c>
      <c r="C320" s="1031" t="s">
        <v>427</v>
      </c>
      <c r="D320" s="1032"/>
      <c r="E320" s="1033"/>
      <c r="F320" s="1032"/>
      <c r="G320" s="1033"/>
      <c r="H320" s="1034"/>
      <c r="I320" s="1034"/>
      <c r="J320" s="964" t="s">
        <v>2299</v>
      </c>
    </row>
    <row r="321" spans="1:10" hidden="1">
      <c r="A321" s="1047"/>
      <c r="B321" s="1048"/>
      <c r="C321" s="1042" t="s">
        <v>433</v>
      </c>
      <c r="D321" s="1025">
        <v>1</v>
      </c>
      <c r="E321" s="1043" t="s">
        <v>325</v>
      </c>
      <c r="F321" s="1027">
        <v>1</v>
      </c>
      <c r="G321" s="1043" t="s">
        <v>325</v>
      </c>
      <c r="H321" s="1029">
        <f>'MINI SSR 2020-21'!C106</f>
        <v>205</v>
      </c>
      <c r="I321" s="1041">
        <f>SUM(D321*H321/F321)</f>
        <v>205</v>
      </c>
      <c r="J321" s="964" t="s">
        <v>2299</v>
      </c>
    </row>
    <row r="322" spans="1:10" hidden="1">
      <c r="A322" s="1047"/>
      <c r="B322" s="1048"/>
      <c r="C322" s="1044"/>
      <c r="D322" s="1025"/>
      <c r="E322" s="1043"/>
      <c r="F322" s="1027"/>
      <c r="G322" s="1043"/>
      <c r="H322" s="1029"/>
      <c r="I322" s="1041">
        <f>SUM(I321)</f>
        <v>205</v>
      </c>
      <c r="J322" s="964" t="s">
        <v>2299</v>
      </c>
    </row>
    <row r="323" spans="1:10" ht="22.5" hidden="1">
      <c r="A323" s="1047"/>
      <c r="B323" s="1048">
        <v>4</v>
      </c>
      <c r="C323" s="1031" t="s">
        <v>610</v>
      </c>
      <c r="D323" s="1032"/>
      <c r="E323" s="1033"/>
      <c r="F323" s="1032"/>
      <c r="G323" s="1033"/>
      <c r="H323" s="1034"/>
      <c r="I323" s="1034"/>
      <c r="J323" s="964" t="s">
        <v>2299</v>
      </c>
    </row>
    <row r="324" spans="1:10" hidden="1">
      <c r="A324" s="1047"/>
      <c r="B324" s="1048"/>
      <c r="C324" s="1042" t="s">
        <v>611</v>
      </c>
      <c r="D324" s="1025">
        <v>1</v>
      </c>
      <c r="E324" s="1043" t="s">
        <v>325</v>
      </c>
      <c r="F324" s="1027">
        <v>1</v>
      </c>
      <c r="G324" s="1043" t="s">
        <v>325</v>
      </c>
      <c r="H324" s="1029">
        <f>'MINI SSR 2020-21'!C107</f>
        <v>170</v>
      </c>
      <c r="I324" s="1041">
        <f>SUM(D324*H324/F324)</f>
        <v>170</v>
      </c>
      <c r="J324" s="964" t="s">
        <v>2299</v>
      </c>
    </row>
    <row r="325" spans="1:10" hidden="1">
      <c r="A325" s="1047"/>
      <c r="B325" s="1048"/>
      <c r="C325" s="1044"/>
      <c r="D325" s="1025"/>
      <c r="E325" s="1043"/>
      <c r="F325" s="1027"/>
      <c r="G325" s="1043"/>
      <c r="H325" s="1029"/>
      <c r="I325" s="1041">
        <f>SUM(I324)</f>
        <v>170</v>
      </c>
      <c r="J325" s="964" t="s">
        <v>2299</v>
      </c>
    </row>
    <row r="326" spans="1:10" ht="22.5" hidden="1">
      <c r="A326" s="1047"/>
      <c r="B326" s="1048">
        <v>5</v>
      </c>
      <c r="C326" s="1031" t="s">
        <v>690</v>
      </c>
      <c r="D326" s="1032"/>
      <c r="E326" s="1033"/>
      <c r="F326" s="1032"/>
      <c r="G326" s="1033"/>
      <c r="H326" s="1034"/>
      <c r="I326" s="1034"/>
      <c r="J326" s="964" t="s">
        <v>2299</v>
      </c>
    </row>
    <row r="327" spans="1:10" hidden="1">
      <c r="A327" s="1047"/>
      <c r="B327" s="1048"/>
      <c r="C327" s="1042" t="s">
        <v>691</v>
      </c>
      <c r="D327" s="1025">
        <v>1</v>
      </c>
      <c r="E327" s="1043" t="s">
        <v>325</v>
      </c>
      <c r="F327" s="1027">
        <v>1</v>
      </c>
      <c r="G327" s="1043" t="s">
        <v>325</v>
      </c>
      <c r="H327" s="1029">
        <f>'MINI SSR 2020-21'!C108</f>
        <v>130</v>
      </c>
      <c r="I327" s="1041">
        <f>SUM(D327*H327/F327)</f>
        <v>130</v>
      </c>
      <c r="J327" s="964" t="s">
        <v>2299</v>
      </c>
    </row>
    <row r="328" spans="1:10" hidden="1">
      <c r="A328" s="1047"/>
      <c r="B328" s="1048"/>
      <c r="C328" s="1044"/>
      <c r="D328" s="1025"/>
      <c r="E328" s="1043"/>
      <c r="F328" s="1027"/>
      <c r="G328" s="1043"/>
      <c r="H328" s="1029"/>
      <c r="I328" s="1041">
        <f>SUM(I327)</f>
        <v>130</v>
      </c>
      <c r="J328" s="964" t="s">
        <v>2299</v>
      </c>
    </row>
    <row r="329" spans="1:10" ht="22.5" hidden="1">
      <c r="A329" s="1047"/>
      <c r="B329" s="1048">
        <v>6</v>
      </c>
      <c r="C329" s="1031" t="s">
        <v>790</v>
      </c>
      <c r="D329" s="1032"/>
      <c r="E329" s="1033"/>
      <c r="F329" s="1032"/>
      <c r="G329" s="1033"/>
      <c r="H329" s="1034"/>
      <c r="I329" s="1034"/>
      <c r="J329" s="964" t="s">
        <v>2299</v>
      </c>
    </row>
    <row r="330" spans="1:10" hidden="1">
      <c r="A330" s="1047"/>
      <c r="B330" s="1048"/>
      <c r="C330" s="1042" t="s">
        <v>791</v>
      </c>
      <c r="D330" s="1025">
        <v>1</v>
      </c>
      <c r="E330" s="1043" t="s">
        <v>325</v>
      </c>
      <c r="F330" s="1027">
        <v>1</v>
      </c>
      <c r="G330" s="1043" t="s">
        <v>325</v>
      </c>
      <c r="H330" s="1029">
        <f>'MINI SSR 2020-21'!C109</f>
        <v>95</v>
      </c>
      <c r="I330" s="1041">
        <f>SUM(D330*H330/F330)</f>
        <v>95</v>
      </c>
      <c r="J330" s="964" t="s">
        <v>2299</v>
      </c>
    </row>
    <row r="331" spans="1:10" hidden="1">
      <c r="A331" s="1047"/>
      <c r="B331" s="1048"/>
      <c r="C331" s="1044"/>
      <c r="D331" s="1025"/>
      <c r="E331" s="1043"/>
      <c r="F331" s="1027"/>
      <c r="G331" s="1043"/>
      <c r="H331" s="1029"/>
      <c r="I331" s="1041">
        <f>SUM(I330)</f>
        <v>95</v>
      </c>
      <c r="J331" s="964" t="s">
        <v>2299</v>
      </c>
    </row>
    <row r="332" spans="1:10" ht="22.5" hidden="1">
      <c r="A332" s="1047"/>
      <c r="B332" s="1048">
        <v>8</v>
      </c>
      <c r="C332" s="1031" t="s">
        <v>612</v>
      </c>
      <c r="D332" s="1032"/>
      <c r="E332" s="1033"/>
      <c r="F332" s="1032"/>
      <c r="G332" s="1033"/>
      <c r="H332" s="1034"/>
      <c r="I332" s="1034"/>
      <c r="J332" s="964" t="s">
        <v>2299</v>
      </c>
    </row>
    <row r="333" spans="1:10" hidden="1">
      <c r="A333" s="1047"/>
      <c r="B333" s="1048"/>
      <c r="C333" s="1042" t="s">
        <v>614</v>
      </c>
      <c r="D333" s="1025">
        <v>1</v>
      </c>
      <c r="E333" s="1043" t="s">
        <v>325</v>
      </c>
      <c r="F333" s="1027">
        <v>1</v>
      </c>
      <c r="G333" s="1043" t="s">
        <v>325</v>
      </c>
      <c r="H333" s="1029">
        <f>H321</f>
        <v>205</v>
      </c>
      <c r="I333" s="1041">
        <f>SUM(D333*H333/F333)</f>
        <v>205</v>
      </c>
      <c r="J333" s="964" t="s">
        <v>2299</v>
      </c>
    </row>
    <row r="334" spans="1:10" hidden="1">
      <c r="A334" s="1047"/>
      <c r="B334" s="1048"/>
      <c r="C334" s="1042" t="s">
        <v>613</v>
      </c>
      <c r="D334" s="1025">
        <v>1</v>
      </c>
      <c r="E334" s="1043" t="s">
        <v>325</v>
      </c>
      <c r="F334" s="1027">
        <v>1</v>
      </c>
      <c r="G334" s="1043" t="s">
        <v>325</v>
      </c>
      <c r="H334" s="1029">
        <f>H327</f>
        <v>130</v>
      </c>
      <c r="I334" s="1041">
        <f>SUM(D334*H334/F334)</f>
        <v>130</v>
      </c>
      <c r="J334" s="964" t="s">
        <v>2299</v>
      </c>
    </row>
    <row r="335" spans="1:10" hidden="1">
      <c r="A335" s="1047"/>
      <c r="B335" s="1048"/>
      <c r="C335" s="1044"/>
      <c r="D335" s="1025"/>
      <c r="E335" s="1043"/>
      <c r="F335" s="1027"/>
      <c r="G335" s="1043"/>
      <c r="H335" s="1029"/>
      <c r="I335" s="1041">
        <f>SUM(I333:I334)</f>
        <v>335</v>
      </c>
      <c r="J335" s="964" t="s">
        <v>2299</v>
      </c>
    </row>
    <row r="336" spans="1:10" ht="22.5" hidden="1">
      <c r="A336" s="1047"/>
      <c r="B336" s="1048">
        <v>9</v>
      </c>
      <c r="C336" s="1031" t="s">
        <v>1510</v>
      </c>
      <c r="D336" s="1032"/>
      <c r="E336" s="1033"/>
      <c r="F336" s="1032"/>
      <c r="G336" s="1033"/>
      <c r="H336" s="1034"/>
      <c r="I336" s="1034"/>
      <c r="J336" s="964" t="s">
        <v>2299</v>
      </c>
    </row>
    <row r="337" spans="1:10" hidden="1">
      <c r="A337" s="1047"/>
      <c r="B337" s="1048"/>
      <c r="C337" s="1042" t="s">
        <v>614</v>
      </c>
      <c r="D337" s="1025">
        <v>1</v>
      </c>
      <c r="E337" s="1043" t="s">
        <v>325</v>
      </c>
      <c r="F337" s="1027">
        <v>1</v>
      </c>
      <c r="G337" s="1043" t="s">
        <v>325</v>
      </c>
      <c r="H337" s="1029">
        <f>H321</f>
        <v>205</v>
      </c>
      <c r="I337" s="1041">
        <f>SUM(D337*H337/F337)</f>
        <v>205</v>
      </c>
      <c r="J337" s="964" t="s">
        <v>2299</v>
      </c>
    </row>
    <row r="338" spans="1:10" hidden="1">
      <c r="A338" s="1047"/>
      <c r="B338" s="1048"/>
      <c r="C338" s="1042" t="s">
        <v>1511</v>
      </c>
      <c r="D338" s="1025">
        <v>1</v>
      </c>
      <c r="E338" s="1043" t="s">
        <v>325</v>
      </c>
      <c r="F338" s="1027">
        <v>1</v>
      </c>
      <c r="G338" s="1043" t="s">
        <v>325</v>
      </c>
      <c r="H338" s="1029">
        <f>'MINI SSR 2020-21'!C109</f>
        <v>95</v>
      </c>
      <c r="I338" s="1041">
        <f>SUM(D338*H338/F338)</f>
        <v>95</v>
      </c>
      <c r="J338" s="964" t="s">
        <v>2299</v>
      </c>
    </row>
    <row r="339" spans="1:10" hidden="1">
      <c r="A339" s="1047"/>
      <c r="B339" s="1048"/>
      <c r="C339" s="1044"/>
      <c r="D339" s="1025"/>
      <c r="E339" s="1043"/>
      <c r="F339" s="1027"/>
      <c r="G339" s="1043"/>
      <c r="H339" s="1029"/>
      <c r="I339" s="1041">
        <f>SUM(I337:I338)</f>
        <v>300</v>
      </c>
      <c r="J339" s="964" t="s">
        <v>2299</v>
      </c>
    </row>
    <row r="340" spans="1:10" ht="22.5" hidden="1">
      <c r="A340" s="1047"/>
      <c r="B340" s="1048">
        <v>6</v>
      </c>
      <c r="C340" s="1031" t="s">
        <v>428</v>
      </c>
      <c r="D340" s="1032"/>
      <c r="E340" s="1033"/>
      <c r="F340" s="1032"/>
      <c r="G340" s="1033"/>
      <c r="H340" s="1034"/>
      <c r="I340" s="1034"/>
      <c r="J340" s="964" t="s">
        <v>2299</v>
      </c>
    </row>
    <row r="341" spans="1:10" hidden="1">
      <c r="A341" s="1047"/>
      <c r="B341" s="1048"/>
      <c r="C341" s="1042" t="s">
        <v>434</v>
      </c>
      <c r="D341" s="1025">
        <v>1</v>
      </c>
      <c r="E341" s="1043" t="s">
        <v>325</v>
      </c>
      <c r="F341" s="1027">
        <v>1</v>
      </c>
      <c r="G341" s="1043" t="s">
        <v>325</v>
      </c>
      <c r="H341" s="1029">
        <f>'MINI SSR 2020-21'!C112</f>
        <v>57</v>
      </c>
      <c r="I341" s="1041">
        <f>SUM(D341*H341/F341)</f>
        <v>57</v>
      </c>
      <c r="J341" s="964" t="s">
        <v>2299</v>
      </c>
    </row>
    <row r="342" spans="1:10" hidden="1">
      <c r="A342" s="1047"/>
      <c r="B342" s="1048"/>
      <c r="C342" s="1044"/>
      <c r="D342" s="1025"/>
      <c r="E342" s="1043"/>
      <c r="F342" s="1027"/>
      <c r="G342" s="1043"/>
      <c r="H342" s="1029"/>
      <c r="I342" s="1041">
        <f>SUM(I341)</f>
        <v>57</v>
      </c>
      <c r="J342" s="964" t="s">
        <v>2299</v>
      </c>
    </row>
    <row r="343" spans="1:10" hidden="1">
      <c r="A343" s="1047"/>
      <c r="B343" s="1048">
        <v>7</v>
      </c>
      <c r="C343" s="1031" t="s">
        <v>437</v>
      </c>
      <c r="D343" s="1032"/>
      <c r="E343" s="1033"/>
      <c r="F343" s="1032"/>
      <c r="G343" s="1033"/>
      <c r="H343" s="1034"/>
      <c r="I343" s="1034"/>
      <c r="J343" s="964" t="s">
        <v>2299</v>
      </c>
    </row>
    <row r="344" spans="1:10" hidden="1">
      <c r="A344" s="1047"/>
      <c r="B344" s="1048"/>
      <c r="C344" s="1042" t="s">
        <v>438</v>
      </c>
      <c r="D344" s="1025">
        <v>1</v>
      </c>
      <c r="E344" s="1043" t="s">
        <v>325</v>
      </c>
      <c r="F344" s="1027">
        <v>1</v>
      </c>
      <c r="G344" s="1043" t="s">
        <v>325</v>
      </c>
      <c r="H344" s="1029">
        <f>'MINI SSR 2020-21'!E106</f>
        <v>190</v>
      </c>
      <c r="I344" s="1041">
        <f>SUM(D344*H344/F344)</f>
        <v>190</v>
      </c>
      <c r="J344" s="964" t="s">
        <v>2299</v>
      </c>
    </row>
    <row r="345" spans="1:10" hidden="1">
      <c r="A345" s="1047"/>
      <c r="B345" s="1048"/>
      <c r="C345" s="1044"/>
      <c r="D345" s="1025"/>
      <c r="E345" s="1043"/>
      <c r="F345" s="1027"/>
      <c r="G345" s="1043"/>
      <c r="H345" s="1029"/>
      <c r="I345" s="1041">
        <f>SUM(I344)</f>
        <v>190</v>
      </c>
      <c r="J345" s="964" t="s">
        <v>2299</v>
      </c>
    </row>
    <row r="346" spans="1:10" hidden="1">
      <c r="A346" s="1047"/>
      <c r="B346" s="1048">
        <v>8</v>
      </c>
      <c r="C346" s="1031" t="s">
        <v>615</v>
      </c>
      <c r="D346" s="1032"/>
      <c r="E346" s="1033"/>
      <c r="F346" s="1032"/>
      <c r="G346" s="1033"/>
      <c r="H346" s="1034"/>
      <c r="I346" s="1034"/>
      <c r="J346" s="964" t="s">
        <v>2299</v>
      </c>
    </row>
    <row r="347" spans="1:10" hidden="1">
      <c r="A347" s="1047"/>
      <c r="B347" s="1048"/>
      <c r="C347" s="1042" t="s">
        <v>616</v>
      </c>
      <c r="D347" s="1025">
        <v>1</v>
      </c>
      <c r="E347" s="1043" t="s">
        <v>325</v>
      </c>
      <c r="F347" s="1027">
        <v>1</v>
      </c>
      <c r="G347" s="1043" t="s">
        <v>325</v>
      </c>
      <c r="H347" s="1029">
        <f>'MINI SSR 2020-21'!E107</f>
        <v>155</v>
      </c>
      <c r="I347" s="1041">
        <f>SUM(D347*H347/F347)</f>
        <v>155</v>
      </c>
      <c r="J347" s="964" t="s">
        <v>2299</v>
      </c>
    </row>
    <row r="348" spans="1:10" hidden="1">
      <c r="A348" s="1047"/>
      <c r="B348" s="1048"/>
      <c r="C348" s="1044"/>
      <c r="D348" s="1025"/>
      <c r="E348" s="1043"/>
      <c r="F348" s="1027"/>
      <c r="G348" s="1043"/>
      <c r="H348" s="1029"/>
      <c r="I348" s="1041">
        <f>SUM(I347)</f>
        <v>155</v>
      </c>
      <c r="J348" s="964" t="s">
        <v>2299</v>
      </c>
    </row>
    <row r="349" spans="1:10" hidden="1">
      <c r="A349" s="1047"/>
      <c r="B349" s="1048">
        <v>9</v>
      </c>
      <c r="C349" s="1031" t="s">
        <v>694</v>
      </c>
      <c r="D349" s="1032"/>
      <c r="E349" s="1033"/>
      <c r="F349" s="1032"/>
      <c r="G349" s="1033"/>
      <c r="H349" s="1034"/>
      <c r="I349" s="1034"/>
      <c r="J349" s="964" t="s">
        <v>2299</v>
      </c>
    </row>
    <row r="350" spans="1:10" hidden="1">
      <c r="A350" s="1047"/>
      <c r="B350" s="1048"/>
      <c r="C350" s="1042" t="s">
        <v>619</v>
      </c>
      <c r="D350" s="1025">
        <v>1</v>
      </c>
      <c r="E350" s="1043" t="s">
        <v>325</v>
      </c>
      <c r="F350" s="1027">
        <v>1</v>
      </c>
      <c r="G350" s="1043" t="s">
        <v>325</v>
      </c>
      <c r="H350" s="1029">
        <f>'MINI SSR 2020-21'!E108</f>
        <v>120</v>
      </c>
      <c r="I350" s="1041">
        <f>SUM(D350*H350/F350)</f>
        <v>120</v>
      </c>
      <c r="J350" s="964" t="s">
        <v>2299</v>
      </c>
    </row>
    <row r="351" spans="1:10" hidden="1">
      <c r="A351" s="1047"/>
      <c r="B351" s="1048"/>
      <c r="C351" s="1044"/>
      <c r="D351" s="1025"/>
      <c r="E351" s="1043"/>
      <c r="F351" s="1027"/>
      <c r="G351" s="1043"/>
      <c r="H351" s="1029"/>
      <c r="I351" s="1041">
        <f>SUM(I350)</f>
        <v>120</v>
      </c>
      <c r="J351" s="964" t="s">
        <v>2299</v>
      </c>
    </row>
    <row r="352" spans="1:10" hidden="1">
      <c r="A352" s="1047"/>
      <c r="B352" s="1048">
        <v>10</v>
      </c>
      <c r="C352" s="1031" t="s">
        <v>792</v>
      </c>
      <c r="D352" s="1032"/>
      <c r="E352" s="1033"/>
      <c r="F352" s="1032"/>
      <c r="G352" s="1033"/>
      <c r="H352" s="1034"/>
      <c r="I352" s="1034"/>
      <c r="J352" s="964" t="s">
        <v>2299</v>
      </c>
    </row>
    <row r="353" spans="1:10" hidden="1">
      <c r="A353" s="1047"/>
      <c r="B353" s="1048"/>
      <c r="C353" s="1042" t="s">
        <v>793</v>
      </c>
      <c r="D353" s="1025">
        <v>1</v>
      </c>
      <c r="E353" s="1043" t="s">
        <v>325</v>
      </c>
      <c r="F353" s="1027">
        <v>1</v>
      </c>
      <c r="G353" s="1043" t="s">
        <v>325</v>
      </c>
      <c r="H353" s="1029">
        <f>'MINI SSR 2020-21'!E109</f>
        <v>80</v>
      </c>
      <c r="I353" s="1041">
        <f>SUM(D353*H353/F353)</f>
        <v>80</v>
      </c>
      <c r="J353" s="964" t="s">
        <v>2299</v>
      </c>
    </row>
    <row r="354" spans="1:10" hidden="1">
      <c r="A354" s="1047"/>
      <c r="B354" s="1048"/>
      <c r="C354" s="1044"/>
      <c r="D354" s="1025"/>
      <c r="E354" s="1043"/>
      <c r="F354" s="1027"/>
      <c r="G354" s="1043"/>
      <c r="H354" s="1029"/>
      <c r="I354" s="1041">
        <f>SUM(I353)</f>
        <v>80</v>
      </c>
      <c r="J354" s="964" t="s">
        <v>2299</v>
      </c>
    </row>
    <row r="355" spans="1:10" hidden="1">
      <c r="A355" s="1047"/>
      <c r="B355" s="1048">
        <v>15</v>
      </c>
      <c r="C355" s="1031" t="s">
        <v>617</v>
      </c>
      <c r="D355" s="1032"/>
      <c r="E355" s="1033"/>
      <c r="F355" s="1032"/>
      <c r="G355" s="1033"/>
      <c r="H355" s="1034"/>
      <c r="I355" s="1034"/>
      <c r="J355" s="964" t="s">
        <v>2299</v>
      </c>
    </row>
    <row r="356" spans="1:10" hidden="1">
      <c r="A356" s="1047"/>
      <c r="B356" s="1048"/>
      <c r="C356" s="1042" t="s">
        <v>618</v>
      </c>
      <c r="D356" s="1025">
        <v>1</v>
      </c>
      <c r="E356" s="1043" t="s">
        <v>325</v>
      </c>
      <c r="F356" s="1027">
        <v>1</v>
      </c>
      <c r="G356" s="1043" t="s">
        <v>325</v>
      </c>
      <c r="H356" s="1029">
        <f>'MINI SSR 2020-21'!E106</f>
        <v>190</v>
      </c>
      <c r="I356" s="1041">
        <f>SUM(D356*H356/F356)</f>
        <v>190</v>
      </c>
      <c r="J356" s="964" t="s">
        <v>2299</v>
      </c>
    </row>
    <row r="357" spans="1:10" hidden="1">
      <c r="A357" s="1047"/>
      <c r="B357" s="1048"/>
      <c r="C357" s="1042" t="s">
        <v>619</v>
      </c>
      <c r="D357" s="1025">
        <v>1</v>
      </c>
      <c r="E357" s="1043" t="s">
        <v>325</v>
      </c>
      <c r="F357" s="1027">
        <v>1</v>
      </c>
      <c r="G357" s="1043" t="s">
        <v>325</v>
      </c>
      <c r="H357" s="1029">
        <f>'MINI SSR 2020-21'!E108</f>
        <v>120</v>
      </c>
      <c r="I357" s="1041">
        <f>SUM(D357*H357/F357)</f>
        <v>120</v>
      </c>
      <c r="J357" s="964" t="s">
        <v>2299</v>
      </c>
    </row>
    <row r="358" spans="1:10" hidden="1">
      <c r="A358" s="1047"/>
      <c r="B358" s="1048"/>
      <c r="C358" s="1044"/>
      <c r="D358" s="1025"/>
      <c r="E358" s="1043"/>
      <c r="F358" s="1027"/>
      <c r="G358" s="1043"/>
      <c r="H358" s="1029"/>
      <c r="I358" s="1041">
        <f>SUM(I356:I357)</f>
        <v>310</v>
      </c>
      <c r="J358" s="964" t="s">
        <v>2299</v>
      </c>
    </row>
    <row r="359" spans="1:10" hidden="1">
      <c r="A359" s="1047"/>
      <c r="B359" s="1048">
        <v>10</v>
      </c>
      <c r="C359" s="1031" t="s">
        <v>439</v>
      </c>
      <c r="D359" s="1032"/>
      <c r="E359" s="1033"/>
      <c r="F359" s="1032"/>
      <c r="G359" s="1033"/>
      <c r="H359" s="1034"/>
      <c r="I359" s="1034"/>
      <c r="J359" s="964" t="s">
        <v>2299</v>
      </c>
    </row>
    <row r="360" spans="1:10" hidden="1">
      <c r="A360" s="1047"/>
      <c r="B360" s="1048"/>
      <c r="C360" s="1042" t="s">
        <v>440</v>
      </c>
      <c r="D360" s="1025">
        <v>1</v>
      </c>
      <c r="E360" s="1043" t="s">
        <v>325</v>
      </c>
      <c r="F360" s="1027">
        <v>1</v>
      </c>
      <c r="G360" s="1043" t="s">
        <v>325</v>
      </c>
      <c r="H360" s="1029">
        <f>'MINI SSR 2020-21'!E112</f>
        <v>60</v>
      </c>
      <c r="I360" s="1041">
        <f>SUM(D360*H360/F360)</f>
        <v>60</v>
      </c>
      <c r="J360" s="964" t="s">
        <v>2299</v>
      </c>
    </row>
    <row r="361" spans="1:10" hidden="1">
      <c r="A361" s="1047"/>
      <c r="B361" s="1048"/>
      <c r="C361" s="1044"/>
      <c r="D361" s="1025"/>
      <c r="E361" s="1043"/>
      <c r="F361" s="1027"/>
      <c r="G361" s="1043"/>
      <c r="H361" s="1029"/>
      <c r="I361" s="1041">
        <f>SUM(I360)</f>
        <v>60</v>
      </c>
      <c r="J361" s="964" t="s">
        <v>2299</v>
      </c>
    </row>
    <row r="362" spans="1:10" hidden="1">
      <c r="A362" s="1047"/>
      <c r="B362" s="1048"/>
      <c r="C362" s="1047"/>
      <c r="D362" s="1058"/>
      <c r="E362" s="1059"/>
      <c r="F362" s="1058"/>
      <c r="G362" s="1059"/>
      <c r="H362" s="1047"/>
      <c r="I362" s="1047"/>
      <c r="J362" s="964" t="s">
        <v>2299</v>
      </c>
    </row>
    <row r="363" spans="1:10" hidden="1">
      <c r="A363" s="1047"/>
      <c r="B363" s="1048">
        <v>11</v>
      </c>
      <c r="C363" s="1031" t="s">
        <v>624</v>
      </c>
      <c r="D363" s="1032"/>
      <c r="E363" s="1033"/>
      <c r="F363" s="1032"/>
      <c r="G363" s="1033"/>
      <c r="H363" s="1034"/>
      <c r="I363" s="1034"/>
      <c r="J363" s="964" t="s">
        <v>2299</v>
      </c>
    </row>
    <row r="364" spans="1:10" hidden="1">
      <c r="A364" s="1047"/>
      <c r="B364" s="1048"/>
      <c r="C364" s="1042" t="s">
        <v>625</v>
      </c>
      <c r="D364" s="1025">
        <v>1</v>
      </c>
      <c r="E364" s="1043" t="s">
        <v>325</v>
      </c>
      <c r="F364" s="1027">
        <v>1</v>
      </c>
      <c r="G364" s="1043" t="s">
        <v>325</v>
      </c>
      <c r="H364" s="1029">
        <f>'MINI SSR 2020-21'!C114</f>
        <v>18</v>
      </c>
      <c r="I364" s="1041">
        <f>SUM(D364*H364/F364)</f>
        <v>18</v>
      </c>
      <c r="J364" s="964" t="s">
        <v>2299</v>
      </c>
    </row>
    <row r="365" spans="1:10" hidden="1">
      <c r="A365" s="1047"/>
      <c r="B365" s="1048"/>
      <c r="C365" s="1044"/>
      <c r="D365" s="1025"/>
      <c r="E365" s="1043"/>
      <c r="F365" s="1027"/>
      <c r="G365" s="1043"/>
      <c r="H365" s="1029"/>
      <c r="I365" s="1041">
        <f>SUM(I364)</f>
        <v>18</v>
      </c>
      <c r="J365" s="964" t="s">
        <v>2299</v>
      </c>
    </row>
    <row r="366" spans="1:10" ht="22.5" hidden="1">
      <c r="A366" s="1047"/>
      <c r="B366" s="1048">
        <v>18</v>
      </c>
      <c r="C366" s="1031" t="s">
        <v>794</v>
      </c>
      <c r="D366" s="1032"/>
      <c r="E366" s="1033"/>
      <c r="F366" s="1032"/>
      <c r="G366" s="1033"/>
      <c r="H366" s="1034"/>
      <c r="I366" s="1034"/>
      <c r="J366" s="964" t="s">
        <v>2299</v>
      </c>
    </row>
    <row r="367" spans="1:10" hidden="1">
      <c r="A367" s="1047"/>
      <c r="B367" s="1048"/>
      <c r="C367" s="1042" t="s">
        <v>795</v>
      </c>
      <c r="D367" s="1025">
        <v>1</v>
      </c>
      <c r="E367" s="1043" t="s">
        <v>325</v>
      </c>
      <c r="F367" s="1027">
        <v>1</v>
      </c>
      <c r="G367" s="1043" t="s">
        <v>325</v>
      </c>
      <c r="H367" s="1029">
        <f>'MINI SSR 2020-21'!C115</f>
        <v>1290</v>
      </c>
      <c r="I367" s="1041">
        <f>SUM(D367*H367/F367)</f>
        <v>1290</v>
      </c>
      <c r="J367" s="964" t="s">
        <v>2299</v>
      </c>
    </row>
    <row r="368" spans="1:10" hidden="1">
      <c r="A368" s="1047"/>
      <c r="B368" s="1048"/>
      <c r="C368" s="1044"/>
      <c r="D368" s="1025"/>
      <c r="E368" s="1043"/>
      <c r="F368" s="1027"/>
      <c r="G368" s="1043"/>
      <c r="H368" s="1029"/>
      <c r="I368" s="1041">
        <f>SUM(I367)</f>
        <v>1290</v>
      </c>
      <c r="J368" s="964" t="s">
        <v>2299</v>
      </c>
    </row>
    <row r="369" spans="1:10" ht="67.5" hidden="1">
      <c r="A369" s="1051" t="s">
        <v>721</v>
      </c>
      <c r="B369" s="1024">
        <v>12</v>
      </c>
      <c r="C369" s="1031" t="s">
        <v>436</v>
      </c>
      <c r="D369" s="1035"/>
      <c r="E369" s="1026"/>
      <c r="F369" s="1035"/>
      <c r="G369" s="1026"/>
      <c r="H369" s="1031"/>
      <c r="I369" s="1031"/>
      <c r="J369" s="964" t="s">
        <v>2299</v>
      </c>
    </row>
    <row r="370" spans="1:10" ht="22.5" hidden="1">
      <c r="A370" s="1029"/>
      <c r="B370" s="1005"/>
      <c r="C370" s="1031" t="s">
        <v>391</v>
      </c>
      <c r="D370" s="1025"/>
      <c r="E370" s="1028"/>
      <c r="F370" s="1027"/>
      <c r="G370" s="1028"/>
      <c r="H370" s="1029"/>
      <c r="I370" s="1030"/>
      <c r="J370" s="964" t="s">
        <v>2299</v>
      </c>
    </row>
    <row r="371" spans="1:10" ht="33.75" hidden="1">
      <c r="A371" s="1029"/>
      <c r="B371" s="1005"/>
      <c r="C371" s="1031" t="s">
        <v>392</v>
      </c>
      <c r="D371" s="1035"/>
      <c r="E371" s="1026"/>
      <c r="F371" s="1035"/>
      <c r="G371" s="1026"/>
      <c r="H371" s="1031"/>
      <c r="I371" s="1031"/>
      <c r="J371" s="964" t="s">
        <v>2299</v>
      </c>
    </row>
    <row r="372" spans="1:10" hidden="1">
      <c r="A372" s="1029"/>
      <c r="B372" s="1005"/>
      <c r="C372" s="1031" t="s">
        <v>384</v>
      </c>
      <c r="D372" s="1025"/>
      <c r="E372" s="1028"/>
      <c r="F372" s="1027"/>
      <c r="G372" s="1028"/>
      <c r="H372" s="1029"/>
      <c r="I372" s="1030"/>
      <c r="J372" s="964" t="s">
        <v>2299</v>
      </c>
    </row>
    <row r="373" spans="1:10" hidden="1">
      <c r="A373" s="1029"/>
      <c r="B373" s="1005"/>
      <c r="C373" s="1031" t="s">
        <v>1656</v>
      </c>
      <c r="D373" s="1025">
        <v>0.6</v>
      </c>
      <c r="E373" s="1043" t="s">
        <v>27</v>
      </c>
      <c r="F373" s="1027">
        <v>1</v>
      </c>
      <c r="G373" s="1043" t="s">
        <v>27</v>
      </c>
      <c r="H373" s="1029">
        <f>'MINI SSR 2020-21'!$H$16</f>
        <v>610</v>
      </c>
      <c r="I373" s="1030">
        <f>SUM(D373*H373/F373)</f>
        <v>366</v>
      </c>
      <c r="J373" s="964" t="s">
        <v>2299</v>
      </c>
    </row>
    <row r="374" spans="1:10" hidden="1">
      <c r="A374" s="1029"/>
      <c r="B374" s="1005"/>
      <c r="C374" s="1031" t="s">
        <v>1657</v>
      </c>
      <c r="D374" s="1025">
        <v>1.2</v>
      </c>
      <c r="E374" s="1043" t="s">
        <v>27</v>
      </c>
      <c r="F374" s="1027">
        <v>1</v>
      </c>
      <c r="G374" s="1043" t="s">
        <v>27</v>
      </c>
      <c r="H374" s="1029">
        <f>'MINI SSR 2020-21'!$H$17</f>
        <v>500</v>
      </c>
      <c r="I374" s="1041">
        <f>SUM(D374*H374/F374)</f>
        <v>600</v>
      </c>
      <c r="J374" s="964" t="s">
        <v>2299</v>
      </c>
    </row>
    <row r="375" spans="1:10" hidden="1">
      <c r="A375" s="1029"/>
      <c r="B375" s="1005"/>
      <c r="C375" s="1031" t="s">
        <v>700</v>
      </c>
      <c r="D375" s="1025">
        <v>0.6</v>
      </c>
      <c r="E375" s="1043" t="s">
        <v>27</v>
      </c>
      <c r="F375" s="1027">
        <v>1</v>
      </c>
      <c r="G375" s="1043" t="s">
        <v>27</v>
      </c>
      <c r="H375" s="1029">
        <f>'MINI SSR 2020-21'!$H$18</f>
        <v>445</v>
      </c>
      <c r="I375" s="1041">
        <f>SUM(D375*H375/F375)</f>
        <v>267</v>
      </c>
      <c r="J375" s="964" t="s">
        <v>2299</v>
      </c>
    </row>
    <row r="376" spans="1:10" hidden="1">
      <c r="A376" s="1029"/>
      <c r="B376" s="1005"/>
      <c r="C376" s="1031" t="s">
        <v>327</v>
      </c>
      <c r="D376" s="1025"/>
      <c r="E376" s="1043"/>
      <c r="F376" s="1027"/>
      <c r="G376" s="1043"/>
      <c r="H376" s="1029"/>
      <c r="I376" s="1030"/>
      <c r="J376" s="964" t="s">
        <v>2299</v>
      </c>
    </row>
    <row r="377" spans="1:10" hidden="1">
      <c r="A377" s="1029"/>
      <c r="B377" s="1005"/>
      <c r="C377" s="1052" t="s">
        <v>621</v>
      </c>
      <c r="D377" s="1053">
        <v>6</v>
      </c>
      <c r="E377" s="1028" t="s">
        <v>325</v>
      </c>
      <c r="F377" s="1027">
        <v>1</v>
      </c>
      <c r="G377" s="1028" t="s">
        <v>115</v>
      </c>
      <c r="H377" s="1029">
        <f>'MINI SSR 2020-21'!C116</f>
        <v>15</v>
      </c>
      <c r="I377" s="1030">
        <f>SUM(D377*H377/F377)</f>
        <v>90</v>
      </c>
      <c r="J377" s="964" t="s">
        <v>2299</v>
      </c>
    </row>
    <row r="378" spans="1:10" ht="45" hidden="1">
      <c r="A378" s="1029"/>
      <c r="B378" s="1005"/>
      <c r="C378" s="1052" t="s">
        <v>394</v>
      </c>
      <c r="D378" s="1025">
        <v>100</v>
      </c>
      <c r="E378" s="1043" t="s">
        <v>395</v>
      </c>
      <c r="F378" s="1027">
        <v>100</v>
      </c>
      <c r="G378" s="1043" t="s">
        <v>395</v>
      </c>
      <c r="H378" s="1029">
        <f>'MINI SSR 2020-21'!C119</f>
        <v>1050</v>
      </c>
      <c r="I378" s="1030">
        <f>SUM(D378*H378/F378)</f>
        <v>1050</v>
      </c>
      <c r="J378" s="964" t="s">
        <v>2299</v>
      </c>
    </row>
    <row r="379" spans="1:10" hidden="1">
      <c r="A379" s="1029"/>
      <c r="B379" s="1005"/>
      <c r="C379" s="1031" t="s">
        <v>396</v>
      </c>
      <c r="D379" s="1025"/>
      <c r="E379" s="1028"/>
      <c r="F379" s="1027"/>
      <c r="G379" s="1028"/>
      <c r="H379" s="1029"/>
      <c r="I379" s="1030">
        <f>SUM(I373:I378)</f>
        <v>2373</v>
      </c>
      <c r="J379" s="964" t="s">
        <v>2299</v>
      </c>
    </row>
    <row r="380" spans="1:10" hidden="1">
      <c r="A380" s="1029"/>
      <c r="B380" s="1005"/>
      <c r="C380" s="1031" t="s">
        <v>397</v>
      </c>
      <c r="D380" s="1025"/>
      <c r="E380" s="1028"/>
      <c r="F380" s="1027"/>
      <c r="G380" s="1028"/>
      <c r="H380" s="1029"/>
      <c r="I380" s="1030">
        <f>ROUND(I379/6,2)</f>
        <v>395.5</v>
      </c>
      <c r="J380" s="964" t="s">
        <v>2299</v>
      </c>
    </row>
    <row r="381" spans="1:10" ht="67.5" hidden="1">
      <c r="A381" s="1051" t="s">
        <v>721</v>
      </c>
      <c r="B381" s="1024">
        <v>13</v>
      </c>
      <c r="C381" s="1031" t="s">
        <v>435</v>
      </c>
      <c r="D381" s="1035"/>
      <c r="E381" s="1026"/>
      <c r="F381" s="1035"/>
      <c r="G381" s="1026"/>
      <c r="H381" s="1031"/>
      <c r="I381" s="1031"/>
      <c r="J381" s="964" t="s">
        <v>2299</v>
      </c>
    </row>
    <row r="382" spans="1:10" ht="22.5" hidden="1">
      <c r="A382" s="1029"/>
      <c r="B382" s="1005"/>
      <c r="C382" s="1031" t="s">
        <v>391</v>
      </c>
      <c r="D382" s="1025"/>
      <c r="E382" s="1028"/>
      <c r="F382" s="1027"/>
      <c r="G382" s="1028"/>
      <c r="H382" s="1029"/>
      <c r="I382" s="1030"/>
      <c r="J382" s="964" t="s">
        <v>2299</v>
      </c>
    </row>
    <row r="383" spans="1:10" ht="33.75" hidden="1">
      <c r="A383" s="1029"/>
      <c r="B383" s="1005"/>
      <c r="C383" s="1031" t="s">
        <v>392</v>
      </c>
      <c r="D383" s="1035"/>
      <c r="E383" s="1026"/>
      <c r="F383" s="1035"/>
      <c r="G383" s="1026"/>
      <c r="H383" s="1031"/>
      <c r="I383" s="1031"/>
      <c r="J383" s="964" t="s">
        <v>2299</v>
      </c>
    </row>
    <row r="384" spans="1:10" hidden="1">
      <c r="A384" s="1029"/>
      <c r="B384" s="1005"/>
      <c r="C384" s="1031" t="s">
        <v>384</v>
      </c>
      <c r="D384" s="1025"/>
      <c r="E384" s="1028"/>
      <c r="F384" s="1027"/>
      <c r="G384" s="1028"/>
      <c r="H384" s="1029"/>
      <c r="I384" s="1030"/>
      <c r="J384" s="964" t="s">
        <v>2299</v>
      </c>
    </row>
    <row r="385" spans="1:10" hidden="1">
      <c r="A385" s="1029"/>
      <c r="B385" s="1005"/>
      <c r="C385" s="1031" t="s">
        <v>1656</v>
      </c>
      <c r="D385" s="1025">
        <v>0.6</v>
      </c>
      <c r="E385" s="1043" t="s">
        <v>27</v>
      </c>
      <c r="F385" s="1027">
        <v>1</v>
      </c>
      <c r="G385" s="1043" t="s">
        <v>27</v>
      </c>
      <c r="H385" s="1029">
        <f>'MINI SSR 2020-21'!$H$16</f>
        <v>610</v>
      </c>
      <c r="I385" s="1030">
        <f>SUM(D385*H385/F385)</f>
        <v>366</v>
      </c>
      <c r="J385" s="964" t="s">
        <v>2299</v>
      </c>
    </row>
    <row r="386" spans="1:10" hidden="1">
      <c r="A386" s="1029"/>
      <c r="B386" s="1005"/>
      <c r="C386" s="1031" t="s">
        <v>1657</v>
      </c>
      <c r="D386" s="1025">
        <v>1.2</v>
      </c>
      <c r="E386" s="1043" t="s">
        <v>27</v>
      </c>
      <c r="F386" s="1027">
        <v>1</v>
      </c>
      <c r="G386" s="1043" t="s">
        <v>27</v>
      </c>
      <c r="H386" s="1029">
        <f>'MINI SSR 2020-21'!$H$17</f>
        <v>500</v>
      </c>
      <c r="I386" s="1041">
        <f>SUM(D386*H386/F386)</f>
        <v>600</v>
      </c>
      <c r="J386" s="964" t="s">
        <v>2299</v>
      </c>
    </row>
    <row r="387" spans="1:10" hidden="1">
      <c r="A387" s="1029"/>
      <c r="B387" s="1005"/>
      <c r="C387" s="1031" t="s">
        <v>700</v>
      </c>
      <c r="D387" s="1025">
        <v>0.6</v>
      </c>
      <c r="E387" s="1043" t="s">
        <v>27</v>
      </c>
      <c r="F387" s="1027">
        <v>1</v>
      </c>
      <c r="G387" s="1043" t="s">
        <v>27</v>
      </c>
      <c r="H387" s="1029">
        <f>'MINI SSR 2020-21'!$H$18</f>
        <v>445</v>
      </c>
      <c r="I387" s="1041">
        <f>SUM(D387*H387/F387)</f>
        <v>267</v>
      </c>
      <c r="J387" s="964" t="s">
        <v>2299</v>
      </c>
    </row>
    <row r="388" spans="1:10" hidden="1">
      <c r="A388" s="1029"/>
      <c r="B388" s="1005"/>
      <c r="C388" s="1031" t="s">
        <v>327</v>
      </c>
      <c r="D388" s="1025"/>
      <c r="E388" s="1043"/>
      <c r="F388" s="1027"/>
      <c r="G388" s="1043"/>
      <c r="H388" s="1029"/>
      <c r="I388" s="1030"/>
      <c r="J388" s="964" t="s">
        <v>2299</v>
      </c>
    </row>
    <row r="389" spans="1:10" hidden="1">
      <c r="A389" s="1029"/>
      <c r="B389" s="1005"/>
      <c r="C389" s="1052" t="s">
        <v>621</v>
      </c>
      <c r="D389" s="1053">
        <v>6</v>
      </c>
      <c r="E389" s="1028" t="s">
        <v>325</v>
      </c>
      <c r="F389" s="1027">
        <v>1</v>
      </c>
      <c r="G389" s="1028" t="s">
        <v>115</v>
      </c>
      <c r="H389" s="1029">
        <f>'MINI SSR 2020-21'!C116</f>
        <v>15</v>
      </c>
      <c r="I389" s="1030">
        <f>SUM(D389*H389/F389)</f>
        <v>90</v>
      </c>
      <c r="J389" s="964" t="s">
        <v>2299</v>
      </c>
    </row>
    <row r="390" spans="1:10" ht="22.5" hidden="1">
      <c r="A390" s="1029"/>
      <c r="B390" s="1005"/>
      <c r="C390" s="1054" t="s">
        <v>393</v>
      </c>
      <c r="D390" s="1053">
        <v>6</v>
      </c>
      <c r="E390" s="1028" t="s">
        <v>325</v>
      </c>
      <c r="F390" s="1027">
        <v>1</v>
      </c>
      <c r="G390" s="1028" t="s">
        <v>115</v>
      </c>
      <c r="H390" s="1029">
        <f>'MINI SSR 2020-21'!C120</f>
        <v>19</v>
      </c>
      <c r="I390" s="1030">
        <f>SUM(D390*H390/F390)</f>
        <v>114</v>
      </c>
      <c r="J390" s="964" t="s">
        <v>2299</v>
      </c>
    </row>
    <row r="391" spans="1:10" ht="45" hidden="1">
      <c r="A391" s="1029"/>
      <c r="B391" s="1005"/>
      <c r="C391" s="1052" t="s">
        <v>394</v>
      </c>
      <c r="D391" s="1025">
        <v>100</v>
      </c>
      <c r="E391" s="1043" t="s">
        <v>395</v>
      </c>
      <c r="F391" s="1027">
        <v>100</v>
      </c>
      <c r="G391" s="1043" t="s">
        <v>395</v>
      </c>
      <c r="H391" s="1029">
        <f>'MINI SSR 2020-21'!C119</f>
        <v>1050</v>
      </c>
      <c r="I391" s="1030">
        <f>SUM(D391*H391/F391)</f>
        <v>1050</v>
      </c>
      <c r="J391" s="964" t="s">
        <v>2299</v>
      </c>
    </row>
    <row r="392" spans="1:10" hidden="1">
      <c r="A392" s="1029"/>
      <c r="B392" s="1005"/>
      <c r="C392" s="1031" t="s">
        <v>396</v>
      </c>
      <c r="D392" s="1025"/>
      <c r="E392" s="1028"/>
      <c r="F392" s="1027"/>
      <c r="G392" s="1028"/>
      <c r="H392" s="1029"/>
      <c r="I392" s="1030">
        <f>SUM(I385:I391)</f>
        <v>2487</v>
      </c>
      <c r="J392" s="964" t="s">
        <v>2299</v>
      </c>
    </row>
    <row r="393" spans="1:10" hidden="1">
      <c r="A393" s="1029"/>
      <c r="B393" s="1005"/>
      <c r="C393" s="1031" t="s">
        <v>397</v>
      </c>
      <c r="D393" s="1025"/>
      <c r="E393" s="1028"/>
      <c r="F393" s="1027"/>
      <c r="G393" s="1028"/>
      <c r="H393" s="1029"/>
      <c r="I393" s="1030">
        <f>ROUND(I392/6,2)</f>
        <v>414.5</v>
      </c>
      <c r="J393" s="964" t="s">
        <v>2299</v>
      </c>
    </row>
    <row r="394" spans="1:10" ht="45" hidden="1">
      <c r="A394" s="1051" t="s">
        <v>722</v>
      </c>
      <c r="B394" s="1024">
        <v>13</v>
      </c>
      <c r="C394" s="1031" t="s">
        <v>432</v>
      </c>
      <c r="D394" s="1035"/>
      <c r="E394" s="1026"/>
      <c r="F394" s="1035"/>
      <c r="G394" s="1026"/>
      <c r="H394" s="1031"/>
      <c r="I394" s="1031"/>
      <c r="J394" s="964" t="s">
        <v>2299</v>
      </c>
    </row>
    <row r="395" spans="1:10" hidden="1">
      <c r="A395" s="1029"/>
      <c r="B395" s="1005"/>
      <c r="C395" s="1031" t="s">
        <v>384</v>
      </c>
      <c r="D395" s="1025"/>
      <c r="E395" s="1028"/>
      <c r="F395" s="1027"/>
      <c r="G395" s="1028"/>
      <c r="H395" s="1029"/>
      <c r="I395" s="1030"/>
      <c r="J395" s="964" t="s">
        <v>2299</v>
      </c>
    </row>
    <row r="396" spans="1:10" hidden="1">
      <c r="A396" s="1029"/>
      <c r="B396" s="1005"/>
      <c r="C396" s="1031" t="s">
        <v>1656</v>
      </c>
      <c r="D396" s="1061">
        <v>6.7000000000000004E-2</v>
      </c>
      <c r="E396" s="1043" t="s">
        <v>27</v>
      </c>
      <c r="F396" s="1027">
        <v>1</v>
      </c>
      <c r="G396" s="1043" t="s">
        <v>27</v>
      </c>
      <c r="H396" s="1029">
        <f>'MINI SSR 2020-21'!$H$16</f>
        <v>610</v>
      </c>
      <c r="I396" s="1030">
        <f>SUM(D396*H396/F396)</f>
        <v>40.870000000000005</v>
      </c>
      <c r="J396" s="964" t="s">
        <v>2299</v>
      </c>
    </row>
    <row r="397" spans="1:10" hidden="1">
      <c r="A397" s="1029"/>
      <c r="B397" s="1005"/>
      <c r="C397" s="1031" t="s">
        <v>700</v>
      </c>
      <c r="D397" s="1061">
        <v>6.7000000000000004E-2</v>
      </c>
      <c r="E397" s="1043" t="s">
        <v>27</v>
      </c>
      <c r="F397" s="1027">
        <v>1</v>
      </c>
      <c r="G397" s="1043" t="s">
        <v>27</v>
      </c>
      <c r="H397" s="1029">
        <f>'MINI SSR 2020-21'!$H$18</f>
        <v>445</v>
      </c>
      <c r="I397" s="1041">
        <f>SUM(D397*H397/F397)</f>
        <v>29.815000000000001</v>
      </c>
      <c r="J397" s="964" t="s">
        <v>2299</v>
      </c>
    </row>
    <row r="398" spans="1:10" hidden="1">
      <c r="A398" s="1029"/>
      <c r="B398" s="1005"/>
      <c r="C398" s="1031" t="s">
        <v>327</v>
      </c>
      <c r="D398" s="1025"/>
      <c r="E398" s="1043"/>
      <c r="F398" s="1027"/>
      <c r="G398" s="1043"/>
      <c r="H398" s="1029"/>
      <c r="I398" s="1030"/>
      <c r="J398" s="964" t="s">
        <v>2299</v>
      </c>
    </row>
    <row r="399" spans="1:10" hidden="1">
      <c r="A399" s="1029"/>
      <c r="B399" s="1005"/>
      <c r="C399" s="1052" t="s">
        <v>621</v>
      </c>
      <c r="D399" s="1053">
        <v>1</v>
      </c>
      <c r="E399" s="1028" t="s">
        <v>325</v>
      </c>
      <c r="F399" s="1027">
        <v>1</v>
      </c>
      <c r="G399" s="1028" t="s">
        <v>115</v>
      </c>
      <c r="H399" s="1029">
        <f>'MINI SSR 2020-21'!C116</f>
        <v>15</v>
      </c>
      <c r="I399" s="1030">
        <f>SUM(D399*H399/F399)</f>
        <v>15</v>
      </c>
      <c r="J399" s="964" t="s">
        <v>2299</v>
      </c>
    </row>
    <row r="400" spans="1:10" hidden="1">
      <c r="A400" s="1029"/>
      <c r="B400" s="1005"/>
      <c r="C400" s="1052" t="s">
        <v>622</v>
      </c>
      <c r="D400" s="1053">
        <v>1</v>
      </c>
      <c r="E400" s="1028" t="s">
        <v>115</v>
      </c>
      <c r="F400" s="1027">
        <v>1</v>
      </c>
      <c r="G400" s="1028" t="s">
        <v>115</v>
      </c>
      <c r="H400" s="1029">
        <f>'MINI SSR 2020-21'!C118</f>
        <v>24</v>
      </c>
      <c r="I400" s="1030">
        <f>SUM(D400*H400/F400)</f>
        <v>24</v>
      </c>
      <c r="J400" s="964" t="s">
        <v>2299</v>
      </c>
    </row>
    <row r="401" spans="1:10" hidden="1">
      <c r="A401" s="1029"/>
      <c r="B401" s="1005"/>
      <c r="C401" s="1036" t="s">
        <v>388</v>
      </c>
      <c r="D401" s="1049"/>
      <c r="E401" s="1028"/>
      <c r="F401" s="1062"/>
      <c r="G401" s="1063"/>
      <c r="H401" s="1064"/>
      <c r="I401" s="1030">
        <f>SUM(I396:I400)</f>
        <v>109.685</v>
      </c>
      <c r="J401" s="964" t="s">
        <v>2299</v>
      </c>
    </row>
    <row r="402" spans="1:10" ht="45" hidden="1">
      <c r="A402" s="1051" t="s">
        <v>1262</v>
      </c>
      <c r="B402" s="1024">
        <v>14</v>
      </c>
      <c r="C402" s="1031" t="s">
        <v>1237</v>
      </c>
      <c r="D402" s="1035"/>
      <c r="E402" s="1026"/>
      <c r="F402" s="1035"/>
      <c r="G402" s="1026"/>
      <c r="H402" s="1031"/>
      <c r="I402" s="1031"/>
      <c r="J402" s="964" t="s">
        <v>2299</v>
      </c>
    </row>
    <row r="403" spans="1:10" hidden="1">
      <c r="A403" s="1029"/>
      <c r="B403" s="1005"/>
      <c r="C403" s="1031" t="s">
        <v>384</v>
      </c>
      <c r="D403" s="1025"/>
      <c r="E403" s="1028"/>
      <c r="F403" s="1027"/>
      <c r="G403" s="1028"/>
      <c r="H403" s="1029"/>
      <c r="I403" s="1030"/>
      <c r="J403" s="964" t="s">
        <v>2299</v>
      </c>
    </row>
    <row r="404" spans="1:10" hidden="1">
      <c r="A404" s="1029"/>
      <c r="B404" s="1005"/>
      <c r="C404" s="1031" t="s">
        <v>1656</v>
      </c>
      <c r="D404" s="1061">
        <v>0.1</v>
      </c>
      <c r="E404" s="1043" t="s">
        <v>27</v>
      </c>
      <c r="F404" s="1027">
        <v>1</v>
      </c>
      <c r="G404" s="1043" t="s">
        <v>27</v>
      </c>
      <c r="H404" s="1029">
        <f>'MINI SSR 2020-21'!$H$16</f>
        <v>610</v>
      </c>
      <c r="I404" s="1030">
        <f>SUM(D404*H404/F404)</f>
        <v>61</v>
      </c>
      <c r="J404" s="964" t="s">
        <v>2299</v>
      </c>
    </row>
    <row r="405" spans="1:10" hidden="1">
      <c r="A405" s="1029"/>
      <c r="B405" s="1005"/>
      <c r="C405" s="1031" t="s">
        <v>700</v>
      </c>
      <c r="D405" s="1061">
        <v>0.1</v>
      </c>
      <c r="E405" s="1043" t="s">
        <v>27</v>
      </c>
      <c r="F405" s="1027">
        <v>1</v>
      </c>
      <c r="G405" s="1043" t="s">
        <v>27</v>
      </c>
      <c r="H405" s="1029">
        <f>'MINI SSR 2020-21'!$H$18</f>
        <v>445</v>
      </c>
      <c r="I405" s="1041">
        <f>SUM(D405*H405/F405)</f>
        <v>44.5</v>
      </c>
      <c r="J405" s="964" t="s">
        <v>2299</v>
      </c>
    </row>
    <row r="406" spans="1:10" hidden="1">
      <c r="A406" s="1029"/>
      <c r="B406" s="1005"/>
      <c r="C406" s="1031" t="s">
        <v>327</v>
      </c>
      <c r="D406" s="1025"/>
      <c r="E406" s="1043"/>
      <c r="F406" s="1027"/>
      <c r="G406" s="1043"/>
      <c r="H406" s="1029"/>
      <c r="I406" s="1030"/>
      <c r="J406" s="964" t="s">
        <v>2299</v>
      </c>
    </row>
    <row r="407" spans="1:10" hidden="1">
      <c r="A407" s="1029"/>
      <c r="B407" s="1005"/>
      <c r="C407" s="1052" t="s">
        <v>1263</v>
      </c>
      <c r="D407" s="1053">
        <v>1</v>
      </c>
      <c r="E407" s="1028" t="s">
        <v>325</v>
      </c>
      <c r="F407" s="1027">
        <v>1</v>
      </c>
      <c r="G407" s="1028" t="s">
        <v>115</v>
      </c>
      <c r="H407" s="1029">
        <f>'MINI SSR 2020-21'!C121</f>
        <v>40</v>
      </c>
      <c r="I407" s="1030">
        <f>SUM(D407*H407/F407)</f>
        <v>40</v>
      </c>
      <c r="J407" s="964" t="s">
        <v>2299</v>
      </c>
    </row>
    <row r="408" spans="1:10" hidden="1">
      <c r="A408" s="1029"/>
      <c r="B408" s="1005"/>
      <c r="C408" s="1052" t="s">
        <v>1265</v>
      </c>
      <c r="D408" s="1053">
        <v>1</v>
      </c>
      <c r="E408" s="1028" t="s">
        <v>115</v>
      </c>
      <c r="F408" s="1027">
        <v>1</v>
      </c>
      <c r="G408" s="1028" t="s">
        <v>115</v>
      </c>
      <c r="H408" s="1029">
        <f>'MINI SSR 2020-21'!C122</f>
        <v>115</v>
      </c>
      <c r="I408" s="1030">
        <f>SUM(D408*H408/F408)</f>
        <v>115</v>
      </c>
      <c r="J408" s="964" t="s">
        <v>2299</v>
      </c>
    </row>
    <row r="409" spans="1:10" ht="22.5" hidden="1">
      <c r="A409" s="1029"/>
      <c r="B409" s="1005"/>
      <c r="C409" s="1052" t="s">
        <v>1264</v>
      </c>
      <c r="D409" s="1053">
        <v>1</v>
      </c>
      <c r="E409" s="1028" t="s">
        <v>115</v>
      </c>
      <c r="F409" s="1027">
        <v>1</v>
      </c>
      <c r="G409" s="1028" t="s">
        <v>115</v>
      </c>
      <c r="H409" s="1029">
        <f>'MINI SSR 2020-21'!C123</f>
        <v>115</v>
      </c>
      <c r="I409" s="1030">
        <f>SUM(D409*H409/F409)</f>
        <v>115</v>
      </c>
      <c r="J409" s="964" t="s">
        <v>2299</v>
      </c>
    </row>
    <row r="410" spans="1:10" hidden="1">
      <c r="A410" s="1029"/>
      <c r="B410" s="1005"/>
      <c r="C410" s="1036" t="s">
        <v>388</v>
      </c>
      <c r="D410" s="1049"/>
      <c r="E410" s="1028"/>
      <c r="F410" s="1062"/>
      <c r="G410" s="1063"/>
      <c r="H410" s="1064"/>
      <c r="I410" s="1030">
        <f>SUM(I404:I409)</f>
        <v>375.5</v>
      </c>
      <c r="J410" s="964" t="s">
        <v>2299</v>
      </c>
    </row>
    <row r="411" spans="1:10" ht="45" hidden="1">
      <c r="A411" s="1029" t="s">
        <v>441</v>
      </c>
      <c r="B411" s="1024">
        <v>27</v>
      </c>
      <c r="C411" s="1031" t="s">
        <v>620</v>
      </c>
      <c r="D411" s="1035"/>
      <c r="E411" s="1026"/>
      <c r="F411" s="1035"/>
      <c r="G411" s="1026"/>
      <c r="H411" s="1031"/>
      <c r="I411" s="1031"/>
      <c r="J411" s="964" t="s">
        <v>2299</v>
      </c>
    </row>
    <row r="412" spans="1:10" hidden="1">
      <c r="A412" s="1029"/>
      <c r="B412" s="1005"/>
      <c r="C412" s="1031" t="s">
        <v>384</v>
      </c>
      <c r="D412" s="1025"/>
      <c r="E412" s="1028"/>
      <c r="F412" s="1027"/>
      <c r="G412" s="1028"/>
      <c r="H412" s="1029"/>
      <c r="I412" s="1030"/>
      <c r="J412" s="964" t="s">
        <v>2299</v>
      </c>
    </row>
    <row r="413" spans="1:10" hidden="1">
      <c r="A413" s="1029"/>
      <c r="B413" s="1005"/>
      <c r="C413" s="1031" t="s">
        <v>1656</v>
      </c>
      <c r="D413" s="1061">
        <v>6.7000000000000004E-2</v>
      </c>
      <c r="E413" s="1043" t="s">
        <v>27</v>
      </c>
      <c r="F413" s="1027">
        <v>1</v>
      </c>
      <c r="G413" s="1043" t="s">
        <v>27</v>
      </c>
      <c r="H413" s="1029">
        <f>'MINI SSR 2020-21'!$H$16</f>
        <v>610</v>
      </c>
      <c r="I413" s="1030">
        <f>SUM(D413*H413/F413)</f>
        <v>40.870000000000005</v>
      </c>
      <c r="J413" s="964" t="s">
        <v>2299</v>
      </c>
    </row>
    <row r="414" spans="1:10" hidden="1">
      <c r="A414" s="1029"/>
      <c r="B414" s="1005"/>
      <c r="C414" s="1031" t="s">
        <v>700</v>
      </c>
      <c r="D414" s="1061">
        <v>6.7000000000000004E-2</v>
      </c>
      <c r="E414" s="1043" t="s">
        <v>27</v>
      </c>
      <c r="F414" s="1027">
        <v>1</v>
      </c>
      <c r="G414" s="1043" t="s">
        <v>27</v>
      </c>
      <c r="H414" s="1029">
        <f>'MINI SSR 2020-21'!$H$18</f>
        <v>445</v>
      </c>
      <c r="I414" s="1041">
        <f>SUM(D414*H414/F414)</f>
        <v>29.815000000000001</v>
      </c>
      <c r="J414" s="964" t="s">
        <v>2299</v>
      </c>
    </row>
    <row r="415" spans="1:10" hidden="1">
      <c r="A415" s="1029"/>
      <c r="B415" s="1005"/>
      <c r="C415" s="1031" t="s">
        <v>327</v>
      </c>
      <c r="D415" s="1025"/>
      <c r="E415" s="1043"/>
      <c r="F415" s="1027"/>
      <c r="G415" s="1043"/>
      <c r="H415" s="1029"/>
      <c r="I415" s="1030"/>
      <c r="J415" s="964" t="s">
        <v>2299</v>
      </c>
    </row>
    <row r="416" spans="1:10" hidden="1">
      <c r="A416" s="1029"/>
      <c r="B416" s="1005"/>
      <c r="C416" s="1052" t="s">
        <v>621</v>
      </c>
      <c r="D416" s="1053">
        <v>1</v>
      </c>
      <c r="E416" s="1028" t="s">
        <v>325</v>
      </c>
      <c r="F416" s="1027">
        <v>1</v>
      </c>
      <c r="G416" s="1028" t="s">
        <v>115</v>
      </c>
      <c r="H416" s="1029">
        <f>'MINI SSR 2020-21'!C116</f>
        <v>15</v>
      </c>
      <c r="I416" s="1030">
        <f>SUM(D416*H416/F416)</f>
        <v>15</v>
      </c>
      <c r="J416" s="964" t="s">
        <v>2299</v>
      </c>
    </row>
    <row r="417" spans="1:10" hidden="1">
      <c r="A417" s="1029"/>
      <c r="B417" s="1005"/>
      <c r="C417" s="1052" t="s">
        <v>623</v>
      </c>
      <c r="D417" s="1053">
        <v>1</v>
      </c>
      <c r="E417" s="1028" t="s">
        <v>115</v>
      </c>
      <c r="F417" s="1027">
        <v>1</v>
      </c>
      <c r="G417" s="1028" t="s">
        <v>115</v>
      </c>
      <c r="H417" s="1029">
        <f>'MINI SSR 2020-21'!C117</f>
        <v>18</v>
      </c>
      <c r="I417" s="1030">
        <f>SUM(D417*H417/F417)</f>
        <v>18</v>
      </c>
      <c r="J417" s="964" t="s">
        <v>2299</v>
      </c>
    </row>
    <row r="418" spans="1:10" hidden="1">
      <c r="A418" s="1029"/>
      <c r="B418" s="1005"/>
      <c r="C418" s="1031" t="s">
        <v>945</v>
      </c>
      <c r="D418" s="1049"/>
      <c r="E418" s="1028"/>
      <c r="F418" s="1062"/>
      <c r="G418" s="1063"/>
      <c r="H418" s="1064"/>
      <c r="I418" s="1030">
        <f>SUM(I413:I417)</f>
        <v>103.685</v>
      </c>
      <c r="J418" s="964" t="s">
        <v>2299</v>
      </c>
    </row>
    <row r="419" spans="1:10" ht="33.75" hidden="1">
      <c r="A419" s="1029" t="s">
        <v>1659</v>
      </c>
      <c r="B419" s="1024">
        <v>29</v>
      </c>
      <c r="C419" s="1031" t="s">
        <v>1660</v>
      </c>
      <c r="D419" s="1032"/>
      <c r="E419" s="1033"/>
      <c r="F419" s="1032"/>
      <c r="G419" s="1033"/>
      <c r="H419" s="1005"/>
      <c r="I419" s="1034"/>
      <c r="J419" s="964" t="s">
        <v>2299</v>
      </c>
    </row>
    <row r="420" spans="1:10" ht="22.5" hidden="1">
      <c r="A420" s="1024"/>
      <c r="B420" s="1005"/>
      <c r="C420" s="1031" t="s">
        <v>391</v>
      </c>
      <c r="D420" s="1025"/>
      <c r="E420" s="1028"/>
      <c r="F420" s="1027"/>
      <c r="G420" s="1028"/>
      <c r="H420" s="1029"/>
      <c r="I420" s="1030"/>
      <c r="J420" s="964" t="s">
        <v>2299</v>
      </c>
    </row>
    <row r="421" spans="1:10" hidden="1">
      <c r="A421" s="1024"/>
      <c r="B421" s="1005"/>
      <c r="C421" s="1031" t="s">
        <v>384</v>
      </c>
      <c r="D421" s="1025"/>
      <c r="E421" s="1028"/>
      <c r="F421" s="1027"/>
      <c r="G421" s="1028"/>
      <c r="H421" s="1029"/>
      <c r="I421" s="1030"/>
      <c r="J421" s="964" t="s">
        <v>2299</v>
      </c>
    </row>
    <row r="422" spans="1:10" hidden="1">
      <c r="A422" s="1024"/>
      <c r="B422" s="1005"/>
      <c r="C422" s="1042" t="s">
        <v>1656</v>
      </c>
      <c r="D422" s="1025">
        <v>0.67</v>
      </c>
      <c r="E422" s="1043" t="s">
        <v>27</v>
      </c>
      <c r="F422" s="1027">
        <v>1</v>
      </c>
      <c r="G422" s="1043" t="s">
        <v>27</v>
      </c>
      <c r="H422" s="1029">
        <f>'MINI SSR 2020-21'!$H$16</f>
        <v>610</v>
      </c>
      <c r="I422" s="1030">
        <f>SUM(D422*H422/F422)</f>
        <v>408.70000000000005</v>
      </c>
      <c r="J422" s="964" t="s">
        <v>2299</v>
      </c>
    </row>
    <row r="423" spans="1:10" hidden="1">
      <c r="A423" s="1024"/>
      <c r="B423" s="1005"/>
      <c r="C423" s="1042" t="s">
        <v>1657</v>
      </c>
      <c r="D423" s="1025">
        <v>2</v>
      </c>
      <c r="E423" s="1043" t="s">
        <v>27</v>
      </c>
      <c r="F423" s="1027">
        <v>1</v>
      </c>
      <c r="G423" s="1043" t="s">
        <v>27</v>
      </c>
      <c r="H423" s="1029">
        <f>'MINI SSR 2020-21'!$H$17</f>
        <v>500</v>
      </c>
      <c r="I423" s="1030">
        <f>SUM(D423*H423/F423)</f>
        <v>1000</v>
      </c>
      <c r="J423" s="964" t="s">
        <v>2299</v>
      </c>
    </row>
    <row r="424" spans="1:10" hidden="1">
      <c r="A424" s="1024"/>
      <c r="B424" s="1005"/>
      <c r="C424" s="1042" t="s">
        <v>700</v>
      </c>
      <c r="D424" s="1025">
        <v>0.67</v>
      </c>
      <c r="E424" s="1043" t="s">
        <v>27</v>
      </c>
      <c r="F424" s="1027">
        <v>1</v>
      </c>
      <c r="G424" s="1043" t="s">
        <v>27</v>
      </c>
      <c r="H424" s="1029">
        <f>'MINI SSR 2020-21'!$H$18</f>
        <v>445</v>
      </c>
      <c r="I424" s="1030">
        <f>SUM(D424*H424/F424)</f>
        <v>298.15000000000003</v>
      </c>
      <c r="J424" s="964" t="s">
        <v>2299</v>
      </c>
    </row>
    <row r="425" spans="1:10" hidden="1">
      <c r="A425" s="1024"/>
      <c r="B425" s="1005"/>
      <c r="C425" s="1031" t="s">
        <v>327</v>
      </c>
      <c r="D425" s="1025"/>
      <c r="E425" s="1043"/>
      <c r="F425" s="1027"/>
      <c r="G425" s="1043"/>
      <c r="H425" s="1029"/>
      <c r="I425" s="1030"/>
      <c r="J425" s="964" t="s">
        <v>2299</v>
      </c>
    </row>
    <row r="426" spans="1:10" ht="33.75" hidden="1">
      <c r="A426" s="1024"/>
      <c r="B426" s="1005">
        <v>30</v>
      </c>
      <c r="C426" s="1052" t="s">
        <v>398</v>
      </c>
      <c r="D426" s="1025">
        <v>200</v>
      </c>
      <c r="E426" s="1028" t="s">
        <v>395</v>
      </c>
      <c r="F426" s="1027">
        <v>100</v>
      </c>
      <c r="G426" s="1028" t="s">
        <v>395</v>
      </c>
      <c r="H426" s="1029">
        <f>'MINI SSR 2020-21'!C128</f>
        <v>1510</v>
      </c>
      <c r="I426" s="1030">
        <f>SUM(D426*H426/F426)</f>
        <v>3020</v>
      </c>
      <c r="J426" s="964" t="s">
        <v>2299</v>
      </c>
    </row>
    <row r="427" spans="1:10" hidden="1">
      <c r="A427" s="1024"/>
      <c r="B427" s="1005"/>
      <c r="C427" s="1031" t="s">
        <v>399</v>
      </c>
      <c r="D427" s="1025"/>
      <c r="E427" s="1028"/>
      <c r="F427" s="1027"/>
      <c r="G427" s="1028"/>
      <c r="H427" s="1029"/>
      <c r="I427" s="1030">
        <f>SUM(I426:I426)</f>
        <v>3020</v>
      </c>
      <c r="J427" s="964" t="s">
        <v>2299</v>
      </c>
    </row>
    <row r="428" spans="1:10" hidden="1">
      <c r="A428" s="1024"/>
      <c r="B428" s="1005"/>
      <c r="C428" s="1031" t="s">
        <v>400</v>
      </c>
      <c r="D428" s="1025"/>
      <c r="E428" s="1028"/>
      <c r="F428" s="1027"/>
      <c r="G428" s="1028"/>
      <c r="H428" s="1029"/>
      <c r="I428" s="1030">
        <f>SUM(I427/100)</f>
        <v>30.2</v>
      </c>
      <c r="J428" s="964" t="s">
        <v>2299</v>
      </c>
    </row>
    <row r="429" spans="1:10" hidden="1">
      <c r="A429" s="1024"/>
      <c r="B429" s="1005"/>
      <c r="C429" s="1031" t="s">
        <v>399</v>
      </c>
      <c r="D429" s="1025"/>
      <c r="E429" s="1028"/>
      <c r="F429" s="1027"/>
      <c r="G429" s="1028"/>
      <c r="H429" s="1064"/>
      <c r="I429" s="1030">
        <f>SUM(I426:I428)</f>
        <v>6070.2</v>
      </c>
      <c r="J429" s="964" t="s">
        <v>2299</v>
      </c>
    </row>
    <row r="430" spans="1:10" hidden="1">
      <c r="A430" s="1024"/>
      <c r="B430" s="1005"/>
      <c r="C430" s="1031" t="s">
        <v>400</v>
      </c>
      <c r="D430" s="1025"/>
      <c r="E430" s="1028"/>
      <c r="F430" s="1027"/>
      <c r="G430" s="1028"/>
      <c r="H430" s="1064"/>
      <c r="I430" s="1030">
        <f>ROUND(I429/100,2)</f>
        <v>60.7</v>
      </c>
      <c r="J430" s="964" t="s">
        <v>2299</v>
      </c>
    </row>
    <row r="431" spans="1:10" ht="33.75" hidden="1">
      <c r="A431" s="1029" t="s">
        <v>2081</v>
      </c>
      <c r="B431" s="1024">
        <v>15</v>
      </c>
      <c r="C431" s="1031" t="s">
        <v>2086</v>
      </c>
      <c r="D431" s="1032"/>
      <c r="E431" s="1033"/>
      <c r="F431" s="1032"/>
      <c r="G431" s="1033"/>
      <c r="H431" s="1005"/>
      <c r="I431" s="1034"/>
      <c r="J431" s="964" t="s">
        <v>2299</v>
      </c>
    </row>
    <row r="432" spans="1:10" hidden="1">
      <c r="A432" s="1024"/>
      <c r="B432" s="1005"/>
      <c r="C432" s="1031" t="s">
        <v>384</v>
      </c>
      <c r="D432" s="1025"/>
      <c r="E432" s="1028"/>
      <c r="F432" s="1027"/>
      <c r="G432" s="1028"/>
      <c r="H432" s="1029"/>
      <c r="I432" s="1030"/>
      <c r="J432" s="964" t="s">
        <v>2299</v>
      </c>
    </row>
    <row r="433" spans="1:10" hidden="1">
      <c r="A433" s="1024"/>
      <c r="B433" s="1005"/>
      <c r="C433" s="1042" t="s">
        <v>1656</v>
      </c>
      <c r="D433" s="1025">
        <v>0.34</v>
      </c>
      <c r="E433" s="1043" t="s">
        <v>27</v>
      </c>
      <c r="F433" s="1027">
        <v>1</v>
      </c>
      <c r="G433" s="1043" t="s">
        <v>27</v>
      </c>
      <c r="H433" s="1029">
        <f>'MINI SSR 2020-21'!$H$16</f>
        <v>610</v>
      </c>
      <c r="I433" s="1030">
        <f>SUM(D433*H433/F433)</f>
        <v>207.4</v>
      </c>
      <c r="J433" s="964" t="s">
        <v>2299</v>
      </c>
    </row>
    <row r="434" spans="1:10" hidden="1">
      <c r="A434" s="1024"/>
      <c r="B434" s="1005"/>
      <c r="C434" s="1042" t="s">
        <v>1657</v>
      </c>
      <c r="D434" s="1025">
        <v>1</v>
      </c>
      <c r="E434" s="1043" t="s">
        <v>27</v>
      </c>
      <c r="F434" s="1027">
        <v>1</v>
      </c>
      <c r="G434" s="1043" t="s">
        <v>27</v>
      </c>
      <c r="H434" s="1029">
        <f>'MINI SSR 2020-21'!$H$17</f>
        <v>500</v>
      </c>
      <c r="I434" s="1030">
        <f>SUM(D434*H434/F434)</f>
        <v>500</v>
      </c>
      <c r="J434" s="964" t="s">
        <v>2299</v>
      </c>
    </row>
    <row r="435" spans="1:10" hidden="1">
      <c r="A435" s="1024"/>
      <c r="B435" s="1005"/>
      <c r="C435" s="1042" t="s">
        <v>700</v>
      </c>
      <c r="D435" s="1025">
        <v>0.34</v>
      </c>
      <c r="E435" s="1043" t="s">
        <v>27</v>
      </c>
      <c r="F435" s="1027">
        <v>1</v>
      </c>
      <c r="G435" s="1043" t="s">
        <v>27</v>
      </c>
      <c r="H435" s="1029">
        <f>'MINI SSR 2020-21'!$H$18</f>
        <v>445</v>
      </c>
      <c r="I435" s="1030">
        <f>SUM(D435*H435/F435)</f>
        <v>151.30000000000001</v>
      </c>
      <c r="J435" s="964" t="s">
        <v>2299</v>
      </c>
    </row>
    <row r="436" spans="1:10" hidden="1">
      <c r="A436" s="1024"/>
      <c r="B436" s="1005"/>
      <c r="C436" s="1052" t="s">
        <v>2082</v>
      </c>
      <c r="D436" s="1025">
        <v>100</v>
      </c>
      <c r="E436" s="1028" t="s">
        <v>395</v>
      </c>
      <c r="F436" s="1027">
        <v>100</v>
      </c>
      <c r="G436" s="1028" t="s">
        <v>395</v>
      </c>
      <c r="H436" s="1029">
        <f>'MINI SSR 2020-21'!C134</f>
        <v>1050</v>
      </c>
      <c r="I436" s="1030">
        <f>SUM(D436*H436/F436)</f>
        <v>1050</v>
      </c>
      <c r="J436" s="964" t="s">
        <v>2299</v>
      </c>
    </row>
    <row r="437" spans="1:10" hidden="1">
      <c r="A437" s="1024"/>
      <c r="B437" s="1005"/>
      <c r="C437" s="1031" t="s">
        <v>399</v>
      </c>
      <c r="D437" s="1025"/>
      <c r="E437" s="1028"/>
      <c r="F437" s="1027"/>
      <c r="G437" s="1028"/>
      <c r="H437" s="1029"/>
      <c r="I437" s="1030">
        <f>SUM(I433:I436)</f>
        <v>1908.7</v>
      </c>
      <c r="J437" s="964" t="s">
        <v>2299</v>
      </c>
    </row>
    <row r="438" spans="1:10" hidden="1">
      <c r="A438" s="1024"/>
      <c r="B438" s="1005"/>
      <c r="C438" s="1031" t="s">
        <v>400</v>
      </c>
      <c r="D438" s="1025"/>
      <c r="E438" s="1028"/>
      <c r="F438" s="1027"/>
      <c r="G438" s="1028"/>
      <c r="H438" s="1029"/>
      <c r="I438" s="1030">
        <f>ROUND(I437/100,2)</f>
        <v>19.09</v>
      </c>
      <c r="J438" s="964" t="s">
        <v>2299</v>
      </c>
    </row>
    <row r="439" spans="1:10" ht="46.5" hidden="1" customHeight="1">
      <c r="A439" s="1051" t="s">
        <v>723</v>
      </c>
      <c r="B439" s="1024">
        <v>16</v>
      </c>
      <c r="C439" s="1031" t="s">
        <v>401</v>
      </c>
      <c r="D439" s="1032"/>
      <c r="E439" s="1033"/>
      <c r="F439" s="1032"/>
      <c r="G439" s="1033"/>
      <c r="H439" s="1005"/>
      <c r="I439" s="1030"/>
      <c r="J439" s="964" t="s">
        <v>2299</v>
      </c>
    </row>
    <row r="440" spans="1:10" ht="22.5" hidden="1">
      <c r="A440" s="1024"/>
      <c r="B440" s="1005"/>
      <c r="C440" s="1031" t="s">
        <v>391</v>
      </c>
      <c r="D440" s="1025"/>
      <c r="E440" s="1028"/>
      <c r="F440" s="1027"/>
      <c r="G440" s="1028"/>
      <c r="H440" s="1029"/>
      <c r="I440" s="1030"/>
      <c r="J440" s="964" t="s">
        <v>2299</v>
      </c>
    </row>
    <row r="441" spans="1:10" hidden="1">
      <c r="A441" s="1024"/>
      <c r="B441" s="1005"/>
      <c r="C441" s="1031" t="s">
        <v>384</v>
      </c>
      <c r="D441" s="1025"/>
      <c r="E441" s="1028"/>
      <c r="F441" s="1027"/>
      <c r="G441" s="1028"/>
      <c r="H441" s="1029"/>
      <c r="I441" s="1030"/>
      <c r="J441" s="964" t="s">
        <v>2299</v>
      </c>
    </row>
    <row r="442" spans="1:10" hidden="1">
      <c r="A442" s="1024"/>
      <c r="B442" s="1005"/>
      <c r="C442" s="1042" t="s">
        <v>1656</v>
      </c>
      <c r="D442" s="1025">
        <v>0.67</v>
      </c>
      <c r="E442" s="1043" t="s">
        <v>27</v>
      </c>
      <c r="F442" s="1027">
        <v>1</v>
      </c>
      <c r="G442" s="1043" t="s">
        <v>27</v>
      </c>
      <c r="H442" s="1029">
        <f>'MINI SSR 2020-21'!$H$16</f>
        <v>610</v>
      </c>
      <c r="I442" s="1030">
        <f>SUM(D442*H442/F442)</f>
        <v>408.70000000000005</v>
      </c>
      <c r="J442" s="964" t="s">
        <v>2299</v>
      </c>
    </row>
    <row r="443" spans="1:10" hidden="1">
      <c r="A443" s="1024"/>
      <c r="B443" s="1005"/>
      <c r="C443" s="1042" t="s">
        <v>1657</v>
      </c>
      <c r="D443" s="1025">
        <v>2</v>
      </c>
      <c r="E443" s="1043" t="s">
        <v>27</v>
      </c>
      <c r="F443" s="1027">
        <v>1</v>
      </c>
      <c r="G443" s="1043" t="s">
        <v>27</v>
      </c>
      <c r="H443" s="1029">
        <f>'MINI SSR 2020-21'!$H$17</f>
        <v>500</v>
      </c>
      <c r="I443" s="1030">
        <f>SUM(D443*H443/F443)</f>
        <v>1000</v>
      </c>
      <c r="J443" s="964" t="s">
        <v>2299</v>
      </c>
    </row>
    <row r="444" spans="1:10" hidden="1">
      <c r="A444" s="1024"/>
      <c r="B444" s="1005"/>
      <c r="C444" s="1042" t="s">
        <v>700</v>
      </c>
      <c r="D444" s="1025">
        <v>0.67</v>
      </c>
      <c r="E444" s="1043" t="s">
        <v>27</v>
      </c>
      <c r="F444" s="1027">
        <v>1</v>
      </c>
      <c r="G444" s="1043" t="s">
        <v>27</v>
      </c>
      <c r="H444" s="1029">
        <f>'MINI SSR 2020-21'!$H$18</f>
        <v>445</v>
      </c>
      <c r="I444" s="1030">
        <f>SUM(D444*H444/F444)</f>
        <v>298.15000000000003</v>
      </c>
      <c r="J444" s="964" t="s">
        <v>2299</v>
      </c>
    </row>
    <row r="445" spans="1:10" hidden="1">
      <c r="A445" s="1024"/>
      <c r="B445" s="1005"/>
      <c r="C445" s="1031" t="s">
        <v>327</v>
      </c>
      <c r="D445" s="1025"/>
      <c r="E445" s="1043"/>
      <c r="F445" s="1027"/>
      <c r="G445" s="1043"/>
      <c r="H445" s="1029"/>
      <c r="I445" s="1030"/>
      <c r="J445" s="964" t="s">
        <v>2299</v>
      </c>
    </row>
    <row r="446" spans="1:10" ht="33.75" hidden="1">
      <c r="A446" s="1024"/>
      <c r="B446" s="1005"/>
      <c r="C446" s="1052" t="s">
        <v>1661</v>
      </c>
      <c r="D446" s="1025">
        <v>200</v>
      </c>
      <c r="E446" s="1028" t="s">
        <v>395</v>
      </c>
      <c r="F446" s="1027">
        <v>100</v>
      </c>
      <c r="G446" s="1028" t="s">
        <v>395</v>
      </c>
      <c r="H446" s="1029">
        <f>'MINI SSR 2020-21'!C129</f>
        <v>2440</v>
      </c>
      <c r="I446" s="1030">
        <f>SUM(D446*H446/F446)</f>
        <v>4880</v>
      </c>
      <c r="J446" s="964" t="s">
        <v>2299</v>
      </c>
    </row>
    <row r="447" spans="1:10" hidden="1">
      <c r="A447" s="1024"/>
      <c r="B447" s="1005"/>
      <c r="C447" s="1031" t="s">
        <v>399</v>
      </c>
      <c r="D447" s="1025"/>
      <c r="E447" s="1028"/>
      <c r="F447" s="1027"/>
      <c r="G447" s="1028"/>
      <c r="H447" s="1029"/>
      <c r="I447" s="1030">
        <f>SUM(I442:I446)</f>
        <v>6586.85</v>
      </c>
      <c r="J447" s="964" t="s">
        <v>2299</v>
      </c>
    </row>
    <row r="448" spans="1:10" hidden="1">
      <c r="A448" s="1024"/>
      <c r="B448" s="1005"/>
      <c r="C448" s="1031" t="s">
        <v>400</v>
      </c>
      <c r="D448" s="1025"/>
      <c r="E448" s="1028"/>
      <c r="F448" s="1027"/>
      <c r="G448" s="1028"/>
      <c r="H448" s="1029"/>
      <c r="I448" s="1030">
        <f>SUM(I447/100)</f>
        <v>65.868499999999997</v>
      </c>
      <c r="J448" s="964" t="s">
        <v>2299</v>
      </c>
    </row>
    <row r="449" spans="1:10" ht="45" hidden="1">
      <c r="A449" s="1051" t="s">
        <v>724</v>
      </c>
      <c r="B449" s="1024">
        <v>17</v>
      </c>
      <c r="C449" s="1031" t="s">
        <v>402</v>
      </c>
      <c r="D449" s="1032"/>
      <c r="E449" s="1033"/>
      <c r="F449" s="1032"/>
      <c r="G449" s="1033"/>
      <c r="H449" s="1005"/>
      <c r="I449" s="1030"/>
      <c r="J449" s="964" t="s">
        <v>2299</v>
      </c>
    </row>
    <row r="450" spans="1:10" ht="22.5" hidden="1">
      <c r="A450" s="1029"/>
      <c r="B450" s="1005"/>
      <c r="C450" s="1031" t="s">
        <v>403</v>
      </c>
      <c r="D450" s="1025"/>
      <c r="E450" s="1028"/>
      <c r="F450" s="1027"/>
      <c r="G450" s="1028"/>
      <c r="H450" s="1029"/>
      <c r="I450" s="1030"/>
      <c r="J450" s="964" t="s">
        <v>2299</v>
      </c>
    </row>
    <row r="451" spans="1:10" hidden="1">
      <c r="A451" s="1029"/>
      <c r="B451" s="1005"/>
      <c r="C451" s="1031" t="s">
        <v>384</v>
      </c>
      <c r="D451" s="1025"/>
      <c r="E451" s="1028"/>
      <c r="F451" s="1027"/>
      <c r="G451" s="1028"/>
      <c r="H451" s="1029"/>
      <c r="I451" s="1030"/>
      <c r="J451" s="964" t="s">
        <v>2299</v>
      </c>
    </row>
    <row r="452" spans="1:10" hidden="1">
      <c r="A452" s="1029"/>
      <c r="B452" s="1005"/>
      <c r="C452" s="1042" t="s">
        <v>1656</v>
      </c>
      <c r="D452" s="1025">
        <v>1</v>
      </c>
      <c r="E452" s="1043" t="s">
        <v>27</v>
      </c>
      <c r="F452" s="1027">
        <v>1</v>
      </c>
      <c r="G452" s="1043" t="s">
        <v>27</v>
      </c>
      <c r="H452" s="1029">
        <f>'MINI SSR 2020-21'!$H$16</f>
        <v>610</v>
      </c>
      <c r="I452" s="1030">
        <f>SUM(D452*H452/F452)</f>
        <v>610</v>
      </c>
      <c r="J452" s="964" t="s">
        <v>2299</v>
      </c>
    </row>
    <row r="453" spans="1:10" hidden="1">
      <c r="A453" s="1029"/>
      <c r="B453" s="1005"/>
      <c r="C453" s="1042" t="s">
        <v>1657</v>
      </c>
      <c r="D453" s="1025">
        <v>3</v>
      </c>
      <c r="E453" s="1043" t="s">
        <v>27</v>
      </c>
      <c r="F453" s="1027">
        <v>1</v>
      </c>
      <c r="G453" s="1043" t="s">
        <v>27</v>
      </c>
      <c r="H453" s="1029">
        <f>'MINI SSR 2020-21'!$H$17</f>
        <v>500</v>
      </c>
      <c r="I453" s="1030">
        <f>SUM(D453*H453/F453)</f>
        <v>1500</v>
      </c>
      <c r="J453" s="964" t="s">
        <v>2299</v>
      </c>
    </row>
    <row r="454" spans="1:10" hidden="1">
      <c r="A454" s="1029"/>
      <c r="B454" s="1005"/>
      <c r="C454" s="1042" t="s">
        <v>700</v>
      </c>
      <c r="D454" s="1025">
        <v>1</v>
      </c>
      <c r="E454" s="1043" t="s">
        <v>27</v>
      </c>
      <c r="F454" s="1027">
        <v>1</v>
      </c>
      <c r="G454" s="1043" t="s">
        <v>27</v>
      </c>
      <c r="H454" s="1029">
        <f>'MINI SSR 2020-21'!$H$18</f>
        <v>445</v>
      </c>
      <c r="I454" s="1030">
        <f>SUM(D454*H454/F454)</f>
        <v>445</v>
      </c>
      <c r="J454" s="964" t="s">
        <v>2299</v>
      </c>
    </row>
    <row r="455" spans="1:10" hidden="1">
      <c r="A455" s="1029"/>
      <c r="B455" s="1005"/>
      <c r="C455" s="1031" t="s">
        <v>327</v>
      </c>
      <c r="D455" s="1025"/>
      <c r="E455" s="1043"/>
      <c r="F455" s="1027"/>
      <c r="G455" s="1043"/>
      <c r="H455" s="1029"/>
      <c r="I455" s="1030"/>
      <c r="J455" s="964" t="s">
        <v>2299</v>
      </c>
    </row>
    <row r="456" spans="1:10" ht="33.75" hidden="1">
      <c r="A456" s="1029"/>
      <c r="B456" s="1005"/>
      <c r="C456" s="1052" t="s">
        <v>1662</v>
      </c>
      <c r="D456" s="1025">
        <v>200</v>
      </c>
      <c r="E456" s="1028" t="s">
        <v>395</v>
      </c>
      <c r="F456" s="1027">
        <v>100</v>
      </c>
      <c r="G456" s="1028" t="s">
        <v>395</v>
      </c>
      <c r="H456" s="1029">
        <f>'MINI SSR 2020-21'!C130</f>
        <v>3725</v>
      </c>
      <c r="I456" s="1030">
        <f>SUM(D456*H456/F456)</f>
        <v>7450</v>
      </c>
      <c r="J456" s="964" t="s">
        <v>2299</v>
      </c>
    </row>
    <row r="457" spans="1:10" hidden="1">
      <c r="A457" s="1029"/>
      <c r="B457" s="1005"/>
      <c r="C457" s="1031" t="s">
        <v>399</v>
      </c>
      <c r="D457" s="1025"/>
      <c r="E457" s="1028"/>
      <c r="F457" s="1027"/>
      <c r="G457" s="1028"/>
      <c r="H457" s="1029"/>
      <c r="I457" s="1030">
        <f>SUM(I452:I456)</f>
        <v>10005</v>
      </c>
      <c r="J457" s="964" t="s">
        <v>2299</v>
      </c>
    </row>
    <row r="458" spans="1:10" hidden="1">
      <c r="A458" s="1029"/>
      <c r="B458" s="1005"/>
      <c r="C458" s="1031" t="s">
        <v>400</v>
      </c>
      <c r="D458" s="1025"/>
      <c r="E458" s="1028"/>
      <c r="F458" s="1027"/>
      <c r="G458" s="1028"/>
      <c r="H458" s="1029"/>
      <c r="I458" s="1030">
        <f>SUM(I457/100)</f>
        <v>100.05</v>
      </c>
      <c r="J458" s="964" t="s">
        <v>2299</v>
      </c>
    </row>
    <row r="459" spans="1:10" ht="45" hidden="1">
      <c r="A459" s="1051" t="s">
        <v>881</v>
      </c>
      <c r="B459" s="1024">
        <v>18</v>
      </c>
      <c r="C459" s="1031" t="s">
        <v>882</v>
      </c>
      <c r="D459" s="1032"/>
      <c r="E459" s="1033"/>
      <c r="F459" s="1032"/>
      <c r="G459" s="1033"/>
      <c r="H459" s="1005"/>
      <c r="I459" s="1030"/>
      <c r="J459" s="964" t="s">
        <v>2299</v>
      </c>
    </row>
    <row r="460" spans="1:10" hidden="1">
      <c r="A460" s="1029"/>
      <c r="B460" s="1005"/>
      <c r="C460" s="1031" t="s">
        <v>384</v>
      </c>
      <c r="D460" s="1025"/>
      <c r="E460" s="1028"/>
      <c r="F460" s="1027"/>
      <c r="G460" s="1028"/>
      <c r="H460" s="1029"/>
      <c r="I460" s="1030"/>
      <c r="J460" s="964" t="s">
        <v>2299</v>
      </c>
    </row>
    <row r="461" spans="1:10" hidden="1">
      <c r="A461" s="1029"/>
      <c r="B461" s="1005"/>
      <c r="C461" s="1042" t="s">
        <v>156</v>
      </c>
      <c r="D461" s="1025">
        <v>1</v>
      </c>
      <c r="E461" s="1043" t="s">
        <v>27</v>
      </c>
      <c r="F461" s="1027">
        <v>1</v>
      </c>
      <c r="G461" s="1043" t="s">
        <v>27</v>
      </c>
      <c r="H461" s="1029">
        <f>'MINI SSR 2020-21'!$H$16</f>
        <v>610</v>
      </c>
      <c r="I461" s="1030">
        <f>SUM(D461*H461/F461)</f>
        <v>610</v>
      </c>
      <c r="J461" s="964" t="s">
        <v>2299</v>
      </c>
    </row>
    <row r="462" spans="1:10" hidden="1">
      <c r="A462" s="1029"/>
      <c r="B462" s="1005"/>
      <c r="C462" s="1042" t="s">
        <v>886</v>
      </c>
      <c r="D462" s="1025">
        <v>1</v>
      </c>
      <c r="E462" s="1043" t="s">
        <v>27</v>
      </c>
      <c r="F462" s="1027">
        <v>1</v>
      </c>
      <c r="G462" s="1043" t="s">
        <v>27</v>
      </c>
      <c r="H462" s="1029">
        <f>'MINI SSR 2020-21'!$H$17</f>
        <v>500</v>
      </c>
      <c r="I462" s="1030">
        <f>SUM(D462*H462/F462)</f>
        <v>500</v>
      </c>
      <c r="J462" s="964" t="s">
        <v>2299</v>
      </c>
    </row>
    <row r="463" spans="1:10" hidden="1">
      <c r="A463" s="1029"/>
      <c r="B463" s="1005"/>
      <c r="C463" s="1042" t="s">
        <v>700</v>
      </c>
      <c r="D463" s="1025">
        <v>1</v>
      </c>
      <c r="E463" s="1043" t="s">
        <v>27</v>
      </c>
      <c r="F463" s="1027">
        <v>1</v>
      </c>
      <c r="G463" s="1043" t="s">
        <v>27</v>
      </c>
      <c r="H463" s="1029">
        <f>'MINI SSR 2020-21'!$H$18</f>
        <v>445</v>
      </c>
      <c r="I463" s="1030">
        <f>SUM(D463*H463/F463)</f>
        <v>445</v>
      </c>
      <c r="J463" s="964" t="s">
        <v>2299</v>
      </c>
    </row>
    <row r="464" spans="1:10" hidden="1">
      <c r="A464" s="1029"/>
      <c r="B464" s="1005"/>
      <c r="C464" s="1031" t="s">
        <v>327</v>
      </c>
      <c r="D464" s="1025"/>
      <c r="E464" s="1043"/>
      <c r="F464" s="1027"/>
      <c r="G464" s="1043"/>
      <c r="H464" s="1029"/>
      <c r="I464" s="1030"/>
      <c r="J464" s="964" t="s">
        <v>2299</v>
      </c>
    </row>
    <row r="465" spans="1:10" hidden="1">
      <c r="A465" s="1029"/>
      <c r="B465" s="1005"/>
      <c r="C465" s="1052" t="s">
        <v>883</v>
      </c>
      <c r="D465" s="1025">
        <v>200</v>
      </c>
      <c r="E465" s="1028" t="s">
        <v>395</v>
      </c>
      <c r="F465" s="1027">
        <v>100</v>
      </c>
      <c r="G465" s="1028" t="s">
        <v>395</v>
      </c>
      <c r="H465" s="1029">
        <f>'MINI SSR 2020-21'!C131</f>
        <v>1513</v>
      </c>
      <c r="I465" s="1030">
        <f>SUM(D465*H465/F465)</f>
        <v>3026</v>
      </c>
      <c r="J465" s="964" t="s">
        <v>2299</v>
      </c>
    </row>
    <row r="466" spans="1:10" hidden="1">
      <c r="A466" s="1029"/>
      <c r="B466" s="1005"/>
      <c r="C466" s="1052" t="s">
        <v>884</v>
      </c>
      <c r="D466" s="1025">
        <v>6.7</v>
      </c>
      <c r="E466" s="1028" t="s">
        <v>4</v>
      </c>
      <c r="F466" s="1027">
        <v>1</v>
      </c>
      <c r="G466" s="1028" t="s">
        <v>4</v>
      </c>
      <c r="H466" s="1029">
        <f>'MINI SSR 2020-21'!C132</f>
        <v>65</v>
      </c>
      <c r="I466" s="1030">
        <f>SUM(D466*H466/F466)</f>
        <v>435.5</v>
      </c>
      <c r="J466" s="964" t="s">
        <v>2299</v>
      </c>
    </row>
    <row r="467" spans="1:10" hidden="1">
      <c r="A467" s="1029"/>
      <c r="B467" s="1005"/>
      <c r="C467" s="1052" t="s">
        <v>885</v>
      </c>
      <c r="D467" s="1025">
        <v>100</v>
      </c>
      <c r="E467" s="1028" t="s">
        <v>325</v>
      </c>
      <c r="F467" s="1027">
        <v>100</v>
      </c>
      <c r="G467" s="1028" t="s">
        <v>115</v>
      </c>
      <c r="H467" s="1029">
        <f>'MINI SSR 2020-21'!C133</f>
        <v>430</v>
      </c>
      <c r="I467" s="1030">
        <f>SUM(D467*H467/F467)</f>
        <v>430</v>
      </c>
      <c r="J467" s="964" t="s">
        <v>2299</v>
      </c>
    </row>
    <row r="468" spans="1:10" hidden="1">
      <c r="A468" s="1029"/>
      <c r="B468" s="1005"/>
      <c r="C468" s="1031" t="s">
        <v>399</v>
      </c>
      <c r="D468" s="1025"/>
      <c r="E468" s="1028"/>
      <c r="F468" s="1027"/>
      <c r="G468" s="1028"/>
      <c r="H468" s="1029"/>
      <c r="I468" s="1030">
        <f>SUM(I461:I467)</f>
        <v>5446.5</v>
      </c>
      <c r="J468" s="964" t="s">
        <v>2299</v>
      </c>
    </row>
    <row r="469" spans="1:10" hidden="1">
      <c r="A469" s="1029"/>
      <c r="B469" s="1005"/>
      <c r="C469" s="1031" t="s">
        <v>400</v>
      </c>
      <c r="D469" s="1025"/>
      <c r="E469" s="1028"/>
      <c r="F469" s="1027"/>
      <c r="G469" s="1028"/>
      <c r="H469" s="1029"/>
      <c r="I469" s="1030">
        <f>SUM(I468/100)</f>
        <v>54.465000000000003</v>
      </c>
      <c r="J469" s="964" t="s">
        <v>2299</v>
      </c>
    </row>
    <row r="470" spans="1:10" ht="33.75" hidden="1">
      <c r="A470" s="1051" t="s">
        <v>725</v>
      </c>
      <c r="B470" s="1024">
        <v>19</v>
      </c>
      <c r="C470" s="1031" t="s">
        <v>1267</v>
      </c>
      <c r="D470" s="1035"/>
      <c r="E470" s="1026"/>
      <c r="F470" s="1035"/>
      <c r="G470" s="1026"/>
      <c r="H470" s="1031"/>
      <c r="I470" s="1031"/>
      <c r="J470" s="964" t="s">
        <v>2299</v>
      </c>
    </row>
    <row r="471" spans="1:10" ht="22.5" hidden="1">
      <c r="A471" s="1024"/>
      <c r="B471" s="1005"/>
      <c r="C471" s="1031" t="s">
        <v>404</v>
      </c>
      <c r="D471" s="1035"/>
      <c r="E471" s="1026"/>
      <c r="F471" s="1035"/>
      <c r="G471" s="1026"/>
      <c r="H471" s="1031"/>
      <c r="I471" s="1031"/>
      <c r="J471" s="964" t="s">
        <v>2299</v>
      </c>
    </row>
    <row r="472" spans="1:10" hidden="1">
      <c r="A472" s="1024"/>
      <c r="B472" s="1005"/>
      <c r="C472" s="1031" t="s">
        <v>384</v>
      </c>
      <c r="D472" s="1025"/>
      <c r="E472" s="1028"/>
      <c r="F472" s="1027"/>
      <c r="G472" s="1028"/>
      <c r="H472" s="1029"/>
      <c r="I472" s="1030"/>
      <c r="J472" s="964" t="s">
        <v>2299</v>
      </c>
    </row>
    <row r="473" spans="1:10" hidden="1">
      <c r="A473" s="1024"/>
      <c r="B473" s="1005"/>
      <c r="C473" s="1042" t="s">
        <v>1656</v>
      </c>
      <c r="D473" s="1025">
        <v>0.05</v>
      </c>
      <c r="E473" s="1043" t="s">
        <v>27</v>
      </c>
      <c r="F473" s="1027">
        <v>1</v>
      </c>
      <c r="G473" s="1043" t="s">
        <v>27</v>
      </c>
      <c r="H473" s="1029">
        <f>'MINI SSR 2020-21'!$H$16</f>
        <v>610</v>
      </c>
      <c r="I473" s="1030">
        <f>SUM(D473*H473/F473)</f>
        <v>30.5</v>
      </c>
      <c r="J473" s="964" t="s">
        <v>2299</v>
      </c>
    </row>
    <row r="474" spans="1:10" hidden="1">
      <c r="A474" s="1024"/>
      <c r="B474" s="1005"/>
      <c r="C474" s="1042" t="s">
        <v>700</v>
      </c>
      <c r="D474" s="1025">
        <v>0.05</v>
      </c>
      <c r="E474" s="1043" t="s">
        <v>27</v>
      </c>
      <c r="F474" s="1027">
        <v>1</v>
      </c>
      <c r="G474" s="1043" t="s">
        <v>27</v>
      </c>
      <c r="H474" s="1029">
        <f>'MINI SSR 2020-21'!$H$18</f>
        <v>445</v>
      </c>
      <c r="I474" s="1041">
        <f>SUM(D474*H474/F474)</f>
        <v>22.25</v>
      </c>
      <c r="J474" s="964" t="s">
        <v>2299</v>
      </c>
    </row>
    <row r="475" spans="1:10" hidden="1">
      <c r="A475" s="1024"/>
      <c r="B475" s="1005"/>
      <c r="C475" s="1031" t="s">
        <v>327</v>
      </c>
      <c r="D475" s="1025"/>
      <c r="E475" s="1043"/>
      <c r="F475" s="1027"/>
      <c r="G475" s="1043"/>
      <c r="H475" s="1029"/>
      <c r="I475" s="1030"/>
      <c r="J475" s="964" t="s">
        <v>2299</v>
      </c>
    </row>
    <row r="476" spans="1:10" ht="33.75" hidden="1">
      <c r="A476" s="1024"/>
      <c r="B476" s="1005"/>
      <c r="C476" s="1031" t="s">
        <v>1663</v>
      </c>
      <c r="D476" s="1053">
        <v>1</v>
      </c>
      <c r="E476" s="1028" t="s">
        <v>325</v>
      </c>
      <c r="F476" s="1027">
        <v>1</v>
      </c>
      <c r="G476" s="1028" t="s">
        <v>115</v>
      </c>
      <c r="H476" s="1029">
        <f>'MINI SSR 2020-21'!G114</f>
        <v>18</v>
      </c>
      <c r="I476" s="1030">
        <f>SUM(D476*H476/F476)</f>
        <v>18</v>
      </c>
      <c r="J476" s="964" t="s">
        <v>2299</v>
      </c>
    </row>
    <row r="477" spans="1:10" hidden="1">
      <c r="A477" s="1024"/>
      <c r="B477" s="1005"/>
      <c r="C477" s="1031" t="s">
        <v>1266</v>
      </c>
      <c r="D477" s="1053">
        <v>1</v>
      </c>
      <c r="E477" s="1028" t="s">
        <v>325</v>
      </c>
      <c r="F477" s="1027">
        <v>1</v>
      </c>
      <c r="G477" s="1028" t="s">
        <v>115</v>
      </c>
      <c r="H477" s="1029">
        <f>'MINI SSR 2020-21'!G115</f>
        <v>50</v>
      </c>
      <c r="I477" s="1030">
        <f>SUM(D477*H477/F477)</f>
        <v>50</v>
      </c>
      <c r="J477" s="964" t="s">
        <v>2299</v>
      </c>
    </row>
    <row r="478" spans="1:10" hidden="1">
      <c r="A478" s="1024"/>
      <c r="B478" s="1005"/>
      <c r="C478" s="1031" t="s">
        <v>405</v>
      </c>
      <c r="D478" s="1025"/>
      <c r="E478" s="1043"/>
      <c r="F478" s="1027"/>
      <c r="G478" s="1043"/>
      <c r="H478" s="1029"/>
      <c r="I478" s="1030">
        <f>SUM(I473:I477)</f>
        <v>120.75</v>
      </c>
      <c r="J478" s="964" t="s">
        <v>2299</v>
      </c>
    </row>
    <row r="479" spans="1:10" ht="45" hidden="1">
      <c r="A479" s="1029" t="s">
        <v>1664</v>
      </c>
      <c r="B479" s="1024">
        <v>8</v>
      </c>
      <c r="C479" s="1031" t="s">
        <v>406</v>
      </c>
      <c r="D479" s="1035"/>
      <c r="E479" s="1026"/>
      <c r="F479" s="1035"/>
      <c r="G479" s="1026"/>
      <c r="H479" s="1031"/>
      <c r="I479" s="1031"/>
      <c r="J479" s="964" t="s">
        <v>2299</v>
      </c>
    </row>
    <row r="480" spans="1:10" ht="33.75" hidden="1">
      <c r="A480" s="1024"/>
      <c r="B480" s="1024"/>
      <c r="C480" s="1031" t="s">
        <v>407</v>
      </c>
      <c r="D480" s="1065"/>
      <c r="E480" s="1026"/>
      <c r="F480" s="1035"/>
      <c r="G480" s="1026"/>
      <c r="H480" s="1031"/>
      <c r="I480" s="1031"/>
      <c r="J480" s="964" t="s">
        <v>2299</v>
      </c>
    </row>
    <row r="481" spans="1:10" ht="33.75" hidden="1">
      <c r="A481" s="1024"/>
      <c r="B481" s="1024"/>
      <c r="C481" s="1031" t="s">
        <v>408</v>
      </c>
      <c r="D481" s="1065"/>
      <c r="E481" s="1026"/>
      <c r="F481" s="1035"/>
      <c r="G481" s="1026"/>
      <c r="H481" s="1031"/>
      <c r="I481" s="1031"/>
      <c r="J481" s="964" t="s">
        <v>2299</v>
      </c>
    </row>
    <row r="482" spans="1:10" hidden="1">
      <c r="A482" s="1024"/>
      <c r="B482" s="1005"/>
      <c r="C482" s="1066" t="s">
        <v>409</v>
      </c>
      <c r="D482" s="1025"/>
      <c r="E482" s="1028"/>
      <c r="F482" s="1027"/>
      <c r="G482" s="1028"/>
      <c r="H482" s="1029"/>
      <c r="I482" s="1030"/>
      <c r="J482" s="964" t="s">
        <v>2299</v>
      </c>
    </row>
    <row r="483" spans="1:10" hidden="1">
      <c r="A483" s="1024"/>
      <c r="B483" s="1005"/>
      <c r="C483" s="1042" t="s">
        <v>1656</v>
      </c>
      <c r="D483" s="1061">
        <v>0.125</v>
      </c>
      <c r="E483" s="1043" t="s">
        <v>27</v>
      </c>
      <c r="F483" s="1027">
        <v>1</v>
      </c>
      <c r="G483" s="1043" t="s">
        <v>27</v>
      </c>
      <c r="H483" s="1029">
        <f>'MINI SSR 2020-21'!$H$16</f>
        <v>610</v>
      </c>
      <c r="I483" s="1030">
        <f>SUM(D483*H483/F483)</f>
        <v>76.25</v>
      </c>
      <c r="J483" s="964" t="s">
        <v>2299</v>
      </c>
    </row>
    <row r="484" spans="1:10" hidden="1">
      <c r="A484" s="1024"/>
      <c r="B484" s="1005"/>
      <c r="C484" s="1042" t="s">
        <v>700</v>
      </c>
      <c r="D484" s="1061">
        <v>0.125</v>
      </c>
      <c r="E484" s="1043" t="s">
        <v>27</v>
      </c>
      <c r="F484" s="1027">
        <v>1</v>
      </c>
      <c r="G484" s="1043" t="s">
        <v>27</v>
      </c>
      <c r="H484" s="1029">
        <f>'MINI SSR 2020-21'!$H$18</f>
        <v>445</v>
      </c>
      <c r="I484" s="1041">
        <f>SUM(D484*H484/F484)</f>
        <v>55.625</v>
      </c>
      <c r="J484" s="964" t="s">
        <v>2299</v>
      </c>
    </row>
    <row r="485" spans="1:10" hidden="1">
      <c r="A485" s="1024"/>
      <c r="B485" s="1005"/>
      <c r="C485" s="1031" t="s">
        <v>410</v>
      </c>
      <c r="D485" s="1025"/>
      <c r="E485" s="1043"/>
      <c r="F485" s="1027"/>
      <c r="G485" s="1043"/>
      <c r="H485" s="1029"/>
      <c r="I485" s="1030"/>
      <c r="J485" s="964" t="s">
        <v>2299</v>
      </c>
    </row>
    <row r="486" spans="1:10" hidden="1">
      <c r="A486" s="1024"/>
      <c r="B486" s="1005"/>
      <c r="C486" s="1052" t="s">
        <v>1665</v>
      </c>
      <c r="D486" s="1025">
        <v>1</v>
      </c>
      <c r="E486" s="1028" t="s">
        <v>385</v>
      </c>
      <c r="F486" s="1027">
        <v>100</v>
      </c>
      <c r="G486" s="1028" t="s">
        <v>395</v>
      </c>
      <c r="H486" s="1029">
        <f>'MINI SSR 2020-21'!G116</f>
        <v>950</v>
      </c>
      <c r="I486" s="1030">
        <f>SUM(D486*H486/F486)</f>
        <v>9.5</v>
      </c>
      <c r="J486" s="964" t="s">
        <v>2299</v>
      </c>
    </row>
    <row r="487" spans="1:10" hidden="1">
      <c r="A487" s="1024"/>
      <c r="B487" s="1005"/>
      <c r="C487" s="1052" t="s">
        <v>1666</v>
      </c>
      <c r="D487" s="1025">
        <v>1</v>
      </c>
      <c r="E487" s="1028" t="s">
        <v>115</v>
      </c>
      <c r="F487" s="1027">
        <v>1</v>
      </c>
      <c r="G487" s="1028" t="s">
        <v>115</v>
      </c>
      <c r="H487" s="1029">
        <f>'MINI SSR 2020-21'!G117</f>
        <v>180</v>
      </c>
      <c r="I487" s="1030">
        <f>SUM(D487*H487/F487)</f>
        <v>180</v>
      </c>
      <c r="J487" s="964" t="s">
        <v>2299</v>
      </c>
    </row>
    <row r="488" spans="1:10" hidden="1">
      <c r="A488" s="1024"/>
      <c r="B488" s="1005"/>
      <c r="C488" s="1052" t="s">
        <v>1667</v>
      </c>
      <c r="D488" s="1025">
        <v>1</v>
      </c>
      <c r="E488" s="1028" t="s">
        <v>325</v>
      </c>
      <c r="F488" s="1027">
        <v>1</v>
      </c>
      <c r="G488" s="1028" t="s">
        <v>325</v>
      </c>
      <c r="H488" s="1029">
        <f>'MINI SSR 2020-21'!G118</f>
        <v>2300</v>
      </c>
      <c r="I488" s="1030">
        <f>SUM(D488*H488/F488)</f>
        <v>2300</v>
      </c>
      <c r="J488" s="964" t="s">
        <v>2299</v>
      </c>
    </row>
    <row r="489" spans="1:10" hidden="1">
      <c r="A489" s="1024"/>
      <c r="B489" s="1005"/>
      <c r="C489" s="1031" t="s">
        <v>411</v>
      </c>
      <c r="D489" s="1025"/>
      <c r="E489" s="1028"/>
      <c r="F489" s="1027"/>
      <c r="G489" s="1028"/>
      <c r="H489" s="1067">
        <v>0.01</v>
      </c>
      <c r="I489" s="1030">
        <f>SUM(I488*H489)</f>
        <v>23</v>
      </c>
      <c r="J489" s="964" t="s">
        <v>2299</v>
      </c>
    </row>
    <row r="490" spans="1:10" hidden="1">
      <c r="A490" s="1024"/>
      <c r="B490" s="1005"/>
      <c r="C490" s="1036" t="s">
        <v>388</v>
      </c>
      <c r="D490" s="1032"/>
      <c r="E490" s="1033"/>
      <c r="F490" s="1032"/>
      <c r="G490" s="1068"/>
      <c r="H490" s="1064"/>
      <c r="I490" s="1030">
        <f>SUM(I483:I489)</f>
        <v>2644.375</v>
      </c>
      <c r="J490" s="964" t="s">
        <v>2299</v>
      </c>
    </row>
    <row r="491" spans="1:10" ht="33.75" hidden="1">
      <c r="A491" s="1029" t="s">
        <v>1668</v>
      </c>
      <c r="B491" s="1024">
        <v>20</v>
      </c>
      <c r="C491" s="1031" t="s">
        <v>946</v>
      </c>
      <c r="D491" s="1035"/>
      <c r="E491" s="1026"/>
      <c r="F491" s="1035"/>
      <c r="G491" s="1026"/>
      <c r="H491" s="1031"/>
      <c r="I491" s="1031"/>
      <c r="J491" s="964" t="s">
        <v>2299</v>
      </c>
    </row>
    <row r="492" spans="1:10" hidden="1">
      <c r="A492" s="1024"/>
      <c r="B492" s="1005"/>
      <c r="C492" s="1052" t="s">
        <v>970</v>
      </c>
      <c r="D492" s="1025">
        <v>1</v>
      </c>
      <c r="E492" s="1028" t="s">
        <v>325</v>
      </c>
      <c r="F492" s="1027">
        <v>1</v>
      </c>
      <c r="G492" s="1028" t="s">
        <v>325</v>
      </c>
      <c r="H492" s="1029">
        <f>'MINI SSR 2020-21'!G118</f>
        <v>2300</v>
      </c>
      <c r="I492" s="1030">
        <f>SUM(D492*H492/F492)</f>
        <v>2300</v>
      </c>
      <c r="J492" s="964" t="s">
        <v>2299</v>
      </c>
    </row>
    <row r="493" spans="1:10" hidden="1">
      <c r="A493" s="1024"/>
      <c r="B493" s="1005"/>
      <c r="C493" s="1031" t="s">
        <v>411</v>
      </c>
      <c r="D493" s="1025"/>
      <c r="E493" s="1028"/>
      <c r="F493" s="1027"/>
      <c r="G493" s="1028"/>
      <c r="H493" s="1067">
        <v>0.01</v>
      </c>
      <c r="I493" s="1030">
        <f>SUM(I492*H493)</f>
        <v>23</v>
      </c>
      <c r="J493" s="964" t="s">
        <v>2299</v>
      </c>
    </row>
    <row r="494" spans="1:10" hidden="1">
      <c r="A494" s="1024"/>
      <c r="B494" s="1005"/>
      <c r="C494" s="1036" t="s">
        <v>388</v>
      </c>
      <c r="D494" s="1032"/>
      <c r="E494" s="1033"/>
      <c r="F494" s="1032"/>
      <c r="G494" s="1068"/>
      <c r="H494" s="1064"/>
      <c r="I494" s="1030">
        <f>SUM(I492:I493)</f>
        <v>2323</v>
      </c>
      <c r="J494" s="964" t="s">
        <v>2299</v>
      </c>
    </row>
    <row r="495" spans="1:10" ht="22.5" hidden="1">
      <c r="A495" s="1029" t="s">
        <v>1669</v>
      </c>
      <c r="B495" s="1024">
        <v>21</v>
      </c>
      <c r="C495" s="1031" t="s">
        <v>1670</v>
      </c>
      <c r="D495" s="1035"/>
      <c r="E495" s="1026"/>
      <c r="F495" s="1035"/>
      <c r="G495" s="1026"/>
      <c r="H495" s="1031"/>
      <c r="I495" s="1031"/>
      <c r="J495" s="964" t="s">
        <v>2299</v>
      </c>
    </row>
    <row r="496" spans="1:10" hidden="1">
      <c r="A496" s="1024"/>
      <c r="B496" s="1005"/>
      <c r="C496" s="1052" t="s">
        <v>1666</v>
      </c>
      <c r="D496" s="1025">
        <v>1</v>
      </c>
      <c r="E496" s="1028" t="s">
        <v>325</v>
      </c>
      <c r="F496" s="1027">
        <v>1</v>
      </c>
      <c r="G496" s="1028" t="s">
        <v>325</v>
      </c>
      <c r="H496" s="1029">
        <f>'MINI SSR 2020-21'!G117</f>
        <v>180</v>
      </c>
      <c r="I496" s="1030">
        <f>SUM(D496*H496/F496)</f>
        <v>180</v>
      </c>
      <c r="J496" s="964" t="s">
        <v>2299</v>
      </c>
    </row>
    <row r="497" spans="1:10" hidden="1">
      <c r="A497" s="1024"/>
      <c r="B497" s="1005"/>
      <c r="C497" s="1042" t="s">
        <v>1656</v>
      </c>
      <c r="D497" s="1061">
        <v>0.1</v>
      </c>
      <c r="E497" s="1043" t="s">
        <v>27</v>
      </c>
      <c r="F497" s="1027">
        <v>1</v>
      </c>
      <c r="G497" s="1043" t="s">
        <v>27</v>
      </c>
      <c r="H497" s="1029">
        <f>'MINI SSR 2020-21'!$H$16</f>
        <v>610</v>
      </c>
      <c r="I497" s="1030">
        <f>SUM(D497*H497/F497)</f>
        <v>61</v>
      </c>
      <c r="J497" s="964" t="s">
        <v>2299</v>
      </c>
    </row>
    <row r="498" spans="1:10" hidden="1">
      <c r="A498" s="1024"/>
      <c r="B498" s="1005"/>
      <c r="C498" s="1031"/>
      <c r="D498" s="1025"/>
      <c r="E498" s="1028"/>
      <c r="F498" s="1027"/>
      <c r="G498" s="1028"/>
      <c r="H498" s="1067"/>
      <c r="I498" s="1030"/>
      <c r="J498" s="964" t="s">
        <v>2299</v>
      </c>
    </row>
    <row r="499" spans="1:10" hidden="1">
      <c r="A499" s="1024"/>
      <c r="B499" s="1005"/>
      <c r="C499" s="1036" t="s">
        <v>388</v>
      </c>
      <c r="D499" s="1032"/>
      <c r="E499" s="1033"/>
      <c r="F499" s="1032"/>
      <c r="G499" s="1068"/>
      <c r="H499" s="1064"/>
      <c r="I499" s="1030">
        <f>SUM(I496:I498)</f>
        <v>241</v>
      </c>
      <c r="J499" s="964" t="s">
        <v>2299</v>
      </c>
    </row>
    <row r="500" spans="1:10" ht="22.5" hidden="1">
      <c r="A500" s="1029" t="s">
        <v>1664</v>
      </c>
      <c r="B500" s="1024">
        <v>22</v>
      </c>
      <c r="C500" s="1031" t="s">
        <v>948</v>
      </c>
      <c r="D500" s="1035"/>
      <c r="E500" s="1026"/>
      <c r="F500" s="1035"/>
      <c r="G500" s="1026"/>
      <c r="H500" s="1031"/>
      <c r="I500" s="1031"/>
      <c r="J500" s="964" t="s">
        <v>2299</v>
      </c>
    </row>
    <row r="501" spans="1:10" hidden="1">
      <c r="A501" s="1024"/>
      <c r="B501" s="1005"/>
      <c r="C501" s="1066" t="s">
        <v>409</v>
      </c>
      <c r="D501" s="1025"/>
      <c r="E501" s="1028"/>
      <c r="F501" s="1027"/>
      <c r="G501" s="1028"/>
      <c r="H501" s="1029"/>
      <c r="I501" s="1030"/>
      <c r="J501" s="964" t="s">
        <v>2299</v>
      </c>
    </row>
    <row r="502" spans="1:10" hidden="1">
      <c r="A502" s="1024"/>
      <c r="B502" s="1005"/>
      <c r="C502" s="1042" t="s">
        <v>1656</v>
      </c>
      <c r="D502" s="1061">
        <v>0.125</v>
      </c>
      <c r="E502" s="1043" t="s">
        <v>27</v>
      </c>
      <c r="F502" s="1027">
        <v>1</v>
      </c>
      <c r="G502" s="1043" t="s">
        <v>27</v>
      </c>
      <c r="H502" s="1029">
        <f>'MINI SSR 2020-21'!$H$16</f>
        <v>610</v>
      </c>
      <c r="I502" s="1030">
        <f>SUM(D502*H502/F502)</f>
        <v>76.25</v>
      </c>
      <c r="J502" s="964" t="s">
        <v>2299</v>
      </c>
    </row>
    <row r="503" spans="1:10" hidden="1">
      <c r="A503" s="1024"/>
      <c r="B503" s="1005"/>
      <c r="C503" s="1042" t="s">
        <v>700</v>
      </c>
      <c r="D503" s="1061">
        <v>0.125</v>
      </c>
      <c r="E503" s="1043" t="s">
        <v>27</v>
      </c>
      <c r="F503" s="1027">
        <v>1</v>
      </c>
      <c r="G503" s="1043" t="s">
        <v>27</v>
      </c>
      <c r="H503" s="1029">
        <f>'MINI SSR 2020-21'!$H$18</f>
        <v>445</v>
      </c>
      <c r="I503" s="1041">
        <f>SUM(D503*H503/F503)</f>
        <v>55.625</v>
      </c>
      <c r="J503" s="964" t="s">
        <v>2299</v>
      </c>
    </row>
    <row r="504" spans="1:10" hidden="1">
      <c r="A504" s="1024"/>
      <c r="B504" s="1005"/>
      <c r="C504" s="1031" t="s">
        <v>410</v>
      </c>
      <c r="D504" s="1025"/>
      <c r="E504" s="1043"/>
      <c r="F504" s="1027"/>
      <c r="G504" s="1043"/>
      <c r="H504" s="1029"/>
      <c r="I504" s="1030"/>
      <c r="J504" s="964" t="s">
        <v>2299</v>
      </c>
    </row>
    <row r="505" spans="1:10" hidden="1">
      <c r="A505" s="1024"/>
      <c r="B505" s="1005"/>
      <c r="C505" s="1052" t="s">
        <v>949</v>
      </c>
      <c r="D505" s="1025">
        <v>1</v>
      </c>
      <c r="E505" s="1028" t="s">
        <v>385</v>
      </c>
      <c r="F505" s="1027">
        <v>100</v>
      </c>
      <c r="G505" s="1028" t="s">
        <v>395</v>
      </c>
      <c r="H505" s="1029">
        <f>'MINI SSR 2020-21'!G116</f>
        <v>950</v>
      </c>
      <c r="I505" s="1030">
        <f>SUM(D505*H505/F505)</f>
        <v>9.5</v>
      </c>
      <c r="J505" s="964" t="s">
        <v>2299</v>
      </c>
    </row>
    <row r="506" spans="1:10" hidden="1">
      <c r="A506" s="1024"/>
      <c r="B506" s="1005"/>
      <c r="C506" s="1036" t="s">
        <v>388</v>
      </c>
      <c r="D506" s="1032"/>
      <c r="E506" s="1033"/>
      <c r="F506" s="1032"/>
      <c r="G506" s="1068"/>
      <c r="H506" s="1064"/>
      <c r="I506" s="1030">
        <f>SUM(I502:I505)</f>
        <v>141.375</v>
      </c>
      <c r="J506" s="964" t="s">
        <v>2299</v>
      </c>
    </row>
    <row r="507" spans="1:10" ht="33.75" hidden="1">
      <c r="A507" s="1029" t="s">
        <v>1671</v>
      </c>
      <c r="B507" s="1024">
        <v>39</v>
      </c>
      <c r="C507" s="1031" t="s">
        <v>950</v>
      </c>
      <c r="D507" s="1035"/>
      <c r="E507" s="1026"/>
      <c r="F507" s="1035"/>
      <c r="G507" s="1026"/>
      <c r="H507" s="1031"/>
      <c r="I507" s="1031"/>
      <c r="J507" s="964" t="s">
        <v>2299</v>
      </c>
    </row>
    <row r="508" spans="1:10" hidden="1">
      <c r="A508" s="1024"/>
      <c r="B508" s="1005"/>
      <c r="C508" s="1066" t="s">
        <v>409</v>
      </c>
      <c r="D508" s="1025"/>
      <c r="E508" s="1028"/>
      <c r="F508" s="1027"/>
      <c r="G508" s="1028"/>
      <c r="H508" s="1029"/>
      <c r="I508" s="1030"/>
      <c r="J508" s="964" t="s">
        <v>2299</v>
      </c>
    </row>
    <row r="509" spans="1:10" hidden="1">
      <c r="A509" s="1024"/>
      <c r="B509" s="1005"/>
      <c r="C509" s="1042" t="s">
        <v>700</v>
      </c>
      <c r="D509" s="1061">
        <v>0.1</v>
      </c>
      <c r="E509" s="1043" t="s">
        <v>27</v>
      </c>
      <c r="F509" s="1027">
        <v>1</v>
      </c>
      <c r="G509" s="1043" t="s">
        <v>27</v>
      </c>
      <c r="H509" s="1029">
        <f>'MINI SSR 2020-21'!$H$18</f>
        <v>445</v>
      </c>
      <c r="I509" s="1041">
        <f>SUM(D509*H509/F509)</f>
        <v>44.5</v>
      </c>
      <c r="J509" s="964" t="s">
        <v>2299</v>
      </c>
    </row>
    <row r="510" spans="1:10" hidden="1">
      <c r="A510" s="1024"/>
      <c r="B510" s="1005"/>
      <c r="C510" s="1031" t="s">
        <v>410</v>
      </c>
      <c r="D510" s="1025"/>
      <c r="E510" s="1043"/>
      <c r="F510" s="1027"/>
      <c r="G510" s="1043"/>
      <c r="H510" s="1029"/>
      <c r="I510" s="1030"/>
      <c r="J510" s="964" t="s">
        <v>2299</v>
      </c>
    </row>
    <row r="511" spans="1:10" ht="22.5" hidden="1">
      <c r="A511" s="1024"/>
      <c r="B511" s="1005"/>
      <c r="C511" s="1052" t="s">
        <v>1672</v>
      </c>
      <c r="D511" s="1025">
        <v>1</v>
      </c>
      <c r="E511" s="1028" t="s">
        <v>115</v>
      </c>
      <c r="F511" s="1027">
        <v>1</v>
      </c>
      <c r="G511" s="1028" t="s">
        <v>115</v>
      </c>
      <c r="H511" s="1029">
        <f>'MINI SSR 2020-21'!G119</f>
        <v>85</v>
      </c>
      <c r="I511" s="1030">
        <f>SUM(D511*H511/F511)</f>
        <v>85</v>
      </c>
      <c r="J511" s="964" t="s">
        <v>2299</v>
      </c>
    </row>
    <row r="512" spans="1:10" hidden="1">
      <c r="A512" s="1024"/>
      <c r="B512" s="1005"/>
      <c r="C512" s="1036" t="s">
        <v>388</v>
      </c>
      <c r="D512" s="1032"/>
      <c r="E512" s="1033"/>
      <c r="F512" s="1032"/>
      <c r="G512" s="1068"/>
      <c r="H512" s="1064"/>
      <c r="I512" s="1030">
        <f>SUM(I509:I511)</f>
        <v>129.5</v>
      </c>
      <c r="J512" s="964" t="s">
        <v>2299</v>
      </c>
    </row>
    <row r="513" spans="1:10" ht="22.5" hidden="1">
      <c r="A513" s="1029" t="s">
        <v>1673</v>
      </c>
      <c r="B513" s="1048">
        <v>23</v>
      </c>
      <c r="C513" s="1031" t="s">
        <v>1674</v>
      </c>
      <c r="D513" s="1032"/>
      <c r="E513" s="1033"/>
      <c r="F513" s="1032"/>
      <c r="G513" s="1033"/>
      <c r="H513" s="1034"/>
      <c r="I513" s="1034"/>
      <c r="J513" s="964" t="s">
        <v>2299</v>
      </c>
    </row>
    <row r="514" spans="1:10" hidden="1">
      <c r="A514" s="1047"/>
      <c r="B514" s="1048"/>
      <c r="C514" s="1042" t="s">
        <v>1572</v>
      </c>
      <c r="D514" s="1025">
        <v>1</v>
      </c>
      <c r="E514" s="1043" t="s">
        <v>325</v>
      </c>
      <c r="F514" s="1027">
        <v>1</v>
      </c>
      <c r="G514" s="1043" t="s">
        <v>325</v>
      </c>
      <c r="H514" s="1029">
        <f>'MINI SSR 2020-21'!G120</f>
        <v>30</v>
      </c>
      <c r="I514" s="1041">
        <f>SUM(D514*H514/F514)</f>
        <v>30</v>
      </c>
      <c r="J514" s="964" t="s">
        <v>2299</v>
      </c>
    </row>
    <row r="515" spans="1:10" hidden="1">
      <c r="A515" s="1024"/>
      <c r="B515" s="1005"/>
      <c r="C515" s="1042" t="s">
        <v>1675</v>
      </c>
      <c r="D515" s="1061">
        <v>0.16600000000000001</v>
      </c>
      <c r="E515" s="1043" t="s">
        <v>27</v>
      </c>
      <c r="F515" s="1027">
        <v>1</v>
      </c>
      <c r="G515" s="1043" t="s">
        <v>27</v>
      </c>
      <c r="H515" s="1029">
        <f>'MINI SSR 2020-21'!H3</f>
        <v>550</v>
      </c>
      <c r="I515" s="1041">
        <f>SUM(D515*H515/F515)</f>
        <v>91.300000000000011</v>
      </c>
      <c r="J515" s="964" t="s">
        <v>2299</v>
      </c>
    </row>
    <row r="516" spans="1:10" hidden="1">
      <c r="A516" s="1024"/>
      <c r="B516" s="1005"/>
      <c r="C516" s="1042" t="s">
        <v>1676</v>
      </c>
      <c r="D516" s="1061">
        <v>0.16600000000000001</v>
      </c>
      <c r="E516" s="1043" t="s">
        <v>27</v>
      </c>
      <c r="F516" s="1027">
        <v>1</v>
      </c>
      <c r="G516" s="1043" t="s">
        <v>27</v>
      </c>
      <c r="H516" s="1029">
        <f>'MINI SSR 2020-21'!$H$18</f>
        <v>445</v>
      </c>
      <c r="I516" s="1041">
        <f>SUM(D516*H516/F516)</f>
        <v>73.87</v>
      </c>
      <c r="J516" s="964" t="s">
        <v>2299</v>
      </c>
    </row>
    <row r="517" spans="1:10" hidden="1">
      <c r="A517" s="1047"/>
      <c r="B517" s="1048"/>
      <c r="C517" s="1044"/>
      <c r="D517" s="1025"/>
      <c r="E517" s="1043"/>
      <c r="F517" s="1027"/>
      <c r="G517" s="1043"/>
      <c r="H517" s="1029"/>
      <c r="I517" s="1041">
        <f>SUM(I514:I516)</f>
        <v>195.17000000000002</v>
      </c>
      <c r="J517" s="964" t="s">
        <v>2299</v>
      </c>
    </row>
    <row r="518" spans="1:10" ht="56.25" hidden="1">
      <c r="A518" s="1051" t="s">
        <v>726</v>
      </c>
      <c r="B518" s="1024">
        <v>24</v>
      </c>
      <c r="C518" s="1031" t="s">
        <v>412</v>
      </c>
      <c r="D518" s="1035"/>
      <c r="E518" s="1026"/>
      <c r="F518" s="1035"/>
      <c r="G518" s="1026"/>
      <c r="H518" s="1031"/>
      <c r="I518" s="1031"/>
      <c r="J518" s="964" t="s">
        <v>2299</v>
      </c>
    </row>
    <row r="519" spans="1:10" hidden="1">
      <c r="A519" s="1024"/>
      <c r="B519" s="1005"/>
      <c r="C519" s="1031" t="s">
        <v>409</v>
      </c>
      <c r="D519" s="1025"/>
      <c r="E519" s="1028"/>
      <c r="F519" s="1027"/>
      <c r="G519" s="1028"/>
      <c r="H519" s="1029"/>
      <c r="I519" s="1030"/>
      <c r="J519" s="964" t="s">
        <v>2299</v>
      </c>
    </row>
    <row r="520" spans="1:10" hidden="1">
      <c r="A520" s="1024"/>
      <c r="B520" s="1005"/>
      <c r="C520" s="1042" t="s">
        <v>1656</v>
      </c>
      <c r="D520" s="1025">
        <v>0.1</v>
      </c>
      <c r="E520" s="1043" t="s">
        <v>27</v>
      </c>
      <c r="F520" s="1027">
        <v>1</v>
      </c>
      <c r="G520" s="1043" t="s">
        <v>27</v>
      </c>
      <c r="H520" s="1029">
        <f>'MINI SSR 2020-21'!$H$16</f>
        <v>610</v>
      </c>
      <c r="I520" s="1030">
        <f>SUM(D520*H520/F520)</f>
        <v>61</v>
      </c>
      <c r="J520" s="964" t="s">
        <v>2299</v>
      </c>
    </row>
    <row r="521" spans="1:10" hidden="1">
      <c r="A521" s="1024"/>
      <c r="B521" s="1005"/>
      <c r="C521" s="1042" t="s">
        <v>1657</v>
      </c>
      <c r="D521" s="1025">
        <v>0.1</v>
      </c>
      <c r="E521" s="1043" t="s">
        <v>27</v>
      </c>
      <c r="F521" s="1027">
        <v>1</v>
      </c>
      <c r="G521" s="1043" t="s">
        <v>27</v>
      </c>
      <c r="H521" s="1029">
        <f>'MINI SSR 2020-21'!$H$17</f>
        <v>500</v>
      </c>
      <c r="I521" s="1030">
        <f>SUM(D521*H521/F521)</f>
        <v>50</v>
      </c>
      <c r="J521" s="964" t="s">
        <v>2299</v>
      </c>
    </row>
    <row r="522" spans="1:10" hidden="1">
      <c r="A522" s="1024"/>
      <c r="B522" s="1005"/>
      <c r="C522" s="1031" t="s">
        <v>327</v>
      </c>
      <c r="D522" s="1025"/>
      <c r="E522" s="1043"/>
      <c r="F522" s="1027"/>
      <c r="G522" s="1043"/>
      <c r="H522" s="1029"/>
      <c r="I522" s="1030"/>
      <c r="J522" s="964" t="s">
        <v>2299</v>
      </c>
    </row>
    <row r="523" spans="1:10" hidden="1">
      <c r="A523" s="1024"/>
      <c r="B523" s="1005"/>
      <c r="C523" s="1052" t="s">
        <v>1677</v>
      </c>
      <c r="D523" s="1025">
        <v>1</v>
      </c>
      <c r="E523" s="1028" t="s">
        <v>385</v>
      </c>
      <c r="F523" s="1027">
        <v>100</v>
      </c>
      <c r="G523" s="1028" t="s">
        <v>395</v>
      </c>
      <c r="H523" s="1029">
        <f>'MINI SSR 2020-21'!G116</f>
        <v>950</v>
      </c>
      <c r="I523" s="1030">
        <f>SUM(D523*H523/F523)</f>
        <v>9.5</v>
      </c>
      <c r="J523" s="964" t="s">
        <v>2299</v>
      </c>
    </row>
    <row r="524" spans="1:10" hidden="1">
      <c r="A524" s="1024"/>
      <c r="B524" s="1005"/>
      <c r="C524" s="1052" t="s">
        <v>2099</v>
      </c>
      <c r="D524" s="1053">
        <v>1</v>
      </c>
      <c r="E524" s="1028" t="s">
        <v>115</v>
      </c>
      <c r="F524" s="1027">
        <v>1</v>
      </c>
      <c r="G524" s="1028" t="s">
        <v>115</v>
      </c>
      <c r="H524" s="1029">
        <f>'MINI SSR 2020-21'!G121</f>
        <v>290</v>
      </c>
      <c r="I524" s="1030">
        <f>SUM(D524*H524/F524)</f>
        <v>290</v>
      </c>
      <c r="J524" s="964" t="s">
        <v>2299</v>
      </c>
    </row>
    <row r="525" spans="1:10" hidden="1">
      <c r="A525" s="1024"/>
      <c r="B525" s="1005"/>
      <c r="C525" s="1031" t="s">
        <v>405</v>
      </c>
      <c r="D525" s="1025"/>
      <c r="E525" s="1026"/>
      <c r="F525" s="1027"/>
      <c r="G525" s="1028"/>
      <c r="H525" s="1029"/>
      <c r="I525" s="1030">
        <f>SUM(I520:I524)</f>
        <v>410.5</v>
      </c>
      <c r="J525" s="964" t="s">
        <v>2299</v>
      </c>
    </row>
    <row r="526" spans="1:10" hidden="1">
      <c r="A526" s="1047"/>
      <c r="B526" s="1048"/>
      <c r="C526" s="1047"/>
      <c r="D526" s="1058"/>
      <c r="E526" s="1059"/>
      <c r="F526" s="1058"/>
      <c r="G526" s="1059"/>
      <c r="H526" s="1047"/>
      <c r="I526" s="1047"/>
      <c r="J526" s="964" t="s">
        <v>2299</v>
      </c>
    </row>
    <row r="527" spans="1:10" ht="67.5" hidden="1">
      <c r="A527" s="1051" t="s">
        <v>727</v>
      </c>
      <c r="B527" s="1024">
        <v>25</v>
      </c>
      <c r="C527" s="1031" t="s">
        <v>698</v>
      </c>
      <c r="D527" s="1035"/>
      <c r="E527" s="1026"/>
      <c r="F527" s="1035"/>
      <c r="G527" s="1026"/>
      <c r="H527" s="1031"/>
      <c r="I527" s="1031"/>
      <c r="J527" s="964" t="s">
        <v>2299</v>
      </c>
    </row>
    <row r="528" spans="1:10" hidden="1">
      <c r="A528" s="1024"/>
      <c r="B528" s="1005"/>
      <c r="C528" s="1031" t="s">
        <v>409</v>
      </c>
      <c r="D528" s="1025"/>
      <c r="E528" s="1028"/>
      <c r="F528" s="1027"/>
      <c r="G528" s="1028"/>
      <c r="H528" s="1029"/>
      <c r="I528" s="1030"/>
      <c r="J528" s="964" t="s">
        <v>2299</v>
      </c>
    </row>
    <row r="529" spans="1:10" hidden="1">
      <c r="A529" s="1024"/>
      <c r="B529" s="1005"/>
      <c r="C529" s="1042" t="s">
        <v>699</v>
      </c>
      <c r="D529" s="1025">
        <v>0.5</v>
      </c>
      <c r="E529" s="1043" t="s">
        <v>27</v>
      </c>
      <c r="F529" s="1027">
        <v>1</v>
      </c>
      <c r="G529" s="1043" t="s">
        <v>27</v>
      </c>
      <c r="H529" s="1029">
        <f>'MINI SSR 2020-21'!$H$16</f>
        <v>610</v>
      </c>
      <c r="I529" s="1030">
        <f>SUM(D529*H529/F529)</f>
        <v>305</v>
      </c>
      <c r="J529" s="964" t="s">
        <v>2299</v>
      </c>
    </row>
    <row r="530" spans="1:10" hidden="1">
      <c r="A530" s="1024"/>
      <c r="B530" s="1005"/>
      <c r="C530" s="1042" t="s">
        <v>219</v>
      </c>
      <c r="D530" s="1025">
        <v>0.5</v>
      </c>
      <c r="E530" s="1043" t="s">
        <v>27</v>
      </c>
      <c r="F530" s="1027">
        <v>1</v>
      </c>
      <c r="G530" s="1043" t="s">
        <v>27</v>
      </c>
      <c r="H530" s="1029">
        <f>'MINI SSR 2020-21'!$H$17</f>
        <v>500</v>
      </c>
      <c r="I530" s="1030">
        <f>SUM(D530*H530/F530)</f>
        <v>250</v>
      </c>
      <c r="J530" s="964" t="s">
        <v>2299</v>
      </c>
    </row>
    <row r="531" spans="1:10" hidden="1">
      <c r="A531" s="1024"/>
      <c r="B531" s="1005"/>
      <c r="C531" s="1042" t="s">
        <v>700</v>
      </c>
      <c r="D531" s="1025">
        <v>1</v>
      </c>
      <c r="E531" s="1043" t="s">
        <v>27</v>
      </c>
      <c r="F531" s="1027">
        <v>1</v>
      </c>
      <c r="G531" s="1043" t="s">
        <v>27</v>
      </c>
      <c r="H531" s="1029">
        <f>'MINI SSR 2020-21'!$H$18</f>
        <v>445</v>
      </c>
      <c r="I531" s="1041">
        <f>SUM(D531*H531/F531)</f>
        <v>445</v>
      </c>
      <c r="J531" s="964" t="s">
        <v>2299</v>
      </c>
    </row>
    <row r="532" spans="1:10" hidden="1">
      <c r="A532" s="1024"/>
      <c r="B532" s="1005"/>
      <c r="C532" s="1031" t="s">
        <v>327</v>
      </c>
      <c r="D532" s="1025"/>
      <c r="E532" s="1043"/>
      <c r="F532" s="1027"/>
      <c r="G532" s="1043"/>
      <c r="H532" s="1029"/>
      <c r="I532" s="1030"/>
      <c r="J532" s="964" t="s">
        <v>2299</v>
      </c>
    </row>
    <row r="533" spans="1:10" ht="22.5" hidden="1">
      <c r="A533" s="1024"/>
      <c r="B533" s="1024"/>
      <c r="C533" s="1031" t="s">
        <v>701</v>
      </c>
      <c r="D533" s="1069">
        <v>1</v>
      </c>
      <c r="E533" s="1026" t="s">
        <v>325</v>
      </c>
      <c r="F533" s="1069">
        <v>1</v>
      </c>
      <c r="G533" s="1026" t="s">
        <v>115</v>
      </c>
      <c r="H533" s="1051">
        <f>'MINI SSR 2020-21'!G122</f>
        <v>875</v>
      </c>
      <c r="I533" s="1070">
        <f>SUM(D533*H533/F533)</f>
        <v>875</v>
      </c>
      <c r="J533" s="964" t="s">
        <v>2299</v>
      </c>
    </row>
    <row r="534" spans="1:10" hidden="1">
      <c r="A534" s="1024"/>
      <c r="B534" s="1005"/>
      <c r="C534" s="1052" t="s">
        <v>702</v>
      </c>
      <c r="D534" s="1053">
        <v>1</v>
      </c>
      <c r="E534" s="1028" t="s">
        <v>325</v>
      </c>
      <c r="F534" s="1027">
        <v>1</v>
      </c>
      <c r="G534" s="1028" t="s">
        <v>115</v>
      </c>
      <c r="H534" s="1051">
        <f>'MINI SSR 2020-21'!G123</f>
        <v>360</v>
      </c>
      <c r="I534" s="1030">
        <f>SUM(D534*H534/F534)</f>
        <v>360</v>
      </c>
      <c r="J534" s="964" t="s">
        <v>2299</v>
      </c>
    </row>
    <row r="535" spans="1:10" hidden="1">
      <c r="A535" s="1024"/>
      <c r="B535" s="1005"/>
      <c r="C535" s="1052" t="s">
        <v>703</v>
      </c>
      <c r="D535" s="1053">
        <v>4</v>
      </c>
      <c r="E535" s="1028" t="s">
        <v>325</v>
      </c>
      <c r="F535" s="1027">
        <v>1</v>
      </c>
      <c r="G535" s="1028" t="s">
        <v>115</v>
      </c>
      <c r="H535" s="1051">
        <f>'MINI SSR 2020-21'!G124</f>
        <v>190</v>
      </c>
      <c r="I535" s="1030">
        <f>SUM(D535*H535/F535)</f>
        <v>760</v>
      </c>
      <c r="J535" s="964" t="s">
        <v>2299</v>
      </c>
    </row>
    <row r="536" spans="1:10" hidden="1">
      <c r="A536" s="1024"/>
      <c r="B536" s="1071"/>
      <c r="C536" s="1036" t="s">
        <v>388</v>
      </c>
      <c r="D536" s="1072"/>
      <c r="E536" s="1073"/>
      <c r="F536" s="1045"/>
      <c r="G536" s="1063"/>
      <c r="H536" s="1064"/>
      <c r="I536" s="1074">
        <f>SUM(I529:I535)</f>
        <v>2995</v>
      </c>
      <c r="J536" s="964" t="s">
        <v>2299</v>
      </c>
    </row>
    <row r="537" spans="1:10" ht="45" hidden="1">
      <c r="A537" s="1051"/>
      <c r="B537" s="1024">
        <v>26</v>
      </c>
      <c r="C537" s="1031" t="s">
        <v>941</v>
      </c>
      <c r="D537" s="1035"/>
      <c r="E537" s="1026"/>
      <c r="F537" s="1035"/>
      <c r="G537" s="1026"/>
      <c r="H537" s="1031"/>
      <c r="I537" s="1031"/>
      <c r="J537" s="964" t="s">
        <v>2299</v>
      </c>
    </row>
    <row r="538" spans="1:10" hidden="1">
      <c r="A538" s="1024"/>
      <c r="B538" s="1005"/>
      <c r="C538" s="1031" t="s">
        <v>327</v>
      </c>
      <c r="D538" s="1025"/>
      <c r="E538" s="1043"/>
      <c r="F538" s="1027"/>
      <c r="G538" s="1043"/>
      <c r="H538" s="1029"/>
      <c r="I538" s="1030"/>
      <c r="J538" s="964" t="s">
        <v>2299</v>
      </c>
    </row>
    <row r="539" spans="1:10" hidden="1">
      <c r="A539" s="1024"/>
      <c r="B539" s="1024"/>
      <c r="C539" s="1031" t="s">
        <v>942</v>
      </c>
      <c r="D539" s="1069">
        <v>2</v>
      </c>
      <c r="E539" s="1026" t="s">
        <v>325</v>
      </c>
      <c r="F539" s="1069">
        <v>1</v>
      </c>
      <c r="G539" s="1026" t="s">
        <v>115</v>
      </c>
      <c r="H539" s="1051">
        <f>'MINI SSR 2020-21'!G125</f>
        <v>100</v>
      </c>
      <c r="I539" s="1070">
        <f>SUM(D539*H539/F539)</f>
        <v>200</v>
      </c>
      <c r="J539" s="964" t="s">
        <v>2299</v>
      </c>
    </row>
    <row r="540" spans="1:10" hidden="1">
      <c r="A540" s="1024"/>
      <c r="B540" s="1005"/>
      <c r="C540" s="1052" t="s">
        <v>943</v>
      </c>
      <c r="D540" s="1053">
        <v>4</v>
      </c>
      <c r="E540" s="1028" t="s">
        <v>277</v>
      </c>
      <c r="F540" s="1027">
        <v>1</v>
      </c>
      <c r="G540" s="1028" t="s">
        <v>115</v>
      </c>
      <c r="H540" s="1029">
        <f>'MINI SSR 2020-21'!G126/100</f>
        <v>51</v>
      </c>
      <c r="I540" s="1030">
        <f>SUM(D540*H540/F540)</f>
        <v>204</v>
      </c>
      <c r="J540" s="964" t="s">
        <v>2299</v>
      </c>
    </row>
    <row r="541" spans="1:10" hidden="1">
      <c r="A541" s="1024"/>
      <c r="B541" s="1005"/>
      <c r="C541" s="1052" t="s">
        <v>944</v>
      </c>
      <c r="D541" s="1053">
        <v>1</v>
      </c>
      <c r="E541" s="1028" t="s">
        <v>325</v>
      </c>
      <c r="F541" s="1027">
        <v>1</v>
      </c>
      <c r="G541" s="1028" t="s">
        <v>115</v>
      </c>
      <c r="H541" s="1029">
        <f>'MINI SSR 2020-21'!G127</f>
        <v>190</v>
      </c>
      <c r="I541" s="1030">
        <f>SUM(D541*H541/F541)</f>
        <v>190</v>
      </c>
      <c r="J541" s="964" t="s">
        <v>2299</v>
      </c>
    </row>
    <row r="542" spans="1:10" hidden="1">
      <c r="A542" s="1024"/>
      <c r="B542" s="1005"/>
      <c r="C542" s="1031" t="s">
        <v>409</v>
      </c>
      <c r="D542" s="1025"/>
      <c r="E542" s="1028"/>
      <c r="F542" s="1027"/>
      <c r="G542" s="1028"/>
      <c r="H542" s="1029"/>
      <c r="I542" s="1030"/>
      <c r="J542" s="964" t="s">
        <v>2299</v>
      </c>
    </row>
    <row r="543" spans="1:10" hidden="1">
      <c r="A543" s="1024"/>
      <c r="B543" s="1005"/>
      <c r="C543" s="1042" t="s">
        <v>699</v>
      </c>
      <c r="D543" s="1025">
        <v>0.2</v>
      </c>
      <c r="E543" s="1043" t="s">
        <v>27</v>
      </c>
      <c r="F543" s="1027">
        <v>1</v>
      </c>
      <c r="G543" s="1043" t="s">
        <v>27</v>
      </c>
      <c r="H543" s="1029">
        <f>'MINI SSR 2020-21'!$H$16</f>
        <v>610</v>
      </c>
      <c r="I543" s="1030">
        <f>SUM(D543*H543/F543)</f>
        <v>122</v>
      </c>
      <c r="J543" s="964" t="s">
        <v>2299</v>
      </c>
    </row>
    <row r="544" spans="1:10" hidden="1">
      <c r="A544" s="1024"/>
      <c r="B544" s="1005"/>
      <c r="C544" s="1042" t="s">
        <v>219</v>
      </c>
      <c r="D544" s="1025">
        <v>0.2</v>
      </c>
      <c r="E544" s="1043" t="s">
        <v>27</v>
      </c>
      <c r="F544" s="1027">
        <v>1</v>
      </c>
      <c r="G544" s="1043" t="s">
        <v>27</v>
      </c>
      <c r="H544" s="1029">
        <f>'MINI SSR 2020-21'!$H$17</f>
        <v>500</v>
      </c>
      <c r="I544" s="1030">
        <f>SUM(D544*H544/F544)</f>
        <v>100</v>
      </c>
      <c r="J544" s="964" t="s">
        <v>2299</v>
      </c>
    </row>
    <row r="545" spans="1:10" hidden="1">
      <c r="A545" s="1024"/>
      <c r="B545" s="1005"/>
      <c r="C545" s="1042" t="s">
        <v>700</v>
      </c>
      <c r="D545" s="1025">
        <v>0.2</v>
      </c>
      <c r="E545" s="1043" t="s">
        <v>27</v>
      </c>
      <c r="F545" s="1027">
        <v>1</v>
      </c>
      <c r="G545" s="1043" t="s">
        <v>27</v>
      </c>
      <c r="H545" s="1029">
        <f>'MINI SSR 2020-21'!$H$18</f>
        <v>445</v>
      </c>
      <c r="I545" s="1041">
        <f>SUM(D545*H545/F545)</f>
        <v>89</v>
      </c>
      <c r="J545" s="964" t="s">
        <v>2299</v>
      </c>
    </row>
    <row r="546" spans="1:10" hidden="1">
      <c r="A546" s="1024"/>
      <c r="B546" s="1071"/>
      <c r="C546" s="1036" t="s">
        <v>388</v>
      </c>
      <c r="D546" s="1072"/>
      <c r="E546" s="1073"/>
      <c r="F546" s="1045"/>
      <c r="G546" s="1063"/>
      <c r="H546" s="1064"/>
      <c r="I546" s="1074">
        <f>SUM(I539:I545)</f>
        <v>905</v>
      </c>
      <c r="J546" s="964" t="s">
        <v>2299</v>
      </c>
    </row>
    <row r="547" spans="1:10" ht="78.75" hidden="1">
      <c r="A547" s="1051" t="s">
        <v>728</v>
      </c>
      <c r="B547" s="1005">
        <v>27</v>
      </c>
      <c r="C547" s="1031" t="s">
        <v>413</v>
      </c>
      <c r="D547" s="1035"/>
      <c r="E547" s="1026"/>
      <c r="F547" s="1035"/>
      <c r="G547" s="1026"/>
      <c r="H547" s="1031"/>
      <c r="I547" s="1031"/>
      <c r="J547" s="964" t="s">
        <v>2299</v>
      </c>
    </row>
    <row r="548" spans="1:10" hidden="1">
      <c r="A548" s="1005"/>
      <c r="B548" s="1005"/>
      <c r="C548" s="1066" t="s">
        <v>414</v>
      </c>
      <c r="D548" s="1075"/>
      <c r="E548" s="1076"/>
      <c r="F548" s="1027"/>
      <c r="G548" s="1076"/>
      <c r="H548" s="1029"/>
      <c r="I548" s="1030"/>
      <c r="J548" s="964" t="s">
        <v>2299</v>
      </c>
    </row>
    <row r="549" spans="1:10" hidden="1">
      <c r="A549" s="1005"/>
      <c r="B549" s="1005"/>
      <c r="C549" s="1042" t="s">
        <v>1657</v>
      </c>
      <c r="D549" s="1025">
        <v>0.5</v>
      </c>
      <c r="E549" s="1028" t="s">
        <v>325</v>
      </c>
      <c r="F549" s="1027">
        <v>1</v>
      </c>
      <c r="G549" s="1028" t="s">
        <v>115</v>
      </c>
      <c r="H549" s="1029">
        <f>'MINI SSR 2020-21'!$H$17</f>
        <v>500</v>
      </c>
      <c r="I549" s="1030">
        <f>SUM(D549*H549/F549)</f>
        <v>250</v>
      </c>
      <c r="J549" s="964" t="s">
        <v>2299</v>
      </c>
    </row>
    <row r="550" spans="1:10" hidden="1">
      <c r="A550" s="1005"/>
      <c r="B550" s="1005"/>
      <c r="C550" s="1042" t="s">
        <v>700</v>
      </c>
      <c r="D550" s="1025">
        <v>0.5</v>
      </c>
      <c r="E550" s="1043" t="s">
        <v>27</v>
      </c>
      <c r="F550" s="1027">
        <v>1</v>
      </c>
      <c r="G550" s="1043" t="s">
        <v>27</v>
      </c>
      <c r="H550" s="1029">
        <f>'MINI SSR 2020-21'!$H$18</f>
        <v>445</v>
      </c>
      <c r="I550" s="1041">
        <f>SUM(D550*H550/F550)</f>
        <v>222.5</v>
      </c>
      <c r="J550" s="964" t="s">
        <v>2299</v>
      </c>
    </row>
    <row r="551" spans="1:10" hidden="1">
      <c r="A551" s="1005"/>
      <c r="B551" s="1005"/>
      <c r="C551" s="1031" t="s">
        <v>106</v>
      </c>
      <c r="D551" s="1025"/>
      <c r="E551" s="1028"/>
      <c r="F551" s="1027"/>
      <c r="G551" s="1028"/>
      <c r="H551" s="1029"/>
      <c r="I551" s="1030"/>
      <c r="J551" s="964" t="s">
        <v>2299</v>
      </c>
    </row>
    <row r="552" spans="1:10" hidden="1">
      <c r="A552" s="1005"/>
      <c r="B552" s="1005"/>
      <c r="C552" s="1042" t="s">
        <v>729</v>
      </c>
      <c r="D552" s="1025">
        <v>2.5</v>
      </c>
      <c r="E552" s="1076" t="s">
        <v>385</v>
      </c>
      <c r="F552" s="1027">
        <v>1</v>
      </c>
      <c r="G552" s="1076" t="s">
        <v>385</v>
      </c>
      <c r="H552" s="1029">
        <f>'MINI SSR 2020-21'!G128</f>
        <v>350</v>
      </c>
      <c r="I552" s="1030">
        <f t="shared" ref="I552:I562" si="3">SUM(D552*H552/F552)</f>
        <v>875</v>
      </c>
      <c r="J552" s="964" t="s">
        <v>2299</v>
      </c>
    </row>
    <row r="553" spans="1:10" hidden="1">
      <c r="A553" s="1005"/>
      <c r="B553" s="1005"/>
      <c r="C553" s="1031" t="s">
        <v>730</v>
      </c>
      <c r="D553" s="1025">
        <v>0.24</v>
      </c>
      <c r="E553" s="1076" t="s">
        <v>141</v>
      </c>
      <c r="F553" s="1027">
        <v>1</v>
      </c>
      <c r="G553" s="1076" t="s">
        <v>4</v>
      </c>
      <c r="H553" s="1029">
        <f>'MINI SSR 2020-21'!G129</f>
        <v>65</v>
      </c>
      <c r="I553" s="1030">
        <f t="shared" si="3"/>
        <v>15.6</v>
      </c>
      <c r="J553" s="964" t="s">
        <v>2299</v>
      </c>
    </row>
    <row r="554" spans="1:10" hidden="1">
      <c r="A554" s="1005"/>
      <c r="B554" s="1005"/>
      <c r="C554" s="1031" t="s">
        <v>731</v>
      </c>
      <c r="D554" s="1025">
        <v>0.83</v>
      </c>
      <c r="E554" s="1076" t="s">
        <v>141</v>
      </c>
      <c r="F554" s="1027">
        <v>1</v>
      </c>
      <c r="G554" s="1076" t="s">
        <v>90</v>
      </c>
      <c r="H554" s="1029">
        <f>'MINI SSR 2020-21'!G130</f>
        <v>65</v>
      </c>
      <c r="I554" s="1030">
        <f t="shared" si="3"/>
        <v>53.949999999999996</v>
      </c>
      <c r="J554" s="964" t="s">
        <v>2299</v>
      </c>
    </row>
    <row r="555" spans="1:10" hidden="1">
      <c r="A555" s="1005"/>
      <c r="B555" s="1005"/>
      <c r="C555" s="1042" t="s">
        <v>732</v>
      </c>
      <c r="D555" s="1025">
        <v>16</v>
      </c>
      <c r="E555" s="1076" t="s">
        <v>325</v>
      </c>
      <c r="F555" s="1027">
        <v>1</v>
      </c>
      <c r="G555" s="1028" t="s">
        <v>115</v>
      </c>
      <c r="H555" s="1029">
        <f>'MINI SSR 2020-21'!G131</f>
        <v>6</v>
      </c>
      <c r="I555" s="1030">
        <f t="shared" si="3"/>
        <v>96</v>
      </c>
      <c r="J555" s="964" t="s">
        <v>2299</v>
      </c>
    </row>
    <row r="556" spans="1:10" hidden="1">
      <c r="A556" s="1005"/>
      <c r="B556" s="1005"/>
      <c r="C556" s="1042" t="s">
        <v>733</v>
      </c>
      <c r="D556" s="1025">
        <v>2</v>
      </c>
      <c r="E556" s="1076" t="s">
        <v>415</v>
      </c>
      <c r="F556" s="1027">
        <v>1</v>
      </c>
      <c r="G556" s="1076" t="s">
        <v>416</v>
      </c>
      <c r="H556" s="1029">
        <f>'MINI SSR 2020-21'!G132</f>
        <v>12</v>
      </c>
      <c r="I556" s="1030">
        <f t="shared" si="3"/>
        <v>24</v>
      </c>
      <c r="J556" s="964" t="s">
        <v>2299</v>
      </c>
    </row>
    <row r="557" spans="1:10" hidden="1">
      <c r="A557" s="1005"/>
      <c r="B557" s="1005"/>
      <c r="C557" s="1042" t="s">
        <v>734</v>
      </c>
      <c r="D557" s="1025">
        <v>1</v>
      </c>
      <c r="E557" s="1028" t="s">
        <v>115</v>
      </c>
      <c r="F557" s="1027">
        <v>1</v>
      </c>
      <c r="G557" s="1028" t="s">
        <v>115</v>
      </c>
      <c r="H557" s="1029">
        <f>'MINI SSR 2020-21'!G133</f>
        <v>250</v>
      </c>
      <c r="I557" s="1030">
        <f t="shared" si="3"/>
        <v>250</v>
      </c>
      <c r="J557" s="964" t="s">
        <v>2299</v>
      </c>
    </row>
    <row r="558" spans="1:10" hidden="1">
      <c r="A558" s="1005"/>
      <c r="B558" s="1005"/>
      <c r="C558" s="1042" t="s">
        <v>735</v>
      </c>
      <c r="D558" s="1025">
        <v>1</v>
      </c>
      <c r="E558" s="1076" t="s">
        <v>115</v>
      </c>
      <c r="F558" s="1027">
        <v>1</v>
      </c>
      <c r="G558" s="1076" t="s">
        <v>115</v>
      </c>
      <c r="H558" s="1029">
        <f>'MINI SSR 2020-21'!G134</f>
        <v>130</v>
      </c>
      <c r="I558" s="1030">
        <f t="shared" si="3"/>
        <v>130</v>
      </c>
      <c r="J558" s="964" t="s">
        <v>2299</v>
      </c>
    </row>
    <row r="559" spans="1:10" hidden="1">
      <c r="A559" s="1005"/>
      <c r="B559" s="1005"/>
      <c r="C559" s="1042" t="s">
        <v>736</v>
      </c>
      <c r="D559" s="1025">
        <v>40</v>
      </c>
      <c r="E559" s="1076" t="s">
        <v>4</v>
      </c>
      <c r="F559" s="1027">
        <v>1</v>
      </c>
      <c r="G559" s="1076" t="s">
        <v>4</v>
      </c>
      <c r="H559" s="1029">
        <f>'MINI SSR 2020-21'!G135</f>
        <v>20</v>
      </c>
      <c r="I559" s="1030">
        <f t="shared" si="3"/>
        <v>800</v>
      </c>
      <c r="J559" s="964" t="s">
        <v>2299</v>
      </c>
    </row>
    <row r="560" spans="1:10" hidden="1">
      <c r="A560" s="1005"/>
      <c r="B560" s="1005"/>
      <c r="C560" s="1042" t="s">
        <v>737</v>
      </c>
      <c r="D560" s="1025">
        <v>20</v>
      </c>
      <c r="E560" s="1076" t="s">
        <v>4</v>
      </c>
      <c r="F560" s="1027">
        <v>1</v>
      </c>
      <c r="G560" s="1076" t="s">
        <v>4</v>
      </c>
      <c r="H560" s="1029">
        <f>'MINI SSR 2020-21'!G136</f>
        <v>15</v>
      </c>
      <c r="I560" s="1030">
        <f t="shared" si="3"/>
        <v>300</v>
      </c>
      <c r="J560" s="964" t="s">
        <v>2299</v>
      </c>
    </row>
    <row r="561" spans="1:10" ht="22.5" hidden="1">
      <c r="A561" s="1005"/>
      <c r="B561" s="1005"/>
      <c r="C561" s="1031" t="s">
        <v>738</v>
      </c>
      <c r="D561" s="1025">
        <v>0.65</v>
      </c>
      <c r="E561" s="1028" t="s">
        <v>35</v>
      </c>
      <c r="F561" s="1027">
        <v>1</v>
      </c>
      <c r="G561" s="1028" t="s">
        <v>35</v>
      </c>
      <c r="H561" s="1029">
        <f>'MINI SSR 2020-21'!G137</f>
        <v>250</v>
      </c>
      <c r="I561" s="1030">
        <f t="shared" si="3"/>
        <v>162.5</v>
      </c>
      <c r="J561" s="964" t="s">
        <v>2299</v>
      </c>
    </row>
    <row r="562" spans="1:10" ht="22.5" hidden="1">
      <c r="A562" s="1005"/>
      <c r="B562" s="1005"/>
      <c r="C562" s="1031" t="s">
        <v>739</v>
      </c>
      <c r="D562" s="1025">
        <v>0.65</v>
      </c>
      <c r="E562" s="1028" t="s">
        <v>35</v>
      </c>
      <c r="F562" s="1027">
        <v>1</v>
      </c>
      <c r="G562" s="1028" t="s">
        <v>35</v>
      </c>
      <c r="H562" s="1029">
        <f>'MINI SSR 2020-21'!G138</f>
        <v>250</v>
      </c>
      <c r="I562" s="1030">
        <f t="shared" si="3"/>
        <v>162.5</v>
      </c>
      <c r="J562" s="964" t="s">
        <v>2299</v>
      </c>
    </row>
    <row r="563" spans="1:10" ht="22.5" hidden="1">
      <c r="A563" s="1005"/>
      <c r="B563" s="1005"/>
      <c r="C563" s="1031" t="s">
        <v>417</v>
      </c>
      <c r="D563" s="1077">
        <v>0.25</v>
      </c>
      <c r="E563" s="1076"/>
      <c r="F563" s="1027"/>
      <c r="G563" s="1076"/>
      <c r="H563" s="1029">
        <f>I561+I562</f>
        <v>325</v>
      </c>
      <c r="I563" s="1030">
        <f>SUM(H563*D563)</f>
        <v>81.25</v>
      </c>
      <c r="J563" s="964" t="s">
        <v>2299</v>
      </c>
    </row>
    <row r="564" spans="1:10" hidden="1">
      <c r="A564" s="1005"/>
      <c r="B564" s="1005"/>
      <c r="C564" s="1031" t="s">
        <v>418</v>
      </c>
      <c r="D564" s="1025"/>
      <c r="E564" s="1028"/>
      <c r="F564" s="1027"/>
      <c r="G564" s="1028"/>
      <c r="H564" s="1029"/>
      <c r="I564" s="1030">
        <v>9.52</v>
      </c>
      <c r="J564" s="964" t="s">
        <v>2299</v>
      </c>
    </row>
    <row r="565" spans="1:10" hidden="1">
      <c r="A565" s="1005"/>
      <c r="B565" s="1005"/>
      <c r="C565" s="1031" t="s">
        <v>405</v>
      </c>
      <c r="D565" s="1025"/>
      <c r="E565" s="1028"/>
      <c r="F565" s="1027"/>
      <c r="G565" s="1028"/>
      <c r="H565" s="1029"/>
      <c r="I565" s="1030">
        <f>SUM(I549:I564)</f>
        <v>3432.82</v>
      </c>
      <c r="J565" s="964" t="s">
        <v>2299</v>
      </c>
    </row>
    <row r="566" spans="1:10" ht="106.5" hidden="1" customHeight="1">
      <c r="A566" s="1051"/>
      <c r="B566" s="1024">
        <v>28</v>
      </c>
      <c r="C566" s="1031" t="s">
        <v>2252</v>
      </c>
      <c r="D566" s="1035"/>
      <c r="E566" s="1026"/>
      <c r="F566" s="1035"/>
      <c r="G566" s="1026"/>
      <c r="H566" s="1031"/>
      <c r="I566" s="1031"/>
      <c r="J566" s="964" t="s">
        <v>2299</v>
      </c>
    </row>
    <row r="567" spans="1:10" hidden="1">
      <c r="A567" s="1024"/>
      <c r="B567" s="1005"/>
      <c r="C567" s="1042" t="s">
        <v>2089</v>
      </c>
      <c r="D567" s="1025">
        <v>1</v>
      </c>
      <c r="E567" s="1043" t="s">
        <v>115</v>
      </c>
      <c r="F567" s="1027">
        <v>1</v>
      </c>
      <c r="G567" s="1043" t="s">
        <v>115</v>
      </c>
      <c r="H567" s="1029">
        <f>'MINI SSR 2020-21'!G139</f>
        <v>1980</v>
      </c>
      <c r="I567" s="1030">
        <f>SUM(D567*H567/F567)</f>
        <v>1980</v>
      </c>
      <c r="J567" s="964" t="s">
        <v>2299</v>
      </c>
    </row>
    <row r="568" spans="1:10" hidden="1">
      <c r="A568" s="1024"/>
      <c r="B568" s="1005"/>
      <c r="C568" s="1031" t="s">
        <v>405</v>
      </c>
      <c r="D568" s="1025"/>
      <c r="E568" s="1026"/>
      <c r="F568" s="1027"/>
      <c r="G568" s="1028"/>
      <c r="H568" s="1029"/>
      <c r="I568" s="1030">
        <f>SUM(I567:I567)</f>
        <v>1980</v>
      </c>
      <c r="J568" s="964" t="s">
        <v>2299</v>
      </c>
    </row>
    <row r="569" spans="1:10" ht="106.5" hidden="1" customHeight="1">
      <c r="A569" s="1051"/>
      <c r="B569" s="1024">
        <v>28</v>
      </c>
      <c r="C569" s="1031" t="s">
        <v>2253</v>
      </c>
      <c r="D569" s="1035"/>
      <c r="E569" s="1026"/>
      <c r="F569" s="1035"/>
      <c r="G569" s="1026"/>
      <c r="H569" s="1031"/>
      <c r="I569" s="1031"/>
      <c r="J569" s="964" t="s">
        <v>2299</v>
      </c>
    </row>
    <row r="570" spans="1:10" hidden="1">
      <c r="A570" s="1024"/>
      <c r="B570" s="1005"/>
      <c r="C570" s="1042" t="s">
        <v>2260</v>
      </c>
      <c r="D570" s="1025">
        <v>1</v>
      </c>
      <c r="E570" s="1043" t="s">
        <v>115</v>
      </c>
      <c r="F570" s="1027">
        <v>1</v>
      </c>
      <c r="G570" s="1043" t="s">
        <v>115</v>
      </c>
      <c r="H570" s="1029">
        <f>'MINI SSR 2020-21'!G140</f>
        <v>5900</v>
      </c>
      <c r="I570" s="1030">
        <f>SUM(D570*H570/F570)</f>
        <v>5900</v>
      </c>
      <c r="J570" s="964" t="s">
        <v>2299</v>
      </c>
    </row>
    <row r="571" spans="1:10" hidden="1">
      <c r="A571" s="1024"/>
      <c r="B571" s="1005"/>
      <c r="C571" s="1031" t="s">
        <v>405</v>
      </c>
      <c r="D571" s="1025"/>
      <c r="E571" s="1026"/>
      <c r="F571" s="1027"/>
      <c r="G571" s="1028"/>
      <c r="H571" s="1029"/>
      <c r="I571" s="1030">
        <f>SUM(I570:I570)</f>
        <v>5900</v>
      </c>
      <c r="J571" s="964" t="s">
        <v>2299</v>
      </c>
    </row>
    <row r="572" spans="1:10" hidden="1">
      <c r="A572" s="1024"/>
      <c r="B572" s="1005"/>
      <c r="C572" s="1005" t="s">
        <v>2310</v>
      </c>
      <c r="D572" s="1025"/>
      <c r="E572" s="1026"/>
      <c r="F572" s="1027"/>
      <c r="G572" s="1028"/>
      <c r="H572" s="1029"/>
      <c r="I572" s="1030"/>
      <c r="J572" s="964" t="s">
        <v>2312</v>
      </c>
    </row>
    <row r="573" spans="1:10" ht="33.75" hidden="1">
      <c r="A573" s="1029" t="s">
        <v>1495</v>
      </c>
      <c r="B573" s="1005">
        <v>1</v>
      </c>
      <c r="C573" s="1031" t="s">
        <v>1504</v>
      </c>
      <c r="D573" s="1032"/>
      <c r="E573" s="1033"/>
      <c r="F573" s="1032"/>
      <c r="G573" s="1033"/>
      <c r="H573" s="1034"/>
      <c r="I573" s="1034"/>
      <c r="J573" s="964" t="s">
        <v>2312</v>
      </c>
    </row>
    <row r="574" spans="1:10" hidden="1">
      <c r="A574" s="1024"/>
      <c r="B574" s="1005"/>
      <c r="C574" s="1031" t="s">
        <v>1496</v>
      </c>
      <c r="D574" s="1035"/>
      <c r="E574" s="1026"/>
      <c r="F574" s="1035"/>
      <c r="G574" s="1026"/>
      <c r="H574" s="1031"/>
      <c r="I574" s="1031"/>
      <c r="J574" s="964" t="s">
        <v>2312</v>
      </c>
    </row>
    <row r="575" spans="1:10" hidden="1">
      <c r="A575" s="1024"/>
      <c r="B575" s="1005"/>
      <c r="C575" s="1036" t="s">
        <v>384</v>
      </c>
      <c r="D575" s="1037"/>
      <c r="E575" s="1038"/>
      <c r="F575" s="1039"/>
      <c r="G575" s="1040"/>
      <c r="H575" s="1029"/>
      <c r="I575" s="1041"/>
      <c r="J575" s="964" t="s">
        <v>2312</v>
      </c>
    </row>
    <row r="576" spans="1:10" hidden="1">
      <c r="A576" s="1024"/>
      <c r="B576" s="1005"/>
      <c r="C576" s="1042" t="s">
        <v>156</v>
      </c>
      <c r="D576" s="1025">
        <v>2</v>
      </c>
      <c r="E576" s="1043" t="s">
        <v>27</v>
      </c>
      <c r="F576" s="1027">
        <v>1</v>
      </c>
      <c r="G576" s="1043" t="s">
        <v>27</v>
      </c>
      <c r="H576" s="1029">
        <f>'MINI SSR 21-22'!$H$16</f>
        <v>650</v>
      </c>
      <c r="I576" s="1041">
        <f>SUM(D576*H576/F576)</f>
        <v>1300</v>
      </c>
      <c r="J576" s="964" t="s">
        <v>2312</v>
      </c>
    </row>
    <row r="577" spans="1:10" hidden="1">
      <c r="A577" s="1024"/>
      <c r="B577" s="1005"/>
      <c r="C577" s="1044" t="s">
        <v>1499</v>
      </c>
      <c r="D577" s="1025">
        <v>2</v>
      </c>
      <c r="E577" s="1043" t="s">
        <v>27</v>
      </c>
      <c r="F577" s="1027">
        <v>1</v>
      </c>
      <c r="G577" s="1043" t="s">
        <v>27</v>
      </c>
      <c r="H577" s="1029">
        <f>'MINI SSR 21-22'!$H$17</f>
        <v>530</v>
      </c>
      <c r="I577" s="1041">
        <f>SUM(D577*H577/F577)</f>
        <v>1060</v>
      </c>
      <c r="J577" s="964" t="s">
        <v>2312</v>
      </c>
    </row>
    <row r="578" spans="1:10" hidden="1">
      <c r="A578" s="1024"/>
      <c r="B578" s="1005"/>
      <c r="C578" s="1042" t="s">
        <v>1500</v>
      </c>
      <c r="D578" s="1025">
        <v>2</v>
      </c>
      <c r="E578" s="1043" t="s">
        <v>27</v>
      </c>
      <c r="F578" s="1027">
        <v>1</v>
      </c>
      <c r="G578" s="1043" t="s">
        <v>27</v>
      </c>
      <c r="H578" s="1029">
        <f>'MINI SSR 21-22'!$H$18</f>
        <v>470</v>
      </c>
      <c r="I578" s="1041">
        <f>SUM(D578*H578/F578)</f>
        <v>940</v>
      </c>
      <c r="J578" s="964" t="s">
        <v>2312</v>
      </c>
    </row>
    <row r="579" spans="1:10" hidden="1">
      <c r="A579" s="1024"/>
      <c r="B579" s="1005"/>
      <c r="C579" s="1036" t="s">
        <v>327</v>
      </c>
      <c r="D579" s="1025"/>
      <c r="E579" s="1028"/>
      <c r="F579" s="1045"/>
      <c r="G579" s="1028"/>
      <c r="H579" s="1029"/>
      <c r="I579" s="1046"/>
      <c r="J579" s="964" t="s">
        <v>2312</v>
      </c>
    </row>
    <row r="580" spans="1:10" hidden="1">
      <c r="A580" s="1024" t="s">
        <v>3166</v>
      </c>
      <c r="B580" s="1005"/>
      <c r="C580" s="1031" t="s">
        <v>1497</v>
      </c>
      <c r="D580" s="1025">
        <v>12</v>
      </c>
      <c r="E580" s="1043" t="s">
        <v>325</v>
      </c>
      <c r="F580" s="1027">
        <v>1</v>
      </c>
      <c r="G580" s="1043" t="s">
        <v>115</v>
      </c>
      <c r="H580" s="1029">
        <f>'MINI SSR 21-22'!C99</f>
        <v>65</v>
      </c>
      <c r="I580" s="1041">
        <f>SUM(D580*H580/F580)</f>
        <v>780</v>
      </c>
      <c r="J580" s="964" t="s">
        <v>2312</v>
      </c>
    </row>
    <row r="581" spans="1:10" hidden="1">
      <c r="A581" s="1024" t="s">
        <v>1502</v>
      </c>
      <c r="B581" s="1005"/>
      <c r="C581" s="1031" t="s">
        <v>1498</v>
      </c>
      <c r="D581" s="1025">
        <v>12</v>
      </c>
      <c r="E581" s="1043" t="s">
        <v>325</v>
      </c>
      <c r="F581" s="1027">
        <v>1</v>
      </c>
      <c r="G581" s="1043" t="s">
        <v>115</v>
      </c>
      <c r="H581" s="1029">
        <f>'MINI SSR 21-22'!C101</f>
        <v>9</v>
      </c>
      <c r="I581" s="1041">
        <f>SUM(D581*H581/F581)</f>
        <v>108</v>
      </c>
      <c r="J581" s="964" t="s">
        <v>2312</v>
      </c>
    </row>
    <row r="582" spans="1:10" hidden="1">
      <c r="A582" s="1024" t="s">
        <v>1503</v>
      </c>
      <c r="B582" s="1005"/>
      <c r="C582" s="1031" t="s">
        <v>1507</v>
      </c>
      <c r="D582" s="1025">
        <v>100</v>
      </c>
      <c r="E582" s="1043" t="s">
        <v>385</v>
      </c>
      <c r="F582" s="1027">
        <v>1</v>
      </c>
      <c r="G582" s="1043" t="s">
        <v>385</v>
      </c>
      <c r="H582" s="1029">
        <f>'MINI SSR 21-22'!C102</f>
        <v>28</v>
      </c>
      <c r="I582" s="1041">
        <f>SUM(D582*H582/F582)</f>
        <v>2800</v>
      </c>
      <c r="J582" s="964" t="s">
        <v>2312</v>
      </c>
    </row>
    <row r="583" spans="1:10" hidden="1">
      <c r="A583" s="1047"/>
      <c r="B583" s="1048"/>
      <c r="C583" s="1034" t="s">
        <v>386</v>
      </c>
      <c r="D583" s="1025"/>
      <c r="E583" s="1043"/>
      <c r="F583" s="1027"/>
      <c r="G583" s="1043"/>
      <c r="H583" s="1029"/>
      <c r="I583" s="1046">
        <f>SUM(I576:I582)</f>
        <v>6988</v>
      </c>
      <c r="J583" s="964" t="s">
        <v>2312</v>
      </c>
    </row>
    <row r="584" spans="1:10" hidden="1">
      <c r="A584" s="1047"/>
      <c r="B584" s="1048"/>
      <c r="C584" s="1034" t="s">
        <v>387</v>
      </c>
      <c r="D584" s="1049"/>
      <c r="E584" s="1043"/>
      <c r="F584" s="1027"/>
      <c r="G584" s="1043"/>
      <c r="H584" s="1050"/>
      <c r="I584" s="1046">
        <f>ROUND(I583/100,2)</f>
        <v>69.88</v>
      </c>
      <c r="J584" s="964" t="s">
        <v>2312</v>
      </c>
    </row>
    <row r="585" spans="1:10" ht="33.75" hidden="1">
      <c r="A585" s="1029" t="s">
        <v>1655</v>
      </c>
      <c r="B585" s="1005">
        <v>2</v>
      </c>
      <c r="C585" s="1031" t="s">
        <v>1508</v>
      </c>
      <c r="D585" s="1032"/>
      <c r="E585" s="1033"/>
      <c r="F585" s="1032"/>
      <c r="G585" s="1033"/>
      <c r="H585" s="1034"/>
      <c r="I585" s="1034"/>
      <c r="J585" s="964" t="s">
        <v>2312</v>
      </c>
    </row>
    <row r="586" spans="1:10" hidden="1">
      <c r="A586" s="1024"/>
      <c r="B586" s="1005"/>
      <c r="C586" s="1031" t="s">
        <v>1496</v>
      </c>
      <c r="D586" s="1035"/>
      <c r="E586" s="1026"/>
      <c r="F586" s="1035"/>
      <c r="G586" s="1026"/>
      <c r="H586" s="1031"/>
      <c r="I586" s="1031"/>
      <c r="J586" s="964" t="s">
        <v>2312</v>
      </c>
    </row>
    <row r="587" spans="1:10" hidden="1">
      <c r="A587" s="1024"/>
      <c r="B587" s="1005"/>
      <c r="C587" s="1036" t="s">
        <v>384</v>
      </c>
      <c r="D587" s="1037"/>
      <c r="E587" s="1038"/>
      <c r="F587" s="1039"/>
      <c r="G587" s="1040"/>
      <c r="H587" s="1029"/>
      <c r="I587" s="1041"/>
      <c r="J587" s="964" t="s">
        <v>2312</v>
      </c>
    </row>
    <row r="588" spans="1:10" hidden="1">
      <c r="A588" s="1024"/>
      <c r="B588" s="1005"/>
      <c r="C588" s="1042" t="s">
        <v>156</v>
      </c>
      <c r="D588" s="1025">
        <v>2</v>
      </c>
      <c r="E588" s="1043" t="s">
        <v>27</v>
      </c>
      <c r="F588" s="1027">
        <v>1</v>
      </c>
      <c r="G588" s="1043" t="s">
        <v>27</v>
      </c>
      <c r="H588" s="1029">
        <f>'MINI SSR 21-22'!$H$16</f>
        <v>650</v>
      </c>
      <c r="I588" s="1041">
        <f>SUM(D588*H588/F588)</f>
        <v>1300</v>
      </c>
      <c r="J588" s="964" t="s">
        <v>2312</v>
      </c>
    </row>
    <row r="589" spans="1:10" hidden="1">
      <c r="A589" s="1024"/>
      <c r="B589" s="1005"/>
      <c r="C589" s="1044" t="s">
        <v>1499</v>
      </c>
      <c r="D589" s="1025">
        <v>2</v>
      </c>
      <c r="E589" s="1043" t="s">
        <v>27</v>
      </c>
      <c r="F589" s="1027">
        <v>1</v>
      </c>
      <c r="G589" s="1043" t="s">
        <v>27</v>
      </c>
      <c r="H589" s="1029">
        <f>'MINI SSR 21-22'!$H$17</f>
        <v>530</v>
      </c>
      <c r="I589" s="1041">
        <f>SUM(D589*H589/F589)</f>
        <v>1060</v>
      </c>
      <c r="J589" s="964" t="s">
        <v>2312</v>
      </c>
    </row>
    <row r="590" spans="1:10" hidden="1">
      <c r="A590" s="1024"/>
      <c r="B590" s="1005"/>
      <c r="C590" s="1042" t="s">
        <v>1500</v>
      </c>
      <c r="D590" s="1025">
        <v>2</v>
      </c>
      <c r="E590" s="1043" t="s">
        <v>27</v>
      </c>
      <c r="F590" s="1027">
        <v>1</v>
      </c>
      <c r="G590" s="1043" t="s">
        <v>27</v>
      </c>
      <c r="H590" s="1029">
        <f>'MINI SSR 21-22'!$H$18</f>
        <v>470</v>
      </c>
      <c r="I590" s="1041">
        <f>SUM(D590*H590/F590)</f>
        <v>940</v>
      </c>
      <c r="J590" s="964" t="s">
        <v>2312</v>
      </c>
    </row>
    <row r="591" spans="1:10" hidden="1">
      <c r="A591" s="1024"/>
      <c r="B591" s="1005"/>
      <c r="C591" s="1042" t="s">
        <v>1506</v>
      </c>
      <c r="D591" s="1025">
        <v>2</v>
      </c>
      <c r="E591" s="1043" t="s">
        <v>27</v>
      </c>
      <c r="F591" s="1027">
        <v>1</v>
      </c>
      <c r="G591" s="1043" t="s">
        <v>27</v>
      </c>
      <c r="H591" s="1029">
        <f>'MINI SSR 21-22'!$H$3</f>
        <v>585</v>
      </c>
      <c r="I591" s="1041">
        <f>SUM(D591*H591/F591)</f>
        <v>1170</v>
      </c>
      <c r="J591" s="964" t="s">
        <v>2312</v>
      </c>
    </row>
    <row r="592" spans="1:10" hidden="1">
      <c r="A592" s="1024"/>
      <c r="B592" s="1005"/>
      <c r="C592" s="1036" t="s">
        <v>327</v>
      </c>
      <c r="D592" s="1025"/>
      <c r="E592" s="1028"/>
      <c r="F592" s="1045"/>
      <c r="G592" s="1028"/>
      <c r="H592" s="1029"/>
      <c r="I592" s="1046"/>
      <c r="J592" s="964" t="s">
        <v>2312</v>
      </c>
    </row>
    <row r="593" spans="1:10" hidden="1">
      <c r="A593" s="1024" t="s">
        <v>1503</v>
      </c>
      <c r="B593" s="1005"/>
      <c r="C593" s="1056" t="s">
        <v>1507</v>
      </c>
      <c r="D593" s="1025">
        <v>100</v>
      </c>
      <c r="E593" s="1043" t="s">
        <v>325</v>
      </c>
      <c r="F593" s="1027">
        <v>1</v>
      </c>
      <c r="G593" s="1043" t="s">
        <v>115</v>
      </c>
      <c r="H593" s="1029">
        <f>'MINI SSR 21-22'!C102</f>
        <v>28</v>
      </c>
      <c r="I593" s="1041">
        <f>SUM(D593*H593/F593)</f>
        <v>2800</v>
      </c>
      <c r="J593" s="964" t="s">
        <v>2312</v>
      </c>
    </row>
    <row r="594" spans="1:10" hidden="1">
      <c r="A594" s="1024" t="s">
        <v>1509</v>
      </c>
      <c r="B594" s="1005"/>
      <c r="C594" s="1057" t="s">
        <v>1505</v>
      </c>
      <c r="D594" s="1025">
        <v>200</v>
      </c>
      <c r="E594" s="1043" t="s">
        <v>325</v>
      </c>
      <c r="F594" s="1027">
        <v>100</v>
      </c>
      <c r="G594" s="1043" t="s">
        <v>115</v>
      </c>
      <c r="H594" s="1029">
        <f>'MINI SSR 21-22'!C103</f>
        <v>33</v>
      </c>
      <c r="I594" s="1041">
        <f>SUM(D594*H594/F594)</f>
        <v>66</v>
      </c>
      <c r="J594" s="964" t="s">
        <v>2312</v>
      </c>
    </row>
    <row r="595" spans="1:10" hidden="1">
      <c r="A595" s="1024" t="s">
        <v>1501</v>
      </c>
      <c r="B595" s="1005"/>
      <c r="C595" s="1031" t="s">
        <v>1497</v>
      </c>
      <c r="D595" s="1025">
        <v>12</v>
      </c>
      <c r="E595" s="1043" t="s">
        <v>325</v>
      </c>
      <c r="F595" s="1027">
        <v>1</v>
      </c>
      <c r="G595" s="1043" t="s">
        <v>115</v>
      </c>
      <c r="H595" s="1029">
        <f>'MINI SSR 21-22'!C100</f>
        <v>22</v>
      </c>
      <c r="I595" s="1041">
        <f>SUM(D595*H595/F595)</f>
        <v>264</v>
      </c>
      <c r="J595" s="964" t="s">
        <v>2312</v>
      </c>
    </row>
    <row r="596" spans="1:10" hidden="1">
      <c r="A596" s="1024" t="s">
        <v>1502</v>
      </c>
      <c r="B596" s="1005"/>
      <c r="C596" s="1031" t="s">
        <v>1498</v>
      </c>
      <c r="D596" s="1025">
        <v>12</v>
      </c>
      <c r="E596" s="1043" t="s">
        <v>325</v>
      </c>
      <c r="F596" s="1027">
        <v>1</v>
      </c>
      <c r="G596" s="1043" t="s">
        <v>115</v>
      </c>
      <c r="H596" s="1029">
        <f>'MINI SSR 21-22'!C101</f>
        <v>9</v>
      </c>
      <c r="I596" s="1041">
        <f>SUM(D596*H596/F596)</f>
        <v>108</v>
      </c>
      <c r="J596" s="964" t="s">
        <v>2312</v>
      </c>
    </row>
    <row r="597" spans="1:10" hidden="1">
      <c r="A597" s="1024"/>
      <c r="B597" s="1005"/>
      <c r="C597" s="1056" t="s">
        <v>847</v>
      </c>
      <c r="D597" s="1025">
        <v>50</v>
      </c>
      <c r="E597" s="1043" t="s">
        <v>4</v>
      </c>
      <c r="F597" s="1027">
        <v>1</v>
      </c>
      <c r="G597" s="1043" t="s">
        <v>4</v>
      </c>
      <c r="H597" s="1029">
        <f>'lead 21-22'!L8/1000</f>
        <v>4.7</v>
      </c>
      <c r="I597" s="1041">
        <f>SUM(D597*H597/F597)</f>
        <v>235</v>
      </c>
      <c r="J597" s="964" t="s">
        <v>2312</v>
      </c>
    </row>
    <row r="598" spans="1:10" hidden="1">
      <c r="A598" s="1047"/>
      <c r="B598" s="1048"/>
      <c r="C598" s="1034" t="s">
        <v>386</v>
      </c>
      <c r="D598" s="1025"/>
      <c r="E598" s="1043"/>
      <c r="F598" s="1027"/>
      <c r="G598" s="1043"/>
      <c r="H598" s="1029"/>
      <c r="I598" s="1046">
        <f>SUM(I588:I597)</f>
        <v>7943</v>
      </c>
      <c r="J598" s="964" t="s">
        <v>2312</v>
      </c>
    </row>
    <row r="599" spans="1:10" hidden="1">
      <c r="A599" s="1047"/>
      <c r="B599" s="1048"/>
      <c r="C599" s="1034" t="s">
        <v>387</v>
      </c>
      <c r="D599" s="1049"/>
      <c r="E599" s="1043"/>
      <c r="F599" s="1027"/>
      <c r="G599" s="1043"/>
      <c r="H599" s="1050"/>
      <c r="I599" s="1046">
        <f>ROUND(I598/100,2)</f>
        <v>79.430000000000007</v>
      </c>
      <c r="J599" s="964" t="s">
        <v>2312</v>
      </c>
    </row>
    <row r="600" spans="1:10" hidden="1">
      <c r="A600" s="1047"/>
      <c r="B600" s="1048"/>
      <c r="C600" s="1036"/>
      <c r="D600" s="1058"/>
      <c r="E600" s="1059"/>
      <c r="F600" s="1058"/>
      <c r="G600" s="1059"/>
      <c r="H600" s="1060"/>
      <c r="I600" s="1060"/>
      <c r="J600" s="964" t="s">
        <v>2312</v>
      </c>
    </row>
    <row r="601" spans="1:10" hidden="1">
      <c r="A601" s="1047"/>
      <c r="B601" s="1048">
        <v>3</v>
      </c>
      <c r="C601" s="1031" t="s">
        <v>389</v>
      </c>
      <c r="D601" s="1032"/>
      <c r="E601" s="1033"/>
      <c r="F601" s="1032"/>
      <c r="G601" s="1033"/>
      <c r="H601" s="1034"/>
      <c r="I601" s="1034"/>
      <c r="J601" s="964" t="s">
        <v>2312</v>
      </c>
    </row>
    <row r="602" spans="1:10" hidden="1">
      <c r="A602" s="1047"/>
      <c r="B602" s="1048"/>
      <c r="C602" s="1042" t="s">
        <v>390</v>
      </c>
      <c r="D602" s="1025">
        <v>1</v>
      </c>
      <c r="E602" s="1043" t="s">
        <v>277</v>
      </c>
      <c r="F602" s="1027">
        <v>1</v>
      </c>
      <c r="G602" s="1043" t="s">
        <v>277</v>
      </c>
      <c r="H602" s="1029">
        <f>'MINI SSR 21-22'!C104</f>
        <v>58</v>
      </c>
      <c r="I602" s="1041">
        <f>SUM(D602*H602/F602)</f>
        <v>58</v>
      </c>
      <c r="J602" s="964" t="s">
        <v>2312</v>
      </c>
    </row>
    <row r="603" spans="1:10" hidden="1">
      <c r="A603" s="1047"/>
      <c r="B603" s="1048"/>
      <c r="C603" s="1044"/>
      <c r="D603" s="1025"/>
      <c r="E603" s="1043"/>
      <c r="F603" s="1027"/>
      <c r="G603" s="1043"/>
      <c r="H603" s="1029"/>
      <c r="I603" s="1041">
        <f>SUM(I602)</f>
        <v>58</v>
      </c>
      <c r="J603" s="964" t="s">
        <v>2312</v>
      </c>
    </row>
    <row r="604" spans="1:10" ht="22.5" hidden="1">
      <c r="A604" s="1047"/>
      <c r="B604" s="1048">
        <v>3</v>
      </c>
      <c r="C604" s="1031" t="s">
        <v>427</v>
      </c>
      <c r="D604" s="1032"/>
      <c r="E604" s="1033"/>
      <c r="F604" s="1032"/>
      <c r="G604" s="1033"/>
      <c r="H604" s="1034"/>
      <c r="I604" s="1034"/>
      <c r="J604" s="964" t="s">
        <v>2312</v>
      </c>
    </row>
    <row r="605" spans="1:10" hidden="1">
      <c r="A605" s="1047"/>
      <c r="B605" s="1048"/>
      <c r="C605" s="1042" t="s">
        <v>433</v>
      </c>
      <c r="D605" s="1025">
        <v>1</v>
      </c>
      <c r="E605" s="1043" t="s">
        <v>325</v>
      </c>
      <c r="F605" s="1027">
        <v>1</v>
      </c>
      <c r="G605" s="1043" t="s">
        <v>325</v>
      </c>
      <c r="H605" s="1029">
        <f>'MINI SSR 21-22'!C106</f>
        <v>226</v>
      </c>
      <c r="I605" s="1041">
        <f>SUM(D605*H605/F605)</f>
        <v>226</v>
      </c>
      <c r="J605" s="964" t="s">
        <v>2312</v>
      </c>
    </row>
    <row r="606" spans="1:10" hidden="1">
      <c r="A606" s="1047"/>
      <c r="B606" s="1048"/>
      <c r="C606" s="1044"/>
      <c r="D606" s="1025"/>
      <c r="E606" s="1043"/>
      <c r="F606" s="1027"/>
      <c r="G606" s="1043"/>
      <c r="H606" s="1029"/>
      <c r="I606" s="1041">
        <f>SUM(I605)</f>
        <v>226</v>
      </c>
      <c r="J606" s="964" t="s">
        <v>2312</v>
      </c>
    </row>
    <row r="607" spans="1:10" ht="22.5" hidden="1">
      <c r="A607" s="1047"/>
      <c r="B607" s="1048">
        <v>2</v>
      </c>
      <c r="C607" s="1031" t="s">
        <v>610</v>
      </c>
      <c r="D607" s="1032"/>
      <c r="E607" s="1033"/>
      <c r="F607" s="1032"/>
      <c r="G607" s="1033"/>
      <c r="H607" s="1034"/>
      <c r="I607" s="1034"/>
      <c r="J607" s="964" t="s">
        <v>2312</v>
      </c>
    </row>
    <row r="608" spans="1:10" hidden="1">
      <c r="A608" s="1047"/>
      <c r="B608" s="1048"/>
      <c r="C608" s="1042" t="s">
        <v>611</v>
      </c>
      <c r="D608" s="1025">
        <v>1</v>
      </c>
      <c r="E608" s="1043" t="s">
        <v>325</v>
      </c>
      <c r="F608" s="1027">
        <v>1</v>
      </c>
      <c r="G608" s="1043" t="s">
        <v>325</v>
      </c>
      <c r="H608" s="1029">
        <f>'MINI SSR 21-22'!C107</f>
        <v>187</v>
      </c>
      <c r="I608" s="1041">
        <f>SUM(D608*H608/F608)</f>
        <v>187</v>
      </c>
      <c r="J608" s="964" t="s">
        <v>2312</v>
      </c>
    </row>
    <row r="609" spans="1:10" hidden="1">
      <c r="A609" s="1047"/>
      <c r="B609" s="1048"/>
      <c r="C609" s="1044"/>
      <c r="D609" s="1025"/>
      <c r="E609" s="1043"/>
      <c r="F609" s="1027"/>
      <c r="G609" s="1043"/>
      <c r="H609" s="1029"/>
      <c r="I609" s="1041">
        <f>SUM(I608)</f>
        <v>187</v>
      </c>
      <c r="J609" s="964" t="s">
        <v>2312</v>
      </c>
    </row>
    <row r="610" spans="1:10" ht="22.5" hidden="1">
      <c r="A610" s="1047"/>
      <c r="B610" s="1048">
        <v>3</v>
      </c>
      <c r="C610" s="1031" t="s">
        <v>690</v>
      </c>
      <c r="D610" s="1032"/>
      <c r="E610" s="1033"/>
      <c r="F610" s="1032"/>
      <c r="G610" s="1033"/>
      <c r="H610" s="1034"/>
      <c r="I610" s="1034"/>
      <c r="J610" s="964" t="s">
        <v>2312</v>
      </c>
    </row>
    <row r="611" spans="1:10" hidden="1">
      <c r="A611" s="1047"/>
      <c r="B611" s="1048"/>
      <c r="C611" s="1042" t="s">
        <v>691</v>
      </c>
      <c r="D611" s="1025">
        <v>1</v>
      </c>
      <c r="E611" s="1043" t="s">
        <v>325</v>
      </c>
      <c r="F611" s="1027">
        <v>1</v>
      </c>
      <c r="G611" s="1043" t="s">
        <v>325</v>
      </c>
      <c r="H611" s="1029">
        <f>'MINI SSR 21-22'!C108</f>
        <v>143</v>
      </c>
      <c r="I611" s="1041">
        <f>SUM(D611*H611/F611)</f>
        <v>143</v>
      </c>
      <c r="J611" s="964" t="s">
        <v>2312</v>
      </c>
    </row>
    <row r="612" spans="1:10" hidden="1">
      <c r="A612" s="1047"/>
      <c r="B612" s="1048"/>
      <c r="C612" s="1044"/>
      <c r="D612" s="1025"/>
      <c r="E612" s="1043"/>
      <c r="F612" s="1027"/>
      <c r="G612" s="1043"/>
      <c r="H612" s="1029"/>
      <c r="I612" s="1041">
        <f>SUM(I611)</f>
        <v>143</v>
      </c>
      <c r="J612" s="964" t="s">
        <v>2312</v>
      </c>
    </row>
    <row r="613" spans="1:10" ht="22.5" hidden="1">
      <c r="A613" s="1047"/>
      <c r="B613" s="1048">
        <v>4</v>
      </c>
      <c r="C613" s="1031" t="s">
        <v>790</v>
      </c>
      <c r="D613" s="1032"/>
      <c r="E613" s="1033"/>
      <c r="F613" s="1032"/>
      <c r="G613" s="1033"/>
      <c r="H613" s="1034"/>
      <c r="I613" s="1034"/>
      <c r="J613" s="964" t="s">
        <v>2312</v>
      </c>
    </row>
    <row r="614" spans="1:10" hidden="1">
      <c r="A614" s="1047"/>
      <c r="B614" s="1048"/>
      <c r="C614" s="1042" t="s">
        <v>791</v>
      </c>
      <c r="D614" s="1025">
        <v>1</v>
      </c>
      <c r="E614" s="1043" t="s">
        <v>325</v>
      </c>
      <c r="F614" s="1027">
        <v>1</v>
      </c>
      <c r="G614" s="1043" t="s">
        <v>325</v>
      </c>
      <c r="H614" s="1029">
        <f>'MINI SSR 21-22'!C109</f>
        <v>105</v>
      </c>
      <c r="I614" s="1041">
        <f>SUM(D614*H614/F614)</f>
        <v>105</v>
      </c>
      <c r="J614" s="964" t="s">
        <v>2312</v>
      </c>
    </row>
    <row r="615" spans="1:10" hidden="1">
      <c r="A615" s="1047"/>
      <c r="B615" s="1048"/>
      <c r="C615" s="1044"/>
      <c r="D615" s="1025"/>
      <c r="E615" s="1043"/>
      <c r="F615" s="1027"/>
      <c r="G615" s="1043"/>
      <c r="H615" s="1029"/>
      <c r="I615" s="1041">
        <f>SUM(I614)</f>
        <v>105</v>
      </c>
      <c r="J615" s="964" t="s">
        <v>2312</v>
      </c>
    </row>
    <row r="616" spans="1:10" ht="22.5" hidden="1">
      <c r="A616" s="1047"/>
      <c r="B616" s="1048">
        <v>8</v>
      </c>
      <c r="C616" s="1031" t="s">
        <v>612</v>
      </c>
      <c r="D616" s="1032"/>
      <c r="E616" s="1033"/>
      <c r="F616" s="1032"/>
      <c r="G616" s="1033"/>
      <c r="H616" s="1034"/>
      <c r="I616" s="1034"/>
      <c r="J616" s="964" t="s">
        <v>2312</v>
      </c>
    </row>
    <row r="617" spans="1:10" hidden="1">
      <c r="A617" s="1047"/>
      <c r="B617" s="1048"/>
      <c r="C617" s="1042" t="s">
        <v>614</v>
      </c>
      <c r="D617" s="1025">
        <v>1</v>
      </c>
      <c r="E617" s="1043" t="s">
        <v>325</v>
      </c>
      <c r="F617" s="1027">
        <v>1</v>
      </c>
      <c r="G617" s="1043" t="s">
        <v>325</v>
      </c>
      <c r="H617" s="1029">
        <f>H605</f>
        <v>226</v>
      </c>
      <c r="I617" s="1041">
        <f>SUM(D617*H617/F617)</f>
        <v>226</v>
      </c>
      <c r="J617" s="964" t="s">
        <v>2312</v>
      </c>
    </row>
    <row r="618" spans="1:10" hidden="1">
      <c r="A618" s="1047"/>
      <c r="B618" s="1048"/>
      <c r="C618" s="1042" t="s">
        <v>613</v>
      </c>
      <c r="D618" s="1025">
        <v>1</v>
      </c>
      <c r="E618" s="1043" t="s">
        <v>325</v>
      </c>
      <c r="F618" s="1027">
        <v>1</v>
      </c>
      <c r="G618" s="1043" t="s">
        <v>325</v>
      </c>
      <c r="H618" s="1029">
        <f>H611</f>
        <v>143</v>
      </c>
      <c r="I618" s="1041">
        <f>SUM(D618*H618/F618)</f>
        <v>143</v>
      </c>
      <c r="J618" s="964" t="s">
        <v>2312</v>
      </c>
    </row>
    <row r="619" spans="1:10" hidden="1">
      <c r="A619" s="1047"/>
      <c r="B619" s="1048"/>
      <c r="C619" s="1044"/>
      <c r="D619" s="1025"/>
      <c r="E619" s="1043"/>
      <c r="F619" s="1027"/>
      <c r="G619" s="1043"/>
      <c r="H619" s="1029"/>
      <c r="I619" s="1041">
        <f>SUM(I617:I618)</f>
        <v>369</v>
      </c>
      <c r="J619" s="964" t="s">
        <v>2312</v>
      </c>
    </row>
    <row r="620" spans="1:10" ht="22.5" hidden="1">
      <c r="A620" s="1047"/>
      <c r="B620" s="1048">
        <v>9</v>
      </c>
      <c r="C620" s="1031" t="s">
        <v>1510</v>
      </c>
      <c r="D620" s="1032"/>
      <c r="E620" s="1033"/>
      <c r="F620" s="1032"/>
      <c r="G620" s="1033"/>
      <c r="H620" s="1034"/>
      <c r="I620" s="1034"/>
      <c r="J620" s="964" t="s">
        <v>2312</v>
      </c>
    </row>
    <row r="621" spans="1:10" hidden="1">
      <c r="A621" s="1047"/>
      <c r="B621" s="1048"/>
      <c r="C621" s="1042" t="s">
        <v>614</v>
      </c>
      <c r="D621" s="1025">
        <v>1</v>
      </c>
      <c r="E621" s="1043" t="s">
        <v>325</v>
      </c>
      <c r="F621" s="1027">
        <v>1</v>
      </c>
      <c r="G621" s="1043" t="s">
        <v>325</v>
      </c>
      <c r="H621" s="1029">
        <f>H605</f>
        <v>226</v>
      </c>
      <c r="I621" s="1041">
        <f>SUM(D621*H621/F621)</f>
        <v>226</v>
      </c>
      <c r="J621" s="964" t="s">
        <v>2312</v>
      </c>
    </row>
    <row r="622" spans="1:10" hidden="1">
      <c r="A622" s="1047"/>
      <c r="B622" s="1048"/>
      <c r="C622" s="1042" t="s">
        <v>1511</v>
      </c>
      <c r="D622" s="1025">
        <v>1</v>
      </c>
      <c r="E622" s="1043" t="s">
        <v>325</v>
      </c>
      <c r="F622" s="1027">
        <v>1</v>
      </c>
      <c r="G622" s="1043" t="s">
        <v>325</v>
      </c>
      <c r="H622" s="1029">
        <f>'MINI SSR 21-22'!C109</f>
        <v>105</v>
      </c>
      <c r="I622" s="1041">
        <f>SUM(D622*H622/F622)</f>
        <v>105</v>
      </c>
      <c r="J622" s="964" t="s">
        <v>2312</v>
      </c>
    </row>
    <row r="623" spans="1:10" hidden="1">
      <c r="A623" s="1047"/>
      <c r="B623" s="1048"/>
      <c r="C623" s="1044"/>
      <c r="D623" s="1025"/>
      <c r="E623" s="1043"/>
      <c r="F623" s="1027"/>
      <c r="G623" s="1043"/>
      <c r="H623" s="1029"/>
      <c r="I623" s="1041">
        <f>SUM(I621:I622)</f>
        <v>331</v>
      </c>
      <c r="J623" s="964" t="s">
        <v>2312</v>
      </c>
    </row>
    <row r="624" spans="1:10" ht="22.5" hidden="1">
      <c r="A624" s="1047"/>
      <c r="B624" s="1048">
        <v>5</v>
      </c>
      <c r="C624" s="1031" t="s">
        <v>428</v>
      </c>
      <c r="D624" s="1032"/>
      <c r="E624" s="1033"/>
      <c r="F624" s="1032"/>
      <c r="G624" s="1033"/>
      <c r="H624" s="1034"/>
      <c r="I624" s="1034"/>
      <c r="J624" s="964" t="s">
        <v>2312</v>
      </c>
    </row>
    <row r="625" spans="1:10" hidden="1">
      <c r="A625" s="1047"/>
      <c r="B625" s="1048"/>
      <c r="C625" s="1042" t="s">
        <v>434</v>
      </c>
      <c r="D625" s="1025">
        <v>1</v>
      </c>
      <c r="E625" s="1043" t="s">
        <v>325</v>
      </c>
      <c r="F625" s="1027">
        <v>1</v>
      </c>
      <c r="G625" s="1043" t="s">
        <v>325</v>
      </c>
      <c r="H625" s="1029">
        <f>'MINI SSR 21-22'!C112</f>
        <v>63</v>
      </c>
      <c r="I625" s="1041">
        <f>SUM(D625*H625/F625)</f>
        <v>63</v>
      </c>
      <c r="J625" s="964" t="s">
        <v>2312</v>
      </c>
    </row>
    <row r="626" spans="1:10" hidden="1">
      <c r="A626" s="1047"/>
      <c r="B626" s="1048"/>
      <c r="C626" s="1044"/>
      <c r="D626" s="1025"/>
      <c r="E626" s="1043"/>
      <c r="F626" s="1027"/>
      <c r="G626" s="1043"/>
      <c r="H626" s="1029"/>
      <c r="I626" s="1041">
        <f>SUM(I625)</f>
        <v>63</v>
      </c>
      <c r="J626" s="964" t="s">
        <v>2312</v>
      </c>
    </row>
    <row r="627" spans="1:10" hidden="1">
      <c r="A627" s="1047"/>
      <c r="B627" s="1048">
        <v>8</v>
      </c>
      <c r="C627" s="1031" t="s">
        <v>437</v>
      </c>
      <c r="D627" s="1032"/>
      <c r="E627" s="1033"/>
      <c r="F627" s="1032"/>
      <c r="G627" s="1033"/>
      <c r="H627" s="1034"/>
      <c r="I627" s="1034"/>
      <c r="J627" s="964" t="s">
        <v>2312</v>
      </c>
    </row>
    <row r="628" spans="1:10" hidden="1">
      <c r="A628" s="1047"/>
      <c r="B628" s="1048"/>
      <c r="C628" s="1042" t="s">
        <v>438</v>
      </c>
      <c r="D628" s="1025">
        <v>1</v>
      </c>
      <c r="E628" s="1043" t="s">
        <v>325</v>
      </c>
      <c r="F628" s="1027">
        <v>1</v>
      </c>
      <c r="G628" s="1043" t="s">
        <v>325</v>
      </c>
      <c r="H628" s="1029">
        <f>'MINI SSR 21-22'!E106</f>
        <v>209</v>
      </c>
      <c r="I628" s="1041">
        <f>SUM(D628*H628/F628)</f>
        <v>209</v>
      </c>
      <c r="J628" s="964" t="s">
        <v>2312</v>
      </c>
    </row>
    <row r="629" spans="1:10" hidden="1">
      <c r="A629" s="1047"/>
      <c r="B629" s="1048"/>
      <c r="C629" s="1044"/>
      <c r="D629" s="1025"/>
      <c r="E629" s="1043"/>
      <c r="F629" s="1027"/>
      <c r="G629" s="1043"/>
      <c r="H629" s="1029"/>
      <c r="I629" s="1041">
        <f>SUM(I628)</f>
        <v>209</v>
      </c>
      <c r="J629" s="964" t="s">
        <v>2312</v>
      </c>
    </row>
    <row r="630" spans="1:10" hidden="1">
      <c r="A630" s="1047"/>
      <c r="B630" s="1048">
        <v>9</v>
      </c>
      <c r="C630" s="1031" t="s">
        <v>615</v>
      </c>
      <c r="D630" s="1032"/>
      <c r="E630" s="1033"/>
      <c r="F630" s="1032"/>
      <c r="G630" s="1033"/>
      <c r="H630" s="1034"/>
      <c r="I630" s="1034"/>
      <c r="J630" s="964" t="s">
        <v>2312</v>
      </c>
    </row>
    <row r="631" spans="1:10" hidden="1">
      <c r="A631" s="1047"/>
      <c r="B631" s="1048"/>
      <c r="C631" s="1042" t="s">
        <v>616</v>
      </c>
      <c r="D631" s="1025">
        <v>1</v>
      </c>
      <c r="E631" s="1043" t="s">
        <v>325</v>
      </c>
      <c r="F631" s="1027">
        <v>1</v>
      </c>
      <c r="G631" s="1043" t="s">
        <v>325</v>
      </c>
      <c r="H631" s="1029">
        <f>'MINI SSR 21-22'!E107</f>
        <v>171</v>
      </c>
      <c r="I631" s="1041">
        <f>SUM(D631*H631/F631)</f>
        <v>171</v>
      </c>
      <c r="J631" s="964" t="s">
        <v>2312</v>
      </c>
    </row>
    <row r="632" spans="1:10" hidden="1">
      <c r="A632" s="1047"/>
      <c r="B632" s="1048"/>
      <c r="C632" s="1044"/>
      <c r="D632" s="1025"/>
      <c r="E632" s="1043"/>
      <c r="F632" s="1027"/>
      <c r="G632" s="1043"/>
      <c r="H632" s="1029"/>
      <c r="I632" s="1041">
        <f>SUM(I631)</f>
        <v>171</v>
      </c>
      <c r="J632" s="964" t="s">
        <v>2312</v>
      </c>
    </row>
    <row r="633" spans="1:10" hidden="1">
      <c r="A633" s="1047"/>
      <c r="B633" s="1048">
        <v>10</v>
      </c>
      <c r="C633" s="1031" t="s">
        <v>694</v>
      </c>
      <c r="D633" s="1032"/>
      <c r="E633" s="1033"/>
      <c r="F633" s="1032"/>
      <c r="G633" s="1033"/>
      <c r="H633" s="1034"/>
      <c r="I633" s="1034"/>
      <c r="J633" s="964" t="s">
        <v>2312</v>
      </c>
    </row>
    <row r="634" spans="1:10" hidden="1">
      <c r="A634" s="1047"/>
      <c r="B634" s="1048"/>
      <c r="C634" s="1042" t="s">
        <v>619</v>
      </c>
      <c r="D634" s="1025">
        <v>1</v>
      </c>
      <c r="E634" s="1043" t="s">
        <v>325</v>
      </c>
      <c r="F634" s="1027">
        <v>1</v>
      </c>
      <c r="G634" s="1043" t="s">
        <v>325</v>
      </c>
      <c r="H634" s="1029">
        <f>'MINI SSR 21-22'!E108</f>
        <v>132</v>
      </c>
      <c r="I634" s="1041">
        <f>SUM(D634*H634/F634)</f>
        <v>132</v>
      </c>
      <c r="J634" s="964" t="s">
        <v>2312</v>
      </c>
    </row>
    <row r="635" spans="1:10" hidden="1">
      <c r="A635" s="1047"/>
      <c r="B635" s="1048"/>
      <c r="C635" s="1044"/>
      <c r="D635" s="1025"/>
      <c r="E635" s="1043"/>
      <c r="F635" s="1027"/>
      <c r="G635" s="1043"/>
      <c r="H635" s="1029"/>
      <c r="I635" s="1041">
        <f>SUM(I634)</f>
        <v>132</v>
      </c>
      <c r="J635" s="964" t="s">
        <v>2312</v>
      </c>
    </row>
    <row r="636" spans="1:10" hidden="1">
      <c r="A636" s="1047"/>
      <c r="B636" s="1048">
        <v>11</v>
      </c>
      <c r="C636" s="1031" t="s">
        <v>792</v>
      </c>
      <c r="D636" s="1032"/>
      <c r="E636" s="1033"/>
      <c r="F636" s="1032"/>
      <c r="G636" s="1033"/>
      <c r="H636" s="1034"/>
      <c r="I636" s="1034"/>
      <c r="J636" s="964" t="s">
        <v>2312</v>
      </c>
    </row>
    <row r="637" spans="1:10" hidden="1">
      <c r="A637" s="1047"/>
      <c r="B637" s="1048"/>
      <c r="C637" s="1042" t="s">
        <v>793</v>
      </c>
      <c r="D637" s="1025">
        <v>1</v>
      </c>
      <c r="E637" s="1043" t="s">
        <v>325</v>
      </c>
      <c r="F637" s="1027">
        <v>1</v>
      </c>
      <c r="G637" s="1043" t="s">
        <v>325</v>
      </c>
      <c r="H637" s="1029">
        <f>'MINI SSR 21-22'!E109</f>
        <v>88</v>
      </c>
      <c r="I637" s="1041">
        <f>SUM(D637*H637/F637)</f>
        <v>88</v>
      </c>
      <c r="J637" s="964" t="s">
        <v>2312</v>
      </c>
    </row>
    <row r="638" spans="1:10" hidden="1">
      <c r="A638" s="1047"/>
      <c r="B638" s="1048"/>
      <c r="C638" s="1044"/>
      <c r="D638" s="1025"/>
      <c r="E638" s="1043"/>
      <c r="F638" s="1027"/>
      <c r="G638" s="1043"/>
      <c r="H638" s="1029"/>
      <c r="I638" s="1041">
        <f>SUM(I637)</f>
        <v>88</v>
      </c>
      <c r="J638" s="964" t="s">
        <v>2312</v>
      </c>
    </row>
    <row r="639" spans="1:10" hidden="1">
      <c r="A639" s="1047"/>
      <c r="B639" s="1048">
        <v>15</v>
      </c>
      <c r="C639" s="1031" t="s">
        <v>617</v>
      </c>
      <c r="D639" s="1032"/>
      <c r="E639" s="1033"/>
      <c r="F639" s="1032"/>
      <c r="G639" s="1033"/>
      <c r="H639" s="1034"/>
      <c r="I639" s="1034"/>
      <c r="J639" s="964" t="s">
        <v>2312</v>
      </c>
    </row>
    <row r="640" spans="1:10" hidden="1">
      <c r="A640" s="1047"/>
      <c r="B640" s="1048"/>
      <c r="C640" s="1042" t="s">
        <v>618</v>
      </c>
      <c r="D640" s="1025">
        <v>1</v>
      </c>
      <c r="E640" s="1043" t="s">
        <v>325</v>
      </c>
      <c r="F640" s="1027">
        <v>1</v>
      </c>
      <c r="G640" s="1043" t="s">
        <v>325</v>
      </c>
      <c r="H640" s="1029">
        <f>'MINI SSR 21-22'!E106</f>
        <v>209</v>
      </c>
      <c r="I640" s="1041">
        <f>SUM(D640*H640/F640)</f>
        <v>209</v>
      </c>
      <c r="J640" s="964" t="s">
        <v>2312</v>
      </c>
    </row>
    <row r="641" spans="1:10" hidden="1">
      <c r="A641" s="1047"/>
      <c r="B641" s="1048"/>
      <c r="C641" s="1042" t="s">
        <v>619</v>
      </c>
      <c r="D641" s="1025">
        <v>1</v>
      </c>
      <c r="E641" s="1043" t="s">
        <v>325</v>
      </c>
      <c r="F641" s="1027">
        <v>1</v>
      </c>
      <c r="G641" s="1043" t="s">
        <v>325</v>
      </c>
      <c r="H641" s="1029">
        <f>'MINI SSR 21-22'!E108</f>
        <v>132</v>
      </c>
      <c r="I641" s="1041">
        <f>SUM(D641*H641/F641)</f>
        <v>132</v>
      </c>
      <c r="J641" s="964" t="s">
        <v>2312</v>
      </c>
    </row>
    <row r="642" spans="1:10" hidden="1">
      <c r="A642" s="1047"/>
      <c r="B642" s="1048"/>
      <c r="C642" s="1044"/>
      <c r="D642" s="1025"/>
      <c r="E642" s="1043"/>
      <c r="F642" s="1027"/>
      <c r="G642" s="1043"/>
      <c r="H642" s="1029"/>
      <c r="I642" s="1041">
        <f>SUM(I640:I641)</f>
        <v>341</v>
      </c>
      <c r="J642" s="964" t="s">
        <v>2312</v>
      </c>
    </row>
    <row r="643" spans="1:10" hidden="1">
      <c r="A643" s="1047"/>
      <c r="B643" s="1048">
        <v>12</v>
      </c>
      <c r="C643" s="1031" t="s">
        <v>439</v>
      </c>
      <c r="D643" s="1032"/>
      <c r="E643" s="1033"/>
      <c r="F643" s="1032"/>
      <c r="G643" s="1033"/>
      <c r="H643" s="1034"/>
      <c r="I643" s="1034"/>
      <c r="J643" s="964" t="s">
        <v>2312</v>
      </c>
    </row>
    <row r="644" spans="1:10" hidden="1">
      <c r="A644" s="1047"/>
      <c r="B644" s="1048"/>
      <c r="C644" s="1042" t="s">
        <v>440</v>
      </c>
      <c r="D644" s="1025">
        <v>1</v>
      </c>
      <c r="E644" s="1043" t="s">
        <v>325</v>
      </c>
      <c r="F644" s="1027">
        <v>1</v>
      </c>
      <c r="G644" s="1043" t="s">
        <v>325</v>
      </c>
      <c r="H644" s="1029">
        <f>'MINI SSR 21-22'!E112</f>
        <v>66</v>
      </c>
      <c r="I644" s="1041">
        <f>SUM(D644*H644/F644)</f>
        <v>66</v>
      </c>
      <c r="J644" s="964" t="s">
        <v>2312</v>
      </c>
    </row>
    <row r="645" spans="1:10" hidden="1">
      <c r="A645" s="1047"/>
      <c r="B645" s="1048"/>
      <c r="C645" s="1044"/>
      <c r="D645" s="1025"/>
      <c r="E645" s="1043"/>
      <c r="F645" s="1027"/>
      <c r="G645" s="1043"/>
      <c r="H645" s="1029"/>
      <c r="I645" s="1041">
        <f>SUM(I644)</f>
        <v>66</v>
      </c>
      <c r="J645" s="964" t="s">
        <v>2312</v>
      </c>
    </row>
    <row r="646" spans="1:10" hidden="1">
      <c r="A646" s="1047"/>
      <c r="B646" s="1048"/>
      <c r="C646" s="1047"/>
      <c r="D646" s="1058"/>
      <c r="E646" s="1059"/>
      <c r="F646" s="1058"/>
      <c r="G646" s="1059"/>
      <c r="H646" s="1047"/>
      <c r="I646" s="1047"/>
      <c r="J646" s="964" t="s">
        <v>2312</v>
      </c>
    </row>
    <row r="647" spans="1:10" hidden="1">
      <c r="A647" s="1047"/>
      <c r="B647" s="1048">
        <v>5</v>
      </c>
      <c r="C647" s="1031" t="s">
        <v>624</v>
      </c>
      <c r="D647" s="1032"/>
      <c r="E647" s="1033"/>
      <c r="F647" s="1032"/>
      <c r="G647" s="1033"/>
      <c r="H647" s="1034"/>
      <c r="I647" s="1034"/>
      <c r="J647" s="964" t="s">
        <v>2312</v>
      </c>
    </row>
    <row r="648" spans="1:10" hidden="1">
      <c r="A648" s="1047"/>
      <c r="B648" s="1048"/>
      <c r="C648" s="1042" t="s">
        <v>625</v>
      </c>
      <c r="D648" s="1025">
        <v>1</v>
      </c>
      <c r="E648" s="1043" t="s">
        <v>325</v>
      </c>
      <c r="F648" s="1027">
        <v>1</v>
      </c>
      <c r="G648" s="1043" t="s">
        <v>325</v>
      </c>
      <c r="H648" s="1029">
        <f>'MINI SSR 21-22'!C114</f>
        <v>20</v>
      </c>
      <c r="I648" s="1041">
        <f>SUM(D648*H648/F648)</f>
        <v>20</v>
      </c>
      <c r="J648" s="964" t="s">
        <v>2312</v>
      </c>
    </row>
    <row r="649" spans="1:10" hidden="1">
      <c r="A649" s="1047"/>
      <c r="B649" s="1048"/>
      <c r="C649" s="1044"/>
      <c r="D649" s="1025"/>
      <c r="E649" s="1043"/>
      <c r="F649" s="1027"/>
      <c r="G649" s="1043"/>
      <c r="H649" s="1029"/>
      <c r="I649" s="1041">
        <f>SUM(I648)</f>
        <v>20</v>
      </c>
      <c r="J649" s="964" t="s">
        <v>2312</v>
      </c>
    </row>
    <row r="650" spans="1:10" ht="22.5" hidden="1">
      <c r="A650" s="1047"/>
      <c r="B650" s="1048">
        <v>18</v>
      </c>
      <c r="C650" s="1031" t="s">
        <v>794</v>
      </c>
      <c r="D650" s="1032"/>
      <c r="E650" s="1033"/>
      <c r="F650" s="1032"/>
      <c r="G650" s="1033"/>
      <c r="H650" s="1034"/>
      <c r="I650" s="1034"/>
      <c r="J650" s="964" t="s">
        <v>2312</v>
      </c>
    </row>
    <row r="651" spans="1:10" hidden="1">
      <c r="A651" s="1047"/>
      <c r="B651" s="1048"/>
      <c r="C651" s="1042" t="s">
        <v>795</v>
      </c>
      <c r="D651" s="1025">
        <v>1</v>
      </c>
      <c r="E651" s="1043" t="s">
        <v>325</v>
      </c>
      <c r="F651" s="1027">
        <v>1</v>
      </c>
      <c r="G651" s="1043" t="s">
        <v>325</v>
      </c>
      <c r="H651" s="1029">
        <f>'MINI SSR 21-22'!C115</f>
        <v>1484</v>
      </c>
      <c r="I651" s="1041">
        <f>SUM(D651*H651/F651)</f>
        <v>1484</v>
      </c>
      <c r="J651" s="964" t="s">
        <v>2312</v>
      </c>
    </row>
    <row r="652" spans="1:10" hidden="1">
      <c r="A652" s="1047"/>
      <c r="B652" s="1048"/>
      <c r="C652" s="1044"/>
      <c r="D652" s="1025"/>
      <c r="E652" s="1043"/>
      <c r="F652" s="1027"/>
      <c r="G652" s="1043"/>
      <c r="H652" s="1029"/>
      <c r="I652" s="1041">
        <f>SUM(I651)</f>
        <v>1484</v>
      </c>
      <c r="J652" s="964" t="s">
        <v>2312</v>
      </c>
    </row>
    <row r="653" spans="1:10" ht="67.5" hidden="1">
      <c r="A653" s="1051" t="s">
        <v>721</v>
      </c>
      <c r="B653" s="1024">
        <v>6</v>
      </c>
      <c r="C653" s="1031" t="s">
        <v>436</v>
      </c>
      <c r="D653" s="1035"/>
      <c r="E653" s="1026"/>
      <c r="F653" s="1035"/>
      <c r="G653" s="1026"/>
      <c r="H653" s="1031"/>
      <c r="I653" s="1031"/>
      <c r="J653" s="964" t="s">
        <v>2312</v>
      </c>
    </row>
    <row r="654" spans="1:10" ht="22.5" hidden="1">
      <c r="A654" s="1029"/>
      <c r="B654" s="1005"/>
      <c r="C654" s="1031" t="s">
        <v>391</v>
      </c>
      <c r="D654" s="1025"/>
      <c r="E654" s="1028"/>
      <c r="F654" s="1027"/>
      <c r="G654" s="1028"/>
      <c r="H654" s="1029"/>
      <c r="I654" s="1030"/>
      <c r="J654" s="964" t="s">
        <v>2312</v>
      </c>
    </row>
    <row r="655" spans="1:10" ht="33.75" hidden="1">
      <c r="A655" s="1029"/>
      <c r="B655" s="1005"/>
      <c r="C655" s="1031" t="s">
        <v>392</v>
      </c>
      <c r="D655" s="1035"/>
      <c r="E655" s="1026"/>
      <c r="F655" s="1035"/>
      <c r="G655" s="1026"/>
      <c r="H655" s="1031"/>
      <c r="I655" s="1031"/>
      <c r="J655" s="964" t="s">
        <v>2312</v>
      </c>
    </row>
    <row r="656" spans="1:10" hidden="1">
      <c r="A656" s="1029"/>
      <c r="B656" s="1005"/>
      <c r="C656" s="1031" t="s">
        <v>384</v>
      </c>
      <c r="D656" s="1025"/>
      <c r="E656" s="1028"/>
      <c r="F656" s="1027"/>
      <c r="G656" s="1028"/>
      <c r="H656" s="1029"/>
      <c r="I656" s="1030"/>
      <c r="J656" s="964" t="s">
        <v>2312</v>
      </c>
    </row>
    <row r="657" spans="1:10" hidden="1">
      <c r="A657" s="1029"/>
      <c r="B657" s="1005"/>
      <c r="C657" s="1031" t="s">
        <v>1656</v>
      </c>
      <c r="D657" s="1025">
        <v>0.6</v>
      </c>
      <c r="E657" s="1043" t="s">
        <v>27</v>
      </c>
      <c r="F657" s="1027">
        <v>1</v>
      </c>
      <c r="G657" s="1043" t="s">
        <v>27</v>
      </c>
      <c r="H657" s="1029">
        <f>'MINI SSR 21-22'!$H$16</f>
        <v>650</v>
      </c>
      <c r="I657" s="1030">
        <f>SUM(D657*H657/F657)</f>
        <v>390</v>
      </c>
      <c r="J657" s="964" t="s">
        <v>2312</v>
      </c>
    </row>
    <row r="658" spans="1:10" hidden="1">
      <c r="A658" s="1029"/>
      <c r="B658" s="1005"/>
      <c r="C658" s="1031" t="s">
        <v>1657</v>
      </c>
      <c r="D658" s="1025">
        <v>1.2</v>
      </c>
      <c r="E658" s="1043" t="s">
        <v>27</v>
      </c>
      <c r="F658" s="1027">
        <v>1</v>
      </c>
      <c r="G658" s="1043" t="s">
        <v>27</v>
      </c>
      <c r="H658" s="1029">
        <f>'MINI SSR 21-22'!$H$17</f>
        <v>530</v>
      </c>
      <c r="I658" s="1041">
        <f>SUM(D658*H658/F658)</f>
        <v>636</v>
      </c>
      <c r="J658" s="964" t="s">
        <v>2312</v>
      </c>
    </row>
    <row r="659" spans="1:10" hidden="1">
      <c r="A659" s="1029"/>
      <c r="B659" s="1005"/>
      <c r="C659" s="1031" t="s">
        <v>700</v>
      </c>
      <c r="D659" s="1025">
        <v>0.6</v>
      </c>
      <c r="E659" s="1043" t="s">
        <v>27</v>
      </c>
      <c r="F659" s="1027">
        <v>1</v>
      </c>
      <c r="G659" s="1043" t="s">
        <v>27</v>
      </c>
      <c r="H659" s="1029">
        <f>'MINI SSR 21-22'!$H$18</f>
        <v>470</v>
      </c>
      <c r="I659" s="1041">
        <f>SUM(D659*H659/F659)</f>
        <v>282</v>
      </c>
      <c r="J659" s="964" t="s">
        <v>2312</v>
      </c>
    </row>
    <row r="660" spans="1:10" hidden="1">
      <c r="A660" s="1029"/>
      <c r="B660" s="1005"/>
      <c r="C660" s="1031" t="s">
        <v>327</v>
      </c>
      <c r="D660" s="1025"/>
      <c r="E660" s="1043"/>
      <c r="F660" s="1027"/>
      <c r="G660" s="1043"/>
      <c r="H660" s="1029"/>
      <c r="I660" s="1030"/>
      <c r="J660" s="964" t="s">
        <v>2312</v>
      </c>
    </row>
    <row r="661" spans="1:10" hidden="1">
      <c r="A661" s="1029"/>
      <c r="B661" s="1005"/>
      <c r="C661" s="1052" t="s">
        <v>621</v>
      </c>
      <c r="D661" s="1053">
        <v>6</v>
      </c>
      <c r="E661" s="1028" t="s">
        <v>325</v>
      </c>
      <c r="F661" s="1027">
        <v>1</v>
      </c>
      <c r="G661" s="1028" t="s">
        <v>115</v>
      </c>
      <c r="H661" s="1029">
        <f>'MINI SSR 21-22'!C116</f>
        <v>17</v>
      </c>
      <c r="I661" s="1030">
        <f>SUM(D661*H661/F661)</f>
        <v>102</v>
      </c>
      <c r="J661" s="964" t="s">
        <v>2312</v>
      </c>
    </row>
    <row r="662" spans="1:10" ht="45" hidden="1">
      <c r="A662" s="1029"/>
      <c r="B662" s="1005"/>
      <c r="C662" s="1052" t="s">
        <v>394</v>
      </c>
      <c r="D662" s="1025">
        <v>100</v>
      </c>
      <c r="E662" s="1043" t="s">
        <v>395</v>
      </c>
      <c r="F662" s="1027">
        <v>100</v>
      </c>
      <c r="G662" s="1043" t="s">
        <v>395</v>
      </c>
      <c r="H662" s="1029">
        <f>'MINI SSR 21-22'!C119</f>
        <v>1208</v>
      </c>
      <c r="I662" s="1030">
        <f>SUM(D662*H662/F662)</f>
        <v>1208</v>
      </c>
      <c r="J662" s="964" t="s">
        <v>2312</v>
      </c>
    </row>
    <row r="663" spans="1:10" hidden="1">
      <c r="A663" s="1029"/>
      <c r="B663" s="1005"/>
      <c r="C663" s="1031" t="s">
        <v>396</v>
      </c>
      <c r="D663" s="1025"/>
      <c r="E663" s="1028"/>
      <c r="F663" s="1027"/>
      <c r="G663" s="1028"/>
      <c r="H663" s="1029"/>
      <c r="I663" s="1030">
        <f>SUM(I657:I662)</f>
        <v>2618</v>
      </c>
      <c r="J663" s="964" t="s">
        <v>2312</v>
      </c>
    </row>
    <row r="664" spans="1:10" hidden="1">
      <c r="A664" s="1029"/>
      <c r="B664" s="1005"/>
      <c r="C664" s="1031" t="s">
        <v>397</v>
      </c>
      <c r="D664" s="1025"/>
      <c r="E664" s="1028"/>
      <c r="F664" s="1027"/>
      <c r="G664" s="1028"/>
      <c r="H664" s="1029"/>
      <c r="I664" s="1030">
        <f>ROUND(I663/6,2)</f>
        <v>436.33</v>
      </c>
      <c r="J664" s="964" t="s">
        <v>2312</v>
      </c>
    </row>
    <row r="665" spans="1:10" ht="67.5" hidden="1">
      <c r="A665" s="1051" t="s">
        <v>721</v>
      </c>
      <c r="B665" s="1024">
        <v>11</v>
      </c>
      <c r="C665" s="1031" t="s">
        <v>435</v>
      </c>
      <c r="D665" s="1035"/>
      <c r="E665" s="1026"/>
      <c r="F665" s="1035"/>
      <c r="G665" s="1026"/>
      <c r="H665" s="1031"/>
      <c r="I665" s="1031"/>
      <c r="J665" s="964" t="s">
        <v>2312</v>
      </c>
    </row>
    <row r="666" spans="1:10" ht="22.5" hidden="1">
      <c r="A666" s="1029"/>
      <c r="B666" s="1005"/>
      <c r="C666" s="1031" t="s">
        <v>391</v>
      </c>
      <c r="D666" s="1025"/>
      <c r="E666" s="1028"/>
      <c r="F666" s="1027"/>
      <c r="G666" s="1028"/>
      <c r="H666" s="1029"/>
      <c r="I666" s="1030"/>
      <c r="J666" s="964" t="s">
        <v>2312</v>
      </c>
    </row>
    <row r="667" spans="1:10" ht="33.75" hidden="1">
      <c r="A667" s="1029"/>
      <c r="B667" s="1005"/>
      <c r="C667" s="1031" t="s">
        <v>392</v>
      </c>
      <c r="D667" s="1035"/>
      <c r="E667" s="1026"/>
      <c r="F667" s="1035"/>
      <c r="G667" s="1026"/>
      <c r="H667" s="1031"/>
      <c r="I667" s="1031"/>
      <c r="J667" s="964" t="s">
        <v>2312</v>
      </c>
    </row>
    <row r="668" spans="1:10" hidden="1">
      <c r="A668" s="1029"/>
      <c r="B668" s="1005"/>
      <c r="C668" s="1031" t="s">
        <v>384</v>
      </c>
      <c r="D668" s="1025"/>
      <c r="E668" s="1028"/>
      <c r="F668" s="1027"/>
      <c r="G668" s="1028"/>
      <c r="H668" s="1029"/>
      <c r="I668" s="1030"/>
      <c r="J668" s="964" t="s">
        <v>2312</v>
      </c>
    </row>
    <row r="669" spans="1:10" hidden="1">
      <c r="A669" s="1029"/>
      <c r="B669" s="1005"/>
      <c r="C669" s="1031" t="s">
        <v>1656</v>
      </c>
      <c r="D669" s="1025">
        <v>0.6</v>
      </c>
      <c r="E669" s="1043" t="s">
        <v>27</v>
      </c>
      <c r="F669" s="1027">
        <v>1</v>
      </c>
      <c r="G669" s="1043" t="s">
        <v>27</v>
      </c>
      <c r="H669" s="1029">
        <f>'MINI SSR 21-22'!$H$16</f>
        <v>650</v>
      </c>
      <c r="I669" s="1030">
        <f>SUM(D669*H669/F669)</f>
        <v>390</v>
      </c>
      <c r="J669" s="964" t="s">
        <v>2312</v>
      </c>
    </row>
    <row r="670" spans="1:10" hidden="1">
      <c r="A670" s="1029"/>
      <c r="B670" s="1005"/>
      <c r="C670" s="1031" t="s">
        <v>1657</v>
      </c>
      <c r="D670" s="1025">
        <v>1.2</v>
      </c>
      <c r="E670" s="1043" t="s">
        <v>27</v>
      </c>
      <c r="F670" s="1027">
        <v>1</v>
      </c>
      <c r="G670" s="1043" t="s">
        <v>27</v>
      </c>
      <c r="H670" s="1029">
        <f>'MINI SSR 21-22'!$H$17</f>
        <v>530</v>
      </c>
      <c r="I670" s="1041">
        <f>SUM(D670*H670/F670)</f>
        <v>636</v>
      </c>
      <c r="J670" s="964" t="s">
        <v>2312</v>
      </c>
    </row>
    <row r="671" spans="1:10" hidden="1">
      <c r="A671" s="1029"/>
      <c r="B671" s="1005"/>
      <c r="C671" s="1031" t="s">
        <v>700</v>
      </c>
      <c r="D671" s="1025">
        <v>0.6</v>
      </c>
      <c r="E671" s="1043" t="s">
        <v>27</v>
      </c>
      <c r="F671" s="1027">
        <v>1</v>
      </c>
      <c r="G671" s="1043" t="s">
        <v>27</v>
      </c>
      <c r="H671" s="1029">
        <f>'MINI SSR 21-22'!$H$18</f>
        <v>470</v>
      </c>
      <c r="I671" s="1041">
        <f>SUM(D671*H671/F671)</f>
        <v>282</v>
      </c>
      <c r="J671" s="964" t="s">
        <v>2312</v>
      </c>
    </row>
    <row r="672" spans="1:10" hidden="1">
      <c r="A672" s="1029"/>
      <c r="B672" s="1005"/>
      <c r="C672" s="1031" t="s">
        <v>327</v>
      </c>
      <c r="D672" s="1025"/>
      <c r="E672" s="1043"/>
      <c r="F672" s="1027"/>
      <c r="G672" s="1043"/>
      <c r="H672" s="1029"/>
      <c r="I672" s="1030"/>
      <c r="J672" s="964" t="s">
        <v>2312</v>
      </c>
    </row>
    <row r="673" spans="1:10" hidden="1">
      <c r="A673" s="1029"/>
      <c r="B673" s="1005"/>
      <c r="C673" s="1052" t="s">
        <v>621</v>
      </c>
      <c r="D673" s="1053">
        <v>6</v>
      </c>
      <c r="E673" s="1028" t="s">
        <v>325</v>
      </c>
      <c r="F673" s="1027">
        <v>1</v>
      </c>
      <c r="G673" s="1028" t="s">
        <v>115</v>
      </c>
      <c r="H673" s="1029">
        <f>'MINI SSR 21-22'!C116</f>
        <v>17</v>
      </c>
      <c r="I673" s="1030">
        <f>SUM(D673*H673/F673)</f>
        <v>102</v>
      </c>
      <c r="J673" s="964" t="s">
        <v>2312</v>
      </c>
    </row>
    <row r="674" spans="1:10" ht="22.5" hidden="1">
      <c r="A674" s="1029"/>
      <c r="B674" s="1005"/>
      <c r="C674" s="1054" t="s">
        <v>393</v>
      </c>
      <c r="D674" s="1053">
        <v>6</v>
      </c>
      <c r="E674" s="1028" t="s">
        <v>325</v>
      </c>
      <c r="F674" s="1027">
        <v>1</v>
      </c>
      <c r="G674" s="1028" t="s">
        <v>115</v>
      </c>
      <c r="H674" s="1029">
        <f>'MINI SSR 21-22'!C120</f>
        <v>21</v>
      </c>
      <c r="I674" s="1030">
        <f>SUM(D674*H674/F674)</f>
        <v>126</v>
      </c>
      <c r="J674" s="964" t="s">
        <v>2312</v>
      </c>
    </row>
    <row r="675" spans="1:10" ht="45" hidden="1">
      <c r="A675" s="1029"/>
      <c r="B675" s="1005"/>
      <c r="C675" s="1052" t="s">
        <v>394</v>
      </c>
      <c r="D675" s="1025">
        <v>100</v>
      </c>
      <c r="E675" s="1043" t="s">
        <v>395</v>
      </c>
      <c r="F675" s="1027">
        <v>100</v>
      </c>
      <c r="G675" s="1043" t="s">
        <v>395</v>
      </c>
      <c r="H675" s="1029">
        <f>'MINI SSR 21-22'!C119</f>
        <v>1208</v>
      </c>
      <c r="I675" s="1030">
        <f>SUM(D675*H675/F675)</f>
        <v>1208</v>
      </c>
      <c r="J675" s="964" t="s">
        <v>2312</v>
      </c>
    </row>
    <row r="676" spans="1:10" hidden="1">
      <c r="A676" s="1029"/>
      <c r="B676" s="1005"/>
      <c r="C676" s="1031" t="s">
        <v>396</v>
      </c>
      <c r="D676" s="1025"/>
      <c r="E676" s="1028"/>
      <c r="F676" s="1027"/>
      <c r="G676" s="1028"/>
      <c r="H676" s="1029"/>
      <c r="I676" s="1030">
        <f>SUM(I669:I675)</f>
        <v>2744</v>
      </c>
      <c r="J676" s="964" t="s">
        <v>2312</v>
      </c>
    </row>
    <row r="677" spans="1:10" hidden="1">
      <c r="A677" s="1029"/>
      <c r="B677" s="1005"/>
      <c r="C677" s="1031" t="s">
        <v>397</v>
      </c>
      <c r="D677" s="1025"/>
      <c r="E677" s="1028"/>
      <c r="F677" s="1027"/>
      <c r="G677" s="1028"/>
      <c r="H677" s="1029"/>
      <c r="I677" s="1030">
        <f>ROUND(I676/6,2)</f>
        <v>457.33</v>
      </c>
      <c r="J677" s="964" t="s">
        <v>2312</v>
      </c>
    </row>
    <row r="678" spans="1:10" ht="45" hidden="1">
      <c r="A678" s="1051" t="s">
        <v>722</v>
      </c>
      <c r="B678" s="1024">
        <v>7</v>
      </c>
      <c r="C678" s="1031" t="s">
        <v>432</v>
      </c>
      <c r="D678" s="1035"/>
      <c r="E678" s="1026"/>
      <c r="F678" s="1035"/>
      <c r="G678" s="1026"/>
      <c r="H678" s="1031"/>
      <c r="I678" s="1031"/>
      <c r="J678" s="964" t="s">
        <v>2312</v>
      </c>
    </row>
    <row r="679" spans="1:10" hidden="1">
      <c r="A679" s="1029"/>
      <c r="B679" s="1005"/>
      <c r="C679" s="1031" t="s">
        <v>384</v>
      </c>
      <c r="D679" s="1025"/>
      <c r="E679" s="1028"/>
      <c r="F679" s="1027"/>
      <c r="G679" s="1028"/>
      <c r="H679" s="1029"/>
      <c r="I679" s="1030"/>
      <c r="J679" s="964" t="s">
        <v>2312</v>
      </c>
    </row>
    <row r="680" spans="1:10" hidden="1">
      <c r="A680" s="1029"/>
      <c r="B680" s="1005"/>
      <c r="C680" s="1031" t="s">
        <v>1656</v>
      </c>
      <c r="D680" s="1061">
        <v>6.7000000000000004E-2</v>
      </c>
      <c r="E680" s="1043" t="s">
        <v>27</v>
      </c>
      <c r="F680" s="1027">
        <v>1</v>
      </c>
      <c r="G680" s="1043" t="s">
        <v>27</v>
      </c>
      <c r="H680" s="1029">
        <f>'MINI SSR 21-22'!$H$16</f>
        <v>650</v>
      </c>
      <c r="I680" s="1030">
        <f>SUM(D680*H680/F680)</f>
        <v>43.550000000000004</v>
      </c>
      <c r="J680" s="964" t="s">
        <v>2312</v>
      </c>
    </row>
    <row r="681" spans="1:10" hidden="1">
      <c r="A681" s="1029"/>
      <c r="B681" s="1005"/>
      <c r="C681" s="1031" t="s">
        <v>700</v>
      </c>
      <c r="D681" s="1061">
        <v>6.7000000000000004E-2</v>
      </c>
      <c r="E681" s="1043" t="s">
        <v>27</v>
      </c>
      <c r="F681" s="1027">
        <v>1</v>
      </c>
      <c r="G681" s="1043" t="s">
        <v>27</v>
      </c>
      <c r="H681" s="1029">
        <f>'MINI SSR 21-22'!$H$18</f>
        <v>470</v>
      </c>
      <c r="I681" s="1041">
        <f>SUM(D681*H681/F681)</f>
        <v>31.490000000000002</v>
      </c>
      <c r="J681" s="964" t="s">
        <v>2312</v>
      </c>
    </row>
    <row r="682" spans="1:10" hidden="1">
      <c r="A682" s="1029"/>
      <c r="B682" s="1005"/>
      <c r="C682" s="1031" t="s">
        <v>327</v>
      </c>
      <c r="D682" s="1025"/>
      <c r="E682" s="1043"/>
      <c r="F682" s="1027"/>
      <c r="G682" s="1043"/>
      <c r="H682" s="1029"/>
      <c r="I682" s="1030"/>
      <c r="J682" s="964" t="s">
        <v>2312</v>
      </c>
    </row>
    <row r="683" spans="1:10" hidden="1">
      <c r="A683" s="1029"/>
      <c r="B683" s="1005"/>
      <c r="C683" s="1052" t="s">
        <v>621</v>
      </c>
      <c r="D683" s="1053">
        <v>1</v>
      </c>
      <c r="E683" s="1028" t="s">
        <v>325</v>
      </c>
      <c r="F683" s="1027">
        <v>1</v>
      </c>
      <c r="G683" s="1028" t="s">
        <v>115</v>
      </c>
      <c r="H683" s="1029">
        <f>'MINI SSR 21-22'!C116</f>
        <v>17</v>
      </c>
      <c r="I683" s="1030">
        <f>SUM(D683*H683/F683)</f>
        <v>17</v>
      </c>
      <c r="J683" s="964" t="s">
        <v>2312</v>
      </c>
    </row>
    <row r="684" spans="1:10" hidden="1">
      <c r="A684" s="1029"/>
      <c r="B684" s="1005"/>
      <c r="C684" s="1052" t="s">
        <v>622</v>
      </c>
      <c r="D684" s="1053">
        <v>1</v>
      </c>
      <c r="E684" s="1028" t="s">
        <v>115</v>
      </c>
      <c r="F684" s="1027">
        <v>1</v>
      </c>
      <c r="G684" s="1028" t="s">
        <v>115</v>
      </c>
      <c r="H684" s="1029">
        <f>'MINI SSR 21-22'!C118</f>
        <v>26</v>
      </c>
      <c r="I684" s="1030">
        <f>SUM(D684*H684/F684)</f>
        <v>26</v>
      </c>
      <c r="J684" s="964" t="s">
        <v>2312</v>
      </c>
    </row>
    <row r="685" spans="1:10" hidden="1">
      <c r="A685" s="1029"/>
      <c r="B685" s="1005"/>
      <c r="C685" s="1036" t="s">
        <v>388</v>
      </c>
      <c r="D685" s="1049"/>
      <c r="E685" s="1028"/>
      <c r="F685" s="1062"/>
      <c r="G685" s="1063"/>
      <c r="H685" s="1064"/>
      <c r="I685" s="1030">
        <f>SUM(I680:I684)</f>
        <v>118.04</v>
      </c>
      <c r="J685" s="964" t="s">
        <v>2312</v>
      </c>
    </row>
    <row r="686" spans="1:10" ht="45" hidden="1">
      <c r="A686" s="1051" t="s">
        <v>1262</v>
      </c>
      <c r="B686" s="1024">
        <v>9</v>
      </c>
      <c r="C686" s="1031" t="s">
        <v>1237</v>
      </c>
      <c r="D686" s="1035"/>
      <c r="E686" s="1026"/>
      <c r="F686" s="1035"/>
      <c r="G686" s="1026"/>
      <c r="H686" s="1031"/>
      <c r="I686" s="1031"/>
      <c r="J686" s="964" t="s">
        <v>2312</v>
      </c>
    </row>
    <row r="687" spans="1:10" hidden="1">
      <c r="A687" s="1029"/>
      <c r="B687" s="1005"/>
      <c r="C687" s="1031" t="s">
        <v>384</v>
      </c>
      <c r="D687" s="1025"/>
      <c r="E687" s="1028"/>
      <c r="F687" s="1027"/>
      <c r="G687" s="1028"/>
      <c r="H687" s="1029"/>
      <c r="I687" s="1030"/>
      <c r="J687" s="964" t="s">
        <v>2312</v>
      </c>
    </row>
    <row r="688" spans="1:10" hidden="1">
      <c r="A688" s="1029"/>
      <c r="B688" s="1005"/>
      <c r="C688" s="1031" t="s">
        <v>1656</v>
      </c>
      <c r="D688" s="1061">
        <v>0.1</v>
      </c>
      <c r="E688" s="1043" t="s">
        <v>27</v>
      </c>
      <c r="F688" s="1027">
        <v>1</v>
      </c>
      <c r="G688" s="1043" t="s">
        <v>27</v>
      </c>
      <c r="H688" s="1029">
        <f>'MINI SSR 21-22'!$H$16</f>
        <v>650</v>
      </c>
      <c r="I688" s="1030">
        <f>SUM(D688*H688/F688)</f>
        <v>65</v>
      </c>
      <c r="J688" s="964" t="s">
        <v>2312</v>
      </c>
    </row>
    <row r="689" spans="1:10" hidden="1">
      <c r="A689" s="1029"/>
      <c r="B689" s="1005"/>
      <c r="C689" s="1031" t="s">
        <v>700</v>
      </c>
      <c r="D689" s="1061">
        <v>0.1</v>
      </c>
      <c r="E689" s="1043" t="s">
        <v>27</v>
      </c>
      <c r="F689" s="1027">
        <v>1</v>
      </c>
      <c r="G689" s="1043" t="s">
        <v>27</v>
      </c>
      <c r="H689" s="1029">
        <f>'MINI SSR 21-22'!$H$18</f>
        <v>470</v>
      </c>
      <c r="I689" s="1041">
        <f>SUM(D689*H689/F689)</f>
        <v>47</v>
      </c>
      <c r="J689" s="964" t="s">
        <v>2312</v>
      </c>
    </row>
    <row r="690" spans="1:10" hidden="1">
      <c r="A690" s="1029"/>
      <c r="B690" s="1005"/>
      <c r="C690" s="1031" t="s">
        <v>327</v>
      </c>
      <c r="D690" s="1025"/>
      <c r="E690" s="1043"/>
      <c r="F690" s="1027"/>
      <c r="G690" s="1043"/>
      <c r="H690" s="1029"/>
      <c r="I690" s="1030"/>
      <c r="J690" s="964" t="s">
        <v>2312</v>
      </c>
    </row>
    <row r="691" spans="1:10" hidden="1">
      <c r="A691" s="1029"/>
      <c r="B691" s="1005"/>
      <c r="C691" s="1052" t="s">
        <v>1263</v>
      </c>
      <c r="D691" s="1053">
        <v>1</v>
      </c>
      <c r="E691" s="1028" t="s">
        <v>325</v>
      </c>
      <c r="F691" s="1027">
        <v>1</v>
      </c>
      <c r="G691" s="1028" t="s">
        <v>115</v>
      </c>
      <c r="H691" s="1029">
        <f>'MINI SSR 21-22'!C121</f>
        <v>44</v>
      </c>
      <c r="I691" s="1030">
        <f>SUM(D691*H691/F691)</f>
        <v>44</v>
      </c>
      <c r="J691" s="964" t="s">
        <v>2312</v>
      </c>
    </row>
    <row r="692" spans="1:10" hidden="1">
      <c r="A692" s="1029"/>
      <c r="B692" s="1005"/>
      <c r="C692" s="1052" t="s">
        <v>1265</v>
      </c>
      <c r="D692" s="1053">
        <v>1</v>
      </c>
      <c r="E692" s="1028" t="s">
        <v>115</v>
      </c>
      <c r="F692" s="1027">
        <v>1</v>
      </c>
      <c r="G692" s="1028" t="s">
        <v>115</v>
      </c>
      <c r="H692" s="1029">
        <f>'MINI SSR 21-22'!C122</f>
        <v>127</v>
      </c>
      <c r="I692" s="1030">
        <f>SUM(D692*H692/F692)</f>
        <v>127</v>
      </c>
      <c r="J692" s="964" t="s">
        <v>2312</v>
      </c>
    </row>
    <row r="693" spans="1:10" ht="22.5" hidden="1">
      <c r="A693" s="1029"/>
      <c r="B693" s="1005"/>
      <c r="C693" s="1052" t="s">
        <v>1264</v>
      </c>
      <c r="D693" s="1053">
        <v>1</v>
      </c>
      <c r="E693" s="1028" t="s">
        <v>115</v>
      </c>
      <c r="F693" s="1027">
        <v>1</v>
      </c>
      <c r="G693" s="1028" t="s">
        <v>115</v>
      </c>
      <c r="H693" s="1029">
        <f>'MINI SSR 21-22'!C123</f>
        <v>127</v>
      </c>
      <c r="I693" s="1030">
        <f>SUM(D693*H693/F693)</f>
        <v>127</v>
      </c>
      <c r="J693" s="964" t="s">
        <v>2312</v>
      </c>
    </row>
    <row r="694" spans="1:10" hidden="1">
      <c r="A694" s="1029"/>
      <c r="B694" s="1005"/>
      <c r="C694" s="1036" t="s">
        <v>388</v>
      </c>
      <c r="D694" s="1049"/>
      <c r="E694" s="1028"/>
      <c r="F694" s="1062"/>
      <c r="G694" s="1063"/>
      <c r="H694" s="1064"/>
      <c r="I694" s="1030">
        <f>SUM(I688:I693)</f>
        <v>410</v>
      </c>
      <c r="J694" s="964" t="s">
        <v>2312</v>
      </c>
    </row>
    <row r="695" spans="1:10" ht="45" hidden="1">
      <c r="A695" s="1029" t="s">
        <v>441</v>
      </c>
      <c r="B695" s="1024">
        <v>27</v>
      </c>
      <c r="C695" s="1031" t="s">
        <v>620</v>
      </c>
      <c r="D695" s="1035"/>
      <c r="E695" s="1026"/>
      <c r="F695" s="1035"/>
      <c r="G695" s="1026"/>
      <c r="H695" s="1031"/>
      <c r="I695" s="1031"/>
      <c r="J695" s="964" t="s">
        <v>2312</v>
      </c>
    </row>
    <row r="696" spans="1:10" hidden="1">
      <c r="A696" s="1029"/>
      <c r="B696" s="1005"/>
      <c r="C696" s="1031" t="s">
        <v>384</v>
      </c>
      <c r="D696" s="1025"/>
      <c r="E696" s="1028"/>
      <c r="F696" s="1027"/>
      <c r="G696" s="1028"/>
      <c r="H696" s="1029"/>
      <c r="I696" s="1030"/>
      <c r="J696" s="964" t="s">
        <v>2312</v>
      </c>
    </row>
    <row r="697" spans="1:10" hidden="1">
      <c r="A697" s="1029"/>
      <c r="B697" s="1005"/>
      <c r="C697" s="1031" t="s">
        <v>1656</v>
      </c>
      <c r="D697" s="1061">
        <v>6.7000000000000004E-2</v>
      </c>
      <c r="E697" s="1043" t="s">
        <v>27</v>
      </c>
      <c r="F697" s="1027">
        <v>1</v>
      </c>
      <c r="G697" s="1043" t="s">
        <v>27</v>
      </c>
      <c r="H697" s="1029">
        <f>'MINI SSR 21-22'!$H$16</f>
        <v>650</v>
      </c>
      <c r="I697" s="1030">
        <f>SUM(D697*H697/F697)</f>
        <v>43.550000000000004</v>
      </c>
      <c r="J697" s="964" t="s">
        <v>2312</v>
      </c>
    </row>
    <row r="698" spans="1:10" hidden="1">
      <c r="A698" s="1029"/>
      <c r="B698" s="1005"/>
      <c r="C698" s="1031" t="s">
        <v>700</v>
      </c>
      <c r="D698" s="1061">
        <v>6.7000000000000004E-2</v>
      </c>
      <c r="E698" s="1043" t="s">
        <v>27</v>
      </c>
      <c r="F698" s="1027">
        <v>1</v>
      </c>
      <c r="G698" s="1043" t="s">
        <v>27</v>
      </c>
      <c r="H698" s="1029">
        <f>'MINI SSR 21-22'!$H$18</f>
        <v>470</v>
      </c>
      <c r="I698" s="1041">
        <f>SUM(D698*H698/F698)</f>
        <v>31.490000000000002</v>
      </c>
      <c r="J698" s="964" t="s">
        <v>2312</v>
      </c>
    </row>
    <row r="699" spans="1:10" hidden="1">
      <c r="A699" s="1029"/>
      <c r="B699" s="1005"/>
      <c r="C699" s="1031" t="s">
        <v>327</v>
      </c>
      <c r="D699" s="1025"/>
      <c r="E699" s="1043"/>
      <c r="F699" s="1027"/>
      <c r="G699" s="1043"/>
      <c r="H699" s="1029"/>
      <c r="I699" s="1030"/>
      <c r="J699" s="964" t="s">
        <v>2312</v>
      </c>
    </row>
    <row r="700" spans="1:10" hidden="1">
      <c r="A700" s="1029"/>
      <c r="B700" s="1005"/>
      <c r="C700" s="1052" t="s">
        <v>621</v>
      </c>
      <c r="D700" s="1053">
        <v>1</v>
      </c>
      <c r="E700" s="1028" t="s">
        <v>325</v>
      </c>
      <c r="F700" s="1027">
        <v>1</v>
      </c>
      <c r="G700" s="1028" t="s">
        <v>115</v>
      </c>
      <c r="H700" s="1029">
        <f>'MINI SSR 21-22'!C116</f>
        <v>17</v>
      </c>
      <c r="I700" s="1030">
        <f>SUM(D700*H700/F700)</f>
        <v>17</v>
      </c>
      <c r="J700" s="964" t="s">
        <v>2312</v>
      </c>
    </row>
    <row r="701" spans="1:10" hidden="1">
      <c r="A701" s="1029"/>
      <c r="B701" s="1005"/>
      <c r="C701" s="1052" t="s">
        <v>623</v>
      </c>
      <c r="D701" s="1053">
        <v>1</v>
      </c>
      <c r="E701" s="1028" t="s">
        <v>115</v>
      </c>
      <c r="F701" s="1027">
        <v>1</v>
      </c>
      <c r="G701" s="1028" t="s">
        <v>115</v>
      </c>
      <c r="H701" s="1029">
        <f>'MINI SSR 21-22'!C117</f>
        <v>20</v>
      </c>
      <c r="I701" s="1030">
        <f>SUM(D701*H701/F701)</f>
        <v>20</v>
      </c>
      <c r="J701" s="964" t="s">
        <v>2312</v>
      </c>
    </row>
    <row r="702" spans="1:10" hidden="1">
      <c r="A702" s="1029"/>
      <c r="B702" s="1005"/>
      <c r="C702" s="1031" t="s">
        <v>945</v>
      </c>
      <c r="D702" s="1049"/>
      <c r="E702" s="1028"/>
      <c r="F702" s="1062"/>
      <c r="G702" s="1063"/>
      <c r="H702" s="1064"/>
      <c r="I702" s="1030">
        <f>SUM(I697:I701)</f>
        <v>112.04</v>
      </c>
      <c r="J702" s="964" t="s">
        <v>2312</v>
      </c>
    </row>
    <row r="703" spans="1:10" ht="33.75" hidden="1">
      <c r="A703" s="1029" t="s">
        <v>1659</v>
      </c>
      <c r="B703" s="1024">
        <v>29</v>
      </c>
      <c r="C703" s="1031" t="s">
        <v>1660</v>
      </c>
      <c r="D703" s="1032"/>
      <c r="E703" s="1033"/>
      <c r="F703" s="1032"/>
      <c r="G703" s="1033"/>
      <c r="H703" s="1005"/>
      <c r="I703" s="1034"/>
      <c r="J703" s="964" t="s">
        <v>2312</v>
      </c>
    </row>
    <row r="704" spans="1:10" ht="22.5" hidden="1">
      <c r="A704" s="1024"/>
      <c r="B704" s="1005"/>
      <c r="C704" s="1031" t="s">
        <v>391</v>
      </c>
      <c r="D704" s="1025"/>
      <c r="E704" s="1028"/>
      <c r="F704" s="1027"/>
      <c r="G704" s="1028"/>
      <c r="H704" s="1029"/>
      <c r="I704" s="1030"/>
      <c r="J704" s="964" t="s">
        <v>2312</v>
      </c>
    </row>
    <row r="705" spans="1:10" hidden="1">
      <c r="A705" s="1024"/>
      <c r="B705" s="1005"/>
      <c r="C705" s="1031" t="s">
        <v>384</v>
      </c>
      <c r="D705" s="1025"/>
      <c r="E705" s="1028"/>
      <c r="F705" s="1027"/>
      <c r="G705" s="1028"/>
      <c r="H705" s="1029"/>
      <c r="I705" s="1030"/>
      <c r="J705" s="964" t="s">
        <v>2312</v>
      </c>
    </row>
    <row r="706" spans="1:10" hidden="1">
      <c r="A706" s="1024"/>
      <c r="B706" s="1005"/>
      <c r="C706" s="1042" t="s">
        <v>1656</v>
      </c>
      <c r="D706" s="1025">
        <v>0.67</v>
      </c>
      <c r="E706" s="1043" t="s">
        <v>27</v>
      </c>
      <c r="F706" s="1027">
        <v>1</v>
      </c>
      <c r="G706" s="1043" t="s">
        <v>27</v>
      </c>
      <c r="H706" s="1029">
        <f>'MINI SSR 21-22'!$H$16</f>
        <v>650</v>
      </c>
      <c r="I706" s="1030">
        <f>SUM(D706*H706/F706)</f>
        <v>435.5</v>
      </c>
      <c r="J706" s="964" t="s">
        <v>2312</v>
      </c>
    </row>
    <row r="707" spans="1:10" hidden="1">
      <c r="A707" s="1024"/>
      <c r="B707" s="1005"/>
      <c r="C707" s="1042" t="s">
        <v>1657</v>
      </c>
      <c r="D707" s="1025">
        <v>2</v>
      </c>
      <c r="E707" s="1043" t="s">
        <v>27</v>
      </c>
      <c r="F707" s="1027">
        <v>1</v>
      </c>
      <c r="G707" s="1043" t="s">
        <v>27</v>
      </c>
      <c r="H707" s="1029">
        <f>'MINI SSR 21-22'!$H$17</f>
        <v>530</v>
      </c>
      <c r="I707" s="1030">
        <f>SUM(D707*H707/F707)</f>
        <v>1060</v>
      </c>
      <c r="J707" s="964" t="s">
        <v>2312</v>
      </c>
    </row>
    <row r="708" spans="1:10" hidden="1">
      <c r="A708" s="1024"/>
      <c r="B708" s="1005"/>
      <c r="C708" s="1042" t="s">
        <v>700</v>
      </c>
      <c r="D708" s="1025">
        <v>0.67</v>
      </c>
      <c r="E708" s="1043" t="s">
        <v>27</v>
      </c>
      <c r="F708" s="1027">
        <v>1</v>
      </c>
      <c r="G708" s="1043" t="s">
        <v>27</v>
      </c>
      <c r="H708" s="1029">
        <f>'MINI SSR 21-22'!$H$18</f>
        <v>470</v>
      </c>
      <c r="I708" s="1030">
        <f>SUM(D708*H708/F708)</f>
        <v>314.90000000000003</v>
      </c>
      <c r="J708" s="964" t="s">
        <v>2312</v>
      </c>
    </row>
    <row r="709" spans="1:10" hidden="1">
      <c r="A709" s="1024"/>
      <c r="B709" s="1005"/>
      <c r="C709" s="1031" t="s">
        <v>327</v>
      </c>
      <c r="D709" s="1025"/>
      <c r="E709" s="1043"/>
      <c r="F709" s="1027"/>
      <c r="G709" s="1043"/>
      <c r="H709" s="1029"/>
      <c r="I709" s="1030"/>
      <c r="J709" s="964" t="s">
        <v>2312</v>
      </c>
    </row>
    <row r="710" spans="1:10" ht="33.75" hidden="1">
      <c r="A710" s="1024"/>
      <c r="B710" s="1005">
        <v>30</v>
      </c>
      <c r="C710" s="1052" t="s">
        <v>398</v>
      </c>
      <c r="D710" s="1025">
        <v>200</v>
      </c>
      <c r="E710" s="1028" t="s">
        <v>395</v>
      </c>
      <c r="F710" s="1027">
        <v>100</v>
      </c>
      <c r="G710" s="1028" t="s">
        <v>395</v>
      </c>
      <c r="H710" s="1029">
        <f>'MINI SSR 21-22'!C128</f>
        <v>1737</v>
      </c>
      <c r="I710" s="1030">
        <f>SUM(D710*H710/F710)</f>
        <v>3474</v>
      </c>
      <c r="J710" s="964" t="s">
        <v>2312</v>
      </c>
    </row>
    <row r="711" spans="1:10" hidden="1">
      <c r="A711" s="1024"/>
      <c r="B711" s="1005"/>
      <c r="C711" s="1031" t="s">
        <v>399</v>
      </c>
      <c r="D711" s="1025"/>
      <c r="E711" s="1028"/>
      <c r="F711" s="1027"/>
      <c r="G711" s="1028"/>
      <c r="H711" s="1029"/>
      <c r="I711" s="1030">
        <f>SUM(I710:I710)</f>
        <v>3474</v>
      </c>
      <c r="J711" s="964" t="s">
        <v>2312</v>
      </c>
    </row>
    <row r="712" spans="1:10" hidden="1">
      <c r="A712" s="1024"/>
      <c r="B712" s="1005"/>
      <c r="C712" s="1031" t="s">
        <v>400</v>
      </c>
      <c r="D712" s="1025"/>
      <c r="E712" s="1028"/>
      <c r="F712" s="1027"/>
      <c r="G712" s="1028"/>
      <c r="H712" s="1029"/>
      <c r="I712" s="1030">
        <f>SUM(I711/100)</f>
        <v>34.74</v>
      </c>
      <c r="J712" s="964" t="s">
        <v>2312</v>
      </c>
    </row>
    <row r="713" spans="1:10" hidden="1">
      <c r="A713" s="1024"/>
      <c r="B713" s="1005"/>
      <c r="C713" s="1031" t="s">
        <v>399</v>
      </c>
      <c r="D713" s="1025"/>
      <c r="E713" s="1028"/>
      <c r="F713" s="1027"/>
      <c r="G713" s="1028"/>
      <c r="H713" s="1064"/>
      <c r="I713" s="1030">
        <f>SUM(I710:I712)</f>
        <v>6982.74</v>
      </c>
      <c r="J713" s="964" t="s">
        <v>2312</v>
      </c>
    </row>
    <row r="714" spans="1:10" hidden="1">
      <c r="A714" s="1024"/>
      <c r="B714" s="1005"/>
      <c r="C714" s="1031" t="s">
        <v>400</v>
      </c>
      <c r="D714" s="1025"/>
      <c r="E714" s="1028"/>
      <c r="F714" s="1027"/>
      <c r="G714" s="1028"/>
      <c r="H714" s="1064"/>
      <c r="I714" s="1030">
        <f>ROUND(I713/100,2)</f>
        <v>69.83</v>
      </c>
      <c r="J714" s="964" t="s">
        <v>2312</v>
      </c>
    </row>
    <row r="715" spans="1:10" ht="33.75" hidden="1">
      <c r="A715" s="1029" t="s">
        <v>2081</v>
      </c>
      <c r="B715" s="1024">
        <v>8</v>
      </c>
      <c r="C715" s="1031" t="s">
        <v>2086</v>
      </c>
      <c r="D715" s="1032"/>
      <c r="E715" s="1033"/>
      <c r="F715" s="1032"/>
      <c r="G715" s="1033"/>
      <c r="H715" s="1005"/>
      <c r="I715" s="1034"/>
      <c r="J715" s="964" t="s">
        <v>2312</v>
      </c>
    </row>
    <row r="716" spans="1:10" hidden="1">
      <c r="A716" s="1024"/>
      <c r="B716" s="1005"/>
      <c r="C716" s="1031" t="s">
        <v>384</v>
      </c>
      <c r="D716" s="1025"/>
      <c r="E716" s="1028"/>
      <c r="F716" s="1027"/>
      <c r="G716" s="1028"/>
      <c r="H716" s="1029"/>
      <c r="I716" s="1030"/>
      <c r="J716" s="964" t="s">
        <v>2312</v>
      </c>
    </row>
    <row r="717" spans="1:10" hidden="1">
      <c r="A717" s="1024"/>
      <c r="B717" s="1005"/>
      <c r="C717" s="1042" t="s">
        <v>1656</v>
      </c>
      <c r="D717" s="1025">
        <v>0.34</v>
      </c>
      <c r="E717" s="1043" t="s">
        <v>27</v>
      </c>
      <c r="F717" s="1027">
        <v>1</v>
      </c>
      <c r="G717" s="1043" t="s">
        <v>27</v>
      </c>
      <c r="H717" s="1029">
        <f>'MINI SSR 21-22'!$H$16</f>
        <v>650</v>
      </c>
      <c r="I717" s="1030">
        <f>SUM(D717*H717/F717)</f>
        <v>221.00000000000003</v>
      </c>
      <c r="J717" s="964" t="s">
        <v>2312</v>
      </c>
    </row>
    <row r="718" spans="1:10" hidden="1">
      <c r="A718" s="1024"/>
      <c r="B718" s="1005"/>
      <c r="C718" s="1042" t="s">
        <v>1657</v>
      </c>
      <c r="D718" s="1025">
        <v>1</v>
      </c>
      <c r="E718" s="1043" t="s">
        <v>27</v>
      </c>
      <c r="F718" s="1027">
        <v>1</v>
      </c>
      <c r="G718" s="1043" t="s">
        <v>27</v>
      </c>
      <c r="H718" s="1029">
        <f>'MINI SSR 21-22'!$H$17</f>
        <v>530</v>
      </c>
      <c r="I718" s="1030">
        <f>SUM(D718*H718/F718)</f>
        <v>530</v>
      </c>
      <c r="J718" s="964" t="s">
        <v>2312</v>
      </c>
    </row>
    <row r="719" spans="1:10" hidden="1">
      <c r="A719" s="1024"/>
      <c r="B719" s="1005"/>
      <c r="C719" s="1042" t="s">
        <v>700</v>
      </c>
      <c r="D719" s="1025">
        <v>0.34</v>
      </c>
      <c r="E719" s="1043" t="s">
        <v>27</v>
      </c>
      <c r="F719" s="1027">
        <v>1</v>
      </c>
      <c r="G719" s="1043" t="s">
        <v>27</v>
      </c>
      <c r="H719" s="1029">
        <f>'MINI SSR 21-22'!$H$18</f>
        <v>470</v>
      </c>
      <c r="I719" s="1030">
        <f>SUM(D719*H719/F719)</f>
        <v>159.80000000000001</v>
      </c>
      <c r="J719" s="964" t="s">
        <v>2312</v>
      </c>
    </row>
    <row r="720" spans="1:10" hidden="1">
      <c r="A720" s="1024"/>
      <c r="B720" s="1005"/>
      <c r="C720" s="1052" t="s">
        <v>2082</v>
      </c>
      <c r="D720" s="1025">
        <v>100</v>
      </c>
      <c r="E720" s="1028" t="s">
        <v>395</v>
      </c>
      <c r="F720" s="1027">
        <v>100</v>
      </c>
      <c r="G720" s="1028" t="s">
        <v>395</v>
      </c>
      <c r="H720" s="1029">
        <f>'MINI SSR 21-22'!C134</f>
        <v>1208</v>
      </c>
      <c r="I720" s="1030">
        <f>SUM(D720*H720/F720)</f>
        <v>1208</v>
      </c>
      <c r="J720" s="964" t="s">
        <v>2312</v>
      </c>
    </row>
    <row r="721" spans="1:10" hidden="1">
      <c r="A721" s="1024"/>
      <c r="B721" s="1005"/>
      <c r="C721" s="1031" t="s">
        <v>399</v>
      </c>
      <c r="D721" s="1025"/>
      <c r="E721" s="1028"/>
      <c r="F721" s="1027"/>
      <c r="G721" s="1028"/>
      <c r="H721" s="1029"/>
      <c r="I721" s="1030">
        <f>SUM(I717:I720)</f>
        <v>2118.8000000000002</v>
      </c>
      <c r="J721" s="964" t="s">
        <v>2312</v>
      </c>
    </row>
    <row r="722" spans="1:10" hidden="1">
      <c r="A722" s="1024"/>
      <c r="B722" s="1005"/>
      <c r="C722" s="1031" t="s">
        <v>400</v>
      </c>
      <c r="D722" s="1025"/>
      <c r="E722" s="1028"/>
      <c r="F722" s="1027"/>
      <c r="G722" s="1028"/>
      <c r="H722" s="1029"/>
      <c r="I722" s="1030">
        <f>ROUND(I721/100,2)</f>
        <v>21.19</v>
      </c>
      <c r="J722" s="964" t="s">
        <v>2312</v>
      </c>
    </row>
    <row r="723" spans="1:10" ht="46.5" hidden="1" customHeight="1">
      <c r="A723" s="1051" t="s">
        <v>723</v>
      </c>
      <c r="B723" s="1024">
        <v>9</v>
      </c>
      <c r="C723" s="1031" t="s">
        <v>401</v>
      </c>
      <c r="D723" s="1032"/>
      <c r="E723" s="1033"/>
      <c r="F723" s="1032"/>
      <c r="G723" s="1033"/>
      <c r="H723" s="1005"/>
      <c r="I723" s="1030"/>
      <c r="J723" s="964" t="s">
        <v>2312</v>
      </c>
    </row>
    <row r="724" spans="1:10" ht="22.5" hidden="1">
      <c r="A724" s="1024"/>
      <c r="B724" s="1005"/>
      <c r="C724" s="1031" t="s">
        <v>391</v>
      </c>
      <c r="D724" s="1025"/>
      <c r="E724" s="1028"/>
      <c r="F724" s="1027"/>
      <c r="G724" s="1028"/>
      <c r="H724" s="1029"/>
      <c r="I724" s="1030"/>
      <c r="J724" s="964" t="s">
        <v>2312</v>
      </c>
    </row>
    <row r="725" spans="1:10" hidden="1">
      <c r="A725" s="1024"/>
      <c r="B725" s="1005"/>
      <c r="C725" s="1031" t="s">
        <v>384</v>
      </c>
      <c r="D725" s="1025"/>
      <c r="E725" s="1028"/>
      <c r="F725" s="1027"/>
      <c r="G725" s="1028"/>
      <c r="H725" s="1029"/>
      <c r="I725" s="1030"/>
      <c r="J725" s="964" t="s">
        <v>2312</v>
      </c>
    </row>
    <row r="726" spans="1:10" hidden="1">
      <c r="A726" s="1024"/>
      <c r="B726" s="1005"/>
      <c r="C726" s="1042" t="s">
        <v>1656</v>
      </c>
      <c r="D726" s="1025">
        <v>0.67</v>
      </c>
      <c r="E726" s="1043" t="s">
        <v>27</v>
      </c>
      <c r="F726" s="1027">
        <v>1</v>
      </c>
      <c r="G726" s="1043" t="s">
        <v>27</v>
      </c>
      <c r="H726" s="1029">
        <f>'MINI SSR 21-22'!$H$16</f>
        <v>650</v>
      </c>
      <c r="I726" s="1030">
        <f>SUM(D726*H726/F726)</f>
        <v>435.5</v>
      </c>
      <c r="J726" s="964" t="s">
        <v>2312</v>
      </c>
    </row>
    <row r="727" spans="1:10" hidden="1">
      <c r="A727" s="1024"/>
      <c r="B727" s="1005"/>
      <c r="C727" s="1042" t="s">
        <v>1657</v>
      </c>
      <c r="D727" s="1025">
        <v>2</v>
      </c>
      <c r="E727" s="1043" t="s">
        <v>27</v>
      </c>
      <c r="F727" s="1027">
        <v>1</v>
      </c>
      <c r="G727" s="1043" t="s">
        <v>27</v>
      </c>
      <c r="H727" s="1029">
        <f>'MINI SSR 21-22'!$H$17</f>
        <v>530</v>
      </c>
      <c r="I727" s="1030">
        <f>SUM(D727*H727/F727)</f>
        <v>1060</v>
      </c>
      <c r="J727" s="964" t="s">
        <v>2312</v>
      </c>
    </row>
    <row r="728" spans="1:10" hidden="1">
      <c r="A728" s="1024"/>
      <c r="B728" s="1005"/>
      <c r="C728" s="1042" t="s">
        <v>700</v>
      </c>
      <c r="D728" s="1025">
        <v>0.67</v>
      </c>
      <c r="E728" s="1043" t="s">
        <v>27</v>
      </c>
      <c r="F728" s="1027">
        <v>1</v>
      </c>
      <c r="G728" s="1043" t="s">
        <v>27</v>
      </c>
      <c r="H728" s="1029">
        <f>'MINI SSR 21-22'!$H$18</f>
        <v>470</v>
      </c>
      <c r="I728" s="1030">
        <f>SUM(D728*H728/F728)</f>
        <v>314.90000000000003</v>
      </c>
      <c r="J728" s="964" t="s">
        <v>2312</v>
      </c>
    </row>
    <row r="729" spans="1:10" hidden="1">
      <c r="A729" s="1024"/>
      <c r="B729" s="1005"/>
      <c r="C729" s="1031" t="s">
        <v>327</v>
      </c>
      <c r="D729" s="1025"/>
      <c r="E729" s="1043"/>
      <c r="F729" s="1027"/>
      <c r="G729" s="1043"/>
      <c r="H729" s="1029"/>
      <c r="I729" s="1030"/>
      <c r="J729" s="964" t="s">
        <v>2312</v>
      </c>
    </row>
    <row r="730" spans="1:10" ht="33.75" hidden="1">
      <c r="A730" s="1024"/>
      <c r="B730" s="1005"/>
      <c r="C730" s="1052" t="s">
        <v>1661</v>
      </c>
      <c r="D730" s="1025">
        <v>200</v>
      </c>
      <c r="E730" s="1028" t="s">
        <v>395</v>
      </c>
      <c r="F730" s="1027">
        <v>100</v>
      </c>
      <c r="G730" s="1028" t="s">
        <v>395</v>
      </c>
      <c r="H730" s="1029">
        <f>'MINI SSR 21-22'!C129</f>
        <v>2806</v>
      </c>
      <c r="I730" s="1030">
        <f>SUM(D730*H730/F730)</f>
        <v>5612</v>
      </c>
      <c r="J730" s="964" t="s">
        <v>2312</v>
      </c>
    </row>
    <row r="731" spans="1:10" hidden="1">
      <c r="A731" s="1024"/>
      <c r="B731" s="1005"/>
      <c r="C731" s="1031" t="s">
        <v>399</v>
      </c>
      <c r="D731" s="1025"/>
      <c r="E731" s="1028"/>
      <c r="F731" s="1027"/>
      <c r="G731" s="1028"/>
      <c r="H731" s="1029"/>
      <c r="I731" s="1030">
        <f>SUM(I726:I730)</f>
        <v>7422.4</v>
      </c>
      <c r="J731" s="964" t="s">
        <v>2312</v>
      </c>
    </row>
    <row r="732" spans="1:10" hidden="1">
      <c r="A732" s="1024"/>
      <c r="B732" s="1005"/>
      <c r="C732" s="1031" t="s">
        <v>400</v>
      </c>
      <c r="D732" s="1025"/>
      <c r="E732" s="1028"/>
      <c r="F732" s="1027"/>
      <c r="G732" s="1028"/>
      <c r="H732" s="1029"/>
      <c r="I732" s="1030">
        <f>SUM(I731/100)</f>
        <v>74.22399999999999</v>
      </c>
      <c r="J732" s="964" t="s">
        <v>2312</v>
      </c>
    </row>
    <row r="733" spans="1:10" ht="45" hidden="1">
      <c r="A733" s="1051" t="s">
        <v>724</v>
      </c>
      <c r="B733" s="1024">
        <v>11</v>
      </c>
      <c r="C733" s="1031" t="s">
        <v>402</v>
      </c>
      <c r="D733" s="1032"/>
      <c r="E733" s="1033"/>
      <c r="F733" s="1032"/>
      <c r="G733" s="1033"/>
      <c r="H733" s="1005"/>
      <c r="I733" s="1030"/>
      <c r="J733" s="964" t="s">
        <v>2312</v>
      </c>
    </row>
    <row r="734" spans="1:10" ht="22.5" hidden="1">
      <c r="A734" s="1029"/>
      <c r="B734" s="1005"/>
      <c r="C734" s="1031" t="s">
        <v>403</v>
      </c>
      <c r="D734" s="1025"/>
      <c r="E734" s="1028"/>
      <c r="F734" s="1027"/>
      <c r="G734" s="1028"/>
      <c r="H734" s="1029"/>
      <c r="I734" s="1030"/>
      <c r="J734" s="964" t="s">
        <v>2312</v>
      </c>
    </row>
    <row r="735" spans="1:10" hidden="1">
      <c r="A735" s="1029"/>
      <c r="B735" s="1005"/>
      <c r="C735" s="1031" t="s">
        <v>384</v>
      </c>
      <c r="D735" s="1025"/>
      <c r="E735" s="1028"/>
      <c r="F735" s="1027"/>
      <c r="G735" s="1028"/>
      <c r="H735" s="1029"/>
      <c r="I735" s="1030"/>
      <c r="J735" s="964" t="s">
        <v>2312</v>
      </c>
    </row>
    <row r="736" spans="1:10" hidden="1">
      <c r="A736" s="1029"/>
      <c r="B736" s="1005"/>
      <c r="C736" s="1042" t="s">
        <v>1656</v>
      </c>
      <c r="D736" s="1025">
        <v>1</v>
      </c>
      <c r="E736" s="1043" t="s">
        <v>27</v>
      </c>
      <c r="F736" s="1027">
        <v>1</v>
      </c>
      <c r="G736" s="1043" t="s">
        <v>27</v>
      </c>
      <c r="H736" s="1029">
        <f>'MINI SSR 21-22'!$H$16</f>
        <v>650</v>
      </c>
      <c r="I736" s="1030">
        <f>SUM(D736*H736/F736)</f>
        <v>650</v>
      </c>
      <c r="J736" s="964" t="s">
        <v>2312</v>
      </c>
    </row>
    <row r="737" spans="1:10" hidden="1">
      <c r="A737" s="1029"/>
      <c r="B737" s="1005"/>
      <c r="C737" s="1042" t="s">
        <v>1657</v>
      </c>
      <c r="D737" s="1025">
        <v>3</v>
      </c>
      <c r="E737" s="1043" t="s">
        <v>27</v>
      </c>
      <c r="F737" s="1027">
        <v>1</v>
      </c>
      <c r="G737" s="1043" t="s">
        <v>27</v>
      </c>
      <c r="H737" s="1029">
        <f>'MINI SSR 21-22'!$H$17</f>
        <v>530</v>
      </c>
      <c r="I737" s="1030">
        <f>SUM(D737*H737/F737)</f>
        <v>1590</v>
      </c>
      <c r="J737" s="964" t="s">
        <v>2312</v>
      </c>
    </row>
    <row r="738" spans="1:10" hidden="1">
      <c r="A738" s="1029"/>
      <c r="B738" s="1005"/>
      <c r="C738" s="1042" t="s">
        <v>700</v>
      </c>
      <c r="D738" s="1025">
        <v>1</v>
      </c>
      <c r="E738" s="1043" t="s">
        <v>27</v>
      </c>
      <c r="F738" s="1027">
        <v>1</v>
      </c>
      <c r="G738" s="1043" t="s">
        <v>27</v>
      </c>
      <c r="H738" s="1029">
        <f>'MINI SSR 21-22'!$H$18</f>
        <v>470</v>
      </c>
      <c r="I738" s="1030">
        <f>SUM(D738*H738/F738)</f>
        <v>470</v>
      </c>
      <c r="J738" s="964" t="s">
        <v>2312</v>
      </c>
    </row>
    <row r="739" spans="1:10" hidden="1">
      <c r="A739" s="1029"/>
      <c r="B739" s="1005"/>
      <c r="C739" s="1031" t="s">
        <v>327</v>
      </c>
      <c r="D739" s="1025"/>
      <c r="E739" s="1043"/>
      <c r="F739" s="1027"/>
      <c r="G739" s="1043"/>
      <c r="H739" s="1029"/>
      <c r="I739" s="1030"/>
      <c r="J739" s="964" t="s">
        <v>2312</v>
      </c>
    </row>
    <row r="740" spans="1:10" ht="33.75" hidden="1">
      <c r="A740" s="1029"/>
      <c r="B740" s="1005"/>
      <c r="C740" s="1052" t="s">
        <v>1662</v>
      </c>
      <c r="D740" s="1025">
        <v>200</v>
      </c>
      <c r="E740" s="1028" t="s">
        <v>395</v>
      </c>
      <c r="F740" s="1027">
        <v>100</v>
      </c>
      <c r="G740" s="1028" t="s">
        <v>395</v>
      </c>
      <c r="H740" s="1029">
        <f>'MINI SSR 21-22'!C130</f>
        <v>4284</v>
      </c>
      <c r="I740" s="1030">
        <f>SUM(D740*H740/F740)</f>
        <v>8568</v>
      </c>
      <c r="J740" s="964" t="s">
        <v>2312</v>
      </c>
    </row>
    <row r="741" spans="1:10" hidden="1">
      <c r="A741" s="1029"/>
      <c r="B741" s="1005"/>
      <c r="C741" s="1031" t="s">
        <v>399</v>
      </c>
      <c r="D741" s="1025"/>
      <c r="E741" s="1028"/>
      <c r="F741" s="1027"/>
      <c r="G741" s="1028"/>
      <c r="H741" s="1029"/>
      <c r="I741" s="1030">
        <f>SUM(I736:I740)</f>
        <v>11278</v>
      </c>
      <c r="J741" s="964" t="s">
        <v>2312</v>
      </c>
    </row>
    <row r="742" spans="1:10" hidden="1">
      <c r="A742" s="1029"/>
      <c r="B742" s="1005"/>
      <c r="C742" s="1031" t="s">
        <v>400</v>
      </c>
      <c r="D742" s="1025"/>
      <c r="E742" s="1028"/>
      <c r="F742" s="1027"/>
      <c r="G742" s="1028"/>
      <c r="H742" s="1029"/>
      <c r="I742" s="1030">
        <f>SUM(I741/100)</f>
        <v>112.78</v>
      </c>
      <c r="J742" s="964" t="s">
        <v>2312</v>
      </c>
    </row>
    <row r="743" spans="1:10" ht="45" hidden="1">
      <c r="A743" s="1051" t="s">
        <v>881</v>
      </c>
      <c r="B743" s="1024">
        <v>10</v>
      </c>
      <c r="C743" s="1031" t="s">
        <v>882</v>
      </c>
      <c r="D743" s="1032"/>
      <c r="E743" s="1033"/>
      <c r="F743" s="1032"/>
      <c r="G743" s="1033"/>
      <c r="H743" s="1005"/>
      <c r="I743" s="1030"/>
      <c r="J743" s="964" t="s">
        <v>2312</v>
      </c>
    </row>
    <row r="744" spans="1:10" hidden="1">
      <c r="A744" s="1029"/>
      <c r="B744" s="1005"/>
      <c r="C744" s="1031" t="s">
        <v>384</v>
      </c>
      <c r="D744" s="1025"/>
      <c r="E744" s="1028"/>
      <c r="F744" s="1027"/>
      <c r="G744" s="1028"/>
      <c r="H744" s="1029"/>
      <c r="I744" s="1030"/>
      <c r="J744" s="964" t="s">
        <v>2312</v>
      </c>
    </row>
    <row r="745" spans="1:10" hidden="1">
      <c r="A745" s="1029"/>
      <c r="B745" s="1005"/>
      <c r="C745" s="1042" t="s">
        <v>156</v>
      </c>
      <c r="D745" s="1025">
        <v>1</v>
      </c>
      <c r="E745" s="1043" t="s">
        <v>27</v>
      </c>
      <c r="F745" s="1027">
        <v>1</v>
      </c>
      <c r="G745" s="1043" t="s">
        <v>27</v>
      </c>
      <c r="H745" s="1029">
        <f>'MINI SSR 21-22'!$H$16</f>
        <v>650</v>
      </c>
      <c r="I745" s="1030">
        <f>SUM(D745*H745/F745)</f>
        <v>650</v>
      </c>
      <c r="J745" s="964" t="s">
        <v>2312</v>
      </c>
    </row>
    <row r="746" spans="1:10" hidden="1">
      <c r="A746" s="1029"/>
      <c r="B746" s="1005"/>
      <c r="C746" s="1042" t="s">
        <v>886</v>
      </c>
      <c r="D746" s="1025">
        <v>1</v>
      </c>
      <c r="E746" s="1043" t="s">
        <v>27</v>
      </c>
      <c r="F746" s="1027">
        <v>1</v>
      </c>
      <c r="G746" s="1043" t="s">
        <v>27</v>
      </c>
      <c r="H746" s="1029">
        <f>'MINI SSR 21-22'!$H$17</f>
        <v>530</v>
      </c>
      <c r="I746" s="1030">
        <f>SUM(D746*H746/F746)</f>
        <v>530</v>
      </c>
      <c r="J746" s="964" t="s">
        <v>2312</v>
      </c>
    </row>
    <row r="747" spans="1:10" hidden="1">
      <c r="A747" s="1029"/>
      <c r="B747" s="1005"/>
      <c r="C747" s="1042" t="s">
        <v>700</v>
      </c>
      <c r="D747" s="1025">
        <v>1</v>
      </c>
      <c r="E747" s="1043" t="s">
        <v>27</v>
      </c>
      <c r="F747" s="1027">
        <v>1</v>
      </c>
      <c r="G747" s="1043" t="s">
        <v>27</v>
      </c>
      <c r="H747" s="1029">
        <f>'MINI SSR 21-22'!$H$18</f>
        <v>470</v>
      </c>
      <c r="I747" s="1030">
        <f>SUM(D747*H747/F747)</f>
        <v>470</v>
      </c>
      <c r="J747" s="964" t="s">
        <v>2312</v>
      </c>
    </row>
    <row r="748" spans="1:10" hidden="1">
      <c r="A748" s="1029"/>
      <c r="B748" s="1005"/>
      <c r="C748" s="1031" t="s">
        <v>327</v>
      </c>
      <c r="D748" s="1025"/>
      <c r="E748" s="1043"/>
      <c r="F748" s="1027"/>
      <c r="G748" s="1043"/>
      <c r="H748" s="1029"/>
      <c r="I748" s="1030"/>
      <c r="J748" s="964" t="s">
        <v>2312</v>
      </c>
    </row>
    <row r="749" spans="1:10" hidden="1">
      <c r="A749" s="1029"/>
      <c r="B749" s="1005"/>
      <c r="C749" s="1052" t="s">
        <v>883</v>
      </c>
      <c r="D749" s="1025">
        <v>200</v>
      </c>
      <c r="E749" s="1028" t="s">
        <v>395</v>
      </c>
      <c r="F749" s="1027">
        <v>100</v>
      </c>
      <c r="G749" s="1028" t="s">
        <v>395</v>
      </c>
      <c r="H749" s="1029">
        <f>'MINI SSR 21-22'!C131</f>
        <v>1513</v>
      </c>
      <c r="I749" s="1030">
        <f>SUM(D749*H749/F749)</f>
        <v>3026</v>
      </c>
      <c r="J749" s="964" t="s">
        <v>2312</v>
      </c>
    </row>
    <row r="750" spans="1:10" hidden="1">
      <c r="A750" s="1029"/>
      <c r="B750" s="1005"/>
      <c r="C750" s="1052" t="s">
        <v>884</v>
      </c>
      <c r="D750" s="1025">
        <v>6.7</v>
      </c>
      <c r="E750" s="1028" t="s">
        <v>4</v>
      </c>
      <c r="F750" s="1027">
        <v>1</v>
      </c>
      <c r="G750" s="1028" t="s">
        <v>4</v>
      </c>
      <c r="H750" s="1029">
        <f>'MINI SSR 21-22'!C132</f>
        <v>72</v>
      </c>
      <c r="I750" s="1030">
        <f>SUM(D750*H750/F750)</f>
        <v>482.40000000000003</v>
      </c>
      <c r="J750" s="964" t="s">
        <v>2312</v>
      </c>
    </row>
    <row r="751" spans="1:10" hidden="1">
      <c r="A751" s="1029"/>
      <c r="B751" s="1005"/>
      <c r="C751" s="1052" t="s">
        <v>885</v>
      </c>
      <c r="D751" s="1025">
        <v>100</v>
      </c>
      <c r="E751" s="1028" t="s">
        <v>325</v>
      </c>
      <c r="F751" s="1027">
        <v>100</v>
      </c>
      <c r="G751" s="1028" t="s">
        <v>115</v>
      </c>
      <c r="H751" s="1029">
        <f>'MINI SSR 21-22'!C133</f>
        <v>473</v>
      </c>
      <c r="I751" s="1030">
        <f>SUM(D751*H751/F751)</f>
        <v>473</v>
      </c>
      <c r="J751" s="964" t="s">
        <v>2312</v>
      </c>
    </row>
    <row r="752" spans="1:10" hidden="1">
      <c r="A752" s="1029"/>
      <c r="B752" s="1005"/>
      <c r="C752" s="1031" t="s">
        <v>399</v>
      </c>
      <c r="D752" s="1025"/>
      <c r="E752" s="1028"/>
      <c r="F752" s="1027"/>
      <c r="G752" s="1028"/>
      <c r="H752" s="1029"/>
      <c r="I752" s="1030">
        <f>SUM(I745:I751)</f>
        <v>5631.4</v>
      </c>
      <c r="J752" s="964" t="s">
        <v>2312</v>
      </c>
    </row>
    <row r="753" spans="1:10" hidden="1">
      <c r="A753" s="1029"/>
      <c r="B753" s="1005"/>
      <c r="C753" s="1031" t="s">
        <v>400</v>
      </c>
      <c r="D753" s="1025"/>
      <c r="E753" s="1028"/>
      <c r="F753" s="1027"/>
      <c r="G753" s="1028"/>
      <c r="H753" s="1029"/>
      <c r="I753" s="1030">
        <f>SUM(I752/100)</f>
        <v>56.313999999999993</v>
      </c>
      <c r="J753" s="964" t="s">
        <v>2312</v>
      </c>
    </row>
    <row r="754" spans="1:10" ht="33.75" hidden="1">
      <c r="A754" s="1051" t="s">
        <v>725</v>
      </c>
      <c r="B754" s="1024">
        <v>11</v>
      </c>
      <c r="C754" s="1031" t="s">
        <v>1267</v>
      </c>
      <c r="D754" s="1035"/>
      <c r="E754" s="1026"/>
      <c r="F754" s="1035"/>
      <c r="G754" s="1026"/>
      <c r="H754" s="1031"/>
      <c r="I754" s="1031"/>
      <c r="J754" s="964" t="s">
        <v>2312</v>
      </c>
    </row>
    <row r="755" spans="1:10" ht="22.5" hidden="1">
      <c r="A755" s="1024"/>
      <c r="B755" s="1005"/>
      <c r="C755" s="1031" t="s">
        <v>404</v>
      </c>
      <c r="D755" s="1035"/>
      <c r="E755" s="1026"/>
      <c r="F755" s="1035"/>
      <c r="G755" s="1026"/>
      <c r="H755" s="1031"/>
      <c r="I755" s="1031"/>
      <c r="J755" s="964" t="s">
        <v>2312</v>
      </c>
    </row>
    <row r="756" spans="1:10" hidden="1">
      <c r="A756" s="1024"/>
      <c r="B756" s="1005"/>
      <c r="C756" s="1031" t="s">
        <v>384</v>
      </c>
      <c r="D756" s="1025"/>
      <c r="E756" s="1028"/>
      <c r="F756" s="1027"/>
      <c r="G756" s="1028"/>
      <c r="H756" s="1029"/>
      <c r="I756" s="1030"/>
      <c r="J756" s="964" t="s">
        <v>2312</v>
      </c>
    </row>
    <row r="757" spans="1:10" hidden="1">
      <c r="A757" s="1024"/>
      <c r="B757" s="1005"/>
      <c r="C757" s="1042" t="s">
        <v>1656</v>
      </c>
      <c r="D757" s="1025">
        <v>0.05</v>
      </c>
      <c r="E757" s="1043" t="s">
        <v>27</v>
      </c>
      <c r="F757" s="1027">
        <v>1</v>
      </c>
      <c r="G757" s="1043" t="s">
        <v>27</v>
      </c>
      <c r="H757" s="1029">
        <f>'MINI SSR 21-22'!$H$16</f>
        <v>650</v>
      </c>
      <c r="I757" s="1030">
        <f>SUM(D757*H757/F757)</f>
        <v>32.5</v>
      </c>
      <c r="J757" s="964" t="s">
        <v>2312</v>
      </c>
    </row>
    <row r="758" spans="1:10" hidden="1">
      <c r="A758" s="1024"/>
      <c r="B758" s="1005"/>
      <c r="C758" s="1042" t="s">
        <v>700</v>
      </c>
      <c r="D758" s="1025">
        <v>0.05</v>
      </c>
      <c r="E758" s="1043" t="s">
        <v>27</v>
      </c>
      <c r="F758" s="1027">
        <v>1</v>
      </c>
      <c r="G758" s="1043" t="s">
        <v>27</v>
      </c>
      <c r="H758" s="1029">
        <f>'MINI SSR 21-22'!$H$18</f>
        <v>470</v>
      </c>
      <c r="I758" s="1041">
        <f>SUM(D758*H758/F758)</f>
        <v>23.5</v>
      </c>
      <c r="J758" s="964" t="s">
        <v>2312</v>
      </c>
    </row>
    <row r="759" spans="1:10" hidden="1">
      <c r="A759" s="1024"/>
      <c r="B759" s="1005"/>
      <c r="C759" s="1031" t="s">
        <v>327</v>
      </c>
      <c r="D759" s="1025"/>
      <c r="E759" s="1043"/>
      <c r="F759" s="1027"/>
      <c r="G759" s="1043"/>
      <c r="H759" s="1029"/>
      <c r="I759" s="1030"/>
      <c r="J759" s="964" t="s">
        <v>2312</v>
      </c>
    </row>
    <row r="760" spans="1:10" ht="33.75" hidden="1">
      <c r="A760" s="1024"/>
      <c r="B760" s="1005"/>
      <c r="C760" s="1031" t="s">
        <v>1663</v>
      </c>
      <c r="D760" s="1053">
        <v>1</v>
      </c>
      <c r="E760" s="1028" t="s">
        <v>325</v>
      </c>
      <c r="F760" s="1027">
        <v>1</v>
      </c>
      <c r="G760" s="1028" t="s">
        <v>115</v>
      </c>
      <c r="H760" s="1029">
        <f>'MINI SSR 21-22'!G114</f>
        <v>20</v>
      </c>
      <c r="I760" s="1030">
        <f>SUM(D760*H760/F760)</f>
        <v>20</v>
      </c>
      <c r="J760" s="964" t="s">
        <v>2312</v>
      </c>
    </row>
    <row r="761" spans="1:10" hidden="1">
      <c r="A761" s="1024"/>
      <c r="B761" s="1005"/>
      <c r="C761" s="1031" t="s">
        <v>1266</v>
      </c>
      <c r="D761" s="1053">
        <v>1</v>
      </c>
      <c r="E761" s="1028" t="s">
        <v>325</v>
      </c>
      <c r="F761" s="1027">
        <v>1</v>
      </c>
      <c r="G761" s="1028" t="s">
        <v>115</v>
      </c>
      <c r="H761" s="1029">
        <f>'MINI SSR 21-22'!G115</f>
        <v>46</v>
      </c>
      <c r="I761" s="1030">
        <f>SUM(D761*H761/F761)</f>
        <v>46</v>
      </c>
      <c r="J761" s="964" t="s">
        <v>2312</v>
      </c>
    </row>
    <row r="762" spans="1:10" hidden="1">
      <c r="A762" s="1024"/>
      <c r="B762" s="1005"/>
      <c r="C762" s="1031" t="s">
        <v>405</v>
      </c>
      <c r="D762" s="1025"/>
      <c r="E762" s="1043"/>
      <c r="F762" s="1027"/>
      <c r="G762" s="1043"/>
      <c r="H762" s="1029"/>
      <c r="I762" s="1030">
        <f>SUM(I757:I761)</f>
        <v>122</v>
      </c>
      <c r="J762" s="964" t="s">
        <v>2312</v>
      </c>
    </row>
    <row r="763" spans="1:10" ht="45" hidden="1">
      <c r="A763" s="1029" t="s">
        <v>1664</v>
      </c>
      <c r="B763" s="1024">
        <v>8</v>
      </c>
      <c r="C763" s="1031" t="s">
        <v>406</v>
      </c>
      <c r="D763" s="1035"/>
      <c r="E763" s="1026"/>
      <c r="F763" s="1035"/>
      <c r="G763" s="1026"/>
      <c r="H763" s="1031"/>
      <c r="I763" s="1031"/>
      <c r="J763" s="964" t="s">
        <v>2312</v>
      </c>
    </row>
    <row r="764" spans="1:10" ht="33.75" hidden="1">
      <c r="A764" s="1024"/>
      <c r="B764" s="1024"/>
      <c r="C764" s="1031" t="s">
        <v>407</v>
      </c>
      <c r="D764" s="1065"/>
      <c r="E764" s="1026"/>
      <c r="F764" s="1035"/>
      <c r="G764" s="1026"/>
      <c r="H764" s="1031"/>
      <c r="I764" s="1031"/>
      <c r="J764" s="964" t="s">
        <v>2312</v>
      </c>
    </row>
    <row r="765" spans="1:10" ht="33.75" hidden="1">
      <c r="A765" s="1024"/>
      <c r="B765" s="1024"/>
      <c r="C765" s="1031" t="s">
        <v>408</v>
      </c>
      <c r="D765" s="1065"/>
      <c r="E765" s="1026"/>
      <c r="F765" s="1035"/>
      <c r="G765" s="1026"/>
      <c r="H765" s="1031"/>
      <c r="I765" s="1031"/>
      <c r="J765" s="964" t="s">
        <v>2312</v>
      </c>
    </row>
    <row r="766" spans="1:10" hidden="1">
      <c r="A766" s="1024"/>
      <c r="B766" s="1005"/>
      <c r="C766" s="1066" t="s">
        <v>409</v>
      </c>
      <c r="D766" s="1025"/>
      <c r="E766" s="1028"/>
      <c r="F766" s="1027"/>
      <c r="G766" s="1028"/>
      <c r="H766" s="1029"/>
      <c r="I766" s="1030"/>
      <c r="J766" s="964" t="s">
        <v>2312</v>
      </c>
    </row>
    <row r="767" spans="1:10" hidden="1">
      <c r="A767" s="1024"/>
      <c r="B767" s="1005"/>
      <c r="C767" s="1042" t="s">
        <v>1656</v>
      </c>
      <c r="D767" s="1061">
        <v>0.125</v>
      </c>
      <c r="E767" s="1043" t="s">
        <v>27</v>
      </c>
      <c r="F767" s="1027">
        <v>1</v>
      </c>
      <c r="G767" s="1043" t="s">
        <v>27</v>
      </c>
      <c r="H767" s="1029">
        <f>'MINI SSR 21-22'!$H$16</f>
        <v>650</v>
      </c>
      <c r="I767" s="1030">
        <f>SUM(D767*H767/F767)</f>
        <v>81.25</v>
      </c>
      <c r="J767" s="964" t="s">
        <v>2312</v>
      </c>
    </row>
    <row r="768" spans="1:10" hidden="1">
      <c r="A768" s="1024"/>
      <c r="B768" s="1005"/>
      <c r="C768" s="1042" t="s">
        <v>700</v>
      </c>
      <c r="D768" s="1061">
        <v>0.125</v>
      </c>
      <c r="E768" s="1043" t="s">
        <v>27</v>
      </c>
      <c r="F768" s="1027">
        <v>1</v>
      </c>
      <c r="G768" s="1043" t="s">
        <v>27</v>
      </c>
      <c r="H768" s="1029">
        <f>'MINI SSR 21-22'!$H$18</f>
        <v>470</v>
      </c>
      <c r="I768" s="1041">
        <f>SUM(D768*H768/F768)</f>
        <v>58.75</v>
      </c>
      <c r="J768" s="964" t="s">
        <v>2312</v>
      </c>
    </row>
    <row r="769" spans="1:10" hidden="1">
      <c r="A769" s="1024"/>
      <c r="B769" s="1005"/>
      <c r="C769" s="1031" t="s">
        <v>410</v>
      </c>
      <c r="D769" s="1025"/>
      <c r="E769" s="1043"/>
      <c r="F769" s="1027"/>
      <c r="G769" s="1043"/>
      <c r="H769" s="1029"/>
      <c r="I769" s="1030"/>
      <c r="J769" s="964" t="s">
        <v>2312</v>
      </c>
    </row>
    <row r="770" spans="1:10" hidden="1">
      <c r="A770" s="1024"/>
      <c r="B770" s="1005"/>
      <c r="C770" s="1052" t="s">
        <v>1665</v>
      </c>
      <c r="D770" s="1025">
        <v>1</v>
      </c>
      <c r="E770" s="1028" t="s">
        <v>385</v>
      </c>
      <c r="F770" s="1027">
        <v>100</v>
      </c>
      <c r="G770" s="1028" t="s">
        <v>395</v>
      </c>
      <c r="H770" s="1029">
        <f>'MINI SSR 21-22'!G116</f>
        <v>1093</v>
      </c>
      <c r="I770" s="1030">
        <f>SUM(D770*H770/F770)</f>
        <v>10.93</v>
      </c>
      <c r="J770" s="964" t="s">
        <v>2312</v>
      </c>
    </row>
    <row r="771" spans="1:10" hidden="1">
      <c r="A771" s="1024"/>
      <c r="B771" s="1005"/>
      <c r="C771" s="1052" t="s">
        <v>1666</v>
      </c>
      <c r="D771" s="1025">
        <v>1</v>
      </c>
      <c r="E771" s="1028" t="s">
        <v>115</v>
      </c>
      <c r="F771" s="1027">
        <v>1</v>
      </c>
      <c r="G771" s="1028" t="s">
        <v>115</v>
      </c>
      <c r="H771" s="1029">
        <f>'MINI SSR 21-22'!G117</f>
        <v>198</v>
      </c>
      <c r="I771" s="1030">
        <f>SUM(D771*H771/F771)</f>
        <v>198</v>
      </c>
      <c r="J771" s="964" t="s">
        <v>2312</v>
      </c>
    </row>
    <row r="772" spans="1:10" hidden="1">
      <c r="A772" s="1024"/>
      <c r="B772" s="1005"/>
      <c r="C772" s="1052" t="s">
        <v>1667</v>
      </c>
      <c r="D772" s="1025">
        <v>1</v>
      </c>
      <c r="E772" s="1028" t="s">
        <v>325</v>
      </c>
      <c r="F772" s="1027">
        <v>1</v>
      </c>
      <c r="G772" s="1028" t="s">
        <v>325</v>
      </c>
      <c r="H772" s="1029">
        <f>'MINI SSR 21-22'!G118</f>
        <v>2645</v>
      </c>
      <c r="I772" s="1030">
        <f>SUM(D772*H772/F772)</f>
        <v>2645</v>
      </c>
      <c r="J772" s="964" t="s">
        <v>2312</v>
      </c>
    </row>
    <row r="773" spans="1:10" hidden="1">
      <c r="A773" s="1024"/>
      <c r="B773" s="1005"/>
      <c r="C773" s="1031" t="s">
        <v>411</v>
      </c>
      <c r="D773" s="1025"/>
      <c r="E773" s="1028"/>
      <c r="F773" s="1027"/>
      <c r="G773" s="1028"/>
      <c r="H773" s="1067">
        <v>0.01</v>
      </c>
      <c r="I773" s="1030">
        <f>SUM(I772*H773)</f>
        <v>26.45</v>
      </c>
      <c r="J773" s="964" t="s">
        <v>2312</v>
      </c>
    </row>
    <row r="774" spans="1:10" hidden="1">
      <c r="A774" s="1024"/>
      <c r="B774" s="1005"/>
      <c r="C774" s="1036" t="s">
        <v>388</v>
      </c>
      <c r="D774" s="1032"/>
      <c r="E774" s="1033"/>
      <c r="F774" s="1032"/>
      <c r="G774" s="1068"/>
      <c r="H774" s="1064"/>
      <c r="I774" s="1030">
        <f>SUM(I767:I773)</f>
        <v>3020.3799999999997</v>
      </c>
      <c r="J774" s="964" t="s">
        <v>2312</v>
      </c>
    </row>
    <row r="775" spans="1:10" ht="33.75" hidden="1">
      <c r="A775" s="1029" t="s">
        <v>1668</v>
      </c>
      <c r="B775" s="1024">
        <v>12</v>
      </c>
      <c r="C775" s="1031" t="s">
        <v>946</v>
      </c>
      <c r="D775" s="1035"/>
      <c r="E775" s="1026"/>
      <c r="F775" s="1035"/>
      <c r="G775" s="1026"/>
      <c r="H775" s="1031"/>
      <c r="I775" s="1031"/>
      <c r="J775" s="964" t="s">
        <v>2312</v>
      </c>
    </row>
    <row r="776" spans="1:10" hidden="1">
      <c r="A776" s="1024"/>
      <c r="B776" s="1005"/>
      <c r="C776" s="1052" t="s">
        <v>970</v>
      </c>
      <c r="D776" s="1025">
        <v>1</v>
      </c>
      <c r="E776" s="1028" t="s">
        <v>325</v>
      </c>
      <c r="F776" s="1027">
        <v>1</v>
      </c>
      <c r="G776" s="1028" t="s">
        <v>325</v>
      </c>
      <c r="H776" s="1029">
        <f>'MINI SSR 21-22'!G118</f>
        <v>2645</v>
      </c>
      <c r="I776" s="1030">
        <f>SUM(D776*H776/F776)</f>
        <v>2645</v>
      </c>
      <c r="J776" s="964" t="s">
        <v>2312</v>
      </c>
    </row>
    <row r="777" spans="1:10" hidden="1">
      <c r="A777" s="1024"/>
      <c r="B777" s="1005"/>
      <c r="C777" s="1031" t="s">
        <v>411</v>
      </c>
      <c r="D777" s="1025"/>
      <c r="E777" s="1028"/>
      <c r="F777" s="1027"/>
      <c r="G777" s="1028"/>
      <c r="H777" s="1067">
        <v>0.01</v>
      </c>
      <c r="I777" s="1030">
        <f>SUM(I776*H777)</f>
        <v>26.45</v>
      </c>
      <c r="J777" s="964" t="s">
        <v>2312</v>
      </c>
    </row>
    <row r="778" spans="1:10" hidden="1">
      <c r="A778" s="1024"/>
      <c r="B778" s="1005"/>
      <c r="C778" s="1036" t="s">
        <v>388</v>
      </c>
      <c r="D778" s="1032"/>
      <c r="E778" s="1033"/>
      <c r="F778" s="1032"/>
      <c r="G778" s="1068"/>
      <c r="H778" s="1064"/>
      <c r="I778" s="1030">
        <f>SUM(I776:I777)</f>
        <v>2671.45</v>
      </c>
      <c r="J778" s="964" t="s">
        <v>2312</v>
      </c>
    </row>
    <row r="779" spans="1:10" ht="22.5" hidden="1">
      <c r="A779" s="1029" t="s">
        <v>1669</v>
      </c>
      <c r="B779" s="1024">
        <v>13</v>
      </c>
      <c r="C779" s="1031" t="s">
        <v>1670</v>
      </c>
      <c r="D779" s="1035"/>
      <c r="E779" s="1026"/>
      <c r="F779" s="1035"/>
      <c r="G779" s="1026"/>
      <c r="H779" s="1031"/>
      <c r="I779" s="1031"/>
      <c r="J779" s="964" t="s">
        <v>2312</v>
      </c>
    </row>
    <row r="780" spans="1:10" hidden="1">
      <c r="A780" s="1024"/>
      <c r="B780" s="1005"/>
      <c r="C780" s="1052" t="s">
        <v>1666</v>
      </c>
      <c r="D780" s="1025">
        <v>1</v>
      </c>
      <c r="E780" s="1028" t="s">
        <v>325</v>
      </c>
      <c r="F780" s="1027">
        <v>1</v>
      </c>
      <c r="G780" s="1028" t="s">
        <v>325</v>
      </c>
      <c r="H780" s="1029">
        <f>'MINI SSR 21-22'!G117</f>
        <v>198</v>
      </c>
      <c r="I780" s="1030">
        <f>SUM(D780*H780/F780)</f>
        <v>198</v>
      </c>
      <c r="J780" s="964" t="s">
        <v>2312</v>
      </c>
    </row>
    <row r="781" spans="1:10" hidden="1">
      <c r="A781" s="1024"/>
      <c r="B781" s="1005"/>
      <c r="C781" s="1042" t="s">
        <v>1656</v>
      </c>
      <c r="D781" s="1061">
        <v>0.1</v>
      </c>
      <c r="E781" s="1043" t="s">
        <v>27</v>
      </c>
      <c r="F781" s="1027">
        <v>1</v>
      </c>
      <c r="G781" s="1043" t="s">
        <v>27</v>
      </c>
      <c r="H781" s="1029">
        <f>'MINI SSR 21-22'!$H$16</f>
        <v>650</v>
      </c>
      <c r="I781" s="1030">
        <f>SUM(D781*H781/F781)</f>
        <v>65</v>
      </c>
      <c r="J781" s="964" t="s">
        <v>2312</v>
      </c>
    </row>
    <row r="782" spans="1:10" hidden="1">
      <c r="A782" s="1024"/>
      <c r="B782" s="1005"/>
      <c r="C782" s="1031"/>
      <c r="D782" s="1025"/>
      <c r="E782" s="1028"/>
      <c r="F782" s="1027"/>
      <c r="G782" s="1028"/>
      <c r="H782" s="1067"/>
      <c r="I782" s="1030"/>
      <c r="J782" s="964" t="s">
        <v>2312</v>
      </c>
    </row>
    <row r="783" spans="1:10" hidden="1">
      <c r="A783" s="1024"/>
      <c r="B783" s="1005"/>
      <c r="C783" s="1036" t="s">
        <v>388</v>
      </c>
      <c r="D783" s="1032"/>
      <c r="E783" s="1033"/>
      <c r="F783" s="1032"/>
      <c r="G783" s="1068"/>
      <c r="H783" s="1064"/>
      <c r="I783" s="1030">
        <f>SUM(I780:I782)</f>
        <v>263</v>
      </c>
      <c r="J783" s="964" t="s">
        <v>2312</v>
      </c>
    </row>
    <row r="784" spans="1:10" ht="22.5" hidden="1">
      <c r="A784" s="1029" t="s">
        <v>1664</v>
      </c>
      <c r="B784" s="1024">
        <v>14</v>
      </c>
      <c r="C784" s="1031" t="s">
        <v>948</v>
      </c>
      <c r="D784" s="1035"/>
      <c r="E784" s="1026"/>
      <c r="F784" s="1035"/>
      <c r="G784" s="1026"/>
      <c r="H784" s="1031"/>
      <c r="I784" s="1031"/>
      <c r="J784" s="964" t="s">
        <v>2312</v>
      </c>
    </row>
    <row r="785" spans="1:10" hidden="1">
      <c r="A785" s="1024"/>
      <c r="B785" s="1005"/>
      <c r="C785" s="1066" t="s">
        <v>409</v>
      </c>
      <c r="D785" s="1025"/>
      <c r="E785" s="1028"/>
      <c r="F785" s="1027"/>
      <c r="G785" s="1028"/>
      <c r="H785" s="1029"/>
      <c r="I785" s="1030"/>
      <c r="J785" s="964" t="s">
        <v>2312</v>
      </c>
    </row>
    <row r="786" spans="1:10" hidden="1">
      <c r="A786" s="1024"/>
      <c r="B786" s="1005"/>
      <c r="C786" s="1042" t="s">
        <v>1656</v>
      </c>
      <c r="D786" s="1061">
        <v>0.125</v>
      </c>
      <c r="E786" s="1043" t="s">
        <v>27</v>
      </c>
      <c r="F786" s="1027">
        <v>1</v>
      </c>
      <c r="G786" s="1043" t="s">
        <v>27</v>
      </c>
      <c r="H786" s="1029">
        <f>'MINI SSR 21-22'!$H$16</f>
        <v>650</v>
      </c>
      <c r="I786" s="1030">
        <f>SUM(D786*H786/F786)</f>
        <v>81.25</v>
      </c>
      <c r="J786" s="964" t="s">
        <v>2312</v>
      </c>
    </row>
    <row r="787" spans="1:10" hidden="1">
      <c r="A787" s="1024"/>
      <c r="B787" s="1005"/>
      <c r="C787" s="1042" t="s">
        <v>700</v>
      </c>
      <c r="D787" s="1061">
        <v>0.125</v>
      </c>
      <c r="E787" s="1043" t="s">
        <v>27</v>
      </c>
      <c r="F787" s="1027">
        <v>1</v>
      </c>
      <c r="G787" s="1043" t="s">
        <v>27</v>
      </c>
      <c r="H787" s="1029">
        <f>'MINI SSR 21-22'!$H$17</f>
        <v>530</v>
      </c>
      <c r="I787" s="1041">
        <f>SUM(D787*H787/F787)</f>
        <v>66.25</v>
      </c>
      <c r="J787" s="964" t="s">
        <v>2312</v>
      </c>
    </row>
    <row r="788" spans="1:10" hidden="1">
      <c r="A788" s="1024"/>
      <c r="B788" s="1005"/>
      <c r="C788" s="1031" t="s">
        <v>410</v>
      </c>
      <c r="D788" s="1025"/>
      <c r="E788" s="1043"/>
      <c r="F788" s="1027"/>
      <c r="G788" s="1043"/>
      <c r="H788" s="1029"/>
      <c r="I788" s="1030"/>
      <c r="J788" s="964" t="s">
        <v>2312</v>
      </c>
    </row>
    <row r="789" spans="1:10" hidden="1">
      <c r="A789" s="1024"/>
      <c r="B789" s="1005"/>
      <c r="C789" s="1052" t="s">
        <v>949</v>
      </c>
      <c r="D789" s="1025">
        <v>1</v>
      </c>
      <c r="E789" s="1028" t="s">
        <v>385</v>
      </c>
      <c r="F789" s="1027">
        <v>100</v>
      </c>
      <c r="G789" s="1028" t="s">
        <v>395</v>
      </c>
      <c r="H789" s="1029">
        <f>'MINI SSR 21-22'!G116</f>
        <v>1093</v>
      </c>
      <c r="I789" s="1030">
        <f>SUM(D789*H789/F789)</f>
        <v>10.93</v>
      </c>
      <c r="J789" s="964" t="s">
        <v>2312</v>
      </c>
    </row>
    <row r="790" spans="1:10" hidden="1">
      <c r="A790" s="1024"/>
      <c r="B790" s="1005"/>
      <c r="C790" s="1036" t="s">
        <v>388</v>
      </c>
      <c r="D790" s="1032"/>
      <c r="E790" s="1033"/>
      <c r="F790" s="1032"/>
      <c r="G790" s="1068"/>
      <c r="H790" s="1064"/>
      <c r="I790" s="1030">
        <f>SUM(I786:I789)</f>
        <v>158.43</v>
      </c>
      <c r="J790" s="964" t="s">
        <v>2312</v>
      </c>
    </row>
    <row r="791" spans="1:10" ht="33.75" hidden="1">
      <c r="A791" s="1029" t="s">
        <v>1671</v>
      </c>
      <c r="B791" s="1024">
        <v>39</v>
      </c>
      <c r="C791" s="1031" t="s">
        <v>950</v>
      </c>
      <c r="D791" s="1035"/>
      <c r="E791" s="1026"/>
      <c r="F791" s="1035"/>
      <c r="G791" s="1026"/>
      <c r="H791" s="1031"/>
      <c r="I791" s="1031"/>
      <c r="J791" s="964" t="s">
        <v>2312</v>
      </c>
    </row>
    <row r="792" spans="1:10" hidden="1">
      <c r="A792" s="1024"/>
      <c r="B792" s="1005"/>
      <c r="C792" s="1066" t="s">
        <v>409</v>
      </c>
      <c r="D792" s="1025"/>
      <c r="E792" s="1028"/>
      <c r="F792" s="1027"/>
      <c r="G792" s="1028"/>
      <c r="H792" s="1029"/>
      <c r="I792" s="1030"/>
      <c r="J792" s="964" t="s">
        <v>2312</v>
      </c>
    </row>
    <row r="793" spans="1:10" hidden="1">
      <c r="A793" s="1024"/>
      <c r="B793" s="1005"/>
      <c r="C793" s="1042" t="s">
        <v>700</v>
      </c>
      <c r="D793" s="1061">
        <v>0.1</v>
      </c>
      <c r="E793" s="1043" t="s">
        <v>27</v>
      </c>
      <c r="F793" s="1027">
        <v>1</v>
      </c>
      <c r="G793" s="1043" t="s">
        <v>27</v>
      </c>
      <c r="H793" s="1029">
        <f>'MINI SSR 21-22'!$H$17</f>
        <v>530</v>
      </c>
      <c r="I793" s="1041">
        <f>SUM(D793*H793/F793)</f>
        <v>53</v>
      </c>
      <c r="J793" s="964" t="s">
        <v>2312</v>
      </c>
    </row>
    <row r="794" spans="1:10" hidden="1">
      <c r="A794" s="1024"/>
      <c r="B794" s="1005"/>
      <c r="C794" s="1031" t="s">
        <v>410</v>
      </c>
      <c r="D794" s="1025"/>
      <c r="E794" s="1043"/>
      <c r="F794" s="1027"/>
      <c r="G794" s="1043"/>
      <c r="H794" s="1029"/>
      <c r="I794" s="1030"/>
      <c r="J794" s="964" t="s">
        <v>2312</v>
      </c>
    </row>
    <row r="795" spans="1:10" ht="22.5" hidden="1">
      <c r="A795" s="1024"/>
      <c r="B795" s="1005"/>
      <c r="C795" s="1052" t="s">
        <v>1672</v>
      </c>
      <c r="D795" s="1025">
        <v>1</v>
      </c>
      <c r="E795" s="1028" t="s">
        <v>115</v>
      </c>
      <c r="F795" s="1027">
        <v>1</v>
      </c>
      <c r="G795" s="1028" t="s">
        <v>115</v>
      </c>
      <c r="H795" s="1029">
        <f>'MINI SSR 21-22'!G119</f>
        <v>94</v>
      </c>
      <c r="I795" s="1030">
        <f>SUM(D795*H795/F795)</f>
        <v>94</v>
      </c>
      <c r="J795" s="964" t="s">
        <v>2312</v>
      </c>
    </row>
    <row r="796" spans="1:10" hidden="1">
      <c r="A796" s="1024"/>
      <c r="B796" s="1005"/>
      <c r="C796" s="1036" t="s">
        <v>388</v>
      </c>
      <c r="D796" s="1032"/>
      <c r="E796" s="1033"/>
      <c r="F796" s="1032"/>
      <c r="G796" s="1068"/>
      <c r="H796" s="1064"/>
      <c r="I796" s="1030">
        <f>SUM(I793:I795)</f>
        <v>147</v>
      </c>
      <c r="J796" s="964" t="s">
        <v>2312</v>
      </c>
    </row>
    <row r="797" spans="1:10" ht="22.5" hidden="1">
      <c r="A797" s="1029" t="s">
        <v>1673</v>
      </c>
      <c r="B797" s="1048">
        <v>15</v>
      </c>
      <c r="C797" s="1031" t="s">
        <v>1674</v>
      </c>
      <c r="D797" s="1032"/>
      <c r="E797" s="1033"/>
      <c r="F797" s="1032"/>
      <c r="G797" s="1033"/>
      <c r="H797" s="1034"/>
      <c r="I797" s="1034"/>
      <c r="J797" s="964" t="s">
        <v>2312</v>
      </c>
    </row>
    <row r="798" spans="1:10" hidden="1">
      <c r="A798" s="1047"/>
      <c r="B798" s="1048"/>
      <c r="C798" s="1042" t="s">
        <v>1572</v>
      </c>
      <c r="D798" s="1025">
        <v>1</v>
      </c>
      <c r="E798" s="1043" t="s">
        <v>325</v>
      </c>
      <c r="F798" s="1027">
        <v>1</v>
      </c>
      <c r="G798" s="1043" t="s">
        <v>325</v>
      </c>
      <c r="H798" s="1029">
        <f>'MINI SSR 21-22'!G120</f>
        <v>33</v>
      </c>
      <c r="I798" s="1041">
        <f>SUM(D798*H798/F798)</f>
        <v>33</v>
      </c>
      <c r="J798" s="964" t="s">
        <v>2312</v>
      </c>
    </row>
    <row r="799" spans="1:10" hidden="1">
      <c r="A799" s="1024"/>
      <c r="B799" s="1005"/>
      <c r="C799" s="1042" t="s">
        <v>1675</v>
      </c>
      <c r="D799" s="1061">
        <v>0.16600000000000001</v>
      </c>
      <c r="E799" s="1043" t="s">
        <v>27</v>
      </c>
      <c r="F799" s="1027">
        <v>1</v>
      </c>
      <c r="G799" s="1043" t="s">
        <v>27</v>
      </c>
      <c r="H799" s="1029">
        <f>'MINI SSR 21-22'!H3</f>
        <v>585</v>
      </c>
      <c r="I799" s="1041">
        <f>SUM(D799*H799/F799)</f>
        <v>97.11</v>
      </c>
      <c r="J799" s="964" t="s">
        <v>2312</v>
      </c>
    </row>
    <row r="800" spans="1:10" hidden="1">
      <c r="A800" s="1024"/>
      <c r="B800" s="1005"/>
      <c r="C800" s="1042" t="s">
        <v>1676</v>
      </c>
      <c r="D800" s="1061">
        <v>0.16600000000000001</v>
      </c>
      <c r="E800" s="1043" t="s">
        <v>27</v>
      </c>
      <c r="F800" s="1027">
        <v>1</v>
      </c>
      <c r="G800" s="1043" t="s">
        <v>27</v>
      </c>
      <c r="H800" s="1029">
        <f>'MINI SSR 21-22'!$H$18</f>
        <v>470</v>
      </c>
      <c r="I800" s="1041">
        <f>SUM(D800*H800/F800)</f>
        <v>78.02000000000001</v>
      </c>
      <c r="J800" s="964" t="s">
        <v>2312</v>
      </c>
    </row>
    <row r="801" spans="1:10" hidden="1">
      <c r="A801" s="1047"/>
      <c r="B801" s="1048"/>
      <c r="C801" s="1044"/>
      <c r="D801" s="1025"/>
      <c r="E801" s="1043"/>
      <c r="F801" s="1027"/>
      <c r="G801" s="1043"/>
      <c r="H801" s="1029"/>
      <c r="I801" s="1041">
        <f>SUM(I798:I800)</f>
        <v>208.13000000000002</v>
      </c>
      <c r="J801" s="964" t="s">
        <v>2312</v>
      </c>
    </row>
    <row r="802" spans="1:10" ht="56.25" hidden="1">
      <c r="A802" s="1051" t="s">
        <v>726</v>
      </c>
      <c r="B802" s="1024">
        <v>16</v>
      </c>
      <c r="C802" s="1031" t="s">
        <v>412</v>
      </c>
      <c r="D802" s="1035"/>
      <c r="E802" s="1026"/>
      <c r="F802" s="1035"/>
      <c r="G802" s="1026"/>
      <c r="H802" s="1031"/>
      <c r="I802" s="1031"/>
      <c r="J802" s="964" t="s">
        <v>2312</v>
      </c>
    </row>
    <row r="803" spans="1:10" hidden="1">
      <c r="A803" s="1024"/>
      <c r="B803" s="1005"/>
      <c r="C803" s="1031" t="s">
        <v>409</v>
      </c>
      <c r="D803" s="1025"/>
      <c r="E803" s="1028"/>
      <c r="F803" s="1027"/>
      <c r="G803" s="1028"/>
      <c r="H803" s="1029"/>
      <c r="I803" s="1030"/>
      <c r="J803" s="964" t="s">
        <v>2312</v>
      </c>
    </row>
    <row r="804" spans="1:10" hidden="1">
      <c r="A804" s="1024"/>
      <c r="B804" s="1005"/>
      <c r="C804" s="1042" t="s">
        <v>1656</v>
      </c>
      <c r="D804" s="1025">
        <v>0.1</v>
      </c>
      <c r="E804" s="1043" t="s">
        <v>27</v>
      </c>
      <c r="F804" s="1027">
        <v>1</v>
      </c>
      <c r="G804" s="1043" t="s">
        <v>27</v>
      </c>
      <c r="H804" s="1029">
        <f>'MINI SSR 21-22'!$H$16</f>
        <v>650</v>
      </c>
      <c r="I804" s="1030">
        <f>SUM(D804*H804/F804)</f>
        <v>65</v>
      </c>
      <c r="J804" s="964" t="s">
        <v>2312</v>
      </c>
    </row>
    <row r="805" spans="1:10" hidden="1">
      <c r="A805" s="1024"/>
      <c r="B805" s="1005"/>
      <c r="C805" s="1042" t="s">
        <v>1657</v>
      </c>
      <c r="D805" s="1025">
        <v>0.1</v>
      </c>
      <c r="E805" s="1043" t="s">
        <v>27</v>
      </c>
      <c r="F805" s="1027">
        <v>1</v>
      </c>
      <c r="G805" s="1043" t="s">
        <v>27</v>
      </c>
      <c r="H805" s="1029">
        <f>'MINI SSR 21-22'!$H$17</f>
        <v>530</v>
      </c>
      <c r="I805" s="1030">
        <f>SUM(D805*H805/F805)</f>
        <v>53</v>
      </c>
      <c r="J805" s="964" t="s">
        <v>2312</v>
      </c>
    </row>
    <row r="806" spans="1:10" hidden="1">
      <c r="A806" s="1024"/>
      <c r="B806" s="1005"/>
      <c r="C806" s="1031" t="s">
        <v>327</v>
      </c>
      <c r="D806" s="1025"/>
      <c r="E806" s="1043"/>
      <c r="F806" s="1027"/>
      <c r="G806" s="1043"/>
      <c r="H806" s="1029"/>
      <c r="I806" s="1030"/>
      <c r="J806" s="964" t="s">
        <v>2312</v>
      </c>
    </row>
    <row r="807" spans="1:10" hidden="1">
      <c r="A807" s="1024"/>
      <c r="B807" s="1005"/>
      <c r="C807" s="1052" t="s">
        <v>1677</v>
      </c>
      <c r="D807" s="1025">
        <v>1</v>
      </c>
      <c r="E807" s="1028" t="s">
        <v>385</v>
      </c>
      <c r="F807" s="1027">
        <v>100</v>
      </c>
      <c r="G807" s="1028" t="s">
        <v>395</v>
      </c>
      <c r="H807" s="1029">
        <f>'MINI SSR 21-22'!G116</f>
        <v>1093</v>
      </c>
      <c r="I807" s="1030">
        <f>SUM(D807*H807/F807)</f>
        <v>10.93</v>
      </c>
      <c r="J807" s="964" t="s">
        <v>2312</v>
      </c>
    </row>
    <row r="808" spans="1:10" hidden="1">
      <c r="A808" s="1024"/>
      <c r="B808" s="1005"/>
      <c r="C808" s="1052" t="s">
        <v>2099</v>
      </c>
      <c r="D808" s="1053">
        <v>1</v>
      </c>
      <c r="E808" s="1028" t="s">
        <v>115</v>
      </c>
      <c r="F808" s="1027">
        <v>1</v>
      </c>
      <c r="G808" s="1028" t="s">
        <v>115</v>
      </c>
      <c r="H808" s="1029">
        <f>'MINI SSR 21-22'!G121</f>
        <v>267</v>
      </c>
      <c r="I808" s="1030">
        <f>SUM(D808*H808/F808)</f>
        <v>267</v>
      </c>
      <c r="J808" s="964" t="s">
        <v>2312</v>
      </c>
    </row>
    <row r="809" spans="1:10" hidden="1">
      <c r="A809" s="1024"/>
      <c r="B809" s="1005"/>
      <c r="C809" s="1031" t="s">
        <v>405</v>
      </c>
      <c r="D809" s="1025"/>
      <c r="E809" s="1026"/>
      <c r="F809" s="1027"/>
      <c r="G809" s="1028"/>
      <c r="H809" s="1029"/>
      <c r="I809" s="1030">
        <f>SUM(I804:I808)</f>
        <v>395.93</v>
      </c>
      <c r="J809" s="964" t="s">
        <v>2312</v>
      </c>
    </row>
    <row r="810" spans="1:10" hidden="1">
      <c r="A810" s="1047"/>
      <c r="B810" s="1048"/>
      <c r="C810" s="1047"/>
      <c r="D810" s="1058"/>
      <c r="E810" s="1059"/>
      <c r="F810" s="1058"/>
      <c r="G810" s="1059"/>
      <c r="H810" s="1047"/>
      <c r="I810" s="1047"/>
      <c r="J810" s="964" t="s">
        <v>2312</v>
      </c>
    </row>
    <row r="811" spans="1:10" ht="67.5" hidden="1">
      <c r="A811" s="1051" t="s">
        <v>727</v>
      </c>
      <c r="B811" s="1024">
        <v>17</v>
      </c>
      <c r="C811" s="1031" t="s">
        <v>698</v>
      </c>
      <c r="D811" s="1035"/>
      <c r="E811" s="1026"/>
      <c r="F811" s="1035"/>
      <c r="G811" s="1026"/>
      <c r="H811" s="1031"/>
      <c r="I811" s="1031"/>
      <c r="J811" s="964" t="s">
        <v>2312</v>
      </c>
    </row>
    <row r="812" spans="1:10" hidden="1">
      <c r="A812" s="1024"/>
      <c r="B812" s="1005"/>
      <c r="C812" s="1031" t="s">
        <v>409</v>
      </c>
      <c r="D812" s="1025"/>
      <c r="E812" s="1028"/>
      <c r="F812" s="1027"/>
      <c r="G812" s="1028"/>
      <c r="H812" s="1029"/>
      <c r="I812" s="1030"/>
      <c r="J812" s="964" t="s">
        <v>2312</v>
      </c>
    </row>
    <row r="813" spans="1:10" hidden="1">
      <c r="A813" s="1024"/>
      <c r="B813" s="1005"/>
      <c r="C813" s="1042" t="s">
        <v>699</v>
      </c>
      <c r="D813" s="1025">
        <v>0.5</v>
      </c>
      <c r="E813" s="1043" t="s">
        <v>27</v>
      </c>
      <c r="F813" s="1027">
        <v>1</v>
      </c>
      <c r="G813" s="1043" t="s">
        <v>27</v>
      </c>
      <c r="H813" s="1029">
        <f>'MINI SSR 21-22'!$H$16</f>
        <v>650</v>
      </c>
      <c r="I813" s="1030">
        <f>SUM(D813*H813/F813)</f>
        <v>325</v>
      </c>
      <c r="J813" s="964" t="s">
        <v>2312</v>
      </c>
    </row>
    <row r="814" spans="1:10" hidden="1">
      <c r="A814" s="1024"/>
      <c r="B814" s="1005"/>
      <c r="C814" s="1042" t="s">
        <v>219</v>
      </c>
      <c r="D814" s="1025">
        <v>0.5</v>
      </c>
      <c r="E814" s="1043" t="s">
        <v>27</v>
      </c>
      <c r="F814" s="1027">
        <v>1</v>
      </c>
      <c r="G814" s="1043" t="s">
        <v>27</v>
      </c>
      <c r="H814" s="1029">
        <f>'MINI SSR 21-22'!$H$17</f>
        <v>530</v>
      </c>
      <c r="I814" s="1030">
        <f>SUM(D814*H814/F814)</f>
        <v>265</v>
      </c>
      <c r="J814" s="964" t="s">
        <v>2312</v>
      </c>
    </row>
    <row r="815" spans="1:10" hidden="1">
      <c r="A815" s="1024"/>
      <c r="B815" s="1005"/>
      <c r="C815" s="1042" t="s">
        <v>700</v>
      </c>
      <c r="D815" s="1025">
        <v>1</v>
      </c>
      <c r="E815" s="1043" t="s">
        <v>27</v>
      </c>
      <c r="F815" s="1027">
        <v>1</v>
      </c>
      <c r="G815" s="1043" t="s">
        <v>27</v>
      </c>
      <c r="H815" s="1029">
        <f>'MINI SSR 21-22'!$H$18</f>
        <v>470</v>
      </c>
      <c r="I815" s="1041">
        <f>SUM(D815*H815/F815)</f>
        <v>470</v>
      </c>
      <c r="J815" s="964" t="s">
        <v>2312</v>
      </c>
    </row>
    <row r="816" spans="1:10" hidden="1">
      <c r="A816" s="1024"/>
      <c r="B816" s="1005"/>
      <c r="C816" s="1031" t="s">
        <v>327</v>
      </c>
      <c r="D816" s="1025"/>
      <c r="E816" s="1043"/>
      <c r="F816" s="1027"/>
      <c r="G816" s="1043"/>
      <c r="H816" s="1029"/>
      <c r="I816" s="1030"/>
      <c r="J816" s="964" t="s">
        <v>2312</v>
      </c>
    </row>
    <row r="817" spans="1:10" ht="22.5" hidden="1">
      <c r="A817" s="1024"/>
      <c r="B817" s="1024"/>
      <c r="C817" s="1031" t="s">
        <v>701</v>
      </c>
      <c r="D817" s="1069">
        <v>1</v>
      </c>
      <c r="E817" s="1026" t="s">
        <v>325</v>
      </c>
      <c r="F817" s="1069">
        <v>1</v>
      </c>
      <c r="G817" s="1026" t="s">
        <v>115</v>
      </c>
      <c r="H817" s="1051">
        <f>'MINI SSR 21-22'!G122</f>
        <v>963</v>
      </c>
      <c r="I817" s="1070">
        <f>SUM(D817*H817/F817)</f>
        <v>963</v>
      </c>
      <c r="J817" s="964" t="s">
        <v>2312</v>
      </c>
    </row>
    <row r="818" spans="1:10" hidden="1">
      <c r="A818" s="1024"/>
      <c r="B818" s="1005"/>
      <c r="C818" s="1052" t="s">
        <v>702</v>
      </c>
      <c r="D818" s="1053">
        <v>1</v>
      </c>
      <c r="E818" s="1028" t="s">
        <v>325</v>
      </c>
      <c r="F818" s="1027">
        <v>1</v>
      </c>
      <c r="G818" s="1028" t="s">
        <v>115</v>
      </c>
      <c r="H818" s="1051">
        <f>'MINI SSR 21-22'!G123</f>
        <v>396</v>
      </c>
      <c r="I818" s="1030">
        <f>SUM(D818*H818/F818)</f>
        <v>396</v>
      </c>
      <c r="J818" s="964" t="s">
        <v>2312</v>
      </c>
    </row>
    <row r="819" spans="1:10" hidden="1">
      <c r="A819" s="1024"/>
      <c r="B819" s="1005"/>
      <c r="C819" s="1052" t="s">
        <v>703</v>
      </c>
      <c r="D819" s="1053">
        <v>4</v>
      </c>
      <c r="E819" s="1028" t="s">
        <v>325</v>
      </c>
      <c r="F819" s="1027">
        <v>1</v>
      </c>
      <c r="G819" s="1028" t="s">
        <v>115</v>
      </c>
      <c r="H819" s="1051">
        <f>'MINI SSR 21-22'!G124</f>
        <v>209</v>
      </c>
      <c r="I819" s="1030">
        <f>SUM(D819*H819/F819)</f>
        <v>836</v>
      </c>
      <c r="J819" s="964" t="s">
        <v>2312</v>
      </c>
    </row>
    <row r="820" spans="1:10" hidden="1">
      <c r="A820" s="1024"/>
      <c r="B820" s="1071"/>
      <c r="C820" s="1036" t="s">
        <v>388</v>
      </c>
      <c r="D820" s="1072"/>
      <c r="E820" s="1073"/>
      <c r="F820" s="1045"/>
      <c r="G820" s="1063"/>
      <c r="H820" s="1064"/>
      <c r="I820" s="1074">
        <f>SUM(I813:I819)</f>
        <v>3255</v>
      </c>
      <c r="J820" s="964" t="s">
        <v>2312</v>
      </c>
    </row>
    <row r="821" spans="1:10" ht="45" hidden="1">
      <c r="A821" s="1051"/>
      <c r="B821" s="1024">
        <v>18</v>
      </c>
      <c r="C821" s="1031" t="s">
        <v>941</v>
      </c>
      <c r="D821" s="1035"/>
      <c r="E821" s="1026"/>
      <c r="F821" s="1035"/>
      <c r="G821" s="1026"/>
      <c r="H821" s="1031"/>
      <c r="I821" s="1031"/>
      <c r="J821" s="964" t="s">
        <v>2312</v>
      </c>
    </row>
    <row r="822" spans="1:10" hidden="1">
      <c r="A822" s="1024"/>
      <c r="B822" s="1005"/>
      <c r="C822" s="1031" t="s">
        <v>327</v>
      </c>
      <c r="D822" s="1025"/>
      <c r="E822" s="1043"/>
      <c r="F822" s="1027"/>
      <c r="G822" s="1043"/>
      <c r="H822" s="1029"/>
      <c r="I822" s="1030"/>
      <c r="J822" s="964" t="s">
        <v>2312</v>
      </c>
    </row>
    <row r="823" spans="1:10" hidden="1">
      <c r="A823" s="1024"/>
      <c r="B823" s="1024"/>
      <c r="C823" s="1031" t="s">
        <v>942</v>
      </c>
      <c r="D823" s="1069">
        <v>2</v>
      </c>
      <c r="E823" s="1026" t="s">
        <v>325</v>
      </c>
      <c r="F823" s="1069">
        <v>1</v>
      </c>
      <c r="G823" s="1026" t="s">
        <v>115</v>
      </c>
      <c r="H823" s="1051">
        <f>'MINI SSR 21-22'!G125</f>
        <v>110</v>
      </c>
      <c r="I823" s="1070">
        <f>SUM(D823*H823/F823)</f>
        <v>220</v>
      </c>
      <c r="J823" s="964" t="s">
        <v>2312</v>
      </c>
    </row>
    <row r="824" spans="1:10" hidden="1">
      <c r="A824" s="1024"/>
      <c r="B824" s="1005"/>
      <c r="C824" s="1052" t="s">
        <v>943</v>
      </c>
      <c r="D824" s="1053">
        <v>4</v>
      </c>
      <c r="E824" s="1028" t="s">
        <v>277</v>
      </c>
      <c r="F824" s="1027">
        <v>1</v>
      </c>
      <c r="G824" s="1028" t="s">
        <v>115</v>
      </c>
      <c r="H824" s="1029">
        <f>'MINI SSR 21-22'!G126/100</f>
        <v>58.65</v>
      </c>
      <c r="I824" s="1030">
        <f>SUM(D824*H824/F824)</f>
        <v>234.6</v>
      </c>
      <c r="J824" s="964" t="s">
        <v>2312</v>
      </c>
    </row>
    <row r="825" spans="1:10" hidden="1">
      <c r="A825" s="1024"/>
      <c r="B825" s="1005"/>
      <c r="C825" s="1052" t="s">
        <v>944</v>
      </c>
      <c r="D825" s="1053">
        <v>1</v>
      </c>
      <c r="E825" s="1028" t="s">
        <v>325</v>
      </c>
      <c r="F825" s="1027">
        <v>1</v>
      </c>
      <c r="G825" s="1028" t="s">
        <v>115</v>
      </c>
      <c r="H825" s="1029">
        <f>'MINI SSR 21-22'!G127</f>
        <v>209</v>
      </c>
      <c r="I825" s="1030">
        <f>SUM(D825*H825/F825)</f>
        <v>209</v>
      </c>
      <c r="J825" s="964" t="s">
        <v>2312</v>
      </c>
    </row>
    <row r="826" spans="1:10" hidden="1">
      <c r="A826" s="1024"/>
      <c r="B826" s="1005"/>
      <c r="C826" s="1031" t="s">
        <v>409</v>
      </c>
      <c r="D826" s="1025"/>
      <c r="E826" s="1028"/>
      <c r="F826" s="1027"/>
      <c r="G826" s="1028"/>
      <c r="H826" s="1029"/>
      <c r="I826" s="1030"/>
      <c r="J826" s="964" t="s">
        <v>2312</v>
      </c>
    </row>
    <row r="827" spans="1:10" hidden="1">
      <c r="A827" s="1024"/>
      <c r="B827" s="1005"/>
      <c r="C827" s="1042" t="s">
        <v>699</v>
      </c>
      <c r="D827" s="1025">
        <v>0.2</v>
      </c>
      <c r="E827" s="1043" t="s">
        <v>27</v>
      </c>
      <c r="F827" s="1027">
        <v>1</v>
      </c>
      <c r="G827" s="1043" t="s">
        <v>27</v>
      </c>
      <c r="H827" s="1029">
        <f>'MINI SSR 21-22'!$H$16</f>
        <v>650</v>
      </c>
      <c r="I827" s="1030">
        <f>SUM(D827*H827/F827)</f>
        <v>130</v>
      </c>
      <c r="J827" s="964" t="s">
        <v>2312</v>
      </c>
    </row>
    <row r="828" spans="1:10" hidden="1">
      <c r="A828" s="1024"/>
      <c r="B828" s="1005"/>
      <c r="C828" s="1042" t="s">
        <v>219</v>
      </c>
      <c r="D828" s="1025">
        <v>0.2</v>
      </c>
      <c r="E828" s="1043" t="s">
        <v>27</v>
      </c>
      <c r="F828" s="1027">
        <v>1</v>
      </c>
      <c r="G828" s="1043" t="s">
        <v>27</v>
      </c>
      <c r="H828" s="1029">
        <f>'MINI SSR 21-22'!$H$17</f>
        <v>530</v>
      </c>
      <c r="I828" s="1030">
        <f>SUM(D828*H828/F828)</f>
        <v>106</v>
      </c>
      <c r="J828" s="964" t="s">
        <v>2312</v>
      </c>
    </row>
    <row r="829" spans="1:10" hidden="1">
      <c r="A829" s="1024"/>
      <c r="B829" s="1005"/>
      <c r="C829" s="1042" t="s">
        <v>700</v>
      </c>
      <c r="D829" s="1025">
        <v>0.2</v>
      </c>
      <c r="E829" s="1043" t="s">
        <v>27</v>
      </c>
      <c r="F829" s="1027">
        <v>1</v>
      </c>
      <c r="G829" s="1043" t="s">
        <v>27</v>
      </c>
      <c r="H829" s="1029">
        <f>'MINI SSR 21-22'!$H$17</f>
        <v>530</v>
      </c>
      <c r="I829" s="1041">
        <f>SUM(D829*H829/F829)</f>
        <v>106</v>
      </c>
      <c r="J829" s="964" t="s">
        <v>2312</v>
      </c>
    </row>
    <row r="830" spans="1:10" hidden="1">
      <c r="A830" s="1024"/>
      <c r="B830" s="1071"/>
      <c r="C830" s="1036" t="s">
        <v>388</v>
      </c>
      <c r="D830" s="1072"/>
      <c r="E830" s="1073"/>
      <c r="F830" s="1045"/>
      <c r="G830" s="1063"/>
      <c r="H830" s="1064"/>
      <c r="I830" s="1074">
        <f>SUM(I823:I829)</f>
        <v>1005.6</v>
      </c>
      <c r="J830" s="964" t="s">
        <v>2312</v>
      </c>
    </row>
    <row r="831" spans="1:10" ht="78.75" hidden="1">
      <c r="A831" s="1051" t="s">
        <v>728</v>
      </c>
      <c r="B831" s="1005">
        <v>19</v>
      </c>
      <c r="C831" s="1031" t="s">
        <v>413</v>
      </c>
      <c r="D831" s="1035"/>
      <c r="E831" s="1026"/>
      <c r="F831" s="1035"/>
      <c r="G831" s="1026"/>
      <c r="H831" s="1031"/>
      <c r="I831" s="1031"/>
      <c r="J831" s="964" t="s">
        <v>2312</v>
      </c>
    </row>
    <row r="832" spans="1:10" hidden="1">
      <c r="A832" s="1005"/>
      <c r="B832" s="1005"/>
      <c r="C832" s="1066" t="s">
        <v>414</v>
      </c>
      <c r="D832" s="1075"/>
      <c r="E832" s="1076"/>
      <c r="F832" s="1027"/>
      <c r="G832" s="1076"/>
      <c r="H832" s="1029"/>
      <c r="I832" s="1030"/>
      <c r="J832" s="964" t="s">
        <v>2312</v>
      </c>
    </row>
    <row r="833" spans="1:10" hidden="1">
      <c r="A833" s="1005"/>
      <c r="B833" s="1005"/>
      <c r="C833" s="1042" t="s">
        <v>1657</v>
      </c>
      <c r="D833" s="1025">
        <v>0.5</v>
      </c>
      <c r="E833" s="1028" t="s">
        <v>325</v>
      </c>
      <c r="F833" s="1027">
        <v>1</v>
      </c>
      <c r="G833" s="1028" t="s">
        <v>115</v>
      </c>
      <c r="H833" s="1029">
        <f>'MINI SSR 21-22'!$H$17</f>
        <v>530</v>
      </c>
      <c r="I833" s="1030">
        <f>SUM(D833*H833/F833)</f>
        <v>265</v>
      </c>
      <c r="J833" s="964" t="s">
        <v>2312</v>
      </c>
    </row>
    <row r="834" spans="1:10" hidden="1">
      <c r="A834" s="1005"/>
      <c r="B834" s="1005"/>
      <c r="C834" s="1042" t="s">
        <v>700</v>
      </c>
      <c r="D834" s="1025">
        <v>0.5</v>
      </c>
      <c r="E834" s="1043" t="s">
        <v>27</v>
      </c>
      <c r="F834" s="1027">
        <v>1</v>
      </c>
      <c r="G834" s="1043" t="s">
        <v>27</v>
      </c>
      <c r="H834" s="1029">
        <f>'MINI SSR 21-22'!$H$18</f>
        <v>470</v>
      </c>
      <c r="I834" s="1041">
        <f>SUM(D834*H834/F834)</f>
        <v>235</v>
      </c>
      <c r="J834" s="964" t="s">
        <v>2312</v>
      </c>
    </row>
    <row r="835" spans="1:10" hidden="1">
      <c r="A835" s="1005"/>
      <c r="B835" s="1005"/>
      <c r="C835" s="1031" t="s">
        <v>106</v>
      </c>
      <c r="D835" s="1025"/>
      <c r="E835" s="1028"/>
      <c r="F835" s="1027"/>
      <c r="G835" s="1028"/>
      <c r="H835" s="1029"/>
      <c r="I835" s="1030"/>
      <c r="J835" s="964" t="s">
        <v>2312</v>
      </c>
    </row>
    <row r="836" spans="1:10" hidden="1">
      <c r="A836" s="1005"/>
      <c r="B836" s="1005"/>
      <c r="C836" s="1042" t="s">
        <v>729</v>
      </c>
      <c r="D836" s="1025">
        <v>2.5</v>
      </c>
      <c r="E836" s="1076" t="s">
        <v>385</v>
      </c>
      <c r="F836" s="1027">
        <v>1</v>
      </c>
      <c r="G836" s="1076" t="s">
        <v>385</v>
      </c>
      <c r="H836" s="1029">
        <f>'MINI SSR 21-22'!G128</f>
        <v>385</v>
      </c>
      <c r="I836" s="1030">
        <f t="shared" ref="I836:I846" si="4">SUM(D836*H836/F836)</f>
        <v>962.5</v>
      </c>
      <c r="J836" s="964" t="s">
        <v>2312</v>
      </c>
    </row>
    <row r="837" spans="1:10" hidden="1">
      <c r="A837" s="1005"/>
      <c r="B837" s="1005"/>
      <c r="C837" s="1031" t="s">
        <v>730</v>
      </c>
      <c r="D837" s="1025">
        <v>0.24</v>
      </c>
      <c r="E837" s="1076" t="s">
        <v>141</v>
      </c>
      <c r="F837" s="1027">
        <v>1</v>
      </c>
      <c r="G837" s="1076" t="s">
        <v>4</v>
      </c>
      <c r="H837" s="1029">
        <f>'MINI SSR 21-22'!G129</f>
        <v>72</v>
      </c>
      <c r="I837" s="1030">
        <f t="shared" si="4"/>
        <v>17.28</v>
      </c>
      <c r="J837" s="964" t="s">
        <v>2312</v>
      </c>
    </row>
    <row r="838" spans="1:10" hidden="1">
      <c r="A838" s="1005"/>
      <c r="B838" s="1005"/>
      <c r="C838" s="1031" t="s">
        <v>731</v>
      </c>
      <c r="D838" s="1025">
        <v>0.83</v>
      </c>
      <c r="E838" s="1076" t="s">
        <v>141</v>
      </c>
      <c r="F838" s="1027">
        <v>1</v>
      </c>
      <c r="G838" s="1076" t="s">
        <v>90</v>
      </c>
      <c r="H838" s="1029">
        <f>'MINI SSR 21-22'!G130</f>
        <v>72</v>
      </c>
      <c r="I838" s="1030">
        <f t="shared" si="4"/>
        <v>59.76</v>
      </c>
      <c r="J838" s="964" t="s">
        <v>2312</v>
      </c>
    </row>
    <row r="839" spans="1:10" hidden="1">
      <c r="A839" s="1005"/>
      <c r="B839" s="1005"/>
      <c r="C839" s="1042" t="s">
        <v>732</v>
      </c>
      <c r="D839" s="1025">
        <v>16</v>
      </c>
      <c r="E839" s="1076" t="s">
        <v>325</v>
      </c>
      <c r="F839" s="1027">
        <v>1</v>
      </c>
      <c r="G839" s="1028" t="s">
        <v>115</v>
      </c>
      <c r="H839" s="1029">
        <f>'MINI SSR 21-22'!G131</f>
        <v>7</v>
      </c>
      <c r="I839" s="1030">
        <f t="shared" si="4"/>
        <v>112</v>
      </c>
      <c r="J839" s="964" t="s">
        <v>2312</v>
      </c>
    </row>
    <row r="840" spans="1:10" hidden="1">
      <c r="A840" s="1005"/>
      <c r="B840" s="1005"/>
      <c r="C840" s="1042" t="s">
        <v>733</v>
      </c>
      <c r="D840" s="1025">
        <v>2</v>
      </c>
      <c r="E840" s="1076" t="s">
        <v>415</v>
      </c>
      <c r="F840" s="1027">
        <v>1</v>
      </c>
      <c r="G840" s="1076" t="s">
        <v>416</v>
      </c>
      <c r="H840" s="1029">
        <f>'MINI SSR 21-22'!G132</f>
        <v>13</v>
      </c>
      <c r="I840" s="1030">
        <f t="shared" si="4"/>
        <v>26</v>
      </c>
      <c r="J840" s="964" t="s">
        <v>2312</v>
      </c>
    </row>
    <row r="841" spans="1:10" hidden="1">
      <c r="A841" s="1005"/>
      <c r="B841" s="1005"/>
      <c r="C841" s="1042" t="s">
        <v>734</v>
      </c>
      <c r="D841" s="1025">
        <v>1</v>
      </c>
      <c r="E841" s="1028" t="s">
        <v>115</v>
      </c>
      <c r="F841" s="1027">
        <v>1</v>
      </c>
      <c r="G841" s="1028" t="s">
        <v>115</v>
      </c>
      <c r="H841" s="1029">
        <f>'MINI SSR 21-22'!G133</f>
        <v>275</v>
      </c>
      <c r="I841" s="1030">
        <f t="shared" si="4"/>
        <v>275</v>
      </c>
      <c r="J841" s="964" t="s">
        <v>2312</v>
      </c>
    </row>
    <row r="842" spans="1:10" hidden="1">
      <c r="A842" s="1005"/>
      <c r="B842" s="1005"/>
      <c r="C842" s="1042" t="s">
        <v>735</v>
      </c>
      <c r="D842" s="1025">
        <v>1</v>
      </c>
      <c r="E842" s="1076" t="s">
        <v>115</v>
      </c>
      <c r="F842" s="1027">
        <v>1</v>
      </c>
      <c r="G842" s="1076" t="s">
        <v>115</v>
      </c>
      <c r="H842" s="1029">
        <f>'MINI SSR 21-22'!G134</f>
        <v>143</v>
      </c>
      <c r="I842" s="1030">
        <f t="shared" si="4"/>
        <v>143</v>
      </c>
      <c r="J842" s="964" t="s">
        <v>2312</v>
      </c>
    </row>
    <row r="843" spans="1:10" hidden="1">
      <c r="A843" s="1005"/>
      <c r="B843" s="1005"/>
      <c r="C843" s="1042" t="s">
        <v>736</v>
      </c>
      <c r="D843" s="1025">
        <v>40</v>
      </c>
      <c r="E843" s="1076" t="s">
        <v>4</v>
      </c>
      <c r="F843" s="1027">
        <v>1</v>
      </c>
      <c r="G843" s="1076" t="s">
        <v>4</v>
      </c>
      <c r="H843" s="1029">
        <f>'MINI SSR 21-22'!G135</f>
        <v>22</v>
      </c>
      <c r="I843" s="1030">
        <f t="shared" si="4"/>
        <v>880</v>
      </c>
      <c r="J843" s="964" t="s">
        <v>2312</v>
      </c>
    </row>
    <row r="844" spans="1:10" hidden="1">
      <c r="A844" s="1005"/>
      <c r="B844" s="1005"/>
      <c r="C844" s="1042" t="s">
        <v>737</v>
      </c>
      <c r="D844" s="1025">
        <v>20</v>
      </c>
      <c r="E844" s="1076" t="s">
        <v>4</v>
      </c>
      <c r="F844" s="1027">
        <v>1</v>
      </c>
      <c r="G844" s="1076" t="s">
        <v>4</v>
      </c>
      <c r="H844" s="1029">
        <f>'MINI SSR 21-22'!G136</f>
        <v>17</v>
      </c>
      <c r="I844" s="1030">
        <f t="shared" si="4"/>
        <v>340</v>
      </c>
      <c r="J844" s="964" t="s">
        <v>2312</v>
      </c>
    </row>
    <row r="845" spans="1:10" ht="22.5" hidden="1">
      <c r="A845" s="1005"/>
      <c r="B845" s="1005"/>
      <c r="C845" s="1031" t="s">
        <v>738</v>
      </c>
      <c r="D845" s="1025">
        <v>0.65</v>
      </c>
      <c r="E845" s="1028" t="s">
        <v>35</v>
      </c>
      <c r="F845" s="1027">
        <v>1</v>
      </c>
      <c r="G845" s="1028" t="s">
        <v>35</v>
      </c>
      <c r="H845" s="1029">
        <f>'MINI SSR 21-22'!G137</f>
        <v>275</v>
      </c>
      <c r="I845" s="1030">
        <f t="shared" si="4"/>
        <v>178.75</v>
      </c>
      <c r="J845" s="964" t="s">
        <v>2312</v>
      </c>
    </row>
    <row r="846" spans="1:10" ht="22.5" hidden="1">
      <c r="A846" s="1005"/>
      <c r="B846" s="1005"/>
      <c r="C846" s="1031" t="s">
        <v>739</v>
      </c>
      <c r="D846" s="1025">
        <v>0.65</v>
      </c>
      <c r="E846" s="1028" t="s">
        <v>35</v>
      </c>
      <c r="F846" s="1027">
        <v>1</v>
      </c>
      <c r="G846" s="1028" t="s">
        <v>35</v>
      </c>
      <c r="H846" s="1029">
        <f>'MINI SSR 21-22'!G138</f>
        <v>275</v>
      </c>
      <c r="I846" s="1030">
        <f t="shared" si="4"/>
        <v>178.75</v>
      </c>
      <c r="J846" s="964" t="s">
        <v>2312</v>
      </c>
    </row>
    <row r="847" spans="1:10" ht="22.5" hidden="1">
      <c r="A847" s="1005"/>
      <c r="B847" s="1005"/>
      <c r="C847" s="1031" t="s">
        <v>417</v>
      </c>
      <c r="D847" s="1077">
        <v>0.25</v>
      </c>
      <c r="E847" s="1076"/>
      <c r="F847" s="1027"/>
      <c r="G847" s="1076"/>
      <c r="H847" s="1029">
        <f>I845+I846</f>
        <v>357.5</v>
      </c>
      <c r="I847" s="1030">
        <f>SUM(H847*D847)</f>
        <v>89.375</v>
      </c>
      <c r="J847" s="964" t="s">
        <v>2312</v>
      </c>
    </row>
    <row r="848" spans="1:10" hidden="1">
      <c r="A848" s="1005"/>
      <c r="B848" s="1005"/>
      <c r="C848" s="1031" t="s">
        <v>418</v>
      </c>
      <c r="D848" s="1025"/>
      <c r="E848" s="1028"/>
      <c r="F848" s="1027"/>
      <c r="G848" s="1028"/>
      <c r="H848" s="1029"/>
      <c r="I848" s="1030">
        <v>9.52</v>
      </c>
      <c r="J848" s="964" t="s">
        <v>2312</v>
      </c>
    </row>
    <row r="849" spans="1:10" hidden="1">
      <c r="A849" s="1005"/>
      <c r="B849" s="1005"/>
      <c r="C849" s="1031" t="s">
        <v>405</v>
      </c>
      <c r="D849" s="1025"/>
      <c r="E849" s="1028"/>
      <c r="F849" s="1027"/>
      <c r="G849" s="1028"/>
      <c r="H849" s="1029"/>
      <c r="I849" s="1030">
        <f>SUM(I833:I848)</f>
        <v>3771.9349999999999</v>
      </c>
      <c r="J849" s="964" t="s">
        <v>2312</v>
      </c>
    </row>
    <row r="850" spans="1:10" ht="106.5" hidden="1" customHeight="1">
      <c r="A850" s="1051"/>
      <c r="B850" s="1024">
        <v>28</v>
      </c>
      <c r="C850" s="1031" t="s">
        <v>2252</v>
      </c>
      <c r="D850" s="1035"/>
      <c r="E850" s="1026"/>
      <c r="F850" s="1035"/>
      <c r="G850" s="1026"/>
      <c r="H850" s="1031"/>
      <c r="I850" s="1031"/>
      <c r="J850" s="964" t="s">
        <v>2312</v>
      </c>
    </row>
    <row r="851" spans="1:10" hidden="1">
      <c r="A851" s="1024"/>
      <c r="B851" s="1005"/>
      <c r="C851" s="1042" t="s">
        <v>2089</v>
      </c>
      <c r="D851" s="1025">
        <v>1</v>
      </c>
      <c r="E851" s="1043" t="s">
        <v>115</v>
      </c>
      <c r="F851" s="1027">
        <v>1</v>
      </c>
      <c r="G851" s="1043" t="s">
        <v>115</v>
      </c>
      <c r="H851" s="1029">
        <f>'MINI SSR 21-22'!G139</f>
        <v>1822</v>
      </c>
      <c r="I851" s="1030">
        <f>SUM(D851*H851/F851)</f>
        <v>1822</v>
      </c>
      <c r="J851" s="964" t="s">
        <v>2312</v>
      </c>
    </row>
    <row r="852" spans="1:10" hidden="1">
      <c r="A852" s="1024"/>
      <c r="B852" s="1005"/>
      <c r="C852" s="1031" t="s">
        <v>405</v>
      </c>
      <c r="D852" s="1025"/>
      <c r="E852" s="1026"/>
      <c r="F852" s="1027"/>
      <c r="G852" s="1028"/>
      <c r="H852" s="1029"/>
      <c r="I852" s="1030">
        <f>SUM(I851:I851)</f>
        <v>1822</v>
      </c>
      <c r="J852" s="964" t="s">
        <v>2312</v>
      </c>
    </row>
    <row r="853" spans="1:10" ht="106.5" hidden="1" customHeight="1">
      <c r="A853" s="1051"/>
      <c r="B853" s="1024">
        <v>28</v>
      </c>
      <c r="C853" s="1031" t="s">
        <v>2253</v>
      </c>
      <c r="D853" s="1035"/>
      <c r="E853" s="1026"/>
      <c r="F853" s="1035"/>
      <c r="G853" s="1026"/>
      <c r="H853" s="1031"/>
      <c r="I853" s="1031"/>
      <c r="J853" s="964" t="s">
        <v>2312</v>
      </c>
    </row>
    <row r="854" spans="1:10" hidden="1">
      <c r="A854" s="1024"/>
      <c r="B854" s="1005"/>
      <c r="C854" s="1042" t="s">
        <v>2260</v>
      </c>
      <c r="D854" s="1025">
        <v>1</v>
      </c>
      <c r="E854" s="1043" t="s">
        <v>115</v>
      </c>
      <c r="F854" s="1027">
        <v>1</v>
      </c>
      <c r="G854" s="1043" t="s">
        <v>115</v>
      </c>
      <c r="H854" s="1029">
        <f>'MINI SSR 21-22'!G140</f>
        <v>5428</v>
      </c>
      <c r="I854" s="1030">
        <f>SUM(D854*H854/F854)</f>
        <v>5428</v>
      </c>
      <c r="J854" s="964" t="s">
        <v>2312</v>
      </c>
    </row>
    <row r="855" spans="1:10" hidden="1">
      <c r="A855" s="1024"/>
      <c r="B855" s="1005"/>
      <c r="C855" s="1031" t="s">
        <v>405</v>
      </c>
      <c r="D855" s="1025"/>
      <c r="E855" s="1026"/>
      <c r="F855" s="1027"/>
      <c r="G855" s="1028"/>
      <c r="H855" s="1029"/>
      <c r="I855" s="1030">
        <f>SUM(I854:I854)</f>
        <v>5428</v>
      </c>
      <c r="J855" s="964" t="s">
        <v>2312</v>
      </c>
    </row>
    <row r="856" spans="1:10" hidden="1">
      <c r="A856" s="1024"/>
      <c r="B856" s="1005"/>
      <c r="C856" s="1005" t="s">
        <v>2311</v>
      </c>
      <c r="D856" s="1025"/>
      <c r="E856" s="1026"/>
      <c r="F856" s="1027"/>
      <c r="G856" s="1028"/>
      <c r="H856" s="1029"/>
      <c r="I856" s="1030"/>
      <c r="J856" s="964" t="s">
        <v>2313</v>
      </c>
    </row>
    <row r="857" spans="1:10" ht="33.75" hidden="1">
      <c r="A857" s="1029" t="s">
        <v>1495</v>
      </c>
      <c r="B857" s="1005">
        <v>1</v>
      </c>
      <c r="C857" s="1031" t="s">
        <v>1504</v>
      </c>
      <c r="D857" s="1032"/>
      <c r="E857" s="1033"/>
      <c r="F857" s="1032"/>
      <c r="G857" s="1033"/>
      <c r="H857" s="1034"/>
      <c r="I857" s="1034"/>
      <c r="J857" s="964" t="s">
        <v>2313</v>
      </c>
    </row>
    <row r="858" spans="1:10" hidden="1">
      <c r="A858" s="1024"/>
      <c r="B858" s="1005"/>
      <c r="C858" s="1031" t="s">
        <v>1496</v>
      </c>
      <c r="D858" s="1035"/>
      <c r="E858" s="1026"/>
      <c r="F858" s="1035"/>
      <c r="G858" s="1026"/>
      <c r="H858" s="1031"/>
      <c r="I858" s="1031"/>
      <c r="J858" s="964" t="s">
        <v>2313</v>
      </c>
    </row>
    <row r="859" spans="1:10" hidden="1">
      <c r="A859" s="1024"/>
      <c r="B859" s="1005"/>
      <c r="C859" s="1036" t="s">
        <v>384</v>
      </c>
      <c r="D859" s="1037"/>
      <c r="E859" s="1038"/>
      <c r="F859" s="1039"/>
      <c r="G859" s="1040"/>
      <c r="H859" s="1029"/>
      <c r="I859" s="1041"/>
      <c r="J859" s="964" t="s">
        <v>2313</v>
      </c>
    </row>
    <row r="860" spans="1:10" hidden="1">
      <c r="A860" s="1024"/>
      <c r="B860" s="1005"/>
      <c r="C860" s="1042" t="s">
        <v>156</v>
      </c>
      <c r="D860" s="1025">
        <v>2</v>
      </c>
      <c r="E860" s="1043" t="s">
        <v>27</v>
      </c>
      <c r="F860" s="1027">
        <v>1</v>
      </c>
      <c r="G860" s="1043" t="s">
        <v>27</v>
      </c>
      <c r="H860" s="1029">
        <f>'MINI SSR 2022-23'!$H$16</f>
        <v>700</v>
      </c>
      <c r="I860" s="1041">
        <f>SUM(D860*H860/F860)</f>
        <v>1400</v>
      </c>
      <c r="J860" s="964" t="s">
        <v>2313</v>
      </c>
    </row>
    <row r="861" spans="1:10" hidden="1">
      <c r="A861" s="1024"/>
      <c r="B861" s="1005"/>
      <c r="C861" s="1044" t="s">
        <v>1499</v>
      </c>
      <c r="D861" s="1025">
        <v>2</v>
      </c>
      <c r="E861" s="1043" t="s">
        <v>27</v>
      </c>
      <c r="F861" s="1027">
        <v>1</v>
      </c>
      <c r="G861" s="1043" t="s">
        <v>27</v>
      </c>
      <c r="H861" s="1029">
        <f>'MINI SSR 2022-23'!$H$17</f>
        <v>570</v>
      </c>
      <c r="I861" s="1041">
        <f>SUM(D861*H861/F861)</f>
        <v>1140</v>
      </c>
      <c r="J861" s="964" t="s">
        <v>2313</v>
      </c>
    </row>
    <row r="862" spans="1:10" hidden="1">
      <c r="A862" s="1024"/>
      <c r="B862" s="1005"/>
      <c r="C862" s="1042" t="s">
        <v>1500</v>
      </c>
      <c r="D862" s="1025">
        <v>2</v>
      </c>
      <c r="E862" s="1043" t="s">
        <v>27</v>
      </c>
      <c r="F862" s="1027">
        <v>1</v>
      </c>
      <c r="G862" s="1043" t="s">
        <v>27</v>
      </c>
      <c r="H862" s="1029">
        <f>'MINI SSR 2022-23'!$H$18</f>
        <v>505</v>
      </c>
      <c r="I862" s="1041">
        <f>SUM(D862*H862/F862)</f>
        <v>1010</v>
      </c>
      <c r="J862" s="964" t="s">
        <v>2313</v>
      </c>
    </row>
    <row r="863" spans="1:10" hidden="1">
      <c r="A863" s="1024"/>
      <c r="B863" s="1005"/>
      <c r="C863" s="1036" t="s">
        <v>327</v>
      </c>
      <c r="D863" s="1025"/>
      <c r="E863" s="1028"/>
      <c r="F863" s="1045"/>
      <c r="G863" s="1028"/>
      <c r="H863" s="1029"/>
      <c r="I863" s="1046"/>
      <c r="J863" s="964" t="s">
        <v>2313</v>
      </c>
    </row>
    <row r="864" spans="1:10" hidden="1">
      <c r="A864" s="1024" t="s">
        <v>3166</v>
      </c>
      <c r="B864" s="1005"/>
      <c r="C864" s="1031" t="s">
        <v>1497</v>
      </c>
      <c r="D864" s="1025">
        <v>12</v>
      </c>
      <c r="E864" s="1043" t="s">
        <v>325</v>
      </c>
      <c r="F864" s="1027">
        <v>1</v>
      </c>
      <c r="G864" s="1043" t="s">
        <v>115</v>
      </c>
      <c r="H864" s="1029">
        <f>'MINI SSR 2022-23'!C99</f>
        <v>78</v>
      </c>
      <c r="I864" s="1041">
        <f>SUM(D864*H864/F864)</f>
        <v>936</v>
      </c>
      <c r="J864" s="964" t="s">
        <v>2313</v>
      </c>
    </row>
    <row r="865" spans="1:10" hidden="1">
      <c r="A865" s="1024" t="s">
        <v>1502</v>
      </c>
      <c r="B865" s="1005"/>
      <c r="C865" s="1031" t="s">
        <v>1498</v>
      </c>
      <c r="D865" s="1025">
        <v>12</v>
      </c>
      <c r="E865" s="1043" t="s">
        <v>325</v>
      </c>
      <c r="F865" s="1027">
        <v>1</v>
      </c>
      <c r="G865" s="1043" t="s">
        <v>115</v>
      </c>
      <c r="H865" s="1029">
        <f>'MINI SSR 2022-23'!C101</f>
        <v>11</v>
      </c>
      <c r="I865" s="1041">
        <f>SUM(D865*H865/F865)</f>
        <v>132</v>
      </c>
      <c r="J865" s="964" t="s">
        <v>2313</v>
      </c>
    </row>
    <row r="866" spans="1:10" hidden="1">
      <c r="A866" s="1024" t="s">
        <v>1503</v>
      </c>
      <c r="B866" s="1005"/>
      <c r="C866" s="1031" t="s">
        <v>1507</v>
      </c>
      <c r="D866" s="1025">
        <v>100</v>
      </c>
      <c r="E866" s="1043" t="s">
        <v>385</v>
      </c>
      <c r="F866" s="1027">
        <v>1</v>
      </c>
      <c r="G866" s="1043" t="s">
        <v>385</v>
      </c>
      <c r="H866" s="1029">
        <f>'MINI SSR 2022-23'!C102</f>
        <v>34</v>
      </c>
      <c r="I866" s="1041">
        <f>SUM(D866*H866/F866)</f>
        <v>3400</v>
      </c>
      <c r="J866" s="964" t="s">
        <v>2313</v>
      </c>
    </row>
    <row r="867" spans="1:10" hidden="1">
      <c r="A867" s="1047"/>
      <c r="B867" s="1048"/>
      <c r="C867" s="1034" t="s">
        <v>386</v>
      </c>
      <c r="D867" s="1025"/>
      <c r="E867" s="1043"/>
      <c r="F867" s="1027"/>
      <c r="G867" s="1043"/>
      <c r="H867" s="1029"/>
      <c r="I867" s="1046">
        <f>SUM(I860:I866)</f>
        <v>8018</v>
      </c>
      <c r="J867" s="964" t="s">
        <v>2313</v>
      </c>
    </row>
    <row r="868" spans="1:10" hidden="1">
      <c r="A868" s="1047"/>
      <c r="B868" s="1048"/>
      <c r="C868" s="1034" t="s">
        <v>387</v>
      </c>
      <c r="D868" s="1049"/>
      <c r="E868" s="1043"/>
      <c r="F868" s="1027"/>
      <c r="G868" s="1043"/>
      <c r="H868" s="1050"/>
      <c r="I868" s="1046">
        <f>ROUND(I867/100,2)</f>
        <v>80.180000000000007</v>
      </c>
      <c r="J868" s="964" t="s">
        <v>2313</v>
      </c>
    </row>
    <row r="869" spans="1:10" ht="33.75" hidden="1">
      <c r="A869" s="1029" t="s">
        <v>1655</v>
      </c>
      <c r="B869" s="1005">
        <v>2</v>
      </c>
      <c r="C869" s="1031" t="s">
        <v>1508</v>
      </c>
      <c r="D869" s="1032"/>
      <c r="E869" s="1033"/>
      <c r="F869" s="1032"/>
      <c r="G869" s="1033"/>
      <c r="H869" s="1034"/>
      <c r="I869" s="1034"/>
      <c r="J869" s="964" t="s">
        <v>2313</v>
      </c>
    </row>
    <row r="870" spans="1:10" hidden="1">
      <c r="A870" s="1024"/>
      <c r="B870" s="1005"/>
      <c r="C870" s="1031" t="s">
        <v>1496</v>
      </c>
      <c r="D870" s="1035"/>
      <c r="E870" s="1026"/>
      <c r="F870" s="1035"/>
      <c r="G870" s="1026"/>
      <c r="H870" s="1031"/>
      <c r="I870" s="1031"/>
      <c r="J870" s="964" t="s">
        <v>2313</v>
      </c>
    </row>
    <row r="871" spans="1:10" hidden="1">
      <c r="A871" s="1024"/>
      <c r="B871" s="1005"/>
      <c r="C871" s="1036" t="s">
        <v>384</v>
      </c>
      <c r="D871" s="1037"/>
      <c r="E871" s="1038"/>
      <c r="F871" s="1039"/>
      <c r="G871" s="1040"/>
      <c r="H871" s="1029"/>
      <c r="I871" s="1041"/>
      <c r="J871" s="964" t="s">
        <v>2313</v>
      </c>
    </row>
    <row r="872" spans="1:10" hidden="1">
      <c r="A872" s="1024"/>
      <c r="B872" s="1005"/>
      <c r="C872" s="1042" t="s">
        <v>156</v>
      </c>
      <c r="D872" s="1025">
        <v>2</v>
      </c>
      <c r="E872" s="1043" t="s">
        <v>27</v>
      </c>
      <c r="F872" s="1027">
        <v>1</v>
      </c>
      <c r="G872" s="1043" t="s">
        <v>27</v>
      </c>
      <c r="H872" s="1029">
        <f>'MINI SSR 2022-23'!$H$16</f>
        <v>700</v>
      </c>
      <c r="I872" s="1041">
        <f>SUM(D872*H872/F872)</f>
        <v>1400</v>
      </c>
      <c r="J872" s="964" t="s">
        <v>2313</v>
      </c>
    </row>
    <row r="873" spans="1:10" hidden="1">
      <c r="A873" s="1024"/>
      <c r="B873" s="1005"/>
      <c r="C873" s="1044" t="s">
        <v>1499</v>
      </c>
      <c r="D873" s="1025">
        <v>2</v>
      </c>
      <c r="E873" s="1043" t="s">
        <v>27</v>
      </c>
      <c r="F873" s="1027">
        <v>1</v>
      </c>
      <c r="G873" s="1043" t="s">
        <v>27</v>
      </c>
      <c r="H873" s="1029">
        <f>'MINI SSR 2022-23'!$H$17</f>
        <v>570</v>
      </c>
      <c r="I873" s="1041">
        <f>SUM(D873*H873/F873)</f>
        <v>1140</v>
      </c>
      <c r="J873" s="964" t="s">
        <v>2313</v>
      </c>
    </row>
    <row r="874" spans="1:10" hidden="1">
      <c r="A874" s="1024"/>
      <c r="B874" s="1005"/>
      <c r="C874" s="1042" t="s">
        <v>1500</v>
      </c>
      <c r="D874" s="1025">
        <v>2</v>
      </c>
      <c r="E874" s="1043" t="s">
        <v>27</v>
      </c>
      <c r="F874" s="1027">
        <v>1</v>
      </c>
      <c r="G874" s="1043" t="s">
        <v>27</v>
      </c>
      <c r="H874" s="1029">
        <f>'MINI SSR 2022-23'!$H$18</f>
        <v>505</v>
      </c>
      <c r="I874" s="1041">
        <f>SUM(D874*H874/F874)</f>
        <v>1010</v>
      </c>
      <c r="J874" s="964" t="s">
        <v>2313</v>
      </c>
    </row>
    <row r="875" spans="1:10" hidden="1">
      <c r="A875" s="1024"/>
      <c r="B875" s="1005"/>
      <c r="C875" s="1042" t="s">
        <v>1506</v>
      </c>
      <c r="D875" s="1025">
        <v>2</v>
      </c>
      <c r="E875" s="1043" t="s">
        <v>27</v>
      </c>
      <c r="F875" s="1027">
        <v>1</v>
      </c>
      <c r="G875" s="1043" t="s">
        <v>27</v>
      </c>
      <c r="H875" s="1029">
        <f>'MINI SSR 2022-23'!$H$3</f>
        <v>630</v>
      </c>
      <c r="I875" s="1041">
        <f>SUM(D875*H875/F875)</f>
        <v>1260</v>
      </c>
      <c r="J875" s="964" t="s">
        <v>2313</v>
      </c>
    </row>
    <row r="876" spans="1:10" hidden="1">
      <c r="A876" s="1024"/>
      <c r="B876" s="1005"/>
      <c r="C876" s="1036" t="s">
        <v>327</v>
      </c>
      <c r="D876" s="1025"/>
      <c r="E876" s="1028"/>
      <c r="F876" s="1045"/>
      <c r="G876" s="1028"/>
      <c r="H876" s="1029"/>
      <c r="I876" s="1046"/>
      <c r="J876" s="964" t="s">
        <v>2313</v>
      </c>
    </row>
    <row r="877" spans="1:10" hidden="1">
      <c r="A877" s="1024" t="s">
        <v>1503</v>
      </c>
      <c r="B877" s="1005"/>
      <c r="C877" s="1056" t="s">
        <v>1507</v>
      </c>
      <c r="D877" s="1025">
        <v>100</v>
      </c>
      <c r="E877" s="1043" t="s">
        <v>325</v>
      </c>
      <c r="F877" s="1027">
        <v>1</v>
      </c>
      <c r="G877" s="1043" t="s">
        <v>115</v>
      </c>
      <c r="H877" s="1029">
        <f>'MINI SSR 2022-23'!C102</f>
        <v>34</v>
      </c>
      <c r="I877" s="1041">
        <f>SUM(D877*H877/F877)</f>
        <v>3400</v>
      </c>
      <c r="J877" s="964" t="s">
        <v>2313</v>
      </c>
    </row>
    <row r="878" spans="1:10" hidden="1">
      <c r="A878" s="1024" t="s">
        <v>1509</v>
      </c>
      <c r="B878" s="1005"/>
      <c r="C878" s="1057" t="s">
        <v>1505</v>
      </c>
      <c r="D878" s="1025">
        <v>200</v>
      </c>
      <c r="E878" s="1043" t="s">
        <v>325</v>
      </c>
      <c r="F878" s="1027">
        <v>100</v>
      </c>
      <c r="G878" s="1043" t="s">
        <v>115</v>
      </c>
      <c r="H878" s="1029">
        <f>'MINI SSR 2022-23'!C103</f>
        <v>36</v>
      </c>
      <c r="I878" s="1041">
        <f>SUM(D878*H878/F878)</f>
        <v>72</v>
      </c>
      <c r="J878" s="964" t="s">
        <v>2313</v>
      </c>
    </row>
    <row r="879" spans="1:10" hidden="1">
      <c r="A879" s="1024" t="s">
        <v>1501</v>
      </c>
      <c r="B879" s="1005"/>
      <c r="C879" s="1031" t="s">
        <v>1497</v>
      </c>
      <c r="D879" s="1025">
        <v>12</v>
      </c>
      <c r="E879" s="1043" t="s">
        <v>325</v>
      </c>
      <c r="F879" s="1027">
        <v>1</v>
      </c>
      <c r="G879" s="1043" t="s">
        <v>115</v>
      </c>
      <c r="H879" s="1029">
        <f>'MINI SSR 2022-23'!C100</f>
        <v>26</v>
      </c>
      <c r="I879" s="1041">
        <f>SUM(D879*H879/F879)</f>
        <v>312</v>
      </c>
      <c r="J879" s="964" t="s">
        <v>2313</v>
      </c>
    </row>
    <row r="880" spans="1:10" hidden="1">
      <c r="A880" s="1024" t="s">
        <v>1502</v>
      </c>
      <c r="B880" s="1005"/>
      <c r="C880" s="1031" t="s">
        <v>1498</v>
      </c>
      <c r="D880" s="1025">
        <v>12</v>
      </c>
      <c r="E880" s="1043" t="s">
        <v>325</v>
      </c>
      <c r="F880" s="1027">
        <v>1</v>
      </c>
      <c r="G880" s="1043" t="s">
        <v>115</v>
      </c>
      <c r="H880" s="1029">
        <f>'MINI SSR 2022-23'!C101</f>
        <v>11</v>
      </c>
      <c r="I880" s="1041">
        <f>SUM(D880*H880/F880)</f>
        <v>132</v>
      </c>
      <c r="J880" s="964" t="s">
        <v>2313</v>
      </c>
    </row>
    <row r="881" spans="1:10" hidden="1">
      <c r="A881" s="1024"/>
      <c r="B881" s="1005"/>
      <c r="C881" s="1056" t="s">
        <v>847</v>
      </c>
      <c r="D881" s="1025">
        <v>50</v>
      </c>
      <c r="E881" s="1043" t="s">
        <v>4</v>
      </c>
      <c r="F881" s="1027">
        <v>1</v>
      </c>
      <c r="G881" s="1043" t="s">
        <v>4</v>
      </c>
      <c r="H881" s="1029">
        <f>'lead 22-23'!L8/1000</f>
        <v>4.7</v>
      </c>
      <c r="I881" s="1041">
        <f>SUM(D881*H881/F881)</f>
        <v>235</v>
      </c>
      <c r="J881" s="964" t="s">
        <v>2313</v>
      </c>
    </row>
    <row r="882" spans="1:10" hidden="1">
      <c r="A882" s="1047"/>
      <c r="B882" s="1048"/>
      <c r="C882" s="1034" t="s">
        <v>386</v>
      </c>
      <c r="D882" s="1025"/>
      <c r="E882" s="1043"/>
      <c r="F882" s="1027"/>
      <c r="G882" s="1043"/>
      <c r="H882" s="1029"/>
      <c r="I882" s="1046">
        <f>SUM(I872:I881)</f>
        <v>8961</v>
      </c>
      <c r="J882" s="964" t="s">
        <v>2313</v>
      </c>
    </row>
    <row r="883" spans="1:10" hidden="1">
      <c r="A883" s="1047"/>
      <c r="B883" s="1048"/>
      <c r="C883" s="1034" t="s">
        <v>387</v>
      </c>
      <c r="D883" s="1049"/>
      <c r="E883" s="1043"/>
      <c r="F883" s="1027"/>
      <c r="G883" s="1043"/>
      <c r="H883" s="1050"/>
      <c r="I883" s="1046">
        <f>ROUND(I882/100,2)</f>
        <v>89.61</v>
      </c>
      <c r="J883" s="964" t="s">
        <v>2313</v>
      </c>
    </row>
    <row r="884" spans="1:10" hidden="1">
      <c r="A884" s="1047"/>
      <c r="B884" s="1048"/>
      <c r="C884" s="1036"/>
      <c r="D884" s="1058"/>
      <c r="E884" s="1059"/>
      <c r="F884" s="1058"/>
      <c r="G884" s="1059"/>
      <c r="H884" s="1060"/>
      <c r="I884" s="1060"/>
      <c r="J884" s="964" t="s">
        <v>2313</v>
      </c>
    </row>
    <row r="885" spans="1:10" hidden="1">
      <c r="A885" s="1047"/>
      <c r="B885" s="1048">
        <v>3</v>
      </c>
      <c r="C885" s="1031" t="s">
        <v>389</v>
      </c>
      <c r="D885" s="1032"/>
      <c r="E885" s="1033"/>
      <c r="F885" s="1032"/>
      <c r="G885" s="1033"/>
      <c r="H885" s="1034"/>
      <c r="I885" s="1034"/>
      <c r="J885" s="964" t="s">
        <v>2313</v>
      </c>
    </row>
    <row r="886" spans="1:10" hidden="1">
      <c r="A886" s="1047"/>
      <c r="B886" s="1048"/>
      <c r="C886" s="1042" t="s">
        <v>390</v>
      </c>
      <c r="D886" s="1025">
        <v>1</v>
      </c>
      <c r="E886" s="1043" t="s">
        <v>277</v>
      </c>
      <c r="F886" s="1027">
        <v>1</v>
      </c>
      <c r="G886" s="1043" t="s">
        <v>277</v>
      </c>
      <c r="H886" s="1029">
        <f>'MINI SSR 2022-23'!C104</f>
        <v>64</v>
      </c>
      <c r="I886" s="1041">
        <f>SUM(D886*H886/F886)</f>
        <v>64</v>
      </c>
      <c r="J886" s="964" t="s">
        <v>2313</v>
      </c>
    </row>
    <row r="887" spans="1:10" hidden="1">
      <c r="A887" s="1047"/>
      <c r="B887" s="1048"/>
      <c r="C887" s="1044"/>
      <c r="D887" s="1025"/>
      <c r="E887" s="1043"/>
      <c r="F887" s="1027"/>
      <c r="G887" s="1043"/>
      <c r="H887" s="1029"/>
      <c r="I887" s="1041">
        <f>SUM(I886)</f>
        <v>64</v>
      </c>
      <c r="J887" s="964" t="s">
        <v>2313</v>
      </c>
    </row>
    <row r="888" spans="1:10" ht="22.5" hidden="1">
      <c r="A888" s="1047"/>
      <c r="B888" s="1048">
        <v>3</v>
      </c>
      <c r="C888" s="1031" t="s">
        <v>427</v>
      </c>
      <c r="D888" s="1032"/>
      <c r="E888" s="1033"/>
      <c r="F888" s="1032"/>
      <c r="G888" s="1033"/>
      <c r="H888" s="1034"/>
      <c r="I888" s="1034"/>
      <c r="J888" s="964" t="s">
        <v>2313</v>
      </c>
    </row>
    <row r="889" spans="1:10" hidden="1">
      <c r="A889" s="1047"/>
      <c r="B889" s="1048"/>
      <c r="C889" s="1042" t="s">
        <v>433</v>
      </c>
      <c r="D889" s="1025">
        <v>1</v>
      </c>
      <c r="E889" s="1043" t="s">
        <v>325</v>
      </c>
      <c r="F889" s="1027">
        <v>1</v>
      </c>
      <c r="G889" s="1043" t="s">
        <v>325</v>
      </c>
      <c r="H889" s="1029">
        <f>'MINI SSR 2022-23'!C106</f>
        <v>245</v>
      </c>
      <c r="I889" s="1041">
        <f>SUM(D889*H889/F889)</f>
        <v>245</v>
      </c>
      <c r="J889" s="964" t="s">
        <v>2313</v>
      </c>
    </row>
    <row r="890" spans="1:10" hidden="1">
      <c r="A890" s="1047"/>
      <c r="B890" s="1048"/>
      <c r="C890" s="1044"/>
      <c r="D890" s="1025"/>
      <c r="E890" s="1043"/>
      <c r="F890" s="1027"/>
      <c r="G890" s="1043"/>
      <c r="H890" s="1029"/>
      <c r="I890" s="1041">
        <f>SUM(I889)</f>
        <v>245</v>
      </c>
      <c r="J890" s="964" t="s">
        <v>2313</v>
      </c>
    </row>
    <row r="891" spans="1:10" ht="22.5" hidden="1">
      <c r="A891" s="1047"/>
      <c r="B891" s="1048">
        <v>4</v>
      </c>
      <c r="C891" s="1031" t="s">
        <v>610</v>
      </c>
      <c r="D891" s="1032"/>
      <c r="E891" s="1033"/>
      <c r="F891" s="1032"/>
      <c r="G891" s="1033"/>
      <c r="H891" s="1034"/>
      <c r="I891" s="1034"/>
      <c r="J891" s="964" t="s">
        <v>2313</v>
      </c>
    </row>
    <row r="892" spans="1:10" hidden="1">
      <c r="A892" s="1047"/>
      <c r="B892" s="1048"/>
      <c r="C892" s="1042" t="s">
        <v>611</v>
      </c>
      <c r="D892" s="1025">
        <v>1</v>
      </c>
      <c r="E892" s="1043" t="s">
        <v>325</v>
      </c>
      <c r="F892" s="1027">
        <v>1</v>
      </c>
      <c r="G892" s="1043" t="s">
        <v>325</v>
      </c>
      <c r="H892" s="1029">
        <f>'MINI SSR 2022-23'!C107</f>
        <v>203</v>
      </c>
      <c r="I892" s="1041">
        <f>SUM(D892*H892/F892)</f>
        <v>203</v>
      </c>
      <c r="J892" s="964" t="s">
        <v>2313</v>
      </c>
    </row>
    <row r="893" spans="1:10" hidden="1">
      <c r="A893" s="1047"/>
      <c r="B893" s="1048"/>
      <c r="C893" s="1044"/>
      <c r="D893" s="1025"/>
      <c r="E893" s="1043"/>
      <c r="F893" s="1027"/>
      <c r="G893" s="1043"/>
      <c r="H893" s="1029"/>
      <c r="I893" s="1041">
        <f>SUM(I892)</f>
        <v>203</v>
      </c>
      <c r="J893" s="964" t="s">
        <v>2313</v>
      </c>
    </row>
    <row r="894" spans="1:10" ht="22.5" hidden="1">
      <c r="A894" s="1047"/>
      <c r="B894" s="1048">
        <v>3</v>
      </c>
      <c r="C894" s="1031" t="s">
        <v>690</v>
      </c>
      <c r="D894" s="1032"/>
      <c r="E894" s="1033"/>
      <c r="F894" s="1032"/>
      <c r="G894" s="1033"/>
      <c r="H894" s="1034"/>
      <c r="I894" s="1034"/>
      <c r="J894" s="964" t="s">
        <v>2313</v>
      </c>
    </row>
    <row r="895" spans="1:10" hidden="1">
      <c r="A895" s="1047"/>
      <c r="B895" s="1048"/>
      <c r="C895" s="1042" t="s">
        <v>691</v>
      </c>
      <c r="D895" s="1025">
        <v>1</v>
      </c>
      <c r="E895" s="1043" t="s">
        <v>325</v>
      </c>
      <c r="F895" s="1027">
        <v>1</v>
      </c>
      <c r="G895" s="1043" t="s">
        <v>325</v>
      </c>
      <c r="H895" s="1029">
        <f>'MINI SSR 2022-23'!C108</f>
        <v>155</v>
      </c>
      <c r="I895" s="1041">
        <f>SUM(D895*H895/F895)</f>
        <v>155</v>
      </c>
      <c r="J895" s="964" t="s">
        <v>2313</v>
      </c>
    </row>
    <row r="896" spans="1:10" hidden="1">
      <c r="A896" s="1047"/>
      <c r="B896" s="1048"/>
      <c r="C896" s="1044"/>
      <c r="D896" s="1025"/>
      <c r="E896" s="1043"/>
      <c r="F896" s="1027"/>
      <c r="G896" s="1043"/>
      <c r="H896" s="1029"/>
      <c r="I896" s="1041">
        <f>SUM(I895)</f>
        <v>155</v>
      </c>
      <c r="J896" s="964" t="s">
        <v>2313</v>
      </c>
    </row>
    <row r="897" spans="1:10" ht="22.5" hidden="1">
      <c r="A897" s="1047"/>
      <c r="B897" s="1048">
        <v>4</v>
      </c>
      <c r="C897" s="1031" t="s">
        <v>790</v>
      </c>
      <c r="D897" s="1032"/>
      <c r="E897" s="1033"/>
      <c r="F897" s="1032"/>
      <c r="G897" s="1033"/>
      <c r="H897" s="1034"/>
      <c r="I897" s="1034"/>
      <c r="J897" s="964" t="s">
        <v>2313</v>
      </c>
    </row>
    <row r="898" spans="1:10" hidden="1">
      <c r="A898" s="1047"/>
      <c r="B898" s="1048"/>
      <c r="C898" s="1042" t="s">
        <v>791</v>
      </c>
      <c r="D898" s="1025">
        <v>1</v>
      </c>
      <c r="E898" s="1043" t="s">
        <v>325</v>
      </c>
      <c r="F898" s="1027">
        <v>1</v>
      </c>
      <c r="G898" s="1043" t="s">
        <v>325</v>
      </c>
      <c r="H898" s="1029">
        <f>'MINI SSR 2022-23'!C109</f>
        <v>114</v>
      </c>
      <c r="I898" s="1041">
        <f>SUM(D898*H898/F898)</f>
        <v>114</v>
      </c>
      <c r="J898" s="964" t="s">
        <v>2313</v>
      </c>
    </row>
    <row r="899" spans="1:10" hidden="1">
      <c r="A899" s="1047"/>
      <c r="B899" s="1048"/>
      <c r="C899" s="1044"/>
      <c r="D899" s="1025"/>
      <c r="E899" s="1043"/>
      <c r="F899" s="1027"/>
      <c r="G899" s="1043"/>
      <c r="H899" s="1029"/>
      <c r="I899" s="1041">
        <f>SUM(I898)</f>
        <v>114</v>
      </c>
      <c r="J899" s="964" t="s">
        <v>2313</v>
      </c>
    </row>
    <row r="900" spans="1:10" ht="22.5" hidden="1">
      <c r="A900" s="1047"/>
      <c r="B900" s="1048">
        <v>8</v>
      </c>
      <c r="C900" s="1031" t="s">
        <v>612</v>
      </c>
      <c r="D900" s="1032"/>
      <c r="E900" s="1033"/>
      <c r="F900" s="1032"/>
      <c r="G900" s="1033"/>
      <c r="H900" s="1034"/>
      <c r="I900" s="1034"/>
      <c r="J900" s="964" t="s">
        <v>2313</v>
      </c>
    </row>
    <row r="901" spans="1:10" hidden="1">
      <c r="A901" s="1047"/>
      <c r="B901" s="1048"/>
      <c r="C901" s="1042" t="s">
        <v>614</v>
      </c>
      <c r="D901" s="1025">
        <v>1</v>
      </c>
      <c r="E901" s="1043" t="s">
        <v>325</v>
      </c>
      <c r="F901" s="1027">
        <v>1</v>
      </c>
      <c r="G901" s="1043" t="s">
        <v>325</v>
      </c>
      <c r="H901" s="1029">
        <f>H889</f>
        <v>245</v>
      </c>
      <c r="I901" s="1041">
        <f>SUM(D901*H901/F901)</f>
        <v>245</v>
      </c>
      <c r="J901" s="964" t="s">
        <v>2313</v>
      </c>
    </row>
    <row r="902" spans="1:10" hidden="1">
      <c r="A902" s="1047"/>
      <c r="B902" s="1048"/>
      <c r="C902" s="1042" t="s">
        <v>613</v>
      </c>
      <c r="D902" s="1025">
        <v>1</v>
      </c>
      <c r="E902" s="1043" t="s">
        <v>325</v>
      </c>
      <c r="F902" s="1027">
        <v>1</v>
      </c>
      <c r="G902" s="1043" t="s">
        <v>325</v>
      </c>
      <c r="H902" s="1029">
        <f>H895</f>
        <v>155</v>
      </c>
      <c r="I902" s="1041">
        <f>SUM(D902*H902/F902)</f>
        <v>155</v>
      </c>
      <c r="J902" s="964" t="s">
        <v>2313</v>
      </c>
    </row>
    <row r="903" spans="1:10" hidden="1">
      <c r="A903" s="1047"/>
      <c r="B903" s="1048"/>
      <c r="C903" s="1044"/>
      <c r="D903" s="1025"/>
      <c r="E903" s="1043"/>
      <c r="F903" s="1027"/>
      <c r="G903" s="1043"/>
      <c r="H903" s="1029"/>
      <c r="I903" s="1041">
        <f>SUM(I901:I902)</f>
        <v>400</v>
      </c>
      <c r="J903" s="964" t="s">
        <v>2313</v>
      </c>
    </row>
    <row r="904" spans="1:10" ht="22.5" hidden="1">
      <c r="A904" s="1047"/>
      <c r="B904" s="1048">
        <v>9</v>
      </c>
      <c r="C904" s="1031" t="s">
        <v>1510</v>
      </c>
      <c r="D904" s="1032"/>
      <c r="E904" s="1033"/>
      <c r="F904" s="1032"/>
      <c r="G904" s="1033"/>
      <c r="H904" s="1034"/>
      <c r="I904" s="1034"/>
      <c r="J904" s="964" t="s">
        <v>2313</v>
      </c>
    </row>
    <row r="905" spans="1:10" hidden="1">
      <c r="A905" s="1047"/>
      <c r="B905" s="1048"/>
      <c r="C905" s="1042" t="s">
        <v>614</v>
      </c>
      <c r="D905" s="1025">
        <v>1</v>
      </c>
      <c r="E905" s="1043" t="s">
        <v>325</v>
      </c>
      <c r="F905" s="1027">
        <v>1</v>
      </c>
      <c r="G905" s="1043" t="s">
        <v>325</v>
      </c>
      <c r="H905" s="1029">
        <f>H889</f>
        <v>245</v>
      </c>
      <c r="I905" s="1041">
        <f>SUM(D905*H905/F905)</f>
        <v>245</v>
      </c>
      <c r="J905" s="964" t="s">
        <v>2313</v>
      </c>
    </row>
    <row r="906" spans="1:10" hidden="1">
      <c r="A906" s="1047"/>
      <c r="B906" s="1048"/>
      <c r="C906" s="1042" t="s">
        <v>1511</v>
      </c>
      <c r="D906" s="1025">
        <v>1</v>
      </c>
      <c r="E906" s="1043" t="s">
        <v>325</v>
      </c>
      <c r="F906" s="1027">
        <v>1</v>
      </c>
      <c r="G906" s="1043" t="s">
        <v>325</v>
      </c>
      <c r="H906" s="1029">
        <f>'MINI SSR 2022-23'!C109</f>
        <v>114</v>
      </c>
      <c r="I906" s="1041">
        <f>SUM(D906*H906/F906)</f>
        <v>114</v>
      </c>
      <c r="J906" s="964" t="s">
        <v>2313</v>
      </c>
    </row>
    <row r="907" spans="1:10" hidden="1">
      <c r="A907" s="1047"/>
      <c r="B907" s="1048"/>
      <c r="C907" s="1044"/>
      <c r="D907" s="1025"/>
      <c r="E907" s="1043"/>
      <c r="F907" s="1027"/>
      <c r="G907" s="1043"/>
      <c r="H907" s="1029"/>
      <c r="I907" s="1041">
        <f>SUM(I905:I906)</f>
        <v>359</v>
      </c>
      <c r="J907" s="964" t="s">
        <v>2313</v>
      </c>
    </row>
    <row r="908" spans="1:10" ht="22.5" hidden="1">
      <c r="A908" s="1047"/>
      <c r="B908" s="1048">
        <v>5</v>
      </c>
      <c r="C908" s="1031" t="s">
        <v>428</v>
      </c>
      <c r="D908" s="1032"/>
      <c r="E908" s="1033"/>
      <c r="F908" s="1032"/>
      <c r="G908" s="1033"/>
      <c r="H908" s="1034"/>
      <c r="I908" s="1034"/>
      <c r="J908" s="964" t="s">
        <v>2313</v>
      </c>
    </row>
    <row r="909" spans="1:10" hidden="1">
      <c r="A909" s="1047"/>
      <c r="B909" s="1048"/>
      <c r="C909" s="1042" t="s">
        <v>434</v>
      </c>
      <c r="D909" s="1025">
        <v>1</v>
      </c>
      <c r="E909" s="1043" t="s">
        <v>325</v>
      </c>
      <c r="F909" s="1027">
        <v>1</v>
      </c>
      <c r="G909" s="1043" t="s">
        <v>325</v>
      </c>
      <c r="H909" s="1029">
        <f>'MINI SSR 2022-23'!C112</f>
        <v>68</v>
      </c>
      <c r="I909" s="1041">
        <f>SUM(D909*H909/F909)</f>
        <v>68</v>
      </c>
      <c r="J909" s="964" t="s">
        <v>2313</v>
      </c>
    </row>
    <row r="910" spans="1:10" hidden="1">
      <c r="A910" s="1047"/>
      <c r="B910" s="1048"/>
      <c r="C910" s="1044"/>
      <c r="D910" s="1025"/>
      <c r="E910" s="1043"/>
      <c r="F910" s="1027"/>
      <c r="G910" s="1043"/>
      <c r="H910" s="1029"/>
      <c r="I910" s="1041">
        <f>SUM(I909)</f>
        <v>68</v>
      </c>
      <c r="J910" s="964" t="s">
        <v>2313</v>
      </c>
    </row>
    <row r="911" spans="1:10" hidden="1">
      <c r="A911" s="1047"/>
      <c r="B911" s="1048">
        <v>5</v>
      </c>
      <c r="C911" s="1031" t="s">
        <v>437</v>
      </c>
      <c r="D911" s="1032"/>
      <c r="E911" s="1033"/>
      <c r="F911" s="1032"/>
      <c r="G911" s="1033"/>
      <c r="H911" s="1034"/>
      <c r="I911" s="1034"/>
      <c r="J911" s="964" t="s">
        <v>2313</v>
      </c>
    </row>
    <row r="912" spans="1:10" hidden="1">
      <c r="A912" s="1047"/>
      <c r="B912" s="1048"/>
      <c r="C912" s="1042" t="s">
        <v>438</v>
      </c>
      <c r="D912" s="1025">
        <v>1</v>
      </c>
      <c r="E912" s="1043" t="s">
        <v>325</v>
      </c>
      <c r="F912" s="1027">
        <v>1</v>
      </c>
      <c r="G912" s="1043" t="s">
        <v>325</v>
      </c>
      <c r="H912" s="1029">
        <f>'MINI SSR 2022-23'!E106</f>
        <v>209</v>
      </c>
      <c r="I912" s="1041">
        <f>SUM(D912*H912/F912)</f>
        <v>209</v>
      </c>
      <c r="J912" s="964" t="s">
        <v>2313</v>
      </c>
    </row>
    <row r="913" spans="1:10" hidden="1">
      <c r="A913" s="1047"/>
      <c r="B913" s="1048"/>
      <c r="C913" s="1044"/>
      <c r="D913" s="1025"/>
      <c r="E913" s="1043"/>
      <c r="F913" s="1027"/>
      <c r="G913" s="1043"/>
      <c r="H913" s="1029"/>
      <c r="I913" s="1041">
        <f>SUM(I912)</f>
        <v>209</v>
      </c>
      <c r="J913" s="964" t="s">
        <v>2313</v>
      </c>
    </row>
    <row r="914" spans="1:10" hidden="1">
      <c r="A914" s="1047"/>
      <c r="B914" s="1048">
        <v>6</v>
      </c>
      <c r="C914" s="1031" t="s">
        <v>615</v>
      </c>
      <c r="D914" s="1032"/>
      <c r="E914" s="1033"/>
      <c r="F914" s="1032"/>
      <c r="G914" s="1033"/>
      <c r="H914" s="1034"/>
      <c r="I914" s="1034"/>
      <c r="J914" s="964" t="s">
        <v>2313</v>
      </c>
    </row>
    <row r="915" spans="1:10" hidden="1">
      <c r="A915" s="1047"/>
      <c r="B915" s="1048"/>
      <c r="C915" s="1042" t="s">
        <v>616</v>
      </c>
      <c r="D915" s="1025">
        <v>1</v>
      </c>
      <c r="E915" s="1043" t="s">
        <v>325</v>
      </c>
      <c r="F915" s="1027">
        <v>1</v>
      </c>
      <c r="G915" s="1043" t="s">
        <v>325</v>
      </c>
      <c r="H915" s="1029">
        <f>'MINI SSR 2022-23'!E107</f>
        <v>171</v>
      </c>
      <c r="I915" s="1041">
        <f>SUM(D915*H915/F915)</f>
        <v>171</v>
      </c>
      <c r="J915" s="964" t="s">
        <v>2313</v>
      </c>
    </row>
    <row r="916" spans="1:10" hidden="1">
      <c r="A916" s="1047"/>
      <c r="B916" s="1048"/>
      <c r="C916" s="1044"/>
      <c r="D916" s="1025"/>
      <c r="E916" s="1043"/>
      <c r="F916" s="1027"/>
      <c r="G916" s="1043"/>
      <c r="H916" s="1029"/>
      <c r="I916" s="1041">
        <f>SUM(I915)</f>
        <v>171</v>
      </c>
      <c r="J916" s="964" t="s">
        <v>2313</v>
      </c>
    </row>
    <row r="917" spans="1:10" hidden="1">
      <c r="A917" s="1047"/>
      <c r="B917" s="1048">
        <v>10</v>
      </c>
      <c r="C917" s="1031" t="s">
        <v>694</v>
      </c>
      <c r="D917" s="1032"/>
      <c r="E917" s="1033"/>
      <c r="F917" s="1032"/>
      <c r="G917" s="1033"/>
      <c r="H917" s="1034"/>
      <c r="I917" s="1034"/>
      <c r="J917" s="964" t="s">
        <v>2313</v>
      </c>
    </row>
    <row r="918" spans="1:10" hidden="1">
      <c r="A918" s="1047"/>
      <c r="B918" s="1048"/>
      <c r="C918" s="1042" t="s">
        <v>619</v>
      </c>
      <c r="D918" s="1025">
        <v>1</v>
      </c>
      <c r="E918" s="1043" t="s">
        <v>325</v>
      </c>
      <c r="F918" s="1027">
        <v>1</v>
      </c>
      <c r="G918" s="1043" t="s">
        <v>325</v>
      </c>
      <c r="H918" s="1029">
        <f>'MINI SSR 2022-23'!E108</f>
        <v>132</v>
      </c>
      <c r="I918" s="1041">
        <f>SUM(D918*H918/F918)</f>
        <v>132</v>
      </c>
      <c r="J918" s="964" t="s">
        <v>2313</v>
      </c>
    </row>
    <row r="919" spans="1:10" hidden="1">
      <c r="A919" s="1047"/>
      <c r="B919" s="1048"/>
      <c r="C919" s="1044"/>
      <c r="D919" s="1025"/>
      <c r="E919" s="1043"/>
      <c r="F919" s="1027"/>
      <c r="G919" s="1043"/>
      <c r="H919" s="1029"/>
      <c r="I919" s="1041">
        <f>SUM(I918)</f>
        <v>132</v>
      </c>
      <c r="J919" s="964" t="s">
        <v>2313</v>
      </c>
    </row>
    <row r="920" spans="1:10" hidden="1">
      <c r="A920" s="1047"/>
      <c r="B920" s="1048">
        <v>11</v>
      </c>
      <c r="C920" s="1031" t="s">
        <v>792</v>
      </c>
      <c r="D920" s="1032"/>
      <c r="E920" s="1033"/>
      <c r="F920" s="1032"/>
      <c r="G920" s="1033"/>
      <c r="H920" s="1034"/>
      <c r="I920" s="1034"/>
      <c r="J920" s="964" t="s">
        <v>2313</v>
      </c>
    </row>
    <row r="921" spans="1:10" hidden="1">
      <c r="A921" s="1047"/>
      <c r="B921" s="1048"/>
      <c r="C921" s="1042" t="s">
        <v>793</v>
      </c>
      <c r="D921" s="1025">
        <v>1</v>
      </c>
      <c r="E921" s="1043" t="s">
        <v>325</v>
      </c>
      <c r="F921" s="1027">
        <v>1</v>
      </c>
      <c r="G921" s="1043" t="s">
        <v>325</v>
      </c>
      <c r="H921" s="1029">
        <f>'MINI SSR 2022-23'!E109</f>
        <v>88</v>
      </c>
      <c r="I921" s="1041">
        <f>SUM(D921*H921/F921)</f>
        <v>88</v>
      </c>
      <c r="J921" s="964" t="s">
        <v>2313</v>
      </c>
    </row>
    <row r="922" spans="1:10" hidden="1">
      <c r="A922" s="1047"/>
      <c r="B922" s="1048"/>
      <c r="C922" s="1044"/>
      <c r="D922" s="1025"/>
      <c r="E922" s="1043"/>
      <c r="F922" s="1027"/>
      <c r="G922" s="1043"/>
      <c r="H922" s="1029"/>
      <c r="I922" s="1041">
        <f>SUM(I921)</f>
        <v>88</v>
      </c>
      <c r="J922" s="964" t="s">
        <v>2313</v>
      </c>
    </row>
    <row r="923" spans="1:10" hidden="1">
      <c r="A923" s="1047"/>
      <c r="B923" s="1048">
        <v>15</v>
      </c>
      <c r="C923" s="1031" t="s">
        <v>617</v>
      </c>
      <c r="D923" s="1032"/>
      <c r="E923" s="1033"/>
      <c r="F923" s="1032"/>
      <c r="G923" s="1033"/>
      <c r="H923" s="1034"/>
      <c r="I923" s="1034"/>
      <c r="J923" s="964" t="s">
        <v>2313</v>
      </c>
    </row>
    <row r="924" spans="1:10" hidden="1">
      <c r="A924" s="1047"/>
      <c r="B924" s="1048"/>
      <c r="C924" s="1042" t="s">
        <v>618</v>
      </c>
      <c r="D924" s="1025">
        <v>1</v>
      </c>
      <c r="E924" s="1043" t="s">
        <v>325</v>
      </c>
      <c r="F924" s="1027">
        <v>1</v>
      </c>
      <c r="G924" s="1043" t="s">
        <v>325</v>
      </c>
      <c r="H924" s="1029">
        <f>'MINI SSR 2022-23'!E106</f>
        <v>209</v>
      </c>
      <c r="I924" s="1041">
        <f>SUM(D924*H924/F924)</f>
        <v>209</v>
      </c>
      <c r="J924" s="964" t="s">
        <v>2313</v>
      </c>
    </row>
    <row r="925" spans="1:10" hidden="1">
      <c r="A925" s="1047"/>
      <c r="B925" s="1048"/>
      <c r="C925" s="1042" t="s">
        <v>619</v>
      </c>
      <c r="D925" s="1025">
        <v>1</v>
      </c>
      <c r="E925" s="1043" t="s">
        <v>325</v>
      </c>
      <c r="F925" s="1027">
        <v>1</v>
      </c>
      <c r="G925" s="1043" t="s">
        <v>325</v>
      </c>
      <c r="H925" s="1029">
        <f>'MINI SSR 2022-23'!E108</f>
        <v>132</v>
      </c>
      <c r="I925" s="1041">
        <f>SUM(D925*H925/F925)</f>
        <v>132</v>
      </c>
      <c r="J925" s="964" t="s">
        <v>2313</v>
      </c>
    </row>
    <row r="926" spans="1:10" hidden="1">
      <c r="A926" s="1047"/>
      <c r="B926" s="1048"/>
      <c r="C926" s="1044"/>
      <c r="D926" s="1025"/>
      <c r="E926" s="1043"/>
      <c r="F926" s="1027"/>
      <c r="G926" s="1043"/>
      <c r="H926" s="1029"/>
      <c r="I926" s="1041">
        <f>SUM(I924:I925)</f>
        <v>341</v>
      </c>
      <c r="J926" s="964" t="s">
        <v>2313</v>
      </c>
    </row>
    <row r="927" spans="1:10" hidden="1">
      <c r="A927" s="1047"/>
      <c r="B927" s="1048">
        <v>12</v>
      </c>
      <c r="C927" s="1031" t="s">
        <v>439</v>
      </c>
      <c r="D927" s="1032"/>
      <c r="E927" s="1033"/>
      <c r="F927" s="1032"/>
      <c r="G927" s="1033"/>
      <c r="H927" s="1034"/>
      <c r="I927" s="1034"/>
      <c r="J927" s="964" t="s">
        <v>2313</v>
      </c>
    </row>
    <row r="928" spans="1:10" hidden="1">
      <c r="A928" s="1047"/>
      <c r="B928" s="1048"/>
      <c r="C928" s="1042" t="s">
        <v>440</v>
      </c>
      <c r="D928" s="1025">
        <v>1</v>
      </c>
      <c r="E928" s="1043" t="s">
        <v>325</v>
      </c>
      <c r="F928" s="1027">
        <v>1</v>
      </c>
      <c r="G928" s="1043" t="s">
        <v>325</v>
      </c>
      <c r="H928" s="1029">
        <f>'MINI SSR 2022-23'!E112</f>
        <v>66</v>
      </c>
      <c r="I928" s="1041">
        <f>SUM(D928*H928/F928)</f>
        <v>66</v>
      </c>
      <c r="J928" s="964" t="s">
        <v>2313</v>
      </c>
    </row>
    <row r="929" spans="1:10" hidden="1">
      <c r="A929" s="1047"/>
      <c r="B929" s="1048"/>
      <c r="C929" s="1044"/>
      <c r="D929" s="1025"/>
      <c r="E929" s="1043"/>
      <c r="F929" s="1027"/>
      <c r="G929" s="1043"/>
      <c r="H929" s="1029"/>
      <c r="I929" s="1041">
        <f>SUM(I928)</f>
        <v>66</v>
      </c>
      <c r="J929" s="964" t="s">
        <v>2313</v>
      </c>
    </row>
    <row r="930" spans="1:10" hidden="1">
      <c r="A930" s="1047"/>
      <c r="B930" s="1048"/>
      <c r="C930" s="1047"/>
      <c r="D930" s="1058"/>
      <c r="E930" s="1059"/>
      <c r="F930" s="1058"/>
      <c r="G930" s="1059"/>
      <c r="H930" s="1047"/>
      <c r="I930" s="1047"/>
      <c r="J930" s="964" t="s">
        <v>2313</v>
      </c>
    </row>
    <row r="931" spans="1:10" hidden="1">
      <c r="A931" s="1047"/>
      <c r="B931" s="1048">
        <v>7</v>
      </c>
      <c r="C931" s="1031" t="s">
        <v>624</v>
      </c>
      <c r="D931" s="1032"/>
      <c r="E931" s="1033"/>
      <c r="F931" s="1032"/>
      <c r="G931" s="1033"/>
      <c r="H931" s="1034"/>
      <c r="I931" s="1034"/>
      <c r="J931" s="964" t="s">
        <v>2313</v>
      </c>
    </row>
    <row r="932" spans="1:10" hidden="1">
      <c r="A932" s="1047"/>
      <c r="B932" s="1048"/>
      <c r="C932" s="1042" t="s">
        <v>625</v>
      </c>
      <c r="D932" s="1025">
        <v>1</v>
      </c>
      <c r="E932" s="1043" t="s">
        <v>325</v>
      </c>
      <c r="F932" s="1027">
        <v>1</v>
      </c>
      <c r="G932" s="1043" t="s">
        <v>325</v>
      </c>
      <c r="H932" s="1029">
        <f>'MINI SSR 2022-23'!C114</f>
        <v>21</v>
      </c>
      <c r="I932" s="1041">
        <f>SUM(D932*H932/F932)</f>
        <v>21</v>
      </c>
      <c r="J932" s="964" t="s">
        <v>2313</v>
      </c>
    </row>
    <row r="933" spans="1:10" hidden="1">
      <c r="A933" s="1047"/>
      <c r="B933" s="1048"/>
      <c r="C933" s="1044"/>
      <c r="D933" s="1025"/>
      <c r="E933" s="1043"/>
      <c r="F933" s="1027"/>
      <c r="G933" s="1043"/>
      <c r="H933" s="1029"/>
      <c r="I933" s="1041">
        <f>SUM(I932)</f>
        <v>21</v>
      </c>
      <c r="J933" s="964" t="s">
        <v>2313</v>
      </c>
    </row>
    <row r="934" spans="1:10" ht="22.5" hidden="1">
      <c r="A934" s="1047"/>
      <c r="B934" s="1048">
        <v>18</v>
      </c>
      <c r="C934" s="1031" t="s">
        <v>794</v>
      </c>
      <c r="D934" s="1032"/>
      <c r="E934" s="1033"/>
      <c r="F934" s="1032"/>
      <c r="G934" s="1033"/>
      <c r="H934" s="1034"/>
      <c r="I934" s="1034"/>
      <c r="J934" s="964" t="s">
        <v>2313</v>
      </c>
    </row>
    <row r="935" spans="1:10" hidden="1">
      <c r="A935" s="1047"/>
      <c r="B935" s="1048"/>
      <c r="C935" s="1042" t="s">
        <v>795</v>
      </c>
      <c r="D935" s="1025">
        <v>1</v>
      </c>
      <c r="E935" s="1043" t="s">
        <v>325</v>
      </c>
      <c r="F935" s="1027">
        <v>1</v>
      </c>
      <c r="G935" s="1043" t="s">
        <v>325</v>
      </c>
      <c r="H935" s="1029">
        <f>'MINI SSR 2022-23'!C115</f>
        <v>1634</v>
      </c>
      <c r="I935" s="1041">
        <f>SUM(D935*H935/F935)</f>
        <v>1634</v>
      </c>
      <c r="J935" s="964" t="s">
        <v>2313</v>
      </c>
    </row>
    <row r="936" spans="1:10" hidden="1">
      <c r="A936" s="1047"/>
      <c r="B936" s="1048"/>
      <c r="C936" s="1044"/>
      <c r="D936" s="1025"/>
      <c r="E936" s="1043"/>
      <c r="F936" s="1027"/>
      <c r="G936" s="1043"/>
      <c r="H936" s="1029"/>
      <c r="I936" s="1041">
        <f>SUM(I935)</f>
        <v>1634</v>
      </c>
      <c r="J936" s="964" t="s">
        <v>2313</v>
      </c>
    </row>
    <row r="937" spans="1:10" ht="67.5" hidden="1">
      <c r="A937" s="1051" t="s">
        <v>721</v>
      </c>
      <c r="B937" s="1024">
        <v>7</v>
      </c>
      <c r="C937" s="1031" t="s">
        <v>436</v>
      </c>
      <c r="D937" s="1035"/>
      <c r="E937" s="1026"/>
      <c r="F937" s="1035"/>
      <c r="G937" s="1026"/>
      <c r="H937" s="1031"/>
      <c r="I937" s="1031"/>
      <c r="J937" s="964" t="s">
        <v>2313</v>
      </c>
    </row>
    <row r="938" spans="1:10" ht="22.5" hidden="1">
      <c r="A938" s="1029"/>
      <c r="B938" s="1005"/>
      <c r="C938" s="1031" t="s">
        <v>391</v>
      </c>
      <c r="D938" s="1025"/>
      <c r="E938" s="1028"/>
      <c r="F938" s="1027"/>
      <c r="G938" s="1028"/>
      <c r="H938" s="1029"/>
      <c r="I938" s="1030"/>
      <c r="J938" s="964" t="s">
        <v>2313</v>
      </c>
    </row>
    <row r="939" spans="1:10" ht="33.75" hidden="1">
      <c r="A939" s="1029"/>
      <c r="B939" s="1005"/>
      <c r="C939" s="1031" t="s">
        <v>392</v>
      </c>
      <c r="D939" s="1035"/>
      <c r="E939" s="1026"/>
      <c r="F939" s="1035"/>
      <c r="G939" s="1026"/>
      <c r="H939" s="1031"/>
      <c r="I939" s="1031"/>
      <c r="J939" s="964" t="s">
        <v>2313</v>
      </c>
    </row>
    <row r="940" spans="1:10" hidden="1">
      <c r="A940" s="1029"/>
      <c r="B940" s="1005"/>
      <c r="C940" s="1031" t="s">
        <v>384</v>
      </c>
      <c r="D940" s="1025"/>
      <c r="E940" s="1028"/>
      <c r="F940" s="1027"/>
      <c r="G940" s="1028"/>
      <c r="H940" s="1029"/>
      <c r="I940" s="1030"/>
      <c r="J940" s="964" t="s">
        <v>2313</v>
      </c>
    </row>
    <row r="941" spans="1:10" hidden="1">
      <c r="A941" s="1029"/>
      <c r="B941" s="1005"/>
      <c r="C941" s="1031" t="s">
        <v>1656</v>
      </c>
      <c r="D941" s="1025">
        <v>0.6</v>
      </c>
      <c r="E941" s="1043" t="s">
        <v>27</v>
      </c>
      <c r="F941" s="1027">
        <v>1</v>
      </c>
      <c r="G941" s="1043" t="s">
        <v>27</v>
      </c>
      <c r="H941" s="1029">
        <f>'MINI SSR 2022-23'!$H$16</f>
        <v>700</v>
      </c>
      <c r="I941" s="1030">
        <f>SUM(D941*H941/F941)</f>
        <v>420</v>
      </c>
      <c r="J941" s="964" t="s">
        <v>2313</v>
      </c>
    </row>
    <row r="942" spans="1:10" hidden="1">
      <c r="A942" s="1029"/>
      <c r="B942" s="1005"/>
      <c r="C942" s="1031" t="s">
        <v>1657</v>
      </c>
      <c r="D942" s="1025">
        <v>1.2</v>
      </c>
      <c r="E942" s="1043" t="s">
        <v>27</v>
      </c>
      <c r="F942" s="1027">
        <v>1</v>
      </c>
      <c r="G942" s="1043" t="s">
        <v>27</v>
      </c>
      <c r="H942" s="1029">
        <f>'MINI SSR 2022-23'!$H$17</f>
        <v>570</v>
      </c>
      <c r="I942" s="1041">
        <f>SUM(D942*H942/F942)</f>
        <v>684</v>
      </c>
      <c r="J942" s="964" t="s">
        <v>2313</v>
      </c>
    </row>
    <row r="943" spans="1:10" hidden="1">
      <c r="A943" s="1029"/>
      <c r="B943" s="1005"/>
      <c r="C943" s="1031" t="s">
        <v>700</v>
      </c>
      <c r="D943" s="1025">
        <v>0.6</v>
      </c>
      <c r="E943" s="1043" t="s">
        <v>27</v>
      </c>
      <c r="F943" s="1027">
        <v>1</v>
      </c>
      <c r="G943" s="1043" t="s">
        <v>27</v>
      </c>
      <c r="H943" s="1029">
        <f>'MINI SSR 2022-23'!$H$18</f>
        <v>505</v>
      </c>
      <c r="I943" s="1041">
        <f>SUM(D943*H943/F943)</f>
        <v>303</v>
      </c>
      <c r="J943" s="964" t="s">
        <v>2313</v>
      </c>
    </row>
    <row r="944" spans="1:10" hidden="1">
      <c r="A944" s="1029"/>
      <c r="B944" s="1005"/>
      <c r="C944" s="1031" t="s">
        <v>327</v>
      </c>
      <c r="D944" s="1025"/>
      <c r="E944" s="1043"/>
      <c r="F944" s="1027"/>
      <c r="G944" s="1043"/>
      <c r="H944" s="1029"/>
      <c r="I944" s="1030"/>
      <c r="J944" s="964" t="s">
        <v>2313</v>
      </c>
    </row>
    <row r="945" spans="1:10" hidden="1">
      <c r="A945" s="1029"/>
      <c r="B945" s="1005"/>
      <c r="C945" s="1052" t="s">
        <v>621</v>
      </c>
      <c r="D945" s="1053">
        <v>6</v>
      </c>
      <c r="E945" s="1028" t="s">
        <v>325</v>
      </c>
      <c r="F945" s="1027">
        <v>1</v>
      </c>
      <c r="G945" s="1028" t="s">
        <v>115</v>
      </c>
      <c r="H945" s="1029">
        <f>'MINI SSR 2022-23'!C116</f>
        <v>18</v>
      </c>
      <c r="I945" s="1030">
        <f>SUM(D945*H945/F945)</f>
        <v>108</v>
      </c>
      <c r="J945" s="964" t="s">
        <v>2313</v>
      </c>
    </row>
    <row r="946" spans="1:10" ht="45" hidden="1">
      <c r="A946" s="1029"/>
      <c r="B946" s="1005"/>
      <c r="C946" s="1052" t="s">
        <v>3286</v>
      </c>
      <c r="D946" s="1025">
        <v>100</v>
      </c>
      <c r="E946" s="1043" t="s">
        <v>395</v>
      </c>
      <c r="F946" s="1027">
        <v>100</v>
      </c>
      <c r="G946" s="1043" t="s">
        <v>395</v>
      </c>
      <c r="H946" s="1029">
        <f>'MINI SSR 2022-23'!C119</f>
        <v>1375</v>
      </c>
      <c r="I946" s="1030">
        <f>SUM(D946*H946/F946)</f>
        <v>1375</v>
      </c>
      <c r="J946" s="964" t="s">
        <v>2313</v>
      </c>
    </row>
    <row r="947" spans="1:10" hidden="1">
      <c r="A947" s="1029"/>
      <c r="B947" s="1005"/>
      <c r="C947" s="1031" t="s">
        <v>396</v>
      </c>
      <c r="D947" s="1025"/>
      <c r="E947" s="1028"/>
      <c r="F947" s="1027"/>
      <c r="G947" s="1028"/>
      <c r="H947" s="1029"/>
      <c r="I947" s="1030">
        <f>SUM(I941:I946)</f>
        <v>2890</v>
      </c>
      <c r="J947" s="964" t="s">
        <v>2313</v>
      </c>
    </row>
    <row r="948" spans="1:10" hidden="1">
      <c r="A948" s="1029"/>
      <c r="B948" s="1005"/>
      <c r="C948" s="1031" t="s">
        <v>397</v>
      </c>
      <c r="D948" s="1025"/>
      <c r="E948" s="1028"/>
      <c r="F948" s="1027"/>
      <c r="G948" s="1028"/>
      <c r="H948" s="1029"/>
      <c r="I948" s="1030">
        <f>ROUND(I947/6,2)</f>
        <v>481.67</v>
      </c>
      <c r="J948" s="964" t="s">
        <v>2313</v>
      </c>
    </row>
    <row r="949" spans="1:10" ht="67.5" hidden="1">
      <c r="A949" s="1051" t="s">
        <v>721</v>
      </c>
      <c r="B949" s="1024">
        <v>2</v>
      </c>
      <c r="C949" s="1031" t="s">
        <v>435</v>
      </c>
      <c r="D949" s="1035"/>
      <c r="E949" s="1026"/>
      <c r="F949" s="1035"/>
      <c r="G949" s="1026"/>
      <c r="H949" s="1031"/>
      <c r="I949" s="1031"/>
      <c r="J949" s="964" t="s">
        <v>2313</v>
      </c>
    </row>
    <row r="950" spans="1:10" ht="22.5" hidden="1">
      <c r="A950" s="1029"/>
      <c r="B950" s="1005"/>
      <c r="C950" s="1031" t="s">
        <v>391</v>
      </c>
      <c r="D950" s="1025"/>
      <c r="E950" s="1028"/>
      <c r="F950" s="1027"/>
      <c r="G950" s="1028"/>
      <c r="H950" s="1029"/>
      <c r="I950" s="1030"/>
      <c r="J950" s="964" t="s">
        <v>2313</v>
      </c>
    </row>
    <row r="951" spans="1:10" ht="33.75" hidden="1">
      <c r="A951" s="1029"/>
      <c r="B951" s="1005"/>
      <c r="C951" s="1031" t="s">
        <v>392</v>
      </c>
      <c r="D951" s="1035"/>
      <c r="E951" s="1026"/>
      <c r="F951" s="1035"/>
      <c r="G951" s="1026"/>
      <c r="H951" s="1031"/>
      <c r="I951" s="1031"/>
      <c r="J951" s="964" t="s">
        <v>2313</v>
      </c>
    </row>
    <row r="952" spans="1:10" hidden="1">
      <c r="A952" s="1029"/>
      <c r="B952" s="1005"/>
      <c r="C952" s="1031" t="s">
        <v>384</v>
      </c>
      <c r="D952" s="1025"/>
      <c r="E952" s="1028"/>
      <c r="F952" s="1027"/>
      <c r="G952" s="1028"/>
      <c r="H952" s="1029"/>
      <c r="I952" s="1030"/>
      <c r="J952" s="964" t="s">
        <v>2313</v>
      </c>
    </row>
    <row r="953" spans="1:10" hidden="1">
      <c r="A953" s="1029"/>
      <c r="B953" s="1005"/>
      <c r="C953" s="1031" t="s">
        <v>1656</v>
      </c>
      <c r="D953" s="1025">
        <v>0.6</v>
      </c>
      <c r="E953" s="1043" t="s">
        <v>27</v>
      </c>
      <c r="F953" s="1027">
        <v>1</v>
      </c>
      <c r="G953" s="1043" t="s">
        <v>27</v>
      </c>
      <c r="H953" s="1029">
        <f>'MINI SSR 2022-23'!$H$16</f>
        <v>700</v>
      </c>
      <c r="I953" s="1030">
        <f>SUM(D953*H953/F953)</f>
        <v>420</v>
      </c>
      <c r="J953" s="964" t="s">
        <v>2313</v>
      </c>
    </row>
    <row r="954" spans="1:10" hidden="1">
      <c r="A954" s="1029"/>
      <c r="B954" s="1005"/>
      <c r="C954" s="1031" t="s">
        <v>1657</v>
      </c>
      <c r="D954" s="1025">
        <v>1.2</v>
      </c>
      <c r="E954" s="1043" t="s">
        <v>27</v>
      </c>
      <c r="F954" s="1027">
        <v>1</v>
      </c>
      <c r="G954" s="1043" t="s">
        <v>27</v>
      </c>
      <c r="H954" s="1029">
        <f>'MINI SSR 2022-23'!$H$17</f>
        <v>570</v>
      </c>
      <c r="I954" s="1041">
        <f>SUM(D954*H954/F954)</f>
        <v>684</v>
      </c>
      <c r="J954" s="964" t="s">
        <v>2313</v>
      </c>
    </row>
    <row r="955" spans="1:10" hidden="1">
      <c r="A955" s="1029"/>
      <c r="B955" s="1005"/>
      <c r="C955" s="1031" t="s">
        <v>700</v>
      </c>
      <c r="D955" s="1025">
        <v>0.6</v>
      </c>
      <c r="E955" s="1043" t="s">
        <v>27</v>
      </c>
      <c r="F955" s="1027">
        <v>1</v>
      </c>
      <c r="G955" s="1043" t="s">
        <v>27</v>
      </c>
      <c r="H955" s="1029">
        <f>'MINI SSR 2022-23'!$H$18</f>
        <v>505</v>
      </c>
      <c r="I955" s="1041">
        <f>SUM(D955*H955/F955)</f>
        <v>303</v>
      </c>
      <c r="J955" s="964" t="s">
        <v>2313</v>
      </c>
    </row>
    <row r="956" spans="1:10" hidden="1">
      <c r="A956" s="1029"/>
      <c r="B956" s="1005"/>
      <c r="C956" s="1031" t="s">
        <v>327</v>
      </c>
      <c r="D956" s="1025"/>
      <c r="E956" s="1043"/>
      <c r="F956" s="1027"/>
      <c r="G956" s="1043"/>
      <c r="H956" s="1029"/>
      <c r="I956" s="1030"/>
      <c r="J956" s="964" t="s">
        <v>2313</v>
      </c>
    </row>
    <row r="957" spans="1:10" hidden="1">
      <c r="A957" s="1029"/>
      <c r="B957" s="1005"/>
      <c r="C957" s="1052" t="s">
        <v>621</v>
      </c>
      <c r="D957" s="1053">
        <v>6</v>
      </c>
      <c r="E957" s="1028" t="s">
        <v>325</v>
      </c>
      <c r="F957" s="1027">
        <v>1</v>
      </c>
      <c r="G957" s="1028" t="s">
        <v>115</v>
      </c>
      <c r="H957" s="1029">
        <f>'MINI SSR 2022-23'!C116</f>
        <v>18</v>
      </c>
      <c r="I957" s="1030">
        <f>SUM(D957*H957/F957)</f>
        <v>108</v>
      </c>
      <c r="J957" s="964" t="s">
        <v>2313</v>
      </c>
    </row>
    <row r="958" spans="1:10" ht="22.5" hidden="1">
      <c r="A958" s="1029"/>
      <c r="B958" s="1005"/>
      <c r="C958" s="1054" t="s">
        <v>393</v>
      </c>
      <c r="D958" s="1053">
        <v>6</v>
      </c>
      <c r="E958" s="1028" t="s">
        <v>325</v>
      </c>
      <c r="F958" s="1027">
        <v>1</v>
      </c>
      <c r="G958" s="1028" t="s">
        <v>115</v>
      </c>
      <c r="H958" s="1029">
        <f>'MINI SSR 2022-23'!C120</f>
        <v>22</v>
      </c>
      <c r="I958" s="1030">
        <f>SUM(D958*H958/F958)</f>
        <v>132</v>
      </c>
      <c r="J958" s="964" t="s">
        <v>2313</v>
      </c>
    </row>
    <row r="959" spans="1:10" ht="45" hidden="1">
      <c r="A959" s="1029"/>
      <c r="B959" s="1005"/>
      <c r="C959" s="1052" t="s">
        <v>3286</v>
      </c>
      <c r="D959" s="1025">
        <v>100</v>
      </c>
      <c r="E959" s="1043" t="s">
        <v>395</v>
      </c>
      <c r="F959" s="1027">
        <v>100</v>
      </c>
      <c r="G959" s="1043" t="s">
        <v>395</v>
      </c>
      <c r="H959" s="1029">
        <f>'MINI SSR 2022-23'!C119</f>
        <v>1375</v>
      </c>
      <c r="I959" s="1030">
        <f>SUM(D959*H959/F959)</f>
        <v>1375</v>
      </c>
      <c r="J959" s="964" t="s">
        <v>2313</v>
      </c>
    </row>
    <row r="960" spans="1:10" hidden="1">
      <c r="A960" s="1029"/>
      <c r="B960" s="1005"/>
      <c r="C960" s="1031" t="s">
        <v>396</v>
      </c>
      <c r="D960" s="1025"/>
      <c r="E960" s="1028"/>
      <c r="F960" s="1027"/>
      <c r="G960" s="1028"/>
      <c r="H960" s="1029"/>
      <c r="I960" s="1030">
        <f>SUM(I953:I959)</f>
        <v>3022</v>
      </c>
      <c r="J960" s="964" t="s">
        <v>2313</v>
      </c>
    </row>
    <row r="961" spans="1:10" hidden="1">
      <c r="A961" s="1029"/>
      <c r="B961" s="1005"/>
      <c r="C961" s="1031" t="s">
        <v>397</v>
      </c>
      <c r="D961" s="1025"/>
      <c r="E961" s="1028"/>
      <c r="F961" s="1027"/>
      <c r="G961" s="1028"/>
      <c r="H961" s="1029"/>
      <c r="I961" s="1030">
        <f>ROUND(I960/6,2)</f>
        <v>503.67</v>
      </c>
      <c r="J961" s="964" t="s">
        <v>2313</v>
      </c>
    </row>
    <row r="962" spans="1:10" ht="45" hidden="1">
      <c r="A962" s="1051" t="s">
        <v>722</v>
      </c>
      <c r="B962" s="1024">
        <v>9</v>
      </c>
      <c r="C962" s="1031" t="s">
        <v>432</v>
      </c>
      <c r="D962" s="1035"/>
      <c r="E962" s="1026"/>
      <c r="F962" s="1035"/>
      <c r="G962" s="1026"/>
      <c r="H962" s="1031"/>
      <c r="I962" s="1031"/>
      <c r="J962" s="964" t="s">
        <v>2313</v>
      </c>
    </row>
    <row r="963" spans="1:10" hidden="1">
      <c r="A963" s="1029"/>
      <c r="B963" s="1005"/>
      <c r="C963" s="1031" t="s">
        <v>384</v>
      </c>
      <c r="D963" s="1025"/>
      <c r="E963" s="1028"/>
      <c r="F963" s="1027"/>
      <c r="G963" s="1028"/>
      <c r="H963" s="1029"/>
      <c r="I963" s="1030"/>
      <c r="J963" s="964" t="s">
        <v>2313</v>
      </c>
    </row>
    <row r="964" spans="1:10" hidden="1">
      <c r="A964" s="1029"/>
      <c r="B964" s="1005"/>
      <c r="C964" s="1031" t="s">
        <v>1656</v>
      </c>
      <c r="D964" s="1061">
        <v>6.7000000000000004E-2</v>
      </c>
      <c r="E964" s="1043" t="s">
        <v>27</v>
      </c>
      <c r="F964" s="1027">
        <v>1</v>
      </c>
      <c r="G964" s="1043" t="s">
        <v>27</v>
      </c>
      <c r="H964" s="1029">
        <f>'MINI SSR 2022-23'!$H$16</f>
        <v>700</v>
      </c>
      <c r="I964" s="1030">
        <f>SUM(D964*H964/F964)</f>
        <v>46.900000000000006</v>
      </c>
      <c r="J964" s="964" t="s">
        <v>2313</v>
      </c>
    </row>
    <row r="965" spans="1:10" hidden="1">
      <c r="A965" s="1029"/>
      <c r="B965" s="1005"/>
      <c r="C965" s="1031" t="s">
        <v>700</v>
      </c>
      <c r="D965" s="1061">
        <v>6.7000000000000004E-2</v>
      </c>
      <c r="E965" s="1043" t="s">
        <v>27</v>
      </c>
      <c r="F965" s="1027">
        <v>1</v>
      </c>
      <c r="G965" s="1043" t="s">
        <v>27</v>
      </c>
      <c r="H965" s="1029">
        <f>'MINI SSR 2022-23'!$H$18</f>
        <v>505</v>
      </c>
      <c r="I965" s="1041">
        <f>SUM(D965*H965/F965)</f>
        <v>33.835000000000001</v>
      </c>
      <c r="J965" s="964" t="s">
        <v>2313</v>
      </c>
    </row>
    <row r="966" spans="1:10" hidden="1">
      <c r="A966" s="1029"/>
      <c r="B966" s="1005"/>
      <c r="C966" s="1031" t="s">
        <v>327</v>
      </c>
      <c r="D966" s="1025"/>
      <c r="E966" s="1043"/>
      <c r="F966" s="1027"/>
      <c r="G966" s="1043"/>
      <c r="H966" s="1029"/>
      <c r="I966" s="1030"/>
      <c r="J966" s="964" t="s">
        <v>2313</v>
      </c>
    </row>
    <row r="967" spans="1:10" hidden="1">
      <c r="A967" s="1029"/>
      <c r="B967" s="1005"/>
      <c r="C967" s="1052" t="s">
        <v>621</v>
      </c>
      <c r="D967" s="1053">
        <v>1</v>
      </c>
      <c r="E967" s="1028" t="s">
        <v>325</v>
      </c>
      <c r="F967" s="1027">
        <v>1</v>
      </c>
      <c r="G967" s="1028" t="s">
        <v>115</v>
      </c>
      <c r="H967" s="1029">
        <f>'MINI SSR 2022-23'!C116</f>
        <v>18</v>
      </c>
      <c r="I967" s="1030">
        <f>SUM(D967*H967/F967)</f>
        <v>18</v>
      </c>
      <c r="J967" s="964" t="s">
        <v>2313</v>
      </c>
    </row>
    <row r="968" spans="1:10" hidden="1">
      <c r="A968" s="1029"/>
      <c r="B968" s="1005"/>
      <c r="C968" s="1052" t="s">
        <v>622</v>
      </c>
      <c r="D968" s="1053">
        <v>1</v>
      </c>
      <c r="E968" s="1028" t="s">
        <v>115</v>
      </c>
      <c r="F968" s="1027">
        <v>1</v>
      </c>
      <c r="G968" s="1028" t="s">
        <v>115</v>
      </c>
      <c r="H968" s="1029">
        <f>'MINI SSR 2022-23'!C118</f>
        <v>27</v>
      </c>
      <c r="I968" s="1030">
        <f>SUM(D968*H968/F968)</f>
        <v>27</v>
      </c>
      <c r="J968" s="964" t="s">
        <v>2313</v>
      </c>
    </row>
    <row r="969" spans="1:10" hidden="1">
      <c r="A969" s="1029"/>
      <c r="B969" s="1005"/>
      <c r="C969" s="1036" t="s">
        <v>388</v>
      </c>
      <c r="D969" s="1049"/>
      <c r="E969" s="1028"/>
      <c r="F969" s="1062"/>
      <c r="G969" s="1063"/>
      <c r="H969" s="1064"/>
      <c r="I969" s="1030">
        <f>SUM(I964:I968)</f>
        <v>125.73500000000001</v>
      </c>
      <c r="J969" s="964" t="s">
        <v>2313</v>
      </c>
    </row>
    <row r="970" spans="1:10" ht="45" hidden="1">
      <c r="A970" s="1051" t="s">
        <v>1262</v>
      </c>
      <c r="B970" s="1024">
        <v>9</v>
      </c>
      <c r="C970" s="1031" t="s">
        <v>1237</v>
      </c>
      <c r="D970" s="1035"/>
      <c r="E970" s="1026"/>
      <c r="F970" s="1035"/>
      <c r="G970" s="1026"/>
      <c r="H970" s="1031"/>
      <c r="I970" s="1031"/>
      <c r="J970" s="964" t="s">
        <v>2313</v>
      </c>
    </row>
    <row r="971" spans="1:10" hidden="1">
      <c r="A971" s="1029"/>
      <c r="B971" s="1005"/>
      <c r="C971" s="1031" t="s">
        <v>384</v>
      </c>
      <c r="D971" s="1025"/>
      <c r="E971" s="1028"/>
      <c r="F971" s="1027"/>
      <c r="G971" s="1028"/>
      <c r="H971" s="1029"/>
      <c r="I971" s="1030"/>
      <c r="J971" s="964" t="s">
        <v>2313</v>
      </c>
    </row>
    <row r="972" spans="1:10" hidden="1">
      <c r="A972" s="1029"/>
      <c r="B972" s="1005"/>
      <c r="C972" s="1031" t="s">
        <v>1656</v>
      </c>
      <c r="D972" s="1061">
        <v>0.1</v>
      </c>
      <c r="E972" s="1043" t="s">
        <v>27</v>
      </c>
      <c r="F972" s="1027">
        <v>1</v>
      </c>
      <c r="G972" s="1043" t="s">
        <v>27</v>
      </c>
      <c r="H972" s="1029">
        <f>'MINI SSR 2022-23'!$H$16</f>
        <v>700</v>
      </c>
      <c r="I972" s="1030">
        <f>SUM(D972*H972/F972)</f>
        <v>70</v>
      </c>
      <c r="J972" s="964" t="s">
        <v>2313</v>
      </c>
    </row>
    <row r="973" spans="1:10" hidden="1">
      <c r="A973" s="1029"/>
      <c r="B973" s="1005"/>
      <c r="C973" s="1031" t="s">
        <v>700</v>
      </c>
      <c r="D973" s="1061">
        <v>0.1</v>
      </c>
      <c r="E973" s="1043" t="s">
        <v>27</v>
      </c>
      <c r="F973" s="1027">
        <v>1</v>
      </c>
      <c r="G973" s="1043" t="s">
        <v>27</v>
      </c>
      <c r="H973" s="1029">
        <f>'MINI SSR 2022-23'!$H$18</f>
        <v>505</v>
      </c>
      <c r="I973" s="1041">
        <f>SUM(D973*H973/F973)</f>
        <v>50.5</v>
      </c>
      <c r="J973" s="964" t="s">
        <v>2313</v>
      </c>
    </row>
    <row r="974" spans="1:10" hidden="1">
      <c r="A974" s="1029"/>
      <c r="B974" s="1005"/>
      <c r="C974" s="1031" t="s">
        <v>327</v>
      </c>
      <c r="D974" s="1025"/>
      <c r="E974" s="1043"/>
      <c r="F974" s="1027"/>
      <c r="G974" s="1043"/>
      <c r="H974" s="1029"/>
      <c r="I974" s="1030"/>
      <c r="J974" s="964" t="s">
        <v>2313</v>
      </c>
    </row>
    <row r="975" spans="1:10" hidden="1">
      <c r="A975" s="1029"/>
      <c r="B975" s="1005"/>
      <c r="C975" s="1052" t="s">
        <v>1263</v>
      </c>
      <c r="D975" s="1053">
        <v>1</v>
      </c>
      <c r="E975" s="1028" t="s">
        <v>325</v>
      </c>
      <c r="F975" s="1027">
        <v>1</v>
      </c>
      <c r="G975" s="1028" t="s">
        <v>115</v>
      </c>
      <c r="H975" s="1029">
        <f>'MINI SSR 2022-23'!C121</f>
        <v>48</v>
      </c>
      <c r="I975" s="1030">
        <f>SUM(D975*H975/F975)</f>
        <v>48</v>
      </c>
      <c r="J975" s="964" t="s">
        <v>2313</v>
      </c>
    </row>
    <row r="976" spans="1:10" hidden="1">
      <c r="A976" s="1029"/>
      <c r="B976" s="1005"/>
      <c r="C976" s="1052" t="s">
        <v>1265</v>
      </c>
      <c r="D976" s="1053">
        <v>1</v>
      </c>
      <c r="E976" s="1028" t="s">
        <v>115</v>
      </c>
      <c r="F976" s="1027">
        <v>1</v>
      </c>
      <c r="G976" s="1028" t="s">
        <v>115</v>
      </c>
      <c r="H976" s="1029">
        <f>'MINI SSR 2022-23'!C122</f>
        <v>127</v>
      </c>
      <c r="I976" s="1030">
        <f>SUM(D976*H976/F976)</f>
        <v>127</v>
      </c>
      <c r="J976" s="964" t="s">
        <v>2313</v>
      </c>
    </row>
    <row r="977" spans="1:10" ht="22.5" hidden="1">
      <c r="A977" s="1029"/>
      <c r="B977" s="1005"/>
      <c r="C977" s="1052" t="s">
        <v>1264</v>
      </c>
      <c r="D977" s="1053">
        <v>1</v>
      </c>
      <c r="E977" s="1028" t="s">
        <v>115</v>
      </c>
      <c r="F977" s="1027">
        <v>1</v>
      </c>
      <c r="G977" s="1028" t="s">
        <v>115</v>
      </c>
      <c r="H977" s="1029">
        <f>'MINI SSR 2022-23'!C123</f>
        <v>127</v>
      </c>
      <c r="I977" s="1030">
        <f>SUM(D977*H977/F977)</f>
        <v>127</v>
      </c>
      <c r="J977" s="964" t="s">
        <v>2313</v>
      </c>
    </row>
    <row r="978" spans="1:10" hidden="1">
      <c r="A978" s="1029"/>
      <c r="B978" s="1005"/>
      <c r="C978" s="1036" t="s">
        <v>388</v>
      </c>
      <c r="D978" s="1049"/>
      <c r="E978" s="1028"/>
      <c r="F978" s="1062"/>
      <c r="G978" s="1063"/>
      <c r="H978" s="1064"/>
      <c r="I978" s="1030">
        <f>SUM(I972:I977)</f>
        <v>422.5</v>
      </c>
      <c r="J978" s="964" t="s">
        <v>2313</v>
      </c>
    </row>
    <row r="979" spans="1:10" ht="45" hidden="1">
      <c r="A979" s="1029" t="s">
        <v>441</v>
      </c>
      <c r="B979" s="1024">
        <v>27</v>
      </c>
      <c r="C979" s="1031" t="s">
        <v>620</v>
      </c>
      <c r="D979" s="1035"/>
      <c r="E979" s="1026"/>
      <c r="F979" s="1035"/>
      <c r="G979" s="1026"/>
      <c r="H979" s="1031"/>
      <c r="I979" s="1031"/>
      <c r="J979" s="964" t="s">
        <v>2313</v>
      </c>
    </row>
    <row r="980" spans="1:10" hidden="1">
      <c r="A980" s="1029"/>
      <c r="B980" s="1005"/>
      <c r="C980" s="1031" t="s">
        <v>384</v>
      </c>
      <c r="D980" s="1025"/>
      <c r="E980" s="1028"/>
      <c r="F980" s="1027"/>
      <c r="G980" s="1028"/>
      <c r="H980" s="1029"/>
      <c r="I980" s="1030"/>
      <c r="J980" s="964" t="s">
        <v>2313</v>
      </c>
    </row>
    <row r="981" spans="1:10" hidden="1">
      <c r="A981" s="1029"/>
      <c r="B981" s="1005"/>
      <c r="C981" s="1031" t="s">
        <v>1656</v>
      </c>
      <c r="D981" s="1061">
        <v>6.7000000000000004E-2</v>
      </c>
      <c r="E981" s="1043" t="s">
        <v>27</v>
      </c>
      <c r="F981" s="1027">
        <v>1</v>
      </c>
      <c r="G981" s="1043" t="s">
        <v>27</v>
      </c>
      <c r="H981" s="1029">
        <f>'MINI SSR 2022-23'!$H$16</f>
        <v>700</v>
      </c>
      <c r="I981" s="1030">
        <f>SUM(D981*H981/F981)</f>
        <v>46.900000000000006</v>
      </c>
      <c r="J981" s="964" t="s">
        <v>2313</v>
      </c>
    </row>
    <row r="982" spans="1:10" hidden="1">
      <c r="A982" s="1029"/>
      <c r="B982" s="1005"/>
      <c r="C982" s="1031" t="s">
        <v>700</v>
      </c>
      <c r="D982" s="1061">
        <v>6.7000000000000004E-2</v>
      </c>
      <c r="E982" s="1043" t="s">
        <v>27</v>
      </c>
      <c r="F982" s="1027">
        <v>1</v>
      </c>
      <c r="G982" s="1043" t="s">
        <v>27</v>
      </c>
      <c r="H982" s="1029">
        <f>'MINI SSR 2022-23'!$H$18</f>
        <v>505</v>
      </c>
      <c r="I982" s="1041">
        <f>SUM(D982*H982/F982)</f>
        <v>33.835000000000001</v>
      </c>
      <c r="J982" s="964" t="s">
        <v>2313</v>
      </c>
    </row>
    <row r="983" spans="1:10" hidden="1">
      <c r="A983" s="1029"/>
      <c r="B983" s="1005"/>
      <c r="C983" s="1031" t="s">
        <v>327</v>
      </c>
      <c r="D983" s="1025"/>
      <c r="E983" s="1043"/>
      <c r="F983" s="1027"/>
      <c r="G983" s="1043"/>
      <c r="H983" s="1029"/>
      <c r="I983" s="1030"/>
      <c r="J983" s="964" t="s">
        <v>2313</v>
      </c>
    </row>
    <row r="984" spans="1:10" hidden="1">
      <c r="A984" s="1029"/>
      <c r="B984" s="1005"/>
      <c r="C984" s="1052" t="s">
        <v>621</v>
      </c>
      <c r="D984" s="1053">
        <v>1</v>
      </c>
      <c r="E984" s="1028" t="s">
        <v>325</v>
      </c>
      <c r="F984" s="1027">
        <v>1</v>
      </c>
      <c r="G984" s="1028" t="s">
        <v>115</v>
      </c>
      <c r="H984" s="1029">
        <f>'MINI SSR 2022-23'!C116</f>
        <v>18</v>
      </c>
      <c r="I984" s="1030">
        <f>SUM(D984*H984/F984)</f>
        <v>18</v>
      </c>
      <c r="J984" s="964" t="s">
        <v>2313</v>
      </c>
    </row>
    <row r="985" spans="1:10" hidden="1">
      <c r="A985" s="1029"/>
      <c r="B985" s="1005"/>
      <c r="C985" s="1052" t="s">
        <v>623</v>
      </c>
      <c r="D985" s="1053">
        <v>1</v>
      </c>
      <c r="E985" s="1028" t="s">
        <v>115</v>
      </c>
      <c r="F985" s="1027">
        <v>1</v>
      </c>
      <c r="G985" s="1028" t="s">
        <v>115</v>
      </c>
      <c r="H985" s="1029">
        <f>'MINI SSR 2022-23'!C117</f>
        <v>21</v>
      </c>
      <c r="I985" s="1030">
        <f>SUM(D985*H985/F985)</f>
        <v>21</v>
      </c>
      <c r="J985" s="964" t="s">
        <v>2313</v>
      </c>
    </row>
    <row r="986" spans="1:10" hidden="1">
      <c r="A986" s="1029"/>
      <c r="B986" s="1005"/>
      <c r="C986" s="1031" t="s">
        <v>945</v>
      </c>
      <c r="D986" s="1049"/>
      <c r="E986" s="1028"/>
      <c r="F986" s="1062"/>
      <c r="G986" s="1063"/>
      <c r="H986" s="1064"/>
      <c r="I986" s="1030">
        <f>SUM(I981:I985)</f>
        <v>119.73500000000001</v>
      </c>
      <c r="J986" s="964" t="s">
        <v>2313</v>
      </c>
    </row>
    <row r="987" spans="1:10" ht="33.75" hidden="1">
      <c r="A987" s="1029" t="s">
        <v>1659</v>
      </c>
      <c r="B987" s="1024">
        <v>29</v>
      </c>
      <c r="C987" s="1031" t="s">
        <v>1660</v>
      </c>
      <c r="D987" s="1032"/>
      <c r="E987" s="1033"/>
      <c r="F987" s="1032"/>
      <c r="G987" s="1033"/>
      <c r="H987" s="1005"/>
      <c r="I987" s="1034"/>
      <c r="J987" s="964" t="s">
        <v>2313</v>
      </c>
    </row>
    <row r="988" spans="1:10" ht="22.5" hidden="1">
      <c r="A988" s="1024"/>
      <c r="B988" s="1005"/>
      <c r="C988" s="1031" t="s">
        <v>391</v>
      </c>
      <c r="D988" s="1025"/>
      <c r="E988" s="1028"/>
      <c r="F988" s="1027"/>
      <c r="G988" s="1028"/>
      <c r="H988" s="1029"/>
      <c r="I988" s="1030"/>
      <c r="J988" s="964" t="s">
        <v>2313</v>
      </c>
    </row>
    <row r="989" spans="1:10" hidden="1">
      <c r="A989" s="1024"/>
      <c r="B989" s="1005"/>
      <c r="C989" s="1031" t="s">
        <v>384</v>
      </c>
      <c r="D989" s="1025"/>
      <c r="E989" s="1028"/>
      <c r="F989" s="1027"/>
      <c r="G989" s="1028"/>
      <c r="H989" s="1029"/>
      <c r="I989" s="1030"/>
      <c r="J989" s="964" t="s">
        <v>2313</v>
      </c>
    </row>
    <row r="990" spans="1:10" hidden="1">
      <c r="A990" s="1024"/>
      <c r="B990" s="1005"/>
      <c r="C990" s="1042" t="s">
        <v>1656</v>
      </c>
      <c r="D990" s="1025">
        <v>0.67</v>
      </c>
      <c r="E990" s="1043" t="s">
        <v>27</v>
      </c>
      <c r="F990" s="1027">
        <v>1</v>
      </c>
      <c r="G990" s="1043" t="s">
        <v>27</v>
      </c>
      <c r="H990" s="1029">
        <f>'MINI SSR 2022-23'!$H$16</f>
        <v>700</v>
      </c>
      <c r="I990" s="1030">
        <f>SUM(D990*H990/F990)</f>
        <v>469</v>
      </c>
      <c r="J990" s="964" t="s">
        <v>2313</v>
      </c>
    </row>
    <row r="991" spans="1:10" hidden="1">
      <c r="A991" s="1024"/>
      <c r="B991" s="1005"/>
      <c r="C991" s="1042" t="s">
        <v>1657</v>
      </c>
      <c r="D991" s="1025">
        <v>2</v>
      </c>
      <c r="E991" s="1043" t="s">
        <v>27</v>
      </c>
      <c r="F991" s="1027">
        <v>1</v>
      </c>
      <c r="G991" s="1043" t="s">
        <v>27</v>
      </c>
      <c r="H991" s="1029">
        <f>'MINI SSR 2022-23'!$H$17</f>
        <v>570</v>
      </c>
      <c r="I991" s="1030">
        <f>SUM(D991*H991/F991)</f>
        <v>1140</v>
      </c>
      <c r="J991" s="964" t="s">
        <v>2313</v>
      </c>
    </row>
    <row r="992" spans="1:10" hidden="1">
      <c r="A992" s="1024"/>
      <c r="B992" s="1005"/>
      <c r="C992" s="1042" t="s">
        <v>700</v>
      </c>
      <c r="D992" s="1025">
        <v>0.67</v>
      </c>
      <c r="E992" s="1043" t="s">
        <v>27</v>
      </c>
      <c r="F992" s="1027">
        <v>1</v>
      </c>
      <c r="G992" s="1043" t="s">
        <v>27</v>
      </c>
      <c r="H992" s="1029">
        <f>'MINI SSR 2022-23'!$H$18</f>
        <v>505</v>
      </c>
      <c r="I992" s="1030">
        <f>SUM(D992*H992/F992)</f>
        <v>338.35</v>
      </c>
      <c r="J992" s="964" t="s">
        <v>2313</v>
      </c>
    </row>
    <row r="993" spans="1:10" hidden="1">
      <c r="A993" s="1024"/>
      <c r="B993" s="1005"/>
      <c r="C993" s="1031" t="s">
        <v>327</v>
      </c>
      <c r="D993" s="1025"/>
      <c r="E993" s="1043"/>
      <c r="F993" s="1027"/>
      <c r="G993" s="1043"/>
      <c r="H993" s="1029"/>
      <c r="I993" s="1030"/>
      <c r="J993" s="964" t="s">
        <v>2313</v>
      </c>
    </row>
    <row r="994" spans="1:10" ht="33.75" hidden="1">
      <c r="A994" s="1024"/>
      <c r="B994" s="1005">
        <v>30</v>
      </c>
      <c r="C994" s="1052" t="s">
        <v>398</v>
      </c>
      <c r="D994" s="1025">
        <v>200</v>
      </c>
      <c r="E994" s="1028" t="s">
        <v>395</v>
      </c>
      <c r="F994" s="1027">
        <v>100</v>
      </c>
      <c r="G994" s="1028" t="s">
        <v>395</v>
      </c>
      <c r="H994" s="1029">
        <f>'MINI SSR 2022-23'!C128</f>
        <v>1977</v>
      </c>
      <c r="I994" s="1030">
        <f>SUM(D994*H994/F994)</f>
        <v>3954</v>
      </c>
      <c r="J994" s="964" t="s">
        <v>2313</v>
      </c>
    </row>
    <row r="995" spans="1:10" hidden="1">
      <c r="A995" s="1024"/>
      <c r="B995" s="1005"/>
      <c r="C995" s="1031" t="s">
        <v>399</v>
      </c>
      <c r="D995" s="1025"/>
      <c r="E995" s="1028"/>
      <c r="F995" s="1027"/>
      <c r="G995" s="1028"/>
      <c r="H995" s="1029"/>
      <c r="I995" s="1030">
        <f>SUM(I994:I994)</f>
        <v>3954</v>
      </c>
      <c r="J995" s="964" t="s">
        <v>2313</v>
      </c>
    </row>
    <row r="996" spans="1:10" hidden="1">
      <c r="A996" s="1024"/>
      <c r="B996" s="1005"/>
      <c r="C996" s="1031" t="s">
        <v>400</v>
      </c>
      <c r="D996" s="1025"/>
      <c r="E996" s="1028"/>
      <c r="F996" s="1027"/>
      <c r="G996" s="1028"/>
      <c r="H996" s="1029"/>
      <c r="I996" s="1030">
        <f>SUM(I995/100)</f>
        <v>39.54</v>
      </c>
      <c r="J996" s="964" t="s">
        <v>2313</v>
      </c>
    </row>
    <row r="997" spans="1:10" hidden="1">
      <c r="A997" s="1024"/>
      <c r="B997" s="1005"/>
      <c r="C997" s="1031" t="s">
        <v>399</v>
      </c>
      <c r="D997" s="1025"/>
      <c r="E997" s="1028"/>
      <c r="F997" s="1027"/>
      <c r="G997" s="1028"/>
      <c r="H997" s="1064"/>
      <c r="I997" s="1030">
        <f>SUM(I994:I996)</f>
        <v>7947.54</v>
      </c>
      <c r="J997" s="964" t="s">
        <v>2313</v>
      </c>
    </row>
    <row r="998" spans="1:10" hidden="1">
      <c r="A998" s="1024"/>
      <c r="B998" s="1005"/>
      <c r="C998" s="1031" t="s">
        <v>400</v>
      </c>
      <c r="D998" s="1025"/>
      <c r="E998" s="1028"/>
      <c r="F998" s="1027"/>
      <c r="G998" s="1028"/>
      <c r="H998" s="1064"/>
      <c r="I998" s="1030">
        <f>ROUND(I997/100,2)</f>
        <v>79.48</v>
      </c>
      <c r="J998" s="964" t="s">
        <v>2313</v>
      </c>
    </row>
    <row r="999" spans="1:10" ht="33.75" hidden="1">
      <c r="A999" s="1029" t="s">
        <v>2081</v>
      </c>
      <c r="B999" s="1024">
        <v>3</v>
      </c>
      <c r="C999" s="1031" t="s">
        <v>2086</v>
      </c>
      <c r="D999" s="1032"/>
      <c r="E999" s="1033"/>
      <c r="F999" s="1032"/>
      <c r="G999" s="1033"/>
      <c r="H999" s="1005"/>
      <c r="I999" s="1034"/>
      <c r="J999" s="964" t="s">
        <v>2313</v>
      </c>
    </row>
    <row r="1000" spans="1:10" hidden="1">
      <c r="A1000" s="1024"/>
      <c r="B1000" s="1005"/>
      <c r="C1000" s="1031" t="s">
        <v>384</v>
      </c>
      <c r="D1000" s="1025"/>
      <c r="E1000" s="1028"/>
      <c r="F1000" s="1027"/>
      <c r="G1000" s="1028"/>
      <c r="H1000" s="1029"/>
      <c r="I1000" s="1030"/>
      <c r="J1000" s="964" t="s">
        <v>2313</v>
      </c>
    </row>
    <row r="1001" spans="1:10" hidden="1">
      <c r="A1001" s="1024"/>
      <c r="B1001" s="1005"/>
      <c r="C1001" s="1042" t="s">
        <v>1656</v>
      </c>
      <c r="D1001" s="1025">
        <v>0.34</v>
      </c>
      <c r="E1001" s="1043" t="s">
        <v>27</v>
      </c>
      <c r="F1001" s="1027">
        <v>1</v>
      </c>
      <c r="G1001" s="1043" t="s">
        <v>27</v>
      </c>
      <c r="H1001" s="1029">
        <f>'MINI SSR 2022-23'!$H$16</f>
        <v>700</v>
      </c>
      <c r="I1001" s="1030">
        <f>SUM(D1001*H1001/F1001)</f>
        <v>238.00000000000003</v>
      </c>
      <c r="J1001" s="964" t="s">
        <v>2313</v>
      </c>
    </row>
    <row r="1002" spans="1:10" hidden="1">
      <c r="A1002" s="1024"/>
      <c r="B1002" s="1005"/>
      <c r="C1002" s="1042" t="s">
        <v>1657</v>
      </c>
      <c r="D1002" s="1025">
        <v>1</v>
      </c>
      <c r="E1002" s="1043" t="s">
        <v>27</v>
      </c>
      <c r="F1002" s="1027">
        <v>1</v>
      </c>
      <c r="G1002" s="1043" t="s">
        <v>27</v>
      </c>
      <c r="H1002" s="1029">
        <f>'MINI SSR 2022-23'!$H$17</f>
        <v>570</v>
      </c>
      <c r="I1002" s="1030">
        <f>SUM(D1002*H1002/F1002)</f>
        <v>570</v>
      </c>
      <c r="J1002" s="964" t="s">
        <v>2313</v>
      </c>
    </row>
    <row r="1003" spans="1:10" hidden="1">
      <c r="A1003" s="1024"/>
      <c r="B1003" s="1005"/>
      <c r="C1003" s="1042" t="s">
        <v>700</v>
      </c>
      <c r="D1003" s="1025">
        <v>0.34</v>
      </c>
      <c r="E1003" s="1043" t="s">
        <v>27</v>
      </c>
      <c r="F1003" s="1027">
        <v>1</v>
      </c>
      <c r="G1003" s="1043" t="s">
        <v>27</v>
      </c>
      <c r="H1003" s="1029">
        <f>'MINI SSR 2022-23'!$H$18</f>
        <v>505</v>
      </c>
      <c r="I1003" s="1030">
        <f>SUM(D1003*H1003/F1003)</f>
        <v>171.70000000000002</v>
      </c>
      <c r="J1003" s="964" t="s">
        <v>2313</v>
      </c>
    </row>
    <row r="1004" spans="1:10" hidden="1">
      <c r="A1004" s="1024"/>
      <c r="B1004" s="1005"/>
      <c r="C1004" s="1052" t="s">
        <v>2082</v>
      </c>
      <c r="D1004" s="1025">
        <v>100</v>
      </c>
      <c r="E1004" s="1028" t="s">
        <v>395</v>
      </c>
      <c r="F1004" s="1027">
        <v>100</v>
      </c>
      <c r="G1004" s="1028" t="s">
        <v>395</v>
      </c>
      <c r="H1004" s="1029">
        <f>'MINI SSR 2022-23'!C134</f>
        <v>1375</v>
      </c>
      <c r="I1004" s="1030">
        <f>SUM(D1004*H1004/F1004)</f>
        <v>1375</v>
      </c>
      <c r="J1004" s="964" t="s">
        <v>2313</v>
      </c>
    </row>
    <row r="1005" spans="1:10" hidden="1">
      <c r="A1005" s="1024"/>
      <c r="B1005" s="1005"/>
      <c r="C1005" s="1031" t="s">
        <v>399</v>
      </c>
      <c r="D1005" s="1025"/>
      <c r="E1005" s="1028"/>
      <c r="F1005" s="1027"/>
      <c r="G1005" s="1028"/>
      <c r="H1005" s="1029"/>
      <c r="I1005" s="1030">
        <f>SUM(I1001:I1004)</f>
        <v>2354.6999999999998</v>
      </c>
      <c r="J1005" s="964" t="s">
        <v>2313</v>
      </c>
    </row>
    <row r="1006" spans="1:10" hidden="1">
      <c r="A1006" s="1024"/>
      <c r="B1006" s="1005"/>
      <c r="C1006" s="1031" t="s">
        <v>400</v>
      </c>
      <c r="D1006" s="1025"/>
      <c r="E1006" s="1028"/>
      <c r="F1006" s="1027"/>
      <c r="G1006" s="1028"/>
      <c r="H1006" s="1029"/>
      <c r="I1006" s="1030">
        <f>ROUND(I1005/100,2)</f>
        <v>23.55</v>
      </c>
      <c r="J1006" s="964" t="s">
        <v>2313</v>
      </c>
    </row>
    <row r="1007" spans="1:10" ht="46.5" hidden="1" customHeight="1">
      <c r="A1007" s="1051" t="s">
        <v>723</v>
      </c>
      <c r="B1007" s="1024">
        <v>10</v>
      </c>
      <c r="C1007" s="1031" t="s">
        <v>401</v>
      </c>
      <c r="D1007" s="1032"/>
      <c r="E1007" s="1033"/>
      <c r="F1007" s="1032"/>
      <c r="G1007" s="1033"/>
      <c r="H1007" s="1005"/>
      <c r="I1007" s="1030"/>
      <c r="J1007" s="964" t="s">
        <v>2313</v>
      </c>
    </row>
    <row r="1008" spans="1:10" ht="22.5" hidden="1">
      <c r="A1008" s="1024"/>
      <c r="B1008" s="1005"/>
      <c r="C1008" s="1031" t="s">
        <v>391</v>
      </c>
      <c r="D1008" s="1025"/>
      <c r="E1008" s="1028"/>
      <c r="F1008" s="1027"/>
      <c r="G1008" s="1028"/>
      <c r="H1008" s="1029"/>
      <c r="I1008" s="1030"/>
      <c r="J1008" s="964" t="s">
        <v>2313</v>
      </c>
    </row>
    <row r="1009" spans="1:10" hidden="1">
      <c r="A1009" s="1024"/>
      <c r="B1009" s="1005"/>
      <c r="C1009" s="1031" t="s">
        <v>384</v>
      </c>
      <c r="D1009" s="1025"/>
      <c r="E1009" s="1028"/>
      <c r="F1009" s="1027"/>
      <c r="G1009" s="1028"/>
      <c r="H1009" s="1029"/>
      <c r="I1009" s="1030"/>
      <c r="J1009" s="964" t="s">
        <v>2313</v>
      </c>
    </row>
    <row r="1010" spans="1:10" hidden="1">
      <c r="A1010" s="1024"/>
      <c r="B1010" s="1005"/>
      <c r="C1010" s="1042" t="s">
        <v>1656</v>
      </c>
      <c r="D1010" s="1025">
        <v>0.67</v>
      </c>
      <c r="E1010" s="1043" t="s">
        <v>27</v>
      </c>
      <c r="F1010" s="1027">
        <v>1</v>
      </c>
      <c r="G1010" s="1043" t="s">
        <v>27</v>
      </c>
      <c r="H1010" s="1029">
        <f>'MINI SSR 2022-23'!$H$16</f>
        <v>700</v>
      </c>
      <c r="I1010" s="1030">
        <f>SUM(D1010*H1010/F1010)</f>
        <v>469</v>
      </c>
      <c r="J1010" s="964" t="s">
        <v>2313</v>
      </c>
    </row>
    <row r="1011" spans="1:10" hidden="1">
      <c r="A1011" s="1024"/>
      <c r="B1011" s="1005"/>
      <c r="C1011" s="1042" t="s">
        <v>1657</v>
      </c>
      <c r="D1011" s="1025">
        <v>2</v>
      </c>
      <c r="E1011" s="1043" t="s">
        <v>27</v>
      </c>
      <c r="F1011" s="1027">
        <v>1</v>
      </c>
      <c r="G1011" s="1043" t="s">
        <v>27</v>
      </c>
      <c r="H1011" s="1029">
        <f>'MINI SSR 2022-23'!$H$17</f>
        <v>570</v>
      </c>
      <c r="I1011" s="1030">
        <f>SUM(D1011*H1011/F1011)</f>
        <v>1140</v>
      </c>
      <c r="J1011" s="964" t="s">
        <v>2313</v>
      </c>
    </row>
    <row r="1012" spans="1:10" hidden="1">
      <c r="A1012" s="1024"/>
      <c r="B1012" s="1005"/>
      <c r="C1012" s="1042" t="s">
        <v>700</v>
      </c>
      <c r="D1012" s="1025">
        <v>0.67</v>
      </c>
      <c r="E1012" s="1043" t="s">
        <v>27</v>
      </c>
      <c r="F1012" s="1027">
        <v>1</v>
      </c>
      <c r="G1012" s="1043" t="s">
        <v>27</v>
      </c>
      <c r="H1012" s="1029">
        <f>'MINI SSR 2022-23'!$H$18</f>
        <v>505</v>
      </c>
      <c r="I1012" s="1030">
        <f>SUM(D1012*H1012/F1012)</f>
        <v>338.35</v>
      </c>
      <c r="J1012" s="964" t="s">
        <v>2313</v>
      </c>
    </row>
    <row r="1013" spans="1:10" hidden="1">
      <c r="A1013" s="1024"/>
      <c r="B1013" s="1005"/>
      <c r="C1013" s="1031" t="s">
        <v>327</v>
      </c>
      <c r="D1013" s="1025"/>
      <c r="E1013" s="1043"/>
      <c r="F1013" s="1027"/>
      <c r="G1013" s="1043"/>
      <c r="H1013" s="1029"/>
      <c r="I1013" s="1030"/>
      <c r="J1013" s="964" t="s">
        <v>2313</v>
      </c>
    </row>
    <row r="1014" spans="1:10" hidden="1">
      <c r="A1014" s="1024"/>
      <c r="B1014" s="1005"/>
      <c r="C1014" s="1052" t="s">
        <v>3287</v>
      </c>
      <c r="D1014" s="1025">
        <v>200</v>
      </c>
      <c r="E1014" s="1028" t="s">
        <v>395</v>
      </c>
      <c r="F1014" s="1027">
        <v>100</v>
      </c>
      <c r="G1014" s="1028" t="s">
        <v>395</v>
      </c>
      <c r="H1014" s="1029">
        <f>'MINI SSR 2022-23'!C129</f>
        <v>3193</v>
      </c>
      <c r="I1014" s="1030">
        <f>SUM(D1014*H1014/F1014)</f>
        <v>6386</v>
      </c>
      <c r="J1014" s="964" t="s">
        <v>2313</v>
      </c>
    </row>
    <row r="1015" spans="1:10" hidden="1">
      <c r="A1015" s="1024"/>
      <c r="B1015" s="1005"/>
      <c r="C1015" s="1031" t="s">
        <v>399</v>
      </c>
      <c r="D1015" s="1025"/>
      <c r="E1015" s="1028"/>
      <c r="F1015" s="1027"/>
      <c r="G1015" s="1028"/>
      <c r="H1015" s="1029"/>
      <c r="I1015" s="1030">
        <f>SUM(I1010:I1014)</f>
        <v>8333.35</v>
      </c>
      <c r="J1015" s="964" t="s">
        <v>2313</v>
      </c>
    </row>
    <row r="1016" spans="1:10" hidden="1">
      <c r="A1016" s="1024"/>
      <c r="B1016" s="1005"/>
      <c r="C1016" s="1031" t="s">
        <v>400</v>
      </c>
      <c r="D1016" s="1025"/>
      <c r="E1016" s="1028"/>
      <c r="F1016" s="1027"/>
      <c r="G1016" s="1028"/>
      <c r="H1016" s="1029"/>
      <c r="I1016" s="1030">
        <f>SUM(I1015/100)</f>
        <v>83.333500000000001</v>
      </c>
      <c r="J1016" s="964" t="s">
        <v>2313</v>
      </c>
    </row>
    <row r="1017" spans="1:10" ht="45" hidden="1">
      <c r="A1017" s="1051" t="s">
        <v>724</v>
      </c>
      <c r="B1017" s="1024">
        <v>11</v>
      </c>
      <c r="C1017" s="1031" t="s">
        <v>402</v>
      </c>
      <c r="D1017" s="1032"/>
      <c r="E1017" s="1033"/>
      <c r="F1017" s="1032"/>
      <c r="G1017" s="1033"/>
      <c r="H1017" s="1005"/>
      <c r="I1017" s="1030"/>
      <c r="J1017" s="964" t="s">
        <v>2313</v>
      </c>
    </row>
    <row r="1018" spans="1:10" ht="22.5" hidden="1">
      <c r="A1018" s="1029"/>
      <c r="B1018" s="1005"/>
      <c r="C1018" s="1031" t="s">
        <v>403</v>
      </c>
      <c r="D1018" s="1025"/>
      <c r="E1018" s="1028"/>
      <c r="F1018" s="1027"/>
      <c r="G1018" s="1028"/>
      <c r="H1018" s="1029"/>
      <c r="I1018" s="1030"/>
      <c r="J1018" s="964" t="s">
        <v>2313</v>
      </c>
    </row>
    <row r="1019" spans="1:10" hidden="1">
      <c r="A1019" s="1029"/>
      <c r="B1019" s="1005"/>
      <c r="C1019" s="1031" t="s">
        <v>384</v>
      </c>
      <c r="D1019" s="1025"/>
      <c r="E1019" s="1028"/>
      <c r="F1019" s="1027"/>
      <c r="G1019" s="1028"/>
      <c r="H1019" s="1029"/>
      <c r="I1019" s="1030"/>
      <c r="J1019" s="964" t="s">
        <v>2313</v>
      </c>
    </row>
    <row r="1020" spans="1:10" hidden="1">
      <c r="A1020" s="1029"/>
      <c r="B1020" s="1005"/>
      <c r="C1020" s="1042" t="s">
        <v>1656</v>
      </c>
      <c r="D1020" s="1025">
        <v>1</v>
      </c>
      <c r="E1020" s="1043" t="s">
        <v>27</v>
      </c>
      <c r="F1020" s="1027">
        <v>1</v>
      </c>
      <c r="G1020" s="1043" t="s">
        <v>27</v>
      </c>
      <c r="H1020" s="1029">
        <f>'MINI SSR 2022-23'!$H$16</f>
        <v>700</v>
      </c>
      <c r="I1020" s="1030">
        <f>SUM(D1020*H1020/F1020)</f>
        <v>700</v>
      </c>
      <c r="J1020" s="964" t="s">
        <v>2313</v>
      </c>
    </row>
    <row r="1021" spans="1:10" hidden="1">
      <c r="A1021" s="1029"/>
      <c r="B1021" s="1005"/>
      <c r="C1021" s="1042" t="s">
        <v>1657</v>
      </c>
      <c r="D1021" s="1025">
        <v>3</v>
      </c>
      <c r="E1021" s="1043" t="s">
        <v>27</v>
      </c>
      <c r="F1021" s="1027">
        <v>1</v>
      </c>
      <c r="G1021" s="1043" t="s">
        <v>27</v>
      </c>
      <c r="H1021" s="1029">
        <f>'MINI SSR 2022-23'!$H$17</f>
        <v>570</v>
      </c>
      <c r="I1021" s="1030">
        <f>SUM(D1021*H1021/F1021)</f>
        <v>1710</v>
      </c>
      <c r="J1021" s="964" t="s">
        <v>2313</v>
      </c>
    </row>
    <row r="1022" spans="1:10" hidden="1">
      <c r="A1022" s="1029"/>
      <c r="B1022" s="1005"/>
      <c r="C1022" s="1042" t="s">
        <v>700</v>
      </c>
      <c r="D1022" s="1025">
        <v>1</v>
      </c>
      <c r="E1022" s="1043" t="s">
        <v>27</v>
      </c>
      <c r="F1022" s="1027">
        <v>1</v>
      </c>
      <c r="G1022" s="1043" t="s">
        <v>27</v>
      </c>
      <c r="H1022" s="1029">
        <f>'MINI SSR 2022-23'!$H$18</f>
        <v>505</v>
      </c>
      <c r="I1022" s="1030">
        <f>SUM(D1022*H1022/F1022)</f>
        <v>505</v>
      </c>
      <c r="J1022" s="964" t="s">
        <v>2313</v>
      </c>
    </row>
    <row r="1023" spans="1:10" hidden="1">
      <c r="A1023" s="1029"/>
      <c r="B1023" s="1005"/>
      <c r="C1023" s="1031" t="s">
        <v>327</v>
      </c>
      <c r="D1023" s="1025"/>
      <c r="E1023" s="1043"/>
      <c r="F1023" s="1027"/>
      <c r="G1023" s="1043"/>
      <c r="H1023" s="1029"/>
      <c r="I1023" s="1030"/>
      <c r="J1023" s="964" t="s">
        <v>2313</v>
      </c>
    </row>
    <row r="1024" spans="1:10" ht="33.75" hidden="1">
      <c r="A1024" s="1029"/>
      <c r="B1024" s="1005"/>
      <c r="C1024" s="1052" t="s">
        <v>1662</v>
      </c>
      <c r="D1024" s="1025">
        <v>200</v>
      </c>
      <c r="E1024" s="1028" t="s">
        <v>395</v>
      </c>
      <c r="F1024" s="1027">
        <v>100</v>
      </c>
      <c r="G1024" s="1028" t="s">
        <v>395</v>
      </c>
      <c r="H1024" s="1029">
        <f>'MINI SSR 2022-23'!C130</f>
        <v>4875</v>
      </c>
      <c r="I1024" s="1030">
        <f>SUM(D1024*H1024/F1024)</f>
        <v>9750</v>
      </c>
      <c r="J1024" s="964" t="s">
        <v>2313</v>
      </c>
    </row>
    <row r="1025" spans="1:10" hidden="1">
      <c r="A1025" s="1029"/>
      <c r="B1025" s="1005"/>
      <c r="C1025" s="1031" t="s">
        <v>399</v>
      </c>
      <c r="D1025" s="1025"/>
      <c r="E1025" s="1028"/>
      <c r="F1025" s="1027"/>
      <c r="G1025" s="1028"/>
      <c r="H1025" s="1029"/>
      <c r="I1025" s="1030">
        <f>SUM(I1020:I1024)</f>
        <v>12665</v>
      </c>
      <c r="J1025" s="964" t="s">
        <v>2313</v>
      </c>
    </row>
    <row r="1026" spans="1:10" hidden="1">
      <c r="A1026" s="1029"/>
      <c r="B1026" s="1005"/>
      <c r="C1026" s="1031" t="s">
        <v>400</v>
      </c>
      <c r="D1026" s="1025"/>
      <c r="E1026" s="1028"/>
      <c r="F1026" s="1027"/>
      <c r="G1026" s="1028"/>
      <c r="H1026" s="1029"/>
      <c r="I1026" s="1030">
        <f>SUM(I1025/100)</f>
        <v>126.65</v>
      </c>
      <c r="J1026" s="964" t="s">
        <v>2313</v>
      </c>
    </row>
    <row r="1027" spans="1:10" ht="45" hidden="1">
      <c r="A1027" s="1051" t="s">
        <v>881</v>
      </c>
      <c r="B1027" s="1024">
        <v>4</v>
      </c>
      <c r="C1027" s="1031" t="s">
        <v>882</v>
      </c>
      <c r="D1027" s="1032"/>
      <c r="E1027" s="1033"/>
      <c r="F1027" s="1032"/>
      <c r="G1027" s="1033"/>
      <c r="H1027" s="1005"/>
      <c r="I1027" s="1030"/>
      <c r="J1027" s="964" t="s">
        <v>2313</v>
      </c>
    </row>
    <row r="1028" spans="1:10" hidden="1">
      <c r="A1028" s="1029"/>
      <c r="B1028" s="1005"/>
      <c r="C1028" s="1031" t="s">
        <v>384</v>
      </c>
      <c r="D1028" s="1025"/>
      <c r="E1028" s="1028"/>
      <c r="F1028" s="1027"/>
      <c r="G1028" s="1028"/>
      <c r="H1028" s="1029"/>
      <c r="I1028" s="1030"/>
      <c r="J1028" s="964" t="s">
        <v>2313</v>
      </c>
    </row>
    <row r="1029" spans="1:10" hidden="1">
      <c r="A1029" s="1029"/>
      <c r="B1029" s="1005"/>
      <c r="C1029" s="1042" t="s">
        <v>156</v>
      </c>
      <c r="D1029" s="1025">
        <v>1</v>
      </c>
      <c r="E1029" s="1043" t="s">
        <v>27</v>
      </c>
      <c r="F1029" s="1027">
        <v>1</v>
      </c>
      <c r="G1029" s="1043" t="s">
        <v>27</v>
      </c>
      <c r="H1029" s="1029">
        <f>'MINI SSR 2022-23'!$H$16</f>
        <v>700</v>
      </c>
      <c r="I1029" s="1030">
        <f>SUM(D1029*H1029/F1029)</f>
        <v>700</v>
      </c>
      <c r="J1029" s="964" t="s">
        <v>2313</v>
      </c>
    </row>
    <row r="1030" spans="1:10" hidden="1">
      <c r="A1030" s="1029"/>
      <c r="B1030" s="1005"/>
      <c r="C1030" s="1042" t="s">
        <v>886</v>
      </c>
      <c r="D1030" s="1025">
        <v>1</v>
      </c>
      <c r="E1030" s="1043" t="s">
        <v>27</v>
      </c>
      <c r="F1030" s="1027">
        <v>1</v>
      </c>
      <c r="G1030" s="1043" t="s">
        <v>27</v>
      </c>
      <c r="H1030" s="1029">
        <f>'MINI SSR 2022-23'!$H$17</f>
        <v>570</v>
      </c>
      <c r="I1030" s="1030">
        <f>SUM(D1030*H1030/F1030)</f>
        <v>570</v>
      </c>
      <c r="J1030" s="964" t="s">
        <v>2313</v>
      </c>
    </row>
    <row r="1031" spans="1:10" hidden="1">
      <c r="A1031" s="1029"/>
      <c r="B1031" s="1005"/>
      <c r="C1031" s="1042" t="s">
        <v>700</v>
      </c>
      <c r="D1031" s="1025">
        <v>1</v>
      </c>
      <c r="E1031" s="1043" t="s">
        <v>27</v>
      </c>
      <c r="F1031" s="1027">
        <v>1</v>
      </c>
      <c r="G1031" s="1043" t="s">
        <v>27</v>
      </c>
      <c r="H1031" s="1029">
        <f>'MINI SSR 2022-23'!$H$18</f>
        <v>505</v>
      </c>
      <c r="I1031" s="1030">
        <f>SUM(D1031*H1031/F1031)</f>
        <v>505</v>
      </c>
      <c r="J1031" s="964" t="s">
        <v>2313</v>
      </c>
    </row>
    <row r="1032" spans="1:10" hidden="1">
      <c r="A1032" s="1029"/>
      <c r="B1032" s="1005"/>
      <c r="C1032" s="1031" t="s">
        <v>327</v>
      </c>
      <c r="D1032" s="1025"/>
      <c r="E1032" s="1043"/>
      <c r="F1032" s="1027"/>
      <c r="G1032" s="1043"/>
      <c r="H1032" s="1029"/>
      <c r="I1032" s="1030"/>
      <c r="J1032" s="964" t="s">
        <v>2313</v>
      </c>
    </row>
    <row r="1033" spans="1:10" hidden="1">
      <c r="A1033" s="1029"/>
      <c r="B1033" s="1005"/>
      <c r="C1033" s="1052" t="s">
        <v>883</v>
      </c>
      <c r="D1033" s="1025">
        <v>200</v>
      </c>
      <c r="E1033" s="1028" t="s">
        <v>395</v>
      </c>
      <c r="F1033" s="1027">
        <v>100</v>
      </c>
      <c r="G1033" s="1028" t="s">
        <v>395</v>
      </c>
      <c r="H1033" s="1029">
        <f>'MINI SSR 2022-23'!C131</f>
        <v>1816</v>
      </c>
      <c r="I1033" s="1030">
        <f>SUM(D1033*H1033/F1033)</f>
        <v>3632</v>
      </c>
      <c r="J1033" s="964" t="s">
        <v>2313</v>
      </c>
    </row>
    <row r="1034" spans="1:10" hidden="1">
      <c r="A1034" s="1029"/>
      <c r="B1034" s="1005"/>
      <c r="C1034" s="1052" t="s">
        <v>884</v>
      </c>
      <c r="D1034" s="1025">
        <v>6.7</v>
      </c>
      <c r="E1034" s="1028" t="s">
        <v>4</v>
      </c>
      <c r="F1034" s="1027">
        <v>1</v>
      </c>
      <c r="G1034" s="1028" t="s">
        <v>4</v>
      </c>
      <c r="H1034" s="1029">
        <f>'MINI SSR 2022-23'!C132</f>
        <v>79</v>
      </c>
      <c r="I1034" s="1030">
        <f>SUM(D1034*H1034/F1034)</f>
        <v>529.30000000000007</v>
      </c>
      <c r="J1034" s="964" t="s">
        <v>2313</v>
      </c>
    </row>
    <row r="1035" spans="1:10" hidden="1">
      <c r="A1035" s="1029"/>
      <c r="B1035" s="1005"/>
      <c r="C1035" s="1052" t="s">
        <v>885</v>
      </c>
      <c r="D1035" s="1025">
        <v>100</v>
      </c>
      <c r="E1035" s="1028" t="s">
        <v>325</v>
      </c>
      <c r="F1035" s="1027">
        <v>100</v>
      </c>
      <c r="G1035" s="1028" t="s">
        <v>115</v>
      </c>
      <c r="H1035" s="1029">
        <f>'MINI SSR 2022-23'!C133</f>
        <v>520</v>
      </c>
      <c r="I1035" s="1030">
        <f>SUM(D1035*H1035/F1035)</f>
        <v>520</v>
      </c>
      <c r="J1035" s="964" t="s">
        <v>2313</v>
      </c>
    </row>
    <row r="1036" spans="1:10" hidden="1">
      <c r="A1036" s="1029"/>
      <c r="B1036" s="1005"/>
      <c r="C1036" s="1031" t="s">
        <v>399</v>
      </c>
      <c r="D1036" s="1025"/>
      <c r="E1036" s="1028"/>
      <c r="F1036" s="1027"/>
      <c r="G1036" s="1028"/>
      <c r="H1036" s="1029"/>
      <c r="I1036" s="1030">
        <f>SUM(I1029:I1035)</f>
        <v>6456.3</v>
      </c>
      <c r="J1036" s="964" t="s">
        <v>2313</v>
      </c>
    </row>
    <row r="1037" spans="1:10" hidden="1">
      <c r="A1037" s="1029"/>
      <c r="B1037" s="1005"/>
      <c r="C1037" s="1031" t="s">
        <v>400</v>
      </c>
      <c r="D1037" s="1025"/>
      <c r="E1037" s="1028"/>
      <c r="F1037" s="1027"/>
      <c r="G1037" s="1028"/>
      <c r="H1037" s="1029"/>
      <c r="I1037" s="1030">
        <f>SUM(I1036/100)</f>
        <v>64.563000000000002</v>
      </c>
      <c r="J1037" s="964" t="s">
        <v>2313</v>
      </c>
    </row>
    <row r="1038" spans="1:10" ht="33.75" hidden="1">
      <c r="A1038" s="1051" t="s">
        <v>725</v>
      </c>
      <c r="B1038" s="1024">
        <v>11</v>
      </c>
      <c r="C1038" s="1031" t="s">
        <v>1267</v>
      </c>
      <c r="D1038" s="1035"/>
      <c r="E1038" s="1026"/>
      <c r="F1038" s="1035"/>
      <c r="G1038" s="1026"/>
      <c r="H1038" s="1031"/>
      <c r="I1038" s="1031"/>
      <c r="J1038" s="964" t="s">
        <v>2313</v>
      </c>
    </row>
    <row r="1039" spans="1:10" ht="22.5" hidden="1">
      <c r="A1039" s="1024"/>
      <c r="B1039" s="1005"/>
      <c r="C1039" s="1031" t="s">
        <v>404</v>
      </c>
      <c r="D1039" s="1035"/>
      <c r="E1039" s="1026"/>
      <c r="F1039" s="1035"/>
      <c r="G1039" s="1026"/>
      <c r="H1039" s="1031"/>
      <c r="I1039" s="1031"/>
      <c r="J1039" s="964" t="s">
        <v>2313</v>
      </c>
    </row>
    <row r="1040" spans="1:10" hidden="1">
      <c r="A1040" s="1024"/>
      <c r="B1040" s="1005"/>
      <c r="C1040" s="1031" t="s">
        <v>384</v>
      </c>
      <c r="D1040" s="1025"/>
      <c r="E1040" s="1028"/>
      <c r="F1040" s="1027"/>
      <c r="G1040" s="1028"/>
      <c r="H1040" s="1029"/>
      <c r="I1040" s="1030"/>
      <c r="J1040" s="964" t="s">
        <v>2313</v>
      </c>
    </row>
    <row r="1041" spans="1:10" hidden="1">
      <c r="A1041" s="1024"/>
      <c r="B1041" s="1005"/>
      <c r="C1041" s="1042" t="s">
        <v>1656</v>
      </c>
      <c r="D1041" s="1025">
        <v>0.05</v>
      </c>
      <c r="E1041" s="1043" t="s">
        <v>27</v>
      </c>
      <c r="F1041" s="1027">
        <v>1</v>
      </c>
      <c r="G1041" s="1043" t="s">
        <v>27</v>
      </c>
      <c r="H1041" s="1029">
        <f>'MINI SSR 2022-23'!$H$16</f>
        <v>700</v>
      </c>
      <c r="I1041" s="1030">
        <f>SUM(D1041*H1041/F1041)</f>
        <v>35</v>
      </c>
      <c r="J1041" s="964" t="s">
        <v>2313</v>
      </c>
    </row>
    <row r="1042" spans="1:10" hidden="1">
      <c r="A1042" s="1024"/>
      <c r="B1042" s="1005"/>
      <c r="C1042" s="1042" t="s">
        <v>700</v>
      </c>
      <c r="D1042" s="1025">
        <v>0.05</v>
      </c>
      <c r="E1042" s="1043" t="s">
        <v>27</v>
      </c>
      <c r="F1042" s="1027">
        <v>1</v>
      </c>
      <c r="G1042" s="1043" t="s">
        <v>27</v>
      </c>
      <c r="H1042" s="1029">
        <f>'MINI SSR 2022-23'!$H$18</f>
        <v>505</v>
      </c>
      <c r="I1042" s="1041">
        <f>SUM(D1042*H1042/F1042)</f>
        <v>25.25</v>
      </c>
      <c r="J1042" s="964" t="s">
        <v>2313</v>
      </c>
    </row>
    <row r="1043" spans="1:10" hidden="1">
      <c r="A1043" s="1024"/>
      <c r="B1043" s="1005"/>
      <c r="C1043" s="1031" t="s">
        <v>327</v>
      </c>
      <c r="D1043" s="1025"/>
      <c r="E1043" s="1043"/>
      <c r="F1043" s="1027"/>
      <c r="G1043" s="1043"/>
      <c r="H1043" s="1029"/>
      <c r="I1043" s="1030"/>
      <c r="J1043" s="964" t="s">
        <v>2313</v>
      </c>
    </row>
    <row r="1044" spans="1:10" hidden="1">
      <c r="A1044" s="1024"/>
      <c r="B1044" s="1005"/>
      <c r="C1044" s="1031" t="s">
        <v>3288</v>
      </c>
      <c r="D1044" s="1053">
        <v>1</v>
      </c>
      <c r="E1044" s="1028" t="s">
        <v>325</v>
      </c>
      <c r="F1044" s="1027">
        <v>1</v>
      </c>
      <c r="G1044" s="1028" t="s">
        <v>115</v>
      </c>
      <c r="H1044" s="1029">
        <f>'MINI SSR 2022-23'!G114</f>
        <v>21</v>
      </c>
      <c r="I1044" s="1030">
        <f>SUM(D1044*H1044/F1044)</f>
        <v>21</v>
      </c>
      <c r="J1044" s="964" t="s">
        <v>2313</v>
      </c>
    </row>
    <row r="1045" spans="1:10" hidden="1">
      <c r="A1045" s="1024"/>
      <c r="B1045" s="1005"/>
      <c r="C1045" s="1031" t="s">
        <v>1266</v>
      </c>
      <c r="D1045" s="1053">
        <v>1</v>
      </c>
      <c r="E1045" s="1028" t="s">
        <v>325</v>
      </c>
      <c r="F1045" s="1027">
        <v>1</v>
      </c>
      <c r="G1045" s="1028" t="s">
        <v>115</v>
      </c>
      <c r="H1045" s="1029">
        <f>'MINI SSR 2022-23'!G115</f>
        <v>46</v>
      </c>
      <c r="I1045" s="1030">
        <f>SUM(D1045*H1045/F1045)</f>
        <v>46</v>
      </c>
      <c r="J1045" s="964" t="s">
        <v>2313</v>
      </c>
    </row>
    <row r="1046" spans="1:10" hidden="1">
      <c r="A1046" s="1024"/>
      <c r="B1046" s="1005"/>
      <c r="C1046" s="1031" t="s">
        <v>405</v>
      </c>
      <c r="D1046" s="1025"/>
      <c r="E1046" s="1043"/>
      <c r="F1046" s="1027"/>
      <c r="G1046" s="1043"/>
      <c r="H1046" s="1029"/>
      <c r="I1046" s="1030">
        <f>SUM(I1041:I1045)</f>
        <v>127.25</v>
      </c>
      <c r="J1046" s="964" t="s">
        <v>2313</v>
      </c>
    </row>
    <row r="1047" spans="1:10" ht="45" hidden="1">
      <c r="A1047" s="1029" t="s">
        <v>1664</v>
      </c>
      <c r="B1047" s="1024">
        <v>13</v>
      </c>
      <c r="C1047" s="1031" t="s">
        <v>406</v>
      </c>
      <c r="D1047" s="1035"/>
      <c r="E1047" s="1026"/>
      <c r="F1047" s="1035"/>
      <c r="G1047" s="1026"/>
      <c r="H1047" s="1031"/>
      <c r="I1047" s="1031"/>
      <c r="J1047" s="964" t="s">
        <v>2313</v>
      </c>
    </row>
    <row r="1048" spans="1:10" ht="33.75" hidden="1">
      <c r="A1048" s="1024"/>
      <c r="B1048" s="1024"/>
      <c r="C1048" s="1031" t="s">
        <v>407</v>
      </c>
      <c r="D1048" s="1065"/>
      <c r="E1048" s="1026"/>
      <c r="F1048" s="1035"/>
      <c r="G1048" s="1026"/>
      <c r="H1048" s="1031"/>
      <c r="I1048" s="1031"/>
      <c r="J1048" s="964" t="s">
        <v>2313</v>
      </c>
    </row>
    <row r="1049" spans="1:10" ht="33.75" hidden="1">
      <c r="A1049" s="1024"/>
      <c r="B1049" s="1024"/>
      <c r="C1049" s="1031" t="s">
        <v>408</v>
      </c>
      <c r="D1049" s="1065"/>
      <c r="E1049" s="1026"/>
      <c r="F1049" s="1035"/>
      <c r="G1049" s="1026"/>
      <c r="H1049" s="1031"/>
      <c r="I1049" s="1031"/>
      <c r="J1049" s="964" t="s">
        <v>2313</v>
      </c>
    </row>
    <row r="1050" spans="1:10" hidden="1">
      <c r="A1050" s="1024"/>
      <c r="B1050" s="1005"/>
      <c r="C1050" s="1066" t="s">
        <v>409</v>
      </c>
      <c r="D1050" s="1025"/>
      <c r="E1050" s="1028"/>
      <c r="F1050" s="1027"/>
      <c r="G1050" s="1028"/>
      <c r="H1050" s="1029"/>
      <c r="I1050" s="1030"/>
      <c r="J1050" s="964" t="s">
        <v>2313</v>
      </c>
    </row>
    <row r="1051" spans="1:10" hidden="1">
      <c r="A1051" s="1024"/>
      <c r="B1051" s="1005"/>
      <c r="C1051" s="1042" t="s">
        <v>1656</v>
      </c>
      <c r="D1051" s="1061">
        <v>0.125</v>
      </c>
      <c r="E1051" s="1043" t="s">
        <v>27</v>
      </c>
      <c r="F1051" s="1027">
        <v>1</v>
      </c>
      <c r="G1051" s="1043" t="s">
        <v>27</v>
      </c>
      <c r="H1051" s="1029">
        <f>'MINI SSR 2022-23'!$H$16</f>
        <v>700</v>
      </c>
      <c r="I1051" s="1030">
        <f>SUM(D1051*H1051/F1051)</f>
        <v>87.5</v>
      </c>
      <c r="J1051" s="964" t="s">
        <v>2313</v>
      </c>
    </row>
    <row r="1052" spans="1:10" hidden="1">
      <c r="A1052" s="1024"/>
      <c r="B1052" s="1005"/>
      <c r="C1052" s="1042" t="s">
        <v>700</v>
      </c>
      <c r="D1052" s="1061">
        <v>0.125</v>
      </c>
      <c r="E1052" s="1043" t="s">
        <v>27</v>
      </c>
      <c r="F1052" s="1027">
        <v>1</v>
      </c>
      <c r="G1052" s="1043" t="s">
        <v>27</v>
      </c>
      <c r="H1052" s="1029">
        <f>'MINI SSR 2022-23'!$H$18</f>
        <v>505</v>
      </c>
      <c r="I1052" s="1041">
        <f>SUM(D1052*H1052/F1052)</f>
        <v>63.125</v>
      </c>
      <c r="J1052" s="964" t="s">
        <v>2313</v>
      </c>
    </row>
    <row r="1053" spans="1:10" hidden="1">
      <c r="A1053" s="1024"/>
      <c r="B1053" s="1005"/>
      <c r="C1053" s="1031" t="s">
        <v>410</v>
      </c>
      <c r="D1053" s="1025"/>
      <c r="E1053" s="1043"/>
      <c r="F1053" s="1027"/>
      <c r="G1053" s="1043"/>
      <c r="H1053" s="1029"/>
      <c r="I1053" s="1030"/>
      <c r="J1053" s="964" t="s">
        <v>2313</v>
      </c>
    </row>
    <row r="1054" spans="1:10" hidden="1">
      <c r="A1054" s="1024"/>
      <c r="B1054" s="1005"/>
      <c r="C1054" s="1052" t="s">
        <v>1665</v>
      </c>
      <c r="D1054" s="1025">
        <v>1</v>
      </c>
      <c r="E1054" s="1028" t="s">
        <v>385</v>
      </c>
      <c r="F1054" s="1027">
        <v>100</v>
      </c>
      <c r="G1054" s="1028" t="s">
        <v>395</v>
      </c>
      <c r="H1054" s="1029">
        <f>'MINI SSR 2022-23'!G116</f>
        <v>1244</v>
      </c>
      <c r="I1054" s="1030">
        <f>SUM(D1054*H1054/F1054)</f>
        <v>12.44</v>
      </c>
      <c r="J1054" s="964" t="s">
        <v>2313</v>
      </c>
    </row>
    <row r="1055" spans="1:10" hidden="1">
      <c r="A1055" s="1024"/>
      <c r="B1055" s="1005"/>
      <c r="C1055" s="1052" t="s">
        <v>1666</v>
      </c>
      <c r="D1055" s="1025">
        <v>1</v>
      </c>
      <c r="E1055" s="1028" t="s">
        <v>115</v>
      </c>
      <c r="F1055" s="1027">
        <v>1</v>
      </c>
      <c r="G1055" s="1028" t="s">
        <v>115</v>
      </c>
      <c r="H1055" s="1029">
        <f>'MINI SSR 2022-23'!G117</f>
        <v>208</v>
      </c>
      <c r="I1055" s="1030">
        <f>SUM(D1055*H1055/F1055)</f>
        <v>208</v>
      </c>
      <c r="J1055" s="964" t="s">
        <v>2313</v>
      </c>
    </row>
    <row r="1056" spans="1:10" hidden="1">
      <c r="A1056" s="1024"/>
      <c r="B1056" s="1005"/>
      <c r="C1056" s="1052" t="s">
        <v>1667</v>
      </c>
      <c r="D1056" s="1025">
        <v>1</v>
      </c>
      <c r="E1056" s="1028" t="s">
        <v>325</v>
      </c>
      <c r="F1056" s="1027">
        <v>1</v>
      </c>
      <c r="G1056" s="1028" t="s">
        <v>325</v>
      </c>
      <c r="H1056" s="1029">
        <f>'MINI SSR 2022-23'!G118</f>
        <v>2912</v>
      </c>
      <c r="I1056" s="1030">
        <f>SUM(D1056*H1056/F1056)</f>
        <v>2912</v>
      </c>
      <c r="J1056" s="964" t="s">
        <v>2313</v>
      </c>
    </row>
    <row r="1057" spans="1:10" hidden="1">
      <c r="A1057" s="1024"/>
      <c r="B1057" s="1005"/>
      <c r="C1057" s="1031" t="s">
        <v>411</v>
      </c>
      <c r="D1057" s="1025"/>
      <c r="E1057" s="1028"/>
      <c r="F1057" s="1027"/>
      <c r="G1057" s="1028"/>
      <c r="H1057" s="1067">
        <v>0.01</v>
      </c>
      <c r="I1057" s="1030">
        <f>SUM(I1056*H1057)</f>
        <v>29.12</v>
      </c>
      <c r="J1057" s="964" t="s">
        <v>2313</v>
      </c>
    </row>
    <row r="1058" spans="1:10" hidden="1">
      <c r="A1058" s="1024"/>
      <c r="B1058" s="1005"/>
      <c r="C1058" s="1036" t="s">
        <v>388</v>
      </c>
      <c r="D1058" s="1032"/>
      <c r="E1058" s="1033"/>
      <c r="F1058" s="1032"/>
      <c r="G1058" s="1068"/>
      <c r="H1058" s="1064"/>
      <c r="I1058" s="1030">
        <f>SUM(I1051:I1057)</f>
        <v>3312.1849999999999</v>
      </c>
      <c r="J1058" s="964" t="s">
        <v>2313</v>
      </c>
    </row>
    <row r="1059" spans="1:10" ht="33.75" hidden="1">
      <c r="A1059" s="1029" t="s">
        <v>1668</v>
      </c>
      <c r="B1059" s="1024">
        <v>12</v>
      </c>
      <c r="C1059" s="1031" t="s">
        <v>946</v>
      </c>
      <c r="D1059" s="1035"/>
      <c r="E1059" s="1026"/>
      <c r="F1059" s="1035"/>
      <c r="G1059" s="1026"/>
      <c r="H1059" s="1031"/>
      <c r="I1059" s="1031"/>
      <c r="J1059" s="964" t="s">
        <v>2313</v>
      </c>
    </row>
    <row r="1060" spans="1:10" hidden="1">
      <c r="A1060" s="1024"/>
      <c r="B1060" s="1005"/>
      <c r="C1060" s="1052" t="s">
        <v>970</v>
      </c>
      <c r="D1060" s="1025">
        <v>1</v>
      </c>
      <c r="E1060" s="1028" t="s">
        <v>325</v>
      </c>
      <c r="F1060" s="1027">
        <v>1</v>
      </c>
      <c r="G1060" s="1028" t="s">
        <v>325</v>
      </c>
      <c r="H1060" s="1029">
        <f>'MINI SSR 2022-23'!G118</f>
        <v>2912</v>
      </c>
      <c r="I1060" s="1030">
        <f>SUM(D1060*H1060/F1060)</f>
        <v>2912</v>
      </c>
      <c r="J1060" s="964" t="s">
        <v>2313</v>
      </c>
    </row>
    <row r="1061" spans="1:10" hidden="1">
      <c r="A1061" s="1024"/>
      <c r="B1061" s="1005"/>
      <c r="C1061" s="1031" t="s">
        <v>411</v>
      </c>
      <c r="D1061" s="1025"/>
      <c r="E1061" s="1028"/>
      <c r="F1061" s="1027"/>
      <c r="G1061" s="1028"/>
      <c r="H1061" s="1067">
        <v>0.01</v>
      </c>
      <c r="I1061" s="1030">
        <f>SUM(I1060*H1061)</f>
        <v>29.12</v>
      </c>
      <c r="J1061" s="964" t="s">
        <v>2313</v>
      </c>
    </row>
    <row r="1062" spans="1:10" hidden="1">
      <c r="A1062" s="1024"/>
      <c r="B1062" s="1005"/>
      <c r="C1062" s="1036" t="s">
        <v>388</v>
      </c>
      <c r="D1062" s="1032"/>
      <c r="E1062" s="1033"/>
      <c r="F1062" s="1032"/>
      <c r="G1062" s="1068"/>
      <c r="H1062" s="1064"/>
      <c r="I1062" s="1030">
        <f>SUM(I1060:I1061)</f>
        <v>2941.12</v>
      </c>
      <c r="J1062" s="964" t="s">
        <v>2313</v>
      </c>
    </row>
    <row r="1063" spans="1:10" ht="22.5" hidden="1">
      <c r="A1063" s="1029" t="s">
        <v>1669</v>
      </c>
      <c r="B1063" s="1024">
        <v>13</v>
      </c>
      <c r="C1063" s="1031" t="s">
        <v>1670</v>
      </c>
      <c r="D1063" s="1035"/>
      <c r="E1063" s="1026"/>
      <c r="F1063" s="1035"/>
      <c r="G1063" s="1026"/>
      <c r="H1063" s="1031"/>
      <c r="I1063" s="1031"/>
      <c r="J1063" s="964" t="s">
        <v>2313</v>
      </c>
    </row>
    <row r="1064" spans="1:10" hidden="1">
      <c r="A1064" s="1024"/>
      <c r="B1064" s="1005"/>
      <c r="C1064" s="1052" t="s">
        <v>1666</v>
      </c>
      <c r="D1064" s="1025">
        <v>1</v>
      </c>
      <c r="E1064" s="1028" t="s">
        <v>325</v>
      </c>
      <c r="F1064" s="1027">
        <v>1</v>
      </c>
      <c r="G1064" s="1028" t="s">
        <v>325</v>
      </c>
      <c r="H1064" s="1029">
        <f>'MINI SSR 2022-23'!G117</f>
        <v>208</v>
      </c>
      <c r="I1064" s="1030">
        <f>SUM(D1064*H1064/F1064)</f>
        <v>208</v>
      </c>
      <c r="J1064" s="964" t="s">
        <v>2313</v>
      </c>
    </row>
    <row r="1065" spans="1:10" hidden="1">
      <c r="A1065" s="1024"/>
      <c r="B1065" s="1005"/>
      <c r="C1065" s="1042" t="s">
        <v>1656</v>
      </c>
      <c r="D1065" s="1061">
        <v>0.1</v>
      </c>
      <c r="E1065" s="1043" t="s">
        <v>27</v>
      </c>
      <c r="F1065" s="1027">
        <v>1</v>
      </c>
      <c r="G1065" s="1043" t="s">
        <v>27</v>
      </c>
      <c r="H1065" s="1029">
        <f>'MINI SSR 2022-23'!$H$16</f>
        <v>700</v>
      </c>
      <c r="I1065" s="1030">
        <f>SUM(D1065*H1065/F1065)</f>
        <v>70</v>
      </c>
      <c r="J1065" s="964" t="s">
        <v>2313</v>
      </c>
    </row>
    <row r="1066" spans="1:10" hidden="1">
      <c r="A1066" s="1024"/>
      <c r="B1066" s="1005"/>
      <c r="C1066" s="1031"/>
      <c r="D1066" s="1025"/>
      <c r="E1066" s="1028"/>
      <c r="F1066" s="1027"/>
      <c r="G1066" s="1028"/>
      <c r="H1066" s="1067"/>
      <c r="I1066" s="1030"/>
      <c r="J1066" s="964" t="s">
        <v>2313</v>
      </c>
    </row>
    <row r="1067" spans="1:10" hidden="1">
      <c r="A1067" s="1024"/>
      <c r="B1067" s="1005"/>
      <c r="C1067" s="1036" t="s">
        <v>388</v>
      </c>
      <c r="D1067" s="1032"/>
      <c r="E1067" s="1033"/>
      <c r="F1067" s="1032"/>
      <c r="G1067" s="1068"/>
      <c r="H1067" s="1064"/>
      <c r="I1067" s="1030">
        <f>SUM(I1064:I1066)</f>
        <v>278</v>
      </c>
      <c r="J1067" s="964" t="s">
        <v>2313</v>
      </c>
    </row>
    <row r="1068" spans="1:10" ht="22.5" hidden="1">
      <c r="A1068" s="1029" t="s">
        <v>1664</v>
      </c>
      <c r="B1068" s="1024">
        <v>14</v>
      </c>
      <c r="C1068" s="1031" t="s">
        <v>948</v>
      </c>
      <c r="D1068" s="1035"/>
      <c r="E1068" s="1026"/>
      <c r="F1068" s="1035"/>
      <c r="G1068" s="1026"/>
      <c r="H1068" s="1031"/>
      <c r="I1068" s="1031"/>
      <c r="J1068" s="964" t="s">
        <v>2313</v>
      </c>
    </row>
    <row r="1069" spans="1:10" hidden="1">
      <c r="A1069" s="1024"/>
      <c r="B1069" s="1005"/>
      <c r="C1069" s="1066" t="s">
        <v>409</v>
      </c>
      <c r="D1069" s="1025"/>
      <c r="E1069" s="1028"/>
      <c r="F1069" s="1027"/>
      <c r="G1069" s="1028"/>
      <c r="H1069" s="1029"/>
      <c r="I1069" s="1030"/>
      <c r="J1069" s="964" t="s">
        <v>2313</v>
      </c>
    </row>
    <row r="1070" spans="1:10" hidden="1">
      <c r="A1070" s="1024"/>
      <c r="B1070" s="1005"/>
      <c r="C1070" s="1042" t="s">
        <v>1656</v>
      </c>
      <c r="D1070" s="1061">
        <v>0.125</v>
      </c>
      <c r="E1070" s="1043" t="s">
        <v>27</v>
      </c>
      <c r="F1070" s="1027">
        <v>1</v>
      </c>
      <c r="G1070" s="1043" t="s">
        <v>27</v>
      </c>
      <c r="H1070" s="1029">
        <f>'MINI SSR 2022-23'!$H$16</f>
        <v>700</v>
      </c>
      <c r="I1070" s="1030">
        <f>SUM(D1070*H1070/F1070)</f>
        <v>87.5</v>
      </c>
      <c r="J1070" s="964" t="s">
        <v>2313</v>
      </c>
    </row>
    <row r="1071" spans="1:10" hidden="1">
      <c r="A1071" s="1024"/>
      <c r="B1071" s="1005"/>
      <c r="C1071" s="1042" t="s">
        <v>700</v>
      </c>
      <c r="D1071" s="1061">
        <v>0.125</v>
      </c>
      <c r="E1071" s="1043" t="s">
        <v>27</v>
      </c>
      <c r="F1071" s="1027">
        <v>1</v>
      </c>
      <c r="G1071" s="1043" t="s">
        <v>27</v>
      </c>
      <c r="H1071" s="1029">
        <f>'MINI SSR 2022-23'!$H$18</f>
        <v>505</v>
      </c>
      <c r="I1071" s="1041">
        <f>SUM(D1071*H1071/F1071)</f>
        <v>63.125</v>
      </c>
      <c r="J1071" s="964" t="s">
        <v>2313</v>
      </c>
    </row>
    <row r="1072" spans="1:10" hidden="1">
      <c r="A1072" s="1024"/>
      <c r="B1072" s="1005"/>
      <c r="C1072" s="1031" t="s">
        <v>410</v>
      </c>
      <c r="D1072" s="1025"/>
      <c r="E1072" s="1043"/>
      <c r="F1072" s="1027"/>
      <c r="G1072" s="1043"/>
      <c r="H1072" s="1029"/>
      <c r="I1072" s="1030"/>
      <c r="J1072" s="964" t="s">
        <v>2313</v>
      </c>
    </row>
    <row r="1073" spans="1:10" hidden="1">
      <c r="A1073" s="1024"/>
      <c r="B1073" s="1005"/>
      <c r="C1073" s="1052" t="s">
        <v>949</v>
      </c>
      <c r="D1073" s="1025">
        <v>1</v>
      </c>
      <c r="E1073" s="1028" t="s">
        <v>385</v>
      </c>
      <c r="F1073" s="1027">
        <v>100</v>
      </c>
      <c r="G1073" s="1028" t="s">
        <v>395</v>
      </c>
      <c r="H1073" s="1029">
        <f>'MINI SSR 2022-23'!G116</f>
        <v>1244</v>
      </c>
      <c r="I1073" s="1030">
        <f>SUM(D1073*H1073/F1073)</f>
        <v>12.44</v>
      </c>
      <c r="J1073" s="964" t="s">
        <v>2313</v>
      </c>
    </row>
    <row r="1074" spans="1:10" hidden="1">
      <c r="A1074" s="1024"/>
      <c r="B1074" s="1005"/>
      <c r="C1074" s="1036" t="s">
        <v>388</v>
      </c>
      <c r="D1074" s="1032"/>
      <c r="E1074" s="1033"/>
      <c r="F1074" s="1032"/>
      <c r="G1074" s="1068"/>
      <c r="H1074" s="1064"/>
      <c r="I1074" s="1030">
        <f>SUM(I1070:I1073)</f>
        <v>163.065</v>
      </c>
      <c r="J1074" s="964" t="s">
        <v>2313</v>
      </c>
    </row>
    <row r="1075" spans="1:10" ht="33.75" hidden="1">
      <c r="A1075" s="1029" t="s">
        <v>1671</v>
      </c>
      <c r="B1075" s="1024">
        <v>39</v>
      </c>
      <c r="C1075" s="1031" t="s">
        <v>950</v>
      </c>
      <c r="D1075" s="1035"/>
      <c r="E1075" s="1026"/>
      <c r="F1075" s="1035"/>
      <c r="G1075" s="1026"/>
      <c r="H1075" s="1031"/>
      <c r="I1075" s="1031"/>
      <c r="J1075" s="964" t="s">
        <v>2313</v>
      </c>
    </row>
    <row r="1076" spans="1:10" hidden="1">
      <c r="A1076" s="1024"/>
      <c r="B1076" s="1005"/>
      <c r="C1076" s="1066" t="s">
        <v>409</v>
      </c>
      <c r="D1076" s="1025"/>
      <c r="E1076" s="1028"/>
      <c r="F1076" s="1027"/>
      <c r="G1076" s="1028"/>
      <c r="H1076" s="1029"/>
      <c r="I1076" s="1030"/>
      <c r="J1076" s="964" t="s">
        <v>2313</v>
      </c>
    </row>
    <row r="1077" spans="1:10" hidden="1">
      <c r="A1077" s="1024"/>
      <c r="B1077" s="1005"/>
      <c r="C1077" s="1042" t="s">
        <v>700</v>
      </c>
      <c r="D1077" s="1061">
        <v>0.1</v>
      </c>
      <c r="E1077" s="1043" t="s">
        <v>27</v>
      </c>
      <c r="F1077" s="1027">
        <v>1</v>
      </c>
      <c r="G1077" s="1043" t="s">
        <v>27</v>
      </c>
      <c r="H1077" s="1029">
        <f>'MINI SSR 2022-23'!$H$18</f>
        <v>505</v>
      </c>
      <c r="I1077" s="1041">
        <f>SUM(D1077*H1077/F1077)</f>
        <v>50.5</v>
      </c>
      <c r="J1077" s="964" t="s">
        <v>2313</v>
      </c>
    </row>
    <row r="1078" spans="1:10" hidden="1">
      <c r="A1078" s="1024"/>
      <c r="B1078" s="1005"/>
      <c r="C1078" s="1031" t="s">
        <v>410</v>
      </c>
      <c r="D1078" s="1025"/>
      <c r="E1078" s="1043"/>
      <c r="F1078" s="1027"/>
      <c r="G1078" s="1043"/>
      <c r="H1078" s="1029"/>
      <c r="I1078" s="1030"/>
      <c r="J1078" s="964" t="s">
        <v>2313</v>
      </c>
    </row>
    <row r="1079" spans="1:10" ht="22.5" hidden="1">
      <c r="A1079" s="1024"/>
      <c r="B1079" s="1005"/>
      <c r="C1079" s="1052" t="s">
        <v>1672</v>
      </c>
      <c r="D1079" s="1025">
        <v>1</v>
      </c>
      <c r="E1079" s="1028" t="s">
        <v>115</v>
      </c>
      <c r="F1079" s="1027">
        <v>1</v>
      </c>
      <c r="G1079" s="1028" t="s">
        <v>115</v>
      </c>
      <c r="H1079" s="1029">
        <f>'MINI SSR 2022-23'!G119</f>
        <v>111</v>
      </c>
      <c r="I1079" s="1030">
        <f>SUM(D1079*H1079/F1079)</f>
        <v>111</v>
      </c>
      <c r="J1079" s="964" t="s">
        <v>2313</v>
      </c>
    </row>
    <row r="1080" spans="1:10" hidden="1">
      <c r="A1080" s="1024"/>
      <c r="B1080" s="1005"/>
      <c r="C1080" s="1036" t="s">
        <v>388</v>
      </c>
      <c r="D1080" s="1032"/>
      <c r="E1080" s="1033"/>
      <c r="F1080" s="1032"/>
      <c r="G1080" s="1068"/>
      <c r="H1080" s="1064"/>
      <c r="I1080" s="1030">
        <f>SUM(I1077:I1079)</f>
        <v>161.5</v>
      </c>
      <c r="J1080" s="964" t="s">
        <v>2313</v>
      </c>
    </row>
    <row r="1081" spans="1:10" ht="22.5" hidden="1">
      <c r="A1081" s="1029" t="s">
        <v>1673</v>
      </c>
      <c r="B1081" s="1048">
        <v>15</v>
      </c>
      <c r="C1081" s="1031" t="s">
        <v>1674</v>
      </c>
      <c r="D1081" s="1032"/>
      <c r="E1081" s="1033"/>
      <c r="F1081" s="1032"/>
      <c r="G1081" s="1033"/>
      <c r="H1081" s="1034"/>
      <c r="I1081" s="1034"/>
      <c r="J1081" s="964" t="s">
        <v>2313</v>
      </c>
    </row>
    <row r="1082" spans="1:10" hidden="1">
      <c r="A1082" s="1047"/>
      <c r="B1082" s="1048"/>
      <c r="C1082" s="1042" t="s">
        <v>1572</v>
      </c>
      <c r="D1082" s="1025">
        <v>1</v>
      </c>
      <c r="E1082" s="1043" t="s">
        <v>325</v>
      </c>
      <c r="F1082" s="1027">
        <v>1</v>
      </c>
      <c r="G1082" s="1043" t="s">
        <v>325</v>
      </c>
      <c r="H1082" s="1029">
        <f>'MINI SSR 2022-23'!G120</f>
        <v>39</v>
      </c>
      <c r="I1082" s="1041">
        <f>SUM(D1082*H1082/F1082)</f>
        <v>39</v>
      </c>
      <c r="J1082" s="964" t="s">
        <v>2313</v>
      </c>
    </row>
    <row r="1083" spans="1:10" hidden="1">
      <c r="A1083" s="1024"/>
      <c r="B1083" s="1005"/>
      <c r="C1083" s="1042" t="s">
        <v>1675</v>
      </c>
      <c r="D1083" s="1061">
        <v>0.16600000000000001</v>
      </c>
      <c r="E1083" s="1043" t="s">
        <v>27</v>
      </c>
      <c r="F1083" s="1027">
        <v>1</v>
      </c>
      <c r="G1083" s="1043" t="s">
        <v>27</v>
      </c>
      <c r="H1083" s="1029">
        <f>'MINI SSR 2022-23'!H3</f>
        <v>630</v>
      </c>
      <c r="I1083" s="1041">
        <f>SUM(D1083*H1083/F1083)</f>
        <v>104.58000000000001</v>
      </c>
      <c r="J1083" s="964" t="s">
        <v>2313</v>
      </c>
    </row>
    <row r="1084" spans="1:10" hidden="1">
      <c r="A1084" s="1024"/>
      <c r="B1084" s="1005"/>
      <c r="C1084" s="1042" t="s">
        <v>1676</v>
      </c>
      <c r="D1084" s="1061">
        <v>0.16600000000000001</v>
      </c>
      <c r="E1084" s="1043" t="s">
        <v>27</v>
      </c>
      <c r="F1084" s="1027">
        <v>1</v>
      </c>
      <c r="G1084" s="1043" t="s">
        <v>27</v>
      </c>
      <c r="H1084" s="1029">
        <f>'MINI SSR 2022-23'!H5</f>
        <v>525</v>
      </c>
      <c r="I1084" s="1041">
        <f>SUM(D1084*H1084/F1084)</f>
        <v>87.15</v>
      </c>
      <c r="J1084" s="964" t="s">
        <v>2313</v>
      </c>
    </row>
    <row r="1085" spans="1:10" hidden="1">
      <c r="A1085" s="1047"/>
      <c r="B1085" s="1048"/>
      <c r="C1085" s="1044"/>
      <c r="D1085" s="1025"/>
      <c r="E1085" s="1043"/>
      <c r="F1085" s="1027"/>
      <c r="G1085" s="1043"/>
      <c r="H1085" s="1029"/>
      <c r="I1085" s="1041">
        <f>SUM(I1082:I1084)</f>
        <v>230.73000000000002</v>
      </c>
      <c r="J1085" s="964" t="s">
        <v>2313</v>
      </c>
    </row>
    <row r="1086" spans="1:10" ht="56.25" hidden="1">
      <c r="A1086" s="1051" t="s">
        <v>726</v>
      </c>
      <c r="B1086" s="1024">
        <v>14</v>
      </c>
      <c r="C1086" s="1031" t="s">
        <v>412</v>
      </c>
      <c r="D1086" s="1035"/>
      <c r="E1086" s="1026"/>
      <c r="F1086" s="1035"/>
      <c r="G1086" s="1026"/>
      <c r="H1086" s="1031"/>
      <c r="I1086" s="1031"/>
      <c r="J1086" s="964" t="s">
        <v>2313</v>
      </c>
    </row>
    <row r="1087" spans="1:10" hidden="1">
      <c r="A1087" s="1024"/>
      <c r="B1087" s="1005"/>
      <c r="C1087" s="1031" t="s">
        <v>409</v>
      </c>
      <c r="D1087" s="1025"/>
      <c r="E1087" s="1028"/>
      <c r="F1087" s="1027"/>
      <c r="G1087" s="1028"/>
      <c r="H1087" s="1029"/>
      <c r="I1087" s="1030"/>
      <c r="J1087" s="964" t="s">
        <v>2313</v>
      </c>
    </row>
    <row r="1088" spans="1:10" hidden="1">
      <c r="A1088" s="1024"/>
      <c r="B1088" s="1005"/>
      <c r="C1088" s="1042" t="s">
        <v>1656</v>
      </c>
      <c r="D1088" s="1025">
        <v>0.1</v>
      </c>
      <c r="E1088" s="1043" t="s">
        <v>27</v>
      </c>
      <c r="F1088" s="1027">
        <v>1</v>
      </c>
      <c r="G1088" s="1043" t="s">
        <v>27</v>
      </c>
      <c r="H1088" s="1029">
        <f>'MINI SSR 2022-23'!$H$16</f>
        <v>700</v>
      </c>
      <c r="I1088" s="1030">
        <f>SUM(D1088*H1088/F1088)</f>
        <v>70</v>
      </c>
      <c r="J1088" s="964" t="s">
        <v>2313</v>
      </c>
    </row>
    <row r="1089" spans="1:10" hidden="1">
      <c r="A1089" s="1024"/>
      <c r="B1089" s="1005"/>
      <c r="C1089" s="1042" t="s">
        <v>1657</v>
      </c>
      <c r="D1089" s="1025">
        <v>0.1</v>
      </c>
      <c r="E1089" s="1043" t="s">
        <v>27</v>
      </c>
      <c r="F1089" s="1027">
        <v>1</v>
      </c>
      <c r="G1089" s="1043" t="s">
        <v>27</v>
      </c>
      <c r="H1089" s="1029">
        <f>'MINI SSR 2022-23'!$H$17</f>
        <v>570</v>
      </c>
      <c r="I1089" s="1030">
        <f>SUM(D1089*H1089/F1089)</f>
        <v>57</v>
      </c>
      <c r="J1089" s="964" t="s">
        <v>2313</v>
      </c>
    </row>
    <row r="1090" spans="1:10" hidden="1">
      <c r="A1090" s="1024"/>
      <c r="B1090" s="1005"/>
      <c r="C1090" s="1031" t="s">
        <v>327</v>
      </c>
      <c r="D1090" s="1025"/>
      <c r="E1090" s="1043"/>
      <c r="F1090" s="1027"/>
      <c r="G1090" s="1043"/>
      <c r="H1090" s="1029"/>
      <c r="I1090" s="1030"/>
      <c r="J1090" s="964" t="s">
        <v>2313</v>
      </c>
    </row>
    <row r="1091" spans="1:10" hidden="1">
      <c r="A1091" s="1024"/>
      <c r="B1091" s="1005"/>
      <c r="C1091" s="1052" t="s">
        <v>1677</v>
      </c>
      <c r="D1091" s="1025">
        <v>1</v>
      </c>
      <c r="E1091" s="1028" t="s">
        <v>385</v>
      </c>
      <c r="F1091" s="1027">
        <v>100</v>
      </c>
      <c r="G1091" s="1028" t="s">
        <v>395</v>
      </c>
      <c r="H1091" s="1029">
        <f>'MINI SSR 2022-23'!G116</f>
        <v>1244</v>
      </c>
      <c r="I1091" s="1030">
        <f>SUM(D1091*H1091/F1091)</f>
        <v>12.44</v>
      </c>
      <c r="J1091" s="964" t="s">
        <v>2313</v>
      </c>
    </row>
    <row r="1092" spans="1:10" hidden="1">
      <c r="A1092" s="1024"/>
      <c r="B1092" s="1005"/>
      <c r="C1092" s="1052" t="s">
        <v>2099</v>
      </c>
      <c r="D1092" s="1053">
        <v>1</v>
      </c>
      <c r="E1092" s="1028" t="s">
        <v>115</v>
      </c>
      <c r="F1092" s="1027">
        <v>1</v>
      </c>
      <c r="G1092" s="1028" t="s">
        <v>115</v>
      </c>
      <c r="H1092" s="1029">
        <f>'MINI SSR 2022-23'!G121</f>
        <v>267</v>
      </c>
      <c r="I1092" s="1030">
        <f>SUM(D1092*H1092/F1092)</f>
        <v>267</v>
      </c>
      <c r="J1092" s="964" t="s">
        <v>2313</v>
      </c>
    </row>
    <row r="1093" spans="1:10" hidden="1">
      <c r="A1093" s="1024"/>
      <c r="B1093" s="1005"/>
      <c r="C1093" s="1031" t="s">
        <v>405</v>
      </c>
      <c r="D1093" s="1025"/>
      <c r="E1093" s="1026"/>
      <c r="F1093" s="1027"/>
      <c r="G1093" s="1028"/>
      <c r="H1093" s="1029"/>
      <c r="I1093" s="1030">
        <f>SUM(I1088:I1092)</f>
        <v>406.44</v>
      </c>
      <c r="J1093" s="964" t="s">
        <v>2313</v>
      </c>
    </row>
    <row r="1094" spans="1:10" hidden="1">
      <c r="A1094" s="1047"/>
      <c r="B1094" s="1048"/>
      <c r="C1094" s="1047"/>
      <c r="D1094" s="1058"/>
      <c r="E1094" s="1059"/>
      <c r="F1094" s="1058"/>
      <c r="G1094" s="1059"/>
      <c r="H1094" s="1047"/>
      <c r="I1094" s="1047"/>
      <c r="J1094" s="964" t="s">
        <v>2313</v>
      </c>
    </row>
    <row r="1095" spans="1:10" ht="67.5" hidden="1">
      <c r="A1095" s="1051" t="s">
        <v>727</v>
      </c>
      <c r="B1095" s="1024">
        <v>12</v>
      </c>
      <c r="C1095" s="1031" t="s">
        <v>698</v>
      </c>
      <c r="D1095" s="1035"/>
      <c r="E1095" s="1026"/>
      <c r="F1095" s="1035"/>
      <c r="G1095" s="1026"/>
      <c r="H1095" s="1031"/>
      <c r="I1095" s="1031"/>
      <c r="J1095" s="964" t="s">
        <v>2313</v>
      </c>
    </row>
    <row r="1096" spans="1:10" hidden="1">
      <c r="A1096" s="1024"/>
      <c r="B1096" s="1005"/>
      <c r="C1096" s="1031" t="s">
        <v>409</v>
      </c>
      <c r="D1096" s="1025"/>
      <c r="E1096" s="1028"/>
      <c r="F1096" s="1027"/>
      <c r="G1096" s="1028"/>
      <c r="H1096" s="1029"/>
      <c r="I1096" s="1030"/>
      <c r="J1096" s="964" t="s">
        <v>2313</v>
      </c>
    </row>
    <row r="1097" spans="1:10" hidden="1">
      <c r="A1097" s="1024"/>
      <c r="B1097" s="1005"/>
      <c r="C1097" s="1042" t="s">
        <v>699</v>
      </c>
      <c r="D1097" s="1025">
        <v>0.5</v>
      </c>
      <c r="E1097" s="1043" t="s">
        <v>27</v>
      </c>
      <c r="F1097" s="1027">
        <v>1</v>
      </c>
      <c r="G1097" s="1043" t="s">
        <v>27</v>
      </c>
      <c r="H1097" s="1029">
        <f>'MINI SSR 2022-23'!$H$16</f>
        <v>700</v>
      </c>
      <c r="I1097" s="1030">
        <f>SUM(D1097*H1097/F1097)</f>
        <v>350</v>
      </c>
      <c r="J1097" s="964" t="s">
        <v>2313</v>
      </c>
    </row>
    <row r="1098" spans="1:10" hidden="1">
      <c r="A1098" s="1024"/>
      <c r="B1098" s="1005"/>
      <c r="C1098" s="1042" t="s">
        <v>219</v>
      </c>
      <c r="D1098" s="1025">
        <v>0.5</v>
      </c>
      <c r="E1098" s="1043" t="s">
        <v>27</v>
      </c>
      <c r="F1098" s="1027">
        <v>1</v>
      </c>
      <c r="G1098" s="1043" t="s">
        <v>27</v>
      </c>
      <c r="H1098" s="1029">
        <f>'MINI SSR 2022-23'!$H$17</f>
        <v>570</v>
      </c>
      <c r="I1098" s="1030">
        <f>SUM(D1098*H1098/F1098)</f>
        <v>285</v>
      </c>
      <c r="J1098" s="964" t="s">
        <v>2313</v>
      </c>
    </row>
    <row r="1099" spans="1:10" hidden="1">
      <c r="A1099" s="1024"/>
      <c r="B1099" s="1005"/>
      <c r="C1099" s="1042" t="s">
        <v>700</v>
      </c>
      <c r="D1099" s="1025">
        <v>1</v>
      </c>
      <c r="E1099" s="1043" t="s">
        <v>27</v>
      </c>
      <c r="F1099" s="1027">
        <v>1</v>
      </c>
      <c r="G1099" s="1043" t="s">
        <v>27</v>
      </c>
      <c r="H1099" s="1029">
        <f>'MINI SSR 2022-23'!$H$18</f>
        <v>505</v>
      </c>
      <c r="I1099" s="1041">
        <f>SUM(D1099*H1099/F1099)</f>
        <v>505</v>
      </c>
      <c r="J1099" s="964" t="s">
        <v>2313</v>
      </c>
    </row>
    <row r="1100" spans="1:10" hidden="1">
      <c r="A1100" s="1024"/>
      <c r="B1100" s="1005"/>
      <c r="C1100" s="1031" t="s">
        <v>327</v>
      </c>
      <c r="D1100" s="1025"/>
      <c r="E1100" s="1043"/>
      <c r="F1100" s="1027"/>
      <c r="G1100" s="1043"/>
      <c r="H1100" s="1029"/>
      <c r="I1100" s="1030"/>
      <c r="J1100" s="964" t="s">
        <v>2313</v>
      </c>
    </row>
    <row r="1101" spans="1:10" ht="22.5" hidden="1">
      <c r="A1101" s="1024"/>
      <c r="B1101" s="1024"/>
      <c r="C1101" s="1031" t="s">
        <v>701</v>
      </c>
      <c r="D1101" s="1069">
        <v>1</v>
      </c>
      <c r="E1101" s="1026" t="s">
        <v>325</v>
      </c>
      <c r="F1101" s="1069">
        <v>1</v>
      </c>
      <c r="G1101" s="1026" t="s">
        <v>115</v>
      </c>
      <c r="H1101" s="1051">
        <f>'MINI SSR 2022-23'!G122</f>
        <v>1107</v>
      </c>
      <c r="I1101" s="1070">
        <f>SUM(D1101*H1101/F1101)</f>
        <v>1107</v>
      </c>
      <c r="J1101" s="964" t="s">
        <v>2313</v>
      </c>
    </row>
    <row r="1102" spans="1:10" hidden="1">
      <c r="A1102" s="1024"/>
      <c r="B1102" s="1005"/>
      <c r="C1102" s="1052" t="s">
        <v>702</v>
      </c>
      <c r="D1102" s="1053">
        <v>1</v>
      </c>
      <c r="E1102" s="1028" t="s">
        <v>325</v>
      </c>
      <c r="F1102" s="1027">
        <v>1</v>
      </c>
      <c r="G1102" s="1028" t="s">
        <v>115</v>
      </c>
      <c r="H1102" s="1051">
        <f>'MINI SSR 2022-23'!G123</f>
        <v>455</v>
      </c>
      <c r="I1102" s="1030">
        <f>SUM(D1102*H1102/F1102)</f>
        <v>455</v>
      </c>
      <c r="J1102" s="964" t="s">
        <v>2313</v>
      </c>
    </row>
    <row r="1103" spans="1:10" hidden="1">
      <c r="A1103" s="1024"/>
      <c r="B1103" s="1005"/>
      <c r="C1103" s="1052" t="s">
        <v>703</v>
      </c>
      <c r="D1103" s="1053">
        <v>4</v>
      </c>
      <c r="E1103" s="1028" t="s">
        <v>325</v>
      </c>
      <c r="F1103" s="1027">
        <v>1</v>
      </c>
      <c r="G1103" s="1028" t="s">
        <v>115</v>
      </c>
      <c r="H1103" s="1051">
        <f>'MINI SSR 2022-23'!G124</f>
        <v>240</v>
      </c>
      <c r="I1103" s="1030">
        <f>SUM(D1103*H1103/F1103)</f>
        <v>960</v>
      </c>
      <c r="J1103" s="964" t="s">
        <v>2313</v>
      </c>
    </row>
    <row r="1104" spans="1:10" hidden="1">
      <c r="A1104" s="1024"/>
      <c r="B1104" s="1071"/>
      <c r="C1104" s="1036" t="s">
        <v>388</v>
      </c>
      <c r="D1104" s="1072"/>
      <c r="E1104" s="1073"/>
      <c r="F1104" s="1045"/>
      <c r="G1104" s="1063"/>
      <c r="H1104" s="1064"/>
      <c r="I1104" s="1074">
        <f>SUM(I1097:I1103)</f>
        <v>3662</v>
      </c>
      <c r="J1104" s="964" t="s">
        <v>2313</v>
      </c>
    </row>
    <row r="1105" spans="1:10" ht="45" hidden="1">
      <c r="A1105" s="1051"/>
      <c r="B1105" s="1024">
        <v>13</v>
      </c>
      <c r="C1105" s="1031" t="s">
        <v>941</v>
      </c>
      <c r="D1105" s="1035"/>
      <c r="E1105" s="1026"/>
      <c r="F1105" s="1035"/>
      <c r="G1105" s="1026"/>
      <c r="H1105" s="1031"/>
      <c r="I1105" s="1031"/>
      <c r="J1105" s="964" t="s">
        <v>2313</v>
      </c>
    </row>
    <row r="1106" spans="1:10" hidden="1">
      <c r="A1106" s="1024"/>
      <c r="B1106" s="1005"/>
      <c r="C1106" s="1031" t="s">
        <v>327</v>
      </c>
      <c r="D1106" s="1025"/>
      <c r="E1106" s="1043"/>
      <c r="F1106" s="1027"/>
      <c r="G1106" s="1043"/>
      <c r="H1106" s="1029"/>
      <c r="I1106" s="1030"/>
      <c r="J1106" s="964" t="s">
        <v>2313</v>
      </c>
    </row>
    <row r="1107" spans="1:10" hidden="1">
      <c r="A1107" s="1024"/>
      <c r="B1107" s="1024"/>
      <c r="C1107" s="1031" t="s">
        <v>942</v>
      </c>
      <c r="D1107" s="1069">
        <v>2</v>
      </c>
      <c r="E1107" s="1026" t="s">
        <v>325</v>
      </c>
      <c r="F1107" s="1069">
        <v>1</v>
      </c>
      <c r="G1107" s="1026" t="s">
        <v>115</v>
      </c>
      <c r="H1107" s="1051">
        <f>'MINI SSR 2022-23'!G125</f>
        <v>119</v>
      </c>
      <c r="I1107" s="1070">
        <f>SUM(D1107*H1107/F1107)</f>
        <v>238</v>
      </c>
      <c r="J1107" s="964" t="s">
        <v>2313</v>
      </c>
    </row>
    <row r="1108" spans="1:10" hidden="1">
      <c r="A1108" s="1024"/>
      <c r="B1108" s="1005"/>
      <c r="C1108" s="1052" t="s">
        <v>943</v>
      </c>
      <c r="D1108" s="1053">
        <v>4</v>
      </c>
      <c r="E1108" s="1028" t="s">
        <v>277</v>
      </c>
      <c r="F1108" s="1027">
        <v>1</v>
      </c>
      <c r="G1108" s="1028" t="s">
        <v>115</v>
      </c>
      <c r="H1108" s="1029">
        <f>'MINI SSR 2022-23'!G126/100</f>
        <v>66.739999999999995</v>
      </c>
      <c r="I1108" s="1030">
        <f>SUM(D1108*H1108/F1108)</f>
        <v>266.95999999999998</v>
      </c>
      <c r="J1108" s="964" t="s">
        <v>2313</v>
      </c>
    </row>
    <row r="1109" spans="1:10" hidden="1">
      <c r="A1109" s="1024"/>
      <c r="B1109" s="1005"/>
      <c r="C1109" s="1052" t="s">
        <v>944</v>
      </c>
      <c r="D1109" s="1053">
        <v>1</v>
      </c>
      <c r="E1109" s="1028" t="s">
        <v>325</v>
      </c>
      <c r="F1109" s="1027">
        <v>1</v>
      </c>
      <c r="G1109" s="1028" t="s">
        <v>115</v>
      </c>
      <c r="H1109" s="1029">
        <f>'MINI SSR 2022-23'!G127</f>
        <v>230</v>
      </c>
      <c r="I1109" s="1030">
        <f>SUM(D1109*H1109/F1109)</f>
        <v>230</v>
      </c>
      <c r="J1109" s="964" t="s">
        <v>2313</v>
      </c>
    </row>
    <row r="1110" spans="1:10" hidden="1">
      <c r="A1110" s="1024"/>
      <c r="B1110" s="1005"/>
      <c r="C1110" s="1031" t="s">
        <v>409</v>
      </c>
      <c r="D1110" s="1025"/>
      <c r="E1110" s="1028"/>
      <c r="F1110" s="1027"/>
      <c r="G1110" s="1028"/>
      <c r="H1110" s="1029"/>
      <c r="I1110" s="1030"/>
      <c r="J1110" s="964" t="s">
        <v>2313</v>
      </c>
    </row>
    <row r="1111" spans="1:10" hidden="1">
      <c r="A1111" s="1024"/>
      <c r="B1111" s="1005"/>
      <c r="C1111" s="1042" t="s">
        <v>699</v>
      </c>
      <c r="D1111" s="1025">
        <v>0.2</v>
      </c>
      <c r="E1111" s="1043" t="s">
        <v>27</v>
      </c>
      <c r="F1111" s="1027">
        <v>1</v>
      </c>
      <c r="G1111" s="1043" t="s">
        <v>27</v>
      </c>
      <c r="H1111" s="1029">
        <f>'MINI SSR 2022-23'!$H$16</f>
        <v>700</v>
      </c>
      <c r="I1111" s="1030">
        <f>SUM(D1111*H1111/F1111)</f>
        <v>140</v>
      </c>
      <c r="J1111" s="964" t="s">
        <v>2313</v>
      </c>
    </row>
    <row r="1112" spans="1:10" hidden="1">
      <c r="A1112" s="1024"/>
      <c r="B1112" s="1005"/>
      <c r="C1112" s="1042" t="s">
        <v>219</v>
      </c>
      <c r="D1112" s="1025">
        <v>0.2</v>
      </c>
      <c r="E1112" s="1043" t="s">
        <v>27</v>
      </c>
      <c r="F1112" s="1027">
        <v>1</v>
      </c>
      <c r="G1112" s="1043" t="s">
        <v>27</v>
      </c>
      <c r="H1112" s="1029">
        <f>'MINI SSR 2022-23'!$H$17</f>
        <v>570</v>
      </c>
      <c r="I1112" s="1030">
        <f>SUM(D1112*H1112/F1112)</f>
        <v>114</v>
      </c>
      <c r="J1112" s="964" t="s">
        <v>2313</v>
      </c>
    </row>
    <row r="1113" spans="1:10" hidden="1">
      <c r="A1113" s="1024"/>
      <c r="B1113" s="1005"/>
      <c r="C1113" s="1042" t="s">
        <v>700</v>
      </c>
      <c r="D1113" s="1025">
        <v>0.2</v>
      </c>
      <c r="E1113" s="1043" t="s">
        <v>27</v>
      </c>
      <c r="F1113" s="1027">
        <v>1</v>
      </c>
      <c r="G1113" s="1043" t="s">
        <v>27</v>
      </c>
      <c r="H1113" s="1029">
        <f>'MINI SSR 2022-23'!$H$18</f>
        <v>505</v>
      </c>
      <c r="I1113" s="1041">
        <f>SUM(D1113*H1113/F1113)</f>
        <v>101</v>
      </c>
      <c r="J1113" s="964" t="s">
        <v>2313</v>
      </c>
    </row>
    <row r="1114" spans="1:10" hidden="1">
      <c r="A1114" s="1024"/>
      <c r="B1114" s="1071"/>
      <c r="C1114" s="1036" t="s">
        <v>388</v>
      </c>
      <c r="D1114" s="1072"/>
      <c r="E1114" s="1073"/>
      <c r="F1114" s="1045"/>
      <c r="G1114" s="1063"/>
      <c r="H1114" s="1064"/>
      <c r="I1114" s="1074">
        <f>SUM(I1107:I1113)</f>
        <v>1089.96</v>
      </c>
      <c r="J1114" s="964" t="s">
        <v>2313</v>
      </c>
    </row>
    <row r="1115" spans="1:10" ht="78.75" hidden="1">
      <c r="A1115" s="1051" t="s">
        <v>728</v>
      </c>
      <c r="B1115" s="1005">
        <v>17</v>
      </c>
      <c r="C1115" s="1031" t="s">
        <v>413</v>
      </c>
      <c r="D1115" s="1035"/>
      <c r="E1115" s="1026"/>
      <c r="F1115" s="1035"/>
      <c r="G1115" s="1026"/>
      <c r="H1115" s="1031"/>
      <c r="I1115" s="1031"/>
      <c r="J1115" s="964" t="s">
        <v>2313</v>
      </c>
    </row>
    <row r="1116" spans="1:10" hidden="1">
      <c r="A1116" s="1005"/>
      <c r="B1116" s="1005"/>
      <c r="C1116" s="1066" t="s">
        <v>414</v>
      </c>
      <c r="D1116" s="1075"/>
      <c r="E1116" s="1076"/>
      <c r="F1116" s="1027"/>
      <c r="G1116" s="1076"/>
      <c r="H1116" s="1029"/>
      <c r="I1116" s="1030"/>
      <c r="J1116" s="964" t="s">
        <v>2313</v>
      </c>
    </row>
    <row r="1117" spans="1:10" hidden="1">
      <c r="A1117" s="1005"/>
      <c r="B1117" s="1005"/>
      <c r="C1117" s="1042" t="s">
        <v>1657</v>
      </c>
      <c r="D1117" s="1025">
        <v>0.5</v>
      </c>
      <c r="E1117" s="1028" t="s">
        <v>325</v>
      </c>
      <c r="F1117" s="1027">
        <v>1</v>
      </c>
      <c r="G1117" s="1028" t="s">
        <v>115</v>
      </c>
      <c r="H1117" s="1029">
        <f>'MINI SSR 2022-23'!$H$17</f>
        <v>570</v>
      </c>
      <c r="I1117" s="1030">
        <f>SUM(D1117*H1117/F1117)</f>
        <v>285</v>
      </c>
      <c r="J1117" s="964" t="s">
        <v>2313</v>
      </c>
    </row>
    <row r="1118" spans="1:10" hidden="1">
      <c r="A1118" s="1005"/>
      <c r="B1118" s="1005"/>
      <c r="C1118" s="1042" t="s">
        <v>700</v>
      </c>
      <c r="D1118" s="1025">
        <v>0.5</v>
      </c>
      <c r="E1118" s="1043" t="s">
        <v>27</v>
      </c>
      <c r="F1118" s="1027">
        <v>1</v>
      </c>
      <c r="G1118" s="1043" t="s">
        <v>27</v>
      </c>
      <c r="H1118" s="1029">
        <f>'MINI SSR 2022-23'!$H$18</f>
        <v>505</v>
      </c>
      <c r="I1118" s="1041">
        <f>SUM(D1118*H1118/F1118)</f>
        <v>252.5</v>
      </c>
      <c r="J1118" s="964" t="s">
        <v>2313</v>
      </c>
    </row>
    <row r="1119" spans="1:10" hidden="1">
      <c r="A1119" s="1005"/>
      <c r="B1119" s="1005"/>
      <c r="C1119" s="1031" t="s">
        <v>106</v>
      </c>
      <c r="D1119" s="1025"/>
      <c r="E1119" s="1028"/>
      <c r="F1119" s="1027"/>
      <c r="G1119" s="1028"/>
      <c r="H1119" s="1029"/>
      <c r="I1119" s="1030"/>
      <c r="J1119" s="964" t="s">
        <v>2313</v>
      </c>
    </row>
    <row r="1120" spans="1:10" hidden="1">
      <c r="A1120" s="1005"/>
      <c r="B1120" s="1005"/>
      <c r="C1120" s="1042" t="s">
        <v>729</v>
      </c>
      <c r="D1120" s="1025">
        <v>2.5</v>
      </c>
      <c r="E1120" s="1076" t="s">
        <v>385</v>
      </c>
      <c r="F1120" s="1027">
        <v>1</v>
      </c>
      <c r="G1120" s="1076" t="s">
        <v>385</v>
      </c>
      <c r="H1120" s="1029">
        <f>'MINI SSR 2022-23'!G128</f>
        <v>425</v>
      </c>
      <c r="I1120" s="1030">
        <f t="shared" ref="I1120:I1130" si="5">SUM(D1120*H1120/F1120)</f>
        <v>1062.5</v>
      </c>
      <c r="J1120" s="964" t="s">
        <v>2313</v>
      </c>
    </row>
    <row r="1121" spans="1:10" hidden="1">
      <c r="A1121" s="1005"/>
      <c r="B1121" s="1005"/>
      <c r="C1121" s="1031" t="s">
        <v>730</v>
      </c>
      <c r="D1121" s="1025">
        <v>0.24</v>
      </c>
      <c r="E1121" s="1076" t="s">
        <v>141</v>
      </c>
      <c r="F1121" s="1027">
        <v>1</v>
      </c>
      <c r="G1121" s="1076" t="s">
        <v>4</v>
      </c>
      <c r="H1121" s="1029">
        <f>'MINI SSR 2022-23'!G129</f>
        <v>79</v>
      </c>
      <c r="I1121" s="1030">
        <f t="shared" si="5"/>
        <v>18.96</v>
      </c>
      <c r="J1121" s="964" t="s">
        <v>2313</v>
      </c>
    </row>
    <row r="1122" spans="1:10" hidden="1">
      <c r="A1122" s="1005"/>
      <c r="B1122" s="1005"/>
      <c r="C1122" s="1031" t="s">
        <v>731</v>
      </c>
      <c r="D1122" s="1025">
        <v>0.83</v>
      </c>
      <c r="E1122" s="1076" t="s">
        <v>141</v>
      </c>
      <c r="F1122" s="1027">
        <v>1</v>
      </c>
      <c r="G1122" s="1076" t="s">
        <v>90</v>
      </c>
      <c r="H1122" s="1029">
        <f>'MINI SSR 2022-23'!G130</f>
        <v>79</v>
      </c>
      <c r="I1122" s="1030">
        <f t="shared" si="5"/>
        <v>65.569999999999993</v>
      </c>
      <c r="J1122" s="964" t="s">
        <v>2313</v>
      </c>
    </row>
    <row r="1123" spans="1:10" hidden="1">
      <c r="A1123" s="1005"/>
      <c r="B1123" s="1005"/>
      <c r="C1123" s="1042" t="s">
        <v>732</v>
      </c>
      <c r="D1123" s="1025">
        <v>16</v>
      </c>
      <c r="E1123" s="1076" t="s">
        <v>325</v>
      </c>
      <c r="F1123" s="1027">
        <v>1</v>
      </c>
      <c r="G1123" s="1028" t="s">
        <v>115</v>
      </c>
      <c r="H1123" s="1029">
        <f>'MINI SSR 2022-23'!G131</f>
        <v>8</v>
      </c>
      <c r="I1123" s="1030">
        <f t="shared" si="5"/>
        <v>128</v>
      </c>
      <c r="J1123" s="964" t="s">
        <v>2313</v>
      </c>
    </row>
    <row r="1124" spans="1:10" hidden="1">
      <c r="A1124" s="1005"/>
      <c r="B1124" s="1005"/>
      <c r="C1124" s="1042" t="s">
        <v>733</v>
      </c>
      <c r="D1124" s="1025">
        <v>2</v>
      </c>
      <c r="E1124" s="1076" t="s">
        <v>415</v>
      </c>
      <c r="F1124" s="1027">
        <v>1</v>
      </c>
      <c r="G1124" s="1076" t="s">
        <v>416</v>
      </c>
      <c r="H1124" s="1029">
        <f>'MINI SSR 2022-23'!G132</f>
        <v>14</v>
      </c>
      <c r="I1124" s="1030">
        <f t="shared" si="5"/>
        <v>28</v>
      </c>
      <c r="J1124" s="964" t="s">
        <v>2313</v>
      </c>
    </row>
    <row r="1125" spans="1:10" hidden="1">
      <c r="A1125" s="1005"/>
      <c r="B1125" s="1005"/>
      <c r="C1125" s="1042" t="s">
        <v>734</v>
      </c>
      <c r="D1125" s="1025">
        <v>1</v>
      </c>
      <c r="E1125" s="1028" t="s">
        <v>115</v>
      </c>
      <c r="F1125" s="1027">
        <v>1</v>
      </c>
      <c r="G1125" s="1028" t="s">
        <v>115</v>
      </c>
      <c r="H1125" s="1029">
        <f>'MINI SSR 2022-23'!G133</f>
        <v>303</v>
      </c>
      <c r="I1125" s="1030">
        <f t="shared" si="5"/>
        <v>303</v>
      </c>
      <c r="J1125" s="964" t="s">
        <v>2313</v>
      </c>
    </row>
    <row r="1126" spans="1:10" hidden="1">
      <c r="A1126" s="1005"/>
      <c r="B1126" s="1005"/>
      <c r="C1126" s="1042" t="s">
        <v>735</v>
      </c>
      <c r="D1126" s="1025">
        <v>1</v>
      </c>
      <c r="E1126" s="1076" t="s">
        <v>115</v>
      </c>
      <c r="F1126" s="1027">
        <v>1</v>
      </c>
      <c r="G1126" s="1076" t="s">
        <v>115</v>
      </c>
      <c r="H1126" s="1029">
        <f>'MINI SSR 2022-23'!G134</f>
        <v>157</v>
      </c>
      <c r="I1126" s="1030">
        <f t="shared" si="5"/>
        <v>157</v>
      </c>
      <c r="J1126" s="964" t="s">
        <v>2313</v>
      </c>
    </row>
    <row r="1127" spans="1:10" hidden="1">
      <c r="A1127" s="1005"/>
      <c r="B1127" s="1005"/>
      <c r="C1127" s="1042" t="s">
        <v>736</v>
      </c>
      <c r="D1127" s="1025">
        <v>40</v>
      </c>
      <c r="E1127" s="1076" t="s">
        <v>4</v>
      </c>
      <c r="F1127" s="1027">
        <v>1</v>
      </c>
      <c r="G1127" s="1076" t="s">
        <v>4</v>
      </c>
      <c r="H1127" s="1029">
        <f>'MINI SSR 2022-23'!G135</f>
        <v>24</v>
      </c>
      <c r="I1127" s="1030">
        <f t="shared" si="5"/>
        <v>960</v>
      </c>
      <c r="J1127" s="964" t="s">
        <v>2313</v>
      </c>
    </row>
    <row r="1128" spans="1:10" hidden="1">
      <c r="A1128" s="1005"/>
      <c r="B1128" s="1005"/>
      <c r="C1128" s="1042" t="s">
        <v>737</v>
      </c>
      <c r="D1128" s="1025">
        <v>20</v>
      </c>
      <c r="E1128" s="1076" t="s">
        <v>4</v>
      </c>
      <c r="F1128" s="1027">
        <v>1</v>
      </c>
      <c r="G1128" s="1076" t="s">
        <v>4</v>
      </c>
      <c r="H1128" s="1029">
        <f>'MINI SSR 2022-23'!G136</f>
        <v>19</v>
      </c>
      <c r="I1128" s="1030">
        <f t="shared" si="5"/>
        <v>380</v>
      </c>
      <c r="J1128" s="964" t="s">
        <v>2313</v>
      </c>
    </row>
    <row r="1129" spans="1:10" ht="22.5" hidden="1">
      <c r="A1129" s="1005"/>
      <c r="B1129" s="1005"/>
      <c r="C1129" s="1031" t="s">
        <v>738</v>
      </c>
      <c r="D1129" s="1025">
        <v>0.65</v>
      </c>
      <c r="E1129" s="1028" t="s">
        <v>35</v>
      </c>
      <c r="F1129" s="1027">
        <v>1</v>
      </c>
      <c r="G1129" s="1028" t="s">
        <v>35</v>
      </c>
      <c r="H1129" s="1029">
        <f>'MINI SSR 2022-23'!G137</f>
        <v>303</v>
      </c>
      <c r="I1129" s="1030">
        <f t="shared" si="5"/>
        <v>196.95000000000002</v>
      </c>
      <c r="J1129" s="964" t="s">
        <v>2313</v>
      </c>
    </row>
    <row r="1130" spans="1:10" ht="22.5" hidden="1">
      <c r="A1130" s="1005"/>
      <c r="B1130" s="1005"/>
      <c r="C1130" s="1031" t="s">
        <v>739</v>
      </c>
      <c r="D1130" s="1025">
        <v>0.65</v>
      </c>
      <c r="E1130" s="1028" t="s">
        <v>35</v>
      </c>
      <c r="F1130" s="1027">
        <v>1</v>
      </c>
      <c r="G1130" s="1028" t="s">
        <v>35</v>
      </c>
      <c r="H1130" s="1029">
        <f>'MINI SSR 2022-23'!G138</f>
        <v>303</v>
      </c>
      <c r="I1130" s="1030">
        <f t="shared" si="5"/>
        <v>196.95000000000002</v>
      </c>
      <c r="J1130" s="964" t="s">
        <v>2313</v>
      </c>
    </row>
    <row r="1131" spans="1:10" ht="22.5" hidden="1">
      <c r="A1131" s="1005"/>
      <c r="B1131" s="1005"/>
      <c r="C1131" s="1031" t="s">
        <v>417</v>
      </c>
      <c r="D1131" s="1077">
        <v>0.25</v>
      </c>
      <c r="E1131" s="1076"/>
      <c r="F1131" s="1027"/>
      <c r="G1131" s="1076"/>
      <c r="H1131" s="1029">
        <f>I1129+I1130</f>
        <v>393.90000000000003</v>
      </c>
      <c r="I1131" s="1030">
        <f>SUM(H1131*D1131)</f>
        <v>98.475000000000009</v>
      </c>
      <c r="J1131" s="964" t="s">
        <v>2313</v>
      </c>
    </row>
    <row r="1132" spans="1:10" hidden="1">
      <c r="A1132" s="1005"/>
      <c r="B1132" s="1005"/>
      <c r="C1132" s="1031" t="s">
        <v>418</v>
      </c>
      <c r="D1132" s="1025"/>
      <c r="E1132" s="1028"/>
      <c r="F1132" s="1027"/>
      <c r="G1132" s="1028"/>
      <c r="H1132" s="1029"/>
      <c r="I1132" s="1030">
        <v>9.52</v>
      </c>
      <c r="J1132" s="964" t="s">
        <v>2313</v>
      </c>
    </row>
    <row r="1133" spans="1:10" hidden="1">
      <c r="A1133" s="1005"/>
      <c r="B1133" s="1005"/>
      <c r="C1133" s="1031" t="s">
        <v>405</v>
      </c>
      <c r="D1133" s="1025"/>
      <c r="E1133" s="1028"/>
      <c r="F1133" s="1027"/>
      <c r="G1133" s="1028"/>
      <c r="H1133" s="1029"/>
      <c r="I1133" s="1030">
        <f>SUM(I1117:I1132)</f>
        <v>4142.4250000000002</v>
      </c>
      <c r="J1133" s="964" t="s">
        <v>2313</v>
      </c>
    </row>
    <row r="1134" spans="1:10" ht="106.5" hidden="1" customHeight="1">
      <c r="A1134" s="1051"/>
      <c r="B1134" s="1024">
        <v>28</v>
      </c>
      <c r="C1134" s="1031" t="s">
        <v>2252</v>
      </c>
      <c r="D1134" s="1035"/>
      <c r="E1134" s="1026"/>
      <c r="F1134" s="1035"/>
      <c r="G1134" s="1026"/>
      <c r="H1134" s="1031"/>
      <c r="I1134" s="1031"/>
      <c r="J1134" s="964" t="s">
        <v>2313</v>
      </c>
    </row>
    <row r="1135" spans="1:10" hidden="1">
      <c r="A1135" s="1024"/>
      <c r="B1135" s="1005"/>
      <c r="C1135" s="1042" t="s">
        <v>2089</v>
      </c>
      <c r="D1135" s="1025">
        <v>1</v>
      </c>
      <c r="E1135" s="1043" t="s">
        <v>115</v>
      </c>
      <c r="F1135" s="1027">
        <v>1</v>
      </c>
      <c r="G1135" s="1043" t="s">
        <v>115</v>
      </c>
      <c r="H1135" s="1029">
        <f>'MINI SSR 2022-23'!G139</f>
        <v>1822</v>
      </c>
      <c r="I1135" s="1030">
        <f>SUM(D1135*H1135/F1135)</f>
        <v>1822</v>
      </c>
      <c r="J1135" s="964" t="s">
        <v>2313</v>
      </c>
    </row>
    <row r="1136" spans="1:10" hidden="1">
      <c r="A1136" s="1024"/>
      <c r="B1136" s="1005"/>
      <c r="C1136" s="1031" t="s">
        <v>405</v>
      </c>
      <c r="D1136" s="1025"/>
      <c r="E1136" s="1026"/>
      <c r="F1136" s="1027"/>
      <c r="G1136" s="1028"/>
      <c r="H1136" s="1029"/>
      <c r="I1136" s="1030">
        <f>SUM(I1135:I1135)</f>
        <v>1822</v>
      </c>
      <c r="J1136" s="964" t="s">
        <v>2313</v>
      </c>
    </row>
    <row r="1137" spans="1:10" ht="106.5" hidden="1" customHeight="1">
      <c r="A1137" s="1051"/>
      <c r="B1137" s="1024">
        <v>28</v>
      </c>
      <c r="C1137" s="1031" t="s">
        <v>2253</v>
      </c>
      <c r="D1137" s="1035"/>
      <c r="E1137" s="1026"/>
      <c r="F1137" s="1035"/>
      <c r="G1137" s="1026"/>
      <c r="H1137" s="1031"/>
      <c r="I1137" s="1031"/>
      <c r="J1137" s="964" t="s">
        <v>2313</v>
      </c>
    </row>
    <row r="1138" spans="1:10" hidden="1">
      <c r="A1138" s="1024"/>
      <c r="B1138" s="1005"/>
      <c r="C1138" s="1042" t="s">
        <v>2260</v>
      </c>
      <c r="D1138" s="1025">
        <v>1</v>
      </c>
      <c r="E1138" s="1043" t="s">
        <v>115</v>
      </c>
      <c r="F1138" s="1027">
        <v>1</v>
      </c>
      <c r="G1138" s="1043" t="s">
        <v>115</v>
      </c>
      <c r="H1138" s="1029">
        <f>'MINI SSR 2022-23'!G140</f>
        <v>5428</v>
      </c>
      <c r="I1138" s="1030">
        <f>SUM(D1138*H1138/F1138)</f>
        <v>5428</v>
      </c>
      <c r="J1138" s="964" t="s">
        <v>2313</v>
      </c>
    </row>
    <row r="1139" spans="1:10" hidden="1">
      <c r="A1139" s="1024"/>
      <c r="B1139" s="1005"/>
      <c r="C1139" s="1031" t="s">
        <v>405</v>
      </c>
      <c r="D1139" s="1025"/>
      <c r="E1139" s="1026"/>
      <c r="F1139" s="1027"/>
      <c r="G1139" s="1028"/>
      <c r="H1139" s="1029"/>
      <c r="I1139" s="1030">
        <f>SUM(I1138:I1138)</f>
        <v>5428</v>
      </c>
      <c r="J1139" s="964" t="s">
        <v>2313</v>
      </c>
    </row>
    <row r="1140" spans="1:10" s="1509" customFormat="1">
      <c r="B1140" s="1530"/>
      <c r="J1140" s="1531"/>
    </row>
    <row r="1143" spans="1:10">
      <c r="C1143" s="1022" t="str">
        <f>'lead 19-20'!H31</f>
        <v>Deputy Executive Engineer</v>
      </c>
      <c r="G1143" s="1022" t="str">
        <f>'lead 19-20'!K31</f>
        <v>Assistant  Engineer</v>
      </c>
    </row>
    <row r="1144" spans="1:10">
      <c r="C1144" s="1022" t="str">
        <f>'lead 19-20'!H32</f>
        <v>PRI Sub Division</v>
      </c>
      <c r="G1144" s="1022" t="str">
        <f>'lead 19-20'!K32</f>
        <v>Mandal Praja parishad</v>
      </c>
    </row>
    <row r="1145" spans="1:10">
      <c r="C1145" s="1022" t="str">
        <f>'lead 19-20'!H33</f>
        <v>Kanigiri</v>
      </c>
      <c r="G1145" s="1022" t="str">
        <f>'lead 19-20'!K33</f>
        <v>Kanigiri</v>
      </c>
    </row>
  </sheetData>
  <autoFilter ref="A3:I1139">
    <filterColumn colId="0">
      <colorFilter dxfId="4"/>
    </filterColumn>
    <filterColumn colId="3" showButton="0"/>
    <filterColumn colId="5" showButton="0"/>
  </autoFilter>
  <mergeCells count="5">
    <mergeCell ref="A1:I1"/>
    <mergeCell ref="D2:E2"/>
    <mergeCell ref="F2:G2"/>
    <mergeCell ref="D3:E3"/>
    <mergeCell ref="F3:G3"/>
  </mergeCells>
  <pageMargins left="0.7" right="0.4" top="0.49" bottom="0.27" header="0.3" footer="0.3"/>
  <pageSetup paperSize="9" scale="92" orientation="portrait" r:id="rId1"/>
</worksheet>
</file>

<file path=xl/worksheets/sheet25.xml><?xml version="1.0" encoding="utf-8"?>
<worksheet xmlns="http://schemas.openxmlformats.org/spreadsheetml/2006/main" xmlns:r="http://schemas.openxmlformats.org/officeDocument/2006/relationships">
  <sheetPr>
    <tabColor rgb="FF00B050"/>
  </sheetPr>
  <dimension ref="A1:F287"/>
  <sheetViews>
    <sheetView topLeftCell="A97" workbookViewId="0">
      <selection activeCell="F108" sqref="F108"/>
    </sheetView>
  </sheetViews>
  <sheetFormatPr defaultColWidth="9.140625" defaultRowHeight="15"/>
  <cols>
    <col min="1" max="1" width="9.140625" style="398"/>
    <col min="2" max="5" width="14.42578125" style="398" customWidth="1"/>
    <col min="6" max="6" width="11.7109375" style="398" customWidth="1"/>
    <col min="7" max="16384" width="9.140625" style="398"/>
  </cols>
  <sheetData>
    <row r="1" spans="1:6" ht="23.25">
      <c r="A1" s="1670" t="s">
        <v>2290</v>
      </c>
      <c r="B1" s="1670"/>
      <c r="C1" s="1670"/>
      <c r="D1" s="1670"/>
      <c r="E1" s="1670"/>
      <c r="F1" s="1670"/>
    </row>
    <row r="2" spans="1:6" ht="18">
      <c r="A2" s="399"/>
      <c r="B2" s="1671" t="s">
        <v>1638</v>
      </c>
      <c r="C2" s="1671"/>
      <c r="D2" s="1671"/>
      <c r="E2" s="399"/>
      <c r="F2" s="399"/>
    </row>
    <row r="3" spans="1:6" ht="15" customHeight="1">
      <c r="A3" s="1672" t="s">
        <v>253</v>
      </c>
      <c r="B3" s="400" t="s">
        <v>1639</v>
      </c>
      <c r="C3" s="400" t="s">
        <v>139</v>
      </c>
      <c r="D3" s="401" t="s">
        <v>1640</v>
      </c>
      <c r="E3" s="402" t="s">
        <v>1641</v>
      </c>
      <c r="F3" s="403"/>
    </row>
    <row r="4" spans="1:6" ht="42" customHeight="1">
      <c r="A4" s="1672"/>
      <c r="B4" s="404" t="s">
        <v>1642</v>
      </c>
      <c r="C4" s="404" t="s">
        <v>1642</v>
      </c>
      <c r="D4" s="404" t="s">
        <v>1642</v>
      </c>
      <c r="E4" s="405" t="s">
        <v>1643</v>
      </c>
      <c r="F4" s="406" t="s">
        <v>1644</v>
      </c>
    </row>
    <row r="5" spans="1:6">
      <c r="A5" s="407">
        <v>1</v>
      </c>
      <c r="B5" s="408">
        <v>2</v>
      </c>
      <c r="C5" s="407">
        <v>3</v>
      </c>
      <c r="D5" s="408">
        <v>4</v>
      </c>
      <c r="E5" s="407">
        <v>5</v>
      </c>
      <c r="F5" s="408">
        <v>6</v>
      </c>
    </row>
    <row r="6" spans="1:6" ht="18" customHeight="1">
      <c r="A6" s="409">
        <v>1</v>
      </c>
      <c r="B6" s="502">
        <v>28.3</v>
      </c>
      <c r="C6" s="502">
        <v>27.4</v>
      </c>
      <c r="D6" s="503">
        <v>45.7</v>
      </c>
      <c r="E6" s="410">
        <v>40.4</v>
      </c>
      <c r="F6" s="411"/>
    </row>
    <row r="7" spans="1:6" ht="18" customHeight="1">
      <c r="A7" s="409">
        <v>2</v>
      </c>
      <c r="B7" s="502">
        <v>39.5</v>
      </c>
      <c r="C7" s="502">
        <v>38.4</v>
      </c>
      <c r="D7" s="503">
        <v>64</v>
      </c>
      <c r="E7" s="410">
        <v>56.5</v>
      </c>
      <c r="F7" s="411"/>
    </row>
    <row r="8" spans="1:6" ht="18" customHeight="1">
      <c r="A8" s="409">
        <v>3</v>
      </c>
      <c r="B8" s="502">
        <v>52.7</v>
      </c>
      <c r="C8" s="502">
        <v>52.7</v>
      </c>
      <c r="D8" s="503">
        <v>85.4</v>
      </c>
      <c r="E8" s="410">
        <v>77.5</v>
      </c>
      <c r="F8" s="411"/>
    </row>
    <row r="9" spans="1:6" ht="18" customHeight="1">
      <c r="A9" s="409">
        <v>4</v>
      </c>
      <c r="B9" s="502">
        <v>64</v>
      </c>
      <c r="C9" s="502">
        <v>64</v>
      </c>
      <c r="D9" s="503">
        <v>103.6</v>
      </c>
      <c r="E9" s="410">
        <v>94.2</v>
      </c>
      <c r="F9" s="411"/>
    </row>
    <row r="10" spans="1:6" ht="18" customHeight="1">
      <c r="A10" s="412">
        <v>5</v>
      </c>
      <c r="B10" s="504">
        <v>75.3</v>
      </c>
      <c r="C10" s="504">
        <v>75.3</v>
      </c>
      <c r="D10" s="505">
        <v>121.9</v>
      </c>
      <c r="E10" s="410">
        <v>110.8</v>
      </c>
      <c r="F10" s="411"/>
    </row>
    <row r="11" spans="1:6" ht="18" customHeight="1">
      <c r="A11" s="409">
        <v>6</v>
      </c>
      <c r="B11" s="502">
        <f>B10+11.3</f>
        <v>86.6</v>
      </c>
      <c r="C11" s="502">
        <f>C10+11.3</f>
        <v>86.6</v>
      </c>
      <c r="D11" s="503">
        <f>D10+18.3</f>
        <v>140.20000000000002</v>
      </c>
      <c r="E11" s="503">
        <f>E10+16.6</f>
        <v>127.4</v>
      </c>
      <c r="F11" s="411"/>
    </row>
    <row r="12" spans="1:6" ht="18" customHeight="1">
      <c r="A12" s="409">
        <v>7</v>
      </c>
      <c r="B12" s="502">
        <f t="shared" ref="B12:C27" si="0">B11+11.3</f>
        <v>97.899999999999991</v>
      </c>
      <c r="C12" s="502">
        <f t="shared" si="0"/>
        <v>97.899999999999991</v>
      </c>
      <c r="D12" s="503">
        <f t="shared" ref="D12:D35" si="1">D11+18.3</f>
        <v>158.50000000000003</v>
      </c>
      <c r="E12" s="503">
        <f t="shared" ref="E12:E35" si="2">E11+16.6</f>
        <v>144</v>
      </c>
      <c r="F12" s="411"/>
    </row>
    <row r="13" spans="1:6" ht="18" customHeight="1">
      <c r="A13" s="409">
        <v>8</v>
      </c>
      <c r="B13" s="502">
        <f t="shared" si="0"/>
        <v>109.19999999999999</v>
      </c>
      <c r="C13" s="502">
        <f t="shared" si="0"/>
        <v>109.19999999999999</v>
      </c>
      <c r="D13" s="503">
        <f t="shared" si="1"/>
        <v>176.80000000000004</v>
      </c>
      <c r="E13" s="503">
        <f t="shared" si="2"/>
        <v>160.6</v>
      </c>
      <c r="F13" s="411"/>
    </row>
    <row r="14" spans="1:6" ht="18" customHeight="1">
      <c r="A14" s="409">
        <v>9</v>
      </c>
      <c r="B14" s="502">
        <f t="shared" si="0"/>
        <v>120.49999999999999</v>
      </c>
      <c r="C14" s="502">
        <f t="shared" si="0"/>
        <v>120.49999999999999</v>
      </c>
      <c r="D14" s="503">
        <f t="shared" si="1"/>
        <v>195.10000000000005</v>
      </c>
      <c r="E14" s="503">
        <f t="shared" si="2"/>
        <v>177.2</v>
      </c>
      <c r="F14" s="411"/>
    </row>
    <row r="15" spans="1:6" ht="18" customHeight="1">
      <c r="A15" s="409">
        <v>10</v>
      </c>
      <c r="B15" s="502">
        <f t="shared" si="0"/>
        <v>131.79999999999998</v>
      </c>
      <c r="C15" s="502">
        <f t="shared" si="0"/>
        <v>131.79999999999998</v>
      </c>
      <c r="D15" s="503">
        <f t="shared" si="1"/>
        <v>213.40000000000006</v>
      </c>
      <c r="E15" s="503">
        <f t="shared" si="2"/>
        <v>193.79999999999998</v>
      </c>
      <c r="F15" s="411"/>
    </row>
    <row r="16" spans="1:6" ht="18" customHeight="1">
      <c r="A16" s="409">
        <v>11</v>
      </c>
      <c r="B16" s="502">
        <f t="shared" si="0"/>
        <v>143.1</v>
      </c>
      <c r="C16" s="502">
        <f t="shared" si="0"/>
        <v>143.1</v>
      </c>
      <c r="D16" s="503">
        <f t="shared" si="1"/>
        <v>231.70000000000007</v>
      </c>
      <c r="E16" s="503">
        <f t="shared" si="2"/>
        <v>210.39999999999998</v>
      </c>
      <c r="F16" s="411"/>
    </row>
    <row r="17" spans="1:6" ht="18" customHeight="1">
      <c r="A17" s="409">
        <v>12</v>
      </c>
      <c r="B17" s="502">
        <f t="shared" si="0"/>
        <v>154.4</v>
      </c>
      <c r="C17" s="502">
        <f t="shared" si="0"/>
        <v>154.4</v>
      </c>
      <c r="D17" s="503">
        <f t="shared" si="1"/>
        <v>250.00000000000009</v>
      </c>
      <c r="E17" s="503">
        <f t="shared" si="2"/>
        <v>226.99999999999997</v>
      </c>
      <c r="F17" s="411"/>
    </row>
    <row r="18" spans="1:6" ht="18" customHeight="1">
      <c r="A18" s="409">
        <v>13</v>
      </c>
      <c r="B18" s="502">
        <f t="shared" si="0"/>
        <v>165.70000000000002</v>
      </c>
      <c r="C18" s="502">
        <f t="shared" si="0"/>
        <v>165.70000000000002</v>
      </c>
      <c r="D18" s="503">
        <f t="shared" si="1"/>
        <v>268.30000000000007</v>
      </c>
      <c r="E18" s="503">
        <f t="shared" si="2"/>
        <v>243.59999999999997</v>
      </c>
      <c r="F18" s="411"/>
    </row>
    <row r="19" spans="1:6" ht="18" customHeight="1">
      <c r="A19" s="409">
        <v>14</v>
      </c>
      <c r="B19" s="502">
        <f t="shared" si="0"/>
        <v>177.00000000000003</v>
      </c>
      <c r="C19" s="502">
        <f t="shared" si="0"/>
        <v>177.00000000000003</v>
      </c>
      <c r="D19" s="503">
        <f t="shared" si="1"/>
        <v>286.60000000000008</v>
      </c>
      <c r="E19" s="503">
        <f t="shared" si="2"/>
        <v>260.2</v>
      </c>
      <c r="F19" s="411"/>
    </row>
    <row r="20" spans="1:6" ht="18" customHeight="1">
      <c r="A20" s="409">
        <v>15</v>
      </c>
      <c r="B20" s="502">
        <f t="shared" si="0"/>
        <v>188.30000000000004</v>
      </c>
      <c r="C20" s="502">
        <f t="shared" si="0"/>
        <v>188.30000000000004</v>
      </c>
      <c r="D20" s="503">
        <f t="shared" si="1"/>
        <v>304.90000000000009</v>
      </c>
      <c r="E20" s="503">
        <f t="shared" si="2"/>
        <v>276.8</v>
      </c>
      <c r="F20" s="411"/>
    </row>
    <row r="21" spans="1:6" ht="18" customHeight="1">
      <c r="A21" s="409">
        <v>16</v>
      </c>
      <c r="B21" s="502">
        <f t="shared" si="0"/>
        <v>199.60000000000005</v>
      </c>
      <c r="C21" s="502">
        <f t="shared" si="0"/>
        <v>199.60000000000005</v>
      </c>
      <c r="D21" s="503">
        <f t="shared" si="1"/>
        <v>323.2000000000001</v>
      </c>
      <c r="E21" s="503">
        <f t="shared" si="2"/>
        <v>293.40000000000003</v>
      </c>
      <c r="F21" s="411"/>
    </row>
    <row r="22" spans="1:6" ht="18" customHeight="1">
      <c r="A22" s="409">
        <v>17</v>
      </c>
      <c r="B22" s="502">
        <f t="shared" si="0"/>
        <v>210.90000000000006</v>
      </c>
      <c r="C22" s="502">
        <f t="shared" si="0"/>
        <v>210.90000000000006</v>
      </c>
      <c r="D22" s="503">
        <f t="shared" si="1"/>
        <v>341.50000000000011</v>
      </c>
      <c r="E22" s="503">
        <f t="shared" si="2"/>
        <v>310.00000000000006</v>
      </c>
      <c r="F22" s="411"/>
    </row>
    <row r="23" spans="1:6" ht="18" customHeight="1">
      <c r="A23" s="409">
        <v>18</v>
      </c>
      <c r="B23" s="502">
        <f t="shared" si="0"/>
        <v>222.20000000000007</v>
      </c>
      <c r="C23" s="502">
        <f t="shared" si="0"/>
        <v>222.20000000000007</v>
      </c>
      <c r="D23" s="503">
        <f t="shared" si="1"/>
        <v>359.80000000000013</v>
      </c>
      <c r="E23" s="503">
        <f t="shared" si="2"/>
        <v>326.60000000000008</v>
      </c>
      <c r="F23" s="411"/>
    </row>
    <row r="24" spans="1:6" ht="18" customHeight="1">
      <c r="A24" s="409">
        <v>19</v>
      </c>
      <c r="B24" s="502">
        <f t="shared" si="0"/>
        <v>233.50000000000009</v>
      </c>
      <c r="C24" s="502">
        <f t="shared" si="0"/>
        <v>233.50000000000009</v>
      </c>
      <c r="D24" s="503">
        <f t="shared" si="1"/>
        <v>378.10000000000014</v>
      </c>
      <c r="E24" s="503">
        <f t="shared" si="2"/>
        <v>343.2000000000001</v>
      </c>
      <c r="F24" s="411"/>
    </row>
    <row r="25" spans="1:6" ht="18" customHeight="1">
      <c r="A25" s="409">
        <v>20</v>
      </c>
      <c r="B25" s="502">
        <f t="shared" si="0"/>
        <v>244.8000000000001</v>
      </c>
      <c r="C25" s="502">
        <f t="shared" si="0"/>
        <v>244.8000000000001</v>
      </c>
      <c r="D25" s="503">
        <f t="shared" si="1"/>
        <v>396.40000000000015</v>
      </c>
      <c r="E25" s="503">
        <f t="shared" si="2"/>
        <v>359.80000000000013</v>
      </c>
      <c r="F25" s="411"/>
    </row>
    <row r="26" spans="1:6" ht="18" customHeight="1">
      <c r="A26" s="409">
        <v>21</v>
      </c>
      <c r="B26" s="502">
        <f t="shared" si="0"/>
        <v>256.10000000000008</v>
      </c>
      <c r="C26" s="502">
        <f t="shared" si="0"/>
        <v>256.10000000000008</v>
      </c>
      <c r="D26" s="503">
        <f t="shared" si="1"/>
        <v>414.70000000000016</v>
      </c>
      <c r="E26" s="503">
        <f t="shared" si="2"/>
        <v>376.40000000000015</v>
      </c>
      <c r="F26" s="411"/>
    </row>
    <row r="27" spans="1:6" ht="18" customHeight="1">
      <c r="A27" s="409">
        <v>22</v>
      </c>
      <c r="B27" s="502">
        <f t="shared" si="0"/>
        <v>267.40000000000009</v>
      </c>
      <c r="C27" s="502">
        <f t="shared" si="0"/>
        <v>267.40000000000009</v>
      </c>
      <c r="D27" s="503">
        <f t="shared" si="1"/>
        <v>433.00000000000017</v>
      </c>
      <c r="E27" s="503">
        <f t="shared" si="2"/>
        <v>393.00000000000017</v>
      </c>
      <c r="F27" s="411"/>
    </row>
    <row r="28" spans="1:6" ht="18" customHeight="1">
      <c r="A28" s="409">
        <v>23</v>
      </c>
      <c r="B28" s="502">
        <f t="shared" ref="B28:C35" si="3">B27+11.3</f>
        <v>278.7000000000001</v>
      </c>
      <c r="C28" s="502">
        <f t="shared" si="3"/>
        <v>278.7000000000001</v>
      </c>
      <c r="D28" s="503">
        <f t="shared" si="1"/>
        <v>451.30000000000018</v>
      </c>
      <c r="E28" s="503">
        <f t="shared" si="2"/>
        <v>409.60000000000019</v>
      </c>
      <c r="F28" s="411"/>
    </row>
    <row r="29" spans="1:6" ht="18" customHeight="1">
      <c r="A29" s="409">
        <v>24</v>
      </c>
      <c r="B29" s="502">
        <f t="shared" si="3"/>
        <v>290.00000000000011</v>
      </c>
      <c r="C29" s="502">
        <f t="shared" si="3"/>
        <v>290.00000000000011</v>
      </c>
      <c r="D29" s="503">
        <f t="shared" si="1"/>
        <v>469.60000000000019</v>
      </c>
      <c r="E29" s="503">
        <f t="shared" si="2"/>
        <v>426.20000000000022</v>
      </c>
      <c r="F29" s="411"/>
    </row>
    <row r="30" spans="1:6" ht="18" customHeight="1">
      <c r="A30" s="409">
        <v>25</v>
      </c>
      <c r="B30" s="502">
        <f t="shared" si="3"/>
        <v>301.30000000000013</v>
      </c>
      <c r="C30" s="502">
        <f t="shared" si="3"/>
        <v>301.30000000000013</v>
      </c>
      <c r="D30" s="503">
        <f t="shared" si="1"/>
        <v>487.9000000000002</v>
      </c>
      <c r="E30" s="503">
        <f t="shared" si="2"/>
        <v>442.80000000000024</v>
      </c>
      <c r="F30" s="411"/>
    </row>
    <row r="31" spans="1:6" ht="18" customHeight="1">
      <c r="A31" s="409">
        <v>26</v>
      </c>
      <c r="B31" s="502">
        <f t="shared" si="3"/>
        <v>312.60000000000014</v>
      </c>
      <c r="C31" s="502">
        <f t="shared" si="3"/>
        <v>312.60000000000014</v>
      </c>
      <c r="D31" s="503">
        <f t="shared" si="1"/>
        <v>506.20000000000022</v>
      </c>
      <c r="E31" s="503">
        <f t="shared" si="2"/>
        <v>459.40000000000026</v>
      </c>
      <c r="F31" s="411"/>
    </row>
    <row r="32" spans="1:6" ht="18" customHeight="1">
      <c r="A32" s="409">
        <v>27</v>
      </c>
      <c r="B32" s="502">
        <f t="shared" si="3"/>
        <v>323.90000000000015</v>
      </c>
      <c r="C32" s="502">
        <f t="shared" si="3"/>
        <v>323.90000000000015</v>
      </c>
      <c r="D32" s="503">
        <f t="shared" si="1"/>
        <v>524.50000000000023</v>
      </c>
      <c r="E32" s="503">
        <f t="shared" si="2"/>
        <v>476.00000000000028</v>
      </c>
      <c r="F32" s="411"/>
    </row>
    <row r="33" spans="1:6" ht="18" customHeight="1">
      <c r="A33" s="409">
        <v>28</v>
      </c>
      <c r="B33" s="502">
        <f t="shared" si="3"/>
        <v>335.20000000000016</v>
      </c>
      <c r="C33" s="502">
        <f t="shared" si="3"/>
        <v>335.20000000000016</v>
      </c>
      <c r="D33" s="503">
        <f t="shared" si="1"/>
        <v>542.80000000000018</v>
      </c>
      <c r="E33" s="503">
        <f t="shared" si="2"/>
        <v>492.60000000000031</v>
      </c>
      <c r="F33" s="411"/>
    </row>
    <row r="34" spans="1:6" ht="18" customHeight="1">
      <c r="A34" s="409">
        <v>29</v>
      </c>
      <c r="B34" s="502">
        <f t="shared" si="3"/>
        <v>346.50000000000017</v>
      </c>
      <c r="C34" s="502">
        <f t="shared" si="3"/>
        <v>346.50000000000017</v>
      </c>
      <c r="D34" s="503">
        <f t="shared" si="1"/>
        <v>561.10000000000014</v>
      </c>
      <c r="E34" s="503">
        <f t="shared" si="2"/>
        <v>509.20000000000033</v>
      </c>
      <c r="F34" s="411"/>
    </row>
    <row r="35" spans="1:6" ht="18" customHeight="1">
      <c r="A35" s="409">
        <v>30</v>
      </c>
      <c r="B35" s="502">
        <f t="shared" si="3"/>
        <v>357.80000000000018</v>
      </c>
      <c r="C35" s="502">
        <f t="shared" si="3"/>
        <v>357.80000000000018</v>
      </c>
      <c r="D35" s="503">
        <f t="shared" si="1"/>
        <v>579.40000000000009</v>
      </c>
      <c r="E35" s="503">
        <f t="shared" si="2"/>
        <v>525.8000000000003</v>
      </c>
      <c r="F35" s="411"/>
    </row>
    <row r="36" spans="1:6" ht="18" customHeight="1">
      <c r="A36" s="409">
        <v>31</v>
      </c>
      <c r="B36" s="502">
        <f>B35+9.4</f>
        <v>367.20000000000016</v>
      </c>
      <c r="C36" s="502">
        <f>C35+9.4</f>
        <v>367.20000000000016</v>
      </c>
      <c r="D36" s="503">
        <f>D35+15.2</f>
        <v>594.60000000000014</v>
      </c>
      <c r="E36" s="503">
        <f>E35+13.9</f>
        <v>539.70000000000027</v>
      </c>
      <c r="F36" s="411"/>
    </row>
    <row r="37" spans="1:6" ht="18" customHeight="1">
      <c r="A37" s="409">
        <v>32</v>
      </c>
      <c r="B37" s="502">
        <f t="shared" ref="B37:C52" si="4">B36+9.4</f>
        <v>376.60000000000014</v>
      </c>
      <c r="C37" s="502">
        <f t="shared" si="4"/>
        <v>376.60000000000014</v>
      </c>
      <c r="D37" s="503">
        <f t="shared" ref="D37:D100" si="5">D36+15.2</f>
        <v>609.80000000000018</v>
      </c>
      <c r="E37" s="503">
        <f t="shared" ref="E37:E100" si="6">E36+13.9</f>
        <v>553.60000000000025</v>
      </c>
      <c r="F37" s="411"/>
    </row>
    <row r="38" spans="1:6" ht="18" customHeight="1">
      <c r="A38" s="409">
        <v>33</v>
      </c>
      <c r="B38" s="502">
        <f t="shared" si="4"/>
        <v>386.00000000000011</v>
      </c>
      <c r="C38" s="502">
        <f t="shared" si="4"/>
        <v>386.00000000000011</v>
      </c>
      <c r="D38" s="503">
        <f t="shared" si="5"/>
        <v>625.00000000000023</v>
      </c>
      <c r="E38" s="503">
        <f t="shared" si="6"/>
        <v>567.50000000000023</v>
      </c>
      <c r="F38" s="411"/>
    </row>
    <row r="39" spans="1:6" ht="18" customHeight="1">
      <c r="A39" s="409">
        <v>34</v>
      </c>
      <c r="B39" s="502">
        <f t="shared" si="4"/>
        <v>395.40000000000009</v>
      </c>
      <c r="C39" s="502">
        <f t="shared" si="4"/>
        <v>395.40000000000009</v>
      </c>
      <c r="D39" s="503">
        <f t="shared" si="5"/>
        <v>640.20000000000027</v>
      </c>
      <c r="E39" s="503">
        <f t="shared" si="6"/>
        <v>581.4000000000002</v>
      </c>
      <c r="F39" s="411"/>
    </row>
    <row r="40" spans="1:6" ht="18" customHeight="1">
      <c r="A40" s="409">
        <v>35</v>
      </c>
      <c r="B40" s="502">
        <f t="shared" si="4"/>
        <v>404.80000000000007</v>
      </c>
      <c r="C40" s="502">
        <f t="shared" si="4"/>
        <v>404.80000000000007</v>
      </c>
      <c r="D40" s="503">
        <f t="shared" si="5"/>
        <v>655.40000000000032</v>
      </c>
      <c r="E40" s="503">
        <f t="shared" si="6"/>
        <v>595.30000000000018</v>
      </c>
      <c r="F40" s="411"/>
    </row>
    <row r="41" spans="1:6" ht="18" customHeight="1">
      <c r="A41" s="409">
        <v>36</v>
      </c>
      <c r="B41" s="502">
        <f t="shared" si="4"/>
        <v>414.20000000000005</v>
      </c>
      <c r="C41" s="502">
        <f t="shared" si="4"/>
        <v>414.20000000000005</v>
      </c>
      <c r="D41" s="503">
        <f t="shared" si="5"/>
        <v>670.60000000000036</v>
      </c>
      <c r="E41" s="503">
        <f t="shared" si="6"/>
        <v>609.20000000000016</v>
      </c>
      <c r="F41" s="411"/>
    </row>
    <row r="42" spans="1:6" ht="18" customHeight="1">
      <c r="A42" s="409">
        <v>37</v>
      </c>
      <c r="B42" s="502">
        <f t="shared" si="4"/>
        <v>423.6</v>
      </c>
      <c r="C42" s="502">
        <f t="shared" si="4"/>
        <v>423.6</v>
      </c>
      <c r="D42" s="503">
        <f t="shared" si="5"/>
        <v>685.80000000000041</v>
      </c>
      <c r="E42" s="503">
        <f t="shared" si="6"/>
        <v>623.10000000000014</v>
      </c>
      <c r="F42" s="411"/>
    </row>
    <row r="43" spans="1:6" ht="18" customHeight="1">
      <c r="A43" s="409">
        <v>38</v>
      </c>
      <c r="B43" s="502">
        <f t="shared" si="4"/>
        <v>433</v>
      </c>
      <c r="C43" s="502">
        <f t="shared" si="4"/>
        <v>433</v>
      </c>
      <c r="D43" s="503">
        <f t="shared" si="5"/>
        <v>701.00000000000045</v>
      </c>
      <c r="E43" s="503">
        <f t="shared" si="6"/>
        <v>637.00000000000011</v>
      </c>
      <c r="F43" s="411"/>
    </row>
    <row r="44" spans="1:6" ht="18" customHeight="1">
      <c r="A44" s="409">
        <v>39</v>
      </c>
      <c r="B44" s="502">
        <f t="shared" si="4"/>
        <v>442.4</v>
      </c>
      <c r="C44" s="502">
        <f t="shared" si="4"/>
        <v>442.4</v>
      </c>
      <c r="D44" s="503">
        <f t="shared" si="5"/>
        <v>716.2000000000005</v>
      </c>
      <c r="E44" s="503">
        <f t="shared" si="6"/>
        <v>650.90000000000009</v>
      </c>
      <c r="F44" s="411"/>
    </row>
    <row r="45" spans="1:6" ht="18" customHeight="1">
      <c r="A45" s="409">
        <v>40</v>
      </c>
      <c r="B45" s="502">
        <f t="shared" si="4"/>
        <v>451.79999999999995</v>
      </c>
      <c r="C45" s="502">
        <f t="shared" si="4"/>
        <v>451.79999999999995</v>
      </c>
      <c r="D45" s="503">
        <f t="shared" si="5"/>
        <v>731.40000000000055</v>
      </c>
      <c r="E45" s="503">
        <f t="shared" si="6"/>
        <v>664.80000000000007</v>
      </c>
      <c r="F45" s="411"/>
    </row>
    <row r="46" spans="1:6" ht="18" customHeight="1">
      <c r="A46" s="409">
        <v>41</v>
      </c>
      <c r="B46" s="502">
        <f t="shared" si="4"/>
        <v>461.19999999999993</v>
      </c>
      <c r="C46" s="502">
        <f t="shared" si="4"/>
        <v>461.19999999999993</v>
      </c>
      <c r="D46" s="503">
        <f t="shared" si="5"/>
        <v>746.60000000000059</v>
      </c>
      <c r="E46" s="503">
        <f t="shared" si="6"/>
        <v>678.7</v>
      </c>
      <c r="F46" s="411"/>
    </row>
    <row r="47" spans="1:6" ht="18" customHeight="1">
      <c r="A47" s="409">
        <v>42</v>
      </c>
      <c r="B47" s="502">
        <f t="shared" si="4"/>
        <v>470.59999999999991</v>
      </c>
      <c r="C47" s="502">
        <f t="shared" si="4"/>
        <v>470.59999999999991</v>
      </c>
      <c r="D47" s="503">
        <f t="shared" si="5"/>
        <v>761.80000000000064</v>
      </c>
      <c r="E47" s="503">
        <f t="shared" si="6"/>
        <v>692.6</v>
      </c>
      <c r="F47" s="411"/>
    </row>
    <row r="48" spans="1:6" ht="18" customHeight="1">
      <c r="A48" s="409">
        <v>43</v>
      </c>
      <c r="B48" s="502">
        <f t="shared" si="4"/>
        <v>479.99999999999989</v>
      </c>
      <c r="C48" s="502">
        <f t="shared" si="4"/>
        <v>479.99999999999989</v>
      </c>
      <c r="D48" s="503">
        <f t="shared" si="5"/>
        <v>777.00000000000068</v>
      </c>
      <c r="E48" s="503">
        <f t="shared" si="6"/>
        <v>706.5</v>
      </c>
      <c r="F48" s="411"/>
    </row>
    <row r="49" spans="1:6" ht="18" customHeight="1">
      <c r="A49" s="409">
        <v>44</v>
      </c>
      <c r="B49" s="502">
        <f t="shared" si="4"/>
        <v>489.39999999999986</v>
      </c>
      <c r="C49" s="502">
        <f t="shared" si="4"/>
        <v>489.39999999999986</v>
      </c>
      <c r="D49" s="503">
        <f t="shared" si="5"/>
        <v>792.20000000000073</v>
      </c>
      <c r="E49" s="503">
        <f t="shared" si="6"/>
        <v>720.4</v>
      </c>
      <c r="F49" s="411"/>
    </row>
    <row r="50" spans="1:6" ht="18" customHeight="1">
      <c r="A50" s="409">
        <v>45</v>
      </c>
      <c r="B50" s="502">
        <f t="shared" si="4"/>
        <v>498.79999999999984</v>
      </c>
      <c r="C50" s="502">
        <f t="shared" si="4"/>
        <v>498.79999999999984</v>
      </c>
      <c r="D50" s="503">
        <f t="shared" si="5"/>
        <v>807.40000000000077</v>
      </c>
      <c r="E50" s="503">
        <f t="shared" si="6"/>
        <v>734.3</v>
      </c>
      <c r="F50" s="411"/>
    </row>
    <row r="51" spans="1:6" ht="18" customHeight="1">
      <c r="A51" s="409">
        <v>46</v>
      </c>
      <c r="B51" s="502">
        <f t="shared" si="4"/>
        <v>508.19999999999982</v>
      </c>
      <c r="C51" s="502">
        <f t="shared" si="4"/>
        <v>508.19999999999982</v>
      </c>
      <c r="D51" s="503">
        <f t="shared" si="5"/>
        <v>822.60000000000082</v>
      </c>
      <c r="E51" s="503">
        <f t="shared" si="6"/>
        <v>748.19999999999993</v>
      </c>
      <c r="F51" s="411"/>
    </row>
    <row r="52" spans="1:6" ht="18" customHeight="1">
      <c r="A52" s="409">
        <v>47</v>
      </c>
      <c r="B52" s="502">
        <f t="shared" si="4"/>
        <v>517.5999999999998</v>
      </c>
      <c r="C52" s="502">
        <f t="shared" si="4"/>
        <v>517.5999999999998</v>
      </c>
      <c r="D52" s="503">
        <f t="shared" si="5"/>
        <v>837.80000000000086</v>
      </c>
      <c r="E52" s="503">
        <f t="shared" si="6"/>
        <v>762.09999999999991</v>
      </c>
      <c r="F52" s="411"/>
    </row>
    <row r="53" spans="1:6" ht="18" customHeight="1">
      <c r="A53" s="409">
        <v>48</v>
      </c>
      <c r="B53" s="502">
        <f t="shared" ref="B53:C68" si="7">B52+9.4</f>
        <v>526.99999999999977</v>
      </c>
      <c r="C53" s="502">
        <f t="shared" si="7"/>
        <v>526.99999999999977</v>
      </c>
      <c r="D53" s="503">
        <f t="shared" si="5"/>
        <v>853.00000000000091</v>
      </c>
      <c r="E53" s="503">
        <f t="shared" si="6"/>
        <v>775.99999999999989</v>
      </c>
      <c r="F53" s="411"/>
    </row>
    <row r="54" spans="1:6" ht="18" customHeight="1">
      <c r="A54" s="409">
        <v>49</v>
      </c>
      <c r="B54" s="502">
        <f t="shared" si="7"/>
        <v>536.39999999999975</v>
      </c>
      <c r="C54" s="502">
        <f t="shared" si="7"/>
        <v>536.39999999999975</v>
      </c>
      <c r="D54" s="503">
        <f t="shared" si="5"/>
        <v>868.20000000000095</v>
      </c>
      <c r="E54" s="503">
        <f t="shared" si="6"/>
        <v>789.89999999999986</v>
      </c>
      <c r="F54" s="411"/>
    </row>
    <row r="55" spans="1:6" ht="18" customHeight="1">
      <c r="A55" s="413">
        <v>50</v>
      </c>
      <c r="B55" s="502">
        <f t="shared" si="7"/>
        <v>545.79999999999973</v>
      </c>
      <c r="C55" s="502">
        <f t="shared" si="7"/>
        <v>545.79999999999973</v>
      </c>
      <c r="D55" s="503">
        <f t="shared" si="5"/>
        <v>883.400000000001</v>
      </c>
      <c r="E55" s="503">
        <f t="shared" si="6"/>
        <v>803.79999999999984</v>
      </c>
      <c r="F55" s="411"/>
    </row>
    <row r="56" spans="1:6" ht="18" customHeight="1">
      <c r="A56" s="414">
        <v>51</v>
      </c>
      <c r="B56" s="502">
        <f t="shared" si="7"/>
        <v>555.1999999999997</v>
      </c>
      <c r="C56" s="502">
        <f t="shared" si="7"/>
        <v>555.1999999999997</v>
      </c>
      <c r="D56" s="503">
        <f t="shared" si="5"/>
        <v>898.60000000000105</v>
      </c>
      <c r="E56" s="503">
        <f t="shared" si="6"/>
        <v>817.69999999999982</v>
      </c>
      <c r="F56" s="411"/>
    </row>
    <row r="57" spans="1:6" ht="18" customHeight="1">
      <c r="A57" s="409">
        <v>52</v>
      </c>
      <c r="B57" s="502">
        <f t="shared" si="7"/>
        <v>564.59999999999968</v>
      </c>
      <c r="C57" s="502">
        <f t="shared" si="7"/>
        <v>564.59999999999968</v>
      </c>
      <c r="D57" s="503">
        <f t="shared" si="5"/>
        <v>913.80000000000109</v>
      </c>
      <c r="E57" s="503">
        <f t="shared" si="6"/>
        <v>831.5999999999998</v>
      </c>
      <c r="F57" s="411"/>
    </row>
    <row r="58" spans="1:6" ht="18" customHeight="1">
      <c r="A58" s="409">
        <v>53</v>
      </c>
      <c r="B58" s="502">
        <f t="shared" si="7"/>
        <v>573.99999999999966</v>
      </c>
      <c r="C58" s="502">
        <f t="shared" si="7"/>
        <v>573.99999999999966</v>
      </c>
      <c r="D58" s="503">
        <f t="shared" si="5"/>
        <v>929.00000000000114</v>
      </c>
      <c r="E58" s="503">
        <f t="shared" si="6"/>
        <v>845.49999999999977</v>
      </c>
      <c r="F58" s="411"/>
    </row>
    <row r="59" spans="1:6" ht="18" customHeight="1">
      <c r="A59" s="409">
        <v>54</v>
      </c>
      <c r="B59" s="502">
        <f t="shared" si="7"/>
        <v>583.39999999999964</v>
      </c>
      <c r="C59" s="502">
        <f t="shared" si="7"/>
        <v>583.39999999999964</v>
      </c>
      <c r="D59" s="503">
        <f t="shared" si="5"/>
        <v>944.20000000000118</v>
      </c>
      <c r="E59" s="503">
        <f t="shared" si="6"/>
        <v>859.39999999999975</v>
      </c>
      <c r="F59" s="411"/>
    </row>
    <row r="60" spans="1:6" ht="18" customHeight="1">
      <c r="A60" s="409">
        <v>55</v>
      </c>
      <c r="B60" s="502">
        <f t="shared" si="7"/>
        <v>592.79999999999961</v>
      </c>
      <c r="C60" s="502">
        <f t="shared" si="7"/>
        <v>592.79999999999961</v>
      </c>
      <c r="D60" s="503">
        <f t="shared" si="5"/>
        <v>959.40000000000123</v>
      </c>
      <c r="E60" s="503">
        <f t="shared" si="6"/>
        <v>873.29999999999973</v>
      </c>
      <c r="F60" s="411"/>
    </row>
    <row r="61" spans="1:6" ht="18" customHeight="1">
      <c r="A61" s="409">
        <v>56</v>
      </c>
      <c r="B61" s="502">
        <f t="shared" si="7"/>
        <v>602.19999999999959</v>
      </c>
      <c r="C61" s="502">
        <f t="shared" si="7"/>
        <v>602.19999999999959</v>
      </c>
      <c r="D61" s="503">
        <f t="shared" si="5"/>
        <v>974.60000000000127</v>
      </c>
      <c r="E61" s="503">
        <f t="shared" si="6"/>
        <v>887.1999999999997</v>
      </c>
      <c r="F61" s="411"/>
    </row>
    <row r="62" spans="1:6" ht="18" customHeight="1">
      <c r="A62" s="409">
        <v>57</v>
      </c>
      <c r="B62" s="502">
        <f t="shared" si="7"/>
        <v>611.59999999999957</v>
      </c>
      <c r="C62" s="502">
        <f t="shared" si="7"/>
        <v>611.59999999999957</v>
      </c>
      <c r="D62" s="503">
        <f t="shared" si="5"/>
        <v>989.80000000000132</v>
      </c>
      <c r="E62" s="503">
        <f t="shared" si="6"/>
        <v>901.09999999999968</v>
      </c>
      <c r="F62" s="411"/>
    </row>
    <row r="63" spans="1:6" ht="18" customHeight="1">
      <c r="A63" s="409">
        <v>58</v>
      </c>
      <c r="B63" s="502">
        <f t="shared" si="7"/>
        <v>620.99999999999955</v>
      </c>
      <c r="C63" s="502">
        <f t="shared" si="7"/>
        <v>620.99999999999955</v>
      </c>
      <c r="D63" s="503">
        <f t="shared" si="5"/>
        <v>1005.0000000000014</v>
      </c>
      <c r="E63" s="503">
        <f t="shared" si="6"/>
        <v>914.99999999999966</v>
      </c>
      <c r="F63" s="411"/>
    </row>
    <row r="64" spans="1:6" ht="18" customHeight="1">
      <c r="A64" s="409">
        <v>59</v>
      </c>
      <c r="B64" s="502">
        <f t="shared" si="7"/>
        <v>630.39999999999952</v>
      </c>
      <c r="C64" s="502">
        <f t="shared" si="7"/>
        <v>630.39999999999952</v>
      </c>
      <c r="D64" s="503">
        <f t="shared" si="5"/>
        <v>1020.2000000000014</v>
      </c>
      <c r="E64" s="503">
        <f t="shared" si="6"/>
        <v>928.89999999999964</v>
      </c>
      <c r="F64" s="411"/>
    </row>
    <row r="65" spans="1:6" ht="18" customHeight="1">
      <c r="A65" s="409">
        <v>60</v>
      </c>
      <c r="B65" s="502">
        <f t="shared" si="7"/>
        <v>639.7999999999995</v>
      </c>
      <c r="C65" s="502">
        <f t="shared" si="7"/>
        <v>639.7999999999995</v>
      </c>
      <c r="D65" s="503">
        <f t="shared" si="5"/>
        <v>1035.4000000000015</v>
      </c>
      <c r="E65" s="503">
        <f t="shared" si="6"/>
        <v>942.79999999999961</v>
      </c>
      <c r="F65" s="411"/>
    </row>
    <row r="66" spans="1:6" ht="18" customHeight="1">
      <c r="A66" s="409">
        <v>61</v>
      </c>
      <c r="B66" s="502">
        <f t="shared" si="7"/>
        <v>649.19999999999948</v>
      </c>
      <c r="C66" s="502">
        <f t="shared" si="7"/>
        <v>649.19999999999948</v>
      </c>
      <c r="D66" s="503">
        <f t="shared" si="5"/>
        <v>1050.6000000000015</v>
      </c>
      <c r="E66" s="503">
        <f t="shared" si="6"/>
        <v>956.69999999999959</v>
      </c>
      <c r="F66" s="411"/>
    </row>
    <row r="67" spans="1:6" ht="18" customHeight="1">
      <c r="A67" s="409">
        <v>62</v>
      </c>
      <c r="B67" s="502">
        <f t="shared" si="7"/>
        <v>658.59999999999945</v>
      </c>
      <c r="C67" s="502">
        <f t="shared" si="7"/>
        <v>658.59999999999945</v>
      </c>
      <c r="D67" s="503">
        <f t="shared" si="5"/>
        <v>1065.8000000000015</v>
      </c>
      <c r="E67" s="503">
        <f t="shared" si="6"/>
        <v>970.59999999999957</v>
      </c>
      <c r="F67" s="411"/>
    </row>
    <row r="68" spans="1:6" ht="18" customHeight="1">
      <c r="A68" s="409">
        <v>63</v>
      </c>
      <c r="B68" s="502">
        <f t="shared" si="7"/>
        <v>667.99999999999943</v>
      </c>
      <c r="C68" s="502">
        <f t="shared" si="7"/>
        <v>667.99999999999943</v>
      </c>
      <c r="D68" s="503">
        <f t="shared" si="5"/>
        <v>1081.0000000000016</v>
      </c>
      <c r="E68" s="503">
        <f t="shared" si="6"/>
        <v>984.49999999999955</v>
      </c>
      <c r="F68" s="411"/>
    </row>
    <row r="69" spans="1:6" ht="18" customHeight="1">
      <c r="A69" s="409">
        <v>64</v>
      </c>
      <c r="B69" s="502">
        <f t="shared" ref="B69:C84" si="8">B68+9.4</f>
        <v>677.39999999999941</v>
      </c>
      <c r="C69" s="502">
        <f t="shared" si="8"/>
        <v>677.39999999999941</v>
      </c>
      <c r="D69" s="503">
        <f t="shared" si="5"/>
        <v>1096.2000000000016</v>
      </c>
      <c r="E69" s="503">
        <f t="shared" si="6"/>
        <v>998.39999999999952</v>
      </c>
      <c r="F69" s="411"/>
    </row>
    <row r="70" spans="1:6" ht="18" customHeight="1">
      <c r="A70" s="409">
        <v>65</v>
      </c>
      <c r="B70" s="502">
        <f t="shared" si="8"/>
        <v>686.79999999999939</v>
      </c>
      <c r="C70" s="502">
        <f t="shared" si="8"/>
        <v>686.79999999999939</v>
      </c>
      <c r="D70" s="503">
        <f t="shared" si="5"/>
        <v>1111.4000000000017</v>
      </c>
      <c r="E70" s="503">
        <f t="shared" si="6"/>
        <v>1012.2999999999995</v>
      </c>
      <c r="F70" s="411"/>
    </row>
    <row r="71" spans="1:6" ht="18" customHeight="1">
      <c r="A71" s="409">
        <v>66</v>
      </c>
      <c r="B71" s="502">
        <f t="shared" si="8"/>
        <v>696.19999999999936</v>
      </c>
      <c r="C71" s="502">
        <f t="shared" si="8"/>
        <v>696.19999999999936</v>
      </c>
      <c r="D71" s="503">
        <f t="shared" si="5"/>
        <v>1126.6000000000017</v>
      </c>
      <c r="E71" s="503">
        <f t="shared" si="6"/>
        <v>1026.1999999999996</v>
      </c>
      <c r="F71" s="411"/>
    </row>
    <row r="72" spans="1:6" ht="18" customHeight="1">
      <c r="A72" s="409">
        <v>67</v>
      </c>
      <c r="B72" s="502">
        <f t="shared" si="8"/>
        <v>705.59999999999934</v>
      </c>
      <c r="C72" s="502">
        <f t="shared" si="8"/>
        <v>705.59999999999934</v>
      </c>
      <c r="D72" s="503">
        <f t="shared" si="5"/>
        <v>1141.8000000000018</v>
      </c>
      <c r="E72" s="503">
        <f t="shared" si="6"/>
        <v>1040.0999999999997</v>
      </c>
      <c r="F72" s="411"/>
    </row>
    <row r="73" spans="1:6" ht="18" customHeight="1">
      <c r="A73" s="409">
        <v>68</v>
      </c>
      <c r="B73" s="502">
        <f t="shared" si="8"/>
        <v>714.99999999999932</v>
      </c>
      <c r="C73" s="502">
        <f t="shared" si="8"/>
        <v>714.99999999999932</v>
      </c>
      <c r="D73" s="503">
        <f t="shared" si="5"/>
        <v>1157.0000000000018</v>
      </c>
      <c r="E73" s="503">
        <f t="shared" si="6"/>
        <v>1053.9999999999998</v>
      </c>
      <c r="F73" s="411"/>
    </row>
    <row r="74" spans="1:6" ht="18" customHeight="1">
      <c r="A74" s="409">
        <v>69</v>
      </c>
      <c r="B74" s="502">
        <f t="shared" si="8"/>
        <v>724.3999999999993</v>
      </c>
      <c r="C74" s="502">
        <f t="shared" si="8"/>
        <v>724.3999999999993</v>
      </c>
      <c r="D74" s="503">
        <f t="shared" si="5"/>
        <v>1172.2000000000019</v>
      </c>
      <c r="E74" s="503">
        <f t="shared" si="6"/>
        <v>1067.8999999999999</v>
      </c>
      <c r="F74" s="411"/>
    </row>
    <row r="75" spans="1:6" ht="18" customHeight="1">
      <c r="A75" s="409">
        <v>70</v>
      </c>
      <c r="B75" s="502">
        <f t="shared" si="8"/>
        <v>733.79999999999927</v>
      </c>
      <c r="C75" s="502">
        <f t="shared" si="8"/>
        <v>733.79999999999927</v>
      </c>
      <c r="D75" s="503">
        <f t="shared" si="5"/>
        <v>1187.4000000000019</v>
      </c>
      <c r="E75" s="503">
        <f t="shared" si="6"/>
        <v>1081.8</v>
      </c>
      <c r="F75" s="411"/>
    </row>
    <row r="76" spans="1:6" ht="18" customHeight="1">
      <c r="A76" s="409">
        <v>71</v>
      </c>
      <c r="B76" s="502">
        <f t="shared" si="8"/>
        <v>743.19999999999925</v>
      </c>
      <c r="C76" s="502">
        <f t="shared" si="8"/>
        <v>743.19999999999925</v>
      </c>
      <c r="D76" s="503">
        <f t="shared" si="5"/>
        <v>1202.600000000002</v>
      </c>
      <c r="E76" s="503">
        <f t="shared" si="6"/>
        <v>1095.7</v>
      </c>
      <c r="F76" s="411"/>
    </row>
    <row r="77" spans="1:6" ht="18" customHeight="1">
      <c r="A77" s="409">
        <v>72</v>
      </c>
      <c r="B77" s="502">
        <f t="shared" si="8"/>
        <v>752.59999999999923</v>
      </c>
      <c r="C77" s="502">
        <f t="shared" si="8"/>
        <v>752.59999999999923</v>
      </c>
      <c r="D77" s="503">
        <f t="shared" si="5"/>
        <v>1217.800000000002</v>
      </c>
      <c r="E77" s="503">
        <f t="shared" si="6"/>
        <v>1109.6000000000001</v>
      </c>
      <c r="F77" s="411"/>
    </row>
    <row r="78" spans="1:6" ht="18" customHeight="1">
      <c r="A78" s="409">
        <v>73</v>
      </c>
      <c r="B78" s="502">
        <f t="shared" si="8"/>
        <v>761.9999999999992</v>
      </c>
      <c r="C78" s="502">
        <f t="shared" si="8"/>
        <v>761.9999999999992</v>
      </c>
      <c r="D78" s="503">
        <f t="shared" si="5"/>
        <v>1233.000000000002</v>
      </c>
      <c r="E78" s="503">
        <f t="shared" si="6"/>
        <v>1123.5000000000002</v>
      </c>
      <c r="F78" s="411"/>
    </row>
    <row r="79" spans="1:6" ht="18" customHeight="1">
      <c r="A79" s="409">
        <v>74</v>
      </c>
      <c r="B79" s="502">
        <f t="shared" si="8"/>
        <v>771.39999999999918</v>
      </c>
      <c r="C79" s="502">
        <f t="shared" si="8"/>
        <v>771.39999999999918</v>
      </c>
      <c r="D79" s="503">
        <f t="shared" si="5"/>
        <v>1248.2000000000021</v>
      </c>
      <c r="E79" s="503">
        <f t="shared" si="6"/>
        <v>1137.4000000000003</v>
      </c>
      <c r="F79" s="411"/>
    </row>
    <row r="80" spans="1:6" ht="18" customHeight="1">
      <c r="A80" s="409">
        <v>75</v>
      </c>
      <c r="B80" s="502">
        <f t="shared" si="8"/>
        <v>780.79999999999916</v>
      </c>
      <c r="C80" s="502">
        <f t="shared" si="8"/>
        <v>780.79999999999916</v>
      </c>
      <c r="D80" s="503">
        <f t="shared" si="5"/>
        <v>1263.4000000000021</v>
      </c>
      <c r="E80" s="503">
        <f t="shared" si="6"/>
        <v>1151.3000000000004</v>
      </c>
      <c r="F80" s="411"/>
    </row>
    <row r="81" spans="1:6" ht="18" customHeight="1">
      <c r="A81" s="409">
        <v>76</v>
      </c>
      <c r="B81" s="502">
        <f t="shared" si="8"/>
        <v>790.19999999999914</v>
      </c>
      <c r="C81" s="502">
        <f t="shared" si="8"/>
        <v>790.19999999999914</v>
      </c>
      <c r="D81" s="503">
        <f t="shared" si="5"/>
        <v>1278.6000000000022</v>
      </c>
      <c r="E81" s="503">
        <f t="shared" si="6"/>
        <v>1165.2000000000005</v>
      </c>
      <c r="F81" s="411"/>
    </row>
    <row r="82" spans="1:6" ht="18" customHeight="1">
      <c r="A82" s="409">
        <v>77</v>
      </c>
      <c r="B82" s="502">
        <f t="shared" si="8"/>
        <v>799.59999999999911</v>
      </c>
      <c r="C82" s="502">
        <f t="shared" si="8"/>
        <v>799.59999999999911</v>
      </c>
      <c r="D82" s="503">
        <f t="shared" si="5"/>
        <v>1293.8000000000022</v>
      </c>
      <c r="E82" s="503">
        <f t="shared" si="6"/>
        <v>1179.1000000000006</v>
      </c>
      <c r="F82" s="411"/>
    </row>
    <row r="83" spans="1:6" ht="18" customHeight="1">
      <c r="A83" s="409">
        <v>78</v>
      </c>
      <c r="B83" s="502">
        <f t="shared" si="8"/>
        <v>808.99999999999909</v>
      </c>
      <c r="C83" s="502">
        <f t="shared" si="8"/>
        <v>808.99999999999909</v>
      </c>
      <c r="D83" s="503">
        <f t="shared" si="5"/>
        <v>1309.0000000000023</v>
      </c>
      <c r="E83" s="503">
        <f t="shared" si="6"/>
        <v>1193.0000000000007</v>
      </c>
      <c r="F83" s="411"/>
    </row>
    <row r="84" spans="1:6" ht="18" customHeight="1">
      <c r="A84" s="409">
        <v>79</v>
      </c>
      <c r="B84" s="502">
        <f t="shared" si="8"/>
        <v>818.39999999999907</v>
      </c>
      <c r="C84" s="502">
        <f t="shared" si="8"/>
        <v>818.39999999999907</v>
      </c>
      <c r="D84" s="503">
        <f t="shared" si="5"/>
        <v>1324.2000000000023</v>
      </c>
      <c r="E84" s="503">
        <f t="shared" si="6"/>
        <v>1206.9000000000008</v>
      </c>
      <c r="F84" s="411"/>
    </row>
    <row r="85" spans="1:6" ht="18" customHeight="1">
      <c r="A85" s="409">
        <v>80</v>
      </c>
      <c r="B85" s="502">
        <f t="shared" ref="B85:C100" si="9">B84+9.4</f>
        <v>827.79999999999905</v>
      </c>
      <c r="C85" s="502">
        <f t="shared" si="9"/>
        <v>827.79999999999905</v>
      </c>
      <c r="D85" s="503">
        <f t="shared" si="5"/>
        <v>1339.4000000000024</v>
      </c>
      <c r="E85" s="503">
        <f t="shared" si="6"/>
        <v>1220.8000000000009</v>
      </c>
      <c r="F85" s="411"/>
    </row>
    <row r="86" spans="1:6" ht="18" customHeight="1">
      <c r="A86" s="409">
        <v>81</v>
      </c>
      <c r="B86" s="502">
        <f t="shared" si="9"/>
        <v>837.19999999999902</v>
      </c>
      <c r="C86" s="502">
        <f t="shared" si="9"/>
        <v>837.19999999999902</v>
      </c>
      <c r="D86" s="503">
        <f t="shared" si="5"/>
        <v>1354.6000000000024</v>
      </c>
      <c r="E86" s="503">
        <f t="shared" si="6"/>
        <v>1234.700000000001</v>
      </c>
      <c r="F86" s="411"/>
    </row>
    <row r="87" spans="1:6" ht="18" customHeight="1">
      <c r="A87" s="409">
        <v>82</v>
      </c>
      <c r="B87" s="502">
        <f t="shared" si="9"/>
        <v>846.599999999999</v>
      </c>
      <c r="C87" s="502">
        <f t="shared" si="9"/>
        <v>846.599999999999</v>
      </c>
      <c r="D87" s="503">
        <f t="shared" si="5"/>
        <v>1369.8000000000025</v>
      </c>
      <c r="E87" s="503">
        <f t="shared" si="6"/>
        <v>1248.600000000001</v>
      </c>
      <c r="F87" s="411"/>
    </row>
    <row r="88" spans="1:6" ht="18" customHeight="1">
      <c r="A88" s="409">
        <v>83</v>
      </c>
      <c r="B88" s="502">
        <f t="shared" si="9"/>
        <v>855.99999999999898</v>
      </c>
      <c r="C88" s="502">
        <f t="shared" si="9"/>
        <v>855.99999999999898</v>
      </c>
      <c r="D88" s="503">
        <f t="shared" si="5"/>
        <v>1385.0000000000025</v>
      </c>
      <c r="E88" s="503">
        <f t="shared" si="6"/>
        <v>1262.5000000000011</v>
      </c>
      <c r="F88" s="411"/>
    </row>
    <row r="89" spans="1:6" ht="18" customHeight="1">
      <c r="A89" s="409">
        <v>84</v>
      </c>
      <c r="B89" s="502">
        <f t="shared" si="9"/>
        <v>865.39999999999895</v>
      </c>
      <c r="C89" s="502">
        <f t="shared" si="9"/>
        <v>865.39999999999895</v>
      </c>
      <c r="D89" s="503">
        <f t="shared" si="5"/>
        <v>1400.2000000000025</v>
      </c>
      <c r="E89" s="503">
        <f t="shared" si="6"/>
        <v>1276.4000000000012</v>
      </c>
      <c r="F89" s="411"/>
    </row>
    <row r="90" spans="1:6" ht="18" customHeight="1">
      <c r="A90" s="409">
        <v>85</v>
      </c>
      <c r="B90" s="502">
        <f t="shared" si="9"/>
        <v>874.79999999999893</v>
      </c>
      <c r="C90" s="502">
        <f t="shared" si="9"/>
        <v>874.79999999999893</v>
      </c>
      <c r="D90" s="503">
        <f t="shared" si="5"/>
        <v>1415.4000000000026</v>
      </c>
      <c r="E90" s="503">
        <f t="shared" si="6"/>
        <v>1290.3000000000013</v>
      </c>
      <c r="F90" s="411"/>
    </row>
    <row r="91" spans="1:6" ht="18" customHeight="1">
      <c r="A91" s="409">
        <v>86</v>
      </c>
      <c r="B91" s="502">
        <f t="shared" si="9"/>
        <v>884.19999999999891</v>
      </c>
      <c r="C91" s="502">
        <f t="shared" si="9"/>
        <v>884.19999999999891</v>
      </c>
      <c r="D91" s="503">
        <f t="shared" si="5"/>
        <v>1430.6000000000026</v>
      </c>
      <c r="E91" s="503">
        <f t="shared" si="6"/>
        <v>1304.2000000000014</v>
      </c>
      <c r="F91" s="411"/>
    </row>
    <row r="92" spans="1:6" ht="18" customHeight="1">
      <c r="A92" s="409">
        <v>87</v>
      </c>
      <c r="B92" s="502">
        <f t="shared" si="9"/>
        <v>893.59999999999889</v>
      </c>
      <c r="C92" s="502">
        <f t="shared" si="9"/>
        <v>893.59999999999889</v>
      </c>
      <c r="D92" s="503">
        <f t="shared" si="5"/>
        <v>1445.8000000000027</v>
      </c>
      <c r="E92" s="503">
        <f t="shared" si="6"/>
        <v>1318.1000000000015</v>
      </c>
      <c r="F92" s="411"/>
    </row>
    <row r="93" spans="1:6" ht="18" customHeight="1">
      <c r="A93" s="409">
        <v>88</v>
      </c>
      <c r="B93" s="502">
        <f t="shared" si="9"/>
        <v>902.99999999999886</v>
      </c>
      <c r="C93" s="502">
        <f t="shared" si="9"/>
        <v>902.99999999999886</v>
      </c>
      <c r="D93" s="503">
        <f t="shared" si="5"/>
        <v>1461.0000000000027</v>
      </c>
      <c r="E93" s="503">
        <f t="shared" si="6"/>
        <v>1332.0000000000016</v>
      </c>
      <c r="F93" s="411"/>
    </row>
    <row r="94" spans="1:6" ht="18" customHeight="1">
      <c r="A94" s="409">
        <v>89</v>
      </c>
      <c r="B94" s="502">
        <f t="shared" si="9"/>
        <v>912.39999999999884</v>
      </c>
      <c r="C94" s="502">
        <f t="shared" si="9"/>
        <v>912.39999999999884</v>
      </c>
      <c r="D94" s="503">
        <f t="shared" si="5"/>
        <v>1476.2000000000028</v>
      </c>
      <c r="E94" s="503">
        <f t="shared" si="6"/>
        <v>1345.9000000000017</v>
      </c>
      <c r="F94" s="411"/>
    </row>
    <row r="95" spans="1:6" ht="18" customHeight="1">
      <c r="A95" s="409">
        <v>90</v>
      </c>
      <c r="B95" s="502">
        <f t="shared" si="9"/>
        <v>921.79999999999882</v>
      </c>
      <c r="C95" s="502">
        <f t="shared" si="9"/>
        <v>921.79999999999882</v>
      </c>
      <c r="D95" s="503">
        <f t="shared" si="5"/>
        <v>1491.4000000000028</v>
      </c>
      <c r="E95" s="503">
        <f t="shared" si="6"/>
        <v>1359.8000000000018</v>
      </c>
      <c r="F95" s="411"/>
    </row>
    <row r="96" spans="1:6" ht="18" customHeight="1">
      <c r="A96" s="409">
        <v>91</v>
      </c>
      <c r="B96" s="502">
        <f t="shared" si="9"/>
        <v>931.19999999999879</v>
      </c>
      <c r="C96" s="502">
        <f t="shared" si="9"/>
        <v>931.19999999999879</v>
      </c>
      <c r="D96" s="503">
        <f t="shared" si="5"/>
        <v>1506.6000000000029</v>
      </c>
      <c r="E96" s="503">
        <f t="shared" si="6"/>
        <v>1373.7000000000019</v>
      </c>
      <c r="F96" s="411"/>
    </row>
    <row r="97" spans="1:6" ht="18" customHeight="1">
      <c r="A97" s="409">
        <v>92</v>
      </c>
      <c r="B97" s="502">
        <f t="shared" si="9"/>
        <v>940.59999999999877</v>
      </c>
      <c r="C97" s="502">
        <f t="shared" si="9"/>
        <v>940.59999999999877</v>
      </c>
      <c r="D97" s="503">
        <f t="shared" si="5"/>
        <v>1521.8000000000029</v>
      </c>
      <c r="E97" s="503">
        <f t="shared" si="6"/>
        <v>1387.600000000002</v>
      </c>
      <c r="F97" s="411"/>
    </row>
    <row r="98" spans="1:6" ht="18" customHeight="1">
      <c r="A98" s="409">
        <v>93</v>
      </c>
      <c r="B98" s="502">
        <f t="shared" si="9"/>
        <v>949.99999999999875</v>
      </c>
      <c r="C98" s="502">
        <f t="shared" si="9"/>
        <v>949.99999999999875</v>
      </c>
      <c r="D98" s="503">
        <f t="shared" si="5"/>
        <v>1537.000000000003</v>
      </c>
      <c r="E98" s="503">
        <f t="shared" si="6"/>
        <v>1401.500000000002</v>
      </c>
      <c r="F98" s="411"/>
    </row>
    <row r="99" spans="1:6" ht="18" customHeight="1">
      <c r="A99" s="409">
        <v>94</v>
      </c>
      <c r="B99" s="502">
        <f t="shared" si="9"/>
        <v>959.39999999999873</v>
      </c>
      <c r="C99" s="502">
        <f t="shared" si="9"/>
        <v>959.39999999999873</v>
      </c>
      <c r="D99" s="503">
        <f t="shared" si="5"/>
        <v>1552.200000000003</v>
      </c>
      <c r="E99" s="503">
        <f t="shared" si="6"/>
        <v>1415.4000000000021</v>
      </c>
      <c r="F99" s="411"/>
    </row>
    <row r="100" spans="1:6" ht="18" customHeight="1">
      <c r="A100" s="409">
        <v>95</v>
      </c>
      <c r="B100" s="502">
        <f t="shared" si="9"/>
        <v>968.7999999999987</v>
      </c>
      <c r="C100" s="502">
        <f t="shared" si="9"/>
        <v>968.7999999999987</v>
      </c>
      <c r="D100" s="503">
        <f t="shared" si="5"/>
        <v>1567.400000000003</v>
      </c>
      <c r="E100" s="503">
        <f t="shared" si="6"/>
        <v>1429.3000000000022</v>
      </c>
      <c r="F100" s="411"/>
    </row>
    <row r="101" spans="1:6" ht="18" customHeight="1">
      <c r="A101" s="409">
        <v>96</v>
      </c>
      <c r="B101" s="502">
        <f t="shared" ref="B101:C116" si="10">B100+9.4</f>
        <v>978.19999999999868</v>
      </c>
      <c r="C101" s="502">
        <f t="shared" si="10"/>
        <v>978.19999999999868</v>
      </c>
      <c r="D101" s="503">
        <f t="shared" ref="D101:D164" si="11">D100+15.2</f>
        <v>1582.6000000000031</v>
      </c>
      <c r="E101" s="503">
        <f t="shared" ref="E101:E164" si="12">E100+13.9</f>
        <v>1443.2000000000023</v>
      </c>
      <c r="F101" s="411"/>
    </row>
    <row r="102" spans="1:6" ht="18" customHeight="1">
      <c r="A102" s="409">
        <v>97</v>
      </c>
      <c r="B102" s="502">
        <f t="shared" si="10"/>
        <v>987.59999999999866</v>
      </c>
      <c r="C102" s="502">
        <f t="shared" si="10"/>
        <v>987.59999999999866</v>
      </c>
      <c r="D102" s="503">
        <f t="shared" si="11"/>
        <v>1597.8000000000031</v>
      </c>
      <c r="E102" s="503">
        <f t="shared" si="12"/>
        <v>1457.1000000000024</v>
      </c>
      <c r="F102" s="411"/>
    </row>
    <row r="103" spans="1:6" ht="18" customHeight="1">
      <c r="A103" s="409">
        <v>98</v>
      </c>
      <c r="B103" s="502">
        <f t="shared" si="10"/>
        <v>996.99999999999864</v>
      </c>
      <c r="C103" s="502">
        <f t="shared" si="10"/>
        <v>996.99999999999864</v>
      </c>
      <c r="D103" s="503">
        <f t="shared" si="11"/>
        <v>1613.0000000000032</v>
      </c>
      <c r="E103" s="503">
        <f t="shared" si="12"/>
        <v>1471.0000000000025</v>
      </c>
      <c r="F103" s="411"/>
    </row>
    <row r="104" spans="1:6" ht="18" customHeight="1">
      <c r="A104" s="409">
        <v>99</v>
      </c>
      <c r="B104" s="502">
        <f t="shared" si="10"/>
        <v>1006.3999999999986</v>
      </c>
      <c r="C104" s="502">
        <f t="shared" si="10"/>
        <v>1006.3999999999986</v>
      </c>
      <c r="D104" s="503">
        <f t="shared" si="11"/>
        <v>1628.2000000000032</v>
      </c>
      <c r="E104" s="503">
        <f t="shared" si="12"/>
        <v>1484.9000000000026</v>
      </c>
      <c r="F104" s="411"/>
    </row>
    <row r="105" spans="1:6" ht="18" customHeight="1">
      <c r="A105" s="409">
        <v>100</v>
      </c>
      <c r="B105" s="502">
        <f t="shared" si="10"/>
        <v>1015.7999999999986</v>
      </c>
      <c r="C105" s="502">
        <f t="shared" si="10"/>
        <v>1015.7999999999986</v>
      </c>
      <c r="D105" s="503">
        <f t="shared" si="11"/>
        <v>1643.4000000000033</v>
      </c>
      <c r="E105" s="503">
        <f t="shared" si="12"/>
        <v>1498.8000000000027</v>
      </c>
      <c r="F105" s="411"/>
    </row>
    <row r="106" spans="1:6" ht="18" customHeight="1">
      <c r="A106" s="409">
        <v>101</v>
      </c>
      <c r="B106" s="502">
        <f t="shared" si="10"/>
        <v>1025.1999999999987</v>
      </c>
      <c r="C106" s="502">
        <f t="shared" si="10"/>
        <v>1025.1999999999987</v>
      </c>
      <c r="D106" s="503">
        <f t="shared" si="11"/>
        <v>1658.6000000000033</v>
      </c>
      <c r="E106" s="503">
        <f t="shared" si="12"/>
        <v>1512.7000000000028</v>
      </c>
      <c r="F106" s="411"/>
    </row>
    <row r="107" spans="1:6" ht="18" customHeight="1">
      <c r="A107" s="409">
        <v>102</v>
      </c>
      <c r="B107" s="502">
        <f t="shared" si="10"/>
        <v>1034.5999999999988</v>
      </c>
      <c r="C107" s="502">
        <f t="shared" si="10"/>
        <v>1034.5999999999988</v>
      </c>
      <c r="D107" s="503">
        <f t="shared" si="11"/>
        <v>1673.8000000000034</v>
      </c>
      <c r="E107" s="503">
        <f t="shared" si="12"/>
        <v>1526.6000000000029</v>
      </c>
      <c r="F107" s="411"/>
    </row>
    <row r="108" spans="1:6" ht="18" customHeight="1">
      <c r="A108" s="409">
        <v>103</v>
      </c>
      <c r="B108" s="502">
        <f t="shared" si="10"/>
        <v>1043.9999999999989</v>
      </c>
      <c r="C108" s="502">
        <f t="shared" si="10"/>
        <v>1043.9999999999989</v>
      </c>
      <c r="D108" s="503">
        <f t="shared" si="11"/>
        <v>1689.0000000000034</v>
      </c>
      <c r="E108" s="503">
        <f t="shared" si="12"/>
        <v>1540.500000000003</v>
      </c>
      <c r="F108" s="411"/>
    </row>
    <row r="109" spans="1:6" ht="18" customHeight="1">
      <c r="A109" s="409">
        <v>104</v>
      </c>
      <c r="B109" s="502">
        <f t="shared" si="10"/>
        <v>1053.399999999999</v>
      </c>
      <c r="C109" s="502">
        <f t="shared" si="10"/>
        <v>1053.399999999999</v>
      </c>
      <c r="D109" s="503">
        <f t="shared" si="11"/>
        <v>1704.2000000000035</v>
      </c>
      <c r="E109" s="503">
        <f t="shared" si="12"/>
        <v>1554.400000000003</v>
      </c>
      <c r="F109" s="411"/>
    </row>
    <row r="110" spans="1:6" ht="18" customHeight="1">
      <c r="A110" s="409">
        <v>105</v>
      </c>
      <c r="B110" s="502">
        <f t="shared" si="10"/>
        <v>1062.799999999999</v>
      </c>
      <c r="C110" s="502">
        <f t="shared" si="10"/>
        <v>1062.799999999999</v>
      </c>
      <c r="D110" s="503">
        <f t="shared" si="11"/>
        <v>1719.4000000000035</v>
      </c>
      <c r="E110" s="503">
        <f t="shared" si="12"/>
        <v>1568.3000000000031</v>
      </c>
      <c r="F110" s="411"/>
    </row>
    <row r="111" spans="1:6" ht="18" customHeight="1">
      <c r="A111" s="409">
        <v>106</v>
      </c>
      <c r="B111" s="502">
        <f t="shared" si="10"/>
        <v>1072.1999999999991</v>
      </c>
      <c r="C111" s="502">
        <f t="shared" si="10"/>
        <v>1072.1999999999991</v>
      </c>
      <c r="D111" s="503">
        <f t="shared" si="11"/>
        <v>1734.6000000000035</v>
      </c>
      <c r="E111" s="503">
        <f t="shared" si="12"/>
        <v>1582.2000000000032</v>
      </c>
      <c r="F111" s="411"/>
    </row>
    <row r="112" spans="1:6" ht="18" customHeight="1">
      <c r="A112" s="409">
        <v>107</v>
      </c>
      <c r="B112" s="502">
        <f t="shared" si="10"/>
        <v>1081.5999999999992</v>
      </c>
      <c r="C112" s="502">
        <f t="shared" si="10"/>
        <v>1081.5999999999992</v>
      </c>
      <c r="D112" s="503">
        <f t="shared" si="11"/>
        <v>1749.8000000000036</v>
      </c>
      <c r="E112" s="503">
        <f t="shared" si="12"/>
        <v>1596.1000000000033</v>
      </c>
      <c r="F112" s="411"/>
    </row>
    <row r="113" spans="1:6" ht="18" customHeight="1">
      <c r="A113" s="409">
        <v>108</v>
      </c>
      <c r="B113" s="502">
        <f t="shared" si="10"/>
        <v>1090.9999999999993</v>
      </c>
      <c r="C113" s="502">
        <f t="shared" si="10"/>
        <v>1090.9999999999993</v>
      </c>
      <c r="D113" s="503">
        <f t="shared" si="11"/>
        <v>1765.0000000000036</v>
      </c>
      <c r="E113" s="503">
        <f t="shared" si="12"/>
        <v>1610.0000000000034</v>
      </c>
      <c r="F113" s="411"/>
    </row>
    <row r="114" spans="1:6" ht="18" customHeight="1">
      <c r="A114" s="409">
        <v>109</v>
      </c>
      <c r="B114" s="502">
        <f t="shared" si="10"/>
        <v>1100.3999999999994</v>
      </c>
      <c r="C114" s="502">
        <f t="shared" si="10"/>
        <v>1100.3999999999994</v>
      </c>
      <c r="D114" s="503">
        <f t="shared" si="11"/>
        <v>1780.2000000000037</v>
      </c>
      <c r="E114" s="503">
        <f t="shared" si="12"/>
        <v>1623.9000000000035</v>
      </c>
      <c r="F114" s="411"/>
    </row>
    <row r="115" spans="1:6" ht="18" customHeight="1">
      <c r="A115" s="409">
        <v>110</v>
      </c>
      <c r="B115" s="502">
        <f t="shared" si="10"/>
        <v>1109.7999999999995</v>
      </c>
      <c r="C115" s="502">
        <f t="shared" si="10"/>
        <v>1109.7999999999995</v>
      </c>
      <c r="D115" s="503">
        <f t="shared" si="11"/>
        <v>1795.4000000000037</v>
      </c>
      <c r="E115" s="503">
        <f t="shared" si="12"/>
        <v>1637.8000000000036</v>
      </c>
      <c r="F115" s="411"/>
    </row>
    <row r="116" spans="1:6" ht="18" customHeight="1">
      <c r="A116" s="409">
        <v>111</v>
      </c>
      <c r="B116" s="502">
        <f t="shared" si="10"/>
        <v>1119.1999999999996</v>
      </c>
      <c r="C116" s="502">
        <f t="shared" si="10"/>
        <v>1119.1999999999996</v>
      </c>
      <c r="D116" s="503">
        <f t="shared" si="11"/>
        <v>1810.6000000000038</v>
      </c>
      <c r="E116" s="503">
        <f t="shared" si="12"/>
        <v>1651.7000000000037</v>
      </c>
      <c r="F116" s="411"/>
    </row>
    <row r="117" spans="1:6" ht="18" customHeight="1">
      <c r="A117" s="409">
        <v>112</v>
      </c>
      <c r="B117" s="502">
        <f t="shared" ref="B117:C132" si="13">B116+9.4</f>
        <v>1128.5999999999997</v>
      </c>
      <c r="C117" s="502">
        <f t="shared" si="13"/>
        <v>1128.5999999999997</v>
      </c>
      <c r="D117" s="503">
        <f t="shared" si="11"/>
        <v>1825.8000000000038</v>
      </c>
      <c r="E117" s="503">
        <f t="shared" si="12"/>
        <v>1665.6000000000038</v>
      </c>
      <c r="F117" s="411"/>
    </row>
    <row r="118" spans="1:6" ht="18" customHeight="1">
      <c r="A118" s="409">
        <v>113</v>
      </c>
      <c r="B118" s="502">
        <f t="shared" si="13"/>
        <v>1137.9999999999998</v>
      </c>
      <c r="C118" s="502">
        <f t="shared" si="13"/>
        <v>1137.9999999999998</v>
      </c>
      <c r="D118" s="503">
        <f t="shared" si="11"/>
        <v>1841.0000000000039</v>
      </c>
      <c r="E118" s="503">
        <f t="shared" si="12"/>
        <v>1679.5000000000039</v>
      </c>
      <c r="F118" s="411"/>
    </row>
    <row r="119" spans="1:6" ht="18" customHeight="1">
      <c r="A119" s="409">
        <v>114</v>
      </c>
      <c r="B119" s="502">
        <f t="shared" si="13"/>
        <v>1147.3999999999999</v>
      </c>
      <c r="C119" s="502">
        <f t="shared" si="13"/>
        <v>1147.3999999999999</v>
      </c>
      <c r="D119" s="503">
        <f t="shared" si="11"/>
        <v>1856.2000000000039</v>
      </c>
      <c r="E119" s="503">
        <f t="shared" si="12"/>
        <v>1693.400000000004</v>
      </c>
      <c r="F119" s="411"/>
    </row>
    <row r="120" spans="1:6" ht="18" customHeight="1">
      <c r="A120" s="409">
        <v>115</v>
      </c>
      <c r="B120" s="502">
        <f t="shared" si="13"/>
        <v>1156.8</v>
      </c>
      <c r="C120" s="502">
        <f t="shared" si="13"/>
        <v>1156.8</v>
      </c>
      <c r="D120" s="503">
        <f t="shared" si="11"/>
        <v>1871.400000000004</v>
      </c>
      <c r="E120" s="503">
        <f t="shared" si="12"/>
        <v>1707.300000000004</v>
      </c>
      <c r="F120" s="411"/>
    </row>
    <row r="121" spans="1:6" ht="18" customHeight="1">
      <c r="A121" s="409">
        <v>116</v>
      </c>
      <c r="B121" s="502">
        <f t="shared" si="13"/>
        <v>1166.2</v>
      </c>
      <c r="C121" s="502">
        <f t="shared" si="13"/>
        <v>1166.2</v>
      </c>
      <c r="D121" s="503">
        <f t="shared" si="11"/>
        <v>1886.600000000004</v>
      </c>
      <c r="E121" s="503">
        <f t="shared" si="12"/>
        <v>1721.2000000000041</v>
      </c>
      <c r="F121" s="411"/>
    </row>
    <row r="122" spans="1:6" ht="18" customHeight="1">
      <c r="A122" s="409">
        <v>117</v>
      </c>
      <c r="B122" s="502">
        <f t="shared" si="13"/>
        <v>1175.6000000000001</v>
      </c>
      <c r="C122" s="502">
        <f t="shared" si="13"/>
        <v>1175.6000000000001</v>
      </c>
      <c r="D122" s="503">
        <f t="shared" si="11"/>
        <v>1901.800000000004</v>
      </c>
      <c r="E122" s="503">
        <f t="shared" si="12"/>
        <v>1735.1000000000042</v>
      </c>
      <c r="F122" s="411"/>
    </row>
    <row r="123" spans="1:6" ht="18" customHeight="1">
      <c r="A123" s="409">
        <v>118</v>
      </c>
      <c r="B123" s="502">
        <f t="shared" si="13"/>
        <v>1185.0000000000002</v>
      </c>
      <c r="C123" s="502">
        <f t="shared" si="13"/>
        <v>1185.0000000000002</v>
      </c>
      <c r="D123" s="503">
        <f t="shared" si="11"/>
        <v>1917.0000000000041</v>
      </c>
      <c r="E123" s="503">
        <f t="shared" si="12"/>
        <v>1749.0000000000043</v>
      </c>
      <c r="F123" s="411"/>
    </row>
    <row r="124" spans="1:6" ht="18" customHeight="1">
      <c r="A124" s="409">
        <v>119</v>
      </c>
      <c r="B124" s="502">
        <f t="shared" si="13"/>
        <v>1194.4000000000003</v>
      </c>
      <c r="C124" s="502">
        <f t="shared" si="13"/>
        <v>1194.4000000000003</v>
      </c>
      <c r="D124" s="503">
        <f t="shared" si="11"/>
        <v>1932.2000000000041</v>
      </c>
      <c r="E124" s="503">
        <f t="shared" si="12"/>
        <v>1762.9000000000044</v>
      </c>
      <c r="F124" s="411"/>
    </row>
    <row r="125" spans="1:6" ht="18" customHeight="1">
      <c r="A125" s="409">
        <v>120</v>
      </c>
      <c r="B125" s="502">
        <f t="shared" si="13"/>
        <v>1203.8000000000004</v>
      </c>
      <c r="C125" s="502">
        <f t="shared" si="13"/>
        <v>1203.8000000000004</v>
      </c>
      <c r="D125" s="503">
        <f t="shared" si="11"/>
        <v>1947.4000000000042</v>
      </c>
      <c r="E125" s="503">
        <f t="shared" si="12"/>
        <v>1776.8000000000045</v>
      </c>
      <c r="F125" s="411"/>
    </row>
    <row r="126" spans="1:6" ht="18" customHeight="1">
      <c r="A126" s="409">
        <v>121</v>
      </c>
      <c r="B126" s="502">
        <f t="shared" si="13"/>
        <v>1213.2000000000005</v>
      </c>
      <c r="C126" s="502">
        <f t="shared" si="13"/>
        <v>1213.2000000000005</v>
      </c>
      <c r="D126" s="503">
        <f t="shared" si="11"/>
        <v>1962.6000000000042</v>
      </c>
      <c r="E126" s="503">
        <f t="shared" si="12"/>
        <v>1790.7000000000046</v>
      </c>
      <c r="F126" s="411"/>
    </row>
    <row r="127" spans="1:6" ht="18" customHeight="1">
      <c r="A127" s="409">
        <v>122</v>
      </c>
      <c r="B127" s="502">
        <f t="shared" si="13"/>
        <v>1222.6000000000006</v>
      </c>
      <c r="C127" s="502">
        <f t="shared" si="13"/>
        <v>1222.6000000000006</v>
      </c>
      <c r="D127" s="503">
        <f t="shared" si="11"/>
        <v>1977.8000000000043</v>
      </c>
      <c r="E127" s="503">
        <f t="shared" si="12"/>
        <v>1804.6000000000047</v>
      </c>
      <c r="F127" s="411"/>
    </row>
    <row r="128" spans="1:6" ht="18" customHeight="1">
      <c r="A128" s="409">
        <v>123</v>
      </c>
      <c r="B128" s="502">
        <f t="shared" si="13"/>
        <v>1232.0000000000007</v>
      </c>
      <c r="C128" s="502">
        <f t="shared" si="13"/>
        <v>1232.0000000000007</v>
      </c>
      <c r="D128" s="503">
        <f t="shared" si="11"/>
        <v>1993.0000000000043</v>
      </c>
      <c r="E128" s="503">
        <f t="shared" si="12"/>
        <v>1818.5000000000048</v>
      </c>
      <c r="F128" s="411"/>
    </row>
    <row r="129" spans="1:6" ht="18" customHeight="1">
      <c r="A129" s="409">
        <v>124</v>
      </c>
      <c r="B129" s="502">
        <f t="shared" si="13"/>
        <v>1241.4000000000008</v>
      </c>
      <c r="C129" s="502">
        <f t="shared" si="13"/>
        <v>1241.4000000000008</v>
      </c>
      <c r="D129" s="503">
        <f t="shared" si="11"/>
        <v>2008.2000000000044</v>
      </c>
      <c r="E129" s="503">
        <f t="shared" si="12"/>
        <v>1832.4000000000049</v>
      </c>
      <c r="F129" s="411"/>
    </row>
    <row r="130" spans="1:6" ht="18" customHeight="1">
      <c r="A130" s="409">
        <v>125</v>
      </c>
      <c r="B130" s="502">
        <f t="shared" si="13"/>
        <v>1250.8000000000009</v>
      </c>
      <c r="C130" s="502">
        <f t="shared" si="13"/>
        <v>1250.8000000000009</v>
      </c>
      <c r="D130" s="503">
        <f t="shared" si="11"/>
        <v>2023.4000000000044</v>
      </c>
      <c r="E130" s="503">
        <f t="shared" si="12"/>
        <v>1846.300000000005</v>
      </c>
      <c r="F130" s="411"/>
    </row>
    <row r="131" spans="1:6" ht="18" customHeight="1">
      <c r="A131" s="409">
        <v>126</v>
      </c>
      <c r="B131" s="502">
        <f t="shared" si="13"/>
        <v>1260.200000000001</v>
      </c>
      <c r="C131" s="502">
        <f t="shared" si="13"/>
        <v>1260.200000000001</v>
      </c>
      <c r="D131" s="503">
        <f t="shared" si="11"/>
        <v>2038.6000000000045</v>
      </c>
      <c r="E131" s="503">
        <f t="shared" si="12"/>
        <v>1860.200000000005</v>
      </c>
      <c r="F131" s="411"/>
    </row>
    <row r="132" spans="1:6" ht="18" customHeight="1">
      <c r="A132" s="409">
        <v>127</v>
      </c>
      <c r="B132" s="502">
        <f t="shared" si="13"/>
        <v>1269.600000000001</v>
      </c>
      <c r="C132" s="502">
        <f t="shared" si="13"/>
        <v>1269.600000000001</v>
      </c>
      <c r="D132" s="503">
        <f t="shared" si="11"/>
        <v>2053.8000000000043</v>
      </c>
      <c r="E132" s="503">
        <f t="shared" si="12"/>
        <v>1874.1000000000051</v>
      </c>
      <c r="F132" s="411"/>
    </row>
    <row r="133" spans="1:6" ht="18" customHeight="1">
      <c r="A133" s="409">
        <v>128</v>
      </c>
      <c r="B133" s="502">
        <f t="shared" ref="B133:C148" si="14">B132+9.4</f>
        <v>1279.0000000000011</v>
      </c>
      <c r="C133" s="502">
        <f t="shared" si="14"/>
        <v>1279.0000000000011</v>
      </c>
      <c r="D133" s="503">
        <f t="shared" si="11"/>
        <v>2069.0000000000041</v>
      </c>
      <c r="E133" s="503">
        <f t="shared" si="12"/>
        <v>1888.0000000000052</v>
      </c>
      <c r="F133" s="411"/>
    </row>
    <row r="134" spans="1:6" ht="18" customHeight="1">
      <c r="A134" s="409">
        <v>129</v>
      </c>
      <c r="B134" s="502">
        <f t="shared" si="14"/>
        <v>1288.4000000000012</v>
      </c>
      <c r="C134" s="502">
        <f t="shared" si="14"/>
        <v>1288.4000000000012</v>
      </c>
      <c r="D134" s="503">
        <f t="shared" si="11"/>
        <v>2084.2000000000039</v>
      </c>
      <c r="E134" s="503">
        <f t="shared" si="12"/>
        <v>1901.9000000000053</v>
      </c>
      <c r="F134" s="411"/>
    </row>
    <row r="135" spans="1:6" ht="18" customHeight="1">
      <c r="A135" s="409">
        <v>130</v>
      </c>
      <c r="B135" s="502">
        <f t="shared" si="14"/>
        <v>1297.8000000000013</v>
      </c>
      <c r="C135" s="502">
        <f t="shared" si="14"/>
        <v>1297.8000000000013</v>
      </c>
      <c r="D135" s="503">
        <f t="shared" si="11"/>
        <v>2099.4000000000037</v>
      </c>
      <c r="E135" s="503">
        <f t="shared" si="12"/>
        <v>1915.8000000000054</v>
      </c>
      <c r="F135" s="411"/>
    </row>
    <row r="136" spans="1:6" ht="18" customHeight="1">
      <c r="A136" s="409">
        <v>131</v>
      </c>
      <c r="B136" s="502">
        <f t="shared" si="14"/>
        <v>1307.2000000000014</v>
      </c>
      <c r="C136" s="502">
        <f t="shared" si="14"/>
        <v>1307.2000000000014</v>
      </c>
      <c r="D136" s="503">
        <f t="shared" si="11"/>
        <v>2114.6000000000035</v>
      </c>
      <c r="E136" s="503">
        <f t="shared" si="12"/>
        <v>1929.7000000000055</v>
      </c>
      <c r="F136" s="411"/>
    </row>
    <row r="137" spans="1:6" ht="18" customHeight="1">
      <c r="A137" s="409">
        <v>132</v>
      </c>
      <c r="B137" s="502">
        <f t="shared" si="14"/>
        <v>1316.6000000000015</v>
      </c>
      <c r="C137" s="502">
        <f t="shared" si="14"/>
        <v>1316.6000000000015</v>
      </c>
      <c r="D137" s="503">
        <f t="shared" si="11"/>
        <v>2129.8000000000034</v>
      </c>
      <c r="E137" s="503">
        <f t="shared" si="12"/>
        <v>1943.6000000000056</v>
      </c>
      <c r="F137" s="411"/>
    </row>
    <row r="138" spans="1:6" ht="18" customHeight="1">
      <c r="A138" s="409">
        <v>133</v>
      </c>
      <c r="B138" s="502">
        <f t="shared" si="14"/>
        <v>1326.0000000000016</v>
      </c>
      <c r="C138" s="502">
        <f t="shared" si="14"/>
        <v>1326.0000000000016</v>
      </c>
      <c r="D138" s="503">
        <f t="shared" si="11"/>
        <v>2145.0000000000032</v>
      </c>
      <c r="E138" s="503">
        <f t="shared" si="12"/>
        <v>1957.5000000000057</v>
      </c>
      <c r="F138" s="411"/>
    </row>
    <row r="139" spans="1:6" ht="18" customHeight="1">
      <c r="A139" s="409">
        <v>134</v>
      </c>
      <c r="B139" s="502">
        <f t="shared" si="14"/>
        <v>1335.4000000000017</v>
      </c>
      <c r="C139" s="502">
        <f t="shared" si="14"/>
        <v>1335.4000000000017</v>
      </c>
      <c r="D139" s="503">
        <f t="shared" si="11"/>
        <v>2160.200000000003</v>
      </c>
      <c r="E139" s="503">
        <f t="shared" si="12"/>
        <v>1971.4000000000058</v>
      </c>
      <c r="F139" s="411"/>
    </row>
    <row r="140" spans="1:6" ht="18" customHeight="1">
      <c r="A140" s="414">
        <v>135</v>
      </c>
      <c r="B140" s="502">
        <f t="shared" si="14"/>
        <v>1344.8000000000018</v>
      </c>
      <c r="C140" s="502">
        <f t="shared" si="14"/>
        <v>1344.8000000000018</v>
      </c>
      <c r="D140" s="503">
        <f t="shared" si="11"/>
        <v>2175.4000000000028</v>
      </c>
      <c r="E140" s="503">
        <f t="shared" si="12"/>
        <v>1985.3000000000059</v>
      </c>
      <c r="F140" s="411"/>
    </row>
    <row r="141" spans="1:6" ht="18" customHeight="1">
      <c r="A141" s="409">
        <v>136</v>
      </c>
      <c r="B141" s="502">
        <f t="shared" si="14"/>
        <v>1354.2000000000019</v>
      </c>
      <c r="C141" s="502">
        <f t="shared" si="14"/>
        <v>1354.2000000000019</v>
      </c>
      <c r="D141" s="503">
        <f t="shared" si="11"/>
        <v>2190.6000000000026</v>
      </c>
      <c r="E141" s="503">
        <f t="shared" si="12"/>
        <v>1999.200000000006</v>
      </c>
      <c r="F141" s="411"/>
    </row>
    <row r="142" spans="1:6" ht="18" customHeight="1">
      <c r="A142" s="409">
        <v>137</v>
      </c>
      <c r="B142" s="502">
        <f t="shared" si="14"/>
        <v>1363.600000000002</v>
      </c>
      <c r="C142" s="502">
        <f t="shared" si="14"/>
        <v>1363.600000000002</v>
      </c>
      <c r="D142" s="503">
        <f t="shared" si="11"/>
        <v>2205.8000000000025</v>
      </c>
      <c r="E142" s="503">
        <f t="shared" si="12"/>
        <v>2013.100000000006</v>
      </c>
      <c r="F142" s="411"/>
    </row>
    <row r="143" spans="1:6" ht="18" customHeight="1">
      <c r="A143" s="409">
        <v>138</v>
      </c>
      <c r="B143" s="502">
        <f t="shared" si="14"/>
        <v>1373.000000000002</v>
      </c>
      <c r="C143" s="502">
        <f t="shared" si="14"/>
        <v>1373.000000000002</v>
      </c>
      <c r="D143" s="503">
        <f t="shared" si="11"/>
        <v>2221.0000000000023</v>
      </c>
      <c r="E143" s="503">
        <f t="shared" si="12"/>
        <v>2027.0000000000061</v>
      </c>
      <c r="F143" s="411"/>
    </row>
    <row r="144" spans="1:6" ht="18" customHeight="1">
      <c r="A144" s="409">
        <v>139</v>
      </c>
      <c r="B144" s="502">
        <f t="shared" si="14"/>
        <v>1382.4000000000021</v>
      </c>
      <c r="C144" s="502">
        <f t="shared" si="14"/>
        <v>1382.4000000000021</v>
      </c>
      <c r="D144" s="503">
        <f t="shared" si="11"/>
        <v>2236.2000000000021</v>
      </c>
      <c r="E144" s="503">
        <f t="shared" si="12"/>
        <v>2040.9000000000062</v>
      </c>
      <c r="F144" s="411"/>
    </row>
    <row r="145" spans="1:6" ht="18" customHeight="1">
      <c r="A145" s="409">
        <v>140</v>
      </c>
      <c r="B145" s="502">
        <f t="shared" si="14"/>
        <v>1391.8000000000022</v>
      </c>
      <c r="C145" s="502">
        <f t="shared" si="14"/>
        <v>1391.8000000000022</v>
      </c>
      <c r="D145" s="503">
        <f t="shared" si="11"/>
        <v>2251.4000000000019</v>
      </c>
      <c r="E145" s="503">
        <f t="shared" si="12"/>
        <v>2054.8000000000061</v>
      </c>
      <c r="F145" s="411"/>
    </row>
    <row r="146" spans="1:6" ht="18" customHeight="1">
      <c r="A146" s="409">
        <v>141</v>
      </c>
      <c r="B146" s="502">
        <f t="shared" si="14"/>
        <v>1401.2000000000023</v>
      </c>
      <c r="C146" s="502">
        <f t="shared" si="14"/>
        <v>1401.2000000000023</v>
      </c>
      <c r="D146" s="503">
        <f t="shared" si="11"/>
        <v>2266.6000000000017</v>
      </c>
      <c r="E146" s="503">
        <f t="shared" si="12"/>
        <v>2068.7000000000062</v>
      </c>
      <c r="F146" s="411"/>
    </row>
    <row r="147" spans="1:6" ht="18" customHeight="1">
      <c r="A147" s="409">
        <v>142</v>
      </c>
      <c r="B147" s="502">
        <f t="shared" si="14"/>
        <v>1410.6000000000024</v>
      </c>
      <c r="C147" s="502">
        <f t="shared" si="14"/>
        <v>1410.6000000000024</v>
      </c>
      <c r="D147" s="503">
        <f t="shared" si="11"/>
        <v>2281.8000000000015</v>
      </c>
      <c r="E147" s="503">
        <f t="shared" si="12"/>
        <v>2082.6000000000063</v>
      </c>
      <c r="F147" s="411"/>
    </row>
    <row r="148" spans="1:6" ht="18" customHeight="1">
      <c r="A148" s="409">
        <v>143</v>
      </c>
      <c r="B148" s="502">
        <f t="shared" si="14"/>
        <v>1420.0000000000025</v>
      </c>
      <c r="C148" s="502">
        <f t="shared" si="14"/>
        <v>1420.0000000000025</v>
      </c>
      <c r="D148" s="503">
        <f t="shared" si="11"/>
        <v>2297.0000000000014</v>
      </c>
      <c r="E148" s="503">
        <f t="shared" si="12"/>
        <v>2096.5000000000064</v>
      </c>
      <c r="F148" s="411"/>
    </row>
    <row r="149" spans="1:6" ht="18" customHeight="1">
      <c r="A149" s="409">
        <v>144</v>
      </c>
      <c r="B149" s="502">
        <f t="shared" ref="B149:C164" si="15">B148+9.4</f>
        <v>1429.4000000000026</v>
      </c>
      <c r="C149" s="502">
        <f t="shared" si="15"/>
        <v>1429.4000000000026</v>
      </c>
      <c r="D149" s="503">
        <f t="shared" si="11"/>
        <v>2312.2000000000012</v>
      </c>
      <c r="E149" s="503">
        <f t="shared" si="12"/>
        <v>2110.4000000000065</v>
      </c>
      <c r="F149" s="411"/>
    </row>
    <row r="150" spans="1:6" ht="18" customHeight="1">
      <c r="A150" s="409">
        <v>145</v>
      </c>
      <c r="B150" s="502">
        <f t="shared" si="15"/>
        <v>1438.8000000000027</v>
      </c>
      <c r="C150" s="502">
        <f t="shared" si="15"/>
        <v>1438.8000000000027</v>
      </c>
      <c r="D150" s="503">
        <f t="shared" si="11"/>
        <v>2327.400000000001</v>
      </c>
      <c r="E150" s="503">
        <f t="shared" si="12"/>
        <v>2124.3000000000065</v>
      </c>
      <c r="F150" s="411"/>
    </row>
    <row r="151" spans="1:6" ht="18" customHeight="1">
      <c r="A151" s="409">
        <v>146</v>
      </c>
      <c r="B151" s="502">
        <f t="shared" si="15"/>
        <v>1448.2000000000028</v>
      </c>
      <c r="C151" s="502">
        <f t="shared" si="15"/>
        <v>1448.2000000000028</v>
      </c>
      <c r="D151" s="503">
        <f t="shared" si="11"/>
        <v>2342.6000000000008</v>
      </c>
      <c r="E151" s="503">
        <f t="shared" si="12"/>
        <v>2138.2000000000066</v>
      </c>
      <c r="F151" s="411"/>
    </row>
    <row r="152" spans="1:6" ht="18" customHeight="1">
      <c r="A152" s="409">
        <v>147</v>
      </c>
      <c r="B152" s="502">
        <f t="shared" si="15"/>
        <v>1457.6000000000029</v>
      </c>
      <c r="C152" s="502">
        <f t="shared" si="15"/>
        <v>1457.6000000000029</v>
      </c>
      <c r="D152" s="503">
        <f t="shared" si="11"/>
        <v>2357.8000000000006</v>
      </c>
      <c r="E152" s="503">
        <f t="shared" si="12"/>
        <v>2152.1000000000067</v>
      </c>
      <c r="F152" s="411"/>
    </row>
    <row r="153" spans="1:6" ht="18" customHeight="1">
      <c r="A153" s="409">
        <v>148</v>
      </c>
      <c r="B153" s="502">
        <f t="shared" si="15"/>
        <v>1467.000000000003</v>
      </c>
      <c r="C153" s="502">
        <f t="shared" si="15"/>
        <v>1467.000000000003</v>
      </c>
      <c r="D153" s="503">
        <f t="shared" si="11"/>
        <v>2373.0000000000005</v>
      </c>
      <c r="E153" s="503">
        <f t="shared" si="12"/>
        <v>2166.0000000000068</v>
      </c>
      <c r="F153" s="411"/>
    </row>
    <row r="154" spans="1:6" ht="18" customHeight="1">
      <c r="A154" s="409">
        <v>149</v>
      </c>
      <c r="B154" s="502">
        <f t="shared" si="15"/>
        <v>1476.400000000003</v>
      </c>
      <c r="C154" s="502">
        <f t="shared" si="15"/>
        <v>1476.400000000003</v>
      </c>
      <c r="D154" s="503">
        <f t="shared" si="11"/>
        <v>2388.2000000000003</v>
      </c>
      <c r="E154" s="503">
        <f t="shared" si="12"/>
        <v>2179.9000000000069</v>
      </c>
      <c r="F154" s="411"/>
    </row>
    <row r="155" spans="1:6" ht="18" customHeight="1">
      <c r="A155" s="409">
        <v>150</v>
      </c>
      <c r="B155" s="502">
        <f t="shared" si="15"/>
        <v>1485.8000000000031</v>
      </c>
      <c r="C155" s="502">
        <f t="shared" si="15"/>
        <v>1485.8000000000031</v>
      </c>
      <c r="D155" s="503">
        <f t="shared" si="11"/>
        <v>2403.4</v>
      </c>
      <c r="E155" s="503">
        <f t="shared" si="12"/>
        <v>2193.800000000007</v>
      </c>
      <c r="F155" s="411"/>
    </row>
    <row r="156" spans="1:6" ht="18" customHeight="1">
      <c r="A156" s="409">
        <v>151</v>
      </c>
      <c r="B156" s="502">
        <f t="shared" si="15"/>
        <v>1495.2000000000032</v>
      </c>
      <c r="C156" s="502">
        <f t="shared" si="15"/>
        <v>1495.2000000000032</v>
      </c>
      <c r="D156" s="503">
        <f t="shared" si="11"/>
        <v>2418.6</v>
      </c>
      <c r="E156" s="503">
        <f t="shared" si="12"/>
        <v>2207.7000000000071</v>
      </c>
      <c r="F156" s="411"/>
    </row>
    <row r="157" spans="1:6" ht="18" customHeight="1">
      <c r="A157" s="409">
        <v>152</v>
      </c>
      <c r="B157" s="502">
        <f t="shared" si="15"/>
        <v>1504.6000000000033</v>
      </c>
      <c r="C157" s="502">
        <f t="shared" si="15"/>
        <v>1504.6000000000033</v>
      </c>
      <c r="D157" s="503">
        <f t="shared" si="11"/>
        <v>2433.7999999999997</v>
      </c>
      <c r="E157" s="503">
        <f t="shared" si="12"/>
        <v>2221.6000000000072</v>
      </c>
      <c r="F157" s="411"/>
    </row>
    <row r="158" spans="1:6" ht="18" customHeight="1">
      <c r="A158" s="409">
        <v>153</v>
      </c>
      <c r="B158" s="502">
        <f t="shared" si="15"/>
        <v>1514.0000000000034</v>
      </c>
      <c r="C158" s="502">
        <f t="shared" si="15"/>
        <v>1514.0000000000034</v>
      </c>
      <c r="D158" s="503">
        <f t="shared" si="11"/>
        <v>2448.9999999999995</v>
      </c>
      <c r="E158" s="503">
        <f t="shared" si="12"/>
        <v>2235.5000000000073</v>
      </c>
      <c r="F158" s="411"/>
    </row>
    <row r="159" spans="1:6" ht="18" customHeight="1">
      <c r="A159" s="409">
        <v>154</v>
      </c>
      <c r="B159" s="502">
        <f t="shared" si="15"/>
        <v>1523.4000000000035</v>
      </c>
      <c r="C159" s="502">
        <f t="shared" si="15"/>
        <v>1523.4000000000035</v>
      </c>
      <c r="D159" s="503">
        <f t="shared" si="11"/>
        <v>2464.1999999999994</v>
      </c>
      <c r="E159" s="503">
        <f t="shared" si="12"/>
        <v>2249.4000000000074</v>
      </c>
      <c r="F159" s="411"/>
    </row>
    <row r="160" spans="1:6" ht="18" customHeight="1">
      <c r="A160" s="409">
        <v>155</v>
      </c>
      <c r="B160" s="502">
        <f t="shared" si="15"/>
        <v>1532.8000000000036</v>
      </c>
      <c r="C160" s="502">
        <f t="shared" si="15"/>
        <v>1532.8000000000036</v>
      </c>
      <c r="D160" s="503">
        <f t="shared" si="11"/>
        <v>2479.3999999999992</v>
      </c>
      <c r="E160" s="503">
        <f t="shared" si="12"/>
        <v>2263.3000000000075</v>
      </c>
      <c r="F160" s="411"/>
    </row>
    <row r="161" spans="1:6" ht="18" customHeight="1">
      <c r="A161" s="409">
        <v>156</v>
      </c>
      <c r="B161" s="502">
        <f t="shared" si="15"/>
        <v>1542.2000000000037</v>
      </c>
      <c r="C161" s="502">
        <f t="shared" si="15"/>
        <v>1542.2000000000037</v>
      </c>
      <c r="D161" s="503">
        <f t="shared" si="11"/>
        <v>2494.599999999999</v>
      </c>
      <c r="E161" s="503">
        <f t="shared" si="12"/>
        <v>2277.2000000000075</v>
      </c>
      <c r="F161" s="411"/>
    </row>
    <row r="162" spans="1:6" ht="18" customHeight="1">
      <c r="A162" s="409">
        <v>157</v>
      </c>
      <c r="B162" s="502">
        <f t="shared" si="15"/>
        <v>1551.6000000000038</v>
      </c>
      <c r="C162" s="502">
        <f t="shared" si="15"/>
        <v>1551.6000000000038</v>
      </c>
      <c r="D162" s="503">
        <f t="shared" si="11"/>
        <v>2509.7999999999988</v>
      </c>
      <c r="E162" s="503">
        <f t="shared" si="12"/>
        <v>2291.1000000000076</v>
      </c>
      <c r="F162" s="411"/>
    </row>
    <row r="163" spans="1:6" ht="18" customHeight="1">
      <c r="A163" s="409">
        <v>158</v>
      </c>
      <c r="B163" s="502">
        <f t="shared" si="15"/>
        <v>1561.0000000000039</v>
      </c>
      <c r="C163" s="502">
        <f t="shared" si="15"/>
        <v>1561.0000000000039</v>
      </c>
      <c r="D163" s="503">
        <f t="shared" si="11"/>
        <v>2524.9999999999986</v>
      </c>
      <c r="E163" s="503">
        <f t="shared" si="12"/>
        <v>2305.0000000000077</v>
      </c>
      <c r="F163" s="411"/>
    </row>
    <row r="164" spans="1:6" ht="18" customHeight="1">
      <c r="A164" s="409">
        <v>159</v>
      </c>
      <c r="B164" s="502">
        <f t="shared" si="15"/>
        <v>1570.400000000004</v>
      </c>
      <c r="C164" s="502">
        <f t="shared" si="15"/>
        <v>1570.400000000004</v>
      </c>
      <c r="D164" s="503">
        <f t="shared" si="11"/>
        <v>2540.1999999999985</v>
      </c>
      <c r="E164" s="503">
        <f t="shared" si="12"/>
        <v>2318.9000000000078</v>
      </c>
      <c r="F164" s="411"/>
    </row>
    <row r="165" spans="1:6" ht="18" customHeight="1">
      <c r="A165" s="409">
        <v>160</v>
      </c>
      <c r="B165" s="502">
        <f t="shared" ref="B165:C180" si="16">B164+9.4</f>
        <v>1579.800000000004</v>
      </c>
      <c r="C165" s="502">
        <f t="shared" si="16"/>
        <v>1579.800000000004</v>
      </c>
      <c r="D165" s="503">
        <f t="shared" ref="D165:D228" si="17">D164+15.2</f>
        <v>2555.3999999999983</v>
      </c>
      <c r="E165" s="503">
        <f t="shared" ref="E165:E228" si="18">E164+13.9</f>
        <v>2332.8000000000079</v>
      </c>
      <c r="F165" s="411"/>
    </row>
    <row r="166" spans="1:6" ht="18" customHeight="1">
      <c r="A166" s="409">
        <v>161</v>
      </c>
      <c r="B166" s="502">
        <f t="shared" si="16"/>
        <v>1589.2000000000041</v>
      </c>
      <c r="C166" s="502">
        <f t="shared" si="16"/>
        <v>1589.2000000000041</v>
      </c>
      <c r="D166" s="503">
        <f t="shared" si="17"/>
        <v>2570.5999999999981</v>
      </c>
      <c r="E166" s="503">
        <f t="shared" si="18"/>
        <v>2346.700000000008</v>
      </c>
      <c r="F166" s="411"/>
    </row>
    <row r="167" spans="1:6" ht="18" customHeight="1">
      <c r="A167" s="409">
        <v>162</v>
      </c>
      <c r="B167" s="502">
        <f t="shared" si="16"/>
        <v>1598.6000000000042</v>
      </c>
      <c r="C167" s="502">
        <f t="shared" si="16"/>
        <v>1598.6000000000042</v>
      </c>
      <c r="D167" s="503">
        <f t="shared" si="17"/>
        <v>2585.7999999999979</v>
      </c>
      <c r="E167" s="503">
        <f t="shared" si="18"/>
        <v>2360.6000000000081</v>
      </c>
      <c r="F167" s="411"/>
    </row>
    <row r="168" spans="1:6" ht="18" customHeight="1">
      <c r="A168" s="409">
        <v>163</v>
      </c>
      <c r="B168" s="502">
        <f t="shared" si="16"/>
        <v>1608.0000000000043</v>
      </c>
      <c r="C168" s="502">
        <f t="shared" si="16"/>
        <v>1608.0000000000043</v>
      </c>
      <c r="D168" s="503">
        <f t="shared" si="17"/>
        <v>2600.9999999999977</v>
      </c>
      <c r="E168" s="503">
        <f t="shared" si="18"/>
        <v>2374.5000000000082</v>
      </c>
      <c r="F168" s="411"/>
    </row>
    <row r="169" spans="1:6" ht="18" customHeight="1">
      <c r="A169" s="409">
        <v>164</v>
      </c>
      <c r="B169" s="502">
        <f t="shared" si="16"/>
        <v>1617.4000000000044</v>
      </c>
      <c r="C169" s="502">
        <f t="shared" si="16"/>
        <v>1617.4000000000044</v>
      </c>
      <c r="D169" s="503">
        <f t="shared" si="17"/>
        <v>2616.1999999999975</v>
      </c>
      <c r="E169" s="503">
        <f t="shared" si="18"/>
        <v>2388.4000000000083</v>
      </c>
      <c r="F169" s="411"/>
    </row>
    <row r="170" spans="1:6" ht="18" customHeight="1">
      <c r="A170" s="409">
        <v>165</v>
      </c>
      <c r="B170" s="502">
        <f t="shared" si="16"/>
        <v>1626.8000000000045</v>
      </c>
      <c r="C170" s="502">
        <f t="shared" si="16"/>
        <v>1626.8000000000045</v>
      </c>
      <c r="D170" s="503">
        <f t="shared" si="17"/>
        <v>2631.3999999999974</v>
      </c>
      <c r="E170" s="503">
        <f t="shared" si="18"/>
        <v>2402.3000000000084</v>
      </c>
      <c r="F170" s="411"/>
    </row>
    <row r="171" spans="1:6" ht="18" customHeight="1">
      <c r="A171" s="409">
        <v>166</v>
      </c>
      <c r="B171" s="502">
        <f t="shared" si="16"/>
        <v>1636.2000000000046</v>
      </c>
      <c r="C171" s="502">
        <f t="shared" si="16"/>
        <v>1636.2000000000046</v>
      </c>
      <c r="D171" s="503">
        <f t="shared" si="17"/>
        <v>2646.5999999999972</v>
      </c>
      <c r="E171" s="503">
        <f t="shared" si="18"/>
        <v>2416.2000000000085</v>
      </c>
      <c r="F171" s="411"/>
    </row>
    <row r="172" spans="1:6" ht="18" customHeight="1">
      <c r="A172" s="409">
        <v>167</v>
      </c>
      <c r="B172" s="502">
        <f t="shared" si="16"/>
        <v>1645.6000000000047</v>
      </c>
      <c r="C172" s="502">
        <f t="shared" si="16"/>
        <v>1645.6000000000047</v>
      </c>
      <c r="D172" s="503">
        <f t="shared" si="17"/>
        <v>2661.799999999997</v>
      </c>
      <c r="E172" s="503">
        <f t="shared" si="18"/>
        <v>2430.1000000000085</v>
      </c>
      <c r="F172" s="411"/>
    </row>
    <row r="173" spans="1:6" ht="18" customHeight="1">
      <c r="A173" s="409">
        <v>168</v>
      </c>
      <c r="B173" s="502">
        <f t="shared" si="16"/>
        <v>1655.0000000000048</v>
      </c>
      <c r="C173" s="502">
        <f t="shared" si="16"/>
        <v>1655.0000000000048</v>
      </c>
      <c r="D173" s="503">
        <f t="shared" si="17"/>
        <v>2676.9999999999968</v>
      </c>
      <c r="E173" s="503">
        <f t="shared" si="18"/>
        <v>2444.0000000000086</v>
      </c>
      <c r="F173" s="411"/>
    </row>
    <row r="174" spans="1:6" ht="18" customHeight="1">
      <c r="A174" s="409">
        <v>169</v>
      </c>
      <c r="B174" s="502">
        <f t="shared" si="16"/>
        <v>1664.4000000000049</v>
      </c>
      <c r="C174" s="502">
        <f t="shared" si="16"/>
        <v>1664.4000000000049</v>
      </c>
      <c r="D174" s="503">
        <f t="shared" si="17"/>
        <v>2692.1999999999966</v>
      </c>
      <c r="E174" s="503">
        <f t="shared" si="18"/>
        <v>2457.9000000000087</v>
      </c>
      <c r="F174" s="411"/>
    </row>
    <row r="175" spans="1:6" ht="18" customHeight="1">
      <c r="A175" s="409">
        <v>170</v>
      </c>
      <c r="B175" s="502">
        <f t="shared" si="16"/>
        <v>1673.800000000005</v>
      </c>
      <c r="C175" s="502">
        <f t="shared" si="16"/>
        <v>1673.800000000005</v>
      </c>
      <c r="D175" s="503">
        <f t="shared" si="17"/>
        <v>2707.3999999999965</v>
      </c>
      <c r="E175" s="503">
        <f t="shared" si="18"/>
        <v>2471.8000000000088</v>
      </c>
      <c r="F175" s="411"/>
    </row>
    <row r="176" spans="1:6" ht="18" customHeight="1">
      <c r="A176" s="409">
        <v>171</v>
      </c>
      <c r="B176" s="502">
        <f t="shared" si="16"/>
        <v>1683.200000000005</v>
      </c>
      <c r="C176" s="502">
        <f t="shared" si="16"/>
        <v>1683.200000000005</v>
      </c>
      <c r="D176" s="503">
        <f t="shared" si="17"/>
        <v>2722.5999999999963</v>
      </c>
      <c r="E176" s="503">
        <f t="shared" si="18"/>
        <v>2485.7000000000089</v>
      </c>
      <c r="F176" s="411"/>
    </row>
    <row r="177" spans="1:6" ht="18" customHeight="1">
      <c r="A177" s="409">
        <v>172</v>
      </c>
      <c r="B177" s="502">
        <f t="shared" si="16"/>
        <v>1692.6000000000051</v>
      </c>
      <c r="C177" s="502">
        <f t="shared" si="16"/>
        <v>1692.6000000000051</v>
      </c>
      <c r="D177" s="503">
        <f t="shared" si="17"/>
        <v>2737.7999999999961</v>
      </c>
      <c r="E177" s="503">
        <f t="shared" si="18"/>
        <v>2499.600000000009</v>
      </c>
      <c r="F177" s="411"/>
    </row>
    <row r="178" spans="1:6" ht="18" customHeight="1">
      <c r="A178" s="409">
        <v>173</v>
      </c>
      <c r="B178" s="502">
        <f t="shared" si="16"/>
        <v>1702.0000000000052</v>
      </c>
      <c r="C178" s="502">
        <f t="shared" si="16"/>
        <v>1702.0000000000052</v>
      </c>
      <c r="D178" s="503">
        <f t="shared" si="17"/>
        <v>2752.9999999999959</v>
      </c>
      <c r="E178" s="503">
        <f t="shared" si="18"/>
        <v>2513.5000000000091</v>
      </c>
      <c r="F178" s="411"/>
    </row>
    <row r="179" spans="1:6" ht="18" customHeight="1">
      <c r="A179" s="409">
        <v>174</v>
      </c>
      <c r="B179" s="502">
        <f t="shared" si="16"/>
        <v>1711.4000000000053</v>
      </c>
      <c r="C179" s="502">
        <f t="shared" si="16"/>
        <v>1711.4000000000053</v>
      </c>
      <c r="D179" s="503">
        <f t="shared" si="17"/>
        <v>2768.1999999999957</v>
      </c>
      <c r="E179" s="503">
        <f t="shared" si="18"/>
        <v>2527.4000000000092</v>
      </c>
      <c r="F179" s="411"/>
    </row>
    <row r="180" spans="1:6" ht="18" customHeight="1">
      <c r="A180" s="409">
        <v>175</v>
      </c>
      <c r="B180" s="502">
        <f t="shared" si="16"/>
        <v>1720.8000000000054</v>
      </c>
      <c r="C180" s="502">
        <f t="shared" si="16"/>
        <v>1720.8000000000054</v>
      </c>
      <c r="D180" s="503">
        <f t="shared" si="17"/>
        <v>2783.3999999999955</v>
      </c>
      <c r="E180" s="503">
        <f t="shared" si="18"/>
        <v>2541.3000000000093</v>
      </c>
      <c r="F180" s="411"/>
    </row>
    <row r="181" spans="1:6" ht="18" customHeight="1">
      <c r="A181" s="409">
        <v>176</v>
      </c>
      <c r="B181" s="502">
        <f t="shared" ref="B181:C196" si="19">B180+9.4</f>
        <v>1730.2000000000055</v>
      </c>
      <c r="C181" s="502">
        <f t="shared" si="19"/>
        <v>1730.2000000000055</v>
      </c>
      <c r="D181" s="503">
        <f t="shared" si="17"/>
        <v>2798.5999999999954</v>
      </c>
      <c r="E181" s="503">
        <f t="shared" si="18"/>
        <v>2555.2000000000094</v>
      </c>
      <c r="F181" s="411"/>
    </row>
    <row r="182" spans="1:6" ht="18" customHeight="1">
      <c r="A182" s="409">
        <v>177</v>
      </c>
      <c r="B182" s="502">
        <f t="shared" si="19"/>
        <v>1739.6000000000056</v>
      </c>
      <c r="C182" s="502">
        <f t="shared" si="19"/>
        <v>1739.6000000000056</v>
      </c>
      <c r="D182" s="503">
        <f t="shared" si="17"/>
        <v>2813.7999999999952</v>
      </c>
      <c r="E182" s="503">
        <f t="shared" si="18"/>
        <v>2569.1000000000095</v>
      </c>
      <c r="F182" s="411"/>
    </row>
    <row r="183" spans="1:6" ht="18" customHeight="1">
      <c r="A183" s="409">
        <v>178</v>
      </c>
      <c r="B183" s="502">
        <f t="shared" si="19"/>
        <v>1749.0000000000057</v>
      </c>
      <c r="C183" s="502">
        <f t="shared" si="19"/>
        <v>1749.0000000000057</v>
      </c>
      <c r="D183" s="503">
        <f t="shared" si="17"/>
        <v>2828.999999999995</v>
      </c>
      <c r="E183" s="503">
        <f t="shared" si="18"/>
        <v>2583.0000000000095</v>
      </c>
      <c r="F183" s="411"/>
    </row>
    <row r="184" spans="1:6" ht="18" customHeight="1">
      <c r="A184" s="409">
        <v>179</v>
      </c>
      <c r="B184" s="502">
        <f t="shared" si="19"/>
        <v>1758.4000000000058</v>
      </c>
      <c r="C184" s="502">
        <f t="shared" si="19"/>
        <v>1758.4000000000058</v>
      </c>
      <c r="D184" s="503">
        <f t="shared" si="17"/>
        <v>2844.1999999999948</v>
      </c>
      <c r="E184" s="503">
        <f t="shared" si="18"/>
        <v>2596.9000000000096</v>
      </c>
      <c r="F184" s="411"/>
    </row>
    <row r="185" spans="1:6" ht="18" customHeight="1">
      <c r="A185" s="409">
        <v>180</v>
      </c>
      <c r="B185" s="502">
        <f t="shared" si="19"/>
        <v>1767.8000000000059</v>
      </c>
      <c r="C185" s="502">
        <f t="shared" si="19"/>
        <v>1767.8000000000059</v>
      </c>
      <c r="D185" s="503">
        <f t="shared" si="17"/>
        <v>2859.3999999999946</v>
      </c>
      <c r="E185" s="503">
        <f t="shared" si="18"/>
        <v>2610.8000000000097</v>
      </c>
      <c r="F185" s="411"/>
    </row>
    <row r="186" spans="1:6" ht="18" customHeight="1">
      <c r="A186" s="409">
        <v>181</v>
      </c>
      <c r="B186" s="502">
        <f t="shared" si="19"/>
        <v>1777.200000000006</v>
      </c>
      <c r="C186" s="502">
        <f t="shared" si="19"/>
        <v>1777.200000000006</v>
      </c>
      <c r="D186" s="503">
        <f t="shared" si="17"/>
        <v>2874.5999999999945</v>
      </c>
      <c r="E186" s="503">
        <f t="shared" si="18"/>
        <v>2624.7000000000098</v>
      </c>
      <c r="F186" s="411"/>
    </row>
    <row r="187" spans="1:6" ht="18" customHeight="1">
      <c r="A187" s="409">
        <v>182</v>
      </c>
      <c r="B187" s="502">
        <f t="shared" si="19"/>
        <v>1786.600000000006</v>
      </c>
      <c r="C187" s="502">
        <f t="shared" si="19"/>
        <v>1786.600000000006</v>
      </c>
      <c r="D187" s="503">
        <f t="shared" si="17"/>
        <v>2889.7999999999943</v>
      </c>
      <c r="E187" s="503">
        <f t="shared" si="18"/>
        <v>2638.6000000000099</v>
      </c>
      <c r="F187" s="411"/>
    </row>
    <row r="188" spans="1:6" ht="18" customHeight="1">
      <c r="A188" s="409">
        <v>183</v>
      </c>
      <c r="B188" s="502">
        <f t="shared" si="19"/>
        <v>1796.0000000000061</v>
      </c>
      <c r="C188" s="502">
        <f t="shared" si="19"/>
        <v>1796.0000000000061</v>
      </c>
      <c r="D188" s="503">
        <f t="shared" si="17"/>
        <v>2904.9999999999941</v>
      </c>
      <c r="E188" s="503">
        <f t="shared" si="18"/>
        <v>2652.50000000001</v>
      </c>
      <c r="F188" s="411"/>
    </row>
    <row r="189" spans="1:6" ht="18" customHeight="1">
      <c r="A189" s="409">
        <v>184</v>
      </c>
      <c r="B189" s="502">
        <f t="shared" si="19"/>
        <v>1805.4000000000062</v>
      </c>
      <c r="C189" s="502">
        <f t="shared" si="19"/>
        <v>1805.4000000000062</v>
      </c>
      <c r="D189" s="503">
        <f t="shared" si="17"/>
        <v>2920.1999999999939</v>
      </c>
      <c r="E189" s="503">
        <f t="shared" si="18"/>
        <v>2666.4000000000101</v>
      </c>
      <c r="F189" s="411"/>
    </row>
    <row r="190" spans="1:6" ht="18" customHeight="1">
      <c r="A190" s="409">
        <v>185</v>
      </c>
      <c r="B190" s="502">
        <f t="shared" si="19"/>
        <v>1814.8000000000063</v>
      </c>
      <c r="C190" s="502">
        <f t="shared" si="19"/>
        <v>1814.8000000000063</v>
      </c>
      <c r="D190" s="503">
        <f t="shared" si="17"/>
        <v>2935.3999999999937</v>
      </c>
      <c r="E190" s="503">
        <f t="shared" si="18"/>
        <v>2680.3000000000102</v>
      </c>
      <c r="F190" s="411"/>
    </row>
    <row r="191" spans="1:6" ht="18" customHeight="1">
      <c r="A191" s="409">
        <v>186</v>
      </c>
      <c r="B191" s="502">
        <f t="shared" si="19"/>
        <v>1824.2000000000064</v>
      </c>
      <c r="C191" s="502">
        <f t="shared" si="19"/>
        <v>1824.2000000000064</v>
      </c>
      <c r="D191" s="503">
        <f t="shared" si="17"/>
        <v>2950.5999999999935</v>
      </c>
      <c r="E191" s="503">
        <f t="shared" si="18"/>
        <v>2694.2000000000103</v>
      </c>
      <c r="F191" s="411"/>
    </row>
    <row r="192" spans="1:6" ht="18" customHeight="1">
      <c r="A192" s="409">
        <v>187</v>
      </c>
      <c r="B192" s="502">
        <f t="shared" si="19"/>
        <v>1833.6000000000065</v>
      </c>
      <c r="C192" s="502">
        <f t="shared" si="19"/>
        <v>1833.6000000000065</v>
      </c>
      <c r="D192" s="503">
        <f t="shared" si="17"/>
        <v>2965.7999999999934</v>
      </c>
      <c r="E192" s="503">
        <f t="shared" si="18"/>
        <v>2708.1000000000104</v>
      </c>
      <c r="F192" s="411"/>
    </row>
    <row r="193" spans="1:6" ht="18" customHeight="1">
      <c r="A193" s="409">
        <v>188</v>
      </c>
      <c r="B193" s="502">
        <f t="shared" si="19"/>
        <v>1843.0000000000066</v>
      </c>
      <c r="C193" s="502">
        <f t="shared" si="19"/>
        <v>1843.0000000000066</v>
      </c>
      <c r="D193" s="503">
        <f t="shared" si="17"/>
        <v>2980.9999999999932</v>
      </c>
      <c r="E193" s="503">
        <f t="shared" si="18"/>
        <v>2722.0000000000105</v>
      </c>
      <c r="F193" s="411"/>
    </row>
    <row r="194" spans="1:6" ht="18" customHeight="1">
      <c r="A194" s="409">
        <v>189</v>
      </c>
      <c r="B194" s="502">
        <f t="shared" si="19"/>
        <v>1852.4000000000067</v>
      </c>
      <c r="C194" s="502">
        <f t="shared" si="19"/>
        <v>1852.4000000000067</v>
      </c>
      <c r="D194" s="503">
        <f t="shared" si="17"/>
        <v>2996.199999999993</v>
      </c>
      <c r="E194" s="503">
        <f t="shared" si="18"/>
        <v>2735.9000000000106</v>
      </c>
      <c r="F194" s="411"/>
    </row>
    <row r="195" spans="1:6" ht="18" customHeight="1">
      <c r="A195" s="409">
        <v>190</v>
      </c>
      <c r="B195" s="502">
        <f t="shared" si="19"/>
        <v>1861.8000000000068</v>
      </c>
      <c r="C195" s="502">
        <f t="shared" si="19"/>
        <v>1861.8000000000068</v>
      </c>
      <c r="D195" s="503">
        <f t="shared" si="17"/>
        <v>3011.3999999999928</v>
      </c>
      <c r="E195" s="503">
        <f t="shared" si="18"/>
        <v>2749.8000000000106</v>
      </c>
      <c r="F195" s="411"/>
    </row>
    <row r="196" spans="1:6" ht="18" customHeight="1">
      <c r="A196" s="409">
        <v>191</v>
      </c>
      <c r="B196" s="502">
        <f t="shared" si="19"/>
        <v>1871.2000000000069</v>
      </c>
      <c r="C196" s="502">
        <f t="shared" si="19"/>
        <v>1871.2000000000069</v>
      </c>
      <c r="D196" s="503">
        <f t="shared" si="17"/>
        <v>3026.5999999999926</v>
      </c>
      <c r="E196" s="503">
        <f t="shared" si="18"/>
        <v>2763.7000000000107</v>
      </c>
      <c r="F196" s="411"/>
    </row>
    <row r="197" spans="1:6" ht="18" customHeight="1">
      <c r="A197" s="409">
        <v>192</v>
      </c>
      <c r="B197" s="502">
        <f t="shared" ref="B197:C212" si="20">B196+9.4</f>
        <v>1880.600000000007</v>
      </c>
      <c r="C197" s="502">
        <f t="shared" si="20"/>
        <v>1880.600000000007</v>
      </c>
      <c r="D197" s="503">
        <f t="shared" si="17"/>
        <v>3041.7999999999925</v>
      </c>
      <c r="E197" s="503">
        <f t="shared" si="18"/>
        <v>2777.6000000000108</v>
      </c>
      <c r="F197" s="411"/>
    </row>
    <row r="198" spans="1:6" ht="18" customHeight="1">
      <c r="A198" s="409">
        <v>193</v>
      </c>
      <c r="B198" s="502">
        <f t="shared" si="20"/>
        <v>1890.000000000007</v>
      </c>
      <c r="C198" s="502">
        <f t="shared" si="20"/>
        <v>1890.000000000007</v>
      </c>
      <c r="D198" s="503">
        <f t="shared" si="17"/>
        <v>3056.9999999999923</v>
      </c>
      <c r="E198" s="503">
        <f t="shared" si="18"/>
        <v>2791.5000000000109</v>
      </c>
      <c r="F198" s="411"/>
    </row>
    <row r="199" spans="1:6" ht="18" customHeight="1">
      <c r="A199" s="409">
        <v>194</v>
      </c>
      <c r="B199" s="502">
        <f t="shared" si="20"/>
        <v>1899.4000000000071</v>
      </c>
      <c r="C199" s="502">
        <f t="shared" si="20"/>
        <v>1899.4000000000071</v>
      </c>
      <c r="D199" s="503">
        <f t="shared" si="17"/>
        <v>3072.1999999999921</v>
      </c>
      <c r="E199" s="503">
        <f t="shared" si="18"/>
        <v>2805.400000000011</v>
      </c>
      <c r="F199" s="411"/>
    </row>
    <row r="200" spans="1:6" ht="18" customHeight="1">
      <c r="A200" s="409">
        <v>195</v>
      </c>
      <c r="B200" s="502">
        <f t="shared" si="20"/>
        <v>1908.8000000000072</v>
      </c>
      <c r="C200" s="502">
        <f t="shared" si="20"/>
        <v>1908.8000000000072</v>
      </c>
      <c r="D200" s="503">
        <f t="shared" si="17"/>
        <v>3087.3999999999919</v>
      </c>
      <c r="E200" s="503">
        <f t="shared" si="18"/>
        <v>2819.3000000000111</v>
      </c>
      <c r="F200" s="411"/>
    </row>
    <row r="201" spans="1:6" ht="18" customHeight="1">
      <c r="A201" s="409">
        <v>196</v>
      </c>
      <c r="B201" s="502">
        <f t="shared" si="20"/>
        <v>1918.2000000000073</v>
      </c>
      <c r="C201" s="502">
        <f t="shared" si="20"/>
        <v>1918.2000000000073</v>
      </c>
      <c r="D201" s="503">
        <f t="shared" si="17"/>
        <v>3102.5999999999917</v>
      </c>
      <c r="E201" s="503">
        <f t="shared" si="18"/>
        <v>2833.2000000000112</v>
      </c>
      <c r="F201" s="411"/>
    </row>
    <row r="202" spans="1:6" ht="18" customHeight="1">
      <c r="A202" s="409">
        <v>197</v>
      </c>
      <c r="B202" s="502">
        <f t="shared" si="20"/>
        <v>1927.6000000000074</v>
      </c>
      <c r="C202" s="502">
        <f t="shared" si="20"/>
        <v>1927.6000000000074</v>
      </c>
      <c r="D202" s="503">
        <f t="shared" si="17"/>
        <v>3117.7999999999915</v>
      </c>
      <c r="E202" s="503">
        <f t="shared" si="18"/>
        <v>2847.1000000000113</v>
      </c>
      <c r="F202" s="411"/>
    </row>
    <row r="203" spans="1:6" ht="18" customHeight="1">
      <c r="A203" s="409">
        <v>198</v>
      </c>
      <c r="B203" s="502">
        <f t="shared" si="20"/>
        <v>1937.0000000000075</v>
      </c>
      <c r="C203" s="502">
        <f t="shared" si="20"/>
        <v>1937.0000000000075</v>
      </c>
      <c r="D203" s="503">
        <f t="shared" si="17"/>
        <v>3132.9999999999914</v>
      </c>
      <c r="E203" s="503">
        <f t="shared" si="18"/>
        <v>2861.0000000000114</v>
      </c>
      <c r="F203" s="411"/>
    </row>
    <row r="204" spans="1:6" ht="18" customHeight="1">
      <c r="A204" s="409">
        <v>199</v>
      </c>
      <c r="B204" s="502">
        <f t="shared" si="20"/>
        <v>1946.4000000000076</v>
      </c>
      <c r="C204" s="502">
        <f t="shared" si="20"/>
        <v>1946.4000000000076</v>
      </c>
      <c r="D204" s="503">
        <f t="shared" si="17"/>
        <v>3148.1999999999912</v>
      </c>
      <c r="E204" s="503">
        <f t="shared" si="18"/>
        <v>2874.9000000000115</v>
      </c>
      <c r="F204" s="411"/>
    </row>
    <row r="205" spans="1:6" ht="18" customHeight="1">
      <c r="A205" s="409">
        <v>200</v>
      </c>
      <c r="B205" s="502">
        <f t="shared" si="20"/>
        <v>1955.8000000000077</v>
      </c>
      <c r="C205" s="502">
        <f t="shared" si="20"/>
        <v>1955.8000000000077</v>
      </c>
      <c r="D205" s="503">
        <f t="shared" si="17"/>
        <v>3163.399999999991</v>
      </c>
      <c r="E205" s="503">
        <f t="shared" si="18"/>
        <v>2888.8000000000116</v>
      </c>
      <c r="F205" s="411"/>
    </row>
    <row r="206" spans="1:6">
      <c r="A206" s="409">
        <v>201</v>
      </c>
      <c r="B206" s="502">
        <f t="shared" si="20"/>
        <v>1965.2000000000078</v>
      </c>
      <c r="C206" s="502">
        <f t="shared" si="20"/>
        <v>1965.2000000000078</v>
      </c>
      <c r="D206" s="503">
        <f t="shared" si="17"/>
        <v>3178.5999999999908</v>
      </c>
      <c r="E206" s="503">
        <f t="shared" si="18"/>
        <v>2902.7000000000116</v>
      </c>
      <c r="F206" s="411"/>
    </row>
    <row r="207" spans="1:6">
      <c r="A207" s="409">
        <v>202</v>
      </c>
      <c r="B207" s="502">
        <f t="shared" si="20"/>
        <v>1974.6000000000079</v>
      </c>
      <c r="C207" s="502">
        <f t="shared" si="20"/>
        <v>1974.6000000000079</v>
      </c>
      <c r="D207" s="503">
        <f t="shared" si="17"/>
        <v>3193.7999999999906</v>
      </c>
      <c r="E207" s="503">
        <f t="shared" si="18"/>
        <v>2916.6000000000117</v>
      </c>
      <c r="F207" s="411"/>
    </row>
    <row r="208" spans="1:6">
      <c r="A208" s="409">
        <v>203</v>
      </c>
      <c r="B208" s="502">
        <f t="shared" si="20"/>
        <v>1984.000000000008</v>
      </c>
      <c r="C208" s="502">
        <f t="shared" si="20"/>
        <v>1984.000000000008</v>
      </c>
      <c r="D208" s="503">
        <f t="shared" si="17"/>
        <v>3208.9999999999905</v>
      </c>
      <c r="E208" s="503">
        <f t="shared" si="18"/>
        <v>2930.5000000000118</v>
      </c>
      <c r="F208" s="411"/>
    </row>
    <row r="209" spans="1:6">
      <c r="A209" s="409">
        <v>204</v>
      </c>
      <c r="B209" s="502">
        <f t="shared" si="20"/>
        <v>1993.400000000008</v>
      </c>
      <c r="C209" s="502">
        <f t="shared" si="20"/>
        <v>1993.400000000008</v>
      </c>
      <c r="D209" s="503">
        <f t="shared" si="17"/>
        <v>3224.1999999999903</v>
      </c>
      <c r="E209" s="503">
        <f t="shared" si="18"/>
        <v>2944.4000000000119</v>
      </c>
      <c r="F209" s="411"/>
    </row>
    <row r="210" spans="1:6">
      <c r="A210" s="409">
        <v>205</v>
      </c>
      <c r="B210" s="502">
        <f t="shared" si="20"/>
        <v>2002.8000000000081</v>
      </c>
      <c r="C210" s="502">
        <f t="shared" si="20"/>
        <v>2002.8000000000081</v>
      </c>
      <c r="D210" s="503">
        <f t="shared" si="17"/>
        <v>3239.3999999999901</v>
      </c>
      <c r="E210" s="503">
        <f t="shared" si="18"/>
        <v>2958.300000000012</v>
      </c>
      <c r="F210" s="411"/>
    </row>
    <row r="211" spans="1:6">
      <c r="A211" s="409">
        <v>206</v>
      </c>
      <c r="B211" s="502">
        <f t="shared" si="20"/>
        <v>2012.2000000000082</v>
      </c>
      <c r="C211" s="502">
        <f t="shared" si="20"/>
        <v>2012.2000000000082</v>
      </c>
      <c r="D211" s="503">
        <f t="shared" si="17"/>
        <v>3254.5999999999899</v>
      </c>
      <c r="E211" s="503">
        <f t="shared" si="18"/>
        <v>2972.2000000000121</v>
      </c>
      <c r="F211" s="411"/>
    </row>
    <row r="212" spans="1:6">
      <c r="A212" s="409">
        <v>207</v>
      </c>
      <c r="B212" s="502">
        <f t="shared" si="20"/>
        <v>2021.6000000000083</v>
      </c>
      <c r="C212" s="502">
        <f t="shared" si="20"/>
        <v>2021.6000000000083</v>
      </c>
      <c r="D212" s="503">
        <f t="shared" si="17"/>
        <v>3269.7999999999897</v>
      </c>
      <c r="E212" s="503">
        <f t="shared" si="18"/>
        <v>2986.1000000000122</v>
      </c>
      <c r="F212" s="411"/>
    </row>
    <row r="213" spans="1:6">
      <c r="A213" s="409">
        <v>208</v>
      </c>
      <c r="B213" s="502">
        <f t="shared" ref="B213:C228" si="21">B212+9.4</f>
        <v>2031.0000000000084</v>
      </c>
      <c r="C213" s="502">
        <f t="shared" si="21"/>
        <v>2031.0000000000084</v>
      </c>
      <c r="D213" s="503">
        <f t="shared" si="17"/>
        <v>3284.9999999999895</v>
      </c>
      <c r="E213" s="503">
        <f t="shared" si="18"/>
        <v>3000.0000000000123</v>
      </c>
      <c r="F213" s="411"/>
    </row>
    <row r="214" spans="1:6">
      <c r="A214" s="409">
        <v>209</v>
      </c>
      <c r="B214" s="502">
        <f t="shared" si="21"/>
        <v>2040.4000000000085</v>
      </c>
      <c r="C214" s="502">
        <f t="shared" si="21"/>
        <v>2040.4000000000085</v>
      </c>
      <c r="D214" s="503">
        <f t="shared" si="17"/>
        <v>3300.1999999999894</v>
      </c>
      <c r="E214" s="503">
        <f t="shared" si="18"/>
        <v>3013.9000000000124</v>
      </c>
      <c r="F214" s="411"/>
    </row>
    <row r="215" spans="1:6">
      <c r="A215" s="409">
        <v>210</v>
      </c>
      <c r="B215" s="502">
        <f t="shared" si="21"/>
        <v>2049.8000000000084</v>
      </c>
      <c r="C215" s="502">
        <f t="shared" si="21"/>
        <v>2049.8000000000084</v>
      </c>
      <c r="D215" s="503">
        <f t="shared" si="17"/>
        <v>3315.3999999999892</v>
      </c>
      <c r="E215" s="503">
        <f t="shared" si="18"/>
        <v>3027.8000000000125</v>
      </c>
      <c r="F215" s="411"/>
    </row>
    <row r="216" spans="1:6">
      <c r="A216" s="409">
        <v>211</v>
      </c>
      <c r="B216" s="502">
        <f t="shared" si="21"/>
        <v>2059.2000000000085</v>
      </c>
      <c r="C216" s="502">
        <f t="shared" si="21"/>
        <v>2059.2000000000085</v>
      </c>
      <c r="D216" s="503">
        <f t="shared" si="17"/>
        <v>3330.599999999989</v>
      </c>
      <c r="E216" s="503">
        <f t="shared" si="18"/>
        <v>3041.7000000000126</v>
      </c>
      <c r="F216" s="411"/>
    </row>
    <row r="217" spans="1:6">
      <c r="A217" s="409">
        <v>212</v>
      </c>
      <c r="B217" s="502">
        <f t="shared" si="21"/>
        <v>2068.6000000000085</v>
      </c>
      <c r="C217" s="502">
        <f t="shared" si="21"/>
        <v>2068.6000000000085</v>
      </c>
      <c r="D217" s="503">
        <f t="shared" si="17"/>
        <v>3345.7999999999888</v>
      </c>
      <c r="E217" s="503">
        <f t="shared" si="18"/>
        <v>3055.6000000000126</v>
      </c>
      <c r="F217" s="411"/>
    </row>
    <row r="218" spans="1:6">
      <c r="A218" s="409">
        <v>213</v>
      </c>
      <c r="B218" s="502">
        <f t="shared" si="21"/>
        <v>2078.0000000000086</v>
      </c>
      <c r="C218" s="502">
        <f t="shared" si="21"/>
        <v>2078.0000000000086</v>
      </c>
      <c r="D218" s="503">
        <f t="shared" si="17"/>
        <v>3360.9999999999886</v>
      </c>
      <c r="E218" s="503">
        <f t="shared" si="18"/>
        <v>3069.5000000000127</v>
      </c>
      <c r="F218" s="411"/>
    </row>
    <row r="219" spans="1:6">
      <c r="A219" s="409">
        <v>214</v>
      </c>
      <c r="B219" s="502">
        <f t="shared" si="21"/>
        <v>2087.4000000000087</v>
      </c>
      <c r="C219" s="502">
        <f t="shared" si="21"/>
        <v>2087.4000000000087</v>
      </c>
      <c r="D219" s="503">
        <f t="shared" si="17"/>
        <v>3376.1999999999884</v>
      </c>
      <c r="E219" s="503">
        <f t="shared" si="18"/>
        <v>3083.4000000000128</v>
      </c>
      <c r="F219" s="411"/>
    </row>
    <row r="220" spans="1:6">
      <c r="A220" s="409">
        <v>215</v>
      </c>
      <c r="B220" s="502">
        <f t="shared" si="21"/>
        <v>2096.8000000000088</v>
      </c>
      <c r="C220" s="502">
        <f t="shared" si="21"/>
        <v>2096.8000000000088</v>
      </c>
      <c r="D220" s="503">
        <f t="shared" si="17"/>
        <v>3391.3999999999883</v>
      </c>
      <c r="E220" s="503">
        <f t="shared" si="18"/>
        <v>3097.3000000000129</v>
      </c>
      <c r="F220" s="411"/>
    </row>
    <row r="221" spans="1:6">
      <c r="A221" s="409">
        <v>216</v>
      </c>
      <c r="B221" s="502">
        <f t="shared" si="21"/>
        <v>2106.2000000000089</v>
      </c>
      <c r="C221" s="502">
        <f t="shared" si="21"/>
        <v>2106.2000000000089</v>
      </c>
      <c r="D221" s="503">
        <f t="shared" si="17"/>
        <v>3406.5999999999881</v>
      </c>
      <c r="E221" s="503">
        <f t="shared" si="18"/>
        <v>3111.200000000013</v>
      </c>
    </row>
    <row r="222" spans="1:6">
      <c r="A222" s="409">
        <v>217</v>
      </c>
      <c r="B222" s="502">
        <f t="shared" si="21"/>
        <v>2115.600000000009</v>
      </c>
      <c r="C222" s="502">
        <f t="shared" si="21"/>
        <v>2115.600000000009</v>
      </c>
      <c r="D222" s="503">
        <f t="shared" si="17"/>
        <v>3421.7999999999879</v>
      </c>
      <c r="E222" s="503">
        <f t="shared" si="18"/>
        <v>3125.1000000000131</v>
      </c>
    </row>
    <row r="223" spans="1:6">
      <c r="A223" s="409">
        <v>218</v>
      </c>
      <c r="B223" s="502">
        <f t="shared" si="21"/>
        <v>2125.0000000000091</v>
      </c>
      <c r="C223" s="502">
        <f t="shared" si="21"/>
        <v>2125.0000000000091</v>
      </c>
      <c r="D223" s="503">
        <f t="shared" si="17"/>
        <v>3436.9999999999877</v>
      </c>
      <c r="E223" s="503">
        <f t="shared" si="18"/>
        <v>3139.0000000000132</v>
      </c>
    </row>
    <row r="224" spans="1:6">
      <c r="A224" s="409">
        <v>219</v>
      </c>
      <c r="B224" s="502">
        <f t="shared" si="21"/>
        <v>2134.4000000000092</v>
      </c>
      <c r="C224" s="502">
        <f t="shared" si="21"/>
        <v>2134.4000000000092</v>
      </c>
      <c r="D224" s="503">
        <f t="shared" si="17"/>
        <v>3452.1999999999875</v>
      </c>
      <c r="E224" s="503">
        <f t="shared" si="18"/>
        <v>3152.9000000000133</v>
      </c>
    </row>
    <row r="225" spans="1:5">
      <c r="A225" s="409">
        <v>220</v>
      </c>
      <c r="B225" s="502">
        <f t="shared" si="21"/>
        <v>2143.8000000000093</v>
      </c>
      <c r="C225" s="502">
        <f t="shared" si="21"/>
        <v>2143.8000000000093</v>
      </c>
      <c r="D225" s="503">
        <f t="shared" si="17"/>
        <v>3467.3999999999874</v>
      </c>
      <c r="E225" s="503">
        <f t="shared" si="18"/>
        <v>3166.8000000000134</v>
      </c>
    </row>
    <row r="226" spans="1:5">
      <c r="A226" s="409">
        <v>221</v>
      </c>
      <c r="B226" s="502">
        <f t="shared" si="21"/>
        <v>2153.2000000000094</v>
      </c>
      <c r="C226" s="502">
        <f t="shared" si="21"/>
        <v>2153.2000000000094</v>
      </c>
      <c r="D226" s="503">
        <f t="shared" si="17"/>
        <v>3482.5999999999872</v>
      </c>
      <c r="E226" s="503">
        <f t="shared" si="18"/>
        <v>3180.7000000000135</v>
      </c>
    </row>
    <row r="227" spans="1:5">
      <c r="A227" s="409">
        <v>222</v>
      </c>
      <c r="B227" s="502">
        <f t="shared" si="21"/>
        <v>2162.6000000000095</v>
      </c>
      <c r="C227" s="502">
        <f t="shared" si="21"/>
        <v>2162.6000000000095</v>
      </c>
      <c r="D227" s="503">
        <f t="shared" si="17"/>
        <v>3497.799999999987</v>
      </c>
      <c r="E227" s="503">
        <f t="shared" si="18"/>
        <v>3194.6000000000136</v>
      </c>
    </row>
    <row r="228" spans="1:5">
      <c r="A228" s="409">
        <v>223</v>
      </c>
      <c r="B228" s="502">
        <f t="shared" si="21"/>
        <v>2172.0000000000095</v>
      </c>
      <c r="C228" s="502">
        <f t="shared" si="21"/>
        <v>2172.0000000000095</v>
      </c>
      <c r="D228" s="503">
        <f t="shared" si="17"/>
        <v>3512.9999999999868</v>
      </c>
      <c r="E228" s="503">
        <f t="shared" si="18"/>
        <v>3208.5000000000136</v>
      </c>
    </row>
    <row r="229" spans="1:5">
      <c r="A229" s="409">
        <v>224</v>
      </c>
      <c r="B229" s="502">
        <f t="shared" ref="B229:C244" si="22">B228+9.4</f>
        <v>2181.4000000000096</v>
      </c>
      <c r="C229" s="502">
        <f t="shared" si="22"/>
        <v>2181.4000000000096</v>
      </c>
      <c r="D229" s="503">
        <f t="shared" ref="D229:D287" si="23">D228+15.2</f>
        <v>3528.1999999999866</v>
      </c>
      <c r="E229" s="503">
        <f t="shared" ref="E229:E287" si="24">E228+13.9</f>
        <v>3222.4000000000137</v>
      </c>
    </row>
    <row r="230" spans="1:5">
      <c r="A230" s="409">
        <v>225</v>
      </c>
      <c r="B230" s="502">
        <f t="shared" si="22"/>
        <v>2190.8000000000097</v>
      </c>
      <c r="C230" s="502">
        <f t="shared" si="22"/>
        <v>2190.8000000000097</v>
      </c>
      <c r="D230" s="503">
        <f t="shared" si="23"/>
        <v>3543.3999999999864</v>
      </c>
      <c r="E230" s="503">
        <f t="shared" si="24"/>
        <v>3236.3000000000138</v>
      </c>
    </row>
    <row r="231" spans="1:5">
      <c r="A231" s="409">
        <v>226</v>
      </c>
      <c r="B231" s="502">
        <f t="shared" si="22"/>
        <v>2200.2000000000098</v>
      </c>
      <c r="C231" s="502">
        <f t="shared" si="22"/>
        <v>2200.2000000000098</v>
      </c>
      <c r="D231" s="503">
        <f t="shared" si="23"/>
        <v>3558.5999999999863</v>
      </c>
      <c r="E231" s="503">
        <f t="shared" si="24"/>
        <v>3250.2000000000139</v>
      </c>
    </row>
    <row r="232" spans="1:5">
      <c r="A232" s="409">
        <v>227</v>
      </c>
      <c r="B232" s="502">
        <f t="shared" si="22"/>
        <v>2209.6000000000099</v>
      </c>
      <c r="C232" s="502">
        <f t="shared" si="22"/>
        <v>2209.6000000000099</v>
      </c>
      <c r="D232" s="503">
        <f t="shared" si="23"/>
        <v>3573.7999999999861</v>
      </c>
      <c r="E232" s="503">
        <f t="shared" si="24"/>
        <v>3264.100000000014</v>
      </c>
    </row>
    <row r="233" spans="1:5">
      <c r="A233" s="409">
        <v>228</v>
      </c>
      <c r="B233" s="502">
        <f t="shared" si="22"/>
        <v>2219.00000000001</v>
      </c>
      <c r="C233" s="502">
        <f t="shared" si="22"/>
        <v>2219.00000000001</v>
      </c>
      <c r="D233" s="503">
        <f t="shared" si="23"/>
        <v>3588.9999999999859</v>
      </c>
      <c r="E233" s="503">
        <f t="shared" si="24"/>
        <v>3278.0000000000141</v>
      </c>
    </row>
    <row r="234" spans="1:5">
      <c r="A234" s="409">
        <v>229</v>
      </c>
      <c r="B234" s="502">
        <f t="shared" si="22"/>
        <v>2228.4000000000101</v>
      </c>
      <c r="C234" s="502">
        <f t="shared" si="22"/>
        <v>2228.4000000000101</v>
      </c>
      <c r="D234" s="503">
        <f t="shared" si="23"/>
        <v>3604.1999999999857</v>
      </c>
      <c r="E234" s="503">
        <f t="shared" si="24"/>
        <v>3291.9000000000142</v>
      </c>
    </row>
    <row r="235" spans="1:5">
      <c r="A235" s="409">
        <v>230</v>
      </c>
      <c r="B235" s="502">
        <f t="shared" si="22"/>
        <v>2237.8000000000102</v>
      </c>
      <c r="C235" s="502">
        <f t="shared" si="22"/>
        <v>2237.8000000000102</v>
      </c>
      <c r="D235" s="503">
        <f t="shared" si="23"/>
        <v>3619.3999999999855</v>
      </c>
      <c r="E235" s="503">
        <f t="shared" si="24"/>
        <v>3305.8000000000143</v>
      </c>
    </row>
    <row r="236" spans="1:5">
      <c r="A236" s="409">
        <v>231</v>
      </c>
      <c r="B236" s="502">
        <f t="shared" si="22"/>
        <v>2247.2000000000103</v>
      </c>
      <c r="C236" s="502">
        <f t="shared" si="22"/>
        <v>2247.2000000000103</v>
      </c>
      <c r="D236" s="503">
        <f t="shared" si="23"/>
        <v>3634.5999999999854</v>
      </c>
      <c r="E236" s="503">
        <f t="shared" si="24"/>
        <v>3319.7000000000144</v>
      </c>
    </row>
    <row r="237" spans="1:5">
      <c r="A237" s="409">
        <v>232</v>
      </c>
      <c r="B237" s="502">
        <f t="shared" si="22"/>
        <v>2256.6000000000104</v>
      </c>
      <c r="C237" s="502">
        <f t="shared" si="22"/>
        <v>2256.6000000000104</v>
      </c>
      <c r="D237" s="503">
        <f t="shared" si="23"/>
        <v>3649.7999999999852</v>
      </c>
      <c r="E237" s="503">
        <f t="shared" si="24"/>
        <v>3333.6000000000145</v>
      </c>
    </row>
    <row r="238" spans="1:5">
      <c r="A238" s="409">
        <v>233</v>
      </c>
      <c r="B238" s="502">
        <f t="shared" si="22"/>
        <v>2266.0000000000105</v>
      </c>
      <c r="C238" s="502">
        <f t="shared" si="22"/>
        <v>2266.0000000000105</v>
      </c>
      <c r="D238" s="503">
        <f t="shared" si="23"/>
        <v>3664.999999999985</v>
      </c>
      <c r="E238" s="503">
        <f t="shared" si="24"/>
        <v>3347.5000000000146</v>
      </c>
    </row>
    <row r="239" spans="1:5">
      <c r="A239" s="409">
        <v>234</v>
      </c>
      <c r="B239" s="502">
        <f t="shared" si="22"/>
        <v>2275.4000000000106</v>
      </c>
      <c r="C239" s="502">
        <f t="shared" si="22"/>
        <v>2275.4000000000106</v>
      </c>
      <c r="D239" s="503">
        <f t="shared" si="23"/>
        <v>3680.1999999999848</v>
      </c>
      <c r="E239" s="503">
        <f t="shared" si="24"/>
        <v>3361.4000000000146</v>
      </c>
    </row>
    <row r="240" spans="1:5">
      <c r="A240" s="409">
        <v>235</v>
      </c>
      <c r="B240" s="502">
        <f t="shared" si="22"/>
        <v>2284.8000000000106</v>
      </c>
      <c r="C240" s="502">
        <f t="shared" si="22"/>
        <v>2284.8000000000106</v>
      </c>
      <c r="D240" s="503">
        <f t="shared" si="23"/>
        <v>3695.3999999999846</v>
      </c>
      <c r="E240" s="503">
        <f t="shared" si="24"/>
        <v>3375.3000000000147</v>
      </c>
    </row>
    <row r="241" spans="1:5">
      <c r="A241" s="409">
        <v>236</v>
      </c>
      <c r="B241" s="502">
        <f t="shared" si="22"/>
        <v>2294.2000000000107</v>
      </c>
      <c r="C241" s="502">
        <f t="shared" si="22"/>
        <v>2294.2000000000107</v>
      </c>
      <c r="D241" s="503">
        <f t="shared" si="23"/>
        <v>3710.5999999999844</v>
      </c>
      <c r="E241" s="503">
        <f t="shared" si="24"/>
        <v>3389.2000000000148</v>
      </c>
    </row>
    <row r="242" spans="1:5">
      <c r="A242" s="409">
        <v>237</v>
      </c>
      <c r="B242" s="502">
        <f t="shared" si="22"/>
        <v>2303.6000000000108</v>
      </c>
      <c r="C242" s="502">
        <f t="shared" si="22"/>
        <v>2303.6000000000108</v>
      </c>
      <c r="D242" s="503">
        <f t="shared" si="23"/>
        <v>3725.7999999999843</v>
      </c>
      <c r="E242" s="503">
        <f t="shared" si="24"/>
        <v>3403.1000000000149</v>
      </c>
    </row>
    <row r="243" spans="1:5">
      <c r="A243" s="409">
        <v>238</v>
      </c>
      <c r="B243" s="502">
        <f t="shared" si="22"/>
        <v>2313.0000000000109</v>
      </c>
      <c r="C243" s="502">
        <f t="shared" si="22"/>
        <v>2313.0000000000109</v>
      </c>
      <c r="D243" s="503">
        <f t="shared" si="23"/>
        <v>3740.9999999999841</v>
      </c>
      <c r="E243" s="503">
        <f t="shared" si="24"/>
        <v>3417.000000000015</v>
      </c>
    </row>
    <row r="244" spans="1:5">
      <c r="A244" s="409">
        <v>239</v>
      </c>
      <c r="B244" s="502">
        <f t="shared" si="22"/>
        <v>2322.400000000011</v>
      </c>
      <c r="C244" s="502">
        <f t="shared" si="22"/>
        <v>2322.400000000011</v>
      </c>
      <c r="D244" s="503">
        <f t="shared" si="23"/>
        <v>3756.1999999999839</v>
      </c>
      <c r="E244" s="503">
        <f t="shared" si="24"/>
        <v>3430.9000000000151</v>
      </c>
    </row>
    <row r="245" spans="1:5">
      <c r="A245" s="409">
        <v>240</v>
      </c>
      <c r="B245" s="502">
        <f t="shared" ref="B245:C260" si="25">B244+9.4</f>
        <v>2331.8000000000111</v>
      </c>
      <c r="C245" s="502">
        <f t="shared" si="25"/>
        <v>2331.8000000000111</v>
      </c>
      <c r="D245" s="503">
        <f t="shared" si="23"/>
        <v>3771.3999999999837</v>
      </c>
      <c r="E245" s="503">
        <f t="shared" si="24"/>
        <v>3444.8000000000152</v>
      </c>
    </row>
    <row r="246" spans="1:5">
      <c r="A246" s="409">
        <v>241</v>
      </c>
      <c r="B246" s="502">
        <f t="shared" si="25"/>
        <v>2341.2000000000112</v>
      </c>
      <c r="C246" s="502">
        <f t="shared" si="25"/>
        <v>2341.2000000000112</v>
      </c>
      <c r="D246" s="503">
        <f t="shared" si="23"/>
        <v>3786.5999999999835</v>
      </c>
      <c r="E246" s="503">
        <f t="shared" si="24"/>
        <v>3458.7000000000153</v>
      </c>
    </row>
    <row r="247" spans="1:5">
      <c r="A247" s="409">
        <v>242</v>
      </c>
      <c r="B247" s="502">
        <f t="shared" si="25"/>
        <v>2350.6000000000113</v>
      </c>
      <c r="C247" s="502">
        <f t="shared" si="25"/>
        <v>2350.6000000000113</v>
      </c>
      <c r="D247" s="503">
        <f t="shared" si="23"/>
        <v>3801.7999999999834</v>
      </c>
      <c r="E247" s="503">
        <f t="shared" si="24"/>
        <v>3472.6000000000154</v>
      </c>
    </row>
    <row r="248" spans="1:5">
      <c r="A248" s="409">
        <v>243</v>
      </c>
      <c r="B248" s="502">
        <f t="shared" si="25"/>
        <v>2360.0000000000114</v>
      </c>
      <c r="C248" s="502">
        <f t="shared" si="25"/>
        <v>2360.0000000000114</v>
      </c>
      <c r="D248" s="503">
        <f t="shared" si="23"/>
        <v>3816.9999999999832</v>
      </c>
      <c r="E248" s="503">
        <f t="shared" si="24"/>
        <v>3486.5000000000155</v>
      </c>
    </row>
    <row r="249" spans="1:5">
      <c r="A249" s="409">
        <v>244</v>
      </c>
      <c r="B249" s="502">
        <f t="shared" si="25"/>
        <v>2369.4000000000115</v>
      </c>
      <c r="C249" s="502">
        <f t="shared" si="25"/>
        <v>2369.4000000000115</v>
      </c>
      <c r="D249" s="503">
        <f t="shared" si="23"/>
        <v>3832.199999999983</v>
      </c>
      <c r="E249" s="503">
        <f t="shared" si="24"/>
        <v>3500.4000000000156</v>
      </c>
    </row>
    <row r="250" spans="1:5">
      <c r="A250" s="409">
        <v>245</v>
      </c>
      <c r="B250" s="502">
        <f t="shared" si="25"/>
        <v>2378.8000000000116</v>
      </c>
      <c r="C250" s="502">
        <f t="shared" si="25"/>
        <v>2378.8000000000116</v>
      </c>
      <c r="D250" s="503">
        <f t="shared" si="23"/>
        <v>3847.3999999999828</v>
      </c>
      <c r="E250" s="503">
        <f t="shared" si="24"/>
        <v>3514.3000000000156</v>
      </c>
    </row>
    <row r="251" spans="1:5">
      <c r="A251" s="409">
        <v>246</v>
      </c>
      <c r="B251" s="502">
        <f t="shared" si="25"/>
        <v>2388.2000000000116</v>
      </c>
      <c r="C251" s="502">
        <f t="shared" si="25"/>
        <v>2388.2000000000116</v>
      </c>
      <c r="D251" s="503">
        <f t="shared" si="23"/>
        <v>3862.5999999999826</v>
      </c>
      <c r="E251" s="503">
        <f t="shared" si="24"/>
        <v>3528.2000000000157</v>
      </c>
    </row>
    <row r="252" spans="1:5">
      <c r="A252" s="409">
        <v>247</v>
      </c>
      <c r="B252" s="502">
        <f t="shared" si="25"/>
        <v>2397.6000000000117</v>
      </c>
      <c r="C252" s="502">
        <f t="shared" si="25"/>
        <v>2397.6000000000117</v>
      </c>
      <c r="D252" s="503">
        <f t="shared" si="23"/>
        <v>3877.7999999999824</v>
      </c>
      <c r="E252" s="503">
        <f t="shared" si="24"/>
        <v>3542.1000000000158</v>
      </c>
    </row>
    <row r="253" spans="1:5">
      <c r="A253" s="409">
        <v>248</v>
      </c>
      <c r="B253" s="502">
        <f t="shared" si="25"/>
        <v>2407.0000000000118</v>
      </c>
      <c r="C253" s="502">
        <f t="shared" si="25"/>
        <v>2407.0000000000118</v>
      </c>
      <c r="D253" s="503">
        <f t="shared" si="23"/>
        <v>3892.9999999999823</v>
      </c>
      <c r="E253" s="503">
        <f t="shared" si="24"/>
        <v>3556.0000000000159</v>
      </c>
    </row>
    <row r="254" spans="1:5">
      <c r="A254" s="409">
        <v>249</v>
      </c>
      <c r="B254" s="502">
        <f t="shared" si="25"/>
        <v>2416.4000000000119</v>
      </c>
      <c r="C254" s="502">
        <f t="shared" si="25"/>
        <v>2416.4000000000119</v>
      </c>
      <c r="D254" s="503">
        <f t="shared" si="23"/>
        <v>3908.1999999999821</v>
      </c>
      <c r="E254" s="503">
        <f t="shared" si="24"/>
        <v>3569.900000000016</v>
      </c>
    </row>
    <row r="255" spans="1:5">
      <c r="A255" s="409">
        <v>250</v>
      </c>
      <c r="B255" s="502">
        <f t="shared" si="25"/>
        <v>2425.800000000012</v>
      </c>
      <c r="C255" s="502">
        <f t="shared" si="25"/>
        <v>2425.800000000012</v>
      </c>
      <c r="D255" s="503">
        <f t="shared" si="23"/>
        <v>3923.3999999999819</v>
      </c>
      <c r="E255" s="503">
        <f t="shared" si="24"/>
        <v>3583.8000000000161</v>
      </c>
    </row>
    <row r="256" spans="1:5">
      <c r="A256" s="409">
        <v>251</v>
      </c>
      <c r="B256" s="502">
        <f t="shared" si="25"/>
        <v>2435.2000000000121</v>
      </c>
      <c r="C256" s="502">
        <f t="shared" si="25"/>
        <v>2435.2000000000121</v>
      </c>
      <c r="D256" s="503">
        <f t="shared" si="23"/>
        <v>3938.5999999999817</v>
      </c>
      <c r="E256" s="503">
        <f t="shared" si="24"/>
        <v>3597.7000000000162</v>
      </c>
    </row>
    <row r="257" spans="1:5">
      <c r="A257" s="409">
        <v>252</v>
      </c>
      <c r="B257" s="502">
        <f t="shared" si="25"/>
        <v>2444.6000000000122</v>
      </c>
      <c r="C257" s="502">
        <f t="shared" si="25"/>
        <v>2444.6000000000122</v>
      </c>
      <c r="D257" s="503">
        <f t="shared" si="23"/>
        <v>3953.7999999999815</v>
      </c>
      <c r="E257" s="503">
        <f t="shared" si="24"/>
        <v>3611.6000000000163</v>
      </c>
    </row>
    <row r="258" spans="1:5">
      <c r="A258" s="409">
        <v>253</v>
      </c>
      <c r="B258" s="502">
        <f t="shared" si="25"/>
        <v>2454.0000000000123</v>
      </c>
      <c r="C258" s="502">
        <f t="shared" si="25"/>
        <v>2454.0000000000123</v>
      </c>
      <c r="D258" s="503">
        <f t="shared" si="23"/>
        <v>3968.9999999999814</v>
      </c>
      <c r="E258" s="503">
        <f t="shared" si="24"/>
        <v>3625.5000000000164</v>
      </c>
    </row>
    <row r="259" spans="1:5">
      <c r="A259" s="409">
        <v>254</v>
      </c>
      <c r="B259" s="502">
        <f t="shared" si="25"/>
        <v>2463.4000000000124</v>
      </c>
      <c r="C259" s="502">
        <f t="shared" si="25"/>
        <v>2463.4000000000124</v>
      </c>
      <c r="D259" s="503">
        <f t="shared" si="23"/>
        <v>3984.1999999999812</v>
      </c>
      <c r="E259" s="503">
        <f t="shared" si="24"/>
        <v>3639.4000000000165</v>
      </c>
    </row>
    <row r="260" spans="1:5">
      <c r="A260" s="409">
        <v>255</v>
      </c>
      <c r="B260" s="502">
        <f t="shared" si="25"/>
        <v>2472.8000000000125</v>
      </c>
      <c r="C260" s="502">
        <f t="shared" si="25"/>
        <v>2472.8000000000125</v>
      </c>
      <c r="D260" s="503">
        <f t="shared" si="23"/>
        <v>3999.399999999981</v>
      </c>
      <c r="E260" s="503">
        <f t="shared" si="24"/>
        <v>3653.3000000000166</v>
      </c>
    </row>
    <row r="261" spans="1:5">
      <c r="A261" s="409">
        <v>256</v>
      </c>
      <c r="B261" s="502">
        <f t="shared" ref="B261:C276" si="26">B260+9.4</f>
        <v>2482.2000000000126</v>
      </c>
      <c r="C261" s="502">
        <f t="shared" si="26"/>
        <v>2482.2000000000126</v>
      </c>
      <c r="D261" s="503">
        <f t="shared" si="23"/>
        <v>4014.5999999999808</v>
      </c>
      <c r="E261" s="503">
        <f t="shared" si="24"/>
        <v>3667.2000000000166</v>
      </c>
    </row>
    <row r="262" spans="1:5">
      <c r="A262" s="409">
        <v>257</v>
      </c>
      <c r="B262" s="502">
        <f t="shared" si="26"/>
        <v>2491.6000000000126</v>
      </c>
      <c r="C262" s="502">
        <f t="shared" si="26"/>
        <v>2491.6000000000126</v>
      </c>
      <c r="D262" s="503">
        <f t="shared" si="23"/>
        <v>4029.7999999999806</v>
      </c>
      <c r="E262" s="503">
        <f t="shared" si="24"/>
        <v>3681.1000000000167</v>
      </c>
    </row>
    <row r="263" spans="1:5">
      <c r="A263" s="409">
        <v>258</v>
      </c>
      <c r="B263" s="502">
        <f t="shared" si="26"/>
        <v>2501.0000000000127</v>
      </c>
      <c r="C263" s="502">
        <f t="shared" si="26"/>
        <v>2501.0000000000127</v>
      </c>
      <c r="D263" s="503">
        <f t="shared" si="23"/>
        <v>4044.9999999999804</v>
      </c>
      <c r="E263" s="503">
        <f t="shared" si="24"/>
        <v>3695.0000000000168</v>
      </c>
    </row>
    <row r="264" spans="1:5">
      <c r="A264" s="409">
        <v>259</v>
      </c>
      <c r="B264" s="502">
        <f t="shared" si="26"/>
        <v>2510.4000000000128</v>
      </c>
      <c r="C264" s="502">
        <f t="shared" si="26"/>
        <v>2510.4000000000128</v>
      </c>
      <c r="D264" s="503">
        <f t="shared" si="23"/>
        <v>4060.1999999999803</v>
      </c>
      <c r="E264" s="503">
        <f t="shared" si="24"/>
        <v>3708.9000000000169</v>
      </c>
    </row>
    <row r="265" spans="1:5">
      <c r="A265" s="409">
        <v>260</v>
      </c>
      <c r="B265" s="502">
        <f t="shared" si="26"/>
        <v>2519.8000000000129</v>
      </c>
      <c r="C265" s="502">
        <f t="shared" si="26"/>
        <v>2519.8000000000129</v>
      </c>
      <c r="D265" s="503">
        <f t="shared" si="23"/>
        <v>4075.3999999999801</v>
      </c>
      <c r="E265" s="503">
        <f t="shared" si="24"/>
        <v>3722.800000000017</v>
      </c>
    </row>
    <row r="266" spans="1:5">
      <c r="A266" s="409">
        <v>261</v>
      </c>
      <c r="B266" s="502">
        <f t="shared" si="26"/>
        <v>2529.200000000013</v>
      </c>
      <c r="C266" s="502">
        <f t="shared" si="26"/>
        <v>2529.200000000013</v>
      </c>
      <c r="D266" s="503">
        <f t="shared" si="23"/>
        <v>4090.5999999999799</v>
      </c>
      <c r="E266" s="503">
        <f t="shared" si="24"/>
        <v>3736.7000000000171</v>
      </c>
    </row>
    <row r="267" spans="1:5">
      <c r="A267" s="409">
        <v>262</v>
      </c>
      <c r="B267" s="502">
        <f t="shared" si="26"/>
        <v>2538.6000000000131</v>
      </c>
      <c r="C267" s="502">
        <f t="shared" si="26"/>
        <v>2538.6000000000131</v>
      </c>
      <c r="D267" s="503">
        <f t="shared" si="23"/>
        <v>4105.7999999999802</v>
      </c>
      <c r="E267" s="503">
        <f t="shared" si="24"/>
        <v>3750.6000000000172</v>
      </c>
    </row>
    <row r="268" spans="1:5">
      <c r="A268" s="409">
        <v>263</v>
      </c>
      <c r="B268" s="502">
        <f t="shared" si="26"/>
        <v>2548.0000000000132</v>
      </c>
      <c r="C268" s="502">
        <f t="shared" si="26"/>
        <v>2548.0000000000132</v>
      </c>
      <c r="D268" s="503">
        <f t="shared" si="23"/>
        <v>4120.99999999998</v>
      </c>
      <c r="E268" s="503">
        <f t="shared" si="24"/>
        <v>3764.5000000000173</v>
      </c>
    </row>
    <row r="269" spans="1:5">
      <c r="A269" s="409">
        <v>264</v>
      </c>
      <c r="B269" s="502">
        <f t="shared" si="26"/>
        <v>2557.4000000000133</v>
      </c>
      <c r="C269" s="502">
        <f t="shared" si="26"/>
        <v>2557.4000000000133</v>
      </c>
      <c r="D269" s="503">
        <f t="shared" si="23"/>
        <v>4136.1999999999798</v>
      </c>
      <c r="E269" s="503">
        <f t="shared" si="24"/>
        <v>3778.4000000000174</v>
      </c>
    </row>
    <row r="270" spans="1:5">
      <c r="A270" s="409">
        <v>265</v>
      </c>
      <c r="B270" s="502">
        <f t="shared" si="26"/>
        <v>2566.8000000000134</v>
      </c>
      <c r="C270" s="502">
        <f t="shared" si="26"/>
        <v>2566.8000000000134</v>
      </c>
      <c r="D270" s="503">
        <f t="shared" si="23"/>
        <v>4151.3999999999796</v>
      </c>
      <c r="E270" s="503">
        <f t="shared" si="24"/>
        <v>3792.3000000000175</v>
      </c>
    </row>
    <row r="271" spans="1:5">
      <c r="A271" s="409">
        <v>266</v>
      </c>
      <c r="B271" s="502">
        <f t="shared" si="26"/>
        <v>2576.2000000000135</v>
      </c>
      <c r="C271" s="502">
        <f t="shared" si="26"/>
        <v>2576.2000000000135</v>
      </c>
      <c r="D271" s="503">
        <f t="shared" si="23"/>
        <v>4166.5999999999794</v>
      </c>
      <c r="E271" s="503">
        <f t="shared" si="24"/>
        <v>3806.2000000000176</v>
      </c>
    </row>
    <row r="272" spans="1:5">
      <c r="A272" s="409">
        <v>267</v>
      </c>
      <c r="B272" s="502">
        <f t="shared" si="26"/>
        <v>2585.6000000000136</v>
      </c>
      <c r="C272" s="502">
        <f t="shared" si="26"/>
        <v>2585.6000000000136</v>
      </c>
      <c r="D272" s="503">
        <f t="shared" si="23"/>
        <v>4181.7999999999793</v>
      </c>
      <c r="E272" s="503">
        <f t="shared" si="24"/>
        <v>3820.1000000000176</v>
      </c>
    </row>
    <row r="273" spans="1:5">
      <c r="A273" s="409">
        <v>268</v>
      </c>
      <c r="B273" s="502">
        <f t="shared" si="26"/>
        <v>2595.0000000000136</v>
      </c>
      <c r="C273" s="502">
        <f t="shared" si="26"/>
        <v>2595.0000000000136</v>
      </c>
      <c r="D273" s="503">
        <f t="shared" si="23"/>
        <v>4196.9999999999791</v>
      </c>
      <c r="E273" s="503">
        <f t="shared" si="24"/>
        <v>3834.0000000000177</v>
      </c>
    </row>
    <row r="274" spans="1:5">
      <c r="A274" s="409">
        <v>269</v>
      </c>
      <c r="B274" s="502">
        <f t="shared" si="26"/>
        <v>2604.4000000000137</v>
      </c>
      <c r="C274" s="502">
        <f t="shared" si="26"/>
        <v>2604.4000000000137</v>
      </c>
      <c r="D274" s="503">
        <f t="shared" si="23"/>
        <v>4212.1999999999789</v>
      </c>
      <c r="E274" s="503">
        <f t="shared" si="24"/>
        <v>3847.9000000000178</v>
      </c>
    </row>
    <row r="275" spans="1:5">
      <c r="A275" s="409">
        <v>270</v>
      </c>
      <c r="B275" s="502">
        <f t="shared" si="26"/>
        <v>2613.8000000000138</v>
      </c>
      <c r="C275" s="502">
        <f t="shared" si="26"/>
        <v>2613.8000000000138</v>
      </c>
      <c r="D275" s="503">
        <f t="shared" si="23"/>
        <v>4227.3999999999787</v>
      </c>
      <c r="E275" s="503">
        <f t="shared" si="24"/>
        <v>3861.8000000000179</v>
      </c>
    </row>
    <row r="276" spans="1:5">
      <c r="A276" s="409">
        <v>271</v>
      </c>
      <c r="B276" s="502">
        <f t="shared" si="26"/>
        <v>2623.2000000000139</v>
      </c>
      <c r="C276" s="502">
        <f t="shared" si="26"/>
        <v>2623.2000000000139</v>
      </c>
      <c r="D276" s="503">
        <f t="shared" si="23"/>
        <v>4242.5999999999785</v>
      </c>
      <c r="E276" s="503">
        <f t="shared" si="24"/>
        <v>3875.700000000018</v>
      </c>
    </row>
    <row r="277" spans="1:5">
      <c r="A277" s="409">
        <v>272</v>
      </c>
      <c r="B277" s="502">
        <f t="shared" ref="B277:C287" si="27">B276+9.4</f>
        <v>2632.600000000014</v>
      </c>
      <c r="C277" s="502">
        <f t="shared" si="27"/>
        <v>2632.600000000014</v>
      </c>
      <c r="D277" s="503">
        <f t="shared" si="23"/>
        <v>4257.7999999999784</v>
      </c>
      <c r="E277" s="503">
        <f t="shared" si="24"/>
        <v>3889.6000000000181</v>
      </c>
    </row>
    <row r="278" spans="1:5">
      <c r="A278" s="409">
        <v>273</v>
      </c>
      <c r="B278" s="502">
        <f t="shared" si="27"/>
        <v>2642.0000000000141</v>
      </c>
      <c r="C278" s="502">
        <f t="shared" si="27"/>
        <v>2642.0000000000141</v>
      </c>
      <c r="D278" s="503">
        <f t="shared" si="23"/>
        <v>4272.9999999999782</v>
      </c>
      <c r="E278" s="503">
        <f t="shared" si="24"/>
        <v>3903.5000000000182</v>
      </c>
    </row>
    <row r="279" spans="1:5">
      <c r="A279" s="409">
        <v>274</v>
      </c>
      <c r="B279" s="502">
        <f t="shared" si="27"/>
        <v>2651.4000000000142</v>
      </c>
      <c r="C279" s="502">
        <f t="shared" si="27"/>
        <v>2651.4000000000142</v>
      </c>
      <c r="D279" s="503">
        <f t="shared" si="23"/>
        <v>4288.199999999978</v>
      </c>
      <c r="E279" s="503">
        <f t="shared" si="24"/>
        <v>3917.4000000000183</v>
      </c>
    </row>
    <row r="280" spans="1:5">
      <c r="A280" s="409">
        <v>275</v>
      </c>
      <c r="B280" s="502">
        <f t="shared" si="27"/>
        <v>2660.8000000000143</v>
      </c>
      <c r="C280" s="502">
        <f t="shared" si="27"/>
        <v>2660.8000000000143</v>
      </c>
      <c r="D280" s="503">
        <f t="shared" si="23"/>
        <v>4303.3999999999778</v>
      </c>
      <c r="E280" s="503">
        <f t="shared" si="24"/>
        <v>3931.3000000000184</v>
      </c>
    </row>
    <row r="281" spans="1:5">
      <c r="A281" s="409">
        <v>276</v>
      </c>
      <c r="B281" s="502">
        <f t="shared" si="27"/>
        <v>2670.2000000000144</v>
      </c>
      <c r="C281" s="502">
        <f t="shared" si="27"/>
        <v>2670.2000000000144</v>
      </c>
      <c r="D281" s="503">
        <f t="shared" si="23"/>
        <v>4318.5999999999776</v>
      </c>
      <c r="E281" s="503">
        <f t="shared" si="24"/>
        <v>3945.2000000000185</v>
      </c>
    </row>
    <row r="282" spans="1:5">
      <c r="A282" s="409">
        <v>277</v>
      </c>
      <c r="B282" s="502">
        <f t="shared" si="27"/>
        <v>2679.6000000000145</v>
      </c>
      <c r="C282" s="502">
        <f t="shared" si="27"/>
        <v>2679.6000000000145</v>
      </c>
      <c r="D282" s="503">
        <f t="shared" si="23"/>
        <v>4333.7999999999774</v>
      </c>
      <c r="E282" s="503">
        <f t="shared" si="24"/>
        <v>3959.1000000000186</v>
      </c>
    </row>
    <row r="283" spans="1:5">
      <c r="A283" s="409">
        <v>278</v>
      </c>
      <c r="B283" s="502">
        <f t="shared" si="27"/>
        <v>2689.0000000000146</v>
      </c>
      <c r="C283" s="502">
        <f t="shared" si="27"/>
        <v>2689.0000000000146</v>
      </c>
      <c r="D283" s="503">
        <f t="shared" si="23"/>
        <v>4348.9999999999773</v>
      </c>
      <c r="E283" s="503">
        <f t="shared" si="24"/>
        <v>3973.0000000000186</v>
      </c>
    </row>
    <row r="284" spans="1:5">
      <c r="A284" s="409">
        <v>279</v>
      </c>
      <c r="B284" s="502">
        <f t="shared" si="27"/>
        <v>2698.4000000000146</v>
      </c>
      <c r="C284" s="502">
        <f t="shared" si="27"/>
        <v>2698.4000000000146</v>
      </c>
      <c r="D284" s="503">
        <f t="shared" si="23"/>
        <v>4364.1999999999771</v>
      </c>
      <c r="E284" s="503">
        <f t="shared" si="24"/>
        <v>3986.9000000000187</v>
      </c>
    </row>
    <row r="285" spans="1:5">
      <c r="A285" s="409">
        <v>280</v>
      </c>
      <c r="B285" s="502">
        <f t="shared" si="27"/>
        <v>2707.8000000000147</v>
      </c>
      <c r="C285" s="502">
        <f t="shared" si="27"/>
        <v>2707.8000000000147</v>
      </c>
      <c r="D285" s="503">
        <f t="shared" si="23"/>
        <v>4379.3999999999769</v>
      </c>
      <c r="E285" s="503">
        <f t="shared" si="24"/>
        <v>4000.8000000000188</v>
      </c>
    </row>
    <row r="286" spans="1:5">
      <c r="A286" s="409">
        <v>281</v>
      </c>
      <c r="B286" s="502">
        <f t="shared" si="27"/>
        <v>2717.2000000000148</v>
      </c>
      <c r="C286" s="502">
        <f t="shared" si="27"/>
        <v>2717.2000000000148</v>
      </c>
      <c r="D286" s="503">
        <f t="shared" si="23"/>
        <v>4394.5999999999767</v>
      </c>
      <c r="E286" s="503">
        <f t="shared" si="24"/>
        <v>4014.7000000000189</v>
      </c>
    </row>
    <row r="287" spans="1:5">
      <c r="A287" s="409">
        <v>282</v>
      </c>
      <c r="B287" s="502">
        <f t="shared" si="27"/>
        <v>2726.6000000000149</v>
      </c>
      <c r="C287" s="502">
        <f t="shared" si="27"/>
        <v>2726.6000000000149</v>
      </c>
      <c r="D287" s="503">
        <f t="shared" si="23"/>
        <v>4409.7999999999765</v>
      </c>
      <c r="E287" s="503">
        <f t="shared" si="24"/>
        <v>4028.600000000019</v>
      </c>
    </row>
  </sheetData>
  <mergeCells count="3">
    <mergeCell ref="A1:F1"/>
    <mergeCell ref="B2:D2"/>
    <mergeCell ref="A3:A4"/>
  </mergeCells>
  <pageMargins left="1.04" right="0.7" top="0.32" bottom="0.4" header="0.3" footer="0.3"/>
  <pageSetup paperSize="9" orientation="portrait" verticalDpi="0" r:id="rId1"/>
</worksheet>
</file>

<file path=xl/worksheets/sheet26.xml><?xml version="1.0" encoding="utf-8"?>
<worksheet xmlns="http://schemas.openxmlformats.org/spreadsheetml/2006/main" xmlns:r="http://schemas.openxmlformats.org/officeDocument/2006/relationships">
  <sheetPr>
    <tabColor rgb="FF00B050"/>
  </sheetPr>
  <dimension ref="A1:H156"/>
  <sheetViews>
    <sheetView view="pageBreakPreview" topLeftCell="A43" zoomScale="115" zoomScaleNormal="115" zoomScaleSheetLayoutView="115" workbookViewId="0">
      <selection activeCell="B44" sqref="B44:C44"/>
    </sheetView>
  </sheetViews>
  <sheetFormatPr defaultColWidth="9.140625" defaultRowHeight="12.75"/>
  <cols>
    <col min="1" max="1" width="22.28515625" style="513" customWidth="1"/>
    <col min="2" max="2" width="11.5703125" style="517" customWidth="1"/>
    <col min="3" max="3" width="10.42578125" style="517" bestFit="1" customWidth="1"/>
    <col min="4" max="4" width="10.7109375" style="517" customWidth="1"/>
    <col min="5" max="5" width="11.85546875" style="518" customWidth="1"/>
    <col min="6" max="6" width="17.42578125" style="513" customWidth="1"/>
    <col min="7" max="7" width="10.140625" style="517" customWidth="1"/>
    <col min="8" max="8" width="9.28515625" style="519" bestFit="1" customWidth="1"/>
    <col min="9" max="16384" width="9.140625" style="513"/>
  </cols>
  <sheetData>
    <row r="1" spans="1:8" ht="18.75">
      <c r="A1" s="1673" t="s">
        <v>2291</v>
      </c>
      <c r="B1" s="1673"/>
      <c r="C1" s="1673"/>
      <c r="D1" s="1673"/>
      <c r="E1" s="1673"/>
      <c r="F1" s="1673"/>
      <c r="G1" s="1673"/>
      <c r="H1" s="1673"/>
    </row>
    <row r="2" spans="1:8">
      <c r="A2" s="514"/>
      <c r="B2" s="419"/>
      <c r="C2" s="419"/>
      <c r="D2" s="419"/>
      <c r="E2" s="420"/>
      <c r="F2" s="514" t="s">
        <v>1693</v>
      </c>
      <c r="G2" s="419" t="s">
        <v>1694</v>
      </c>
      <c r="H2" s="416" t="s">
        <v>8</v>
      </c>
    </row>
    <row r="3" spans="1:8">
      <c r="A3" s="514"/>
      <c r="B3" s="419" t="s">
        <v>1695</v>
      </c>
      <c r="C3" s="419" t="s">
        <v>8</v>
      </c>
      <c r="D3" s="419"/>
      <c r="E3" s="420"/>
      <c r="F3" s="514" t="s">
        <v>1696</v>
      </c>
      <c r="G3" s="419" t="s">
        <v>1697</v>
      </c>
      <c r="H3" s="416">
        <v>500</v>
      </c>
    </row>
    <row r="4" spans="1:8">
      <c r="A4" s="415" t="s">
        <v>847</v>
      </c>
      <c r="B4" s="419" t="s">
        <v>1698</v>
      </c>
      <c r="C4" s="515">
        <v>4700</v>
      </c>
      <c r="D4" s="419"/>
      <c r="E4" s="420"/>
      <c r="F4" s="514" t="s">
        <v>1699</v>
      </c>
      <c r="G4" s="419" t="s">
        <v>1700</v>
      </c>
      <c r="H4" s="416">
        <v>460</v>
      </c>
    </row>
    <row r="5" spans="1:8">
      <c r="A5" s="389" t="s">
        <v>1701</v>
      </c>
      <c r="B5" s="419"/>
      <c r="C5" s="515">
        <v>41500</v>
      </c>
      <c r="D5" s="419" t="s">
        <v>2401</v>
      </c>
      <c r="E5" s="420"/>
      <c r="F5" s="514" t="s">
        <v>1702</v>
      </c>
      <c r="G5" s="419" t="s">
        <v>1703</v>
      </c>
      <c r="H5" s="416">
        <v>420</v>
      </c>
    </row>
    <row r="6" spans="1:8">
      <c r="A6" s="389" t="s">
        <v>1704</v>
      </c>
      <c r="B6" s="419"/>
      <c r="C6" s="416">
        <v>40500</v>
      </c>
      <c r="D6" s="419" t="s">
        <v>2401</v>
      </c>
      <c r="E6" s="420"/>
      <c r="F6" s="514" t="s">
        <v>1705</v>
      </c>
      <c r="G6" s="419" t="s">
        <v>1706</v>
      </c>
      <c r="H6" s="416">
        <v>625</v>
      </c>
    </row>
    <row r="7" spans="1:8">
      <c r="A7" s="389" t="s">
        <v>848</v>
      </c>
      <c r="B7" s="419"/>
      <c r="C7" s="416">
        <v>43000</v>
      </c>
      <c r="D7" s="419" t="s">
        <v>2401</v>
      </c>
      <c r="E7" s="420"/>
      <c r="F7" s="514"/>
      <c r="G7" s="419"/>
      <c r="H7" s="416"/>
    </row>
    <row r="8" spans="1:8">
      <c r="A8" s="389" t="s">
        <v>849</v>
      </c>
      <c r="B8" s="419"/>
      <c r="C8" s="416">
        <v>39000</v>
      </c>
      <c r="D8" s="419" t="s">
        <v>2401</v>
      </c>
      <c r="E8" s="420"/>
      <c r="F8" s="514" t="s">
        <v>1707</v>
      </c>
      <c r="G8" s="419" t="s">
        <v>1708</v>
      </c>
      <c r="H8" s="416">
        <v>580</v>
      </c>
    </row>
    <row r="9" spans="1:8" ht="25.5">
      <c r="A9" s="389" t="s">
        <v>850</v>
      </c>
      <c r="B9" s="419" t="s">
        <v>1709</v>
      </c>
      <c r="C9" s="733">
        <v>590</v>
      </c>
      <c r="D9" s="419"/>
      <c r="E9" s="420"/>
      <c r="F9" s="514" t="s">
        <v>1710</v>
      </c>
      <c r="G9" s="419" t="s">
        <v>1711</v>
      </c>
      <c r="H9" s="416">
        <v>460</v>
      </c>
    </row>
    <row r="10" spans="1:8">
      <c r="A10" s="389" t="s">
        <v>851</v>
      </c>
      <c r="B10" s="419" t="s">
        <v>1712</v>
      </c>
      <c r="C10" s="733">
        <v>510</v>
      </c>
      <c r="D10" s="419"/>
      <c r="E10" s="420"/>
      <c r="F10" s="514" t="s">
        <v>1337</v>
      </c>
      <c r="G10" s="419" t="s">
        <v>1713</v>
      </c>
      <c r="H10" s="416">
        <v>510</v>
      </c>
    </row>
    <row r="11" spans="1:8">
      <c r="A11" s="389" t="s">
        <v>768</v>
      </c>
      <c r="B11" s="419" t="s">
        <v>1714</v>
      </c>
      <c r="C11" s="733">
        <v>375</v>
      </c>
      <c r="D11" s="419" t="s">
        <v>861</v>
      </c>
      <c r="E11" s="420" t="s">
        <v>862</v>
      </c>
      <c r="F11" s="514" t="s">
        <v>1338</v>
      </c>
      <c r="G11" s="419" t="s">
        <v>1715</v>
      </c>
      <c r="H11" s="416">
        <v>495</v>
      </c>
    </row>
    <row r="12" spans="1:8">
      <c r="A12" s="389" t="s">
        <v>1716</v>
      </c>
      <c r="B12" s="419" t="s">
        <v>1717</v>
      </c>
      <c r="C12" s="515">
        <v>6000</v>
      </c>
      <c r="D12" s="419">
        <v>54.8</v>
      </c>
      <c r="E12" s="420">
        <v>54.8</v>
      </c>
      <c r="F12" s="514"/>
      <c r="G12" s="419"/>
      <c r="H12" s="416"/>
    </row>
    <row r="13" spans="1:8">
      <c r="A13" s="389" t="s">
        <v>853</v>
      </c>
      <c r="B13" s="419" t="s">
        <v>1718</v>
      </c>
      <c r="C13" s="733">
        <v>608</v>
      </c>
      <c r="D13" s="419"/>
      <c r="E13" s="420"/>
      <c r="F13" s="514" t="s">
        <v>1719</v>
      </c>
      <c r="G13" s="419" t="s">
        <v>1720</v>
      </c>
      <c r="H13" s="416">
        <v>580</v>
      </c>
    </row>
    <row r="14" spans="1:8" ht="25.5">
      <c r="A14" s="389" t="s">
        <v>854</v>
      </c>
      <c r="B14" s="419" t="s">
        <v>1721</v>
      </c>
      <c r="C14" s="733">
        <v>1016</v>
      </c>
      <c r="D14" s="419"/>
      <c r="E14" s="420"/>
      <c r="F14" s="514" t="s">
        <v>1722</v>
      </c>
      <c r="G14" s="419"/>
      <c r="H14" s="416">
        <f>H9</f>
        <v>460</v>
      </c>
    </row>
    <row r="15" spans="1:8">
      <c r="A15" s="389" t="s">
        <v>1723</v>
      </c>
      <c r="B15" s="419" t="s">
        <v>1724</v>
      </c>
      <c r="C15" s="733">
        <v>808</v>
      </c>
      <c r="D15" s="419"/>
      <c r="E15" s="420"/>
      <c r="F15" s="514"/>
      <c r="G15" s="419"/>
      <c r="H15" s="416"/>
    </row>
    <row r="16" spans="1:8">
      <c r="A16" s="389" t="s">
        <v>1725</v>
      </c>
      <c r="B16" s="419" t="s">
        <v>1726</v>
      </c>
      <c r="C16" s="733">
        <v>680</v>
      </c>
      <c r="D16" s="419"/>
      <c r="E16" s="420"/>
      <c r="F16" s="514" t="s">
        <v>156</v>
      </c>
      <c r="G16" s="419" t="s">
        <v>1727</v>
      </c>
      <c r="H16" s="416">
        <v>575</v>
      </c>
    </row>
    <row r="17" spans="1:8" ht="25.5">
      <c r="A17" s="389" t="s">
        <v>1728</v>
      </c>
      <c r="B17" s="419" t="s">
        <v>1729</v>
      </c>
      <c r="C17" s="733">
        <v>524</v>
      </c>
      <c r="D17" s="419"/>
      <c r="E17" s="420"/>
      <c r="F17" s="514" t="s">
        <v>1499</v>
      </c>
      <c r="G17" s="419" t="s">
        <v>1730</v>
      </c>
      <c r="H17" s="416">
        <v>471</v>
      </c>
    </row>
    <row r="18" spans="1:8">
      <c r="A18" s="389" t="s">
        <v>1193</v>
      </c>
      <c r="B18" s="419" t="s">
        <v>1731</v>
      </c>
      <c r="C18" s="416">
        <v>250</v>
      </c>
      <c r="D18" s="419"/>
      <c r="E18" s="420"/>
      <c r="F18" s="514" t="s">
        <v>3157</v>
      </c>
      <c r="G18" s="419" t="s">
        <v>1703</v>
      </c>
      <c r="H18" s="416">
        <v>418</v>
      </c>
    </row>
    <row r="19" spans="1:8">
      <c r="A19" s="393" t="s">
        <v>1732</v>
      </c>
      <c r="B19" s="419" t="s">
        <v>1733</v>
      </c>
      <c r="C19" s="515">
        <v>1991</v>
      </c>
      <c r="D19" s="419"/>
      <c r="E19" s="420"/>
      <c r="F19" s="514"/>
      <c r="G19" s="419"/>
      <c r="H19" s="416"/>
    </row>
    <row r="20" spans="1:8">
      <c r="A20" s="393" t="s">
        <v>1734</v>
      </c>
      <c r="B20" s="419" t="s">
        <v>1735</v>
      </c>
      <c r="C20" s="733">
        <v>266</v>
      </c>
      <c r="D20" s="419"/>
      <c r="E20" s="420"/>
      <c r="F20" s="514"/>
      <c r="G20" s="419"/>
      <c r="H20" s="416"/>
    </row>
    <row r="21" spans="1:8">
      <c r="A21" s="393" t="s">
        <v>1736</v>
      </c>
      <c r="B21" s="419" t="s">
        <v>1737</v>
      </c>
      <c r="C21" s="733">
        <v>612</v>
      </c>
      <c r="D21" s="419"/>
      <c r="E21" s="420"/>
      <c r="F21" s="514"/>
      <c r="G21" s="419"/>
      <c r="H21" s="416"/>
    </row>
    <row r="22" spans="1:8">
      <c r="A22" s="393" t="s">
        <v>1738</v>
      </c>
      <c r="B22" s="419" t="s">
        <v>1739</v>
      </c>
      <c r="C22" s="733">
        <v>370</v>
      </c>
      <c r="D22" s="419"/>
      <c r="E22" s="420"/>
      <c r="F22" s="514"/>
      <c r="G22" s="419"/>
      <c r="H22" s="416"/>
    </row>
    <row r="23" spans="1:8">
      <c r="A23" s="393" t="s">
        <v>1740</v>
      </c>
      <c r="B23" s="419" t="s">
        <v>1741</v>
      </c>
      <c r="C23" s="733">
        <v>323</v>
      </c>
      <c r="D23" s="419"/>
      <c r="E23" s="420"/>
      <c r="F23" s="514"/>
      <c r="G23" s="419"/>
      <c r="H23" s="416"/>
    </row>
    <row r="24" spans="1:8">
      <c r="A24" s="389" t="s">
        <v>1208</v>
      </c>
      <c r="B24" s="419" t="s">
        <v>3162</v>
      </c>
      <c r="C24" s="416">
        <v>18000</v>
      </c>
      <c r="D24" s="419"/>
      <c r="E24" s="420"/>
      <c r="F24" s="514" t="s">
        <v>1742</v>
      </c>
      <c r="G24" s="419"/>
      <c r="H24" s="416"/>
    </row>
    <row r="25" spans="1:8">
      <c r="A25" s="389" t="s">
        <v>860</v>
      </c>
      <c r="B25" s="419" t="s">
        <v>1743</v>
      </c>
      <c r="C25" s="416">
        <v>86</v>
      </c>
      <c r="D25" s="419"/>
      <c r="E25" s="420"/>
      <c r="F25" s="514" t="s">
        <v>1428</v>
      </c>
      <c r="G25" s="419"/>
      <c r="H25" s="416">
        <v>5.22</v>
      </c>
    </row>
    <row r="26" spans="1:8">
      <c r="A26" s="389" t="s">
        <v>664</v>
      </c>
      <c r="B26" s="419" t="s">
        <v>1744</v>
      </c>
      <c r="C26" s="416">
        <v>113</v>
      </c>
      <c r="D26" s="419"/>
      <c r="E26" s="420"/>
      <c r="F26" s="514" t="s">
        <v>1430</v>
      </c>
      <c r="G26" s="419"/>
      <c r="H26" s="416">
        <v>124.24</v>
      </c>
    </row>
    <row r="27" spans="1:8">
      <c r="A27" s="389" t="s">
        <v>1745</v>
      </c>
      <c r="B27" s="419" t="s">
        <v>1746</v>
      </c>
      <c r="C27" s="416">
        <v>25</v>
      </c>
      <c r="D27" s="419"/>
      <c r="E27" s="420"/>
      <c r="F27" s="514"/>
      <c r="G27" s="419"/>
      <c r="H27" s="416"/>
    </row>
    <row r="28" spans="1:8">
      <c r="A28" s="514"/>
      <c r="B28" s="419"/>
      <c r="C28" s="419"/>
      <c r="D28" s="419"/>
      <c r="E28" s="1674" t="s">
        <v>1747</v>
      </c>
      <c r="F28" s="1674"/>
      <c r="G28" s="1674"/>
      <c r="H28" s="1674"/>
    </row>
    <row r="29" spans="1:8">
      <c r="A29" s="389" t="s">
        <v>1748</v>
      </c>
      <c r="B29" s="419" t="s">
        <v>1749</v>
      </c>
      <c r="C29" s="416">
        <v>80</v>
      </c>
      <c r="D29" s="419"/>
      <c r="E29" s="516" t="s">
        <v>1750</v>
      </c>
      <c r="F29" s="417" t="s">
        <v>1751</v>
      </c>
      <c r="G29" s="418" t="s">
        <v>1752</v>
      </c>
      <c r="H29" s="418" t="s">
        <v>1753</v>
      </c>
    </row>
    <row r="30" spans="1:8">
      <c r="A30" s="389" t="s">
        <v>1754</v>
      </c>
      <c r="B30" s="419" t="s">
        <v>1755</v>
      </c>
      <c r="C30" s="416">
        <v>524.70000000000005</v>
      </c>
      <c r="D30" s="419"/>
      <c r="E30" s="516">
        <v>10.32</v>
      </c>
      <c r="F30" s="418">
        <v>79.459999999999994</v>
      </c>
      <c r="G30" s="418">
        <v>113.78</v>
      </c>
      <c r="H30" s="734">
        <v>148.09</v>
      </c>
    </row>
    <row r="31" spans="1:8" ht="25.5">
      <c r="A31" s="389" t="s">
        <v>1756</v>
      </c>
      <c r="B31" s="419" t="s">
        <v>1757</v>
      </c>
      <c r="C31" s="416">
        <v>209.1</v>
      </c>
      <c r="D31" s="419"/>
      <c r="E31" s="1674" t="s">
        <v>1758</v>
      </c>
      <c r="F31" s="1674"/>
      <c r="G31" s="1674"/>
      <c r="H31" s="1674"/>
    </row>
    <row r="32" spans="1:8">
      <c r="A32" s="389" t="s">
        <v>38</v>
      </c>
      <c r="B32" s="419" t="s">
        <v>1759</v>
      </c>
      <c r="C32" s="416">
        <v>55</v>
      </c>
      <c r="D32" s="419"/>
      <c r="E32" s="516" t="s">
        <v>1750</v>
      </c>
      <c r="F32" s="417" t="s">
        <v>1751</v>
      </c>
      <c r="G32" s="418" t="s">
        <v>1752</v>
      </c>
      <c r="H32" s="418" t="s">
        <v>1753</v>
      </c>
    </row>
    <row r="33" spans="1:8">
      <c r="A33" s="389" t="s">
        <v>1760</v>
      </c>
      <c r="B33" s="419" t="s">
        <v>1761</v>
      </c>
      <c r="C33" s="416">
        <v>12</v>
      </c>
      <c r="D33" s="419"/>
      <c r="E33" s="516">
        <v>2.46</v>
      </c>
      <c r="F33" s="418">
        <v>15.91</v>
      </c>
      <c r="G33" s="418">
        <v>22.57</v>
      </c>
      <c r="H33" s="734">
        <v>29.23</v>
      </c>
    </row>
    <row r="34" spans="1:8" ht="25.5">
      <c r="A34" s="389" t="s">
        <v>1762</v>
      </c>
      <c r="B34" s="419" t="s">
        <v>1763</v>
      </c>
      <c r="C34" s="416">
        <v>116.5</v>
      </c>
      <c r="D34" s="419"/>
      <c r="E34" s="1674" t="s">
        <v>1764</v>
      </c>
      <c r="F34" s="1674"/>
      <c r="G34" s="1674"/>
      <c r="H34" s="1674"/>
    </row>
    <row r="35" spans="1:8">
      <c r="A35" s="389" t="s">
        <v>1765</v>
      </c>
      <c r="B35" s="419" t="s">
        <v>1766</v>
      </c>
      <c r="C35" s="416">
        <v>27</v>
      </c>
      <c r="D35" s="419"/>
      <c r="E35" s="516" t="s">
        <v>1750</v>
      </c>
      <c r="F35" s="417" t="s">
        <v>1751</v>
      </c>
      <c r="G35" s="418" t="s">
        <v>1752</v>
      </c>
      <c r="H35" s="418" t="s">
        <v>1753</v>
      </c>
    </row>
    <row r="36" spans="1:8">
      <c r="A36" s="389" t="s">
        <v>1767</v>
      </c>
      <c r="B36" s="419" t="s">
        <v>1768</v>
      </c>
      <c r="C36" s="416">
        <v>5</v>
      </c>
      <c r="D36" s="419"/>
      <c r="E36" s="516">
        <v>1.03</v>
      </c>
      <c r="F36" s="418">
        <v>7.95</v>
      </c>
      <c r="G36" s="418">
        <v>11.38</v>
      </c>
      <c r="H36" s="734">
        <v>14.81</v>
      </c>
    </row>
    <row r="37" spans="1:8">
      <c r="A37" s="389" t="s">
        <v>1769</v>
      </c>
      <c r="B37" s="419" t="s">
        <v>1770</v>
      </c>
      <c r="C37" s="416">
        <v>60</v>
      </c>
      <c r="D37" s="419"/>
      <c r="E37" s="420"/>
      <c r="F37" s="419"/>
      <c r="G37" s="419"/>
      <c r="H37" s="416"/>
    </row>
    <row r="38" spans="1:8">
      <c r="A38" s="389" t="s">
        <v>1771</v>
      </c>
      <c r="B38" s="419" t="s">
        <v>1772</v>
      </c>
      <c r="C38" s="416">
        <v>24</v>
      </c>
      <c r="D38" s="419"/>
      <c r="E38" s="420"/>
      <c r="F38" s="419"/>
      <c r="G38" s="419"/>
      <c r="H38" s="416"/>
    </row>
    <row r="39" spans="1:8">
      <c r="A39" s="389" t="s">
        <v>1773</v>
      </c>
      <c r="B39" s="419" t="s">
        <v>1774</v>
      </c>
      <c r="C39" s="416">
        <v>21</v>
      </c>
      <c r="D39" s="419"/>
      <c r="E39" s="420"/>
      <c r="F39" s="514"/>
      <c r="G39" s="419"/>
      <c r="H39" s="416"/>
    </row>
    <row r="40" spans="1:8">
      <c r="A40" s="389" t="s">
        <v>1567</v>
      </c>
      <c r="B40" s="419" t="s">
        <v>1775</v>
      </c>
      <c r="C40" s="416">
        <v>331</v>
      </c>
      <c r="D40" s="419"/>
      <c r="E40" s="389" t="s">
        <v>1776</v>
      </c>
      <c r="F40" s="419" t="s">
        <v>1777</v>
      </c>
      <c r="G40" s="416">
        <v>550</v>
      </c>
      <c r="H40" s="416"/>
    </row>
    <row r="41" spans="1:8" ht="25.5">
      <c r="A41" s="389" t="s">
        <v>1778</v>
      </c>
      <c r="B41" s="419" t="s">
        <v>1779</v>
      </c>
      <c r="C41" s="416">
        <v>131</v>
      </c>
      <c r="D41" s="419"/>
      <c r="E41" s="420" t="s">
        <v>1780</v>
      </c>
      <c r="F41" s="419" t="s">
        <v>1781</v>
      </c>
      <c r="G41" s="416">
        <v>141</v>
      </c>
      <c r="H41" s="416"/>
    </row>
    <row r="42" spans="1:8" ht="25.5">
      <c r="A42" s="389" t="s">
        <v>1782</v>
      </c>
      <c r="B42" s="419" t="s">
        <v>1783</v>
      </c>
      <c r="C42" s="416">
        <v>187</v>
      </c>
      <c r="D42" s="419"/>
      <c r="E42" s="420" t="s">
        <v>1780</v>
      </c>
      <c r="F42" s="419" t="s">
        <v>1784</v>
      </c>
      <c r="G42" s="416">
        <v>180</v>
      </c>
      <c r="H42" s="416"/>
    </row>
    <row r="43" spans="1:8" ht="38.25">
      <c r="A43" s="389" t="s">
        <v>1785</v>
      </c>
      <c r="B43" s="419" t="s">
        <v>1786</v>
      </c>
      <c r="C43" s="416">
        <v>17</v>
      </c>
      <c r="D43" s="419"/>
      <c r="E43" s="420" t="s">
        <v>1370</v>
      </c>
      <c r="F43" s="419" t="s">
        <v>1787</v>
      </c>
      <c r="G43" s="416">
        <v>168</v>
      </c>
      <c r="H43" s="416"/>
    </row>
    <row r="44" spans="1:8" ht="38.25">
      <c r="A44" s="389" t="s">
        <v>1788</v>
      </c>
      <c r="B44" s="419" t="s">
        <v>3622</v>
      </c>
      <c r="C44" s="416">
        <v>67</v>
      </c>
      <c r="D44" s="419"/>
      <c r="E44" s="420" t="s">
        <v>1370</v>
      </c>
      <c r="F44" s="419" t="s">
        <v>1789</v>
      </c>
      <c r="G44" s="416">
        <v>194</v>
      </c>
      <c r="H44" s="416"/>
    </row>
    <row r="45" spans="1:8">
      <c r="A45" s="389" t="s">
        <v>670</v>
      </c>
      <c r="B45" s="419" t="s">
        <v>1790</v>
      </c>
      <c r="C45" s="416">
        <v>27</v>
      </c>
      <c r="D45" s="419"/>
      <c r="E45" s="420" t="s">
        <v>1791</v>
      </c>
      <c r="F45" s="419" t="s">
        <v>1792</v>
      </c>
      <c r="G45" s="416">
        <v>130</v>
      </c>
      <c r="H45" s="416"/>
    </row>
    <row r="46" spans="1:8">
      <c r="A46" s="389" t="s">
        <v>1793</v>
      </c>
      <c r="B46" s="419" t="s">
        <v>1794</v>
      </c>
      <c r="C46" s="416">
        <v>412</v>
      </c>
      <c r="D46" s="419"/>
      <c r="E46" s="420" t="s">
        <v>1795</v>
      </c>
      <c r="F46" s="419" t="s">
        <v>1796</v>
      </c>
      <c r="G46" s="416">
        <v>248</v>
      </c>
      <c r="H46" s="416"/>
    </row>
    <row r="47" spans="1:8" ht="38.25">
      <c r="A47" s="514" t="s">
        <v>1797</v>
      </c>
      <c r="B47" s="419" t="s">
        <v>1371</v>
      </c>
      <c r="C47" s="419">
        <v>3198</v>
      </c>
      <c r="D47" s="419"/>
      <c r="E47" s="420" t="s">
        <v>1798</v>
      </c>
      <c r="F47" s="419" t="s">
        <v>1799</v>
      </c>
      <c r="G47" s="416">
        <v>708</v>
      </c>
      <c r="H47" s="416"/>
    </row>
    <row r="48" spans="1:8" ht="38.25">
      <c r="A48" s="389" t="s">
        <v>1800</v>
      </c>
      <c r="B48" s="419" t="s">
        <v>1425</v>
      </c>
      <c r="C48" s="416">
        <v>250</v>
      </c>
      <c r="D48" s="419"/>
      <c r="E48" s="420" t="s">
        <v>1423</v>
      </c>
      <c r="F48" s="419" t="s">
        <v>1422</v>
      </c>
      <c r="G48" s="416">
        <v>244</v>
      </c>
      <c r="H48" s="416"/>
    </row>
    <row r="49" spans="1:8">
      <c r="A49" s="389" t="s">
        <v>1801</v>
      </c>
      <c r="B49" s="419" t="s">
        <v>1427</v>
      </c>
      <c r="C49" s="416">
        <v>130</v>
      </c>
      <c r="D49" s="419"/>
      <c r="E49" s="420"/>
      <c r="F49" s="514"/>
      <c r="G49" s="419"/>
      <c r="H49" s="416"/>
    </row>
    <row r="50" spans="1:8">
      <c r="A50" s="389"/>
      <c r="B50" s="419"/>
      <c r="C50" s="416"/>
      <c r="D50" s="419"/>
      <c r="E50" s="420"/>
      <c r="F50" s="514"/>
      <c r="G50" s="419"/>
      <c r="H50" s="416"/>
    </row>
    <row r="51" spans="1:8">
      <c r="A51" s="514"/>
      <c r="B51" s="419"/>
      <c r="C51" s="419" t="s">
        <v>1750</v>
      </c>
      <c r="D51" s="419" t="s">
        <v>1802</v>
      </c>
      <c r="E51" s="420"/>
      <c r="F51" s="514"/>
      <c r="G51" s="419"/>
      <c r="H51" s="416"/>
    </row>
    <row r="52" spans="1:8">
      <c r="A52" s="389" t="s">
        <v>152</v>
      </c>
      <c r="B52" s="419"/>
      <c r="C52" s="419">
        <v>288</v>
      </c>
      <c r="D52" s="419">
        <v>631</v>
      </c>
      <c r="E52" s="420"/>
      <c r="F52" s="514"/>
      <c r="G52" s="419"/>
      <c r="H52" s="416"/>
    </row>
    <row r="53" spans="1:8">
      <c r="A53" s="389" t="s">
        <v>1803</v>
      </c>
      <c r="B53" s="419"/>
      <c r="C53" s="419">
        <v>64</v>
      </c>
      <c r="D53" s="419">
        <v>341</v>
      </c>
      <c r="E53" s="420"/>
      <c r="F53" s="514"/>
      <c r="G53" s="419"/>
      <c r="H53" s="416"/>
    </row>
    <row r="54" spans="1:8">
      <c r="A54" s="389" t="s">
        <v>1804</v>
      </c>
      <c r="B54" s="419"/>
      <c r="C54" s="419">
        <v>328</v>
      </c>
      <c r="D54" s="419">
        <v>1004</v>
      </c>
      <c r="E54" s="420"/>
      <c r="F54" s="514"/>
      <c r="G54" s="419"/>
      <c r="H54" s="416"/>
    </row>
    <row r="55" spans="1:8">
      <c r="A55" s="389" t="s">
        <v>1434</v>
      </c>
      <c r="B55" s="419"/>
      <c r="C55" s="419">
        <v>1390</v>
      </c>
      <c r="D55" s="419">
        <v>1521</v>
      </c>
      <c r="E55" s="420"/>
      <c r="F55" s="514"/>
      <c r="G55" s="419"/>
      <c r="H55" s="416"/>
    </row>
    <row r="56" spans="1:8">
      <c r="A56" s="514"/>
      <c r="B56" s="419"/>
      <c r="C56" s="419"/>
      <c r="D56" s="419" t="s">
        <v>161</v>
      </c>
      <c r="E56" s="419" t="s">
        <v>162</v>
      </c>
      <c r="F56" s="419" t="s">
        <v>163</v>
      </c>
      <c r="G56" s="419"/>
      <c r="H56" s="416"/>
    </row>
    <row r="57" spans="1:8">
      <c r="A57" s="389" t="s">
        <v>1433</v>
      </c>
      <c r="B57" s="419"/>
      <c r="C57" s="419">
        <v>355</v>
      </c>
      <c r="D57" s="419">
        <v>2268</v>
      </c>
      <c r="E57" s="419">
        <v>2495</v>
      </c>
      <c r="F57" s="419">
        <v>2722</v>
      </c>
      <c r="G57" s="419"/>
      <c r="H57" s="416"/>
    </row>
    <row r="58" spans="1:8">
      <c r="A58" s="389" t="s">
        <v>866</v>
      </c>
      <c r="B58" s="419"/>
      <c r="C58" s="735">
        <v>1180</v>
      </c>
      <c r="D58" s="735">
        <v>1615</v>
      </c>
      <c r="E58" s="735">
        <v>1777</v>
      </c>
      <c r="F58" s="736">
        <v>1938</v>
      </c>
      <c r="G58" s="419"/>
      <c r="H58" s="416"/>
    </row>
    <row r="59" spans="1:8">
      <c r="A59" s="389" t="s">
        <v>1539</v>
      </c>
      <c r="B59" s="419"/>
      <c r="C59" s="735">
        <v>233</v>
      </c>
      <c r="D59" s="735">
        <v>248</v>
      </c>
      <c r="E59" s="735">
        <v>273</v>
      </c>
      <c r="F59" s="737">
        <v>298</v>
      </c>
      <c r="G59" s="419"/>
      <c r="H59" s="416"/>
    </row>
    <row r="60" spans="1:8">
      <c r="A60" s="389" t="s">
        <v>1805</v>
      </c>
      <c r="B60" s="419"/>
      <c r="C60" s="735">
        <v>2085</v>
      </c>
      <c r="D60" s="735">
        <v>1903</v>
      </c>
      <c r="E60" s="735">
        <v>2093</v>
      </c>
      <c r="F60" s="736">
        <v>2284</v>
      </c>
      <c r="G60" s="419"/>
      <c r="H60" s="416"/>
    </row>
    <row r="61" spans="1:8">
      <c r="A61" s="389" t="s">
        <v>1806</v>
      </c>
      <c r="B61" s="419"/>
      <c r="C61" s="735">
        <v>236</v>
      </c>
      <c r="D61" s="735">
        <v>215</v>
      </c>
      <c r="E61" s="737">
        <v>237</v>
      </c>
      <c r="F61" s="738">
        <v>258</v>
      </c>
      <c r="G61" s="419"/>
      <c r="H61" s="416"/>
    </row>
    <row r="62" spans="1:8">
      <c r="A62" s="389" t="s">
        <v>1807</v>
      </c>
      <c r="B62" s="419"/>
      <c r="C62" s="735">
        <v>243</v>
      </c>
      <c r="D62" s="735">
        <v>222</v>
      </c>
      <c r="E62" s="737">
        <v>244</v>
      </c>
      <c r="F62" s="738">
        <v>266</v>
      </c>
      <c r="G62" s="419"/>
      <c r="H62" s="416"/>
    </row>
    <row r="63" spans="1:8">
      <c r="A63" s="514"/>
      <c r="B63" s="419"/>
      <c r="C63" s="419"/>
      <c r="D63" s="419"/>
      <c r="E63" s="420"/>
      <c r="F63" s="419"/>
      <c r="G63" s="419"/>
      <c r="H63" s="416"/>
    </row>
    <row r="64" spans="1:8">
      <c r="A64" s="514"/>
      <c r="B64" s="419"/>
      <c r="C64" s="419"/>
      <c r="D64" s="419"/>
      <c r="E64" s="420"/>
      <c r="F64" s="419"/>
      <c r="G64" s="419"/>
      <c r="H64" s="416"/>
    </row>
    <row r="65" spans="1:8">
      <c r="A65" s="514"/>
      <c r="B65" s="419"/>
      <c r="C65" s="419"/>
      <c r="D65" s="419"/>
      <c r="E65" s="420"/>
      <c r="F65" s="514"/>
      <c r="G65" s="419"/>
      <c r="H65" s="416"/>
    </row>
    <row r="66" spans="1:8" ht="24">
      <c r="A66" s="421" t="s">
        <v>1808</v>
      </c>
      <c r="B66" s="419" t="s">
        <v>1809</v>
      </c>
      <c r="C66" s="688">
        <v>1784</v>
      </c>
      <c r="D66" s="419"/>
      <c r="E66" s="420"/>
      <c r="F66" s="514" t="s">
        <v>1810</v>
      </c>
      <c r="G66" s="419" t="s">
        <v>1811</v>
      </c>
      <c r="H66" s="416">
        <v>5</v>
      </c>
    </row>
    <row r="67" spans="1:8" ht="24">
      <c r="A67" s="421" t="s">
        <v>1812</v>
      </c>
      <c r="B67" s="419" t="s">
        <v>1813</v>
      </c>
      <c r="C67" s="688">
        <v>2226</v>
      </c>
      <c r="D67" s="419"/>
      <c r="E67" s="420"/>
      <c r="F67" s="514" t="s">
        <v>1814</v>
      </c>
      <c r="G67" s="419" t="s">
        <v>1815</v>
      </c>
      <c r="H67" s="416">
        <v>1</v>
      </c>
    </row>
    <row r="68" spans="1:8">
      <c r="A68" s="421" t="s">
        <v>1816</v>
      </c>
      <c r="B68" s="419" t="s">
        <v>1817</v>
      </c>
      <c r="C68" s="688">
        <v>766</v>
      </c>
      <c r="D68" s="419"/>
      <c r="E68" s="420"/>
      <c r="F68" s="421" t="s">
        <v>1818</v>
      </c>
      <c r="G68" s="419" t="s">
        <v>1819</v>
      </c>
      <c r="H68" s="682">
        <v>53</v>
      </c>
    </row>
    <row r="69" spans="1:8">
      <c r="A69" s="514" t="s">
        <v>1820</v>
      </c>
      <c r="B69" s="419" t="s">
        <v>1821</v>
      </c>
      <c r="C69" s="688">
        <v>934</v>
      </c>
      <c r="D69" s="419"/>
      <c r="E69" s="420"/>
      <c r="F69" s="421" t="s">
        <v>1822</v>
      </c>
      <c r="G69" s="419" t="s">
        <v>1823</v>
      </c>
      <c r="H69" s="682">
        <v>85</v>
      </c>
    </row>
    <row r="70" spans="1:8">
      <c r="A70" s="514" t="s">
        <v>1824</v>
      </c>
      <c r="B70" s="419" t="s">
        <v>1825</v>
      </c>
      <c r="C70" s="416">
        <v>2385</v>
      </c>
      <c r="D70" s="419"/>
      <c r="E70" s="420"/>
      <c r="F70" s="421" t="s">
        <v>1826</v>
      </c>
      <c r="G70" s="419" t="s">
        <v>1827</v>
      </c>
      <c r="H70" s="682">
        <v>123</v>
      </c>
    </row>
    <row r="71" spans="1:8">
      <c r="A71" s="514" t="s">
        <v>1828</v>
      </c>
      <c r="B71" s="419" t="s">
        <v>1829</v>
      </c>
      <c r="C71" s="688">
        <v>1370</v>
      </c>
      <c r="D71" s="419"/>
      <c r="E71" s="420"/>
      <c r="F71" s="421" t="s">
        <v>1830</v>
      </c>
      <c r="G71" s="419" t="s">
        <v>1831</v>
      </c>
      <c r="H71" s="682">
        <v>193</v>
      </c>
    </row>
    <row r="72" spans="1:8">
      <c r="A72" s="514" t="s">
        <v>1832</v>
      </c>
      <c r="B72" s="419" t="s">
        <v>1833</v>
      </c>
      <c r="C72" s="688">
        <v>349</v>
      </c>
      <c r="D72" s="419"/>
      <c r="E72" s="420"/>
      <c r="F72" s="421" t="s">
        <v>1834</v>
      </c>
      <c r="G72" s="419" t="s">
        <v>1835</v>
      </c>
      <c r="H72" s="416">
        <v>24</v>
      </c>
    </row>
    <row r="73" spans="1:8">
      <c r="A73" s="514" t="s">
        <v>1836</v>
      </c>
      <c r="B73" s="419" t="s">
        <v>1837</v>
      </c>
      <c r="C73" s="688">
        <v>86</v>
      </c>
      <c r="D73" s="419"/>
      <c r="E73" s="420"/>
      <c r="F73" s="514" t="s">
        <v>1838</v>
      </c>
      <c r="G73" s="419" t="s">
        <v>1839</v>
      </c>
      <c r="H73" s="416">
        <v>31</v>
      </c>
    </row>
    <row r="74" spans="1:8">
      <c r="A74" s="514" t="s">
        <v>1840</v>
      </c>
      <c r="B74" s="419" t="s">
        <v>1841</v>
      </c>
      <c r="C74" s="688">
        <v>22</v>
      </c>
      <c r="D74" s="419"/>
      <c r="E74" s="420"/>
      <c r="F74" s="514" t="s">
        <v>1842</v>
      </c>
      <c r="G74" s="419" t="s">
        <v>1843</v>
      </c>
      <c r="H74" s="682">
        <v>1051</v>
      </c>
    </row>
    <row r="75" spans="1:8">
      <c r="A75" s="514" t="s">
        <v>1444</v>
      </c>
      <c r="B75" s="419" t="s">
        <v>2292</v>
      </c>
      <c r="C75" s="416">
        <v>122</v>
      </c>
      <c r="D75" s="419"/>
      <c r="E75" s="420"/>
      <c r="F75" s="514" t="s">
        <v>1845</v>
      </c>
      <c r="G75" s="419" t="s">
        <v>1846</v>
      </c>
      <c r="H75" s="416">
        <v>70</v>
      </c>
    </row>
    <row r="76" spans="1:8" ht="25.5">
      <c r="A76" s="514" t="s">
        <v>1847</v>
      </c>
      <c r="B76" s="419" t="s">
        <v>1848</v>
      </c>
      <c r="C76" s="416">
        <v>29</v>
      </c>
      <c r="D76" s="419"/>
      <c r="E76" s="420"/>
      <c r="F76" s="514" t="s">
        <v>1849</v>
      </c>
      <c r="G76" s="419" t="s">
        <v>1850</v>
      </c>
      <c r="H76" s="416">
        <v>15</v>
      </c>
    </row>
    <row r="77" spans="1:8" ht="25.5">
      <c r="A77" s="514" t="s">
        <v>1851</v>
      </c>
      <c r="B77" s="419" t="s">
        <v>1852</v>
      </c>
      <c r="C77" s="416">
        <v>117</v>
      </c>
      <c r="D77" s="419"/>
      <c r="E77" s="420"/>
      <c r="F77" s="514"/>
      <c r="G77" s="419"/>
      <c r="H77" s="416"/>
    </row>
    <row r="78" spans="1:8">
      <c r="A78" s="514" t="s">
        <v>1441</v>
      </c>
      <c r="B78" s="419" t="s">
        <v>1853</v>
      </c>
      <c r="C78" s="416">
        <v>410</v>
      </c>
      <c r="D78" s="419"/>
      <c r="E78" s="420"/>
      <c r="F78" s="514"/>
      <c r="G78" s="419"/>
      <c r="H78" s="416"/>
    </row>
    <row r="79" spans="1:8" ht="25.5">
      <c r="A79" s="514" t="s">
        <v>1442</v>
      </c>
      <c r="B79" s="419" t="s">
        <v>1854</v>
      </c>
      <c r="C79" s="416">
        <v>389</v>
      </c>
      <c r="D79" s="419"/>
      <c r="E79" s="420"/>
      <c r="F79" s="514" t="s">
        <v>2256</v>
      </c>
      <c r="G79" s="419" t="s">
        <v>2257</v>
      </c>
      <c r="H79" s="416">
        <v>311</v>
      </c>
    </row>
    <row r="80" spans="1:8">
      <c r="A80" s="514" t="s">
        <v>1443</v>
      </c>
      <c r="B80" s="419" t="s">
        <v>1855</v>
      </c>
      <c r="C80" s="416">
        <v>244</v>
      </c>
      <c r="D80" s="419"/>
      <c r="E80" s="420"/>
      <c r="F80" s="514" t="s">
        <v>2258</v>
      </c>
      <c r="G80" s="419" t="s">
        <v>2259</v>
      </c>
      <c r="H80" s="416">
        <v>178</v>
      </c>
    </row>
    <row r="81" spans="1:8">
      <c r="A81" s="514" t="s">
        <v>1856</v>
      </c>
      <c r="B81" s="419" t="s">
        <v>1857</v>
      </c>
      <c r="C81" s="416">
        <v>70</v>
      </c>
      <c r="D81" s="419"/>
      <c r="E81" s="420"/>
      <c r="F81" s="514"/>
      <c r="G81" s="419"/>
      <c r="H81" s="416"/>
    </row>
    <row r="82" spans="1:8">
      <c r="A82" s="514" t="s">
        <v>1858</v>
      </c>
      <c r="B82" s="419" t="s">
        <v>1859</v>
      </c>
      <c r="C82" s="416">
        <v>1483</v>
      </c>
      <c r="D82" s="419"/>
      <c r="E82" s="420"/>
      <c r="F82" s="514"/>
      <c r="G82" s="419"/>
      <c r="H82" s="416"/>
    </row>
    <row r="83" spans="1:8">
      <c r="A83" s="514" t="s">
        <v>1860</v>
      </c>
      <c r="B83" s="419" t="s">
        <v>1861</v>
      </c>
      <c r="C83" s="682">
        <v>3758</v>
      </c>
      <c r="D83" s="419"/>
      <c r="E83" s="420"/>
      <c r="F83" s="514"/>
      <c r="G83" s="419"/>
      <c r="H83" s="416"/>
    </row>
    <row r="84" spans="1:8">
      <c r="A84" s="514"/>
      <c r="B84" s="419"/>
      <c r="C84" s="419"/>
      <c r="D84" s="419"/>
      <c r="E84" s="420"/>
      <c r="F84" s="514"/>
      <c r="G84" s="419"/>
      <c r="H84" s="416"/>
    </row>
    <row r="85" spans="1:8">
      <c r="A85" s="514"/>
      <c r="B85" s="419"/>
      <c r="C85" s="419"/>
      <c r="D85" s="419"/>
      <c r="E85" s="420"/>
      <c r="F85" s="514"/>
      <c r="G85" s="419"/>
      <c r="H85" s="416"/>
    </row>
    <row r="86" spans="1:8">
      <c r="A86" s="514" t="s">
        <v>1862</v>
      </c>
      <c r="B86" s="419" t="s">
        <v>1863</v>
      </c>
      <c r="C86" s="10">
        <v>446.4</v>
      </c>
      <c r="D86" s="419"/>
      <c r="E86" s="420"/>
      <c r="F86" s="514"/>
      <c r="G86" s="419"/>
      <c r="H86" s="416"/>
    </row>
    <row r="87" spans="1:8">
      <c r="A87" s="514" t="s">
        <v>1864</v>
      </c>
      <c r="B87" s="419"/>
      <c r="C87" s="10">
        <v>477.6</v>
      </c>
      <c r="D87" s="419"/>
      <c r="E87" s="420"/>
      <c r="F87" s="514"/>
      <c r="G87" s="419"/>
      <c r="H87" s="416"/>
    </row>
    <row r="88" spans="1:8">
      <c r="A88" s="514" t="s">
        <v>1865</v>
      </c>
      <c r="B88" s="419"/>
      <c r="C88" s="10">
        <v>600</v>
      </c>
      <c r="D88" s="419"/>
      <c r="E88" s="420"/>
      <c r="F88" s="514"/>
      <c r="G88" s="419"/>
      <c r="H88" s="416"/>
    </row>
    <row r="89" spans="1:8">
      <c r="A89" s="514" t="s">
        <v>1866</v>
      </c>
      <c r="B89" s="419" t="s">
        <v>1867</v>
      </c>
      <c r="C89" s="416">
        <v>24300</v>
      </c>
      <c r="D89" s="419"/>
      <c r="E89" s="420"/>
      <c r="F89" s="514"/>
      <c r="G89" s="419"/>
      <c r="H89" s="416"/>
    </row>
    <row r="90" spans="1:8">
      <c r="A90" s="514" t="s">
        <v>2293</v>
      </c>
      <c r="B90" s="419" t="s">
        <v>1868</v>
      </c>
      <c r="C90" s="416">
        <v>16700</v>
      </c>
      <c r="D90" s="419"/>
      <c r="E90" s="420"/>
      <c r="F90" s="514"/>
      <c r="G90" s="419"/>
      <c r="H90" s="416"/>
    </row>
    <row r="91" spans="1:8">
      <c r="A91" s="514" t="s">
        <v>1869</v>
      </c>
      <c r="B91" s="419" t="s">
        <v>1870</v>
      </c>
      <c r="C91" s="416">
        <v>325</v>
      </c>
      <c r="D91" s="419"/>
      <c r="E91" s="420"/>
      <c r="F91" s="514"/>
      <c r="G91" s="419"/>
      <c r="H91" s="416"/>
    </row>
    <row r="92" spans="1:8">
      <c r="A92" s="514" t="s">
        <v>1871</v>
      </c>
      <c r="B92" s="419" t="s">
        <v>1872</v>
      </c>
      <c r="C92" s="416">
        <v>64</v>
      </c>
      <c r="D92" s="419"/>
      <c r="E92" s="420"/>
      <c r="F92" s="514"/>
      <c r="G92" s="419"/>
      <c r="H92" s="416"/>
    </row>
    <row r="93" spans="1:8">
      <c r="A93" s="514" t="s">
        <v>1873</v>
      </c>
      <c r="B93" s="419" t="s">
        <v>1874</v>
      </c>
      <c r="C93" s="10">
        <v>145.19999999999999</v>
      </c>
      <c r="D93" s="419"/>
      <c r="E93" s="420"/>
      <c r="F93" s="514"/>
      <c r="G93" s="419"/>
      <c r="H93" s="416"/>
    </row>
    <row r="94" spans="1:8">
      <c r="A94" s="514" t="s">
        <v>1445</v>
      </c>
      <c r="B94" s="419" t="s">
        <v>1870</v>
      </c>
      <c r="C94" s="10">
        <v>109</v>
      </c>
      <c r="D94" s="419"/>
      <c r="E94" s="420"/>
      <c r="F94" s="514"/>
      <c r="G94" s="419"/>
      <c r="H94" s="416"/>
    </row>
    <row r="95" spans="1:8">
      <c r="A95" s="514" t="s">
        <v>1875</v>
      </c>
      <c r="B95" s="419" t="s">
        <v>1870</v>
      </c>
      <c r="C95" s="10">
        <v>198</v>
      </c>
      <c r="D95" s="419"/>
      <c r="E95" s="420"/>
      <c r="F95" s="514"/>
      <c r="G95" s="419"/>
      <c r="H95" s="416"/>
    </row>
    <row r="96" spans="1:8">
      <c r="A96" s="514" t="s">
        <v>1876</v>
      </c>
      <c r="B96" s="419" t="s">
        <v>1877</v>
      </c>
      <c r="C96" s="10">
        <v>22</v>
      </c>
      <c r="D96" s="419"/>
      <c r="E96" s="420"/>
      <c r="F96" s="514"/>
      <c r="G96" s="419"/>
      <c r="H96" s="416"/>
    </row>
    <row r="97" spans="1:8">
      <c r="A97" s="514" t="s">
        <v>1878</v>
      </c>
      <c r="B97" s="419" t="s">
        <v>1879</v>
      </c>
      <c r="C97" s="10">
        <v>80</v>
      </c>
      <c r="D97" s="419"/>
      <c r="E97" s="420"/>
      <c r="F97" s="514"/>
      <c r="G97" s="419"/>
      <c r="H97" s="416"/>
    </row>
    <row r="98" spans="1:8">
      <c r="A98" s="514" t="s">
        <v>1880</v>
      </c>
      <c r="B98" s="419" t="s">
        <v>1881</v>
      </c>
      <c r="C98" s="10">
        <v>4500</v>
      </c>
      <c r="D98" s="419"/>
      <c r="E98" s="420"/>
      <c r="F98" s="514"/>
      <c r="G98" s="419"/>
      <c r="H98" s="416"/>
    </row>
    <row r="99" spans="1:8" ht="22.5">
      <c r="A99" s="422" t="s">
        <v>1497</v>
      </c>
      <c r="B99" s="423" t="s">
        <v>3163</v>
      </c>
      <c r="C99" s="416">
        <v>65</v>
      </c>
      <c r="D99" s="419"/>
      <c r="E99" s="420"/>
      <c r="F99" s="514"/>
      <c r="G99" s="419"/>
      <c r="H99" s="416"/>
    </row>
    <row r="100" spans="1:8" ht="22.5">
      <c r="A100" s="422" t="s">
        <v>3164</v>
      </c>
      <c r="B100" s="423" t="s">
        <v>1501</v>
      </c>
      <c r="C100" s="416">
        <v>25</v>
      </c>
      <c r="D100" s="419"/>
      <c r="E100" s="420"/>
      <c r="F100" s="514"/>
      <c r="G100" s="419"/>
      <c r="H100" s="416"/>
    </row>
    <row r="101" spans="1:8">
      <c r="A101" s="422" t="s">
        <v>1498</v>
      </c>
      <c r="B101" s="423" t="s">
        <v>1502</v>
      </c>
      <c r="C101" s="416">
        <v>8</v>
      </c>
      <c r="D101" s="419"/>
      <c r="E101" s="420"/>
      <c r="F101" s="514"/>
      <c r="G101" s="419"/>
      <c r="H101" s="416"/>
    </row>
    <row r="102" spans="1:8" ht="22.5">
      <c r="A102" s="422" t="s">
        <v>1507</v>
      </c>
      <c r="B102" s="423" t="s">
        <v>1503</v>
      </c>
      <c r="C102" s="416">
        <v>33</v>
      </c>
      <c r="D102" s="419"/>
      <c r="E102" s="420"/>
      <c r="F102" s="514"/>
      <c r="G102" s="419"/>
      <c r="H102" s="416"/>
    </row>
    <row r="103" spans="1:8">
      <c r="A103" s="424" t="s">
        <v>1505</v>
      </c>
      <c r="B103" s="423" t="s">
        <v>1509</v>
      </c>
      <c r="C103" s="416">
        <v>30</v>
      </c>
      <c r="D103" s="419"/>
      <c r="E103" s="420"/>
      <c r="F103" s="514"/>
      <c r="G103" s="419"/>
      <c r="H103" s="416"/>
    </row>
    <row r="104" spans="1:8">
      <c r="A104" s="514" t="s">
        <v>1882</v>
      </c>
      <c r="B104" s="419" t="s">
        <v>1883</v>
      </c>
      <c r="C104" s="416">
        <v>55</v>
      </c>
      <c r="D104" s="419"/>
      <c r="E104" s="420"/>
      <c r="F104" s="514"/>
      <c r="G104" s="419"/>
      <c r="H104" s="416"/>
    </row>
    <row r="105" spans="1:8">
      <c r="A105" s="514"/>
      <c r="B105" s="419"/>
      <c r="C105" s="419" t="s">
        <v>1884</v>
      </c>
      <c r="D105" s="514"/>
      <c r="E105" s="419" t="s">
        <v>1885</v>
      </c>
      <c r="F105" s="514"/>
      <c r="G105" s="419"/>
      <c r="H105" s="416"/>
    </row>
    <row r="106" spans="1:8">
      <c r="A106" s="514" t="s">
        <v>1446</v>
      </c>
      <c r="B106" s="419" t="s">
        <v>1886</v>
      </c>
      <c r="C106" s="416">
        <v>205</v>
      </c>
      <c r="D106" s="419" t="s">
        <v>1887</v>
      </c>
      <c r="E106" s="416">
        <v>190</v>
      </c>
      <c r="F106" s="514"/>
      <c r="G106" s="419"/>
      <c r="H106" s="416"/>
    </row>
    <row r="107" spans="1:8">
      <c r="A107" s="514" t="s">
        <v>1447</v>
      </c>
      <c r="B107" s="419" t="s">
        <v>1888</v>
      </c>
      <c r="C107" s="416">
        <v>170</v>
      </c>
      <c r="D107" s="419" t="s">
        <v>1889</v>
      </c>
      <c r="E107" s="416">
        <v>155</v>
      </c>
      <c r="F107" s="514"/>
      <c r="G107" s="419"/>
      <c r="H107" s="416"/>
    </row>
    <row r="108" spans="1:8">
      <c r="A108" s="514" t="s">
        <v>1448</v>
      </c>
      <c r="B108" s="419" t="s">
        <v>1890</v>
      </c>
      <c r="C108" s="416">
        <v>130</v>
      </c>
      <c r="D108" s="419" t="s">
        <v>1891</v>
      </c>
      <c r="E108" s="416">
        <v>120</v>
      </c>
      <c r="F108" s="514"/>
      <c r="G108" s="419"/>
      <c r="H108" s="416"/>
    </row>
    <row r="109" spans="1:8">
      <c r="A109" s="514" t="s">
        <v>1450</v>
      </c>
      <c r="B109" s="419" t="s">
        <v>1892</v>
      </c>
      <c r="C109" s="416">
        <v>95</v>
      </c>
      <c r="D109" s="419" t="s">
        <v>1893</v>
      </c>
      <c r="E109" s="416">
        <v>80</v>
      </c>
      <c r="F109" s="514"/>
      <c r="G109" s="419"/>
      <c r="H109" s="416"/>
    </row>
    <row r="110" spans="1:8">
      <c r="A110" s="514" t="s">
        <v>1894</v>
      </c>
      <c r="B110" s="419"/>
      <c r="C110" s="416">
        <f>C106+C108</f>
        <v>335</v>
      </c>
      <c r="D110" s="419"/>
      <c r="E110" s="416">
        <f>E106+E108</f>
        <v>310</v>
      </c>
      <c r="F110" s="514"/>
      <c r="G110" s="419"/>
      <c r="H110" s="416"/>
    </row>
    <row r="111" spans="1:8">
      <c r="A111" s="514" t="s">
        <v>1895</v>
      </c>
      <c r="B111" s="419"/>
      <c r="C111" s="416">
        <f>C106+C109</f>
        <v>300</v>
      </c>
      <c r="D111" s="419"/>
      <c r="E111" s="416">
        <f>E106+E109</f>
        <v>270</v>
      </c>
      <c r="F111" s="514"/>
      <c r="G111" s="419"/>
      <c r="H111" s="416"/>
    </row>
    <row r="112" spans="1:8">
      <c r="A112" s="514" t="s">
        <v>1896</v>
      </c>
      <c r="B112" s="419" t="s">
        <v>1897</v>
      </c>
      <c r="C112" s="416">
        <v>57</v>
      </c>
      <c r="D112" s="419" t="s">
        <v>1898</v>
      </c>
      <c r="E112" s="416">
        <v>60</v>
      </c>
      <c r="F112" s="514"/>
      <c r="G112" s="419"/>
      <c r="H112" s="416"/>
    </row>
    <row r="113" spans="1:8">
      <c r="A113" s="514"/>
      <c r="B113" s="419"/>
      <c r="C113" s="419"/>
      <c r="D113" s="419"/>
      <c r="E113" s="420"/>
      <c r="F113" s="514"/>
      <c r="G113" s="419"/>
      <c r="H113" s="416"/>
    </row>
    <row r="114" spans="1:8" ht="25.5">
      <c r="A114" s="514" t="s">
        <v>1899</v>
      </c>
      <c r="B114" s="419" t="s">
        <v>1900</v>
      </c>
      <c r="C114" s="416">
        <v>18</v>
      </c>
      <c r="D114" s="419"/>
      <c r="E114" s="420" t="s">
        <v>1901</v>
      </c>
      <c r="F114" s="514" t="s">
        <v>1902</v>
      </c>
      <c r="G114" s="416">
        <v>18</v>
      </c>
      <c r="H114" s="416"/>
    </row>
    <row r="115" spans="1:8" ht="25.5">
      <c r="A115" s="514" t="s">
        <v>1453</v>
      </c>
      <c r="B115" s="419" t="s">
        <v>1903</v>
      </c>
      <c r="C115" s="416">
        <v>1290</v>
      </c>
      <c r="D115" s="419"/>
      <c r="E115" s="420" t="s">
        <v>1904</v>
      </c>
      <c r="F115" s="514" t="s">
        <v>1905</v>
      </c>
      <c r="G115" s="416">
        <v>110</v>
      </c>
      <c r="H115" s="416"/>
    </row>
    <row r="116" spans="1:8" ht="25.5">
      <c r="A116" s="514" t="s">
        <v>1906</v>
      </c>
      <c r="B116" s="419" t="s">
        <v>1907</v>
      </c>
      <c r="C116" s="416">
        <v>15</v>
      </c>
      <c r="D116" s="419"/>
      <c r="E116" s="420" t="s">
        <v>1908</v>
      </c>
      <c r="F116" s="514" t="s">
        <v>1909</v>
      </c>
      <c r="G116" s="416">
        <v>950</v>
      </c>
      <c r="H116" s="416"/>
    </row>
    <row r="117" spans="1:8" ht="25.5">
      <c r="A117" s="514" t="s">
        <v>1910</v>
      </c>
      <c r="B117" s="419" t="s">
        <v>1911</v>
      </c>
      <c r="C117" s="416">
        <v>18</v>
      </c>
      <c r="D117" s="419"/>
      <c r="E117" s="420" t="s">
        <v>1912</v>
      </c>
      <c r="F117" s="514" t="s">
        <v>1913</v>
      </c>
      <c r="G117" s="416">
        <v>180</v>
      </c>
      <c r="H117" s="416"/>
    </row>
    <row r="118" spans="1:8">
      <c r="A118" s="514" t="s">
        <v>1914</v>
      </c>
      <c r="B118" s="419" t="s">
        <v>1915</v>
      </c>
      <c r="C118" s="416">
        <v>24</v>
      </c>
      <c r="D118" s="419"/>
      <c r="E118" s="420" t="s">
        <v>1916</v>
      </c>
      <c r="F118" s="514" t="s">
        <v>1917</v>
      </c>
      <c r="G118" s="416">
        <v>2300</v>
      </c>
      <c r="H118" s="416"/>
    </row>
    <row r="119" spans="1:8" ht="38.25">
      <c r="A119" s="514" t="s">
        <v>1918</v>
      </c>
      <c r="B119" s="419" t="s">
        <v>1919</v>
      </c>
      <c r="C119" s="416">
        <v>1050</v>
      </c>
      <c r="D119" s="419"/>
      <c r="E119" s="420" t="s">
        <v>1920</v>
      </c>
      <c r="F119" s="514" t="s">
        <v>1921</v>
      </c>
      <c r="G119" s="416">
        <v>85</v>
      </c>
      <c r="H119" s="416"/>
    </row>
    <row r="120" spans="1:8">
      <c r="A120" s="514" t="s">
        <v>1922</v>
      </c>
      <c r="B120" s="419" t="s">
        <v>1923</v>
      </c>
      <c r="C120" s="416">
        <v>19</v>
      </c>
      <c r="D120" s="419"/>
      <c r="E120" s="420" t="s">
        <v>1573</v>
      </c>
      <c r="F120" s="514" t="s">
        <v>1924</v>
      </c>
      <c r="G120" s="416">
        <v>100</v>
      </c>
      <c r="H120" s="416"/>
    </row>
    <row r="121" spans="1:8" ht="51">
      <c r="A121" s="514" t="s">
        <v>1925</v>
      </c>
      <c r="B121" s="419" t="s">
        <v>1926</v>
      </c>
      <c r="C121" s="416">
        <v>40</v>
      </c>
      <c r="D121" s="419"/>
      <c r="E121" s="420" t="s">
        <v>1927</v>
      </c>
      <c r="F121" s="514" t="s">
        <v>1928</v>
      </c>
      <c r="G121" s="416">
        <v>290</v>
      </c>
      <c r="H121" s="416"/>
    </row>
    <row r="122" spans="1:8" ht="22.5">
      <c r="A122" s="514" t="s">
        <v>1929</v>
      </c>
      <c r="B122" s="419" t="s">
        <v>1930</v>
      </c>
      <c r="C122" s="416">
        <v>115</v>
      </c>
      <c r="D122" s="419"/>
      <c r="E122" s="422" t="s">
        <v>1931</v>
      </c>
      <c r="F122" s="514" t="s">
        <v>1932</v>
      </c>
      <c r="G122" s="416">
        <v>875</v>
      </c>
      <c r="H122" s="416"/>
    </row>
    <row r="123" spans="1:8" ht="38.25">
      <c r="A123" s="514" t="s">
        <v>1933</v>
      </c>
      <c r="B123" s="419" t="s">
        <v>1934</v>
      </c>
      <c r="C123" s="416">
        <v>90</v>
      </c>
      <c r="D123" s="419"/>
      <c r="E123" s="425" t="s">
        <v>1935</v>
      </c>
      <c r="F123" s="514" t="s">
        <v>1936</v>
      </c>
      <c r="G123" s="416">
        <v>360</v>
      </c>
      <c r="H123" s="416"/>
    </row>
    <row r="124" spans="1:8" ht="25.5">
      <c r="A124" s="514" t="s">
        <v>1937</v>
      </c>
      <c r="B124" s="419" t="s">
        <v>1938</v>
      </c>
      <c r="C124" s="416">
        <v>85</v>
      </c>
      <c r="D124" s="419"/>
      <c r="E124" s="425" t="s">
        <v>1939</v>
      </c>
      <c r="F124" s="514" t="s">
        <v>1940</v>
      </c>
      <c r="G124" s="416">
        <v>190</v>
      </c>
      <c r="H124" s="416"/>
    </row>
    <row r="125" spans="1:8" ht="45">
      <c r="A125" s="514" t="s">
        <v>1941</v>
      </c>
      <c r="B125" s="419" t="s">
        <v>1942</v>
      </c>
      <c r="C125" s="416">
        <v>130</v>
      </c>
      <c r="D125" s="419"/>
      <c r="E125" s="422" t="s">
        <v>1943</v>
      </c>
      <c r="F125" s="514" t="s">
        <v>1944</v>
      </c>
      <c r="G125" s="416">
        <v>100</v>
      </c>
      <c r="H125" s="416"/>
    </row>
    <row r="126" spans="1:8" ht="56.25">
      <c r="A126" s="514" t="s">
        <v>1658</v>
      </c>
      <c r="B126" s="419" t="s">
        <v>1945</v>
      </c>
      <c r="C126" s="416">
        <v>80</v>
      </c>
      <c r="D126" s="419"/>
      <c r="E126" s="425" t="s">
        <v>1946</v>
      </c>
      <c r="F126" s="514" t="s">
        <v>1947</v>
      </c>
      <c r="G126" s="416">
        <v>5100</v>
      </c>
      <c r="H126" s="416"/>
    </row>
    <row r="127" spans="1:8" ht="25.5">
      <c r="A127" s="514" t="s">
        <v>1948</v>
      </c>
      <c r="B127" s="419" t="s">
        <v>1949</v>
      </c>
      <c r="C127" s="416">
        <v>70</v>
      </c>
      <c r="D127" s="419"/>
      <c r="E127" s="425" t="s">
        <v>1950</v>
      </c>
      <c r="F127" s="514" t="s">
        <v>1951</v>
      </c>
      <c r="G127" s="416">
        <v>190</v>
      </c>
      <c r="H127" s="416"/>
    </row>
    <row r="128" spans="1:8" ht="33.75">
      <c r="A128" s="514" t="s">
        <v>1952</v>
      </c>
      <c r="B128" s="419" t="s">
        <v>2085</v>
      </c>
      <c r="C128" s="416">
        <v>1510</v>
      </c>
      <c r="D128" s="419"/>
      <c r="E128" s="426" t="s">
        <v>1953</v>
      </c>
      <c r="F128" s="514" t="s">
        <v>1954</v>
      </c>
      <c r="G128" s="416">
        <v>350</v>
      </c>
      <c r="H128" s="416"/>
    </row>
    <row r="129" spans="1:8" ht="25.5">
      <c r="A129" s="514" t="s">
        <v>1955</v>
      </c>
      <c r="B129" s="419" t="s">
        <v>1956</v>
      </c>
      <c r="C129" s="416">
        <v>2440</v>
      </c>
      <c r="D129" s="419"/>
      <c r="E129" s="422" t="s">
        <v>1957</v>
      </c>
      <c r="F129" s="514" t="s">
        <v>1958</v>
      </c>
      <c r="G129" s="416">
        <v>65</v>
      </c>
      <c r="H129" s="416"/>
    </row>
    <row r="130" spans="1:8" ht="25.5">
      <c r="A130" s="514" t="s">
        <v>1959</v>
      </c>
      <c r="B130" s="419" t="s">
        <v>1960</v>
      </c>
      <c r="C130" s="416">
        <v>3725</v>
      </c>
      <c r="D130" s="419"/>
      <c r="E130" s="422" t="s">
        <v>1961</v>
      </c>
      <c r="F130" s="514" t="s">
        <v>1962</v>
      </c>
      <c r="G130" s="416">
        <v>65</v>
      </c>
      <c r="H130" s="416"/>
    </row>
    <row r="131" spans="1:8" ht="45">
      <c r="A131" s="514" t="s">
        <v>1963</v>
      </c>
      <c r="B131" s="419" t="s">
        <v>1964</v>
      </c>
      <c r="C131" s="416">
        <v>1375</v>
      </c>
      <c r="D131" s="419"/>
      <c r="E131" s="426" t="s">
        <v>1965</v>
      </c>
      <c r="F131" s="514" t="s">
        <v>1966</v>
      </c>
      <c r="G131" s="416">
        <v>6</v>
      </c>
      <c r="H131" s="416"/>
    </row>
    <row r="132" spans="1:8" ht="33.75">
      <c r="A132" s="514" t="s">
        <v>1967</v>
      </c>
      <c r="B132" s="419" t="s">
        <v>1968</v>
      </c>
      <c r="C132" s="416">
        <v>65</v>
      </c>
      <c r="D132" s="419"/>
      <c r="E132" s="426" t="s">
        <v>1969</v>
      </c>
      <c r="F132" s="514" t="s">
        <v>1970</v>
      </c>
      <c r="G132" s="416">
        <v>12</v>
      </c>
      <c r="H132" s="416"/>
    </row>
    <row r="133" spans="1:8" ht="22.5">
      <c r="A133" s="514" t="s">
        <v>1971</v>
      </c>
      <c r="B133" s="419" t="s">
        <v>1972</v>
      </c>
      <c r="C133" s="416">
        <v>430</v>
      </c>
      <c r="D133" s="419"/>
      <c r="E133" s="426" t="s">
        <v>1973</v>
      </c>
      <c r="F133" s="514" t="s">
        <v>1425</v>
      </c>
      <c r="G133" s="416">
        <v>250</v>
      </c>
      <c r="H133" s="416"/>
    </row>
    <row r="134" spans="1:8" ht="45">
      <c r="A134" s="514" t="s">
        <v>2083</v>
      </c>
      <c r="B134" s="419" t="s">
        <v>2084</v>
      </c>
      <c r="C134" s="416">
        <v>1050</v>
      </c>
      <c r="D134" s="419"/>
      <c r="E134" s="426" t="s">
        <v>1974</v>
      </c>
      <c r="F134" s="514" t="s">
        <v>1427</v>
      </c>
      <c r="G134" s="416">
        <v>130</v>
      </c>
      <c r="H134" s="416"/>
    </row>
    <row r="135" spans="1:8">
      <c r="A135" s="514"/>
      <c r="B135" s="419"/>
      <c r="C135" s="419"/>
      <c r="D135" s="419"/>
      <c r="E135" s="426" t="s">
        <v>1975</v>
      </c>
      <c r="F135" s="514" t="s">
        <v>1976</v>
      </c>
      <c r="G135" s="416">
        <v>20</v>
      </c>
      <c r="H135" s="416"/>
    </row>
    <row r="136" spans="1:8">
      <c r="A136" s="514"/>
      <c r="B136" s="419"/>
      <c r="C136" s="419"/>
      <c r="D136" s="419"/>
      <c r="E136" s="426" t="s">
        <v>1977</v>
      </c>
      <c r="F136" s="514" t="s">
        <v>1978</v>
      </c>
      <c r="G136" s="416">
        <v>15</v>
      </c>
      <c r="H136" s="416"/>
    </row>
    <row r="137" spans="1:8" ht="22.5">
      <c r="A137" s="514"/>
      <c r="B137" s="419"/>
      <c r="C137" s="419"/>
      <c r="D137" s="419"/>
      <c r="E137" s="422" t="s">
        <v>1979</v>
      </c>
      <c r="F137" s="514" t="s">
        <v>1980</v>
      </c>
      <c r="G137" s="416">
        <v>250</v>
      </c>
      <c r="H137" s="416"/>
    </row>
    <row r="138" spans="1:8" ht="22.5">
      <c r="A138" s="514"/>
      <c r="B138" s="419"/>
      <c r="C138" s="419"/>
      <c r="D138" s="419"/>
      <c r="E138" s="422" t="s">
        <v>1979</v>
      </c>
      <c r="F138" s="514" t="s">
        <v>1980</v>
      </c>
      <c r="G138" s="416">
        <v>250</v>
      </c>
      <c r="H138" s="416"/>
    </row>
    <row r="139" spans="1:8">
      <c r="A139" s="514"/>
      <c r="B139" s="419"/>
      <c r="C139" s="419"/>
      <c r="D139" s="419"/>
      <c r="E139" s="420" t="s">
        <v>1566</v>
      </c>
      <c r="F139" s="514" t="s">
        <v>2088</v>
      </c>
      <c r="G139" s="416">
        <v>1980</v>
      </c>
      <c r="H139" s="416"/>
    </row>
    <row r="140" spans="1:8">
      <c r="A140" s="514"/>
      <c r="B140" s="419"/>
      <c r="C140" s="419"/>
      <c r="D140" s="419"/>
      <c r="E140" s="420" t="s">
        <v>1566</v>
      </c>
      <c r="F140" s="514" t="s">
        <v>2261</v>
      </c>
      <c r="G140" s="416">
        <v>5900</v>
      </c>
      <c r="H140" s="416"/>
    </row>
    <row r="141" spans="1:8">
      <c r="A141" s="514"/>
      <c r="B141" s="419"/>
      <c r="C141" s="419"/>
      <c r="D141" s="419"/>
      <c r="E141" s="420"/>
      <c r="F141" s="514"/>
      <c r="G141" s="419"/>
      <c r="H141" s="416"/>
    </row>
    <row r="142" spans="1:8" ht="25.5">
      <c r="A142" s="427" t="s">
        <v>1981</v>
      </c>
      <c r="B142" s="418" t="s">
        <v>1373</v>
      </c>
      <c r="C142" s="419">
        <v>71195</v>
      </c>
      <c r="D142" s="419"/>
      <c r="E142" s="427" t="s">
        <v>1376</v>
      </c>
      <c r="F142" s="418" t="s">
        <v>1377</v>
      </c>
      <c r="G142" s="419">
        <v>231</v>
      </c>
      <c r="H142" s="416"/>
    </row>
    <row r="143" spans="1:8" ht="38.25">
      <c r="A143" s="427" t="s">
        <v>1982</v>
      </c>
      <c r="B143" s="418" t="s">
        <v>1375</v>
      </c>
      <c r="C143" s="739">
        <v>142391</v>
      </c>
      <c r="D143" s="419"/>
      <c r="E143" s="427" t="s">
        <v>1393</v>
      </c>
      <c r="F143" s="419" t="s">
        <v>1394</v>
      </c>
      <c r="G143" s="419">
        <v>84</v>
      </c>
      <c r="H143" s="416"/>
    </row>
    <row r="144" spans="1:8" ht="38.25">
      <c r="A144" s="427" t="s">
        <v>1983</v>
      </c>
      <c r="B144" s="418" t="s">
        <v>1682</v>
      </c>
      <c r="C144" s="419">
        <v>46217</v>
      </c>
      <c r="D144" s="419"/>
      <c r="E144" s="420" t="s">
        <v>1412</v>
      </c>
      <c r="F144" s="419" t="s">
        <v>1413</v>
      </c>
      <c r="G144" s="419">
        <v>103</v>
      </c>
      <c r="H144" s="416"/>
    </row>
    <row r="145" spans="1:8" ht="38.25">
      <c r="A145" s="427" t="s">
        <v>1984</v>
      </c>
      <c r="B145" s="418" t="s">
        <v>1684</v>
      </c>
      <c r="C145" s="419">
        <v>58690</v>
      </c>
      <c r="D145" s="419"/>
      <c r="E145" s="427" t="s">
        <v>1378</v>
      </c>
      <c r="F145" s="418" t="s">
        <v>1379</v>
      </c>
      <c r="G145" s="419">
        <v>246</v>
      </c>
      <c r="H145" s="416"/>
    </row>
    <row r="146" spans="1:8" ht="38.25">
      <c r="A146" s="514" t="s">
        <v>1390</v>
      </c>
      <c r="B146" s="419" t="s">
        <v>1391</v>
      </c>
      <c r="C146" s="419">
        <v>3030</v>
      </c>
      <c r="D146" s="419"/>
      <c r="E146" s="427" t="s">
        <v>1395</v>
      </c>
      <c r="F146" s="419" t="s">
        <v>1396</v>
      </c>
      <c r="G146" s="419">
        <v>117</v>
      </c>
      <c r="H146" s="416"/>
    </row>
    <row r="147" spans="1:8" ht="38.25">
      <c r="A147" s="514" t="s">
        <v>1985</v>
      </c>
      <c r="B147" s="419" t="s">
        <v>1408</v>
      </c>
      <c r="C147" s="419">
        <v>805</v>
      </c>
      <c r="D147" s="419"/>
      <c r="E147" s="427" t="s">
        <v>1380</v>
      </c>
      <c r="F147" s="418" t="s">
        <v>1381</v>
      </c>
      <c r="G147" s="419">
        <v>103</v>
      </c>
      <c r="H147" s="416"/>
    </row>
    <row r="148" spans="1:8" ht="25.5">
      <c r="A148" s="514" t="s">
        <v>2280</v>
      </c>
      <c r="B148" s="419" t="s">
        <v>2092</v>
      </c>
      <c r="C148" s="419">
        <v>1790</v>
      </c>
      <c r="D148" s="419"/>
      <c r="E148" s="427" t="s">
        <v>1382</v>
      </c>
      <c r="F148" s="418" t="s">
        <v>1383</v>
      </c>
      <c r="G148" s="419">
        <v>1087</v>
      </c>
      <c r="H148" s="416"/>
    </row>
    <row r="149" spans="1:8" ht="38.25">
      <c r="A149" s="514" t="s">
        <v>1986</v>
      </c>
      <c r="B149" s="419" t="s">
        <v>1389</v>
      </c>
      <c r="C149" s="419">
        <v>1570</v>
      </c>
      <c r="D149" s="419"/>
      <c r="E149" s="427" t="s">
        <v>1397</v>
      </c>
      <c r="F149" s="419" t="s">
        <v>1398</v>
      </c>
      <c r="G149" s="419">
        <v>308</v>
      </c>
      <c r="H149" s="416"/>
    </row>
    <row r="150" spans="1:8" ht="25.5">
      <c r="A150" s="514" t="s">
        <v>1987</v>
      </c>
      <c r="B150" s="419" t="s">
        <v>1690</v>
      </c>
      <c r="C150" s="419">
        <v>1452</v>
      </c>
      <c r="D150" s="419"/>
      <c r="E150" s="427" t="s">
        <v>1384</v>
      </c>
      <c r="F150" s="418" t="s">
        <v>1385</v>
      </c>
      <c r="G150" s="419">
        <v>168</v>
      </c>
      <c r="H150" s="416"/>
    </row>
    <row r="151" spans="1:8" ht="38.25">
      <c r="A151" s="514" t="s">
        <v>2281</v>
      </c>
      <c r="B151" s="419" t="s">
        <v>1392</v>
      </c>
      <c r="C151" s="419">
        <v>754</v>
      </c>
      <c r="D151" s="419"/>
      <c r="E151" s="427" t="s">
        <v>1399</v>
      </c>
      <c r="F151" s="419" t="s">
        <v>1400</v>
      </c>
      <c r="G151" s="419">
        <v>45</v>
      </c>
      <c r="H151" s="416"/>
    </row>
    <row r="152" spans="1:8" ht="38.25">
      <c r="A152" s="514" t="s">
        <v>1989</v>
      </c>
      <c r="B152" s="419" t="s">
        <v>1990</v>
      </c>
      <c r="C152" s="419">
        <v>8058</v>
      </c>
      <c r="D152" s="419"/>
      <c r="E152" s="427" t="s">
        <v>1386</v>
      </c>
      <c r="F152" s="418" t="s">
        <v>1387</v>
      </c>
      <c r="G152" s="419">
        <v>32</v>
      </c>
      <c r="H152" s="416"/>
    </row>
    <row r="153" spans="1:8">
      <c r="A153" s="514" t="s">
        <v>1991</v>
      </c>
      <c r="B153" s="419" t="s">
        <v>1415</v>
      </c>
      <c r="C153" s="419">
        <v>6038</v>
      </c>
      <c r="D153" s="419"/>
      <c r="E153" s="420" t="s">
        <v>1992</v>
      </c>
      <c r="F153" s="419" t="s">
        <v>1405</v>
      </c>
      <c r="G153" s="419">
        <v>373</v>
      </c>
      <c r="H153" s="416"/>
    </row>
    <row r="154" spans="1:8" ht="38.25">
      <c r="A154" s="514" t="s">
        <v>1993</v>
      </c>
      <c r="B154" s="419" t="s">
        <v>1418</v>
      </c>
      <c r="C154" s="419">
        <v>5830</v>
      </c>
      <c r="D154" s="419"/>
      <c r="E154" s="420" t="s">
        <v>1994</v>
      </c>
      <c r="F154" s="419" t="s">
        <v>1406</v>
      </c>
      <c r="G154" s="419">
        <v>340</v>
      </c>
      <c r="H154" s="416"/>
    </row>
    <row r="155" spans="1:8" ht="25.5">
      <c r="A155" s="514" t="s">
        <v>1988</v>
      </c>
      <c r="B155" s="419" t="s">
        <v>2094</v>
      </c>
      <c r="C155" s="419">
        <v>383</v>
      </c>
      <c r="D155" s="419"/>
      <c r="E155" s="427" t="s">
        <v>1995</v>
      </c>
      <c r="F155" s="419" t="s">
        <v>1688</v>
      </c>
      <c r="G155" s="419">
        <v>53</v>
      </c>
      <c r="H155" s="416"/>
    </row>
    <row r="156" spans="1:8">
      <c r="A156" s="513" t="s">
        <v>2283</v>
      </c>
      <c r="B156" s="517" t="s">
        <v>2282</v>
      </c>
      <c r="C156" s="517">
        <v>3797</v>
      </c>
    </row>
  </sheetData>
  <mergeCells count="4">
    <mergeCell ref="A1:H1"/>
    <mergeCell ref="E28:H28"/>
    <mergeCell ref="E31:H31"/>
    <mergeCell ref="E34:H34"/>
  </mergeCells>
  <pageMargins left="0.41" right="0.22" top="0.48" bottom="0.31" header="0.3" footer="0.3"/>
  <pageSetup paperSize="9" scale="95" orientation="portrait" r:id="rId1"/>
  <rowBreaks count="2" manualBreakCount="2">
    <brk id="50" max="16383" man="1"/>
    <brk id="99" max="16383" man="1"/>
  </rowBreaks>
</worksheet>
</file>

<file path=xl/worksheets/sheet27.xml><?xml version="1.0" encoding="utf-8"?>
<worksheet xmlns="http://schemas.openxmlformats.org/spreadsheetml/2006/main" xmlns:r="http://schemas.openxmlformats.org/officeDocument/2006/relationships">
  <sheetPr>
    <tabColor rgb="FF7030A0"/>
  </sheetPr>
  <dimension ref="A1:O35"/>
  <sheetViews>
    <sheetView view="pageBreakPreview" zoomScale="115" zoomScaleNormal="130" zoomScaleSheetLayoutView="115" workbookViewId="0">
      <selection activeCell="D8" sqref="D8"/>
    </sheetView>
  </sheetViews>
  <sheetFormatPr defaultColWidth="9.140625" defaultRowHeight="12.75"/>
  <cols>
    <col min="1" max="1" width="5.7109375" style="397" customWidth="1"/>
    <col min="2" max="2" width="31.5703125" style="215" customWidth="1"/>
    <col min="3" max="3" width="5.7109375" style="397" customWidth="1"/>
    <col min="4" max="4" width="14.140625" style="397" customWidth="1"/>
    <col min="5" max="5" width="6.7109375" style="215" bestFit="1" customWidth="1"/>
    <col min="6" max="7" width="8.140625" style="215" customWidth="1"/>
    <col min="8" max="8" width="7.5703125" style="215" customWidth="1"/>
    <col min="9" max="9" width="8.140625" style="215" customWidth="1"/>
    <col min="10" max="10" width="8.28515625" style="215" customWidth="1"/>
    <col min="11" max="11" width="8.42578125" style="215" customWidth="1"/>
    <col min="12" max="12" width="8.7109375" style="215" customWidth="1"/>
    <col min="13" max="17" width="9.140625" style="215" customWidth="1"/>
    <col min="18" max="16384" width="9.140625" style="215"/>
  </cols>
  <sheetData>
    <row r="1" spans="1:15" s="214" customFormat="1" ht="20.100000000000001" customHeight="1">
      <c r="A1" s="1660" t="s">
        <v>2371</v>
      </c>
      <c r="B1" s="1661"/>
      <c r="C1" s="1661"/>
      <c r="D1" s="1661"/>
      <c r="E1" s="1661"/>
      <c r="F1" s="1661"/>
      <c r="G1" s="1661"/>
      <c r="H1" s="1661"/>
      <c r="I1" s="1661"/>
      <c r="J1" s="1661"/>
      <c r="K1" s="1661"/>
      <c r="L1" s="1661"/>
    </row>
    <row r="2" spans="1:15" s="214" customFormat="1" ht="27.75" customHeight="1">
      <c r="A2" s="370"/>
      <c r="B2" s="57" t="s">
        <v>836</v>
      </c>
      <c r="C2" s="1662" t="str">
        <f>'lead 19-20'!C2</f>
        <v>Providing Additional Space for Health Staff in Grama Sachivalayam of Baduguleru GP of Kanigiri Mandal</v>
      </c>
      <c r="D2" s="1662"/>
      <c r="E2" s="1662"/>
      <c r="F2" s="1662"/>
      <c r="G2" s="1662"/>
      <c r="H2" s="1662"/>
      <c r="I2" s="1662"/>
      <c r="J2" s="1662"/>
      <c r="K2" s="1662"/>
      <c r="L2" s="1662"/>
    </row>
    <row r="3" spans="1:15" s="214" customFormat="1" ht="20.100000000000001" customHeight="1">
      <c r="A3" s="371"/>
      <c r="B3" s="372"/>
      <c r="C3" s="373" t="s">
        <v>2372</v>
      </c>
      <c r="D3" s="371"/>
      <c r="E3" s="374"/>
      <c r="F3" s="374"/>
      <c r="G3" s="374"/>
      <c r="H3" s="374"/>
      <c r="I3" s="374"/>
      <c r="J3" s="372"/>
      <c r="K3" s="372"/>
      <c r="L3" s="374"/>
      <c r="M3" s="214" t="s">
        <v>837</v>
      </c>
      <c r="N3" s="214">
        <f>'lead 19-20'!N3</f>
        <v>85</v>
      </c>
    </row>
    <row r="4" spans="1:15" ht="15" customHeight="1">
      <c r="A4" s="375"/>
      <c r="B4" s="218" t="s">
        <v>838</v>
      </c>
      <c r="C4" s="455" t="str">
        <f>'lead 19-20'!C4</f>
        <v>No: 087043102002090039</v>
      </c>
      <c r="D4" s="375"/>
      <c r="E4" s="376"/>
      <c r="F4" s="375"/>
      <c r="G4" s="376"/>
      <c r="H4" s="376"/>
      <c r="I4" s="376"/>
      <c r="J4" s="377" t="s">
        <v>839</v>
      </c>
      <c r="K4" s="378" t="s">
        <v>2416</v>
      </c>
      <c r="L4" s="375"/>
      <c r="M4" s="215" t="s">
        <v>139</v>
      </c>
      <c r="N4" s="214">
        <f>'lead 19-20'!N4</f>
        <v>50</v>
      </c>
    </row>
    <row r="5" spans="1:15" s="216" customFormat="1" ht="31.5" customHeight="1">
      <c r="A5" s="1658" t="s">
        <v>840</v>
      </c>
      <c r="B5" s="1658" t="s">
        <v>322</v>
      </c>
      <c r="C5" s="1658" t="s">
        <v>841</v>
      </c>
      <c r="D5" s="1658" t="s">
        <v>842</v>
      </c>
      <c r="E5" s="1658" t="s">
        <v>253</v>
      </c>
      <c r="F5" s="1658" t="s">
        <v>843</v>
      </c>
      <c r="G5" s="1658" t="s">
        <v>844</v>
      </c>
      <c r="H5" s="1658" t="s">
        <v>17</v>
      </c>
      <c r="I5" s="1658" t="s">
        <v>845</v>
      </c>
      <c r="J5" s="1658" t="s">
        <v>1319</v>
      </c>
      <c r="K5" s="1659" t="s">
        <v>1321</v>
      </c>
      <c r="L5" s="1659" t="s">
        <v>117</v>
      </c>
      <c r="M5" s="216" t="s">
        <v>846</v>
      </c>
      <c r="N5" s="214">
        <f>'lead 19-20'!N5</f>
        <v>48</v>
      </c>
    </row>
    <row r="6" spans="1:15" s="216" customFormat="1" ht="18" customHeight="1">
      <c r="A6" s="1658"/>
      <c r="B6" s="1658"/>
      <c r="C6" s="1658"/>
      <c r="D6" s="1658"/>
      <c r="E6" s="1658"/>
      <c r="F6" s="1658"/>
      <c r="G6" s="1658"/>
      <c r="H6" s="1658"/>
      <c r="I6" s="1658"/>
      <c r="J6" s="1658"/>
      <c r="K6" s="1659"/>
      <c r="L6" s="1659"/>
      <c r="M6" s="216" t="s">
        <v>1521</v>
      </c>
      <c r="N6" s="214">
        <f>'lead 19-20'!N6</f>
        <v>72</v>
      </c>
      <c r="O6" s="379"/>
    </row>
    <row r="7" spans="1:15" s="381" customFormat="1" ht="15" customHeight="1">
      <c r="A7" s="380">
        <v>1</v>
      </c>
      <c r="B7" s="380">
        <v>2</v>
      </c>
      <c r="C7" s="380">
        <v>3</v>
      </c>
      <c r="D7" s="380">
        <v>4</v>
      </c>
      <c r="E7" s="380">
        <v>5</v>
      </c>
      <c r="F7" s="380">
        <v>6</v>
      </c>
      <c r="G7" s="380">
        <v>7</v>
      </c>
      <c r="H7" s="380">
        <v>8</v>
      </c>
      <c r="I7" s="380">
        <v>9</v>
      </c>
      <c r="J7" s="380">
        <v>10</v>
      </c>
      <c r="K7" s="380">
        <v>11</v>
      </c>
      <c r="L7" s="380">
        <v>13</v>
      </c>
    </row>
    <row r="8" spans="1:15" s="388" customFormat="1">
      <c r="A8" s="382">
        <v>1</v>
      </c>
      <c r="B8" s="383" t="s">
        <v>847</v>
      </c>
      <c r="C8" s="384" t="s">
        <v>29</v>
      </c>
      <c r="D8" s="385" t="s">
        <v>3</v>
      </c>
      <c r="E8" s="386" t="s">
        <v>15</v>
      </c>
      <c r="F8" s="386">
        <v>0</v>
      </c>
      <c r="G8" s="386">
        <f>'MINI SSR 2022-23 (2)'!C4</f>
        <v>4700</v>
      </c>
      <c r="H8" s="386"/>
      <c r="I8" s="386"/>
      <c r="J8" s="386"/>
      <c r="K8" s="386"/>
      <c r="L8" s="387">
        <f t="shared" ref="L8:L25" si="0">SUM(F8:K8)</f>
        <v>4700</v>
      </c>
    </row>
    <row r="9" spans="1:15" s="388" customFormat="1">
      <c r="A9" s="382">
        <v>2</v>
      </c>
      <c r="B9" s="383" t="s">
        <v>1701</v>
      </c>
      <c r="C9" s="384" t="s">
        <v>29</v>
      </c>
      <c r="D9" s="385" t="s">
        <v>3</v>
      </c>
      <c r="E9" s="386" t="s">
        <v>15</v>
      </c>
      <c r="F9" s="386">
        <v>0</v>
      </c>
      <c r="G9" s="386">
        <f>'MINI SSR 2022-23 (2)'!C5</f>
        <v>64500</v>
      </c>
      <c r="H9" s="386"/>
      <c r="I9" s="386">
        <f>G9*18%</f>
        <v>11610</v>
      </c>
      <c r="J9" s="386"/>
      <c r="K9" s="386"/>
      <c r="L9" s="387">
        <f t="shared" si="0"/>
        <v>76110</v>
      </c>
    </row>
    <row r="10" spans="1:15" s="388" customFormat="1">
      <c r="A10" s="382">
        <v>3</v>
      </c>
      <c r="B10" s="389" t="s">
        <v>848</v>
      </c>
      <c r="C10" s="384" t="s">
        <v>29</v>
      </c>
      <c r="D10" s="385" t="s">
        <v>3</v>
      </c>
      <c r="E10" s="386"/>
      <c r="F10" s="386"/>
      <c r="G10" s="386">
        <f>'MINI SSR 2022-23 (2)'!C7</f>
        <v>61500</v>
      </c>
      <c r="H10" s="386"/>
      <c r="I10" s="386">
        <f>G10*18%</f>
        <v>11070</v>
      </c>
      <c r="J10" s="386"/>
      <c r="K10" s="386"/>
      <c r="L10" s="387">
        <f t="shared" si="0"/>
        <v>72570</v>
      </c>
    </row>
    <row r="11" spans="1:15" s="388" customFormat="1">
      <c r="A11" s="382">
        <v>4</v>
      </c>
      <c r="B11" s="389" t="s">
        <v>849</v>
      </c>
      <c r="C11" s="384" t="s">
        <v>29</v>
      </c>
      <c r="D11" s="385" t="s">
        <v>3</v>
      </c>
      <c r="E11" s="386"/>
      <c r="F11" s="386"/>
      <c r="G11" s="386">
        <f>'MINI SSR 2022-23 (2)'!C8</f>
        <v>61500</v>
      </c>
      <c r="H11" s="386"/>
      <c r="I11" s="386"/>
      <c r="J11" s="386"/>
      <c r="K11" s="386"/>
      <c r="L11" s="387">
        <f t="shared" si="0"/>
        <v>61500</v>
      </c>
    </row>
    <row r="12" spans="1:15" s="388" customFormat="1">
      <c r="A12" s="382">
        <v>2</v>
      </c>
      <c r="B12" s="389" t="s">
        <v>850</v>
      </c>
      <c r="C12" s="384" t="s">
        <v>5</v>
      </c>
      <c r="D12" s="390" t="s">
        <v>2717</v>
      </c>
      <c r="E12" s="391">
        <f>N3</f>
        <v>85</v>
      </c>
      <c r="F12" s="391">
        <f>VLOOKUP(E12,'con 2022-23 (2)'!$A$6:$F$305,2,FALSE)</f>
        <v>1115.9999999999998</v>
      </c>
      <c r="G12" s="386">
        <f>'MINI SSR 2022-23 (2)'!C9</f>
        <v>700</v>
      </c>
      <c r="H12" s="386"/>
      <c r="I12" s="386"/>
      <c r="J12" s="386"/>
      <c r="K12" s="386"/>
      <c r="L12" s="387">
        <f t="shared" si="0"/>
        <v>1815.9999999999998</v>
      </c>
    </row>
    <row r="13" spans="1:15" s="388" customFormat="1">
      <c r="A13" s="382">
        <v>5</v>
      </c>
      <c r="B13" s="389" t="s">
        <v>851</v>
      </c>
      <c r="C13" s="384" t="s">
        <v>5</v>
      </c>
      <c r="D13" s="390" t="str">
        <f>D12</f>
        <v>K.Bitragunta</v>
      </c>
      <c r="E13" s="391">
        <f>E12</f>
        <v>85</v>
      </c>
      <c r="F13" s="391">
        <f>VLOOKUP(E13,'con 2022-23 (2)'!$A$6:$F$305,2,FALSE)</f>
        <v>1115.9999999999998</v>
      </c>
      <c r="G13" s="386">
        <f>'MINI SSR 2022-23 (2)'!C10</f>
        <v>605</v>
      </c>
      <c r="H13" s="386"/>
      <c r="I13" s="386"/>
      <c r="J13" s="386"/>
      <c r="K13" s="386"/>
      <c r="L13" s="387">
        <f t="shared" si="0"/>
        <v>1720.9999999999998</v>
      </c>
    </row>
    <row r="14" spans="1:15" s="388" customFormat="1">
      <c r="A14" s="382">
        <v>6</v>
      </c>
      <c r="B14" s="389" t="s">
        <v>768</v>
      </c>
      <c r="C14" s="384" t="s">
        <v>5</v>
      </c>
      <c r="D14" s="390" t="str">
        <f>D13</f>
        <v>K.Bitragunta</v>
      </c>
      <c r="E14" s="391">
        <f>E13</f>
        <v>85</v>
      </c>
      <c r="F14" s="391">
        <f>VLOOKUP(E14,'con 2022-23 (2)'!A8:F307,2,FALSE)</f>
        <v>1115.9999999999998</v>
      </c>
      <c r="G14" s="386">
        <f>'MINI SSR 2022-23 (2)'!C11</f>
        <v>460</v>
      </c>
      <c r="H14" s="386"/>
      <c r="I14" s="386"/>
      <c r="J14" s="386"/>
      <c r="K14" s="386"/>
      <c r="L14" s="387">
        <f t="shared" si="0"/>
        <v>1575.9999999999998</v>
      </c>
    </row>
    <row r="15" spans="1:15" s="388" customFormat="1">
      <c r="A15" s="382">
        <v>7</v>
      </c>
      <c r="B15" s="389" t="s">
        <v>1318</v>
      </c>
      <c r="C15" s="384" t="s">
        <v>852</v>
      </c>
      <c r="D15" s="390" t="s">
        <v>1522</v>
      </c>
      <c r="E15" s="391">
        <f>N5</f>
        <v>48</v>
      </c>
      <c r="F15" s="391">
        <f>VLOOKUP(E15,'con 2022-23 (2)'!$A$5:$F$308,4,FALSE)</f>
        <v>1078.9999999999995</v>
      </c>
      <c r="G15" s="386">
        <f>'MINI SSR 2022-23 (2)'!C12</f>
        <v>7500</v>
      </c>
      <c r="H15" s="386"/>
      <c r="I15" s="386"/>
      <c r="J15" s="386">
        <f>'MINI SSR 2022-23 (2)'!D12</f>
        <v>68.5</v>
      </c>
      <c r="K15" s="386">
        <f>'MINI SSR 2022-23 (2)'!E12</f>
        <v>68.5</v>
      </c>
      <c r="L15" s="387">
        <f t="shared" si="0"/>
        <v>8716</v>
      </c>
    </row>
    <row r="16" spans="1:15" s="388" customFormat="1">
      <c r="A16" s="382">
        <v>8</v>
      </c>
      <c r="B16" s="389" t="s">
        <v>853</v>
      </c>
      <c r="C16" s="384" t="s">
        <v>5</v>
      </c>
      <c r="D16" s="390" t="s">
        <v>2017</v>
      </c>
      <c r="E16" s="391">
        <f>N4</f>
        <v>50</v>
      </c>
      <c r="F16" s="391">
        <f>VLOOKUP(E16,'con 2022-23 (2)'!$A$5:$F$309,3,FALSE)</f>
        <v>671.9000000000002</v>
      </c>
      <c r="G16" s="386">
        <f>'MINI SSR 2022-23 (2)'!C13</f>
        <v>716</v>
      </c>
      <c r="H16" s="386">
        <v>70</v>
      </c>
      <c r="I16" s="386">
        <f>ROUND(G16*0.25,2)</f>
        <v>179</v>
      </c>
      <c r="J16" s="386"/>
      <c r="K16" s="386"/>
      <c r="L16" s="387">
        <f t="shared" si="0"/>
        <v>1636.9</v>
      </c>
    </row>
    <row r="17" spans="1:12" s="392" customFormat="1">
      <c r="A17" s="382">
        <v>9</v>
      </c>
      <c r="B17" s="389" t="s">
        <v>854</v>
      </c>
      <c r="C17" s="384" t="s">
        <v>5</v>
      </c>
      <c r="D17" s="390" t="str">
        <f t="shared" ref="D17:E20" si="1">D16</f>
        <v>Ramatherdham</v>
      </c>
      <c r="E17" s="391">
        <f t="shared" si="1"/>
        <v>50</v>
      </c>
      <c r="F17" s="391">
        <f>VLOOKUP(E17,'con 2022-23 (2)'!$A$5:$F$309,3,FALSE)</f>
        <v>671.9000000000002</v>
      </c>
      <c r="G17" s="386">
        <f>'MINI SSR 2022-23 (2)'!C14</f>
        <v>1196</v>
      </c>
      <c r="H17" s="386">
        <v>70</v>
      </c>
      <c r="I17" s="386">
        <f>ROUND(G17*0.25,2)</f>
        <v>299</v>
      </c>
      <c r="J17" s="386"/>
      <c r="K17" s="386"/>
      <c r="L17" s="387">
        <f t="shared" si="0"/>
        <v>2236.9</v>
      </c>
    </row>
    <row r="18" spans="1:12" s="392" customFormat="1">
      <c r="A18" s="382">
        <v>10</v>
      </c>
      <c r="B18" s="389" t="s">
        <v>855</v>
      </c>
      <c r="C18" s="384" t="s">
        <v>5</v>
      </c>
      <c r="D18" s="390" t="str">
        <f t="shared" si="1"/>
        <v>Ramatherdham</v>
      </c>
      <c r="E18" s="391">
        <f t="shared" si="1"/>
        <v>50</v>
      </c>
      <c r="F18" s="391">
        <f>VLOOKUP(E18,'con 2022-23 (2)'!$A$5:$F$309,3,FALSE)</f>
        <v>671.9000000000002</v>
      </c>
      <c r="G18" s="386">
        <f>'MINI SSR 2022-23 (2)'!C15</f>
        <v>952</v>
      </c>
      <c r="H18" s="386">
        <v>70</v>
      </c>
      <c r="I18" s="386">
        <f>ROUND(G18*0.25,2)</f>
        <v>238</v>
      </c>
      <c r="J18" s="386"/>
      <c r="K18" s="386"/>
      <c r="L18" s="387">
        <f t="shared" si="0"/>
        <v>1931.9</v>
      </c>
    </row>
    <row r="19" spans="1:12" s="392" customFormat="1">
      <c r="A19" s="382">
        <v>11</v>
      </c>
      <c r="B19" s="389" t="s">
        <v>856</v>
      </c>
      <c r="C19" s="384" t="s">
        <v>5</v>
      </c>
      <c r="D19" s="390" t="str">
        <f t="shared" si="1"/>
        <v>Ramatherdham</v>
      </c>
      <c r="E19" s="391">
        <f t="shared" si="1"/>
        <v>50</v>
      </c>
      <c r="F19" s="391">
        <f>VLOOKUP(E19,'con 2022-23 (2)'!$A$5:$F$309,3,FALSE)</f>
        <v>671.9000000000002</v>
      </c>
      <c r="G19" s="386">
        <f>'MINI SSR 2022-23 (2)'!C16</f>
        <v>800</v>
      </c>
      <c r="H19" s="386">
        <v>70</v>
      </c>
      <c r="I19" s="386">
        <f>ROUND(G19*0.25,2)</f>
        <v>200</v>
      </c>
      <c r="J19" s="386"/>
      <c r="K19" s="386"/>
      <c r="L19" s="387">
        <f t="shared" si="0"/>
        <v>1741.9</v>
      </c>
    </row>
    <row r="20" spans="1:12" s="392" customFormat="1">
      <c r="A20" s="382">
        <v>12</v>
      </c>
      <c r="B20" s="389" t="s">
        <v>857</v>
      </c>
      <c r="C20" s="384" t="s">
        <v>5</v>
      </c>
      <c r="D20" s="390" t="str">
        <f t="shared" si="1"/>
        <v>Ramatherdham</v>
      </c>
      <c r="E20" s="391">
        <f t="shared" si="1"/>
        <v>50</v>
      </c>
      <c r="F20" s="391">
        <f>VLOOKUP(E20,'con 2022-23 (2)'!$A$5:$F$309,3,FALSE)</f>
        <v>671.9000000000002</v>
      </c>
      <c r="G20" s="386">
        <f>'MINI SSR 2022-23 (2)'!C17</f>
        <v>636</v>
      </c>
      <c r="H20" s="386">
        <v>70</v>
      </c>
      <c r="I20" s="386">
        <f>ROUND(G20*0.25,2)</f>
        <v>159</v>
      </c>
      <c r="J20" s="386"/>
      <c r="K20" s="386"/>
      <c r="L20" s="387">
        <f t="shared" si="0"/>
        <v>1536.9</v>
      </c>
    </row>
    <row r="21" spans="1:12" s="392" customFormat="1">
      <c r="A21" s="382">
        <v>13</v>
      </c>
      <c r="B21" s="389" t="s">
        <v>1193</v>
      </c>
      <c r="C21" s="384" t="s">
        <v>5</v>
      </c>
      <c r="D21" s="390" t="str">
        <f>D20</f>
        <v>Ramatherdham</v>
      </c>
      <c r="E21" s="391">
        <f>E20</f>
        <v>50</v>
      </c>
      <c r="F21" s="391">
        <f>VLOOKUP(E21,'con 2022-23 (2)'!$A$5:$F$309,3,FALSE)</f>
        <v>671.9000000000002</v>
      </c>
      <c r="G21" s="386">
        <f>'MINI SSR 2022-23 (2)'!C18</f>
        <v>298</v>
      </c>
      <c r="H21" s="386">
        <v>70</v>
      </c>
      <c r="I21" s="386"/>
      <c r="J21" s="386"/>
      <c r="K21" s="386"/>
      <c r="L21" s="387">
        <f t="shared" si="0"/>
        <v>1039.9000000000001</v>
      </c>
    </row>
    <row r="22" spans="1:12" s="388" customFormat="1">
      <c r="A22" s="382">
        <v>14</v>
      </c>
      <c r="B22" s="393" t="s">
        <v>1320</v>
      </c>
      <c r="C22" s="384" t="s">
        <v>102</v>
      </c>
      <c r="D22" s="390" t="str">
        <f>D21</f>
        <v>Ramatherdham</v>
      </c>
      <c r="E22" s="391">
        <f>E20</f>
        <v>50</v>
      </c>
      <c r="F22" s="391">
        <f>VLOOKUP(E22,'con 2022-23 (2)'!$A$5:$F$309,5,FALSE)*0.16</f>
        <v>157.74399999999994</v>
      </c>
      <c r="G22" s="386">
        <f>'MINI SSR 2022-23 (2)'!C19</f>
        <v>2100</v>
      </c>
      <c r="H22" s="386"/>
      <c r="I22" s="386"/>
      <c r="J22" s="386"/>
      <c r="K22" s="386"/>
      <c r="L22" s="387">
        <f t="shared" si="0"/>
        <v>2257.7440000000001</v>
      </c>
    </row>
    <row r="23" spans="1:12" s="388" customFormat="1">
      <c r="A23" s="382">
        <v>15</v>
      </c>
      <c r="B23" s="389" t="s">
        <v>3174</v>
      </c>
      <c r="C23" s="384"/>
      <c r="D23" s="390" t="s">
        <v>1209</v>
      </c>
      <c r="E23" s="391">
        <f>N6</f>
        <v>72</v>
      </c>
      <c r="F23" s="391">
        <f>VLOOKUP(E23,'con 2022-23 (2)'!$A$5:$F$308,4,FALSE)</f>
        <v>1542.1999999999985</v>
      </c>
      <c r="G23" s="386">
        <f>'MINI SSR 2022-23 (2)'!C24</f>
        <v>18000</v>
      </c>
      <c r="H23" s="386"/>
      <c r="I23" s="386"/>
      <c r="J23" s="386"/>
      <c r="K23" s="386"/>
      <c r="L23" s="387">
        <f t="shared" si="0"/>
        <v>19542.199999999997</v>
      </c>
    </row>
    <row r="24" spans="1:12" s="388" customFormat="1">
      <c r="A24" s="382">
        <v>16</v>
      </c>
      <c r="B24" s="389" t="s">
        <v>860</v>
      </c>
      <c r="C24" s="384" t="s">
        <v>5</v>
      </c>
      <c r="D24" s="390" t="s">
        <v>3</v>
      </c>
      <c r="E24" s="391">
        <v>5</v>
      </c>
      <c r="F24" s="391">
        <f>VLOOKUP(E24,'con 2022-23 (2)'!$A$6:$F$305,2,FALSE)</f>
        <v>96</v>
      </c>
      <c r="G24" s="386">
        <f>'MINI SSR 2022-23 (2)'!C25</f>
        <v>93</v>
      </c>
      <c r="H24" s="386"/>
      <c r="I24" s="386"/>
      <c r="J24" s="386"/>
      <c r="K24" s="386"/>
      <c r="L24" s="387">
        <f t="shared" si="0"/>
        <v>189</v>
      </c>
    </row>
    <row r="25" spans="1:12" s="388" customFormat="1">
      <c r="A25" s="382">
        <v>17</v>
      </c>
      <c r="B25" s="389" t="s">
        <v>664</v>
      </c>
      <c r="C25" s="384" t="s">
        <v>5</v>
      </c>
      <c r="D25" s="390" t="s">
        <v>3</v>
      </c>
      <c r="E25" s="391">
        <v>5</v>
      </c>
      <c r="F25" s="391">
        <f>VLOOKUP(E25,'con 2022-23 (2)'!$A$6:$F$305,2,FALSE)</f>
        <v>96</v>
      </c>
      <c r="G25" s="386">
        <f>'MINI SSR 2022-23 (2)'!C26</f>
        <v>149</v>
      </c>
      <c r="H25" s="386"/>
      <c r="I25" s="386"/>
      <c r="J25" s="386"/>
      <c r="K25" s="386"/>
      <c r="L25" s="387">
        <f t="shared" si="0"/>
        <v>245</v>
      </c>
    </row>
    <row r="26" spans="1:12" s="396" customFormat="1">
      <c r="A26" s="382"/>
      <c r="B26" s="394"/>
      <c r="C26" s="382"/>
      <c r="D26" s="394"/>
      <c r="E26" s="394"/>
      <c r="F26" s="394"/>
      <c r="G26" s="394"/>
      <c r="H26" s="394"/>
      <c r="I26" s="394"/>
      <c r="J26" s="394"/>
      <c r="K26" s="394"/>
      <c r="L26" s="395"/>
    </row>
    <row r="27" spans="1:12" s="396" customFormat="1">
      <c r="A27" s="388"/>
      <c r="C27" s="388"/>
    </row>
    <row r="28" spans="1:12" s="396" customFormat="1">
      <c r="A28" s="388" t="s">
        <v>1456</v>
      </c>
      <c r="B28" s="227" t="s">
        <v>1455</v>
      </c>
      <c r="C28" s="388"/>
    </row>
    <row r="29" spans="1:12" s="396" customFormat="1">
      <c r="A29" s="388" t="s">
        <v>1457</v>
      </c>
      <c r="B29" s="227" t="s">
        <v>2375</v>
      </c>
      <c r="C29" s="388"/>
    </row>
    <row r="30" spans="1:12" s="396" customFormat="1">
      <c r="A30" s="388"/>
      <c r="B30" s="227"/>
      <c r="C30" s="388"/>
    </row>
    <row r="31" spans="1:12" s="58" customFormat="1">
      <c r="B31" s="396"/>
      <c r="C31" s="388"/>
      <c r="D31" s="388"/>
      <c r="E31" s="396"/>
      <c r="F31" s="59"/>
      <c r="H31" s="217" t="s">
        <v>149</v>
      </c>
      <c r="J31" s="59"/>
      <c r="K31" s="217" t="str">
        <f>'lead 19-20'!K31</f>
        <v>Assistant  Engineer</v>
      </c>
      <c r="L31" s="59"/>
    </row>
    <row r="32" spans="1:12" s="58" customFormat="1">
      <c r="B32" s="396"/>
      <c r="C32" s="388"/>
      <c r="D32" s="388"/>
      <c r="E32" s="396"/>
      <c r="H32" s="217" t="s">
        <v>858</v>
      </c>
      <c r="J32" s="59"/>
      <c r="K32" s="217" t="str">
        <f>'lead 19-20'!K32</f>
        <v>Mandal Praja parishad</v>
      </c>
      <c r="L32" s="59"/>
    </row>
    <row r="33" spans="1:11" s="396" customFormat="1">
      <c r="A33" s="388"/>
      <c r="C33" s="388"/>
      <c r="D33" s="388"/>
      <c r="H33" s="217" t="s">
        <v>1523</v>
      </c>
      <c r="K33" s="217" t="str">
        <f>'lead 19-20'!K33</f>
        <v>Kanigiri</v>
      </c>
    </row>
    <row r="34" spans="1:11" s="396" customFormat="1">
      <c r="A34" s="388"/>
      <c r="C34" s="388"/>
      <c r="D34" s="388"/>
    </row>
    <row r="35" spans="1:11" s="396" customFormat="1">
      <c r="A35" s="388"/>
      <c r="C35" s="388"/>
      <c r="D35" s="388"/>
    </row>
  </sheetData>
  <mergeCells count="14">
    <mergeCell ref="I5:I6"/>
    <mergeCell ref="J5:J6"/>
    <mergeCell ref="K5:K6"/>
    <mergeCell ref="L5:L6"/>
    <mergeCell ref="A1:L1"/>
    <mergeCell ref="C2:L2"/>
    <mergeCell ref="A5:A6"/>
    <mergeCell ref="B5:B6"/>
    <mergeCell ref="C5:C6"/>
    <mergeCell ref="D5:D6"/>
    <mergeCell ref="E5:E6"/>
    <mergeCell ref="F5:F6"/>
    <mergeCell ref="G5:G6"/>
    <mergeCell ref="H5:H6"/>
  </mergeCells>
  <pageMargins left="0.71" right="0.2" top="0.25" bottom="0.25" header="0.3" footer="0.3"/>
  <pageSetup paperSize="9" orientation="landscape" verticalDpi="300" r:id="rId1"/>
  <rowBreaks count="1" manualBreakCount="1">
    <brk id="34" max="16383" man="1"/>
  </rowBreaks>
</worksheet>
</file>

<file path=xl/worksheets/sheet28.xml><?xml version="1.0" encoding="utf-8"?>
<worksheet xmlns="http://schemas.openxmlformats.org/spreadsheetml/2006/main" xmlns:r="http://schemas.openxmlformats.org/officeDocument/2006/relationships">
  <sheetPr filterMode="1">
    <tabColor rgb="FF00B050"/>
  </sheetPr>
  <dimension ref="A1:H925"/>
  <sheetViews>
    <sheetView topLeftCell="A880" zoomScaleSheetLayoutView="145" workbookViewId="0">
      <selection activeCell="B887" sqref="B887"/>
    </sheetView>
  </sheetViews>
  <sheetFormatPr defaultColWidth="9.140625" defaultRowHeight="12.75"/>
  <cols>
    <col min="1" max="1" width="4.5703125" style="901" customWidth="1"/>
    <col min="2" max="2" width="10.42578125" style="901" customWidth="1"/>
    <col min="3" max="3" width="40.42578125" style="1009" customWidth="1"/>
    <col min="4" max="4" width="6.5703125" style="964" bestFit="1" customWidth="1"/>
    <col min="5" max="5" width="8.5703125" style="964" customWidth="1"/>
    <col min="6" max="6" width="9.5703125" style="964" bestFit="1" customWidth="1"/>
    <col min="7" max="7" width="10.5703125" style="901" customWidth="1"/>
    <col min="8" max="8" width="7.5703125" style="964" customWidth="1"/>
    <col min="9" max="9" width="3" style="901" bestFit="1" customWidth="1"/>
    <col min="10" max="16384" width="9.140625" style="901"/>
  </cols>
  <sheetData>
    <row r="1" spans="1:8">
      <c r="A1" s="1663" t="s">
        <v>2417</v>
      </c>
      <c r="B1" s="1663"/>
      <c r="C1" s="1663"/>
      <c r="D1" s="1663"/>
      <c r="E1" s="1663"/>
      <c r="F1" s="1663"/>
      <c r="G1" s="1663"/>
    </row>
    <row r="2" spans="1:8" ht="33.75" customHeight="1">
      <c r="A2" s="1664" t="str">
        <f>'lead 19-20'!B2&amp;'lead 19-20'!C2</f>
        <v>Name of the Work: Providing Additional Space for Health Staff in Grama Sachivalayam of Baduguleru GP of Kanigiri Mandal</v>
      </c>
      <c r="B2" s="1664"/>
      <c r="C2" s="1664"/>
      <c r="D2" s="1664"/>
      <c r="E2" s="1664"/>
      <c r="F2" s="1664"/>
      <c r="G2" s="1664"/>
    </row>
    <row r="3" spans="1:8">
      <c r="A3" s="1010"/>
      <c r="E3" s="964" t="s">
        <v>270</v>
      </c>
      <c r="F3" s="1012" t="str">
        <f>'lead 22-23 P-B'!K4</f>
        <v>3.30 lakhs</v>
      </c>
    </row>
    <row r="4" spans="1:8" s="1007" customFormat="1" ht="19.5" customHeight="1">
      <c r="A4" s="1392" t="s">
        <v>23</v>
      </c>
      <c r="B4" s="1392" t="s">
        <v>24</v>
      </c>
      <c r="C4" s="1382" t="s">
        <v>25</v>
      </c>
      <c r="D4" s="1392" t="s">
        <v>16</v>
      </c>
      <c r="E4" s="1392" t="s">
        <v>6</v>
      </c>
      <c r="F4" s="1392" t="s">
        <v>8</v>
      </c>
      <c r="G4" s="1392" t="s">
        <v>10</v>
      </c>
      <c r="H4" s="1006"/>
    </row>
    <row r="5" spans="1:8" ht="25.5" hidden="1">
      <c r="A5" s="967">
        <v>1</v>
      </c>
      <c r="B5" s="967" t="s">
        <v>46</v>
      </c>
      <c r="C5" s="962" t="s">
        <v>43</v>
      </c>
      <c r="D5" s="967"/>
      <c r="E5" s="967"/>
      <c r="F5" s="967"/>
      <c r="G5" s="967"/>
      <c r="H5" s="964" t="s">
        <v>2313</v>
      </c>
    </row>
    <row r="6" spans="1:8" hidden="1">
      <c r="A6" s="967"/>
      <c r="B6" s="967"/>
      <c r="C6" s="1382" t="s">
        <v>44</v>
      </c>
      <c r="D6" s="967" t="s">
        <v>4</v>
      </c>
      <c r="E6" s="970">
        <f>1440/3</f>
        <v>480</v>
      </c>
      <c r="F6" s="970">
        <f>'lead 22-23 P-B'!$L$8</f>
        <v>4700</v>
      </c>
      <c r="G6" s="969">
        <f>ROUND(E6*F6/1000,2)</f>
        <v>2256</v>
      </c>
      <c r="H6" s="964" t="s">
        <v>2313</v>
      </c>
    </row>
    <row r="7" spans="1:8" hidden="1">
      <c r="A7" s="967"/>
      <c r="B7" s="967"/>
      <c r="C7" s="1382" t="s">
        <v>110</v>
      </c>
      <c r="D7" s="967" t="s">
        <v>35</v>
      </c>
      <c r="E7" s="970">
        <v>1.05</v>
      </c>
      <c r="F7" s="970">
        <f>'lead 22-23 P-B'!$L$12</f>
        <v>1815.9999999999998</v>
      </c>
      <c r="G7" s="969">
        <f>ROUND(E7*F7,2)</f>
        <v>1906.8</v>
      </c>
      <c r="H7" s="964" t="s">
        <v>2313</v>
      </c>
    </row>
    <row r="8" spans="1:8" hidden="1">
      <c r="A8" s="967"/>
      <c r="B8" s="967"/>
      <c r="C8" s="1382" t="s">
        <v>45</v>
      </c>
      <c r="D8" s="967" t="s">
        <v>27</v>
      </c>
      <c r="E8" s="970">
        <v>0.2</v>
      </c>
      <c r="F8" s="970">
        <f>'MINI SSR 2022-23 (2)'!H$5</f>
        <v>525</v>
      </c>
      <c r="G8" s="969">
        <f>ROUND(E8*F8,2)</f>
        <v>105</v>
      </c>
      <c r="H8" s="964" t="s">
        <v>2313</v>
      </c>
    </row>
    <row r="9" spans="1:8" hidden="1">
      <c r="A9" s="967"/>
      <c r="B9" s="967"/>
      <c r="C9" s="1382"/>
      <c r="D9" s="967"/>
      <c r="E9" s="967"/>
      <c r="F9" s="967"/>
      <c r="G9" s="972">
        <f>SUM(G6:G8)</f>
        <v>4267.8</v>
      </c>
      <c r="H9" s="964" t="s">
        <v>2313</v>
      </c>
    </row>
    <row r="10" spans="1:8" ht="25.5" hidden="1">
      <c r="A10" s="967">
        <v>2</v>
      </c>
      <c r="B10" s="967" t="s">
        <v>51</v>
      </c>
      <c r="C10" s="962" t="s">
        <v>47</v>
      </c>
      <c r="D10" s="967"/>
      <c r="E10" s="967"/>
      <c r="F10" s="967"/>
      <c r="G10" s="967"/>
      <c r="H10" s="964" t="s">
        <v>2313</v>
      </c>
    </row>
    <row r="11" spans="1:8" hidden="1">
      <c r="A11" s="967"/>
      <c r="B11" s="967"/>
      <c r="C11" s="1382" t="s">
        <v>44</v>
      </c>
      <c r="D11" s="967" t="s">
        <v>4</v>
      </c>
      <c r="E11" s="970">
        <f>1440/4</f>
        <v>360</v>
      </c>
      <c r="F11" s="970">
        <f>'lead 22-23 P-B'!$L$8</f>
        <v>4700</v>
      </c>
      <c r="G11" s="969">
        <f>ROUND(E11*F11/1000,2)</f>
        <v>1692</v>
      </c>
      <c r="H11" s="964" t="s">
        <v>2313</v>
      </c>
    </row>
    <row r="12" spans="1:8" hidden="1">
      <c r="A12" s="967"/>
      <c r="B12" s="967"/>
      <c r="C12" s="1382" t="s">
        <v>110</v>
      </c>
      <c r="D12" s="967" t="s">
        <v>35</v>
      </c>
      <c r="E12" s="970">
        <v>1.05</v>
      </c>
      <c r="F12" s="970">
        <f>'lead 22-23 P-B'!$L$12</f>
        <v>1815.9999999999998</v>
      </c>
      <c r="G12" s="969">
        <f>ROUND(E12*F12,2)</f>
        <v>1906.8</v>
      </c>
      <c r="H12" s="964" t="s">
        <v>2313</v>
      </c>
    </row>
    <row r="13" spans="1:8" hidden="1">
      <c r="A13" s="967"/>
      <c r="B13" s="967"/>
      <c r="C13" s="1382" t="s">
        <v>45</v>
      </c>
      <c r="D13" s="967" t="s">
        <v>27</v>
      </c>
      <c r="E13" s="970">
        <v>0.2</v>
      </c>
      <c r="F13" s="970">
        <f>'MINI SSR 2022-23 (2)'!H$5</f>
        <v>525</v>
      </c>
      <c r="G13" s="969">
        <f>ROUND(E13*F13,2)</f>
        <v>105</v>
      </c>
      <c r="H13" s="964" t="s">
        <v>2313</v>
      </c>
    </row>
    <row r="14" spans="1:8" hidden="1">
      <c r="A14" s="967"/>
      <c r="B14" s="967"/>
      <c r="C14" s="1382"/>
      <c r="D14" s="967"/>
      <c r="E14" s="967"/>
      <c r="F14" s="967"/>
      <c r="G14" s="972">
        <f>SUM(G11:G13)</f>
        <v>3703.8</v>
      </c>
      <c r="H14" s="964" t="s">
        <v>2313</v>
      </c>
    </row>
    <row r="15" spans="1:8" s="965" customFormat="1" ht="25.5" hidden="1">
      <c r="A15" s="967">
        <v>1</v>
      </c>
      <c r="B15" s="967" t="s">
        <v>52</v>
      </c>
      <c r="C15" s="962" t="s">
        <v>48</v>
      </c>
      <c r="D15" s="967"/>
      <c r="E15" s="967"/>
      <c r="F15" s="967"/>
      <c r="G15" s="967"/>
      <c r="H15" s="964" t="s">
        <v>2313</v>
      </c>
    </row>
    <row r="16" spans="1:8" s="965" customFormat="1" hidden="1">
      <c r="A16" s="967"/>
      <c r="B16" s="967"/>
      <c r="C16" s="1382" t="s">
        <v>44</v>
      </c>
      <c r="D16" s="967" t="s">
        <v>4</v>
      </c>
      <c r="E16" s="970">
        <f>1440/5</f>
        <v>288</v>
      </c>
      <c r="F16" s="970">
        <f>'lead 22-23 P-B'!$L$8</f>
        <v>4700</v>
      </c>
      <c r="G16" s="969">
        <f>ROUND(E16*F16/1000,2)</f>
        <v>1353.6</v>
      </c>
      <c r="H16" s="964" t="s">
        <v>2313</v>
      </c>
    </row>
    <row r="17" spans="1:8" s="965" customFormat="1" hidden="1">
      <c r="A17" s="967"/>
      <c r="B17" s="967"/>
      <c r="C17" s="1382" t="s">
        <v>110</v>
      </c>
      <c r="D17" s="967" t="s">
        <v>35</v>
      </c>
      <c r="E17" s="970">
        <v>1.05</v>
      </c>
      <c r="F17" s="970">
        <f>'lead 22-23 P-B'!$L$12</f>
        <v>1815.9999999999998</v>
      </c>
      <c r="G17" s="969">
        <f>ROUND(E17*F17,2)</f>
        <v>1906.8</v>
      </c>
      <c r="H17" s="964" t="s">
        <v>2313</v>
      </c>
    </row>
    <row r="18" spans="1:8" s="965" customFormat="1" hidden="1">
      <c r="A18" s="967"/>
      <c r="B18" s="967"/>
      <c r="C18" s="1382" t="s">
        <v>45</v>
      </c>
      <c r="D18" s="967" t="s">
        <v>27</v>
      </c>
      <c r="E18" s="970">
        <v>0.2</v>
      </c>
      <c r="F18" s="970">
        <f>'MINI SSR 2022-23 (2)'!H$5</f>
        <v>525</v>
      </c>
      <c r="G18" s="969">
        <f>ROUND(E18*F18,2)</f>
        <v>105</v>
      </c>
      <c r="H18" s="964" t="s">
        <v>2313</v>
      </c>
    </row>
    <row r="19" spans="1:8" s="965" customFormat="1" hidden="1">
      <c r="A19" s="967"/>
      <c r="B19" s="967"/>
      <c r="C19" s="1382"/>
      <c r="D19" s="967"/>
      <c r="E19" s="967"/>
      <c r="F19" s="967"/>
      <c r="G19" s="972">
        <f>SUM(G16:G18)</f>
        <v>3365.3999999999996</v>
      </c>
      <c r="H19" s="964" t="s">
        <v>2313</v>
      </c>
    </row>
    <row r="20" spans="1:8" s="965" customFormat="1" ht="25.5" hidden="1">
      <c r="A20" s="967">
        <v>4</v>
      </c>
      <c r="B20" s="967" t="s">
        <v>53</v>
      </c>
      <c r="C20" s="962" t="s">
        <v>49</v>
      </c>
      <c r="D20" s="967"/>
      <c r="E20" s="967"/>
      <c r="F20" s="967"/>
      <c r="G20" s="967"/>
      <c r="H20" s="964" t="s">
        <v>2313</v>
      </c>
    </row>
    <row r="21" spans="1:8" s="965" customFormat="1" hidden="1">
      <c r="A21" s="967"/>
      <c r="B21" s="967"/>
      <c r="C21" s="1382" t="s">
        <v>44</v>
      </c>
      <c r="D21" s="967" t="s">
        <v>4</v>
      </c>
      <c r="E21" s="970">
        <f>1440/6</f>
        <v>240</v>
      </c>
      <c r="F21" s="970">
        <f>'lead 22-23 P-B'!$L$8</f>
        <v>4700</v>
      </c>
      <c r="G21" s="969">
        <f>ROUND(E21*F21/1000,2)</f>
        <v>1128</v>
      </c>
      <c r="H21" s="964" t="s">
        <v>2313</v>
      </c>
    </row>
    <row r="22" spans="1:8" s="965" customFormat="1" hidden="1">
      <c r="A22" s="967"/>
      <c r="B22" s="967"/>
      <c r="C22" s="1382" t="s">
        <v>111</v>
      </c>
      <c r="D22" s="967" t="s">
        <v>35</v>
      </c>
      <c r="E22" s="970">
        <v>1.05</v>
      </c>
      <c r="F22" s="970">
        <f>'lead 22-23 P-B'!$L$12</f>
        <v>1815.9999999999998</v>
      </c>
      <c r="G22" s="969">
        <f>ROUND(E22*F22,2)</f>
        <v>1906.8</v>
      </c>
      <c r="H22" s="964" t="s">
        <v>2313</v>
      </c>
    </row>
    <row r="23" spans="1:8" s="965" customFormat="1" hidden="1">
      <c r="A23" s="967"/>
      <c r="B23" s="967"/>
      <c r="C23" s="1382" t="s">
        <v>45</v>
      </c>
      <c r="D23" s="967" t="s">
        <v>27</v>
      </c>
      <c r="E23" s="970">
        <v>0.2</v>
      </c>
      <c r="F23" s="970">
        <f>'MINI SSR 2022-23 (2)'!H$5</f>
        <v>525</v>
      </c>
      <c r="G23" s="969">
        <f>ROUND(E23*F23,2)</f>
        <v>105</v>
      </c>
      <c r="H23" s="964" t="s">
        <v>2313</v>
      </c>
    </row>
    <row r="24" spans="1:8" s="965" customFormat="1" hidden="1">
      <c r="A24" s="967"/>
      <c r="B24" s="967"/>
      <c r="C24" s="1382"/>
      <c r="D24" s="967"/>
      <c r="E24" s="967"/>
      <c r="F24" s="967"/>
      <c r="G24" s="972">
        <f>SUM(G21:G23)</f>
        <v>3139.8</v>
      </c>
      <c r="H24" s="964" t="s">
        <v>2313</v>
      </c>
    </row>
    <row r="25" spans="1:8" s="965" customFormat="1" ht="25.5" hidden="1">
      <c r="A25" s="967">
        <v>5</v>
      </c>
      <c r="B25" s="967" t="s">
        <v>54</v>
      </c>
      <c r="C25" s="962" t="s">
        <v>50</v>
      </c>
      <c r="D25" s="967"/>
      <c r="E25" s="967"/>
      <c r="F25" s="967"/>
      <c r="G25" s="967"/>
      <c r="H25" s="964" t="s">
        <v>2313</v>
      </c>
    </row>
    <row r="26" spans="1:8" s="965" customFormat="1" hidden="1">
      <c r="A26" s="967"/>
      <c r="B26" s="967"/>
      <c r="C26" s="1382" t="s">
        <v>44</v>
      </c>
      <c r="D26" s="967" t="s">
        <v>4</v>
      </c>
      <c r="E26" s="970">
        <f>1440/8</f>
        <v>180</v>
      </c>
      <c r="F26" s="970">
        <f>'lead 22-23 P-B'!$L$8</f>
        <v>4700</v>
      </c>
      <c r="G26" s="969">
        <f>ROUND(E26*F26/1000,2)</f>
        <v>846</v>
      </c>
      <c r="H26" s="964" t="s">
        <v>2313</v>
      </c>
    </row>
    <row r="27" spans="1:8" s="965" customFormat="1" hidden="1">
      <c r="A27" s="967"/>
      <c r="B27" s="967"/>
      <c r="C27" s="1382" t="s">
        <v>111</v>
      </c>
      <c r="D27" s="967" t="s">
        <v>35</v>
      </c>
      <c r="E27" s="970">
        <v>1.05</v>
      </c>
      <c r="F27" s="970">
        <f>'lead 22-23 P-B'!$L$12</f>
        <v>1815.9999999999998</v>
      </c>
      <c r="G27" s="969">
        <f>ROUND(E27*F27,2)</f>
        <v>1906.8</v>
      </c>
      <c r="H27" s="964" t="s">
        <v>2313</v>
      </c>
    </row>
    <row r="28" spans="1:8" s="965" customFormat="1" hidden="1">
      <c r="A28" s="967"/>
      <c r="B28" s="967"/>
      <c r="C28" s="1382" t="s">
        <v>45</v>
      </c>
      <c r="D28" s="967" t="s">
        <v>27</v>
      </c>
      <c r="E28" s="970">
        <v>0.2</v>
      </c>
      <c r="F28" s="970">
        <f>'MINI SSR 2022-23 (2)'!H$5</f>
        <v>525</v>
      </c>
      <c r="G28" s="969">
        <f>ROUND(E28*F28,2)</f>
        <v>105</v>
      </c>
      <c r="H28" s="964" t="s">
        <v>2313</v>
      </c>
    </row>
    <row r="29" spans="1:8" s="965" customFormat="1" hidden="1">
      <c r="A29" s="967"/>
      <c r="B29" s="967"/>
      <c r="C29" s="1382"/>
      <c r="D29" s="967"/>
      <c r="E29" s="967"/>
      <c r="F29" s="967"/>
      <c r="G29" s="972">
        <f>SUM(G26:G28)</f>
        <v>2857.8</v>
      </c>
      <c r="H29" s="964" t="s">
        <v>2313</v>
      </c>
    </row>
    <row r="30" spans="1:8" s="965" customFormat="1" ht="25.5" hidden="1">
      <c r="A30" s="967"/>
      <c r="B30" s="967"/>
      <c r="C30" s="1382" t="s">
        <v>827</v>
      </c>
      <c r="D30" s="967"/>
      <c r="E30" s="967"/>
      <c r="F30" s="967"/>
      <c r="G30" s="967"/>
      <c r="H30" s="964" t="s">
        <v>2313</v>
      </c>
    </row>
    <row r="31" spans="1:8" s="965" customFormat="1" hidden="1">
      <c r="A31" s="967"/>
      <c r="B31" s="967"/>
      <c r="C31" s="1382" t="s">
        <v>822</v>
      </c>
      <c r="D31" s="990">
        <v>0.6</v>
      </c>
      <c r="E31" s="990">
        <f>'lead 22-23 P-B'!L17</f>
        <v>2236.9</v>
      </c>
      <c r="F31" s="990">
        <f>ROUND(D31*E31,2)</f>
        <v>1342.14</v>
      </c>
      <c r="G31" s="967"/>
      <c r="H31" s="964" t="s">
        <v>2313</v>
      </c>
    </row>
    <row r="32" spans="1:8" s="965" customFormat="1" hidden="1">
      <c r="A32" s="967"/>
      <c r="B32" s="967"/>
      <c r="C32" s="1382" t="s">
        <v>823</v>
      </c>
      <c r="D32" s="990">
        <v>0.15</v>
      </c>
      <c r="E32" s="990">
        <f>'lead 22-23 P-B'!L18</f>
        <v>1931.9</v>
      </c>
      <c r="F32" s="990">
        <f>ROUND(D32*E32,2)</f>
        <v>289.79000000000002</v>
      </c>
      <c r="G32" s="967"/>
      <c r="H32" s="964" t="s">
        <v>2313</v>
      </c>
    </row>
    <row r="33" spans="1:8" s="965" customFormat="1" hidden="1">
      <c r="A33" s="967"/>
      <c r="B33" s="967"/>
      <c r="C33" s="1382" t="s">
        <v>824</v>
      </c>
      <c r="D33" s="990">
        <v>0.15</v>
      </c>
      <c r="E33" s="990">
        <f>'lead 22-23 P-B'!L19</f>
        <v>1741.9</v>
      </c>
      <c r="F33" s="990">
        <f>ROUND(D33*E33,2)</f>
        <v>261.29000000000002</v>
      </c>
      <c r="G33" s="967"/>
      <c r="H33" s="964" t="s">
        <v>2313</v>
      </c>
    </row>
    <row r="34" spans="1:8" s="965" customFormat="1" hidden="1">
      <c r="A34" s="967"/>
      <c r="B34" s="967"/>
      <c r="C34" s="1382" t="s">
        <v>825</v>
      </c>
      <c r="D34" s="990">
        <v>0.1</v>
      </c>
      <c r="E34" s="990">
        <f>'lead 22-23 P-B'!L20</f>
        <v>1536.9</v>
      </c>
      <c r="F34" s="990">
        <f>ROUND(D34*E34,2)</f>
        <v>153.69</v>
      </c>
      <c r="G34" s="967"/>
      <c r="H34" s="964" t="s">
        <v>2313</v>
      </c>
    </row>
    <row r="35" spans="1:8" s="965" customFormat="1" hidden="1">
      <c r="A35" s="967"/>
      <c r="B35" s="967"/>
      <c r="C35" s="962" t="s">
        <v>826</v>
      </c>
      <c r="D35" s="967"/>
      <c r="E35" s="967"/>
      <c r="F35" s="974">
        <f>SUM(F31:F34)</f>
        <v>2046.91</v>
      </c>
      <c r="G35" s="967"/>
      <c r="H35" s="964" t="s">
        <v>2313</v>
      </c>
    </row>
    <row r="36" spans="1:8" s="965" customFormat="1" hidden="1">
      <c r="A36" s="967"/>
      <c r="B36" s="967"/>
      <c r="C36" s="1382"/>
      <c r="D36" s="967"/>
      <c r="E36" s="967"/>
      <c r="F36" s="967"/>
      <c r="G36" s="967"/>
      <c r="H36" s="964" t="s">
        <v>2313</v>
      </c>
    </row>
    <row r="37" spans="1:8" s="965" customFormat="1" ht="25.5" hidden="1">
      <c r="A37" s="896">
        <v>6</v>
      </c>
      <c r="B37" s="966"/>
      <c r="C37" s="1382" t="s">
        <v>294</v>
      </c>
      <c r="D37" s="967"/>
      <c r="E37" s="967"/>
      <c r="F37" s="967"/>
      <c r="G37" s="902"/>
      <c r="H37" s="964" t="s">
        <v>2313</v>
      </c>
    </row>
    <row r="38" spans="1:8" s="965" customFormat="1" hidden="1">
      <c r="A38" s="896"/>
      <c r="B38" s="966"/>
      <c r="C38" s="1382" t="s">
        <v>31</v>
      </c>
      <c r="D38" s="967"/>
      <c r="E38" s="967"/>
      <c r="F38" s="967"/>
      <c r="G38" s="902"/>
      <c r="H38" s="964" t="s">
        <v>2313</v>
      </c>
    </row>
    <row r="39" spans="1:8" s="965" customFormat="1" hidden="1">
      <c r="A39" s="896"/>
      <c r="B39" s="967"/>
      <c r="C39" s="1382" t="s">
        <v>1322</v>
      </c>
      <c r="D39" s="967"/>
      <c r="E39" s="967"/>
      <c r="F39" s="967"/>
      <c r="G39" s="902"/>
      <c r="H39" s="964" t="s">
        <v>2313</v>
      </c>
    </row>
    <row r="40" spans="1:8" s="965" customFormat="1" hidden="1">
      <c r="A40" s="896"/>
      <c r="B40" s="968"/>
      <c r="C40" s="1382" t="s">
        <v>122</v>
      </c>
      <c r="D40" s="967"/>
      <c r="E40" s="967"/>
      <c r="F40" s="967"/>
      <c r="G40" s="969">
        <f>'MINI SSR 2022-23 (2)'!H25</f>
        <v>6.06</v>
      </c>
      <c r="H40" s="964" t="s">
        <v>2313</v>
      </c>
    </row>
    <row r="41" spans="1:8" s="965" customFormat="1" hidden="1">
      <c r="A41" s="902"/>
      <c r="B41" s="902"/>
      <c r="C41" s="962" t="s">
        <v>119</v>
      </c>
      <c r="D41" s="896"/>
      <c r="E41" s="896"/>
      <c r="F41" s="896"/>
      <c r="G41" s="963">
        <f>SUM(G40)</f>
        <v>6.06</v>
      </c>
      <c r="H41" s="964" t="s">
        <v>2313</v>
      </c>
    </row>
    <row r="42" spans="1:8" s="965" customFormat="1" ht="63.75" hidden="1">
      <c r="A42" s="896">
        <v>1</v>
      </c>
      <c r="B42" s="966"/>
      <c r="C42" s="1382" t="s">
        <v>1277</v>
      </c>
      <c r="D42" s="967"/>
      <c r="E42" s="967"/>
      <c r="F42" s="967"/>
      <c r="G42" s="902"/>
      <c r="H42" s="964" t="s">
        <v>2313</v>
      </c>
    </row>
    <row r="43" spans="1:8" s="965" customFormat="1" hidden="1">
      <c r="A43" s="896"/>
      <c r="B43" s="966"/>
      <c r="C43" s="1382" t="s">
        <v>31</v>
      </c>
      <c r="D43" s="967"/>
      <c r="E43" s="967"/>
      <c r="F43" s="967"/>
      <c r="G43" s="902"/>
      <c r="H43" s="964" t="s">
        <v>2313</v>
      </c>
    </row>
    <row r="44" spans="1:8" s="965" customFormat="1" hidden="1">
      <c r="A44" s="896"/>
      <c r="B44" s="967"/>
      <c r="C44" s="1382" t="s">
        <v>1322</v>
      </c>
      <c r="D44" s="967"/>
      <c r="E44" s="967"/>
      <c r="F44" s="967"/>
      <c r="G44" s="902"/>
      <c r="H44" s="964" t="s">
        <v>2313</v>
      </c>
    </row>
    <row r="45" spans="1:8" s="965" customFormat="1" hidden="1">
      <c r="A45" s="896"/>
      <c r="B45" s="968"/>
      <c r="C45" s="1382" t="s">
        <v>122</v>
      </c>
      <c r="D45" s="967"/>
      <c r="E45" s="967"/>
      <c r="F45" s="967"/>
      <c r="G45" s="969">
        <f>'MINI SSR 2022-23 (2)'!H26</f>
        <v>144.26</v>
      </c>
      <c r="H45" s="964" t="s">
        <v>2313</v>
      </c>
    </row>
    <row r="46" spans="1:8" s="965" customFormat="1" hidden="1">
      <c r="A46" s="902"/>
      <c r="B46" s="902"/>
      <c r="C46" s="962" t="s">
        <v>119</v>
      </c>
      <c r="D46" s="896"/>
      <c r="E46" s="896"/>
      <c r="F46" s="896"/>
      <c r="G46" s="963">
        <f>SUM(G45)</f>
        <v>144.26</v>
      </c>
      <c r="H46" s="964" t="s">
        <v>2313</v>
      </c>
    </row>
    <row r="47" spans="1:8" s="965" customFormat="1" ht="89.25" hidden="1">
      <c r="A47" s="896">
        <v>8</v>
      </c>
      <c r="B47" s="966" t="s">
        <v>1325</v>
      </c>
      <c r="C47" s="1382" t="s">
        <v>55</v>
      </c>
      <c r="D47" s="967"/>
      <c r="E47" s="967"/>
      <c r="F47" s="967"/>
      <c r="G47" s="966"/>
      <c r="H47" s="964" t="s">
        <v>2313</v>
      </c>
    </row>
    <row r="48" spans="1:8" s="965" customFormat="1" hidden="1">
      <c r="A48" s="896"/>
      <c r="B48" s="967"/>
      <c r="C48" s="962" t="s">
        <v>31</v>
      </c>
      <c r="D48" s="967"/>
      <c r="E48" s="967"/>
      <c r="F48" s="967"/>
      <c r="G48" s="902"/>
      <c r="H48" s="964" t="s">
        <v>2313</v>
      </c>
    </row>
    <row r="49" spans="1:8" s="965" customFormat="1" hidden="1">
      <c r="A49" s="896"/>
      <c r="B49" s="967"/>
      <c r="C49" s="962" t="s">
        <v>2405</v>
      </c>
      <c r="D49" s="967"/>
      <c r="E49" s="967"/>
      <c r="F49" s="967"/>
      <c r="G49" s="902"/>
      <c r="H49" s="964" t="s">
        <v>2313</v>
      </c>
    </row>
    <row r="50" spans="1:8" s="965" customFormat="1" hidden="1">
      <c r="A50" s="896"/>
      <c r="B50" s="968" t="s">
        <v>18</v>
      </c>
      <c r="C50" s="962" t="s">
        <v>26</v>
      </c>
      <c r="D50" s="967"/>
      <c r="E50" s="967"/>
      <c r="F50" s="967"/>
      <c r="G50" s="902"/>
      <c r="H50" s="964" t="s">
        <v>2313</v>
      </c>
    </row>
    <row r="51" spans="1:8" s="965" customFormat="1" hidden="1">
      <c r="A51" s="902"/>
      <c r="B51" s="902"/>
      <c r="C51" s="1382" t="s">
        <v>118</v>
      </c>
      <c r="D51" s="896" t="s">
        <v>27</v>
      </c>
      <c r="E51" s="922">
        <v>0.31</v>
      </c>
      <c r="F51" s="970">
        <f>'MINI SSR 2022-23 (2)'!H$5</f>
        <v>525</v>
      </c>
      <c r="G51" s="969">
        <f>ROUND(E51*F51,2)</f>
        <v>162.75</v>
      </c>
      <c r="H51" s="964" t="s">
        <v>2313</v>
      </c>
    </row>
    <row r="52" spans="1:8" s="965" customFormat="1" hidden="1">
      <c r="A52" s="902"/>
      <c r="B52" s="968" t="s">
        <v>20</v>
      </c>
      <c r="C52" s="962" t="s">
        <v>22</v>
      </c>
      <c r="D52" s="896"/>
      <c r="E52" s="896"/>
      <c r="F52" s="896"/>
      <c r="G52" s="902"/>
      <c r="H52" s="964" t="s">
        <v>2313</v>
      </c>
    </row>
    <row r="53" spans="1:8" s="965" customFormat="1" hidden="1">
      <c r="A53" s="902"/>
      <c r="B53" s="902"/>
      <c r="C53" s="1382" t="s">
        <v>32</v>
      </c>
      <c r="D53" s="896" t="s">
        <v>5</v>
      </c>
      <c r="E53" s="922">
        <v>6</v>
      </c>
      <c r="F53" s="922">
        <f>'lead 22-23 P-B'!L14</f>
        <v>1575.9999999999998</v>
      </c>
      <c r="G53" s="969">
        <f>ROUND(E53*F53,2)</f>
        <v>9456</v>
      </c>
      <c r="H53" s="964" t="s">
        <v>2313</v>
      </c>
    </row>
    <row r="54" spans="1:8" s="965" customFormat="1" hidden="1">
      <c r="A54" s="902"/>
      <c r="B54" s="902"/>
      <c r="C54" s="962" t="s">
        <v>2406</v>
      </c>
      <c r="D54" s="896"/>
      <c r="E54" s="922"/>
      <c r="F54" s="922"/>
      <c r="G54" s="969">
        <f>SUM(G51:G53)</f>
        <v>9618.75</v>
      </c>
      <c r="H54" s="964" t="s">
        <v>2313</v>
      </c>
    </row>
    <row r="55" spans="1:8" s="965" customFormat="1" hidden="1">
      <c r="A55" s="902"/>
      <c r="B55" s="902"/>
      <c r="C55" s="962" t="s">
        <v>28</v>
      </c>
      <c r="D55" s="896"/>
      <c r="E55" s="896"/>
      <c r="F55" s="896"/>
      <c r="G55" s="963">
        <f>ROUND(G54/6,2)</f>
        <v>1603.13</v>
      </c>
      <c r="H55" s="964" t="s">
        <v>2313</v>
      </c>
    </row>
    <row r="56" spans="1:8" s="965" customFormat="1" ht="102" hidden="1">
      <c r="A56" s="896">
        <v>9</v>
      </c>
      <c r="B56" s="966" t="s">
        <v>1324</v>
      </c>
      <c r="C56" s="1382" t="s">
        <v>1189</v>
      </c>
      <c r="D56" s="967"/>
      <c r="E56" s="967"/>
      <c r="F56" s="967"/>
      <c r="G56" s="966"/>
      <c r="H56" s="964" t="s">
        <v>2313</v>
      </c>
    </row>
    <row r="57" spans="1:8" s="965" customFormat="1" hidden="1">
      <c r="A57" s="896"/>
      <c r="B57" s="967"/>
      <c r="C57" s="962" t="s">
        <v>2407</v>
      </c>
      <c r="D57" s="967"/>
      <c r="E57" s="967"/>
      <c r="F57" s="967"/>
      <c r="G57" s="902"/>
      <c r="H57" s="964" t="s">
        <v>2313</v>
      </c>
    </row>
    <row r="58" spans="1:8" s="965" customFormat="1" hidden="1">
      <c r="A58" s="896"/>
      <c r="B58" s="968" t="s">
        <v>18</v>
      </c>
      <c r="C58" s="962" t="s">
        <v>26</v>
      </c>
      <c r="D58" s="967"/>
      <c r="E58" s="967"/>
      <c r="F58" s="967"/>
      <c r="G58" s="902"/>
      <c r="H58" s="964" t="s">
        <v>2313</v>
      </c>
    </row>
    <row r="59" spans="1:8" s="965" customFormat="1" hidden="1">
      <c r="A59" s="902"/>
      <c r="B59" s="902"/>
      <c r="C59" s="1382" t="s">
        <v>118</v>
      </c>
      <c r="D59" s="896" t="s">
        <v>27</v>
      </c>
      <c r="E59" s="922">
        <v>0.31</v>
      </c>
      <c r="F59" s="970">
        <f>'MINI SSR 2022-23 (2)'!H$5</f>
        <v>525</v>
      </c>
      <c r="G59" s="969">
        <f>ROUND(E59*F59,2)</f>
        <v>162.75</v>
      </c>
      <c r="H59" s="964" t="s">
        <v>2313</v>
      </c>
    </row>
    <row r="60" spans="1:8" s="965" customFormat="1" hidden="1">
      <c r="A60" s="902"/>
      <c r="B60" s="968" t="s">
        <v>20</v>
      </c>
      <c r="C60" s="962" t="s">
        <v>22</v>
      </c>
      <c r="D60" s="896"/>
      <c r="E60" s="896"/>
      <c r="F60" s="896"/>
      <c r="G60" s="902"/>
      <c r="H60" s="964" t="s">
        <v>2313</v>
      </c>
    </row>
    <row r="61" spans="1:8" s="965" customFormat="1" hidden="1">
      <c r="A61" s="902"/>
      <c r="B61" s="902"/>
      <c r="C61" s="1382" t="s">
        <v>860</v>
      </c>
      <c r="D61" s="896" t="s">
        <v>5</v>
      </c>
      <c r="E61" s="922">
        <v>6</v>
      </c>
      <c r="F61" s="922">
        <f>'lead 22-23 P-B'!L24</f>
        <v>189</v>
      </c>
      <c r="G61" s="969">
        <f>ROUND(E61*F61,2)</f>
        <v>1134</v>
      </c>
      <c r="H61" s="964" t="s">
        <v>2313</v>
      </c>
    </row>
    <row r="62" spans="1:8" s="965" customFormat="1" hidden="1">
      <c r="A62" s="902"/>
      <c r="B62" s="902"/>
      <c r="C62" s="962" t="s">
        <v>2406</v>
      </c>
      <c r="D62" s="896"/>
      <c r="E62" s="922"/>
      <c r="F62" s="922"/>
      <c r="G62" s="969">
        <f>SUM(G59:G61)</f>
        <v>1296.75</v>
      </c>
      <c r="H62" s="964" t="s">
        <v>2313</v>
      </c>
    </row>
    <row r="63" spans="1:8" s="965" customFormat="1" hidden="1">
      <c r="A63" s="902"/>
      <c r="B63" s="902"/>
      <c r="C63" s="962" t="s">
        <v>28</v>
      </c>
      <c r="D63" s="896"/>
      <c r="E63" s="896"/>
      <c r="F63" s="896"/>
      <c r="G63" s="963">
        <f>ROUND(G62/6,2)</f>
        <v>216.13</v>
      </c>
      <c r="H63" s="964" t="s">
        <v>2313</v>
      </c>
    </row>
    <row r="64" spans="1:8" s="965" customFormat="1" ht="89.25" hidden="1">
      <c r="A64" s="896">
        <v>10</v>
      </c>
      <c r="B64" s="966" t="s">
        <v>1324</v>
      </c>
      <c r="C64" s="1382" t="s">
        <v>662</v>
      </c>
      <c r="D64" s="967"/>
      <c r="E64" s="967"/>
      <c r="F64" s="967"/>
      <c r="G64" s="966"/>
      <c r="H64" s="964" t="s">
        <v>2313</v>
      </c>
    </row>
    <row r="65" spans="1:8" s="965" customFormat="1" hidden="1">
      <c r="A65" s="896"/>
      <c r="B65" s="967"/>
      <c r="C65" s="962" t="s">
        <v>2407</v>
      </c>
      <c r="D65" s="967"/>
      <c r="E65" s="967"/>
      <c r="F65" s="967"/>
      <c r="G65" s="902"/>
      <c r="H65" s="964" t="s">
        <v>2313</v>
      </c>
    </row>
    <row r="66" spans="1:8" s="965" customFormat="1" hidden="1">
      <c r="A66" s="896"/>
      <c r="B66" s="968" t="s">
        <v>18</v>
      </c>
      <c r="C66" s="962" t="s">
        <v>26</v>
      </c>
      <c r="D66" s="967"/>
      <c r="E66" s="967"/>
      <c r="F66" s="967"/>
      <c r="G66" s="902"/>
      <c r="H66" s="964" t="s">
        <v>2313</v>
      </c>
    </row>
    <row r="67" spans="1:8" s="965" customFormat="1" hidden="1">
      <c r="A67" s="902"/>
      <c r="B67" s="902"/>
      <c r="C67" s="1382" t="s">
        <v>118</v>
      </c>
      <c r="D67" s="896" t="s">
        <v>27</v>
      </c>
      <c r="E67" s="922">
        <v>0.31</v>
      </c>
      <c r="F67" s="970">
        <f>'MINI SSR 2022-23 (2)'!H$5</f>
        <v>525</v>
      </c>
      <c r="G67" s="969">
        <f>ROUND(E67*F67,2)</f>
        <v>162.75</v>
      </c>
      <c r="H67" s="964" t="s">
        <v>2313</v>
      </c>
    </row>
    <row r="68" spans="1:8" s="965" customFormat="1" hidden="1">
      <c r="A68" s="902"/>
      <c r="B68" s="968" t="s">
        <v>20</v>
      </c>
      <c r="C68" s="962" t="s">
        <v>22</v>
      </c>
      <c r="D68" s="896"/>
      <c r="E68" s="896"/>
      <c r="F68" s="896"/>
      <c r="G68" s="902"/>
      <c r="H68" s="964" t="s">
        <v>2313</v>
      </c>
    </row>
    <row r="69" spans="1:8" s="965" customFormat="1" hidden="1">
      <c r="A69" s="902"/>
      <c r="B69" s="902"/>
      <c r="C69" s="1382" t="s">
        <v>663</v>
      </c>
      <c r="D69" s="896" t="s">
        <v>5</v>
      </c>
      <c r="E69" s="922">
        <v>6</v>
      </c>
      <c r="F69" s="922">
        <f>'lead 22-23 P-B'!L25</f>
        <v>245</v>
      </c>
      <c r="G69" s="969">
        <f>ROUND(E69*F69,2)</f>
        <v>1470</v>
      </c>
      <c r="H69" s="964" t="s">
        <v>2313</v>
      </c>
    </row>
    <row r="70" spans="1:8" s="965" customFormat="1" hidden="1">
      <c r="A70" s="902"/>
      <c r="B70" s="902"/>
      <c r="C70" s="962" t="s">
        <v>2406</v>
      </c>
      <c r="D70" s="896"/>
      <c r="E70" s="922"/>
      <c r="F70" s="922"/>
      <c r="G70" s="969">
        <f>SUM(G67:G69)</f>
        <v>1632.75</v>
      </c>
      <c r="H70" s="964" t="s">
        <v>2313</v>
      </c>
    </row>
    <row r="71" spans="1:8" s="965" customFormat="1" hidden="1">
      <c r="A71" s="902"/>
      <c r="B71" s="902"/>
      <c r="C71" s="962" t="s">
        <v>28</v>
      </c>
      <c r="D71" s="896"/>
      <c r="E71" s="896"/>
      <c r="F71" s="896"/>
      <c r="G71" s="963">
        <f>ROUND(G70/6,2)</f>
        <v>272.13</v>
      </c>
      <c r="H71" s="964" t="s">
        <v>2313</v>
      </c>
    </row>
    <row r="72" spans="1:8" s="965" customFormat="1" ht="63.75" hidden="1">
      <c r="A72" s="896">
        <v>11</v>
      </c>
      <c r="B72" s="966" t="s">
        <v>1323</v>
      </c>
      <c r="C72" s="1382" t="s">
        <v>282</v>
      </c>
      <c r="D72" s="967"/>
      <c r="E72" s="967"/>
      <c r="F72" s="967"/>
      <c r="G72" s="966"/>
      <c r="H72" s="964" t="s">
        <v>2313</v>
      </c>
    </row>
    <row r="73" spans="1:8" s="965" customFormat="1" hidden="1">
      <c r="A73" s="967"/>
      <c r="B73" s="967"/>
      <c r="C73" s="1382" t="s">
        <v>312</v>
      </c>
      <c r="D73" s="967"/>
      <c r="E73" s="970"/>
      <c r="F73" s="970"/>
      <c r="G73" s="969"/>
      <c r="H73" s="964" t="s">
        <v>2313</v>
      </c>
    </row>
    <row r="74" spans="1:8" s="965" customFormat="1" hidden="1">
      <c r="A74" s="967"/>
      <c r="B74" s="967"/>
      <c r="C74" s="1382" t="s">
        <v>311</v>
      </c>
      <c r="D74" s="967" t="s">
        <v>27</v>
      </c>
      <c r="E74" s="970">
        <v>3.12</v>
      </c>
      <c r="F74" s="970">
        <f>'MINI SSR 2022-23 (2)'!H$5</f>
        <v>525</v>
      </c>
      <c r="G74" s="969">
        <f>ROUND(E74*F74,2)</f>
        <v>1638</v>
      </c>
      <c r="H74" s="964" t="s">
        <v>2313</v>
      </c>
    </row>
    <row r="75" spans="1:8" s="965" customFormat="1" hidden="1">
      <c r="A75" s="967"/>
      <c r="B75" s="967"/>
      <c r="C75" s="1382" t="s">
        <v>57</v>
      </c>
      <c r="D75" s="967" t="s">
        <v>59</v>
      </c>
      <c r="E75" s="970">
        <v>0.72</v>
      </c>
      <c r="F75" s="922">
        <f>'MINI SSR 2022-23 (2)'!$C$29</f>
        <v>95</v>
      </c>
      <c r="G75" s="969">
        <f>ROUND(E75*F75,2)</f>
        <v>68.400000000000006</v>
      </c>
      <c r="H75" s="964" t="s">
        <v>2313</v>
      </c>
    </row>
    <row r="76" spans="1:8" s="965" customFormat="1" hidden="1">
      <c r="A76" s="967"/>
      <c r="B76" s="967"/>
      <c r="C76" s="1382" t="s">
        <v>313</v>
      </c>
      <c r="D76" s="967"/>
      <c r="E76" s="970"/>
      <c r="F76" s="970"/>
      <c r="G76" s="969">
        <f>SUM(G74:G75)</f>
        <v>1706.4</v>
      </c>
      <c r="H76" s="964" t="s">
        <v>2313</v>
      </c>
    </row>
    <row r="77" spans="1:8" s="965" customFormat="1" hidden="1">
      <c r="A77" s="967"/>
      <c r="B77" s="967"/>
      <c r="C77" s="1382" t="s">
        <v>313</v>
      </c>
      <c r="D77" s="967"/>
      <c r="E77" s="967"/>
      <c r="F77" s="967"/>
      <c r="G77" s="971">
        <f>ROUND(G76/6,2)</f>
        <v>284.39999999999998</v>
      </c>
      <c r="H77" s="964" t="s">
        <v>2313</v>
      </c>
    </row>
    <row r="78" spans="1:8" s="965" customFormat="1" ht="89.25" hidden="1">
      <c r="A78" s="896">
        <v>2</v>
      </c>
      <c r="B78" s="966" t="s">
        <v>158</v>
      </c>
      <c r="C78" s="1382" t="s">
        <v>159</v>
      </c>
      <c r="D78" s="967"/>
      <c r="E78" s="967"/>
      <c r="F78" s="967"/>
      <c r="G78" s="966"/>
      <c r="H78" s="964" t="s">
        <v>2313</v>
      </c>
    </row>
    <row r="79" spans="1:8" s="965" customFormat="1" hidden="1">
      <c r="A79" s="896"/>
      <c r="B79" s="966"/>
      <c r="C79" s="962" t="s">
        <v>60</v>
      </c>
      <c r="D79" s="967"/>
      <c r="E79" s="967"/>
      <c r="F79" s="967"/>
      <c r="G79" s="972"/>
      <c r="H79" s="964" t="s">
        <v>2313</v>
      </c>
    </row>
    <row r="80" spans="1:8" s="965" customFormat="1" hidden="1">
      <c r="A80" s="967"/>
      <c r="B80" s="967"/>
      <c r="C80" s="1382" t="s">
        <v>44</v>
      </c>
      <c r="D80" s="967" t="s">
        <v>4</v>
      </c>
      <c r="E80" s="970">
        <v>162</v>
      </c>
      <c r="F80" s="970">
        <f>'lead 22-23 P-B'!L8</f>
        <v>4700</v>
      </c>
      <c r="G80" s="969">
        <f>ROUND(E80*F80/1000,2)</f>
        <v>761.4</v>
      </c>
      <c r="H80" s="964" t="s">
        <v>2313</v>
      </c>
    </row>
    <row r="81" spans="1:8" s="965" customFormat="1" hidden="1">
      <c r="A81" s="967"/>
      <c r="B81" s="967"/>
      <c r="C81" s="1382" t="s">
        <v>56</v>
      </c>
      <c r="D81" s="967" t="s">
        <v>35</v>
      </c>
      <c r="E81" s="970">
        <v>0.9</v>
      </c>
      <c r="F81" s="970">
        <f>'lead 22-23 P-B'!L16</f>
        <v>1636.9</v>
      </c>
      <c r="G81" s="969">
        <f>ROUND(E81*F81,2)</f>
        <v>1473.21</v>
      </c>
      <c r="H81" s="964" t="s">
        <v>2313</v>
      </c>
    </row>
    <row r="82" spans="1:8" s="965" customFormat="1" hidden="1">
      <c r="A82" s="967"/>
      <c r="B82" s="967"/>
      <c r="C82" s="1382" t="s">
        <v>112</v>
      </c>
      <c r="D82" s="967" t="s">
        <v>35</v>
      </c>
      <c r="E82" s="970">
        <v>0.45</v>
      </c>
      <c r="F82" s="970">
        <f>'lead 22-23 P-B'!L13</f>
        <v>1720.9999999999998</v>
      </c>
      <c r="G82" s="969">
        <f>ROUND(E82*F82,2)</f>
        <v>774.45</v>
      </c>
      <c r="H82" s="964" t="s">
        <v>2313</v>
      </c>
    </row>
    <row r="83" spans="1:8" s="965" customFormat="1" hidden="1">
      <c r="A83" s="967"/>
      <c r="B83" s="967"/>
      <c r="C83" s="1382" t="s">
        <v>57</v>
      </c>
      <c r="D83" s="967" t="s">
        <v>58</v>
      </c>
      <c r="E83" s="970">
        <v>1.2</v>
      </c>
      <c r="F83" s="922">
        <f>'MINI SSR 2022-23 (2)'!$C$29</f>
        <v>95</v>
      </c>
      <c r="G83" s="969">
        <f>ROUND(E83*F83,2)</f>
        <v>114</v>
      </c>
      <c r="H83" s="964" t="s">
        <v>2313</v>
      </c>
    </row>
    <row r="84" spans="1:8" s="965" customFormat="1" hidden="1">
      <c r="A84" s="967"/>
      <c r="B84" s="967"/>
      <c r="C84" s="962" t="s">
        <v>61</v>
      </c>
      <c r="D84" s="967"/>
      <c r="E84" s="970"/>
      <c r="F84" s="970"/>
      <c r="G84" s="969"/>
      <c r="H84" s="964" t="s">
        <v>2313</v>
      </c>
    </row>
    <row r="85" spans="1:8" s="965" customFormat="1" hidden="1">
      <c r="A85" s="967"/>
      <c r="B85" s="967"/>
      <c r="C85" s="1382" t="s">
        <v>62</v>
      </c>
      <c r="D85" s="967" t="s">
        <v>21</v>
      </c>
      <c r="E85" s="970">
        <v>1</v>
      </c>
      <c r="F85" s="970">
        <f>'MINI SSR 2022-23 (2)'!$C$30</f>
        <v>667.5</v>
      </c>
      <c r="G85" s="969">
        <f>ROUND(E85*F85,2)</f>
        <v>667.5</v>
      </c>
      <c r="H85" s="964" t="s">
        <v>2313</v>
      </c>
    </row>
    <row r="86" spans="1:8" s="965" customFormat="1" hidden="1">
      <c r="A86" s="967"/>
      <c r="B86" s="967"/>
      <c r="C86" s="962" t="s">
        <v>63</v>
      </c>
      <c r="D86" s="967"/>
      <c r="E86" s="970"/>
      <c r="F86" s="970"/>
      <c r="G86" s="969"/>
      <c r="H86" s="964" t="s">
        <v>2313</v>
      </c>
    </row>
    <row r="87" spans="1:8" s="965" customFormat="1" hidden="1">
      <c r="A87" s="967"/>
      <c r="B87" s="967"/>
      <c r="C87" s="1382" t="s">
        <v>64</v>
      </c>
      <c r="D87" s="967" t="s">
        <v>27</v>
      </c>
      <c r="E87" s="970">
        <v>0.1</v>
      </c>
      <c r="F87" s="970">
        <f>'MINI SSR 2022-23 (2)'!$H$3</f>
        <v>630</v>
      </c>
      <c r="G87" s="969">
        <f>ROUND(E87*F87,2)</f>
        <v>63</v>
      </c>
      <c r="H87" s="964" t="s">
        <v>2313</v>
      </c>
    </row>
    <row r="88" spans="1:8" s="965" customFormat="1" hidden="1">
      <c r="A88" s="967"/>
      <c r="B88" s="967"/>
      <c r="C88" s="1382" t="s">
        <v>19</v>
      </c>
      <c r="D88" s="967" t="s">
        <v>27</v>
      </c>
      <c r="E88" s="970">
        <v>1.39</v>
      </c>
      <c r="F88" s="970">
        <f>'MINI SSR 2022-23 (2)'!H$5</f>
        <v>525</v>
      </c>
      <c r="G88" s="969">
        <f>ROUND(E88*F88,2)</f>
        <v>729.75</v>
      </c>
      <c r="H88" s="964" t="s">
        <v>2313</v>
      </c>
    </row>
    <row r="89" spans="1:8" s="965" customFormat="1" hidden="1">
      <c r="A89" s="967"/>
      <c r="B89" s="967"/>
      <c r="C89" s="1382"/>
      <c r="D89" s="967"/>
      <c r="E89" s="967"/>
      <c r="F89" s="967"/>
      <c r="G89" s="971">
        <f>SUM(G80:G88)</f>
        <v>4583.3100000000004</v>
      </c>
      <c r="H89" s="964" t="s">
        <v>2313</v>
      </c>
    </row>
    <row r="90" spans="1:8" s="965" customFormat="1" ht="89.25" hidden="1">
      <c r="A90" s="896">
        <v>13</v>
      </c>
      <c r="B90" s="966" t="s">
        <v>65</v>
      </c>
      <c r="C90" s="1382" t="s">
        <v>67</v>
      </c>
      <c r="D90" s="967"/>
      <c r="E90" s="967"/>
      <c r="F90" s="967"/>
      <c r="G90" s="966"/>
      <c r="H90" s="964" t="s">
        <v>2313</v>
      </c>
    </row>
    <row r="91" spans="1:8" s="965" customFormat="1" hidden="1">
      <c r="A91" s="896"/>
      <c r="B91" s="966"/>
      <c r="C91" s="962" t="s">
        <v>60</v>
      </c>
      <c r="D91" s="967"/>
      <c r="E91" s="967"/>
      <c r="F91" s="967"/>
      <c r="G91" s="972"/>
      <c r="H91" s="964" t="s">
        <v>2313</v>
      </c>
    </row>
    <row r="92" spans="1:8" s="965" customFormat="1" hidden="1">
      <c r="A92" s="967"/>
      <c r="B92" s="967"/>
      <c r="C92" s="1382" t="s">
        <v>44</v>
      </c>
      <c r="D92" s="967" t="s">
        <v>4</v>
      </c>
      <c r="E92" s="970">
        <v>129.6</v>
      </c>
      <c r="F92" s="970">
        <f>F80</f>
        <v>4700</v>
      </c>
      <c r="G92" s="969">
        <f>ROUND(E92*F92/1000,2)</f>
        <v>609.12</v>
      </c>
      <c r="H92" s="964" t="s">
        <v>2313</v>
      </c>
    </row>
    <row r="93" spans="1:8" s="965" customFormat="1" hidden="1">
      <c r="A93" s="967"/>
      <c r="B93" s="967"/>
      <c r="C93" s="1382" t="s">
        <v>56</v>
      </c>
      <c r="D93" s="967" t="s">
        <v>35</v>
      </c>
      <c r="E93" s="970">
        <v>0.9</v>
      </c>
      <c r="F93" s="970">
        <f>F81</f>
        <v>1636.9</v>
      </c>
      <c r="G93" s="969">
        <f>ROUND(E93*F93,2)</f>
        <v>1473.21</v>
      </c>
      <c r="H93" s="964" t="s">
        <v>2313</v>
      </c>
    </row>
    <row r="94" spans="1:8" s="965" customFormat="1" hidden="1">
      <c r="A94" s="967"/>
      <c r="B94" s="967"/>
      <c r="C94" s="1382" t="s">
        <v>112</v>
      </c>
      <c r="D94" s="967" t="s">
        <v>35</v>
      </c>
      <c r="E94" s="970">
        <v>0.45</v>
      </c>
      <c r="F94" s="970">
        <f>F82</f>
        <v>1720.9999999999998</v>
      </c>
      <c r="G94" s="969">
        <f>ROUND(E94*F94,2)</f>
        <v>774.45</v>
      </c>
      <c r="H94" s="964" t="s">
        <v>2313</v>
      </c>
    </row>
    <row r="95" spans="1:8" s="965" customFormat="1" hidden="1">
      <c r="A95" s="967"/>
      <c r="B95" s="967"/>
      <c r="C95" s="1382" t="s">
        <v>57</v>
      </c>
      <c r="D95" s="967" t="s">
        <v>58</v>
      </c>
      <c r="E95" s="970">
        <v>1.2</v>
      </c>
      <c r="F95" s="922">
        <f>'MINI SSR 2022-23 (2)'!$C$29</f>
        <v>95</v>
      </c>
      <c r="G95" s="969">
        <f>ROUND(E95*F95,2)</f>
        <v>114</v>
      </c>
      <c r="H95" s="964" t="s">
        <v>2313</v>
      </c>
    </row>
    <row r="96" spans="1:8" s="965" customFormat="1" hidden="1">
      <c r="A96" s="967"/>
      <c r="B96" s="967"/>
      <c r="C96" s="962" t="s">
        <v>61</v>
      </c>
      <c r="D96" s="967"/>
      <c r="E96" s="970"/>
      <c r="F96" s="970"/>
      <c r="G96" s="969"/>
      <c r="H96" s="964" t="s">
        <v>2313</v>
      </c>
    </row>
    <row r="97" spans="1:8" s="965" customFormat="1" hidden="1">
      <c r="A97" s="967"/>
      <c r="B97" s="967"/>
      <c r="C97" s="1382" t="s">
        <v>62</v>
      </c>
      <c r="D97" s="967" t="s">
        <v>21</v>
      </c>
      <c r="E97" s="970">
        <v>1</v>
      </c>
      <c r="F97" s="970">
        <f>'MINI SSR 2022-23 (2)'!$C$30</f>
        <v>667.5</v>
      </c>
      <c r="G97" s="969">
        <f>ROUND(E97*F97,2)</f>
        <v>667.5</v>
      </c>
      <c r="H97" s="964" t="s">
        <v>2313</v>
      </c>
    </row>
    <row r="98" spans="1:8" s="965" customFormat="1" hidden="1">
      <c r="A98" s="967"/>
      <c r="B98" s="967"/>
      <c r="C98" s="962" t="s">
        <v>63</v>
      </c>
      <c r="D98" s="967"/>
      <c r="E98" s="970"/>
      <c r="F98" s="970"/>
      <c r="G98" s="969"/>
      <c r="H98" s="964" t="s">
        <v>2313</v>
      </c>
    </row>
    <row r="99" spans="1:8" s="965" customFormat="1" hidden="1">
      <c r="A99" s="967"/>
      <c r="B99" s="967"/>
      <c r="C99" s="1382" t="s">
        <v>64</v>
      </c>
      <c r="D99" s="967" t="s">
        <v>27</v>
      </c>
      <c r="E99" s="970">
        <v>0.1</v>
      </c>
      <c r="F99" s="970">
        <f>'MINI SSR 2022-23 (2)'!$H$3</f>
        <v>630</v>
      </c>
      <c r="G99" s="969">
        <f>ROUND(E99*F99,2)</f>
        <v>63</v>
      </c>
      <c r="H99" s="964" t="s">
        <v>2313</v>
      </c>
    </row>
    <row r="100" spans="1:8" s="965" customFormat="1" hidden="1">
      <c r="A100" s="967"/>
      <c r="B100" s="967"/>
      <c r="C100" s="1382" t="s">
        <v>19</v>
      </c>
      <c r="D100" s="967" t="s">
        <v>27</v>
      </c>
      <c r="E100" s="970">
        <v>1.39</v>
      </c>
      <c r="F100" s="970">
        <f>'MINI SSR 2022-23 (2)'!H$5</f>
        <v>525</v>
      </c>
      <c r="G100" s="969">
        <f>ROUND(E100*F100,2)</f>
        <v>729.75</v>
      </c>
      <c r="H100" s="964" t="s">
        <v>2313</v>
      </c>
    </row>
    <row r="101" spans="1:8" s="965" customFormat="1" hidden="1">
      <c r="A101" s="967"/>
      <c r="B101" s="967"/>
      <c r="C101" s="1382"/>
      <c r="D101" s="967"/>
      <c r="E101" s="967"/>
      <c r="F101" s="967"/>
      <c r="G101" s="971">
        <f>SUM(G92:G100)</f>
        <v>4431.03</v>
      </c>
      <c r="H101" s="964" t="s">
        <v>2313</v>
      </c>
    </row>
    <row r="102" spans="1:8" s="965" customFormat="1" ht="178.5" hidden="1">
      <c r="A102" s="896">
        <v>14</v>
      </c>
      <c r="B102" s="966" t="s">
        <v>66</v>
      </c>
      <c r="C102" s="1382" t="s">
        <v>225</v>
      </c>
      <c r="D102" s="967"/>
      <c r="E102" s="967"/>
      <c r="F102" s="967"/>
      <c r="G102" s="966"/>
      <c r="H102" s="964" t="s">
        <v>2313</v>
      </c>
    </row>
    <row r="103" spans="1:8" s="965" customFormat="1" hidden="1">
      <c r="A103" s="896"/>
      <c r="B103" s="966"/>
      <c r="C103" s="962" t="s">
        <v>81</v>
      </c>
      <c r="D103" s="967"/>
      <c r="E103" s="967"/>
      <c r="F103" s="967"/>
      <c r="G103" s="972"/>
      <c r="H103" s="964" t="s">
        <v>2313</v>
      </c>
    </row>
    <row r="104" spans="1:8" s="965" customFormat="1" hidden="1">
      <c r="A104" s="896"/>
      <c r="B104" s="966"/>
      <c r="C104" s="962" t="s">
        <v>60</v>
      </c>
      <c r="D104" s="967"/>
      <c r="E104" s="967"/>
      <c r="F104" s="967"/>
      <c r="G104" s="972"/>
      <c r="H104" s="964" t="s">
        <v>2313</v>
      </c>
    </row>
    <row r="105" spans="1:8" s="965" customFormat="1" hidden="1">
      <c r="A105" s="896"/>
      <c r="B105" s="966"/>
      <c r="C105" s="1382" t="s">
        <v>154</v>
      </c>
      <c r="D105" s="967" t="s">
        <v>35</v>
      </c>
      <c r="E105" s="970">
        <v>0.8</v>
      </c>
      <c r="F105" s="970">
        <f>F35</f>
        <v>2046.91</v>
      </c>
      <c r="G105" s="969">
        <f>ROUND(E105*F105,2)</f>
        <v>1637.53</v>
      </c>
      <c r="H105" s="964" t="s">
        <v>2313</v>
      </c>
    </row>
    <row r="106" spans="1:8" s="965" customFormat="1" hidden="1">
      <c r="A106" s="896"/>
      <c r="B106" s="966"/>
      <c r="C106" s="1382" t="s">
        <v>112</v>
      </c>
      <c r="D106" s="967" t="s">
        <v>35</v>
      </c>
      <c r="E106" s="970">
        <v>0.4</v>
      </c>
      <c r="F106" s="970">
        <f>'lead 22-23 P-B'!L13</f>
        <v>1720.9999999999998</v>
      </c>
      <c r="G106" s="969">
        <f>ROUND(E106*F106,2)</f>
        <v>688.4</v>
      </c>
      <c r="H106" s="964" t="s">
        <v>2313</v>
      </c>
    </row>
    <row r="107" spans="1:8" s="965" customFormat="1" hidden="1">
      <c r="A107" s="967"/>
      <c r="B107" s="967"/>
      <c r="C107" s="1382" t="s">
        <v>33</v>
      </c>
      <c r="D107" s="967" t="s">
        <v>4</v>
      </c>
      <c r="E107" s="970">
        <v>340</v>
      </c>
      <c r="F107" s="970">
        <f>'lead 22-23 P-B'!L8</f>
        <v>4700</v>
      </c>
      <c r="G107" s="969">
        <f>ROUND(E107*F107/1000,2)</f>
        <v>1598</v>
      </c>
      <c r="H107" s="964" t="s">
        <v>2313</v>
      </c>
    </row>
    <row r="108" spans="1:8" s="965" customFormat="1" hidden="1">
      <c r="A108" s="967"/>
      <c r="B108" s="967"/>
      <c r="C108" s="962" t="s">
        <v>68</v>
      </c>
      <c r="D108" s="967"/>
      <c r="E108" s="970"/>
      <c r="F108" s="970"/>
      <c r="G108" s="969"/>
      <c r="H108" s="964" t="s">
        <v>2313</v>
      </c>
    </row>
    <row r="109" spans="1:8" s="965" customFormat="1" hidden="1">
      <c r="A109" s="967"/>
      <c r="B109" s="967"/>
      <c r="C109" s="1382" t="s">
        <v>64</v>
      </c>
      <c r="D109" s="967" t="s">
        <v>27</v>
      </c>
      <c r="E109" s="973">
        <v>0.13300000000000001</v>
      </c>
      <c r="F109" s="970">
        <f>'MINI SSR 2022-23 (2)'!$H$3</f>
        <v>630</v>
      </c>
      <c r="G109" s="969">
        <f>ROUND(E109*F109,2)</f>
        <v>83.79</v>
      </c>
      <c r="H109" s="964" t="s">
        <v>2313</v>
      </c>
    </row>
    <row r="110" spans="1:8" s="965" customFormat="1" hidden="1">
      <c r="A110" s="967"/>
      <c r="B110" s="967"/>
      <c r="C110" s="1382" t="s">
        <v>69</v>
      </c>
      <c r="D110" s="967" t="s">
        <v>27</v>
      </c>
      <c r="E110" s="973">
        <v>0.26700000000000002</v>
      </c>
      <c r="F110" s="970">
        <f>'MINI SSR 2022-23 (2)'!$H$4</f>
        <v>565</v>
      </c>
      <c r="G110" s="969">
        <f>ROUND(E110*F110,2)</f>
        <v>150.86000000000001</v>
      </c>
      <c r="H110" s="964" t="s">
        <v>2313</v>
      </c>
    </row>
    <row r="111" spans="1:8" s="965" customFormat="1" hidden="1">
      <c r="A111" s="967"/>
      <c r="B111" s="967"/>
      <c r="C111" s="1382" t="s">
        <v>70</v>
      </c>
      <c r="D111" s="967" t="s">
        <v>27</v>
      </c>
      <c r="E111" s="973">
        <v>3.6</v>
      </c>
      <c r="F111" s="970">
        <f>'MINI SSR 2022-23 (2)'!H$5</f>
        <v>525</v>
      </c>
      <c r="G111" s="969">
        <f>ROUND(E111*F111,2)</f>
        <v>1890</v>
      </c>
      <c r="H111" s="964" t="s">
        <v>2313</v>
      </c>
    </row>
    <row r="112" spans="1:8" s="965" customFormat="1" hidden="1">
      <c r="A112" s="967"/>
      <c r="B112" s="967"/>
      <c r="C112" s="962" t="s">
        <v>61</v>
      </c>
      <c r="D112" s="967"/>
      <c r="E112" s="970"/>
      <c r="F112" s="970"/>
      <c r="G112" s="969"/>
      <c r="H112" s="964" t="s">
        <v>2313</v>
      </c>
    </row>
    <row r="113" spans="1:8" s="965" customFormat="1" hidden="1">
      <c r="A113" s="967"/>
      <c r="B113" s="967"/>
      <c r="C113" s="1382" t="s">
        <v>62</v>
      </c>
      <c r="D113" s="967" t="s">
        <v>21</v>
      </c>
      <c r="E113" s="970">
        <v>1</v>
      </c>
      <c r="F113" s="970">
        <f>'MINI SSR 2022-23 (2)'!$C$30</f>
        <v>667.5</v>
      </c>
      <c r="G113" s="969">
        <f>ROUND(E113*F113,2)</f>
        <v>667.5</v>
      </c>
      <c r="H113" s="964" t="s">
        <v>2313</v>
      </c>
    </row>
    <row r="114" spans="1:8" s="965" customFormat="1" hidden="1">
      <c r="A114" s="967"/>
      <c r="B114" s="967"/>
      <c r="C114" s="1382" t="s">
        <v>160</v>
      </c>
      <c r="D114" s="967" t="s">
        <v>21</v>
      </c>
      <c r="E114" s="970">
        <v>1</v>
      </c>
      <c r="F114" s="970">
        <f>'MINI SSR 2022-23 (2)'!$C$31</f>
        <v>259.10000000000002</v>
      </c>
      <c r="G114" s="969">
        <f>ROUND(E114*F114,2)</f>
        <v>259.10000000000002</v>
      </c>
      <c r="H114" s="964" t="s">
        <v>2313</v>
      </c>
    </row>
    <row r="115" spans="1:8" s="965" customFormat="1" hidden="1">
      <c r="A115" s="967"/>
      <c r="B115" s="967"/>
      <c r="C115" s="1382" t="s">
        <v>57</v>
      </c>
      <c r="D115" s="967" t="s">
        <v>58</v>
      </c>
      <c r="E115" s="970">
        <v>1.2</v>
      </c>
      <c r="F115" s="922">
        <f>'MINI SSR 2022-23 (2)'!$C$29</f>
        <v>95</v>
      </c>
      <c r="G115" s="969">
        <f>ROUND(E115*F115,2)</f>
        <v>114</v>
      </c>
      <c r="H115" s="964" t="s">
        <v>2313</v>
      </c>
    </row>
    <row r="116" spans="1:8" s="965" customFormat="1" hidden="1">
      <c r="A116" s="967"/>
      <c r="B116" s="967"/>
      <c r="C116" s="962" t="s">
        <v>71</v>
      </c>
      <c r="D116" s="967"/>
      <c r="E116" s="967"/>
      <c r="F116" s="967"/>
      <c r="G116" s="971">
        <f>SUM(G105:G115)</f>
        <v>7089.18</v>
      </c>
      <c r="H116" s="964" t="s">
        <v>2313</v>
      </c>
    </row>
    <row r="117" spans="1:8" s="965" customFormat="1" hidden="1">
      <c r="A117" s="967"/>
      <c r="B117" s="967"/>
      <c r="C117" s="962" t="s">
        <v>72</v>
      </c>
      <c r="D117" s="967"/>
      <c r="E117" s="967"/>
      <c r="F117" s="967"/>
      <c r="G117" s="972"/>
      <c r="H117" s="964" t="s">
        <v>2313</v>
      </c>
    </row>
    <row r="118" spans="1:8" s="965" customFormat="1" hidden="1">
      <c r="A118" s="967"/>
      <c r="B118" s="967"/>
      <c r="C118" s="1382" t="s">
        <v>73</v>
      </c>
      <c r="D118" s="967" t="s">
        <v>35</v>
      </c>
      <c r="E118" s="970">
        <v>1</v>
      </c>
      <c r="F118" s="970">
        <f>G116</f>
        <v>7089.18</v>
      </c>
      <c r="G118" s="969">
        <f>ROUND(E118*F118,2)</f>
        <v>7089.18</v>
      </c>
      <c r="H118" s="964" t="s">
        <v>2313</v>
      </c>
    </row>
    <row r="119" spans="1:8" s="965" customFormat="1" ht="25.5" hidden="1">
      <c r="A119" s="967"/>
      <c r="B119" s="967"/>
      <c r="C119" s="1382" t="s">
        <v>1278</v>
      </c>
      <c r="D119" s="967" t="s">
        <v>35</v>
      </c>
      <c r="E119" s="970">
        <v>1</v>
      </c>
      <c r="F119" s="970">
        <f>'MINI SSR 2022-23 (2)'!C52</f>
        <v>301</v>
      </c>
      <c r="G119" s="969">
        <f>ROUND(E119*F119,2)</f>
        <v>301</v>
      </c>
      <c r="H119" s="964" t="s">
        <v>2313</v>
      </c>
    </row>
    <row r="120" spans="1:8" s="965" customFormat="1" hidden="1">
      <c r="A120" s="967"/>
      <c r="B120" s="967"/>
      <c r="C120" s="1382" t="s">
        <v>1279</v>
      </c>
      <c r="D120" s="967" t="s">
        <v>35</v>
      </c>
      <c r="E120" s="970">
        <v>1</v>
      </c>
      <c r="F120" s="970">
        <f>'MINI SSR 2022-23 (2)'!D52</f>
        <v>672</v>
      </c>
      <c r="G120" s="969">
        <f>ROUND(E120*F120,2)</f>
        <v>672</v>
      </c>
      <c r="H120" s="964" t="s">
        <v>2313</v>
      </c>
    </row>
    <row r="121" spans="1:8" s="965" customFormat="1" hidden="1">
      <c r="A121" s="967"/>
      <c r="B121" s="967"/>
      <c r="C121" s="1382"/>
      <c r="D121" s="967"/>
      <c r="E121" s="967"/>
      <c r="F121" s="967"/>
      <c r="G121" s="971">
        <f>SUM(G118:G120)</f>
        <v>8062.18</v>
      </c>
      <c r="H121" s="964" t="s">
        <v>2313</v>
      </c>
    </row>
    <row r="122" spans="1:8" s="965" customFormat="1" hidden="1">
      <c r="A122" s="967"/>
      <c r="B122" s="967"/>
      <c r="C122" s="962" t="s">
        <v>74</v>
      </c>
      <c r="D122" s="967"/>
      <c r="E122" s="967"/>
      <c r="F122" s="967"/>
      <c r="G122" s="972"/>
      <c r="H122" s="964" t="s">
        <v>2313</v>
      </c>
    </row>
    <row r="123" spans="1:8" s="965" customFormat="1" hidden="1">
      <c r="A123" s="967"/>
      <c r="B123" s="967"/>
      <c r="C123" s="1382" t="s">
        <v>73</v>
      </c>
      <c r="D123" s="967" t="s">
        <v>35</v>
      </c>
      <c r="E123" s="970">
        <v>1</v>
      </c>
      <c r="F123" s="970">
        <f>G116</f>
        <v>7089.18</v>
      </c>
      <c r="G123" s="969">
        <f>ROUND(E123*F123,2)</f>
        <v>7089.18</v>
      </c>
      <c r="H123" s="964" t="s">
        <v>2313</v>
      </c>
    </row>
    <row r="124" spans="1:8" s="965" customFormat="1" ht="25.5" hidden="1">
      <c r="A124" s="967"/>
      <c r="B124" s="967"/>
      <c r="C124" s="1382" t="s">
        <v>1280</v>
      </c>
      <c r="D124" s="967" t="s">
        <v>35</v>
      </c>
      <c r="E124" s="970">
        <v>1</v>
      </c>
      <c r="F124" s="970">
        <f>'MINI SSR 2022-23 (2)'!C54</f>
        <v>343</v>
      </c>
      <c r="G124" s="969">
        <f>ROUND(E124*F124,2)</f>
        <v>343</v>
      </c>
      <c r="H124" s="964" t="s">
        <v>2313</v>
      </c>
    </row>
    <row r="125" spans="1:8" s="965" customFormat="1" hidden="1">
      <c r="A125" s="967"/>
      <c r="B125" s="967"/>
      <c r="C125" s="1382" t="s">
        <v>1281</v>
      </c>
      <c r="D125" s="967" t="s">
        <v>35</v>
      </c>
      <c r="E125" s="970">
        <v>1</v>
      </c>
      <c r="F125" s="970">
        <f>'MINI SSR 2022-23 (2)'!D54</f>
        <v>1069</v>
      </c>
      <c r="G125" s="969">
        <f>ROUND(E125*F125,2)</f>
        <v>1069</v>
      </c>
      <c r="H125" s="964" t="s">
        <v>2313</v>
      </c>
    </row>
    <row r="126" spans="1:8" s="965" customFormat="1" hidden="1">
      <c r="A126" s="967"/>
      <c r="B126" s="967"/>
      <c r="C126" s="1382"/>
      <c r="D126" s="967"/>
      <c r="E126" s="967"/>
      <c r="F126" s="967"/>
      <c r="G126" s="971">
        <f>SUM(G123:G125)</f>
        <v>8501.18</v>
      </c>
      <c r="H126" s="964" t="s">
        <v>2313</v>
      </c>
    </row>
    <row r="127" spans="1:8" s="965" customFormat="1" hidden="1">
      <c r="A127" s="967"/>
      <c r="B127" s="967"/>
      <c r="C127" s="962" t="s">
        <v>75</v>
      </c>
      <c r="D127" s="967"/>
      <c r="E127" s="967"/>
      <c r="F127" s="967"/>
      <c r="G127" s="972"/>
      <c r="H127" s="964" t="s">
        <v>2313</v>
      </c>
    </row>
    <row r="128" spans="1:8" s="965" customFormat="1" hidden="1">
      <c r="A128" s="967"/>
      <c r="B128" s="967"/>
      <c r="C128" s="1382" t="s">
        <v>73</v>
      </c>
      <c r="D128" s="967" t="s">
        <v>35</v>
      </c>
      <c r="E128" s="970">
        <v>1</v>
      </c>
      <c r="F128" s="970">
        <f>G116</f>
        <v>7089.18</v>
      </c>
      <c r="G128" s="969">
        <f>ROUND(E128*F128,2)</f>
        <v>7089.18</v>
      </c>
      <c r="H128" s="964" t="s">
        <v>2313</v>
      </c>
    </row>
    <row r="129" spans="1:8" s="965" customFormat="1" hidden="1">
      <c r="A129" s="967"/>
      <c r="B129" s="967"/>
      <c r="C129" s="1382" t="s">
        <v>1282</v>
      </c>
      <c r="D129" s="967" t="s">
        <v>35</v>
      </c>
      <c r="E129" s="970">
        <v>1</v>
      </c>
      <c r="F129" s="970">
        <f>'MINI SSR 2022-23 (2)'!C55</f>
        <v>1453</v>
      </c>
      <c r="G129" s="969">
        <f>ROUND(E129*F129,2)</f>
        <v>1453</v>
      </c>
      <c r="H129" s="964" t="s">
        <v>2313</v>
      </c>
    </row>
    <row r="130" spans="1:8" s="965" customFormat="1" hidden="1">
      <c r="A130" s="967"/>
      <c r="B130" s="967"/>
      <c r="C130" s="1382" t="s">
        <v>1283</v>
      </c>
      <c r="D130" s="967" t="s">
        <v>35</v>
      </c>
      <c r="E130" s="970">
        <v>1</v>
      </c>
      <c r="F130" s="970">
        <f>'MINI SSR 2022-23 (2)'!D55</f>
        <v>1620</v>
      </c>
      <c r="G130" s="969">
        <f>ROUND(E130*F130,2)</f>
        <v>1620</v>
      </c>
      <c r="H130" s="964" t="s">
        <v>2313</v>
      </c>
    </row>
    <row r="131" spans="1:8" s="965" customFormat="1" hidden="1">
      <c r="A131" s="967"/>
      <c r="B131" s="967"/>
      <c r="C131" s="1382"/>
      <c r="D131" s="967"/>
      <c r="E131" s="967"/>
      <c r="F131" s="967"/>
      <c r="G131" s="971">
        <f>SUM(G128:G130)</f>
        <v>10162.18</v>
      </c>
      <c r="H131" s="964" t="s">
        <v>2313</v>
      </c>
    </row>
    <row r="132" spans="1:8" s="965" customFormat="1" ht="178.5" hidden="1">
      <c r="A132" s="896">
        <v>7</v>
      </c>
      <c r="B132" s="966" t="s">
        <v>76</v>
      </c>
      <c r="C132" s="1382" t="s">
        <v>226</v>
      </c>
      <c r="D132" s="967"/>
      <c r="E132" s="967"/>
      <c r="F132" s="967"/>
      <c r="G132" s="966"/>
      <c r="H132" s="964" t="s">
        <v>2313</v>
      </c>
    </row>
    <row r="133" spans="1:8" s="965" customFormat="1" hidden="1">
      <c r="A133" s="896"/>
      <c r="B133" s="966"/>
      <c r="C133" s="962" t="s">
        <v>80</v>
      </c>
      <c r="D133" s="967"/>
      <c r="E133" s="967"/>
      <c r="F133" s="967"/>
      <c r="G133" s="972"/>
      <c r="H133" s="964" t="s">
        <v>2313</v>
      </c>
    </row>
    <row r="134" spans="1:8" s="965" customFormat="1" hidden="1">
      <c r="A134" s="896"/>
      <c r="B134" s="966"/>
      <c r="C134" s="962" t="s">
        <v>60</v>
      </c>
      <c r="D134" s="967"/>
      <c r="E134" s="967"/>
      <c r="F134" s="967"/>
      <c r="G134" s="972"/>
      <c r="H134" s="964" t="s">
        <v>2313</v>
      </c>
    </row>
    <row r="135" spans="1:8" s="965" customFormat="1" hidden="1">
      <c r="A135" s="896"/>
      <c r="B135" s="966"/>
      <c r="C135" s="1382" t="s">
        <v>154</v>
      </c>
      <c r="D135" s="967" t="s">
        <v>35</v>
      </c>
      <c r="E135" s="970">
        <v>0.8</v>
      </c>
      <c r="F135" s="970">
        <f>F105</f>
        <v>2046.91</v>
      </c>
      <c r="G135" s="969">
        <f>ROUND(E135*F135,2)</f>
        <v>1637.53</v>
      </c>
      <c r="H135" s="964" t="s">
        <v>2313</v>
      </c>
    </row>
    <row r="136" spans="1:8" s="965" customFormat="1" hidden="1">
      <c r="A136" s="896"/>
      <c r="B136" s="966"/>
      <c r="C136" s="1382" t="s">
        <v>112</v>
      </c>
      <c r="D136" s="967" t="s">
        <v>35</v>
      </c>
      <c r="E136" s="970">
        <v>0.4</v>
      </c>
      <c r="F136" s="970">
        <f>'lead 22-23 P-B'!L13</f>
        <v>1720.9999999999998</v>
      </c>
      <c r="G136" s="969">
        <f>ROUND(E136*F136,2)</f>
        <v>688.4</v>
      </c>
      <c r="H136" s="964" t="s">
        <v>2313</v>
      </c>
    </row>
    <row r="137" spans="1:8" s="965" customFormat="1" hidden="1">
      <c r="A137" s="967"/>
      <c r="B137" s="967"/>
      <c r="C137" s="1382" t="s">
        <v>33</v>
      </c>
      <c r="D137" s="967" t="s">
        <v>4</v>
      </c>
      <c r="E137" s="970">
        <f>E107</f>
        <v>340</v>
      </c>
      <c r="F137" s="970">
        <f>'lead 22-23 P-B'!L8</f>
        <v>4700</v>
      </c>
      <c r="G137" s="969">
        <f>ROUND(E137*F137/1000,2)</f>
        <v>1598</v>
      </c>
      <c r="H137" s="964" t="s">
        <v>2313</v>
      </c>
    </row>
    <row r="138" spans="1:8" s="965" customFormat="1" hidden="1">
      <c r="A138" s="967"/>
      <c r="B138" s="967"/>
      <c r="C138" s="962" t="s">
        <v>68</v>
      </c>
      <c r="D138" s="967"/>
      <c r="E138" s="970"/>
      <c r="F138" s="970"/>
      <c r="G138" s="969"/>
      <c r="H138" s="964" t="s">
        <v>2313</v>
      </c>
    </row>
    <row r="139" spans="1:8" s="965" customFormat="1" hidden="1">
      <c r="A139" s="967"/>
      <c r="B139" s="967"/>
      <c r="C139" s="1382" t="s">
        <v>64</v>
      </c>
      <c r="D139" s="967" t="s">
        <v>27</v>
      </c>
      <c r="E139" s="973">
        <v>0.16700000000000001</v>
      </c>
      <c r="F139" s="970">
        <f>'MINI SSR 2022-23 (2)'!$H$3</f>
        <v>630</v>
      </c>
      <c r="G139" s="969">
        <f>ROUND(E139*F139,2)</f>
        <v>105.21</v>
      </c>
      <c r="H139" s="964" t="s">
        <v>2313</v>
      </c>
    </row>
    <row r="140" spans="1:8" s="965" customFormat="1" hidden="1">
      <c r="A140" s="967"/>
      <c r="B140" s="967"/>
      <c r="C140" s="1382" t="s">
        <v>69</v>
      </c>
      <c r="D140" s="967" t="s">
        <v>27</v>
      </c>
      <c r="E140" s="973">
        <v>0.16700000000000001</v>
      </c>
      <c r="F140" s="970">
        <f>'MINI SSR 2022-23 (2)'!$H$4</f>
        <v>565</v>
      </c>
      <c r="G140" s="969">
        <f>ROUND(E140*F140,2)</f>
        <v>94.36</v>
      </c>
      <c r="H140" s="964" t="s">
        <v>2313</v>
      </c>
    </row>
    <row r="141" spans="1:8" s="965" customFormat="1" hidden="1">
      <c r="A141" s="967"/>
      <c r="B141" s="967"/>
      <c r="C141" s="1382" t="s">
        <v>70</v>
      </c>
      <c r="D141" s="967" t="s">
        <v>27</v>
      </c>
      <c r="E141" s="973">
        <v>4.7</v>
      </c>
      <c r="F141" s="970">
        <f>'MINI SSR 2022-23 (2)'!H$5</f>
        <v>525</v>
      </c>
      <c r="G141" s="969">
        <f>ROUND(E141*F141,2)</f>
        <v>2467.5</v>
      </c>
      <c r="H141" s="964" t="s">
        <v>2313</v>
      </c>
    </row>
    <row r="142" spans="1:8" s="965" customFormat="1" hidden="1">
      <c r="A142" s="967"/>
      <c r="B142" s="967"/>
      <c r="C142" s="962" t="s">
        <v>61</v>
      </c>
      <c r="D142" s="967"/>
      <c r="E142" s="970"/>
      <c r="F142" s="970"/>
      <c r="G142" s="969"/>
      <c r="H142" s="964" t="s">
        <v>2313</v>
      </c>
    </row>
    <row r="143" spans="1:8" hidden="1">
      <c r="A143" s="967"/>
      <c r="B143" s="967"/>
      <c r="C143" s="1382" t="s">
        <v>62</v>
      </c>
      <c r="D143" s="967" t="s">
        <v>21</v>
      </c>
      <c r="E143" s="970">
        <v>1</v>
      </c>
      <c r="F143" s="970">
        <f>'MINI SSR 2022-23 (2)'!$C$30</f>
        <v>667.5</v>
      </c>
      <c r="G143" s="969">
        <f>ROUND(E143*F143,2)</f>
        <v>667.5</v>
      </c>
      <c r="H143" s="964" t="s">
        <v>2313</v>
      </c>
    </row>
    <row r="144" spans="1:8" hidden="1">
      <c r="A144" s="967"/>
      <c r="B144" s="967"/>
      <c r="C144" s="1382" t="s">
        <v>160</v>
      </c>
      <c r="D144" s="967" t="s">
        <v>21</v>
      </c>
      <c r="E144" s="970">
        <v>1</v>
      </c>
      <c r="F144" s="970">
        <f>'MINI SSR 2022-23 (2)'!$C$31</f>
        <v>259.10000000000002</v>
      </c>
      <c r="G144" s="969">
        <f>ROUND(E144*F144,2)</f>
        <v>259.10000000000002</v>
      </c>
      <c r="H144" s="964" t="s">
        <v>2313</v>
      </c>
    </row>
    <row r="145" spans="1:8" hidden="1">
      <c r="A145" s="967"/>
      <c r="B145" s="967"/>
      <c r="C145" s="1382" t="s">
        <v>57</v>
      </c>
      <c r="D145" s="967" t="s">
        <v>58</v>
      </c>
      <c r="E145" s="970">
        <v>1.2</v>
      </c>
      <c r="F145" s="922">
        <f>'MINI SSR 2022-23 (2)'!$C$29</f>
        <v>95</v>
      </c>
      <c r="G145" s="969">
        <f>ROUND(E145*F145,2)</f>
        <v>114</v>
      </c>
      <c r="H145" s="964" t="s">
        <v>2313</v>
      </c>
    </row>
    <row r="146" spans="1:8" hidden="1">
      <c r="A146" s="967"/>
      <c r="B146" s="967"/>
      <c r="C146" s="962" t="s">
        <v>71</v>
      </c>
      <c r="D146" s="967"/>
      <c r="E146" s="967"/>
      <c r="F146" s="967"/>
      <c r="G146" s="971">
        <f>SUM(G135:G145)</f>
        <v>7631.6</v>
      </c>
      <c r="H146" s="964" t="s">
        <v>2313</v>
      </c>
    </row>
    <row r="147" spans="1:8" hidden="1">
      <c r="A147" s="967"/>
      <c r="B147" s="967"/>
      <c r="C147" s="962"/>
      <c r="D147" s="967"/>
      <c r="E147" s="966" t="s">
        <v>161</v>
      </c>
      <c r="F147" s="966" t="s">
        <v>162</v>
      </c>
      <c r="G147" s="974" t="s">
        <v>163</v>
      </c>
      <c r="H147" s="964" t="s">
        <v>2313</v>
      </c>
    </row>
    <row r="148" spans="1:8" hidden="1">
      <c r="A148" s="967"/>
      <c r="B148" s="967"/>
      <c r="C148" s="962" t="s">
        <v>1284</v>
      </c>
      <c r="D148" s="967"/>
      <c r="E148" s="970">
        <f>G146</f>
        <v>7631.6</v>
      </c>
      <c r="F148" s="970">
        <f>G146</f>
        <v>7631.6</v>
      </c>
      <c r="G148" s="972">
        <f>G146</f>
        <v>7631.6</v>
      </c>
      <c r="H148" s="964" t="s">
        <v>2313</v>
      </c>
    </row>
    <row r="149" spans="1:8" ht="25.5" hidden="1">
      <c r="A149" s="967"/>
      <c r="B149" s="967"/>
      <c r="C149" s="1382" t="s">
        <v>164</v>
      </c>
      <c r="D149" s="967"/>
      <c r="E149" s="970">
        <f>'MINI SSR 2022-23 (2)'!C57</f>
        <v>371</v>
      </c>
      <c r="F149" s="970">
        <f>E149</f>
        <v>371</v>
      </c>
      <c r="G149" s="924">
        <f>E149</f>
        <v>371</v>
      </c>
      <c r="H149" s="964" t="s">
        <v>2313</v>
      </c>
    </row>
    <row r="150" spans="1:8" hidden="1">
      <c r="A150" s="967"/>
      <c r="B150" s="967"/>
      <c r="C150" s="1382" t="s">
        <v>165</v>
      </c>
      <c r="D150" s="967"/>
      <c r="E150" s="970">
        <f>'MINI SSR 2022-23 (2)'!D57</f>
        <v>2415</v>
      </c>
      <c r="F150" s="970">
        <f>'MINI SSR 2022-23 (2)'!E57</f>
        <v>2657</v>
      </c>
      <c r="G150" s="970">
        <f>'MINI SSR 2022-23 (2)'!F57</f>
        <v>2898</v>
      </c>
      <c r="H150" s="964" t="s">
        <v>2313</v>
      </c>
    </row>
    <row r="151" spans="1:8" ht="25.5" hidden="1">
      <c r="A151" s="967"/>
      <c r="B151" s="967"/>
      <c r="C151" s="1382" t="s">
        <v>1285</v>
      </c>
      <c r="D151" s="967"/>
      <c r="E151" s="967"/>
      <c r="F151" s="967">
        <f>ROUND((G139+G140+G141+F150)*0.1,2)</f>
        <v>532.41</v>
      </c>
      <c r="G151" s="975">
        <f>ROUND((G139+G140+G141+G150)*0.2,2)</f>
        <v>1113.01</v>
      </c>
      <c r="H151" s="964" t="s">
        <v>2313</v>
      </c>
    </row>
    <row r="152" spans="1:8" hidden="1">
      <c r="A152" s="967"/>
      <c r="B152" s="967"/>
      <c r="C152" s="1382"/>
      <c r="D152" s="967"/>
      <c r="E152" s="974">
        <f>SUM(E148:E151)</f>
        <v>10417.6</v>
      </c>
      <c r="F152" s="974">
        <f>SUM(F148:F151)</f>
        <v>11192.01</v>
      </c>
      <c r="G152" s="971">
        <f>SUM(G148:G151)</f>
        <v>12013.61</v>
      </c>
      <c r="H152" s="964" t="s">
        <v>2313</v>
      </c>
    </row>
    <row r="153" spans="1:8" hidden="1">
      <c r="A153" s="967"/>
      <c r="B153" s="967"/>
      <c r="C153" s="962"/>
      <c r="D153" s="967"/>
      <c r="E153" s="966" t="s">
        <v>161</v>
      </c>
      <c r="F153" s="966" t="s">
        <v>162</v>
      </c>
      <c r="G153" s="974" t="s">
        <v>163</v>
      </c>
      <c r="H153" s="964" t="s">
        <v>2313</v>
      </c>
    </row>
    <row r="154" spans="1:8" hidden="1">
      <c r="A154" s="967"/>
      <c r="B154" s="967"/>
      <c r="C154" s="962" t="s">
        <v>1286</v>
      </c>
      <c r="D154" s="967"/>
      <c r="E154" s="970">
        <f>G146</f>
        <v>7631.6</v>
      </c>
      <c r="F154" s="970">
        <f>G146</f>
        <v>7631.6</v>
      </c>
      <c r="G154" s="972">
        <f>G146</f>
        <v>7631.6</v>
      </c>
      <c r="H154" s="964" t="s">
        <v>2313</v>
      </c>
    </row>
    <row r="155" spans="1:8" ht="25.5" hidden="1">
      <c r="A155" s="967"/>
      <c r="B155" s="967"/>
      <c r="C155" s="1382" t="s">
        <v>166</v>
      </c>
      <c r="D155" s="967"/>
      <c r="E155" s="970">
        <f>'MINI SSR 2022-23 (2)'!C58</f>
        <v>1233</v>
      </c>
      <c r="F155" s="970">
        <f>E155</f>
        <v>1233</v>
      </c>
      <c r="G155" s="924">
        <f>E155</f>
        <v>1233</v>
      </c>
      <c r="H155" s="964" t="s">
        <v>2313</v>
      </c>
    </row>
    <row r="156" spans="1:8" hidden="1">
      <c r="A156" s="967"/>
      <c r="B156" s="967"/>
      <c r="C156" s="1382" t="s">
        <v>167</v>
      </c>
      <c r="D156" s="967"/>
      <c r="E156" s="970">
        <f>'MINI SSR 2022-23 (2)'!D58</f>
        <v>1720</v>
      </c>
      <c r="F156" s="970">
        <f>'MINI SSR 2022-23 (2)'!E58</f>
        <v>1892</v>
      </c>
      <c r="G156" s="970">
        <f>'MINI SSR 2022-23 (2)'!F58</f>
        <v>2064</v>
      </c>
      <c r="H156" s="964" t="s">
        <v>2313</v>
      </c>
    </row>
    <row r="157" spans="1:8" ht="25.5" hidden="1">
      <c r="A157" s="967"/>
      <c r="B157" s="967"/>
      <c r="C157" s="1382" t="s">
        <v>1285</v>
      </c>
      <c r="D157" s="967"/>
      <c r="E157" s="967"/>
      <c r="F157" s="967">
        <f>ROUND((G139+G140+G141+F156)*0.1,2)</f>
        <v>455.91</v>
      </c>
      <c r="G157" s="975">
        <f>ROUND((G139+G140+G141+G156)*0.2,2)</f>
        <v>946.21</v>
      </c>
      <c r="H157" s="964" t="s">
        <v>2313</v>
      </c>
    </row>
    <row r="158" spans="1:8" hidden="1">
      <c r="A158" s="967"/>
      <c r="B158" s="967"/>
      <c r="C158" s="1382"/>
      <c r="D158" s="967"/>
      <c r="E158" s="974">
        <f>SUM(E154:E157)</f>
        <v>10584.6</v>
      </c>
      <c r="F158" s="974">
        <f>SUM(F154:F157)</f>
        <v>11212.51</v>
      </c>
      <c r="G158" s="971">
        <f>SUM(G154:G157)</f>
        <v>11874.810000000001</v>
      </c>
      <c r="H158" s="964" t="s">
        <v>2313</v>
      </c>
    </row>
    <row r="159" spans="1:8" ht="178.5" hidden="1">
      <c r="A159" s="896">
        <v>8</v>
      </c>
      <c r="B159" s="966" t="s">
        <v>78</v>
      </c>
      <c r="C159" s="1382" t="s">
        <v>226</v>
      </c>
      <c r="D159" s="967"/>
      <c r="E159" s="967"/>
      <c r="F159" s="967"/>
      <c r="G159" s="966"/>
      <c r="H159" s="964" t="s">
        <v>2313</v>
      </c>
    </row>
    <row r="160" spans="1:8" hidden="1">
      <c r="A160" s="896"/>
      <c r="B160" s="966"/>
      <c r="C160" s="962" t="s">
        <v>79</v>
      </c>
      <c r="D160" s="967"/>
      <c r="E160" s="967"/>
      <c r="F160" s="967"/>
      <c r="G160" s="972"/>
      <c r="H160" s="964" t="s">
        <v>2313</v>
      </c>
    </row>
    <row r="161" spans="1:8" hidden="1">
      <c r="A161" s="896"/>
      <c r="B161" s="966"/>
      <c r="C161" s="962" t="s">
        <v>60</v>
      </c>
      <c r="D161" s="966"/>
      <c r="E161" s="966"/>
      <c r="F161" s="966"/>
      <c r="G161" s="972"/>
      <c r="H161" s="964" t="s">
        <v>2313</v>
      </c>
    </row>
    <row r="162" spans="1:8" hidden="1">
      <c r="A162" s="896"/>
      <c r="B162" s="966"/>
      <c r="C162" s="1382" t="s">
        <v>154</v>
      </c>
      <c r="D162" s="967" t="s">
        <v>35</v>
      </c>
      <c r="E162" s="970">
        <v>0.8</v>
      </c>
      <c r="F162" s="970">
        <f>F35</f>
        <v>2046.91</v>
      </c>
      <c r="G162" s="969">
        <f>ROUND(E162*F162,2)</f>
        <v>1637.53</v>
      </c>
      <c r="H162" s="964" t="s">
        <v>2313</v>
      </c>
    </row>
    <row r="163" spans="1:8" hidden="1">
      <c r="A163" s="896"/>
      <c r="B163" s="966"/>
      <c r="C163" s="1382" t="s">
        <v>112</v>
      </c>
      <c r="D163" s="967" t="s">
        <v>35</v>
      </c>
      <c r="E163" s="970">
        <v>0.4</v>
      </c>
      <c r="F163" s="970">
        <f>'lead 22-23 P-B'!L13</f>
        <v>1720.9999999999998</v>
      </c>
      <c r="G163" s="969">
        <f>ROUND(E163*F163,2)</f>
        <v>688.4</v>
      </c>
      <c r="H163" s="964" t="s">
        <v>2313</v>
      </c>
    </row>
    <row r="164" spans="1:8" hidden="1">
      <c r="A164" s="967"/>
      <c r="B164" s="967"/>
      <c r="C164" s="1382" t="s">
        <v>33</v>
      </c>
      <c r="D164" s="967" t="s">
        <v>4</v>
      </c>
      <c r="E164" s="970">
        <f>E137</f>
        <v>340</v>
      </c>
      <c r="F164" s="970">
        <f>'lead 22-23 P-B'!L8</f>
        <v>4700</v>
      </c>
      <c r="G164" s="969">
        <f>ROUND(E164*F164/1000,2)</f>
        <v>1598</v>
      </c>
      <c r="H164" s="964" t="s">
        <v>2313</v>
      </c>
    </row>
    <row r="165" spans="1:8" hidden="1">
      <c r="A165" s="967"/>
      <c r="B165" s="967"/>
      <c r="C165" s="962" t="s">
        <v>68</v>
      </c>
      <c r="D165" s="967"/>
      <c r="E165" s="970"/>
      <c r="F165" s="970"/>
      <c r="G165" s="969"/>
      <c r="H165" s="964" t="s">
        <v>2313</v>
      </c>
    </row>
    <row r="166" spans="1:8" hidden="1">
      <c r="A166" s="967"/>
      <c r="B166" s="967"/>
      <c r="C166" s="1382" t="s">
        <v>64</v>
      </c>
      <c r="D166" s="967" t="s">
        <v>27</v>
      </c>
      <c r="E166" s="973">
        <v>6.7000000000000004E-2</v>
      </c>
      <c r="F166" s="970">
        <f>'MINI SSR 2022-23 (2)'!$H$3</f>
        <v>630</v>
      </c>
      <c r="G166" s="969">
        <f>ROUND(E166*F166,2)</f>
        <v>42.21</v>
      </c>
      <c r="H166" s="964" t="s">
        <v>2313</v>
      </c>
    </row>
    <row r="167" spans="1:8" hidden="1">
      <c r="A167" s="967"/>
      <c r="B167" s="967"/>
      <c r="C167" s="1382" t="s">
        <v>69</v>
      </c>
      <c r="D167" s="967" t="s">
        <v>27</v>
      </c>
      <c r="E167" s="973">
        <v>0.13300000000000001</v>
      </c>
      <c r="F167" s="970">
        <f>'MINI SSR 2022-23 (2)'!$H$4</f>
        <v>565</v>
      </c>
      <c r="G167" s="969">
        <f>ROUND(E167*F167,2)</f>
        <v>75.150000000000006</v>
      </c>
      <c r="H167" s="964" t="s">
        <v>2313</v>
      </c>
    </row>
    <row r="168" spans="1:8" hidden="1">
      <c r="A168" s="967"/>
      <c r="B168" s="967"/>
      <c r="C168" s="1382" t="s">
        <v>70</v>
      </c>
      <c r="D168" s="967" t="s">
        <v>27</v>
      </c>
      <c r="E168" s="973">
        <v>2.5</v>
      </c>
      <c r="F168" s="970">
        <f>'MINI SSR 2022-23 (2)'!H$5</f>
        <v>525</v>
      </c>
      <c r="G168" s="969">
        <f>ROUND(E168*F168,2)</f>
        <v>1312.5</v>
      </c>
      <c r="H168" s="964" t="s">
        <v>2313</v>
      </c>
    </row>
    <row r="169" spans="1:8" hidden="1">
      <c r="A169" s="967"/>
      <c r="B169" s="967"/>
      <c r="C169" s="962" t="s">
        <v>61</v>
      </c>
      <c r="D169" s="967"/>
      <c r="E169" s="970"/>
      <c r="F169" s="970"/>
      <c r="G169" s="969"/>
      <c r="H169" s="964" t="s">
        <v>2313</v>
      </c>
    </row>
    <row r="170" spans="1:8" hidden="1">
      <c r="A170" s="967"/>
      <c r="B170" s="967"/>
      <c r="C170" s="1382" t="s">
        <v>62</v>
      </c>
      <c r="D170" s="967" t="s">
        <v>21</v>
      </c>
      <c r="E170" s="973">
        <v>0.26700000000000002</v>
      </c>
      <c r="F170" s="970">
        <f>'MINI SSR 2022-23 (2)'!$C$30</f>
        <v>667.5</v>
      </c>
      <c r="G170" s="969">
        <f>ROUND(E170*F170,2)</f>
        <v>178.22</v>
      </c>
      <c r="H170" s="964" t="s">
        <v>2313</v>
      </c>
    </row>
    <row r="171" spans="1:8" hidden="1">
      <c r="A171" s="967"/>
      <c r="B171" s="967"/>
      <c r="C171" s="1382" t="s">
        <v>160</v>
      </c>
      <c r="D171" s="967" t="s">
        <v>21</v>
      </c>
      <c r="E171" s="973">
        <v>0.26700000000000002</v>
      </c>
      <c r="F171" s="970">
        <f>'MINI SSR 2022-23 (2)'!$C$31</f>
        <v>259.10000000000002</v>
      </c>
      <c r="G171" s="969">
        <f>ROUND(E171*F171,2)</f>
        <v>69.180000000000007</v>
      </c>
      <c r="H171" s="964" t="s">
        <v>2313</v>
      </c>
    </row>
    <row r="172" spans="1:8" hidden="1">
      <c r="A172" s="967"/>
      <c r="B172" s="967"/>
      <c r="C172" s="1382" t="s">
        <v>57</v>
      </c>
      <c r="D172" s="967" t="s">
        <v>58</v>
      </c>
      <c r="E172" s="970">
        <v>1.2</v>
      </c>
      <c r="F172" s="922">
        <f>'MINI SSR 2022-23 (2)'!$C$29</f>
        <v>95</v>
      </c>
      <c r="G172" s="969">
        <f>ROUND(E172*F172,2)</f>
        <v>114</v>
      </c>
      <c r="H172" s="964" t="s">
        <v>2313</v>
      </c>
    </row>
    <row r="173" spans="1:8" hidden="1">
      <c r="A173" s="967"/>
      <c r="B173" s="967"/>
      <c r="C173" s="962" t="s">
        <v>71</v>
      </c>
      <c r="D173" s="967"/>
      <c r="E173" s="967"/>
      <c r="F173" s="967"/>
      <c r="G173" s="971">
        <f>SUM(G162:G172)</f>
        <v>5715.1900000000005</v>
      </c>
      <c r="H173" s="964" t="s">
        <v>2313</v>
      </c>
    </row>
    <row r="174" spans="1:8" hidden="1">
      <c r="A174" s="967"/>
      <c r="B174" s="967"/>
      <c r="C174" s="962"/>
      <c r="D174" s="967"/>
      <c r="E174" s="966" t="s">
        <v>161</v>
      </c>
      <c r="F174" s="966" t="s">
        <v>162</v>
      </c>
      <c r="G174" s="974" t="s">
        <v>163</v>
      </c>
      <c r="H174" s="964" t="s">
        <v>2313</v>
      </c>
    </row>
    <row r="175" spans="1:8" hidden="1">
      <c r="A175" s="967"/>
      <c r="B175" s="967"/>
      <c r="C175" s="962" t="s">
        <v>1287</v>
      </c>
      <c r="D175" s="967"/>
      <c r="E175" s="970">
        <f>G173</f>
        <v>5715.1900000000005</v>
      </c>
      <c r="F175" s="970">
        <f>G173</f>
        <v>5715.1900000000005</v>
      </c>
      <c r="G175" s="972">
        <f>G173</f>
        <v>5715.1900000000005</v>
      </c>
      <c r="H175" s="964" t="s">
        <v>2313</v>
      </c>
    </row>
    <row r="176" spans="1:8" ht="25.5" hidden="1">
      <c r="A176" s="967"/>
      <c r="B176" s="967"/>
      <c r="C176" s="1382" t="s">
        <v>177</v>
      </c>
      <c r="D176" s="967"/>
      <c r="E176" s="970">
        <f>'MINI SSR 2022-23 (2)'!C60</f>
        <v>2179</v>
      </c>
      <c r="F176" s="970">
        <f>E176</f>
        <v>2179</v>
      </c>
      <c r="G176" s="924">
        <f>E176</f>
        <v>2179</v>
      </c>
      <c r="H176" s="964" t="s">
        <v>2313</v>
      </c>
    </row>
    <row r="177" spans="1:8" hidden="1">
      <c r="A177" s="967"/>
      <c r="B177" s="967"/>
      <c r="C177" s="1382" t="s">
        <v>178</v>
      </c>
      <c r="D177" s="967"/>
      <c r="E177" s="970">
        <f>'MINI SSR 2022-23 (2)'!D60</f>
        <v>2027</v>
      </c>
      <c r="F177" s="970">
        <f>'MINI SSR 2022-23 (2)'!E60</f>
        <v>2230</v>
      </c>
      <c r="G177" s="970">
        <f>'MINI SSR 2022-23 (2)'!F60</f>
        <v>2432</v>
      </c>
      <c r="H177" s="964" t="s">
        <v>2313</v>
      </c>
    </row>
    <row r="178" spans="1:8" ht="25.5" hidden="1">
      <c r="A178" s="967"/>
      <c r="B178" s="967"/>
      <c r="C178" s="1382" t="s">
        <v>1285</v>
      </c>
      <c r="D178" s="967"/>
      <c r="E178" s="967"/>
      <c r="F178" s="970">
        <f>ROUND((G166+G167+G168+F177)*0.1,2)</f>
        <v>365.99</v>
      </c>
      <c r="G178" s="972">
        <f>ROUND((G166+G167+G168+G177)*0.2,2)</f>
        <v>772.37</v>
      </c>
      <c r="H178" s="964" t="s">
        <v>2313</v>
      </c>
    </row>
    <row r="179" spans="1:8" hidden="1">
      <c r="A179" s="967"/>
      <c r="B179" s="967"/>
      <c r="C179" s="962" t="s">
        <v>182</v>
      </c>
      <c r="D179" s="967"/>
      <c r="E179" s="974">
        <f>SUM(E175:E178)</f>
        <v>9921.19</v>
      </c>
      <c r="F179" s="974">
        <f>SUM(F175:F178)</f>
        <v>10490.18</v>
      </c>
      <c r="G179" s="971">
        <f>SUM(G175:G178)</f>
        <v>11098.560000000001</v>
      </c>
      <c r="H179" s="964" t="s">
        <v>2313</v>
      </c>
    </row>
    <row r="180" spans="1:8" hidden="1">
      <c r="A180" s="967"/>
      <c r="B180" s="967"/>
      <c r="C180" s="962"/>
      <c r="D180" s="967"/>
      <c r="E180" s="966" t="s">
        <v>161</v>
      </c>
      <c r="F180" s="966" t="s">
        <v>162</v>
      </c>
      <c r="G180" s="974" t="s">
        <v>163</v>
      </c>
      <c r="H180" s="964" t="s">
        <v>2313</v>
      </c>
    </row>
    <row r="181" spans="1:8" hidden="1">
      <c r="A181" s="967"/>
      <c r="B181" s="967"/>
      <c r="C181" s="962" t="s">
        <v>1288</v>
      </c>
      <c r="D181" s="967"/>
      <c r="E181" s="970">
        <f>G173</f>
        <v>5715.1900000000005</v>
      </c>
      <c r="F181" s="970">
        <f>G173</f>
        <v>5715.1900000000005</v>
      </c>
      <c r="G181" s="972">
        <f>G173</f>
        <v>5715.1900000000005</v>
      </c>
      <c r="H181" s="964" t="s">
        <v>2313</v>
      </c>
    </row>
    <row r="182" spans="1:8" hidden="1">
      <c r="A182" s="967"/>
      <c r="B182" s="967"/>
      <c r="C182" s="962" t="s">
        <v>1268</v>
      </c>
      <c r="D182" s="970">
        <v>0.1</v>
      </c>
      <c r="E182" s="970">
        <f>ROUND(E181*0.1,2)</f>
        <v>571.52</v>
      </c>
      <c r="F182" s="970">
        <f>ROUND(F181*0.1,2)</f>
        <v>571.52</v>
      </c>
      <c r="G182" s="972">
        <f>ROUND(G181*0.1,2)</f>
        <v>571.52</v>
      </c>
      <c r="H182" s="964" t="s">
        <v>2313</v>
      </c>
    </row>
    <row r="183" spans="1:8" ht="25.5" hidden="1">
      <c r="A183" s="967"/>
      <c r="B183" s="967"/>
      <c r="C183" s="1382" t="s">
        <v>179</v>
      </c>
      <c r="D183" s="967"/>
      <c r="E183" s="970">
        <f>'MINI SSR 2022-23 (2)'!C61</f>
        <v>247</v>
      </c>
      <c r="F183" s="970">
        <f>E183</f>
        <v>247</v>
      </c>
      <c r="G183" s="924">
        <f>E183</f>
        <v>247</v>
      </c>
      <c r="H183" s="964" t="s">
        <v>2313</v>
      </c>
    </row>
    <row r="184" spans="1:8" hidden="1">
      <c r="A184" s="967"/>
      <c r="B184" s="967"/>
      <c r="C184" s="1382" t="s">
        <v>180</v>
      </c>
      <c r="D184" s="967"/>
      <c r="E184" s="970">
        <f>'MINI SSR 2022-23 (2)'!D61</f>
        <v>241</v>
      </c>
      <c r="F184" s="970">
        <f>'MINI SSR 2022-23 (2)'!E61</f>
        <v>265</v>
      </c>
      <c r="G184" s="970">
        <f>'MINI SSR 2022-23 (2)'!F61</f>
        <v>289</v>
      </c>
      <c r="H184" s="964" t="s">
        <v>2313</v>
      </c>
    </row>
    <row r="185" spans="1:8" ht="25.5" hidden="1">
      <c r="A185" s="967"/>
      <c r="B185" s="967"/>
      <c r="C185" s="1382" t="s">
        <v>1289</v>
      </c>
      <c r="D185" s="967"/>
      <c r="E185" s="967"/>
      <c r="F185" s="970">
        <f>ROUND(((G166+G167+G168+F184)*0.1),2)</f>
        <v>169.49</v>
      </c>
      <c r="G185" s="972">
        <f>ROUND(((G166+G167+G168+G184)*0.2),2)</f>
        <v>343.77</v>
      </c>
      <c r="H185" s="964" t="s">
        <v>2313</v>
      </c>
    </row>
    <row r="186" spans="1:8" hidden="1">
      <c r="A186" s="967"/>
      <c r="B186" s="967"/>
      <c r="C186" s="962" t="s">
        <v>181</v>
      </c>
      <c r="D186" s="967"/>
      <c r="E186" s="974">
        <f>SUM(E182:E185)</f>
        <v>1059.52</v>
      </c>
      <c r="F186" s="974">
        <f>SUM(F182:F185)</f>
        <v>1253.01</v>
      </c>
      <c r="G186" s="971">
        <f>SUM(G182:G185)</f>
        <v>1451.29</v>
      </c>
      <c r="H186" s="964" t="s">
        <v>2313</v>
      </c>
    </row>
    <row r="187" spans="1:8" hidden="1">
      <c r="A187" s="967"/>
      <c r="B187" s="967"/>
      <c r="C187" s="962"/>
      <c r="D187" s="967"/>
      <c r="E187" s="966" t="s">
        <v>161</v>
      </c>
      <c r="F187" s="966" t="s">
        <v>162</v>
      </c>
      <c r="G187" s="974" t="s">
        <v>163</v>
      </c>
      <c r="H187" s="964" t="s">
        <v>2313</v>
      </c>
    </row>
    <row r="188" spans="1:8" hidden="1">
      <c r="A188" s="967"/>
      <c r="B188" s="967"/>
      <c r="C188" s="962" t="s">
        <v>1290</v>
      </c>
      <c r="D188" s="967"/>
      <c r="E188" s="970">
        <f>G173</f>
        <v>5715.1900000000005</v>
      </c>
      <c r="F188" s="970">
        <f>G173</f>
        <v>5715.1900000000005</v>
      </c>
      <c r="G188" s="972">
        <f>G173</f>
        <v>5715.1900000000005</v>
      </c>
      <c r="H188" s="964" t="s">
        <v>2313</v>
      </c>
    </row>
    <row r="189" spans="1:8" hidden="1">
      <c r="A189" s="967"/>
      <c r="B189" s="967"/>
      <c r="C189" s="962" t="s">
        <v>1269</v>
      </c>
      <c r="D189" s="967">
        <v>0.125</v>
      </c>
      <c r="E189" s="970">
        <f>ROUND(E188*0.125,2)</f>
        <v>714.4</v>
      </c>
      <c r="F189" s="970">
        <f>ROUND(F188*0.125,2)</f>
        <v>714.4</v>
      </c>
      <c r="G189" s="972">
        <f>ROUND(G188*0.125,2)</f>
        <v>714.4</v>
      </c>
      <c r="H189" s="964" t="s">
        <v>2313</v>
      </c>
    </row>
    <row r="190" spans="1:8" ht="25.5" hidden="1">
      <c r="A190" s="967"/>
      <c r="B190" s="967"/>
      <c r="C190" s="1382" t="s">
        <v>179</v>
      </c>
      <c r="D190" s="967"/>
      <c r="E190" s="970">
        <f>'MINI SSR 2022-23 (2)'!C61</f>
        <v>247</v>
      </c>
      <c r="F190" s="970">
        <f>E190</f>
        <v>247</v>
      </c>
      <c r="G190" s="924">
        <f>E190</f>
        <v>247</v>
      </c>
      <c r="H190" s="964" t="s">
        <v>2313</v>
      </c>
    </row>
    <row r="191" spans="1:8" hidden="1">
      <c r="A191" s="967"/>
      <c r="B191" s="967"/>
      <c r="C191" s="1382" t="s">
        <v>180</v>
      </c>
      <c r="D191" s="967"/>
      <c r="E191" s="970">
        <f>'MINI SSR 2022-23 (2)'!D61</f>
        <v>241</v>
      </c>
      <c r="F191" s="970">
        <f>'MINI SSR 2022-23 (2)'!E61</f>
        <v>265</v>
      </c>
      <c r="G191" s="970">
        <f>'MINI SSR 2022-23 (2)'!F61</f>
        <v>289</v>
      </c>
      <c r="H191" s="964" t="s">
        <v>2313</v>
      </c>
    </row>
    <row r="192" spans="1:8" ht="25.5" hidden="1">
      <c r="A192" s="967"/>
      <c r="B192" s="967"/>
      <c r="C192" s="1382" t="s">
        <v>1289</v>
      </c>
      <c r="D192" s="967"/>
      <c r="E192" s="967"/>
      <c r="F192" s="970">
        <f>ROUND(((G166+G167+G168+F191)*0.1),2)</f>
        <v>169.49</v>
      </c>
      <c r="G192" s="972">
        <f>ROUND(((G166+G167+G168+G191)*0.2),2)</f>
        <v>343.77</v>
      </c>
      <c r="H192" s="964" t="s">
        <v>2313</v>
      </c>
    </row>
    <row r="193" spans="1:8" hidden="1">
      <c r="A193" s="967"/>
      <c r="B193" s="967"/>
      <c r="C193" s="962" t="s">
        <v>181</v>
      </c>
      <c r="D193" s="967"/>
      <c r="E193" s="974">
        <f>SUM(E189:E192)</f>
        <v>1202.4000000000001</v>
      </c>
      <c r="F193" s="974">
        <f>SUM(F189:F192)</f>
        <v>1395.89</v>
      </c>
      <c r="G193" s="971">
        <f>SUM(G189:G192)</f>
        <v>1594.17</v>
      </c>
      <c r="H193" s="964" t="s">
        <v>2313</v>
      </c>
    </row>
    <row r="194" spans="1:8" hidden="1">
      <c r="A194" s="967"/>
      <c r="B194" s="967"/>
      <c r="C194" s="962"/>
      <c r="D194" s="967"/>
      <c r="E194" s="966" t="s">
        <v>161</v>
      </c>
      <c r="F194" s="966" t="s">
        <v>162</v>
      </c>
      <c r="G194" s="974" t="s">
        <v>163</v>
      </c>
      <c r="H194" s="964" t="s">
        <v>2313</v>
      </c>
    </row>
    <row r="195" spans="1:8" hidden="1">
      <c r="A195" s="967"/>
      <c r="B195" s="967"/>
      <c r="C195" s="962" t="s">
        <v>1291</v>
      </c>
      <c r="D195" s="967"/>
      <c r="E195" s="970">
        <f>G173</f>
        <v>5715.1900000000005</v>
      </c>
      <c r="F195" s="970">
        <f>G173</f>
        <v>5715.1900000000005</v>
      </c>
      <c r="G195" s="972">
        <f>G173</f>
        <v>5715.1900000000005</v>
      </c>
      <c r="H195" s="964" t="s">
        <v>2313</v>
      </c>
    </row>
    <row r="196" spans="1:8" hidden="1">
      <c r="A196" s="967"/>
      <c r="B196" s="967"/>
      <c r="C196" s="962" t="s">
        <v>1269</v>
      </c>
      <c r="D196" s="967">
        <v>0.15</v>
      </c>
      <c r="E196" s="970">
        <f>ROUND(E195*0.15,2)</f>
        <v>857.28</v>
      </c>
      <c r="F196" s="970">
        <f>ROUND(F195*0.15,2)</f>
        <v>857.28</v>
      </c>
      <c r="G196" s="972">
        <f>ROUND(G195*0.15,2)</f>
        <v>857.28</v>
      </c>
      <c r="H196" s="964" t="s">
        <v>2313</v>
      </c>
    </row>
    <row r="197" spans="1:8" ht="25.5" hidden="1">
      <c r="A197" s="967"/>
      <c r="B197" s="967"/>
      <c r="C197" s="1382" t="s">
        <v>179</v>
      </c>
      <c r="D197" s="967"/>
      <c r="E197" s="970">
        <f>E190</f>
        <v>247</v>
      </c>
      <c r="F197" s="970">
        <f>E197</f>
        <v>247</v>
      </c>
      <c r="G197" s="924">
        <f>E197</f>
        <v>247</v>
      </c>
      <c r="H197" s="964" t="s">
        <v>2313</v>
      </c>
    </row>
    <row r="198" spans="1:8" hidden="1">
      <c r="A198" s="967"/>
      <c r="B198" s="967"/>
      <c r="C198" s="1382" t="s">
        <v>180</v>
      </c>
      <c r="D198" s="967"/>
      <c r="E198" s="970">
        <f>E191</f>
        <v>241</v>
      </c>
      <c r="F198" s="970">
        <f>F191</f>
        <v>265</v>
      </c>
      <c r="G198" s="924">
        <f>G191</f>
        <v>289</v>
      </c>
      <c r="H198" s="964" t="s">
        <v>2313</v>
      </c>
    </row>
    <row r="199" spans="1:8" ht="25.5" hidden="1">
      <c r="A199" s="967"/>
      <c r="B199" s="967"/>
      <c r="C199" s="1382" t="s">
        <v>1289</v>
      </c>
      <c r="D199" s="967"/>
      <c r="E199" s="967"/>
      <c r="F199" s="970">
        <f>ROUND(((G166+G167+G168+F198)*1)*0.1,2)</f>
        <v>169.49</v>
      </c>
      <c r="G199" s="972">
        <f>ROUND(((G166+G167+G168+G198)*1)*0.2,2)</f>
        <v>343.77</v>
      </c>
      <c r="H199" s="964" t="s">
        <v>2313</v>
      </c>
    </row>
    <row r="200" spans="1:8" hidden="1">
      <c r="A200" s="967"/>
      <c r="B200" s="967"/>
      <c r="C200" s="962" t="s">
        <v>181</v>
      </c>
      <c r="D200" s="967"/>
      <c r="E200" s="974">
        <f>SUM(E196:E199)</f>
        <v>1345.28</v>
      </c>
      <c r="F200" s="974">
        <f>SUM(F196:F199)</f>
        <v>1538.77</v>
      </c>
      <c r="G200" s="971">
        <f>SUM(G196:G199)</f>
        <v>1737.05</v>
      </c>
      <c r="H200" s="964" t="s">
        <v>2313</v>
      </c>
    </row>
    <row r="201" spans="1:8" hidden="1">
      <c r="A201" s="967"/>
      <c r="B201" s="967"/>
      <c r="C201" s="962" t="s">
        <v>1292</v>
      </c>
      <c r="D201" s="967"/>
      <c r="E201" s="970">
        <f>G173</f>
        <v>5715.1900000000005</v>
      </c>
      <c r="F201" s="970">
        <f>G173</f>
        <v>5715.1900000000005</v>
      </c>
      <c r="G201" s="972">
        <f>G173</f>
        <v>5715.1900000000005</v>
      </c>
      <c r="H201" s="964" t="s">
        <v>2313</v>
      </c>
    </row>
    <row r="202" spans="1:8" hidden="1">
      <c r="A202" s="967"/>
      <c r="B202" s="967"/>
      <c r="C202" s="962" t="s">
        <v>1269</v>
      </c>
      <c r="D202" s="973">
        <v>0.17499999999999999</v>
      </c>
      <c r="E202" s="970">
        <f>ROUND(E201*0.175,2)</f>
        <v>1000.16</v>
      </c>
      <c r="F202" s="970">
        <f>ROUND(F201*0.175,2)</f>
        <v>1000.16</v>
      </c>
      <c r="G202" s="972">
        <f>ROUND(G201*0.175,2)</f>
        <v>1000.16</v>
      </c>
      <c r="H202" s="964" t="s">
        <v>2313</v>
      </c>
    </row>
    <row r="203" spans="1:8" ht="25.5" hidden="1">
      <c r="A203" s="967"/>
      <c r="B203" s="967"/>
      <c r="C203" s="1382" t="s">
        <v>183</v>
      </c>
      <c r="D203" s="967"/>
      <c r="E203" s="970">
        <f>'MINI SSR 2022-23 (2)'!C62</f>
        <v>254</v>
      </c>
      <c r="F203" s="970">
        <f>E203</f>
        <v>254</v>
      </c>
      <c r="G203" s="924">
        <f>E203</f>
        <v>254</v>
      </c>
      <c r="H203" s="964" t="s">
        <v>2313</v>
      </c>
    </row>
    <row r="204" spans="1:8" hidden="1">
      <c r="A204" s="967"/>
      <c r="B204" s="967"/>
      <c r="C204" s="1382" t="s">
        <v>184</v>
      </c>
      <c r="D204" s="967"/>
      <c r="E204" s="970">
        <f>'MINI SSR 2022-23 (2)'!D62</f>
        <v>248</v>
      </c>
      <c r="F204" s="970">
        <f>'MINI SSR 2022-23 (2)'!E62</f>
        <v>273</v>
      </c>
      <c r="G204" s="970">
        <f>'MINI SSR 2022-23 (2)'!F62</f>
        <v>298</v>
      </c>
      <c r="H204" s="964" t="s">
        <v>2313</v>
      </c>
    </row>
    <row r="205" spans="1:8" ht="25.5" hidden="1">
      <c r="A205" s="967"/>
      <c r="B205" s="967"/>
      <c r="C205" s="1382" t="s">
        <v>1289</v>
      </c>
      <c r="D205" s="967"/>
      <c r="E205" s="967"/>
      <c r="F205" s="970">
        <f>ROUND(((G166+G167+G168+F204)*1)*0.1,2)</f>
        <v>170.29</v>
      </c>
      <c r="G205" s="972">
        <f>ROUND(((G166+G167+G168+G204)*1)*0.2,2)</f>
        <v>345.57</v>
      </c>
      <c r="H205" s="964" t="s">
        <v>2313</v>
      </c>
    </row>
    <row r="206" spans="1:8" hidden="1">
      <c r="A206" s="967"/>
      <c r="B206" s="967"/>
      <c r="C206" s="962" t="s">
        <v>181</v>
      </c>
      <c r="D206" s="967"/>
      <c r="E206" s="974">
        <f>SUM(E202:E205)</f>
        <v>1502.1599999999999</v>
      </c>
      <c r="F206" s="974">
        <f>SUM(F202:F205)</f>
        <v>1697.4499999999998</v>
      </c>
      <c r="G206" s="971">
        <f>SUM(G202:G205)</f>
        <v>1897.7299999999998</v>
      </c>
      <c r="H206" s="964" t="s">
        <v>2313</v>
      </c>
    </row>
    <row r="207" spans="1:8" hidden="1">
      <c r="A207" s="967"/>
      <c r="B207" s="967"/>
      <c r="C207" s="962" t="s">
        <v>1293</v>
      </c>
      <c r="D207" s="967"/>
      <c r="E207" s="966" t="s">
        <v>161</v>
      </c>
      <c r="F207" s="966" t="s">
        <v>162</v>
      </c>
      <c r="G207" s="974" t="s">
        <v>163</v>
      </c>
      <c r="H207" s="964" t="s">
        <v>2313</v>
      </c>
    </row>
    <row r="208" spans="1:8" hidden="1">
      <c r="A208" s="967"/>
      <c r="B208" s="967"/>
      <c r="C208" s="1382" t="s">
        <v>168</v>
      </c>
      <c r="D208" s="967"/>
      <c r="E208" s="970">
        <f>G173</f>
        <v>5715.1900000000005</v>
      </c>
      <c r="F208" s="970">
        <f>E208</f>
        <v>5715.1900000000005</v>
      </c>
      <c r="G208" s="969">
        <f>F208</f>
        <v>5715.1900000000005</v>
      </c>
      <c r="H208" s="964" t="s">
        <v>2313</v>
      </c>
    </row>
    <row r="209" spans="1:8" hidden="1">
      <c r="A209" s="967"/>
      <c r="B209" s="967"/>
      <c r="C209" s="1382" t="s">
        <v>169</v>
      </c>
      <c r="D209" s="976">
        <v>0.05</v>
      </c>
      <c r="E209" s="970">
        <f>ROUND(E208*D209,2)</f>
        <v>285.76</v>
      </c>
      <c r="F209" s="970">
        <f>ROUND(F208*D209,2)</f>
        <v>285.76</v>
      </c>
      <c r="G209" s="969">
        <f>ROUND(G208*D209,2)</f>
        <v>285.76</v>
      </c>
      <c r="H209" s="964" t="s">
        <v>2313</v>
      </c>
    </row>
    <row r="210" spans="1:8" ht="25.5" hidden="1">
      <c r="A210" s="967"/>
      <c r="B210" s="967"/>
      <c r="C210" s="1382" t="s">
        <v>171</v>
      </c>
      <c r="D210" s="970" t="s">
        <v>77</v>
      </c>
      <c r="E210" s="970">
        <f>'MINI SSR 2022-23 (2)'!$C$59</f>
        <v>243</v>
      </c>
      <c r="F210" s="970">
        <f>'MINI SSR 2022-23 (2)'!$C$59</f>
        <v>243</v>
      </c>
      <c r="G210" s="970">
        <f>'MINI SSR 2022-23 (2)'!$C$59</f>
        <v>243</v>
      </c>
      <c r="H210" s="964" t="s">
        <v>2313</v>
      </c>
    </row>
    <row r="211" spans="1:8" hidden="1">
      <c r="A211" s="967"/>
      <c r="B211" s="967"/>
      <c r="C211" s="1382" t="s">
        <v>172</v>
      </c>
      <c r="D211" s="970" t="s">
        <v>77</v>
      </c>
      <c r="E211" s="970">
        <f>'MINI SSR 2022-23 (2)'!D59</f>
        <v>264</v>
      </c>
      <c r="F211" s="970">
        <f>'MINI SSR 2022-23 (2)'!E59</f>
        <v>290</v>
      </c>
      <c r="G211" s="970">
        <f>'MINI SSR 2022-23 (2)'!F59</f>
        <v>317</v>
      </c>
      <c r="H211" s="964" t="s">
        <v>2313</v>
      </c>
    </row>
    <row r="212" spans="1:8" ht="25.5" hidden="1">
      <c r="A212" s="967"/>
      <c r="B212" s="967"/>
      <c r="C212" s="1382" t="s">
        <v>170</v>
      </c>
      <c r="D212" s="967"/>
      <c r="E212" s="967"/>
      <c r="F212" s="970">
        <f>ROUND(((G166+G167+G168+F211))*0.1,2)</f>
        <v>171.99</v>
      </c>
      <c r="G212" s="972">
        <f>ROUND(((G166+G167+G168+G211))*0.2,2)</f>
        <v>349.37</v>
      </c>
      <c r="H212" s="964" t="s">
        <v>2313</v>
      </c>
    </row>
    <row r="213" spans="1:8" hidden="1">
      <c r="A213" s="967"/>
      <c r="B213" s="967"/>
      <c r="C213" s="962" t="s">
        <v>175</v>
      </c>
      <c r="D213" s="967"/>
      <c r="E213" s="974">
        <f>SUM(E209:E212)</f>
        <v>792.76</v>
      </c>
      <c r="F213" s="974">
        <f>SUM(F209:F212)</f>
        <v>990.75</v>
      </c>
      <c r="G213" s="971">
        <f>SUM(G209:G212)</f>
        <v>1195.1300000000001</v>
      </c>
      <c r="H213" s="964" t="s">
        <v>2313</v>
      </c>
    </row>
    <row r="214" spans="1:8" hidden="1">
      <c r="A214" s="896"/>
      <c r="B214" s="966"/>
      <c r="C214" s="962" t="s">
        <v>173</v>
      </c>
      <c r="D214" s="967"/>
      <c r="E214" s="967"/>
      <c r="F214" s="967"/>
      <c r="G214" s="972"/>
      <c r="H214" s="964" t="s">
        <v>2313</v>
      </c>
    </row>
    <row r="215" spans="1:8" hidden="1">
      <c r="A215" s="967"/>
      <c r="B215" s="967"/>
      <c r="C215" s="962"/>
      <c r="D215" s="967"/>
      <c r="E215" s="966" t="s">
        <v>161</v>
      </c>
      <c r="F215" s="966" t="s">
        <v>162</v>
      </c>
      <c r="G215" s="974" t="s">
        <v>163</v>
      </c>
      <c r="H215" s="964" t="s">
        <v>2313</v>
      </c>
    </row>
    <row r="216" spans="1:8" hidden="1">
      <c r="A216" s="967"/>
      <c r="B216" s="967"/>
      <c r="C216" s="1382" t="s">
        <v>174</v>
      </c>
      <c r="D216" s="976"/>
      <c r="E216" s="970">
        <f>E208</f>
        <v>5715.1900000000005</v>
      </c>
      <c r="F216" s="970">
        <f>F208</f>
        <v>5715.1900000000005</v>
      </c>
      <c r="G216" s="972">
        <f>G208</f>
        <v>5715.1900000000005</v>
      </c>
      <c r="H216" s="964" t="s">
        <v>2313</v>
      </c>
    </row>
    <row r="217" spans="1:8" hidden="1">
      <c r="A217" s="967"/>
      <c r="B217" s="967"/>
      <c r="C217" s="1382" t="s">
        <v>1270</v>
      </c>
      <c r="D217" s="976">
        <v>3.7499999999999999E-2</v>
      </c>
      <c r="E217" s="970">
        <f>ROUND(E216*0.0375,2)</f>
        <v>214.32</v>
      </c>
      <c r="F217" s="970">
        <f>ROUND(F216*0.0375,2)</f>
        <v>214.32</v>
      </c>
      <c r="G217" s="972">
        <f>ROUND(G216*0.0375,2)</f>
        <v>214.32</v>
      </c>
      <c r="H217" s="964" t="s">
        <v>2313</v>
      </c>
    </row>
    <row r="218" spans="1:8" hidden="1">
      <c r="A218" s="967"/>
      <c r="B218" s="967"/>
      <c r="C218" s="1382" t="s">
        <v>834</v>
      </c>
      <c r="D218" s="970">
        <v>0.6</v>
      </c>
      <c r="E218" s="970">
        <f>'MINI SSR 2022-23 (2)'!$C$59*D218</f>
        <v>145.79999999999998</v>
      </c>
      <c r="F218" s="970">
        <f>'MINI SSR 2022-23 (2)'!$C$59*D218</f>
        <v>145.79999999999998</v>
      </c>
      <c r="G218" s="970">
        <f>'MINI SSR 2022-23 (2)'!$C$59*D218</f>
        <v>145.79999999999998</v>
      </c>
      <c r="H218" s="964" t="s">
        <v>2313</v>
      </c>
    </row>
    <row r="219" spans="1:8" hidden="1">
      <c r="A219" s="967"/>
      <c r="B219" s="967"/>
      <c r="C219" s="1382" t="s">
        <v>835</v>
      </c>
      <c r="D219" s="970">
        <v>0.6</v>
      </c>
      <c r="E219" s="970">
        <f>E211*D219</f>
        <v>158.4</v>
      </c>
      <c r="F219" s="970">
        <f>F211*D219</f>
        <v>174</v>
      </c>
      <c r="G219" s="970">
        <f>G211*D219</f>
        <v>190.2</v>
      </c>
      <c r="H219" s="964" t="s">
        <v>2313</v>
      </c>
    </row>
    <row r="220" spans="1:8" ht="25.5" hidden="1">
      <c r="A220" s="967"/>
      <c r="B220" s="967"/>
      <c r="C220" s="1382" t="s">
        <v>170</v>
      </c>
      <c r="D220" s="967">
        <v>0.6</v>
      </c>
      <c r="E220" s="967"/>
      <c r="F220" s="972">
        <f>ROUND(((G166+G167+G168+F219)*D220)*0.1,2)</f>
        <v>96.23</v>
      </c>
      <c r="G220" s="972">
        <f>ROUND(((G166+G167+G168+G219)*D220)*0.2,2)</f>
        <v>194.41</v>
      </c>
      <c r="H220" s="964" t="s">
        <v>2313</v>
      </c>
    </row>
    <row r="221" spans="1:8" hidden="1">
      <c r="A221" s="967"/>
      <c r="B221" s="967"/>
      <c r="C221" s="962" t="s">
        <v>176</v>
      </c>
      <c r="D221" s="967"/>
      <c r="E221" s="974">
        <f>SUM(E217:E220)</f>
        <v>518.52</v>
      </c>
      <c r="F221" s="974">
        <f>SUM(F217:F220)</f>
        <v>630.35</v>
      </c>
      <c r="G221" s="971">
        <f>SUM(G217:G220)</f>
        <v>744.7299999999999</v>
      </c>
      <c r="H221" s="964" t="s">
        <v>2313</v>
      </c>
    </row>
    <row r="222" spans="1:8" ht="191.25" hidden="1">
      <c r="A222" s="896">
        <v>17</v>
      </c>
      <c r="B222" s="966" t="s">
        <v>78</v>
      </c>
      <c r="C222" s="1382" t="s">
        <v>1315</v>
      </c>
      <c r="D222" s="967"/>
      <c r="E222" s="967"/>
      <c r="F222" s="967"/>
      <c r="G222" s="966"/>
      <c r="H222" s="964" t="s">
        <v>2313</v>
      </c>
    </row>
    <row r="223" spans="1:8" hidden="1">
      <c r="A223" s="896"/>
      <c r="B223" s="966"/>
      <c r="C223" s="962" t="s">
        <v>1210</v>
      </c>
      <c r="D223" s="967"/>
      <c r="E223" s="967"/>
      <c r="F223" s="967"/>
      <c r="G223" s="972"/>
      <c r="H223" s="964" t="s">
        <v>2313</v>
      </c>
    </row>
    <row r="224" spans="1:8" hidden="1">
      <c r="A224" s="896"/>
      <c r="B224" s="966"/>
      <c r="C224" s="962" t="s">
        <v>60</v>
      </c>
      <c r="D224" s="966"/>
      <c r="E224" s="966"/>
      <c r="F224" s="966"/>
      <c r="G224" s="972"/>
      <c r="H224" s="964" t="s">
        <v>2313</v>
      </c>
    </row>
    <row r="225" spans="1:8" hidden="1">
      <c r="A225" s="896"/>
      <c r="B225" s="966"/>
      <c r="C225" s="1382" t="s">
        <v>154</v>
      </c>
      <c r="D225" s="967" t="s">
        <v>35</v>
      </c>
      <c r="E225" s="970">
        <v>0.8</v>
      </c>
      <c r="F225" s="970">
        <f>F35</f>
        <v>2046.91</v>
      </c>
      <c r="G225" s="969">
        <f>ROUND(E225*F225,2)</f>
        <v>1637.53</v>
      </c>
      <c r="H225" s="964" t="s">
        <v>2313</v>
      </c>
    </row>
    <row r="226" spans="1:8" hidden="1">
      <c r="A226" s="896"/>
      <c r="B226" s="966"/>
      <c r="C226" s="1382" t="s">
        <v>112</v>
      </c>
      <c r="D226" s="967" t="s">
        <v>35</v>
      </c>
      <c r="E226" s="970">
        <v>0.4</v>
      </c>
      <c r="F226" s="970">
        <f>'lead 22-23 P-B'!L13</f>
        <v>1720.9999999999998</v>
      </c>
      <c r="G226" s="969">
        <f>ROUND(E226*F226,2)</f>
        <v>688.4</v>
      </c>
      <c r="H226" s="964" t="s">
        <v>2313</v>
      </c>
    </row>
    <row r="227" spans="1:8" hidden="1">
      <c r="A227" s="967"/>
      <c r="B227" s="967"/>
      <c r="C227" s="1382" t="s">
        <v>33</v>
      </c>
      <c r="D227" s="967" t="s">
        <v>4</v>
      </c>
      <c r="E227" s="970">
        <f>E164</f>
        <v>340</v>
      </c>
      <c r="F227" s="970">
        <f>'lead 22-23 P-B'!L8</f>
        <v>4700</v>
      </c>
      <c r="G227" s="969">
        <f>ROUND(E227*F227/1000,2)</f>
        <v>1598</v>
      </c>
      <c r="H227" s="964" t="s">
        <v>2313</v>
      </c>
    </row>
    <row r="228" spans="1:8" hidden="1">
      <c r="A228" s="967"/>
      <c r="B228" s="967"/>
      <c r="C228" s="962" t="s">
        <v>68</v>
      </c>
      <c r="D228" s="967"/>
      <c r="E228" s="970"/>
      <c r="F228" s="970"/>
      <c r="G228" s="969"/>
      <c r="H228" s="964" t="s">
        <v>2313</v>
      </c>
    </row>
    <row r="229" spans="1:8" hidden="1">
      <c r="A229" s="967"/>
      <c r="B229" s="967"/>
      <c r="C229" s="1382" t="s">
        <v>64</v>
      </c>
      <c r="D229" s="967" t="s">
        <v>27</v>
      </c>
      <c r="E229" s="973">
        <v>6.7000000000000004E-2</v>
      </c>
      <c r="F229" s="970">
        <f>'MINI SSR 2022-23 (2)'!$H$3</f>
        <v>630</v>
      </c>
      <c r="G229" s="969">
        <f>ROUND(E229*F229,2)</f>
        <v>42.21</v>
      </c>
      <c r="H229" s="964" t="s">
        <v>2313</v>
      </c>
    </row>
    <row r="230" spans="1:8" hidden="1">
      <c r="A230" s="967"/>
      <c r="B230" s="967"/>
      <c r="C230" s="1382" t="s">
        <v>69</v>
      </c>
      <c r="D230" s="967" t="s">
        <v>27</v>
      </c>
      <c r="E230" s="973">
        <v>0.13300000000000001</v>
      </c>
      <c r="F230" s="970">
        <f>'MINI SSR 2022-23 (2)'!$H$4</f>
        <v>565</v>
      </c>
      <c r="G230" s="969">
        <f>ROUND(E230*F230,2)</f>
        <v>75.150000000000006</v>
      </c>
      <c r="H230" s="964" t="s">
        <v>2313</v>
      </c>
    </row>
    <row r="231" spans="1:8" hidden="1">
      <c r="A231" s="967"/>
      <c r="B231" s="967"/>
      <c r="C231" s="1382" t="s">
        <v>70</v>
      </c>
      <c r="D231" s="967" t="s">
        <v>27</v>
      </c>
      <c r="E231" s="973">
        <v>2.5</v>
      </c>
      <c r="F231" s="970">
        <f>'MINI SSR 2022-23 (2)'!H$5</f>
        <v>525</v>
      </c>
      <c r="G231" s="969">
        <f>ROUND(E231*F231,2)</f>
        <v>1312.5</v>
      </c>
      <c r="H231" s="964" t="s">
        <v>2313</v>
      </c>
    </row>
    <row r="232" spans="1:8" hidden="1">
      <c r="A232" s="967"/>
      <c r="B232" s="967"/>
      <c r="C232" s="962" t="s">
        <v>61</v>
      </c>
      <c r="D232" s="967"/>
      <c r="E232" s="970"/>
      <c r="F232" s="970"/>
      <c r="G232" s="969"/>
      <c r="H232" s="964" t="s">
        <v>2313</v>
      </c>
    </row>
    <row r="233" spans="1:8" hidden="1">
      <c r="A233" s="967"/>
      <c r="B233" s="967"/>
      <c r="C233" s="1382" t="s">
        <v>62</v>
      </c>
      <c r="D233" s="967" t="s">
        <v>21</v>
      </c>
      <c r="E233" s="973">
        <v>0.26700000000000002</v>
      </c>
      <c r="F233" s="970">
        <f>'MINI SSR 2022-23 (2)'!$C$30</f>
        <v>667.5</v>
      </c>
      <c r="G233" s="969">
        <f>ROUND(E233*F233,2)</f>
        <v>178.22</v>
      </c>
      <c r="H233" s="964" t="s">
        <v>2313</v>
      </c>
    </row>
    <row r="234" spans="1:8" hidden="1">
      <c r="A234" s="967"/>
      <c r="B234" s="967"/>
      <c r="C234" s="1382" t="s">
        <v>57</v>
      </c>
      <c r="D234" s="967" t="s">
        <v>58</v>
      </c>
      <c r="E234" s="970">
        <v>1.2</v>
      </c>
      <c r="F234" s="922">
        <f>'MINI SSR 2022-23 (2)'!$C$29</f>
        <v>95</v>
      </c>
      <c r="G234" s="969">
        <f>ROUND(E234*F234,2)</f>
        <v>114</v>
      </c>
      <c r="H234" s="964" t="s">
        <v>2313</v>
      </c>
    </row>
    <row r="235" spans="1:8" hidden="1">
      <c r="A235" s="967"/>
      <c r="B235" s="967"/>
      <c r="C235" s="962" t="s">
        <v>71</v>
      </c>
      <c r="D235" s="967"/>
      <c r="E235" s="967"/>
      <c r="F235" s="967"/>
      <c r="G235" s="971">
        <f>SUM(G225:G234)+0.01</f>
        <v>5646.02</v>
      </c>
      <c r="H235" s="964" t="s">
        <v>2313</v>
      </c>
    </row>
    <row r="236" spans="1:8" hidden="1">
      <c r="A236" s="967"/>
      <c r="B236" s="967"/>
      <c r="C236" s="962"/>
      <c r="D236" s="967"/>
      <c r="E236" s="966" t="s">
        <v>161</v>
      </c>
      <c r="F236" s="966" t="s">
        <v>162</v>
      </c>
      <c r="G236" s="974" t="s">
        <v>163</v>
      </c>
      <c r="H236" s="964" t="s">
        <v>2313</v>
      </c>
    </row>
    <row r="237" spans="1:8" hidden="1">
      <c r="A237" s="967"/>
      <c r="B237" s="967"/>
      <c r="C237" s="962" t="s">
        <v>1294</v>
      </c>
      <c r="D237" s="967"/>
      <c r="E237" s="970">
        <f>G235</f>
        <v>5646.02</v>
      </c>
      <c r="F237" s="970">
        <f>G235</f>
        <v>5646.02</v>
      </c>
      <c r="G237" s="972">
        <f>G235</f>
        <v>5646.02</v>
      </c>
      <c r="H237" s="964" t="s">
        <v>2313</v>
      </c>
    </row>
    <row r="238" spans="1:8" hidden="1">
      <c r="A238" s="967"/>
      <c r="B238" s="967"/>
      <c r="C238" s="962" t="s">
        <v>1271</v>
      </c>
      <c r="D238" s="970">
        <v>0.05</v>
      </c>
      <c r="E238" s="970">
        <f>ROUND(E237*D238,2)</f>
        <v>282.3</v>
      </c>
      <c r="F238" s="970">
        <f>ROUND(F237*D238,2)</f>
        <v>282.3</v>
      </c>
      <c r="G238" s="972">
        <f>ROUND(G237*D238,2)</f>
        <v>282.3</v>
      </c>
      <c r="H238" s="964" t="s">
        <v>2313</v>
      </c>
    </row>
    <row r="239" spans="1:8" ht="25.5" hidden="1">
      <c r="A239" s="967"/>
      <c r="B239" s="967"/>
      <c r="C239" s="1382" t="s">
        <v>1211</v>
      </c>
      <c r="D239" s="967"/>
      <c r="E239" s="970">
        <f>E183*50%</f>
        <v>123.5</v>
      </c>
      <c r="F239" s="970">
        <f>E239</f>
        <v>123.5</v>
      </c>
      <c r="G239" s="924">
        <f>E239</f>
        <v>123.5</v>
      </c>
      <c r="H239" s="964" t="s">
        <v>2313</v>
      </c>
    </row>
    <row r="240" spans="1:8" ht="25.5" hidden="1">
      <c r="A240" s="967"/>
      <c r="B240" s="967"/>
      <c r="C240" s="1382" t="s">
        <v>1212</v>
      </c>
      <c r="D240" s="967"/>
      <c r="E240" s="970">
        <f>E184*50%</f>
        <v>120.5</v>
      </c>
      <c r="F240" s="970">
        <f>F184*50%</f>
        <v>132.5</v>
      </c>
      <c r="G240" s="972">
        <f>G184*50%</f>
        <v>144.5</v>
      </c>
      <c r="H240" s="964" t="s">
        <v>2313</v>
      </c>
    </row>
    <row r="241" spans="1:8" ht="25.5" hidden="1">
      <c r="A241" s="967"/>
      <c r="B241" s="967"/>
      <c r="C241" s="1382" t="s">
        <v>1289</v>
      </c>
      <c r="D241" s="967"/>
      <c r="E241" s="967"/>
      <c r="F241" s="970">
        <f>ROUND(((G229+G230+G231+F240)*0.1),2)</f>
        <v>156.24</v>
      </c>
      <c r="G241" s="970">
        <f>ROUND(((G229+G230+G231+G240)*0.2),2)</f>
        <v>314.87</v>
      </c>
      <c r="H241" s="964" t="s">
        <v>2313</v>
      </c>
    </row>
    <row r="242" spans="1:8" hidden="1">
      <c r="A242" s="967"/>
      <c r="B242" s="967"/>
      <c r="C242" s="962" t="s">
        <v>181</v>
      </c>
      <c r="D242" s="967"/>
      <c r="E242" s="974">
        <f>SUM(E238:E241)</f>
        <v>526.29999999999995</v>
      </c>
      <c r="F242" s="974">
        <f>SUM(F238:F241)</f>
        <v>694.54</v>
      </c>
      <c r="G242" s="971">
        <f>SUM(G238:G241)</f>
        <v>865.17</v>
      </c>
      <c r="H242" s="964" t="s">
        <v>2313</v>
      </c>
    </row>
    <row r="243" spans="1:8" hidden="1">
      <c r="A243" s="967"/>
      <c r="B243" s="967"/>
      <c r="C243" s="962"/>
      <c r="D243" s="967"/>
      <c r="E243" s="966" t="s">
        <v>161</v>
      </c>
      <c r="F243" s="966" t="s">
        <v>162</v>
      </c>
      <c r="G243" s="974" t="s">
        <v>163</v>
      </c>
      <c r="H243" s="964" t="s">
        <v>2313</v>
      </c>
    </row>
    <row r="244" spans="1:8" hidden="1">
      <c r="A244" s="967"/>
      <c r="B244" s="967"/>
      <c r="C244" s="962" t="s">
        <v>1295</v>
      </c>
      <c r="D244" s="967"/>
      <c r="E244" s="970">
        <f>G235</f>
        <v>5646.02</v>
      </c>
      <c r="F244" s="970">
        <f>E244</f>
        <v>5646.02</v>
      </c>
      <c r="G244" s="972">
        <f>F244</f>
        <v>5646.02</v>
      </c>
      <c r="H244" s="964" t="s">
        <v>2313</v>
      </c>
    </row>
    <row r="245" spans="1:8" hidden="1">
      <c r="A245" s="967"/>
      <c r="B245" s="967"/>
      <c r="C245" s="962" t="s">
        <v>1271</v>
      </c>
      <c r="D245" s="973">
        <v>2.5000000000000001E-2</v>
      </c>
      <c r="E245" s="970">
        <f>ROUND(E244*D245,2)</f>
        <v>141.15</v>
      </c>
      <c r="F245" s="970">
        <f>ROUND(F244*D245,2)</f>
        <v>141.15</v>
      </c>
      <c r="G245" s="972">
        <f>ROUND(G244*D245,2)</f>
        <v>141.15</v>
      </c>
      <c r="H245" s="964" t="s">
        <v>2313</v>
      </c>
    </row>
    <row r="246" spans="1:8" ht="25.5" hidden="1">
      <c r="A246" s="967"/>
      <c r="B246" s="967"/>
      <c r="C246" s="1382" t="s">
        <v>1211</v>
      </c>
      <c r="D246" s="967"/>
      <c r="E246" s="970">
        <f>E190*50%</f>
        <v>123.5</v>
      </c>
      <c r="F246" s="970">
        <f>E246</f>
        <v>123.5</v>
      </c>
      <c r="G246" s="924">
        <f>E246</f>
        <v>123.5</v>
      </c>
      <c r="H246" s="964" t="s">
        <v>2313</v>
      </c>
    </row>
    <row r="247" spans="1:8" ht="25.5" hidden="1">
      <c r="A247" s="967"/>
      <c r="B247" s="967"/>
      <c r="C247" s="1382" t="s">
        <v>1212</v>
      </c>
      <c r="D247" s="967"/>
      <c r="E247" s="970">
        <f>E191*50%</f>
        <v>120.5</v>
      </c>
      <c r="F247" s="970">
        <f>F191*50%</f>
        <v>132.5</v>
      </c>
      <c r="G247" s="972">
        <f>G191*50%</f>
        <v>144.5</v>
      </c>
      <c r="H247" s="964" t="s">
        <v>2313</v>
      </c>
    </row>
    <row r="248" spans="1:8" ht="25.5" hidden="1">
      <c r="A248" s="967"/>
      <c r="B248" s="967"/>
      <c r="C248" s="1382" t="s">
        <v>1289</v>
      </c>
      <c r="D248" s="967"/>
      <c r="E248" s="967"/>
      <c r="F248" s="970">
        <f>ROUND(((G229+G230+G231+F247)*0.1),2)</f>
        <v>156.24</v>
      </c>
      <c r="G248" s="970">
        <f>ROUND(((G229+G230+G231+G247)*0.2),2)</f>
        <v>314.87</v>
      </c>
      <c r="H248" s="964" t="s">
        <v>2313</v>
      </c>
    </row>
    <row r="249" spans="1:8" hidden="1">
      <c r="A249" s="967"/>
      <c r="B249" s="967"/>
      <c r="C249" s="962" t="s">
        <v>181</v>
      </c>
      <c r="D249" s="967"/>
      <c r="E249" s="974">
        <f>SUM(E245:E248)</f>
        <v>385.15</v>
      </c>
      <c r="F249" s="974">
        <f>SUM(F245:F248)</f>
        <v>553.39</v>
      </c>
      <c r="G249" s="971">
        <f>SUM(G245:G248)</f>
        <v>724.02</v>
      </c>
      <c r="H249" s="964" t="s">
        <v>2313</v>
      </c>
    </row>
    <row r="250" spans="1:8" ht="127.5" hidden="1">
      <c r="A250" s="896">
        <v>2</v>
      </c>
      <c r="B250" s="966"/>
      <c r="C250" s="1382" t="s">
        <v>315</v>
      </c>
      <c r="D250" s="967"/>
      <c r="E250" s="967"/>
      <c r="F250" s="967"/>
      <c r="G250" s="966"/>
      <c r="H250" s="964" t="s">
        <v>2313</v>
      </c>
    </row>
    <row r="251" spans="1:8" hidden="1">
      <c r="A251" s="896"/>
      <c r="B251" s="966"/>
      <c r="C251" s="962" t="s">
        <v>3324</v>
      </c>
      <c r="D251" s="967"/>
      <c r="E251" s="967"/>
      <c r="F251" s="967"/>
      <c r="G251" s="972"/>
      <c r="H251" s="964" t="s">
        <v>2313</v>
      </c>
    </row>
    <row r="252" spans="1:8" hidden="1">
      <c r="A252" s="896"/>
      <c r="B252" s="966"/>
      <c r="C252" s="962" t="s">
        <v>60</v>
      </c>
      <c r="D252" s="966"/>
      <c r="E252" s="966"/>
      <c r="F252" s="966"/>
      <c r="G252" s="972"/>
      <c r="H252" s="964" t="s">
        <v>2313</v>
      </c>
    </row>
    <row r="253" spans="1:8" hidden="1">
      <c r="A253" s="896"/>
      <c r="B253" s="966"/>
      <c r="C253" s="1382" t="s">
        <v>154</v>
      </c>
      <c r="D253" s="967" t="s">
        <v>35</v>
      </c>
      <c r="E253" s="970">
        <v>0.8</v>
      </c>
      <c r="F253" s="970">
        <f>F162</f>
        <v>2046.91</v>
      </c>
      <c r="G253" s="969">
        <f>ROUND(E253*F253,2)</f>
        <v>1637.53</v>
      </c>
      <c r="H253" s="964" t="s">
        <v>2313</v>
      </c>
    </row>
    <row r="254" spans="1:8" hidden="1">
      <c r="A254" s="896"/>
      <c r="B254" s="966"/>
      <c r="C254" s="1382" t="s">
        <v>112</v>
      </c>
      <c r="D254" s="967" t="s">
        <v>35</v>
      </c>
      <c r="E254" s="970">
        <v>0.4</v>
      </c>
      <c r="F254" s="970">
        <f>F163</f>
        <v>1720.9999999999998</v>
      </c>
      <c r="G254" s="969">
        <f>ROUND(E254*F254,2)</f>
        <v>688.4</v>
      </c>
      <c r="H254" s="964" t="s">
        <v>2313</v>
      </c>
    </row>
    <row r="255" spans="1:8" hidden="1">
      <c r="A255" s="967"/>
      <c r="B255" s="967"/>
      <c r="C255" s="1382" t="s">
        <v>33</v>
      </c>
      <c r="D255" s="967" t="s">
        <v>4</v>
      </c>
      <c r="E255" s="970">
        <f>E227</f>
        <v>340</v>
      </c>
      <c r="F255" s="970">
        <f>F164</f>
        <v>4700</v>
      </c>
      <c r="G255" s="969">
        <f>ROUND(E255*F255/1000,2)</f>
        <v>1598</v>
      </c>
      <c r="H255" s="964" t="s">
        <v>2313</v>
      </c>
    </row>
    <row r="256" spans="1:8" hidden="1">
      <c r="A256" s="967"/>
      <c r="B256" s="967"/>
      <c r="C256" s="962" t="s">
        <v>68</v>
      </c>
      <c r="D256" s="967"/>
      <c r="E256" s="970"/>
      <c r="F256" s="970"/>
      <c r="G256" s="969"/>
      <c r="H256" s="964" t="s">
        <v>2313</v>
      </c>
    </row>
    <row r="257" spans="1:8" hidden="1">
      <c r="A257" s="967"/>
      <c r="B257" s="967"/>
      <c r="C257" s="1382" t="s">
        <v>64</v>
      </c>
      <c r="D257" s="967" t="s">
        <v>27</v>
      </c>
      <c r="E257" s="973">
        <v>0.1</v>
      </c>
      <c r="F257" s="970">
        <f>'MINI SSR 2022-23 (2)'!$H$3</f>
        <v>630</v>
      </c>
      <c r="G257" s="969">
        <f>ROUND(E257*F257,2)</f>
        <v>63</v>
      </c>
      <c r="H257" s="964" t="s">
        <v>2313</v>
      </c>
    </row>
    <row r="258" spans="1:8" hidden="1">
      <c r="A258" s="967"/>
      <c r="B258" s="967"/>
      <c r="C258" s="1382" t="s">
        <v>69</v>
      </c>
      <c r="D258" s="967" t="s">
        <v>27</v>
      </c>
      <c r="E258" s="973">
        <v>1.39</v>
      </c>
      <c r="F258" s="970">
        <f>'MINI SSR 2022-23 (2)'!$H$4</f>
        <v>565</v>
      </c>
      <c r="G258" s="969">
        <f>ROUND(E258*F258,2)</f>
        <v>785.35</v>
      </c>
      <c r="H258" s="964" t="s">
        <v>2313</v>
      </c>
    </row>
    <row r="259" spans="1:8" hidden="1">
      <c r="A259" s="967"/>
      <c r="B259" s="967"/>
      <c r="C259" s="962" t="s">
        <v>61</v>
      </c>
      <c r="D259" s="967"/>
      <c r="E259" s="970"/>
      <c r="F259" s="970"/>
      <c r="G259" s="969"/>
      <c r="H259" s="964" t="s">
        <v>2313</v>
      </c>
    </row>
    <row r="260" spans="1:8" hidden="1">
      <c r="A260" s="967"/>
      <c r="B260" s="967"/>
      <c r="C260" s="1382" t="s">
        <v>62</v>
      </c>
      <c r="D260" s="967" t="s">
        <v>21</v>
      </c>
      <c r="E260" s="973">
        <v>0.308</v>
      </c>
      <c r="F260" s="970">
        <f>'MINI SSR 2022-23 (2)'!$C$30</f>
        <v>667.5</v>
      </c>
      <c r="G260" s="969">
        <f>ROUND(E260*F260,2)</f>
        <v>205.59</v>
      </c>
      <c r="H260" s="964" t="s">
        <v>2313</v>
      </c>
    </row>
    <row r="261" spans="1:8" hidden="1">
      <c r="A261" s="967"/>
      <c r="B261" s="967"/>
      <c r="C261" s="1382" t="s">
        <v>160</v>
      </c>
      <c r="D261" s="967" t="s">
        <v>21</v>
      </c>
      <c r="E261" s="973">
        <v>0.308</v>
      </c>
      <c r="F261" s="970">
        <f>'MINI SSR 2022-23 (2)'!$C$31</f>
        <v>259.10000000000002</v>
      </c>
      <c r="G261" s="969">
        <f>ROUND(E261*F261,2)</f>
        <v>79.8</v>
      </c>
      <c r="H261" s="964" t="s">
        <v>2313</v>
      </c>
    </row>
    <row r="262" spans="1:8" hidden="1">
      <c r="A262" s="967"/>
      <c r="B262" s="967"/>
      <c r="C262" s="1382" t="s">
        <v>57</v>
      </c>
      <c r="D262" s="967" t="s">
        <v>58</v>
      </c>
      <c r="E262" s="970">
        <v>1.2</v>
      </c>
      <c r="F262" s="922">
        <f>'MINI SSR 2022-23 (2)'!$C$29</f>
        <v>95</v>
      </c>
      <c r="G262" s="969">
        <f>ROUND(E262*F262,2)</f>
        <v>114</v>
      </c>
      <c r="H262" s="964" t="s">
        <v>2313</v>
      </c>
    </row>
    <row r="263" spans="1:8" hidden="1">
      <c r="A263" s="967"/>
      <c r="B263" s="967"/>
      <c r="C263" s="962" t="s">
        <v>71</v>
      </c>
      <c r="D263" s="967"/>
      <c r="E263" s="967"/>
      <c r="F263" s="967"/>
      <c r="G263" s="971">
        <f>SUM(G253:G262)</f>
        <v>5171.67</v>
      </c>
      <c r="H263" s="964" t="s">
        <v>2313</v>
      </c>
    </row>
    <row r="264" spans="1:8" hidden="1">
      <c r="A264" s="967"/>
      <c r="B264" s="967"/>
      <c r="C264" s="962"/>
      <c r="D264" s="967"/>
      <c r="E264" s="966" t="s">
        <v>161</v>
      </c>
      <c r="F264" s="966" t="s">
        <v>162</v>
      </c>
      <c r="G264" s="966" t="s">
        <v>162</v>
      </c>
      <c r="H264" s="964" t="s">
        <v>2313</v>
      </c>
    </row>
    <row r="265" spans="1:8" hidden="1">
      <c r="A265" s="967"/>
      <c r="B265" s="967"/>
      <c r="C265" s="962" t="s">
        <v>1296</v>
      </c>
      <c r="D265" s="967"/>
      <c r="E265" s="970">
        <f>G263</f>
        <v>5171.67</v>
      </c>
      <c r="F265" s="970">
        <f>G263</f>
        <v>5171.67</v>
      </c>
      <c r="G265" s="970">
        <f>F265</f>
        <v>5171.67</v>
      </c>
      <c r="H265" s="964" t="s">
        <v>2313</v>
      </c>
    </row>
    <row r="266" spans="1:8" ht="25.5" hidden="1">
      <c r="A266" s="967"/>
      <c r="B266" s="967"/>
      <c r="C266" s="1382" t="s">
        <v>177</v>
      </c>
      <c r="D266" s="967"/>
      <c r="E266" s="970">
        <f>'MINI SSR 2022-23 (2)'!C53</f>
        <v>67</v>
      </c>
      <c r="F266" s="970">
        <f>E266</f>
        <v>67</v>
      </c>
      <c r="G266" s="970">
        <f>F266</f>
        <v>67</v>
      </c>
      <c r="H266" s="964" t="s">
        <v>2313</v>
      </c>
    </row>
    <row r="267" spans="1:8" hidden="1">
      <c r="A267" s="967"/>
      <c r="B267" s="967"/>
      <c r="C267" s="1382" t="s">
        <v>178</v>
      </c>
      <c r="D267" s="967"/>
      <c r="E267" s="970">
        <f>'MINI SSR 2022-23 (2)'!D53</f>
        <v>363</v>
      </c>
      <c r="F267" s="970">
        <f>E267</f>
        <v>363</v>
      </c>
      <c r="G267" s="970">
        <f>F267</f>
        <v>363</v>
      </c>
      <c r="H267" s="964" t="s">
        <v>2313</v>
      </c>
    </row>
    <row r="268" spans="1:8" ht="25.5" hidden="1">
      <c r="A268" s="967"/>
      <c r="B268" s="967"/>
      <c r="C268" s="1382" t="s">
        <v>1285</v>
      </c>
      <c r="D268" s="967"/>
      <c r="E268" s="967"/>
      <c r="F268" s="970">
        <f>ROUND((G257+G258+F267)*0.1,2)</f>
        <v>121.14</v>
      </c>
      <c r="G268" s="970">
        <f>ROUND((G257+G258+G267)*0.2,2)</f>
        <v>242.27</v>
      </c>
      <c r="H268" s="964" t="s">
        <v>2313</v>
      </c>
    </row>
    <row r="269" spans="1:8" hidden="1">
      <c r="A269" s="967"/>
      <c r="B269" s="967"/>
      <c r="C269" s="962" t="s">
        <v>182</v>
      </c>
      <c r="D269" s="967"/>
      <c r="E269" s="974">
        <f>SUM(E265:E268)</f>
        <v>5601.67</v>
      </c>
      <c r="F269" s="974">
        <f>SUM(F265:F268)</f>
        <v>5722.81</v>
      </c>
      <c r="G269" s="974">
        <f>SUM(G265:G268)</f>
        <v>5843.9400000000005</v>
      </c>
      <c r="H269" s="964" t="s">
        <v>2313</v>
      </c>
    </row>
    <row r="270" spans="1:8" ht="127.5" hidden="1">
      <c r="A270" s="896">
        <v>9</v>
      </c>
      <c r="B270" s="966" t="s">
        <v>1326</v>
      </c>
      <c r="C270" s="1382" t="s">
        <v>1327</v>
      </c>
      <c r="D270" s="967"/>
      <c r="E270" s="967"/>
      <c r="F270" s="967"/>
      <c r="G270" s="966"/>
      <c r="H270" s="964" t="s">
        <v>2313</v>
      </c>
    </row>
    <row r="271" spans="1:8" hidden="1">
      <c r="A271" s="896"/>
      <c r="B271" s="966"/>
      <c r="C271" s="962" t="s">
        <v>36</v>
      </c>
      <c r="D271" s="967"/>
      <c r="E271" s="967"/>
      <c r="F271" s="967"/>
      <c r="G271" s="902"/>
      <c r="H271" s="964" t="s">
        <v>2313</v>
      </c>
    </row>
    <row r="272" spans="1:8" hidden="1">
      <c r="A272" s="896"/>
      <c r="B272" s="967"/>
      <c r="C272" s="962" t="s">
        <v>40</v>
      </c>
      <c r="D272" s="967"/>
      <c r="E272" s="967"/>
      <c r="F272" s="967"/>
      <c r="G272" s="902"/>
      <c r="H272" s="964" t="s">
        <v>2313</v>
      </c>
    </row>
    <row r="273" spans="1:8" hidden="1">
      <c r="A273" s="896"/>
      <c r="B273" s="968" t="s">
        <v>18</v>
      </c>
      <c r="C273" s="962" t="s">
        <v>22</v>
      </c>
      <c r="D273" s="967"/>
      <c r="E273" s="967"/>
      <c r="F273" s="967"/>
      <c r="G273" s="902"/>
      <c r="H273" s="964" t="s">
        <v>2313</v>
      </c>
    </row>
    <row r="274" spans="1:8" hidden="1">
      <c r="A274" s="902"/>
      <c r="B274" s="902"/>
      <c r="C274" s="1382" t="s">
        <v>37</v>
      </c>
      <c r="D274" s="922" t="s">
        <v>34</v>
      </c>
      <c r="E274" s="977">
        <v>1</v>
      </c>
      <c r="F274" s="922">
        <f>'lead 22-23 P-B'!L9</f>
        <v>76110</v>
      </c>
      <c r="G274" s="969">
        <f>ROUND(E274*F274,2)</f>
        <v>76110</v>
      </c>
      <c r="H274" s="964" t="s">
        <v>2313</v>
      </c>
    </row>
    <row r="275" spans="1:8" hidden="1">
      <c r="A275" s="902"/>
      <c r="B275" s="902"/>
      <c r="C275" s="1382" t="s">
        <v>38</v>
      </c>
      <c r="D275" s="896" t="s">
        <v>4</v>
      </c>
      <c r="E275" s="922">
        <v>6</v>
      </c>
      <c r="F275" s="922">
        <f>'MINI SSR 2022-23 (2)'!C32</f>
        <v>70</v>
      </c>
      <c r="G275" s="969">
        <f>ROUND(E275*F275,2)</f>
        <v>420</v>
      </c>
      <c r="H275" s="964" t="s">
        <v>2313</v>
      </c>
    </row>
    <row r="276" spans="1:8" ht="25.5" hidden="1">
      <c r="A276" s="902"/>
      <c r="B276" s="968" t="s">
        <v>20</v>
      </c>
      <c r="C276" s="962" t="s">
        <v>1272</v>
      </c>
      <c r="D276" s="896"/>
      <c r="E276" s="896"/>
      <c r="F276" s="896"/>
      <c r="G276" s="902"/>
      <c r="H276" s="964" t="s">
        <v>2313</v>
      </c>
    </row>
    <row r="277" spans="1:8" hidden="1">
      <c r="A277" s="902"/>
      <c r="B277" s="902"/>
      <c r="C277" s="1382" t="s">
        <v>120</v>
      </c>
      <c r="D277" s="896" t="s">
        <v>27</v>
      </c>
      <c r="E277" s="922">
        <v>10</v>
      </c>
      <c r="F277" s="922">
        <f>'MINI SSR 2022-23 (2)'!H6</f>
        <v>750</v>
      </c>
      <c r="G277" s="969">
        <f>ROUND(E277*F277,2)</f>
        <v>7500</v>
      </c>
      <c r="H277" s="964" t="s">
        <v>2313</v>
      </c>
    </row>
    <row r="278" spans="1:8" hidden="1">
      <c r="A278" s="902"/>
      <c r="B278" s="902"/>
      <c r="C278" s="1382" t="s">
        <v>19</v>
      </c>
      <c r="D278" s="896" t="s">
        <v>27</v>
      </c>
      <c r="E278" s="922">
        <v>10</v>
      </c>
      <c r="F278" s="922">
        <f>'MINI SSR 2022-23 (2)'!$H$5</f>
        <v>525</v>
      </c>
      <c r="G278" s="969">
        <f>ROUND(E278*F278,2)</f>
        <v>5250</v>
      </c>
      <c r="H278" s="964" t="s">
        <v>2313</v>
      </c>
    </row>
    <row r="279" spans="1:8" hidden="1">
      <c r="A279" s="902"/>
      <c r="B279" s="902"/>
      <c r="C279" s="962" t="s">
        <v>39</v>
      </c>
      <c r="D279" s="896"/>
      <c r="E279" s="922"/>
      <c r="F279" s="922"/>
      <c r="G279" s="963">
        <f>SUM(G274:G278)</f>
        <v>89280</v>
      </c>
      <c r="H279" s="964" t="s">
        <v>2313</v>
      </c>
    </row>
    <row r="280" spans="1:8" hidden="1">
      <c r="A280" s="967"/>
      <c r="B280" s="967"/>
      <c r="C280" s="962"/>
      <c r="D280" s="967"/>
      <c r="E280" s="966" t="s">
        <v>161</v>
      </c>
      <c r="F280" s="974" t="s">
        <v>162</v>
      </c>
      <c r="G280" s="974" t="s">
        <v>163</v>
      </c>
      <c r="H280" s="964" t="s">
        <v>2313</v>
      </c>
    </row>
    <row r="281" spans="1:8" hidden="1">
      <c r="A281" s="967"/>
      <c r="B281" s="967"/>
      <c r="C281" s="962" t="s">
        <v>867</v>
      </c>
      <c r="D281" s="967"/>
      <c r="E281" s="970">
        <f>G279</f>
        <v>89280</v>
      </c>
      <c r="F281" s="972">
        <f>E281</f>
        <v>89280</v>
      </c>
      <c r="G281" s="972">
        <f>F281</f>
        <v>89280</v>
      </c>
      <c r="H281" s="964" t="s">
        <v>2313</v>
      </c>
    </row>
    <row r="282" spans="1:8" ht="25.5" hidden="1">
      <c r="A282" s="967"/>
      <c r="B282" s="967"/>
      <c r="C282" s="1382" t="s">
        <v>1285</v>
      </c>
      <c r="D282" s="967"/>
      <c r="E282" s="967"/>
      <c r="F282" s="972">
        <f>ROUND((G277+G278)*10%,2)</f>
        <v>1275</v>
      </c>
      <c r="G282" s="972">
        <f>ROUND((G277+G278)*20%,2)</f>
        <v>2550</v>
      </c>
      <c r="H282" s="964" t="s">
        <v>2313</v>
      </c>
    </row>
    <row r="283" spans="1:8" hidden="1">
      <c r="A283" s="967"/>
      <c r="B283" s="967"/>
      <c r="C283" s="962" t="s">
        <v>894</v>
      </c>
      <c r="D283" s="967"/>
      <c r="E283" s="974">
        <f>SUM(E281:E282)</f>
        <v>89280</v>
      </c>
      <c r="F283" s="971">
        <f>SUM(F281:F282)</f>
        <v>90555</v>
      </c>
      <c r="G283" s="971">
        <f>SUM(G281:G282)</f>
        <v>91830</v>
      </c>
      <c r="H283" s="964" t="s">
        <v>2313</v>
      </c>
    </row>
    <row r="284" spans="1:8" s="982" customFormat="1" ht="204" hidden="1">
      <c r="A284" s="978">
        <v>20</v>
      </c>
      <c r="B284" s="979" t="s">
        <v>1328</v>
      </c>
      <c r="C284" s="979" t="s">
        <v>1329</v>
      </c>
      <c r="D284" s="980"/>
      <c r="E284" s="980"/>
      <c r="F284" s="980"/>
      <c r="G284" s="981"/>
      <c r="H284" s="964" t="s">
        <v>2313</v>
      </c>
    </row>
    <row r="285" spans="1:8" s="982" customFormat="1" hidden="1">
      <c r="A285" s="978"/>
      <c r="B285" s="983"/>
      <c r="C285" s="979" t="s">
        <v>1330</v>
      </c>
      <c r="D285" s="978"/>
      <c r="E285" s="906"/>
      <c r="F285" s="907"/>
      <c r="G285" s="981"/>
      <c r="H285" s="964" t="s">
        <v>2313</v>
      </c>
    </row>
    <row r="286" spans="1:8" s="982" customFormat="1" hidden="1">
      <c r="A286" s="978"/>
      <c r="B286" s="979"/>
      <c r="C286" s="979" t="s">
        <v>1331</v>
      </c>
      <c r="D286" s="978"/>
      <c r="E286" s="906"/>
      <c r="F286" s="907"/>
      <c r="G286" s="981"/>
      <c r="H286" s="964" t="s">
        <v>2313</v>
      </c>
    </row>
    <row r="287" spans="1:8" s="982" customFormat="1" ht="25.5" hidden="1">
      <c r="A287" s="978"/>
      <c r="B287" s="979"/>
      <c r="C287" s="979" t="s">
        <v>1332</v>
      </c>
      <c r="D287" s="978" t="s">
        <v>34</v>
      </c>
      <c r="E287" s="906">
        <v>1.0249999999999999</v>
      </c>
      <c r="F287" s="907">
        <f>'lead 22-23 P-B'!L10</f>
        <v>72570</v>
      </c>
      <c r="G287" s="981">
        <f>ROUND(F287*E287,2)</f>
        <v>74384.25</v>
      </c>
      <c r="H287" s="964" t="s">
        <v>2313</v>
      </c>
    </row>
    <row r="288" spans="1:8" s="982" customFormat="1" ht="25.5" hidden="1">
      <c r="A288" s="978"/>
      <c r="B288" s="979"/>
      <c r="C288" s="979" t="s">
        <v>1333</v>
      </c>
      <c r="D288" s="978" t="s">
        <v>1334</v>
      </c>
      <c r="E288" s="906">
        <v>70</v>
      </c>
      <c r="F288" s="907">
        <f>'MINI SSR 2022-23 (2)'!C33</f>
        <v>16</v>
      </c>
      <c r="G288" s="981">
        <f>ROUND(F288*E288,2)</f>
        <v>1120</v>
      </c>
      <c r="H288" s="964" t="s">
        <v>2313</v>
      </c>
    </row>
    <row r="289" spans="1:8" s="982" customFormat="1" ht="25.5" hidden="1">
      <c r="A289" s="978"/>
      <c r="B289" s="979"/>
      <c r="C289" s="979" t="s">
        <v>1335</v>
      </c>
      <c r="D289" s="978" t="s">
        <v>90</v>
      </c>
      <c r="E289" s="906">
        <v>3</v>
      </c>
      <c r="F289" s="907">
        <f>'MINI SSR 2022-23 (2)'!C32</f>
        <v>70</v>
      </c>
      <c r="G289" s="981">
        <f>ROUND(F289*E289,2)</f>
        <v>210</v>
      </c>
      <c r="H289" s="964" t="s">
        <v>2313</v>
      </c>
    </row>
    <row r="290" spans="1:8" s="982" customFormat="1" ht="25.5" hidden="1">
      <c r="A290" s="978"/>
      <c r="B290" s="979"/>
      <c r="C290" s="979" t="s">
        <v>1336</v>
      </c>
      <c r="D290" s="978"/>
      <c r="E290" s="906"/>
      <c r="F290" s="907"/>
      <c r="G290" s="981"/>
      <c r="H290" s="964" t="s">
        <v>2313</v>
      </c>
    </row>
    <row r="291" spans="1:8" s="982" customFormat="1" hidden="1">
      <c r="A291" s="978"/>
      <c r="B291" s="979"/>
      <c r="C291" s="979" t="s">
        <v>1337</v>
      </c>
      <c r="D291" s="978" t="s">
        <v>27</v>
      </c>
      <c r="E291" s="906">
        <v>2.5</v>
      </c>
      <c r="F291" s="984">
        <f>'MINI SSR 2022-23 (2)'!H10</f>
        <v>615</v>
      </c>
      <c r="G291" s="981">
        <f>ROUND(F291*E291,2)</f>
        <v>1537.5</v>
      </c>
      <c r="H291" s="964" t="s">
        <v>2313</v>
      </c>
    </row>
    <row r="292" spans="1:8" s="982" customFormat="1" hidden="1">
      <c r="A292" s="978"/>
      <c r="B292" s="979"/>
      <c r="C292" s="979" t="s">
        <v>1338</v>
      </c>
      <c r="D292" s="978" t="s">
        <v>27</v>
      </c>
      <c r="E292" s="906">
        <v>10</v>
      </c>
      <c r="F292" s="984">
        <f>'MINI SSR 2022-23 (2)'!H11</f>
        <v>590</v>
      </c>
      <c r="G292" s="981">
        <f>ROUND(F292*E292,2)</f>
        <v>5900</v>
      </c>
      <c r="H292" s="964" t="s">
        <v>2313</v>
      </c>
    </row>
    <row r="293" spans="1:8" s="982" customFormat="1" hidden="1">
      <c r="A293" s="978"/>
      <c r="B293" s="979"/>
      <c r="C293" s="979" t="s">
        <v>1339</v>
      </c>
      <c r="D293" s="978" t="s">
        <v>27</v>
      </c>
      <c r="E293" s="906">
        <v>10</v>
      </c>
      <c r="F293" s="984">
        <f>'MINI SSR 2022-23 (2)'!H5</f>
        <v>525</v>
      </c>
      <c r="G293" s="981">
        <f>ROUND(F293*E293,2)</f>
        <v>5250</v>
      </c>
      <c r="H293" s="964" t="s">
        <v>2313</v>
      </c>
    </row>
    <row r="294" spans="1:8" s="982" customFormat="1" ht="25.5" hidden="1">
      <c r="A294" s="978"/>
      <c r="B294" s="979"/>
      <c r="C294" s="979" t="s">
        <v>1340</v>
      </c>
      <c r="D294" s="978" t="s">
        <v>1341</v>
      </c>
      <c r="E294" s="906">
        <v>10</v>
      </c>
      <c r="F294" s="984">
        <f>'MINI SSR 2022-23 (2)'!C34</f>
        <v>117.7</v>
      </c>
      <c r="G294" s="981">
        <f>ROUND(F294*E294,2)</f>
        <v>1177</v>
      </c>
      <c r="H294" s="964" t="s">
        <v>2313</v>
      </c>
    </row>
    <row r="295" spans="1:8" s="982" customFormat="1" hidden="1">
      <c r="A295" s="978"/>
      <c r="B295" s="979"/>
      <c r="C295" s="979" t="s">
        <v>1342</v>
      </c>
      <c r="D295" s="978"/>
      <c r="E295" s="906"/>
      <c r="F295" s="907"/>
      <c r="G295" s="985">
        <f>SUM(G287:G294)</f>
        <v>89578.75</v>
      </c>
      <c r="H295" s="964" t="s">
        <v>2313</v>
      </c>
    </row>
    <row r="296" spans="1:8" s="982" customFormat="1" hidden="1">
      <c r="A296" s="978"/>
      <c r="B296" s="979"/>
      <c r="C296" s="979" t="s">
        <v>1343</v>
      </c>
      <c r="D296" s="978"/>
      <c r="E296" s="906"/>
      <c r="F296" s="907"/>
      <c r="G296" s="985">
        <f>ROUND(G295/1000,2)</f>
        <v>89.58</v>
      </c>
      <c r="H296" s="964" t="s">
        <v>2313</v>
      </c>
    </row>
    <row r="297" spans="1:8" ht="63.75" hidden="1">
      <c r="A297" s="896">
        <v>4</v>
      </c>
      <c r="B297" s="966"/>
      <c r="C297" s="1382" t="s">
        <v>185</v>
      </c>
      <c r="D297" s="967"/>
      <c r="E297" s="967"/>
      <c r="F297" s="967"/>
      <c r="G297" s="902"/>
      <c r="H297" s="964" t="s">
        <v>2313</v>
      </c>
    </row>
    <row r="298" spans="1:8" hidden="1">
      <c r="A298" s="896"/>
      <c r="B298" s="966"/>
      <c r="C298" s="962" t="s">
        <v>186</v>
      </c>
      <c r="D298" s="967"/>
      <c r="E298" s="967"/>
      <c r="F298" s="967"/>
      <c r="G298" s="902"/>
      <c r="H298" s="964" t="s">
        <v>2313</v>
      </c>
    </row>
    <row r="299" spans="1:8" hidden="1">
      <c r="A299" s="896"/>
      <c r="B299" s="968" t="s">
        <v>18</v>
      </c>
      <c r="C299" s="962" t="s">
        <v>22</v>
      </c>
      <c r="D299" s="967"/>
      <c r="E299" s="967"/>
      <c r="F299" s="967"/>
      <c r="G299" s="902"/>
      <c r="H299" s="964" t="s">
        <v>2313</v>
      </c>
    </row>
    <row r="300" spans="1:8" ht="25.5" hidden="1">
      <c r="A300" s="902"/>
      <c r="B300" s="902"/>
      <c r="C300" s="1382" t="s">
        <v>187</v>
      </c>
      <c r="D300" s="896" t="s">
        <v>4</v>
      </c>
      <c r="E300" s="920">
        <v>1.0249999999999999</v>
      </c>
      <c r="F300" s="922">
        <f>'lead 22-23 P-B'!L10/1000</f>
        <v>72.569999999999993</v>
      </c>
      <c r="G300" s="969">
        <f>ROUND(E300*F300,2)</f>
        <v>74.38</v>
      </c>
      <c r="H300" s="964" t="s">
        <v>2313</v>
      </c>
    </row>
    <row r="301" spans="1:8" hidden="1">
      <c r="A301" s="902"/>
      <c r="B301" s="968" t="s">
        <v>20</v>
      </c>
      <c r="C301" s="1382" t="s">
        <v>188</v>
      </c>
      <c r="D301" s="896" t="s">
        <v>4</v>
      </c>
      <c r="E301" s="922">
        <v>1</v>
      </c>
      <c r="F301" s="922">
        <f>'MINI SSR 2022-23 (2)'!C35</f>
        <v>30</v>
      </c>
      <c r="G301" s="969">
        <f>ROUND(E301*F301,2)</f>
        <v>30</v>
      </c>
      <c r="H301" s="964" t="s">
        <v>2313</v>
      </c>
    </row>
    <row r="302" spans="1:8" hidden="1">
      <c r="A302" s="902"/>
      <c r="B302" s="902"/>
      <c r="C302" s="1382" t="s">
        <v>189</v>
      </c>
      <c r="D302" s="896" t="s">
        <v>27</v>
      </c>
      <c r="E302" s="922">
        <v>1</v>
      </c>
      <c r="F302" s="922">
        <f>'MINI SSR 2022-23 (2)'!C36</f>
        <v>6</v>
      </c>
      <c r="G302" s="969">
        <f>ROUND(E302*F302,2)</f>
        <v>6</v>
      </c>
      <c r="H302" s="964" t="s">
        <v>2313</v>
      </c>
    </row>
    <row r="303" spans="1:8" hidden="1">
      <c r="A303" s="902"/>
      <c r="B303" s="902"/>
      <c r="C303" s="962" t="s">
        <v>190</v>
      </c>
      <c r="D303" s="896"/>
      <c r="E303" s="922"/>
      <c r="F303" s="922"/>
      <c r="G303" s="963">
        <f>SUM(G300:G302)</f>
        <v>110.38</v>
      </c>
      <c r="H303" s="964" t="s">
        <v>2313</v>
      </c>
    </row>
    <row r="304" spans="1:8" ht="114.75" hidden="1">
      <c r="A304" s="896">
        <v>5</v>
      </c>
      <c r="B304" s="966"/>
      <c r="C304" s="1382" t="s">
        <v>969</v>
      </c>
      <c r="D304" s="967"/>
      <c r="E304" s="967"/>
      <c r="F304" s="967"/>
      <c r="G304" s="902"/>
      <c r="H304" s="964" t="s">
        <v>2313</v>
      </c>
    </row>
    <row r="305" spans="1:8" hidden="1">
      <c r="A305" s="896"/>
      <c r="B305" s="968" t="s">
        <v>18</v>
      </c>
      <c r="C305" s="962" t="s">
        <v>22</v>
      </c>
      <c r="D305" s="967"/>
      <c r="E305" s="967"/>
      <c r="F305" s="967"/>
      <c r="G305" s="902"/>
      <c r="H305" s="964" t="s">
        <v>2313</v>
      </c>
    </row>
    <row r="306" spans="1:8" hidden="1">
      <c r="A306" s="902"/>
      <c r="B306" s="902"/>
      <c r="C306" s="1382" t="s">
        <v>934</v>
      </c>
      <c r="D306" s="896" t="s">
        <v>4</v>
      </c>
      <c r="E306" s="920">
        <v>43.51</v>
      </c>
      <c r="F306" s="922">
        <f>'lead 22-23 P-B'!L10/1000</f>
        <v>72.569999999999993</v>
      </c>
      <c r="G306" s="969">
        <f>ROUND(E306*F306,2)</f>
        <v>3157.52</v>
      </c>
      <c r="H306" s="964" t="s">
        <v>2313</v>
      </c>
    </row>
    <row r="307" spans="1:8" hidden="1">
      <c r="A307" s="902"/>
      <c r="B307" s="902"/>
      <c r="C307" s="1382" t="s">
        <v>935</v>
      </c>
      <c r="D307" s="896" t="s">
        <v>4</v>
      </c>
      <c r="E307" s="920">
        <v>14.4</v>
      </c>
      <c r="F307" s="922">
        <f>'lead 22-23 P-B'!L9/1000</f>
        <v>76.11</v>
      </c>
      <c r="G307" s="969">
        <f>ROUND(E307*F307,2)</f>
        <v>1095.98</v>
      </c>
      <c r="H307" s="964" t="s">
        <v>2313</v>
      </c>
    </row>
    <row r="308" spans="1:8" hidden="1">
      <c r="A308" s="902"/>
      <c r="B308" s="968" t="s">
        <v>20</v>
      </c>
      <c r="C308" s="1382" t="s">
        <v>188</v>
      </c>
      <c r="D308" s="896" t="s">
        <v>4</v>
      </c>
      <c r="E308" s="922">
        <f>SUM(E306:E307)</f>
        <v>57.91</v>
      </c>
      <c r="F308" s="922">
        <f>'MINI SSR 2022-23 (2)'!C35</f>
        <v>30</v>
      </c>
      <c r="G308" s="969">
        <f>ROUND(E308*F308,2)</f>
        <v>1737.3</v>
      </c>
      <c r="H308" s="964" t="s">
        <v>2313</v>
      </c>
    </row>
    <row r="309" spans="1:8" hidden="1">
      <c r="A309" s="902"/>
      <c r="B309" s="902"/>
      <c r="C309" s="1382" t="s">
        <v>189</v>
      </c>
      <c r="D309" s="896" t="s">
        <v>27</v>
      </c>
      <c r="E309" s="922">
        <f>E308</f>
        <v>57.91</v>
      </c>
      <c r="F309" s="922">
        <f>'MINI SSR 2022-23 (2)'!C36</f>
        <v>6</v>
      </c>
      <c r="G309" s="969">
        <f>ROUND(E309*F309,2)</f>
        <v>347.46</v>
      </c>
      <c r="H309" s="964" t="s">
        <v>2313</v>
      </c>
    </row>
    <row r="310" spans="1:8" hidden="1">
      <c r="A310" s="902"/>
      <c r="B310" s="902"/>
      <c r="C310" s="962" t="s">
        <v>936</v>
      </c>
      <c r="D310" s="896"/>
      <c r="E310" s="922"/>
      <c r="F310" s="922"/>
      <c r="G310" s="963">
        <f>SUM(G306:G309)</f>
        <v>6338.26</v>
      </c>
      <c r="H310" s="964" t="s">
        <v>2313</v>
      </c>
    </row>
    <row r="311" spans="1:8" hidden="1">
      <c r="A311" s="902"/>
      <c r="B311" s="902"/>
      <c r="C311" s="962" t="s">
        <v>121</v>
      </c>
      <c r="D311" s="896"/>
      <c r="E311" s="922"/>
      <c r="F311" s="922"/>
      <c r="G311" s="963">
        <f>ROUND(G310/2.025,2)</f>
        <v>3130</v>
      </c>
      <c r="H311" s="964" t="s">
        <v>2313</v>
      </c>
    </row>
    <row r="312" spans="1:8" ht="51" hidden="1">
      <c r="A312" s="896">
        <v>23</v>
      </c>
      <c r="B312" s="966"/>
      <c r="C312" s="1382" t="s">
        <v>627</v>
      </c>
      <c r="D312" s="967"/>
      <c r="E312" s="967"/>
      <c r="F312" s="967"/>
      <c r="G312" s="902"/>
      <c r="H312" s="964" t="s">
        <v>2313</v>
      </c>
    </row>
    <row r="313" spans="1:8" hidden="1">
      <c r="A313" s="896"/>
      <c r="B313" s="966"/>
      <c r="C313" s="962" t="s">
        <v>186</v>
      </c>
      <c r="D313" s="967"/>
      <c r="E313" s="967"/>
      <c r="F313" s="967"/>
      <c r="G313" s="902"/>
      <c r="H313" s="964" t="s">
        <v>2313</v>
      </c>
    </row>
    <row r="314" spans="1:8" hidden="1">
      <c r="A314" s="896"/>
      <c r="B314" s="968" t="s">
        <v>18</v>
      </c>
      <c r="C314" s="962" t="s">
        <v>22</v>
      </c>
      <c r="D314" s="967"/>
      <c r="E314" s="967"/>
      <c r="F314" s="967"/>
      <c r="G314" s="902"/>
      <c r="H314" s="964" t="s">
        <v>2313</v>
      </c>
    </row>
    <row r="315" spans="1:8" hidden="1">
      <c r="A315" s="902"/>
      <c r="B315" s="902"/>
      <c r="C315" s="1382" t="s">
        <v>628</v>
      </c>
      <c r="D315" s="896" t="s">
        <v>4</v>
      </c>
      <c r="E315" s="920">
        <v>1.0249999999999999</v>
      </c>
      <c r="F315" s="922">
        <f>'MINI SSR 2022-23 (2)'!C37</f>
        <v>76</v>
      </c>
      <c r="G315" s="969">
        <f>ROUND(E315*F315,2)</f>
        <v>77.900000000000006</v>
      </c>
      <c r="H315" s="964" t="s">
        <v>2313</v>
      </c>
    </row>
    <row r="316" spans="1:8" hidden="1">
      <c r="A316" s="902"/>
      <c r="B316" s="968" t="s">
        <v>20</v>
      </c>
      <c r="C316" s="1382" t="s">
        <v>629</v>
      </c>
      <c r="D316" s="896" t="s">
        <v>4</v>
      </c>
      <c r="E316" s="922">
        <v>1</v>
      </c>
      <c r="F316" s="922">
        <f>'MINI SSR 2022-23 (2)'!C38</f>
        <v>26</v>
      </c>
      <c r="G316" s="969">
        <f>ROUND(E316*F316,2)</f>
        <v>26</v>
      </c>
      <c r="H316" s="964" t="s">
        <v>2313</v>
      </c>
    </row>
    <row r="317" spans="1:8" hidden="1">
      <c r="A317" s="902"/>
      <c r="B317" s="902"/>
      <c r="C317" s="1382" t="s">
        <v>630</v>
      </c>
      <c r="D317" s="896" t="s">
        <v>27</v>
      </c>
      <c r="E317" s="922">
        <v>1</v>
      </c>
      <c r="F317" s="922">
        <f>'MINI SSR 2022-23 (2)'!C39</f>
        <v>23</v>
      </c>
      <c r="G317" s="969">
        <f>ROUND(E317*F317,2)</f>
        <v>23</v>
      </c>
      <c r="H317" s="964" t="s">
        <v>2313</v>
      </c>
    </row>
    <row r="318" spans="1:8" hidden="1">
      <c r="A318" s="902"/>
      <c r="B318" s="902"/>
      <c r="C318" s="962" t="s">
        <v>190</v>
      </c>
      <c r="D318" s="896"/>
      <c r="E318" s="922"/>
      <c r="F318" s="922"/>
      <c r="G318" s="963">
        <f>SUM(G315:G317)</f>
        <v>126.9</v>
      </c>
      <c r="H318" s="964" t="s">
        <v>2313</v>
      </c>
    </row>
    <row r="319" spans="1:8" ht="191.25" hidden="1">
      <c r="A319" s="896">
        <v>2</v>
      </c>
      <c r="B319" s="966"/>
      <c r="C319" s="1382" t="s">
        <v>1297</v>
      </c>
      <c r="D319" s="967"/>
      <c r="E319" s="967"/>
      <c r="F319" s="967"/>
      <c r="G319" s="902"/>
      <c r="H319" s="964" t="s">
        <v>2313</v>
      </c>
    </row>
    <row r="320" spans="1:8" hidden="1">
      <c r="A320" s="896"/>
      <c r="B320" s="966"/>
      <c r="C320" s="962" t="s">
        <v>919</v>
      </c>
      <c r="D320" s="967"/>
      <c r="E320" s="967"/>
      <c r="F320" s="967"/>
      <c r="G320" s="972"/>
      <c r="H320" s="964" t="s">
        <v>2313</v>
      </c>
    </row>
    <row r="321" spans="1:8" hidden="1">
      <c r="A321" s="902"/>
      <c r="B321" s="902"/>
      <c r="C321" s="1382" t="s">
        <v>913</v>
      </c>
      <c r="D321" s="922">
        <v>4.5999999999999996</v>
      </c>
      <c r="E321" s="920">
        <v>2.39</v>
      </c>
      <c r="F321" s="922">
        <f>ROUND(D321*E321,2)</f>
        <v>10.99</v>
      </c>
      <c r="G321" s="969"/>
      <c r="H321" s="964" t="s">
        <v>2313</v>
      </c>
    </row>
    <row r="322" spans="1:8" hidden="1">
      <c r="A322" s="902"/>
      <c r="B322" s="902"/>
      <c r="C322" s="1382" t="s">
        <v>914</v>
      </c>
      <c r="D322" s="922">
        <v>11.7</v>
      </c>
      <c r="E322" s="920">
        <v>0.89</v>
      </c>
      <c r="F322" s="922">
        <f>ROUND(D322*E322,2)</f>
        <v>10.41</v>
      </c>
      <c r="G322" s="969"/>
      <c r="H322" s="964" t="s">
        <v>2313</v>
      </c>
    </row>
    <row r="323" spans="1:8" hidden="1">
      <c r="A323" s="902"/>
      <c r="B323" s="902"/>
      <c r="C323" s="1382"/>
      <c r="D323" s="896"/>
      <c r="E323" s="920"/>
      <c r="F323" s="986">
        <f>SUM(F321:F322)</f>
        <v>21.4</v>
      </c>
      <c r="G323" s="969"/>
      <c r="H323" s="964" t="s">
        <v>2313</v>
      </c>
    </row>
    <row r="324" spans="1:8" hidden="1">
      <c r="A324" s="902"/>
      <c r="B324" s="902"/>
      <c r="C324" s="1382" t="s">
        <v>696</v>
      </c>
      <c r="D324" s="896" t="s">
        <v>4</v>
      </c>
      <c r="E324" s="920">
        <f>F323</f>
        <v>21.4</v>
      </c>
      <c r="F324" s="922">
        <f>'MINI SSR 2022-23 (2)'!C40</f>
        <v>414</v>
      </c>
      <c r="G324" s="969">
        <f t="shared" ref="G324:G329" si="0">ROUND(E324*F324,2)</f>
        <v>8859.6</v>
      </c>
      <c r="H324" s="964" t="s">
        <v>2313</v>
      </c>
    </row>
    <row r="325" spans="1:8" ht="25.5" hidden="1">
      <c r="A325" s="902"/>
      <c r="B325" s="968"/>
      <c r="C325" s="1382" t="s">
        <v>697</v>
      </c>
      <c r="D325" s="896" t="s">
        <v>4</v>
      </c>
      <c r="E325" s="922">
        <f>E324</f>
        <v>21.4</v>
      </c>
      <c r="F325" s="922">
        <f>'MINI SSR 2022-23 (2)'!C41</f>
        <v>144</v>
      </c>
      <c r="G325" s="969">
        <f t="shared" si="0"/>
        <v>3081.6</v>
      </c>
      <c r="H325" s="964" t="s">
        <v>2313</v>
      </c>
    </row>
    <row r="326" spans="1:8" hidden="1">
      <c r="A326" s="902"/>
      <c r="B326" s="968"/>
      <c r="C326" s="1382" t="s">
        <v>915</v>
      </c>
      <c r="D326" s="896" t="s">
        <v>277</v>
      </c>
      <c r="E326" s="922">
        <v>1.3</v>
      </c>
      <c r="F326" s="922">
        <f>'MINI SSR 2022-23 (2)'!C42</f>
        <v>220</v>
      </c>
      <c r="G326" s="969">
        <f t="shared" si="0"/>
        <v>286</v>
      </c>
      <c r="H326" s="964" t="s">
        <v>2313</v>
      </c>
    </row>
    <row r="327" spans="1:8" hidden="1">
      <c r="A327" s="902"/>
      <c r="B327" s="968"/>
      <c r="C327" s="1382" t="s">
        <v>916</v>
      </c>
      <c r="D327" s="896" t="s">
        <v>115</v>
      </c>
      <c r="E327" s="922">
        <v>13</v>
      </c>
      <c r="F327" s="922">
        <v>80</v>
      </c>
      <c r="G327" s="969">
        <f t="shared" si="0"/>
        <v>1040</v>
      </c>
      <c r="H327" s="964" t="s">
        <v>2313</v>
      </c>
    </row>
    <row r="328" spans="1:8" hidden="1">
      <c r="A328" s="902"/>
      <c r="B328" s="968"/>
      <c r="C328" s="1382" t="s">
        <v>917</v>
      </c>
      <c r="D328" s="896" t="s">
        <v>115</v>
      </c>
      <c r="E328" s="922">
        <v>13</v>
      </c>
      <c r="F328" s="922">
        <v>30</v>
      </c>
      <c r="G328" s="969">
        <f t="shared" si="0"/>
        <v>390</v>
      </c>
      <c r="H328" s="964" t="s">
        <v>2313</v>
      </c>
    </row>
    <row r="329" spans="1:8" hidden="1">
      <c r="A329" s="902"/>
      <c r="B329" s="968"/>
      <c r="C329" s="1382" t="s">
        <v>918</v>
      </c>
      <c r="D329" s="896" t="s">
        <v>115</v>
      </c>
      <c r="E329" s="922">
        <v>13</v>
      </c>
      <c r="F329" s="922">
        <v>15</v>
      </c>
      <c r="G329" s="969">
        <f t="shared" si="0"/>
        <v>195</v>
      </c>
      <c r="H329" s="964" t="s">
        <v>2313</v>
      </c>
    </row>
    <row r="330" spans="1:8" hidden="1">
      <c r="A330" s="902"/>
      <c r="B330" s="968"/>
      <c r="C330" s="1382" t="s">
        <v>920</v>
      </c>
      <c r="D330" s="896"/>
      <c r="E330" s="922"/>
      <c r="F330" s="922"/>
      <c r="G330" s="969">
        <f>SUM(G324:G329)</f>
        <v>13852.2</v>
      </c>
      <c r="H330" s="964" t="s">
        <v>2313</v>
      </c>
    </row>
    <row r="331" spans="1:8" hidden="1">
      <c r="A331" s="902"/>
      <c r="B331" s="968"/>
      <c r="C331" s="1382" t="s">
        <v>377</v>
      </c>
      <c r="D331" s="896"/>
      <c r="E331" s="922"/>
      <c r="F331" s="922"/>
      <c r="G331" s="969">
        <f>ROUND(G330/4.6,2)</f>
        <v>3011.35</v>
      </c>
      <c r="H331" s="964" t="s">
        <v>2313</v>
      </c>
    </row>
    <row r="332" spans="1:8" hidden="1">
      <c r="A332" s="902"/>
      <c r="B332" s="902"/>
      <c r="C332" s="1382" t="s">
        <v>921</v>
      </c>
      <c r="D332" s="896"/>
      <c r="E332" s="922"/>
      <c r="F332" s="922"/>
      <c r="G332" s="963">
        <f>ROUND(G331/0.9,2)</f>
        <v>3345.94</v>
      </c>
      <c r="H332" s="964" t="s">
        <v>2313</v>
      </c>
    </row>
    <row r="333" spans="1:8" ht="153" hidden="1">
      <c r="A333" s="896">
        <v>25</v>
      </c>
      <c r="B333" s="966"/>
      <c r="C333" s="1382" t="s">
        <v>1298</v>
      </c>
      <c r="D333" s="967"/>
      <c r="E333" s="967"/>
      <c r="F333" s="967"/>
      <c r="G333" s="902"/>
      <c r="H333" s="964" t="s">
        <v>2313</v>
      </c>
    </row>
    <row r="334" spans="1:8" hidden="1">
      <c r="A334" s="896"/>
      <c r="B334" s="966"/>
      <c r="C334" s="962" t="s">
        <v>924</v>
      </c>
      <c r="D334" s="967"/>
      <c r="E334" s="967"/>
      <c r="F334" s="967"/>
      <c r="G334" s="972"/>
      <c r="H334" s="964" t="s">
        <v>2313</v>
      </c>
    </row>
    <row r="335" spans="1:8" hidden="1">
      <c r="A335" s="902"/>
      <c r="B335" s="902"/>
      <c r="C335" s="1382" t="s">
        <v>922</v>
      </c>
      <c r="D335" s="922">
        <v>10</v>
      </c>
      <c r="E335" s="920">
        <v>2.39</v>
      </c>
      <c r="F335" s="922">
        <f>ROUND(D335*E335,2)</f>
        <v>23.9</v>
      </c>
      <c r="G335" s="969"/>
      <c r="H335" s="964" t="s">
        <v>2313</v>
      </c>
    </row>
    <row r="336" spans="1:8" hidden="1">
      <c r="A336" s="902"/>
      <c r="B336" s="902"/>
      <c r="C336" s="1382" t="s">
        <v>923</v>
      </c>
      <c r="D336" s="922">
        <v>2.7</v>
      </c>
      <c r="E336" s="920">
        <v>0.89</v>
      </c>
      <c r="F336" s="922">
        <f>ROUND(D336*E336,2)</f>
        <v>2.4</v>
      </c>
      <c r="G336" s="969"/>
      <c r="H336" s="964" t="s">
        <v>2313</v>
      </c>
    </row>
    <row r="337" spans="1:8" hidden="1">
      <c r="A337" s="902"/>
      <c r="B337" s="902"/>
      <c r="C337" s="1382"/>
      <c r="D337" s="896"/>
      <c r="E337" s="920"/>
      <c r="F337" s="986">
        <f>SUM(F335:F336)</f>
        <v>26.299999999999997</v>
      </c>
      <c r="G337" s="969"/>
      <c r="H337" s="964" t="s">
        <v>2313</v>
      </c>
    </row>
    <row r="338" spans="1:8" hidden="1">
      <c r="A338" s="902"/>
      <c r="B338" s="902"/>
      <c r="C338" s="1382" t="s">
        <v>696</v>
      </c>
      <c r="D338" s="896" t="s">
        <v>4</v>
      </c>
      <c r="E338" s="920">
        <f>F337</f>
        <v>26.299999999999997</v>
      </c>
      <c r="F338" s="922">
        <f>'MINI SSR 2022-23 (2)'!$C$40</f>
        <v>414</v>
      </c>
      <c r="G338" s="969">
        <f>ROUND(E338*F338,2)</f>
        <v>10888.2</v>
      </c>
      <c r="H338" s="964" t="s">
        <v>2313</v>
      </c>
    </row>
    <row r="339" spans="1:8" ht="25.5" hidden="1">
      <c r="A339" s="902"/>
      <c r="B339" s="968"/>
      <c r="C339" s="1382" t="s">
        <v>697</v>
      </c>
      <c r="D339" s="896" t="s">
        <v>4</v>
      </c>
      <c r="E339" s="922">
        <f>E338</f>
        <v>26.299999999999997</v>
      </c>
      <c r="F339" s="922">
        <f>'MINI SSR 2022-23 (2)'!$C$41</f>
        <v>144</v>
      </c>
      <c r="G339" s="969">
        <f>ROUND(E339*F339,2)</f>
        <v>3787.2</v>
      </c>
      <c r="H339" s="964" t="s">
        <v>2313</v>
      </c>
    </row>
    <row r="340" spans="1:8" hidden="1">
      <c r="A340" s="902"/>
      <c r="B340" s="968"/>
      <c r="C340" s="1382" t="s">
        <v>927</v>
      </c>
      <c r="D340" s="896" t="s">
        <v>277</v>
      </c>
      <c r="E340" s="922">
        <v>0.9</v>
      </c>
      <c r="F340" s="922">
        <f>'MINI SSR 2022-23 (2)'!C42</f>
        <v>220</v>
      </c>
      <c r="G340" s="969">
        <f>ROUND(E340*F340,2)</f>
        <v>198</v>
      </c>
      <c r="H340" s="964" t="s">
        <v>2313</v>
      </c>
    </row>
    <row r="341" spans="1:8" hidden="1">
      <c r="A341" s="902"/>
      <c r="B341" s="968"/>
      <c r="C341" s="1382" t="s">
        <v>925</v>
      </c>
      <c r="D341" s="896" t="s">
        <v>115</v>
      </c>
      <c r="E341" s="922">
        <v>9</v>
      </c>
      <c r="F341" s="922">
        <v>30</v>
      </c>
      <c r="G341" s="969">
        <f>ROUND(E341*F341,2)</f>
        <v>270</v>
      </c>
      <c r="H341" s="964" t="s">
        <v>2313</v>
      </c>
    </row>
    <row r="342" spans="1:8" hidden="1">
      <c r="A342" s="902"/>
      <c r="B342" s="968"/>
      <c r="C342" s="1382" t="s">
        <v>926</v>
      </c>
      <c r="D342" s="896"/>
      <c r="E342" s="922"/>
      <c r="F342" s="922"/>
      <c r="G342" s="969">
        <f>SUM(G338:G341)</f>
        <v>15143.400000000001</v>
      </c>
      <c r="H342" s="964" t="s">
        <v>2313</v>
      </c>
    </row>
    <row r="343" spans="1:8" hidden="1">
      <c r="A343" s="902"/>
      <c r="B343" s="968"/>
      <c r="C343" s="1382" t="s">
        <v>377</v>
      </c>
      <c r="D343" s="896"/>
      <c r="E343" s="922"/>
      <c r="F343" s="922"/>
      <c r="G343" s="963">
        <f>ROUND(G342/10,2)</f>
        <v>1514.34</v>
      </c>
      <c r="H343" s="964" t="s">
        <v>2313</v>
      </c>
    </row>
    <row r="344" spans="1:8" ht="51" hidden="1">
      <c r="A344" s="896">
        <v>25</v>
      </c>
      <c r="B344" s="966"/>
      <c r="C344" s="1382" t="s">
        <v>2286</v>
      </c>
      <c r="D344" s="967"/>
      <c r="E344" s="967"/>
      <c r="F344" s="967"/>
      <c r="G344" s="902"/>
      <c r="H344" s="964" t="s">
        <v>2313</v>
      </c>
    </row>
    <row r="345" spans="1:8" hidden="1">
      <c r="A345" s="902"/>
      <c r="B345" s="902"/>
      <c r="C345" s="1382" t="s">
        <v>696</v>
      </c>
      <c r="D345" s="896" t="s">
        <v>4</v>
      </c>
      <c r="E345" s="920">
        <v>1.0249999999999999</v>
      </c>
      <c r="F345" s="922">
        <f>'MINI SSR 2022-23 (2)'!$C$40</f>
        <v>414</v>
      </c>
      <c r="G345" s="969">
        <f>ROUND(E345*F345,2)</f>
        <v>424.35</v>
      </c>
      <c r="H345" s="964" t="s">
        <v>2313</v>
      </c>
    </row>
    <row r="346" spans="1:8" ht="25.5" hidden="1">
      <c r="A346" s="902"/>
      <c r="B346" s="968"/>
      <c r="C346" s="1382" t="s">
        <v>697</v>
      </c>
      <c r="D346" s="896" t="s">
        <v>4</v>
      </c>
      <c r="E346" s="922">
        <v>1</v>
      </c>
      <c r="F346" s="922">
        <f>'MINI SSR 2022-23 (2)'!$C$41</f>
        <v>144</v>
      </c>
      <c r="G346" s="969">
        <f>ROUND(E346*F346,2)</f>
        <v>144</v>
      </c>
      <c r="H346" s="964" t="s">
        <v>2313</v>
      </c>
    </row>
    <row r="347" spans="1:8" hidden="1">
      <c r="A347" s="902"/>
      <c r="B347" s="968"/>
      <c r="C347" s="1382" t="s">
        <v>2287</v>
      </c>
      <c r="D347" s="896"/>
      <c r="E347" s="922"/>
      <c r="F347" s="922"/>
      <c r="G347" s="963">
        <f>SUM(G345:G346)</f>
        <v>568.35</v>
      </c>
      <c r="H347" s="964" t="s">
        <v>2313</v>
      </c>
    </row>
    <row r="348" spans="1:8" ht="51" hidden="1">
      <c r="A348" s="896">
        <v>26</v>
      </c>
      <c r="B348" s="966" t="s">
        <v>1344</v>
      </c>
      <c r="C348" s="1382" t="s">
        <v>1186</v>
      </c>
      <c r="D348" s="967"/>
      <c r="E348" s="967"/>
      <c r="F348" s="967"/>
      <c r="G348" s="966"/>
      <c r="H348" s="964" t="s">
        <v>2313</v>
      </c>
    </row>
    <row r="349" spans="1:8" hidden="1">
      <c r="A349" s="896"/>
      <c r="B349" s="966"/>
      <c r="C349" s="962" t="s">
        <v>84</v>
      </c>
      <c r="D349" s="967"/>
      <c r="E349" s="967"/>
      <c r="F349" s="967"/>
      <c r="G349" s="972"/>
      <c r="H349" s="964" t="s">
        <v>2313</v>
      </c>
    </row>
    <row r="350" spans="1:8" hidden="1">
      <c r="A350" s="896"/>
      <c r="B350" s="966"/>
      <c r="C350" s="962" t="s">
        <v>60</v>
      </c>
      <c r="D350" s="967"/>
      <c r="E350" s="967"/>
      <c r="F350" s="967"/>
      <c r="G350" s="972"/>
      <c r="H350" s="964" t="s">
        <v>2313</v>
      </c>
    </row>
    <row r="351" spans="1:8" hidden="1">
      <c r="A351" s="896"/>
      <c r="B351" s="966"/>
      <c r="C351" s="1382" t="s">
        <v>33</v>
      </c>
      <c r="D351" s="967" t="s">
        <v>4</v>
      </c>
      <c r="E351" s="970">
        <v>59.4</v>
      </c>
      <c r="F351" s="970">
        <f>'lead 22-23 P-B'!L8</f>
        <v>4700</v>
      </c>
      <c r="G351" s="969">
        <f>ROUND(E351*F351/1000,2)</f>
        <v>279.18</v>
      </c>
      <c r="H351" s="964" t="s">
        <v>2313</v>
      </c>
    </row>
    <row r="352" spans="1:8" hidden="1">
      <c r="A352" s="896"/>
      <c r="B352" s="966"/>
      <c r="C352" s="1382" t="s">
        <v>1193</v>
      </c>
      <c r="D352" s="967" t="s">
        <v>35</v>
      </c>
      <c r="E352" s="987">
        <v>1.1000000000000001</v>
      </c>
      <c r="F352" s="970">
        <f>'lead 22-23 P-B'!L21</f>
        <v>1039.9000000000001</v>
      </c>
      <c r="G352" s="969">
        <f>ROUND(E352*F352,2)</f>
        <v>1143.8900000000001</v>
      </c>
      <c r="H352" s="964" t="s">
        <v>2313</v>
      </c>
    </row>
    <row r="353" spans="1:8" hidden="1">
      <c r="A353" s="896"/>
      <c r="B353" s="966"/>
      <c r="C353" s="1382" t="s">
        <v>1217</v>
      </c>
      <c r="D353" s="967" t="s">
        <v>35</v>
      </c>
      <c r="E353" s="970">
        <v>0.33</v>
      </c>
      <c r="F353" s="970">
        <f>'lead 22-23 P-B'!L12</f>
        <v>1815.9999999999998</v>
      </c>
      <c r="G353" s="969">
        <f>ROUND(E353*F353,2)</f>
        <v>599.28</v>
      </c>
      <c r="H353" s="964" t="s">
        <v>2313</v>
      </c>
    </row>
    <row r="354" spans="1:8" hidden="1">
      <c r="A354" s="967"/>
      <c r="B354" s="967"/>
      <c r="C354" s="962" t="s">
        <v>68</v>
      </c>
      <c r="D354" s="967"/>
      <c r="E354" s="970"/>
      <c r="F354" s="970"/>
      <c r="G354" s="969"/>
      <c r="H354" s="964" t="s">
        <v>2313</v>
      </c>
    </row>
    <row r="355" spans="1:8" hidden="1">
      <c r="A355" s="967"/>
      <c r="B355" s="967"/>
      <c r="C355" s="1382" t="s">
        <v>64</v>
      </c>
      <c r="D355" s="967" t="s">
        <v>27</v>
      </c>
      <c r="E355" s="970">
        <v>1.2</v>
      </c>
      <c r="F355" s="970">
        <f>'MINI SSR 2022-23 (2)'!$H$3</f>
        <v>630</v>
      </c>
      <c r="G355" s="969">
        <f>ROUND(E355*F355,2)</f>
        <v>756</v>
      </c>
      <c r="H355" s="964" t="s">
        <v>2313</v>
      </c>
    </row>
    <row r="356" spans="1:8" hidden="1">
      <c r="A356" s="967"/>
      <c r="B356" s="967"/>
      <c r="C356" s="1382" t="s">
        <v>85</v>
      </c>
      <c r="D356" s="967" t="s">
        <v>27</v>
      </c>
      <c r="E356" s="970">
        <v>2</v>
      </c>
      <c r="F356" s="970">
        <f>'MINI SSR 2022-23 (2)'!$H$5</f>
        <v>525</v>
      </c>
      <c r="G356" s="969">
        <f>ROUND(E356*F356,2)</f>
        <v>1050</v>
      </c>
      <c r="H356" s="964" t="s">
        <v>2313</v>
      </c>
    </row>
    <row r="357" spans="1:8" hidden="1">
      <c r="A357" s="967"/>
      <c r="B357" s="967"/>
      <c r="C357" s="962" t="s">
        <v>86</v>
      </c>
      <c r="D357" s="967"/>
      <c r="E357" s="967"/>
      <c r="F357" s="967"/>
      <c r="G357" s="971">
        <f>SUM(G351:G356)</f>
        <v>3828.3500000000004</v>
      </c>
      <c r="H357" s="964" t="s">
        <v>2313</v>
      </c>
    </row>
    <row r="358" spans="1:8" ht="142.5" hidden="1">
      <c r="A358" s="896">
        <v>4</v>
      </c>
      <c r="B358" s="966" t="s">
        <v>83</v>
      </c>
      <c r="C358" s="1382" t="s">
        <v>1299</v>
      </c>
      <c r="D358" s="967"/>
      <c r="E358" s="967"/>
      <c r="F358" s="967"/>
      <c r="G358" s="966"/>
      <c r="H358" s="964" t="s">
        <v>2313</v>
      </c>
    </row>
    <row r="359" spans="1:8" hidden="1">
      <c r="A359" s="896"/>
      <c r="B359" s="966"/>
      <c r="C359" s="962" t="s">
        <v>84</v>
      </c>
      <c r="D359" s="967"/>
      <c r="E359" s="967"/>
      <c r="F359" s="967"/>
      <c r="G359" s="972"/>
      <c r="H359" s="964" t="s">
        <v>2313</v>
      </c>
    </row>
    <row r="360" spans="1:8" hidden="1">
      <c r="A360" s="896"/>
      <c r="B360" s="966"/>
      <c r="C360" s="962" t="s">
        <v>60</v>
      </c>
      <c r="D360" s="967"/>
      <c r="E360" s="967"/>
      <c r="F360" s="967"/>
      <c r="G360" s="972"/>
      <c r="H360" s="964" t="s">
        <v>2313</v>
      </c>
    </row>
    <row r="361" spans="1:8" hidden="1">
      <c r="A361" s="896"/>
      <c r="B361" s="966"/>
      <c r="C361" s="1382" t="s">
        <v>33</v>
      </c>
      <c r="D361" s="967" t="s">
        <v>4</v>
      </c>
      <c r="E361" s="970">
        <v>48</v>
      </c>
      <c r="F361" s="970">
        <f>'lead 22-23 P-B'!L8</f>
        <v>4700</v>
      </c>
      <c r="G361" s="969">
        <f>ROUND(E361*F361/1000,2)</f>
        <v>225.6</v>
      </c>
      <c r="H361" s="964" t="s">
        <v>2313</v>
      </c>
    </row>
    <row r="362" spans="1:8" hidden="1">
      <c r="A362" s="896"/>
      <c r="B362" s="966"/>
      <c r="C362" s="1382" t="s">
        <v>1300</v>
      </c>
      <c r="D362" s="967" t="s">
        <v>11</v>
      </c>
      <c r="E362" s="988">
        <v>512</v>
      </c>
      <c r="F362" s="970">
        <f>'lead 22-23 P-B'!L15</f>
        <v>8716</v>
      </c>
      <c r="G362" s="969">
        <f>ROUND(E362*F362/1000,2)</f>
        <v>4462.59</v>
      </c>
      <c r="H362" s="964" t="s">
        <v>2313</v>
      </c>
    </row>
    <row r="363" spans="1:8" hidden="1">
      <c r="A363" s="896"/>
      <c r="B363" s="966"/>
      <c r="C363" s="1382" t="s">
        <v>113</v>
      </c>
      <c r="D363" s="967" t="s">
        <v>35</v>
      </c>
      <c r="E363" s="970">
        <v>0.2</v>
      </c>
      <c r="F363" s="970">
        <f>'lead 22-23 P-B'!L12</f>
        <v>1815.9999999999998</v>
      </c>
      <c r="G363" s="969">
        <f>ROUND(E363*F363,2)</f>
        <v>363.2</v>
      </c>
      <c r="H363" s="964" t="s">
        <v>2313</v>
      </c>
    </row>
    <row r="364" spans="1:8" hidden="1">
      <c r="A364" s="967"/>
      <c r="B364" s="967"/>
      <c r="C364" s="962" t="s">
        <v>68</v>
      </c>
      <c r="D364" s="967"/>
      <c r="E364" s="970"/>
      <c r="F364" s="970"/>
      <c r="G364" s="969"/>
      <c r="H364" s="964" t="s">
        <v>2313</v>
      </c>
    </row>
    <row r="365" spans="1:8" hidden="1">
      <c r="A365" s="967"/>
      <c r="B365" s="967"/>
      <c r="C365" s="1382" t="s">
        <v>64</v>
      </c>
      <c r="D365" s="967" t="s">
        <v>27</v>
      </c>
      <c r="E365" s="970">
        <v>0.24</v>
      </c>
      <c r="F365" s="970">
        <f>'MINI SSR 2022-23 (2)'!$H$3</f>
        <v>630</v>
      </c>
      <c r="G365" s="969">
        <f>ROUND(E365*F365,2)</f>
        <v>151.19999999999999</v>
      </c>
      <c r="H365" s="964" t="s">
        <v>2313</v>
      </c>
    </row>
    <row r="366" spans="1:8" hidden="1">
      <c r="A366" s="967"/>
      <c r="B366" s="967"/>
      <c r="C366" s="1382" t="s">
        <v>69</v>
      </c>
      <c r="D366" s="967" t="s">
        <v>27</v>
      </c>
      <c r="E366" s="970">
        <v>0.56000000000000005</v>
      </c>
      <c r="F366" s="970">
        <f>'MINI SSR 2022-23 (2)'!$H$4</f>
        <v>565</v>
      </c>
      <c r="G366" s="969">
        <f>ROUND(E366*F366,2)</f>
        <v>316.39999999999998</v>
      </c>
      <c r="H366" s="964" t="s">
        <v>2313</v>
      </c>
    </row>
    <row r="367" spans="1:8" hidden="1">
      <c r="A367" s="967"/>
      <c r="B367" s="967"/>
      <c r="C367" s="1382" t="s">
        <v>85</v>
      </c>
      <c r="D367" s="967" t="s">
        <v>27</v>
      </c>
      <c r="E367" s="970">
        <v>1.89</v>
      </c>
      <c r="F367" s="970">
        <f>'MINI SSR 2022-23 (2)'!$H$5</f>
        <v>525</v>
      </c>
      <c r="G367" s="969">
        <f>ROUND(E367*F367,2)</f>
        <v>992.25</v>
      </c>
      <c r="H367" s="964" t="s">
        <v>2313</v>
      </c>
    </row>
    <row r="368" spans="1:8" hidden="1">
      <c r="A368" s="967"/>
      <c r="B368" s="967"/>
      <c r="C368" s="962" t="s">
        <v>86</v>
      </c>
      <c r="D368" s="967"/>
      <c r="E368" s="967"/>
      <c r="F368" s="967"/>
      <c r="G368" s="971">
        <f>SUM(G361:G367)</f>
        <v>6511.24</v>
      </c>
      <c r="H368" s="964" t="s">
        <v>2313</v>
      </c>
    </row>
    <row r="369" spans="1:8" hidden="1">
      <c r="A369" s="967"/>
      <c r="B369" s="967"/>
      <c r="C369" s="962"/>
      <c r="D369" s="967"/>
      <c r="E369" s="966" t="s">
        <v>161</v>
      </c>
      <c r="F369" s="966" t="s">
        <v>162</v>
      </c>
      <c r="G369" s="974" t="s">
        <v>163</v>
      </c>
      <c r="H369" s="964" t="s">
        <v>2313</v>
      </c>
    </row>
    <row r="370" spans="1:8" hidden="1">
      <c r="A370" s="967"/>
      <c r="B370" s="967"/>
      <c r="C370" s="962" t="s">
        <v>192</v>
      </c>
      <c r="D370" s="967"/>
      <c r="E370" s="970">
        <f>G368</f>
        <v>6511.24</v>
      </c>
      <c r="F370" s="970">
        <f>E370</f>
        <v>6511.24</v>
      </c>
      <c r="G370" s="972">
        <f>F370</f>
        <v>6511.24</v>
      </c>
      <c r="H370" s="964" t="s">
        <v>2313</v>
      </c>
    </row>
    <row r="371" spans="1:8" hidden="1">
      <c r="A371" s="967"/>
      <c r="B371" s="967"/>
      <c r="C371" s="1382" t="s">
        <v>191</v>
      </c>
      <c r="D371" s="973">
        <v>4.3499999999999996</v>
      </c>
      <c r="E371" s="967">
        <f>ROUND(D371*'MINI SSR 2022-23 (2)'!E30,2)</f>
        <v>46.89</v>
      </c>
      <c r="F371" s="967">
        <f>E371</f>
        <v>46.89</v>
      </c>
      <c r="G371" s="967">
        <f>E371</f>
        <v>46.89</v>
      </c>
      <c r="H371" s="964" t="s">
        <v>2313</v>
      </c>
    </row>
    <row r="372" spans="1:8" hidden="1">
      <c r="A372" s="967"/>
      <c r="B372" s="967"/>
      <c r="C372" s="1382" t="s">
        <v>193</v>
      </c>
      <c r="D372" s="973">
        <v>4.3499999999999996</v>
      </c>
      <c r="E372" s="967">
        <f>ROUND(D372*'MINI SSR 2022-23 (2)'!F30,2)</f>
        <v>368.1</v>
      </c>
      <c r="F372" s="967">
        <f>ROUND(D372*'MINI SSR 2022-23 (2)'!G30,2)</f>
        <v>527.13</v>
      </c>
      <c r="G372" s="967">
        <f>ROUND(D372*'MINI SSR 2022-23 (2)'!H30,2)</f>
        <v>686.08</v>
      </c>
      <c r="H372" s="964" t="s">
        <v>2313</v>
      </c>
    </row>
    <row r="373" spans="1:8" ht="25.5" hidden="1">
      <c r="A373" s="967"/>
      <c r="B373" s="967"/>
      <c r="C373" s="1382" t="s">
        <v>1285</v>
      </c>
      <c r="D373" s="967"/>
      <c r="E373" s="967"/>
      <c r="F373" s="970">
        <f>ROUND((G365+G366+G367+F372)*0.1,2)</f>
        <v>198.7</v>
      </c>
      <c r="G373" s="970">
        <f>ROUND((G365+G366+G367+G372)*0.2,2)</f>
        <v>429.19</v>
      </c>
      <c r="H373" s="964" t="s">
        <v>2313</v>
      </c>
    </row>
    <row r="374" spans="1:8" hidden="1">
      <c r="A374" s="967"/>
      <c r="B374" s="967"/>
      <c r="C374" s="962" t="s">
        <v>86</v>
      </c>
      <c r="D374" s="967"/>
      <c r="E374" s="974">
        <f>SUM(E370:E373)</f>
        <v>6926.2300000000005</v>
      </c>
      <c r="F374" s="974">
        <f>SUM(F370:F373)</f>
        <v>7283.96</v>
      </c>
      <c r="G374" s="971">
        <f>SUM(G370:G373)</f>
        <v>7673.4</v>
      </c>
      <c r="H374" s="964" t="s">
        <v>2313</v>
      </c>
    </row>
    <row r="375" spans="1:8" ht="142.5" hidden="1">
      <c r="A375" s="896">
        <v>8</v>
      </c>
      <c r="B375" s="966" t="s">
        <v>1345</v>
      </c>
      <c r="C375" s="1382" t="s">
        <v>1301</v>
      </c>
      <c r="D375" s="967"/>
      <c r="E375" s="967"/>
      <c r="F375" s="967"/>
      <c r="G375" s="966"/>
      <c r="H375" s="964" t="s">
        <v>2313</v>
      </c>
    </row>
    <row r="376" spans="1:8" hidden="1">
      <c r="A376" s="896"/>
      <c r="B376" s="966"/>
      <c r="C376" s="962" t="s">
        <v>84</v>
      </c>
      <c r="D376" s="967"/>
      <c r="E376" s="967"/>
      <c r="F376" s="967"/>
      <c r="G376" s="972"/>
      <c r="H376" s="964" t="s">
        <v>2313</v>
      </c>
    </row>
    <row r="377" spans="1:8" hidden="1">
      <c r="A377" s="896"/>
      <c r="B377" s="966"/>
      <c r="C377" s="962" t="s">
        <v>60</v>
      </c>
      <c r="D377" s="967"/>
      <c r="E377" s="967"/>
      <c r="F377" s="967"/>
      <c r="G377" s="972"/>
      <c r="H377" s="964" t="s">
        <v>2313</v>
      </c>
    </row>
    <row r="378" spans="1:8" hidden="1">
      <c r="A378" s="896"/>
      <c r="B378" s="966"/>
      <c r="C378" s="1382" t="s">
        <v>33</v>
      </c>
      <c r="D378" s="967" t="s">
        <v>4</v>
      </c>
      <c r="E378" s="970">
        <v>36</v>
      </c>
      <c r="F378" s="970">
        <f>'lead 22-23 P-B'!L8</f>
        <v>4700</v>
      </c>
      <c r="G378" s="969">
        <f>ROUND(E378*F378/1000,2)</f>
        <v>169.2</v>
      </c>
      <c r="H378" s="964" t="s">
        <v>2313</v>
      </c>
    </row>
    <row r="379" spans="1:8" hidden="1">
      <c r="A379" s="896"/>
      <c r="B379" s="966"/>
      <c r="C379" s="1382" t="s">
        <v>1300</v>
      </c>
      <c r="D379" s="967" t="s">
        <v>11</v>
      </c>
      <c r="E379" s="988">
        <v>512</v>
      </c>
      <c r="F379" s="970">
        <f>'lead 22-23 P-B'!L15</f>
        <v>8716</v>
      </c>
      <c r="G379" s="969">
        <f>ROUND(E379*F379/1000,2)</f>
        <v>4462.59</v>
      </c>
      <c r="H379" s="964" t="s">
        <v>2313</v>
      </c>
    </row>
    <row r="380" spans="1:8" hidden="1">
      <c r="A380" s="896"/>
      <c r="B380" s="966"/>
      <c r="C380" s="1382" t="s">
        <v>113</v>
      </c>
      <c r="D380" s="967" t="s">
        <v>35</v>
      </c>
      <c r="E380" s="970">
        <v>0.2</v>
      </c>
      <c r="F380" s="970">
        <f>'lead 22-23 P-B'!L12</f>
        <v>1815.9999999999998</v>
      </c>
      <c r="G380" s="969">
        <f>ROUND(E380*F380,2)</f>
        <v>363.2</v>
      </c>
      <c r="H380" s="964" t="s">
        <v>2313</v>
      </c>
    </row>
    <row r="381" spans="1:8" hidden="1">
      <c r="A381" s="967"/>
      <c r="B381" s="967"/>
      <c r="C381" s="962" t="s">
        <v>68</v>
      </c>
      <c r="D381" s="967"/>
      <c r="E381" s="970"/>
      <c r="F381" s="970"/>
      <c r="G381" s="969"/>
      <c r="H381" s="964" t="s">
        <v>2313</v>
      </c>
    </row>
    <row r="382" spans="1:8" hidden="1">
      <c r="A382" s="967"/>
      <c r="B382" s="967"/>
      <c r="C382" s="1382" t="s">
        <v>64</v>
      </c>
      <c r="D382" s="967" t="s">
        <v>27</v>
      </c>
      <c r="E382" s="970">
        <v>0.24</v>
      </c>
      <c r="F382" s="970">
        <f>'MINI SSR 2022-23 (2)'!$H$3</f>
        <v>630</v>
      </c>
      <c r="G382" s="969">
        <f>ROUND(E382*F382,2)</f>
        <v>151.19999999999999</v>
      </c>
      <c r="H382" s="964" t="s">
        <v>2313</v>
      </c>
    </row>
    <row r="383" spans="1:8" hidden="1">
      <c r="A383" s="967"/>
      <c r="B383" s="967"/>
      <c r="C383" s="1382" t="s">
        <v>69</v>
      </c>
      <c r="D383" s="967" t="s">
        <v>27</v>
      </c>
      <c r="E383" s="970">
        <v>0.56000000000000005</v>
      </c>
      <c r="F383" s="970">
        <f>'MINI SSR 2022-23 (2)'!$H$4</f>
        <v>565</v>
      </c>
      <c r="G383" s="969">
        <f>ROUND(E383*F383,2)</f>
        <v>316.39999999999998</v>
      </c>
      <c r="H383" s="964" t="s">
        <v>2313</v>
      </c>
    </row>
    <row r="384" spans="1:8" hidden="1">
      <c r="A384" s="967"/>
      <c r="B384" s="967"/>
      <c r="C384" s="1382" t="s">
        <v>85</v>
      </c>
      <c r="D384" s="967" t="s">
        <v>27</v>
      </c>
      <c r="E384" s="970">
        <v>1.89</v>
      </c>
      <c r="F384" s="970">
        <f>'MINI SSR 2022-23 (2)'!$H$5</f>
        <v>525</v>
      </c>
      <c r="G384" s="969">
        <f>ROUND(E384*F384,2)</f>
        <v>992.25</v>
      </c>
      <c r="H384" s="964" t="s">
        <v>2313</v>
      </c>
    </row>
    <row r="385" spans="1:8" hidden="1">
      <c r="A385" s="967"/>
      <c r="B385" s="967"/>
      <c r="C385" s="962" t="s">
        <v>86</v>
      </c>
      <c r="D385" s="967"/>
      <c r="E385" s="967"/>
      <c r="F385" s="967"/>
      <c r="G385" s="971">
        <f>SUM(G378:G384)</f>
        <v>6454.8399999999992</v>
      </c>
      <c r="H385" s="964" t="s">
        <v>2313</v>
      </c>
    </row>
    <row r="386" spans="1:8" hidden="1">
      <c r="A386" s="967"/>
      <c r="B386" s="967"/>
      <c r="C386" s="962"/>
      <c r="D386" s="967"/>
      <c r="E386" s="966" t="s">
        <v>161</v>
      </c>
      <c r="F386" s="966" t="s">
        <v>162</v>
      </c>
      <c r="G386" s="974" t="s">
        <v>163</v>
      </c>
      <c r="H386" s="964" t="s">
        <v>2313</v>
      </c>
    </row>
    <row r="387" spans="1:8" hidden="1">
      <c r="A387" s="967"/>
      <c r="B387" s="967"/>
      <c r="C387" s="962" t="s">
        <v>192</v>
      </c>
      <c r="D387" s="967"/>
      <c r="E387" s="970">
        <f>G385</f>
        <v>6454.8399999999992</v>
      </c>
      <c r="F387" s="970">
        <f>E387</f>
        <v>6454.8399999999992</v>
      </c>
      <c r="G387" s="972">
        <f>F387</f>
        <v>6454.8399999999992</v>
      </c>
      <c r="H387" s="964" t="s">
        <v>2313</v>
      </c>
    </row>
    <row r="388" spans="1:8" hidden="1">
      <c r="A388" s="967"/>
      <c r="B388" s="967"/>
      <c r="C388" s="1382" t="s">
        <v>191</v>
      </c>
      <c r="D388" s="973">
        <v>4.3499999999999996</v>
      </c>
      <c r="E388" s="967">
        <f>ROUND(D388*'MINI SSR 2022-23 (2)'!E30,2)</f>
        <v>46.89</v>
      </c>
      <c r="F388" s="967">
        <f>E388</f>
        <v>46.89</v>
      </c>
      <c r="G388" s="967">
        <f>F388</f>
        <v>46.89</v>
      </c>
      <c r="H388" s="964" t="s">
        <v>2313</v>
      </c>
    </row>
    <row r="389" spans="1:8" hidden="1">
      <c r="A389" s="967"/>
      <c r="B389" s="967"/>
      <c r="C389" s="1382" t="s">
        <v>193</v>
      </c>
      <c r="D389" s="973">
        <v>4.3499999999999996</v>
      </c>
      <c r="E389" s="967">
        <f>ROUND(D389*'MINI SSR 2022-23 (2)'!F30,2)</f>
        <v>368.1</v>
      </c>
      <c r="F389" s="967">
        <f>ROUND(D389*'MINI SSR 2022-23 (2)'!G30,2)</f>
        <v>527.13</v>
      </c>
      <c r="G389" s="967">
        <f>ROUND(D389*'MINI SSR 2022-23 (2)'!H30,2)</f>
        <v>686.08</v>
      </c>
      <c r="H389" s="964" t="s">
        <v>2313</v>
      </c>
    </row>
    <row r="390" spans="1:8" ht="25.5" hidden="1">
      <c r="A390" s="967"/>
      <c r="B390" s="967"/>
      <c r="C390" s="1382" t="s">
        <v>1285</v>
      </c>
      <c r="D390" s="967"/>
      <c r="E390" s="967"/>
      <c r="F390" s="970">
        <f>ROUND((G382+G383+G384+F389)*0.1,2)</f>
        <v>198.7</v>
      </c>
      <c r="G390" s="970">
        <f>ROUND((G382+G383+G384+G389)*0.2,2)</f>
        <v>429.19</v>
      </c>
      <c r="H390" s="964" t="s">
        <v>2313</v>
      </c>
    </row>
    <row r="391" spans="1:8" hidden="1">
      <c r="A391" s="967"/>
      <c r="B391" s="967"/>
      <c r="C391" s="962" t="s">
        <v>86</v>
      </c>
      <c r="D391" s="967"/>
      <c r="E391" s="974">
        <f>SUM(E387:E390)</f>
        <v>6869.83</v>
      </c>
      <c r="F391" s="974">
        <f>SUM(F387:F390)</f>
        <v>7227.5599999999995</v>
      </c>
      <c r="G391" s="971">
        <f>SUM(G387:G390)</f>
        <v>7616.9999999999991</v>
      </c>
      <c r="H391" s="964" t="s">
        <v>2313</v>
      </c>
    </row>
    <row r="392" spans="1:8" ht="102" hidden="1">
      <c r="A392" s="896">
        <v>13</v>
      </c>
      <c r="B392" s="966" t="s">
        <v>221</v>
      </c>
      <c r="C392" s="1382" t="s">
        <v>3684</v>
      </c>
      <c r="D392" s="967"/>
      <c r="E392" s="967"/>
      <c r="F392" s="967"/>
      <c r="G392" s="966"/>
      <c r="H392" s="964" t="s">
        <v>2313</v>
      </c>
    </row>
    <row r="393" spans="1:8" hidden="1">
      <c r="A393" s="896"/>
      <c r="B393" s="966"/>
      <c r="C393" s="962" t="s">
        <v>222</v>
      </c>
      <c r="D393" s="967"/>
      <c r="E393" s="967"/>
      <c r="F393" s="967"/>
      <c r="G393" s="972"/>
      <c r="H393" s="964" t="s">
        <v>2313</v>
      </c>
    </row>
    <row r="394" spans="1:8" hidden="1">
      <c r="A394" s="896"/>
      <c r="B394" s="966"/>
      <c r="C394" s="962" t="s">
        <v>60</v>
      </c>
      <c r="D394" s="967"/>
      <c r="E394" s="967"/>
      <c r="F394" s="967"/>
      <c r="G394" s="972"/>
      <c r="H394" s="964" t="s">
        <v>2313</v>
      </c>
    </row>
    <row r="395" spans="1:8" hidden="1">
      <c r="A395" s="896"/>
      <c r="B395" s="966"/>
      <c r="C395" s="1382" t="s">
        <v>33</v>
      </c>
      <c r="D395" s="967" t="s">
        <v>4</v>
      </c>
      <c r="E395" s="970">
        <v>72</v>
      </c>
      <c r="F395" s="970">
        <f>'lead 22-23 P-B'!L8</f>
        <v>4700</v>
      </c>
      <c r="G395" s="969">
        <f>ROUND(E395*F395/1000,2)</f>
        <v>338.4</v>
      </c>
      <c r="H395" s="964" t="s">
        <v>2313</v>
      </c>
    </row>
    <row r="396" spans="1:8" hidden="1">
      <c r="A396" s="896"/>
      <c r="B396" s="966"/>
      <c r="C396" s="1382" t="s">
        <v>1302</v>
      </c>
      <c r="D396" s="967" t="s">
        <v>11</v>
      </c>
      <c r="E396" s="988">
        <v>565</v>
      </c>
      <c r="F396" s="970">
        <f>'lead 22-23 P-B'!L15</f>
        <v>8716</v>
      </c>
      <c r="G396" s="969">
        <f>ROUND(E396*F396/1000,2)</f>
        <v>4924.54</v>
      </c>
      <c r="H396" s="964" t="s">
        <v>2313</v>
      </c>
    </row>
    <row r="397" spans="1:8" hidden="1">
      <c r="A397" s="896"/>
      <c r="B397" s="966"/>
      <c r="C397" s="1382" t="s">
        <v>113</v>
      </c>
      <c r="D397" s="967" t="s">
        <v>35</v>
      </c>
      <c r="E397" s="970">
        <v>0.22</v>
      </c>
      <c r="F397" s="970">
        <f>'lead 22-23 P-B'!L12</f>
        <v>1815.9999999999998</v>
      </c>
      <c r="G397" s="969">
        <f>ROUND(E397*F397,2)</f>
        <v>399.52</v>
      </c>
      <c r="H397" s="964" t="s">
        <v>2313</v>
      </c>
    </row>
    <row r="398" spans="1:8" hidden="1">
      <c r="A398" s="967"/>
      <c r="B398" s="967"/>
      <c r="C398" s="962" t="s">
        <v>68</v>
      </c>
      <c r="D398" s="967"/>
      <c r="E398" s="970"/>
      <c r="F398" s="970"/>
      <c r="G398" s="969"/>
      <c r="H398" s="964" t="s">
        <v>2313</v>
      </c>
    </row>
    <row r="399" spans="1:8" hidden="1">
      <c r="A399" s="967"/>
      <c r="B399" s="967"/>
      <c r="C399" s="1382" t="s">
        <v>64</v>
      </c>
      <c r="D399" s="967" t="s">
        <v>27</v>
      </c>
      <c r="E399" s="970">
        <v>0.6</v>
      </c>
      <c r="F399" s="970">
        <f>'MINI SSR 2022-23 (2)'!$H$3</f>
        <v>630</v>
      </c>
      <c r="G399" s="969">
        <f>ROUND(E399*F399,2)</f>
        <v>378</v>
      </c>
      <c r="H399" s="964" t="s">
        <v>2313</v>
      </c>
    </row>
    <row r="400" spans="1:8" hidden="1">
      <c r="A400" s="967"/>
      <c r="B400" s="967"/>
      <c r="C400" s="1382" t="s">
        <v>69</v>
      </c>
      <c r="D400" s="967" t="s">
        <v>27</v>
      </c>
      <c r="E400" s="970">
        <v>0.6</v>
      </c>
      <c r="F400" s="970">
        <f>'MINI SSR 2022-23 (2)'!$H$4</f>
        <v>565</v>
      </c>
      <c r="G400" s="969">
        <f>ROUND(E400*F400,2)</f>
        <v>339</v>
      </c>
      <c r="H400" s="964" t="s">
        <v>2313</v>
      </c>
    </row>
    <row r="401" spans="1:8" hidden="1">
      <c r="A401" s="967"/>
      <c r="B401" s="967"/>
      <c r="C401" s="1382" t="s">
        <v>85</v>
      </c>
      <c r="D401" s="967" t="s">
        <v>27</v>
      </c>
      <c r="E401" s="970">
        <v>2.75</v>
      </c>
      <c r="F401" s="970">
        <f>'MINI SSR 2022-23 (2)'!$H$5</f>
        <v>525</v>
      </c>
      <c r="G401" s="969">
        <f>ROUND(E401*F401,2)</f>
        <v>1443.75</v>
      </c>
      <c r="H401" s="964" t="s">
        <v>2313</v>
      </c>
    </row>
    <row r="402" spans="1:8" hidden="1">
      <c r="A402" s="967"/>
      <c r="B402" s="967"/>
      <c r="C402" s="962" t="s">
        <v>88</v>
      </c>
      <c r="D402" s="967"/>
      <c r="E402" s="970"/>
      <c r="F402" s="970"/>
      <c r="G402" s="969">
        <f>SUM(G395:G401)</f>
        <v>7823.2099999999991</v>
      </c>
      <c r="H402" s="964" t="s">
        <v>2313</v>
      </c>
    </row>
    <row r="403" spans="1:8" hidden="1">
      <c r="A403" s="967"/>
      <c r="B403" s="967"/>
      <c r="C403" s="962"/>
      <c r="D403" s="967"/>
      <c r="E403" s="966" t="s">
        <v>161</v>
      </c>
      <c r="F403" s="974" t="s">
        <v>162</v>
      </c>
      <c r="G403" s="974" t="s">
        <v>163</v>
      </c>
      <c r="H403" s="964" t="s">
        <v>2313</v>
      </c>
    </row>
    <row r="404" spans="1:8" hidden="1">
      <c r="A404" s="967"/>
      <c r="B404" s="967"/>
      <c r="C404" s="962" t="s">
        <v>192</v>
      </c>
      <c r="D404" s="967"/>
      <c r="E404" s="970">
        <f>G402</f>
        <v>7823.2099999999991</v>
      </c>
      <c r="F404" s="972">
        <f>G402</f>
        <v>7823.2099999999991</v>
      </c>
      <c r="G404" s="972">
        <f>G402</f>
        <v>7823.2099999999991</v>
      </c>
      <c r="H404" s="964" t="s">
        <v>2313</v>
      </c>
    </row>
    <row r="405" spans="1:8" hidden="1">
      <c r="A405" s="967"/>
      <c r="B405" s="967"/>
      <c r="C405" s="1382" t="s">
        <v>1645</v>
      </c>
      <c r="D405" s="973">
        <v>8.6999999999999993</v>
      </c>
      <c r="E405" s="967">
        <f>ROUND(D405*'MINI SSR 2022-23 (2)'!E30,2)</f>
        <v>93.79</v>
      </c>
      <c r="F405" s="975">
        <f>E405</f>
        <v>93.79</v>
      </c>
      <c r="G405" s="975">
        <f>F405</f>
        <v>93.79</v>
      </c>
      <c r="H405" s="964" t="s">
        <v>2313</v>
      </c>
    </row>
    <row r="406" spans="1:8" hidden="1">
      <c r="A406" s="967"/>
      <c r="B406" s="967"/>
      <c r="C406" s="1382" t="s">
        <v>1646</v>
      </c>
      <c r="D406" s="973">
        <v>8.6999999999999993</v>
      </c>
      <c r="E406" s="970">
        <f>8.7*'MINI SSR 2022-23 (2)'!F30</f>
        <v>736.19399999999996</v>
      </c>
      <c r="F406" s="970">
        <f>8.7*'MINI SSR 2022-23 (2)'!G30</f>
        <v>1054.2660000000001</v>
      </c>
      <c r="G406" s="970">
        <f>8.7*'MINI SSR 2022-23 (2)'!H30</f>
        <v>1372.164</v>
      </c>
      <c r="H406" s="964" t="s">
        <v>2313</v>
      </c>
    </row>
    <row r="407" spans="1:8" ht="25.5" hidden="1">
      <c r="A407" s="967"/>
      <c r="B407" s="967"/>
      <c r="C407" s="1382" t="s">
        <v>1285</v>
      </c>
      <c r="D407" s="967"/>
      <c r="E407" s="967"/>
      <c r="F407" s="989">
        <f>(SUM(G399:G401)+F406)*10%</f>
        <v>321.50160000000005</v>
      </c>
      <c r="G407" s="989">
        <f>(SUM(G399:G401)+G406)*20%</f>
        <v>706.58280000000002</v>
      </c>
      <c r="H407" s="964" t="s">
        <v>2313</v>
      </c>
    </row>
    <row r="408" spans="1:8" hidden="1">
      <c r="A408" s="967"/>
      <c r="B408" s="967"/>
      <c r="C408" s="962" t="s">
        <v>900</v>
      </c>
      <c r="D408" s="967"/>
      <c r="E408" s="974">
        <f>SUM(E404:E407)</f>
        <v>8653.1939999999995</v>
      </c>
      <c r="F408" s="971">
        <f>SUM(F404:F407)</f>
        <v>9292.7675999999992</v>
      </c>
      <c r="G408" s="971">
        <f>SUM(G404:G407)</f>
        <v>9995.746799999999</v>
      </c>
      <c r="H408" s="964" t="s">
        <v>2313</v>
      </c>
    </row>
    <row r="409" spans="1:8" hidden="1">
      <c r="A409" s="967"/>
      <c r="B409" s="967"/>
      <c r="C409" s="962" t="s">
        <v>121</v>
      </c>
      <c r="D409" s="967"/>
      <c r="E409" s="974">
        <f>ROUND(E408/10,2)</f>
        <v>865.32</v>
      </c>
      <c r="F409" s="971">
        <f>ROUND(F408/10,2)</f>
        <v>929.28</v>
      </c>
      <c r="G409" s="971">
        <f>ROUND(G408/10,2)</f>
        <v>999.57</v>
      </c>
      <c r="H409" s="964" t="s">
        <v>2313</v>
      </c>
    </row>
    <row r="410" spans="1:8" ht="127.5" hidden="1">
      <c r="A410" s="896">
        <v>30</v>
      </c>
      <c r="B410" s="966" t="s">
        <v>1317</v>
      </c>
      <c r="C410" s="1382" t="s">
        <v>1194</v>
      </c>
      <c r="D410" s="967"/>
      <c r="E410" s="967"/>
      <c r="F410" s="967"/>
      <c r="G410" s="966"/>
      <c r="H410" s="964" t="s">
        <v>2313</v>
      </c>
    </row>
    <row r="411" spans="1:8" hidden="1">
      <c r="A411" s="896"/>
      <c r="B411" s="966"/>
      <c r="C411" s="962" t="s">
        <v>84</v>
      </c>
      <c r="D411" s="967"/>
      <c r="E411" s="967"/>
      <c r="F411" s="967"/>
      <c r="G411" s="972"/>
      <c r="H411" s="964" t="s">
        <v>2313</v>
      </c>
    </row>
    <row r="412" spans="1:8" hidden="1">
      <c r="A412" s="896"/>
      <c r="B412" s="966"/>
      <c r="C412" s="962" t="s">
        <v>60</v>
      </c>
      <c r="D412" s="967"/>
      <c r="E412" s="967"/>
      <c r="F412" s="967"/>
      <c r="G412" s="972"/>
      <c r="H412" s="964" t="s">
        <v>2313</v>
      </c>
    </row>
    <row r="413" spans="1:8" ht="25.5" hidden="1">
      <c r="A413" s="896"/>
      <c r="B413" s="966"/>
      <c r="C413" s="1382" t="s">
        <v>1197</v>
      </c>
      <c r="D413" s="967" t="s">
        <v>11</v>
      </c>
      <c r="E413" s="988">
        <v>110</v>
      </c>
      <c r="F413" s="970">
        <f>'MINI SSR 2022-23 (2)'!C27</f>
        <v>30</v>
      </c>
      <c r="G413" s="969">
        <f>ROUND(E413*F413,2)</f>
        <v>3300</v>
      </c>
      <c r="H413" s="964" t="s">
        <v>2313</v>
      </c>
    </row>
    <row r="414" spans="1:8" hidden="1">
      <c r="A414" s="896"/>
      <c r="B414" s="966"/>
      <c r="C414" s="1382" t="s">
        <v>1195</v>
      </c>
      <c r="D414" s="967" t="s">
        <v>35</v>
      </c>
      <c r="E414" s="970">
        <v>0.1</v>
      </c>
      <c r="F414" s="970">
        <f>G24</f>
        <v>3139.8</v>
      </c>
      <c r="G414" s="969">
        <f>ROUND(E414*F414,2)</f>
        <v>313.98</v>
      </c>
      <c r="H414" s="964" t="s">
        <v>2313</v>
      </c>
    </row>
    <row r="415" spans="1:8" hidden="1">
      <c r="A415" s="967"/>
      <c r="B415" s="967"/>
      <c r="C415" s="962" t="s">
        <v>68</v>
      </c>
      <c r="D415" s="967"/>
      <c r="E415" s="970"/>
      <c r="F415" s="970"/>
      <c r="G415" s="969"/>
      <c r="H415" s="964" t="s">
        <v>2313</v>
      </c>
    </row>
    <row r="416" spans="1:8" hidden="1">
      <c r="A416" s="967"/>
      <c r="B416" s="967"/>
      <c r="C416" s="1382" t="s">
        <v>64</v>
      </c>
      <c r="D416" s="967" t="s">
        <v>27</v>
      </c>
      <c r="E416" s="970">
        <v>0.42</v>
      </c>
      <c r="F416" s="970">
        <f>'MINI SSR 2022-23 (2)'!$H$3</f>
        <v>630</v>
      </c>
      <c r="G416" s="969">
        <f>ROUND(E416*F416,2)</f>
        <v>264.60000000000002</v>
      </c>
      <c r="H416" s="964" t="s">
        <v>2313</v>
      </c>
    </row>
    <row r="417" spans="1:8" hidden="1">
      <c r="A417" s="967"/>
      <c r="B417" s="967"/>
      <c r="C417" s="1382" t="s">
        <v>69</v>
      </c>
      <c r="D417" s="967" t="s">
        <v>27</v>
      </c>
      <c r="E417" s="970">
        <v>0.92</v>
      </c>
      <c r="F417" s="970">
        <f>'MINI SSR 2022-23 (2)'!$H$4</f>
        <v>565</v>
      </c>
      <c r="G417" s="969">
        <f>ROUND(E417*F417,2)</f>
        <v>519.79999999999995</v>
      </c>
      <c r="H417" s="964" t="s">
        <v>2313</v>
      </c>
    </row>
    <row r="418" spans="1:8" hidden="1">
      <c r="A418" s="967"/>
      <c r="B418" s="967"/>
      <c r="C418" s="1382" t="s">
        <v>375</v>
      </c>
      <c r="D418" s="967" t="s">
        <v>27</v>
      </c>
      <c r="E418" s="970">
        <v>0.7</v>
      </c>
      <c r="F418" s="970">
        <f>'MINI SSR 2022-23 (2)'!$H$5</f>
        <v>525</v>
      </c>
      <c r="G418" s="969">
        <f>ROUND(E418*F418,2)</f>
        <v>367.5</v>
      </c>
      <c r="H418" s="964" t="s">
        <v>2313</v>
      </c>
    </row>
    <row r="419" spans="1:8" hidden="1">
      <c r="A419" s="967"/>
      <c r="B419" s="967"/>
      <c r="C419" s="1382" t="s">
        <v>1196</v>
      </c>
      <c r="D419" s="967" t="s">
        <v>27</v>
      </c>
      <c r="E419" s="970">
        <v>2.1</v>
      </c>
      <c r="F419" s="970">
        <f>'MINI SSR 2022-23 (2)'!$H$5</f>
        <v>525</v>
      </c>
      <c r="G419" s="969">
        <f>ROUND(E419*F419,2)</f>
        <v>1102.5</v>
      </c>
      <c r="H419" s="964" t="s">
        <v>2313</v>
      </c>
    </row>
    <row r="420" spans="1:8" hidden="1">
      <c r="A420" s="967"/>
      <c r="B420" s="967"/>
      <c r="C420" s="962" t="s">
        <v>86</v>
      </c>
      <c r="D420" s="967"/>
      <c r="E420" s="967"/>
      <c r="F420" s="967"/>
      <c r="G420" s="971">
        <f>SUM(G413:G419)</f>
        <v>5868.38</v>
      </c>
      <c r="H420" s="964" t="s">
        <v>2313</v>
      </c>
    </row>
    <row r="421" spans="1:8" hidden="1">
      <c r="A421" s="967"/>
      <c r="B421" s="967"/>
      <c r="C421" s="962"/>
      <c r="D421" s="967"/>
      <c r="E421" s="966" t="s">
        <v>161</v>
      </c>
      <c r="F421" s="974" t="s">
        <v>162</v>
      </c>
      <c r="G421" s="974" t="s">
        <v>163</v>
      </c>
      <c r="H421" s="964" t="s">
        <v>2313</v>
      </c>
    </row>
    <row r="422" spans="1:8" hidden="1">
      <c r="A422" s="967"/>
      <c r="B422" s="967"/>
      <c r="C422" s="962" t="s">
        <v>192</v>
      </c>
      <c r="D422" s="967"/>
      <c r="E422" s="970">
        <f>G420</f>
        <v>5868.38</v>
      </c>
      <c r="F422" s="972">
        <f>G420</f>
        <v>5868.38</v>
      </c>
      <c r="G422" s="972">
        <f>G420*1</f>
        <v>5868.38</v>
      </c>
      <c r="H422" s="964" t="s">
        <v>2313</v>
      </c>
    </row>
    <row r="423" spans="1:8" hidden="1">
      <c r="A423" s="967"/>
      <c r="B423" s="967"/>
      <c r="C423" s="1382" t="s">
        <v>1647</v>
      </c>
      <c r="D423" s="973">
        <v>4.3499999999999996</v>
      </c>
      <c r="E423" s="967">
        <f>ROUND(10.32*D423,2)</f>
        <v>44.89</v>
      </c>
      <c r="F423" s="975">
        <f>E423</f>
        <v>44.89</v>
      </c>
      <c r="G423" s="975">
        <f>F423</f>
        <v>44.89</v>
      </c>
      <c r="H423" s="964" t="s">
        <v>2313</v>
      </c>
    </row>
    <row r="424" spans="1:8" hidden="1">
      <c r="A424" s="967"/>
      <c r="B424" s="967"/>
      <c r="C424" s="1382" t="s">
        <v>1648</v>
      </c>
      <c r="D424" s="973">
        <v>4.3499999999999996</v>
      </c>
      <c r="E424" s="967">
        <f>ROUND('MINI SSR 2022-23 (2)'!F30*$D$424,2)</f>
        <v>368.1</v>
      </c>
      <c r="F424" s="967">
        <f>ROUND('MINI SSR 2022-23 (2)'!G30*$D$424,2)</f>
        <v>527.13</v>
      </c>
      <c r="G424" s="967">
        <f>ROUND('MINI SSR 2022-23 (2)'!H30*$D$424,2)</f>
        <v>686.08</v>
      </c>
      <c r="H424" s="964" t="s">
        <v>2313</v>
      </c>
    </row>
    <row r="425" spans="1:8" ht="25.5" hidden="1">
      <c r="A425" s="967"/>
      <c r="B425" s="967"/>
      <c r="C425" s="1382" t="s">
        <v>1285</v>
      </c>
      <c r="D425" s="967"/>
      <c r="E425" s="967"/>
      <c r="F425" s="975">
        <f>ROUND((G416+G417+G419+G418+F424)*0.1,2)</f>
        <v>278.14999999999998</v>
      </c>
      <c r="G425" s="975">
        <f>ROUND((G416+G417+G419+G418+G424)*0.2,2)</f>
        <v>588.1</v>
      </c>
      <c r="H425" s="964" t="s">
        <v>2313</v>
      </c>
    </row>
    <row r="426" spans="1:8" hidden="1">
      <c r="A426" s="967"/>
      <c r="B426" s="967"/>
      <c r="C426" s="962" t="s">
        <v>86</v>
      </c>
      <c r="D426" s="967"/>
      <c r="E426" s="974">
        <f>SUM(E422:E425)</f>
        <v>6281.3700000000008</v>
      </c>
      <c r="F426" s="971">
        <f>SUM(F422:F425)</f>
        <v>6718.55</v>
      </c>
      <c r="G426" s="971">
        <f>SUM(G422:G425)</f>
        <v>7187.4500000000007</v>
      </c>
      <c r="H426" s="964" t="s">
        <v>2313</v>
      </c>
    </row>
    <row r="427" spans="1:8" ht="89.25" hidden="1">
      <c r="A427" s="896">
        <v>5</v>
      </c>
      <c r="B427" s="966" t="s">
        <v>87</v>
      </c>
      <c r="C427" s="1382" t="s">
        <v>1303</v>
      </c>
      <c r="D427" s="967"/>
      <c r="E427" s="967"/>
      <c r="F427" s="967"/>
      <c r="G427" s="966"/>
      <c r="H427" s="964" t="s">
        <v>2313</v>
      </c>
    </row>
    <row r="428" spans="1:8" hidden="1">
      <c r="A428" s="896"/>
      <c r="B428" s="966"/>
      <c r="C428" s="962" t="s">
        <v>42</v>
      </c>
      <c r="D428" s="967"/>
      <c r="E428" s="967"/>
      <c r="F428" s="967"/>
      <c r="G428" s="972"/>
      <c r="H428" s="964" t="s">
        <v>2313</v>
      </c>
    </row>
    <row r="429" spans="1:8" hidden="1">
      <c r="A429" s="896"/>
      <c r="B429" s="966"/>
      <c r="C429" s="962" t="s">
        <v>60</v>
      </c>
      <c r="D429" s="966"/>
      <c r="E429" s="966"/>
      <c r="F429" s="966"/>
      <c r="G429" s="972"/>
      <c r="H429" s="964" t="s">
        <v>2313</v>
      </c>
    </row>
    <row r="430" spans="1:8" hidden="1">
      <c r="A430" s="896"/>
      <c r="B430" s="966"/>
      <c r="C430" s="1382" t="s">
        <v>43</v>
      </c>
      <c r="D430" s="967" t="s">
        <v>35</v>
      </c>
      <c r="E430" s="970">
        <v>0.15</v>
      </c>
      <c r="F430" s="970">
        <f>G9</f>
        <v>4267.8</v>
      </c>
      <c r="G430" s="969">
        <f>ROUND(E430*F430,2)</f>
        <v>640.16999999999996</v>
      </c>
      <c r="H430" s="964" t="s">
        <v>2313</v>
      </c>
    </row>
    <row r="431" spans="1:8" hidden="1">
      <c r="A431" s="967"/>
      <c r="B431" s="967"/>
      <c r="C431" s="962" t="s">
        <v>68</v>
      </c>
      <c r="D431" s="967"/>
      <c r="E431" s="970"/>
      <c r="F431" s="970"/>
      <c r="G431" s="969"/>
      <c r="H431" s="964" t="s">
        <v>2313</v>
      </c>
    </row>
    <row r="432" spans="1:8" hidden="1">
      <c r="A432" s="967"/>
      <c r="B432" s="967"/>
      <c r="C432" s="1382" t="s">
        <v>64</v>
      </c>
      <c r="D432" s="967" t="s">
        <v>27</v>
      </c>
      <c r="E432" s="970">
        <v>0.45</v>
      </c>
      <c r="F432" s="970">
        <f>'MINI SSR 2022-23 (2)'!$H$3</f>
        <v>630</v>
      </c>
      <c r="G432" s="969">
        <f>ROUND(E432*F432,2)</f>
        <v>283.5</v>
      </c>
      <c r="H432" s="964" t="s">
        <v>2313</v>
      </c>
    </row>
    <row r="433" spans="1:8" hidden="1">
      <c r="A433" s="967"/>
      <c r="B433" s="967"/>
      <c r="C433" s="1382" t="s">
        <v>69</v>
      </c>
      <c r="D433" s="967" t="s">
        <v>27</v>
      </c>
      <c r="E433" s="970">
        <v>1.05</v>
      </c>
      <c r="F433" s="970">
        <f>'MINI SSR 2022-23 (2)'!$H$4</f>
        <v>565</v>
      </c>
      <c r="G433" s="969">
        <f>ROUND(E433*F433,2)</f>
        <v>593.25</v>
      </c>
      <c r="H433" s="964" t="s">
        <v>2313</v>
      </c>
    </row>
    <row r="434" spans="1:8" hidden="1">
      <c r="A434" s="967"/>
      <c r="B434" s="967"/>
      <c r="C434" s="1382" t="s">
        <v>85</v>
      </c>
      <c r="D434" s="967" t="s">
        <v>27</v>
      </c>
      <c r="E434" s="970">
        <v>2.8</v>
      </c>
      <c r="F434" s="970">
        <f>'MINI SSR 2022-23 (2)'!$H$5</f>
        <v>525</v>
      </c>
      <c r="G434" s="969">
        <f>ROUND(E434*F434,2)</f>
        <v>1470</v>
      </c>
      <c r="H434" s="964" t="s">
        <v>2313</v>
      </c>
    </row>
    <row r="435" spans="1:8" hidden="1">
      <c r="A435" s="967"/>
      <c r="B435" s="967"/>
      <c r="C435" s="962" t="s">
        <v>88</v>
      </c>
      <c r="D435" s="967"/>
      <c r="E435" s="967"/>
      <c r="F435" s="967"/>
      <c r="G435" s="963">
        <f>SUM(G430:G434)</f>
        <v>2986.92</v>
      </c>
      <c r="H435" s="964" t="s">
        <v>2313</v>
      </c>
    </row>
    <row r="436" spans="1:8" hidden="1">
      <c r="A436" s="967"/>
      <c r="B436" s="967"/>
      <c r="C436" s="962"/>
      <c r="D436" s="967"/>
      <c r="E436" s="966" t="s">
        <v>161</v>
      </c>
      <c r="F436" s="966" t="s">
        <v>162</v>
      </c>
      <c r="G436" s="974" t="s">
        <v>163</v>
      </c>
      <c r="H436" s="964" t="s">
        <v>2313</v>
      </c>
    </row>
    <row r="437" spans="1:8" hidden="1">
      <c r="A437" s="967"/>
      <c r="B437" s="967"/>
      <c r="C437" s="962" t="s">
        <v>1273</v>
      </c>
      <c r="D437" s="967"/>
      <c r="E437" s="970">
        <f>G435</f>
        <v>2986.92</v>
      </c>
      <c r="F437" s="970">
        <f>G435</f>
        <v>2986.92</v>
      </c>
      <c r="G437" s="972">
        <f>G435</f>
        <v>2986.92</v>
      </c>
      <c r="H437" s="964" t="s">
        <v>2313</v>
      </c>
    </row>
    <row r="438" spans="1:8" hidden="1">
      <c r="A438" s="967"/>
      <c r="B438" s="967"/>
      <c r="C438" s="1382" t="s">
        <v>1649</v>
      </c>
      <c r="D438" s="970">
        <v>10</v>
      </c>
      <c r="E438" s="970">
        <f>ROUND(D438*'MINI SSR 2022-23 (2)'!E33,2)</f>
        <v>25.7</v>
      </c>
      <c r="F438" s="970">
        <f>E438</f>
        <v>25.7</v>
      </c>
      <c r="G438" s="972">
        <f>E438</f>
        <v>25.7</v>
      </c>
      <c r="H438" s="964" t="s">
        <v>2313</v>
      </c>
    </row>
    <row r="439" spans="1:8" hidden="1">
      <c r="A439" s="967"/>
      <c r="B439" s="967"/>
      <c r="C439" s="1382" t="s">
        <v>1650</v>
      </c>
      <c r="D439" s="970">
        <v>10</v>
      </c>
      <c r="E439" s="970">
        <f>ROUND(D439*'MINI SSR 2022-23 (2)'!F33,2)</f>
        <v>169.4</v>
      </c>
      <c r="F439" s="970">
        <f>ROUND(D439*'MINI SSR 2022-23 (2)'!G33,2)</f>
        <v>240.4</v>
      </c>
      <c r="G439" s="972">
        <f>ROUND(D439*'MINI SSR 2022-23 (2)'!H33,2)</f>
        <v>311.3</v>
      </c>
      <c r="H439" s="964" t="s">
        <v>2313</v>
      </c>
    </row>
    <row r="440" spans="1:8" ht="25.5" hidden="1">
      <c r="A440" s="967"/>
      <c r="B440" s="967"/>
      <c r="C440" s="1382" t="s">
        <v>1285</v>
      </c>
      <c r="D440" s="967"/>
      <c r="E440" s="967"/>
      <c r="F440" s="970">
        <f>ROUND((G432+G433+G434+F439)*0.1,2)</f>
        <v>258.72000000000003</v>
      </c>
      <c r="G440" s="972">
        <f>ROUND((G432+G433+G434+G439)*0.2,2)</f>
        <v>531.61</v>
      </c>
      <c r="H440" s="964" t="s">
        <v>2313</v>
      </c>
    </row>
    <row r="441" spans="1:8" hidden="1">
      <c r="A441" s="967"/>
      <c r="B441" s="967"/>
      <c r="C441" s="962" t="s">
        <v>88</v>
      </c>
      <c r="D441" s="967"/>
      <c r="E441" s="970">
        <f>SUM(E437:E440)</f>
        <v>3182.02</v>
      </c>
      <c r="F441" s="970">
        <f>SUM(F437:F440)</f>
        <v>3511.74</v>
      </c>
      <c r="G441" s="972">
        <f>SUM(G437:G440)</f>
        <v>3855.53</v>
      </c>
      <c r="H441" s="964" t="s">
        <v>2313</v>
      </c>
    </row>
    <row r="442" spans="1:8" hidden="1">
      <c r="A442" s="967"/>
      <c r="B442" s="967"/>
      <c r="C442" s="962" t="s">
        <v>121</v>
      </c>
      <c r="D442" s="967"/>
      <c r="E442" s="974">
        <f>ROUND(E441/10,2)</f>
        <v>318.2</v>
      </c>
      <c r="F442" s="974">
        <f>ROUND(F441/10,2)</f>
        <v>351.17</v>
      </c>
      <c r="G442" s="971">
        <f>ROUND(G441/10,2)</f>
        <v>385.55</v>
      </c>
      <c r="H442" s="964" t="s">
        <v>2313</v>
      </c>
    </row>
    <row r="443" spans="1:8" ht="89.25" hidden="1">
      <c r="A443" s="896">
        <v>5</v>
      </c>
      <c r="B443" s="966" t="s">
        <v>89</v>
      </c>
      <c r="C443" s="1382" t="s">
        <v>1304</v>
      </c>
      <c r="D443" s="967"/>
      <c r="E443" s="967"/>
      <c r="F443" s="967"/>
      <c r="G443" s="966"/>
      <c r="H443" s="964" t="s">
        <v>2313</v>
      </c>
    </row>
    <row r="444" spans="1:8" hidden="1">
      <c r="A444" s="896"/>
      <c r="B444" s="966"/>
      <c r="C444" s="962" t="s">
        <v>42</v>
      </c>
      <c r="D444" s="967"/>
      <c r="E444" s="967"/>
      <c r="F444" s="967"/>
      <c r="G444" s="972"/>
      <c r="H444" s="964" t="s">
        <v>2313</v>
      </c>
    </row>
    <row r="445" spans="1:8" hidden="1">
      <c r="A445" s="896"/>
      <c r="B445" s="966"/>
      <c r="C445" s="962" t="s">
        <v>60</v>
      </c>
      <c r="D445" s="966"/>
      <c r="E445" s="966"/>
      <c r="F445" s="966"/>
      <c r="G445" s="972"/>
      <c r="H445" s="964" t="s">
        <v>2313</v>
      </c>
    </row>
    <row r="446" spans="1:8" hidden="1">
      <c r="A446" s="896"/>
      <c r="B446" s="966"/>
      <c r="C446" s="1382" t="s">
        <v>48</v>
      </c>
      <c r="D446" s="967" t="s">
        <v>35</v>
      </c>
      <c r="E446" s="970">
        <v>0.15</v>
      </c>
      <c r="F446" s="970">
        <f>G19</f>
        <v>3365.3999999999996</v>
      </c>
      <c r="G446" s="969">
        <f>ROUND(E446*F446,2)</f>
        <v>504.81</v>
      </c>
      <c r="H446" s="964" t="s">
        <v>2313</v>
      </c>
    </row>
    <row r="447" spans="1:8" hidden="1">
      <c r="A447" s="967"/>
      <c r="B447" s="967"/>
      <c r="C447" s="962" t="s">
        <v>68</v>
      </c>
      <c r="D447" s="967"/>
      <c r="E447" s="970"/>
      <c r="F447" s="970"/>
      <c r="G447" s="969"/>
      <c r="H447" s="964" t="s">
        <v>2313</v>
      </c>
    </row>
    <row r="448" spans="1:8" hidden="1">
      <c r="A448" s="967"/>
      <c r="B448" s="967"/>
      <c r="C448" s="1382" t="s">
        <v>64</v>
      </c>
      <c r="D448" s="967" t="s">
        <v>27</v>
      </c>
      <c r="E448" s="970">
        <v>0.45</v>
      </c>
      <c r="F448" s="970">
        <f>'MINI SSR 2022-23 (2)'!$H$3</f>
        <v>630</v>
      </c>
      <c r="G448" s="969">
        <f>ROUND(E448*F448,2)</f>
        <v>283.5</v>
      </c>
      <c r="H448" s="964" t="s">
        <v>2313</v>
      </c>
    </row>
    <row r="449" spans="1:8" hidden="1">
      <c r="A449" s="967"/>
      <c r="B449" s="967"/>
      <c r="C449" s="1382" t="s">
        <v>69</v>
      </c>
      <c r="D449" s="967" t="s">
        <v>27</v>
      </c>
      <c r="E449" s="970">
        <v>1.05</v>
      </c>
      <c r="F449" s="970">
        <f>'MINI SSR 2022-23 (2)'!$H$4</f>
        <v>565</v>
      </c>
      <c r="G449" s="969">
        <f>ROUND(E449*F449,2)</f>
        <v>593.25</v>
      </c>
      <c r="H449" s="964" t="s">
        <v>2313</v>
      </c>
    </row>
    <row r="450" spans="1:8" hidden="1">
      <c r="A450" s="967"/>
      <c r="B450" s="967"/>
      <c r="C450" s="1382" t="s">
        <v>85</v>
      </c>
      <c r="D450" s="967" t="s">
        <v>27</v>
      </c>
      <c r="E450" s="970">
        <v>2.8</v>
      </c>
      <c r="F450" s="970">
        <f>'MINI SSR 2022-23 (2)'!$H$5</f>
        <v>525</v>
      </c>
      <c r="G450" s="969">
        <f>ROUND(E450*F450,2)</f>
        <v>1470</v>
      </c>
      <c r="H450" s="964" t="s">
        <v>2313</v>
      </c>
    </row>
    <row r="451" spans="1:8" hidden="1">
      <c r="A451" s="967"/>
      <c r="B451" s="967"/>
      <c r="C451" s="962" t="s">
        <v>88</v>
      </c>
      <c r="D451" s="967"/>
      <c r="E451" s="967"/>
      <c r="F451" s="967"/>
      <c r="G451" s="971">
        <f>SUM(G446:G450)</f>
        <v>2851.56</v>
      </c>
      <c r="H451" s="964" t="s">
        <v>2313</v>
      </c>
    </row>
    <row r="452" spans="1:8" hidden="1">
      <c r="A452" s="967"/>
      <c r="B452" s="967"/>
      <c r="C452" s="962"/>
      <c r="D452" s="967"/>
      <c r="E452" s="966" t="s">
        <v>161</v>
      </c>
      <c r="F452" s="966" t="s">
        <v>162</v>
      </c>
      <c r="G452" s="974" t="s">
        <v>163</v>
      </c>
      <c r="H452" s="964" t="s">
        <v>2313</v>
      </c>
    </row>
    <row r="453" spans="1:8" hidden="1">
      <c r="A453" s="967"/>
      <c r="B453" s="967"/>
      <c r="C453" s="962" t="s">
        <v>1273</v>
      </c>
      <c r="D453" s="967"/>
      <c r="E453" s="970">
        <f>G451</f>
        <v>2851.56</v>
      </c>
      <c r="F453" s="970">
        <f>G451</f>
        <v>2851.56</v>
      </c>
      <c r="G453" s="972">
        <f>G451</f>
        <v>2851.56</v>
      </c>
      <c r="H453" s="964" t="s">
        <v>2313</v>
      </c>
    </row>
    <row r="454" spans="1:8" hidden="1">
      <c r="A454" s="967"/>
      <c r="B454" s="967"/>
      <c r="C454" s="1382" t="s">
        <v>1649</v>
      </c>
      <c r="D454" s="970">
        <v>10</v>
      </c>
      <c r="E454" s="970">
        <f>D454*'MINI SSR 2022-23 (2)'!E36</f>
        <v>10.8</v>
      </c>
      <c r="F454" s="970">
        <f>E454</f>
        <v>10.8</v>
      </c>
      <c r="G454" s="972">
        <f>E454</f>
        <v>10.8</v>
      </c>
      <c r="H454" s="964" t="s">
        <v>2313</v>
      </c>
    </row>
    <row r="455" spans="1:8" hidden="1">
      <c r="A455" s="967"/>
      <c r="B455" s="967"/>
      <c r="C455" s="1382" t="s">
        <v>1651</v>
      </c>
      <c r="D455" s="970">
        <v>10</v>
      </c>
      <c r="E455" s="970">
        <f>ROUND(D455*'MINI SSR 2022-23 (2)'!F36,2)</f>
        <v>84.7</v>
      </c>
      <c r="F455" s="970">
        <f>ROUND(D455*'MINI SSR 2022-23 (2)'!G36,2)</f>
        <v>121.2</v>
      </c>
      <c r="G455" s="972">
        <f>ROUND(D455*'MINI SSR 2022-23 (2)'!H36,2)</f>
        <v>157.69999999999999</v>
      </c>
      <c r="H455" s="964" t="s">
        <v>2313</v>
      </c>
    </row>
    <row r="456" spans="1:8" ht="25.5" hidden="1">
      <c r="A456" s="967"/>
      <c r="B456" s="967"/>
      <c r="C456" s="1382" t="s">
        <v>1285</v>
      </c>
      <c r="D456" s="967"/>
      <c r="E456" s="967"/>
      <c r="F456" s="970">
        <f>ROUND((G448+G449+G450+F455)*0.1,2)</f>
        <v>246.8</v>
      </c>
      <c r="G456" s="972">
        <f>ROUND((G448+G449+G450+G455)*0.2,2)</f>
        <v>500.89</v>
      </c>
      <c r="H456" s="964" t="s">
        <v>2313</v>
      </c>
    </row>
    <row r="457" spans="1:8" hidden="1">
      <c r="A457" s="967"/>
      <c r="B457" s="967"/>
      <c r="C457" s="962" t="s">
        <v>88</v>
      </c>
      <c r="D457" s="967"/>
      <c r="E457" s="970">
        <f>SUM(E453:E456)</f>
        <v>2947.06</v>
      </c>
      <c r="F457" s="970">
        <f>SUM(F453:F456)</f>
        <v>3230.36</v>
      </c>
      <c r="G457" s="972">
        <f>SUM(G453:G456)</f>
        <v>3520.95</v>
      </c>
      <c r="H457" s="964" t="s">
        <v>2313</v>
      </c>
    </row>
    <row r="458" spans="1:8" hidden="1">
      <c r="A458" s="967"/>
      <c r="B458" s="967"/>
      <c r="C458" s="962" t="s">
        <v>121</v>
      </c>
      <c r="D458" s="967"/>
      <c r="E458" s="974">
        <f>ROUND(E457/10,2)</f>
        <v>294.70999999999998</v>
      </c>
      <c r="F458" s="974">
        <f>ROUND(F457/10,2)</f>
        <v>323.04000000000002</v>
      </c>
      <c r="G458" s="971">
        <f>ROUND(G457/10,2)</f>
        <v>352.1</v>
      </c>
      <c r="H458" s="964" t="s">
        <v>2313</v>
      </c>
    </row>
    <row r="459" spans="1:8" ht="89.25" hidden="1">
      <c r="A459" s="896">
        <v>3</v>
      </c>
      <c r="B459" s="966" t="s">
        <v>89</v>
      </c>
      <c r="C459" s="1382" t="s">
        <v>1305</v>
      </c>
      <c r="D459" s="967"/>
      <c r="E459" s="967"/>
      <c r="F459" s="967"/>
      <c r="G459" s="966"/>
      <c r="H459" s="964" t="s">
        <v>2313</v>
      </c>
    </row>
    <row r="460" spans="1:8" hidden="1">
      <c r="A460" s="896"/>
      <c r="B460" s="966"/>
      <c r="C460" s="962" t="s">
        <v>42</v>
      </c>
      <c r="D460" s="967"/>
      <c r="E460" s="967"/>
      <c r="F460" s="967"/>
      <c r="G460" s="972"/>
      <c r="H460" s="964" t="s">
        <v>2313</v>
      </c>
    </row>
    <row r="461" spans="1:8" hidden="1">
      <c r="A461" s="896"/>
      <c r="B461" s="966"/>
      <c r="C461" s="962" t="s">
        <v>60</v>
      </c>
      <c r="D461" s="967"/>
      <c r="E461" s="967"/>
      <c r="F461" s="967"/>
      <c r="G461" s="972"/>
      <c r="H461" s="964" t="s">
        <v>2313</v>
      </c>
    </row>
    <row r="462" spans="1:8" hidden="1">
      <c r="A462" s="896"/>
      <c r="B462" s="966"/>
      <c r="C462" s="1382" t="s">
        <v>48</v>
      </c>
      <c r="D462" s="967" t="s">
        <v>35</v>
      </c>
      <c r="E462" s="970">
        <v>0.21</v>
      </c>
      <c r="F462" s="970">
        <f>G19</f>
        <v>3365.3999999999996</v>
      </c>
      <c r="G462" s="969">
        <f>ROUND(E462*F462,2)</f>
        <v>706.73</v>
      </c>
      <c r="H462" s="964" t="s">
        <v>2313</v>
      </c>
    </row>
    <row r="463" spans="1:8" hidden="1">
      <c r="A463" s="967"/>
      <c r="B463" s="967"/>
      <c r="C463" s="962" t="s">
        <v>68</v>
      </c>
      <c r="D463" s="967"/>
      <c r="E463" s="970"/>
      <c r="F463" s="970"/>
      <c r="G463" s="969"/>
      <c r="H463" s="964" t="s">
        <v>2313</v>
      </c>
    </row>
    <row r="464" spans="1:8" hidden="1">
      <c r="A464" s="967"/>
      <c r="B464" s="967"/>
      <c r="C464" s="1382" t="s">
        <v>64</v>
      </c>
      <c r="D464" s="967" t="s">
        <v>27</v>
      </c>
      <c r="E464" s="970">
        <v>0.45</v>
      </c>
      <c r="F464" s="970">
        <f>'MINI SSR 2022-23 (2)'!$H$3</f>
        <v>630</v>
      </c>
      <c r="G464" s="969">
        <f>ROUND(E464*F464,2)</f>
        <v>283.5</v>
      </c>
      <c r="H464" s="964" t="s">
        <v>2313</v>
      </c>
    </row>
    <row r="465" spans="1:8" hidden="1">
      <c r="A465" s="967"/>
      <c r="B465" s="967"/>
      <c r="C465" s="1382" t="s">
        <v>69</v>
      </c>
      <c r="D465" s="967" t="s">
        <v>27</v>
      </c>
      <c r="E465" s="970">
        <v>1.05</v>
      </c>
      <c r="F465" s="970">
        <f>'MINI SSR 2022-23 (2)'!$H$4</f>
        <v>565</v>
      </c>
      <c r="G465" s="969">
        <f>ROUND(E465*F465,2)</f>
        <v>593.25</v>
      </c>
      <c r="H465" s="964" t="s">
        <v>2313</v>
      </c>
    </row>
    <row r="466" spans="1:8" hidden="1">
      <c r="A466" s="967"/>
      <c r="B466" s="967"/>
      <c r="C466" s="1382" t="s">
        <v>85</v>
      </c>
      <c r="D466" s="967" t="s">
        <v>27</v>
      </c>
      <c r="E466" s="970">
        <v>2.8</v>
      </c>
      <c r="F466" s="970">
        <f>'MINI SSR 2022-23 (2)'!$H$5</f>
        <v>525</v>
      </c>
      <c r="G466" s="969">
        <f>ROUND(E466*F466,2)</f>
        <v>1470</v>
      </c>
      <c r="H466" s="964" t="s">
        <v>2313</v>
      </c>
    </row>
    <row r="467" spans="1:8" hidden="1">
      <c r="A467" s="967"/>
      <c r="B467" s="967"/>
      <c r="C467" s="962" t="s">
        <v>88</v>
      </c>
      <c r="D467" s="967"/>
      <c r="E467" s="967"/>
      <c r="F467" s="967"/>
      <c r="G467" s="971">
        <f>SUM(G462:G466)</f>
        <v>3053.48</v>
      </c>
      <c r="H467" s="964" t="s">
        <v>2313</v>
      </c>
    </row>
    <row r="468" spans="1:8" hidden="1">
      <c r="A468" s="967"/>
      <c r="B468" s="967"/>
      <c r="C468" s="962"/>
      <c r="D468" s="967"/>
      <c r="E468" s="966" t="s">
        <v>161</v>
      </c>
      <c r="F468" s="966" t="s">
        <v>162</v>
      </c>
      <c r="G468" s="974" t="s">
        <v>163</v>
      </c>
      <c r="H468" s="964" t="s">
        <v>2313</v>
      </c>
    </row>
    <row r="469" spans="1:8" hidden="1">
      <c r="A469" s="967"/>
      <c r="B469" s="967"/>
      <c r="C469" s="962" t="s">
        <v>1273</v>
      </c>
      <c r="D469" s="967"/>
      <c r="E469" s="970">
        <f>G467</f>
        <v>3053.48</v>
      </c>
      <c r="F469" s="970">
        <f>G467</f>
        <v>3053.48</v>
      </c>
      <c r="G469" s="972">
        <f>G467</f>
        <v>3053.48</v>
      </c>
      <c r="H469" s="964" t="s">
        <v>2313</v>
      </c>
    </row>
    <row r="470" spans="1:8" hidden="1">
      <c r="A470" s="967"/>
      <c r="B470" s="967"/>
      <c r="C470" s="1382" t="s">
        <v>1649</v>
      </c>
      <c r="D470" s="970">
        <v>10</v>
      </c>
      <c r="E470" s="970">
        <f>D470*'MINI SSR 2022-23 (2)'!$E$36</f>
        <v>10.8</v>
      </c>
      <c r="F470" s="970">
        <f>E470</f>
        <v>10.8</v>
      </c>
      <c r="G470" s="972">
        <f>E470</f>
        <v>10.8</v>
      </c>
      <c r="H470" s="964" t="s">
        <v>2313</v>
      </c>
    </row>
    <row r="471" spans="1:8" hidden="1">
      <c r="A471" s="967"/>
      <c r="B471" s="967"/>
      <c r="C471" s="1382" t="s">
        <v>1652</v>
      </c>
      <c r="D471" s="970">
        <v>10</v>
      </c>
      <c r="E471" s="970">
        <f>ROUND(D471*'MINI SSR 2022-23 (2)'!F36,2)</f>
        <v>84.7</v>
      </c>
      <c r="F471" s="970">
        <f>ROUND(D471*'MINI SSR 2022-23 (2)'!G36,2)</f>
        <v>121.2</v>
      </c>
      <c r="G471" s="972">
        <f>ROUND(D471*'MINI SSR 2022-23 (2)'!H36,2)</f>
        <v>157.69999999999999</v>
      </c>
      <c r="H471" s="964" t="s">
        <v>2313</v>
      </c>
    </row>
    <row r="472" spans="1:8" ht="25.5" hidden="1">
      <c r="A472" s="967"/>
      <c r="B472" s="967"/>
      <c r="C472" s="1382" t="s">
        <v>1285</v>
      </c>
      <c r="D472" s="967"/>
      <c r="E472" s="967"/>
      <c r="F472" s="970">
        <f>ROUND((G464+G465+G466+F471)*0.1,2)</f>
        <v>246.8</v>
      </c>
      <c r="G472" s="972">
        <f>ROUND((G464+G465+G466+G471)*0.2,2)</f>
        <v>500.89</v>
      </c>
      <c r="H472" s="964" t="s">
        <v>2313</v>
      </c>
    </row>
    <row r="473" spans="1:8" hidden="1">
      <c r="A473" s="967"/>
      <c r="B473" s="967"/>
      <c r="C473" s="962" t="s">
        <v>88</v>
      </c>
      <c r="D473" s="967"/>
      <c r="E473" s="970">
        <f>SUM(E469:E472)</f>
        <v>3148.98</v>
      </c>
      <c r="F473" s="970">
        <f>SUM(F469:F472)</f>
        <v>3432.28</v>
      </c>
      <c r="G473" s="972">
        <f>SUM(G469:G472)</f>
        <v>3722.87</v>
      </c>
      <c r="H473" s="964" t="s">
        <v>2313</v>
      </c>
    </row>
    <row r="474" spans="1:8" hidden="1">
      <c r="A474" s="967"/>
      <c r="B474" s="967"/>
      <c r="C474" s="962" t="s">
        <v>121</v>
      </c>
      <c r="D474" s="967"/>
      <c r="E474" s="974">
        <f>ROUND(E473/10,2)</f>
        <v>314.89999999999998</v>
      </c>
      <c r="F474" s="974">
        <f>ROUND(F473/10,2)</f>
        <v>343.23</v>
      </c>
      <c r="G474" s="971">
        <f>ROUND(G473/10,2)</f>
        <v>372.29</v>
      </c>
      <c r="H474" s="964" t="s">
        <v>2313</v>
      </c>
    </row>
    <row r="475" spans="1:8" ht="89.25" hidden="1">
      <c r="A475" s="896">
        <v>34</v>
      </c>
      <c r="B475" s="966" t="s">
        <v>89</v>
      </c>
      <c r="C475" s="1382" t="s">
        <v>1306</v>
      </c>
      <c r="D475" s="967"/>
      <c r="E475" s="967"/>
      <c r="F475" s="967"/>
      <c r="G475" s="966" t="s">
        <v>89</v>
      </c>
      <c r="H475" s="964" t="s">
        <v>2313</v>
      </c>
    </row>
    <row r="476" spans="1:8" hidden="1">
      <c r="A476" s="896"/>
      <c r="B476" s="966"/>
      <c r="C476" s="962" t="s">
        <v>42</v>
      </c>
      <c r="D476" s="967"/>
      <c r="E476" s="967"/>
      <c r="F476" s="967"/>
      <c r="G476" s="972"/>
      <c r="H476" s="964" t="s">
        <v>2313</v>
      </c>
    </row>
    <row r="477" spans="1:8" hidden="1">
      <c r="A477" s="896"/>
      <c r="B477" s="966"/>
      <c r="C477" s="962" t="s">
        <v>60</v>
      </c>
      <c r="D477" s="967"/>
      <c r="E477" s="967"/>
      <c r="F477" s="967"/>
      <c r="G477" s="972"/>
      <c r="H477" s="964" t="s">
        <v>2313</v>
      </c>
    </row>
    <row r="478" spans="1:8" hidden="1">
      <c r="A478" s="896"/>
      <c r="B478" s="966"/>
      <c r="C478" s="1382" t="s">
        <v>43</v>
      </c>
      <c r="D478" s="967" t="s">
        <v>35</v>
      </c>
      <c r="E478" s="970">
        <v>0.21</v>
      </c>
      <c r="F478" s="970">
        <f>G9</f>
        <v>4267.8</v>
      </c>
      <c r="G478" s="969">
        <f>ROUND(E478*F478,2)</f>
        <v>896.24</v>
      </c>
      <c r="H478" s="964" t="s">
        <v>2313</v>
      </c>
    </row>
    <row r="479" spans="1:8" hidden="1">
      <c r="A479" s="967"/>
      <c r="B479" s="967"/>
      <c r="C479" s="962" t="s">
        <v>68</v>
      </c>
      <c r="D479" s="967"/>
      <c r="E479" s="970"/>
      <c r="F479" s="970"/>
      <c r="G479" s="969"/>
      <c r="H479" s="964" t="s">
        <v>2313</v>
      </c>
    </row>
    <row r="480" spans="1:8" hidden="1">
      <c r="A480" s="967"/>
      <c r="B480" s="967"/>
      <c r="C480" s="1382" t="s">
        <v>64</v>
      </c>
      <c r="D480" s="967" t="s">
        <v>27</v>
      </c>
      <c r="E480" s="970">
        <v>0.45</v>
      </c>
      <c r="F480" s="970">
        <f>'MINI SSR 2022-23 (2)'!$H$3</f>
        <v>630</v>
      </c>
      <c r="G480" s="969">
        <f>ROUND(E480*F480,2)</f>
        <v>283.5</v>
      </c>
      <c r="H480" s="964" t="s">
        <v>2313</v>
      </c>
    </row>
    <row r="481" spans="1:8" hidden="1">
      <c r="A481" s="967"/>
      <c r="B481" s="967"/>
      <c r="C481" s="1382" t="s">
        <v>69</v>
      </c>
      <c r="D481" s="967" t="s">
        <v>27</v>
      </c>
      <c r="E481" s="970">
        <v>1.05</v>
      </c>
      <c r="F481" s="970">
        <f>'MINI SSR 2022-23 (2)'!$H$4</f>
        <v>565</v>
      </c>
      <c r="G481" s="969">
        <f>ROUND(E481*F481,2)</f>
        <v>593.25</v>
      </c>
      <c r="H481" s="964" t="s">
        <v>2313</v>
      </c>
    </row>
    <row r="482" spans="1:8" hidden="1">
      <c r="A482" s="967"/>
      <c r="B482" s="967"/>
      <c r="C482" s="1382" t="s">
        <v>85</v>
      </c>
      <c r="D482" s="967" t="s">
        <v>27</v>
      </c>
      <c r="E482" s="970">
        <v>2.8</v>
      </c>
      <c r="F482" s="970">
        <f>'MINI SSR 2022-23 (2)'!$H$5</f>
        <v>525</v>
      </c>
      <c r="G482" s="969">
        <f>ROUND(E482*F482,2)</f>
        <v>1470</v>
      </c>
      <c r="H482" s="964" t="s">
        <v>2313</v>
      </c>
    </row>
    <row r="483" spans="1:8" hidden="1">
      <c r="A483" s="967"/>
      <c r="B483" s="967"/>
      <c r="C483" s="962" t="s">
        <v>88</v>
      </c>
      <c r="D483" s="967"/>
      <c r="E483" s="967"/>
      <c r="F483" s="967"/>
      <c r="G483" s="971">
        <f>SUM(G478:G482)</f>
        <v>3242.99</v>
      </c>
      <c r="H483" s="964" t="s">
        <v>2313</v>
      </c>
    </row>
    <row r="484" spans="1:8" hidden="1">
      <c r="A484" s="967"/>
      <c r="B484" s="967"/>
      <c r="C484" s="962"/>
      <c r="D484" s="967"/>
      <c r="E484" s="966" t="s">
        <v>161</v>
      </c>
      <c r="F484" s="966" t="s">
        <v>162</v>
      </c>
      <c r="G484" s="974" t="s">
        <v>163</v>
      </c>
      <c r="H484" s="964" t="s">
        <v>2313</v>
      </c>
    </row>
    <row r="485" spans="1:8" hidden="1">
      <c r="A485" s="967"/>
      <c r="B485" s="967"/>
      <c r="C485" s="962" t="s">
        <v>1273</v>
      </c>
      <c r="D485" s="967"/>
      <c r="E485" s="970">
        <f>G483</f>
        <v>3242.99</v>
      </c>
      <c r="F485" s="970">
        <f>G483</f>
        <v>3242.99</v>
      </c>
      <c r="G485" s="972">
        <f>G483</f>
        <v>3242.99</v>
      </c>
      <c r="H485" s="964" t="s">
        <v>2313</v>
      </c>
    </row>
    <row r="486" spans="1:8" hidden="1">
      <c r="A486" s="967"/>
      <c r="B486" s="967"/>
      <c r="C486" s="1382" t="s">
        <v>1649</v>
      </c>
      <c r="D486" s="970">
        <v>10</v>
      </c>
      <c r="E486" s="970">
        <f>D486*'MINI SSR 2022-23 (2)'!$E$36</f>
        <v>10.8</v>
      </c>
      <c r="F486" s="970">
        <f>E486</f>
        <v>10.8</v>
      </c>
      <c r="G486" s="972">
        <f>E486</f>
        <v>10.8</v>
      </c>
      <c r="H486" s="964" t="s">
        <v>2313</v>
      </c>
    </row>
    <row r="487" spans="1:8" hidden="1">
      <c r="A487" s="967"/>
      <c r="B487" s="967"/>
      <c r="C487" s="1382" t="s">
        <v>1652</v>
      </c>
      <c r="D487" s="970">
        <v>10</v>
      </c>
      <c r="E487" s="970">
        <f>ROUND(D487*'MINI SSR 2022-23 (2)'!F36,2)</f>
        <v>84.7</v>
      </c>
      <c r="F487" s="970">
        <f>ROUND(D487*'MINI SSR 2022-23 (2)'!G36,2)</f>
        <v>121.2</v>
      </c>
      <c r="G487" s="972">
        <f>ROUND(D487*'MINI SSR 2022-23 (2)'!H36,2)</f>
        <v>157.69999999999999</v>
      </c>
      <c r="H487" s="964" t="s">
        <v>2313</v>
      </c>
    </row>
    <row r="488" spans="1:8" ht="25.5" hidden="1">
      <c r="A488" s="967"/>
      <c r="B488" s="967"/>
      <c r="C488" s="1382" t="s">
        <v>1285</v>
      </c>
      <c r="D488" s="967"/>
      <c r="E488" s="967"/>
      <c r="F488" s="970">
        <f>ROUND((G480+G481+G482+F487)*0.1,2)</f>
        <v>246.8</v>
      </c>
      <c r="G488" s="972">
        <f>ROUND((G480+G481+G482+G487)*0.2,2)</f>
        <v>500.89</v>
      </c>
      <c r="H488" s="964" t="s">
        <v>2313</v>
      </c>
    </row>
    <row r="489" spans="1:8" hidden="1">
      <c r="A489" s="967"/>
      <c r="B489" s="967"/>
      <c r="C489" s="962" t="s">
        <v>88</v>
      </c>
      <c r="D489" s="967"/>
      <c r="E489" s="970">
        <f>SUM(E485:E488)</f>
        <v>3338.49</v>
      </c>
      <c r="F489" s="970">
        <f>SUM(F485:F488)</f>
        <v>3621.79</v>
      </c>
      <c r="G489" s="972">
        <f>SUM(G485:G488)</f>
        <v>3912.3799999999997</v>
      </c>
      <c r="H489" s="964" t="s">
        <v>2313</v>
      </c>
    </row>
    <row r="490" spans="1:8" hidden="1">
      <c r="A490" s="967"/>
      <c r="B490" s="967"/>
      <c r="C490" s="962" t="s">
        <v>121</v>
      </c>
      <c r="D490" s="967"/>
      <c r="E490" s="974">
        <f>ROUND(E489/10,2)</f>
        <v>333.85</v>
      </c>
      <c r="F490" s="974">
        <f>ROUND(F489/10,2)</f>
        <v>362.18</v>
      </c>
      <c r="G490" s="971">
        <f>ROUND(G489/10,2)</f>
        <v>391.24</v>
      </c>
      <c r="H490" s="964" t="s">
        <v>2313</v>
      </c>
    </row>
    <row r="491" spans="1:8" ht="102" hidden="1">
      <c r="A491" s="896">
        <v>6</v>
      </c>
      <c r="B491" s="966" t="s">
        <v>1346</v>
      </c>
      <c r="C491" s="1382" t="s">
        <v>808</v>
      </c>
      <c r="D491" s="967"/>
      <c r="E491" s="967"/>
      <c r="F491" s="967"/>
      <c r="G491" s="966"/>
      <c r="H491" s="964" t="s">
        <v>2313</v>
      </c>
    </row>
    <row r="492" spans="1:8" hidden="1">
      <c r="A492" s="896"/>
      <c r="B492" s="966"/>
      <c r="C492" s="962" t="s">
        <v>42</v>
      </c>
      <c r="D492" s="967"/>
      <c r="E492" s="967"/>
      <c r="F492" s="967"/>
      <c r="G492" s="972"/>
      <c r="H492" s="964" t="s">
        <v>2313</v>
      </c>
    </row>
    <row r="493" spans="1:8" hidden="1">
      <c r="A493" s="896"/>
      <c r="B493" s="966"/>
      <c r="C493" s="962" t="s">
        <v>317</v>
      </c>
      <c r="D493" s="967"/>
      <c r="E493" s="967"/>
      <c r="F493" s="967"/>
      <c r="G493" s="972"/>
      <c r="H493" s="964" t="s">
        <v>2313</v>
      </c>
    </row>
    <row r="494" spans="1:8" hidden="1">
      <c r="A494" s="896"/>
      <c r="B494" s="966"/>
      <c r="C494" s="1382" t="s">
        <v>107</v>
      </c>
      <c r="D494" s="967" t="s">
        <v>4</v>
      </c>
      <c r="E494" s="970">
        <v>31.7</v>
      </c>
      <c r="F494" s="970">
        <f>'lead 22-23 P-B'!L8</f>
        <v>4700</v>
      </c>
      <c r="G494" s="969">
        <f>ROUND(E494*F494/1000,2)</f>
        <v>148.99</v>
      </c>
      <c r="H494" s="964" t="s">
        <v>2313</v>
      </c>
    </row>
    <row r="495" spans="1:8" hidden="1">
      <c r="A495" s="896"/>
      <c r="B495" s="966"/>
      <c r="C495" s="1382" t="s">
        <v>318</v>
      </c>
      <c r="D495" s="967" t="s">
        <v>35</v>
      </c>
      <c r="E495" s="970">
        <v>0.11</v>
      </c>
      <c r="F495" s="970">
        <f>'lead 22-23 P-B'!L12</f>
        <v>1815.9999999999998</v>
      </c>
      <c r="G495" s="969">
        <f>ROUND(E495*F495,2)</f>
        <v>199.76</v>
      </c>
      <c r="H495" s="964" t="s">
        <v>2313</v>
      </c>
    </row>
    <row r="496" spans="1:8" hidden="1">
      <c r="A496" s="896"/>
      <c r="B496" s="966"/>
      <c r="C496" s="962" t="s">
        <v>319</v>
      </c>
      <c r="D496" s="967"/>
      <c r="E496" s="967"/>
      <c r="F496" s="967"/>
      <c r="G496" s="972"/>
      <c r="H496" s="964" t="s">
        <v>2313</v>
      </c>
    </row>
    <row r="497" spans="1:8" hidden="1">
      <c r="A497" s="896"/>
      <c r="B497" s="966"/>
      <c r="C497" s="1382" t="s">
        <v>107</v>
      </c>
      <c r="D497" s="967" t="s">
        <v>4</v>
      </c>
      <c r="E497" s="970">
        <v>19.2</v>
      </c>
      <c r="F497" s="970">
        <f>F494</f>
        <v>4700</v>
      </c>
      <c r="G497" s="969">
        <f>ROUND(E497*F497/1000,2)</f>
        <v>90.24</v>
      </c>
      <c r="H497" s="964" t="s">
        <v>2313</v>
      </c>
    </row>
    <row r="498" spans="1:8" hidden="1">
      <c r="A498" s="896"/>
      <c r="B498" s="966"/>
      <c r="C498" s="1382" t="s">
        <v>318</v>
      </c>
      <c r="D498" s="967" t="s">
        <v>35</v>
      </c>
      <c r="E498" s="970">
        <v>0.04</v>
      </c>
      <c r="F498" s="970">
        <f>F495</f>
        <v>1815.9999999999998</v>
      </c>
      <c r="G498" s="969">
        <f>ROUND(E498*F498,2)</f>
        <v>72.64</v>
      </c>
      <c r="H498" s="964" t="s">
        <v>2313</v>
      </c>
    </row>
    <row r="499" spans="1:8" hidden="1">
      <c r="A499" s="967"/>
      <c r="B499" s="967"/>
      <c r="C499" s="962" t="s">
        <v>68</v>
      </c>
      <c r="D499" s="967"/>
      <c r="E499" s="970"/>
      <c r="F499" s="970"/>
      <c r="G499" s="969"/>
      <c r="H499" s="964" t="s">
        <v>2313</v>
      </c>
    </row>
    <row r="500" spans="1:8" hidden="1">
      <c r="A500" s="967"/>
      <c r="B500" s="967"/>
      <c r="C500" s="1382" t="s">
        <v>64</v>
      </c>
      <c r="D500" s="967" t="s">
        <v>27</v>
      </c>
      <c r="E500" s="970">
        <v>0.63</v>
      </c>
      <c r="F500" s="970">
        <f>'MINI SSR 2022-23 (2)'!$H$3</f>
        <v>630</v>
      </c>
      <c r="G500" s="969">
        <f>ROUND(E500*F500,2)</f>
        <v>396.9</v>
      </c>
      <c r="H500" s="964" t="s">
        <v>2313</v>
      </c>
    </row>
    <row r="501" spans="1:8" hidden="1">
      <c r="A501" s="967"/>
      <c r="B501" s="967"/>
      <c r="C501" s="1382" t="s">
        <v>69</v>
      </c>
      <c r="D501" s="967" t="s">
        <v>27</v>
      </c>
      <c r="E501" s="970">
        <v>1.47</v>
      </c>
      <c r="F501" s="970">
        <f>'MINI SSR 2022-23 (2)'!$H$4</f>
        <v>565</v>
      </c>
      <c r="G501" s="969">
        <f>ROUND(E501*F501,2)</f>
        <v>830.55</v>
      </c>
      <c r="H501" s="964" t="s">
        <v>2313</v>
      </c>
    </row>
    <row r="502" spans="1:8" hidden="1">
      <c r="A502" s="967"/>
      <c r="B502" s="967"/>
      <c r="C502" s="1382" t="s">
        <v>85</v>
      </c>
      <c r="D502" s="967" t="s">
        <v>27</v>
      </c>
      <c r="E502" s="970">
        <v>3.9</v>
      </c>
      <c r="F502" s="970">
        <f>'MINI SSR 2022-23 (2)'!$H$5</f>
        <v>525</v>
      </c>
      <c r="G502" s="969">
        <f>ROUND(E502*F502,2)</f>
        <v>2047.5</v>
      </c>
      <c r="H502" s="964" t="s">
        <v>2313</v>
      </c>
    </row>
    <row r="503" spans="1:8" hidden="1">
      <c r="A503" s="967"/>
      <c r="B503" s="967"/>
      <c r="C503" s="962" t="s">
        <v>88</v>
      </c>
      <c r="D503" s="967"/>
      <c r="E503" s="967"/>
      <c r="F503" s="967"/>
      <c r="G503" s="971">
        <f>SUM(G494:G502)</f>
        <v>3786.58</v>
      </c>
      <c r="H503" s="964" t="s">
        <v>2313</v>
      </c>
    </row>
    <row r="504" spans="1:8" hidden="1">
      <c r="A504" s="967"/>
      <c r="B504" s="967"/>
      <c r="C504" s="962"/>
      <c r="D504" s="967"/>
      <c r="E504" s="966" t="s">
        <v>161</v>
      </c>
      <c r="F504" s="966" t="s">
        <v>162</v>
      </c>
      <c r="G504" s="974" t="s">
        <v>163</v>
      </c>
      <c r="H504" s="964" t="s">
        <v>2313</v>
      </c>
    </row>
    <row r="505" spans="1:8" hidden="1">
      <c r="A505" s="967"/>
      <c r="B505" s="967"/>
      <c r="C505" s="962" t="s">
        <v>1273</v>
      </c>
      <c r="D505" s="967"/>
      <c r="E505" s="970">
        <f>G503</f>
        <v>3786.58</v>
      </c>
      <c r="F505" s="970">
        <f>G503</f>
        <v>3786.58</v>
      </c>
      <c r="G505" s="972">
        <f>F505</f>
        <v>3786.58</v>
      </c>
      <c r="H505" s="964" t="s">
        <v>2313</v>
      </c>
    </row>
    <row r="506" spans="1:8" hidden="1">
      <c r="A506" s="967"/>
      <c r="B506" s="967"/>
      <c r="C506" s="1382" t="s">
        <v>1649</v>
      </c>
      <c r="D506" s="970">
        <v>10</v>
      </c>
      <c r="E506" s="970">
        <f>D506*'MINI SSR 2022-23 (2)'!$E$36</f>
        <v>10.8</v>
      </c>
      <c r="F506" s="970">
        <f>E506</f>
        <v>10.8</v>
      </c>
      <c r="G506" s="972">
        <f>F506</f>
        <v>10.8</v>
      </c>
      <c r="H506" s="964" t="s">
        <v>2313</v>
      </c>
    </row>
    <row r="507" spans="1:8" hidden="1">
      <c r="A507" s="967"/>
      <c r="B507" s="967"/>
      <c r="C507" s="1382" t="s">
        <v>1650</v>
      </c>
      <c r="D507" s="970">
        <v>10</v>
      </c>
      <c r="E507" s="970">
        <f>ROUND(D507*'MINI SSR 2022-23 (2)'!F36,2)</f>
        <v>84.7</v>
      </c>
      <c r="F507" s="970">
        <f>ROUND(D507*'MINI SSR 2022-23 (2)'!G36,2)</f>
        <v>121.2</v>
      </c>
      <c r="G507" s="972">
        <f>ROUND(D507*'MINI SSR 2022-23 (2)'!H36,2)</f>
        <v>157.69999999999999</v>
      </c>
      <c r="H507" s="964" t="s">
        <v>2313</v>
      </c>
    </row>
    <row r="508" spans="1:8" ht="25.5" hidden="1">
      <c r="A508" s="967"/>
      <c r="B508" s="967"/>
      <c r="C508" s="1382" t="s">
        <v>1285</v>
      </c>
      <c r="D508" s="967"/>
      <c r="E508" s="967"/>
      <c r="F508" s="970">
        <f>ROUND((G500+G501+G502+F507)*0.1,2)</f>
        <v>339.62</v>
      </c>
      <c r="G508" s="972">
        <f>ROUND((G500+G501+G502+G507)*0.2,2)</f>
        <v>686.53</v>
      </c>
      <c r="H508" s="964" t="s">
        <v>2313</v>
      </c>
    </row>
    <row r="509" spans="1:8" hidden="1">
      <c r="A509" s="967"/>
      <c r="B509" s="967"/>
      <c r="C509" s="962" t="s">
        <v>88</v>
      </c>
      <c r="D509" s="967"/>
      <c r="E509" s="970">
        <f>SUM(E505:E508)</f>
        <v>3882.08</v>
      </c>
      <c r="F509" s="970">
        <f>SUM(F505:F508)</f>
        <v>4258.2</v>
      </c>
      <c r="G509" s="972">
        <f>SUM(G505:G508)</f>
        <v>4641.6099999999997</v>
      </c>
      <c r="H509" s="964" t="s">
        <v>2313</v>
      </c>
    </row>
    <row r="510" spans="1:8" hidden="1">
      <c r="A510" s="967"/>
      <c r="B510" s="967"/>
      <c r="C510" s="962" t="s">
        <v>121</v>
      </c>
      <c r="D510" s="967"/>
      <c r="E510" s="974">
        <f>ROUND(E509/10,2)</f>
        <v>388.21</v>
      </c>
      <c r="F510" s="974">
        <f>ROUND(F509/10,2)</f>
        <v>425.82</v>
      </c>
      <c r="G510" s="971">
        <f>ROUND(G509/10,2)</f>
        <v>464.16</v>
      </c>
      <c r="H510" s="964" t="s">
        <v>2313</v>
      </c>
    </row>
    <row r="511" spans="1:8" ht="102" hidden="1">
      <c r="A511" s="896">
        <v>11</v>
      </c>
      <c r="B511" s="966" t="s">
        <v>1347</v>
      </c>
      <c r="C511" s="1382" t="s">
        <v>316</v>
      </c>
      <c r="D511" s="967"/>
      <c r="E511" s="967"/>
      <c r="F511" s="967"/>
      <c r="G511" s="966"/>
      <c r="H511" s="964" t="s">
        <v>2313</v>
      </c>
    </row>
    <row r="512" spans="1:8" hidden="1">
      <c r="A512" s="896"/>
      <c r="B512" s="966"/>
      <c r="C512" s="962" t="s">
        <v>42</v>
      </c>
      <c r="D512" s="967"/>
      <c r="E512" s="967"/>
      <c r="F512" s="967"/>
      <c r="G512" s="972"/>
      <c r="H512" s="964" t="s">
        <v>2313</v>
      </c>
    </row>
    <row r="513" spans="1:8" hidden="1">
      <c r="A513" s="896"/>
      <c r="B513" s="966"/>
      <c r="C513" s="962" t="s">
        <v>317</v>
      </c>
      <c r="D513" s="967"/>
      <c r="E513" s="967"/>
      <c r="F513" s="967"/>
      <c r="G513" s="972"/>
      <c r="H513" s="964" t="s">
        <v>2313</v>
      </c>
    </row>
    <row r="514" spans="1:8" hidden="1">
      <c r="A514" s="896"/>
      <c r="B514" s="966"/>
      <c r="C514" s="1382" t="s">
        <v>107</v>
      </c>
      <c r="D514" s="967" t="s">
        <v>4</v>
      </c>
      <c r="E514" s="970">
        <v>43</v>
      </c>
      <c r="F514" s="970">
        <f>F494</f>
        <v>4700</v>
      </c>
      <c r="G514" s="969">
        <f>ROUND(E514*F514/1000,2)</f>
        <v>202.1</v>
      </c>
      <c r="H514" s="964" t="s">
        <v>2313</v>
      </c>
    </row>
    <row r="515" spans="1:8" hidden="1">
      <c r="A515" s="896"/>
      <c r="B515" s="966"/>
      <c r="C515" s="1382" t="s">
        <v>318</v>
      </c>
      <c r="D515" s="967" t="s">
        <v>35</v>
      </c>
      <c r="E515" s="970">
        <v>0.18</v>
      </c>
      <c r="F515" s="970">
        <f>F495</f>
        <v>1815.9999999999998</v>
      </c>
      <c r="G515" s="969">
        <f>ROUND(E515*F515,2)</f>
        <v>326.88</v>
      </c>
      <c r="H515" s="964" t="s">
        <v>2313</v>
      </c>
    </row>
    <row r="516" spans="1:8" hidden="1">
      <c r="A516" s="896"/>
      <c r="B516" s="966"/>
      <c r="C516" s="962" t="s">
        <v>319</v>
      </c>
      <c r="D516" s="967"/>
      <c r="E516" s="967"/>
      <c r="F516" s="967"/>
      <c r="G516" s="972"/>
      <c r="H516" s="964" t="s">
        <v>2313</v>
      </c>
    </row>
    <row r="517" spans="1:8" hidden="1">
      <c r="A517" s="896"/>
      <c r="B517" s="966"/>
      <c r="C517" s="1382" t="s">
        <v>107</v>
      </c>
      <c r="D517" s="967" t="s">
        <v>4</v>
      </c>
      <c r="E517" s="970">
        <v>14.5</v>
      </c>
      <c r="F517" s="970">
        <f>F514</f>
        <v>4700</v>
      </c>
      <c r="G517" s="969">
        <f>ROUND(E517*F517/1000,2)</f>
        <v>68.150000000000006</v>
      </c>
      <c r="H517" s="964" t="s">
        <v>2313</v>
      </c>
    </row>
    <row r="518" spans="1:8" hidden="1">
      <c r="A518" s="896"/>
      <c r="B518" s="966"/>
      <c r="C518" s="1382" t="s">
        <v>318</v>
      </c>
      <c r="D518" s="967" t="s">
        <v>35</v>
      </c>
      <c r="E518" s="970">
        <v>0.04</v>
      </c>
      <c r="F518" s="970">
        <f>F515</f>
        <v>1815.9999999999998</v>
      </c>
      <c r="G518" s="969">
        <f>ROUND(E518*F518,2)</f>
        <v>72.64</v>
      </c>
      <c r="H518" s="964" t="s">
        <v>2313</v>
      </c>
    </row>
    <row r="519" spans="1:8" hidden="1">
      <c r="A519" s="967"/>
      <c r="B519" s="967"/>
      <c r="C519" s="962" t="s">
        <v>68</v>
      </c>
      <c r="D519" s="967"/>
      <c r="E519" s="970"/>
      <c r="F519" s="970"/>
      <c r="G519" s="969"/>
      <c r="H519" s="964" t="s">
        <v>2313</v>
      </c>
    </row>
    <row r="520" spans="1:8" hidden="1">
      <c r="A520" s="967"/>
      <c r="B520" s="967"/>
      <c r="C520" s="1382" t="s">
        <v>64</v>
      </c>
      <c r="D520" s="967" t="s">
        <v>27</v>
      </c>
      <c r="E520" s="970">
        <v>0.63</v>
      </c>
      <c r="F520" s="970">
        <f>'MINI SSR 2022-23 (2)'!$H$3</f>
        <v>630</v>
      </c>
      <c r="G520" s="969">
        <f>ROUND(E520*F520,2)</f>
        <v>396.9</v>
      </c>
      <c r="H520" s="964" t="s">
        <v>2313</v>
      </c>
    </row>
    <row r="521" spans="1:8" hidden="1">
      <c r="A521" s="967"/>
      <c r="B521" s="967"/>
      <c r="C521" s="1382" t="s">
        <v>69</v>
      </c>
      <c r="D521" s="967" t="s">
        <v>27</v>
      </c>
      <c r="E521" s="970">
        <v>1.47</v>
      </c>
      <c r="F521" s="970">
        <f>'MINI SSR 2022-23 (2)'!$H$4</f>
        <v>565</v>
      </c>
      <c r="G521" s="969">
        <f>ROUND(E521*F521,2)</f>
        <v>830.55</v>
      </c>
      <c r="H521" s="964" t="s">
        <v>2313</v>
      </c>
    </row>
    <row r="522" spans="1:8" hidden="1">
      <c r="A522" s="967"/>
      <c r="B522" s="967"/>
      <c r="C522" s="1382" t="s">
        <v>85</v>
      </c>
      <c r="D522" s="967" t="s">
        <v>27</v>
      </c>
      <c r="E522" s="970">
        <v>3.9</v>
      </c>
      <c r="F522" s="970">
        <f>'MINI SSR 2022-23 (2)'!$H$5</f>
        <v>525</v>
      </c>
      <c r="G522" s="969">
        <f>ROUND(E522*F522,2)</f>
        <v>2047.5</v>
      </c>
      <c r="H522" s="964" t="s">
        <v>2313</v>
      </c>
    </row>
    <row r="523" spans="1:8" hidden="1">
      <c r="A523" s="967"/>
      <c r="B523" s="967"/>
      <c r="C523" s="962" t="s">
        <v>88</v>
      </c>
      <c r="D523" s="967"/>
      <c r="E523" s="967"/>
      <c r="F523" s="967"/>
      <c r="G523" s="971">
        <f>SUM(G514:G522)</f>
        <v>3944.7200000000003</v>
      </c>
      <c r="H523" s="964" t="s">
        <v>2313</v>
      </c>
    </row>
    <row r="524" spans="1:8" hidden="1">
      <c r="A524" s="967"/>
      <c r="B524" s="967"/>
      <c r="C524" s="962"/>
      <c r="D524" s="967"/>
      <c r="E524" s="966" t="s">
        <v>161</v>
      </c>
      <c r="F524" s="966" t="s">
        <v>162</v>
      </c>
      <c r="G524" s="974" t="s">
        <v>163</v>
      </c>
      <c r="H524" s="964" t="s">
        <v>2313</v>
      </c>
    </row>
    <row r="525" spans="1:8" hidden="1">
      <c r="A525" s="967"/>
      <c r="B525" s="967"/>
      <c r="C525" s="962" t="s">
        <v>1273</v>
      </c>
      <c r="D525" s="967"/>
      <c r="E525" s="970">
        <f>G523</f>
        <v>3944.7200000000003</v>
      </c>
      <c r="F525" s="970">
        <f>G523</f>
        <v>3944.7200000000003</v>
      </c>
      <c r="G525" s="972">
        <f>F525</f>
        <v>3944.7200000000003</v>
      </c>
      <c r="H525" s="964" t="s">
        <v>2313</v>
      </c>
    </row>
    <row r="526" spans="1:8" hidden="1">
      <c r="A526" s="967"/>
      <c r="B526" s="967"/>
      <c r="C526" s="1382" t="s">
        <v>1649</v>
      </c>
      <c r="D526" s="970">
        <v>10</v>
      </c>
      <c r="E526" s="970">
        <f>D526*'MINI SSR 2022-23 (2)'!$E$36</f>
        <v>10.8</v>
      </c>
      <c r="F526" s="970">
        <f>E526</f>
        <v>10.8</v>
      </c>
      <c r="G526" s="972">
        <f>F526</f>
        <v>10.8</v>
      </c>
      <c r="H526" s="964" t="s">
        <v>2313</v>
      </c>
    </row>
    <row r="527" spans="1:8" hidden="1">
      <c r="A527" s="967"/>
      <c r="B527" s="967"/>
      <c r="C527" s="1382" t="s">
        <v>1652</v>
      </c>
      <c r="D527" s="970">
        <v>10</v>
      </c>
      <c r="E527" s="970">
        <f>ROUND(D527*'MINI SSR 2022-23 (2)'!F36,2)</f>
        <v>84.7</v>
      </c>
      <c r="F527" s="970">
        <f>ROUND(D527*'MINI SSR 2022-23 (2)'!G36,2)</f>
        <v>121.2</v>
      </c>
      <c r="G527" s="972">
        <f>ROUND(D527*'MINI SSR 2022-23 (2)'!H36,2)</f>
        <v>157.69999999999999</v>
      </c>
      <c r="H527" s="964" t="s">
        <v>2313</v>
      </c>
    </row>
    <row r="528" spans="1:8" ht="25.5" hidden="1">
      <c r="A528" s="967"/>
      <c r="B528" s="967"/>
      <c r="C528" s="1382" t="s">
        <v>1285</v>
      </c>
      <c r="D528" s="967"/>
      <c r="E528" s="967"/>
      <c r="F528" s="970">
        <f>ROUND((G520+G521+G522+F527)*0.1,2)</f>
        <v>339.62</v>
      </c>
      <c r="G528" s="972">
        <f>ROUND((G520+G521+G522+G527)*0.2,2)</f>
        <v>686.53</v>
      </c>
      <c r="H528" s="964" t="s">
        <v>2313</v>
      </c>
    </row>
    <row r="529" spans="1:8" hidden="1">
      <c r="A529" s="967"/>
      <c r="B529" s="967"/>
      <c r="C529" s="962" t="s">
        <v>88</v>
      </c>
      <c r="D529" s="967"/>
      <c r="E529" s="970">
        <f>SUM(E525:E528)</f>
        <v>4040.2200000000003</v>
      </c>
      <c r="F529" s="970">
        <f>SUM(F525:F528)</f>
        <v>4416.34</v>
      </c>
      <c r="G529" s="972">
        <f>SUM(G525:G528)</f>
        <v>4799.75</v>
      </c>
      <c r="H529" s="964" t="s">
        <v>2313</v>
      </c>
    </row>
    <row r="530" spans="1:8" hidden="1">
      <c r="A530" s="967"/>
      <c r="B530" s="967"/>
      <c r="C530" s="962" t="s">
        <v>121</v>
      </c>
      <c r="D530" s="967"/>
      <c r="E530" s="974">
        <f>ROUND(E529/10,2)</f>
        <v>404.02</v>
      </c>
      <c r="F530" s="974">
        <f>ROUND(F529/10,2)</f>
        <v>441.63</v>
      </c>
      <c r="G530" s="971">
        <f>ROUND(G529/10,2)</f>
        <v>479.98</v>
      </c>
      <c r="H530" s="964" t="s">
        <v>2313</v>
      </c>
    </row>
    <row r="531" spans="1:8" ht="165.75" hidden="1">
      <c r="A531" s="896">
        <v>37</v>
      </c>
      <c r="B531" s="966"/>
      <c r="C531" s="1382" t="s">
        <v>1171</v>
      </c>
      <c r="D531" s="967"/>
      <c r="E531" s="967"/>
      <c r="F531" s="967"/>
      <c r="G531" s="972"/>
      <c r="H531" s="964" t="s">
        <v>2313</v>
      </c>
    </row>
    <row r="532" spans="1:8" hidden="1">
      <c r="A532" s="967"/>
      <c r="B532" s="967"/>
      <c r="C532" s="1382" t="s">
        <v>868</v>
      </c>
      <c r="D532" s="967"/>
      <c r="E532" s="970"/>
      <c r="F532" s="970"/>
      <c r="G532" s="969"/>
      <c r="H532" s="964" t="s">
        <v>2313</v>
      </c>
    </row>
    <row r="533" spans="1:8" hidden="1">
      <c r="A533" s="967"/>
      <c r="B533" s="967"/>
      <c r="C533" s="1382" t="s">
        <v>863</v>
      </c>
      <c r="D533" s="967"/>
      <c r="E533" s="970"/>
      <c r="F533" s="970"/>
      <c r="G533" s="969"/>
      <c r="H533" s="964" t="s">
        <v>2313</v>
      </c>
    </row>
    <row r="534" spans="1:8" hidden="1">
      <c r="A534" s="967"/>
      <c r="B534" s="967"/>
      <c r="C534" s="1382" t="s">
        <v>1172</v>
      </c>
      <c r="D534" s="970" t="s">
        <v>77</v>
      </c>
      <c r="E534" s="970">
        <v>13.3</v>
      </c>
      <c r="F534" s="990">
        <f>'MINI SSR 2022-23 (2)'!C43</f>
        <v>21</v>
      </c>
      <c r="G534" s="969">
        <f>ROUND(E534*F534,2)</f>
        <v>279.3</v>
      </c>
      <c r="H534" s="964" t="s">
        <v>2313</v>
      </c>
    </row>
    <row r="535" spans="1:8" hidden="1">
      <c r="A535" s="896"/>
      <c r="B535" s="966"/>
      <c r="C535" s="1382" t="s">
        <v>1173</v>
      </c>
      <c r="D535" s="970" t="s">
        <v>35</v>
      </c>
      <c r="E535" s="970">
        <v>0.25</v>
      </c>
      <c r="F535" s="990">
        <f>G9</f>
        <v>4267.8</v>
      </c>
      <c r="G535" s="969">
        <f>ROUND(E535*F535,2)</f>
        <v>1066.95</v>
      </c>
      <c r="H535" s="964" t="s">
        <v>2313</v>
      </c>
    </row>
    <row r="536" spans="1:8" hidden="1">
      <c r="A536" s="896"/>
      <c r="B536" s="966"/>
      <c r="C536" s="1382" t="s">
        <v>1174</v>
      </c>
      <c r="D536" s="970" t="s">
        <v>90</v>
      </c>
      <c r="E536" s="970">
        <v>50</v>
      </c>
      <c r="F536" s="990">
        <f>'lead 22-23 P-B'!L8</f>
        <v>4700</v>
      </c>
      <c r="G536" s="969">
        <f>ROUND(E536*F536/1000,2)</f>
        <v>235</v>
      </c>
      <c r="H536" s="964" t="s">
        <v>2313</v>
      </c>
    </row>
    <row r="537" spans="1:8" ht="25.5" hidden="1">
      <c r="A537" s="896"/>
      <c r="B537" s="966"/>
      <c r="C537" s="1382" t="s">
        <v>1175</v>
      </c>
      <c r="D537" s="970" t="s">
        <v>77</v>
      </c>
      <c r="E537" s="970">
        <v>21.8</v>
      </c>
      <c r="F537" s="990">
        <f>E510</f>
        <v>388.21</v>
      </c>
      <c r="G537" s="969">
        <f>ROUND(E537*F537,2)</f>
        <v>8462.98</v>
      </c>
      <c r="H537" s="964" t="s">
        <v>2313</v>
      </c>
    </row>
    <row r="538" spans="1:8" hidden="1">
      <c r="A538" s="896"/>
      <c r="B538" s="966"/>
      <c r="C538" s="962" t="s">
        <v>1176</v>
      </c>
      <c r="D538" s="967"/>
      <c r="E538" s="967"/>
      <c r="F538" s="990"/>
      <c r="G538" s="969"/>
      <c r="H538" s="964" t="s">
        <v>2313</v>
      </c>
    </row>
    <row r="539" spans="1:8" hidden="1">
      <c r="A539" s="896"/>
      <c r="B539" s="966"/>
      <c r="C539" s="1382" t="s">
        <v>865</v>
      </c>
      <c r="D539" s="970" t="s">
        <v>27</v>
      </c>
      <c r="E539" s="970">
        <v>8</v>
      </c>
      <c r="F539" s="990">
        <f>'MINI SSR 2022-23 (2)'!$H$3</f>
        <v>630</v>
      </c>
      <c r="G539" s="969">
        <f>ROUND(E539*F539,2)</f>
        <v>5040</v>
      </c>
      <c r="H539" s="964" t="s">
        <v>2313</v>
      </c>
    </row>
    <row r="540" spans="1:8" hidden="1">
      <c r="A540" s="896"/>
      <c r="B540" s="966"/>
      <c r="C540" s="1382" t="s">
        <v>1177</v>
      </c>
      <c r="D540" s="970" t="s">
        <v>27</v>
      </c>
      <c r="E540" s="970">
        <v>1</v>
      </c>
      <c r="F540" s="990">
        <f>'MINI SSR 2022-23 (2)'!$H$4</f>
        <v>565</v>
      </c>
      <c r="G540" s="969">
        <f>ROUND(E540*F540,2)</f>
        <v>565</v>
      </c>
      <c r="H540" s="964" t="s">
        <v>2313</v>
      </c>
    </row>
    <row r="541" spans="1:8" hidden="1">
      <c r="A541" s="896"/>
      <c r="B541" s="966"/>
      <c r="C541" s="1382" t="s">
        <v>864</v>
      </c>
      <c r="D541" s="970" t="s">
        <v>27</v>
      </c>
      <c r="E541" s="970">
        <v>10</v>
      </c>
      <c r="F541" s="990">
        <f>'MINI SSR 2022-23 (2)'!$H$5</f>
        <v>525</v>
      </c>
      <c r="G541" s="969">
        <f>ROUND(E541*F541,2)</f>
        <v>5250</v>
      </c>
      <c r="H541" s="964" t="s">
        <v>2313</v>
      </c>
    </row>
    <row r="542" spans="1:8" hidden="1">
      <c r="A542" s="896"/>
      <c r="B542" s="966"/>
      <c r="C542" s="962" t="s">
        <v>1178</v>
      </c>
      <c r="D542" s="970"/>
      <c r="E542" s="970"/>
      <c r="F542" s="990"/>
      <c r="G542" s="969"/>
      <c r="H542" s="964" t="s">
        <v>2313</v>
      </c>
    </row>
    <row r="543" spans="1:8" ht="25.5" hidden="1">
      <c r="A543" s="896"/>
      <c r="B543" s="966"/>
      <c r="C543" s="1382" t="s">
        <v>1179</v>
      </c>
      <c r="D543" s="970" t="s">
        <v>1180</v>
      </c>
      <c r="E543" s="970">
        <v>2</v>
      </c>
      <c r="F543" s="990">
        <f>'MINI SSR 2022-23 (2)'!$C$30</f>
        <v>667.5</v>
      </c>
      <c r="G543" s="969">
        <f>ROUND(E543*F543,2)</f>
        <v>1335</v>
      </c>
      <c r="H543" s="964" t="s">
        <v>2313</v>
      </c>
    </row>
    <row r="544" spans="1:8" hidden="1">
      <c r="A544" s="896"/>
      <c r="B544" s="966"/>
      <c r="C544" s="962" t="s">
        <v>869</v>
      </c>
      <c r="D544" s="991"/>
      <c r="E544" s="991"/>
      <c r="F544" s="991" t="s">
        <v>104</v>
      </c>
      <c r="G544" s="969">
        <f>SUM(G534:G543)</f>
        <v>22234.23</v>
      </c>
      <c r="H544" s="964" t="s">
        <v>2313</v>
      </c>
    </row>
    <row r="545" spans="1:8" hidden="1">
      <c r="A545" s="896"/>
      <c r="B545" s="966"/>
      <c r="C545" s="1382"/>
      <c r="D545" s="990"/>
      <c r="E545" s="991" t="s">
        <v>161</v>
      </c>
      <c r="F545" s="991" t="s">
        <v>162</v>
      </c>
      <c r="G545" s="969"/>
      <c r="H545" s="964" t="s">
        <v>2313</v>
      </c>
    </row>
    <row r="546" spans="1:8" hidden="1">
      <c r="A546" s="896"/>
      <c r="B546" s="966"/>
      <c r="C546" s="1382" t="s">
        <v>867</v>
      </c>
      <c r="D546" s="990"/>
      <c r="E546" s="990">
        <f>G544</f>
        <v>22234.23</v>
      </c>
      <c r="F546" s="990">
        <f>G544</f>
        <v>22234.23</v>
      </c>
      <c r="G546" s="969"/>
      <c r="H546" s="964" t="s">
        <v>2313</v>
      </c>
    </row>
    <row r="547" spans="1:8" hidden="1">
      <c r="A547" s="896"/>
      <c r="B547" s="966"/>
      <c r="C547" s="1382" t="s">
        <v>1653</v>
      </c>
      <c r="D547" s="992" t="s">
        <v>326</v>
      </c>
      <c r="E547" s="990">
        <f>ROUND(D547*'MINI SSR 2022-23 (2)'!E36,2)</f>
        <v>10.8</v>
      </c>
      <c r="F547" s="990">
        <f>ROUND(D547*1.03,2)</f>
        <v>10.3</v>
      </c>
      <c r="G547" s="969"/>
      <c r="H547" s="964" t="s">
        <v>2313</v>
      </c>
    </row>
    <row r="548" spans="1:8" hidden="1">
      <c r="A548" s="896"/>
      <c r="B548" s="966"/>
      <c r="C548" s="1382" t="s">
        <v>1654</v>
      </c>
      <c r="D548" s="992" t="s">
        <v>326</v>
      </c>
      <c r="E548" s="990">
        <f>ROUND(D548*'MINI SSR 2022-23 (2)'!F36,2)</f>
        <v>84.7</v>
      </c>
      <c r="F548" s="990">
        <f>ROUND(D548*'MINI SSR 2022-23 (2)'!G36,2)</f>
        <v>121.2</v>
      </c>
      <c r="G548" s="969"/>
      <c r="H548" s="964" t="s">
        <v>2313</v>
      </c>
    </row>
    <row r="549" spans="1:8" hidden="1">
      <c r="A549" s="896"/>
      <c r="B549" s="966"/>
      <c r="C549" s="1382" t="s">
        <v>870</v>
      </c>
      <c r="D549" s="622" t="s">
        <v>326</v>
      </c>
      <c r="E549" s="993">
        <v>0</v>
      </c>
      <c r="F549" s="993">
        <f>ROUND(((SUM(G539:G541)+F548)*D549/100),2)</f>
        <v>1097.6199999999999</v>
      </c>
      <c r="G549" s="969"/>
      <c r="H549" s="964" t="s">
        <v>2313</v>
      </c>
    </row>
    <row r="550" spans="1:8" hidden="1">
      <c r="A550" s="896"/>
      <c r="B550" s="966"/>
      <c r="C550" s="962" t="s">
        <v>869</v>
      </c>
      <c r="D550" s="622"/>
      <c r="E550" s="990">
        <f>SUM(E546:E549)</f>
        <v>22329.73</v>
      </c>
      <c r="F550" s="990">
        <f>SUM(F546:F549)</f>
        <v>23463.35</v>
      </c>
      <c r="G550" s="969"/>
      <c r="H550" s="964" t="s">
        <v>2313</v>
      </c>
    </row>
    <row r="551" spans="1:8" hidden="1">
      <c r="A551" s="896"/>
      <c r="B551" s="966"/>
      <c r="C551" s="962" t="s">
        <v>871</v>
      </c>
      <c r="D551" s="970"/>
      <c r="E551" s="991">
        <f>ROUND(E550/10,2)</f>
        <v>2232.9699999999998</v>
      </c>
      <c r="F551" s="991">
        <f>ROUND(F550/10,2)</f>
        <v>2346.34</v>
      </c>
      <c r="G551" s="969"/>
      <c r="H551" s="964" t="s">
        <v>2313</v>
      </c>
    </row>
    <row r="552" spans="1:8" ht="102" hidden="1">
      <c r="A552" s="896">
        <v>12</v>
      </c>
      <c r="B552" s="966" t="s">
        <v>1312</v>
      </c>
      <c r="C552" s="1382" t="s">
        <v>1311</v>
      </c>
      <c r="D552" s="967"/>
      <c r="E552" s="967"/>
      <c r="F552" s="967"/>
      <c r="G552" s="966"/>
      <c r="H552" s="964" t="s">
        <v>2313</v>
      </c>
    </row>
    <row r="553" spans="1:8" hidden="1">
      <c r="A553" s="896"/>
      <c r="B553" s="966"/>
      <c r="C553" s="962" t="s">
        <v>42</v>
      </c>
      <c r="D553" s="967"/>
      <c r="E553" s="967"/>
      <c r="F553" s="967"/>
      <c r="G553" s="972"/>
      <c r="H553" s="964" t="s">
        <v>2313</v>
      </c>
    </row>
    <row r="554" spans="1:8" hidden="1">
      <c r="A554" s="896"/>
      <c r="B554" s="966"/>
      <c r="C554" s="962" t="s">
        <v>60</v>
      </c>
      <c r="D554" s="967"/>
      <c r="E554" s="967"/>
      <c r="F554" s="967"/>
      <c r="G554" s="972"/>
      <c r="H554" s="964" t="s">
        <v>2313</v>
      </c>
    </row>
    <row r="555" spans="1:8" hidden="1">
      <c r="A555" s="896"/>
      <c r="B555" s="966"/>
      <c r="C555" s="1382" t="s">
        <v>43</v>
      </c>
      <c r="D555" s="967" t="s">
        <v>35</v>
      </c>
      <c r="E555" s="970">
        <v>0.15</v>
      </c>
      <c r="F555" s="970">
        <f>G9</f>
        <v>4267.8</v>
      </c>
      <c r="G555" s="969">
        <f>ROUND(E555*F555,2)</f>
        <v>640.16999999999996</v>
      </c>
      <c r="H555" s="964" t="s">
        <v>2313</v>
      </c>
    </row>
    <row r="556" spans="1:8" ht="25.5" hidden="1">
      <c r="A556" s="896"/>
      <c r="B556" s="966"/>
      <c r="C556" s="1382" t="s">
        <v>3624</v>
      </c>
      <c r="D556" s="967" t="s">
        <v>4</v>
      </c>
      <c r="E556" s="970">
        <v>2</v>
      </c>
      <c r="F556" s="970">
        <f>'MINI SSR 2022-23 (2)'!$C$44</f>
        <v>85</v>
      </c>
      <c r="G556" s="969">
        <f>ROUND(E556*F556,2)</f>
        <v>170</v>
      </c>
      <c r="H556" s="964" t="s">
        <v>2313</v>
      </c>
    </row>
    <row r="557" spans="1:8" hidden="1">
      <c r="A557" s="967"/>
      <c r="B557" s="967"/>
      <c r="C557" s="962" t="s">
        <v>68</v>
      </c>
      <c r="D557" s="967"/>
      <c r="E557" s="970"/>
      <c r="F557" s="970"/>
      <c r="G557" s="969"/>
      <c r="H557" s="964" t="s">
        <v>2313</v>
      </c>
    </row>
    <row r="558" spans="1:8" hidden="1">
      <c r="A558" s="967"/>
      <c r="B558" s="967"/>
      <c r="C558" s="1382" t="s">
        <v>64</v>
      </c>
      <c r="D558" s="967" t="s">
        <v>27</v>
      </c>
      <c r="E558" s="970">
        <v>0.45</v>
      </c>
      <c r="F558" s="990">
        <f>'MINI SSR 2022-23 (2)'!$H$3</f>
        <v>630</v>
      </c>
      <c r="G558" s="969">
        <f>ROUND(E558*F558,2)</f>
        <v>283.5</v>
      </c>
      <c r="H558" s="964" t="s">
        <v>2313</v>
      </c>
    </row>
    <row r="559" spans="1:8" hidden="1">
      <c r="A559" s="967"/>
      <c r="B559" s="967"/>
      <c r="C559" s="1382" t="s">
        <v>69</v>
      </c>
      <c r="D559" s="967" t="s">
        <v>27</v>
      </c>
      <c r="E559" s="970">
        <v>1.05</v>
      </c>
      <c r="F559" s="990">
        <f>'MINI SSR 2022-23 (2)'!$H$4</f>
        <v>565</v>
      </c>
      <c r="G559" s="969">
        <f>ROUND(E559*F559,2)</f>
        <v>593.25</v>
      </c>
      <c r="H559" s="964" t="s">
        <v>2313</v>
      </c>
    </row>
    <row r="560" spans="1:8" hidden="1">
      <c r="A560" s="967"/>
      <c r="B560" s="967"/>
      <c r="C560" s="1382" t="s">
        <v>85</v>
      </c>
      <c r="D560" s="967" t="s">
        <v>27</v>
      </c>
      <c r="E560" s="970">
        <v>2.8</v>
      </c>
      <c r="F560" s="990">
        <f>'MINI SSR 2022-23 (2)'!$H$5</f>
        <v>525</v>
      </c>
      <c r="G560" s="969">
        <f>ROUND(E560*F560,2)</f>
        <v>1470</v>
      </c>
      <c r="H560" s="964" t="s">
        <v>2313</v>
      </c>
    </row>
    <row r="561" spans="1:8" hidden="1">
      <c r="A561" s="967"/>
      <c r="B561" s="967"/>
      <c r="C561" s="962" t="s">
        <v>88</v>
      </c>
      <c r="D561" s="967"/>
      <c r="E561" s="967"/>
      <c r="F561" s="967"/>
      <c r="G561" s="971">
        <f>SUM(G555:G560)</f>
        <v>3156.92</v>
      </c>
      <c r="H561" s="964" t="s">
        <v>2313</v>
      </c>
    </row>
    <row r="562" spans="1:8" hidden="1">
      <c r="A562" s="967"/>
      <c r="B562" s="967"/>
      <c r="C562" s="962"/>
      <c r="D562" s="967"/>
      <c r="E562" s="966" t="s">
        <v>161</v>
      </c>
      <c r="F562" s="966" t="s">
        <v>162</v>
      </c>
      <c r="G562" s="974" t="s">
        <v>162</v>
      </c>
      <c r="H562" s="964" t="s">
        <v>2313</v>
      </c>
    </row>
    <row r="563" spans="1:8" hidden="1">
      <c r="A563" s="967"/>
      <c r="B563" s="967"/>
      <c r="C563" s="962" t="s">
        <v>1273</v>
      </c>
      <c r="D563" s="967"/>
      <c r="E563" s="970">
        <f>G561</f>
        <v>3156.92</v>
      </c>
      <c r="F563" s="970">
        <f>G561</f>
        <v>3156.92</v>
      </c>
      <c r="G563" s="972">
        <f>G561</f>
        <v>3156.92</v>
      </c>
      <c r="H563" s="964" t="s">
        <v>2313</v>
      </c>
    </row>
    <row r="564" spans="1:8" ht="25.5" hidden="1">
      <c r="A564" s="967"/>
      <c r="B564" s="967"/>
      <c r="C564" s="1382" t="s">
        <v>1285</v>
      </c>
      <c r="D564" s="967"/>
      <c r="E564" s="967"/>
      <c r="F564" s="972">
        <f>(SUM(G558:G560)*10%)</f>
        <v>234.67500000000001</v>
      </c>
      <c r="G564" s="972">
        <f>(SUM(G558:G560)*20%)</f>
        <v>469.35</v>
      </c>
      <c r="H564" s="964" t="s">
        <v>2313</v>
      </c>
    </row>
    <row r="565" spans="1:8" hidden="1">
      <c r="A565" s="967"/>
      <c r="B565" s="967"/>
      <c r="C565" s="962" t="s">
        <v>88</v>
      </c>
      <c r="D565" s="967"/>
      <c r="E565" s="970">
        <f>SUM(E563:E564)</f>
        <v>3156.92</v>
      </c>
      <c r="F565" s="970">
        <f>SUM(F563:F564)</f>
        <v>3391.5950000000003</v>
      </c>
      <c r="G565" s="972">
        <f>SUM(G563:G564)</f>
        <v>3626.27</v>
      </c>
      <c r="H565" s="964" t="s">
        <v>2313</v>
      </c>
    </row>
    <row r="566" spans="1:8" hidden="1">
      <c r="A566" s="967"/>
      <c r="B566" s="967"/>
      <c r="C566" s="962" t="s">
        <v>121</v>
      </c>
      <c r="D566" s="967"/>
      <c r="E566" s="974">
        <f>ROUND(E565/10,2)</f>
        <v>315.69</v>
      </c>
      <c r="F566" s="974">
        <f>ROUND(F565/10,2)</f>
        <v>339.16</v>
      </c>
      <c r="G566" s="971">
        <f>ROUND(G565/10,2)</f>
        <v>362.63</v>
      </c>
      <c r="H566" s="964" t="s">
        <v>2313</v>
      </c>
    </row>
    <row r="567" spans="1:8" ht="102" hidden="1">
      <c r="A567" s="896">
        <v>39</v>
      </c>
      <c r="B567" s="966" t="s">
        <v>1312</v>
      </c>
      <c r="C567" s="1382" t="s">
        <v>899</v>
      </c>
      <c r="D567" s="967"/>
      <c r="E567" s="967"/>
      <c r="F567" s="967"/>
      <c r="G567" s="966" t="s">
        <v>148</v>
      </c>
      <c r="H567" s="964" t="s">
        <v>2313</v>
      </c>
    </row>
    <row r="568" spans="1:8" hidden="1">
      <c r="A568" s="896"/>
      <c r="B568" s="966"/>
      <c r="C568" s="962" t="s">
        <v>42</v>
      </c>
      <c r="D568" s="967"/>
      <c r="E568" s="967"/>
      <c r="F568" s="967"/>
      <c r="G568" s="972"/>
      <c r="H568" s="964" t="s">
        <v>2313</v>
      </c>
    </row>
    <row r="569" spans="1:8" hidden="1">
      <c r="A569" s="896"/>
      <c r="B569" s="966"/>
      <c r="C569" s="962" t="s">
        <v>60</v>
      </c>
      <c r="D569" s="967"/>
      <c r="E569" s="967"/>
      <c r="F569" s="967"/>
      <c r="G569" s="972"/>
      <c r="H569" s="964" t="s">
        <v>2313</v>
      </c>
    </row>
    <row r="570" spans="1:8" hidden="1">
      <c r="A570" s="896"/>
      <c r="B570" s="966"/>
      <c r="C570" s="1382" t="s">
        <v>43</v>
      </c>
      <c r="D570" s="967" t="s">
        <v>35</v>
      </c>
      <c r="E570" s="970">
        <v>0.21</v>
      </c>
      <c r="F570" s="970">
        <f>G24</f>
        <v>3139.8</v>
      </c>
      <c r="G570" s="969">
        <f>ROUND(E570*F570,2)</f>
        <v>659.36</v>
      </c>
      <c r="H570" s="964" t="s">
        <v>2313</v>
      </c>
    </row>
    <row r="571" spans="1:8" ht="25.5" hidden="1">
      <c r="A571" s="896"/>
      <c r="B571" s="966"/>
      <c r="C571" s="1382" t="s">
        <v>3624</v>
      </c>
      <c r="D571" s="967" t="s">
        <v>4</v>
      </c>
      <c r="E571" s="970">
        <v>2</v>
      </c>
      <c r="F571" s="970">
        <f>'MINI SSR 2022-23 (2)'!$C$44</f>
        <v>85</v>
      </c>
      <c r="G571" s="969">
        <f>ROUND(E571*F571,2)</f>
        <v>170</v>
      </c>
      <c r="H571" s="964" t="s">
        <v>2313</v>
      </c>
    </row>
    <row r="572" spans="1:8" hidden="1">
      <c r="A572" s="967"/>
      <c r="B572" s="967"/>
      <c r="C572" s="962" t="s">
        <v>68</v>
      </c>
      <c r="D572" s="967"/>
      <c r="E572" s="970"/>
      <c r="F572" s="970"/>
      <c r="G572" s="969"/>
      <c r="H572" s="964" t="s">
        <v>2313</v>
      </c>
    </row>
    <row r="573" spans="1:8" hidden="1">
      <c r="A573" s="967"/>
      <c r="B573" s="967"/>
      <c r="C573" s="1382" t="s">
        <v>64</v>
      </c>
      <c r="D573" s="967" t="s">
        <v>27</v>
      </c>
      <c r="E573" s="970">
        <v>0.66</v>
      </c>
      <c r="F573" s="990">
        <f>'MINI SSR 2022-23 (2)'!$H$3</f>
        <v>630</v>
      </c>
      <c r="G573" s="969">
        <f>ROUND(E573*F573,2)</f>
        <v>415.8</v>
      </c>
      <c r="H573" s="964" t="s">
        <v>2313</v>
      </c>
    </row>
    <row r="574" spans="1:8" hidden="1">
      <c r="A574" s="967"/>
      <c r="B574" s="967"/>
      <c r="C574" s="1382" t="s">
        <v>69</v>
      </c>
      <c r="D574" s="967" t="s">
        <v>27</v>
      </c>
      <c r="E574" s="970">
        <v>1.54</v>
      </c>
      <c r="F574" s="990">
        <f>'MINI SSR 2022-23 (2)'!$H$4</f>
        <v>565</v>
      </c>
      <c r="G574" s="969">
        <f>ROUND(E574*F574,2)</f>
        <v>870.1</v>
      </c>
      <c r="H574" s="964" t="s">
        <v>2313</v>
      </c>
    </row>
    <row r="575" spans="1:8" hidden="1">
      <c r="A575" s="967"/>
      <c r="B575" s="967"/>
      <c r="C575" s="1382" t="s">
        <v>85</v>
      </c>
      <c r="D575" s="967" t="s">
        <v>27</v>
      </c>
      <c r="E575" s="970">
        <v>3.7</v>
      </c>
      <c r="F575" s="990">
        <f>'MINI SSR 2022-23 (2)'!$H$5</f>
        <v>525</v>
      </c>
      <c r="G575" s="969">
        <f>ROUND(E575*F575,2)</f>
        <v>1942.5</v>
      </c>
      <c r="H575" s="964" t="s">
        <v>2313</v>
      </c>
    </row>
    <row r="576" spans="1:8" hidden="1">
      <c r="A576" s="967"/>
      <c r="B576" s="967"/>
      <c r="C576" s="962" t="s">
        <v>88</v>
      </c>
      <c r="D576" s="967"/>
      <c r="E576" s="967"/>
      <c r="F576" s="967"/>
      <c r="G576" s="971">
        <f>SUM(G570:G575)</f>
        <v>4057.76</v>
      </c>
      <c r="H576" s="964" t="s">
        <v>2313</v>
      </c>
    </row>
    <row r="577" spans="1:8" hidden="1">
      <c r="A577" s="967"/>
      <c r="B577" s="967"/>
      <c r="C577" s="962"/>
      <c r="D577" s="967"/>
      <c r="E577" s="966" t="s">
        <v>161</v>
      </c>
      <c r="F577" s="966" t="s">
        <v>162</v>
      </c>
      <c r="G577" s="974" t="s">
        <v>163</v>
      </c>
      <c r="H577" s="964" t="s">
        <v>2313</v>
      </c>
    </row>
    <row r="578" spans="1:8" hidden="1">
      <c r="A578" s="967"/>
      <c r="B578" s="967"/>
      <c r="C578" s="962" t="s">
        <v>1273</v>
      </c>
      <c r="D578" s="967"/>
      <c r="E578" s="970">
        <f>G576</f>
        <v>4057.76</v>
      </c>
      <c r="F578" s="970">
        <f>G576</f>
        <v>4057.76</v>
      </c>
      <c r="G578" s="972">
        <f>G576</f>
        <v>4057.76</v>
      </c>
      <c r="H578" s="964" t="s">
        <v>2313</v>
      </c>
    </row>
    <row r="579" spans="1:8" ht="25.5" hidden="1">
      <c r="A579" s="967"/>
      <c r="B579" s="967"/>
      <c r="C579" s="1382" t="s">
        <v>1285</v>
      </c>
      <c r="D579" s="967"/>
      <c r="E579" s="967"/>
      <c r="F579" s="972">
        <f>(SUM(G573:G575)*10%)</f>
        <v>322.84000000000003</v>
      </c>
      <c r="G579" s="972">
        <f>(SUM(G573:G575)*20%)</f>
        <v>645.68000000000006</v>
      </c>
      <c r="H579" s="964" t="s">
        <v>2313</v>
      </c>
    </row>
    <row r="580" spans="1:8" hidden="1">
      <c r="A580" s="967"/>
      <c r="B580" s="967"/>
      <c r="C580" s="962" t="s">
        <v>88</v>
      </c>
      <c r="D580" s="967"/>
      <c r="E580" s="970">
        <f>SUM(E578:E579)</f>
        <v>4057.76</v>
      </c>
      <c r="F580" s="970">
        <f>SUM(F578:F579)</f>
        <v>4380.6000000000004</v>
      </c>
      <c r="G580" s="972">
        <f>SUM(G578:G579)</f>
        <v>4703.4400000000005</v>
      </c>
      <c r="H580" s="964" t="s">
        <v>2313</v>
      </c>
    </row>
    <row r="581" spans="1:8" hidden="1">
      <c r="A581" s="967"/>
      <c r="B581" s="967"/>
      <c r="C581" s="962" t="s">
        <v>121</v>
      </c>
      <c r="D581" s="967"/>
      <c r="E581" s="974">
        <f>ROUND(E580/10,2)</f>
        <v>405.78</v>
      </c>
      <c r="F581" s="974">
        <f>ROUND(F580/10,2)</f>
        <v>438.06</v>
      </c>
      <c r="G581" s="971">
        <f>ROUND(G580/10,2)</f>
        <v>470.34</v>
      </c>
      <c r="H581" s="964" t="s">
        <v>2313</v>
      </c>
    </row>
    <row r="582" spans="1:8" ht="165.75" hidden="1">
      <c r="A582" s="896">
        <v>13</v>
      </c>
      <c r="B582" s="966" t="s">
        <v>666</v>
      </c>
      <c r="C582" s="1382" t="s">
        <v>665</v>
      </c>
      <c r="D582" s="967"/>
      <c r="E582" s="967"/>
      <c r="F582" s="967"/>
      <c r="G582" s="966" t="s">
        <v>666</v>
      </c>
      <c r="H582" s="964" t="s">
        <v>2313</v>
      </c>
    </row>
    <row r="583" spans="1:8" hidden="1">
      <c r="A583" s="896"/>
      <c r="B583" s="966"/>
      <c r="C583" s="962" t="s">
        <v>42</v>
      </c>
      <c r="D583" s="967"/>
      <c r="E583" s="967"/>
      <c r="F583" s="967"/>
      <c r="G583" s="972"/>
      <c r="H583" s="964" t="s">
        <v>2313</v>
      </c>
    </row>
    <row r="584" spans="1:8" hidden="1">
      <c r="A584" s="896"/>
      <c r="B584" s="966"/>
      <c r="C584" s="962" t="s">
        <v>60</v>
      </c>
      <c r="D584" s="967"/>
      <c r="E584" s="967"/>
      <c r="F584" s="967"/>
      <c r="G584" s="972"/>
      <c r="H584" s="964" t="s">
        <v>2313</v>
      </c>
    </row>
    <row r="585" spans="1:8" ht="25.5" hidden="1">
      <c r="A585" s="896"/>
      <c r="B585" s="966"/>
      <c r="C585" s="1382" t="s">
        <v>667</v>
      </c>
      <c r="D585" s="967" t="s">
        <v>77</v>
      </c>
      <c r="E585" s="970">
        <v>10.5</v>
      </c>
      <c r="F585" s="970">
        <f>'lead 22-23 P-B'!L22</f>
        <v>2257.7440000000001</v>
      </c>
      <c r="G585" s="969">
        <f>ROUND(E585*F585/1,2)</f>
        <v>23706.31</v>
      </c>
      <c r="H585" s="964" t="s">
        <v>2313</v>
      </c>
    </row>
    <row r="586" spans="1:8" hidden="1">
      <c r="A586" s="896"/>
      <c r="B586" s="966"/>
      <c r="C586" s="1382" t="s">
        <v>91</v>
      </c>
      <c r="D586" s="967" t="s">
        <v>4</v>
      </c>
      <c r="E586" s="970">
        <v>36</v>
      </c>
      <c r="F586" s="970">
        <f>'lead 22-23 P-B'!L8</f>
        <v>4700</v>
      </c>
      <c r="G586" s="969">
        <f>ROUND(E586*F586/1000,2)</f>
        <v>169.2</v>
      </c>
      <c r="H586" s="964" t="s">
        <v>2313</v>
      </c>
    </row>
    <row r="587" spans="1:8" hidden="1">
      <c r="A587" s="896"/>
      <c r="B587" s="966"/>
      <c r="C587" s="1382" t="s">
        <v>92</v>
      </c>
      <c r="D587" s="967" t="s">
        <v>4</v>
      </c>
      <c r="E587" s="970">
        <v>33</v>
      </c>
      <c r="F587" s="970">
        <f>F586</f>
        <v>4700</v>
      </c>
      <c r="G587" s="969">
        <f>ROUND(E587*F587/1000,2)</f>
        <v>155.1</v>
      </c>
      <c r="H587" s="964" t="s">
        <v>2313</v>
      </c>
    </row>
    <row r="588" spans="1:8" hidden="1">
      <c r="A588" s="896"/>
      <c r="B588" s="966"/>
      <c r="C588" s="1382" t="s">
        <v>93</v>
      </c>
      <c r="D588" s="967" t="s">
        <v>4</v>
      </c>
      <c r="E588" s="970">
        <v>6</v>
      </c>
      <c r="F588" s="970">
        <f>F587</f>
        <v>4700</v>
      </c>
      <c r="G588" s="969">
        <f>ROUND(E588*F588/1000,2)</f>
        <v>28.2</v>
      </c>
      <c r="H588" s="964" t="s">
        <v>2313</v>
      </c>
    </row>
    <row r="589" spans="1:8" hidden="1">
      <c r="A589" s="896"/>
      <c r="B589" s="966"/>
      <c r="C589" s="1382" t="s">
        <v>114</v>
      </c>
      <c r="D589" s="967" t="s">
        <v>35</v>
      </c>
      <c r="E589" s="970">
        <v>0.2</v>
      </c>
      <c r="F589" s="970">
        <f>'lead 22-23 P-B'!L12</f>
        <v>1815.9999999999998</v>
      </c>
      <c r="G589" s="969">
        <f>ROUND(E589*F589,2)</f>
        <v>363.2</v>
      </c>
      <c r="H589" s="964" t="s">
        <v>2313</v>
      </c>
    </row>
    <row r="590" spans="1:8" hidden="1">
      <c r="A590" s="967"/>
      <c r="B590" s="967"/>
      <c r="C590" s="962" t="s">
        <v>68</v>
      </c>
      <c r="D590" s="967"/>
      <c r="E590" s="970"/>
      <c r="F590" s="970"/>
      <c r="G590" s="969"/>
      <c r="H590" s="964" t="s">
        <v>2313</v>
      </c>
    </row>
    <row r="591" spans="1:8" hidden="1">
      <c r="A591" s="967"/>
      <c r="B591" s="967"/>
      <c r="C591" s="1382" t="s">
        <v>64</v>
      </c>
      <c r="D591" s="967" t="s">
        <v>27</v>
      </c>
      <c r="E591" s="970">
        <v>3</v>
      </c>
      <c r="F591" s="990">
        <f>'MINI SSR 2022-23 (2)'!$H$3</f>
        <v>630</v>
      </c>
      <c r="G591" s="969">
        <f>ROUND(E591*F591,2)</f>
        <v>1890</v>
      </c>
      <c r="H591" s="964" t="s">
        <v>2313</v>
      </c>
    </row>
    <row r="592" spans="1:8" hidden="1">
      <c r="A592" s="967"/>
      <c r="B592" s="967"/>
      <c r="C592" s="1382" t="s">
        <v>69</v>
      </c>
      <c r="D592" s="967" t="s">
        <v>27</v>
      </c>
      <c r="E592" s="970">
        <v>1</v>
      </c>
      <c r="F592" s="990">
        <f>'MINI SSR 2022-23 (2)'!$H$4</f>
        <v>565</v>
      </c>
      <c r="G592" s="969">
        <f>ROUND(E592*F592,2)</f>
        <v>565</v>
      </c>
      <c r="H592" s="964" t="s">
        <v>2313</v>
      </c>
    </row>
    <row r="593" spans="1:8" hidden="1">
      <c r="A593" s="967"/>
      <c r="B593" s="967"/>
      <c r="C593" s="1382" t="s">
        <v>85</v>
      </c>
      <c r="D593" s="967" t="s">
        <v>27</v>
      </c>
      <c r="E593" s="970">
        <v>8</v>
      </c>
      <c r="F593" s="990">
        <f>'MINI SSR 2022-23 (2)'!$H$5</f>
        <v>525</v>
      </c>
      <c r="G593" s="969">
        <f>ROUND(E593*F593,2)</f>
        <v>4200</v>
      </c>
      <c r="H593" s="964" t="s">
        <v>2313</v>
      </c>
    </row>
    <row r="594" spans="1:8" hidden="1">
      <c r="A594" s="967"/>
      <c r="B594" s="967"/>
      <c r="C594" s="1382" t="s">
        <v>895</v>
      </c>
      <c r="D594" s="967"/>
      <c r="E594" s="970">
        <v>0.01</v>
      </c>
      <c r="F594" s="970">
        <f>SUM(G586:G593)</f>
        <v>7370.7</v>
      </c>
      <c r="G594" s="969">
        <f>ROUND(E594*F594,2)</f>
        <v>73.709999999999994</v>
      </c>
      <c r="H594" s="964" t="s">
        <v>2313</v>
      </c>
    </row>
    <row r="595" spans="1:8" hidden="1">
      <c r="A595" s="967"/>
      <c r="B595" s="967"/>
      <c r="C595" s="962" t="s">
        <v>88</v>
      </c>
      <c r="D595" s="967"/>
      <c r="E595" s="967"/>
      <c r="F595" s="967"/>
      <c r="G595" s="971">
        <f>SUM(G585:G594)</f>
        <v>31150.720000000001</v>
      </c>
      <c r="H595" s="964" t="s">
        <v>2313</v>
      </c>
    </row>
    <row r="596" spans="1:8" hidden="1">
      <c r="A596" s="967"/>
      <c r="B596" s="967"/>
      <c r="C596" s="962"/>
      <c r="D596" s="967"/>
      <c r="E596" s="966" t="s">
        <v>161</v>
      </c>
      <c r="F596" s="966" t="s">
        <v>162</v>
      </c>
      <c r="G596" s="974" t="s">
        <v>163</v>
      </c>
      <c r="H596" s="964" t="s">
        <v>2313</v>
      </c>
    </row>
    <row r="597" spans="1:8" hidden="1">
      <c r="A597" s="967"/>
      <c r="B597" s="967"/>
      <c r="C597" s="962" t="s">
        <v>1273</v>
      </c>
      <c r="D597" s="967"/>
      <c r="E597" s="970">
        <f>G595</f>
        <v>31150.720000000001</v>
      </c>
      <c r="F597" s="970">
        <f>G595</f>
        <v>31150.720000000001</v>
      </c>
      <c r="G597" s="972">
        <f>G595</f>
        <v>31150.720000000001</v>
      </c>
      <c r="H597" s="964" t="s">
        <v>2313</v>
      </c>
    </row>
    <row r="598" spans="1:8" ht="25.5" hidden="1">
      <c r="A598" s="967"/>
      <c r="B598" s="967"/>
      <c r="C598" s="1382" t="s">
        <v>1285</v>
      </c>
      <c r="D598" s="967"/>
      <c r="E598" s="970"/>
      <c r="F598" s="972">
        <f>ROUND((G591+G592+G593)*0.1,2)</f>
        <v>665.5</v>
      </c>
      <c r="G598" s="972">
        <f>ROUND((G591+G592+G593)*0.2,2)</f>
        <v>1331</v>
      </c>
      <c r="H598" s="964" t="s">
        <v>2313</v>
      </c>
    </row>
    <row r="599" spans="1:8" hidden="1">
      <c r="A599" s="967"/>
      <c r="B599" s="967"/>
      <c r="C599" s="962" t="s">
        <v>88</v>
      </c>
      <c r="D599" s="967"/>
      <c r="E599" s="970">
        <f>SUM(E597:E598)</f>
        <v>31150.720000000001</v>
      </c>
      <c r="F599" s="972">
        <f>SUM(F597:F598)</f>
        <v>31816.22</v>
      </c>
      <c r="G599" s="972">
        <f>SUM(G597:G598)</f>
        <v>32481.72</v>
      </c>
      <c r="H599" s="964" t="s">
        <v>2313</v>
      </c>
    </row>
    <row r="600" spans="1:8" hidden="1">
      <c r="A600" s="967"/>
      <c r="B600" s="967"/>
      <c r="C600" s="962" t="s">
        <v>121</v>
      </c>
      <c r="D600" s="967"/>
      <c r="E600" s="974">
        <f>ROUND(E599/10,2)</f>
        <v>3115.07</v>
      </c>
      <c r="F600" s="974">
        <f>ROUND(F599/10,2)</f>
        <v>3181.62</v>
      </c>
      <c r="G600" s="971">
        <f>ROUND(G599/10,2)</f>
        <v>3248.17</v>
      </c>
      <c r="H600" s="964" t="s">
        <v>2313</v>
      </c>
    </row>
    <row r="601" spans="1:8" ht="153" hidden="1">
      <c r="A601" s="896">
        <v>14</v>
      </c>
      <c r="B601" s="966" t="s">
        <v>668</v>
      </c>
      <c r="C601" s="1382" t="s">
        <v>671</v>
      </c>
      <c r="D601" s="967"/>
      <c r="E601" s="967"/>
      <c r="F601" s="967"/>
      <c r="G601" s="966"/>
      <c r="H601" s="964" t="s">
        <v>2313</v>
      </c>
    </row>
    <row r="602" spans="1:8" hidden="1">
      <c r="A602" s="896"/>
      <c r="B602" s="966"/>
      <c r="C602" s="962" t="s">
        <v>42</v>
      </c>
      <c r="D602" s="967"/>
      <c r="E602" s="967"/>
      <c r="F602" s="967"/>
      <c r="G602" s="972"/>
      <c r="H602" s="964" t="s">
        <v>2313</v>
      </c>
    </row>
    <row r="603" spans="1:8" hidden="1">
      <c r="A603" s="896"/>
      <c r="B603" s="966"/>
      <c r="C603" s="962" t="s">
        <v>60</v>
      </c>
      <c r="D603" s="967"/>
      <c r="E603" s="967"/>
      <c r="F603" s="967"/>
      <c r="G603" s="972"/>
      <c r="H603" s="964" t="s">
        <v>2313</v>
      </c>
    </row>
    <row r="604" spans="1:8" ht="25.5" hidden="1">
      <c r="A604" s="896"/>
      <c r="B604" s="966"/>
      <c r="C604" s="1382" t="s">
        <v>667</v>
      </c>
      <c r="D604" s="967" t="s">
        <v>77</v>
      </c>
      <c r="E604" s="970">
        <v>10.5</v>
      </c>
      <c r="F604" s="970">
        <f>F585</f>
        <v>2257.7440000000001</v>
      </c>
      <c r="G604" s="969">
        <f>ROUND(E604*F604/1,2)</f>
        <v>23706.31</v>
      </c>
      <c r="H604" s="964" t="s">
        <v>2313</v>
      </c>
    </row>
    <row r="605" spans="1:8" hidden="1">
      <c r="A605" s="896"/>
      <c r="B605" s="966"/>
      <c r="C605" s="1382" t="s">
        <v>669</v>
      </c>
      <c r="D605" s="967" t="s">
        <v>35</v>
      </c>
      <c r="E605" s="970">
        <v>0.12</v>
      </c>
      <c r="F605" s="970">
        <f>F589</f>
        <v>1815.9999999999998</v>
      </c>
      <c r="G605" s="969">
        <f>ROUND(E605*F605,2)</f>
        <v>217.92</v>
      </c>
      <c r="H605" s="964" t="s">
        <v>2313</v>
      </c>
    </row>
    <row r="606" spans="1:8" hidden="1">
      <c r="A606" s="896"/>
      <c r="B606" s="966"/>
      <c r="C606" s="1382" t="s">
        <v>105</v>
      </c>
      <c r="D606" s="967" t="s">
        <v>4</v>
      </c>
      <c r="E606" s="970">
        <v>57.6</v>
      </c>
      <c r="F606" s="970">
        <f>F586</f>
        <v>4700</v>
      </c>
      <c r="G606" s="969">
        <f>ROUND(E606*F606/1000,2)</f>
        <v>270.72000000000003</v>
      </c>
      <c r="H606" s="964" t="s">
        <v>2313</v>
      </c>
    </row>
    <row r="607" spans="1:8" hidden="1">
      <c r="A607" s="896"/>
      <c r="B607" s="966"/>
      <c r="C607" s="1382" t="s">
        <v>92</v>
      </c>
      <c r="D607" s="967" t="s">
        <v>4</v>
      </c>
      <c r="E607" s="970">
        <v>33</v>
      </c>
      <c r="F607" s="970">
        <f>F587</f>
        <v>4700</v>
      </c>
      <c r="G607" s="969">
        <f>ROUND(E607*F607/1000,2)</f>
        <v>155.1</v>
      </c>
      <c r="H607" s="964" t="s">
        <v>2313</v>
      </c>
    </row>
    <row r="608" spans="1:8" hidden="1">
      <c r="A608" s="896"/>
      <c r="B608" s="966"/>
      <c r="C608" s="1382" t="s">
        <v>670</v>
      </c>
      <c r="D608" s="967" t="s">
        <v>4</v>
      </c>
      <c r="E608" s="970">
        <v>5</v>
      </c>
      <c r="F608" s="970">
        <f>'MINI SSR 2022-23 (2)'!C45</f>
        <v>27.95</v>
      </c>
      <c r="G608" s="969">
        <f>ROUND(E608*F608,2)</f>
        <v>139.75</v>
      </c>
      <c r="H608" s="964" t="s">
        <v>2313</v>
      </c>
    </row>
    <row r="609" spans="1:8" hidden="1">
      <c r="A609" s="967"/>
      <c r="B609" s="967"/>
      <c r="C609" s="962" t="s">
        <v>68</v>
      </c>
      <c r="D609" s="967"/>
      <c r="E609" s="970"/>
      <c r="F609" s="970"/>
      <c r="G609" s="969"/>
      <c r="H609" s="964" t="s">
        <v>2313</v>
      </c>
    </row>
    <row r="610" spans="1:8" hidden="1">
      <c r="A610" s="967"/>
      <c r="B610" s="967"/>
      <c r="C610" s="1382" t="s">
        <v>64</v>
      </c>
      <c r="D610" s="967" t="s">
        <v>27</v>
      </c>
      <c r="E610" s="970">
        <v>2.1</v>
      </c>
      <c r="F610" s="990">
        <f>'MINI SSR 2022-23 (2)'!$H$3</f>
        <v>630</v>
      </c>
      <c r="G610" s="969">
        <f>ROUND(E610*F610,2)</f>
        <v>1323</v>
      </c>
      <c r="H610" s="964" t="s">
        <v>2313</v>
      </c>
    </row>
    <row r="611" spans="1:8" hidden="1">
      <c r="A611" s="967"/>
      <c r="B611" s="967"/>
      <c r="C611" s="1382" t="s">
        <v>69</v>
      </c>
      <c r="D611" s="967" t="s">
        <v>27</v>
      </c>
      <c r="E611" s="970">
        <v>4.9000000000000004</v>
      </c>
      <c r="F611" s="990">
        <f>'MINI SSR 2022-23 (2)'!$H$4</f>
        <v>565</v>
      </c>
      <c r="G611" s="969">
        <f>ROUND(E611*F611,2)</f>
        <v>2768.5</v>
      </c>
      <c r="H611" s="964" t="s">
        <v>2313</v>
      </c>
    </row>
    <row r="612" spans="1:8" hidden="1">
      <c r="A612" s="967"/>
      <c r="B612" s="967"/>
      <c r="C612" s="1382" t="s">
        <v>85</v>
      </c>
      <c r="D612" s="967" t="s">
        <v>27</v>
      </c>
      <c r="E612" s="970">
        <v>0.8</v>
      </c>
      <c r="F612" s="990">
        <f>'MINI SSR 2022-23 (2)'!$H$5</f>
        <v>525</v>
      </c>
      <c r="G612" s="969">
        <f>ROUND(E612*F612,2)</f>
        <v>420</v>
      </c>
      <c r="H612" s="964" t="s">
        <v>2313</v>
      </c>
    </row>
    <row r="613" spans="1:8" hidden="1">
      <c r="A613" s="967"/>
      <c r="B613" s="967"/>
      <c r="C613" s="1382" t="s">
        <v>895</v>
      </c>
      <c r="D613" s="967"/>
      <c r="E613" s="970">
        <v>0.01</v>
      </c>
      <c r="F613" s="970">
        <f>SUM(G605:G612)</f>
        <v>5294.99</v>
      </c>
      <c r="G613" s="969">
        <f>ROUND(E613*F613,2)</f>
        <v>52.95</v>
      </c>
      <c r="H613" s="964" t="s">
        <v>2313</v>
      </c>
    </row>
    <row r="614" spans="1:8" hidden="1">
      <c r="A614" s="967"/>
      <c r="B614" s="967"/>
      <c r="C614" s="962" t="s">
        <v>88</v>
      </c>
      <c r="D614" s="967"/>
      <c r="E614" s="967"/>
      <c r="F614" s="967"/>
      <c r="G614" s="971">
        <f>SUM(G604:G613)</f>
        <v>29054.25</v>
      </c>
      <c r="H614" s="964" t="s">
        <v>2313</v>
      </c>
    </row>
    <row r="615" spans="1:8" hidden="1">
      <c r="A615" s="967"/>
      <c r="B615" s="967"/>
      <c r="C615" s="962"/>
      <c r="D615" s="967"/>
      <c r="E615" s="966" t="s">
        <v>161</v>
      </c>
      <c r="F615" s="966" t="s">
        <v>161</v>
      </c>
      <c r="G615" s="974" t="s">
        <v>162</v>
      </c>
      <c r="H615" s="964" t="s">
        <v>2313</v>
      </c>
    </row>
    <row r="616" spans="1:8" hidden="1">
      <c r="A616" s="967"/>
      <c r="B616" s="967"/>
      <c r="C616" s="962" t="s">
        <v>1273</v>
      </c>
      <c r="D616" s="967"/>
      <c r="E616" s="970">
        <f>G614</f>
        <v>29054.25</v>
      </c>
      <c r="F616" s="970">
        <f>G614</f>
        <v>29054.25</v>
      </c>
      <c r="G616" s="972">
        <f>G614</f>
        <v>29054.25</v>
      </c>
      <c r="H616" s="964" t="s">
        <v>2313</v>
      </c>
    </row>
    <row r="617" spans="1:8" hidden="1">
      <c r="A617" s="967"/>
      <c r="B617" s="967"/>
      <c r="C617" s="1382" t="s">
        <v>1348</v>
      </c>
      <c r="D617" s="967"/>
      <c r="E617" s="970"/>
      <c r="F617" s="972">
        <f>ROUND((G610+G611+G612)*0.1,2)</f>
        <v>451.15</v>
      </c>
      <c r="G617" s="972">
        <f>ROUND((G610+G611+G612)*0.2,2)</f>
        <v>902.3</v>
      </c>
      <c r="H617" s="964" t="s">
        <v>2313</v>
      </c>
    </row>
    <row r="618" spans="1:8" hidden="1">
      <c r="A618" s="967"/>
      <c r="B618" s="967"/>
      <c r="C618" s="962" t="s">
        <v>88</v>
      </c>
      <c r="D618" s="967"/>
      <c r="E618" s="970">
        <f>SUM(E616:E617)</f>
        <v>29054.25</v>
      </c>
      <c r="F618" s="970">
        <f>SUM(F616:F617)</f>
        <v>29505.4</v>
      </c>
      <c r="G618" s="972">
        <f>SUM(G616:G617)</f>
        <v>29956.55</v>
      </c>
      <c r="H618" s="964" t="s">
        <v>2313</v>
      </c>
    </row>
    <row r="619" spans="1:8" hidden="1">
      <c r="A619" s="967"/>
      <c r="B619" s="967"/>
      <c r="C619" s="962" t="s">
        <v>121</v>
      </c>
      <c r="D619" s="967"/>
      <c r="E619" s="974">
        <f>ROUND(E618/10,2)</f>
        <v>2905.43</v>
      </c>
      <c r="F619" s="974">
        <f>ROUND(F618/10,2)</f>
        <v>2950.54</v>
      </c>
      <c r="G619" s="971">
        <f>ROUND(G618/10,2)</f>
        <v>2995.66</v>
      </c>
      <c r="H619" s="964" t="s">
        <v>2313</v>
      </c>
    </row>
    <row r="620" spans="1:8" ht="38.25" hidden="1">
      <c r="A620" s="896">
        <v>42</v>
      </c>
      <c r="B620" s="966"/>
      <c r="C620" s="1382" t="s">
        <v>937</v>
      </c>
      <c r="D620" s="967"/>
      <c r="E620" s="967"/>
      <c r="F620" s="967"/>
      <c r="G620" s="902"/>
      <c r="H620" s="964" t="s">
        <v>2313</v>
      </c>
    </row>
    <row r="621" spans="1:8" hidden="1">
      <c r="A621" s="902"/>
      <c r="B621" s="902"/>
      <c r="C621" s="1382" t="s">
        <v>938</v>
      </c>
      <c r="D621" s="896" t="s">
        <v>277</v>
      </c>
      <c r="E621" s="920">
        <v>1</v>
      </c>
      <c r="F621" s="922">
        <f>'MINI SSR 2022-23 (2)'!C46</f>
        <v>453</v>
      </c>
      <c r="G621" s="969">
        <f>ROUND(E621*F621,2)</f>
        <v>453</v>
      </c>
      <c r="H621" s="964" t="s">
        <v>2313</v>
      </c>
    </row>
    <row r="622" spans="1:8" hidden="1">
      <c r="A622" s="902"/>
      <c r="B622" s="902"/>
      <c r="C622" s="962" t="s">
        <v>377</v>
      </c>
      <c r="D622" s="896"/>
      <c r="E622" s="922"/>
      <c r="F622" s="922"/>
      <c r="G622" s="963">
        <f>SUM(G621:G621)</f>
        <v>453</v>
      </c>
      <c r="H622" s="964" t="s">
        <v>2313</v>
      </c>
    </row>
    <row r="623" spans="1:8" ht="140.25" hidden="1">
      <c r="A623" s="896">
        <v>43</v>
      </c>
      <c r="B623" s="966" t="s">
        <v>674</v>
      </c>
      <c r="C623" s="1382" t="s">
        <v>673</v>
      </c>
      <c r="D623" s="967"/>
      <c r="E623" s="967"/>
      <c r="F623" s="967"/>
      <c r="G623" s="966"/>
      <c r="H623" s="964" t="s">
        <v>2313</v>
      </c>
    </row>
    <row r="624" spans="1:8" hidden="1">
      <c r="A624" s="896"/>
      <c r="B624" s="966"/>
      <c r="C624" s="962" t="s">
        <v>42</v>
      </c>
      <c r="D624" s="967"/>
      <c r="E624" s="967"/>
      <c r="F624" s="967"/>
      <c r="G624" s="972"/>
      <c r="H624" s="964" t="s">
        <v>2313</v>
      </c>
    </row>
    <row r="625" spans="1:8" hidden="1">
      <c r="A625" s="896"/>
      <c r="B625" s="966"/>
      <c r="C625" s="962" t="s">
        <v>60</v>
      </c>
      <c r="D625" s="967"/>
      <c r="E625" s="967"/>
      <c r="F625" s="967"/>
      <c r="G625" s="972"/>
      <c r="H625" s="964" t="s">
        <v>2313</v>
      </c>
    </row>
    <row r="626" spans="1:8" ht="25.5" hidden="1">
      <c r="A626" s="896"/>
      <c r="B626" s="966"/>
      <c r="C626" s="1382" t="s">
        <v>677</v>
      </c>
      <c r="D626" s="967" t="s">
        <v>77</v>
      </c>
      <c r="E626" s="970">
        <v>10.5</v>
      </c>
      <c r="F626" s="970">
        <f>'MINI SSR 2022-23 (2)'!C20</f>
        <v>315</v>
      </c>
      <c r="G626" s="969">
        <f>ROUND(E626*F626/1,2)</f>
        <v>3307.5</v>
      </c>
      <c r="H626" s="964" t="s">
        <v>2313</v>
      </c>
    </row>
    <row r="627" spans="1:8" hidden="1">
      <c r="A627" s="896"/>
      <c r="B627" s="966"/>
      <c r="C627" s="1382" t="s">
        <v>675</v>
      </c>
      <c r="D627" s="967" t="s">
        <v>4</v>
      </c>
      <c r="E627" s="970">
        <v>28.8</v>
      </c>
      <c r="F627" s="970">
        <f>F606</f>
        <v>4700</v>
      </c>
      <c r="G627" s="969">
        <f>ROUND(E627*F627/1000,2)</f>
        <v>135.36000000000001</v>
      </c>
      <c r="H627" s="964" t="s">
        <v>2313</v>
      </c>
    </row>
    <row r="628" spans="1:8" hidden="1">
      <c r="A628" s="896"/>
      <c r="B628" s="966"/>
      <c r="C628" s="1382" t="s">
        <v>92</v>
      </c>
      <c r="D628" s="967" t="s">
        <v>4</v>
      </c>
      <c r="E628" s="970">
        <v>33</v>
      </c>
      <c r="F628" s="970">
        <f>F627</f>
        <v>4700</v>
      </c>
      <c r="G628" s="969">
        <f>ROUND(E628*F628/1000,2)</f>
        <v>155.1</v>
      </c>
      <c r="H628" s="964" t="s">
        <v>2313</v>
      </c>
    </row>
    <row r="629" spans="1:8" hidden="1">
      <c r="A629" s="896"/>
      <c r="B629" s="966"/>
      <c r="C629" s="1382" t="s">
        <v>93</v>
      </c>
      <c r="D629" s="967" t="s">
        <v>4</v>
      </c>
      <c r="E629" s="970">
        <v>6</v>
      </c>
      <c r="F629" s="970">
        <f>F628</f>
        <v>4700</v>
      </c>
      <c r="G629" s="969">
        <f>ROUND(E629*F629/1000,2)</f>
        <v>28.2</v>
      </c>
      <c r="H629" s="964" t="s">
        <v>2313</v>
      </c>
    </row>
    <row r="630" spans="1:8" hidden="1">
      <c r="A630" s="896"/>
      <c r="B630" s="966"/>
      <c r="C630" s="1382" t="s">
        <v>676</v>
      </c>
      <c r="D630" s="967" t="s">
        <v>35</v>
      </c>
      <c r="E630" s="970">
        <v>0.12</v>
      </c>
      <c r="F630" s="970">
        <f>'lead 22-23 P-B'!L12</f>
        <v>1815.9999999999998</v>
      </c>
      <c r="G630" s="969">
        <f>ROUND(E630*F630,2)</f>
        <v>217.92</v>
      </c>
      <c r="H630" s="964" t="s">
        <v>2313</v>
      </c>
    </row>
    <row r="631" spans="1:8" hidden="1">
      <c r="A631" s="967"/>
      <c r="B631" s="967"/>
      <c r="C631" s="962" t="s">
        <v>68</v>
      </c>
      <c r="D631" s="967"/>
      <c r="E631" s="970"/>
      <c r="F631" s="970"/>
      <c r="G631" s="969"/>
      <c r="H631" s="964" t="s">
        <v>2313</v>
      </c>
    </row>
    <row r="632" spans="1:8" hidden="1">
      <c r="A632" s="967"/>
      <c r="B632" s="967"/>
      <c r="C632" s="1382" t="s">
        <v>69</v>
      </c>
      <c r="D632" s="967" t="s">
        <v>27</v>
      </c>
      <c r="E632" s="970">
        <v>0.96</v>
      </c>
      <c r="F632" s="990">
        <f>'MINI SSR 2022-23 (2)'!$H$3</f>
        <v>630</v>
      </c>
      <c r="G632" s="969">
        <f>ROUND(E632*F632,2)</f>
        <v>604.79999999999995</v>
      </c>
      <c r="H632" s="964" t="s">
        <v>2313</v>
      </c>
    </row>
    <row r="633" spans="1:8" hidden="1">
      <c r="A633" s="967"/>
      <c r="B633" s="967"/>
      <c r="C633" s="1382" t="s">
        <v>218</v>
      </c>
      <c r="D633" s="967" t="s">
        <v>27</v>
      </c>
      <c r="E633" s="970">
        <v>2.2400000000000002</v>
      </c>
      <c r="F633" s="990">
        <f>'MINI SSR 2022-23 (2)'!$H$4</f>
        <v>565</v>
      </c>
      <c r="G633" s="969">
        <f>ROUND(E633*F633,2)</f>
        <v>1265.5999999999999</v>
      </c>
      <c r="H633" s="964" t="s">
        <v>2313</v>
      </c>
    </row>
    <row r="634" spans="1:8" hidden="1">
      <c r="A634" s="967"/>
      <c r="B634" s="967"/>
      <c r="C634" s="1382" t="s">
        <v>85</v>
      </c>
      <c r="D634" s="967" t="s">
        <v>27</v>
      </c>
      <c r="E634" s="970">
        <v>3.3</v>
      </c>
      <c r="F634" s="990">
        <f>'MINI SSR 2022-23 (2)'!$H$5</f>
        <v>525</v>
      </c>
      <c r="G634" s="969">
        <f>ROUND(E634*F634,2)</f>
        <v>1732.5</v>
      </c>
      <c r="H634" s="964" t="s">
        <v>2313</v>
      </c>
    </row>
    <row r="635" spans="1:8" hidden="1">
      <c r="A635" s="967"/>
      <c r="B635" s="967"/>
      <c r="C635" s="962" t="s">
        <v>88</v>
      </c>
      <c r="D635" s="967"/>
      <c r="E635" s="967"/>
      <c r="F635" s="967"/>
      <c r="G635" s="971">
        <f>SUM(G626:G634)</f>
        <v>7446.98</v>
      </c>
      <c r="H635" s="964" t="s">
        <v>2313</v>
      </c>
    </row>
    <row r="636" spans="1:8" hidden="1">
      <c r="A636" s="967"/>
      <c r="B636" s="967"/>
      <c r="C636" s="962"/>
      <c r="D636" s="967"/>
      <c r="E636" s="966" t="s">
        <v>161</v>
      </c>
      <c r="F636" s="966" t="s">
        <v>162</v>
      </c>
      <c r="G636" s="974" t="s">
        <v>163</v>
      </c>
      <c r="H636" s="964" t="s">
        <v>2313</v>
      </c>
    </row>
    <row r="637" spans="1:8" hidden="1">
      <c r="A637" s="967"/>
      <c r="B637" s="967"/>
      <c r="C637" s="962" t="s">
        <v>1273</v>
      </c>
      <c r="D637" s="967"/>
      <c r="E637" s="970">
        <f>G635</f>
        <v>7446.98</v>
      </c>
      <c r="F637" s="970">
        <f>G635</f>
        <v>7446.98</v>
      </c>
      <c r="G637" s="972">
        <f>G635</f>
        <v>7446.98</v>
      </c>
      <c r="H637" s="964" t="s">
        <v>2313</v>
      </c>
    </row>
    <row r="638" spans="1:8" ht="25.5" hidden="1">
      <c r="A638" s="967"/>
      <c r="B638" s="967"/>
      <c r="C638" s="1382" t="s">
        <v>1285</v>
      </c>
      <c r="D638" s="967"/>
      <c r="E638" s="970"/>
      <c r="F638" s="972">
        <f>ROUND((G633+G632+G634)*0.1,2)</f>
        <v>360.29</v>
      </c>
      <c r="G638" s="972">
        <f>ROUND((G634+G632+G633)*0.2,2)</f>
        <v>720.58</v>
      </c>
      <c r="H638" s="964" t="s">
        <v>2313</v>
      </c>
    </row>
    <row r="639" spans="1:8" hidden="1">
      <c r="A639" s="967"/>
      <c r="B639" s="967"/>
      <c r="C639" s="962" t="s">
        <v>88</v>
      </c>
      <c r="D639" s="967"/>
      <c r="E639" s="970">
        <f>SUM(E637:E638)</f>
        <v>7446.98</v>
      </c>
      <c r="F639" s="970">
        <f>SUM(F637:F638)</f>
        <v>7807.2699999999995</v>
      </c>
      <c r="G639" s="972">
        <f>SUM(G637:G638)</f>
        <v>8167.5599999999995</v>
      </c>
      <c r="H639" s="964" t="s">
        <v>2313</v>
      </c>
    </row>
    <row r="640" spans="1:8" hidden="1">
      <c r="A640" s="967"/>
      <c r="B640" s="967"/>
      <c r="C640" s="962" t="s">
        <v>121</v>
      </c>
      <c r="D640" s="967"/>
      <c r="E640" s="974">
        <f>ROUND(E639/10,2)</f>
        <v>744.7</v>
      </c>
      <c r="F640" s="974">
        <f>ROUND(F639/10,2)</f>
        <v>780.73</v>
      </c>
      <c r="G640" s="971">
        <f>ROUND(G639/10,2)</f>
        <v>816.76</v>
      </c>
      <c r="H640" s="964" t="s">
        <v>2313</v>
      </c>
    </row>
    <row r="641" spans="1:8" ht="127.5" hidden="1">
      <c r="A641" s="896">
        <v>44</v>
      </c>
      <c r="B641" s="966" t="s">
        <v>199</v>
      </c>
      <c r="C641" s="1382" t="s">
        <v>679</v>
      </c>
      <c r="D641" s="967"/>
      <c r="E641" s="967"/>
      <c r="F641" s="967"/>
      <c r="G641" s="966"/>
      <c r="H641" s="964" t="s">
        <v>2313</v>
      </c>
    </row>
    <row r="642" spans="1:8" hidden="1">
      <c r="A642" s="896"/>
      <c r="B642" s="966"/>
      <c r="C642" s="962" t="s">
        <v>42</v>
      </c>
      <c r="D642" s="967"/>
      <c r="E642" s="967"/>
      <c r="F642" s="967"/>
      <c r="G642" s="972"/>
      <c r="H642" s="964" t="s">
        <v>2313</v>
      </c>
    </row>
    <row r="643" spans="1:8" hidden="1">
      <c r="A643" s="896"/>
      <c r="B643" s="966"/>
      <c r="C643" s="962" t="s">
        <v>60</v>
      </c>
      <c r="D643" s="967"/>
      <c r="E643" s="967"/>
      <c r="F643" s="967"/>
      <c r="G643" s="972"/>
      <c r="H643" s="964" t="s">
        <v>2313</v>
      </c>
    </row>
    <row r="644" spans="1:8" ht="25.5" hidden="1">
      <c r="A644" s="896"/>
      <c r="B644" s="966"/>
      <c r="C644" s="1382" t="s">
        <v>677</v>
      </c>
      <c r="D644" s="967" t="s">
        <v>77</v>
      </c>
      <c r="E644" s="970">
        <v>10.5</v>
      </c>
      <c r="F644" s="970">
        <f>'MINI SSR 2022-23 (2)'!C20</f>
        <v>315</v>
      </c>
      <c r="G644" s="969">
        <f>ROUND(E644*F644/1,2)</f>
        <v>3307.5</v>
      </c>
      <c r="H644" s="964" t="s">
        <v>2313</v>
      </c>
    </row>
    <row r="645" spans="1:8" hidden="1">
      <c r="A645" s="896"/>
      <c r="B645" s="966"/>
      <c r="C645" s="1382" t="s">
        <v>200</v>
      </c>
      <c r="D645" s="967" t="s">
        <v>35</v>
      </c>
      <c r="E645" s="970">
        <v>0.12</v>
      </c>
      <c r="F645" s="970">
        <f>F630</f>
        <v>1815.9999999999998</v>
      </c>
      <c r="G645" s="969">
        <f>ROUND(E645*F645,2)</f>
        <v>217.92</v>
      </c>
      <c r="H645" s="964" t="s">
        <v>2313</v>
      </c>
    </row>
    <row r="646" spans="1:8" hidden="1">
      <c r="A646" s="896"/>
      <c r="B646" s="966"/>
      <c r="C646" s="1382" t="s">
        <v>201</v>
      </c>
      <c r="D646" s="967" t="s">
        <v>4</v>
      </c>
      <c r="E646" s="970">
        <v>34.56</v>
      </c>
      <c r="F646" s="970">
        <f>F627</f>
        <v>4700</v>
      </c>
      <c r="G646" s="969">
        <f>ROUND(E646*F646/1000,2)</f>
        <v>162.43</v>
      </c>
      <c r="H646" s="964" t="s">
        <v>2313</v>
      </c>
    </row>
    <row r="647" spans="1:8" hidden="1">
      <c r="A647" s="896"/>
      <c r="B647" s="966"/>
      <c r="C647" s="1382" t="s">
        <v>202</v>
      </c>
      <c r="D647" s="967" t="s">
        <v>4</v>
      </c>
      <c r="E647" s="970">
        <v>33</v>
      </c>
      <c r="F647" s="970">
        <f>F646</f>
        <v>4700</v>
      </c>
      <c r="G647" s="969">
        <f>ROUND(E647*F647/1000,2)</f>
        <v>155.1</v>
      </c>
      <c r="H647" s="964" t="s">
        <v>2313</v>
      </c>
    </row>
    <row r="648" spans="1:8" hidden="1">
      <c r="A648" s="896"/>
      <c r="B648" s="966"/>
      <c r="C648" s="1382" t="s">
        <v>204</v>
      </c>
      <c r="D648" s="967" t="s">
        <v>4</v>
      </c>
      <c r="E648" s="970">
        <v>2</v>
      </c>
      <c r="F648" s="970">
        <f>'MINI SSR 2022-23 (2)'!C45</f>
        <v>27.95</v>
      </c>
      <c r="G648" s="969">
        <f>ROUND(E648*F648,2)</f>
        <v>55.9</v>
      </c>
      <c r="H648" s="964" t="s">
        <v>2313</v>
      </c>
    </row>
    <row r="649" spans="1:8" hidden="1">
      <c r="A649" s="967"/>
      <c r="B649" s="967"/>
      <c r="C649" s="962" t="s">
        <v>68</v>
      </c>
      <c r="D649" s="967"/>
      <c r="E649" s="970"/>
      <c r="F649" s="970"/>
      <c r="G649" s="969"/>
      <c r="H649" s="964" t="s">
        <v>2313</v>
      </c>
    </row>
    <row r="650" spans="1:8" hidden="1">
      <c r="A650" s="967"/>
      <c r="B650" s="967"/>
      <c r="C650" s="1382" t="s">
        <v>64</v>
      </c>
      <c r="D650" s="967" t="s">
        <v>27</v>
      </c>
      <c r="E650" s="970">
        <v>0.96</v>
      </c>
      <c r="F650" s="990">
        <f>'MINI SSR 2022-23 (2)'!$H$3</f>
        <v>630</v>
      </c>
      <c r="G650" s="969">
        <f>ROUND(E650*F650,2)</f>
        <v>604.79999999999995</v>
      </c>
      <c r="H650" s="964" t="s">
        <v>2313</v>
      </c>
    </row>
    <row r="651" spans="1:8" hidden="1">
      <c r="A651" s="967"/>
      <c r="B651" s="967"/>
      <c r="C651" s="1382" t="s">
        <v>69</v>
      </c>
      <c r="D651" s="967" t="s">
        <v>27</v>
      </c>
      <c r="E651" s="970">
        <v>2.2400000000000002</v>
      </c>
      <c r="F651" s="990">
        <f>'MINI SSR 2022-23 (2)'!$H$4</f>
        <v>565</v>
      </c>
      <c r="G651" s="969">
        <f>ROUND(E651*F651,2)</f>
        <v>1265.5999999999999</v>
      </c>
      <c r="H651" s="964" t="s">
        <v>2313</v>
      </c>
    </row>
    <row r="652" spans="1:8" hidden="1">
      <c r="A652" s="967"/>
      <c r="B652" s="967"/>
      <c r="C652" s="1382" t="s">
        <v>85</v>
      </c>
      <c r="D652" s="967" t="s">
        <v>27</v>
      </c>
      <c r="E652" s="970">
        <v>3.3</v>
      </c>
      <c r="F652" s="990">
        <f>'MINI SSR 2022-23 (2)'!$H$5</f>
        <v>525</v>
      </c>
      <c r="G652" s="969">
        <f>ROUND(E652*F652,2)</f>
        <v>1732.5</v>
      </c>
      <c r="H652" s="964" t="s">
        <v>2313</v>
      </c>
    </row>
    <row r="653" spans="1:8" hidden="1">
      <c r="A653" s="967"/>
      <c r="B653" s="967"/>
      <c r="C653" s="962" t="s">
        <v>88</v>
      </c>
      <c r="D653" s="967"/>
      <c r="E653" s="967"/>
      <c r="F653" s="967"/>
      <c r="G653" s="971">
        <f>SUM(G644:G652)</f>
        <v>7501.75</v>
      </c>
      <c r="H653" s="964" t="s">
        <v>2313</v>
      </c>
    </row>
    <row r="654" spans="1:8" hidden="1">
      <c r="A654" s="967"/>
      <c r="B654" s="967"/>
      <c r="C654" s="962"/>
      <c r="D654" s="967"/>
      <c r="E654" s="966" t="s">
        <v>161</v>
      </c>
      <c r="F654" s="966" t="s">
        <v>162</v>
      </c>
      <c r="G654" s="974" t="s">
        <v>163</v>
      </c>
      <c r="H654" s="964" t="s">
        <v>2313</v>
      </c>
    </row>
    <row r="655" spans="1:8" hidden="1">
      <c r="A655" s="967"/>
      <c r="B655" s="967"/>
      <c r="C655" s="962" t="s">
        <v>1274</v>
      </c>
      <c r="D655" s="967"/>
      <c r="E655" s="970">
        <f>G653</f>
        <v>7501.75</v>
      </c>
      <c r="F655" s="970">
        <f>G653</f>
        <v>7501.75</v>
      </c>
      <c r="G655" s="972">
        <f>G653</f>
        <v>7501.75</v>
      </c>
      <c r="H655" s="964" t="s">
        <v>2313</v>
      </c>
    </row>
    <row r="656" spans="1:8" ht="25.5" hidden="1">
      <c r="A656" s="967"/>
      <c r="B656" s="967"/>
      <c r="C656" s="1382" t="s">
        <v>170</v>
      </c>
      <c r="D656" s="967"/>
      <c r="E656" s="970"/>
      <c r="F656" s="972">
        <f>ROUND((G651+G650+G652)*0.1,2)</f>
        <v>360.29</v>
      </c>
      <c r="G656" s="972">
        <f>ROUND((G652+G650+G651)*0.2,2)</f>
        <v>720.58</v>
      </c>
      <c r="H656" s="964" t="s">
        <v>2313</v>
      </c>
    </row>
    <row r="657" spans="1:8" hidden="1">
      <c r="A657" s="967"/>
      <c r="B657" s="967"/>
      <c r="C657" s="962" t="s">
        <v>194</v>
      </c>
      <c r="D657" s="967"/>
      <c r="E657" s="970">
        <f>SUM(E655:E656)</f>
        <v>7501.75</v>
      </c>
      <c r="F657" s="970">
        <f>SUM(F655:F656)</f>
        <v>7862.04</v>
      </c>
      <c r="G657" s="972">
        <f>SUM(G655:G656)</f>
        <v>8222.33</v>
      </c>
      <c r="H657" s="964" t="s">
        <v>2313</v>
      </c>
    </row>
    <row r="658" spans="1:8" hidden="1">
      <c r="A658" s="967"/>
      <c r="B658" s="967"/>
      <c r="C658" s="962" t="s">
        <v>181</v>
      </c>
      <c r="D658" s="967"/>
      <c r="E658" s="974">
        <f>ROUND(E657/10,2)</f>
        <v>750.18</v>
      </c>
      <c r="F658" s="974">
        <f>ROUND(F657/10,2)</f>
        <v>786.2</v>
      </c>
      <c r="G658" s="971">
        <f>ROUND(G657/10,2)</f>
        <v>822.23</v>
      </c>
      <c r="H658" s="964" t="s">
        <v>2313</v>
      </c>
    </row>
    <row r="659" spans="1:8" ht="165.75" hidden="1">
      <c r="A659" s="896">
        <v>3</v>
      </c>
      <c r="B659" s="966" t="s">
        <v>195</v>
      </c>
      <c r="C659" s="1382" t="s">
        <v>212</v>
      </c>
      <c r="D659" s="967"/>
      <c r="E659" s="967"/>
      <c r="F659" s="967"/>
      <c r="G659" s="966"/>
      <c r="H659" s="964" t="s">
        <v>2313</v>
      </c>
    </row>
    <row r="660" spans="1:8" hidden="1">
      <c r="A660" s="896"/>
      <c r="B660" s="966"/>
      <c r="C660" s="962" t="s">
        <v>42</v>
      </c>
      <c r="D660" s="967"/>
      <c r="E660" s="967"/>
      <c r="F660" s="967"/>
      <c r="G660" s="972"/>
      <c r="H660" s="964" t="s">
        <v>2313</v>
      </c>
    </row>
    <row r="661" spans="1:8" hidden="1">
      <c r="A661" s="896"/>
      <c r="B661" s="966"/>
      <c r="C661" s="962" t="s">
        <v>60</v>
      </c>
      <c r="D661" s="967"/>
      <c r="E661" s="967"/>
      <c r="F661" s="967"/>
      <c r="G661" s="972"/>
      <c r="H661" s="964" t="s">
        <v>2313</v>
      </c>
    </row>
    <row r="662" spans="1:8" hidden="1">
      <c r="A662" s="896"/>
      <c r="B662" s="966"/>
      <c r="C662" s="1382" t="s">
        <v>203</v>
      </c>
      <c r="D662" s="967" t="s">
        <v>77</v>
      </c>
      <c r="E662" s="970">
        <v>10.5</v>
      </c>
      <c r="F662" s="970">
        <f>'MINI SSR 2022-23 (2)'!C21</f>
        <v>612</v>
      </c>
      <c r="G662" s="969">
        <f>ROUND(E662*F662,2)</f>
        <v>6426</v>
      </c>
      <c r="H662" s="964" t="s">
        <v>2313</v>
      </c>
    </row>
    <row r="663" spans="1:8" hidden="1">
      <c r="A663" s="896"/>
      <c r="B663" s="966"/>
      <c r="C663" s="1382" t="s">
        <v>91</v>
      </c>
      <c r="D663" s="967" t="s">
        <v>4</v>
      </c>
      <c r="E663" s="970">
        <v>21.6</v>
      </c>
      <c r="F663" s="970">
        <f>'lead 22-23 P-B'!L8</f>
        <v>4700</v>
      </c>
      <c r="G663" s="969">
        <f>ROUND(E663*F663/1000,2)</f>
        <v>101.52</v>
      </c>
      <c r="H663" s="964" t="s">
        <v>2313</v>
      </c>
    </row>
    <row r="664" spans="1:8" hidden="1">
      <c r="A664" s="896"/>
      <c r="B664" s="966"/>
      <c r="C664" s="1382" t="s">
        <v>92</v>
      </c>
      <c r="D664" s="967" t="s">
        <v>4</v>
      </c>
      <c r="E664" s="970">
        <v>33</v>
      </c>
      <c r="F664" s="970">
        <f>F663</f>
        <v>4700</v>
      </c>
      <c r="G664" s="969">
        <f>ROUND(E664*F664/1000,2)</f>
        <v>155.1</v>
      </c>
      <c r="H664" s="964" t="s">
        <v>2313</v>
      </c>
    </row>
    <row r="665" spans="1:8" hidden="1">
      <c r="A665" s="896"/>
      <c r="B665" s="966"/>
      <c r="C665" s="1382" t="s">
        <v>196</v>
      </c>
      <c r="D665" s="967" t="s">
        <v>4</v>
      </c>
      <c r="E665" s="970">
        <v>6</v>
      </c>
      <c r="F665" s="970">
        <f>F664</f>
        <v>4700</v>
      </c>
      <c r="G665" s="969">
        <f>ROUND(E665*F665/1000,2)</f>
        <v>28.2</v>
      </c>
      <c r="H665" s="964" t="s">
        <v>2313</v>
      </c>
    </row>
    <row r="666" spans="1:8" hidden="1">
      <c r="A666" s="896"/>
      <c r="B666" s="966"/>
      <c r="C666" s="1382" t="s">
        <v>197</v>
      </c>
      <c r="D666" s="967" t="s">
        <v>35</v>
      </c>
      <c r="E666" s="970">
        <v>0.12</v>
      </c>
      <c r="F666" s="970">
        <f>'lead 22-23 P-B'!L12</f>
        <v>1815.9999999999998</v>
      </c>
      <c r="G666" s="969">
        <f>ROUND(E666*F666,2)</f>
        <v>217.92</v>
      </c>
      <c r="H666" s="964" t="s">
        <v>2313</v>
      </c>
    </row>
    <row r="667" spans="1:8" hidden="1">
      <c r="A667" s="896"/>
      <c r="B667" s="966"/>
      <c r="C667" s="1382" t="s">
        <v>198</v>
      </c>
      <c r="D667" s="967" t="s">
        <v>35</v>
      </c>
      <c r="E667" s="970">
        <v>0.02</v>
      </c>
      <c r="F667" s="970">
        <f>F666</f>
        <v>1815.9999999999998</v>
      </c>
      <c r="G667" s="969">
        <f>ROUND(E667*F667,2)</f>
        <v>36.32</v>
      </c>
      <c r="H667" s="964" t="s">
        <v>2313</v>
      </c>
    </row>
    <row r="668" spans="1:8" hidden="1">
      <c r="A668" s="967"/>
      <c r="B668" s="967"/>
      <c r="C668" s="962" t="s">
        <v>68</v>
      </c>
      <c r="D668" s="967"/>
      <c r="E668" s="970"/>
      <c r="F668" s="970"/>
      <c r="G668" s="969"/>
      <c r="H668" s="964" t="s">
        <v>2313</v>
      </c>
    </row>
    <row r="669" spans="1:8" hidden="1">
      <c r="A669" s="967"/>
      <c r="B669" s="967"/>
      <c r="C669" s="1382" t="s">
        <v>64</v>
      </c>
      <c r="D669" s="967" t="s">
        <v>27</v>
      </c>
      <c r="E669" s="970">
        <v>0.96</v>
      </c>
      <c r="F669" s="990">
        <f>'MINI SSR 2022-23 (2)'!$H$3</f>
        <v>630</v>
      </c>
      <c r="G669" s="969">
        <f>ROUND(E669*F669,2)</f>
        <v>604.79999999999995</v>
      </c>
      <c r="H669" s="964" t="s">
        <v>2313</v>
      </c>
    </row>
    <row r="670" spans="1:8" hidden="1">
      <c r="A670" s="967"/>
      <c r="B670" s="967"/>
      <c r="C670" s="1382" t="s">
        <v>69</v>
      </c>
      <c r="D670" s="967" t="s">
        <v>27</v>
      </c>
      <c r="E670" s="970">
        <v>2.2400000000000002</v>
      </c>
      <c r="F670" s="990">
        <f>'MINI SSR 2022-23 (2)'!$H$4</f>
        <v>565</v>
      </c>
      <c r="G670" s="969">
        <f>ROUND(E670*F670,2)</f>
        <v>1265.5999999999999</v>
      </c>
      <c r="H670" s="964" t="s">
        <v>2313</v>
      </c>
    </row>
    <row r="671" spans="1:8" hidden="1">
      <c r="A671" s="967"/>
      <c r="B671" s="967"/>
      <c r="C671" s="1382" t="s">
        <v>85</v>
      </c>
      <c r="D671" s="967" t="s">
        <v>27</v>
      </c>
      <c r="E671" s="970">
        <v>3.3</v>
      </c>
      <c r="F671" s="990">
        <f>'MINI SSR 2022-23 (2)'!$H$5</f>
        <v>525</v>
      </c>
      <c r="G671" s="969">
        <f>ROUND(E671*F671,2)</f>
        <v>1732.5</v>
      </c>
      <c r="H671" s="964" t="s">
        <v>2313</v>
      </c>
    </row>
    <row r="672" spans="1:8" hidden="1">
      <c r="A672" s="967"/>
      <c r="B672" s="967"/>
      <c r="C672" s="1382" t="s">
        <v>1220</v>
      </c>
      <c r="D672" s="967"/>
      <c r="E672" s="970">
        <v>0.01</v>
      </c>
      <c r="F672" s="970">
        <f>SUM(G662:G671)</f>
        <v>10567.960000000001</v>
      </c>
      <c r="G672" s="969">
        <f>ROUND(E672*F672,2)</f>
        <v>105.68</v>
      </c>
      <c r="H672" s="964" t="s">
        <v>2313</v>
      </c>
    </row>
    <row r="673" spans="1:8" hidden="1">
      <c r="A673" s="967"/>
      <c r="B673" s="967"/>
      <c r="C673" s="962" t="s">
        <v>88</v>
      </c>
      <c r="D673" s="967"/>
      <c r="E673" s="967"/>
      <c r="F673" s="967"/>
      <c r="G673" s="971">
        <f>SUM(G662:G672)</f>
        <v>10673.640000000001</v>
      </c>
      <c r="H673" s="964" t="s">
        <v>2313</v>
      </c>
    </row>
    <row r="674" spans="1:8" hidden="1">
      <c r="A674" s="967"/>
      <c r="B674" s="967"/>
      <c r="C674" s="962"/>
      <c r="D674" s="967"/>
      <c r="E674" s="966" t="s">
        <v>161</v>
      </c>
      <c r="F674" s="966" t="s">
        <v>162</v>
      </c>
      <c r="G674" s="974" t="s">
        <v>163</v>
      </c>
      <c r="H674" s="964" t="s">
        <v>2313</v>
      </c>
    </row>
    <row r="675" spans="1:8" hidden="1">
      <c r="A675" s="967"/>
      <c r="B675" s="967"/>
      <c r="C675" s="962" t="s">
        <v>1274</v>
      </c>
      <c r="D675" s="967"/>
      <c r="E675" s="970">
        <f>G673</f>
        <v>10673.640000000001</v>
      </c>
      <c r="F675" s="970">
        <f>G673</f>
        <v>10673.640000000001</v>
      </c>
      <c r="G675" s="972">
        <f>G673</f>
        <v>10673.640000000001</v>
      </c>
      <c r="H675" s="964" t="s">
        <v>2313</v>
      </c>
    </row>
    <row r="676" spans="1:8" ht="25.5" hidden="1">
      <c r="A676" s="967"/>
      <c r="B676" s="967"/>
      <c r="C676" s="1382" t="s">
        <v>170</v>
      </c>
      <c r="D676" s="967"/>
      <c r="E676" s="967"/>
      <c r="F676" s="970">
        <f>ROUND((G669+G670+G671)*0.1,2)</f>
        <v>360.29</v>
      </c>
      <c r="G676" s="975">
        <f>ROUND((G669+G670+G671)*0.2,2)</f>
        <v>720.58</v>
      </c>
      <c r="H676" s="964" t="s">
        <v>2313</v>
      </c>
    </row>
    <row r="677" spans="1:8" hidden="1">
      <c r="A677" s="967"/>
      <c r="B677" s="967"/>
      <c r="C677" s="962" t="s">
        <v>194</v>
      </c>
      <c r="D677" s="967"/>
      <c r="E677" s="974">
        <f>SUM(E675:E676)</f>
        <v>10673.640000000001</v>
      </c>
      <c r="F677" s="974">
        <f>SUM(F675:F676)</f>
        <v>11033.930000000002</v>
      </c>
      <c r="G677" s="971">
        <f>SUM(G675:G676)</f>
        <v>11394.220000000001</v>
      </c>
      <c r="H677" s="964" t="s">
        <v>2313</v>
      </c>
    </row>
    <row r="678" spans="1:8" hidden="1">
      <c r="A678" s="967"/>
      <c r="B678" s="967"/>
      <c r="C678" s="962" t="s">
        <v>181</v>
      </c>
      <c r="D678" s="967"/>
      <c r="E678" s="974">
        <f>ROUND(E677/10,2)</f>
        <v>1067.3599999999999</v>
      </c>
      <c r="F678" s="974">
        <f>ROUND(F677/10,2)</f>
        <v>1103.3900000000001</v>
      </c>
      <c r="G678" s="971">
        <f>ROUND(G677/10,2)</f>
        <v>1139.42</v>
      </c>
      <c r="H678" s="964" t="s">
        <v>2313</v>
      </c>
    </row>
    <row r="679" spans="1:8" ht="127.5" hidden="1">
      <c r="A679" s="896">
        <v>4</v>
      </c>
      <c r="B679" s="966" t="s">
        <v>199</v>
      </c>
      <c r="C679" s="1382" t="s">
        <v>213</v>
      </c>
      <c r="D679" s="967"/>
      <c r="E679" s="967"/>
      <c r="F679" s="967"/>
      <c r="G679" s="966"/>
      <c r="H679" s="964" t="s">
        <v>2313</v>
      </c>
    </row>
    <row r="680" spans="1:8" hidden="1">
      <c r="A680" s="896"/>
      <c r="B680" s="966"/>
      <c r="C680" s="962" t="s">
        <v>42</v>
      </c>
      <c r="D680" s="967"/>
      <c r="E680" s="967"/>
      <c r="F680" s="967"/>
      <c r="G680" s="972"/>
      <c r="H680" s="964" t="s">
        <v>2313</v>
      </c>
    </row>
    <row r="681" spans="1:8" hidden="1">
      <c r="A681" s="896"/>
      <c r="B681" s="966"/>
      <c r="C681" s="962" t="s">
        <v>60</v>
      </c>
      <c r="D681" s="967"/>
      <c r="E681" s="967"/>
      <c r="F681" s="967"/>
      <c r="G681" s="972"/>
      <c r="H681" s="964" t="s">
        <v>2313</v>
      </c>
    </row>
    <row r="682" spans="1:8" hidden="1">
      <c r="A682" s="896"/>
      <c r="B682" s="966"/>
      <c r="C682" s="1382" t="s">
        <v>203</v>
      </c>
      <c r="D682" s="967" t="s">
        <v>77</v>
      </c>
      <c r="E682" s="970">
        <v>10.5</v>
      </c>
      <c r="F682" s="970">
        <f>'MINI SSR 2022-23 (2)'!C21</f>
        <v>612</v>
      </c>
      <c r="G682" s="969">
        <f>ROUND(E682*F682,2)</f>
        <v>6426</v>
      </c>
      <c r="H682" s="964" t="s">
        <v>2313</v>
      </c>
    </row>
    <row r="683" spans="1:8" hidden="1">
      <c r="A683" s="896"/>
      <c r="B683" s="966"/>
      <c r="C683" s="1382" t="s">
        <v>200</v>
      </c>
      <c r="D683" s="967" t="s">
        <v>35</v>
      </c>
      <c r="E683" s="970">
        <v>0.12</v>
      </c>
      <c r="F683" s="970">
        <f>'lead 22-23 P-B'!L12</f>
        <v>1815.9999999999998</v>
      </c>
      <c r="G683" s="969">
        <f>ROUND(E683*F683,2)</f>
        <v>217.92</v>
      </c>
      <c r="H683" s="964" t="s">
        <v>2313</v>
      </c>
    </row>
    <row r="684" spans="1:8" hidden="1">
      <c r="A684" s="896"/>
      <c r="B684" s="966"/>
      <c r="C684" s="1382" t="s">
        <v>201</v>
      </c>
      <c r="D684" s="967" t="s">
        <v>4</v>
      </c>
      <c r="E684" s="970">
        <v>34.56</v>
      </c>
      <c r="F684" s="970">
        <f>'lead 22-23 P-B'!L8</f>
        <v>4700</v>
      </c>
      <c r="G684" s="969">
        <f>ROUND(E684*F684/1000,2)</f>
        <v>162.43</v>
      </c>
      <c r="H684" s="964" t="s">
        <v>2313</v>
      </c>
    </row>
    <row r="685" spans="1:8" hidden="1">
      <c r="A685" s="896"/>
      <c r="B685" s="966"/>
      <c r="C685" s="1382" t="s">
        <v>202</v>
      </c>
      <c r="D685" s="967" t="s">
        <v>4</v>
      </c>
      <c r="E685" s="970">
        <v>33</v>
      </c>
      <c r="F685" s="970">
        <f>F684</f>
        <v>4700</v>
      </c>
      <c r="G685" s="969">
        <f>ROUND(E685*F685/1000,2)</f>
        <v>155.1</v>
      </c>
      <c r="H685" s="964" t="s">
        <v>2313</v>
      </c>
    </row>
    <row r="686" spans="1:8" hidden="1">
      <c r="A686" s="896"/>
      <c r="B686" s="966"/>
      <c r="C686" s="1382" t="s">
        <v>204</v>
      </c>
      <c r="D686" s="967" t="s">
        <v>4</v>
      </c>
      <c r="E686" s="970">
        <v>2</v>
      </c>
      <c r="F686" s="970">
        <f>'MINI SSR 2022-23 (2)'!C45</f>
        <v>27.95</v>
      </c>
      <c r="G686" s="969">
        <f>ROUND(E686*F686,2)</f>
        <v>55.9</v>
      </c>
      <c r="H686" s="964" t="s">
        <v>2313</v>
      </c>
    </row>
    <row r="687" spans="1:8" hidden="1">
      <c r="A687" s="967"/>
      <c r="B687" s="967"/>
      <c r="C687" s="962" t="s">
        <v>68</v>
      </c>
      <c r="D687" s="967"/>
      <c r="E687" s="970"/>
      <c r="F687" s="970"/>
      <c r="G687" s="969"/>
      <c r="H687" s="964" t="s">
        <v>2313</v>
      </c>
    </row>
    <row r="688" spans="1:8" hidden="1">
      <c r="A688" s="967"/>
      <c r="B688" s="967"/>
      <c r="C688" s="1382" t="s">
        <v>64</v>
      </c>
      <c r="D688" s="967" t="s">
        <v>27</v>
      </c>
      <c r="E688" s="970">
        <v>0.96</v>
      </c>
      <c r="F688" s="990">
        <f>'MINI SSR 2022-23 (2)'!$H$3</f>
        <v>630</v>
      </c>
      <c r="G688" s="969">
        <f>ROUND(E688*F688,2)</f>
        <v>604.79999999999995</v>
      </c>
      <c r="H688" s="964" t="s">
        <v>2313</v>
      </c>
    </row>
    <row r="689" spans="1:8" hidden="1">
      <c r="A689" s="967"/>
      <c r="B689" s="967"/>
      <c r="C689" s="1382" t="s">
        <v>69</v>
      </c>
      <c r="D689" s="967" t="s">
        <v>27</v>
      </c>
      <c r="E689" s="970">
        <v>2.2400000000000002</v>
      </c>
      <c r="F689" s="990">
        <f>'MINI SSR 2022-23 (2)'!$H$4</f>
        <v>565</v>
      </c>
      <c r="G689" s="969">
        <f>ROUND(E689*F689,2)</f>
        <v>1265.5999999999999</v>
      </c>
      <c r="H689" s="964" t="s">
        <v>2313</v>
      </c>
    </row>
    <row r="690" spans="1:8" hidden="1">
      <c r="A690" s="967"/>
      <c r="B690" s="967"/>
      <c r="C690" s="1382" t="s">
        <v>85</v>
      </c>
      <c r="D690" s="967" t="s">
        <v>27</v>
      </c>
      <c r="E690" s="970">
        <v>3.3</v>
      </c>
      <c r="F690" s="990">
        <f>'MINI SSR 2022-23 (2)'!$H$5</f>
        <v>525</v>
      </c>
      <c r="G690" s="969">
        <f>ROUND(E690*F690,2)</f>
        <v>1732.5</v>
      </c>
      <c r="H690" s="964" t="s">
        <v>2313</v>
      </c>
    </row>
    <row r="691" spans="1:8" hidden="1">
      <c r="A691" s="967"/>
      <c r="B691" s="967"/>
      <c r="C691" s="962" t="s">
        <v>88</v>
      </c>
      <c r="D691" s="967"/>
      <c r="E691" s="967"/>
      <c r="F691" s="967"/>
      <c r="G691" s="971">
        <f>SUM(G682:G690)</f>
        <v>10620.25</v>
      </c>
      <c r="H691" s="964" t="s">
        <v>2313</v>
      </c>
    </row>
    <row r="692" spans="1:8" hidden="1">
      <c r="A692" s="967"/>
      <c r="B692" s="967"/>
      <c r="C692" s="962"/>
      <c r="D692" s="967"/>
      <c r="E692" s="966" t="s">
        <v>161</v>
      </c>
      <c r="F692" s="966" t="s">
        <v>162</v>
      </c>
      <c r="G692" s="974" t="s">
        <v>163</v>
      </c>
      <c r="H692" s="964" t="s">
        <v>2313</v>
      </c>
    </row>
    <row r="693" spans="1:8" hidden="1">
      <c r="A693" s="967"/>
      <c r="B693" s="967"/>
      <c r="C693" s="962" t="s">
        <v>1274</v>
      </c>
      <c r="D693" s="967"/>
      <c r="E693" s="970">
        <f>G691</f>
        <v>10620.25</v>
      </c>
      <c r="F693" s="970">
        <f>G691</f>
        <v>10620.25</v>
      </c>
      <c r="G693" s="972">
        <f>G691</f>
        <v>10620.25</v>
      </c>
      <c r="H693" s="964" t="s">
        <v>2313</v>
      </c>
    </row>
    <row r="694" spans="1:8" ht="25.5" hidden="1">
      <c r="A694" s="967"/>
      <c r="B694" s="967"/>
      <c r="C694" s="1382" t="s">
        <v>170</v>
      </c>
      <c r="D694" s="967"/>
      <c r="E694" s="967"/>
      <c r="F694" s="970">
        <f>ROUND((G688+G689+G690)*0.1,2)</f>
        <v>360.29</v>
      </c>
      <c r="G694" s="975">
        <f>ROUND((G688+G689+G690)*0.2,2)</f>
        <v>720.58</v>
      </c>
      <c r="H694" s="964" t="s">
        <v>2313</v>
      </c>
    </row>
    <row r="695" spans="1:8" hidden="1">
      <c r="A695" s="967"/>
      <c r="B695" s="967"/>
      <c r="C695" s="962" t="s">
        <v>194</v>
      </c>
      <c r="D695" s="967"/>
      <c r="E695" s="974">
        <f>SUM(E693:E694)</f>
        <v>10620.25</v>
      </c>
      <c r="F695" s="974">
        <f>SUM(F693:F694)</f>
        <v>10980.54</v>
      </c>
      <c r="G695" s="971">
        <f>SUM(G693:G694)</f>
        <v>11340.83</v>
      </c>
      <c r="H695" s="964" t="s">
        <v>2313</v>
      </c>
    </row>
    <row r="696" spans="1:8" hidden="1">
      <c r="A696" s="967"/>
      <c r="B696" s="967"/>
      <c r="C696" s="962" t="s">
        <v>181</v>
      </c>
      <c r="D696" s="967"/>
      <c r="E696" s="974">
        <f>ROUND(E695/10,2)</f>
        <v>1062.03</v>
      </c>
      <c r="F696" s="974">
        <f>ROUND(F695/10,2)</f>
        <v>1098.05</v>
      </c>
      <c r="G696" s="971">
        <f>ROUND(G695/10,2)</f>
        <v>1134.08</v>
      </c>
      <c r="H696" s="964" t="s">
        <v>2313</v>
      </c>
    </row>
    <row r="697" spans="1:8" ht="140.25" hidden="1">
      <c r="A697" s="896">
        <v>5</v>
      </c>
      <c r="B697" s="966" t="s">
        <v>205</v>
      </c>
      <c r="C697" s="1382" t="s">
        <v>211</v>
      </c>
      <c r="D697" s="967"/>
      <c r="E697" s="967"/>
      <c r="F697" s="967"/>
      <c r="G697" s="966"/>
      <c r="H697" s="964" t="s">
        <v>2313</v>
      </c>
    </row>
    <row r="698" spans="1:8" hidden="1">
      <c r="A698" s="896"/>
      <c r="B698" s="966"/>
      <c r="C698" s="962" t="s">
        <v>42</v>
      </c>
      <c r="D698" s="967"/>
      <c r="E698" s="967"/>
      <c r="F698" s="967"/>
      <c r="G698" s="972"/>
      <c r="H698" s="964" t="s">
        <v>2313</v>
      </c>
    </row>
    <row r="699" spans="1:8" hidden="1">
      <c r="A699" s="896"/>
      <c r="B699" s="966"/>
      <c r="C699" s="962" t="s">
        <v>60</v>
      </c>
      <c r="D699" s="967"/>
      <c r="E699" s="967"/>
      <c r="F699" s="967"/>
      <c r="G699" s="972"/>
      <c r="H699" s="964" t="s">
        <v>2313</v>
      </c>
    </row>
    <row r="700" spans="1:8" hidden="1">
      <c r="A700" s="896"/>
      <c r="B700" s="966"/>
      <c r="C700" s="1382" t="s">
        <v>206</v>
      </c>
      <c r="D700" s="967" t="s">
        <v>77</v>
      </c>
      <c r="E700" s="970">
        <v>10.5</v>
      </c>
      <c r="F700" s="970">
        <f>'MINI SSR 2022-23 (2)'!C22</f>
        <v>370</v>
      </c>
      <c r="G700" s="969">
        <f>ROUND(E700*F700,2)</f>
        <v>3885</v>
      </c>
      <c r="H700" s="964" t="s">
        <v>2313</v>
      </c>
    </row>
    <row r="701" spans="1:8" hidden="1">
      <c r="A701" s="896"/>
      <c r="B701" s="966"/>
      <c r="C701" s="1382" t="s">
        <v>91</v>
      </c>
      <c r="D701" s="967" t="s">
        <v>4</v>
      </c>
      <c r="E701" s="970">
        <v>21.6</v>
      </c>
      <c r="F701" s="970">
        <f>'lead 22-23 P-B'!L8</f>
        <v>4700</v>
      </c>
      <c r="G701" s="969">
        <f>ROUND(E701*F701/1000,2)</f>
        <v>101.52</v>
      </c>
      <c r="H701" s="964" t="s">
        <v>2313</v>
      </c>
    </row>
    <row r="702" spans="1:8" hidden="1">
      <c r="A702" s="896"/>
      <c r="B702" s="966"/>
      <c r="C702" s="1382" t="s">
        <v>92</v>
      </c>
      <c r="D702" s="967" t="s">
        <v>4</v>
      </c>
      <c r="E702" s="970">
        <v>33</v>
      </c>
      <c r="F702" s="970">
        <f>F701</f>
        <v>4700</v>
      </c>
      <c r="G702" s="969">
        <f>ROUND(E702*F702/1000,2)</f>
        <v>155.1</v>
      </c>
      <c r="H702" s="964" t="s">
        <v>2313</v>
      </c>
    </row>
    <row r="703" spans="1:8" hidden="1">
      <c r="A703" s="896"/>
      <c r="B703" s="966"/>
      <c r="C703" s="1382" t="s">
        <v>204</v>
      </c>
      <c r="D703" s="967" t="s">
        <v>4</v>
      </c>
      <c r="E703" s="970">
        <v>2</v>
      </c>
      <c r="F703" s="970">
        <f>F686</f>
        <v>27.95</v>
      </c>
      <c r="G703" s="969">
        <f>ROUND(E703*F703,2)</f>
        <v>55.9</v>
      </c>
      <c r="H703" s="964" t="s">
        <v>2313</v>
      </c>
    </row>
    <row r="704" spans="1:8" hidden="1">
      <c r="A704" s="896"/>
      <c r="B704" s="966"/>
      <c r="C704" s="1382" t="s">
        <v>114</v>
      </c>
      <c r="D704" s="967" t="s">
        <v>35</v>
      </c>
      <c r="E704" s="970">
        <v>0.12</v>
      </c>
      <c r="F704" s="970">
        <f>'lead 22-23 P-B'!L12</f>
        <v>1815.9999999999998</v>
      </c>
      <c r="G704" s="969">
        <f>ROUND(E704*F704,2)</f>
        <v>217.92</v>
      </c>
      <c r="H704" s="964" t="s">
        <v>2313</v>
      </c>
    </row>
    <row r="705" spans="1:8" hidden="1">
      <c r="A705" s="967"/>
      <c r="B705" s="967"/>
      <c r="C705" s="962" t="s">
        <v>68</v>
      </c>
      <c r="D705" s="967"/>
      <c r="E705" s="970"/>
      <c r="F705" s="970"/>
      <c r="G705" s="969"/>
      <c r="H705" s="964" t="s">
        <v>2313</v>
      </c>
    </row>
    <row r="706" spans="1:8" hidden="1">
      <c r="A706" s="967"/>
      <c r="B706" s="967"/>
      <c r="C706" s="1382" t="s">
        <v>64</v>
      </c>
      <c r="D706" s="967" t="s">
        <v>27</v>
      </c>
      <c r="E706" s="970">
        <v>0.96</v>
      </c>
      <c r="F706" s="990">
        <f>'MINI SSR 2022-23 (2)'!$H$3</f>
        <v>630</v>
      </c>
      <c r="G706" s="969">
        <f>ROUND(E706*F706,2)</f>
        <v>604.79999999999995</v>
      </c>
      <c r="H706" s="964" t="s">
        <v>2313</v>
      </c>
    </row>
    <row r="707" spans="1:8" hidden="1">
      <c r="A707" s="967"/>
      <c r="B707" s="967"/>
      <c r="C707" s="1382" t="s">
        <v>69</v>
      </c>
      <c r="D707" s="967" t="s">
        <v>27</v>
      </c>
      <c r="E707" s="970">
        <v>2.2400000000000002</v>
      </c>
      <c r="F707" s="990">
        <f>'MINI SSR 2022-23 (2)'!$H$4</f>
        <v>565</v>
      </c>
      <c r="G707" s="969">
        <f>ROUND(E707*F707,2)</f>
        <v>1265.5999999999999</v>
      </c>
      <c r="H707" s="964" t="s">
        <v>2313</v>
      </c>
    </row>
    <row r="708" spans="1:8" hidden="1">
      <c r="A708" s="967"/>
      <c r="B708" s="967"/>
      <c r="C708" s="1382" t="s">
        <v>85</v>
      </c>
      <c r="D708" s="967" t="s">
        <v>27</v>
      </c>
      <c r="E708" s="970">
        <v>3.3</v>
      </c>
      <c r="F708" s="990">
        <f>'MINI SSR 2022-23 (2)'!$H$5</f>
        <v>525</v>
      </c>
      <c r="G708" s="969">
        <f>ROUND(E708*F708,2)</f>
        <v>1732.5</v>
      </c>
      <c r="H708" s="964" t="s">
        <v>2313</v>
      </c>
    </row>
    <row r="709" spans="1:8" hidden="1">
      <c r="A709" s="967"/>
      <c r="B709" s="967"/>
      <c r="C709" s="962" t="s">
        <v>88</v>
      </c>
      <c r="D709" s="967"/>
      <c r="E709" s="967"/>
      <c r="F709" s="967"/>
      <c r="G709" s="971">
        <f>SUM(G700:G708)</f>
        <v>8018.34</v>
      </c>
      <c r="H709" s="964" t="s">
        <v>2313</v>
      </c>
    </row>
    <row r="710" spans="1:8" hidden="1">
      <c r="A710" s="967"/>
      <c r="B710" s="967"/>
      <c r="C710" s="962"/>
      <c r="D710" s="967"/>
      <c r="E710" s="966" t="s">
        <v>161</v>
      </c>
      <c r="F710" s="966" t="s">
        <v>162</v>
      </c>
      <c r="G710" s="974" t="s">
        <v>163</v>
      </c>
      <c r="H710" s="964" t="s">
        <v>2313</v>
      </c>
    </row>
    <row r="711" spans="1:8" hidden="1">
      <c r="A711" s="967"/>
      <c r="B711" s="967"/>
      <c r="C711" s="962" t="s">
        <v>1274</v>
      </c>
      <c r="D711" s="967"/>
      <c r="E711" s="970">
        <f>G709</f>
        <v>8018.34</v>
      </c>
      <c r="F711" s="970">
        <f>G709</f>
        <v>8018.34</v>
      </c>
      <c r="G711" s="972">
        <f>G709</f>
        <v>8018.34</v>
      </c>
      <c r="H711" s="964" t="s">
        <v>2313</v>
      </c>
    </row>
    <row r="712" spans="1:8" ht="25.5" hidden="1">
      <c r="A712" s="967"/>
      <c r="B712" s="967"/>
      <c r="C712" s="1382" t="s">
        <v>170</v>
      </c>
      <c r="D712" s="967"/>
      <c r="E712" s="967"/>
      <c r="F712" s="970">
        <f>ROUND((G706+G707+G708)*0.1,2)</f>
        <v>360.29</v>
      </c>
      <c r="G712" s="975">
        <f>ROUND((G706+G707+G708)*0.2,2)</f>
        <v>720.58</v>
      </c>
      <c r="H712" s="964" t="s">
        <v>2313</v>
      </c>
    </row>
    <row r="713" spans="1:8" hidden="1">
      <c r="A713" s="967"/>
      <c r="B713" s="967"/>
      <c r="C713" s="962" t="s">
        <v>194</v>
      </c>
      <c r="D713" s="967"/>
      <c r="E713" s="974">
        <f>SUM(E711:E712)</f>
        <v>8018.34</v>
      </c>
      <c r="F713" s="974">
        <f>SUM(F711:F712)</f>
        <v>8378.630000000001</v>
      </c>
      <c r="G713" s="971">
        <f>SUM(G711:G712)</f>
        <v>8738.92</v>
      </c>
      <c r="H713" s="964" t="s">
        <v>2313</v>
      </c>
    </row>
    <row r="714" spans="1:8" hidden="1">
      <c r="A714" s="967"/>
      <c r="B714" s="967"/>
      <c r="C714" s="962" t="s">
        <v>181</v>
      </c>
      <c r="D714" s="967"/>
      <c r="E714" s="974">
        <f>ROUND(E713/10,2)</f>
        <v>801.83</v>
      </c>
      <c r="F714" s="974">
        <f>ROUND(F713/10,2)</f>
        <v>837.86</v>
      </c>
      <c r="G714" s="971">
        <f>ROUND(G713/10,2)</f>
        <v>873.89</v>
      </c>
      <c r="H714" s="964" t="s">
        <v>2313</v>
      </c>
    </row>
    <row r="715" spans="1:8" ht="127.5" hidden="1">
      <c r="A715" s="896">
        <v>6</v>
      </c>
      <c r="B715" s="966" t="s">
        <v>207</v>
      </c>
      <c r="C715" s="1382" t="s">
        <v>214</v>
      </c>
      <c r="D715" s="967"/>
      <c r="E715" s="967"/>
      <c r="F715" s="967"/>
      <c r="G715" s="966"/>
      <c r="H715" s="964" t="s">
        <v>2313</v>
      </c>
    </row>
    <row r="716" spans="1:8" hidden="1">
      <c r="A716" s="896"/>
      <c r="B716" s="966"/>
      <c r="C716" s="962" t="s">
        <v>42</v>
      </c>
      <c r="D716" s="967"/>
      <c r="E716" s="967"/>
      <c r="F716" s="967"/>
      <c r="G716" s="972"/>
      <c r="H716" s="964" t="s">
        <v>2313</v>
      </c>
    </row>
    <row r="717" spans="1:8" hidden="1">
      <c r="A717" s="896"/>
      <c r="B717" s="966"/>
      <c r="C717" s="962" t="s">
        <v>60</v>
      </c>
      <c r="D717" s="966"/>
      <c r="E717" s="966"/>
      <c r="F717" s="966"/>
      <c r="G717" s="972"/>
      <c r="H717" s="964" t="s">
        <v>2313</v>
      </c>
    </row>
    <row r="718" spans="1:8" hidden="1">
      <c r="A718" s="896"/>
      <c r="B718" s="966"/>
      <c r="C718" s="1382" t="s">
        <v>208</v>
      </c>
      <c r="D718" s="967" t="s">
        <v>77</v>
      </c>
      <c r="E718" s="970">
        <v>10.5</v>
      </c>
      <c r="F718" s="970">
        <f>'MINI SSR 2022-23 (2)'!C23</f>
        <v>330</v>
      </c>
      <c r="G718" s="969">
        <f>ROUND(E718*F718,2)</f>
        <v>3465</v>
      </c>
      <c r="H718" s="964" t="s">
        <v>2313</v>
      </c>
    </row>
    <row r="719" spans="1:8" hidden="1">
      <c r="A719" s="896"/>
      <c r="B719" s="966"/>
      <c r="C719" s="1382" t="s">
        <v>209</v>
      </c>
      <c r="D719" s="967" t="s">
        <v>35</v>
      </c>
      <c r="E719" s="970">
        <v>0.12</v>
      </c>
      <c r="F719" s="970">
        <f>'lead 22-23 P-B'!L12</f>
        <v>1815.9999999999998</v>
      </c>
      <c r="G719" s="924">
        <f>ROUND(E719*F719,2)</f>
        <v>217.92</v>
      </c>
      <c r="H719" s="964" t="s">
        <v>2313</v>
      </c>
    </row>
    <row r="720" spans="1:8" hidden="1">
      <c r="A720" s="896"/>
      <c r="B720" s="966"/>
      <c r="C720" s="1382" t="s">
        <v>210</v>
      </c>
      <c r="D720" s="967" t="s">
        <v>4</v>
      </c>
      <c r="E720" s="970">
        <v>57.6</v>
      </c>
      <c r="F720" s="970">
        <f>'lead 22-23 P-B'!L8</f>
        <v>4700</v>
      </c>
      <c r="G720" s="924">
        <f>ROUND(E720*F720/1000,2)</f>
        <v>270.72000000000003</v>
      </c>
      <c r="H720" s="964" t="s">
        <v>2313</v>
      </c>
    </row>
    <row r="721" spans="1:8" hidden="1">
      <c r="A721" s="896"/>
      <c r="B721" s="966"/>
      <c r="C721" s="1382" t="s">
        <v>202</v>
      </c>
      <c r="D721" s="967" t="s">
        <v>4</v>
      </c>
      <c r="E721" s="970">
        <v>33</v>
      </c>
      <c r="F721" s="970">
        <f>F720</f>
        <v>4700</v>
      </c>
      <c r="G721" s="924">
        <f>ROUND(E721*F721/1000,2)</f>
        <v>155.1</v>
      </c>
      <c r="H721" s="964" t="s">
        <v>2313</v>
      </c>
    </row>
    <row r="722" spans="1:8" hidden="1">
      <c r="A722" s="896"/>
      <c r="B722" s="966"/>
      <c r="C722" s="1382" t="s">
        <v>215</v>
      </c>
      <c r="D722" s="967" t="s">
        <v>4</v>
      </c>
      <c r="E722" s="970">
        <v>6</v>
      </c>
      <c r="F722" s="970">
        <f>F686</f>
        <v>27.95</v>
      </c>
      <c r="G722" s="924">
        <f>ROUND(E722*F722,2)</f>
        <v>167.7</v>
      </c>
      <c r="H722" s="964" t="s">
        <v>2313</v>
      </c>
    </row>
    <row r="723" spans="1:8" hidden="1">
      <c r="A723" s="967"/>
      <c r="B723" s="967"/>
      <c r="C723" s="962" t="s">
        <v>68</v>
      </c>
      <c r="D723" s="967"/>
      <c r="E723" s="970"/>
      <c r="F723" s="970"/>
      <c r="G723" s="924"/>
      <c r="H723" s="964" t="s">
        <v>2313</v>
      </c>
    </row>
    <row r="724" spans="1:8" hidden="1">
      <c r="A724" s="967"/>
      <c r="B724" s="967"/>
      <c r="C724" s="1382" t="s">
        <v>64</v>
      </c>
      <c r="D724" s="967" t="s">
        <v>27</v>
      </c>
      <c r="E724" s="970">
        <v>0.77</v>
      </c>
      <c r="F724" s="990">
        <f>'MINI SSR 2022-23 (2)'!$H$3</f>
        <v>630</v>
      </c>
      <c r="G724" s="924">
        <f>ROUND(E724*F724,2)</f>
        <v>485.1</v>
      </c>
      <c r="H724" s="964" t="s">
        <v>2313</v>
      </c>
    </row>
    <row r="725" spans="1:8" hidden="1">
      <c r="A725" s="967"/>
      <c r="B725" s="967"/>
      <c r="C725" s="1382" t="s">
        <v>85</v>
      </c>
      <c r="D725" s="967" t="s">
        <v>27</v>
      </c>
      <c r="E725" s="970">
        <v>0.8</v>
      </c>
      <c r="F725" s="990">
        <f>'MINI SSR 2022-23 (2)'!$H$5</f>
        <v>525</v>
      </c>
      <c r="G725" s="924">
        <f>ROUND(E725*F725,2)</f>
        <v>420</v>
      </c>
      <c r="H725" s="964" t="s">
        <v>2313</v>
      </c>
    </row>
    <row r="726" spans="1:8" hidden="1">
      <c r="A726" s="967"/>
      <c r="B726" s="967"/>
      <c r="C726" s="962" t="s">
        <v>88</v>
      </c>
      <c r="D726" s="967"/>
      <c r="E726" s="967"/>
      <c r="F726" s="967"/>
      <c r="G726" s="971">
        <f>SUM(G718:G725)</f>
        <v>5181.5400000000009</v>
      </c>
      <c r="H726" s="964" t="s">
        <v>2313</v>
      </c>
    </row>
    <row r="727" spans="1:8" hidden="1">
      <c r="A727" s="967"/>
      <c r="B727" s="967"/>
      <c r="C727" s="962"/>
      <c r="D727" s="967"/>
      <c r="E727" s="966" t="s">
        <v>161</v>
      </c>
      <c r="F727" s="966" t="s">
        <v>162</v>
      </c>
      <c r="G727" s="974" t="s">
        <v>163</v>
      </c>
      <c r="H727" s="964" t="s">
        <v>2313</v>
      </c>
    </row>
    <row r="728" spans="1:8" hidden="1">
      <c r="A728" s="967"/>
      <c r="B728" s="967"/>
      <c r="C728" s="962" t="s">
        <v>1274</v>
      </c>
      <c r="D728" s="967"/>
      <c r="E728" s="970">
        <f>G726</f>
        <v>5181.5400000000009</v>
      </c>
      <c r="F728" s="970">
        <f>G726</f>
        <v>5181.5400000000009</v>
      </c>
      <c r="G728" s="972">
        <f>G726</f>
        <v>5181.5400000000009</v>
      </c>
      <c r="H728" s="964" t="s">
        <v>2313</v>
      </c>
    </row>
    <row r="729" spans="1:8" ht="25.5" hidden="1">
      <c r="A729" s="967"/>
      <c r="B729" s="967"/>
      <c r="C729" s="1382" t="s">
        <v>170</v>
      </c>
      <c r="D729" s="967"/>
      <c r="E729" s="967"/>
      <c r="F729" s="970">
        <f>ROUND((G724+G725)*0.1,2)</f>
        <v>90.51</v>
      </c>
      <c r="G729" s="972">
        <f>ROUND((G724+G725)*0.2,2)</f>
        <v>181.02</v>
      </c>
      <c r="H729" s="964" t="s">
        <v>2313</v>
      </c>
    </row>
    <row r="730" spans="1:8" hidden="1">
      <c r="A730" s="967"/>
      <c r="B730" s="967"/>
      <c r="C730" s="962" t="s">
        <v>194</v>
      </c>
      <c r="D730" s="967"/>
      <c r="E730" s="974">
        <f>SUM(E728:E729)</f>
        <v>5181.5400000000009</v>
      </c>
      <c r="F730" s="974">
        <f>SUM(F728:F729)</f>
        <v>5272.0500000000011</v>
      </c>
      <c r="G730" s="971">
        <f>SUM(G728:G729)</f>
        <v>5362.5600000000013</v>
      </c>
      <c r="H730" s="964" t="s">
        <v>2313</v>
      </c>
    </row>
    <row r="731" spans="1:8" hidden="1">
      <c r="A731" s="967"/>
      <c r="B731" s="967"/>
      <c r="C731" s="962" t="s">
        <v>181</v>
      </c>
      <c r="D731" s="967"/>
      <c r="E731" s="974">
        <f>ROUND(E730/10,2)</f>
        <v>518.15</v>
      </c>
      <c r="F731" s="974">
        <f>ROUND(F730/10,2)</f>
        <v>527.21</v>
      </c>
      <c r="G731" s="971">
        <f>ROUND(G730/10,2)</f>
        <v>536.26</v>
      </c>
      <c r="H731" s="964" t="s">
        <v>2313</v>
      </c>
    </row>
    <row r="732" spans="1:8" s="1403" customFormat="1" ht="25.5">
      <c r="A732" s="1397">
        <v>1</v>
      </c>
      <c r="B732" s="1490" t="s">
        <v>1349</v>
      </c>
      <c r="C732" s="1484" t="s">
        <v>1201</v>
      </c>
      <c r="D732" s="1481"/>
      <c r="E732" s="1481"/>
      <c r="F732" s="1481"/>
      <c r="G732" s="1490"/>
      <c r="H732" s="1483" t="s">
        <v>2313</v>
      </c>
    </row>
    <row r="733" spans="1:8" s="1403" customFormat="1">
      <c r="A733" s="1397"/>
      <c r="B733" s="1490"/>
      <c r="C733" s="1437" t="s">
        <v>868</v>
      </c>
      <c r="D733" s="1481"/>
      <c r="E733" s="1481"/>
      <c r="F733" s="1481"/>
      <c r="G733" s="1487"/>
      <c r="H733" s="1483" t="s">
        <v>2313</v>
      </c>
    </row>
    <row r="734" spans="1:8" s="1403" customFormat="1">
      <c r="A734" s="1397"/>
      <c r="B734" s="1490"/>
      <c r="C734" s="1437" t="s">
        <v>60</v>
      </c>
      <c r="D734" s="1481"/>
      <c r="E734" s="1481"/>
      <c r="F734" s="1481"/>
      <c r="G734" s="1487"/>
      <c r="H734" s="1483" t="s">
        <v>2313</v>
      </c>
    </row>
    <row r="735" spans="1:8" s="1403" customFormat="1">
      <c r="A735" s="1397"/>
      <c r="B735" s="1490"/>
      <c r="C735" s="1484" t="s">
        <v>33</v>
      </c>
      <c r="D735" s="1481" t="s">
        <v>4</v>
      </c>
      <c r="E735" s="1485">
        <v>14.4</v>
      </c>
      <c r="F735" s="1485">
        <f>'lead 22-23 P-B'!L8</f>
        <v>4700</v>
      </c>
      <c r="G735" s="1486">
        <f>ROUND(E735*F735/1000,2)</f>
        <v>67.680000000000007</v>
      </c>
      <c r="H735" s="1483" t="s">
        <v>2313</v>
      </c>
    </row>
    <row r="736" spans="1:8" s="1403" customFormat="1">
      <c r="A736" s="1397"/>
      <c r="B736" s="1490"/>
      <c r="C736" s="1484" t="s">
        <v>113</v>
      </c>
      <c r="D736" s="1481" t="s">
        <v>35</v>
      </c>
      <c r="E736" s="1485">
        <v>0.03</v>
      </c>
      <c r="F736" s="1485">
        <f>'lead 22-23 P-B'!L12</f>
        <v>1815.9999999999998</v>
      </c>
      <c r="G736" s="1486">
        <f>ROUND(E736*F736,2)</f>
        <v>54.48</v>
      </c>
      <c r="H736" s="1483" t="s">
        <v>2313</v>
      </c>
    </row>
    <row r="737" spans="1:8" s="1403" customFormat="1">
      <c r="A737" s="1481"/>
      <c r="B737" s="1481"/>
      <c r="C737" s="1437" t="s">
        <v>68</v>
      </c>
      <c r="D737" s="1481"/>
      <c r="E737" s="1485"/>
      <c r="F737" s="1485"/>
      <c r="G737" s="1486"/>
      <c r="H737" s="1483" t="s">
        <v>2313</v>
      </c>
    </row>
    <row r="738" spans="1:8" s="1403" customFormat="1">
      <c r="A738" s="1481"/>
      <c r="B738" s="1481"/>
      <c r="C738" s="1484" t="s">
        <v>69</v>
      </c>
      <c r="D738" s="1481" t="s">
        <v>27</v>
      </c>
      <c r="E738" s="1485">
        <v>0.5</v>
      </c>
      <c r="F738" s="1488">
        <f>'MINI SSR 2022-23 (2)'!$H$4</f>
        <v>565</v>
      </c>
      <c r="G738" s="1486">
        <f>ROUND(E738*F738,2)</f>
        <v>282.5</v>
      </c>
      <c r="H738" s="1483" t="s">
        <v>2313</v>
      </c>
    </row>
    <row r="739" spans="1:8" s="1403" customFormat="1">
      <c r="A739" s="1481"/>
      <c r="B739" s="1481"/>
      <c r="C739" s="1484" t="s">
        <v>85</v>
      </c>
      <c r="D739" s="1481" t="s">
        <v>27</v>
      </c>
      <c r="E739" s="1485">
        <v>0.74</v>
      </c>
      <c r="F739" s="1488">
        <f>'MINI SSR 2022-23 (2)'!$H$5</f>
        <v>525</v>
      </c>
      <c r="G739" s="1486">
        <f>ROUND(E739*F739,2)</f>
        <v>388.5</v>
      </c>
      <c r="H739" s="1483" t="s">
        <v>2313</v>
      </c>
    </row>
    <row r="740" spans="1:8" s="1403" customFormat="1">
      <c r="A740" s="1481"/>
      <c r="B740" s="1481"/>
      <c r="C740" s="1437" t="s">
        <v>88</v>
      </c>
      <c r="D740" s="1481"/>
      <c r="E740" s="1485"/>
      <c r="F740" s="1485"/>
      <c r="G740" s="1486">
        <f>SUM(G735:G739)</f>
        <v>793.16</v>
      </c>
      <c r="H740" s="1483" t="s">
        <v>2313</v>
      </c>
    </row>
    <row r="741" spans="1:8" s="1403" customFormat="1" ht="114.75">
      <c r="A741" s="1397">
        <v>2</v>
      </c>
      <c r="B741" s="1490" t="s">
        <v>1350</v>
      </c>
      <c r="C741" s="1484" t="s">
        <v>1202</v>
      </c>
      <c r="D741" s="1481"/>
      <c r="E741" s="1481"/>
      <c r="F741" s="1481"/>
      <c r="G741" s="1490"/>
      <c r="H741" s="1483" t="s">
        <v>2313</v>
      </c>
    </row>
    <row r="742" spans="1:8" s="1403" customFormat="1">
      <c r="A742" s="1397"/>
      <c r="B742" s="1490"/>
      <c r="C742" s="1437" t="s">
        <v>868</v>
      </c>
      <c r="D742" s="1481"/>
      <c r="E742" s="1481"/>
      <c r="F742" s="1481"/>
      <c r="G742" s="1487"/>
      <c r="H742" s="1483" t="s">
        <v>2313</v>
      </c>
    </row>
    <row r="743" spans="1:8" s="1403" customFormat="1">
      <c r="A743" s="1397"/>
      <c r="B743" s="1490"/>
      <c r="C743" s="1437" t="s">
        <v>60</v>
      </c>
      <c r="D743" s="1481"/>
      <c r="E743" s="1481"/>
      <c r="F743" s="1481"/>
      <c r="G743" s="1487"/>
      <c r="H743" s="1483" t="s">
        <v>2313</v>
      </c>
    </row>
    <row r="744" spans="1:8" s="1403" customFormat="1">
      <c r="A744" s="1397"/>
      <c r="B744" s="1490"/>
      <c r="C744" s="1484" t="s">
        <v>3167</v>
      </c>
      <c r="D744" s="1481" t="s">
        <v>11</v>
      </c>
      <c r="E744" s="1494">
        <v>0.255</v>
      </c>
      <c r="F744" s="1485">
        <f>'lead 22-23 P-B'!L23</f>
        <v>19542.199999999997</v>
      </c>
      <c r="G744" s="1486">
        <f>ROUND(E744*F744/1,2)</f>
        <v>4983.26</v>
      </c>
      <c r="H744" s="1483" t="s">
        <v>2313</v>
      </c>
    </row>
    <row r="745" spans="1:8" s="1403" customFormat="1">
      <c r="A745" s="1397"/>
      <c r="B745" s="1490"/>
      <c r="C745" s="1484" t="s">
        <v>873</v>
      </c>
      <c r="D745" s="1481" t="s">
        <v>141</v>
      </c>
      <c r="E745" s="1485">
        <v>21.6</v>
      </c>
      <c r="F745" s="1485">
        <f>'lead 22-23 P-B'!L8</f>
        <v>4700</v>
      </c>
      <c r="G745" s="1486">
        <f>ROUND(E745*F745/1000,2)</f>
        <v>101.52</v>
      </c>
      <c r="H745" s="1483" t="s">
        <v>2313</v>
      </c>
    </row>
    <row r="746" spans="1:8" s="1403" customFormat="1">
      <c r="A746" s="1397"/>
      <c r="B746" s="1490"/>
      <c r="C746" s="1484" t="s">
        <v>1204</v>
      </c>
      <c r="D746" s="1481" t="s">
        <v>141</v>
      </c>
      <c r="E746" s="1485">
        <v>6</v>
      </c>
      <c r="F746" s="1485">
        <f>F745</f>
        <v>4700</v>
      </c>
      <c r="G746" s="1486">
        <f>ROUND(E746*F746/1000,2)</f>
        <v>28.2</v>
      </c>
      <c r="H746" s="1483" t="s">
        <v>2313</v>
      </c>
    </row>
    <row r="747" spans="1:8" s="1403" customFormat="1">
      <c r="A747" s="1397"/>
      <c r="B747" s="1490"/>
      <c r="C747" s="1484" t="s">
        <v>1205</v>
      </c>
      <c r="D747" s="1481" t="s">
        <v>102</v>
      </c>
      <c r="E747" s="1485">
        <v>1</v>
      </c>
      <c r="F747" s="1485">
        <f>G740</f>
        <v>793.16</v>
      </c>
      <c r="G747" s="1486">
        <f>ROUND(E747*F747/1,2)</f>
        <v>793.16</v>
      </c>
      <c r="H747" s="1483" t="s">
        <v>2313</v>
      </c>
    </row>
    <row r="748" spans="1:8" s="1403" customFormat="1">
      <c r="A748" s="1397"/>
      <c r="B748" s="1490"/>
      <c r="C748" s="1484" t="s">
        <v>1206</v>
      </c>
      <c r="D748" s="1481" t="s">
        <v>35</v>
      </c>
      <c r="E748" s="1485">
        <v>0.04</v>
      </c>
      <c r="F748" s="1485">
        <f>'lead 22-23 P-B'!L12</f>
        <v>1815.9999999999998</v>
      </c>
      <c r="G748" s="1486">
        <f>-ROUND(E748*F748,2)</f>
        <v>-72.64</v>
      </c>
      <c r="H748" s="1483" t="s">
        <v>2313</v>
      </c>
    </row>
    <row r="749" spans="1:8" s="1403" customFormat="1">
      <c r="A749" s="1397"/>
      <c r="B749" s="1490"/>
      <c r="C749" s="1484" t="s">
        <v>1207</v>
      </c>
      <c r="D749" s="1481" t="s">
        <v>35</v>
      </c>
      <c r="E749" s="1485">
        <v>0.12</v>
      </c>
      <c r="F749" s="1485">
        <f>F748</f>
        <v>1815.9999999999998</v>
      </c>
      <c r="G749" s="1486">
        <f>ROUND(E749*F749,2)</f>
        <v>217.92</v>
      </c>
      <c r="H749" s="1483" t="s">
        <v>2313</v>
      </c>
    </row>
    <row r="750" spans="1:8" s="1403" customFormat="1">
      <c r="A750" s="1481"/>
      <c r="B750" s="1481"/>
      <c r="C750" s="1437" t="s">
        <v>68</v>
      </c>
      <c r="D750" s="1481"/>
      <c r="E750" s="1485"/>
      <c r="F750" s="1485"/>
      <c r="G750" s="1486"/>
      <c r="H750" s="1483" t="s">
        <v>2313</v>
      </c>
    </row>
    <row r="751" spans="1:8" s="1403" customFormat="1">
      <c r="A751" s="1481"/>
      <c r="B751" s="1481"/>
      <c r="C751" s="1484" t="s">
        <v>64</v>
      </c>
      <c r="D751" s="1481" t="s">
        <v>27</v>
      </c>
      <c r="E751" s="1485">
        <v>0.96</v>
      </c>
      <c r="F751" s="1488">
        <f>'MINI SSR 2022-23 (2)'!$H$3</f>
        <v>630</v>
      </c>
      <c r="G751" s="1486">
        <f>ROUND(E751*F751,2)</f>
        <v>604.79999999999995</v>
      </c>
      <c r="H751" s="1483" t="s">
        <v>2313</v>
      </c>
    </row>
    <row r="752" spans="1:8" s="1403" customFormat="1">
      <c r="A752" s="1481"/>
      <c r="B752" s="1481"/>
      <c r="C752" s="1484" t="s">
        <v>69</v>
      </c>
      <c r="D752" s="1481" t="s">
        <v>27</v>
      </c>
      <c r="E752" s="1485">
        <v>2.2400000000000002</v>
      </c>
      <c r="F752" s="1488">
        <f>'MINI SSR 2022-23 (2)'!$H$4</f>
        <v>565</v>
      </c>
      <c r="G752" s="1486">
        <f>ROUND(E752*F752,2)</f>
        <v>1265.5999999999999</v>
      </c>
      <c r="H752" s="1483" t="s">
        <v>2313</v>
      </c>
    </row>
    <row r="753" spans="1:8" s="1403" customFormat="1">
      <c r="A753" s="1481"/>
      <c r="B753" s="1481"/>
      <c r="C753" s="1484" t="s">
        <v>85</v>
      </c>
      <c r="D753" s="1481" t="s">
        <v>27</v>
      </c>
      <c r="E753" s="1485">
        <v>4.3</v>
      </c>
      <c r="F753" s="1488">
        <f>'MINI SSR 2022-23 (2)'!$H$5</f>
        <v>525</v>
      </c>
      <c r="G753" s="1486">
        <f>ROUND(E753*F753,2)</f>
        <v>2257.5</v>
      </c>
      <c r="H753" s="1483" t="s">
        <v>2313</v>
      </c>
    </row>
    <row r="754" spans="1:8" s="1403" customFormat="1">
      <c r="A754" s="1481"/>
      <c r="B754" s="1481"/>
      <c r="C754" s="1437" t="s">
        <v>88</v>
      </c>
      <c r="D754" s="1481"/>
      <c r="E754" s="1485"/>
      <c r="F754" s="1485"/>
      <c r="G754" s="1486">
        <f>SUM(G744:G753)</f>
        <v>10179.32</v>
      </c>
      <c r="H754" s="1483" t="s">
        <v>2313</v>
      </c>
    </row>
    <row r="755" spans="1:8" s="1403" customFormat="1">
      <c r="A755" s="1481"/>
      <c r="B755" s="1481"/>
      <c r="C755" s="1437"/>
      <c r="D755" s="1481"/>
      <c r="E755" s="1485" t="s">
        <v>161</v>
      </c>
      <c r="F755" s="1485" t="s">
        <v>162</v>
      </c>
      <c r="G755" s="1434" t="s">
        <v>163</v>
      </c>
      <c r="H755" s="1483" t="s">
        <v>2313</v>
      </c>
    </row>
    <row r="756" spans="1:8" s="1403" customFormat="1">
      <c r="A756" s="1481"/>
      <c r="B756" s="1481"/>
      <c r="C756" s="1437" t="s">
        <v>1274</v>
      </c>
      <c r="D756" s="1481"/>
      <c r="E756" s="1485">
        <f>G754</f>
        <v>10179.32</v>
      </c>
      <c r="F756" s="1485">
        <f>G754</f>
        <v>10179.32</v>
      </c>
      <c r="G756" s="1487">
        <f>G754</f>
        <v>10179.32</v>
      </c>
      <c r="H756" s="1483" t="s">
        <v>2313</v>
      </c>
    </row>
    <row r="757" spans="1:8" s="1403" customFormat="1" ht="25.5">
      <c r="A757" s="1481"/>
      <c r="B757" s="1481"/>
      <c r="C757" s="1484" t="s">
        <v>170</v>
      </c>
      <c r="D757" s="1481"/>
      <c r="E757" s="1481"/>
      <c r="F757" s="1485">
        <f>ROUND((G752+G753+G751)*0.1,2)</f>
        <v>412.79</v>
      </c>
      <c r="G757" s="1487">
        <f>ROUND((G752+G753+G751)*0.2,2)</f>
        <v>825.58</v>
      </c>
      <c r="H757" s="1483" t="s">
        <v>2313</v>
      </c>
    </row>
    <row r="758" spans="1:8" s="1403" customFormat="1">
      <c r="A758" s="1481"/>
      <c r="B758" s="1481"/>
      <c r="C758" s="1437" t="s">
        <v>194</v>
      </c>
      <c r="D758" s="1481"/>
      <c r="E758" s="1489">
        <f>SUM(E756:E757)</f>
        <v>10179.32</v>
      </c>
      <c r="F758" s="1489">
        <f>SUM(F756:F757)</f>
        <v>10592.11</v>
      </c>
      <c r="G758" s="1491">
        <f>SUM(G756:G757)</f>
        <v>11004.9</v>
      </c>
      <c r="H758" s="1483" t="s">
        <v>2313</v>
      </c>
    </row>
    <row r="759" spans="1:8" s="1403" customFormat="1">
      <c r="A759" s="1481"/>
      <c r="B759" s="1481"/>
      <c r="C759" s="1437" t="s">
        <v>181</v>
      </c>
      <c r="D759" s="1481"/>
      <c r="E759" s="1489">
        <f>ROUND(E758/10,2)</f>
        <v>1017.93</v>
      </c>
      <c r="F759" s="1489">
        <f>ROUND(F758/10,2)</f>
        <v>1059.21</v>
      </c>
      <c r="G759" s="1491">
        <f>ROUND(G758/10,2)</f>
        <v>1100.49</v>
      </c>
      <c r="H759" s="1483" t="s">
        <v>2313</v>
      </c>
    </row>
    <row r="760" spans="1:8" ht="114.75" hidden="1">
      <c r="A760" s="896">
        <v>26</v>
      </c>
      <c r="B760" s="966"/>
      <c r="C760" s="1382" t="s">
        <v>2246</v>
      </c>
      <c r="D760" s="967"/>
      <c r="E760" s="967"/>
      <c r="F760" s="967"/>
      <c r="G760" s="966"/>
      <c r="H760" s="964" t="s">
        <v>2313</v>
      </c>
    </row>
    <row r="761" spans="1:8" hidden="1">
      <c r="A761" s="896"/>
      <c r="B761" s="966"/>
      <c r="C761" s="962" t="s">
        <v>60</v>
      </c>
      <c r="D761" s="967"/>
      <c r="E761" s="967"/>
      <c r="F761" s="967"/>
      <c r="G761" s="972"/>
      <c r="H761" s="964" t="s">
        <v>2313</v>
      </c>
    </row>
    <row r="762" spans="1:8" hidden="1">
      <c r="A762" s="896"/>
      <c r="B762" s="966"/>
      <c r="C762" s="1382" t="s">
        <v>2247</v>
      </c>
      <c r="D762" s="967" t="s">
        <v>102</v>
      </c>
      <c r="E762" s="973">
        <v>1</v>
      </c>
      <c r="F762" s="970">
        <f>'MINI SSR 2022-23 (2)'!H79</f>
        <v>390</v>
      </c>
      <c r="G762" s="969">
        <f>ROUND(E762*F762/1,2)</f>
        <v>390</v>
      </c>
      <c r="H762" s="964" t="s">
        <v>2313</v>
      </c>
    </row>
    <row r="763" spans="1:8" hidden="1">
      <c r="A763" s="896"/>
      <c r="B763" s="966"/>
      <c r="C763" s="1382" t="s">
        <v>2248</v>
      </c>
      <c r="D763" s="967" t="s">
        <v>102</v>
      </c>
      <c r="E763" s="973">
        <v>1</v>
      </c>
      <c r="F763" s="970">
        <f>'MINI SSR 2022-23 (2)'!H80</f>
        <v>220</v>
      </c>
      <c r="G763" s="969">
        <f>ROUND(E763*F763/1,2)</f>
        <v>220</v>
      </c>
      <c r="H763" s="964" t="s">
        <v>2313</v>
      </c>
    </row>
    <row r="764" spans="1:8" hidden="1">
      <c r="A764" s="967"/>
      <c r="B764" s="967"/>
      <c r="C764" s="962" t="s">
        <v>181</v>
      </c>
      <c r="D764" s="967"/>
      <c r="E764" s="974"/>
      <c r="F764" s="974"/>
      <c r="G764" s="971">
        <f>SUM(G762:G763)</f>
        <v>610</v>
      </c>
      <c r="H764" s="964" t="s">
        <v>2313</v>
      </c>
    </row>
    <row r="765" spans="1:8" ht="140.25" hidden="1">
      <c r="A765" s="896">
        <v>28</v>
      </c>
      <c r="B765" s="966" t="s">
        <v>2249</v>
      </c>
      <c r="C765" s="1382" t="s">
        <v>2250</v>
      </c>
      <c r="D765" s="967"/>
      <c r="E765" s="967"/>
      <c r="F765" s="967"/>
      <c r="G765" s="966"/>
      <c r="H765" s="964" t="s">
        <v>2313</v>
      </c>
    </row>
    <row r="766" spans="1:8" hidden="1">
      <c r="A766" s="896"/>
      <c r="B766" s="966"/>
      <c r="C766" s="962" t="s">
        <v>42</v>
      </c>
      <c r="D766" s="967"/>
      <c r="E766" s="967"/>
      <c r="F766" s="967"/>
      <c r="G766" s="972"/>
      <c r="H766" s="964" t="s">
        <v>2313</v>
      </c>
    </row>
    <row r="767" spans="1:8" hidden="1">
      <c r="A767" s="896"/>
      <c r="B767" s="966"/>
      <c r="C767" s="962" t="s">
        <v>60</v>
      </c>
      <c r="D767" s="967"/>
      <c r="E767" s="967"/>
      <c r="F767" s="967"/>
      <c r="G767" s="972"/>
      <c r="H767" s="964" t="s">
        <v>2313</v>
      </c>
    </row>
    <row r="768" spans="1:8" hidden="1">
      <c r="A768" s="896"/>
      <c r="B768" s="966"/>
      <c r="C768" s="1382" t="s">
        <v>2251</v>
      </c>
      <c r="D768" s="967" t="s">
        <v>35</v>
      </c>
      <c r="E768" s="970">
        <v>0.17</v>
      </c>
      <c r="F768" s="970">
        <f>F35</f>
        <v>2046.91</v>
      </c>
      <c r="G768" s="969">
        <f>ROUND(E768*F768,2)</f>
        <v>347.97</v>
      </c>
      <c r="H768" s="964" t="s">
        <v>2313</v>
      </c>
    </row>
    <row r="769" spans="1:8" hidden="1">
      <c r="A769" s="896"/>
      <c r="B769" s="966"/>
      <c r="C769" s="1382" t="s">
        <v>847</v>
      </c>
      <c r="D769" s="967" t="s">
        <v>4</v>
      </c>
      <c r="E769" s="970">
        <v>120</v>
      </c>
      <c r="F769" s="970">
        <f>'lead 22-23 P-B'!L8</f>
        <v>4700</v>
      </c>
      <c r="G769" s="969">
        <f>ROUND(E769*F769/1000,2)</f>
        <v>564</v>
      </c>
      <c r="H769" s="964" t="s">
        <v>2313</v>
      </c>
    </row>
    <row r="770" spans="1:8" hidden="1">
      <c r="A770" s="896"/>
      <c r="B770" s="966"/>
      <c r="C770" s="1382" t="s">
        <v>837</v>
      </c>
      <c r="D770" s="967" t="s">
        <v>35</v>
      </c>
      <c r="E770" s="970">
        <v>8.5000000000000006E-2</v>
      </c>
      <c r="F770" s="970">
        <f>'lead 22-23 P-B'!L13</f>
        <v>1720.9999999999998</v>
      </c>
      <c r="G770" s="969">
        <f>ROUND(E770*F770,2)</f>
        <v>146.29</v>
      </c>
      <c r="H770" s="964" t="s">
        <v>2313</v>
      </c>
    </row>
    <row r="771" spans="1:8" hidden="1">
      <c r="A771" s="967"/>
      <c r="B771" s="967"/>
      <c r="C771" s="962" t="s">
        <v>68</v>
      </c>
      <c r="D771" s="967"/>
      <c r="E771" s="970"/>
      <c r="F771" s="970"/>
      <c r="G771" s="969"/>
      <c r="H771" s="964" t="s">
        <v>2313</v>
      </c>
    </row>
    <row r="772" spans="1:8" hidden="1">
      <c r="A772" s="967"/>
      <c r="B772" s="967"/>
      <c r="C772" s="1382" t="s">
        <v>64</v>
      </c>
      <c r="D772" s="967" t="s">
        <v>27</v>
      </c>
      <c r="E772" s="970">
        <v>1.25</v>
      </c>
      <c r="F772" s="990">
        <f>'MINI SSR 2022-23 (2)'!H3</f>
        <v>630</v>
      </c>
      <c r="G772" s="969">
        <f>ROUND(E772*F772,2)</f>
        <v>787.5</v>
      </c>
      <c r="H772" s="964" t="s">
        <v>2313</v>
      </c>
    </row>
    <row r="773" spans="1:8" hidden="1">
      <c r="A773" s="967"/>
      <c r="B773" s="967"/>
      <c r="C773" s="1382" t="s">
        <v>69</v>
      </c>
      <c r="D773" s="967" t="s">
        <v>27</v>
      </c>
      <c r="E773" s="970">
        <v>0.06</v>
      </c>
      <c r="F773" s="990">
        <f>'MINI SSR 2022-23 (2)'!H4</f>
        <v>565</v>
      </c>
      <c r="G773" s="969">
        <f>ROUND(E773*F773,2)</f>
        <v>33.9</v>
      </c>
      <c r="H773" s="964" t="s">
        <v>2313</v>
      </c>
    </row>
    <row r="774" spans="1:8" hidden="1">
      <c r="A774" s="967"/>
      <c r="B774" s="967"/>
      <c r="C774" s="1382" t="s">
        <v>85</v>
      </c>
      <c r="D774" s="967" t="s">
        <v>27</v>
      </c>
      <c r="E774" s="970">
        <v>3</v>
      </c>
      <c r="F774" s="990">
        <f>'MINI SSR 2022-23 (2)'!H5</f>
        <v>525</v>
      </c>
      <c r="G774" s="969">
        <f>ROUND(E774*F774,2)</f>
        <v>1575</v>
      </c>
      <c r="H774" s="964" t="s">
        <v>2313</v>
      </c>
    </row>
    <row r="775" spans="1:8" hidden="1">
      <c r="A775" s="967"/>
      <c r="B775" s="967"/>
      <c r="C775" s="962" t="s">
        <v>88</v>
      </c>
      <c r="D775" s="967"/>
      <c r="E775" s="967"/>
      <c r="F775" s="967"/>
      <c r="G775" s="971">
        <f>SUM(G768:G774)</f>
        <v>3454.66</v>
      </c>
      <c r="H775" s="964" t="s">
        <v>2313</v>
      </c>
    </row>
    <row r="776" spans="1:8" hidden="1">
      <c r="A776" s="967"/>
      <c r="B776" s="967"/>
      <c r="C776" s="962"/>
      <c r="D776" s="967"/>
      <c r="E776" s="966" t="s">
        <v>161</v>
      </c>
      <c r="F776" s="966" t="s">
        <v>162</v>
      </c>
      <c r="G776" s="974" t="s">
        <v>163</v>
      </c>
      <c r="H776" s="964" t="s">
        <v>2313</v>
      </c>
    </row>
    <row r="777" spans="1:8" hidden="1">
      <c r="A777" s="967"/>
      <c r="B777" s="967"/>
      <c r="C777" s="962" t="s">
        <v>1274</v>
      </c>
      <c r="D777" s="967"/>
      <c r="E777" s="970">
        <f>G775</f>
        <v>3454.66</v>
      </c>
      <c r="F777" s="970">
        <f>G775</f>
        <v>3454.66</v>
      </c>
      <c r="G777" s="972">
        <f>G775</f>
        <v>3454.66</v>
      </c>
      <c r="H777" s="964" t="s">
        <v>2313</v>
      </c>
    </row>
    <row r="778" spans="1:8" ht="25.5" hidden="1">
      <c r="A778" s="967"/>
      <c r="B778" s="967"/>
      <c r="C778" s="1382" t="s">
        <v>170</v>
      </c>
      <c r="D778" s="967"/>
      <c r="E778" s="967"/>
      <c r="F778" s="970">
        <f>ROUND((G772+G773+G774)*0.1,2)</f>
        <v>239.64</v>
      </c>
      <c r="G778" s="975">
        <f>ROUND((G772+G773+G774)*0.2,2)</f>
        <v>479.28</v>
      </c>
      <c r="H778" s="964" t="s">
        <v>2313</v>
      </c>
    </row>
    <row r="779" spans="1:8" hidden="1">
      <c r="A779" s="967"/>
      <c r="B779" s="967"/>
      <c r="C779" s="962" t="s">
        <v>194</v>
      </c>
      <c r="D779" s="967"/>
      <c r="E779" s="974">
        <f>SUM(E777:E778)</f>
        <v>3454.66</v>
      </c>
      <c r="F779" s="974">
        <f>SUM(F777:F778)</f>
        <v>3694.2999999999997</v>
      </c>
      <c r="G779" s="971">
        <f>SUM(G777:G778)</f>
        <v>3933.9399999999996</v>
      </c>
      <c r="H779" s="964" t="s">
        <v>2313</v>
      </c>
    </row>
    <row r="780" spans="1:8" hidden="1">
      <c r="A780" s="967"/>
      <c r="B780" s="967"/>
      <c r="C780" s="962" t="s">
        <v>181</v>
      </c>
      <c r="D780" s="967"/>
      <c r="E780" s="974">
        <f>ROUND(E779/10,2)</f>
        <v>345.47</v>
      </c>
      <c r="F780" s="974">
        <f>ROUND(F779/10,2)</f>
        <v>369.43</v>
      </c>
      <c r="G780" s="971">
        <f>ROUND(G779/10,2)</f>
        <v>393.39</v>
      </c>
      <c r="H780" s="964" t="s">
        <v>2313</v>
      </c>
    </row>
    <row r="781" spans="1:8" ht="102" hidden="1">
      <c r="A781" s="896">
        <v>51</v>
      </c>
      <c r="B781" s="966" t="s">
        <v>878</v>
      </c>
      <c r="C781" s="1382" t="s">
        <v>879</v>
      </c>
      <c r="D781" s="967"/>
      <c r="E781" s="967"/>
      <c r="F781" s="967"/>
      <c r="G781" s="966"/>
      <c r="H781" s="964" t="s">
        <v>2313</v>
      </c>
    </row>
    <row r="782" spans="1:8" hidden="1">
      <c r="A782" s="896"/>
      <c r="B782" s="966"/>
      <c r="C782" s="962" t="s">
        <v>42</v>
      </c>
      <c r="D782" s="967"/>
      <c r="E782" s="967"/>
      <c r="F782" s="967"/>
      <c r="G782" s="972"/>
      <c r="H782" s="964" t="s">
        <v>2313</v>
      </c>
    </row>
    <row r="783" spans="1:8" hidden="1">
      <c r="A783" s="896"/>
      <c r="B783" s="966"/>
      <c r="C783" s="962" t="s">
        <v>60</v>
      </c>
      <c r="D783" s="967"/>
      <c r="E783" s="967"/>
      <c r="F783" s="967"/>
      <c r="G783" s="972"/>
      <c r="H783" s="964" t="s">
        <v>2313</v>
      </c>
    </row>
    <row r="784" spans="1:8" hidden="1">
      <c r="A784" s="896"/>
      <c r="B784" s="966"/>
      <c r="C784" s="1382" t="s">
        <v>1275</v>
      </c>
      <c r="D784" s="967" t="s">
        <v>1351</v>
      </c>
      <c r="E784" s="970">
        <v>1.2</v>
      </c>
      <c r="F784" s="970">
        <f>'MINI SSR 2022-23 (2)'!$G$40</f>
        <v>600</v>
      </c>
      <c r="G784" s="969">
        <f>ROUND(F784/20*E784,2)</f>
        <v>36</v>
      </c>
      <c r="H784" s="964" t="s">
        <v>2313</v>
      </c>
    </row>
    <row r="785" spans="1:8" hidden="1">
      <c r="A785" s="967"/>
      <c r="B785" s="967"/>
      <c r="C785" s="962" t="s">
        <v>68</v>
      </c>
      <c r="D785" s="967"/>
      <c r="E785" s="970"/>
      <c r="F785" s="970"/>
      <c r="G785" s="969"/>
      <c r="H785" s="964" t="s">
        <v>2313</v>
      </c>
    </row>
    <row r="786" spans="1:8" hidden="1">
      <c r="A786" s="967"/>
      <c r="B786" s="967"/>
      <c r="C786" s="1382" t="s">
        <v>150</v>
      </c>
      <c r="D786" s="967" t="s">
        <v>27</v>
      </c>
      <c r="E786" s="970">
        <v>0.11</v>
      </c>
      <c r="F786" s="970">
        <f>'MINI SSR 2022-23 (2)'!$H$8</f>
        <v>705</v>
      </c>
      <c r="G786" s="969">
        <f>ROUND(E786*F786,2)</f>
        <v>77.55</v>
      </c>
      <c r="H786" s="964" t="s">
        <v>2313</v>
      </c>
    </row>
    <row r="787" spans="1:8" hidden="1">
      <c r="A787" s="967"/>
      <c r="B787" s="967"/>
      <c r="C787" s="1382" t="s">
        <v>85</v>
      </c>
      <c r="D787" s="967" t="s">
        <v>27</v>
      </c>
      <c r="E787" s="970">
        <v>0.22</v>
      </c>
      <c r="F787" s="970">
        <f>'MINI SSR 2022-23 (2)'!$H$5</f>
        <v>525</v>
      </c>
      <c r="G787" s="969">
        <f>ROUND(E787*F787,2)</f>
        <v>115.5</v>
      </c>
      <c r="H787" s="964" t="s">
        <v>2313</v>
      </c>
    </row>
    <row r="788" spans="1:8" hidden="1">
      <c r="A788" s="967"/>
      <c r="B788" s="967"/>
      <c r="C788" s="1382" t="s">
        <v>880</v>
      </c>
      <c r="D788" s="967"/>
      <c r="E788" s="970">
        <v>0.05</v>
      </c>
      <c r="F788" s="970">
        <f>SUM(G784:G787)</f>
        <v>229.05</v>
      </c>
      <c r="G788" s="969">
        <f>ROUND(E788*F788,2)</f>
        <v>11.45</v>
      </c>
      <c r="H788" s="964" t="s">
        <v>2313</v>
      </c>
    </row>
    <row r="789" spans="1:8" hidden="1">
      <c r="A789" s="967"/>
      <c r="B789" s="967"/>
      <c r="C789" s="962" t="s">
        <v>88</v>
      </c>
      <c r="D789" s="967"/>
      <c r="E789" s="967"/>
      <c r="F789" s="967"/>
      <c r="G789" s="971">
        <f>SUM(G784:G788)</f>
        <v>240.5</v>
      </c>
      <c r="H789" s="964" t="s">
        <v>2313</v>
      </c>
    </row>
    <row r="790" spans="1:8" hidden="1">
      <c r="A790" s="967"/>
      <c r="B790" s="967"/>
      <c r="C790" s="962"/>
      <c r="D790" s="967"/>
      <c r="E790" s="966" t="s">
        <v>161</v>
      </c>
      <c r="F790" s="966" t="s">
        <v>162</v>
      </c>
      <c r="G790" s="974" t="s">
        <v>163</v>
      </c>
      <c r="H790" s="964" t="s">
        <v>2313</v>
      </c>
    </row>
    <row r="791" spans="1:8" hidden="1">
      <c r="A791" s="967"/>
      <c r="B791" s="967"/>
      <c r="C791" s="962" t="s">
        <v>1276</v>
      </c>
      <c r="D791" s="967"/>
      <c r="E791" s="970">
        <f>G789</f>
        <v>240.5</v>
      </c>
      <c r="F791" s="970">
        <f>E791</f>
        <v>240.5</v>
      </c>
      <c r="G791" s="972">
        <f>F791</f>
        <v>240.5</v>
      </c>
      <c r="H791" s="964" t="s">
        <v>2313</v>
      </c>
    </row>
    <row r="792" spans="1:8" ht="25.5" hidden="1">
      <c r="A792" s="967"/>
      <c r="B792" s="967"/>
      <c r="C792" s="1382" t="s">
        <v>170</v>
      </c>
      <c r="D792" s="967"/>
      <c r="E792" s="967"/>
      <c r="F792" s="970">
        <f>ROUND((G786+G787)*0.1,2)</f>
        <v>19.309999999999999</v>
      </c>
      <c r="G792" s="972">
        <f>ROUND((G786+G787)*0.2,2)</f>
        <v>38.61</v>
      </c>
      <c r="H792" s="964" t="s">
        <v>2313</v>
      </c>
    </row>
    <row r="793" spans="1:8" hidden="1">
      <c r="A793" s="967"/>
      <c r="B793" s="967"/>
      <c r="C793" s="962" t="s">
        <v>194</v>
      </c>
      <c r="D793" s="967"/>
      <c r="E793" s="974">
        <f>SUM(E791:E792)</f>
        <v>240.5</v>
      </c>
      <c r="F793" s="974">
        <f>SUM(F791:F792)</f>
        <v>259.81</v>
      </c>
      <c r="G793" s="971">
        <f>SUM(G791:G792)</f>
        <v>279.11</v>
      </c>
      <c r="H793" s="964" t="s">
        <v>2313</v>
      </c>
    </row>
    <row r="794" spans="1:8" hidden="1">
      <c r="A794" s="967"/>
      <c r="B794" s="967"/>
      <c r="C794" s="962" t="s">
        <v>181</v>
      </c>
      <c r="D794" s="967"/>
      <c r="E794" s="974">
        <f>ROUND(E793/10,2)</f>
        <v>24.05</v>
      </c>
      <c r="F794" s="974">
        <f>ROUND(F793/10,2)</f>
        <v>25.98</v>
      </c>
      <c r="G794" s="971">
        <f>ROUND(G793/10,2)</f>
        <v>27.91</v>
      </c>
      <c r="H794" s="964" t="s">
        <v>2313</v>
      </c>
    </row>
    <row r="795" spans="1:8" ht="191.25" hidden="1">
      <c r="A795" s="896">
        <v>6</v>
      </c>
      <c r="B795" s="966" t="s">
        <v>1328</v>
      </c>
      <c r="C795" s="1382" t="s">
        <v>891</v>
      </c>
      <c r="D795" s="967"/>
      <c r="E795" s="967"/>
      <c r="F795" s="967"/>
      <c r="G795" s="966"/>
      <c r="H795" s="964" t="s">
        <v>2313</v>
      </c>
    </row>
    <row r="796" spans="1:8" hidden="1">
      <c r="A796" s="896"/>
      <c r="B796" s="966"/>
      <c r="C796" s="962" t="s">
        <v>42</v>
      </c>
      <c r="D796" s="967"/>
      <c r="E796" s="967"/>
      <c r="F796" s="967"/>
      <c r="G796" s="972"/>
      <c r="H796" s="964" t="s">
        <v>2313</v>
      </c>
    </row>
    <row r="797" spans="1:8" hidden="1">
      <c r="A797" s="896"/>
      <c r="B797" s="966"/>
      <c r="C797" s="962" t="s">
        <v>60</v>
      </c>
      <c r="D797" s="967"/>
      <c r="E797" s="967"/>
      <c r="F797" s="967"/>
      <c r="G797" s="972"/>
      <c r="H797" s="964" t="s">
        <v>2313</v>
      </c>
    </row>
    <row r="798" spans="1:8" hidden="1">
      <c r="A798" s="896"/>
      <c r="B798" s="966"/>
      <c r="C798" s="1382" t="s">
        <v>892</v>
      </c>
      <c r="D798" s="967" t="s">
        <v>1351</v>
      </c>
      <c r="E798" s="970">
        <v>23</v>
      </c>
      <c r="F798" s="970">
        <f>'MINI SSR 2022-23 (2)'!$G$40</f>
        <v>600</v>
      </c>
      <c r="G798" s="969">
        <f>ROUND(F798/20*E798,2)</f>
        <v>690</v>
      </c>
      <c r="H798" s="964" t="s">
        <v>2313</v>
      </c>
    </row>
    <row r="799" spans="1:8" hidden="1">
      <c r="A799" s="967"/>
      <c r="B799" s="967"/>
      <c r="C799" s="962" t="s">
        <v>68</v>
      </c>
      <c r="D799" s="967"/>
      <c r="E799" s="970"/>
      <c r="F799" s="970"/>
      <c r="G799" s="969"/>
      <c r="H799" s="964" t="s">
        <v>2313</v>
      </c>
    </row>
    <row r="800" spans="1:8" hidden="1">
      <c r="A800" s="967"/>
      <c r="B800" s="967"/>
      <c r="C800" s="1382" t="s">
        <v>94</v>
      </c>
      <c r="D800" s="967" t="s">
        <v>27</v>
      </c>
      <c r="E800" s="973">
        <v>0.27300000000000002</v>
      </c>
      <c r="F800" s="970">
        <f>'MINI SSR 2022-23 (2)'!$H$8</f>
        <v>705</v>
      </c>
      <c r="G800" s="969">
        <f>ROUND(E800*F800,2)</f>
        <v>192.47</v>
      </c>
      <c r="H800" s="964" t="s">
        <v>2313</v>
      </c>
    </row>
    <row r="801" spans="1:8" hidden="1">
      <c r="A801" s="967"/>
      <c r="B801" s="967"/>
      <c r="C801" s="1382" t="s">
        <v>874</v>
      </c>
      <c r="D801" s="967" t="s">
        <v>27</v>
      </c>
      <c r="E801" s="973">
        <v>0.63700000000000001</v>
      </c>
      <c r="F801" s="970">
        <f>'MINI SSR 2022-23 (2)'!$H$9</f>
        <v>565</v>
      </c>
      <c r="G801" s="969">
        <f>ROUND(E801*F801,2)</f>
        <v>359.91</v>
      </c>
      <c r="H801" s="964" t="s">
        <v>2313</v>
      </c>
    </row>
    <row r="802" spans="1:8" hidden="1">
      <c r="A802" s="967"/>
      <c r="B802" s="967"/>
      <c r="C802" s="1382" t="s">
        <v>85</v>
      </c>
      <c r="D802" s="967" t="s">
        <v>27</v>
      </c>
      <c r="E802" s="973">
        <v>0.91</v>
      </c>
      <c r="F802" s="970">
        <f>'MINI SSR 2022-23 (2)'!$H$5</f>
        <v>525</v>
      </c>
      <c r="G802" s="969">
        <f>ROUND(E802*F802,2)</f>
        <v>477.75</v>
      </c>
      <c r="H802" s="964" t="s">
        <v>2313</v>
      </c>
    </row>
    <row r="803" spans="1:8" hidden="1">
      <c r="A803" s="967"/>
      <c r="B803" s="967"/>
      <c r="C803" s="1382" t="s">
        <v>893</v>
      </c>
      <c r="D803" s="967"/>
      <c r="E803" s="970">
        <v>0.01</v>
      </c>
      <c r="F803" s="970">
        <f>SUM(G798:G802)</f>
        <v>1720.13</v>
      </c>
      <c r="G803" s="969">
        <f>ROUND(E803*F803,2)</f>
        <v>17.2</v>
      </c>
      <c r="H803" s="964" t="s">
        <v>2313</v>
      </c>
    </row>
    <row r="804" spans="1:8" hidden="1">
      <c r="A804" s="967"/>
      <c r="B804" s="967"/>
      <c r="C804" s="962" t="s">
        <v>88</v>
      </c>
      <c r="D804" s="967"/>
      <c r="E804" s="967"/>
      <c r="F804" s="967"/>
      <c r="G804" s="971">
        <f>SUM(G798:G803)</f>
        <v>1737.3300000000002</v>
      </c>
      <c r="H804" s="964" t="s">
        <v>2313</v>
      </c>
    </row>
    <row r="805" spans="1:8" hidden="1">
      <c r="A805" s="967"/>
      <c r="B805" s="967"/>
      <c r="C805" s="962"/>
      <c r="D805" s="967"/>
      <c r="E805" s="966" t="s">
        <v>161</v>
      </c>
      <c r="F805" s="966" t="s">
        <v>162</v>
      </c>
      <c r="G805" s="974" t="s">
        <v>163</v>
      </c>
      <c r="H805" s="964" t="s">
        <v>2313</v>
      </c>
    </row>
    <row r="806" spans="1:8" hidden="1">
      <c r="A806" s="967"/>
      <c r="B806" s="967"/>
      <c r="C806" s="962" t="s">
        <v>1276</v>
      </c>
      <c r="D806" s="967"/>
      <c r="E806" s="970">
        <f>G804</f>
        <v>1737.3300000000002</v>
      </c>
      <c r="F806" s="970">
        <f>E806</f>
        <v>1737.3300000000002</v>
      </c>
      <c r="G806" s="972">
        <f>F806</f>
        <v>1737.3300000000002</v>
      </c>
      <c r="H806" s="964" t="s">
        <v>2313</v>
      </c>
    </row>
    <row r="807" spans="1:8" ht="25.5" hidden="1">
      <c r="A807" s="967"/>
      <c r="B807" s="967"/>
      <c r="C807" s="1382" t="s">
        <v>170</v>
      </c>
      <c r="D807" s="967"/>
      <c r="E807" s="967"/>
      <c r="F807" s="970">
        <f>ROUND((G800+G801+G802)*0.1,2)</f>
        <v>103.01</v>
      </c>
      <c r="G807" s="975">
        <f>ROUND(F807*2,2)</f>
        <v>206.02</v>
      </c>
      <c r="H807" s="964" t="s">
        <v>2313</v>
      </c>
    </row>
    <row r="808" spans="1:8" hidden="1">
      <c r="A808" s="967"/>
      <c r="B808" s="967"/>
      <c r="C808" s="962" t="s">
        <v>194</v>
      </c>
      <c r="D808" s="967"/>
      <c r="E808" s="974">
        <f>SUM(E806:E807)</f>
        <v>1737.3300000000002</v>
      </c>
      <c r="F808" s="974">
        <f>SUM(F806:F807)</f>
        <v>1840.3400000000001</v>
      </c>
      <c r="G808" s="971">
        <f>SUM(G806:G807)</f>
        <v>1943.3500000000001</v>
      </c>
      <c r="H808" s="964" t="s">
        <v>2313</v>
      </c>
    </row>
    <row r="809" spans="1:8" hidden="1">
      <c r="A809" s="967"/>
      <c r="B809" s="967"/>
      <c r="C809" s="962" t="s">
        <v>181</v>
      </c>
      <c r="D809" s="967"/>
      <c r="E809" s="974">
        <f>ROUND(E808/10,2)</f>
        <v>173.73</v>
      </c>
      <c r="F809" s="974">
        <f>ROUND(F808/10,2)</f>
        <v>184.03</v>
      </c>
      <c r="G809" s="971">
        <f>ROUND(G808/10,2)</f>
        <v>194.34</v>
      </c>
      <c r="H809" s="964" t="s">
        <v>2313</v>
      </c>
    </row>
    <row r="810" spans="1:8" s="1533" customFormat="1" ht="25.5">
      <c r="A810" s="1490">
        <v>3</v>
      </c>
      <c r="B810" s="1537" t="s">
        <v>1352</v>
      </c>
      <c r="C810" s="1484" t="s">
        <v>1353</v>
      </c>
      <c r="D810" s="1481"/>
      <c r="E810" s="1481"/>
      <c r="F810" s="1532"/>
      <c r="G810" s="1532"/>
      <c r="H810" s="1483" t="s">
        <v>2313</v>
      </c>
    </row>
    <row r="811" spans="1:8" s="1403" customFormat="1">
      <c r="A811" s="1481"/>
      <c r="B811" s="1490"/>
      <c r="C811" s="1484" t="s">
        <v>1354</v>
      </c>
      <c r="D811" s="1488"/>
      <c r="E811" s="1488"/>
      <c r="F811" s="1488"/>
      <c r="G811" s="1498"/>
      <c r="H811" s="1483" t="s">
        <v>2313</v>
      </c>
    </row>
    <row r="812" spans="1:8" s="1403" customFormat="1">
      <c r="A812" s="1481"/>
      <c r="B812" s="1490"/>
      <c r="C812" s="1484" t="s">
        <v>1355</v>
      </c>
      <c r="D812" s="1488"/>
      <c r="E812" s="1488"/>
      <c r="F812" s="1488"/>
      <c r="G812" s="1498"/>
      <c r="H812" s="1483" t="s">
        <v>2313</v>
      </c>
    </row>
    <row r="813" spans="1:8" s="1403" customFormat="1">
      <c r="A813" s="1481"/>
      <c r="B813" s="1490"/>
      <c r="C813" s="1484" t="s">
        <v>3141</v>
      </c>
      <c r="D813" s="1488" t="s">
        <v>90</v>
      </c>
      <c r="E813" s="1488">
        <v>1</v>
      </c>
      <c r="F813" s="1488">
        <f>'MINI SSR 2022-23 (2)'!G41</f>
        <v>160</v>
      </c>
      <c r="G813" s="1498">
        <f>ROUND(E813*F813,2)</f>
        <v>160</v>
      </c>
      <c r="H813" s="1483" t="s">
        <v>2313</v>
      </c>
    </row>
    <row r="814" spans="1:8" s="1403" customFormat="1">
      <c r="A814" s="1481"/>
      <c r="B814" s="1490"/>
      <c r="C814" s="1484" t="s">
        <v>1356</v>
      </c>
      <c r="D814" s="1488"/>
      <c r="E814" s="1488"/>
      <c r="F814" s="1488"/>
      <c r="G814" s="1498"/>
      <c r="H814" s="1483" t="s">
        <v>2313</v>
      </c>
    </row>
    <row r="815" spans="1:8" s="1403" customFormat="1">
      <c r="A815" s="1481"/>
      <c r="B815" s="1490"/>
      <c r="C815" s="1484" t="s">
        <v>94</v>
      </c>
      <c r="D815" s="1488" t="s">
        <v>27</v>
      </c>
      <c r="E815" s="1488">
        <v>0.21</v>
      </c>
      <c r="F815" s="1485">
        <f>'MINI SSR 2022-23 (2)'!$H$8</f>
        <v>705</v>
      </c>
      <c r="G815" s="1498">
        <f>ROUND(E815*F815,2)</f>
        <v>148.05000000000001</v>
      </c>
      <c r="H815" s="1483" t="s">
        <v>2313</v>
      </c>
    </row>
    <row r="816" spans="1:8" s="1403" customFormat="1">
      <c r="A816" s="1481"/>
      <c r="B816" s="1490"/>
      <c r="C816" s="1484" t="s">
        <v>874</v>
      </c>
      <c r="D816" s="1488" t="s">
        <v>27</v>
      </c>
      <c r="E816" s="1488">
        <v>0.49</v>
      </c>
      <c r="F816" s="1485">
        <f>'MINI SSR 2022-23 (2)'!$H$9</f>
        <v>565</v>
      </c>
      <c r="G816" s="1498">
        <f>ROUND(E816*F816,2)</f>
        <v>276.85000000000002</v>
      </c>
      <c r="H816" s="1483" t="s">
        <v>2313</v>
      </c>
    </row>
    <row r="817" spans="1:8" s="1403" customFormat="1">
      <c r="A817" s="1481"/>
      <c r="B817" s="1490"/>
      <c r="C817" s="1484" t="s">
        <v>875</v>
      </c>
      <c r="D817" s="1488"/>
      <c r="E817" s="1540">
        <v>5.0000000000000001E-3</v>
      </c>
      <c r="F817" s="1488">
        <f>SUM(G813:G816)</f>
        <v>584.90000000000009</v>
      </c>
      <c r="G817" s="1498">
        <f>ROUND(E817*F817,2)</f>
        <v>2.92</v>
      </c>
      <c r="H817" s="1483" t="s">
        <v>2313</v>
      </c>
    </row>
    <row r="818" spans="1:8" s="1403" customFormat="1">
      <c r="A818" s="1481"/>
      <c r="B818" s="1490"/>
      <c r="C818" s="1484" t="s">
        <v>1357</v>
      </c>
      <c r="D818" s="1488"/>
      <c r="E818" s="1488"/>
      <c r="F818" s="1488"/>
      <c r="G818" s="1498">
        <f>SUM(G813:G817)</f>
        <v>587.82000000000005</v>
      </c>
      <c r="H818" s="1483" t="s">
        <v>2313</v>
      </c>
    </row>
    <row r="819" spans="1:8" s="1539" customFormat="1">
      <c r="A819" s="1537"/>
      <c r="B819" s="1537"/>
      <c r="C819" s="1437" t="s">
        <v>869</v>
      </c>
      <c r="D819" s="1535"/>
      <c r="E819" s="1535"/>
      <c r="F819" s="1535"/>
      <c r="G819" s="1538">
        <f>ROUND(SUM(G818:G818),2)</f>
        <v>587.82000000000005</v>
      </c>
      <c r="H819" s="1483" t="s">
        <v>2313</v>
      </c>
    </row>
    <row r="820" spans="1:8" s="1533" customFormat="1" ht="25.5">
      <c r="A820" s="1490">
        <v>4</v>
      </c>
      <c r="B820" s="1490" t="s">
        <v>1352</v>
      </c>
      <c r="C820" s="1484" t="s">
        <v>1358</v>
      </c>
      <c r="D820" s="1481"/>
      <c r="E820" s="1481"/>
      <c r="F820" s="1532"/>
      <c r="G820" s="1532"/>
      <c r="H820" s="1483" t="s">
        <v>2313</v>
      </c>
    </row>
    <row r="821" spans="1:8" s="1403" customFormat="1">
      <c r="A821" s="1481"/>
      <c r="B821" s="1490"/>
      <c r="C821" s="1484" t="s">
        <v>1354</v>
      </c>
      <c r="D821" s="1488"/>
      <c r="E821" s="1488"/>
      <c r="F821" s="1488"/>
      <c r="G821" s="1498"/>
      <c r="H821" s="1483" t="s">
        <v>2313</v>
      </c>
    </row>
    <row r="822" spans="1:8" s="1403" customFormat="1">
      <c r="A822" s="1481"/>
      <c r="B822" s="1490"/>
      <c r="C822" s="1484" t="s">
        <v>1355</v>
      </c>
      <c r="D822" s="1488"/>
      <c r="E822" s="1488"/>
      <c r="F822" s="1488"/>
      <c r="G822" s="1498"/>
      <c r="H822" s="1483" t="s">
        <v>2313</v>
      </c>
    </row>
    <row r="823" spans="1:8" s="1403" customFormat="1">
      <c r="A823" s="1481"/>
      <c r="B823" s="1490"/>
      <c r="C823" s="1484" t="s">
        <v>3168</v>
      </c>
      <c r="D823" s="1488" t="s">
        <v>90</v>
      </c>
      <c r="E823" s="1488">
        <v>1</v>
      </c>
      <c r="F823" s="1488">
        <f>'MINI SSR 2022-23 (2)'!G42</f>
        <v>200</v>
      </c>
      <c r="G823" s="1498">
        <f>ROUND(E823*F823,2)</f>
        <v>200</v>
      </c>
      <c r="H823" s="1483" t="s">
        <v>2313</v>
      </c>
    </row>
    <row r="824" spans="1:8" s="1403" customFormat="1">
      <c r="A824" s="1481"/>
      <c r="B824" s="1490"/>
      <c r="C824" s="1484" t="s">
        <v>1356</v>
      </c>
      <c r="D824" s="1488"/>
      <c r="E824" s="1488"/>
      <c r="F824" s="1488"/>
      <c r="G824" s="1498"/>
      <c r="H824" s="1483" t="s">
        <v>2313</v>
      </c>
    </row>
    <row r="825" spans="1:8" s="1403" customFormat="1">
      <c r="A825" s="1481"/>
      <c r="B825" s="1490"/>
      <c r="C825" s="1484" t="s">
        <v>94</v>
      </c>
      <c r="D825" s="1488" t="s">
        <v>27</v>
      </c>
      <c r="E825" s="1488">
        <v>0.21</v>
      </c>
      <c r="F825" s="1485">
        <f>'MINI SSR 2022-23 (2)'!$H$8</f>
        <v>705</v>
      </c>
      <c r="G825" s="1498">
        <f>ROUND(E825*F825,2)</f>
        <v>148.05000000000001</v>
      </c>
      <c r="H825" s="1483" t="s">
        <v>2313</v>
      </c>
    </row>
    <row r="826" spans="1:8" s="1403" customFormat="1">
      <c r="A826" s="1481"/>
      <c r="B826" s="1490"/>
      <c r="C826" s="1484" t="s">
        <v>874</v>
      </c>
      <c r="D826" s="1488" t="s">
        <v>27</v>
      </c>
      <c r="E826" s="1488">
        <v>0.49</v>
      </c>
      <c r="F826" s="1485">
        <f>'MINI SSR 2022-23 (2)'!$H$9</f>
        <v>565</v>
      </c>
      <c r="G826" s="1498">
        <f>ROUND(E826*F826,2)</f>
        <v>276.85000000000002</v>
      </c>
      <c r="H826" s="1483" t="s">
        <v>2313</v>
      </c>
    </row>
    <row r="827" spans="1:8" s="1403" customFormat="1">
      <c r="A827" s="1481"/>
      <c r="B827" s="1490"/>
      <c r="C827" s="1484" t="s">
        <v>875</v>
      </c>
      <c r="D827" s="1488"/>
      <c r="E827" s="1540">
        <v>5.0000000000000001E-3</v>
      </c>
      <c r="F827" s="1488">
        <f>SUM(G823:G826)</f>
        <v>624.90000000000009</v>
      </c>
      <c r="G827" s="1498">
        <f>ROUND(E827*F827,2)</f>
        <v>3.12</v>
      </c>
      <c r="H827" s="1483" t="s">
        <v>2313</v>
      </c>
    </row>
    <row r="828" spans="1:8" s="1403" customFormat="1">
      <c r="A828" s="1481"/>
      <c r="B828" s="1490"/>
      <c r="C828" s="1484" t="s">
        <v>1357</v>
      </c>
      <c r="D828" s="1488"/>
      <c r="E828" s="1488"/>
      <c r="F828" s="1488"/>
      <c r="G828" s="1498">
        <f>SUM(G823:G827)</f>
        <v>628.0200000000001</v>
      </c>
      <c r="H828" s="1483" t="s">
        <v>2313</v>
      </c>
    </row>
    <row r="829" spans="1:8" s="1539" customFormat="1">
      <c r="A829" s="1537"/>
      <c r="B829" s="1537"/>
      <c r="C829" s="1437" t="s">
        <v>869</v>
      </c>
      <c r="D829" s="1535"/>
      <c r="E829" s="1535"/>
      <c r="F829" s="1535"/>
      <c r="G829" s="1538">
        <f>ROUND(SUM(G828:G828),2)</f>
        <v>628.02</v>
      </c>
      <c r="H829" s="1483" t="s">
        <v>2313</v>
      </c>
    </row>
    <row r="830" spans="1:8" s="1533" customFormat="1" ht="140.25">
      <c r="A830" s="1490"/>
      <c r="B830" s="1490" t="s">
        <v>1328</v>
      </c>
      <c r="C830" s="1484" t="s">
        <v>1167</v>
      </c>
      <c r="D830" s="1481"/>
      <c r="E830" s="1481"/>
      <c r="F830" s="1532"/>
      <c r="G830" s="1532"/>
      <c r="H830" s="1483" t="s">
        <v>2313</v>
      </c>
    </row>
    <row r="831" spans="1:8" s="1403" customFormat="1">
      <c r="A831" s="1481"/>
      <c r="B831" s="1490"/>
      <c r="C831" s="1437" t="s">
        <v>1359</v>
      </c>
      <c r="D831" s="1488"/>
      <c r="E831" s="1488"/>
      <c r="F831" s="1488"/>
      <c r="G831" s="1498"/>
      <c r="H831" s="1483" t="s">
        <v>2313</v>
      </c>
    </row>
    <row r="832" spans="1:8" s="1403" customFormat="1">
      <c r="A832" s="1481"/>
      <c r="B832" s="1490"/>
      <c r="C832" s="1484" t="s">
        <v>1369</v>
      </c>
      <c r="D832" s="1488" t="s">
        <v>1360</v>
      </c>
      <c r="E832" s="1488">
        <v>1</v>
      </c>
      <c r="F832" s="1488">
        <f>G819</f>
        <v>587.82000000000005</v>
      </c>
      <c r="G832" s="1498">
        <f>ROUND(E832*F832,2)</f>
        <v>587.82000000000005</v>
      </c>
      <c r="H832" s="1483" t="s">
        <v>2313</v>
      </c>
    </row>
    <row r="833" spans="1:8" s="1403" customFormat="1">
      <c r="A833" s="1481"/>
      <c r="B833" s="1490"/>
      <c r="C833" s="1484"/>
      <c r="D833" s="1488"/>
      <c r="E833" s="1488"/>
      <c r="F833" s="1488"/>
      <c r="G833" s="1498"/>
      <c r="H833" s="1483" t="s">
        <v>2313</v>
      </c>
    </row>
    <row r="834" spans="1:8" s="1403" customFormat="1">
      <c r="A834" s="1481"/>
      <c r="B834" s="1490"/>
      <c r="C834" s="1534" t="s">
        <v>1361</v>
      </c>
      <c r="D834" s="1488"/>
      <c r="E834" s="1488"/>
      <c r="F834" s="1488"/>
      <c r="G834" s="1498"/>
      <c r="H834" s="1483" t="s">
        <v>2313</v>
      </c>
    </row>
    <row r="835" spans="1:8" s="1403" customFormat="1">
      <c r="A835" s="1481">
        <v>5</v>
      </c>
      <c r="B835" s="1490"/>
      <c r="C835" s="1484" t="s">
        <v>3143</v>
      </c>
      <c r="D835" s="1397" t="s">
        <v>291</v>
      </c>
      <c r="E835" s="1434">
        <v>0.8</v>
      </c>
      <c r="F835" s="1488">
        <f>'MINI SSR 2022-23 (2)'!G43</f>
        <v>190</v>
      </c>
      <c r="G835" s="1498">
        <f>ROUND(E835*F835,2)</f>
        <v>152</v>
      </c>
      <c r="H835" s="1483" t="s">
        <v>2313</v>
      </c>
    </row>
    <row r="836" spans="1:8" s="1403" customFormat="1">
      <c r="A836" s="1481"/>
      <c r="B836" s="1490"/>
      <c r="C836" s="1534" t="s">
        <v>1363</v>
      </c>
      <c r="D836" s="1397"/>
      <c r="E836" s="1434"/>
      <c r="F836" s="1488"/>
      <c r="G836" s="1498"/>
      <c r="H836" s="1483" t="s">
        <v>2313</v>
      </c>
    </row>
    <row r="837" spans="1:8" s="1403" customFormat="1">
      <c r="A837" s="1481"/>
      <c r="B837" s="1490"/>
      <c r="C837" s="1484" t="s">
        <v>1364</v>
      </c>
      <c r="D837" s="1397" t="s">
        <v>27</v>
      </c>
      <c r="E837" s="1485">
        <v>0.36</v>
      </c>
      <c r="F837" s="1485">
        <f>'MINI SSR 2022-23 (2)'!$H$8</f>
        <v>705</v>
      </c>
      <c r="G837" s="1498">
        <f>ROUND(E837*F837,2)</f>
        <v>253.8</v>
      </c>
      <c r="H837" s="1483" t="s">
        <v>2313</v>
      </c>
    </row>
    <row r="838" spans="1:8" s="1403" customFormat="1">
      <c r="A838" s="1481"/>
      <c r="B838" s="1490"/>
      <c r="C838" s="1484" t="s">
        <v>1365</v>
      </c>
      <c r="D838" s="1397" t="s">
        <v>27</v>
      </c>
      <c r="E838" s="1485">
        <v>0.84</v>
      </c>
      <c r="F838" s="1485">
        <f>'MINI SSR 2022-23 (2)'!$H$9</f>
        <v>565</v>
      </c>
      <c r="G838" s="1498">
        <f>ROUND(E838*F838,2)</f>
        <v>474.6</v>
      </c>
      <c r="H838" s="1483" t="s">
        <v>2313</v>
      </c>
    </row>
    <row r="839" spans="1:8" s="1403" customFormat="1">
      <c r="A839" s="1481"/>
      <c r="B839" s="1490"/>
      <c r="C839" s="1484" t="s">
        <v>0</v>
      </c>
      <c r="D839" s="1488"/>
      <c r="E839" s="1488"/>
      <c r="F839" s="1488"/>
      <c r="G839" s="1498">
        <f>SUM(G832:G838)</f>
        <v>1468.2200000000003</v>
      </c>
      <c r="H839" s="1483" t="s">
        <v>2313</v>
      </c>
    </row>
    <row r="840" spans="1:8" s="1403" customFormat="1">
      <c r="A840" s="1481"/>
      <c r="B840" s="1490"/>
      <c r="C840" s="1484"/>
      <c r="D840" s="1488"/>
      <c r="E840" s="1535" t="s">
        <v>161</v>
      </c>
      <c r="F840" s="1535" t="s">
        <v>162</v>
      </c>
      <c r="G840" s="1535" t="s">
        <v>163</v>
      </c>
      <c r="H840" s="1483" t="s">
        <v>2313</v>
      </c>
    </row>
    <row r="841" spans="1:8" s="1403" customFormat="1">
      <c r="A841" s="1481"/>
      <c r="B841" s="1490"/>
      <c r="C841" s="1484" t="s">
        <v>867</v>
      </c>
      <c r="D841" s="1488"/>
      <c r="E841" s="1488">
        <f>G839</f>
        <v>1468.2200000000003</v>
      </c>
      <c r="F841" s="1536">
        <f>G839</f>
        <v>1468.2200000000003</v>
      </c>
      <c r="G841" s="1536">
        <f>G839</f>
        <v>1468.2200000000003</v>
      </c>
      <c r="H841" s="1483" t="s">
        <v>2313</v>
      </c>
    </row>
    <row r="842" spans="1:8" s="1403" customFormat="1">
      <c r="A842" s="1481"/>
      <c r="B842" s="1490"/>
      <c r="C842" s="1484" t="s">
        <v>1366</v>
      </c>
      <c r="D842" s="1488"/>
      <c r="E842" s="1488"/>
      <c r="F842" s="1498">
        <f>SUM(G815+G816+G837+G838)*10%</f>
        <v>115.33000000000003</v>
      </c>
      <c r="G842" s="1498">
        <f>SUM(G815+G816+G837+G838)*20%</f>
        <v>230.66000000000005</v>
      </c>
      <c r="H842" s="1483" t="s">
        <v>2313</v>
      </c>
    </row>
    <row r="843" spans="1:8" s="1539" customFormat="1">
      <c r="A843" s="1537"/>
      <c r="B843" s="1537"/>
      <c r="C843" s="1437" t="s">
        <v>869</v>
      </c>
      <c r="D843" s="1535"/>
      <c r="E843" s="1535">
        <f>SUM(E841:E842)</f>
        <v>1468.2200000000003</v>
      </c>
      <c r="F843" s="1538">
        <f>SUM(F841:F842)</f>
        <v>1583.5500000000002</v>
      </c>
      <c r="G843" s="1538">
        <f>SUM(G841:G842)</f>
        <v>1698.8800000000003</v>
      </c>
      <c r="H843" s="1483" t="s">
        <v>2313</v>
      </c>
    </row>
    <row r="844" spans="1:8" s="1539" customFormat="1">
      <c r="A844" s="1537"/>
      <c r="B844" s="1537"/>
      <c r="C844" s="1437" t="s">
        <v>1367</v>
      </c>
      <c r="D844" s="1535"/>
      <c r="E844" s="1535">
        <f>ROUND(E843/10,2)</f>
        <v>146.82</v>
      </c>
      <c r="F844" s="1538">
        <f>ROUND(F843/10,2)</f>
        <v>158.36000000000001</v>
      </c>
      <c r="G844" s="1538">
        <f>ROUND(G843/10,2)</f>
        <v>169.89</v>
      </c>
      <c r="H844" s="1483" t="s">
        <v>2313</v>
      </c>
    </row>
    <row r="845" spans="1:8" s="1533" customFormat="1" ht="140.25">
      <c r="A845" s="1490">
        <v>6</v>
      </c>
      <c r="B845" s="1490" t="s">
        <v>1328</v>
      </c>
      <c r="C845" s="1484" t="s">
        <v>1368</v>
      </c>
      <c r="D845" s="1481"/>
      <c r="E845" s="1481"/>
      <c r="F845" s="1532"/>
      <c r="G845" s="1532"/>
      <c r="H845" s="1483" t="s">
        <v>2313</v>
      </c>
    </row>
    <row r="846" spans="1:8" s="1403" customFormat="1">
      <c r="A846" s="1481"/>
      <c r="B846" s="1490"/>
      <c r="C846" s="1484" t="s">
        <v>1369</v>
      </c>
      <c r="D846" s="1488" t="s">
        <v>1360</v>
      </c>
      <c r="E846" s="1488">
        <v>1</v>
      </c>
      <c r="F846" s="1488">
        <f>G829</f>
        <v>628.02</v>
      </c>
      <c r="G846" s="1498">
        <f>ROUND(E846*F846,2)</f>
        <v>628.02</v>
      </c>
      <c r="H846" s="1483" t="s">
        <v>2313</v>
      </c>
    </row>
    <row r="847" spans="1:8" s="1403" customFormat="1">
      <c r="A847" s="1481"/>
      <c r="B847" s="1490"/>
      <c r="C847" s="1534" t="s">
        <v>1361</v>
      </c>
      <c r="D847" s="1488"/>
      <c r="E847" s="1488"/>
      <c r="F847" s="1488"/>
      <c r="G847" s="1498"/>
      <c r="H847" s="1483" t="s">
        <v>2313</v>
      </c>
    </row>
    <row r="848" spans="1:8" s="1403" customFormat="1">
      <c r="A848" s="1481"/>
      <c r="B848" s="1490"/>
      <c r="C848" s="1484" t="s">
        <v>3169</v>
      </c>
      <c r="D848" s="1397" t="s">
        <v>291</v>
      </c>
      <c r="E848" s="1434">
        <v>0.8</v>
      </c>
      <c r="F848" s="1488">
        <f>'MINI SSR 2022-23 (2)'!G44</f>
        <v>210</v>
      </c>
      <c r="G848" s="1498">
        <f>ROUND(E848*F848,2)</f>
        <v>168</v>
      </c>
      <c r="H848" s="1483" t="s">
        <v>2313</v>
      </c>
    </row>
    <row r="849" spans="1:8" s="1403" customFormat="1">
      <c r="A849" s="1481"/>
      <c r="B849" s="1490"/>
      <c r="C849" s="1534" t="s">
        <v>1363</v>
      </c>
      <c r="D849" s="1397"/>
      <c r="E849" s="1434"/>
      <c r="F849" s="1488"/>
      <c r="G849" s="1498"/>
      <c r="H849" s="1483" t="s">
        <v>2313</v>
      </c>
    </row>
    <row r="850" spans="1:8" s="1403" customFormat="1">
      <c r="A850" s="1481"/>
      <c r="B850" s="1490"/>
      <c r="C850" s="1484" t="s">
        <v>1364</v>
      </c>
      <c r="D850" s="1397" t="s">
        <v>27</v>
      </c>
      <c r="E850" s="1485">
        <v>0.21</v>
      </c>
      <c r="F850" s="1485">
        <f>'MINI SSR 2022-23 (2)'!$H$8</f>
        <v>705</v>
      </c>
      <c r="G850" s="1498">
        <f>ROUND(E850*F850,2)</f>
        <v>148.05000000000001</v>
      </c>
      <c r="H850" s="1483" t="s">
        <v>2313</v>
      </c>
    </row>
    <row r="851" spans="1:8" s="1403" customFormat="1">
      <c r="A851" s="1481"/>
      <c r="B851" s="1490"/>
      <c r="C851" s="1484" t="s">
        <v>1365</v>
      </c>
      <c r="D851" s="1397" t="s">
        <v>27</v>
      </c>
      <c r="E851" s="1485">
        <v>0.49</v>
      </c>
      <c r="F851" s="1485">
        <f>'MINI SSR 2022-23 (2)'!$H$9</f>
        <v>565</v>
      </c>
      <c r="G851" s="1498">
        <f>ROUND(E851*F851,2)</f>
        <v>276.85000000000002</v>
      </c>
      <c r="H851" s="1483" t="s">
        <v>2313</v>
      </c>
    </row>
    <row r="852" spans="1:8" s="1403" customFormat="1">
      <c r="A852" s="1481"/>
      <c r="B852" s="1490"/>
      <c r="C852" s="1484" t="s">
        <v>311</v>
      </c>
      <c r="D852" s="1397" t="s">
        <v>27</v>
      </c>
      <c r="E852" s="1485">
        <v>1.5</v>
      </c>
      <c r="F852" s="1485">
        <f>'MINI SSR 2022-23 (2)'!$H$5</f>
        <v>525</v>
      </c>
      <c r="G852" s="1498">
        <f>ROUND(E852*F852,2)</f>
        <v>787.5</v>
      </c>
      <c r="H852" s="1483" t="s">
        <v>2313</v>
      </c>
    </row>
    <row r="853" spans="1:8" s="1403" customFormat="1">
      <c r="A853" s="1481"/>
      <c r="B853" s="1490"/>
      <c r="C853" s="1484" t="s">
        <v>0</v>
      </c>
      <c r="D853" s="1488"/>
      <c r="E853" s="1488"/>
      <c r="F853" s="1488"/>
      <c r="G853" s="1498">
        <f>SUM(G846:G852)</f>
        <v>2008.42</v>
      </c>
      <c r="H853" s="1483" t="s">
        <v>2313</v>
      </c>
    </row>
    <row r="854" spans="1:8" s="1403" customFormat="1">
      <c r="A854" s="1481"/>
      <c r="B854" s="1490"/>
      <c r="C854" s="1484"/>
      <c r="D854" s="1488"/>
      <c r="E854" s="1535" t="s">
        <v>161</v>
      </c>
      <c r="F854" s="1535" t="s">
        <v>162</v>
      </c>
      <c r="G854" s="1535" t="s">
        <v>163</v>
      </c>
      <c r="H854" s="1483" t="s">
        <v>2313</v>
      </c>
    </row>
    <row r="855" spans="1:8" s="1403" customFormat="1">
      <c r="A855" s="1481"/>
      <c r="B855" s="1490"/>
      <c r="C855" s="1484" t="s">
        <v>867</v>
      </c>
      <c r="D855" s="1488"/>
      <c r="E855" s="1488">
        <f>G853</f>
        <v>2008.42</v>
      </c>
      <c r="F855" s="1536">
        <f>G853</f>
        <v>2008.42</v>
      </c>
      <c r="G855" s="1536">
        <f>G853</f>
        <v>2008.42</v>
      </c>
      <c r="H855" s="1483" t="s">
        <v>2313</v>
      </c>
    </row>
    <row r="856" spans="1:8" s="1403" customFormat="1">
      <c r="A856" s="1481"/>
      <c r="B856" s="1490"/>
      <c r="C856" s="1484" t="s">
        <v>870</v>
      </c>
      <c r="D856" s="1488"/>
      <c r="E856" s="1488"/>
      <c r="F856" s="1498">
        <f>SUM(G825+G826+G850+G851+G852)*10%</f>
        <v>163.73000000000002</v>
      </c>
      <c r="G856" s="1498">
        <f>SUM(G825+G826+G850+G851+G852)*20%</f>
        <v>327.46000000000004</v>
      </c>
      <c r="H856" s="1483" t="s">
        <v>2313</v>
      </c>
    </row>
    <row r="857" spans="1:8" s="1539" customFormat="1">
      <c r="A857" s="1537"/>
      <c r="B857" s="1537"/>
      <c r="C857" s="1437" t="s">
        <v>869</v>
      </c>
      <c r="D857" s="1535"/>
      <c r="E857" s="1535">
        <f>SUM(E855:E856)</f>
        <v>2008.42</v>
      </c>
      <c r="F857" s="1538">
        <f>SUM(F855:F856)</f>
        <v>2172.15</v>
      </c>
      <c r="G857" s="1538">
        <f>SUM(G855:G856)</f>
        <v>2335.88</v>
      </c>
      <c r="H857" s="1483" t="s">
        <v>2313</v>
      </c>
    </row>
    <row r="858" spans="1:8" s="1539" customFormat="1">
      <c r="A858" s="1537"/>
      <c r="B858" s="1537"/>
      <c r="C858" s="1437" t="s">
        <v>1367</v>
      </c>
      <c r="D858" s="1535"/>
      <c r="E858" s="1535">
        <f>ROUND(E857/10,2)</f>
        <v>200.84</v>
      </c>
      <c r="F858" s="1538">
        <f>ROUND(F857/10,2)</f>
        <v>217.22</v>
      </c>
      <c r="G858" s="1538">
        <f>ROUND(G857/10,2)</f>
        <v>233.59</v>
      </c>
      <c r="H858" s="1483" t="s">
        <v>2313</v>
      </c>
    </row>
    <row r="859" spans="1:8" s="965" customFormat="1" ht="140.25" hidden="1">
      <c r="A859" s="896">
        <v>7</v>
      </c>
      <c r="B859" s="966" t="s">
        <v>96</v>
      </c>
      <c r="C859" s="1382" t="s">
        <v>1307</v>
      </c>
      <c r="D859" s="967"/>
      <c r="E859" s="967"/>
      <c r="F859" s="967"/>
      <c r="G859" s="966"/>
      <c r="H859" s="964" t="s">
        <v>2313</v>
      </c>
    </row>
    <row r="860" spans="1:8" s="965" customFormat="1" hidden="1">
      <c r="A860" s="896"/>
      <c r="B860" s="966"/>
      <c r="C860" s="962" t="s">
        <v>42</v>
      </c>
      <c r="D860" s="967"/>
      <c r="E860" s="967"/>
      <c r="F860" s="967"/>
      <c r="G860" s="972"/>
      <c r="H860" s="964" t="s">
        <v>2313</v>
      </c>
    </row>
    <row r="861" spans="1:8" s="965" customFormat="1" hidden="1">
      <c r="A861" s="896"/>
      <c r="B861" s="966"/>
      <c r="C861" s="962" t="s">
        <v>97</v>
      </c>
      <c r="D861" s="967"/>
      <c r="E861" s="967"/>
      <c r="F861" s="967"/>
      <c r="G861" s="972"/>
      <c r="H861" s="964" t="s">
        <v>2313</v>
      </c>
    </row>
    <row r="862" spans="1:8" s="965" customFormat="1" hidden="1">
      <c r="A862" s="896"/>
      <c r="B862" s="966"/>
      <c r="C862" s="962" t="s">
        <v>60</v>
      </c>
      <c r="D862" s="967"/>
      <c r="E862" s="967"/>
      <c r="F862" s="967"/>
      <c r="G862" s="972"/>
      <c r="H862" s="964" t="s">
        <v>2313</v>
      </c>
    </row>
    <row r="863" spans="1:8" s="965" customFormat="1" hidden="1">
      <c r="A863" s="896"/>
      <c r="B863" s="966"/>
      <c r="C863" s="1382" t="s">
        <v>216</v>
      </c>
      <c r="D863" s="967" t="s">
        <v>30</v>
      </c>
      <c r="E863" s="970">
        <v>0.7</v>
      </c>
      <c r="F863" s="970">
        <f>'MINI SSR 2022-23 (2)'!G45</f>
        <v>160</v>
      </c>
      <c r="G863" s="969">
        <f>ROUND(E863*F863,2)</f>
        <v>112</v>
      </c>
      <c r="H863" s="964" t="s">
        <v>2313</v>
      </c>
    </row>
    <row r="864" spans="1:8" s="965" customFormat="1" hidden="1">
      <c r="A864" s="967"/>
      <c r="B864" s="966"/>
      <c r="C864" s="962" t="s">
        <v>68</v>
      </c>
      <c r="D864" s="967"/>
      <c r="E864" s="970"/>
      <c r="F864" s="970"/>
      <c r="G864" s="969"/>
      <c r="H864" s="964" t="s">
        <v>2313</v>
      </c>
    </row>
    <row r="865" spans="1:8" s="965" customFormat="1" hidden="1">
      <c r="A865" s="967"/>
      <c r="B865" s="967"/>
      <c r="C865" s="1382" t="s">
        <v>94</v>
      </c>
      <c r="D865" s="967" t="s">
        <v>27</v>
      </c>
      <c r="E865" s="970">
        <v>0.21</v>
      </c>
      <c r="F865" s="970">
        <f>'MINI SSR 2022-23 (2)'!$H$8</f>
        <v>705</v>
      </c>
      <c r="G865" s="969">
        <f>ROUND(E865*F865,2)</f>
        <v>148.05000000000001</v>
      </c>
      <c r="H865" s="964" t="s">
        <v>2313</v>
      </c>
    </row>
    <row r="866" spans="1:8" s="965" customFormat="1" hidden="1">
      <c r="A866" s="967"/>
      <c r="B866" s="967"/>
      <c r="C866" s="1382" t="s">
        <v>876</v>
      </c>
      <c r="D866" s="967" t="s">
        <v>27</v>
      </c>
      <c r="E866" s="970">
        <v>0.48</v>
      </c>
      <c r="F866" s="970">
        <f>'MINI SSR 2022-23 (2)'!$H$9</f>
        <v>565</v>
      </c>
      <c r="G866" s="969">
        <f>ROUND(E866*F866,2)</f>
        <v>271.2</v>
      </c>
      <c r="H866" s="964" t="s">
        <v>2313</v>
      </c>
    </row>
    <row r="867" spans="1:8" s="965" customFormat="1" hidden="1">
      <c r="A867" s="967"/>
      <c r="B867" s="967"/>
      <c r="C867" s="1382" t="s">
        <v>95</v>
      </c>
      <c r="D867" s="967"/>
      <c r="E867" s="970"/>
      <c r="F867" s="974">
        <f>SUM(G863:G865)</f>
        <v>260.05</v>
      </c>
      <c r="G867" s="969">
        <f>ROUND(F867*0.01,2)</f>
        <v>2.6</v>
      </c>
      <c r="H867" s="964" t="s">
        <v>2313</v>
      </c>
    </row>
    <row r="868" spans="1:8" s="965" customFormat="1" hidden="1">
      <c r="A868" s="967"/>
      <c r="B868" s="967"/>
      <c r="C868" s="962" t="s">
        <v>98</v>
      </c>
      <c r="D868" s="967"/>
      <c r="E868" s="967"/>
      <c r="F868" s="967"/>
      <c r="G868" s="971"/>
      <c r="H868" s="964" t="s">
        <v>2313</v>
      </c>
    </row>
    <row r="869" spans="1:8" s="965" customFormat="1" hidden="1">
      <c r="A869" s="967"/>
      <c r="B869" s="967"/>
      <c r="C869" s="962" t="s">
        <v>60</v>
      </c>
      <c r="D869" s="967"/>
      <c r="E869" s="967"/>
      <c r="F869" s="967"/>
      <c r="G869" s="972"/>
      <c r="H869" s="964" t="s">
        <v>2313</v>
      </c>
    </row>
    <row r="870" spans="1:8" s="965" customFormat="1" hidden="1">
      <c r="A870" s="967"/>
      <c r="B870" s="967"/>
      <c r="C870" s="1382" t="s">
        <v>217</v>
      </c>
      <c r="D870" s="967" t="s">
        <v>30</v>
      </c>
      <c r="E870" s="970">
        <v>1.1000000000000001</v>
      </c>
      <c r="F870" s="970">
        <f>'MINI SSR 2022-23 (2)'!G46</f>
        <v>270</v>
      </c>
      <c r="G870" s="969">
        <f>ROUND(E870*F870,2)</f>
        <v>297</v>
      </c>
      <c r="H870" s="964" t="s">
        <v>2313</v>
      </c>
    </row>
    <row r="871" spans="1:8" s="965" customFormat="1" hidden="1">
      <c r="A871" s="967"/>
      <c r="B871" s="967"/>
      <c r="C871" s="962" t="s">
        <v>68</v>
      </c>
      <c r="D871" s="967"/>
      <c r="E871" s="970"/>
      <c r="F871" s="970"/>
      <c r="G871" s="969"/>
      <c r="H871" s="964" t="s">
        <v>2313</v>
      </c>
    </row>
    <row r="872" spans="1:8" hidden="1">
      <c r="A872" s="967"/>
      <c r="B872" s="967"/>
      <c r="C872" s="1382" t="s">
        <v>94</v>
      </c>
      <c r="D872" s="967" t="s">
        <v>27</v>
      </c>
      <c r="E872" s="970">
        <v>0.33</v>
      </c>
      <c r="F872" s="970">
        <f>'MINI SSR 2022-23 (2)'!$H$8</f>
        <v>705</v>
      </c>
      <c r="G872" s="969">
        <f>ROUND(E872*F872,2)</f>
        <v>232.65</v>
      </c>
      <c r="H872" s="964" t="s">
        <v>2313</v>
      </c>
    </row>
    <row r="873" spans="1:8" hidden="1">
      <c r="A873" s="967"/>
      <c r="B873" s="967"/>
      <c r="C873" s="1382" t="s">
        <v>876</v>
      </c>
      <c r="D873" s="967" t="s">
        <v>27</v>
      </c>
      <c r="E873" s="970">
        <v>0.77</v>
      </c>
      <c r="F873" s="970">
        <f>'MINI SSR 2022-23 (2)'!$H$9</f>
        <v>565</v>
      </c>
      <c r="G873" s="969">
        <f>ROUND(E873*F873,2)</f>
        <v>435.05</v>
      </c>
      <c r="H873" s="964" t="s">
        <v>2313</v>
      </c>
    </row>
    <row r="874" spans="1:8" hidden="1">
      <c r="A874" s="967"/>
      <c r="B874" s="967"/>
      <c r="C874" s="962" t="s">
        <v>99</v>
      </c>
      <c r="D874" s="967"/>
      <c r="E874" s="967"/>
      <c r="F874" s="967"/>
      <c r="G874" s="971">
        <f>SUM(G863:G873)</f>
        <v>1498.55</v>
      </c>
      <c r="H874" s="964" t="s">
        <v>2313</v>
      </c>
    </row>
    <row r="875" spans="1:8" hidden="1">
      <c r="A875" s="967"/>
      <c r="B875" s="967"/>
      <c r="C875" s="962" t="s">
        <v>121</v>
      </c>
      <c r="D875" s="967"/>
      <c r="E875" s="967"/>
      <c r="F875" s="967"/>
      <c r="G875" s="971">
        <f>ROUND(G874/10,2)</f>
        <v>149.86000000000001</v>
      </c>
      <c r="H875" s="964" t="s">
        <v>2313</v>
      </c>
    </row>
    <row r="876" spans="1:8" ht="63.75" hidden="1">
      <c r="A876" s="896">
        <v>59</v>
      </c>
      <c r="B876" s="966"/>
      <c r="C876" s="1382" t="s">
        <v>1181</v>
      </c>
      <c r="D876" s="967"/>
      <c r="E876" s="967"/>
      <c r="F876" s="967"/>
      <c r="G876" s="972"/>
      <c r="H876" s="964" t="s">
        <v>2313</v>
      </c>
    </row>
    <row r="877" spans="1:8" hidden="1">
      <c r="A877" s="967"/>
      <c r="B877" s="967" t="s">
        <v>1420</v>
      </c>
      <c r="C877" s="1382" t="s">
        <v>1419</v>
      </c>
      <c r="D877" s="967" t="s">
        <v>102</v>
      </c>
      <c r="E877" s="970">
        <v>1</v>
      </c>
      <c r="F877" s="970">
        <v>205</v>
      </c>
      <c r="G877" s="969">
        <f>ROUND(E877*F877,2)</f>
        <v>205</v>
      </c>
      <c r="H877" s="964" t="s">
        <v>2313</v>
      </c>
    </row>
    <row r="878" spans="1:8" hidden="1">
      <c r="A878" s="967"/>
      <c r="B878" s="967"/>
      <c r="C878" s="962"/>
      <c r="D878" s="967"/>
      <c r="E878" s="967"/>
      <c r="F878" s="967"/>
      <c r="G878" s="971">
        <f>SUM(G877:G877)</f>
        <v>205</v>
      </c>
      <c r="H878" s="964" t="s">
        <v>2313</v>
      </c>
    </row>
    <row r="879" spans="1:8" s="1403" customFormat="1" ht="225">
      <c r="A879" s="1397">
        <v>7</v>
      </c>
      <c r="B879" s="1490"/>
      <c r="C879" s="1541" t="s">
        <v>1183</v>
      </c>
      <c r="D879" s="1481"/>
      <c r="E879" s="1481"/>
      <c r="F879" s="1481"/>
      <c r="G879" s="1487"/>
      <c r="H879" s="1483" t="s">
        <v>2313</v>
      </c>
    </row>
    <row r="880" spans="1:8" s="1403" customFormat="1">
      <c r="A880" s="1481"/>
      <c r="B880" s="1481"/>
      <c r="C880" s="1484" t="s">
        <v>222</v>
      </c>
      <c r="D880" s="1481"/>
      <c r="E880" s="1485"/>
      <c r="F880" s="1485"/>
      <c r="G880" s="1486"/>
      <c r="H880" s="1483" t="s">
        <v>2313</v>
      </c>
    </row>
    <row r="881" spans="1:8" s="1403" customFormat="1">
      <c r="A881" s="1481"/>
      <c r="B881" s="1481" t="s">
        <v>1422</v>
      </c>
      <c r="C881" s="1484" t="s">
        <v>1421</v>
      </c>
      <c r="D881" s="1485" t="s">
        <v>291</v>
      </c>
      <c r="E881" s="1494">
        <v>6.5000000000000002E-2</v>
      </c>
      <c r="F881" s="1488">
        <f>'MINI SSR 2022-23 (2)'!G47</f>
        <v>843</v>
      </c>
      <c r="G881" s="1486">
        <f>ROUND(E881*F881,2)</f>
        <v>54.8</v>
      </c>
      <c r="H881" s="1483" t="s">
        <v>2313</v>
      </c>
    </row>
    <row r="882" spans="1:8" s="1403" customFormat="1">
      <c r="A882" s="1481"/>
      <c r="B882" s="1481" t="s">
        <v>1422</v>
      </c>
      <c r="C882" s="1484" t="s">
        <v>1423</v>
      </c>
      <c r="D882" s="1485" t="s">
        <v>291</v>
      </c>
      <c r="E882" s="1494">
        <v>3.3000000000000002E-2</v>
      </c>
      <c r="F882" s="1488">
        <f>'MINI SSR 2022-23 (2)'!G48</f>
        <v>254</v>
      </c>
      <c r="G882" s="1486">
        <f>ROUND(E882*F882,2)</f>
        <v>8.3800000000000008</v>
      </c>
      <c r="H882" s="1483" t="s">
        <v>2313</v>
      </c>
    </row>
    <row r="883" spans="1:8" s="1403" customFormat="1">
      <c r="A883" s="1397"/>
      <c r="B883" s="1490"/>
      <c r="C883" s="1484" t="s">
        <v>94</v>
      </c>
      <c r="D883" s="1485" t="s">
        <v>27</v>
      </c>
      <c r="E883" s="1485">
        <v>0.24</v>
      </c>
      <c r="F883" s="1485">
        <f>'MINI SSR 2022-23 (2)'!$H$8</f>
        <v>705</v>
      </c>
      <c r="G883" s="1486">
        <f>ROUND(E883*F883,2)</f>
        <v>169.2</v>
      </c>
      <c r="H883" s="1483" t="s">
        <v>2313</v>
      </c>
    </row>
    <row r="884" spans="1:8" s="1403" customFormat="1">
      <c r="A884" s="1397"/>
      <c r="B884" s="1490"/>
      <c r="C884" s="1484" t="s">
        <v>874</v>
      </c>
      <c r="D884" s="1485" t="s">
        <v>27</v>
      </c>
      <c r="E884" s="1485">
        <v>0.56000000000000005</v>
      </c>
      <c r="F884" s="1485">
        <f>'MINI SSR 2022-23 (2)'!$H$9</f>
        <v>565</v>
      </c>
      <c r="G884" s="1486">
        <f>ROUND(E884*F884,2)</f>
        <v>316.39999999999998</v>
      </c>
      <c r="H884" s="1483" t="s">
        <v>2313</v>
      </c>
    </row>
    <row r="885" spans="1:8" s="1403" customFormat="1">
      <c r="A885" s="1397"/>
      <c r="B885" s="1490"/>
      <c r="C885" s="1484" t="s">
        <v>157</v>
      </c>
      <c r="D885" s="1485" t="s">
        <v>27</v>
      </c>
      <c r="E885" s="1485">
        <v>0.8</v>
      </c>
      <c r="F885" s="1485">
        <f>'MINI SSR 2022-23 (2)'!$H$5</f>
        <v>525</v>
      </c>
      <c r="G885" s="1486">
        <f>ROUND(E885*F885,2)</f>
        <v>420</v>
      </c>
      <c r="H885" s="1483" t="s">
        <v>2313</v>
      </c>
    </row>
    <row r="886" spans="1:8" s="1403" customFormat="1">
      <c r="A886" s="1397"/>
      <c r="B886" s="1490"/>
      <c r="C886" s="1437" t="s">
        <v>1182</v>
      </c>
      <c r="D886" s="1485"/>
      <c r="E886" s="1535"/>
      <c r="F886" s="1535"/>
      <c r="G886" s="1486">
        <f>SUM(G881:G885)</f>
        <v>968.78</v>
      </c>
      <c r="H886" s="1483" t="s">
        <v>2313</v>
      </c>
    </row>
    <row r="887" spans="1:8" s="1403" customFormat="1" ht="102">
      <c r="A887" s="1397">
        <v>8</v>
      </c>
      <c r="B887" s="1490"/>
      <c r="C887" s="1484" t="s">
        <v>3320</v>
      </c>
      <c r="D887" s="1481"/>
      <c r="E887" s="1481"/>
      <c r="F887" s="1481"/>
      <c r="G887" s="1487"/>
      <c r="H887" s="1483" t="s">
        <v>2313</v>
      </c>
    </row>
    <row r="888" spans="1:8" s="1403" customFormat="1">
      <c r="A888" s="1481"/>
      <c r="B888" s="1481"/>
      <c r="C888" s="1484" t="s">
        <v>1185</v>
      </c>
      <c r="D888" s="1481" t="s">
        <v>102</v>
      </c>
      <c r="E888" s="1485">
        <v>1</v>
      </c>
      <c r="F888" s="1485">
        <v>630</v>
      </c>
      <c r="G888" s="1486">
        <f>ROUND(E888*F888,2)</f>
        <v>630</v>
      </c>
      <c r="H888" s="1483" t="s">
        <v>2313</v>
      </c>
    </row>
    <row r="889" spans="1:8" s="1403" customFormat="1">
      <c r="A889" s="1481"/>
      <c r="B889" s="1481"/>
      <c r="C889" s="1437"/>
      <c r="D889" s="1481"/>
      <c r="E889" s="1481"/>
      <c r="F889" s="1481"/>
      <c r="G889" s="1491">
        <f>SUM(G888:G888)</f>
        <v>630</v>
      </c>
      <c r="H889" s="1483" t="s">
        <v>2313</v>
      </c>
    </row>
    <row r="890" spans="1:8" ht="165.75" hidden="1">
      <c r="A890" s="896">
        <v>24</v>
      </c>
      <c r="B890" s="966"/>
      <c r="C890" s="1382" t="s">
        <v>680</v>
      </c>
      <c r="D890" s="967"/>
      <c r="E890" s="967"/>
      <c r="F890" s="967"/>
      <c r="G890" s="972"/>
      <c r="H890" s="964" t="s">
        <v>2313</v>
      </c>
    </row>
    <row r="891" spans="1:8" hidden="1">
      <c r="A891" s="967"/>
      <c r="B891" s="967" t="s">
        <v>1371</v>
      </c>
      <c r="C891" s="1382" t="s">
        <v>379</v>
      </c>
      <c r="D891" s="967" t="s">
        <v>102</v>
      </c>
      <c r="E891" s="970">
        <v>1</v>
      </c>
      <c r="F891" s="970">
        <f>'MINI SSR 2022-23 (2)'!C47</f>
        <v>4025</v>
      </c>
      <c r="G891" s="969">
        <f>ROUND(E891*F891,2)</f>
        <v>4025</v>
      </c>
      <c r="H891" s="964" t="s">
        <v>2313</v>
      </c>
    </row>
    <row r="892" spans="1:8" hidden="1">
      <c r="A892" s="967"/>
      <c r="B892" s="967"/>
      <c r="C892" s="962"/>
      <c r="D892" s="967"/>
      <c r="E892" s="967"/>
      <c r="F892" s="967"/>
      <c r="G892" s="971">
        <f>SUM(G891:G891)</f>
        <v>4025</v>
      </c>
      <c r="H892" s="964" t="s">
        <v>2313</v>
      </c>
    </row>
    <row r="893" spans="1:8" ht="51" hidden="1">
      <c r="A893" s="896">
        <v>9</v>
      </c>
      <c r="B893" s="966"/>
      <c r="C893" s="1382" t="s">
        <v>951</v>
      </c>
      <c r="D893" s="967"/>
      <c r="E893" s="967"/>
      <c r="F893" s="967"/>
      <c r="G893" s="972"/>
      <c r="H893" s="964" t="s">
        <v>2313</v>
      </c>
    </row>
    <row r="894" spans="1:8" hidden="1">
      <c r="A894" s="967"/>
      <c r="B894" s="967" t="s">
        <v>1425</v>
      </c>
      <c r="C894" s="1382" t="s">
        <v>1424</v>
      </c>
      <c r="D894" s="967" t="s">
        <v>275</v>
      </c>
      <c r="E894" s="920">
        <v>1</v>
      </c>
      <c r="F894" s="922">
        <v>303</v>
      </c>
      <c r="G894" s="969">
        <f>ROUND(E894*F894,2)</f>
        <v>303</v>
      </c>
      <c r="H894" s="964" t="s">
        <v>2313</v>
      </c>
    </row>
    <row r="895" spans="1:8" hidden="1">
      <c r="A895" s="967"/>
      <c r="B895" s="967"/>
      <c r="C895" s="1382" t="s">
        <v>953</v>
      </c>
      <c r="D895" s="967"/>
      <c r="E895" s="920"/>
      <c r="F895" s="922"/>
      <c r="G895" s="969"/>
      <c r="H895" s="964" t="s">
        <v>2313</v>
      </c>
    </row>
    <row r="896" spans="1:8" hidden="1">
      <c r="A896" s="967"/>
      <c r="B896" s="967"/>
      <c r="C896" s="1382" t="s">
        <v>3148</v>
      </c>
      <c r="D896" s="967"/>
      <c r="E896" s="920"/>
      <c r="F896" s="922"/>
      <c r="G896" s="969"/>
      <c r="H896" s="964" t="s">
        <v>2313</v>
      </c>
    </row>
    <row r="897" spans="1:8" hidden="1">
      <c r="A897" s="967"/>
      <c r="B897" s="967"/>
      <c r="C897" s="1382" t="s">
        <v>3149</v>
      </c>
      <c r="D897" s="967"/>
      <c r="E897" s="920"/>
      <c r="F897" s="922"/>
      <c r="G897" s="969"/>
      <c r="H897" s="964" t="s">
        <v>2313</v>
      </c>
    </row>
    <row r="898" spans="1:8" hidden="1">
      <c r="A898" s="967"/>
      <c r="B898" s="967"/>
      <c r="C898" s="1382" t="s">
        <v>3150</v>
      </c>
      <c r="D898" s="967"/>
      <c r="E898" s="920"/>
      <c r="F898" s="922"/>
      <c r="G898" s="969"/>
      <c r="H898" s="964" t="s">
        <v>2313</v>
      </c>
    </row>
    <row r="899" spans="1:8" hidden="1">
      <c r="A899" s="967"/>
      <c r="B899" s="967"/>
      <c r="C899" s="1382" t="s">
        <v>957</v>
      </c>
      <c r="D899" s="967" t="s">
        <v>275</v>
      </c>
      <c r="E899" s="920">
        <v>1</v>
      </c>
      <c r="F899" s="922">
        <v>808</v>
      </c>
      <c r="G899" s="969">
        <f>ROUND(E899*F899,2)</f>
        <v>808</v>
      </c>
      <c r="H899" s="964" t="s">
        <v>2313</v>
      </c>
    </row>
    <row r="900" spans="1:8" hidden="1">
      <c r="A900" s="967"/>
      <c r="B900" s="967"/>
      <c r="C900" s="1385"/>
      <c r="D900" s="896"/>
      <c r="E900" s="920"/>
      <c r="F900" s="922"/>
      <c r="G900" s="924"/>
      <c r="H900" s="964" t="s">
        <v>2313</v>
      </c>
    </row>
    <row r="901" spans="1:8" hidden="1">
      <c r="A901" s="967"/>
      <c r="B901" s="967"/>
      <c r="C901" s="962"/>
      <c r="D901" s="967"/>
      <c r="E901" s="967"/>
      <c r="F901" s="967"/>
      <c r="G901" s="971">
        <f>SUM(G899:G900)</f>
        <v>808</v>
      </c>
      <c r="H901" s="964" t="s">
        <v>2313</v>
      </c>
    </row>
    <row r="902" spans="1:8" ht="51" hidden="1">
      <c r="A902" s="896">
        <v>14</v>
      </c>
      <c r="B902" s="966"/>
      <c r="C902" s="1382" t="s">
        <v>1231</v>
      </c>
      <c r="D902" s="967"/>
      <c r="E902" s="967"/>
      <c r="F902" s="967"/>
      <c r="G902" s="972"/>
      <c r="H902" s="964" t="s">
        <v>2313</v>
      </c>
    </row>
    <row r="903" spans="1:8" hidden="1">
      <c r="A903" s="967"/>
      <c r="B903" s="967" t="s">
        <v>1425</v>
      </c>
      <c r="C903" s="1382" t="s">
        <v>1424</v>
      </c>
      <c r="D903" s="967" t="s">
        <v>275</v>
      </c>
      <c r="E903" s="920">
        <v>1</v>
      </c>
      <c r="F903" s="922">
        <v>250</v>
      </c>
      <c r="G903" s="969">
        <f>ROUND(E903*F903,2)</f>
        <v>250</v>
      </c>
      <c r="H903" s="964" t="s">
        <v>2313</v>
      </c>
    </row>
    <row r="904" spans="1:8" hidden="1">
      <c r="A904" s="967"/>
      <c r="B904" s="967"/>
      <c r="C904" s="1382" t="s">
        <v>1235</v>
      </c>
      <c r="D904" s="967"/>
      <c r="E904" s="920"/>
      <c r="F904" s="922"/>
      <c r="G904" s="969"/>
      <c r="H904" s="964" t="s">
        <v>2313</v>
      </c>
    </row>
    <row r="905" spans="1:8" hidden="1">
      <c r="A905" s="967"/>
      <c r="B905" s="967"/>
      <c r="C905" s="1382" t="s">
        <v>1232</v>
      </c>
      <c r="D905" s="967"/>
      <c r="E905" s="920"/>
      <c r="F905" s="922"/>
      <c r="G905" s="969"/>
      <c r="H905" s="964" t="s">
        <v>2313</v>
      </c>
    </row>
    <row r="906" spans="1:8" hidden="1">
      <c r="A906" s="967"/>
      <c r="B906" s="967"/>
      <c r="C906" s="1382" t="s">
        <v>1233</v>
      </c>
      <c r="D906" s="967"/>
      <c r="E906" s="920"/>
      <c r="F906" s="922"/>
      <c r="G906" s="969"/>
      <c r="H906" s="964" t="s">
        <v>2313</v>
      </c>
    </row>
    <row r="907" spans="1:8" hidden="1">
      <c r="A907" s="967"/>
      <c r="B907" s="967"/>
      <c r="C907" s="1382" t="s">
        <v>1234</v>
      </c>
      <c r="D907" s="967"/>
      <c r="E907" s="920"/>
      <c r="F907" s="922"/>
      <c r="G907" s="969"/>
      <c r="H907" s="964" t="s">
        <v>2313</v>
      </c>
    </row>
    <row r="908" spans="1:8" hidden="1">
      <c r="A908" s="967"/>
      <c r="B908" s="967"/>
      <c r="C908" s="1382" t="s">
        <v>1235</v>
      </c>
      <c r="D908" s="967" t="s">
        <v>275</v>
      </c>
      <c r="E908" s="920">
        <v>1</v>
      </c>
      <c r="F908" s="922">
        <v>500</v>
      </c>
      <c r="G908" s="969">
        <f>ROUND(E908*F908,2)</f>
        <v>500</v>
      </c>
      <c r="H908" s="964" t="s">
        <v>2313</v>
      </c>
    </row>
    <row r="909" spans="1:8" hidden="1">
      <c r="A909" s="967"/>
      <c r="B909" s="967"/>
      <c r="C909" s="1385"/>
      <c r="D909" s="896"/>
      <c r="E909" s="920"/>
      <c r="F909" s="922"/>
      <c r="G909" s="924"/>
      <c r="H909" s="964" t="s">
        <v>2313</v>
      </c>
    </row>
    <row r="910" spans="1:8" hidden="1">
      <c r="A910" s="967"/>
      <c r="B910" s="967"/>
      <c r="C910" s="962"/>
      <c r="D910" s="967"/>
      <c r="E910" s="967"/>
      <c r="F910" s="967"/>
      <c r="G910" s="971">
        <f>SUM(G908:G909)</f>
        <v>500</v>
      </c>
      <c r="H910" s="964" t="s">
        <v>2313</v>
      </c>
    </row>
    <row r="911" spans="1:8" ht="51" hidden="1">
      <c r="A911" s="896">
        <v>10</v>
      </c>
      <c r="B911" s="966"/>
      <c r="C911" s="1382" t="s">
        <v>952</v>
      </c>
      <c r="D911" s="967"/>
      <c r="E911" s="967"/>
      <c r="F911" s="967"/>
      <c r="G911" s="972"/>
      <c r="H911" s="964" t="s">
        <v>2313</v>
      </c>
    </row>
    <row r="912" spans="1:8" hidden="1">
      <c r="A912" s="967"/>
      <c r="B912" s="967" t="s">
        <v>1427</v>
      </c>
      <c r="C912" s="1382" t="s">
        <v>1426</v>
      </c>
      <c r="D912" s="967" t="s">
        <v>275</v>
      </c>
      <c r="E912" s="920">
        <v>1</v>
      </c>
      <c r="F912" s="922">
        <v>130</v>
      </c>
      <c r="G912" s="969">
        <f>ROUND(E912*F912,2)</f>
        <v>130</v>
      </c>
      <c r="H912" s="964" t="s">
        <v>2313</v>
      </c>
    </row>
    <row r="913" spans="1:8" hidden="1">
      <c r="A913" s="967"/>
      <c r="B913" s="967"/>
      <c r="C913" s="1385"/>
      <c r="D913" s="896"/>
      <c r="E913" s="920"/>
      <c r="F913" s="922"/>
      <c r="G913" s="924"/>
      <c r="H913" s="964" t="s">
        <v>2313</v>
      </c>
    </row>
    <row r="914" spans="1:8" hidden="1">
      <c r="A914" s="967"/>
      <c r="B914" s="967"/>
      <c r="C914" s="962"/>
      <c r="D914" s="967"/>
      <c r="E914" s="967"/>
      <c r="F914" s="967"/>
      <c r="G914" s="971">
        <f>SUM(G912:G913)</f>
        <v>130</v>
      </c>
      <c r="H914" s="964" t="s">
        <v>2313</v>
      </c>
    </row>
    <row r="915" spans="1:8" hidden="1">
      <c r="A915" s="896">
        <v>25</v>
      </c>
      <c r="B915" s="966"/>
      <c r="C915" s="1002" t="s">
        <v>932</v>
      </c>
      <c r="D915" s="967"/>
      <c r="E915" s="967"/>
      <c r="F915" s="967"/>
      <c r="G915" s="967"/>
      <c r="H915" s="964" t="s">
        <v>2313</v>
      </c>
    </row>
    <row r="916" spans="1:8" hidden="1">
      <c r="A916" s="967"/>
      <c r="B916" s="967" t="s">
        <v>1406</v>
      </c>
      <c r="C916" s="1002" t="s">
        <v>379</v>
      </c>
      <c r="D916" s="967" t="s">
        <v>102</v>
      </c>
      <c r="E916" s="970">
        <v>1</v>
      </c>
      <c r="F916" s="970">
        <f>'door 2022-23'!F220</f>
        <v>388</v>
      </c>
      <c r="G916" s="969">
        <f>ROUND(E916*F916,2)</f>
        <v>388</v>
      </c>
      <c r="H916" s="964" t="s">
        <v>2313</v>
      </c>
    </row>
    <row r="917" spans="1:8" hidden="1">
      <c r="A917" s="967"/>
      <c r="B917" s="967"/>
      <c r="C917" s="1002" t="s">
        <v>929</v>
      </c>
      <c r="D917" s="896" t="s">
        <v>108</v>
      </c>
      <c r="E917" s="922">
        <v>0.06</v>
      </c>
      <c r="F917" s="970">
        <f>'door 2022-23'!F221</f>
        <v>630</v>
      </c>
      <c r="G917" s="924">
        <f>ROUND(E917*F917,2)</f>
        <v>37.799999999999997</v>
      </c>
      <c r="H917" s="964" t="s">
        <v>2313</v>
      </c>
    </row>
    <row r="918" spans="1:8" hidden="1">
      <c r="A918" s="967"/>
      <c r="B918" s="967"/>
      <c r="C918" s="1002" t="s">
        <v>930</v>
      </c>
      <c r="D918" s="896" t="s">
        <v>108</v>
      </c>
      <c r="E918" s="922">
        <v>0.06</v>
      </c>
      <c r="F918" s="970">
        <f>'door 2022-23'!F222</f>
        <v>565</v>
      </c>
      <c r="G918" s="924">
        <f>ROUND(E918*F918,2)</f>
        <v>33.9</v>
      </c>
      <c r="H918" s="964" t="s">
        <v>2313</v>
      </c>
    </row>
    <row r="919" spans="1:8" hidden="1">
      <c r="A919" s="967"/>
      <c r="B919" s="967"/>
      <c r="C919" s="1003" t="s">
        <v>931</v>
      </c>
      <c r="D919" s="896" t="s">
        <v>108</v>
      </c>
      <c r="E919" s="920">
        <v>0.27500000000000002</v>
      </c>
      <c r="F919" s="970">
        <f>'door 2022-23'!F223</f>
        <v>525</v>
      </c>
      <c r="G919" s="924">
        <f>ROUND(E919*F919,2)</f>
        <v>144.38</v>
      </c>
      <c r="H919" s="964" t="s">
        <v>2313</v>
      </c>
    </row>
    <row r="920" spans="1:8" hidden="1">
      <c r="A920" s="967"/>
      <c r="B920" s="967"/>
      <c r="C920" s="1004" t="s">
        <v>1402</v>
      </c>
      <c r="D920" s="967"/>
      <c r="E920" s="967"/>
      <c r="F920" s="967"/>
      <c r="G920" s="971">
        <f>SUM(G916:G919)</f>
        <v>604.07999999999993</v>
      </c>
      <c r="H920" s="964" t="s">
        <v>2313</v>
      </c>
    </row>
    <row r="921" spans="1:8" ht="15.95" customHeight="1"/>
    <row r="922" spans="1:8" ht="15.95" customHeight="1"/>
    <row r="923" spans="1:8" ht="15.95" customHeight="1">
      <c r="C923" s="964" t="str">
        <f>'lead 22-23 P-B'!H31</f>
        <v>Deputy Executive Engineer</v>
      </c>
      <c r="E923" s="964" t="str">
        <f>'lead 22-23 P-B'!K31</f>
        <v>Assistant  Engineer</v>
      </c>
    </row>
    <row r="924" spans="1:8">
      <c r="C924" s="964" t="str">
        <f>'lead 22-23 P-B'!H32</f>
        <v>PRI Sub Division</v>
      </c>
      <c r="E924" s="964" t="str">
        <f>'lead 22-23 P-B'!K32</f>
        <v>Mandal Praja parishad</v>
      </c>
    </row>
    <row r="925" spans="1:8">
      <c r="C925" s="964" t="str">
        <f>'lead 22-23 P-B'!H33</f>
        <v>Kanigiri</v>
      </c>
      <c r="E925" s="964" t="str">
        <f>'lead 22-23 P-B'!K33</f>
        <v>Kanigiri</v>
      </c>
    </row>
  </sheetData>
  <autoFilter ref="A4:H920">
    <filterColumn colId="0">
      <colorFilter dxfId="3"/>
    </filterColumn>
  </autoFilter>
  <mergeCells count="2">
    <mergeCell ref="A1:G1"/>
    <mergeCell ref="A2:G2"/>
  </mergeCells>
  <pageMargins left="0.74" right="0.23" top="0.52" bottom="0.45" header="0.34" footer="0.17"/>
  <pageSetup paperSize="9" orientation="portrait" verticalDpi="0" r:id="rId1"/>
  <headerFooter alignWithMargins="0"/>
</worksheet>
</file>

<file path=xl/worksheets/sheet29.xml><?xml version="1.0" encoding="utf-8"?>
<worksheet xmlns="http://schemas.openxmlformats.org/spreadsheetml/2006/main" xmlns:r="http://schemas.openxmlformats.org/officeDocument/2006/relationships">
  <sheetPr filterMode="1">
    <tabColor rgb="FF00B050"/>
  </sheetPr>
  <dimension ref="A1:L273"/>
  <sheetViews>
    <sheetView view="pageBreakPreview" topLeftCell="A259" zoomScale="115" zoomScaleSheetLayoutView="115" workbookViewId="0">
      <selection activeCell="A259" sqref="A259"/>
    </sheetView>
  </sheetViews>
  <sheetFormatPr defaultColWidth="9.140625" defaultRowHeight="12.75"/>
  <cols>
    <col min="1" max="1" width="4.5703125" style="901" customWidth="1"/>
    <col min="2" max="2" width="10.42578125" style="901" customWidth="1"/>
    <col min="3" max="3" width="35.7109375" style="1011" customWidth="1"/>
    <col min="4" max="4" width="6.5703125" style="964" bestFit="1" customWidth="1"/>
    <col min="5" max="5" width="6.28515625" style="964" customWidth="1"/>
    <col min="6" max="6" width="9.5703125" style="964" bestFit="1" customWidth="1"/>
    <col min="7" max="7" width="9.5703125" style="964" customWidth="1"/>
    <col min="8" max="8" width="10.5703125" style="901" customWidth="1"/>
    <col min="9" max="9" width="7.5703125" style="964" customWidth="1"/>
    <col min="10" max="10" width="3" style="901" bestFit="1" customWidth="1"/>
    <col min="11" max="11" width="9.140625" style="901"/>
    <col min="12" max="12" width="8.5703125" style="901" bestFit="1" customWidth="1"/>
    <col min="13" max="13" width="55.5703125" style="901" customWidth="1"/>
    <col min="14" max="14" width="10.42578125" style="901" customWidth="1"/>
    <col min="15" max="15" width="5.42578125" style="901" bestFit="1" customWidth="1"/>
    <col min="16" max="16384" width="9.140625" style="901"/>
  </cols>
  <sheetData>
    <row r="1" spans="1:10">
      <c r="A1" s="1663" t="s">
        <v>2417</v>
      </c>
      <c r="B1" s="1663"/>
      <c r="C1" s="1663"/>
      <c r="D1" s="1663"/>
      <c r="E1" s="1663"/>
      <c r="F1" s="1663"/>
      <c r="G1" s="1663"/>
      <c r="H1" s="1663"/>
    </row>
    <row r="2" spans="1:10" ht="21" customHeight="1">
      <c r="A2" s="1664" t="str">
        <f>'lead 19-20'!B2&amp;'lead 19-20'!C2</f>
        <v>Name of the Work: Providing Additional Space for Health Staff in Grama Sachivalayam of Baduguleru GP of Kanigiri Mandal</v>
      </c>
      <c r="B2" s="1664"/>
      <c r="C2" s="1664"/>
      <c r="D2" s="1664"/>
      <c r="E2" s="1664"/>
      <c r="F2" s="1664"/>
      <c r="G2" s="1664"/>
      <c r="H2" s="1664"/>
    </row>
    <row r="3" spans="1:10">
      <c r="A3" s="1010"/>
      <c r="E3" s="964" t="s">
        <v>270</v>
      </c>
      <c r="F3" s="1012" t="str">
        <f>'lead 22-23 P-B'!K4</f>
        <v>3.30 lakhs</v>
      </c>
      <c r="G3" s="1012"/>
    </row>
    <row r="4" spans="1:10" ht="3" customHeight="1"/>
    <row r="5" spans="1:10" s="1006" customFormat="1" ht="19.5" customHeight="1">
      <c r="A5" s="1392" t="s">
        <v>23</v>
      </c>
      <c r="B5" s="1392" t="s">
        <v>24</v>
      </c>
      <c r="C5" s="1013" t="s">
        <v>25</v>
      </c>
      <c r="D5" s="1392" t="s">
        <v>16</v>
      </c>
      <c r="E5" s="1392" t="s">
        <v>6</v>
      </c>
      <c r="F5" s="1392" t="s">
        <v>8</v>
      </c>
      <c r="G5" s="1392"/>
      <c r="H5" s="1392" t="s">
        <v>10</v>
      </c>
    </row>
    <row r="6" spans="1:10" s="1403" customFormat="1" ht="127.5">
      <c r="A6" s="1397">
        <v>1</v>
      </c>
      <c r="B6" s="1490"/>
      <c r="C6" s="1542" t="s">
        <v>1308</v>
      </c>
      <c r="D6" s="1481"/>
      <c r="E6" s="1481"/>
      <c r="F6" s="1481"/>
      <c r="G6" s="1481"/>
      <c r="H6" s="1487"/>
      <c r="I6" s="1483" t="s">
        <v>2313</v>
      </c>
    </row>
    <row r="7" spans="1:10" s="1403" customFormat="1">
      <c r="A7" s="1397"/>
      <c r="B7" s="1490"/>
      <c r="C7" s="1436" t="s">
        <v>100</v>
      </c>
      <c r="D7" s="1481"/>
      <c r="E7" s="1481"/>
      <c r="F7" s="1481"/>
      <c r="G7" s="1481"/>
      <c r="H7" s="1487"/>
      <c r="I7" s="1483" t="s">
        <v>2313</v>
      </c>
    </row>
    <row r="8" spans="1:10" s="1543" customFormat="1">
      <c r="A8" s="1397"/>
      <c r="B8" s="1490"/>
      <c r="C8" s="1436" t="s">
        <v>594</v>
      </c>
      <c r="D8" s="1481"/>
      <c r="E8" s="1481"/>
      <c r="F8" s="1481"/>
      <c r="G8" s="1481"/>
      <c r="H8" s="1487"/>
      <c r="I8" s="1483" t="s">
        <v>2313</v>
      </c>
      <c r="J8" s="1403"/>
    </row>
    <row r="9" spans="1:10" s="1543" customFormat="1">
      <c r="A9" s="1397"/>
      <c r="B9" s="1490"/>
      <c r="C9" s="1542" t="s">
        <v>2</v>
      </c>
      <c r="D9" s="1544">
        <v>2</v>
      </c>
      <c r="E9" s="1545">
        <v>1.9</v>
      </c>
      <c r="F9" s="1546">
        <v>0.1</v>
      </c>
      <c r="G9" s="1546">
        <v>7.4999999999999997E-2</v>
      </c>
      <c r="H9" s="1547">
        <f>ROUND(D9*E9*F9*G9,4)</f>
        <v>2.8500000000000001E-2</v>
      </c>
      <c r="I9" s="1483" t="s">
        <v>2313</v>
      </c>
      <c r="J9" s="1403"/>
    </row>
    <row r="10" spans="1:10" s="1543" customFormat="1">
      <c r="A10" s="1397"/>
      <c r="B10" s="1490"/>
      <c r="C10" s="1542" t="s">
        <v>741</v>
      </c>
      <c r="D10" s="1544">
        <v>2</v>
      </c>
      <c r="E10" s="1545">
        <v>1.2</v>
      </c>
      <c r="F10" s="1546">
        <v>0.1</v>
      </c>
      <c r="G10" s="1546">
        <v>7.4999999999999997E-2</v>
      </c>
      <c r="H10" s="1547">
        <f>ROUND(D10*E10*F10*G10,4)</f>
        <v>1.7999999999999999E-2</v>
      </c>
      <c r="I10" s="1483" t="s">
        <v>2313</v>
      </c>
      <c r="J10" s="1403"/>
    </row>
    <row r="11" spans="1:10" s="1543" customFormat="1">
      <c r="A11" s="1397"/>
      <c r="B11" s="1490"/>
      <c r="C11" s="1436"/>
      <c r="D11" s="1481"/>
      <c r="E11" s="1481"/>
      <c r="F11" s="1481"/>
      <c r="G11" s="1481"/>
      <c r="H11" s="1548">
        <f>SUM(H9:H10)</f>
        <v>4.65E-2</v>
      </c>
      <c r="I11" s="1483" t="s">
        <v>2313</v>
      </c>
      <c r="J11" s="1403"/>
    </row>
    <row r="12" spans="1:10" s="1543" customFormat="1">
      <c r="A12" s="1397"/>
      <c r="B12" s="1490"/>
      <c r="C12" s="1436" t="s">
        <v>320</v>
      </c>
      <c r="D12" s="1544">
        <v>2</v>
      </c>
      <c r="E12" s="1545">
        <v>1.95</v>
      </c>
      <c r="F12" s="1546">
        <v>0.52</v>
      </c>
      <c r="G12" s="1546">
        <v>0.03</v>
      </c>
      <c r="H12" s="1547">
        <f>ROUND(D12*E12*F12*G12,4)</f>
        <v>6.08E-2</v>
      </c>
      <c r="I12" s="1483" t="s">
        <v>2313</v>
      </c>
      <c r="J12" s="1403"/>
    </row>
    <row r="13" spans="1:10" s="1543" customFormat="1">
      <c r="A13" s="1397"/>
      <c r="B13" s="1490"/>
      <c r="C13" s="1436"/>
      <c r="D13" s="1481"/>
      <c r="E13" s="1481"/>
      <c r="F13" s="1481"/>
      <c r="G13" s="1481"/>
      <c r="H13" s="1548">
        <f>SUM(H12)</f>
        <v>6.08E-2</v>
      </c>
      <c r="I13" s="1483" t="s">
        <v>2313</v>
      </c>
      <c r="J13" s="1403"/>
    </row>
    <row r="14" spans="1:10" s="1543" customFormat="1">
      <c r="A14" s="1397"/>
      <c r="B14" s="1490" t="s">
        <v>1373</v>
      </c>
      <c r="C14" s="1542" t="s">
        <v>1372</v>
      </c>
      <c r="D14" s="1481"/>
      <c r="E14" s="1481" t="s">
        <v>35</v>
      </c>
      <c r="F14" s="1496">
        <f>H11</f>
        <v>4.65E-2</v>
      </c>
      <c r="G14" s="1497">
        <f>'MINI SSR 2022-23 (2)'!C142</f>
        <v>81950</v>
      </c>
      <c r="H14" s="1486">
        <f t="shared" ref="H14:H21" si="0">ROUND(F14*G14,2)</f>
        <v>3810.68</v>
      </c>
      <c r="I14" s="1483" t="s">
        <v>2313</v>
      </c>
      <c r="J14" s="1403"/>
    </row>
    <row r="15" spans="1:10" s="1543" customFormat="1">
      <c r="A15" s="1397"/>
      <c r="B15" s="1490" t="s">
        <v>1375</v>
      </c>
      <c r="C15" s="1542" t="s">
        <v>1374</v>
      </c>
      <c r="D15" s="1481"/>
      <c r="E15" s="1481" t="s">
        <v>35</v>
      </c>
      <c r="F15" s="1496">
        <f>H13</f>
        <v>6.08E-2</v>
      </c>
      <c r="G15" s="1497">
        <f>'MINI SSR 2022-23 (2)'!C143</f>
        <v>160920</v>
      </c>
      <c r="H15" s="1486">
        <f t="shared" si="0"/>
        <v>9783.94</v>
      </c>
      <c r="I15" s="1483" t="s">
        <v>2313</v>
      </c>
      <c r="J15" s="1403"/>
    </row>
    <row r="16" spans="1:10" s="1543" customFormat="1">
      <c r="A16" s="1397"/>
      <c r="B16" s="1490" t="s">
        <v>1377</v>
      </c>
      <c r="C16" s="1542" t="s">
        <v>1376</v>
      </c>
      <c r="D16" s="1481"/>
      <c r="E16" s="1481" t="s">
        <v>11</v>
      </c>
      <c r="F16" s="1497">
        <v>2</v>
      </c>
      <c r="G16" s="1485">
        <f>'MINI SSR 2022-23 (2)'!G142</f>
        <v>255</v>
      </c>
      <c r="H16" s="1486">
        <f t="shared" si="0"/>
        <v>510</v>
      </c>
      <c r="I16" s="1483" t="s">
        <v>2313</v>
      </c>
      <c r="J16" s="1403"/>
    </row>
    <row r="17" spans="1:12" s="1403" customFormat="1">
      <c r="A17" s="1397"/>
      <c r="B17" s="1490" t="s">
        <v>1379</v>
      </c>
      <c r="C17" s="1542" t="s">
        <v>1378</v>
      </c>
      <c r="D17" s="1481"/>
      <c r="E17" s="1481" t="s">
        <v>11</v>
      </c>
      <c r="F17" s="1497">
        <v>6</v>
      </c>
      <c r="G17" s="1485">
        <f>'MINI SSR 2022-23 (2)'!G145</f>
        <v>273</v>
      </c>
      <c r="H17" s="1486">
        <f t="shared" si="0"/>
        <v>1638</v>
      </c>
      <c r="I17" s="1483" t="s">
        <v>2313</v>
      </c>
    </row>
    <row r="18" spans="1:12" s="1403" customFormat="1">
      <c r="A18" s="1397"/>
      <c r="B18" s="1490" t="s">
        <v>1381</v>
      </c>
      <c r="C18" s="1542" t="s">
        <v>1380</v>
      </c>
      <c r="D18" s="1481"/>
      <c r="E18" s="1481" t="s">
        <v>11</v>
      </c>
      <c r="F18" s="1497"/>
      <c r="G18" s="1485">
        <f>'MINI SSR 2022-23 (2)'!G144</f>
        <v>108</v>
      </c>
      <c r="H18" s="1486">
        <f t="shared" si="0"/>
        <v>0</v>
      </c>
      <c r="I18" s="1483" t="s">
        <v>2313</v>
      </c>
    </row>
    <row r="19" spans="1:12" s="1403" customFormat="1">
      <c r="A19" s="1397"/>
      <c r="B19" s="1490" t="s">
        <v>1383</v>
      </c>
      <c r="C19" s="1542" t="s">
        <v>1382</v>
      </c>
      <c r="D19" s="1481"/>
      <c r="E19" s="1481" t="s">
        <v>11</v>
      </c>
      <c r="F19" s="1497">
        <v>2</v>
      </c>
      <c r="G19" s="1485">
        <f>'MINI SSR 2022-23 (2)'!G148</f>
        <v>1195</v>
      </c>
      <c r="H19" s="1486">
        <f t="shared" si="0"/>
        <v>2390</v>
      </c>
      <c r="I19" s="1483" t="s">
        <v>2313</v>
      </c>
    </row>
    <row r="20" spans="1:12" s="1403" customFormat="1">
      <c r="A20" s="1397"/>
      <c r="B20" s="1490" t="s">
        <v>1385</v>
      </c>
      <c r="C20" s="1542" t="s">
        <v>1384</v>
      </c>
      <c r="D20" s="1481"/>
      <c r="E20" s="1481" t="s">
        <v>11</v>
      </c>
      <c r="F20" s="1497">
        <v>1</v>
      </c>
      <c r="G20" s="1485">
        <f>'MINI SSR 2022-23 (2)'!G150</f>
        <v>185</v>
      </c>
      <c r="H20" s="1486">
        <f t="shared" si="0"/>
        <v>185</v>
      </c>
      <c r="I20" s="1483" t="s">
        <v>2313</v>
      </c>
    </row>
    <row r="21" spans="1:12" s="1403" customFormat="1">
      <c r="A21" s="1397"/>
      <c r="B21" s="1490" t="s">
        <v>1387</v>
      </c>
      <c r="C21" s="1542" t="s">
        <v>1386</v>
      </c>
      <c r="D21" s="1481"/>
      <c r="E21" s="1481" t="s">
        <v>11</v>
      </c>
      <c r="F21" s="1497">
        <v>6</v>
      </c>
      <c r="G21" s="1485">
        <f>'MINI SSR 2022-23 (2)'!G152</f>
        <v>39</v>
      </c>
      <c r="H21" s="1486">
        <f t="shared" si="0"/>
        <v>234</v>
      </c>
      <c r="I21" s="1483" t="s">
        <v>2313</v>
      </c>
    </row>
    <row r="22" spans="1:12" s="1403" customFormat="1">
      <c r="A22" s="1481"/>
      <c r="B22" s="1481"/>
      <c r="C22" s="1436" t="s">
        <v>68</v>
      </c>
      <c r="D22" s="1481"/>
      <c r="E22" s="1481"/>
      <c r="F22" s="1485"/>
      <c r="G22" s="1489"/>
      <c r="H22" s="1486"/>
      <c r="I22" s="1483" t="s">
        <v>2313</v>
      </c>
    </row>
    <row r="23" spans="1:12" s="1403" customFormat="1">
      <c r="A23" s="1481"/>
      <c r="B23" s="1481" t="s">
        <v>1389</v>
      </c>
      <c r="C23" s="1542" t="s">
        <v>1388</v>
      </c>
      <c r="D23" s="1481"/>
      <c r="E23" s="1481" t="s">
        <v>102</v>
      </c>
      <c r="F23" s="1485">
        <v>2.52</v>
      </c>
      <c r="G23" s="1485">
        <f>'MINI SSR 2022-23 (2)'!C149</f>
        <v>1727</v>
      </c>
      <c r="H23" s="1486">
        <f>ROUND(F23*G23,2)</f>
        <v>4352.04</v>
      </c>
      <c r="I23" s="1483" t="s">
        <v>2313</v>
      </c>
      <c r="L23" s="1549">
        <f>H23</f>
        <v>4352.04</v>
      </c>
    </row>
    <row r="24" spans="1:12" s="1403" customFormat="1" ht="13.5" thickBot="1">
      <c r="A24" s="1481"/>
      <c r="B24" s="1481"/>
      <c r="C24" s="1436"/>
      <c r="D24" s="1481"/>
      <c r="E24" s="1481"/>
      <c r="F24" s="1481"/>
      <c r="G24" s="1481"/>
      <c r="H24" s="1491">
        <f>SUM(H14:H23)</f>
        <v>22903.660000000003</v>
      </c>
      <c r="I24" s="1483" t="s">
        <v>2313</v>
      </c>
      <c r="L24" s="1550">
        <f>SUM(L23)</f>
        <v>4352.04</v>
      </c>
    </row>
    <row r="25" spans="1:12" ht="102.75" hidden="1" thickTop="1">
      <c r="A25" s="896">
        <v>1</v>
      </c>
      <c r="B25" s="966"/>
      <c r="C25" s="1002" t="s">
        <v>2773</v>
      </c>
      <c r="D25" s="967"/>
      <c r="E25" s="967"/>
      <c r="F25" s="967"/>
      <c r="G25" s="967"/>
      <c r="H25" s="972"/>
      <c r="I25" s="964" t="s">
        <v>2313</v>
      </c>
    </row>
    <row r="26" spans="1:12" ht="13.5" hidden="1" thickTop="1">
      <c r="A26" s="896"/>
      <c r="B26" s="966"/>
      <c r="C26" s="1004" t="s">
        <v>100</v>
      </c>
      <c r="D26" s="967"/>
      <c r="E26" s="967"/>
      <c r="F26" s="967"/>
      <c r="G26" s="967"/>
      <c r="H26" s="972"/>
      <c r="I26" s="964" t="s">
        <v>2313</v>
      </c>
    </row>
    <row r="27" spans="1:12" s="965" customFormat="1" ht="13.5" hidden="1" thickTop="1">
      <c r="A27" s="896"/>
      <c r="B27" s="966"/>
      <c r="C27" s="1004" t="s">
        <v>1</v>
      </c>
      <c r="D27" s="967"/>
      <c r="E27" s="967"/>
      <c r="F27" s="967"/>
      <c r="G27" s="967"/>
      <c r="H27" s="972"/>
      <c r="I27" s="964" t="s">
        <v>2313</v>
      </c>
      <c r="J27" s="901"/>
    </row>
    <row r="28" spans="1:12" s="965" customFormat="1" ht="13.5" hidden="1" thickTop="1">
      <c r="A28" s="896"/>
      <c r="B28" s="966"/>
      <c r="C28" s="1002" t="s">
        <v>2</v>
      </c>
      <c r="D28" s="1014">
        <v>2</v>
      </c>
      <c r="E28" s="1015">
        <v>1.9</v>
      </c>
      <c r="F28" s="1016">
        <v>0.1</v>
      </c>
      <c r="G28" s="1016">
        <v>7.4999999999999997E-2</v>
      </c>
      <c r="H28" s="1017">
        <f>ROUND(D28*E28*F28*G28,4)</f>
        <v>2.8500000000000001E-2</v>
      </c>
      <c r="I28" s="964" t="s">
        <v>2313</v>
      </c>
      <c r="J28" s="901"/>
    </row>
    <row r="29" spans="1:12" s="965" customFormat="1" ht="13.5" hidden="1" thickTop="1">
      <c r="A29" s="896"/>
      <c r="B29" s="966"/>
      <c r="C29" s="1002" t="s">
        <v>741</v>
      </c>
      <c r="D29" s="1014">
        <v>1</v>
      </c>
      <c r="E29" s="1015">
        <v>1.2</v>
      </c>
      <c r="F29" s="1016">
        <v>0.1</v>
      </c>
      <c r="G29" s="1016">
        <v>7.4999999999999997E-2</v>
      </c>
      <c r="H29" s="1017">
        <f>ROUND(D29*E29*F29*G29,4)</f>
        <v>8.9999999999999993E-3</v>
      </c>
      <c r="I29" s="964" t="s">
        <v>2313</v>
      </c>
      <c r="J29" s="901"/>
    </row>
    <row r="30" spans="1:12" s="965" customFormat="1" ht="13.5" hidden="1" thickTop="1">
      <c r="A30" s="896"/>
      <c r="B30" s="966"/>
      <c r="C30" s="1004"/>
      <c r="D30" s="967"/>
      <c r="E30" s="967"/>
      <c r="F30" s="967"/>
      <c r="G30" s="967"/>
      <c r="H30" s="1018">
        <f>SUM(H28:H29)</f>
        <v>3.7499999999999999E-2</v>
      </c>
      <c r="I30" s="964" t="s">
        <v>2313</v>
      </c>
      <c r="J30" s="901"/>
    </row>
    <row r="31" spans="1:12" s="965" customFormat="1" ht="13.5" hidden="1" thickTop="1">
      <c r="A31" s="896"/>
      <c r="B31" s="967" t="s">
        <v>1373</v>
      </c>
      <c r="C31" s="1002" t="s">
        <v>1372</v>
      </c>
      <c r="D31" s="967"/>
      <c r="E31" s="967" t="s">
        <v>35</v>
      </c>
      <c r="F31" s="976">
        <f>H30</f>
        <v>3.7499999999999999E-2</v>
      </c>
      <c r="G31" s="970">
        <f>'MINI SSR 2022-23 (2)'!C142</f>
        <v>81950</v>
      </c>
      <c r="H31" s="969"/>
      <c r="I31" s="964" t="s">
        <v>2313</v>
      </c>
      <c r="J31" s="901"/>
    </row>
    <row r="32" spans="1:12" s="965" customFormat="1" ht="13.5" hidden="1" thickTop="1">
      <c r="A32" s="896"/>
      <c r="B32" s="967" t="s">
        <v>2092</v>
      </c>
      <c r="C32" s="1002" t="s">
        <v>2093</v>
      </c>
      <c r="D32" s="967"/>
      <c r="E32" s="967" t="s">
        <v>102</v>
      </c>
      <c r="F32" s="976">
        <f>ROUND((1.2-0.15+0.02)*(2.1-0.15+0.02),2)</f>
        <v>2.11</v>
      </c>
      <c r="G32" s="970">
        <f>'MINI SSR 2022-23 (2)'!$C$148</f>
        <v>2000</v>
      </c>
      <c r="H32" s="969">
        <f t="shared" ref="H32:H38" si="1">ROUND(F32*G32,2)</f>
        <v>4220</v>
      </c>
      <c r="I32" s="964" t="s">
        <v>2313</v>
      </c>
      <c r="J32" s="901"/>
    </row>
    <row r="33" spans="1:12" s="965" customFormat="1" ht="13.5" hidden="1" thickTop="1">
      <c r="A33" s="896"/>
      <c r="B33" s="967" t="s">
        <v>2094</v>
      </c>
      <c r="C33" s="1002" t="s">
        <v>2095</v>
      </c>
      <c r="D33" s="967"/>
      <c r="E33" s="967" t="s">
        <v>102</v>
      </c>
      <c r="F33" s="976">
        <f>F32</f>
        <v>2.11</v>
      </c>
      <c r="G33" s="970">
        <f>'MINI SSR 2022-23 (2)'!$C$151</f>
        <v>1036</v>
      </c>
      <c r="H33" s="969">
        <f t="shared" si="1"/>
        <v>2185.96</v>
      </c>
      <c r="I33" s="964" t="s">
        <v>2313</v>
      </c>
      <c r="J33" s="901"/>
    </row>
    <row r="34" spans="1:12" ht="13.5" hidden="1" thickTop="1">
      <c r="A34" s="896"/>
      <c r="B34" s="967" t="s">
        <v>1394</v>
      </c>
      <c r="C34" s="1002" t="s">
        <v>1393</v>
      </c>
      <c r="D34" s="967"/>
      <c r="E34" s="967" t="s">
        <v>11</v>
      </c>
      <c r="F34" s="988">
        <v>2</v>
      </c>
      <c r="G34" s="970">
        <f>'MINI SSR 2022-23 (2)'!$G$143</f>
        <v>86.5</v>
      </c>
      <c r="H34" s="969">
        <f t="shared" si="1"/>
        <v>173</v>
      </c>
      <c r="I34" s="964" t="s">
        <v>2313</v>
      </c>
    </row>
    <row r="35" spans="1:12" ht="13.5" hidden="1" thickTop="1">
      <c r="A35" s="896"/>
      <c r="B35" s="967" t="s">
        <v>1396</v>
      </c>
      <c r="C35" s="1002" t="s">
        <v>1395</v>
      </c>
      <c r="D35" s="967"/>
      <c r="E35" s="967" t="s">
        <v>11</v>
      </c>
      <c r="F35" s="988">
        <v>3</v>
      </c>
      <c r="G35" s="970">
        <f>'MINI SSR 2022-23 (2)'!$G$146</f>
        <v>129</v>
      </c>
      <c r="H35" s="969">
        <f t="shared" si="1"/>
        <v>387</v>
      </c>
      <c r="I35" s="964" t="s">
        <v>2313</v>
      </c>
    </row>
    <row r="36" spans="1:12" ht="13.5" hidden="1" thickTop="1">
      <c r="A36" s="896"/>
      <c r="B36" s="967" t="s">
        <v>1381</v>
      </c>
      <c r="C36" s="1002" t="s">
        <v>1380</v>
      </c>
      <c r="D36" s="967"/>
      <c r="E36" s="967" t="s">
        <v>11</v>
      </c>
      <c r="F36" s="988">
        <v>2</v>
      </c>
      <c r="G36" s="970">
        <f>'MINI SSR 2022-23 (2)'!$G$147</f>
        <v>114</v>
      </c>
      <c r="H36" s="969">
        <f t="shared" si="1"/>
        <v>228</v>
      </c>
      <c r="I36" s="964" t="s">
        <v>2313</v>
      </c>
    </row>
    <row r="37" spans="1:12" ht="13.5" hidden="1" thickTop="1">
      <c r="A37" s="896"/>
      <c r="B37" s="967" t="s">
        <v>1398</v>
      </c>
      <c r="C37" s="1002" t="s">
        <v>1397</v>
      </c>
      <c r="D37" s="967"/>
      <c r="E37" s="967" t="s">
        <v>11</v>
      </c>
      <c r="F37" s="988">
        <v>2</v>
      </c>
      <c r="G37" s="970">
        <f>'MINI SSR 2022-23 (2)'!$G$149</f>
        <v>338</v>
      </c>
      <c r="H37" s="969">
        <f t="shared" si="1"/>
        <v>676</v>
      </c>
      <c r="I37" s="964" t="s">
        <v>2313</v>
      </c>
    </row>
    <row r="38" spans="1:12" ht="13.5" hidden="1" thickTop="1">
      <c r="A38" s="896"/>
      <c r="B38" s="967" t="s">
        <v>1400</v>
      </c>
      <c r="C38" s="1002" t="s">
        <v>1399</v>
      </c>
      <c r="D38" s="967"/>
      <c r="E38" s="967" t="s">
        <v>11</v>
      </c>
      <c r="F38" s="988">
        <v>1</v>
      </c>
      <c r="G38" s="970">
        <f>'MINI SSR 2022-23 (2)'!$G$155</f>
        <v>58</v>
      </c>
      <c r="H38" s="969">
        <f t="shared" si="1"/>
        <v>58</v>
      </c>
      <c r="I38" s="964" t="s">
        <v>2313</v>
      </c>
    </row>
    <row r="39" spans="1:12" ht="13.5" hidden="1" thickTop="1">
      <c r="A39" s="896"/>
      <c r="B39" s="967" t="s">
        <v>1387</v>
      </c>
      <c r="C39" s="1002" t="s">
        <v>1386</v>
      </c>
      <c r="D39" s="967"/>
      <c r="E39" s="967" t="s">
        <v>11</v>
      </c>
      <c r="F39" s="988">
        <v>6</v>
      </c>
      <c r="G39" s="970">
        <f>'MINI SSR 2022-23 (2)'!$G$152</f>
        <v>39</v>
      </c>
      <c r="H39" s="969"/>
      <c r="I39" s="964" t="s">
        <v>2313</v>
      </c>
    </row>
    <row r="40" spans="1:12" ht="13.5" hidden="1" thickTop="1">
      <c r="A40" s="967"/>
      <c r="B40" s="967"/>
      <c r="C40" s="1004" t="s">
        <v>68</v>
      </c>
      <c r="D40" s="967"/>
      <c r="E40" s="967"/>
      <c r="F40" s="970"/>
      <c r="G40" s="974"/>
      <c r="H40" s="969"/>
      <c r="I40" s="964" t="s">
        <v>2313</v>
      </c>
    </row>
    <row r="41" spans="1:12" ht="26.25" hidden="1" thickTop="1">
      <c r="A41" s="967"/>
      <c r="B41" s="967" t="s">
        <v>1389</v>
      </c>
      <c r="C41" s="1002" t="s">
        <v>1401</v>
      </c>
      <c r="D41" s="967"/>
      <c r="E41" s="967" t="s">
        <v>102</v>
      </c>
      <c r="F41" s="970">
        <f>ROUND(1.2*2.1,2)</f>
        <v>2.52</v>
      </c>
      <c r="G41" s="970">
        <f>'MINI SSR 2022-23 (2)'!C149</f>
        <v>1727</v>
      </c>
      <c r="H41" s="969"/>
      <c r="I41" s="964" t="s">
        <v>2313</v>
      </c>
      <c r="L41" s="1019"/>
    </row>
    <row r="42" spans="1:12" ht="14.25" hidden="1" thickTop="1" thickBot="1">
      <c r="A42" s="967"/>
      <c r="B42" s="967"/>
      <c r="C42" s="1004"/>
      <c r="D42" s="967"/>
      <c r="E42" s="967"/>
      <c r="F42" s="967"/>
      <c r="G42" s="967"/>
      <c r="H42" s="971">
        <f>SUM(H31:H41)</f>
        <v>7927.96</v>
      </c>
      <c r="I42" s="964" t="s">
        <v>2313</v>
      </c>
      <c r="L42" s="1020"/>
    </row>
    <row r="43" spans="1:12" ht="128.25" hidden="1" thickTop="1">
      <c r="A43" s="896">
        <v>3</v>
      </c>
      <c r="B43" s="966"/>
      <c r="C43" s="1002" t="s">
        <v>1309</v>
      </c>
      <c r="D43" s="967"/>
      <c r="E43" s="967"/>
      <c r="F43" s="967"/>
      <c r="G43" s="967"/>
      <c r="H43" s="972"/>
      <c r="I43" s="964" t="s">
        <v>2313</v>
      </c>
    </row>
    <row r="44" spans="1:12" ht="13.5" hidden="1" thickTop="1">
      <c r="A44" s="896"/>
      <c r="B44" s="966"/>
      <c r="C44" s="1004" t="s">
        <v>100</v>
      </c>
      <c r="D44" s="967"/>
      <c r="E44" s="967"/>
      <c r="F44" s="967"/>
      <c r="G44" s="967"/>
      <c r="H44" s="972"/>
      <c r="I44" s="964" t="s">
        <v>2313</v>
      </c>
    </row>
    <row r="45" spans="1:12" s="965" customFormat="1" ht="13.5" hidden="1" thickTop="1">
      <c r="A45" s="896"/>
      <c r="B45" s="966"/>
      <c r="C45" s="1004" t="s">
        <v>1</v>
      </c>
      <c r="D45" s="967"/>
      <c r="E45" s="967"/>
      <c r="F45" s="967"/>
      <c r="G45" s="967"/>
      <c r="H45" s="972"/>
      <c r="I45" s="964" t="s">
        <v>2313</v>
      </c>
      <c r="J45" s="901"/>
    </row>
    <row r="46" spans="1:12" s="965" customFormat="1" ht="13.5" hidden="1" thickTop="1">
      <c r="A46" s="896"/>
      <c r="B46" s="966"/>
      <c r="C46" s="1002" t="s">
        <v>2</v>
      </c>
      <c r="D46" s="1014">
        <v>2</v>
      </c>
      <c r="E46" s="1015">
        <v>1.9</v>
      </c>
      <c r="F46" s="1016">
        <v>0.1</v>
      </c>
      <c r="G46" s="1016">
        <v>7.4999999999999997E-2</v>
      </c>
      <c r="H46" s="1017">
        <f>ROUND(D46*E46*F46*G46,4)</f>
        <v>2.8500000000000001E-2</v>
      </c>
      <c r="I46" s="964" t="s">
        <v>2313</v>
      </c>
      <c r="J46" s="901"/>
    </row>
    <row r="47" spans="1:12" s="965" customFormat="1" ht="13.5" hidden="1" thickTop="1">
      <c r="A47" s="896"/>
      <c r="B47" s="966"/>
      <c r="C47" s="1002" t="s">
        <v>741</v>
      </c>
      <c r="D47" s="1014">
        <v>1</v>
      </c>
      <c r="E47" s="1015">
        <v>1.2</v>
      </c>
      <c r="F47" s="1016">
        <v>0.1</v>
      </c>
      <c r="G47" s="1016">
        <v>7.4999999999999997E-2</v>
      </c>
      <c r="H47" s="1017">
        <f>ROUND(D47*E47*F47*G47,4)</f>
        <v>8.9999999999999993E-3</v>
      </c>
      <c r="I47" s="964" t="s">
        <v>2313</v>
      </c>
      <c r="J47" s="901"/>
    </row>
    <row r="48" spans="1:12" s="965" customFormat="1" ht="13.5" hidden="1" thickTop="1">
      <c r="A48" s="896"/>
      <c r="B48" s="966"/>
      <c r="C48" s="1004"/>
      <c r="D48" s="967"/>
      <c r="E48" s="967"/>
      <c r="F48" s="967"/>
      <c r="G48" s="967"/>
      <c r="H48" s="1018">
        <f>SUM(H46:H47)</f>
        <v>3.7499999999999999E-2</v>
      </c>
      <c r="I48" s="964" t="s">
        <v>2313</v>
      </c>
      <c r="J48" s="901"/>
    </row>
    <row r="49" spans="1:12" s="965" customFormat="1" ht="13.5" hidden="1" thickTop="1">
      <c r="A49" s="896"/>
      <c r="B49" s="966" t="s">
        <v>1682</v>
      </c>
      <c r="C49" s="1002" t="s">
        <v>1683</v>
      </c>
      <c r="E49" s="967" t="s">
        <v>35</v>
      </c>
      <c r="F49" s="976">
        <f>H48</f>
        <v>3.7499999999999999E-2</v>
      </c>
      <c r="G49" s="970">
        <f>'MINI SSR 2022-23 (2)'!$C$144</f>
        <v>51000</v>
      </c>
      <c r="H49" s="969">
        <f t="shared" ref="H49:H57" si="2">ROUND(F49*G49,2)</f>
        <v>1912.5</v>
      </c>
      <c r="I49" s="964" t="s">
        <v>2313</v>
      </c>
      <c r="J49" s="901"/>
    </row>
    <row r="50" spans="1:12" s="965" customFormat="1" ht="13.5" hidden="1" thickTop="1">
      <c r="A50" s="896"/>
      <c r="B50" s="967" t="s">
        <v>2092</v>
      </c>
      <c r="C50" s="1002" t="s">
        <v>2093</v>
      </c>
      <c r="D50" s="967"/>
      <c r="E50" s="967" t="s">
        <v>102</v>
      </c>
      <c r="F50" s="976">
        <f>ROUND(1.05*1.995,2)</f>
        <v>2.09</v>
      </c>
      <c r="G50" s="970">
        <f>'MINI SSR 2022-23 (2)'!$C$148</f>
        <v>2000</v>
      </c>
      <c r="H50" s="969">
        <f t="shared" si="2"/>
        <v>4180</v>
      </c>
      <c r="I50" s="964" t="s">
        <v>2313</v>
      </c>
      <c r="J50" s="901"/>
    </row>
    <row r="51" spans="1:12" s="965" customFormat="1" ht="13.5" hidden="1" thickTop="1">
      <c r="A51" s="896"/>
      <c r="B51" s="967" t="s">
        <v>2094</v>
      </c>
      <c r="C51" s="1002" t="s">
        <v>2095</v>
      </c>
      <c r="D51" s="967"/>
      <c r="E51" s="967" t="s">
        <v>102</v>
      </c>
      <c r="F51" s="976">
        <f>ROUND(1.05*1.995,2)</f>
        <v>2.09</v>
      </c>
      <c r="G51" s="970">
        <f>'MINI SSR 2022-23 (2)'!$C$151</f>
        <v>1036</v>
      </c>
      <c r="H51" s="969">
        <f t="shared" si="2"/>
        <v>2165.2399999999998</v>
      </c>
      <c r="I51" s="964" t="s">
        <v>2313</v>
      </c>
      <c r="J51" s="901"/>
    </row>
    <row r="52" spans="1:12" ht="13.5" hidden="1" thickTop="1">
      <c r="A52" s="896"/>
      <c r="B52" s="967" t="s">
        <v>1394</v>
      </c>
      <c r="C52" s="1002" t="s">
        <v>1393</v>
      </c>
      <c r="D52" s="967"/>
      <c r="E52" s="967" t="s">
        <v>11</v>
      </c>
      <c r="F52" s="988">
        <v>2</v>
      </c>
      <c r="G52" s="970">
        <f>'MINI SSR 2022-23 (2)'!$G$143</f>
        <v>86.5</v>
      </c>
      <c r="H52" s="969">
        <f t="shared" si="2"/>
        <v>173</v>
      </c>
      <c r="I52" s="964" t="s">
        <v>2313</v>
      </c>
    </row>
    <row r="53" spans="1:12" ht="13.5" hidden="1" thickTop="1">
      <c r="A53" s="896"/>
      <c r="B53" s="967" t="s">
        <v>1396</v>
      </c>
      <c r="C53" s="1002" t="s">
        <v>1395</v>
      </c>
      <c r="D53" s="967"/>
      <c r="E53" s="967" t="s">
        <v>11</v>
      </c>
      <c r="F53" s="988">
        <v>3</v>
      </c>
      <c r="G53" s="970">
        <f>'MINI SSR 2022-23 (2)'!$G$146</f>
        <v>129</v>
      </c>
      <c r="H53" s="969">
        <f t="shared" si="2"/>
        <v>387</v>
      </c>
      <c r="I53" s="964" t="s">
        <v>2313</v>
      </c>
    </row>
    <row r="54" spans="1:12" ht="13.5" hidden="1" thickTop="1">
      <c r="A54" s="896"/>
      <c r="B54" s="967" t="s">
        <v>1381</v>
      </c>
      <c r="C54" s="1002" t="s">
        <v>1380</v>
      </c>
      <c r="D54" s="967"/>
      <c r="E54" s="967" t="s">
        <v>11</v>
      </c>
      <c r="F54" s="988">
        <v>2</v>
      </c>
      <c r="G54" s="970">
        <f>'MINI SSR 2022-23 (2)'!$G$147</f>
        <v>114</v>
      </c>
      <c r="H54" s="969">
        <f t="shared" si="2"/>
        <v>228</v>
      </c>
      <c r="I54" s="964" t="s">
        <v>2313</v>
      </c>
    </row>
    <row r="55" spans="1:12" ht="13.5" hidden="1" thickTop="1">
      <c r="A55" s="896"/>
      <c r="B55" s="967" t="s">
        <v>1398</v>
      </c>
      <c r="C55" s="1002" t="s">
        <v>1397</v>
      </c>
      <c r="D55" s="967"/>
      <c r="E55" s="967" t="s">
        <v>11</v>
      </c>
      <c r="F55" s="988">
        <v>2</v>
      </c>
      <c r="G55" s="970">
        <f>'MINI SSR 2022-23 (2)'!$G$149</f>
        <v>338</v>
      </c>
      <c r="H55" s="969">
        <f t="shared" si="2"/>
        <v>676</v>
      </c>
      <c r="I55" s="964" t="s">
        <v>2313</v>
      </c>
    </row>
    <row r="56" spans="1:12" ht="13.5" hidden="1" thickTop="1">
      <c r="A56" s="896"/>
      <c r="B56" s="967" t="s">
        <v>1400</v>
      </c>
      <c r="C56" s="1002" t="s">
        <v>1399</v>
      </c>
      <c r="D56" s="967"/>
      <c r="E56" s="967" t="s">
        <v>11</v>
      </c>
      <c r="F56" s="988">
        <v>1</v>
      </c>
      <c r="G56" s="970">
        <f>'MINI SSR 2022-23 (2)'!$G$155</f>
        <v>58</v>
      </c>
      <c r="H56" s="969">
        <f t="shared" si="2"/>
        <v>58</v>
      </c>
      <c r="I56" s="964" t="s">
        <v>2313</v>
      </c>
    </row>
    <row r="57" spans="1:12" ht="13.5" hidden="1" thickTop="1">
      <c r="A57" s="896"/>
      <c r="B57" s="967" t="s">
        <v>1387</v>
      </c>
      <c r="C57" s="1002" t="s">
        <v>1386</v>
      </c>
      <c r="D57" s="967"/>
      <c r="E57" s="967" t="s">
        <v>11</v>
      </c>
      <c r="F57" s="988">
        <v>6</v>
      </c>
      <c r="G57" s="970">
        <f>'MINI SSR 2022-23 (2)'!$G$152</f>
        <v>39</v>
      </c>
      <c r="H57" s="969">
        <f t="shared" si="2"/>
        <v>234</v>
      </c>
      <c r="I57" s="964" t="s">
        <v>2313</v>
      </c>
    </row>
    <row r="58" spans="1:12" ht="13.5" hidden="1" thickTop="1">
      <c r="A58" s="967"/>
      <c r="B58" s="967"/>
      <c r="C58" s="1004" t="s">
        <v>68</v>
      </c>
      <c r="D58" s="967"/>
      <c r="E58" s="967"/>
      <c r="F58" s="970"/>
      <c r="G58" s="974"/>
      <c r="H58" s="969"/>
      <c r="I58" s="964" t="s">
        <v>2313</v>
      </c>
    </row>
    <row r="59" spans="1:12" ht="13.5" hidden="1" thickTop="1">
      <c r="A59" s="967"/>
      <c r="B59" s="967" t="s">
        <v>1690</v>
      </c>
      <c r="C59" s="1002" t="s">
        <v>1388</v>
      </c>
      <c r="D59" s="901"/>
      <c r="E59" s="967" t="s">
        <v>102</v>
      </c>
      <c r="F59" s="970">
        <f>ROUND(1.2*2.1,2)</f>
        <v>2.52</v>
      </c>
      <c r="G59" s="970">
        <f>'MINI SSR 2022-23 (2)'!$C$150</f>
        <v>1701</v>
      </c>
      <c r="H59" s="969">
        <f>ROUND(F59*G59*1/3,2)</f>
        <v>1428.84</v>
      </c>
      <c r="I59" s="964" t="s">
        <v>2313</v>
      </c>
      <c r="L59" s="1019"/>
    </row>
    <row r="60" spans="1:12" ht="14.25" hidden="1" thickTop="1" thickBot="1">
      <c r="A60" s="967"/>
      <c r="B60" s="967"/>
      <c r="C60" s="1004"/>
      <c r="D60" s="967"/>
      <c r="E60" s="967"/>
      <c r="F60" s="967"/>
      <c r="G60" s="967"/>
      <c r="H60" s="971">
        <f>SUM(H49:H59)</f>
        <v>11442.58</v>
      </c>
      <c r="I60" s="964" t="s">
        <v>2313</v>
      </c>
      <c r="L60" s="1020"/>
    </row>
    <row r="61" spans="1:12" ht="128.25" hidden="1" thickTop="1">
      <c r="A61" s="896">
        <v>3</v>
      </c>
      <c r="B61" s="966"/>
      <c r="C61" s="1002" t="s">
        <v>1678</v>
      </c>
      <c r="D61" s="967"/>
      <c r="E61" s="967"/>
      <c r="F61" s="967"/>
      <c r="G61" s="967"/>
      <c r="H61" s="972"/>
      <c r="I61" s="964" t="s">
        <v>2313</v>
      </c>
    </row>
    <row r="62" spans="1:12" ht="13.5" hidden="1" thickTop="1">
      <c r="A62" s="896"/>
      <c r="B62" s="966"/>
      <c r="C62" s="1004" t="s">
        <v>100</v>
      </c>
      <c r="D62" s="967"/>
      <c r="E62" s="967"/>
      <c r="F62" s="967"/>
      <c r="G62" s="967"/>
      <c r="H62" s="972"/>
      <c r="I62" s="964" t="s">
        <v>2313</v>
      </c>
    </row>
    <row r="63" spans="1:12" s="965" customFormat="1" ht="13.5" hidden="1" thickTop="1">
      <c r="A63" s="896"/>
      <c r="B63" s="966"/>
      <c r="C63" s="1004" t="s">
        <v>594</v>
      </c>
      <c r="D63" s="967"/>
      <c r="E63" s="967"/>
      <c r="F63" s="967"/>
      <c r="G63" s="967"/>
      <c r="H63" s="972"/>
      <c r="I63" s="964" t="s">
        <v>2313</v>
      </c>
      <c r="J63" s="901"/>
    </row>
    <row r="64" spans="1:12" s="965" customFormat="1" ht="13.5" hidden="1" thickTop="1">
      <c r="A64" s="896"/>
      <c r="B64" s="966"/>
      <c r="C64" s="1002" t="s">
        <v>2</v>
      </c>
      <c r="D64" s="1014">
        <v>2</v>
      </c>
      <c r="E64" s="1015">
        <v>1.9</v>
      </c>
      <c r="F64" s="1016">
        <v>0.1</v>
      </c>
      <c r="G64" s="1016">
        <v>7.4999999999999997E-2</v>
      </c>
      <c r="H64" s="1017">
        <f>ROUND(D64*E64*F64*G64,4)</f>
        <v>2.8500000000000001E-2</v>
      </c>
      <c r="I64" s="964" t="s">
        <v>2313</v>
      </c>
      <c r="J64" s="901"/>
    </row>
    <row r="65" spans="1:10" s="965" customFormat="1" ht="13.5" hidden="1" thickTop="1">
      <c r="A65" s="896"/>
      <c r="B65" s="966"/>
      <c r="C65" s="1002" t="s">
        <v>741</v>
      </c>
      <c r="D65" s="1014">
        <v>1</v>
      </c>
      <c r="E65" s="1015">
        <v>0.9</v>
      </c>
      <c r="F65" s="1016">
        <v>0.1</v>
      </c>
      <c r="G65" s="1016">
        <v>7.4999999999999997E-2</v>
      </c>
      <c r="H65" s="1017">
        <f>ROUND(D65*E65*F65*G65,4)</f>
        <v>6.7999999999999996E-3</v>
      </c>
      <c r="I65" s="964" t="s">
        <v>2313</v>
      </c>
      <c r="J65" s="901"/>
    </row>
    <row r="66" spans="1:10" s="965" customFormat="1" ht="13.5" hidden="1" thickTop="1">
      <c r="A66" s="896"/>
      <c r="B66" s="966"/>
      <c r="C66" s="1004"/>
      <c r="D66" s="1014"/>
      <c r="E66" s="1014"/>
      <c r="F66" s="1014"/>
      <c r="G66" s="1014"/>
      <c r="H66" s="1021">
        <f>SUM(H64:H65)</f>
        <v>3.5299999999999998E-2</v>
      </c>
      <c r="I66" s="964" t="s">
        <v>2313</v>
      </c>
      <c r="J66" s="901"/>
    </row>
    <row r="67" spans="1:10" s="965" customFormat="1" ht="13.5" hidden="1" thickTop="1">
      <c r="A67" s="896"/>
      <c r="B67" s="966"/>
      <c r="C67" s="1004" t="s">
        <v>320</v>
      </c>
      <c r="D67" s="1014">
        <v>1</v>
      </c>
      <c r="E67" s="1015">
        <v>2.0099999999999998</v>
      </c>
      <c r="F67" s="1016">
        <v>0.8</v>
      </c>
      <c r="G67" s="1016">
        <v>0.03</v>
      </c>
      <c r="H67" s="1017">
        <f>ROUND(D67*E67*F67*G67,4)</f>
        <v>4.82E-2</v>
      </c>
      <c r="I67" s="964" t="s">
        <v>2313</v>
      </c>
      <c r="J67" s="901"/>
    </row>
    <row r="68" spans="1:10" s="965" customFormat="1" ht="13.5" hidden="1" thickTop="1">
      <c r="A68" s="896"/>
      <c r="B68" s="966"/>
      <c r="C68" s="1002"/>
      <c r="D68" s="1014"/>
      <c r="E68" s="1014"/>
      <c r="F68" s="1014"/>
      <c r="G68" s="1014"/>
      <c r="H68" s="1021">
        <f>SUM(H67:H67)</f>
        <v>4.82E-2</v>
      </c>
      <c r="I68" s="964" t="s">
        <v>2313</v>
      </c>
      <c r="J68" s="901"/>
    </row>
    <row r="69" spans="1:10" s="965" customFormat="1" ht="13.5" hidden="1" thickTop="1">
      <c r="A69" s="896"/>
      <c r="B69" s="966" t="s">
        <v>1373</v>
      </c>
      <c r="C69" s="1002" t="s">
        <v>1372</v>
      </c>
      <c r="E69" s="967" t="s">
        <v>35</v>
      </c>
      <c r="F69" s="976">
        <f>H66</f>
        <v>3.5299999999999998E-2</v>
      </c>
      <c r="G69" s="970">
        <f>'MINI SSR 2022-23 (2)'!C142</f>
        <v>81950</v>
      </c>
      <c r="H69" s="969">
        <f t="shared" ref="H69:H76" si="3">ROUND(F69*G69,2)</f>
        <v>2892.84</v>
      </c>
      <c r="I69" s="964" t="s">
        <v>2313</v>
      </c>
      <c r="J69" s="901"/>
    </row>
    <row r="70" spans="1:10" s="965" customFormat="1" ht="13.5" hidden="1" thickTop="1">
      <c r="A70" s="896"/>
      <c r="B70" s="966" t="s">
        <v>1375</v>
      </c>
      <c r="C70" s="1002" t="s">
        <v>1374</v>
      </c>
      <c r="E70" s="967" t="s">
        <v>35</v>
      </c>
      <c r="F70" s="976">
        <f>H68</f>
        <v>4.82E-2</v>
      </c>
      <c r="G70" s="970">
        <f>'MINI SSR 2022-23 (2)'!C143</f>
        <v>160920</v>
      </c>
      <c r="H70" s="969">
        <f t="shared" si="3"/>
        <v>7756.34</v>
      </c>
      <c r="I70" s="964" t="s">
        <v>2313</v>
      </c>
      <c r="J70" s="901"/>
    </row>
    <row r="71" spans="1:10" s="965" customFormat="1" ht="13.5" hidden="1" thickTop="1">
      <c r="A71" s="896"/>
      <c r="B71" s="966" t="s">
        <v>1377</v>
      </c>
      <c r="C71" s="1002" t="s">
        <v>1376</v>
      </c>
      <c r="D71" s="967"/>
      <c r="E71" s="967" t="s">
        <v>11</v>
      </c>
      <c r="F71" s="988">
        <v>2</v>
      </c>
      <c r="G71" s="970">
        <f t="shared" ref="G71:G76" si="4">G16</f>
        <v>255</v>
      </c>
      <c r="H71" s="969">
        <f t="shared" si="3"/>
        <v>510</v>
      </c>
      <c r="I71" s="964" t="s">
        <v>2313</v>
      </c>
      <c r="J71" s="901"/>
    </row>
    <row r="72" spans="1:10" s="965" customFormat="1" ht="13.5" hidden="1" thickTop="1">
      <c r="A72" s="896"/>
      <c r="B72" s="966" t="s">
        <v>1379</v>
      </c>
      <c r="C72" s="1002" t="s">
        <v>1378</v>
      </c>
      <c r="D72" s="967"/>
      <c r="E72" s="967" t="s">
        <v>11</v>
      </c>
      <c r="F72" s="988">
        <v>3</v>
      </c>
      <c r="G72" s="970">
        <f t="shared" si="4"/>
        <v>273</v>
      </c>
      <c r="H72" s="969">
        <f t="shared" si="3"/>
        <v>819</v>
      </c>
      <c r="I72" s="964" t="s">
        <v>2313</v>
      </c>
      <c r="J72" s="901"/>
    </row>
    <row r="73" spans="1:10" s="965" customFormat="1" ht="13.5" hidden="1" thickTop="1">
      <c r="A73" s="896"/>
      <c r="B73" s="966" t="s">
        <v>1381</v>
      </c>
      <c r="C73" s="1002" t="s">
        <v>1380</v>
      </c>
      <c r="D73" s="967"/>
      <c r="E73" s="967" t="s">
        <v>11</v>
      </c>
      <c r="F73" s="988"/>
      <c r="G73" s="970">
        <f t="shared" si="4"/>
        <v>108</v>
      </c>
      <c r="H73" s="969">
        <f t="shared" si="3"/>
        <v>0</v>
      </c>
      <c r="I73" s="964" t="s">
        <v>2313</v>
      </c>
      <c r="J73" s="901"/>
    </row>
    <row r="74" spans="1:10" s="965" customFormat="1" ht="13.5" hidden="1" thickTop="1">
      <c r="A74" s="896"/>
      <c r="B74" s="966" t="s">
        <v>1383</v>
      </c>
      <c r="C74" s="1002" t="s">
        <v>1382</v>
      </c>
      <c r="D74" s="967"/>
      <c r="E74" s="967" t="s">
        <v>11</v>
      </c>
      <c r="F74" s="988">
        <v>2</v>
      </c>
      <c r="G74" s="970">
        <f t="shared" si="4"/>
        <v>1195</v>
      </c>
      <c r="H74" s="969">
        <f t="shared" si="3"/>
        <v>2390</v>
      </c>
      <c r="I74" s="964" t="s">
        <v>2313</v>
      </c>
      <c r="J74" s="901"/>
    </row>
    <row r="75" spans="1:10" ht="13.5" hidden="1" thickTop="1">
      <c r="A75" s="896"/>
      <c r="B75" s="966" t="s">
        <v>1385</v>
      </c>
      <c r="C75" s="1002" t="s">
        <v>1384</v>
      </c>
      <c r="D75" s="967"/>
      <c r="E75" s="967" t="s">
        <v>11</v>
      </c>
      <c r="F75" s="988">
        <v>1</v>
      </c>
      <c r="G75" s="970">
        <f t="shared" si="4"/>
        <v>185</v>
      </c>
      <c r="H75" s="969">
        <f t="shared" si="3"/>
        <v>185</v>
      </c>
      <c r="I75" s="964" t="s">
        <v>2313</v>
      </c>
    </row>
    <row r="76" spans="1:10" ht="13.5" hidden="1" thickTop="1">
      <c r="A76" s="896"/>
      <c r="B76" s="966" t="s">
        <v>1387</v>
      </c>
      <c r="C76" s="1002" t="s">
        <v>1386</v>
      </c>
      <c r="D76" s="967"/>
      <c r="E76" s="967" t="s">
        <v>11</v>
      </c>
      <c r="F76" s="988">
        <v>6</v>
      </c>
      <c r="G76" s="970">
        <f t="shared" si="4"/>
        <v>39</v>
      </c>
      <c r="H76" s="969">
        <f t="shared" si="3"/>
        <v>234</v>
      </c>
      <c r="I76" s="964" t="s">
        <v>2313</v>
      </c>
    </row>
    <row r="77" spans="1:10" ht="13.5" hidden="1" thickTop="1">
      <c r="A77" s="896"/>
      <c r="B77" s="966"/>
      <c r="C77" s="1004" t="s">
        <v>68</v>
      </c>
      <c r="D77" s="901"/>
      <c r="E77" s="967"/>
      <c r="F77" s="970"/>
      <c r="G77" s="970"/>
      <c r="H77" s="969"/>
      <c r="I77" s="964" t="s">
        <v>2313</v>
      </c>
    </row>
    <row r="78" spans="1:10" ht="13.5" hidden="1" thickTop="1">
      <c r="A78" s="896"/>
      <c r="B78" s="967" t="s">
        <v>1389</v>
      </c>
      <c r="C78" s="1002" t="s">
        <v>1388</v>
      </c>
      <c r="D78" s="901"/>
      <c r="E78" s="967" t="s">
        <v>102</v>
      </c>
      <c r="F78" s="970">
        <f>ROUND(0.9*2.1,2)</f>
        <v>1.89</v>
      </c>
      <c r="G78" s="970">
        <f>G23</f>
        <v>1727</v>
      </c>
      <c r="H78" s="969">
        <f>ROUND(F78*G78*1/3,2)</f>
        <v>1088.01</v>
      </c>
      <c r="I78" s="964" t="s">
        <v>2313</v>
      </c>
    </row>
    <row r="79" spans="1:10" ht="13.5" hidden="1" thickTop="1">
      <c r="A79" s="896"/>
      <c r="B79" s="966"/>
      <c r="C79" s="1004"/>
      <c r="D79" s="967"/>
      <c r="E79" s="967"/>
      <c r="F79" s="967"/>
      <c r="G79" s="967"/>
      <c r="H79" s="971">
        <f>SUM(H69:H78)</f>
        <v>15875.19</v>
      </c>
      <c r="I79" s="964" t="s">
        <v>2313</v>
      </c>
    </row>
    <row r="80" spans="1:10" ht="128.25" hidden="1" thickTop="1">
      <c r="A80" s="896">
        <v>4</v>
      </c>
      <c r="B80" s="966"/>
      <c r="C80" s="1002" t="s">
        <v>1679</v>
      </c>
      <c r="D80" s="967"/>
      <c r="E80" s="967"/>
      <c r="F80" s="967"/>
      <c r="G80" s="967"/>
      <c r="H80" s="972"/>
      <c r="I80" s="964" t="s">
        <v>2313</v>
      </c>
    </row>
    <row r="81" spans="1:10" ht="13.5" hidden="1" thickTop="1">
      <c r="A81" s="896"/>
      <c r="B81" s="966"/>
      <c r="C81" s="1004" t="s">
        <v>100</v>
      </c>
      <c r="D81" s="967"/>
      <c r="E81" s="967"/>
      <c r="F81" s="967"/>
      <c r="G81" s="967"/>
      <c r="H81" s="972"/>
      <c r="I81" s="964" t="s">
        <v>2313</v>
      </c>
    </row>
    <row r="82" spans="1:10" s="965" customFormat="1" ht="13.5" hidden="1" thickTop="1">
      <c r="A82" s="896"/>
      <c r="B82" s="966"/>
      <c r="C82" s="1004" t="s">
        <v>594</v>
      </c>
      <c r="D82" s="967"/>
      <c r="E82" s="967"/>
      <c r="F82" s="967"/>
      <c r="G82" s="967"/>
      <c r="H82" s="972"/>
      <c r="I82" s="964" t="s">
        <v>2313</v>
      </c>
      <c r="J82" s="901"/>
    </row>
    <row r="83" spans="1:10" s="965" customFormat="1" ht="13.5" hidden="1" thickTop="1">
      <c r="A83" s="896"/>
      <c r="B83" s="966"/>
      <c r="C83" s="1002" t="s">
        <v>2</v>
      </c>
      <c r="D83" s="1014">
        <v>2</v>
      </c>
      <c r="E83" s="1015">
        <v>1.9</v>
      </c>
      <c r="F83" s="1016">
        <v>0.1</v>
      </c>
      <c r="G83" s="1016">
        <v>7.4999999999999997E-2</v>
      </c>
      <c r="H83" s="1017">
        <f>ROUND(D83*E83*F83*G83,4)</f>
        <v>2.8500000000000001E-2</v>
      </c>
      <c r="I83" s="964" t="s">
        <v>2313</v>
      </c>
      <c r="J83" s="901"/>
    </row>
    <row r="84" spans="1:10" s="965" customFormat="1" ht="13.5" hidden="1" thickTop="1">
      <c r="A84" s="896"/>
      <c r="B84" s="966"/>
      <c r="C84" s="1002" t="s">
        <v>741</v>
      </c>
      <c r="D84" s="1014">
        <v>1</v>
      </c>
      <c r="E84" s="1015">
        <v>0.8</v>
      </c>
      <c r="F84" s="1016">
        <v>0.1</v>
      </c>
      <c r="G84" s="1016">
        <v>7.4999999999999997E-2</v>
      </c>
      <c r="H84" s="1017">
        <f>ROUND(D84*E84*F84*G84,4)</f>
        <v>6.0000000000000001E-3</v>
      </c>
      <c r="I84" s="964" t="s">
        <v>2313</v>
      </c>
      <c r="J84" s="901"/>
    </row>
    <row r="85" spans="1:10" s="965" customFormat="1" ht="13.5" hidden="1" thickTop="1">
      <c r="A85" s="896"/>
      <c r="B85" s="966"/>
      <c r="C85" s="1004"/>
      <c r="D85" s="1014"/>
      <c r="E85" s="1014"/>
      <c r="F85" s="1014"/>
      <c r="G85" s="1014"/>
      <c r="H85" s="1021">
        <f>SUM(H83:H84)</f>
        <v>3.4500000000000003E-2</v>
      </c>
      <c r="I85" s="964" t="s">
        <v>2313</v>
      </c>
      <c r="J85" s="901"/>
    </row>
    <row r="86" spans="1:10" s="965" customFormat="1" ht="13.5" hidden="1" thickTop="1">
      <c r="A86" s="896"/>
      <c r="B86" s="966"/>
      <c r="C86" s="1004" t="s">
        <v>320</v>
      </c>
      <c r="D86" s="1014">
        <v>1</v>
      </c>
      <c r="E86" s="1015">
        <v>2.0099999999999998</v>
      </c>
      <c r="F86" s="1016">
        <v>0.72</v>
      </c>
      <c r="G86" s="1016">
        <v>0.03</v>
      </c>
      <c r="H86" s="1017">
        <f>ROUND(D86*E86*F86*G86,4)</f>
        <v>4.3400000000000001E-2</v>
      </c>
      <c r="I86" s="964" t="s">
        <v>2313</v>
      </c>
      <c r="J86" s="901"/>
    </row>
    <row r="87" spans="1:10" s="965" customFormat="1" ht="13.5" hidden="1" thickTop="1">
      <c r="A87" s="896"/>
      <c r="B87" s="966"/>
      <c r="C87" s="1002"/>
      <c r="D87" s="1014"/>
      <c r="E87" s="1014"/>
      <c r="F87" s="1014"/>
      <c r="G87" s="1014"/>
      <c r="H87" s="1021">
        <f>SUM(H86:H86)</f>
        <v>4.3400000000000001E-2</v>
      </c>
      <c r="I87" s="964" t="s">
        <v>2313</v>
      </c>
      <c r="J87" s="901"/>
    </row>
    <row r="88" spans="1:10" s="965" customFormat="1" ht="13.5" hidden="1" thickTop="1">
      <c r="A88" s="896"/>
      <c r="B88" s="966" t="s">
        <v>1373</v>
      </c>
      <c r="C88" s="1002" t="s">
        <v>1372</v>
      </c>
      <c r="E88" s="967" t="s">
        <v>35</v>
      </c>
      <c r="F88" s="976">
        <f>H85</f>
        <v>3.4500000000000003E-2</v>
      </c>
      <c r="G88" s="970">
        <f t="shared" ref="G88:G95" si="5">G69</f>
        <v>81950</v>
      </c>
      <c r="H88" s="969">
        <f t="shared" ref="H88:H95" si="6">ROUND(F88*G88,2)</f>
        <v>2827.28</v>
      </c>
      <c r="I88" s="964" t="s">
        <v>2313</v>
      </c>
      <c r="J88" s="901"/>
    </row>
    <row r="89" spans="1:10" s="965" customFormat="1" ht="13.5" hidden="1" thickTop="1">
      <c r="A89" s="896"/>
      <c r="B89" s="966" t="s">
        <v>1375</v>
      </c>
      <c r="C89" s="1002" t="s">
        <v>1374</v>
      </c>
      <c r="E89" s="967" t="s">
        <v>35</v>
      </c>
      <c r="F89" s="976">
        <f>H87</f>
        <v>4.3400000000000001E-2</v>
      </c>
      <c r="G89" s="970">
        <f t="shared" si="5"/>
        <v>160920</v>
      </c>
      <c r="H89" s="969">
        <f t="shared" si="6"/>
        <v>6983.93</v>
      </c>
      <c r="I89" s="964" t="s">
        <v>2313</v>
      </c>
      <c r="J89" s="901"/>
    </row>
    <row r="90" spans="1:10" s="965" customFormat="1" ht="13.5" hidden="1" thickTop="1">
      <c r="A90" s="896"/>
      <c r="B90" s="966" t="s">
        <v>1377</v>
      </c>
      <c r="C90" s="1002" t="s">
        <v>1376</v>
      </c>
      <c r="D90" s="967"/>
      <c r="E90" s="967" t="s">
        <v>11</v>
      </c>
      <c r="F90" s="988">
        <v>2</v>
      </c>
      <c r="G90" s="970">
        <f t="shared" si="5"/>
        <v>255</v>
      </c>
      <c r="H90" s="969">
        <f t="shared" si="6"/>
        <v>510</v>
      </c>
      <c r="I90" s="964" t="s">
        <v>2313</v>
      </c>
      <c r="J90" s="901"/>
    </row>
    <row r="91" spans="1:10" s="965" customFormat="1" ht="13.5" hidden="1" thickTop="1">
      <c r="A91" s="896"/>
      <c r="B91" s="966" t="s">
        <v>1379</v>
      </c>
      <c r="C91" s="1002" t="s">
        <v>1378</v>
      </c>
      <c r="D91" s="967"/>
      <c r="E91" s="967" t="s">
        <v>11</v>
      </c>
      <c r="F91" s="988">
        <v>3</v>
      </c>
      <c r="G91" s="970">
        <f t="shared" si="5"/>
        <v>273</v>
      </c>
      <c r="H91" s="969">
        <f t="shared" si="6"/>
        <v>819</v>
      </c>
      <c r="I91" s="964" t="s">
        <v>2313</v>
      </c>
      <c r="J91" s="901"/>
    </row>
    <row r="92" spans="1:10" s="965" customFormat="1" ht="13.5" hidden="1" thickTop="1">
      <c r="A92" s="896"/>
      <c r="B92" s="966" t="s">
        <v>1381</v>
      </c>
      <c r="C92" s="1002" t="s">
        <v>1380</v>
      </c>
      <c r="D92" s="967"/>
      <c r="E92" s="967" t="s">
        <v>11</v>
      </c>
      <c r="F92" s="988"/>
      <c r="G92" s="970">
        <f t="shared" si="5"/>
        <v>108</v>
      </c>
      <c r="H92" s="969">
        <f t="shared" si="6"/>
        <v>0</v>
      </c>
      <c r="I92" s="964" t="s">
        <v>2313</v>
      </c>
      <c r="J92" s="901"/>
    </row>
    <row r="93" spans="1:10" s="965" customFormat="1" ht="13.5" hidden="1" thickTop="1">
      <c r="A93" s="896"/>
      <c r="B93" s="966" t="s">
        <v>1383</v>
      </c>
      <c r="C93" s="1002" t="s">
        <v>1382</v>
      </c>
      <c r="D93" s="967"/>
      <c r="E93" s="967" t="s">
        <v>11</v>
      </c>
      <c r="F93" s="988">
        <v>2</v>
      </c>
      <c r="G93" s="970">
        <f t="shared" si="5"/>
        <v>1195</v>
      </c>
      <c r="H93" s="969">
        <f t="shared" si="6"/>
        <v>2390</v>
      </c>
      <c r="I93" s="964" t="s">
        <v>2313</v>
      </c>
      <c r="J93" s="901"/>
    </row>
    <row r="94" spans="1:10" ht="13.5" hidden="1" thickTop="1">
      <c r="A94" s="896"/>
      <c r="B94" s="966" t="s">
        <v>1385</v>
      </c>
      <c r="C94" s="1002" t="s">
        <v>1384</v>
      </c>
      <c r="D94" s="967"/>
      <c r="E94" s="967" t="s">
        <v>11</v>
      </c>
      <c r="F94" s="988">
        <v>1</v>
      </c>
      <c r="G94" s="970">
        <f t="shared" si="5"/>
        <v>185</v>
      </c>
      <c r="H94" s="969">
        <f t="shared" si="6"/>
        <v>185</v>
      </c>
      <c r="I94" s="964" t="s">
        <v>2313</v>
      </c>
    </row>
    <row r="95" spans="1:10" ht="13.5" hidden="1" thickTop="1">
      <c r="A95" s="896"/>
      <c r="B95" s="966" t="s">
        <v>1387</v>
      </c>
      <c r="C95" s="1002" t="s">
        <v>1386</v>
      </c>
      <c r="D95" s="967"/>
      <c r="E95" s="967" t="s">
        <v>11</v>
      </c>
      <c r="F95" s="988">
        <v>6</v>
      </c>
      <c r="G95" s="970">
        <f t="shared" si="5"/>
        <v>39</v>
      </c>
      <c r="H95" s="969">
        <f t="shared" si="6"/>
        <v>234</v>
      </c>
      <c r="I95" s="964" t="s">
        <v>2313</v>
      </c>
    </row>
    <row r="96" spans="1:10" ht="13.5" hidden="1" thickTop="1">
      <c r="A96" s="896"/>
      <c r="B96" s="966"/>
      <c r="C96" s="1004" t="s">
        <v>68</v>
      </c>
      <c r="D96" s="901"/>
      <c r="E96" s="967"/>
      <c r="F96" s="970"/>
      <c r="G96" s="970"/>
      <c r="H96" s="969"/>
      <c r="I96" s="964" t="s">
        <v>2313</v>
      </c>
    </row>
    <row r="97" spans="1:10" ht="13.5" hidden="1" thickTop="1">
      <c r="A97" s="896"/>
      <c r="B97" s="967" t="s">
        <v>1389</v>
      </c>
      <c r="C97" s="1002" t="s">
        <v>1388</v>
      </c>
      <c r="D97" s="901"/>
      <c r="E97" s="967" t="s">
        <v>102</v>
      </c>
      <c r="F97" s="970">
        <f>ROUND(0.9*2.1,2)</f>
        <v>1.89</v>
      </c>
      <c r="G97" s="970">
        <f>G78</f>
        <v>1727</v>
      </c>
      <c r="H97" s="969">
        <f>ROUND(F97*G97*1/3,2)</f>
        <v>1088.01</v>
      </c>
      <c r="I97" s="964" t="s">
        <v>2313</v>
      </c>
    </row>
    <row r="98" spans="1:10" ht="13.5" hidden="1" thickTop="1">
      <c r="A98" s="896"/>
      <c r="B98" s="966"/>
      <c r="C98" s="1004"/>
      <c r="D98" s="967"/>
      <c r="E98" s="967"/>
      <c r="F98" s="967"/>
      <c r="G98" s="967"/>
      <c r="H98" s="971">
        <f>SUM(H88:H97)</f>
        <v>15037.220000000001</v>
      </c>
      <c r="I98" s="964" t="s">
        <v>2313</v>
      </c>
    </row>
    <row r="99" spans="1:10" ht="115.5" hidden="1" thickTop="1">
      <c r="A99" s="896">
        <v>2</v>
      </c>
      <c r="B99" s="966"/>
      <c r="C99" s="1002" t="s">
        <v>3325</v>
      </c>
      <c r="D99" s="967"/>
      <c r="E99" s="967"/>
      <c r="F99" s="967"/>
      <c r="G99" s="967"/>
      <c r="H99" s="972"/>
      <c r="I99" s="964" t="s">
        <v>2313</v>
      </c>
    </row>
    <row r="100" spans="1:10" ht="13.5" hidden="1" thickTop="1">
      <c r="A100" s="896"/>
      <c r="B100" s="966"/>
      <c r="C100" s="1004" t="s">
        <v>100</v>
      </c>
      <c r="D100" s="967"/>
      <c r="E100" s="967"/>
      <c r="F100" s="967"/>
      <c r="G100" s="967"/>
      <c r="H100" s="972"/>
      <c r="I100" s="964" t="s">
        <v>2313</v>
      </c>
    </row>
    <row r="101" spans="1:10" s="965" customFormat="1" ht="13.5" hidden="1" thickTop="1">
      <c r="A101" s="896"/>
      <c r="B101" s="966"/>
      <c r="C101" s="1004" t="s">
        <v>1</v>
      </c>
      <c r="D101" s="967"/>
      <c r="E101" s="967"/>
      <c r="F101" s="967"/>
      <c r="G101" s="967"/>
      <c r="H101" s="972"/>
      <c r="I101" s="964" t="s">
        <v>2313</v>
      </c>
      <c r="J101" s="901"/>
    </row>
    <row r="102" spans="1:10" s="965" customFormat="1" ht="13.5" hidden="1" thickTop="1">
      <c r="A102" s="896"/>
      <c r="B102" s="966"/>
      <c r="C102" s="1002" t="s">
        <v>2</v>
      </c>
      <c r="D102" s="1014">
        <v>2</v>
      </c>
      <c r="E102" s="1015">
        <v>1.9</v>
      </c>
      <c r="F102" s="1016">
        <v>0.1</v>
      </c>
      <c r="G102" s="1016">
        <v>7.4999999999999997E-2</v>
      </c>
      <c r="H102" s="1017">
        <f>ROUND(D102*E102*F102*G102,4)</f>
        <v>2.8500000000000001E-2</v>
      </c>
      <c r="I102" s="964" t="s">
        <v>2313</v>
      </c>
      <c r="J102" s="901"/>
    </row>
    <row r="103" spans="1:10" s="965" customFormat="1" ht="13.5" hidden="1" thickTop="1">
      <c r="A103" s="896"/>
      <c r="B103" s="966"/>
      <c r="C103" s="1002" t="s">
        <v>741</v>
      </c>
      <c r="D103" s="1014">
        <v>2</v>
      </c>
      <c r="E103" s="1015">
        <v>0.9</v>
      </c>
      <c r="F103" s="1016">
        <v>0.1</v>
      </c>
      <c r="G103" s="1016">
        <v>7.4999999999999997E-2</v>
      </c>
      <c r="H103" s="1017">
        <f>ROUND(D103*E103*F103*G103,4)</f>
        <v>1.35E-2</v>
      </c>
      <c r="I103" s="964" t="s">
        <v>2313</v>
      </c>
      <c r="J103" s="901"/>
    </row>
    <row r="104" spans="1:10" s="965" customFormat="1" ht="13.5" hidden="1" thickTop="1">
      <c r="A104" s="896"/>
      <c r="B104" s="966"/>
      <c r="C104" s="1004"/>
      <c r="D104" s="1014"/>
      <c r="E104" s="1014"/>
      <c r="F104" s="1014"/>
      <c r="G104" s="1014"/>
      <c r="H104" s="1021">
        <f>SUM(H102:H103)</f>
        <v>4.2000000000000003E-2</v>
      </c>
      <c r="I104" s="964" t="s">
        <v>2313</v>
      </c>
      <c r="J104" s="901"/>
    </row>
    <row r="105" spans="1:10" s="965" customFormat="1" ht="13.5" hidden="1" thickTop="1">
      <c r="A105" s="896"/>
      <c r="B105" s="966"/>
      <c r="C105" s="1004" t="s">
        <v>1681</v>
      </c>
      <c r="D105" s="1014">
        <v>2</v>
      </c>
      <c r="E105" s="1015">
        <v>1.97</v>
      </c>
      <c r="F105" s="1016">
        <v>0.38500000000000001</v>
      </c>
      <c r="G105" s="1016">
        <v>0.03</v>
      </c>
      <c r="H105" s="1017">
        <f>ROUND(D105*E105*F105*G105,4)</f>
        <v>4.5499999999999999E-2</v>
      </c>
      <c r="I105" s="964" t="s">
        <v>2313</v>
      </c>
      <c r="J105" s="901"/>
    </row>
    <row r="106" spans="1:10" s="965" customFormat="1" ht="13.5" hidden="1" thickTop="1">
      <c r="A106" s="896"/>
      <c r="B106" s="966"/>
      <c r="C106" s="1002"/>
      <c r="D106" s="1014"/>
      <c r="E106" s="1014"/>
      <c r="F106" s="1014"/>
      <c r="G106" s="1014"/>
      <c r="H106" s="1021">
        <f>SUM(H105:H105)</f>
        <v>4.5499999999999999E-2</v>
      </c>
      <c r="I106" s="964" t="s">
        <v>2313</v>
      </c>
      <c r="J106" s="901"/>
    </row>
    <row r="107" spans="1:10" s="965" customFormat="1" ht="13.5" hidden="1" thickTop="1">
      <c r="A107" s="896"/>
      <c r="B107" s="966" t="s">
        <v>1682</v>
      </c>
      <c r="C107" s="1002" t="s">
        <v>1683</v>
      </c>
      <c r="E107" s="967" t="s">
        <v>35</v>
      </c>
      <c r="F107" s="976">
        <f>H104</f>
        <v>4.2000000000000003E-2</v>
      </c>
      <c r="G107" s="970">
        <f>'MINI SSR 2022-23 (2)'!$C$144</f>
        <v>51000</v>
      </c>
      <c r="H107" s="969">
        <f t="shared" ref="H107:H114" si="7">ROUND(F107*G107,2)</f>
        <v>2142</v>
      </c>
      <c r="I107" s="964" t="s">
        <v>2313</v>
      </c>
      <c r="J107" s="901"/>
    </row>
    <row r="108" spans="1:10" s="965" customFormat="1" ht="13.5" hidden="1" thickTop="1">
      <c r="A108" s="896"/>
      <c r="B108" s="966" t="s">
        <v>1684</v>
      </c>
      <c r="C108" s="1002" t="s">
        <v>1685</v>
      </c>
      <c r="E108" s="967" t="s">
        <v>35</v>
      </c>
      <c r="F108" s="976">
        <f>H106</f>
        <v>4.5499999999999999E-2</v>
      </c>
      <c r="G108" s="970">
        <f>'MINI SSR 2022-23 (2)'!C145</f>
        <v>63950</v>
      </c>
      <c r="H108" s="969">
        <f t="shared" si="7"/>
        <v>2909.73</v>
      </c>
      <c r="I108" s="964" t="s">
        <v>2313</v>
      </c>
      <c r="J108" s="901"/>
    </row>
    <row r="109" spans="1:10" s="965" customFormat="1" ht="13.5" hidden="1" thickTop="1">
      <c r="A109" s="896"/>
      <c r="B109" s="966" t="s">
        <v>1394</v>
      </c>
      <c r="C109" s="1002" t="s">
        <v>1686</v>
      </c>
      <c r="D109" s="967"/>
      <c r="E109" s="967" t="s">
        <v>11</v>
      </c>
      <c r="F109" s="988">
        <v>2</v>
      </c>
      <c r="G109" s="970">
        <f>'MINI SSR 2022-23 (2)'!G143</f>
        <v>86.5</v>
      </c>
      <c r="H109" s="969">
        <f t="shared" si="7"/>
        <v>173</v>
      </c>
      <c r="I109" s="964" t="s">
        <v>2313</v>
      </c>
      <c r="J109" s="901"/>
    </row>
    <row r="110" spans="1:10" s="965" customFormat="1" ht="13.5" hidden="1" thickTop="1">
      <c r="A110" s="896"/>
      <c r="B110" s="966" t="s">
        <v>1396</v>
      </c>
      <c r="C110" s="1002" t="s">
        <v>3326</v>
      </c>
      <c r="D110" s="967"/>
      <c r="E110" s="967" t="s">
        <v>11</v>
      </c>
      <c r="F110" s="988">
        <v>6</v>
      </c>
      <c r="G110" s="970">
        <f>'MINI SSR 2022-23 (2)'!G146</f>
        <v>129</v>
      </c>
      <c r="H110" s="969">
        <f t="shared" si="7"/>
        <v>774</v>
      </c>
      <c r="I110" s="964" t="s">
        <v>2313</v>
      </c>
      <c r="J110" s="901"/>
    </row>
    <row r="111" spans="1:10" s="965" customFormat="1" ht="13.5" hidden="1" thickTop="1">
      <c r="A111" s="896"/>
      <c r="B111" s="966" t="s">
        <v>1381</v>
      </c>
      <c r="C111" s="1002" t="s">
        <v>1380</v>
      </c>
      <c r="D111" s="967"/>
      <c r="E111" s="967" t="s">
        <v>11</v>
      </c>
      <c r="F111" s="988"/>
      <c r="G111" s="970">
        <f>'MINI SSR 2022-23 (2)'!G147</f>
        <v>114</v>
      </c>
      <c r="H111" s="969">
        <f t="shared" si="7"/>
        <v>0</v>
      </c>
      <c r="I111" s="964" t="s">
        <v>2313</v>
      </c>
      <c r="J111" s="901"/>
    </row>
    <row r="112" spans="1:10" s="965" customFormat="1" ht="13.5" hidden="1" thickTop="1">
      <c r="A112" s="896"/>
      <c r="B112" s="966" t="s">
        <v>1398</v>
      </c>
      <c r="C112" s="1002" t="s">
        <v>1687</v>
      </c>
      <c r="D112" s="967"/>
      <c r="E112" s="967" t="s">
        <v>11</v>
      </c>
      <c r="F112" s="988">
        <v>2</v>
      </c>
      <c r="G112" s="970">
        <f>'MINI SSR 2022-23 (2)'!G149</f>
        <v>338</v>
      </c>
      <c r="H112" s="969">
        <f t="shared" si="7"/>
        <v>676</v>
      </c>
      <c r="I112" s="964" t="s">
        <v>2313</v>
      </c>
      <c r="J112" s="901"/>
    </row>
    <row r="113" spans="1:10" ht="13.5" hidden="1" thickTop="1">
      <c r="A113" s="896"/>
      <c r="B113" s="966" t="s">
        <v>1688</v>
      </c>
      <c r="C113" s="1002" t="s">
        <v>1689</v>
      </c>
      <c r="D113" s="967"/>
      <c r="E113" s="967" t="s">
        <v>11</v>
      </c>
      <c r="F113" s="988">
        <v>1</v>
      </c>
      <c r="G113" s="970">
        <f>'MINI SSR 2022-23 (2)'!G155</f>
        <v>58</v>
      </c>
      <c r="H113" s="969">
        <f t="shared" si="7"/>
        <v>58</v>
      </c>
      <c r="I113" s="964" t="s">
        <v>2313</v>
      </c>
    </row>
    <row r="114" spans="1:10" ht="13.5" hidden="1" thickTop="1">
      <c r="A114" s="896"/>
      <c r="B114" s="966" t="s">
        <v>1387</v>
      </c>
      <c r="C114" s="1002" t="s">
        <v>1386</v>
      </c>
      <c r="D114" s="967"/>
      <c r="E114" s="967" t="s">
        <v>11</v>
      </c>
      <c r="F114" s="988">
        <v>6</v>
      </c>
      <c r="G114" s="970">
        <f>'MINI SSR 2022-23 (2)'!G152</f>
        <v>39</v>
      </c>
      <c r="H114" s="969">
        <f t="shared" si="7"/>
        <v>234</v>
      </c>
      <c r="I114" s="964" t="s">
        <v>2313</v>
      </c>
    </row>
    <row r="115" spans="1:10" ht="13.5" hidden="1" thickTop="1">
      <c r="A115" s="896"/>
      <c r="B115" s="966"/>
      <c r="C115" s="1004" t="s">
        <v>68</v>
      </c>
      <c r="D115" s="901"/>
      <c r="E115" s="967"/>
      <c r="F115" s="970"/>
      <c r="G115" s="974"/>
      <c r="H115" s="969"/>
      <c r="I115" s="964" t="s">
        <v>2313</v>
      </c>
    </row>
    <row r="116" spans="1:10" ht="13.5" hidden="1" thickTop="1">
      <c r="A116" s="896"/>
      <c r="B116" s="967" t="s">
        <v>1690</v>
      </c>
      <c r="C116" s="1002" t="s">
        <v>1388</v>
      </c>
      <c r="D116" s="901"/>
      <c r="E116" s="967" t="s">
        <v>102</v>
      </c>
      <c r="F116" s="970">
        <f>ROUND(0.9*2.1,2)</f>
        <v>1.89</v>
      </c>
      <c r="G116" s="970">
        <f>'MINI SSR 2022-23 (2)'!$C$150</f>
        <v>1701</v>
      </c>
      <c r="H116" s="969">
        <f>ROUND(F116*G116*1/3,2)</f>
        <v>1071.6300000000001</v>
      </c>
      <c r="I116" s="964" t="s">
        <v>2313</v>
      </c>
    </row>
    <row r="117" spans="1:10" ht="13.5" hidden="1" thickTop="1">
      <c r="A117" s="896"/>
      <c r="B117" s="966"/>
      <c r="C117" s="1004"/>
      <c r="D117" s="967"/>
      <c r="E117" s="967"/>
      <c r="F117" s="967"/>
      <c r="G117" s="967"/>
      <c r="H117" s="971">
        <f>SUM(H107:H116)</f>
        <v>8038.36</v>
      </c>
      <c r="I117" s="964" t="s">
        <v>2313</v>
      </c>
    </row>
    <row r="118" spans="1:10" s="1403" customFormat="1" ht="115.5" thickTop="1">
      <c r="A118" s="1397">
        <v>2</v>
      </c>
      <c r="B118" s="1490"/>
      <c r="C118" s="1542" t="s">
        <v>1680</v>
      </c>
      <c r="D118" s="1481"/>
      <c r="E118" s="1481"/>
      <c r="F118" s="1481"/>
      <c r="G118" s="1481"/>
      <c r="H118" s="1487"/>
      <c r="I118" s="1483" t="s">
        <v>2313</v>
      </c>
    </row>
    <row r="119" spans="1:10" s="1403" customFormat="1">
      <c r="A119" s="1397"/>
      <c r="B119" s="1490"/>
      <c r="C119" s="1436" t="s">
        <v>100</v>
      </c>
      <c r="D119" s="1481"/>
      <c r="E119" s="1481"/>
      <c r="F119" s="1481"/>
      <c r="G119" s="1481"/>
      <c r="H119" s="1487"/>
      <c r="I119" s="1483" t="s">
        <v>2313</v>
      </c>
    </row>
    <row r="120" spans="1:10" s="1543" customFormat="1">
      <c r="A120" s="1397"/>
      <c r="B120" s="1490"/>
      <c r="C120" s="1436" t="s">
        <v>1</v>
      </c>
      <c r="D120" s="1481"/>
      <c r="E120" s="1481"/>
      <c r="F120" s="1481"/>
      <c r="G120" s="1481"/>
      <c r="H120" s="1487"/>
      <c r="I120" s="1483" t="s">
        <v>2313</v>
      </c>
      <c r="J120" s="1403"/>
    </row>
    <row r="121" spans="1:10" s="1543" customFormat="1">
      <c r="A121" s="1397"/>
      <c r="B121" s="1490"/>
      <c r="C121" s="1542" t="s">
        <v>2</v>
      </c>
      <c r="D121" s="1544">
        <v>2</v>
      </c>
      <c r="E121" s="1545">
        <v>1.9</v>
      </c>
      <c r="F121" s="1546">
        <v>0.1</v>
      </c>
      <c r="G121" s="1546">
        <v>7.4999999999999997E-2</v>
      </c>
      <c r="H121" s="1547">
        <f>ROUND(D121*E121*F121*G121,4)</f>
        <v>2.8500000000000001E-2</v>
      </c>
      <c r="I121" s="1483" t="s">
        <v>2313</v>
      </c>
      <c r="J121" s="1403"/>
    </row>
    <row r="122" spans="1:10" s="1543" customFormat="1">
      <c r="A122" s="1397"/>
      <c r="B122" s="1490"/>
      <c r="C122" s="1542" t="s">
        <v>741</v>
      </c>
      <c r="D122" s="1544">
        <v>2</v>
      </c>
      <c r="E122" s="1545">
        <v>0.9</v>
      </c>
      <c r="F122" s="1546">
        <v>0.1</v>
      </c>
      <c r="G122" s="1546">
        <v>7.4999999999999997E-2</v>
      </c>
      <c r="H122" s="1547">
        <f>ROUND(D122*E122*F122*G122,4)</f>
        <v>1.35E-2</v>
      </c>
      <c r="I122" s="1483" t="s">
        <v>2313</v>
      </c>
      <c r="J122" s="1403"/>
    </row>
    <row r="123" spans="1:10" s="1543" customFormat="1">
      <c r="A123" s="1397"/>
      <c r="B123" s="1490"/>
      <c r="C123" s="1436"/>
      <c r="D123" s="1544"/>
      <c r="E123" s="1544"/>
      <c r="F123" s="1544"/>
      <c r="G123" s="1544"/>
      <c r="H123" s="1551">
        <f>SUM(H121:H122)</f>
        <v>4.2000000000000003E-2</v>
      </c>
      <c r="I123" s="1483" t="s">
        <v>2313</v>
      </c>
      <c r="J123" s="1403"/>
    </row>
    <row r="124" spans="1:10" s="1543" customFormat="1">
      <c r="A124" s="1397"/>
      <c r="B124" s="1490"/>
      <c r="C124" s="1436" t="s">
        <v>1681</v>
      </c>
      <c r="D124" s="1544">
        <v>1</v>
      </c>
      <c r="E124" s="1545">
        <f>2.1-0.15+0.02</f>
        <v>1.9700000000000002</v>
      </c>
      <c r="F124" s="1546">
        <f>0.9-0.15+0.02</f>
        <v>0.77</v>
      </c>
      <c r="G124" s="1546">
        <v>0.03</v>
      </c>
      <c r="H124" s="1547">
        <f>ROUND(D124*E124*F124*G124,4)</f>
        <v>4.5499999999999999E-2</v>
      </c>
      <c r="I124" s="1483" t="s">
        <v>2313</v>
      </c>
      <c r="J124" s="1403"/>
    </row>
    <row r="125" spans="1:10" s="1543" customFormat="1">
      <c r="A125" s="1397"/>
      <c r="B125" s="1490"/>
      <c r="C125" s="1542"/>
      <c r="D125" s="1544"/>
      <c r="E125" s="1544"/>
      <c r="F125" s="1544"/>
      <c r="G125" s="1544"/>
      <c r="H125" s="1551">
        <f>SUM(H124:H124)</f>
        <v>4.5499999999999999E-2</v>
      </c>
      <c r="I125" s="1483" t="s">
        <v>2313</v>
      </c>
      <c r="J125" s="1403"/>
    </row>
    <row r="126" spans="1:10" s="1543" customFormat="1">
      <c r="A126" s="1397"/>
      <c r="B126" s="1490" t="s">
        <v>1682</v>
      </c>
      <c r="C126" s="1542" t="s">
        <v>1683</v>
      </c>
      <c r="E126" s="1481" t="s">
        <v>35</v>
      </c>
      <c r="F126" s="1496">
        <f>H123</f>
        <v>4.2000000000000003E-2</v>
      </c>
      <c r="G126" s="1485">
        <f>'MINI SSR 2022-23 (2)'!$C$144</f>
        <v>51000</v>
      </c>
      <c r="H126" s="1486">
        <f t="shared" ref="H126:H133" si="8">ROUND(F126*G126,2)</f>
        <v>2142</v>
      </c>
      <c r="I126" s="1483" t="s">
        <v>2313</v>
      </c>
      <c r="J126" s="1403"/>
    </row>
    <row r="127" spans="1:10" s="1543" customFormat="1">
      <c r="A127" s="1397"/>
      <c r="B127" s="1490" t="s">
        <v>1684</v>
      </c>
      <c r="C127" s="1542" t="s">
        <v>1685</v>
      </c>
      <c r="E127" s="1481" t="s">
        <v>35</v>
      </c>
      <c r="F127" s="1496">
        <f>H125</f>
        <v>4.5499999999999999E-2</v>
      </c>
      <c r="G127" s="1485">
        <f>'MINI SSR 2022-23 (2)'!$C$145</f>
        <v>63950</v>
      </c>
      <c r="H127" s="1486">
        <f t="shared" si="8"/>
        <v>2909.73</v>
      </c>
      <c r="I127" s="1483" t="s">
        <v>2313</v>
      </c>
      <c r="J127" s="1403"/>
    </row>
    <row r="128" spans="1:10" s="1543" customFormat="1">
      <c r="A128" s="1397"/>
      <c r="B128" s="1490" t="s">
        <v>1394</v>
      </c>
      <c r="C128" s="1542" t="s">
        <v>1686</v>
      </c>
      <c r="D128" s="1481"/>
      <c r="E128" s="1481" t="s">
        <v>11</v>
      </c>
      <c r="F128" s="1497">
        <v>2</v>
      </c>
      <c r="G128" s="1485">
        <f>$G$109</f>
        <v>86.5</v>
      </c>
      <c r="H128" s="1486">
        <f t="shared" si="8"/>
        <v>173</v>
      </c>
      <c r="I128" s="1483" t="s">
        <v>2313</v>
      </c>
      <c r="J128" s="1403"/>
    </row>
    <row r="129" spans="1:10" s="1543" customFormat="1">
      <c r="A129" s="1397"/>
      <c r="B129" s="1490" t="s">
        <v>1396</v>
      </c>
      <c r="C129" s="1542" t="s">
        <v>3942</v>
      </c>
      <c r="D129" s="1481"/>
      <c r="E129" s="1481" t="s">
        <v>11</v>
      </c>
      <c r="F129" s="1497">
        <v>3</v>
      </c>
      <c r="G129" s="1485">
        <f>$G$110</f>
        <v>129</v>
      </c>
      <c r="H129" s="1486">
        <f t="shared" si="8"/>
        <v>387</v>
      </c>
      <c r="I129" s="1483" t="s">
        <v>2313</v>
      </c>
      <c r="J129" s="1403"/>
    </row>
    <row r="130" spans="1:10" s="1543" customFormat="1">
      <c r="A130" s="1397"/>
      <c r="B130" s="1490" t="s">
        <v>1381</v>
      </c>
      <c r="C130" s="1542" t="s">
        <v>1380</v>
      </c>
      <c r="D130" s="1481"/>
      <c r="E130" s="1481" t="s">
        <v>11</v>
      </c>
      <c r="F130" s="1497"/>
      <c r="G130" s="1485">
        <f>$G$111</f>
        <v>114</v>
      </c>
      <c r="H130" s="1486">
        <f t="shared" si="8"/>
        <v>0</v>
      </c>
      <c r="I130" s="1483" t="s">
        <v>2313</v>
      </c>
      <c r="J130" s="1403"/>
    </row>
    <row r="131" spans="1:10" s="1543" customFormat="1">
      <c r="A131" s="1397"/>
      <c r="B131" s="1490" t="s">
        <v>1398</v>
      </c>
      <c r="C131" s="1542" t="s">
        <v>1687</v>
      </c>
      <c r="D131" s="1481"/>
      <c r="E131" s="1481" t="s">
        <v>11</v>
      </c>
      <c r="F131" s="1497">
        <v>2</v>
      </c>
      <c r="G131" s="1485">
        <f>$G$112</f>
        <v>338</v>
      </c>
      <c r="H131" s="1486">
        <f t="shared" si="8"/>
        <v>676</v>
      </c>
      <c r="I131" s="1483" t="s">
        <v>2313</v>
      </c>
      <c r="J131" s="1403"/>
    </row>
    <row r="132" spans="1:10" s="1403" customFormat="1">
      <c r="A132" s="1397"/>
      <c r="B132" s="1490" t="s">
        <v>1688</v>
      </c>
      <c r="C132" s="1542" t="s">
        <v>1689</v>
      </c>
      <c r="D132" s="1481"/>
      <c r="E132" s="1481" t="s">
        <v>11</v>
      </c>
      <c r="F132" s="1497">
        <v>1</v>
      </c>
      <c r="G132" s="1485">
        <f>$G$113</f>
        <v>58</v>
      </c>
      <c r="H132" s="1486">
        <f t="shared" si="8"/>
        <v>58</v>
      </c>
      <c r="I132" s="1483" t="s">
        <v>2313</v>
      </c>
    </row>
    <row r="133" spans="1:10" s="1403" customFormat="1">
      <c r="A133" s="1397"/>
      <c r="B133" s="1490" t="s">
        <v>1387</v>
      </c>
      <c r="C133" s="1542" t="s">
        <v>1386</v>
      </c>
      <c r="D133" s="1481"/>
      <c r="E133" s="1481" t="s">
        <v>11</v>
      </c>
      <c r="F133" s="1497">
        <v>6</v>
      </c>
      <c r="G133" s="1485">
        <f>$G$114</f>
        <v>39</v>
      </c>
      <c r="H133" s="1486">
        <f t="shared" si="8"/>
        <v>234</v>
      </c>
      <c r="I133" s="1483" t="s">
        <v>2313</v>
      </c>
    </row>
    <row r="134" spans="1:10" s="1403" customFormat="1">
      <c r="A134" s="1397"/>
      <c r="B134" s="1490"/>
      <c r="C134" s="1436" t="s">
        <v>68</v>
      </c>
      <c r="E134" s="1481"/>
      <c r="F134" s="1485"/>
      <c r="G134" s="1485"/>
      <c r="H134" s="1486"/>
      <c r="I134" s="1483" t="s">
        <v>2313</v>
      </c>
    </row>
    <row r="135" spans="1:10" s="1403" customFormat="1">
      <c r="A135" s="1397"/>
      <c r="B135" s="1481" t="s">
        <v>1690</v>
      </c>
      <c r="C135" s="1542" t="s">
        <v>1388</v>
      </c>
      <c r="E135" s="1481" t="s">
        <v>102</v>
      </c>
      <c r="F135" s="1485">
        <f>ROUND(0.9*2.1,2)</f>
        <v>1.89</v>
      </c>
      <c r="G135" s="1485">
        <f>$G$116</f>
        <v>1701</v>
      </c>
      <c r="H135" s="1486">
        <f>ROUND(F135*G135*1/3,2)</f>
        <v>1071.6300000000001</v>
      </c>
      <c r="I135" s="1483" t="s">
        <v>2313</v>
      </c>
    </row>
    <row r="136" spans="1:10" s="1403" customFormat="1">
      <c r="A136" s="1397"/>
      <c r="B136" s="1490"/>
      <c r="C136" s="1436"/>
      <c r="D136" s="1481"/>
      <c r="E136" s="1481"/>
      <c r="F136" s="1481"/>
      <c r="G136" s="1481"/>
      <c r="H136" s="1491">
        <f>SUM(H126:H135)</f>
        <v>7651.36</v>
      </c>
      <c r="I136" s="1483" t="s">
        <v>2313</v>
      </c>
    </row>
    <row r="137" spans="1:10" s="1403" customFormat="1" ht="114.75">
      <c r="A137" s="1397">
        <v>3</v>
      </c>
      <c r="B137" s="1490"/>
      <c r="C137" s="1542" t="s">
        <v>3943</v>
      </c>
      <c r="D137" s="1481"/>
      <c r="E137" s="1481"/>
      <c r="F137" s="1481"/>
      <c r="G137" s="1481"/>
      <c r="H137" s="1487"/>
      <c r="I137" s="1483" t="s">
        <v>2313</v>
      </c>
    </row>
    <row r="138" spans="1:10" s="1403" customFormat="1">
      <c r="A138" s="1397"/>
      <c r="B138" s="1490"/>
      <c r="C138" s="1436" t="s">
        <v>100</v>
      </c>
      <c r="D138" s="1481"/>
      <c r="E138" s="1481"/>
      <c r="F138" s="1481"/>
      <c r="G138" s="1481"/>
      <c r="H138" s="1487"/>
      <c r="I138" s="1483" t="s">
        <v>2313</v>
      </c>
    </row>
    <row r="139" spans="1:10" s="1543" customFormat="1">
      <c r="A139" s="1397"/>
      <c r="B139" s="1490"/>
      <c r="C139" s="1436" t="s">
        <v>1</v>
      </c>
      <c r="D139" s="1481"/>
      <c r="E139" s="1481"/>
      <c r="F139" s="1481"/>
      <c r="G139" s="1481"/>
      <c r="H139" s="1487"/>
      <c r="I139" s="1483" t="s">
        <v>2313</v>
      </c>
      <c r="J139" s="1403"/>
    </row>
    <row r="140" spans="1:10" s="1543" customFormat="1">
      <c r="A140" s="1397"/>
      <c r="B140" s="1490"/>
      <c r="C140" s="1542" t="s">
        <v>2</v>
      </c>
      <c r="D140" s="1544">
        <v>2</v>
      </c>
      <c r="E140" s="1545">
        <v>1.9</v>
      </c>
      <c r="F140" s="1546">
        <v>0.1</v>
      </c>
      <c r="G140" s="1546">
        <v>7.4999999999999997E-2</v>
      </c>
      <c r="H140" s="1547">
        <f>ROUND(D140*E140*F140*G140,4)</f>
        <v>2.8500000000000001E-2</v>
      </c>
      <c r="I140" s="1483" t="s">
        <v>2313</v>
      </c>
      <c r="J140" s="1403"/>
    </row>
    <row r="141" spans="1:10" s="1543" customFormat="1">
      <c r="A141" s="1397"/>
      <c r="B141" s="1490"/>
      <c r="C141" s="1542" t="s">
        <v>741</v>
      </c>
      <c r="D141" s="1544">
        <v>2</v>
      </c>
      <c r="E141" s="1545">
        <v>1.05</v>
      </c>
      <c r="F141" s="1546">
        <v>0.1</v>
      </c>
      <c r="G141" s="1546">
        <v>7.4999999999999997E-2</v>
      </c>
      <c r="H141" s="1547">
        <f>ROUND(D141*E141*F141*G141,4)</f>
        <v>1.5800000000000002E-2</v>
      </c>
      <c r="I141" s="1483" t="s">
        <v>2313</v>
      </c>
      <c r="J141" s="1403"/>
    </row>
    <row r="142" spans="1:10" s="1543" customFormat="1">
      <c r="A142" s="1397"/>
      <c r="B142" s="1490"/>
      <c r="C142" s="1436"/>
      <c r="D142" s="1544"/>
      <c r="E142" s="1544"/>
      <c r="F142" s="1544"/>
      <c r="G142" s="1544"/>
      <c r="H142" s="1551">
        <f>SUM(H140:H141)</f>
        <v>4.4300000000000006E-2</v>
      </c>
      <c r="I142" s="1483" t="s">
        <v>2313</v>
      </c>
      <c r="J142" s="1403"/>
    </row>
    <row r="143" spans="1:10" s="1543" customFormat="1">
      <c r="A143" s="1397"/>
      <c r="B143" s="1490"/>
      <c r="C143" s="1436" t="s">
        <v>1681</v>
      </c>
      <c r="D143" s="1544">
        <v>1</v>
      </c>
      <c r="E143" s="1545">
        <f>2.1-0.15+0.02</f>
        <v>1.9700000000000002</v>
      </c>
      <c r="F143" s="1546">
        <f>1.05-0.15+0.02</f>
        <v>0.92</v>
      </c>
      <c r="G143" s="1546">
        <v>0.03</v>
      </c>
      <c r="H143" s="1547">
        <f>ROUND(D143*E143*F143*G143,4)</f>
        <v>5.4399999999999997E-2</v>
      </c>
      <c r="I143" s="1483" t="s">
        <v>2313</v>
      </c>
      <c r="J143" s="1403"/>
    </row>
    <row r="144" spans="1:10" s="1543" customFormat="1">
      <c r="A144" s="1397"/>
      <c r="B144" s="1490"/>
      <c r="C144" s="1542"/>
      <c r="D144" s="1544"/>
      <c r="E144" s="1544"/>
      <c r="F144" s="1544"/>
      <c r="G144" s="1544"/>
      <c r="H144" s="1551">
        <f>SUM(H143:H143)</f>
        <v>5.4399999999999997E-2</v>
      </c>
      <c r="I144" s="1483" t="s">
        <v>2313</v>
      </c>
      <c r="J144" s="1403"/>
    </row>
    <row r="145" spans="1:10" s="1543" customFormat="1">
      <c r="A145" s="1397"/>
      <c r="B145" s="1490" t="s">
        <v>1682</v>
      </c>
      <c r="C145" s="1542" t="s">
        <v>1683</v>
      </c>
      <c r="E145" s="1481" t="s">
        <v>35</v>
      </c>
      <c r="F145" s="1496">
        <f>H142</f>
        <v>4.4300000000000006E-2</v>
      </c>
      <c r="G145" s="1485">
        <f>'MINI SSR 2022-23 (2)'!$C$144</f>
        <v>51000</v>
      </c>
      <c r="H145" s="1486">
        <f t="shared" ref="H145:H152" si="9">ROUND(F145*G145,2)</f>
        <v>2259.3000000000002</v>
      </c>
      <c r="I145" s="1483" t="s">
        <v>2313</v>
      </c>
      <c r="J145" s="1403"/>
    </row>
    <row r="146" spans="1:10" s="1543" customFormat="1">
      <c r="A146" s="1397"/>
      <c r="B146" s="1490" t="s">
        <v>1684</v>
      </c>
      <c r="C146" s="1542" t="s">
        <v>1685</v>
      </c>
      <c r="E146" s="1481" t="s">
        <v>35</v>
      </c>
      <c r="F146" s="1496">
        <f>H144</f>
        <v>5.4399999999999997E-2</v>
      </c>
      <c r="G146" s="1485">
        <f>'MINI SSR 2022-23 (2)'!$C$145</f>
        <v>63950</v>
      </c>
      <c r="H146" s="1486">
        <f t="shared" si="9"/>
        <v>3478.88</v>
      </c>
      <c r="I146" s="1483" t="s">
        <v>2313</v>
      </c>
      <c r="J146" s="1403"/>
    </row>
    <row r="147" spans="1:10" s="1543" customFormat="1">
      <c r="A147" s="1397"/>
      <c r="B147" s="1490" t="s">
        <v>1394</v>
      </c>
      <c r="C147" s="1542" t="s">
        <v>1686</v>
      </c>
      <c r="D147" s="1481"/>
      <c r="E147" s="1481" t="s">
        <v>11</v>
      </c>
      <c r="F147" s="1497">
        <v>2</v>
      </c>
      <c r="G147" s="1485">
        <f>$G$109</f>
        <v>86.5</v>
      </c>
      <c r="H147" s="1486">
        <f t="shared" si="9"/>
        <v>173</v>
      </c>
      <c r="I147" s="1483" t="s">
        <v>2313</v>
      </c>
      <c r="J147" s="1403"/>
    </row>
    <row r="148" spans="1:10" s="1543" customFormat="1">
      <c r="A148" s="1397"/>
      <c r="B148" s="1490" t="s">
        <v>1396</v>
      </c>
      <c r="C148" s="1542" t="s">
        <v>3942</v>
      </c>
      <c r="D148" s="1481"/>
      <c r="E148" s="1481" t="s">
        <v>11</v>
      </c>
      <c r="F148" s="1497">
        <v>3</v>
      </c>
      <c r="G148" s="1485">
        <f>$G$110</f>
        <v>129</v>
      </c>
      <c r="H148" s="1486">
        <f t="shared" si="9"/>
        <v>387</v>
      </c>
      <c r="I148" s="1483" t="s">
        <v>2313</v>
      </c>
      <c r="J148" s="1403"/>
    </row>
    <row r="149" spans="1:10" s="1543" customFormat="1">
      <c r="A149" s="1397"/>
      <c r="B149" s="1490" t="s">
        <v>1381</v>
      </c>
      <c r="C149" s="1542" t="s">
        <v>1380</v>
      </c>
      <c r="D149" s="1481"/>
      <c r="E149" s="1481" t="s">
        <v>11</v>
      </c>
      <c r="F149" s="1497"/>
      <c r="G149" s="1485">
        <f>$G$111</f>
        <v>114</v>
      </c>
      <c r="H149" s="1486">
        <f t="shared" si="9"/>
        <v>0</v>
      </c>
      <c r="I149" s="1483" t="s">
        <v>2313</v>
      </c>
      <c r="J149" s="1403"/>
    </row>
    <row r="150" spans="1:10" s="1543" customFormat="1">
      <c r="A150" s="1397"/>
      <c r="B150" s="1490" t="s">
        <v>1398</v>
      </c>
      <c r="C150" s="1542" t="s">
        <v>1687</v>
      </c>
      <c r="D150" s="1481"/>
      <c r="E150" s="1481" t="s">
        <v>11</v>
      </c>
      <c r="F150" s="1497">
        <v>2</v>
      </c>
      <c r="G150" s="1485">
        <f>$G$112</f>
        <v>338</v>
      </c>
      <c r="H150" s="1486">
        <f t="shared" si="9"/>
        <v>676</v>
      </c>
      <c r="I150" s="1483" t="s">
        <v>2313</v>
      </c>
      <c r="J150" s="1403"/>
    </row>
    <row r="151" spans="1:10" s="1403" customFormat="1">
      <c r="A151" s="1397"/>
      <c r="B151" s="1490" t="s">
        <v>1688</v>
      </c>
      <c r="C151" s="1542" t="s">
        <v>1689</v>
      </c>
      <c r="D151" s="1481"/>
      <c r="E151" s="1481" t="s">
        <v>11</v>
      </c>
      <c r="F151" s="1497">
        <v>1</v>
      </c>
      <c r="G151" s="1485">
        <f>$G$113</f>
        <v>58</v>
      </c>
      <c r="H151" s="1486">
        <f t="shared" si="9"/>
        <v>58</v>
      </c>
      <c r="I151" s="1483" t="s">
        <v>2313</v>
      </c>
    </row>
    <row r="152" spans="1:10" s="1403" customFormat="1">
      <c r="A152" s="1397"/>
      <c r="B152" s="1490" t="s">
        <v>1387</v>
      </c>
      <c r="C152" s="1542" t="s">
        <v>1386</v>
      </c>
      <c r="D152" s="1481"/>
      <c r="E152" s="1481" t="s">
        <v>11</v>
      </c>
      <c r="F152" s="1497">
        <v>6</v>
      </c>
      <c r="G152" s="1485">
        <f>$G$114</f>
        <v>39</v>
      </c>
      <c r="H152" s="1486">
        <f t="shared" si="9"/>
        <v>234</v>
      </c>
      <c r="I152" s="1483" t="s">
        <v>2313</v>
      </c>
    </row>
    <row r="153" spans="1:10" s="1403" customFormat="1">
      <c r="A153" s="1397"/>
      <c r="B153" s="1490"/>
      <c r="C153" s="1436" t="s">
        <v>68</v>
      </c>
      <c r="E153" s="1481"/>
      <c r="F153" s="1485"/>
      <c r="G153" s="1485"/>
      <c r="H153" s="1486"/>
      <c r="I153" s="1483" t="s">
        <v>2313</v>
      </c>
    </row>
    <row r="154" spans="1:10" s="1403" customFormat="1">
      <c r="A154" s="1397"/>
      <c r="B154" s="1481" t="s">
        <v>1690</v>
      </c>
      <c r="C154" s="1542" t="s">
        <v>1388</v>
      </c>
      <c r="E154" s="1481" t="s">
        <v>102</v>
      </c>
      <c r="F154" s="1485">
        <f>ROUND(1.05*2.1,2)</f>
        <v>2.21</v>
      </c>
      <c r="G154" s="1485">
        <f>$G$116</f>
        <v>1701</v>
      </c>
      <c r="H154" s="1486">
        <f>ROUND(F154*G154*1/3,2)</f>
        <v>1253.07</v>
      </c>
      <c r="I154" s="1483" t="s">
        <v>2313</v>
      </c>
    </row>
    <row r="155" spans="1:10" s="1403" customFormat="1">
      <c r="A155" s="1397"/>
      <c r="B155" s="1490"/>
      <c r="C155" s="1436"/>
      <c r="D155" s="1481"/>
      <c r="E155" s="1481"/>
      <c r="F155" s="1481"/>
      <c r="G155" s="1481"/>
      <c r="H155" s="1491">
        <f>SUM(H145:H154)</f>
        <v>8519.25</v>
      </c>
      <c r="I155" s="1483" t="s">
        <v>2313</v>
      </c>
    </row>
    <row r="156" spans="1:10" ht="127.5" hidden="1">
      <c r="A156" s="896">
        <v>5</v>
      </c>
      <c r="B156" s="966"/>
      <c r="C156" s="1002" t="s">
        <v>1310</v>
      </c>
      <c r="D156" s="967"/>
      <c r="E156" s="967"/>
      <c r="F156" s="967"/>
      <c r="G156" s="967"/>
      <c r="H156" s="972"/>
      <c r="I156" s="964" t="s">
        <v>2313</v>
      </c>
    </row>
    <row r="157" spans="1:10" hidden="1">
      <c r="A157" s="896"/>
      <c r="B157" s="966"/>
      <c r="C157" s="1004" t="s">
        <v>100</v>
      </c>
      <c r="D157" s="967"/>
      <c r="E157" s="967"/>
      <c r="F157" s="967"/>
      <c r="G157" s="967"/>
      <c r="H157" s="972"/>
      <c r="I157" s="964" t="s">
        <v>2313</v>
      </c>
    </row>
    <row r="158" spans="1:10" s="965" customFormat="1" hidden="1">
      <c r="A158" s="896"/>
      <c r="B158" s="966"/>
      <c r="C158" s="1004" t="s">
        <v>594</v>
      </c>
      <c r="D158" s="967"/>
      <c r="E158" s="967"/>
      <c r="F158" s="967"/>
      <c r="G158" s="967"/>
      <c r="H158" s="972"/>
      <c r="I158" s="964" t="s">
        <v>2313</v>
      </c>
      <c r="J158" s="901"/>
    </row>
    <row r="159" spans="1:10" s="965" customFormat="1" hidden="1">
      <c r="A159" s="896"/>
      <c r="B159" s="966"/>
      <c r="C159" s="1002" t="s">
        <v>2</v>
      </c>
      <c r="D159" s="1014">
        <v>2</v>
      </c>
      <c r="E159" s="1015">
        <v>1.9</v>
      </c>
      <c r="F159" s="1016">
        <v>0.1</v>
      </c>
      <c r="G159" s="1016">
        <v>7.4999999999999997E-2</v>
      </c>
      <c r="H159" s="1017">
        <f>ROUND(D159*E159*F159*G159,4)</f>
        <v>2.8500000000000001E-2</v>
      </c>
      <c r="I159" s="964" t="s">
        <v>2313</v>
      </c>
      <c r="J159" s="901"/>
    </row>
    <row r="160" spans="1:10" s="965" customFormat="1" hidden="1">
      <c r="A160" s="896"/>
      <c r="B160" s="966"/>
      <c r="C160" s="1002" t="s">
        <v>741</v>
      </c>
      <c r="D160" s="1014">
        <v>1</v>
      </c>
      <c r="E160" s="1015">
        <v>1.05</v>
      </c>
      <c r="F160" s="1016">
        <v>0.1</v>
      </c>
      <c r="G160" s="1016">
        <v>7.4999999999999997E-2</v>
      </c>
      <c r="H160" s="1017">
        <f>ROUND(D160*E160*F160*G160,4)</f>
        <v>7.9000000000000008E-3</v>
      </c>
      <c r="I160" s="964" t="s">
        <v>2313</v>
      </c>
      <c r="J160" s="901"/>
    </row>
    <row r="161" spans="1:10" s="965" customFormat="1" hidden="1">
      <c r="A161" s="896"/>
      <c r="B161" s="966"/>
      <c r="C161" s="1004"/>
      <c r="D161" s="1014"/>
      <c r="E161" s="1014"/>
      <c r="F161" s="1014"/>
      <c r="G161" s="1014"/>
      <c r="H161" s="1021">
        <f>SUM(H159:H160)</f>
        <v>3.6400000000000002E-2</v>
      </c>
      <c r="I161" s="964" t="s">
        <v>2313</v>
      </c>
      <c r="J161" s="901"/>
    </row>
    <row r="162" spans="1:10" s="965" customFormat="1" hidden="1">
      <c r="A162" s="896"/>
      <c r="B162" s="966"/>
      <c r="C162" s="1004" t="s">
        <v>320</v>
      </c>
      <c r="D162" s="1014">
        <v>1</v>
      </c>
      <c r="E162" s="1015">
        <v>2.0099999999999998</v>
      </c>
      <c r="F162" s="1016">
        <v>0.94</v>
      </c>
      <c r="G162" s="1016">
        <v>0.03</v>
      </c>
      <c r="H162" s="1017">
        <f>ROUND(D162*E162*F162*G162,4)</f>
        <v>5.67E-2</v>
      </c>
      <c r="I162" s="964" t="s">
        <v>2313</v>
      </c>
      <c r="J162" s="901"/>
    </row>
    <row r="163" spans="1:10" s="965" customFormat="1" hidden="1">
      <c r="A163" s="896"/>
      <c r="B163" s="966"/>
      <c r="C163" s="1002"/>
      <c r="D163" s="1014"/>
      <c r="E163" s="1014"/>
      <c r="F163" s="1014"/>
      <c r="G163" s="1014"/>
      <c r="H163" s="1021">
        <f>SUM(H162:H162)</f>
        <v>5.67E-2</v>
      </c>
      <c r="I163" s="964" t="s">
        <v>2313</v>
      </c>
      <c r="J163" s="901"/>
    </row>
    <row r="164" spans="1:10" s="965" customFormat="1" hidden="1">
      <c r="A164" s="896"/>
      <c r="B164" s="966" t="s">
        <v>1373</v>
      </c>
      <c r="C164" s="1002" t="s">
        <v>1372</v>
      </c>
      <c r="E164" s="967" t="s">
        <v>35</v>
      </c>
      <c r="F164" s="976">
        <f>H161</f>
        <v>3.6400000000000002E-2</v>
      </c>
      <c r="G164" s="970">
        <f>'MINI SSR 2022-23 (2)'!$C$142</f>
        <v>81950</v>
      </c>
      <c r="H164" s="969">
        <f t="shared" ref="H164:H171" si="10">ROUND(F164*G164,2)</f>
        <v>2982.98</v>
      </c>
      <c r="I164" s="964" t="s">
        <v>2313</v>
      </c>
      <c r="J164" s="901"/>
    </row>
    <row r="165" spans="1:10" s="965" customFormat="1" hidden="1">
      <c r="A165" s="896"/>
      <c r="B165" s="966" t="s">
        <v>1375</v>
      </c>
      <c r="C165" s="1002" t="s">
        <v>1374</v>
      </c>
      <c r="E165" s="967" t="s">
        <v>35</v>
      </c>
      <c r="F165" s="976">
        <f>H163</f>
        <v>5.67E-2</v>
      </c>
      <c r="G165" s="970">
        <f>'MINI SSR 2022-23 (2)'!C143</f>
        <v>160920</v>
      </c>
      <c r="H165" s="969">
        <f t="shared" si="10"/>
        <v>9124.16</v>
      </c>
      <c r="I165" s="964" t="s">
        <v>2313</v>
      </c>
      <c r="J165" s="901"/>
    </row>
    <row r="166" spans="1:10" s="965" customFormat="1" hidden="1">
      <c r="A166" s="896"/>
      <c r="B166" s="966" t="s">
        <v>1377</v>
      </c>
      <c r="C166" s="1002" t="s">
        <v>1376</v>
      </c>
      <c r="D166" s="967"/>
      <c r="E166" s="967" t="s">
        <v>11</v>
      </c>
      <c r="F166" s="988">
        <v>2</v>
      </c>
      <c r="G166" s="970">
        <f t="shared" ref="G166:G171" si="11">G16</f>
        <v>255</v>
      </c>
      <c r="H166" s="969">
        <f t="shared" si="10"/>
        <v>510</v>
      </c>
      <c r="I166" s="964" t="s">
        <v>2313</v>
      </c>
      <c r="J166" s="901"/>
    </row>
    <row r="167" spans="1:10" s="965" customFormat="1" hidden="1">
      <c r="A167" s="896"/>
      <c r="B167" s="966" t="s">
        <v>1379</v>
      </c>
      <c r="C167" s="1002" t="s">
        <v>1378</v>
      </c>
      <c r="D167" s="967"/>
      <c r="E167" s="967" t="s">
        <v>11</v>
      </c>
      <c r="F167" s="988">
        <v>3</v>
      </c>
      <c r="G167" s="970">
        <f t="shared" si="11"/>
        <v>273</v>
      </c>
      <c r="H167" s="969">
        <f t="shared" si="10"/>
        <v>819</v>
      </c>
      <c r="I167" s="964" t="s">
        <v>2313</v>
      </c>
      <c r="J167" s="901"/>
    </row>
    <row r="168" spans="1:10" s="965" customFormat="1" hidden="1">
      <c r="A168" s="896"/>
      <c r="B168" s="966" t="s">
        <v>1381</v>
      </c>
      <c r="C168" s="1002" t="s">
        <v>1380</v>
      </c>
      <c r="D168" s="967"/>
      <c r="E168" s="967" t="s">
        <v>11</v>
      </c>
      <c r="F168" s="988"/>
      <c r="G168" s="970">
        <f t="shared" si="11"/>
        <v>108</v>
      </c>
      <c r="H168" s="969">
        <f t="shared" si="10"/>
        <v>0</v>
      </c>
      <c r="I168" s="964" t="s">
        <v>2313</v>
      </c>
      <c r="J168" s="901"/>
    </row>
    <row r="169" spans="1:10" s="965" customFormat="1" hidden="1">
      <c r="A169" s="896"/>
      <c r="B169" s="966" t="s">
        <v>1383</v>
      </c>
      <c r="C169" s="1002" t="s">
        <v>1382</v>
      </c>
      <c r="D169" s="967"/>
      <c r="E169" s="967" t="s">
        <v>11</v>
      </c>
      <c r="F169" s="988">
        <v>2</v>
      </c>
      <c r="G169" s="970">
        <f t="shared" si="11"/>
        <v>1195</v>
      </c>
      <c r="H169" s="969">
        <f t="shared" si="10"/>
        <v>2390</v>
      </c>
      <c r="I169" s="964" t="s">
        <v>2313</v>
      </c>
      <c r="J169" s="901"/>
    </row>
    <row r="170" spans="1:10" hidden="1">
      <c r="A170" s="896"/>
      <c r="B170" s="966" t="s">
        <v>1385</v>
      </c>
      <c r="C170" s="1002" t="s">
        <v>1384</v>
      </c>
      <c r="D170" s="967"/>
      <c r="E170" s="967" t="s">
        <v>11</v>
      </c>
      <c r="F170" s="988">
        <v>1</v>
      </c>
      <c r="G170" s="970">
        <f t="shared" si="11"/>
        <v>185</v>
      </c>
      <c r="H170" s="969">
        <f t="shared" si="10"/>
        <v>185</v>
      </c>
      <c r="I170" s="964" t="s">
        <v>2313</v>
      </c>
    </row>
    <row r="171" spans="1:10" hidden="1">
      <c r="A171" s="896"/>
      <c r="B171" s="966" t="s">
        <v>1387</v>
      </c>
      <c r="C171" s="1002" t="s">
        <v>1386</v>
      </c>
      <c r="D171" s="967"/>
      <c r="E171" s="967" t="s">
        <v>11</v>
      </c>
      <c r="F171" s="988">
        <v>6</v>
      </c>
      <c r="G171" s="970">
        <f t="shared" si="11"/>
        <v>39</v>
      </c>
      <c r="H171" s="969">
        <f t="shared" si="10"/>
        <v>234</v>
      </c>
      <c r="I171" s="964" t="s">
        <v>2313</v>
      </c>
    </row>
    <row r="172" spans="1:10" hidden="1">
      <c r="A172" s="896"/>
      <c r="B172" s="966"/>
      <c r="C172" s="1004" t="s">
        <v>68</v>
      </c>
      <c r="D172" s="901"/>
      <c r="E172" s="967"/>
      <c r="F172" s="970"/>
      <c r="G172" s="970"/>
      <c r="H172" s="969"/>
      <c r="I172" s="964" t="s">
        <v>2313</v>
      </c>
    </row>
    <row r="173" spans="1:10" hidden="1">
      <c r="A173" s="896"/>
      <c r="B173" s="967" t="s">
        <v>1389</v>
      </c>
      <c r="C173" s="1002" t="s">
        <v>1388</v>
      </c>
      <c r="D173" s="901"/>
      <c r="E173" s="967" t="s">
        <v>102</v>
      </c>
      <c r="F173" s="970">
        <f>ROUND(1.05*2.1,2)</f>
        <v>2.21</v>
      </c>
      <c r="G173" s="970">
        <f>G23</f>
        <v>1727</v>
      </c>
      <c r="H173" s="969">
        <f>ROUND(F173*G173*1/3,2)</f>
        <v>1272.22</v>
      </c>
      <c r="I173" s="964" t="s">
        <v>2313</v>
      </c>
    </row>
    <row r="174" spans="1:10" hidden="1">
      <c r="A174" s="896"/>
      <c r="B174" s="966"/>
      <c r="C174" s="1004"/>
      <c r="D174" s="967"/>
      <c r="E174" s="967"/>
      <c r="F174" s="967"/>
      <c r="G174" s="967"/>
      <c r="H174" s="971">
        <f>SUM(H164:H173)</f>
        <v>17517.36</v>
      </c>
      <c r="I174" s="964" t="s">
        <v>2313</v>
      </c>
    </row>
    <row r="175" spans="1:10" ht="127.5" hidden="1">
      <c r="A175" s="896">
        <v>2</v>
      </c>
      <c r="B175" s="966"/>
      <c r="C175" s="1002" t="s">
        <v>2204</v>
      </c>
      <c r="D175" s="967"/>
      <c r="E175" s="967"/>
      <c r="F175" s="967"/>
      <c r="G175" s="967"/>
      <c r="H175" s="972"/>
      <c r="I175" s="964" t="s">
        <v>2313</v>
      </c>
    </row>
    <row r="176" spans="1:10" hidden="1">
      <c r="A176" s="896"/>
      <c r="B176" s="966"/>
      <c r="C176" s="1004" t="s">
        <v>100</v>
      </c>
      <c r="D176" s="967"/>
      <c r="E176" s="967"/>
      <c r="F176" s="967"/>
      <c r="G176" s="967"/>
      <c r="H176" s="972"/>
      <c r="I176" s="964" t="s">
        <v>2313</v>
      </c>
    </row>
    <row r="177" spans="1:12" s="965" customFormat="1" hidden="1">
      <c r="A177" s="896"/>
      <c r="B177" s="966"/>
      <c r="C177" s="1004" t="s">
        <v>60</v>
      </c>
      <c r="D177" s="967"/>
      <c r="E177" s="967"/>
      <c r="F177" s="967"/>
      <c r="G177" s="967"/>
      <c r="H177" s="972"/>
      <c r="I177" s="964" t="s">
        <v>2313</v>
      </c>
      <c r="J177" s="901"/>
    </row>
    <row r="178" spans="1:12" s="965" customFormat="1" hidden="1">
      <c r="A178" s="896"/>
      <c r="B178" s="966"/>
      <c r="C178" s="1004" t="s">
        <v>1</v>
      </c>
      <c r="D178" s="967"/>
      <c r="E178" s="967"/>
      <c r="F178" s="967"/>
      <c r="G178" s="967"/>
      <c r="H178" s="972"/>
      <c r="I178" s="964" t="s">
        <v>2313</v>
      </c>
      <c r="J178" s="901"/>
    </row>
    <row r="179" spans="1:12" s="965" customFormat="1" hidden="1">
      <c r="A179" s="896"/>
      <c r="B179" s="966"/>
      <c r="C179" s="1002" t="s">
        <v>2</v>
      </c>
      <c r="D179" s="1014">
        <v>2</v>
      </c>
      <c r="E179" s="1015">
        <v>1.95</v>
      </c>
      <c r="F179" s="1016">
        <v>0.1</v>
      </c>
      <c r="G179" s="1016">
        <v>7.4999999999999997E-2</v>
      </c>
      <c r="H179" s="1017">
        <f>ROUND(D179*E179*F179*G179,4)</f>
        <v>2.93E-2</v>
      </c>
      <c r="I179" s="964" t="s">
        <v>2313</v>
      </c>
      <c r="J179" s="901"/>
    </row>
    <row r="180" spans="1:12" s="965" customFormat="1" hidden="1">
      <c r="A180" s="896"/>
      <c r="B180" s="966"/>
      <c r="C180" s="1002" t="s">
        <v>741</v>
      </c>
      <c r="D180" s="1014">
        <v>2</v>
      </c>
      <c r="E180" s="1015">
        <v>1.05</v>
      </c>
      <c r="F180" s="1016">
        <v>0.1</v>
      </c>
      <c r="G180" s="1016">
        <v>7.4999999999999997E-2</v>
      </c>
      <c r="H180" s="1017">
        <f>ROUND(D180*E180*F180*G180,4)</f>
        <v>1.5800000000000002E-2</v>
      </c>
      <c r="I180" s="964" t="s">
        <v>2313</v>
      </c>
      <c r="J180" s="901"/>
    </row>
    <row r="181" spans="1:12" s="965" customFormat="1" hidden="1">
      <c r="A181" s="896"/>
      <c r="B181" s="966"/>
      <c r="C181" s="1004"/>
      <c r="D181" s="967"/>
      <c r="E181" s="967"/>
      <c r="F181" s="967"/>
      <c r="G181" s="967"/>
      <c r="H181" s="1018">
        <f>SUM(H179:H180)</f>
        <v>4.5100000000000001E-2</v>
      </c>
      <c r="I181" s="964" t="s">
        <v>2313</v>
      </c>
      <c r="J181" s="901"/>
    </row>
    <row r="182" spans="1:12" s="965" customFormat="1" hidden="1">
      <c r="A182" s="896"/>
      <c r="B182" s="966" t="s">
        <v>1373</v>
      </c>
      <c r="C182" s="1002" t="s">
        <v>1372</v>
      </c>
      <c r="D182" s="967"/>
      <c r="E182" s="967" t="s">
        <v>35</v>
      </c>
      <c r="F182" s="976">
        <f>H181</f>
        <v>4.5100000000000001E-2</v>
      </c>
      <c r="G182" s="970">
        <f>'MINI SSR 2022-23 (2)'!$C$142</f>
        <v>81950</v>
      </c>
      <c r="H182" s="969"/>
      <c r="I182" s="964" t="s">
        <v>2313</v>
      </c>
      <c r="J182" s="901"/>
    </row>
    <row r="183" spans="1:12" s="965" customFormat="1" hidden="1">
      <c r="A183" s="896"/>
      <c r="B183" s="967" t="s">
        <v>2092</v>
      </c>
      <c r="C183" s="1002" t="s">
        <v>2093</v>
      </c>
      <c r="D183" s="967"/>
      <c r="E183" s="967" t="s">
        <v>102</v>
      </c>
      <c r="F183" s="976">
        <f>ROUND((1.05-0.15+0.02)*(2.1-0.15+0.02),2)</f>
        <v>1.81</v>
      </c>
      <c r="G183" s="970">
        <f>'MINI SSR 2022-23 (2)'!$C$148</f>
        <v>2000</v>
      </c>
      <c r="H183" s="969">
        <f t="shared" ref="H183:H189" si="12">ROUND(F183*G183,2)</f>
        <v>3620</v>
      </c>
      <c r="I183" s="964" t="s">
        <v>2313</v>
      </c>
      <c r="J183" s="901"/>
      <c r="K183" s="965">
        <f>(1*0.775)/1.05</f>
        <v>0.73809523809523814</v>
      </c>
    </row>
    <row r="184" spans="1:12" s="965" customFormat="1" hidden="1">
      <c r="A184" s="896"/>
      <c r="B184" s="967" t="s">
        <v>2094</v>
      </c>
      <c r="C184" s="1002" t="s">
        <v>2098</v>
      </c>
      <c r="D184" s="967"/>
      <c r="E184" s="967" t="s">
        <v>102</v>
      </c>
      <c r="F184" s="976">
        <f>F183</f>
        <v>1.81</v>
      </c>
      <c r="G184" s="970">
        <f>'MINI SSR 2022-23 (2)'!$C$151</f>
        <v>1036</v>
      </c>
      <c r="H184" s="969">
        <f t="shared" si="12"/>
        <v>1875.16</v>
      </c>
      <c r="I184" s="964" t="s">
        <v>2313</v>
      </c>
      <c r="J184" s="901"/>
    </row>
    <row r="185" spans="1:12" hidden="1">
      <c r="A185" s="896"/>
      <c r="B185" s="967" t="s">
        <v>1394</v>
      </c>
      <c r="C185" s="1002" t="s">
        <v>1393</v>
      </c>
      <c r="D185" s="967"/>
      <c r="E185" s="967" t="s">
        <v>11</v>
      </c>
      <c r="F185" s="988">
        <v>2</v>
      </c>
      <c r="G185" s="970">
        <f>'MINI SSR 2022-23 (2)'!$G$143</f>
        <v>86.5</v>
      </c>
      <c r="H185" s="969">
        <f t="shared" si="12"/>
        <v>173</v>
      </c>
      <c r="I185" s="964" t="s">
        <v>2313</v>
      </c>
    </row>
    <row r="186" spans="1:12" hidden="1">
      <c r="A186" s="896"/>
      <c r="B186" s="967" t="s">
        <v>1396</v>
      </c>
      <c r="C186" s="1002" t="s">
        <v>1395</v>
      </c>
      <c r="D186" s="967"/>
      <c r="E186" s="967" t="s">
        <v>11</v>
      </c>
      <c r="F186" s="988">
        <v>3</v>
      </c>
      <c r="G186" s="970">
        <f>'MINI SSR 2022-23 (2)'!$G$146</f>
        <v>129</v>
      </c>
      <c r="H186" s="969">
        <f t="shared" si="12"/>
        <v>387</v>
      </c>
      <c r="I186" s="964" t="s">
        <v>2313</v>
      </c>
    </row>
    <row r="187" spans="1:12" hidden="1">
      <c r="A187" s="896"/>
      <c r="B187" s="967" t="s">
        <v>1381</v>
      </c>
      <c r="C187" s="1002" t="s">
        <v>1380</v>
      </c>
      <c r="D187" s="967"/>
      <c r="E187" s="967" t="s">
        <v>11</v>
      </c>
      <c r="F187" s="988">
        <v>2</v>
      </c>
      <c r="G187" s="970">
        <f>'MINI SSR 2022-23 (2)'!$G$144</f>
        <v>108</v>
      </c>
      <c r="H187" s="969">
        <f t="shared" si="12"/>
        <v>216</v>
      </c>
      <c r="I187" s="964" t="s">
        <v>2313</v>
      </c>
    </row>
    <row r="188" spans="1:12" hidden="1">
      <c r="A188" s="896"/>
      <c r="B188" s="967" t="s">
        <v>1398</v>
      </c>
      <c r="C188" s="1002" t="s">
        <v>1397</v>
      </c>
      <c r="D188" s="967"/>
      <c r="E188" s="967" t="s">
        <v>11</v>
      </c>
      <c r="F188" s="988">
        <v>2</v>
      </c>
      <c r="G188" s="970">
        <f>'MINI SSR 2022-23 (2)'!$G$149</f>
        <v>338</v>
      </c>
      <c r="H188" s="969">
        <f t="shared" si="12"/>
        <v>676</v>
      </c>
      <c r="I188" s="964" t="s">
        <v>2313</v>
      </c>
    </row>
    <row r="189" spans="1:12" hidden="1">
      <c r="A189" s="896"/>
      <c r="B189" s="967" t="s">
        <v>1400</v>
      </c>
      <c r="C189" s="1002" t="s">
        <v>1399</v>
      </c>
      <c r="D189" s="967"/>
      <c r="E189" s="967" t="s">
        <v>11</v>
      </c>
      <c r="F189" s="988">
        <v>1</v>
      </c>
      <c r="G189" s="970">
        <f>'MINI SSR 2022-23 (2)'!$G$155</f>
        <v>58</v>
      </c>
      <c r="H189" s="969">
        <f t="shared" si="12"/>
        <v>58</v>
      </c>
      <c r="I189" s="964" t="s">
        <v>2313</v>
      </c>
    </row>
    <row r="190" spans="1:12" hidden="1">
      <c r="A190" s="896"/>
      <c r="B190" s="967" t="s">
        <v>1387</v>
      </c>
      <c r="C190" s="1002" t="s">
        <v>1386</v>
      </c>
      <c r="D190" s="967"/>
      <c r="E190" s="967" t="s">
        <v>11</v>
      </c>
      <c r="F190" s="988">
        <v>6</v>
      </c>
      <c r="G190" s="970">
        <f>'MINI SSR 2022-23 (2)'!$G$152</f>
        <v>39</v>
      </c>
      <c r="H190" s="969"/>
      <c r="I190" s="964" t="s">
        <v>2313</v>
      </c>
    </row>
    <row r="191" spans="1:12" hidden="1">
      <c r="A191" s="967"/>
      <c r="B191" s="967"/>
      <c r="C191" s="1004" t="s">
        <v>68</v>
      </c>
      <c r="D191" s="967"/>
      <c r="E191" s="967"/>
      <c r="F191" s="970"/>
      <c r="G191" s="974"/>
      <c r="H191" s="969"/>
      <c r="I191" s="964" t="s">
        <v>2313</v>
      </c>
    </row>
    <row r="192" spans="1:12" ht="25.5" hidden="1">
      <c r="A192" s="967"/>
      <c r="B192" s="967" t="s">
        <v>1389</v>
      </c>
      <c r="C192" s="1002" t="s">
        <v>1401</v>
      </c>
      <c r="D192" s="967"/>
      <c r="E192" s="967" t="s">
        <v>102</v>
      </c>
      <c r="F192" s="970">
        <f>ROUND(1.05*2.1,2)</f>
        <v>2.21</v>
      </c>
      <c r="G192" s="970">
        <f>'MINI SSR 2022-23 (2)'!$C$150</f>
        <v>1701</v>
      </c>
      <c r="H192" s="969"/>
      <c r="I192" s="964" t="s">
        <v>2313</v>
      </c>
      <c r="L192" s="1019"/>
    </row>
    <row r="193" spans="1:12" ht="13.5" hidden="1" thickBot="1">
      <c r="A193" s="967"/>
      <c r="B193" s="967"/>
      <c r="C193" s="1004"/>
      <c r="D193" s="967"/>
      <c r="E193" s="967"/>
      <c r="F193" s="967"/>
      <c r="G193" s="967"/>
      <c r="H193" s="971">
        <f>SUM(H182:H192)</f>
        <v>7005.16</v>
      </c>
      <c r="I193" s="964" t="s">
        <v>2313</v>
      </c>
      <c r="L193" s="1020">
        <f>SUM(L192)</f>
        <v>0</v>
      </c>
    </row>
    <row r="194" spans="1:12" ht="127.5" hidden="1">
      <c r="A194" s="896">
        <v>2</v>
      </c>
      <c r="B194" s="966"/>
      <c r="C194" s="1002" t="s">
        <v>3864</v>
      </c>
      <c r="D194" s="967"/>
      <c r="E194" s="967"/>
      <c r="F194" s="967"/>
      <c r="G194" s="967"/>
      <c r="H194" s="972"/>
      <c r="I194" s="964" t="s">
        <v>2313</v>
      </c>
    </row>
    <row r="195" spans="1:12" hidden="1">
      <c r="A195" s="896"/>
      <c r="B195" s="966"/>
      <c r="C195" s="1004" t="s">
        <v>100</v>
      </c>
      <c r="D195" s="967"/>
      <c r="E195" s="967"/>
      <c r="F195" s="967"/>
      <c r="G195" s="967"/>
      <c r="H195" s="972"/>
      <c r="I195" s="964" t="s">
        <v>2313</v>
      </c>
    </row>
    <row r="196" spans="1:12" s="965" customFormat="1" hidden="1">
      <c r="A196" s="896"/>
      <c r="B196" s="966"/>
      <c r="C196" s="1004" t="s">
        <v>60</v>
      </c>
      <c r="D196" s="967"/>
      <c r="E196" s="967"/>
      <c r="F196" s="967"/>
      <c r="G196" s="967"/>
      <c r="H196" s="972"/>
      <c r="I196" s="964" t="s">
        <v>2313</v>
      </c>
      <c r="J196" s="901"/>
    </row>
    <row r="197" spans="1:12" s="965" customFormat="1" hidden="1">
      <c r="A197" s="896"/>
      <c r="B197" s="966"/>
      <c r="C197" s="1004" t="s">
        <v>1</v>
      </c>
      <c r="D197" s="967"/>
      <c r="E197" s="967"/>
      <c r="F197" s="967"/>
      <c r="G197" s="967"/>
      <c r="H197" s="972"/>
      <c r="I197" s="964" t="s">
        <v>2313</v>
      </c>
      <c r="J197" s="901"/>
    </row>
    <row r="198" spans="1:12" s="965" customFormat="1" hidden="1">
      <c r="A198" s="896"/>
      <c r="B198" s="966"/>
      <c r="C198" s="1002" t="s">
        <v>2</v>
      </c>
      <c r="D198" s="1014">
        <v>2</v>
      </c>
      <c r="E198" s="1015">
        <v>1.95</v>
      </c>
      <c r="F198" s="1016">
        <v>0.1</v>
      </c>
      <c r="G198" s="1016">
        <v>7.4999999999999997E-2</v>
      </c>
      <c r="H198" s="1017">
        <f>ROUND(D198*E198*F198*G198,4)</f>
        <v>2.93E-2</v>
      </c>
      <c r="I198" s="964" t="s">
        <v>2313</v>
      </c>
      <c r="J198" s="901"/>
    </row>
    <row r="199" spans="1:12" s="965" customFormat="1" hidden="1">
      <c r="A199" s="896"/>
      <c r="B199" s="966"/>
      <c r="C199" s="1002" t="s">
        <v>741</v>
      </c>
      <c r="D199" s="1014">
        <v>2</v>
      </c>
      <c r="E199" s="1015">
        <v>0.9</v>
      </c>
      <c r="F199" s="1016">
        <v>0.1</v>
      </c>
      <c r="G199" s="1016">
        <v>7.4999999999999997E-2</v>
      </c>
      <c r="H199" s="1017">
        <f>ROUND(D199*E199*F199*G199,4)</f>
        <v>1.35E-2</v>
      </c>
      <c r="I199" s="964" t="s">
        <v>2313</v>
      </c>
      <c r="J199" s="901"/>
    </row>
    <row r="200" spans="1:12" s="965" customFormat="1" hidden="1">
      <c r="A200" s="896"/>
      <c r="B200" s="966"/>
      <c r="C200" s="1004"/>
      <c r="D200" s="967"/>
      <c r="E200" s="967"/>
      <c r="F200" s="967"/>
      <c r="G200" s="967"/>
      <c r="H200" s="1018">
        <f>SUM(H198:H199)</f>
        <v>4.2799999999999998E-2</v>
      </c>
      <c r="I200" s="964" t="s">
        <v>2313</v>
      </c>
      <c r="J200" s="901"/>
    </row>
    <row r="201" spans="1:12" s="965" customFormat="1" hidden="1">
      <c r="A201" s="896"/>
      <c r="B201" s="966" t="s">
        <v>1682</v>
      </c>
      <c r="C201" s="1002" t="s">
        <v>1683</v>
      </c>
      <c r="E201" s="967" t="s">
        <v>35</v>
      </c>
      <c r="F201" s="976">
        <f>H200</f>
        <v>4.2799999999999998E-2</v>
      </c>
      <c r="G201" s="970">
        <f>'MINI SSR 2022-23 (2)'!$C$144</f>
        <v>51000</v>
      </c>
      <c r="H201" s="969">
        <f t="shared" ref="H201:H209" si="13">ROUND(F201*G201,2)</f>
        <v>2182.8000000000002</v>
      </c>
      <c r="I201" s="964" t="s">
        <v>2313</v>
      </c>
      <c r="J201" s="901"/>
    </row>
    <row r="202" spans="1:12" s="965" customFormat="1" hidden="1">
      <c r="A202" s="896"/>
      <c r="B202" s="967" t="s">
        <v>1391</v>
      </c>
      <c r="C202" s="1002" t="s">
        <v>1390</v>
      </c>
      <c r="D202" s="967"/>
      <c r="E202" s="967" t="s">
        <v>102</v>
      </c>
      <c r="F202" s="976">
        <f>ROUND((2.1-0.15+0.02)*(0.9-0.15+0.02),2)</f>
        <v>1.52</v>
      </c>
      <c r="G202" s="970">
        <f>'MINI SSR 2022-23 (2)'!$C$146</f>
        <v>3394</v>
      </c>
      <c r="H202" s="969">
        <f t="shared" si="13"/>
        <v>5158.88</v>
      </c>
      <c r="I202" s="964" t="s">
        <v>2313</v>
      </c>
      <c r="J202" s="901"/>
    </row>
    <row r="203" spans="1:12" s="965" customFormat="1" hidden="1">
      <c r="A203" s="896"/>
      <c r="B203" s="967" t="s">
        <v>1392</v>
      </c>
      <c r="C203" s="1002" t="s">
        <v>3865</v>
      </c>
      <c r="D203" s="967"/>
      <c r="E203" s="967" t="s">
        <v>102</v>
      </c>
      <c r="F203" s="976">
        <f>F202</f>
        <v>1.52</v>
      </c>
      <c r="G203" s="970">
        <f>'MINI SSR 2022-23 (2)'!$C$151</f>
        <v>1036</v>
      </c>
      <c r="H203" s="969">
        <f t="shared" si="13"/>
        <v>1574.72</v>
      </c>
      <c r="I203" s="964" t="s">
        <v>2313</v>
      </c>
      <c r="J203" s="901"/>
    </row>
    <row r="204" spans="1:12" hidden="1">
      <c r="A204" s="896"/>
      <c r="B204" s="967" t="s">
        <v>1394</v>
      </c>
      <c r="C204" s="1002" t="s">
        <v>1393</v>
      </c>
      <c r="D204" s="967"/>
      <c r="E204" s="967" t="s">
        <v>11</v>
      </c>
      <c r="F204" s="988">
        <v>2</v>
      </c>
      <c r="G204" s="970">
        <f>'MINI SSR 2022-23 (2)'!$G$143</f>
        <v>86.5</v>
      </c>
      <c r="H204" s="969">
        <f t="shared" si="13"/>
        <v>173</v>
      </c>
      <c r="I204" s="964" t="s">
        <v>2313</v>
      </c>
    </row>
    <row r="205" spans="1:12" hidden="1">
      <c r="A205" s="896"/>
      <c r="B205" s="967" t="s">
        <v>1396</v>
      </c>
      <c r="C205" s="1002" t="s">
        <v>1395</v>
      </c>
      <c r="D205" s="967"/>
      <c r="E205" s="967" t="s">
        <v>11</v>
      </c>
      <c r="F205" s="988">
        <v>3</v>
      </c>
      <c r="G205" s="970">
        <f>'MINI SSR 2022-23 (2)'!$G$146</f>
        <v>129</v>
      </c>
      <c r="H205" s="969">
        <f t="shared" si="13"/>
        <v>387</v>
      </c>
      <c r="I205" s="964" t="s">
        <v>2313</v>
      </c>
    </row>
    <row r="206" spans="1:12" hidden="1">
      <c r="A206" s="896"/>
      <c r="B206" s="967" t="s">
        <v>1381</v>
      </c>
      <c r="C206" s="1002" t="s">
        <v>1380</v>
      </c>
      <c r="D206" s="967"/>
      <c r="E206" s="967" t="s">
        <v>11</v>
      </c>
      <c r="F206" s="988">
        <v>2</v>
      </c>
      <c r="G206" s="970">
        <f>'MINI SSR 2022-23 (2)'!$G$144</f>
        <v>108</v>
      </c>
      <c r="H206" s="969">
        <f t="shared" si="13"/>
        <v>216</v>
      </c>
      <c r="I206" s="964" t="s">
        <v>2313</v>
      </c>
    </row>
    <row r="207" spans="1:12" hidden="1">
      <c r="A207" s="896"/>
      <c r="B207" s="967" t="s">
        <v>1398</v>
      </c>
      <c r="C207" s="1002" t="s">
        <v>1397</v>
      </c>
      <c r="D207" s="967"/>
      <c r="E207" s="967" t="s">
        <v>11</v>
      </c>
      <c r="F207" s="988">
        <v>2</v>
      </c>
      <c r="G207" s="970">
        <f>'MINI SSR 2022-23 (2)'!$G$149</f>
        <v>338</v>
      </c>
      <c r="H207" s="969">
        <f t="shared" si="13"/>
        <v>676</v>
      </c>
      <c r="I207" s="964" t="s">
        <v>2313</v>
      </c>
    </row>
    <row r="208" spans="1:12" hidden="1">
      <c r="A208" s="896"/>
      <c r="B208" s="967" t="s">
        <v>1400</v>
      </c>
      <c r="C208" s="1002" t="s">
        <v>1399</v>
      </c>
      <c r="D208" s="967"/>
      <c r="E208" s="967" t="s">
        <v>11</v>
      </c>
      <c r="F208" s="988">
        <v>1</v>
      </c>
      <c r="G208" s="970">
        <f>'MINI SSR 2022-23 (2)'!$G$155</f>
        <v>58</v>
      </c>
      <c r="H208" s="969">
        <f t="shared" si="13"/>
        <v>58</v>
      </c>
      <c r="I208" s="964" t="s">
        <v>2313</v>
      </c>
    </row>
    <row r="209" spans="1:12" hidden="1">
      <c r="A209" s="896"/>
      <c r="B209" s="967" t="s">
        <v>1387</v>
      </c>
      <c r="C209" s="1002" t="s">
        <v>1386</v>
      </c>
      <c r="D209" s="967"/>
      <c r="E209" s="967" t="s">
        <v>11</v>
      </c>
      <c r="F209" s="988">
        <v>6</v>
      </c>
      <c r="G209" s="970">
        <f>'MINI SSR 2022-23 (2)'!$G$152</f>
        <v>39</v>
      </c>
      <c r="H209" s="969">
        <f t="shared" si="13"/>
        <v>234</v>
      </c>
      <c r="I209" s="964" t="s">
        <v>2313</v>
      </c>
    </row>
    <row r="210" spans="1:12" hidden="1">
      <c r="A210" s="967"/>
      <c r="B210" s="967"/>
      <c r="C210" s="1004" t="s">
        <v>68</v>
      </c>
      <c r="D210" s="967"/>
      <c r="E210" s="967"/>
      <c r="F210" s="970"/>
      <c r="G210" s="974"/>
      <c r="H210" s="969"/>
      <c r="I210" s="964" t="s">
        <v>2313</v>
      </c>
    </row>
    <row r="211" spans="1:12" ht="25.5" hidden="1">
      <c r="A211" s="967"/>
      <c r="B211" s="967" t="s">
        <v>1690</v>
      </c>
      <c r="C211" s="1002" t="s">
        <v>1401</v>
      </c>
      <c r="D211" s="967"/>
      <c r="E211" s="967" t="s">
        <v>102</v>
      </c>
      <c r="F211" s="970">
        <f>ROUND(0.9*2.1,2)</f>
        <v>1.89</v>
      </c>
      <c r="G211" s="970">
        <f>'MINI SSR 2022-23 (2)'!$C$150</f>
        <v>1701</v>
      </c>
      <c r="H211" s="969">
        <f>ROUND(F211*G211*1/3,2)</f>
        <v>1071.6300000000001</v>
      </c>
      <c r="I211" s="964" t="s">
        <v>2313</v>
      </c>
      <c r="L211" s="1019"/>
    </row>
    <row r="212" spans="1:12" ht="13.5" hidden="1" thickBot="1">
      <c r="A212" s="967"/>
      <c r="B212" s="967"/>
      <c r="C212" s="1004"/>
      <c r="D212" s="967"/>
      <c r="E212" s="967"/>
      <c r="F212" s="967"/>
      <c r="G212" s="967"/>
      <c r="H212" s="971">
        <f>SUM(H201:H211)</f>
        <v>11732.029999999999</v>
      </c>
      <c r="I212" s="964" t="s">
        <v>2313</v>
      </c>
      <c r="L212" s="1020">
        <f>SUM(L211)</f>
        <v>0</v>
      </c>
    </row>
    <row r="213" spans="1:12" ht="51" hidden="1">
      <c r="A213" s="896">
        <v>7</v>
      </c>
      <c r="B213" s="966"/>
      <c r="C213" s="1002" t="s">
        <v>1199</v>
      </c>
      <c r="D213" s="967"/>
      <c r="E213" s="967"/>
      <c r="F213" s="967"/>
      <c r="G213" s="967"/>
      <c r="H213" s="972"/>
      <c r="I213" s="964" t="s">
        <v>2313</v>
      </c>
    </row>
    <row r="214" spans="1:12" s="965" customFormat="1" hidden="1">
      <c r="A214" s="896"/>
      <c r="B214" s="966"/>
      <c r="C214" s="1002" t="s">
        <v>695</v>
      </c>
      <c r="E214" s="967" t="s">
        <v>35</v>
      </c>
      <c r="F214" s="973">
        <v>8.0000000000000002E-3</v>
      </c>
      <c r="G214" s="970">
        <f>'MINI SSR 2022-23 (2)'!C144</f>
        <v>51000</v>
      </c>
      <c r="H214" s="969">
        <f>ROUND(F214*G214,2)</f>
        <v>408</v>
      </c>
      <c r="I214" s="964" t="s">
        <v>2313</v>
      </c>
      <c r="J214" s="901"/>
    </row>
    <row r="215" spans="1:12" s="965" customFormat="1" hidden="1">
      <c r="A215" s="896"/>
      <c r="B215" s="966"/>
      <c r="C215" s="1002" t="s">
        <v>1198</v>
      </c>
      <c r="E215" s="967" t="s">
        <v>4</v>
      </c>
      <c r="F215" s="973">
        <v>0.5</v>
      </c>
      <c r="G215" s="970">
        <f>'lead 22-23 P-B'!L9/1000</f>
        <v>76.11</v>
      </c>
      <c r="H215" s="969">
        <f>ROUND(F215*G215,2)</f>
        <v>38.06</v>
      </c>
      <c r="I215" s="964" t="s">
        <v>2313</v>
      </c>
      <c r="J215" s="901"/>
    </row>
    <row r="216" spans="1:12" s="965" customFormat="1" hidden="1">
      <c r="A216" s="896"/>
      <c r="B216" s="966" t="s">
        <v>1405</v>
      </c>
      <c r="C216" s="1002" t="s">
        <v>1404</v>
      </c>
      <c r="E216" s="967" t="s">
        <v>102</v>
      </c>
      <c r="F216" s="973">
        <v>0.27</v>
      </c>
      <c r="G216" s="970">
        <f>'MINI SSR 2022-23 (2)'!G153</f>
        <v>486</v>
      </c>
      <c r="H216" s="969">
        <f>ROUND(F216*G216,2)</f>
        <v>131.22</v>
      </c>
      <c r="I216" s="964" t="s">
        <v>2313</v>
      </c>
      <c r="J216" s="901"/>
    </row>
    <row r="217" spans="1:12" hidden="1">
      <c r="A217" s="967"/>
      <c r="B217" s="967"/>
      <c r="C217" s="1002"/>
      <c r="D217" s="967"/>
      <c r="E217" s="970"/>
      <c r="F217" s="970"/>
      <c r="G217" s="970"/>
      <c r="H217" s="969"/>
      <c r="I217" s="964" t="s">
        <v>2313</v>
      </c>
      <c r="L217" s="1019"/>
    </row>
    <row r="218" spans="1:12" ht="13.5" hidden="1" thickBot="1">
      <c r="A218" s="967"/>
      <c r="B218" s="967"/>
      <c r="C218" s="1004" t="s">
        <v>1403</v>
      </c>
      <c r="D218" s="967"/>
      <c r="E218" s="967"/>
      <c r="F218" s="967"/>
      <c r="G218" s="967"/>
      <c r="H218" s="971">
        <f>SUM(H214:H217)</f>
        <v>577.28</v>
      </c>
      <c r="I218" s="964" t="s">
        <v>2313</v>
      </c>
      <c r="L218" s="1020">
        <f>SUM(L217)</f>
        <v>0</v>
      </c>
    </row>
    <row r="219" spans="1:12" hidden="1">
      <c r="A219" s="896">
        <v>2</v>
      </c>
      <c r="B219" s="966"/>
      <c r="C219" s="1002" t="s">
        <v>932</v>
      </c>
      <c r="D219" s="967"/>
      <c r="E219" s="967"/>
      <c r="F219" s="967"/>
      <c r="G219" s="967"/>
      <c r="H219" s="972"/>
      <c r="I219" s="964" t="s">
        <v>2313</v>
      </c>
    </row>
    <row r="220" spans="1:12" hidden="1">
      <c r="A220" s="967"/>
      <c r="B220" s="967" t="s">
        <v>1406</v>
      </c>
      <c r="C220" s="1002" t="s">
        <v>379</v>
      </c>
      <c r="D220" s="967" t="s">
        <v>102</v>
      </c>
      <c r="E220" s="970">
        <v>1</v>
      </c>
      <c r="F220" s="970">
        <f>'MINI SSR 2022-23 (2)'!G154</f>
        <v>388</v>
      </c>
      <c r="G220" s="970"/>
      <c r="H220" s="969">
        <f>ROUND(E220*F220,2)</f>
        <v>388</v>
      </c>
      <c r="I220" s="964" t="s">
        <v>2313</v>
      </c>
    </row>
    <row r="221" spans="1:12" hidden="1">
      <c r="A221" s="967"/>
      <c r="B221" s="967"/>
      <c r="C221" s="1002" t="s">
        <v>929</v>
      </c>
      <c r="D221" s="896" t="s">
        <v>108</v>
      </c>
      <c r="E221" s="922">
        <v>0.06</v>
      </c>
      <c r="F221" s="922">
        <f>'MINI SSR 2022-23 (2)'!H3</f>
        <v>630</v>
      </c>
      <c r="G221" s="922"/>
      <c r="H221" s="924">
        <f>ROUND(E221*F221,2)</f>
        <v>37.799999999999997</v>
      </c>
      <c r="I221" s="964" t="s">
        <v>2313</v>
      </c>
    </row>
    <row r="222" spans="1:12" hidden="1">
      <c r="A222" s="967"/>
      <c r="B222" s="967"/>
      <c r="C222" s="1002" t="s">
        <v>930</v>
      </c>
      <c r="D222" s="896" t="s">
        <v>108</v>
      </c>
      <c r="E222" s="922">
        <v>0.06</v>
      </c>
      <c r="F222" s="922">
        <f>'MINI SSR 2022-23 (2)'!H4</f>
        <v>565</v>
      </c>
      <c r="G222" s="922"/>
      <c r="H222" s="924">
        <f>ROUND(E222*F222,2)</f>
        <v>33.9</v>
      </c>
      <c r="I222" s="964" t="s">
        <v>2313</v>
      </c>
    </row>
    <row r="223" spans="1:12" hidden="1">
      <c r="A223" s="967"/>
      <c r="B223" s="967"/>
      <c r="C223" s="1003" t="s">
        <v>931</v>
      </c>
      <c r="D223" s="896" t="s">
        <v>108</v>
      </c>
      <c r="E223" s="920">
        <v>0.27500000000000002</v>
      </c>
      <c r="F223" s="922">
        <f>'MINI SSR 2022-23 (2)'!H5</f>
        <v>525</v>
      </c>
      <c r="G223" s="922"/>
      <c r="H223" s="924">
        <f>ROUND(E223*F223,2)</f>
        <v>144.38</v>
      </c>
      <c r="I223" s="964" t="s">
        <v>2313</v>
      </c>
    </row>
    <row r="224" spans="1:12" hidden="1">
      <c r="A224" s="967"/>
      <c r="B224" s="967"/>
      <c r="C224" s="1004" t="s">
        <v>1402</v>
      </c>
      <c r="D224" s="967"/>
      <c r="E224" s="967"/>
      <c r="F224" s="967"/>
      <c r="G224" s="967"/>
      <c r="H224" s="971">
        <f>SUM(H220:H223)</f>
        <v>604.07999999999993</v>
      </c>
      <c r="I224" s="964" t="s">
        <v>2313</v>
      </c>
    </row>
    <row r="225" spans="1:12" ht="191.25" hidden="1">
      <c r="A225" s="896">
        <v>2</v>
      </c>
      <c r="B225" s="966"/>
      <c r="C225" s="1377" t="s">
        <v>910</v>
      </c>
      <c r="D225" s="967"/>
      <c r="E225" s="967"/>
      <c r="F225" s="967"/>
      <c r="G225" s="967"/>
      <c r="H225" s="972"/>
      <c r="I225" s="964" t="s">
        <v>2313</v>
      </c>
    </row>
    <row r="226" spans="1:12" hidden="1">
      <c r="A226" s="967"/>
      <c r="B226" s="967"/>
      <c r="C226" s="1002" t="s">
        <v>911</v>
      </c>
      <c r="D226" s="967"/>
      <c r="E226" s="973"/>
      <c r="F226" s="970"/>
      <c r="G226" s="970"/>
      <c r="H226" s="969"/>
      <c r="I226" s="964" t="s">
        <v>2313</v>
      </c>
    </row>
    <row r="227" spans="1:12" hidden="1">
      <c r="A227" s="967"/>
      <c r="B227" s="967" t="s">
        <v>1408</v>
      </c>
      <c r="C227" s="1002" t="s">
        <v>1407</v>
      </c>
      <c r="D227" s="967"/>
      <c r="E227" s="967" t="s">
        <v>277</v>
      </c>
      <c r="F227" s="973">
        <v>6.7</v>
      </c>
      <c r="G227" s="970">
        <f>'MINI SSR 2022-23 (2)'!C147</f>
        <v>920</v>
      </c>
      <c r="H227" s="969">
        <f t="shared" ref="H227:H233" si="14">ROUND(F227*G227,2)</f>
        <v>6164</v>
      </c>
      <c r="I227" s="964" t="s">
        <v>2313</v>
      </c>
    </row>
    <row r="228" spans="1:12" hidden="1">
      <c r="A228" s="967"/>
      <c r="B228" s="967" t="s">
        <v>1410</v>
      </c>
      <c r="C228" s="1002" t="s">
        <v>1409</v>
      </c>
      <c r="D228" s="967"/>
      <c r="E228" s="967" t="s">
        <v>102</v>
      </c>
      <c r="F228" s="973">
        <v>0.86899999999999999</v>
      </c>
      <c r="G228" s="970">
        <f>'MINI SSR 2022-23 (2)'!C151</f>
        <v>1036</v>
      </c>
      <c r="H228" s="969">
        <f t="shared" si="14"/>
        <v>900.28</v>
      </c>
      <c r="I228" s="964" t="s">
        <v>2313</v>
      </c>
    </row>
    <row r="229" spans="1:12" hidden="1">
      <c r="A229" s="967"/>
      <c r="B229" s="967" t="s">
        <v>1391</v>
      </c>
      <c r="C229" s="1002" t="s">
        <v>379</v>
      </c>
      <c r="D229" s="967"/>
      <c r="E229" s="967" t="s">
        <v>102</v>
      </c>
      <c r="F229" s="973">
        <f>ROUND(1.1*2.03,2)</f>
        <v>2.23</v>
      </c>
      <c r="G229" s="970">
        <f>'MINI SSR 2022-23 (2)'!C146</f>
        <v>3394</v>
      </c>
      <c r="H229" s="969">
        <f t="shared" si="14"/>
        <v>7568.62</v>
      </c>
      <c r="I229" s="964" t="s">
        <v>2313</v>
      </c>
    </row>
    <row r="230" spans="1:12" hidden="1">
      <c r="A230" s="967"/>
      <c r="B230" s="967" t="s">
        <v>1392</v>
      </c>
      <c r="C230" s="1002" t="s">
        <v>1411</v>
      </c>
      <c r="D230" s="967"/>
      <c r="E230" s="967" t="s">
        <v>102</v>
      </c>
      <c r="F230" s="973">
        <v>1.6870000000000001</v>
      </c>
      <c r="G230" s="970">
        <f>'MINI SSR 2022-23 (2)'!C151</f>
        <v>1036</v>
      </c>
      <c r="H230" s="969">
        <f t="shared" si="14"/>
        <v>1747.73</v>
      </c>
      <c r="I230" s="964" t="s">
        <v>2313</v>
      </c>
      <c r="L230" s="1019"/>
    </row>
    <row r="231" spans="1:12" hidden="1">
      <c r="A231" s="896"/>
      <c r="B231" s="966" t="s">
        <v>1413</v>
      </c>
      <c r="C231" s="1002" t="s">
        <v>1412</v>
      </c>
      <c r="D231" s="967"/>
      <c r="E231" s="967" t="s">
        <v>11</v>
      </c>
      <c r="F231" s="988">
        <v>2</v>
      </c>
      <c r="G231" s="970">
        <f>'MINI SSR 2022-23 (2)'!G144</f>
        <v>108</v>
      </c>
      <c r="H231" s="969">
        <f t="shared" si="14"/>
        <v>216</v>
      </c>
      <c r="I231" s="964" t="s">
        <v>2313</v>
      </c>
    </row>
    <row r="232" spans="1:12" hidden="1">
      <c r="A232" s="896"/>
      <c r="B232" s="966" t="s">
        <v>1381</v>
      </c>
      <c r="C232" s="1002" t="s">
        <v>1380</v>
      </c>
      <c r="D232" s="967"/>
      <c r="E232" s="967" t="s">
        <v>11</v>
      </c>
      <c r="F232" s="988">
        <v>2</v>
      </c>
      <c r="G232" s="970">
        <f>'MINI SSR 2022-23 (2)'!G147</f>
        <v>114</v>
      </c>
      <c r="H232" s="969">
        <f t="shared" si="14"/>
        <v>228</v>
      </c>
      <c r="I232" s="964" t="s">
        <v>2313</v>
      </c>
    </row>
    <row r="233" spans="1:12" hidden="1">
      <c r="A233" s="896"/>
      <c r="B233" s="966" t="s">
        <v>1398</v>
      </c>
      <c r="C233" s="1002" t="s">
        <v>1397</v>
      </c>
      <c r="D233" s="967"/>
      <c r="E233" s="967" t="s">
        <v>11</v>
      </c>
      <c r="F233" s="988">
        <v>2</v>
      </c>
      <c r="G233" s="970">
        <f>'MINI SSR 2022-23 (2)'!G149</f>
        <v>338</v>
      </c>
      <c r="H233" s="969">
        <f t="shared" si="14"/>
        <v>676</v>
      </c>
      <c r="I233" s="964" t="s">
        <v>2313</v>
      </c>
    </row>
    <row r="234" spans="1:12" hidden="1">
      <c r="A234" s="896"/>
      <c r="B234" s="966"/>
      <c r="C234" s="1002" t="s">
        <v>912</v>
      </c>
      <c r="D234" s="967"/>
      <c r="E234" s="967" t="s">
        <v>11</v>
      </c>
      <c r="F234" s="988">
        <v>1</v>
      </c>
      <c r="G234" s="970">
        <f>'MINI SSR 2022-23 (2)'!G155</f>
        <v>58</v>
      </c>
      <c r="H234" s="969"/>
      <c r="I234" s="964" t="s">
        <v>2313</v>
      </c>
    </row>
    <row r="235" spans="1:12" hidden="1">
      <c r="A235" s="967"/>
      <c r="B235" s="967"/>
      <c r="C235" s="1002" t="s">
        <v>909</v>
      </c>
      <c r="D235" s="967"/>
      <c r="E235" s="970"/>
      <c r="F235" s="970"/>
      <c r="G235" s="970"/>
      <c r="H235" s="971">
        <f>SUM(H227:H234)</f>
        <v>17500.629999999997</v>
      </c>
      <c r="I235" s="964" t="s">
        <v>2313</v>
      </c>
    </row>
    <row r="236" spans="1:12" hidden="1">
      <c r="A236" s="967"/>
      <c r="B236" s="967"/>
      <c r="C236" s="1002" t="s">
        <v>121</v>
      </c>
      <c r="D236" s="967"/>
      <c r="E236" s="967"/>
      <c r="F236" s="967"/>
      <c r="G236" s="967"/>
      <c r="H236" s="971">
        <f>ROUND(H235/2.556,2)</f>
        <v>6846.88</v>
      </c>
      <c r="I236" s="964" t="s">
        <v>2313</v>
      </c>
    </row>
    <row r="237" spans="1:12" ht="255" hidden="1">
      <c r="A237" s="896">
        <v>1</v>
      </c>
      <c r="B237" s="966"/>
      <c r="C237" s="1002" t="s">
        <v>910</v>
      </c>
      <c r="D237" s="967"/>
      <c r="E237" s="967"/>
      <c r="F237" s="967"/>
      <c r="G237" s="967"/>
      <c r="H237" s="972"/>
      <c r="I237" s="964" t="s">
        <v>2313</v>
      </c>
    </row>
    <row r="238" spans="1:12" hidden="1">
      <c r="A238" s="967"/>
      <c r="B238" s="967"/>
      <c r="C238" s="1002" t="s">
        <v>911</v>
      </c>
      <c r="D238" s="967"/>
      <c r="E238" s="973"/>
      <c r="F238" s="970"/>
      <c r="G238" s="970"/>
      <c r="H238" s="969"/>
      <c r="I238" s="964" t="s">
        <v>2313</v>
      </c>
    </row>
    <row r="239" spans="1:12" hidden="1">
      <c r="A239" s="967"/>
      <c r="B239" s="967" t="s">
        <v>1408</v>
      </c>
      <c r="C239" s="1002" t="s">
        <v>1407</v>
      </c>
      <c r="D239" s="967"/>
      <c r="E239" s="967" t="s">
        <v>277</v>
      </c>
      <c r="F239" s="973">
        <v>5.45</v>
      </c>
      <c r="G239" s="970">
        <f t="shared" ref="G239:G246" si="15">G227</f>
        <v>920</v>
      </c>
      <c r="H239" s="969">
        <f t="shared" ref="H239:H244" si="16">ROUND(F239*G239,2)</f>
        <v>5014</v>
      </c>
      <c r="I239" s="964" t="s">
        <v>2313</v>
      </c>
    </row>
    <row r="240" spans="1:12" hidden="1">
      <c r="A240" s="967"/>
      <c r="B240" s="967" t="s">
        <v>1410</v>
      </c>
      <c r="C240" s="1002" t="s">
        <v>1409</v>
      </c>
      <c r="D240" s="967"/>
      <c r="E240" s="967" t="s">
        <v>102</v>
      </c>
      <c r="F240" s="973">
        <v>0.86899999999999999</v>
      </c>
      <c r="G240" s="970">
        <f t="shared" si="15"/>
        <v>1036</v>
      </c>
      <c r="H240" s="969">
        <f t="shared" si="16"/>
        <v>900.28</v>
      </c>
      <c r="I240" s="964" t="s">
        <v>2313</v>
      </c>
    </row>
    <row r="241" spans="1:12" hidden="1">
      <c r="A241" s="967"/>
      <c r="B241" s="967" t="s">
        <v>1391</v>
      </c>
      <c r="C241" s="1002" t="s">
        <v>379</v>
      </c>
      <c r="D241" s="967"/>
      <c r="E241" s="967" t="s">
        <v>102</v>
      </c>
      <c r="F241" s="973">
        <f>ROUND(1.1*2.03,2)</f>
        <v>2.23</v>
      </c>
      <c r="G241" s="970">
        <f t="shared" si="15"/>
        <v>3394</v>
      </c>
      <c r="H241" s="969">
        <f t="shared" si="16"/>
        <v>7568.62</v>
      </c>
      <c r="I241" s="964" t="s">
        <v>2313</v>
      </c>
    </row>
    <row r="242" spans="1:12" hidden="1">
      <c r="A242" s="967"/>
      <c r="B242" s="967" t="s">
        <v>1392</v>
      </c>
      <c r="C242" s="1002" t="s">
        <v>1411</v>
      </c>
      <c r="D242" s="967"/>
      <c r="E242" s="967" t="s">
        <v>102</v>
      </c>
      <c r="F242" s="973">
        <v>1.6870000000000001</v>
      </c>
      <c r="G242" s="970">
        <f t="shared" si="15"/>
        <v>1036</v>
      </c>
      <c r="H242" s="969">
        <f t="shared" si="16"/>
        <v>1747.73</v>
      </c>
      <c r="I242" s="964" t="s">
        <v>2313</v>
      </c>
      <c r="L242" s="1019"/>
    </row>
    <row r="243" spans="1:12" hidden="1">
      <c r="A243" s="896"/>
      <c r="B243" s="966" t="s">
        <v>1413</v>
      </c>
      <c r="C243" s="1002" t="s">
        <v>1412</v>
      </c>
      <c r="D243" s="967"/>
      <c r="E243" s="967" t="s">
        <v>11</v>
      </c>
      <c r="F243" s="988">
        <v>2</v>
      </c>
      <c r="G243" s="970">
        <f t="shared" si="15"/>
        <v>108</v>
      </c>
      <c r="H243" s="969">
        <f t="shared" si="16"/>
        <v>216</v>
      </c>
      <c r="I243" s="964" t="s">
        <v>2313</v>
      </c>
    </row>
    <row r="244" spans="1:12" hidden="1">
      <c r="A244" s="896"/>
      <c r="B244" s="966" t="s">
        <v>1381</v>
      </c>
      <c r="C244" s="1002" t="s">
        <v>1380</v>
      </c>
      <c r="D244" s="967"/>
      <c r="E244" s="967" t="s">
        <v>11</v>
      </c>
      <c r="F244" s="988">
        <v>2</v>
      </c>
      <c r="G244" s="970">
        <f t="shared" si="15"/>
        <v>114</v>
      </c>
      <c r="H244" s="969">
        <f t="shared" si="16"/>
        <v>228</v>
      </c>
      <c r="I244" s="964" t="s">
        <v>2313</v>
      </c>
    </row>
    <row r="245" spans="1:12" hidden="1">
      <c r="A245" s="896"/>
      <c r="B245" s="966" t="s">
        <v>1398</v>
      </c>
      <c r="C245" s="1002" t="s">
        <v>1397</v>
      </c>
      <c r="D245" s="967"/>
      <c r="E245" s="967" t="s">
        <v>11</v>
      </c>
      <c r="F245" s="988">
        <v>2</v>
      </c>
      <c r="G245" s="970">
        <f t="shared" si="15"/>
        <v>338</v>
      </c>
      <c r="H245" s="969">
        <v>0</v>
      </c>
      <c r="I245" s="964" t="s">
        <v>2313</v>
      </c>
    </row>
    <row r="246" spans="1:12" hidden="1">
      <c r="A246" s="896"/>
      <c r="B246" s="966"/>
      <c r="C246" s="1002" t="s">
        <v>912</v>
      </c>
      <c r="D246" s="967"/>
      <c r="E246" s="967" t="s">
        <v>11</v>
      </c>
      <c r="F246" s="988">
        <v>1</v>
      </c>
      <c r="G246" s="970">
        <f t="shared" si="15"/>
        <v>58</v>
      </c>
      <c r="H246" s="969">
        <v>0</v>
      </c>
      <c r="I246" s="964" t="s">
        <v>2313</v>
      </c>
    </row>
    <row r="247" spans="1:12" hidden="1">
      <c r="A247" s="967"/>
      <c r="B247" s="967"/>
      <c r="C247" s="1002" t="s">
        <v>909</v>
      </c>
      <c r="D247" s="967"/>
      <c r="E247" s="970"/>
      <c r="F247" s="970"/>
      <c r="G247" s="970"/>
      <c r="H247" s="971">
        <f>SUM(H239:H246)</f>
        <v>15674.63</v>
      </c>
      <c r="I247" s="964" t="s">
        <v>2313</v>
      </c>
    </row>
    <row r="248" spans="1:12" hidden="1">
      <c r="A248" s="967"/>
      <c r="B248" s="967"/>
      <c r="C248" s="1002" t="s">
        <v>121</v>
      </c>
      <c r="D248" s="967"/>
      <c r="E248" s="967"/>
      <c r="F248" s="967"/>
      <c r="G248" s="967"/>
      <c r="H248" s="971">
        <f>ROUND(H247/2.556,2)</f>
        <v>6132.48</v>
      </c>
      <c r="I248" s="964" t="s">
        <v>2313</v>
      </c>
    </row>
    <row r="249" spans="1:12" ht="127.5" hidden="1">
      <c r="A249" s="896">
        <v>2</v>
      </c>
      <c r="B249" s="966"/>
      <c r="C249" s="1002" t="s">
        <v>2452</v>
      </c>
      <c r="D249" s="967"/>
      <c r="E249" s="967"/>
      <c r="F249" s="967"/>
      <c r="G249" s="967"/>
      <c r="H249" s="972"/>
      <c r="I249" s="964" t="s">
        <v>2313</v>
      </c>
    </row>
    <row r="250" spans="1:12" hidden="1">
      <c r="A250" s="967"/>
      <c r="B250" s="967"/>
      <c r="C250" s="1002" t="s">
        <v>911</v>
      </c>
      <c r="D250" s="967"/>
      <c r="E250" s="973"/>
      <c r="F250" s="970"/>
      <c r="G250" s="970"/>
      <c r="H250" s="969"/>
      <c r="I250" s="964" t="s">
        <v>2313</v>
      </c>
    </row>
    <row r="251" spans="1:12" hidden="1">
      <c r="A251" s="967"/>
      <c r="B251" s="967" t="s">
        <v>1391</v>
      </c>
      <c r="C251" s="1002" t="s">
        <v>379</v>
      </c>
      <c r="D251" s="967"/>
      <c r="E251" s="967" t="s">
        <v>102</v>
      </c>
      <c r="F251" s="973">
        <f>ROUND(1.1*2.03,2)</f>
        <v>2.23</v>
      </c>
      <c r="G251" s="970">
        <f t="shared" ref="G251:G256" si="17">G241</f>
        <v>3394</v>
      </c>
      <c r="H251" s="969">
        <f t="shared" ref="H251:H256" si="18">ROUND(F251*G251,2)</f>
        <v>7568.62</v>
      </c>
      <c r="I251" s="964" t="s">
        <v>2313</v>
      </c>
    </row>
    <row r="252" spans="1:12" hidden="1">
      <c r="A252" s="967"/>
      <c r="B252" s="967" t="s">
        <v>1392</v>
      </c>
      <c r="C252" s="1002" t="s">
        <v>1411</v>
      </c>
      <c r="D252" s="967"/>
      <c r="E252" s="967" t="s">
        <v>102</v>
      </c>
      <c r="F252" s="973">
        <v>1.6870000000000001</v>
      </c>
      <c r="G252" s="970">
        <f t="shared" si="17"/>
        <v>1036</v>
      </c>
      <c r="H252" s="969">
        <f t="shared" si="18"/>
        <v>1747.73</v>
      </c>
      <c r="I252" s="964" t="s">
        <v>2313</v>
      </c>
      <c r="L252" s="1019"/>
    </row>
    <row r="253" spans="1:12" hidden="1">
      <c r="A253" s="896"/>
      <c r="B253" s="966" t="s">
        <v>1413</v>
      </c>
      <c r="C253" s="1002" t="s">
        <v>1412</v>
      </c>
      <c r="D253" s="967"/>
      <c r="E253" s="967" t="s">
        <v>11</v>
      </c>
      <c r="F253" s="988">
        <v>2</v>
      </c>
      <c r="G253" s="970">
        <f t="shared" si="17"/>
        <v>108</v>
      </c>
      <c r="H253" s="969">
        <f t="shared" si="18"/>
        <v>216</v>
      </c>
      <c r="I253" s="964" t="s">
        <v>2313</v>
      </c>
    </row>
    <row r="254" spans="1:12" hidden="1">
      <c r="A254" s="896"/>
      <c r="B254" s="966" t="s">
        <v>1381</v>
      </c>
      <c r="C254" s="1002" t="s">
        <v>1380</v>
      </c>
      <c r="D254" s="967"/>
      <c r="E254" s="967" t="s">
        <v>11</v>
      </c>
      <c r="F254" s="988">
        <v>2</v>
      </c>
      <c r="G254" s="970">
        <f t="shared" si="17"/>
        <v>114</v>
      </c>
      <c r="H254" s="969">
        <f t="shared" si="18"/>
        <v>228</v>
      </c>
      <c r="I254" s="964" t="s">
        <v>2313</v>
      </c>
    </row>
    <row r="255" spans="1:12" hidden="1">
      <c r="A255" s="896"/>
      <c r="B255" s="966" t="s">
        <v>1398</v>
      </c>
      <c r="C255" s="1002" t="s">
        <v>1397</v>
      </c>
      <c r="D255" s="967"/>
      <c r="E255" s="967" t="s">
        <v>11</v>
      </c>
      <c r="F255" s="988">
        <v>2</v>
      </c>
      <c r="G255" s="970">
        <f t="shared" si="17"/>
        <v>338</v>
      </c>
      <c r="H255" s="969">
        <f t="shared" si="18"/>
        <v>676</v>
      </c>
      <c r="I255" s="964" t="s">
        <v>2313</v>
      </c>
    </row>
    <row r="256" spans="1:12" hidden="1">
      <c r="A256" s="896"/>
      <c r="B256" s="966"/>
      <c r="C256" s="1002" t="s">
        <v>912</v>
      </c>
      <c r="D256" s="967"/>
      <c r="E256" s="967" t="s">
        <v>11</v>
      </c>
      <c r="F256" s="988">
        <v>1</v>
      </c>
      <c r="G256" s="970">
        <f t="shared" si="17"/>
        <v>58</v>
      </c>
      <c r="H256" s="969">
        <f t="shared" si="18"/>
        <v>58</v>
      </c>
      <c r="I256" s="964" t="s">
        <v>2313</v>
      </c>
    </row>
    <row r="257" spans="1:9" hidden="1">
      <c r="A257" s="967"/>
      <c r="B257" s="967"/>
      <c r="C257" s="1002" t="s">
        <v>909</v>
      </c>
      <c r="D257" s="967"/>
      <c r="E257" s="970"/>
      <c r="F257" s="970"/>
      <c r="G257" s="970"/>
      <c r="H257" s="971">
        <f>SUM(H251:H256)</f>
        <v>10494.35</v>
      </c>
      <c r="I257" s="964" t="s">
        <v>2313</v>
      </c>
    </row>
    <row r="258" spans="1:9" hidden="1">
      <c r="A258" s="967"/>
      <c r="B258" s="967"/>
      <c r="C258" s="1002" t="s">
        <v>121</v>
      </c>
      <c r="D258" s="967"/>
      <c r="E258" s="967"/>
      <c r="F258" s="967"/>
      <c r="G258" s="967"/>
      <c r="H258" s="971">
        <f>ROUND(H257/2.556,2)</f>
        <v>4105.7700000000004</v>
      </c>
      <c r="I258" s="964" t="s">
        <v>2313</v>
      </c>
    </row>
    <row r="259" spans="1:9" s="1403" customFormat="1" ht="270">
      <c r="A259" s="1397">
        <v>4</v>
      </c>
      <c r="B259" s="1490"/>
      <c r="C259" s="1552" t="s">
        <v>717</v>
      </c>
      <c r="D259" s="1481"/>
      <c r="E259" s="1481"/>
      <c r="F259" s="1481"/>
      <c r="G259" s="1481"/>
      <c r="H259" s="1487"/>
      <c r="I259" s="1483" t="s">
        <v>2313</v>
      </c>
    </row>
    <row r="260" spans="1:9" hidden="1">
      <c r="A260" s="967"/>
      <c r="B260" s="967" t="s">
        <v>1415</v>
      </c>
      <c r="C260" s="1002" t="s">
        <v>1414</v>
      </c>
      <c r="D260" s="967" t="s">
        <v>102</v>
      </c>
      <c r="E260" s="970">
        <v>1</v>
      </c>
      <c r="F260" s="970">
        <f>'MINI SSR 2022-23 (2)'!C153</f>
        <v>6460</v>
      </c>
      <c r="G260" s="970"/>
      <c r="H260" s="969">
        <f>ROUND(E260*F260,2)</f>
        <v>6460</v>
      </c>
      <c r="I260" s="964" t="s">
        <v>2313</v>
      </c>
    </row>
    <row r="261" spans="1:9" hidden="1">
      <c r="A261" s="967"/>
      <c r="B261" s="967"/>
      <c r="C261" s="1004"/>
      <c r="D261" s="967"/>
      <c r="E261" s="967"/>
      <c r="F261" s="967"/>
      <c r="G261" s="967"/>
      <c r="H261" s="971">
        <f>SUM(H260:H260)</f>
        <v>6460</v>
      </c>
      <c r="I261" s="964" t="s">
        <v>2313</v>
      </c>
    </row>
    <row r="262" spans="1:9" s="1403" customFormat="1">
      <c r="A262" s="1481"/>
      <c r="B262" s="1481" t="s">
        <v>1415</v>
      </c>
      <c r="C262" s="1542" t="s">
        <v>1416</v>
      </c>
      <c r="D262" s="1481" t="s">
        <v>102</v>
      </c>
      <c r="E262" s="1485">
        <v>1</v>
      </c>
      <c r="F262" s="1485">
        <f>'MINI SSR 2022-23 (2)'!C152</f>
        <v>8622</v>
      </c>
      <c r="G262" s="1485"/>
      <c r="H262" s="1486">
        <f>ROUND(E262*F262,2)</f>
        <v>8622</v>
      </c>
      <c r="I262" s="1483" t="s">
        <v>2313</v>
      </c>
    </row>
    <row r="263" spans="1:9" s="1403" customFormat="1">
      <c r="A263" s="1481"/>
      <c r="B263" s="1481"/>
      <c r="C263" s="1436"/>
      <c r="D263" s="1481"/>
      <c r="E263" s="1481"/>
      <c r="F263" s="1481"/>
      <c r="G263" s="1481"/>
      <c r="H263" s="1491">
        <f>SUM(H262:H262)</f>
        <v>8622</v>
      </c>
      <c r="I263" s="1483" t="s">
        <v>2313</v>
      </c>
    </row>
    <row r="264" spans="1:9" hidden="1">
      <c r="A264" s="967">
        <v>8</v>
      </c>
      <c r="B264" s="967" t="s">
        <v>1418</v>
      </c>
      <c r="C264" s="1002" t="s">
        <v>1417</v>
      </c>
      <c r="D264" s="967" t="s">
        <v>102</v>
      </c>
      <c r="E264" s="970">
        <v>1</v>
      </c>
      <c r="F264" s="970">
        <f>'MINI SSR 2022-23 (2)'!C154</f>
        <v>6238</v>
      </c>
      <c r="G264" s="970"/>
      <c r="H264" s="969">
        <f>ROUND(E264*F264,2)</f>
        <v>6238</v>
      </c>
      <c r="I264" s="964" t="s">
        <v>2313</v>
      </c>
    </row>
    <row r="265" spans="1:9" hidden="1">
      <c r="A265" s="967"/>
      <c r="B265" s="967"/>
      <c r="C265" s="1004"/>
      <c r="D265" s="967"/>
      <c r="E265" s="967"/>
      <c r="F265" s="967"/>
      <c r="G265" s="967"/>
      <c r="H265" s="971">
        <f>SUM(H264:H264)</f>
        <v>6238</v>
      </c>
      <c r="I265" s="964" t="s">
        <v>2313</v>
      </c>
    </row>
    <row r="266" spans="1:9" ht="38.25" hidden="1">
      <c r="A266" s="896">
        <v>3</v>
      </c>
      <c r="B266" s="966"/>
      <c r="C266" s="1002" t="s">
        <v>2284</v>
      </c>
      <c r="D266" s="967"/>
      <c r="E266" s="967"/>
      <c r="F266" s="967"/>
      <c r="G266" s="967"/>
      <c r="H266" s="972"/>
      <c r="I266" s="964" t="s">
        <v>2313</v>
      </c>
    </row>
    <row r="267" spans="1:9" hidden="1">
      <c r="A267" s="967"/>
      <c r="B267" s="967" t="s">
        <v>2282</v>
      </c>
      <c r="C267" s="1002" t="s">
        <v>1414</v>
      </c>
      <c r="D267" s="967" t="s">
        <v>102</v>
      </c>
      <c r="E267" s="970">
        <v>1</v>
      </c>
      <c r="F267" s="970">
        <f>'MINI SSR 2022-23 (2)'!C156</f>
        <v>4062</v>
      </c>
      <c r="G267" s="970"/>
      <c r="H267" s="969">
        <f>ROUND(E267*F267,2)</f>
        <v>4062</v>
      </c>
      <c r="I267" s="964" t="s">
        <v>2313</v>
      </c>
    </row>
    <row r="268" spans="1:9" hidden="1">
      <c r="A268" s="967"/>
      <c r="B268" s="967"/>
      <c r="C268" s="1004"/>
      <c r="D268" s="967"/>
      <c r="E268" s="967"/>
      <c r="F268" s="967"/>
      <c r="G268" s="967"/>
      <c r="H268" s="971">
        <f>SUM(H267:H267)</f>
        <v>4062</v>
      </c>
      <c r="I268" s="964" t="s">
        <v>2313</v>
      </c>
    </row>
    <row r="269" spans="1:9" ht="15.95" customHeight="1"/>
    <row r="270" spans="1:9" ht="15.95" customHeight="1"/>
    <row r="271" spans="1:9" ht="15.95" customHeight="1">
      <c r="D271" s="964" t="str">
        <f>'lead 22-23 P-B'!H31</f>
        <v>Deputy Executive Engineer</v>
      </c>
      <c r="G271" s="964" t="str">
        <f>'lead 22-23 P-B'!K31</f>
        <v>Assistant  Engineer</v>
      </c>
    </row>
    <row r="272" spans="1:9">
      <c r="D272" s="964" t="str">
        <f>'lead 22-23 P-B'!H32</f>
        <v>PRI Sub Division</v>
      </c>
      <c r="G272" s="964" t="str">
        <f>'lead 22-23 P-B'!K32</f>
        <v>Mandal Praja parishad</v>
      </c>
    </row>
    <row r="273" spans="4:7">
      <c r="D273" s="964" t="str">
        <f>'lead 22-23 P-B'!H33</f>
        <v>Kanigiri</v>
      </c>
      <c r="G273" s="964" t="str">
        <f>'lead 22-23 P-B'!K33</f>
        <v>Kanigiri</v>
      </c>
    </row>
  </sheetData>
  <autoFilter ref="A5:H268">
    <filterColumn colId="0">
      <colorFilter dxfId="2"/>
    </filterColumn>
  </autoFilter>
  <mergeCells count="2">
    <mergeCell ref="A1:H1"/>
    <mergeCell ref="A2:H2"/>
  </mergeCells>
  <pageMargins left="0.74" right="0.23" top="0.52" bottom="0.45" header="0.34" footer="0.17"/>
  <pageSetup paperSize="9" scale="93" orientation="portrait" r:id="rId1"/>
  <headerFooter alignWithMargins="0"/>
</worksheet>
</file>

<file path=xl/worksheets/sheet30.xml><?xml version="1.0" encoding="utf-8"?>
<worksheet xmlns="http://schemas.openxmlformats.org/spreadsheetml/2006/main" xmlns:r="http://schemas.openxmlformats.org/officeDocument/2006/relationships">
  <sheetPr filterMode="1">
    <tabColor rgb="FF00B050"/>
  </sheetPr>
  <dimension ref="A1:H152"/>
  <sheetViews>
    <sheetView view="pageBreakPreview" zoomScale="115" zoomScaleNormal="70" zoomScaleSheetLayoutView="115" workbookViewId="0">
      <pane ySplit="4" topLeftCell="A87" activePane="bottomLeft" state="frozen"/>
      <selection activeCell="I53" sqref="I53"/>
      <selection pane="bottomLeft" activeCell="C145" sqref="C145"/>
    </sheetView>
  </sheetViews>
  <sheetFormatPr defaultColWidth="13.85546875" defaultRowHeight="12.75"/>
  <cols>
    <col min="1" max="1" width="8.7109375" style="1078" customWidth="1"/>
    <col min="2" max="2" width="4.7109375" style="1094" customWidth="1"/>
    <col min="3" max="3" width="48" style="1096" customWidth="1"/>
    <col min="4" max="4" width="6.85546875" style="1097" customWidth="1"/>
    <col min="5" max="5" width="9.28515625" style="1098" customWidth="1"/>
    <col min="6" max="6" width="8.7109375" style="1098" customWidth="1"/>
    <col min="7" max="7" width="9.140625" style="1099" bestFit="1" customWidth="1"/>
    <col min="8" max="8" width="7.7109375" style="1023" customWidth="1"/>
    <col min="9" max="16384" width="13.85546875" style="1023"/>
  </cols>
  <sheetData>
    <row r="1" spans="1:8" ht="15" customHeight="1">
      <c r="B1" s="1675" t="s">
        <v>2466</v>
      </c>
      <c r="C1" s="1675"/>
      <c r="D1" s="1675"/>
      <c r="E1" s="1675"/>
      <c r="F1" s="1675"/>
      <c r="G1" s="1079"/>
    </row>
    <row r="2" spans="1:8" s="901" customFormat="1" ht="33.75" customHeight="1">
      <c r="A2" s="1664" t="str">
        <f>'lead 19-20'!B2&amp;'lead 19-20'!C2</f>
        <v>Name of the Work: Providing Additional Space for Health Staff in Grama Sachivalayam of Baduguleru GP of Kanigiri Mandal</v>
      </c>
      <c r="B2" s="1664"/>
      <c r="C2" s="1664"/>
      <c r="D2" s="1664"/>
      <c r="E2" s="1664"/>
      <c r="F2" s="1664"/>
      <c r="G2" s="1664"/>
      <c r="H2" s="964"/>
    </row>
    <row r="3" spans="1:8" s="1084" customFormat="1" ht="29.25" customHeight="1">
      <c r="A3" s="1080" t="s">
        <v>321</v>
      </c>
      <c r="B3" s="1081" t="s">
        <v>23</v>
      </c>
      <c r="C3" s="1080" t="s">
        <v>322</v>
      </c>
      <c r="D3" s="1080" t="s">
        <v>16</v>
      </c>
      <c r="E3" s="1082" t="s">
        <v>138</v>
      </c>
      <c r="F3" s="1082" t="s">
        <v>323</v>
      </c>
      <c r="G3" s="1083" t="s">
        <v>324</v>
      </c>
    </row>
    <row r="4" spans="1:8" s="1084" customFormat="1" ht="15" customHeight="1">
      <c r="A4" s="1080"/>
      <c r="B4" s="1080">
        <v>1</v>
      </c>
      <c r="C4" s="1080">
        <v>2</v>
      </c>
      <c r="D4" s="1080">
        <v>3</v>
      </c>
      <c r="E4" s="1085">
        <v>4</v>
      </c>
      <c r="F4" s="1085">
        <v>5</v>
      </c>
      <c r="G4" s="1085">
        <v>6</v>
      </c>
    </row>
    <row r="5" spans="1:8" s="1104" customFormat="1" ht="72">
      <c r="A5" s="1100"/>
      <c r="B5" s="1101">
        <v>1</v>
      </c>
      <c r="C5" s="1102" t="s">
        <v>328</v>
      </c>
      <c r="D5" s="1102"/>
      <c r="E5" s="1102"/>
      <c r="F5" s="1102"/>
      <c r="G5" s="1103"/>
      <c r="H5" s="884" t="s">
        <v>2313</v>
      </c>
    </row>
    <row r="6" spans="1:8" s="1104" customFormat="1">
      <c r="A6" s="1105"/>
      <c r="B6" s="1106"/>
      <c r="C6" s="463" t="s">
        <v>329</v>
      </c>
      <c r="D6" s="1107" t="s">
        <v>115</v>
      </c>
      <c r="E6" s="1107">
        <v>1</v>
      </c>
      <c r="F6" s="1108">
        <f>'MINI SSR 2022-23 (2)'!C66</f>
        <v>1979</v>
      </c>
      <c r="G6" s="1109">
        <f>ROUND(E6*F6,2)</f>
        <v>1979</v>
      </c>
      <c r="H6" s="884" t="s">
        <v>2313</v>
      </c>
    </row>
    <row r="7" spans="1:8" s="1104" customFormat="1">
      <c r="A7" s="1105"/>
      <c r="B7" s="1106"/>
      <c r="C7" s="463" t="s">
        <v>330</v>
      </c>
      <c r="D7" s="1107" t="s">
        <v>115</v>
      </c>
      <c r="E7" s="1107">
        <v>1</v>
      </c>
      <c r="F7" s="1108">
        <f>'MINI SSR 2022-23 (2)'!C67</f>
        <v>2468</v>
      </c>
      <c r="G7" s="1109">
        <f>ROUND(E7*F7,2)</f>
        <v>2468</v>
      </c>
      <c r="H7" s="884" t="s">
        <v>2313</v>
      </c>
    </row>
    <row r="8" spans="1:8" s="1104" customFormat="1">
      <c r="A8" s="1105"/>
      <c r="B8" s="1106"/>
      <c r="C8" s="463" t="s">
        <v>331</v>
      </c>
      <c r="D8" s="1107" t="s">
        <v>115</v>
      </c>
      <c r="E8" s="1107">
        <v>1</v>
      </c>
      <c r="F8" s="1108">
        <f>'MINI SSR 2022-23 (2)'!C68</f>
        <v>850</v>
      </c>
      <c r="G8" s="1109">
        <f>ROUND(E8*F8,2)</f>
        <v>850</v>
      </c>
      <c r="H8" s="884" t="s">
        <v>2313</v>
      </c>
    </row>
    <row r="9" spans="1:8" s="885" customFormat="1">
      <c r="A9" s="1105"/>
      <c r="B9" s="1106"/>
      <c r="C9" s="463"/>
      <c r="D9" s="1107"/>
      <c r="E9" s="1107"/>
      <c r="F9" s="1108"/>
      <c r="G9" s="1109">
        <f>SUM(G6:G8)</f>
        <v>5297</v>
      </c>
      <c r="H9" s="884" t="s">
        <v>2313</v>
      </c>
    </row>
    <row r="10" spans="1:8" s="885" customFormat="1">
      <c r="A10" s="1105"/>
      <c r="B10" s="1106"/>
      <c r="C10" s="1110" t="s">
        <v>332</v>
      </c>
      <c r="D10" s="1111"/>
      <c r="E10" s="1112"/>
      <c r="F10" s="1112"/>
      <c r="G10" s="1113">
        <v>0</v>
      </c>
      <c r="H10" s="884" t="s">
        <v>2313</v>
      </c>
    </row>
    <row r="11" spans="1:8" s="885" customFormat="1">
      <c r="A11" s="1105"/>
      <c r="B11" s="1106"/>
      <c r="C11" s="463"/>
      <c r="D11" s="1107"/>
      <c r="E11" s="1107"/>
      <c r="F11" s="1108"/>
      <c r="G11" s="1109">
        <f>SUM(G9:G10)</f>
        <v>5297</v>
      </c>
      <c r="H11" s="884" t="s">
        <v>2313</v>
      </c>
    </row>
    <row r="12" spans="1:8" s="366" customFormat="1" ht="36" hidden="1">
      <c r="A12" s="678"/>
      <c r="B12" s="684">
        <v>2</v>
      </c>
      <c r="C12" s="685" t="s">
        <v>608</v>
      </c>
      <c r="D12" s="685"/>
      <c r="E12" s="685"/>
      <c r="F12" s="685"/>
      <c r="G12" s="686"/>
      <c r="H12" s="592" t="s">
        <v>2313</v>
      </c>
    </row>
    <row r="13" spans="1:8" s="366" customFormat="1" hidden="1">
      <c r="A13" s="678"/>
      <c r="B13" s="684"/>
      <c r="C13" s="421" t="s">
        <v>609</v>
      </c>
      <c r="D13" s="687" t="s">
        <v>115</v>
      </c>
      <c r="E13" s="687">
        <v>1</v>
      </c>
      <c r="F13" s="688">
        <f>'MINI SSR 2022-23 (2)'!C69</f>
        <v>1036</v>
      </c>
      <c r="G13" s="686">
        <f>ROUND(E13*F13,2)</f>
        <v>1036</v>
      </c>
      <c r="H13" s="592" t="s">
        <v>2313</v>
      </c>
    </row>
    <row r="14" spans="1:8" s="670" customFormat="1" hidden="1">
      <c r="A14" s="678"/>
      <c r="B14" s="684"/>
      <c r="C14" s="421"/>
      <c r="D14" s="687"/>
      <c r="E14" s="687"/>
      <c r="F14" s="688"/>
      <c r="G14" s="686">
        <f>SUM(G13)</f>
        <v>1036</v>
      </c>
      <c r="H14" s="592" t="s">
        <v>2313</v>
      </c>
    </row>
    <row r="15" spans="1:8" s="366" customFormat="1" ht="60" hidden="1">
      <c r="A15" s="678"/>
      <c r="B15" s="684">
        <v>2</v>
      </c>
      <c r="C15" s="685" t="s">
        <v>1253</v>
      </c>
      <c r="D15" s="685"/>
      <c r="E15" s="685"/>
      <c r="F15" s="685"/>
      <c r="G15" s="686"/>
      <c r="H15" s="592" t="s">
        <v>2313</v>
      </c>
    </row>
    <row r="16" spans="1:8" s="366" customFormat="1" hidden="1">
      <c r="A16" s="678"/>
      <c r="B16" s="684"/>
      <c r="C16" s="421" t="s">
        <v>1254</v>
      </c>
      <c r="D16" s="687" t="s">
        <v>115</v>
      </c>
      <c r="E16" s="687">
        <v>1</v>
      </c>
      <c r="F16" s="688">
        <f>'MINI SSR 2022-23 (2)'!C70</f>
        <v>2644</v>
      </c>
      <c r="G16" s="686">
        <f>ROUND(E16*F16,2)</f>
        <v>2644</v>
      </c>
      <c r="H16" s="592" t="s">
        <v>2313</v>
      </c>
    </row>
    <row r="17" spans="1:8" s="670" customFormat="1" hidden="1">
      <c r="A17" s="678"/>
      <c r="B17" s="684"/>
      <c r="C17" s="421"/>
      <c r="D17" s="687"/>
      <c r="E17" s="687"/>
      <c r="F17" s="688"/>
      <c r="G17" s="686">
        <f>SUM(G16)</f>
        <v>2644</v>
      </c>
      <c r="H17" s="592" t="s">
        <v>2313</v>
      </c>
    </row>
    <row r="18" spans="1:8" s="1119" customFormat="1" ht="152.25" customHeight="1">
      <c r="A18" s="1114"/>
      <c r="B18" s="1114">
        <v>2</v>
      </c>
      <c r="C18" s="1115" t="s">
        <v>333</v>
      </c>
      <c r="D18" s="1116"/>
      <c r="E18" s="1115"/>
      <c r="F18" s="1117"/>
      <c r="G18" s="1118"/>
      <c r="H18" s="884" t="s">
        <v>2313</v>
      </c>
    </row>
    <row r="19" spans="1:8" s="1119" customFormat="1">
      <c r="A19" s="1114"/>
      <c r="B19" s="1114"/>
      <c r="C19" s="1120" t="s">
        <v>334</v>
      </c>
      <c r="D19" s="1107" t="s">
        <v>115</v>
      </c>
      <c r="E19" s="1107">
        <v>1</v>
      </c>
      <c r="F19" s="1108">
        <f>'MINI SSR 2022-23 (2)'!C71</f>
        <v>1519</v>
      </c>
      <c r="G19" s="1109">
        <f>ROUND(E19*F19,2)</f>
        <v>1519</v>
      </c>
      <c r="H19" s="884" t="s">
        <v>2313</v>
      </c>
    </row>
    <row r="20" spans="1:8" s="1119" customFormat="1">
      <c r="A20" s="1114"/>
      <c r="B20" s="1114"/>
      <c r="C20" s="1120" t="s">
        <v>335</v>
      </c>
      <c r="D20" s="1107" t="s">
        <v>115</v>
      </c>
      <c r="E20" s="1107">
        <v>1</v>
      </c>
      <c r="F20" s="1108">
        <f>'MINI SSR 2022-23 (2)'!C72</f>
        <v>387</v>
      </c>
      <c r="G20" s="1109">
        <f>ROUND(E20*F20,2)</f>
        <v>387</v>
      </c>
      <c r="H20" s="884" t="s">
        <v>2313</v>
      </c>
    </row>
    <row r="21" spans="1:8" s="1119" customFormat="1" ht="24">
      <c r="A21" s="1114"/>
      <c r="B21" s="1114"/>
      <c r="C21" s="1120" t="s">
        <v>336</v>
      </c>
      <c r="D21" s="1107" t="s">
        <v>115</v>
      </c>
      <c r="E21" s="1107">
        <v>1</v>
      </c>
      <c r="F21" s="1108">
        <f>'MINI SSR 2022-23 (2)'!C73</f>
        <v>95</v>
      </c>
      <c r="G21" s="1109">
        <f>ROUND(E21*F21,2)</f>
        <v>95</v>
      </c>
      <c r="H21" s="884" t="s">
        <v>2313</v>
      </c>
    </row>
    <row r="22" spans="1:8" s="1119" customFormat="1">
      <c r="A22" s="1114"/>
      <c r="B22" s="1114"/>
      <c r="C22" s="1120" t="s">
        <v>337</v>
      </c>
      <c r="D22" s="1107" t="s">
        <v>115</v>
      </c>
      <c r="E22" s="1107">
        <v>1</v>
      </c>
      <c r="F22" s="1108">
        <f>'MINI SSR 2022-23 (2)'!C74</f>
        <v>24</v>
      </c>
      <c r="G22" s="1109">
        <f>ROUND(E22*F22,2)</f>
        <v>24</v>
      </c>
      <c r="H22" s="884" t="s">
        <v>2313</v>
      </c>
    </row>
    <row r="23" spans="1:8" s="1119" customFormat="1">
      <c r="A23" s="1114"/>
      <c r="B23" s="1114"/>
      <c r="C23" s="1121"/>
      <c r="D23" s="1107"/>
      <c r="E23" s="1107"/>
      <c r="F23" s="1108"/>
      <c r="G23" s="1109">
        <f>SUM(G19:G22)</f>
        <v>2025</v>
      </c>
      <c r="H23" s="884" t="s">
        <v>2313</v>
      </c>
    </row>
    <row r="24" spans="1:8" s="885" customFormat="1">
      <c r="A24" s="1105"/>
      <c r="B24" s="1106"/>
      <c r="C24" s="1110" t="s">
        <v>332</v>
      </c>
      <c r="D24" s="1111"/>
      <c r="E24" s="1112"/>
      <c r="F24" s="1112"/>
      <c r="G24" s="1113">
        <v>0</v>
      </c>
      <c r="H24" s="884" t="s">
        <v>2313</v>
      </c>
    </row>
    <row r="25" spans="1:8" s="885" customFormat="1">
      <c r="A25" s="1105"/>
      <c r="B25" s="1106"/>
      <c r="C25" s="463"/>
      <c r="D25" s="1107"/>
      <c r="E25" s="1107"/>
      <c r="F25" s="1108"/>
      <c r="G25" s="1109">
        <f>SUM(G23:G24)</f>
        <v>2025</v>
      </c>
      <c r="H25" s="884" t="s">
        <v>2313</v>
      </c>
    </row>
    <row r="26" spans="1:8" s="698" customFormat="1" ht="68.25" hidden="1" customHeight="1">
      <c r="A26" s="693"/>
      <c r="B26" s="693">
        <v>6</v>
      </c>
      <c r="C26" s="694" t="s">
        <v>339</v>
      </c>
      <c r="D26" s="695"/>
      <c r="E26" s="694"/>
      <c r="F26" s="696"/>
      <c r="G26" s="697"/>
      <c r="H26" s="592" t="s">
        <v>2313</v>
      </c>
    </row>
    <row r="27" spans="1:8" s="698" customFormat="1" hidden="1">
      <c r="A27" s="693"/>
      <c r="B27" s="693"/>
      <c r="C27" s="699" t="s">
        <v>340</v>
      </c>
      <c r="D27" s="687" t="s">
        <v>115</v>
      </c>
      <c r="E27" s="687">
        <v>1</v>
      </c>
      <c r="F27" s="688">
        <f>'MINI SSR 2022-23 (2)'!C77</f>
        <v>128</v>
      </c>
      <c r="G27" s="686">
        <f>ROUND(E27*F27,2)</f>
        <v>128</v>
      </c>
      <c r="H27" s="592" t="s">
        <v>2313</v>
      </c>
    </row>
    <row r="28" spans="1:8" s="670" customFormat="1" hidden="1">
      <c r="A28" s="678"/>
      <c r="B28" s="684"/>
      <c r="C28" s="689" t="s">
        <v>332</v>
      </c>
      <c r="D28" s="690"/>
      <c r="E28" s="691"/>
      <c r="F28" s="691"/>
      <c r="G28" s="692">
        <v>0</v>
      </c>
      <c r="H28" s="592" t="s">
        <v>2313</v>
      </c>
    </row>
    <row r="29" spans="1:8" s="670" customFormat="1" hidden="1">
      <c r="A29" s="678"/>
      <c r="B29" s="684"/>
      <c r="C29" s="421"/>
      <c r="D29" s="687"/>
      <c r="E29" s="687"/>
      <c r="F29" s="688"/>
      <c r="G29" s="686">
        <f>SUM(G27:G28)</f>
        <v>128</v>
      </c>
      <c r="H29" s="592" t="s">
        <v>2313</v>
      </c>
    </row>
    <row r="30" spans="1:8" s="1123" customFormat="1" ht="36">
      <c r="A30" s="1105"/>
      <c r="B30" s="1105">
        <v>3</v>
      </c>
      <c r="C30" s="1122" t="s">
        <v>341</v>
      </c>
      <c r="D30" s="1122"/>
      <c r="E30" s="1122"/>
      <c r="F30" s="1122"/>
      <c r="G30" s="1122"/>
      <c r="H30" s="884" t="s">
        <v>2313</v>
      </c>
    </row>
    <row r="31" spans="1:8" s="1123" customFormat="1" ht="15">
      <c r="A31" s="1105"/>
      <c r="B31" s="1105"/>
      <c r="C31" s="1124" t="s">
        <v>342</v>
      </c>
      <c r="D31" s="1124"/>
      <c r="E31" s="1125"/>
      <c r="F31" s="1125"/>
      <c r="G31" s="1126"/>
      <c r="H31" s="884" t="s">
        <v>2313</v>
      </c>
    </row>
    <row r="32" spans="1:8" s="1123" customFormat="1" ht="15">
      <c r="A32" s="1105"/>
      <c r="B32" s="1105"/>
      <c r="C32" s="1124" t="s">
        <v>343</v>
      </c>
      <c r="D32" s="1124" t="s">
        <v>277</v>
      </c>
      <c r="E32" s="1125">
        <v>1</v>
      </c>
      <c r="F32" s="1125">
        <f>'MINI SSR 2022-23 (2)'!C78</f>
        <v>447</v>
      </c>
      <c r="G32" s="1109">
        <f>ROUND(E32*F32,2)</f>
        <v>447</v>
      </c>
      <c r="H32" s="884" t="s">
        <v>2313</v>
      </c>
    </row>
    <row r="33" spans="1:8" s="885" customFormat="1">
      <c r="A33" s="1105"/>
      <c r="B33" s="1106"/>
      <c r="C33" s="1110" t="s">
        <v>332</v>
      </c>
      <c r="D33" s="1111"/>
      <c r="E33" s="1112"/>
      <c r="F33" s="1112"/>
      <c r="G33" s="1113">
        <v>0</v>
      </c>
      <c r="H33" s="884" t="s">
        <v>2313</v>
      </c>
    </row>
    <row r="34" spans="1:8" s="1123" customFormat="1" ht="15">
      <c r="A34" s="1105"/>
      <c r="B34" s="1105"/>
      <c r="C34" s="1124" t="s">
        <v>344</v>
      </c>
      <c r="D34" s="1124"/>
      <c r="E34" s="1124"/>
      <c r="F34" s="1124"/>
      <c r="G34" s="1127">
        <f>SUM(G32:G33)</f>
        <v>447</v>
      </c>
      <c r="H34" s="884" t="s">
        <v>2313</v>
      </c>
    </row>
    <row r="35" spans="1:8" s="1123" customFormat="1" ht="15">
      <c r="A35" s="1105"/>
      <c r="B35" s="1105"/>
      <c r="C35" s="1124" t="s">
        <v>345</v>
      </c>
      <c r="D35" s="1124"/>
      <c r="E35" s="1124"/>
      <c r="F35" s="1124"/>
      <c r="G35" s="1127">
        <f>G34/3</f>
        <v>149</v>
      </c>
      <c r="H35" s="884" t="s">
        <v>2313</v>
      </c>
    </row>
    <row r="36" spans="1:8" s="606" customFormat="1" ht="36" hidden="1">
      <c r="A36" s="678"/>
      <c r="B36" s="678">
        <v>4</v>
      </c>
      <c r="C36" s="685" t="s">
        <v>346</v>
      </c>
      <c r="D36" s="685"/>
      <c r="E36" s="685"/>
      <c r="F36" s="685"/>
      <c r="G36" s="685"/>
      <c r="H36" s="592" t="s">
        <v>2313</v>
      </c>
    </row>
    <row r="37" spans="1:8" s="606" customFormat="1" ht="15" hidden="1">
      <c r="A37" s="678"/>
      <c r="B37" s="678"/>
      <c r="C37" s="701" t="s">
        <v>342</v>
      </c>
      <c r="D37" s="701"/>
      <c r="E37" s="702"/>
      <c r="F37" s="702"/>
      <c r="G37" s="703"/>
      <c r="H37" s="592" t="s">
        <v>2313</v>
      </c>
    </row>
    <row r="38" spans="1:8" s="606" customFormat="1" ht="15" hidden="1">
      <c r="A38" s="678"/>
      <c r="B38" s="678"/>
      <c r="C38" s="701" t="s">
        <v>347</v>
      </c>
      <c r="D38" s="701" t="s">
        <v>277</v>
      </c>
      <c r="E38" s="702">
        <v>1</v>
      </c>
      <c r="F38" s="702">
        <f>'MINI SSR 2022-23 (2)'!C79</f>
        <v>425</v>
      </c>
      <c r="G38" s="686">
        <f>ROUND(E38*F38,2)</f>
        <v>425</v>
      </c>
      <c r="H38" s="592" t="s">
        <v>2313</v>
      </c>
    </row>
    <row r="39" spans="1:8" s="670" customFormat="1" hidden="1">
      <c r="A39" s="678"/>
      <c r="B39" s="684"/>
      <c r="C39" s="689" t="s">
        <v>332</v>
      </c>
      <c r="D39" s="690"/>
      <c r="E39" s="691"/>
      <c r="F39" s="691"/>
      <c r="G39" s="692">
        <v>0</v>
      </c>
      <c r="H39" s="592" t="s">
        <v>2313</v>
      </c>
    </row>
    <row r="40" spans="1:8" s="606" customFormat="1" ht="15" hidden="1">
      <c r="A40" s="678"/>
      <c r="B40" s="678"/>
      <c r="C40" s="701" t="s">
        <v>344</v>
      </c>
      <c r="D40" s="701"/>
      <c r="E40" s="701"/>
      <c r="F40" s="701"/>
      <c r="G40" s="683">
        <f>SUM(G38:G39)</f>
        <v>425</v>
      </c>
      <c r="H40" s="592" t="s">
        <v>2313</v>
      </c>
    </row>
    <row r="41" spans="1:8" s="606" customFormat="1" ht="16.5" hidden="1" customHeight="1">
      <c r="A41" s="678"/>
      <c r="B41" s="678"/>
      <c r="C41" s="701" t="s">
        <v>345</v>
      </c>
      <c r="D41" s="701"/>
      <c r="E41" s="701"/>
      <c r="F41" s="701"/>
      <c r="G41" s="683">
        <f>G40/3</f>
        <v>141.66666666666666</v>
      </c>
      <c r="H41" s="592" t="s">
        <v>2313</v>
      </c>
    </row>
    <row r="42" spans="1:8" s="1123" customFormat="1" ht="36">
      <c r="A42" s="1105"/>
      <c r="B42" s="1105">
        <v>4</v>
      </c>
      <c r="C42" s="1122" t="s">
        <v>348</v>
      </c>
      <c r="D42" s="1122"/>
      <c r="E42" s="1122"/>
      <c r="F42" s="1122"/>
      <c r="G42" s="1122"/>
      <c r="H42" s="884" t="s">
        <v>2313</v>
      </c>
    </row>
    <row r="43" spans="1:8" s="1123" customFormat="1" ht="15">
      <c r="A43" s="1105"/>
      <c r="B43" s="1105"/>
      <c r="C43" s="1124" t="s">
        <v>342</v>
      </c>
      <c r="D43" s="1124"/>
      <c r="E43" s="1125"/>
      <c r="F43" s="1125"/>
      <c r="G43" s="1126"/>
      <c r="H43" s="884" t="s">
        <v>2313</v>
      </c>
    </row>
    <row r="44" spans="1:8" s="1123" customFormat="1" ht="15">
      <c r="A44" s="1105"/>
      <c r="B44" s="1105"/>
      <c r="C44" s="1124" t="s">
        <v>349</v>
      </c>
      <c r="D44" s="1124" t="s">
        <v>277</v>
      </c>
      <c r="E44" s="1125">
        <v>1</v>
      </c>
      <c r="F44" s="1125">
        <f>'MINI SSR 2022-23 (2)'!C80</f>
        <v>267</v>
      </c>
      <c r="G44" s="1109">
        <f>ROUND(E44*F44,2)</f>
        <v>267</v>
      </c>
      <c r="H44" s="884" t="s">
        <v>2313</v>
      </c>
    </row>
    <row r="45" spans="1:8" s="885" customFormat="1">
      <c r="A45" s="1105"/>
      <c r="B45" s="1106"/>
      <c r="C45" s="1110" t="s">
        <v>332</v>
      </c>
      <c r="D45" s="1111"/>
      <c r="E45" s="1112"/>
      <c r="F45" s="1112"/>
      <c r="G45" s="1113">
        <v>0</v>
      </c>
      <c r="H45" s="884" t="s">
        <v>2313</v>
      </c>
    </row>
    <row r="46" spans="1:8" s="1123" customFormat="1" ht="15">
      <c r="A46" s="1105"/>
      <c r="B46" s="1105"/>
      <c r="C46" s="1124" t="s">
        <v>344</v>
      </c>
      <c r="D46" s="1124"/>
      <c r="E46" s="1124"/>
      <c r="F46" s="1124"/>
      <c r="G46" s="1127">
        <f>SUM(G44:G45)</f>
        <v>267</v>
      </c>
      <c r="H46" s="884" t="s">
        <v>2313</v>
      </c>
    </row>
    <row r="47" spans="1:8" s="1123" customFormat="1" ht="15">
      <c r="A47" s="1105"/>
      <c r="B47" s="1105"/>
      <c r="C47" s="1124" t="s">
        <v>345</v>
      </c>
      <c r="D47" s="1124"/>
      <c r="E47" s="1124"/>
      <c r="F47" s="1124"/>
      <c r="G47" s="1127">
        <f>G46/3</f>
        <v>89</v>
      </c>
      <c r="H47" s="884" t="s">
        <v>2313</v>
      </c>
    </row>
    <row r="48" spans="1:8" s="1129" customFormat="1" ht="60">
      <c r="A48" s="1105"/>
      <c r="B48" s="1105">
        <v>5</v>
      </c>
      <c r="C48" s="463" t="s">
        <v>350</v>
      </c>
      <c r="D48" s="463"/>
      <c r="E48" s="1105"/>
      <c r="F48" s="1105"/>
      <c r="G48" s="1128"/>
      <c r="H48" s="884" t="s">
        <v>2313</v>
      </c>
    </row>
    <row r="49" spans="1:8" s="1129" customFormat="1">
      <c r="A49" s="1122"/>
      <c r="B49" s="1105"/>
      <c r="C49" s="1130" t="s">
        <v>351</v>
      </c>
      <c r="D49" s="1131" t="s">
        <v>279</v>
      </c>
      <c r="E49" s="1132">
        <v>1</v>
      </c>
      <c r="F49" s="1133">
        <f>'MINI SSR 2022-23 (2)'!C81</f>
        <v>79</v>
      </c>
      <c r="G49" s="1109">
        <f>ROUND(E49*F49,2)</f>
        <v>79</v>
      </c>
      <c r="H49" s="884" t="s">
        <v>2313</v>
      </c>
    </row>
    <row r="50" spans="1:8" s="885" customFormat="1">
      <c r="A50" s="1105"/>
      <c r="B50" s="1106"/>
      <c r="C50" s="1110" t="s">
        <v>332</v>
      </c>
      <c r="D50" s="1111"/>
      <c r="E50" s="1112"/>
      <c r="F50" s="1112"/>
      <c r="G50" s="1113">
        <v>0</v>
      </c>
      <c r="H50" s="884" t="s">
        <v>2313</v>
      </c>
    </row>
    <row r="51" spans="1:8" s="1129" customFormat="1">
      <c r="A51" s="1122"/>
      <c r="B51" s="1105"/>
      <c r="C51" s="1130"/>
      <c r="D51" s="1131"/>
      <c r="E51" s="1132"/>
      <c r="F51" s="1133"/>
      <c r="G51" s="1127">
        <f>SUM(G49:G50)</f>
        <v>79</v>
      </c>
      <c r="H51" s="884" t="s">
        <v>2313</v>
      </c>
    </row>
    <row r="52" spans="1:8" s="606" customFormat="1" ht="24" hidden="1">
      <c r="A52" s="678"/>
      <c r="B52" s="678">
        <v>11</v>
      </c>
      <c r="C52" s="421" t="s">
        <v>685</v>
      </c>
      <c r="D52" s="701"/>
      <c r="E52" s="680"/>
      <c r="F52" s="680"/>
      <c r="G52" s="701"/>
      <c r="H52" s="592" t="s">
        <v>2313</v>
      </c>
    </row>
    <row r="53" spans="1:8" s="606" customFormat="1" ht="15" hidden="1">
      <c r="A53" s="678"/>
      <c r="B53" s="678"/>
      <c r="C53" s="679" t="s">
        <v>686</v>
      </c>
      <c r="D53" s="680" t="s">
        <v>115</v>
      </c>
      <c r="E53" s="681">
        <v>1</v>
      </c>
      <c r="F53" s="682">
        <f>'MINI SSR 2022-23 (2)'!C82</f>
        <v>1644</v>
      </c>
      <c r="G53" s="686">
        <f>ROUND(E53*F53,2)</f>
        <v>1644</v>
      </c>
      <c r="H53" s="592" t="s">
        <v>2313</v>
      </c>
    </row>
    <row r="54" spans="1:8" s="670" customFormat="1" hidden="1">
      <c r="A54" s="678"/>
      <c r="B54" s="684"/>
      <c r="C54" s="689" t="s">
        <v>332</v>
      </c>
      <c r="D54" s="690"/>
      <c r="E54" s="691"/>
      <c r="F54" s="691"/>
      <c r="G54" s="692">
        <v>0</v>
      </c>
      <c r="H54" s="592" t="s">
        <v>2313</v>
      </c>
    </row>
    <row r="55" spans="1:8" s="606" customFormat="1" ht="15" hidden="1">
      <c r="A55" s="678"/>
      <c r="B55" s="678"/>
      <c r="C55" s="679"/>
      <c r="D55" s="680"/>
      <c r="E55" s="681"/>
      <c r="F55" s="682"/>
      <c r="G55" s="683">
        <f>SUM(G53:G54)</f>
        <v>1644</v>
      </c>
      <c r="H55" s="592" t="s">
        <v>2313</v>
      </c>
    </row>
    <row r="56" spans="1:8" s="1123" customFormat="1" ht="48">
      <c r="A56" s="1105"/>
      <c r="B56" s="1105">
        <v>6</v>
      </c>
      <c r="C56" s="463" t="s">
        <v>352</v>
      </c>
      <c r="D56" s="1124"/>
      <c r="E56" s="1131"/>
      <c r="F56" s="1131"/>
      <c r="G56" s="1124"/>
      <c r="H56" s="884" t="s">
        <v>2313</v>
      </c>
    </row>
    <row r="57" spans="1:8" s="1123" customFormat="1" ht="15">
      <c r="A57" s="1105"/>
      <c r="B57" s="1105"/>
      <c r="C57" s="1130" t="s">
        <v>353</v>
      </c>
      <c r="D57" s="1131" t="s">
        <v>115</v>
      </c>
      <c r="E57" s="1132">
        <v>1</v>
      </c>
      <c r="F57" s="1133">
        <f>'MINI SSR 2022-23 (2)'!C72</f>
        <v>387</v>
      </c>
      <c r="G57" s="1109">
        <f>ROUND(E57*F57,2)</f>
        <v>387</v>
      </c>
      <c r="H57" s="884" t="s">
        <v>2313</v>
      </c>
    </row>
    <row r="58" spans="1:8" s="885" customFormat="1">
      <c r="A58" s="1105"/>
      <c r="B58" s="1106"/>
      <c r="C58" s="1110" t="s">
        <v>332</v>
      </c>
      <c r="D58" s="1111"/>
      <c r="E58" s="1112"/>
      <c r="F58" s="1112"/>
      <c r="G58" s="1113">
        <v>0</v>
      </c>
      <c r="H58" s="884" t="s">
        <v>2313</v>
      </c>
    </row>
    <row r="59" spans="1:8" s="1123" customFormat="1" ht="15">
      <c r="A59" s="1105"/>
      <c r="B59" s="1105"/>
      <c r="C59" s="1130"/>
      <c r="D59" s="1131"/>
      <c r="E59" s="1132"/>
      <c r="F59" s="1133"/>
      <c r="G59" s="1127">
        <f>SUM(G57:G58)</f>
        <v>387</v>
      </c>
      <c r="H59" s="884" t="s">
        <v>2313</v>
      </c>
    </row>
    <row r="60" spans="1:8" s="606" customFormat="1" ht="72" hidden="1">
      <c r="A60" s="678"/>
      <c r="B60" s="678">
        <v>13</v>
      </c>
      <c r="C60" s="421" t="s">
        <v>354</v>
      </c>
      <c r="D60" s="701"/>
      <c r="E60" s="680"/>
      <c r="F60" s="680"/>
      <c r="G60" s="701"/>
      <c r="H60" s="592" t="s">
        <v>2313</v>
      </c>
    </row>
    <row r="61" spans="1:8" s="606" customFormat="1" ht="15" hidden="1">
      <c r="A61" s="678"/>
      <c r="B61" s="678"/>
      <c r="C61" s="679" t="s">
        <v>355</v>
      </c>
      <c r="D61" s="680" t="s">
        <v>115</v>
      </c>
      <c r="E61" s="681">
        <v>1</v>
      </c>
      <c r="F61" s="682">
        <f>'MINI SSR 2022-23 (2)'!C83</f>
        <v>4166</v>
      </c>
      <c r="G61" s="686">
        <f>ROUND(E61*F61,2)</f>
        <v>4166</v>
      </c>
      <c r="H61" s="592" t="s">
        <v>2313</v>
      </c>
    </row>
    <row r="62" spans="1:8" s="670" customFormat="1" hidden="1">
      <c r="A62" s="678"/>
      <c r="B62" s="684"/>
      <c r="C62" s="689" t="s">
        <v>332</v>
      </c>
      <c r="D62" s="690"/>
      <c r="E62" s="691"/>
      <c r="F62" s="691"/>
      <c r="G62" s="692">
        <v>0</v>
      </c>
      <c r="H62" s="592" t="s">
        <v>2313</v>
      </c>
    </row>
    <row r="63" spans="1:8" s="606" customFormat="1" ht="15" hidden="1">
      <c r="A63" s="678"/>
      <c r="B63" s="678"/>
      <c r="C63" s="679"/>
      <c r="D63" s="680"/>
      <c r="E63" s="681"/>
      <c r="F63" s="682"/>
      <c r="G63" s="683">
        <f>SUM(G61:G62)</f>
        <v>4166</v>
      </c>
      <c r="H63" s="592" t="s">
        <v>2313</v>
      </c>
    </row>
    <row r="64" spans="1:8" s="1123" customFormat="1" ht="60">
      <c r="A64" s="1105"/>
      <c r="B64" s="1105">
        <v>7</v>
      </c>
      <c r="C64" s="463" t="s">
        <v>290</v>
      </c>
      <c r="D64" s="1122"/>
      <c r="E64" s="1105"/>
      <c r="F64" s="1105"/>
      <c r="G64" s="1128"/>
      <c r="H64" s="884" t="s">
        <v>2313</v>
      </c>
    </row>
    <row r="65" spans="1:8" s="1123" customFormat="1" ht="15">
      <c r="A65" s="1105"/>
      <c r="B65" s="1105"/>
      <c r="C65" s="1130" t="s">
        <v>356</v>
      </c>
      <c r="D65" s="1131" t="s">
        <v>357</v>
      </c>
      <c r="E65" s="1133">
        <v>1</v>
      </c>
      <c r="F65" s="1133">
        <f>'MINI SSR 2022-23 (2)'!H66</f>
        <v>8.5</v>
      </c>
      <c r="G65" s="1109">
        <f>ROUND(E65*F65,2)</f>
        <v>8.5</v>
      </c>
      <c r="H65" s="884" t="s">
        <v>2313</v>
      </c>
    </row>
    <row r="66" spans="1:8" s="1123" customFormat="1" ht="15">
      <c r="A66" s="1105"/>
      <c r="B66" s="1134"/>
      <c r="C66" s="1130" t="s">
        <v>358</v>
      </c>
      <c r="D66" s="1131" t="s">
        <v>357</v>
      </c>
      <c r="E66" s="1133">
        <v>1</v>
      </c>
      <c r="F66" s="1133">
        <f>'MINI SSR 2022-23 (2)'!H67</f>
        <v>1</v>
      </c>
      <c r="G66" s="1109">
        <f>ROUND(E66*F66,2)</f>
        <v>1</v>
      </c>
      <c r="H66" s="884" t="s">
        <v>2313</v>
      </c>
    </row>
    <row r="67" spans="1:8" s="1123" customFormat="1" ht="15">
      <c r="A67" s="1105"/>
      <c r="B67" s="1134"/>
      <c r="C67" s="1130"/>
      <c r="D67" s="1131"/>
      <c r="E67" s="1133"/>
      <c r="F67" s="1133"/>
      <c r="G67" s="1127">
        <f>SUM(G65:G66)</f>
        <v>9.5</v>
      </c>
      <c r="H67" s="884" t="s">
        <v>2313</v>
      </c>
    </row>
    <row r="68" spans="1:8" s="885" customFormat="1">
      <c r="A68" s="1105"/>
      <c r="B68" s="1106"/>
      <c r="C68" s="1110" t="s">
        <v>332</v>
      </c>
      <c r="D68" s="1111"/>
      <c r="E68" s="1112"/>
      <c r="F68" s="1112"/>
      <c r="G68" s="1113">
        <v>0</v>
      </c>
      <c r="H68" s="884" t="s">
        <v>2313</v>
      </c>
    </row>
    <row r="69" spans="1:8" s="1123" customFormat="1" ht="15">
      <c r="A69" s="1105"/>
      <c r="B69" s="1134"/>
      <c r="C69" s="1130"/>
      <c r="D69" s="1131"/>
      <c r="E69" s="1133"/>
      <c r="F69" s="1133"/>
      <c r="G69" s="1127">
        <f>SUM(G67:G68)</f>
        <v>9.5</v>
      </c>
      <c r="H69" s="884" t="s">
        <v>2313</v>
      </c>
    </row>
    <row r="70" spans="1:8" s="1123" customFormat="1" ht="72">
      <c r="A70" s="1105"/>
      <c r="B70" s="1105">
        <v>8</v>
      </c>
      <c r="C70" s="463" t="s">
        <v>276</v>
      </c>
      <c r="D70" s="463"/>
      <c r="E70" s="463"/>
      <c r="F70" s="1105"/>
      <c r="G70" s="1128"/>
      <c r="H70" s="884" t="s">
        <v>2313</v>
      </c>
    </row>
    <row r="71" spans="1:8" s="606" customFormat="1" ht="15" hidden="1">
      <c r="A71" s="678"/>
      <c r="B71" s="678"/>
      <c r="C71" s="421" t="s">
        <v>359</v>
      </c>
      <c r="D71" s="701" t="s">
        <v>277</v>
      </c>
      <c r="E71" s="702">
        <v>1</v>
      </c>
      <c r="F71" s="682">
        <f>'MINI SSR 2022-23 (2)'!H68</f>
        <v>59</v>
      </c>
      <c r="G71" s="686">
        <f>ROUND(E71*F71,2)</f>
        <v>59</v>
      </c>
      <c r="H71" s="592" t="s">
        <v>2313</v>
      </c>
    </row>
    <row r="72" spans="1:8" s="670" customFormat="1" hidden="1">
      <c r="A72" s="678"/>
      <c r="B72" s="684"/>
      <c r="C72" s="689" t="s">
        <v>332</v>
      </c>
      <c r="D72" s="690"/>
      <c r="E72" s="691"/>
      <c r="F72" s="691"/>
      <c r="G72" s="692">
        <v>0</v>
      </c>
      <c r="H72" s="592" t="s">
        <v>2313</v>
      </c>
    </row>
    <row r="73" spans="1:8" s="606" customFormat="1" ht="15" hidden="1">
      <c r="A73" s="678"/>
      <c r="B73" s="706"/>
      <c r="C73" s="679"/>
      <c r="D73" s="680"/>
      <c r="E73" s="682"/>
      <c r="F73" s="682"/>
      <c r="G73" s="703">
        <f>SUM(G71:G72)</f>
        <v>59</v>
      </c>
      <c r="H73" s="592" t="s">
        <v>2313</v>
      </c>
    </row>
    <row r="74" spans="1:8" s="606" customFormat="1" ht="15" hidden="1">
      <c r="A74" s="678"/>
      <c r="B74" s="678"/>
      <c r="C74" s="421" t="s">
        <v>360</v>
      </c>
      <c r="D74" s="701" t="s">
        <v>277</v>
      </c>
      <c r="E74" s="702">
        <v>1</v>
      </c>
      <c r="F74" s="682">
        <f>'MINI SSR 2022-23 (2)'!H69</f>
        <v>94</v>
      </c>
      <c r="G74" s="686">
        <f>ROUND(E74*F74,2)</f>
        <v>94</v>
      </c>
      <c r="H74" s="592" t="s">
        <v>2313</v>
      </c>
    </row>
    <row r="75" spans="1:8" s="670" customFormat="1" hidden="1">
      <c r="A75" s="678"/>
      <c r="B75" s="684"/>
      <c r="C75" s="689" t="s">
        <v>332</v>
      </c>
      <c r="D75" s="690"/>
      <c r="E75" s="691"/>
      <c r="F75" s="691"/>
      <c r="G75" s="692">
        <v>0</v>
      </c>
      <c r="H75" s="592" t="s">
        <v>2313</v>
      </c>
    </row>
    <row r="76" spans="1:8" s="606" customFormat="1" ht="15" hidden="1">
      <c r="A76" s="678"/>
      <c r="B76" s="706"/>
      <c r="C76" s="679"/>
      <c r="D76" s="680"/>
      <c r="E76" s="682"/>
      <c r="F76" s="682"/>
      <c r="G76" s="703">
        <f>SUM(G74:G75)</f>
        <v>94</v>
      </c>
      <c r="H76" s="592" t="s">
        <v>2313</v>
      </c>
    </row>
    <row r="77" spans="1:8" s="1123" customFormat="1" ht="27.75" customHeight="1">
      <c r="A77" s="1105"/>
      <c r="B77" s="1105"/>
      <c r="C77" s="463" t="s">
        <v>3160</v>
      </c>
      <c r="D77" s="1124" t="s">
        <v>277</v>
      </c>
      <c r="E77" s="1125">
        <v>1</v>
      </c>
      <c r="F77" s="1133">
        <f>'MINI SSR 2022-23 (2)'!H70</f>
        <v>136</v>
      </c>
      <c r="G77" s="1109">
        <f>ROUND(E77*F77,2)</f>
        <v>136</v>
      </c>
      <c r="H77" s="884" t="s">
        <v>2313</v>
      </c>
    </row>
    <row r="78" spans="1:8" s="885" customFormat="1">
      <c r="A78" s="1105"/>
      <c r="B78" s="1106"/>
      <c r="C78" s="1110" t="s">
        <v>332</v>
      </c>
      <c r="D78" s="1111"/>
      <c r="E78" s="1112"/>
      <c r="F78" s="1112"/>
      <c r="G78" s="1113">
        <v>0</v>
      </c>
      <c r="H78" s="884" t="s">
        <v>2313</v>
      </c>
    </row>
    <row r="79" spans="1:8" s="1123" customFormat="1" ht="15">
      <c r="A79" s="1105"/>
      <c r="B79" s="1134"/>
      <c r="C79" s="1130"/>
      <c r="D79" s="1131"/>
      <c r="E79" s="1133"/>
      <c r="F79" s="1133"/>
      <c r="G79" s="1126">
        <f>SUM(G77:G78)</f>
        <v>136</v>
      </c>
      <c r="H79" s="884" t="s">
        <v>2313</v>
      </c>
    </row>
    <row r="80" spans="1:8" s="1123" customFormat="1" ht="15">
      <c r="A80" s="1105"/>
      <c r="B80" s="1105"/>
      <c r="C80" s="463" t="s">
        <v>362</v>
      </c>
      <c r="D80" s="1124" t="s">
        <v>277</v>
      </c>
      <c r="E80" s="1125">
        <v>1</v>
      </c>
      <c r="F80" s="1133">
        <f>'MINI SSR 2022-23 (2)'!H71</f>
        <v>214</v>
      </c>
      <c r="G80" s="1109">
        <f>ROUND(E80*F80,2)</f>
        <v>214</v>
      </c>
      <c r="H80" s="884" t="s">
        <v>2313</v>
      </c>
    </row>
    <row r="81" spans="1:8" s="885" customFormat="1">
      <c r="A81" s="1105"/>
      <c r="B81" s="1106"/>
      <c r="C81" s="1110" t="s">
        <v>332</v>
      </c>
      <c r="D81" s="1111"/>
      <c r="E81" s="1112"/>
      <c r="F81" s="1112"/>
      <c r="G81" s="1113">
        <v>0</v>
      </c>
      <c r="H81" s="884" t="s">
        <v>2313</v>
      </c>
    </row>
    <row r="82" spans="1:8" s="1123" customFormat="1" ht="15">
      <c r="A82" s="1105"/>
      <c r="B82" s="1134"/>
      <c r="C82" s="1130"/>
      <c r="D82" s="1131"/>
      <c r="E82" s="1133"/>
      <c r="F82" s="1133"/>
      <c r="G82" s="1126">
        <f>SUM(G80:G81)</f>
        <v>214</v>
      </c>
      <c r="H82" s="884" t="s">
        <v>2313</v>
      </c>
    </row>
    <row r="83" spans="1:8" s="705" customFormat="1" ht="48" hidden="1">
      <c r="A83" s="678"/>
      <c r="B83" s="678">
        <v>16</v>
      </c>
      <c r="C83" s="421" t="s">
        <v>1261</v>
      </c>
      <c r="D83" s="421"/>
      <c r="E83" s="678"/>
      <c r="F83" s="678"/>
      <c r="G83" s="704"/>
      <c r="H83" s="592" t="s">
        <v>2313</v>
      </c>
    </row>
    <row r="84" spans="1:8" s="705" customFormat="1" hidden="1">
      <c r="A84" s="685"/>
      <c r="B84" s="678"/>
      <c r="C84" s="679" t="s">
        <v>380</v>
      </c>
      <c r="D84" s="680" t="s">
        <v>279</v>
      </c>
      <c r="E84" s="681">
        <v>1</v>
      </c>
      <c r="F84" s="682">
        <f>'MINI SSR 2022-23 (2)'!H72</f>
        <v>35</v>
      </c>
      <c r="G84" s="686">
        <f>ROUND(E84*F84,2)</f>
        <v>35</v>
      </c>
      <c r="H84" s="592" t="s">
        <v>2313</v>
      </c>
    </row>
    <row r="85" spans="1:8" s="670" customFormat="1" hidden="1">
      <c r="A85" s="678"/>
      <c r="B85" s="684"/>
      <c r="C85" s="689" t="s">
        <v>332</v>
      </c>
      <c r="D85" s="690"/>
      <c r="E85" s="691"/>
      <c r="F85" s="691"/>
      <c r="G85" s="692">
        <v>0</v>
      </c>
      <c r="H85" s="592" t="s">
        <v>2313</v>
      </c>
    </row>
    <row r="86" spans="1:8" s="705" customFormat="1" hidden="1">
      <c r="A86" s="685"/>
      <c r="B86" s="678"/>
      <c r="C86" s="679"/>
      <c r="D86" s="680"/>
      <c r="E86" s="681"/>
      <c r="F86" s="682"/>
      <c r="G86" s="683">
        <f>SUM(G84:G85)</f>
        <v>35</v>
      </c>
      <c r="H86" s="592" t="s">
        <v>2313</v>
      </c>
    </row>
    <row r="87" spans="1:8" s="1129" customFormat="1" ht="72">
      <c r="A87" s="1105"/>
      <c r="B87" s="1105">
        <v>9</v>
      </c>
      <c r="C87" s="463" t="s">
        <v>363</v>
      </c>
      <c r="D87" s="463"/>
      <c r="E87" s="1105"/>
      <c r="F87" s="1105"/>
      <c r="G87" s="1128"/>
      <c r="H87" s="884" t="s">
        <v>2313</v>
      </c>
    </row>
    <row r="88" spans="1:8" s="1129" customFormat="1">
      <c r="A88" s="1122"/>
      <c r="B88" s="1105"/>
      <c r="C88" s="1130" t="s">
        <v>364</v>
      </c>
      <c r="D88" s="1131" t="s">
        <v>279</v>
      </c>
      <c r="E88" s="1132">
        <v>1</v>
      </c>
      <c r="F88" s="1133">
        <f>'MINI SSR 2022-23 (2)'!H73</f>
        <v>33</v>
      </c>
      <c r="G88" s="1109">
        <f>ROUND(E88*F88,2)</f>
        <v>33</v>
      </c>
      <c r="H88" s="884" t="s">
        <v>2313</v>
      </c>
    </row>
    <row r="89" spans="1:8" s="885" customFormat="1">
      <c r="A89" s="1105"/>
      <c r="B89" s="1106"/>
      <c r="C89" s="1110" t="s">
        <v>332</v>
      </c>
      <c r="D89" s="1111"/>
      <c r="E89" s="1112"/>
      <c r="F89" s="1112"/>
      <c r="G89" s="1113">
        <v>0</v>
      </c>
      <c r="H89" s="884" t="s">
        <v>2313</v>
      </c>
    </row>
    <row r="90" spans="1:8" s="1129" customFormat="1">
      <c r="A90" s="1122"/>
      <c r="B90" s="1105"/>
      <c r="C90" s="1130"/>
      <c r="D90" s="1131"/>
      <c r="E90" s="1132"/>
      <c r="F90" s="1133"/>
      <c r="G90" s="1127">
        <f>SUM(G88:G89)</f>
        <v>33</v>
      </c>
      <c r="H90" s="884" t="s">
        <v>2313</v>
      </c>
    </row>
    <row r="91" spans="1:8" s="606" customFormat="1" ht="48" hidden="1">
      <c r="A91" s="678"/>
      <c r="B91" s="678">
        <v>18</v>
      </c>
      <c r="C91" s="421" t="s">
        <v>365</v>
      </c>
      <c r="D91" s="685"/>
      <c r="E91" s="678"/>
      <c r="F91" s="678"/>
      <c r="G91" s="704"/>
      <c r="H91" s="592" t="s">
        <v>2313</v>
      </c>
    </row>
    <row r="92" spans="1:8" s="606" customFormat="1" ht="15" hidden="1">
      <c r="A92" s="678"/>
      <c r="B92" s="678"/>
      <c r="C92" s="679" t="s">
        <v>366</v>
      </c>
      <c r="D92" s="680" t="s">
        <v>115</v>
      </c>
      <c r="E92" s="682">
        <v>1</v>
      </c>
      <c r="F92" s="682">
        <f>'MINI SSR 2022-23 (2)'!H74</f>
        <v>1165</v>
      </c>
      <c r="G92" s="686">
        <f>ROUND(E92*F92,2)</f>
        <v>1165</v>
      </c>
      <c r="H92" s="592" t="s">
        <v>2313</v>
      </c>
    </row>
    <row r="93" spans="1:8" s="670" customFormat="1" hidden="1">
      <c r="A93" s="678"/>
      <c r="B93" s="684"/>
      <c r="C93" s="689" t="s">
        <v>332</v>
      </c>
      <c r="D93" s="690"/>
      <c r="E93" s="691"/>
      <c r="F93" s="691"/>
      <c r="G93" s="692">
        <v>0</v>
      </c>
      <c r="H93" s="592" t="s">
        <v>2313</v>
      </c>
    </row>
    <row r="94" spans="1:8" s="606" customFormat="1" ht="15" hidden="1">
      <c r="A94" s="678"/>
      <c r="B94" s="706"/>
      <c r="C94" s="679"/>
      <c r="D94" s="680"/>
      <c r="E94" s="682"/>
      <c r="F94" s="682"/>
      <c r="G94" s="683">
        <f>SUM(G92:G93)</f>
        <v>1165</v>
      </c>
      <c r="H94" s="592" t="s">
        <v>2313</v>
      </c>
    </row>
    <row r="95" spans="1:8" s="705" customFormat="1" ht="108" hidden="1">
      <c r="A95" s="707"/>
      <c r="B95" s="678">
        <v>19</v>
      </c>
      <c r="C95" s="685" t="s">
        <v>367</v>
      </c>
      <c r="D95" s="685"/>
      <c r="E95" s="685"/>
      <c r="F95" s="685"/>
      <c r="G95" s="708"/>
      <c r="H95" s="592" t="s">
        <v>2313</v>
      </c>
    </row>
    <row r="96" spans="1:8" s="705" customFormat="1" hidden="1">
      <c r="A96" s="709"/>
      <c r="B96" s="706"/>
      <c r="C96" s="710" t="s">
        <v>368</v>
      </c>
      <c r="D96" s="711"/>
      <c r="E96" s="711"/>
      <c r="F96" s="712"/>
      <c r="G96" s="713"/>
      <c r="H96" s="592" t="s">
        <v>2313</v>
      </c>
    </row>
    <row r="97" spans="1:8" s="705" customFormat="1" hidden="1">
      <c r="A97" s="709"/>
      <c r="B97" s="678"/>
      <c r="C97" s="709" t="s">
        <v>369</v>
      </c>
      <c r="D97" s="712" t="s">
        <v>370</v>
      </c>
      <c r="E97" s="711">
        <v>1</v>
      </c>
      <c r="F97" s="711">
        <f>'MINI SSR 2022-23 (2)'!C78</f>
        <v>447</v>
      </c>
      <c r="G97" s="686">
        <f t="shared" ref="G97:G102" si="0">ROUND(E97*F97,2)</f>
        <v>447</v>
      </c>
      <c r="H97" s="592" t="s">
        <v>2313</v>
      </c>
    </row>
    <row r="98" spans="1:8" s="705" customFormat="1" hidden="1">
      <c r="A98" s="709"/>
      <c r="B98" s="678"/>
      <c r="C98" s="714" t="s">
        <v>371</v>
      </c>
      <c r="D98" s="712" t="s">
        <v>115</v>
      </c>
      <c r="E98" s="711">
        <v>1</v>
      </c>
      <c r="F98" s="711">
        <f>'MINI SSR 2022-23 (2)'!H75</f>
        <v>77</v>
      </c>
      <c r="G98" s="686">
        <f t="shared" si="0"/>
        <v>77</v>
      </c>
      <c r="H98" s="592" t="s">
        <v>2313</v>
      </c>
    </row>
    <row r="99" spans="1:8" s="705" customFormat="1" hidden="1">
      <c r="A99" s="709"/>
      <c r="B99" s="678"/>
      <c r="C99" s="714" t="s">
        <v>372</v>
      </c>
      <c r="D99" s="712" t="s">
        <v>115</v>
      </c>
      <c r="E99" s="711">
        <v>3</v>
      </c>
      <c r="F99" s="711">
        <f>'MINI SSR 2022-23 (2)'!H76</f>
        <v>17</v>
      </c>
      <c r="G99" s="686">
        <f t="shared" si="0"/>
        <v>51</v>
      </c>
      <c r="H99" s="592" t="s">
        <v>2313</v>
      </c>
    </row>
    <row r="100" spans="1:8" s="705" customFormat="1" hidden="1">
      <c r="A100" s="709"/>
      <c r="B100" s="678"/>
      <c r="C100" s="715" t="s">
        <v>373</v>
      </c>
      <c r="D100" s="712" t="s">
        <v>108</v>
      </c>
      <c r="E100" s="711">
        <v>0.3</v>
      </c>
      <c r="F100" s="711">
        <f>'MINI SSR 2022-23 (2)'!H8</f>
        <v>705</v>
      </c>
      <c r="G100" s="686">
        <f t="shared" si="0"/>
        <v>211.5</v>
      </c>
      <c r="H100" s="592" t="s">
        <v>2313</v>
      </c>
    </row>
    <row r="101" spans="1:8" s="705" customFormat="1" hidden="1">
      <c r="A101" s="709"/>
      <c r="B101" s="678"/>
      <c r="C101" s="715" t="s">
        <v>374</v>
      </c>
      <c r="D101" s="712" t="s">
        <v>108</v>
      </c>
      <c r="E101" s="711">
        <v>0.7</v>
      </c>
      <c r="F101" s="711">
        <f>'MINI SSR 2022-23 (2)'!H9</f>
        <v>565</v>
      </c>
      <c r="G101" s="686">
        <f t="shared" si="0"/>
        <v>395.5</v>
      </c>
      <c r="H101" s="592" t="s">
        <v>2313</v>
      </c>
    </row>
    <row r="102" spans="1:8" s="705" customFormat="1" hidden="1">
      <c r="A102" s="709"/>
      <c r="B102" s="678"/>
      <c r="C102" s="715" t="s">
        <v>375</v>
      </c>
      <c r="D102" s="712" t="s">
        <v>108</v>
      </c>
      <c r="E102" s="711">
        <v>1</v>
      </c>
      <c r="F102" s="711">
        <f>'MINI SSR 2022-23 (2)'!H5</f>
        <v>525</v>
      </c>
      <c r="G102" s="686">
        <f t="shared" si="0"/>
        <v>525</v>
      </c>
      <c r="H102" s="592" t="s">
        <v>2313</v>
      </c>
    </row>
    <row r="103" spans="1:8" s="705" customFormat="1" hidden="1">
      <c r="A103" s="709"/>
      <c r="B103" s="678"/>
      <c r="C103" s="715"/>
      <c r="D103" s="712"/>
      <c r="E103" s="711"/>
      <c r="F103" s="711"/>
      <c r="G103" s="713">
        <f>SUM(G97:G102)</f>
        <v>1707</v>
      </c>
      <c r="H103" s="592" t="s">
        <v>2313</v>
      </c>
    </row>
    <row r="104" spans="1:8" s="670" customFormat="1" hidden="1">
      <c r="A104" s="678"/>
      <c r="B104" s="684"/>
      <c r="C104" s="689" t="s">
        <v>332</v>
      </c>
      <c r="D104" s="690"/>
      <c r="E104" s="691"/>
      <c r="F104" s="691"/>
      <c r="G104" s="692">
        <v>0</v>
      </c>
      <c r="H104" s="592" t="s">
        <v>2313</v>
      </c>
    </row>
    <row r="105" spans="1:8" s="705" customFormat="1" hidden="1">
      <c r="A105" s="709"/>
      <c r="B105" s="706"/>
      <c r="C105" s="715" t="s">
        <v>376</v>
      </c>
      <c r="D105" s="712"/>
      <c r="E105" s="711"/>
      <c r="F105" s="711"/>
      <c r="G105" s="713">
        <f>SUM(G103:G104)</f>
        <v>1707</v>
      </c>
      <c r="H105" s="592" t="s">
        <v>2313</v>
      </c>
    </row>
    <row r="106" spans="1:8" s="705" customFormat="1" hidden="1">
      <c r="A106" s="709"/>
      <c r="B106" s="706"/>
      <c r="C106" s="715" t="s">
        <v>377</v>
      </c>
      <c r="D106" s="712"/>
      <c r="E106" s="711"/>
      <c r="F106" s="711"/>
      <c r="G106" s="716">
        <f>G105/3</f>
        <v>569</v>
      </c>
      <c r="H106" s="592" t="s">
        <v>2313</v>
      </c>
    </row>
    <row r="107" spans="1:8" s="620" customFormat="1" ht="113.25" hidden="1" customHeight="1">
      <c r="A107" s="717"/>
      <c r="B107" s="717">
        <v>11</v>
      </c>
      <c r="C107" s="818" t="s">
        <v>595</v>
      </c>
      <c r="D107" s="818"/>
      <c r="E107" s="621"/>
      <c r="F107" s="621"/>
      <c r="G107" s="38"/>
      <c r="H107" s="592" t="s">
        <v>2313</v>
      </c>
    </row>
    <row r="108" spans="1:8" s="620" customFormat="1" hidden="1">
      <c r="A108" s="623"/>
      <c r="B108" s="621"/>
      <c r="C108" s="624" t="s">
        <v>596</v>
      </c>
      <c r="D108" s="16" t="s">
        <v>279</v>
      </c>
      <c r="E108" s="718">
        <v>1</v>
      </c>
      <c r="F108" s="10">
        <f>'MINI SSR 2022-23 (2)'!C86</f>
        <v>446.4</v>
      </c>
      <c r="G108" s="9">
        <f>(E108*F108)/1</f>
        <v>446.4</v>
      </c>
      <c r="H108" s="592" t="s">
        <v>2313</v>
      </c>
    </row>
    <row r="109" spans="1:8" s="620" customFormat="1" hidden="1">
      <c r="A109" s="623"/>
      <c r="B109" s="621"/>
      <c r="C109" s="624"/>
      <c r="D109" s="16"/>
      <c r="E109" s="718"/>
      <c r="F109" s="10"/>
      <c r="G109" s="9"/>
      <c r="H109" s="592" t="s">
        <v>2313</v>
      </c>
    </row>
    <row r="110" spans="1:8" s="620" customFormat="1" hidden="1">
      <c r="A110" s="623"/>
      <c r="B110" s="621"/>
      <c r="C110" s="624" t="s">
        <v>597</v>
      </c>
      <c r="D110" s="16" t="s">
        <v>279</v>
      </c>
      <c r="E110" s="718">
        <v>1</v>
      </c>
      <c r="F110" s="10">
        <f>'MINI SSR 2022-23 (2)'!C87</f>
        <v>477.6</v>
      </c>
      <c r="G110" s="9">
        <f>(E110*F110)/1</f>
        <v>477.6</v>
      </c>
      <c r="H110" s="592" t="s">
        <v>2313</v>
      </c>
    </row>
    <row r="111" spans="1:8" s="620" customFormat="1" hidden="1">
      <c r="A111" s="623"/>
      <c r="B111" s="621"/>
      <c r="C111" s="624"/>
      <c r="D111" s="16"/>
      <c r="E111" s="718"/>
      <c r="F111" s="10"/>
      <c r="G111" s="9"/>
      <c r="H111" s="592" t="s">
        <v>2313</v>
      </c>
    </row>
    <row r="112" spans="1:8" s="620" customFormat="1" hidden="1">
      <c r="A112" s="623"/>
      <c r="B112" s="621"/>
      <c r="C112" s="624" t="s">
        <v>598</v>
      </c>
      <c r="D112" s="16" t="s">
        <v>279</v>
      </c>
      <c r="E112" s="718">
        <v>1</v>
      </c>
      <c r="F112" s="10">
        <f>'MINI SSR 2022-23 (2)'!C88</f>
        <v>535.70000000000005</v>
      </c>
      <c r="G112" s="9">
        <f>(E112*F112)/1</f>
        <v>535.70000000000005</v>
      </c>
      <c r="H112" s="592" t="s">
        <v>2313</v>
      </c>
    </row>
    <row r="113" spans="1:8" s="620" customFormat="1" hidden="1">
      <c r="A113" s="623"/>
      <c r="B113" s="621"/>
      <c r="C113" s="624"/>
      <c r="D113" s="16"/>
      <c r="E113" s="718"/>
      <c r="F113" s="10"/>
      <c r="G113" s="9"/>
      <c r="H113" s="592" t="s">
        <v>2313</v>
      </c>
    </row>
    <row r="114" spans="1:8" s="620" customFormat="1" ht="51" hidden="1">
      <c r="A114" s="621"/>
      <c r="B114" s="621">
        <v>12</v>
      </c>
      <c r="C114" s="818" t="s">
        <v>592</v>
      </c>
      <c r="D114" s="818"/>
      <c r="E114" s="621"/>
      <c r="F114" s="621"/>
      <c r="G114" s="38"/>
      <c r="H114" s="592" t="s">
        <v>2313</v>
      </c>
    </row>
    <row r="115" spans="1:8" s="620" customFormat="1" hidden="1">
      <c r="A115" s="623"/>
      <c r="B115" s="621"/>
      <c r="C115" s="624" t="s">
        <v>599</v>
      </c>
      <c r="D115" s="16" t="s">
        <v>275</v>
      </c>
      <c r="E115" s="718">
        <v>1</v>
      </c>
      <c r="F115" s="10">
        <f>'MINI SSR 2022-23 (2)'!C89</f>
        <v>26730</v>
      </c>
      <c r="G115" s="9">
        <f>(E115*F115)/1</f>
        <v>26730</v>
      </c>
      <c r="H115" s="592" t="s">
        <v>2313</v>
      </c>
    </row>
    <row r="116" spans="1:8" s="620" customFormat="1" hidden="1">
      <c r="A116" s="623"/>
      <c r="B116" s="621"/>
      <c r="C116" s="624"/>
      <c r="D116" s="16"/>
      <c r="E116" s="718"/>
      <c r="F116" s="10"/>
      <c r="G116" s="9">
        <f>SUM(G115:G115)</f>
        <v>26730</v>
      </c>
      <c r="H116" s="592" t="s">
        <v>2313</v>
      </c>
    </row>
    <row r="117" spans="1:8" s="620" customFormat="1" ht="51" hidden="1">
      <c r="A117" s="621"/>
      <c r="B117" s="621">
        <v>13</v>
      </c>
      <c r="C117" s="818" t="s">
        <v>1534</v>
      </c>
      <c r="D117" s="818"/>
      <c r="E117" s="621"/>
      <c r="F117" s="621"/>
      <c r="G117" s="38"/>
      <c r="H117" s="592" t="s">
        <v>2313</v>
      </c>
    </row>
    <row r="118" spans="1:8" s="620" customFormat="1" hidden="1">
      <c r="A118" s="623"/>
      <c r="B118" s="621"/>
      <c r="C118" s="624" t="s">
        <v>1568</v>
      </c>
      <c r="D118" s="16" t="s">
        <v>275</v>
      </c>
      <c r="E118" s="718">
        <v>1</v>
      </c>
      <c r="F118" s="10">
        <f>'MINI SSR 2022-23 (2)'!C90</f>
        <v>18370</v>
      </c>
      <c r="G118" s="9">
        <f>(E118*F118)/1</f>
        <v>18370</v>
      </c>
      <c r="H118" s="592" t="s">
        <v>2313</v>
      </c>
    </row>
    <row r="119" spans="1:8" s="620" customFormat="1" hidden="1">
      <c r="A119" s="623"/>
      <c r="B119" s="621"/>
      <c r="C119" s="624"/>
      <c r="D119" s="16"/>
      <c r="E119" s="718"/>
      <c r="F119" s="10"/>
      <c r="G119" s="9">
        <f>SUM(G118:G118)</f>
        <v>18370</v>
      </c>
      <c r="H119" s="592" t="s">
        <v>2313</v>
      </c>
    </row>
    <row r="120" spans="1:8" s="620" customFormat="1" ht="51" hidden="1">
      <c r="A120" s="621"/>
      <c r="B120" s="621">
        <v>14</v>
      </c>
      <c r="C120" s="818" t="s">
        <v>600</v>
      </c>
      <c r="D120" s="818"/>
      <c r="E120" s="621"/>
      <c r="F120" s="621"/>
      <c r="G120" s="38"/>
      <c r="H120" s="592" t="s">
        <v>2313</v>
      </c>
    </row>
    <row r="121" spans="1:8" s="620" customFormat="1" hidden="1">
      <c r="A121" s="623"/>
      <c r="B121" s="621"/>
      <c r="C121" s="818" t="s">
        <v>378</v>
      </c>
      <c r="D121" s="16" t="s">
        <v>289</v>
      </c>
      <c r="E121" s="718">
        <v>1</v>
      </c>
      <c r="F121" s="10">
        <f>'MINI SSR 2022-23 (2)'!C91</f>
        <v>325</v>
      </c>
      <c r="G121" s="9">
        <f>(E121*F121)/1</f>
        <v>325</v>
      </c>
      <c r="H121" s="592" t="s">
        <v>2313</v>
      </c>
    </row>
    <row r="122" spans="1:8" s="620" customFormat="1" hidden="1">
      <c r="A122" s="623"/>
      <c r="B122" s="621"/>
      <c r="C122" s="624"/>
      <c r="D122" s="16"/>
      <c r="E122" s="718"/>
      <c r="F122" s="10"/>
      <c r="G122" s="9">
        <f>SUM(G121:G121)</f>
        <v>325</v>
      </c>
      <c r="H122" s="592" t="s">
        <v>2313</v>
      </c>
    </row>
    <row r="123" spans="1:8" s="620" customFormat="1" ht="38.25" hidden="1">
      <c r="A123" s="621"/>
      <c r="B123" s="621">
        <v>15</v>
      </c>
      <c r="C123" s="357" t="s">
        <v>283</v>
      </c>
      <c r="D123" s="357"/>
      <c r="E123" s="717"/>
      <c r="F123" s="717"/>
      <c r="G123" s="719"/>
      <c r="H123" s="592" t="s">
        <v>2313</v>
      </c>
    </row>
    <row r="124" spans="1:8" s="620" customFormat="1" hidden="1">
      <c r="A124" s="623"/>
      <c r="B124" s="621"/>
      <c r="C124" s="608" t="s">
        <v>379</v>
      </c>
      <c r="D124" s="605" t="s">
        <v>279</v>
      </c>
      <c r="E124" s="610">
        <v>1</v>
      </c>
      <c r="F124" s="607">
        <f>'MINI SSR 2022-23 (2)'!C92</f>
        <v>85</v>
      </c>
      <c r="G124" s="609">
        <f>(E124*F124)/1</f>
        <v>85</v>
      </c>
      <c r="H124" s="592" t="s">
        <v>2313</v>
      </c>
    </row>
    <row r="125" spans="1:8" s="620" customFormat="1" hidden="1">
      <c r="A125" s="623"/>
      <c r="B125" s="621"/>
      <c r="C125" s="608"/>
      <c r="D125" s="605"/>
      <c r="E125" s="610"/>
      <c r="F125" s="607"/>
      <c r="G125" s="609">
        <f>SUM(G124:G124)</f>
        <v>85</v>
      </c>
      <c r="H125" s="592" t="s">
        <v>2313</v>
      </c>
    </row>
    <row r="126" spans="1:8" s="620" customFormat="1" hidden="1">
      <c r="A126" s="621"/>
      <c r="B126" s="621">
        <v>16</v>
      </c>
      <c r="C126" s="818" t="s">
        <v>287</v>
      </c>
      <c r="D126" s="818"/>
      <c r="E126" s="621"/>
      <c r="F126" s="621"/>
      <c r="G126" s="38"/>
      <c r="H126" s="592" t="s">
        <v>2313</v>
      </c>
    </row>
    <row r="127" spans="1:8" s="620" customFormat="1" hidden="1">
      <c r="A127" s="623"/>
      <c r="B127" s="621"/>
      <c r="C127" s="624" t="s">
        <v>380</v>
      </c>
      <c r="D127" s="16" t="s">
        <v>275</v>
      </c>
      <c r="E127" s="718">
        <v>1</v>
      </c>
      <c r="F127" s="10">
        <f>'MINI SSR 2022-23 (2)'!C93</f>
        <v>194</v>
      </c>
      <c r="G127" s="9">
        <f>(E127*F127)/1</f>
        <v>194</v>
      </c>
      <c r="H127" s="592" t="s">
        <v>2313</v>
      </c>
    </row>
    <row r="128" spans="1:8" s="620" customFormat="1" hidden="1">
      <c r="A128" s="623"/>
      <c r="B128" s="621"/>
      <c r="C128" s="624"/>
      <c r="D128" s="16"/>
      <c r="E128" s="718"/>
      <c r="F128" s="10"/>
      <c r="G128" s="9">
        <f>SUM(G127:G127)</f>
        <v>194</v>
      </c>
      <c r="H128" s="592" t="s">
        <v>2313</v>
      </c>
    </row>
    <row r="129" spans="1:8" s="620" customFormat="1" hidden="1">
      <c r="A129" s="621"/>
      <c r="B129" s="621">
        <v>17</v>
      </c>
      <c r="C129" s="818" t="s">
        <v>284</v>
      </c>
      <c r="D129" s="818"/>
      <c r="E129" s="621"/>
      <c r="F129" s="621"/>
      <c r="G129" s="38"/>
      <c r="H129" s="592" t="s">
        <v>2313</v>
      </c>
    </row>
    <row r="130" spans="1:8" s="620" customFormat="1" hidden="1">
      <c r="A130" s="623"/>
      <c r="B130" s="621"/>
      <c r="C130" s="624" t="s">
        <v>380</v>
      </c>
      <c r="D130" s="16" t="s">
        <v>275</v>
      </c>
      <c r="E130" s="718">
        <v>1</v>
      </c>
      <c r="F130" s="10">
        <f>'MINI SSR 2022-23 (2)'!C94</f>
        <v>300</v>
      </c>
      <c r="G130" s="9">
        <f>(E130*F130)/1</f>
        <v>300</v>
      </c>
      <c r="H130" s="592" t="s">
        <v>2313</v>
      </c>
    </row>
    <row r="131" spans="1:8" s="620" customFormat="1" hidden="1">
      <c r="A131" s="623"/>
      <c r="B131" s="621"/>
      <c r="C131" s="624"/>
      <c r="D131" s="16"/>
      <c r="E131" s="718"/>
      <c r="F131" s="10"/>
      <c r="G131" s="9">
        <f>SUM(G130:G130)</f>
        <v>300</v>
      </c>
      <c r="H131" s="592" t="s">
        <v>2313</v>
      </c>
    </row>
    <row r="132" spans="1:8" s="620" customFormat="1" hidden="1">
      <c r="A132" s="621"/>
      <c r="B132" s="621">
        <v>18</v>
      </c>
      <c r="C132" s="818" t="s">
        <v>1996</v>
      </c>
      <c r="D132" s="818"/>
      <c r="E132" s="621"/>
      <c r="F132" s="621"/>
      <c r="G132" s="38"/>
      <c r="H132" s="592" t="s">
        <v>2313</v>
      </c>
    </row>
    <row r="133" spans="1:8" s="620" customFormat="1" hidden="1">
      <c r="A133" s="623"/>
      <c r="B133" s="621"/>
      <c r="C133" s="624" t="s">
        <v>379</v>
      </c>
      <c r="D133" s="16" t="s">
        <v>279</v>
      </c>
      <c r="E133" s="718">
        <v>1</v>
      </c>
      <c r="F133" s="10">
        <f>'MINI SSR 2022-23 (2)'!C95</f>
        <v>400</v>
      </c>
      <c r="G133" s="9">
        <f>(E133*F133)/1</f>
        <v>400</v>
      </c>
      <c r="H133" s="592" t="s">
        <v>2313</v>
      </c>
    </row>
    <row r="134" spans="1:8" s="620" customFormat="1" hidden="1">
      <c r="A134" s="623"/>
      <c r="B134" s="621"/>
      <c r="C134" s="624"/>
      <c r="D134" s="16"/>
      <c r="E134" s="718"/>
      <c r="F134" s="10"/>
      <c r="G134" s="9">
        <f>SUM(G133:G133)</f>
        <v>400</v>
      </c>
      <c r="H134" s="592" t="s">
        <v>2313</v>
      </c>
    </row>
    <row r="135" spans="1:8" s="620" customFormat="1" hidden="1">
      <c r="A135" s="621"/>
      <c r="B135" s="621">
        <v>19</v>
      </c>
      <c r="C135" s="818" t="s">
        <v>1997</v>
      </c>
      <c r="D135" s="818"/>
      <c r="E135" s="621"/>
      <c r="F135" s="621"/>
      <c r="G135" s="38"/>
      <c r="H135" s="592" t="s">
        <v>2313</v>
      </c>
    </row>
    <row r="136" spans="1:8" s="620" customFormat="1" hidden="1">
      <c r="A136" s="623"/>
      <c r="B136" s="621"/>
      <c r="C136" s="624" t="s">
        <v>380</v>
      </c>
      <c r="D136" s="16" t="s">
        <v>275</v>
      </c>
      <c r="E136" s="718">
        <v>1</v>
      </c>
      <c r="F136" s="10">
        <f>'MINI SSR 2022-23 (2)'!C96</f>
        <v>77</v>
      </c>
      <c r="G136" s="9">
        <f>(E136*F136)/1</f>
        <v>77</v>
      </c>
      <c r="H136" s="592" t="s">
        <v>2313</v>
      </c>
    </row>
    <row r="137" spans="1:8" s="620" customFormat="1" hidden="1">
      <c r="A137" s="623"/>
      <c r="B137" s="621"/>
      <c r="C137" s="624"/>
      <c r="D137" s="16"/>
      <c r="E137" s="718"/>
      <c r="F137" s="10"/>
      <c r="G137" s="9">
        <f>SUM(G136:G136)</f>
        <v>77</v>
      </c>
      <c r="H137" s="592" t="s">
        <v>2313</v>
      </c>
    </row>
    <row r="138" spans="1:8" s="620" customFormat="1" ht="51" hidden="1">
      <c r="A138" s="621"/>
      <c r="B138" s="621">
        <v>20</v>
      </c>
      <c r="C138" s="818" t="s">
        <v>601</v>
      </c>
      <c r="D138" s="818"/>
      <c r="E138" s="621"/>
      <c r="F138" s="621"/>
      <c r="G138" s="38"/>
      <c r="H138" s="592" t="s">
        <v>2313</v>
      </c>
    </row>
    <row r="139" spans="1:8" s="620" customFormat="1" hidden="1">
      <c r="A139" s="623"/>
      <c r="B139" s="621"/>
      <c r="C139" s="624" t="s">
        <v>602</v>
      </c>
      <c r="D139" s="16" t="s">
        <v>279</v>
      </c>
      <c r="E139" s="718">
        <v>1</v>
      </c>
      <c r="F139" s="10">
        <f>'MINI SSR 2022-23 (2)'!C97</f>
        <v>105</v>
      </c>
      <c r="G139" s="9">
        <f>(E139*F139)/1</f>
        <v>105</v>
      </c>
      <c r="H139" s="592" t="s">
        <v>2313</v>
      </c>
    </row>
    <row r="140" spans="1:8" s="620" customFormat="1" hidden="1">
      <c r="A140" s="623"/>
      <c r="B140" s="621"/>
      <c r="C140" s="624"/>
      <c r="D140" s="16"/>
      <c r="E140" s="718"/>
      <c r="F140" s="10"/>
      <c r="G140" s="9">
        <f>SUM(G139:G139)</f>
        <v>105</v>
      </c>
      <c r="H140" s="592" t="s">
        <v>2313</v>
      </c>
    </row>
    <row r="141" spans="1:8" s="620" customFormat="1" ht="102" hidden="1">
      <c r="A141" s="621"/>
      <c r="B141" s="621">
        <v>21</v>
      </c>
      <c r="C141" s="818" t="s">
        <v>381</v>
      </c>
      <c r="D141" s="818"/>
      <c r="E141" s="621"/>
      <c r="F141" s="621"/>
      <c r="G141" s="38"/>
      <c r="H141" s="592" t="s">
        <v>2313</v>
      </c>
    </row>
    <row r="142" spans="1:8" s="620" customFormat="1" hidden="1">
      <c r="A142" s="623"/>
      <c r="B142" s="621"/>
      <c r="C142" s="608" t="s">
        <v>382</v>
      </c>
      <c r="D142" s="16" t="s">
        <v>115</v>
      </c>
      <c r="E142" s="718">
        <v>1</v>
      </c>
      <c r="F142" s="10">
        <f>'MINI SSR 2022-23 (2)'!C98</f>
        <v>5445</v>
      </c>
      <c r="G142" s="9">
        <f>(E142*F142)/1</f>
        <v>5445</v>
      </c>
      <c r="H142" s="592" t="s">
        <v>2313</v>
      </c>
    </row>
    <row r="143" spans="1:8" s="620" customFormat="1" hidden="1">
      <c r="A143" s="623"/>
      <c r="B143" s="621"/>
      <c r="C143" s="624"/>
      <c r="D143" s="16"/>
      <c r="E143" s="718"/>
      <c r="F143" s="10"/>
      <c r="G143" s="9">
        <f>SUM(G142:G142)</f>
        <v>5445</v>
      </c>
      <c r="H143" s="592" t="s">
        <v>2313</v>
      </c>
    </row>
    <row r="144" spans="1:8" s="606" customFormat="1" ht="15" hidden="1">
      <c r="A144" s="717"/>
      <c r="B144" s="717"/>
      <c r="C144" s="608"/>
      <c r="D144" s="605"/>
      <c r="E144" s="610"/>
      <c r="F144" s="607"/>
      <c r="G144" s="609"/>
      <c r="H144" s="592" t="s">
        <v>2313</v>
      </c>
    </row>
    <row r="145" spans="1:8" s="1123" customFormat="1" ht="24">
      <c r="A145" s="1105"/>
      <c r="B145" s="1105">
        <v>10</v>
      </c>
      <c r="C145" s="463" t="s">
        <v>718</v>
      </c>
      <c r="D145" s="1124"/>
      <c r="E145" s="1131"/>
      <c r="F145" s="1131"/>
      <c r="G145" s="1124"/>
      <c r="H145" s="884" t="s">
        <v>2313</v>
      </c>
    </row>
    <row r="146" spans="1:8" s="1123" customFormat="1" ht="15">
      <c r="A146" s="1105"/>
      <c r="B146" s="1105"/>
      <c r="C146" s="1130" t="s">
        <v>338</v>
      </c>
      <c r="D146" s="1131" t="s">
        <v>115</v>
      </c>
      <c r="E146" s="1132">
        <v>1</v>
      </c>
      <c r="F146" s="1133">
        <f>'MINI SSR 2022-23 (2)'!C75</f>
        <v>93</v>
      </c>
      <c r="G146" s="1109">
        <f>ROUND(E146*F146,2)</f>
        <v>93</v>
      </c>
      <c r="H146" s="884" t="s">
        <v>2313</v>
      </c>
    </row>
    <row r="147" spans="1:8" s="1123" customFormat="1" ht="15">
      <c r="A147" s="1105"/>
      <c r="B147" s="1105"/>
      <c r="C147" s="1130"/>
      <c r="D147" s="1131"/>
      <c r="E147" s="1132"/>
      <c r="F147" s="1133"/>
      <c r="G147" s="1127">
        <f>SUM(G146:G146)</f>
        <v>93</v>
      </c>
      <c r="H147" s="884" t="s">
        <v>2313</v>
      </c>
    </row>
    <row r="148" spans="1:8" s="1092" customFormat="1" ht="11.25">
      <c r="A148" s="1086"/>
      <c r="B148" s="1087"/>
      <c r="C148" s="1088"/>
      <c r="D148" s="1089"/>
      <c r="E148" s="1090"/>
      <c r="F148" s="1089"/>
      <c r="G148" s="1091"/>
    </row>
    <row r="149" spans="1:8" s="1092" customFormat="1" ht="11.25">
      <c r="A149" s="1086"/>
      <c r="B149" s="1087"/>
      <c r="C149" s="1088"/>
      <c r="D149" s="1089"/>
      <c r="E149" s="1090"/>
      <c r="F149" s="1089"/>
      <c r="G149" s="1091"/>
    </row>
    <row r="150" spans="1:8" s="1092" customFormat="1" ht="11.25">
      <c r="A150" s="1086"/>
      <c r="B150" s="1087"/>
      <c r="C150" s="1093" t="str">
        <f>'lead 22-23 P-B'!H31</f>
        <v>Deputy Executive Engineer</v>
      </c>
      <c r="D150" s="1089"/>
      <c r="E150" s="1090"/>
      <c r="F150" s="1089" t="str">
        <f>'lead 22-23 P-B'!K31</f>
        <v>Assistant  Engineer</v>
      </c>
      <c r="G150" s="1091"/>
    </row>
    <row r="151" spans="1:8">
      <c r="A151" s="1023"/>
      <c r="C151" s="1093" t="str">
        <f>'lead 22-23 P-B'!H32</f>
        <v>PRI Sub Division</v>
      </c>
      <c r="D151" s="1095"/>
      <c r="E151" s="1095"/>
      <c r="F151" s="1089" t="str">
        <f>'lead 22-23 P-B'!K32</f>
        <v>Mandal Praja parishad</v>
      </c>
      <c r="G151" s="1095"/>
    </row>
    <row r="152" spans="1:8">
      <c r="A152" s="1023"/>
      <c r="C152" s="1093" t="str">
        <f>'lead 22-23 P-B'!H33</f>
        <v>Kanigiri</v>
      </c>
      <c r="D152" s="1095"/>
      <c r="E152" s="1095"/>
      <c r="F152" s="1089" t="str">
        <f>'lead 22-23 P-B'!K33</f>
        <v>Kanigiri</v>
      </c>
      <c r="G152" s="1095"/>
    </row>
  </sheetData>
  <autoFilter ref="A4:G147">
    <filterColumn colId="0">
      <colorFilter dxfId="1"/>
    </filterColumn>
  </autoFilter>
  <mergeCells count="2">
    <mergeCell ref="B1:F1"/>
    <mergeCell ref="A2:G2"/>
  </mergeCells>
  <printOptions horizontalCentered="1"/>
  <pageMargins left="0.2" right="0.2" top="0.25" bottom="0.25" header="0.3" footer="0.3"/>
  <pageSetup paperSize="9" orientation="portrait" verticalDpi="300" r:id="rId1"/>
</worksheet>
</file>

<file path=xl/worksheets/sheet31.xml><?xml version="1.0" encoding="utf-8"?>
<worksheet xmlns="http://schemas.openxmlformats.org/spreadsheetml/2006/main" xmlns:r="http://schemas.openxmlformats.org/officeDocument/2006/relationships">
  <sheetPr filterMode="1">
    <tabColor rgb="FF00B050"/>
  </sheetPr>
  <dimension ref="A1:J293"/>
  <sheetViews>
    <sheetView view="pageBreakPreview" topLeftCell="A253" zoomScaleSheetLayoutView="100" workbookViewId="0">
      <selection activeCell="B253" sqref="B253"/>
    </sheetView>
  </sheetViews>
  <sheetFormatPr defaultColWidth="9.140625" defaultRowHeight="12.75"/>
  <cols>
    <col min="1" max="1" width="9.140625" style="1023"/>
    <col min="2" max="2" width="5.140625" style="1055" customWidth="1"/>
    <col min="3" max="3" width="45.5703125" style="1023" customWidth="1"/>
    <col min="4" max="4" width="9.140625" style="1023"/>
    <col min="5" max="5" width="4.7109375" style="1023" customWidth="1"/>
    <col min="6" max="6" width="3.28515625" style="1023" customWidth="1"/>
    <col min="7" max="7" width="5" style="1023" customWidth="1"/>
    <col min="8" max="8" width="9.5703125" style="1023" bestFit="1" customWidth="1"/>
    <col min="9" max="9" width="9.140625" style="1023"/>
    <col min="10" max="10" width="9.140625" style="1022"/>
    <col min="11" max="16384" width="9.140625" style="1023"/>
  </cols>
  <sheetData>
    <row r="1" spans="1:10" ht="18.75">
      <c r="A1" s="1666" t="s">
        <v>3503</v>
      </c>
      <c r="B1" s="1666"/>
      <c r="C1" s="1666"/>
      <c r="D1" s="1666"/>
      <c r="E1" s="1666"/>
      <c r="F1" s="1666"/>
      <c r="G1" s="1666"/>
      <c r="H1" s="1666"/>
      <c r="I1" s="1666"/>
    </row>
    <row r="2" spans="1:10" s="901" customFormat="1" ht="33.75" customHeight="1">
      <c r="A2" s="1676" t="str">
        <f>'lead 19-20'!B2&amp;'lead 19-20'!C2</f>
        <v>Name of the Work: Providing Additional Space for Health Staff in Grama Sachivalayam of Baduguleru GP of Kanigiri Mandal</v>
      </c>
      <c r="B2" s="1676"/>
      <c r="C2" s="1676"/>
      <c r="D2" s="1676"/>
      <c r="E2" s="1676"/>
      <c r="F2" s="1676"/>
      <c r="G2" s="1676"/>
      <c r="H2" s="1676"/>
      <c r="I2" s="1676"/>
    </row>
    <row r="3" spans="1:10" ht="32.25" customHeight="1">
      <c r="A3" s="1250" t="s">
        <v>321</v>
      </c>
      <c r="B3" s="1250" t="s">
        <v>23</v>
      </c>
      <c r="C3" s="1250" t="s">
        <v>322</v>
      </c>
      <c r="D3" s="1667" t="s">
        <v>6</v>
      </c>
      <c r="E3" s="1667"/>
      <c r="F3" s="1668" t="s">
        <v>383</v>
      </c>
      <c r="G3" s="1668"/>
      <c r="H3" s="1251" t="s">
        <v>323</v>
      </c>
      <c r="I3" s="1251" t="s">
        <v>324</v>
      </c>
    </row>
    <row r="4" spans="1:10" s="1022" customFormat="1" ht="18" customHeight="1">
      <c r="A4" s="1250">
        <v>1</v>
      </c>
      <c r="B4" s="1250">
        <v>2</v>
      </c>
      <c r="C4" s="1250">
        <v>3</v>
      </c>
      <c r="D4" s="1667">
        <v>4</v>
      </c>
      <c r="E4" s="1667"/>
      <c r="F4" s="1669">
        <v>5</v>
      </c>
      <c r="G4" s="1669"/>
      <c r="H4" s="1252">
        <v>6</v>
      </c>
      <c r="I4" s="1252">
        <v>7</v>
      </c>
    </row>
    <row r="5" spans="1:10" ht="33.75" hidden="1">
      <c r="A5" s="1029" t="s">
        <v>1495</v>
      </c>
      <c r="B5" s="1005">
        <v>1</v>
      </c>
      <c r="C5" s="1031" t="s">
        <v>1504</v>
      </c>
      <c r="D5" s="1032"/>
      <c r="E5" s="1033"/>
      <c r="F5" s="1032"/>
      <c r="G5" s="1033"/>
      <c r="H5" s="1034"/>
      <c r="I5" s="1034"/>
      <c r="J5" s="964" t="s">
        <v>2313</v>
      </c>
    </row>
    <row r="6" spans="1:10" hidden="1">
      <c r="A6" s="1024"/>
      <c r="B6" s="1005"/>
      <c r="C6" s="1031" t="s">
        <v>1496</v>
      </c>
      <c r="D6" s="1035"/>
      <c r="E6" s="1026"/>
      <c r="F6" s="1035"/>
      <c r="G6" s="1026"/>
      <c r="H6" s="1031"/>
      <c r="I6" s="1031"/>
      <c r="J6" s="964" t="s">
        <v>2313</v>
      </c>
    </row>
    <row r="7" spans="1:10" hidden="1">
      <c r="A7" s="1024"/>
      <c r="B7" s="1005"/>
      <c r="C7" s="1036" t="s">
        <v>384</v>
      </c>
      <c r="D7" s="1037"/>
      <c r="E7" s="1038"/>
      <c r="F7" s="1039"/>
      <c r="G7" s="1040"/>
      <c r="H7" s="1029"/>
      <c r="I7" s="1041"/>
      <c r="J7" s="964" t="s">
        <v>2313</v>
      </c>
    </row>
    <row r="8" spans="1:10" hidden="1">
      <c r="A8" s="1024"/>
      <c r="B8" s="1005"/>
      <c r="C8" s="1042" t="s">
        <v>156</v>
      </c>
      <c r="D8" s="1025">
        <v>2</v>
      </c>
      <c r="E8" s="1043" t="s">
        <v>27</v>
      </c>
      <c r="F8" s="1027">
        <v>1</v>
      </c>
      <c r="G8" s="1043" t="s">
        <v>27</v>
      </c>
      <c r="H8" s="1029">
        <f>'MINI SSR 2022-23 (2)'!$H$16</f>
        <v>700</v>
      </c>
      <c r="I8" s="1041">
        <f>SUM(D8*H8/F8)</f>
        <v>1400</v>
      </c>
      <c r="J8" s="964" t="s">
        <v>2313</v>
      </c>
    </row>
    <row r="9" spans="1:10" hidden="1">
      <c r="A9" s="1024"/>
      <c r="B9" s="1005"/>
      <c r="C9" s="1044" t="s">
        <v>1499</v>
      </c>
      <c r="D9" s="1025">
        <v>2</v>
      </c>
      <c r="E9" s="1043" t="s">
        <v>27</v>
      </c>
      <c r="F9" s="1027">
        <v>1</v>
      </c>
      <c r="G9" s="1043" t="s">
        <v>27</v>
      </c>
      <c r="H9" s="1029">
        <f>'MINI SSR 2022-23 (2)'!$H$17</f>
        <v>570</v>
      </c>
      <c r="I9" s="1041">
        <f>SUM(D9*H9/F9)</f>
        <v>1140</v>
      </c>
      <c r="J9" s="964" t="s">
        <v>2313</v>
      </c>
    </row>
    <row r="10" spans="1:10" hidden="1">
      <c r="A10" s="1024"/>
      <c r="B10" s="1005"/>
      <c r="C10" s="1042" t="s">
        <v>1500</v>
      </c>
      <c r="D10" s="1025">
        <v>2</v>
      </c>
      <c r="E10" s="1043" t="s">
        <v>27</v>
      </c>
      <c r="F10" s="1027">
        <v>1</v>
      </c>
      <c r="G10" s="1043" t="s">
        <v>27</v>
      </c>
      <c r="H10" s="1029">
        <f>'MINI SSR 2022-23 (2)'!$H$18</f>
        <v>505</v>
      </c>
      <c r="I10" s="1041">
        <f>SUM(D10*H10/F10)</f>
        <v>1010</v>
      </c>
      <c r="J10" s="964" t="s">
        <v>2313</v>
      </c>
    </row>
    <row r="11" spans="1:10" hidden="1">
      <c r="A11" s="1024"/>
      <c r="B11" s="1005"/>
      <c r="C11" s="1036" t="s">
        <v>327</v>
      </c>
      <c r="D11" s="1025"/>
      <c r="E11" s="1028"/>
      <c r="F11" s="1045"/>
      <c r="G11" s="1028"/>
      <c r="H11" s="1029"/>
      <c r="I11" s="1046"/>
      <c r="J11" s="964" t="s">
        <v>2313</v>
      </c>
    </row>
    <row r="12" spans="1:10" hidden="1">
      <c r="A12" s="1024" t="s">
        <v>1501</v>
      </c>
      <c r="B12" s="1005"/>
      <c r="C12" s="1031" t="s">
        <v>1497</v>
      </c>
      <c r="D12" s="1025">
        <v>12</v>
      </c>
      <c r="E12" s="1043" t="s">
        <v>325</v>
      </c>
      <c r="F12" s="1027">
        <v>1</v>
      </c>
      <c r="G12" s="1043" t="s">
        <v>115</v>
      </c>
      <c r="H12" s="1029">
        <f>'MINI SSR 2022-23 (2)'!C100</f>
        <v>26</v>
      </c>
      <c r="I12" s="1041">
        <f>SUM(D12*H12/F12)</f>
        <v>312</v>
      </c>
      <c r="J12" s="964" t="s">
        <v>2313</v>
      </c>
    </row>
    <row r="13" spans="1:10" hidden="1">
      <c r="A13" s="1024" t="s">
        <v>1502</v>
      </c>
      <c r="B13" s="1005"/>
      <c r="C13" s="1031" t="s">
        <v>1498</v>
      </c>
      <c r="D13" s="1025">
        <v>12</v>
      </c>
      <c r="E13" s="1043" t="s">
        <v>325</v>
      </c>
      <c r="F13" s="1027">
        <v>1</v>
      </c>
      <c r="G13" s="1043" t="s">
        <v>115</v>
      </c>
      <c r="H13" s="1029">
        <f>'MINI SSR 2022-23 (2)'!C101</f>
        <v>11</v>
      </c>
      <c r="I13" s="1041">
        <f>SUM(D13*H13/F13)</f>
        <v>132</v>
      </c>
      <c r="J13" s="964" t="s">
        <v>2313</v>
      </c>
    </row>
    <row r="14" spans="1:10" hidden="1">
      <c r="A14" s="1024" t="s">
        <v>1503</v>
      </c>
      <c r="B14" s="1005"/>
      <c r="C14" s="1031" t="s">
        <v>1507</v>
      </c>
      <c r="D14" s="1025">
        <v>100</v>
      </c>
      <c r="E14" s="1043" t="s">
        <v>385</v>
      </c>
      <c r="F14" s="1027">
        <v>1</v>
      </c>
      <c r="G14" s="1043" t="s">
        <v>385</v>
      </c>
      <c r="H14" s="1029">
        <f>'MINI SSR 2022-23 (2)'!C102</f>
        <v>34</v>
      </c>
      <c r="I14" s="1041">
        <f>SUM(D14*H14/F14)</f>
        <v>3400</v>
      </c>
      <c r="J14" s="964" t="s">
        <v>2313</v>
      </c>
    </row>
    <row r="15" spans="1:10" hidden="1">
      <c r="A15" s="1047"/>
      <c r="B15" s="1048"/>
      <c r="C15" s="1034" t="s">
        <v>386</v>
      </c>
      <c r="D15" s="1025"/>
      <c r="E15" s="1043"/>
      <c r="F15" s="1027"/>
      <c r="G15" s="1043"/>
      <c r="H15" s="1029"/>
      <c r="I15" s="1046">
        <f>SUM(I8:I14)</f>
        <v>7394</v>
      </c>
      <c r="J15" s="964" t="s">
        <v>2313</v>
      </c>
    </row>
    <row r="16" spans="1:10" hidden="1">
      <c r="A16" s="1047"/>
      <c r="B16" s="1048"/>
      <c r="C16" s="1034" t="s">
        <v>387</v>
      </c>
      <c r="D16" s="1049"/>
      <c r="E16" s="1043"/>
      <c r="F16" s="1027"/>
      <c r="G16" s="1043"/>
      <c r="H16" s="1050"/>
      <c r="I16" s="1046">
        <f>ROUND(I15/100,2)</f>
        <v>73.94</v>
      </c>
      <c r="J16" s="964" t="s">
        <v>2313</v>
      </c>
    </row>
    <row r="17" spans="1:10" s="1509" customFormat="1" ht="33.75">
      <c r="A17" s="1507" t="s">
        <v>1655</v>
      </c>
      <c r="B17" s="1502">
        <v>1</v>
      </c>
      <c r="C17" s="1510" t="s">
        <v>1508</v>
      </c>
      <c r="D17" s="1511"/>
      <c r="E17" s="1512"/>
      <c r="F17" s="1511"/>
      <c r="G17" s="1512"/>
      <c r="H17" s="1513"/>
      <c r="I17" s="1513"/>
      <c r="J17" s="1483" t="s">
        <v>2313</v>
      </c>
    </row>
    <row r="18" spans="1:10" s="1509" customFormat="1">
      <c r="A18" s="1501"/>
      <c r="B18" s="1502"/>
      <c r="C18" s="1510" t="s">
        <v>1496</v>
      </c>
      <c r="D18" s="1514"/>
      <c r="E18" s="1504"/>
      <c r="F18" s="1514"/>
      <c r="G18" s="1504"/>
      <c r="H18" s="1510"/>
      <c r="I18" s="1510"/>
      <c r="J18" s="1483" t="s">
        <v>2313</v>
      </c>
    </row>
    <row r="19" spans="1:10" s="1509" customFormat="1">
      <c r="A19" s="1501"/>
      <c r="B19" s="1502"/>
      <c r="C19" s="1515" t="s">
        <v>384</v>
      </c>
      <c r="D19" s="1516"/>
      <c r="E19" s="1517"/>
      <c r="F19" s="1518"/>
      <c r="G19" s="1519"/>
      <c r="H19" s="1507"/>
      <c r="I19" s="1520"/>
      <c r="J19" s="1483" t="s">
        <v>2313</v>
      </c>
    </row>
    <row r="20" spans="1:10" s="1509" customFormat="1">
      <c r="A20" s="1501"/>
      <c r="B20" s="1502"/>
      <c r="C20" s="1521" t="s">
        <v>156</v>
      </c>
      <c r="D20" s="1503">
        <v>2</v>
      </c>
      <c r="E20" s="1522" t="s">
        <v>27</v>
      </c>
      <c r="F20" s="1505">
        <v>1</v>
      </c>
      <c r="G20" s="1522" t="s">
        <v>27</v>
      </c>
      <c r="H20" s="1507">
        <f>'MINI SSR 2022-23 (2)'!$H$16</f>
        <v>700</v>
      </c>
      <c r="I20" s="1520">
        <f>SUM(D20*H20/F20)</f>
        <v>1400</v>
      </c>
      <c r="J20" s="1483" t="s">
        <v>2313</v>
      </c>
    </row>
    <row r="21" spans="1:10" s="1509" customFormat="1">
      <c r="A21" s="1501"/>
      <c r="B21" s="1502"/>
      <c r="C21" s="1523" t="s">
        <v>1499</v>
      </c>
      <c r="D21" s="1503">
        <v>2</v>
      </c>
      <c r="E21" s="1522" t="s">
        <v>27</v>
      </c>
      <c r="F21" s="1505">
        <v>1</v>
      </c>
      <c r="G21" s="1522" t="s">
        <v>27</v>
      </c>
      <c r="H21" s="1507">
        <f>'MINI SSR 2022-23 (2)'!$H$17</f>
        <v>570</v>
      </c>
      <c r="I21" s="1520">
        <f>SUM(D21*H21/F21)</f>
        <v>1140</v>
      </c>
      <c r="J21" s="1483" t="s">
        <v>2313</v>
      </c>
    </row>
    <row r="22" spans="1:10" s="1509" customFormat="1">
      <c r="A22" s="1501"/>
      <c r="B22" s="1502"/>
      <c r="C22" s="1521" t="s">
        <v>1500</v>
      </c>
      <c r="D22" s="1503">
        <v>2</v>
      </c>
      <c r="E22" s="1522" t="s">
        <v>27</v>
      </c>
      <c r="F22" s="1505">
        <v>1</v>
      </c>
      <c r="G22" s="1522" t="s">
        <v>27</v>
      </c>
      <c r="H22" s="1507">
        <f>'MINI SSR 2022-23 (2)'!$H$18</f>
        <v>505</v>
      </c>
      <c r="I22" s="1520">
        <f>SUM(D22*H22/F22)</f>
        <v>1010</v>
      </c>
      <c r="J22" s="1483" t="s">
        <v>2313</v>
      </c>
    </row>
    <row r="23" spans="1:10" s="1509" customFormat="1">
      <c r="A23" s="1501"/>
      <c r="B23" s="1502"/>
      <c r="C23" s="1521" t="s">
        <v>1506</v>
      </c>
      <c r="D23" s="1503">
        <v>2</v>
      </c>
      <c r="E23" s="1522" t="s">
        <v>27</v>
      </c>
      <c r="F23" s="1505">
        <v>1</v>
      </c>
      <c r="G23" s="1522" t="s">
        <v>27</v>
      </c>
      <c r="H23" s="1507">
        <f>'MINI SSR 2022-23 (2)'!$H$3</f>
        <v>630</v>
      </c>
      <c r="I23" s="1520">
        <f>SUM(D23*H23/F23)</f>
        <v>1260</v>
      </c>
      <c r="J23" s="1483" t="s">
        <v>2313</v>
      </c>
    </row>
    <row r="24" spans="1:10" s="1509" customFormat="1">
      <c r="A24" s="1501"/>
      <c r="B24" s="1502"/>
      <c r="C24" s="1515" t="s">
        <v>327</v>
      </c>
      <c r="D24" s="1503"/>
      <c r="E24" s="1506"/>
      <c r="F24" s="1524"/>
      <c r="G24" s="1506"/>
      <c r="H24" s="1507"/>
      <c r="I24" s="1525"/>
      <c r="J24" s="1483" t="s">
        <v>2313</v>
      </c>
    </row>
    <row r="25" spans="1:10" s="1509" customFormat="1">
      <c r="A25" s="1501" t="s">
        <v>1503</v>
      </c>
      <c r="B25" s="1502"/>
      <c r="C25" s="1553" t="s">
        <v>1507</v>
      </c>
      <c r="D25" s="1503">
        <v>100</v>
      </c>
      <c r="E25" s="1522" t="s">
        <v>325</v>
      </c>
      <c r="F25" s="1505">
        <v>1</v>
      </c>
      <c r="G25" s="1522" t="s">
        <v>115</v>
      </c>
      <c r="H25" s="1507">
        <f>'MINI SSR 2022-23 (2)'!C102</f>
        <v>34</v>
      </c>
      <c r="I25" s="1520">
        <f>SUM(D25*H25/F25)</f>
        <v>3400</v>
      </c>
      <c r="J25" s="1483" t="s">
        <v>2313</v>
      </c>
    </row>
    <row r="26" spans="1:10" s="1509" customFormat="1">
      <c r="A26" s="1501" t="s">
        <v>1509</v>
      </c>
      <c r="B26" s="1502"/>
      <c r="C26" s="1554" t="s">
        <v>1505</v>
      </c>
      <c r="D26" s="1503">
        <v>200</v>
      </c>
      <c r="E26" s="1522" t="s">
        <v>325</v>
      </c>
      <c r="F26" s="1505">
        <v>100</v>
      </c>
      <c r="G26" s="1522" t="s">
        <v>115</v>
      </c>
      <c r="H26" s="1507">
        <f>'MINI SSR 2022-23 (2)'!C103</f>
        <v>36</v>
      </c>
      <c r="I26" s="1520">
        <f>SUM(D26*H26/F26)</f>
        <v>72</v>
      </c>
      <c r="J26" s="1483" t="s">
        <v>2313</v>
      </c>
    </row>
    <row r="27" spans="1:10" s="1509" customFormat="1">
      <c r="A27" s="1501" t="s">
        <v>1501</v>
      </c>
      <c r="B27" s="1502"/>
      <c r="C27" s="1510" t="s">
        <v>1497</v>
      </c>
      <c r="D27" s="1503">
        <v>12</v>
      </c>
      <c r="E27" s="1522" t="s">
        <v>325</v>
      </c>
      <c r="F27" s="1505">
        <v>1</v>
      </c>
      <c r="G27" s="1522" t="s">
        <v>115</v>
      </c>
      <c r="H27" s="1507">
        <f>'MINI SSR 2022-23 (2)'!C100</f>
        <v>26</v>
      </c>
      <c r="I27" s="1520">
        <f>SUM(D27*H27/F27)</f>
        <v>312</v>
      </c>
      <c r="J27" s="1483" t="s">
        <v>2313</v>
      </c>
    </row>
    <row r="28" spans="1:10" s="1509" customFormat="1">
      <c r="A28" s="1501" t="s">
        <v>1502</v>
      </c>
      <c r="B28" s="1502"/>
      <c r="C28" s="1510" t="s">
        <v>1498</v>
      </c>
      <c r="D28" s="1503">
        <v>12</v>
      </c>
      <c r="E28" s="1522" t="s">
        <v>325</v>
      </c>
      <c r="F28" s="1505">
        <v>1</v>
      </c>
      <c r="G28" s="1522" t="s">
        <v>115</v>
      </c>
      <c r="H28" s="1507">
        <f>'MINI SSR 2022-23 (2)'!C101</f>
        <v>11</v>
      </c>
      <c r="I28" s="1520">
        <f>SUM(D28*H28/F28)</f>
        <v>132</v>
      </c>
      <c r="J28" s="1483" t="s">
        <v>2313</v>
      </c>
    </row>
    <row r="29" spans="1:10" s="1509" customFormat="1">
      <c r="A29" s="1501"/>
      <c r="B29" s="1502"/>
      <c r="C29" s="1553" t="s">
        <v>847</v>
      </c>
      <c r="D29" s="1503">
        <v>50</v>
      </c>
      <c r="E29" s="1522" t="s">
        <v>4</v>
      </c>
      <c r="F29" s="1505">
        <v>1</v>
      </c>
      <c r="G29" s="1522" t="s">
        <v>4</v>
      </c>
      <c r="H29" s="1507">
        <f>'lead 22-23 P-B'!L8/1000</f>
        <v>4.7</v>
      </c>
      <c r="I29" s="1520">
        <f>SUM(D29*H29/F29)</f>
        <v>235</v>
      </c>
      <c r="J29" s="1483" t="s">
        <v>2313</v>
      </c>
    </row>
    <row r="30" spans="1:10" s="1509" customFormat="1">
      <c r="A30" s="1526"/>
      <c r="B30" s="1527"/>
      <c r="C30" s="1513" t="s">
        <v>386</v>
      </c>
      <c r="D30" s="1503"/>
      <c r="E30" s="1522"/>
      <c r="F30" s="1505"/>
      <c r="G30" s="1522"/>
      <c r="H30" s="1507"/>
      <c r="I30" s="1525">
        <f>SUM(I20:I29)</f>
        <v>8961</v>
      </c>
      <c r="J30" s="1483" t="s">
        <v>2313</v>
      </c>
    </row>
    <row r="31" spans="1:10" s="1509" customFormat="1">
      <c r="A31" s="1526"/>
      <c r="B31" s="1527"/>
      <c r="C31" s="1513" t="s">
        <v>387</v>
      </c>
      <c r="D31" s="1528"/>
      <c r="E31" s="1522"/>
      <c r="F31" s="1505"/>
      <c r="G31" s="1522"/>
      <c r="H31" s="1529"/>
      <c r="I31" s="1525">
        <f>ROUND(I30/100,2)</f>
        <v>89.61</v>
      </c>
      <c r="J31" s="1483" t="s">
        <v>2313</v>
      </c>
    </row>
    <row r="32" spans="1:10" hidden="1">
      <c r="A32" s="1047"/>
      <c r="B32" s="1048"/>
      <c r="C32" s="1036"/>
      <c r="D32" s="1058"/>
      <c r="E32" s="1059"/>
      <c r="F32" s="1058"/>
      <c r="G32" s="1059"/>
      <c r="H32" s="1060"/>
      <c r="I32" s="1060"/>
      <c r="J32" s="964" t="s">
        <v>2313</v>
      </c>
    </row>
    <row r="33" spans="1:10" hidden="1">
      <c r="A33" s="1047"/>
      <c r="B33" s="1048">
        <v>3</v>
      </c>
      <c r="C33" s="1031" t="s">
        <v>389</v>
      </c>
      <c r="D33" s="1032"/>
      <c r="E33" s="1033"/>
      <c r="F33" s="1032"/>
      <c r="G33" s="1033"/>
      <c r="H33" s="1034"/>
      <c r="I33" s="1034"/>
      <c r="J33" s="964" t="s">
        <v>2313</v>
      </c>
    </row>
    <row r="34" spans="1:10" hidden="1">
      <c r="A34" s="1047"/>
      <c r="B34" s="1048"/>
      <c r="C34" s="1042" t="s">
        <v>390</v>
      </c>
      <c r="D34" s="1025">
        <v>1</v>
      </c>
      <c r="E34" s="1043" t="s">
        <v>277</v>
      </c>
      <c r="F34" s="1027">
        <v>1</v>
      </c>
      <c r="G34" s="1043" t="s">
        <v>277</v>
      </c>
      <c r="H34" s="1029">
        <f>'MINI SSR 2022-23 (2)'!C104</f>
        <v>64</v>
      </c>
      <c r="I34" s="1041">
        <f>SUM(D34*H34/F34)</f>
        <v>64</v>
      </c>
      <c r="J34" s="964" t="s">
        <v>2313</v>
      </c>
    </row>
    <row r="35" spans="1:10" hidden="1">
      <c r="A35" s="1047"/>
      <c r="B35" s="1048"/>
      <c r="C35" s="1044"/>
      <c r="D35" s="1025"/>
      <c r="E35" s="1043"/>
      <c r="F35" s="1027"/>
      <c r="G35" s="1043"/>
      <c r="H35" s="1029"/>
      <c r="I35" s="1041">
        <f>SUM(I34)</f>
        <v>64</v>
      </c>
      <c r="J35" s="964" t="s">
        <v>2313</v>
      </c>
    </row>
    <row r="36" spans="1:10" s="1509" customFormat="1" ht="22.5">
      <c r="A36" s="1526"/>
      <c r="B36" s="1527">
        <v>2</v>
      </c>
      <c r="C36" s="1510" t="s">
        <v>427</v>
      </c>
      <c r="D36" s="1511"/>
      <c r="E36" s="1512"/>
      <c r="F36" s="1511"/>
      <c r="G36" s="1512"/>
      <c r="H36" s="1513"/>
      <c r="I36" s="1513"/>
      <c r="J36" s="1483" t="s">
        <v>2313</v>
      </c>
    </row>
    <row r="37" spans="1:10" s="1509" customFormat="1">
      <c r="A37" s="1526"/>
      <c r="B37" s="1527"/>
      <c r="C37" s="1521" t="s">
        <v>433</v>
      </c>
      <c r="D37" s="1503">
        <v>1</v>
      </c>
      <c r="E37" s="1522" t="s">
        <v>325</v>
      </c>
      <c r="F37" s="1505">
        <v>1</v>
      </c>
      <c r="G37" s="1522" t="s">
        <v>325</v>
      </c>
      <c r="H37" s="1507">
        <f>'MINI SSR 2022-23 (2)'!C106</f>
        <v>245</v>
      </c>
      <c r="I37" s="1520">
        <f>SUM(D37*H37/F37)</f>
        <v>245</v>
      </c>
      <c r="J37" s="1483" t="s">
        <v>2313</v>
      </c>
    </row>
    <row r="38" spans="1:10" s="1509" customFormat="1">
      <c r="A38" s="1526"/>
      <c r="B38" s="1527"/>
      <c r="C38" s="1523"/>
      <c r="D38" s="1503"/>
      <c r="E38" s="1522"/>
      <c r="F38" s="1505"/>
      <c r="G38" s="1522"/>
      <c r="H38" s="1507"/>
      <c r="I38" s="1520">
        <f>SUM(I37)</f>
        <v>245</v>
      </c>
      <c r="J38" s="1483" t="s">
        <v>2313</v>
      </c>
    </row>
    <row r="39" spans="1:10" s="1509" customFormat="1" ht="22.5">
      <c r="A39" s="1526"/>
      <c r="B39" s="1527">
        <v>3</v>
      </c>
      <c r="C39" s="1510" t="s">
        <v>610</v>
      </c>
      <c r="D39" s="1511"/>
      <c r="E39" s="1512"/>
      <c r="F39" s="1511"/>
      <c r="G39" s="1512"/>
      <c r="H39" s="1513"/>
      <c r="I39" s="1513"/>
      <c r="J39" s="1483" t="s">
        <v>2313</v>
      </c>
    </row>
    <row r="40" spans="1:10" s="1509" customFormat="1">
      <c r="A40" s="1526"/>
      <c r="B40" s="1527"/>
      <c r="C40" s="1521" t="s">
        <v>611</v>
      </c>
      <c r="D40" s="1503">
        <v>1</v>
      </c>
      <c r="E40" s="1522" t="s">
        <v>325</v>
      </c>
      <c r="F40" s="1505">
        <v>1</v>
      </c>
      <c r="G40" s="1522" t="s">
        <v>325</v>
      </c>
      <c r="H40" s="1507">
        <f>'MINI SSR 2022-23 (2)'!C107</f>
        <v>203</v>
      </c>
      <c r="I40" s="1520">
        <f>SUM(D40*H40/F40)</f>
        <v>203</v>
      </c>
      <c r="J40" s="1483" t="s">
        <v>2313</v>
      </c>
    </row>
    <row r="41" spans="1:10" s="1509" customFormat="1">
      <c r="A41" s="1526"/>
      <c r="B41" s="1527"/>
      <c r="C41" s="1523"/>
      <c r="D41" s="1503"/>
      <c r="E41" s="1522"/>
      <c r="F41" s="1505"/>
      <c r="G41" s="1522"/>
      <c r="H41" s="1507"/>
      <c r="I41" s="1520">
        <f>SUM(I40)</f>
        <v>203</v>
      </c>
      <c r="J41" s="1483" t="s">
        <v>2313</v>
      </c>
    </row>
    <row r="42" spans="1:10" ht="22.5" hidden="1">
      <c r="A42" s="1047"/>
      <c r="B42" s="1048">
        <v>4</v>
      </c>
      <c r="C42" s="1031" t="s">
        <v>690</v>
      </c>
      <c r="D42" s="1032"/>
      <c r="E42" s="1033"/>
      <c r="F42" s="1032"/>
      <c r="G42" s="1033"/>
      <c r="H42" s="1034"/>
      <c r="I42" s="1034"/>
      <c r="J42" s="964" t="s">
        <v>2313</v>
      </c>
    </row>
    <row r="43" spans="1:10" hidden="1">
      <c r="A43" s="1047"/>
      <c r="B43" s="1048"/>
      <c r="C43" s="1042" t="s">
        <v>691</v>
      </c>
      <c r="D43" s="1025">
        <v>1</v>
      </c>
      <c r="E43" s="1043" t="s">
        <v>325</v>
      </c>
      <c r="F43" s="1027">
        <v>1</v>
      </c>
      <c r="G43" s="1043" t="s">
        <v>325</v>
      </c>
      <c r="H43" s="1029">
        <f>'MINI SSR 2022-23 (2)'!C108</f>
        <v>155</v>
      </c>
      <c r="I43" s="1041">
        <f>SUM(D43*H43/F43)</f>
        <v>155</v>
      </c>
      <c r="J43" s="964" t="s">
        <v>2313</v>
      </c>
    </row>
    <row r="44" spans="1:10" hidden="1">
      <c r="A44" s="1047"/>
      <c r="B44" s="1048"/>
      <c r="C44" s="1044"/>
      <c r="D44" s="1025"/>
      <c r="E44" s="1043"/>
      <c r="F44" s="1027"/>
      <c r="G44" s="1043"/>
      <c r="H44" s="1029"/>
      <c r="I44" s="1041">
        <f>SUM(I43)</f>
        <v>155</v>
      </c>
      <c r="J44" s="964" t="s">
        <v>2313</v>
      </c>
    </row>
    <row r="45" spans="1:10" ht="22.5" hidden="1">
      <c r="A45" s="1047"/>
      <c r="B45" s="1048">
        <v>5</v>
      </c>
      <c r="C45" s="1031" t="s">
        <v>790</v>
      </c>
      <c r="D45" s="1032"/>
      <c r="E45" s="1033"/>
      <c r="F45" s="1032"/>
      <c r="G45" s="1033"/>
      <c r="H45" s="1034"/>
      <c r="I45" s="1034"/>
      <c r="J45" s="964" t="s">
        <v>2313</v>
      </c>
    </row>
    <row r="46" spans="1:10" hidden="1">
      <c r="A46" s="1047"/>
      <c r="B46" s="1048"/>
      <c r="C46" s="1042" t="s">
        <v>791</v>
      </c>
      <c r="D46" s="1025">
        <v>1</v>
      </c>
      <c r="E46" s="1043" t="s">
        <v>325</v>
      </c>
      <c r="F46" s="1027">
        <v>1</v>
      </c>
      <c r="G46" s="1043" t="s">
        <v>325</v>
      </c>
      <c r="H46" s="1029">
        <f>'MINI SSR 2022-23 (2)'!C109</f>
        <v>114</v>
      </c>
      <c r="I46" s="1041">
        <f>SUM(D46*H46/F46)</f>
        <v>114</v>
      </c>
      <c r="J46" s="964" t="s">
        <v>2313</v>
      </c>
    </row>
    <row r="47" spans="1:10" hidden="1">
      <c r="A47" s="1047"/>
      <c r="B47" s="1048"/>
      <c r="C47" s="1044"/>
      <c r="D47" s="1025"/>
      <c r="E47" s="1043"/>
      <c r="F47" s="1027"/>
      <c r="G47" s="1043"/>
      <c r="H47" s="1029"/>
      <c r="I47" s="1041">
        <f>SUM(I46)</f>
        <v>114</v>
      </c>
      <c r="J47" s="964" t="s">
        <v>2313</v>
      </c>
    </row>
    <row r="48" spans="1:10" ht="22.5" hidden="1">
      <c r="A48" s="1047"/>
      <c r="B48" s="1048">
        <v>8</v>
      </c>
      <c r="C48" s="1031" t="s">
        <v>612</v>
      </c>
      <c r="D48" s="1032"/>
      <c r="E48" s="1033"/>
      <c r="F48" s="1032"/>
      <c r="G48" s="1033"/>
      <c r="H48" s="1034"/>
      <c r="I48" s="1034"/>
      <c r="J48" s="964" t="s">
        <v>2313</v>
      </c>
    </row>
    <row r="49" spans="1:10" hidden="1">
      <c r="A49" s="1047"/>
      <c r="B49" s="1048"/>
      <c r="C49" s="1042" t="s">
        <v>614</v>
      </c>
      <c r="D49" s="1025">
        <v>1</v>
      </c>
      <c r="E49" s="1043" t="s">
        <v>325</v>
      </c>
      <c r="F49" s="1027">
        <v>1</v>
      </c>
      <c r="G49" s="1043" t="s">
        <v>325</v>
      </c>
      <c r="H49" s="1029">
        <f>H37</f>
        <v>245</v>
      </c>
      <c r="I49" s="1041">
        <f>SUM(D49*H49/F49)</f>
        <v>245</v>
      </c>
      <c r="J49" s="964" t="s">
        <v>2313</v>
      </c>
    </row>
    <row r="50" spans="1:10" hidden="1">
      <c r="A50" s="1047"/>
      <c r="B50" s="1048"/>
      <c r="C50" s="1042" t="s">
        <v>613</v>
      </c>
      <c r="D50" s="1025">
        <v>1</v>
      </c>
      <c r="E50" s="1043" t="s">
        <v>325</v>
      </c>
      <c r="F50" s="1027">
        <v>1</v>
      </c>
      <c r="G50" s="1043" t="s">
        <v>325</v>
      </c>
      <c r="H50" s="1029">
        <f>H43</f>
        <v>155</v>
      </c>
      <c r="I50" s="1041">
        <f>SUM(D50*H50/F50)</f>
        <v>155</v>
      </c>
      <c r="J50" s="964" t="s">
        <v>2313</v>
      </c>
    </row>
    <row r="51" spans="1:10" hidden="1">
      <c r="A51" s="1047"/>
      <c r="B51" s="1048"/>
      <c r="C51" s="1044"/>
      <c r="D51" s="1025"/>
      <c r="E51" s="1043"/>
      <c r="F51" s="1027"/>
      <c r="G51" s="1043"/>
      <c r="H51" s="1029"/>
      <c r="I51" s="1041">
        <f>SUM(I49:I50)</f>
        <v>400</v>
      </c>
      <c r="J51" s="964" t="s">
        <v>2313</v>
      </c>
    </row>
    <row r="52" spans="1:10" s="1509" customFormat="1" ht="22.5">
      <c r="A52" s="1526"/>
      <c r="B52" s="1527">
        <v>4</v>
      </c>
      <c r="C52" s="1510" t="s">
        <v>1510</v>
      </c>
      <c r="D52" s="1511"/>
      <c r="E52" s="1512"/>
      <c r="F52" s="1511"/>
      <c r="G52" s="1512"/>
      <c r="H52" s="1513"/>
      <c r="I52" s="1513"/>
      <c r="J52" s="1483" t="s">
        <v>2313</v>
      </c>
    </row>
    <row r="53" spans="1:10" s="1509" customFormat="1">
      <c r="A53" s="1526"/>
      <c r="B53" s="1527"/>
      <c r="C53" s="1521" t="s">
        <v>614</v>
      </c>
      <c r="D53" s="1503">
        <v>1</v>
      </c>
      <c r="E53" s="1522" t="s">
        <v>325</v>
      </c>
      <c r="F53" s="1505">
        <v>1</v>
      </c>
      <c r="G53" s="1522" t="s">
        <v>325</v>
      </c>
      <c r="H53" s="1507">
        <f>H37</f>
        <v>245</v>
      </c>
      <c r="I53" s="1520">
        <f>SUM(D53*H53/F53)</f>
        <v>245</v>
      </c>
      <c r="J53" s="1483" t="s">
        <v>2313</v>
      </c>
    </row>
    <row r="54" spans="1:10" s="1509" customFormat="1">
      <c r="A54" s="1526"/>
      <c r="B54" s="1527"/>
      <c r="C54" s="1521" t="s">
        <v>1511</v>
      </c>
      <c r="D54" s="1503">
        <v>1</v>
      </c>
      <c r="E54" s="1522" t="s">
        <v>325</v>
      </c>
      <c r="F54" s="1505">
        <v>1</v>
      </c>
      <c r="G54" s="1522" t="s">
        <v>325</v>
      </c>
      <c r="H54" s="1507">
        <f>'MINI SSR 2022-23 (2)'!C109</f>
        <v>114</v>
      </c>
      <c r="I54" s="1520">
        <f>SUM(D54*H54/F54)</f>
        <v>114</v>
      </c>
      <c r="J54" s="1483" t="s">
        <v>2313</v>
      </c>
    </row>
    <row r="55" spans="1:10" s="1509" customFormat="1">
      <c r="A55" s="1526"/>
      <c r="B55" s="1527"/>
      <c r="C55" s="1523"/>
      <c r="D55" s="1503"/>
      <c r="E55" s="1522"/>
      <c r="F55" s="1505"/>
      <c r="G55" s="1522"/>
      <c r="H55" s="1507"/>
      <c r="I55" s="1520">
        <f>SUM(I53:I54)</f>
        <v>359</v>
      </c>
      <c r="J55" s="1483" t="s">
        <v>2313</v>
      </c>
    </row>
    <row r="56" spans="1:10" ht="22.5" hidden="1">
      <c r="A56" s="1047"/>
      <c r="B56" s="1048">
        <v>5</v>
      </c>
      <c r="C56" s="1031" t="s">
        <v>428</v>
      </c>
      <c r="D56" s="1032"/>
      <c r="E56" s="1033"/>
      <c r="F56" s="1032"/>
      <c r="G56" s="1033"/>
      <c r="H56" s="1034"/>
      <c r="I56" s="1034"/>
      <c r="J56" s="964" t="s">
        <v>2313</v>
      </c>
    </row>
    <row r="57" spans="1:10" hidden="1">
      <c r="A57" s="1047"/>
      <c r="B57" s="1048"/>
      <c r="C57" s="1042" t="s">
        <v>434</v>
      </c>
      <c r="D57" s="1025">
        <v>1</v>
      </c>
      <c r="E57" s="1043" t="s">
        <v>325</v>
      </c>
      <c r="F57" s="1027">
        <v>1</v>
      </c>
      <c r="G57" s="1043" t="s">
        <v>325</v>
      </c>
      <c r="H57" s="1029">
        <f>'MINI SSR 2022-23 (2)'!C112</f>
        <v>68</v>
      </c>
      <c r="I57" s="1041">
        <f>SUM(D57*H57/F57)</f>
        <v>68</v>
      </c>
      <c r="J57" s="964" t="s">
        <v>2313</v>
      </c>
    </row>
    <row r="58" spans="1:10" hidden="1">
      <c r="A58" s="1047"/>
      <c r="B58" s="1048"/>
      <c r="C58" s="1044"/>
      <c r="D58" s="1025"/>
      <c r="E58" s="1043"/>
      <c r="F58" s="1027"/>
      <c r="G58" s="1043"/>
      <c r="H58" s="1029"/>
      <c r="I58" s="1041">
        <f>SUM(I57)</f>
        <v>68</v>
      </c>
      <c r="J58" s="964" t="s">
        <v>2313</v>
      </c>
    </row>
    <row r="59" spans="1:10" s="1509" customFormat="1">
      <c r="A59" s="1526"/>
      <c r="B59" s="1527">
        <v>5</v>
      </c>
      <c r="C59" s="1510" t="s">
        <v>437</v>
      </c>
      <c r="D59" s="1511"/>
      <c r="E59" s="1512"/>
      <c r="F59" s="1511"/>
      <c r="G59" s="1512"/>
      <c r="H59" s="1513"/>
      <c r="I59" s="1513"/>
      <c r="J59" s="1483" t="s">
        <v>2313</v>
      </c>
    </row>
    <row r="60" spans="1:10" s="1509" customFormat="1">
      <c r="A60" s="1526"/>
      <c r="B60" s="1527"/>
      <c r="C60" s="1521" t="s">
        <v>438</v>
      </c>
      <c r="D60" s="1503">
        <v>1</v>
      </c>
      <c r="E60" s="1522" t="s">
        <v>325</v>
      </c>
      <c r="F60" s="1505">
        <v>1</v>
      </c>
      <c r="G60" s="1522" t="s">
        <v>325</v>
      </c>
      <c r="H60" s="1507">
        <f>'MINI SSR 2022-23 (2)'!E106</f>
        <v>209</v>
      </c>
      <c r="I60" s="1520">
        <f>SUM(D60*H60/F60)</f>
        <v>209</v>
      </c>
      <c r="J60" s="1483" t="s">
        <v>2313</v>
      </c>
    </row>
    <row r="61" spans="1:10" s="1509" customFormat="1">
      <c r="A61" s="1526"/>
      <c r="B61" s="1527"/>
      <c r="C61" s="1523"/>
      <c r="D61" s="1503"/>
      <c r="E61" s="1522"/>
      <c r="F61" s="1505"/>
      <c r="G61" s="1522"/>
      <c r="H61" s="1507"/>
      <c r="I61" s="1520">
        <f>SUM(I60)</f>
        <v>209</v>
      </c>
      <c r="J61" s="1483" t="s">
        <v>2313</v>
      </c>
    </row>
    <row r="62" spans="1:10" s="1509" customFormat="1">
      <c r="A62" s="1526"/>
      <c r="B62" s="1527">
        <v>6</v>
      </c>
      <c r="C62" s="1510" t="s">
        <v>615</v>
      </c>
      <c r="D62" s="1511"/>
      <c r="E62" s="1512"/>
      <c r="F62" s="1511"/>
      <c r="G62" s="1512"/>
      <c r="H62" s="1513"/>
      <c r="I62" s="1513"/>
      <c r="J62" s="1483" t="s">
        <v>2313</v>
      </c>
    </row>
    <row r="63" spans="1:10" s="1509" customFormat="1">
      <c r="A63" s="1526"/>
      <c r="B63" s="1527"/>
      <c r="C63" s="1521" t="s">
        <v>616</v>
      </c>
      <c r="D63" s="1503">
        <v>1</v>
      </c>
      <c r="E63" s="1522" t="s">
        <v>325</v>
      </c>
      <c r="F63" s="1505">
        <v>1</v>
      </c>
      <c r="G63" s="1522" t="s">
        <v>325</v>
      </c>
      <c r="H63" s="1507">
        <f>'MINI SSR 2022-23 (2)'!E107</f>
        <v>171</v>
      </c>
      <c r="I63" s="1520">
        <f>SUM(D63*H63/F63)</f>
        <v>171</v>
      </c>
      <c r="J63" s="1483" t="s">
        <v>2313</v>
      </c>
    </row>
    <row r="64" spans="1:10" s="1509" customFormat="1">
      <c r="A64" s="1526"/>
      <c r="B64" s="1527"/>
      <c r="C64" s="1523"/>
      <c r="D64" s="1503"/>
      <c r="E64" s="1522"/>
      <c r="F64" s="1505"/>
      <c r="G64" s="1522"/>
      <c r="H64" s="1507"/>
      <c r="I64" s="1520">
        <f>SUM(I63)</f>
        <v>171</v>
      </c>
      <c r="J64" s="1483" t="s">
        <v>2313</v>
      </c>
    </row>
    <row r="65" spans="1:10" hidden="1">
      <c r="A65" s="1047"/>
      <c r="B65" s="1048">
        <v>8</v>
      </c>
      <c r="C65" s="1031" t="s">
        <v>694</v>
      </c>
      <c r="D65" s="1032"/>
      <c r="E65" s="1033"/>
      <c r="F65" s="1032"/>
      <c r="G65" s="1033"/>
      <c r="H65" s="1034"/>
      <c r="I65" s="1034"/>
      <c r="J65" s="964" t="s">
        <v>2313</v>
      </c>
    </row>
    <row r="66" spans="1:10" hidden="1">
      <c r="A66" s="1047"/>
      <c r="B66" s="1048"/>
      <c r="C66" s="1042" t="s">
        <v>619</v>
      </c>
      <c r="D66" s="1025">
        <v>1</v>
      </c>
      <c r="E66" s="1043" t="s">
        <v>325</v>
      </c>
      <c r="F66" s="1027">
        <v>1</v>
      </c>
      <c r="G66" s="1043" t="s">
        <v>325</v>
      </c>
      <c r="H66" s="1029">
        <f>'MINI SSR 2022-23 (2)'!E108</f>
        <v>132</v>
      </c>
      <c r="I66" s="1041">
        <f>SUM(D66*H66/F66)</f>
        <v>132</v>
      </c>
      <c r="J66" s="964" t="s">
        <v>2313</v>
      </c>
    </row>
    <row r="67" spans="1:10" hidden="1">
      <c r="A67" s="1047"/>
      <c r="B67" s="1048"/>
      <c r="C67" s="1044"/>
      <c r="D67" s="1025"/>
      <c r="E67" s="1043"/>
      <c r="F67" s="1027"/>
      <c r="G67" s="1043"/>
      <c r="H67" s="1029"/>
      <c r="I67" s="1041">
        <f>SUM(I66)</f>
        <v>132</v>
      </c>
      <c r="J67" s="964" t="s">
        <v>2313</v>
      </c>
    </row>
    <row r="68" spans="1:10" hidden="1">
      <c r="A68" s="1047"/>
      <c r="B68" s="1048">
        <v>9</v>
      </c>
      <c r="C68" s="1031" t="s">
        <v>792</v>
      </c>
      <c r="D68" s="1032"/>
      <c r="E68" s="1033"/>
      <c r="F68" s="1032"/>
      <c r="G68" s="1033"/>
      <c r="H68" s="1034"/>
      <c r="I68" s="1034"/>
      <c r="J68" s="964" t="s">
        <v>2313</v>
      </c>
    </row>
    <row r="69" spans="1:10" hidden="1">
      <c r="A69" s="1047"/>
      <c r="B69" s="1048"/>
      <c r="C69" s="1042" t="s">
        <v>793</v>
      </c>
      <c r="D69" s="1025">
        <v>1</v>
      </c>
      <c r="E69" s="1043" t="s">
        <v>325</v>
      </c>
      <c r="F69" s="1027">
        <v>1</v>
      </c>
      <c r="G69" s="1043" t="s">
        <v>325</v>
      </c>
      <c r="H69" s="1029">
        <f>'MINI SSR 2022-23 (2)'!$E$109</f>
        <v>88</v>
      </c>
      <c r="I69" s="1041">
        <f>SUM(D69*H69/F69)</f>
        <v>88</v>
      </c>
      <c r="J69" s="964" t="s">
        <v>2313</v>
      </c>
    </row>
    <row r="70" spans="1:10" hidden="1">
      <c r="A70" s="1047"/>
      <c r="B70" s="1048"/>
      <c r="C70" s="1044"/>
      <c r="D70" s="1025"/>
      <c r="E70" s="1043"/>
      <c r="F70" s="1027"/>
      <c r="G70" s="1043"/>
      <c r="H70" s="1029"/>
      <c r="I70" s="1041">
        <f>SUM(I69)</f>
        <v>88</v>
      </c>
      <c r="J70" s="964" t="s">
        <v>2313</v>
      </c>
    </row>
    <row r="71" spans="1:10" s="1509" customFormat="1">
      <c r="A71" s="1526"/>
      <c r="B71" s="1527">
        <v>7</v>
      </c>
      <c r="C71" s="1510" t="s">
        <v>3982</v>
      </c>
      <c r="D71" s="1511"/>
      <c r="E71" s="1512"/>
      <c r="F71" s="1511"/>
      <c r="G71" s="1512"/>
      <c r="H71" s="1513"/>
      <c r="I71" s="1513"/>
      <c r="J71" s="1483" t="s">
        <v>2313</v>
      </c>
    </row>
    <row r="72" spans="1:10" s="1509" customFormat="1">
      <c r="A72" s="1526"/>
      <c r="B72" s="1527"/>
      <c r="C72" s="1521" t="s">
        <v>618</v>
      </c>
      <c r="D72" s="1503">
        <v>1</v>
      </c>
      <c r="E72" s="1522" t="s">
        <v>325</v>
      </c>
      <c r="F72" s="1505">
        <v>1</v>
      </c>
      <c r="G72" s="1522" t="s">
        <v>325</v>
      </c>
      <c r="H72" s="1507">
        <f>'MINI SSR 2022-23 (2)'!E106</f>
        <v>209</v>
      </c>
      <c r="I72" s="1520">
        <f>SUM(D72*H72/F72)</f>
        <v>209</v>
      </c>
      <c r="J72" s="1483" t="s">
        <v>2313</v>
      </c>
    </row>
    <row r="73" spans="1:10" s="1509" customFormat="1">
      <c r="A73" s="1526"/>
      <c r="B73" s="1527"/>
      <c r="C73" s="1521" t="s">
        <v>793</v>
      </c>
      <c r="D73" s="1503">
        <v>1</v>
      </c>
      <c r="E73" s="1522" t="s">
        <v>325</v>
      </c>
      <c r="F73" s="1505">
        <v>1</v>
      </c>
      <c r="G73" s="1522" t="s">
        <v>325</v>
      </c>
      <c r="H73" s="1507">
        <f>'MINI SSR 2022-23 (2)'!$E$109</f>
        <v>88</v>
      </c>
      <c r="I73" s="1520">
        <f>SUM(D73*H73/F73)</f>
        <v>88</v>
      </c>
      <c r="J73" s="1483" t="s">
        <v>2313</v>
      </c>
    </row>
    <row r="74" spans="1:10" s="1509" customFormat="1">
      <c r="A74" s="1526"/>
      <c r="B74" s="1527"/>
      <c r="C74" s="1523"/>
      <c r="D74" s="1503"/>
      <c r="E74" s="1522"/>
      <c r="F74" s="1505"/>
      <c r="G74" s="1522"/>
      <c r="H74" s="1507"/>
      <c r="I74" s="1520">
        <f>SUM(I72:I73)</f>
        <v>297</v>
      </c>
      <c r="J74" s="1483" t="s">
        <v>2313</v>
      </c>
    </row>
    <row r="75" spans="1:10" hidden="1">
      <c r="A75" s="1047"/>
      <c r="B75" s="1048">
        <v>10</v>
      </c>
      <c r="C75" s="1031" t="s">
        <v>439</v>
      </c>
      <c r="D75" s="1032"/>
      <c r="E75" s="1033"/>
      <c r="F75" s="1032"/>
      <c r="G75" s="1033"/>
      <c r="H75" s="1034"/>
      <c r="I75" s="1034"/>
      <c r="J75" s="964" t="s">
        <v>2313</v>
      </c>
    </row>
    <row r="76" spans="1:10" hidden="1">
      <c r="A76" s="1047"/>
      <c r="B76" s="1048"/>
      <c r="C76" s="1042" t="s">
        <v>440</v>
      </c>
      <c r="D76" s="1025">
        <v>1</v>
      </c>
      <c r="E76" s="1043" t="s">
        <v>325</v>
      </c>
      <c r="F76" s="1027">
        <v>1</v>
      </c>
      <c r="G76" s="1043" t="s">
        <v>325</v>
      </c>
      <c r="H76" s="1029">
        <f>'MINI SSR 2022-23 (2)'!E112</f>
        <v>66</v>
      </c>
      <c r="I76" s="1041">
        <f>SUM(D76*H76/F76)</f>
        <v>66</v>
      </c>
      <c r="J76" s="964" t="s">
        <v>2313</v>
      </c>
    </row>
    <row r="77" spans="1:10" hidden="1">
      <c r="A77" s="1047"/>
      <c r="B77" s="1048"/>
      <c r="C77" s="1044"/>
      <c r="D77" s="1025"/>
      <c r="E77" s="1043"/>
      <c r="F77" s="1027"/>
      <c r="G77" s="1043"/>
      <c r="H77" s="1029"/>
      <c r="I77" s="1041">
        <f>SUM(I76)</f>
        <v>66</v>
      </c>
      <c r="J77" s="964" t="s">
        <v>2313</v>
      </c>
    </row>
    <row r="78" spans="1:10" hidden="1">
      <c r="A78" s="1047"/>
      <c r="B78" s="1048"/>
      <c r="C78" s="1047"/>
      <c r="D78" s="1058"/>
      <c r="E78" s="1059"/>
      <c r="F78" s="1058"/>
      <c r="G78" s="1059"/>
      <c r="H78" s="1047"/>
      <c r="I78" s="1047"/>
      <c r="J78" s="964" t="s">
        <v>2313</v>
      </c>
    </row>
    <row r="79" spans="1:10" hidden="1">
      <c r="A79" s="1047"/>
      <c r="B79" s="1048">
        <v>5</v>
      </c>
      <c r="C79" s="1031" t="s">
        <v>624</v>
      </c>
      <c r="D79" s="1032"/>
      <c r="E79" s="1033"/>
      <c r="F79" s="1032"/>
      <c r="G79" s="1033"/>
      <c r="H79" s="1034"/>
      <c r="I79" s="1034"/>
      <c r="J79" s="964" t="s">
        <v>2313</v>
      </c>
    </row>
    <row r="80" spans="1:10" hidden="1">
      <c r="A80" s="1047"/>
      <c r="B80" s="1048"/>
      <c r="C80" s="1042" t="s">
        <v>625</v>
      </c>
      <c r="D80" s="1025">
        <v>1</v>
      </c>
      <c r="E80" s="1043" t="s">
        <v>325</v>
      </c>
      <c r="F80" s="1027">
        <v>1</v>
      </c>
      <c r="G80" s="1043" t="s">
        <v>325</v>
      </c>
      <c r="H80" s="1029">
        <f>'MINI SSR 2022-23 (2)'!C114</f>
        <v>21</v>
      </c>
      <c r="I80" s="1041">
        <f>SUM(D80*H80/F80)</f>
        <v>21</v>
      </c>
      <c r="J80" s="964" t="s">
        <v>2313</v>
      </c>
    </row>
    <row r="81" spans="1:10" hidden="1">
      <c r="A81" s="1047"/>
      <c r="B81" s="1048"/>
      <c r="C81" s="1044"/>
      <c r="D81" s="1025"/>
      <c r="E81" s="1043"/>
      <c r="F81" s="1027"/>
      <c r="G81" s="1043"/>
      <c r="H81" s="1029"/>
      <c r="I81" s="1041">
        <f>SUM(I80)</f>
        <v>21</v>
      </c>
      <c r="J81" s="964" t="s">
        <v>2313</v>
      </c>
    </row>
    <row r="82" spans="1:10" ht="22.5" hidden="1">
      <c r="A82" s="1047"/>
      <c r="B82" s="1048">
        <v>18</v>
      </c>
      <c r="C82" s="1031" t="s">
        <v>794</v>
      </c>
      <c r="D82" s="1032"/>
      <c r="E82" s="1033"/>
      <c r="F82" s="1032"/>
      <c r="G82" s="1033"/>
      <c r="H82" s="1034"/>
      <c r="I82" s="1034"/>
      <c r="J82" s="964" t="s">
        <v>2313</v>
      </c>
    </row>
    <row r="83" spans="1:10" hidden="1">
      <c r="A83" s="1047"/>
      <c r="B83" s="1048"/>
      <c r="C83" s="1042" t="s">
        <v>795</v>
      </c>
      <c r="D83" s="1025">
        <v>1</v>
      </c>
      <c r="E83" s="1043" t="s">
        <v>325</v>
      </c>
      <c r="F83" s="1027">
        <v>1</v>
      </c>
      <c r="G83" s="1043" t="s">
        <v>325</v>
      </c>
      <c r="H83" s="1029">
        <f>'MINI SSR 2022-23 (2)'!C115</f>
        <v>1634</v>
      </c>
      <c r="I83" s="1041">
        <f>SUM(D83*H83/F83)</f>
        <v>1634</v>
      </c>
      <c r="J83" s="964" t="s">
        <v>2313</v>
      </c>
    </row>
    <row r="84" spans="1:10" hidden="1">
      <c r="A84" s="1047"/>
      <c r="B84" s="1048"/>
      <c r="C84" s="1044"/>
      <c r="D84" s="1025"/>
      <c r="E84" s="1043"/>
      <c r="F84" s="1027"/>
      <c r="G84" s="1043"/>
      <c r="H84" s="1029"/>
      <c r="I84" s="1041">
        <f>SUM(I83)</f>
        <v>1634</v>
      </c>
      <c r="J84" s="964" t="s">
        <v>2313</v>
      </c>
    </row>
    <row r="85" spans="1:10" s="1509" customFormat="1" ht="67.5">
      <c r="A85" s="1555" t="s">
        <v>721</v>
      </c>
      <c r="B85" s="1501">
        <v>8</v>
      </c>
      <c r="C85" s="1510" t="s">
        <v>436</v>
      </c>
      <c r="D85" s="1514"/>
      <c r="E85" s="1504"/>
      <c r="F85" s="1514"/>
      <c r="G85" s="1504"/>
      <c r="H85" s="1510"/>
      <c r="I85" s="1510"/>
      <c r="J85" s="1483" t="s">
        <v>2313</v>
      </c>
    </row>
    <row r="86" spans="1:10" s="1509" customFormat="1" ht="22.5">
      <c r="A86" s="1507"/>
      <c r="B86" s="1502"/>
      <c r="C86" s="1510" t="s">
        <v>391</v>
      </c>
      <c r="D86" s="1503"/>
      <c r="E86" s="1506"/>
      <c r="F86" s="1505"/>
      <c r="G86" s="1506"/>
      <c r="H86" s="1507"/>
      <c r="I86" s="1508"/>
      <c r="J86" s="1483" t="s">
        <v>2313</v>
      </c>
    </row>
    <row r="87" spans="1:10" s="1509" customFormat="1" ht="33.75">
      <c r="A87" s="1507"/>
      <c r="B87" s="1502"/>
      <c r="C87" s="1510" t="s">
        <v>392</v>
      </c>
      <c r="D87" s="1514"/>
      <c r="E87" s="1504"/>
      <c r="F87" s="1514"/>
      <c r="G87" s="1504"/>
      <c r="H87" s="1510"/>
      <c r="I87" s="1510"/>
      <c r="J87" s="1483" t="s">
        <v>2313</v>
      </c>
    </row>
    <row r="88" spans="1:10" s="1509" customFormat="1">
      <c r="A88" s="1507"/>
      <c r="B88" s="1502"/>
      <c r="C88" s="1510" t="s">
        <v>384</v>
      </c>
      <c r="D88" s="1503"/>
      <c r="E88" s="1506"/>
      <c r="F88" s="1505"/>
      <c r="G88" s="1506"/>
      <c r="H88" s="1507"/>
      <c r="I88" s="1508"/>
      <c r="J88" s="1483" t="s">
        <v>2313</v>
      </c>
    </row>
    <row r="89" spans="1:10" s="1509" customFormat="1">
      <c r="A89" s="1507"/>
      <c r="B89" s="1502"/>
      <c r="C89" s="1510" t="s">
        <v>1656</v>
      </c>
      <c r="D89" s="1503">
        <v>0.6</v>
      </c>
      <c r="E89" s="1522" t="s">
        <v>27</v>
      </c>
      <c r="F89" s="1505">
        <v>1</v>
      </c>
      <c r="G89" s="1522" t="s">
        <v>27</v>
      </c>
      <c r="H89" s="1507">
        <f>'MINI SSR 2022-23 (2)'!$H$16</f>
        <v>700</v>
      </c>
      <c r="I89" s="1508">
        <f>SUM(D89*H89/F89)</f>
        <v>420</v>
      </c>
      <c r="J89" s="1483" t="s">
        <v>2313</v>
      </c>
    </row>
    <row r="90" spans="1:10" s="1509" customFormat="1">
      <c r="A90" s="1507"/>
      <c r="B90" s="1502"/>
      <c r="C90" s="1510" t="s">
        <v>1657</v>
      </c>
      <c r="D90" s="1503">
        <v>1.2</v>
      </c>
      <c r="E90" s="1522" t="s">
        <v>27</v>
      </c>
      <c r="F90" s="1505">
        <v>1</v>
      </c>
      <c r="G90" s="1522" t="s">
        <v>27</v>
      </c>
      <c r="H90" s="1507">
        <f>'MINI SSR 2022-23 (2)'!$H$17</f>
        <v>570</v>
      </c>
      <c r="I90" s="1520">
        <f>SUM(D90*H90/F90)</f>
        <v>684</v>
      </c>
      <c r="J90" s="1483" t="s">
        <v>2313</v>
      </c>
    </row>
    <row r="91" spans="1:10" s="1509" customFormat="1">
      <c r="A91" s="1507"/>
      <c r="B91" s="1502"/>
      <c r="C91" s="1510" t="s">
        <v>700</v>
      </c>
      <c r="D91" s="1503">
        <v>0.6</v>
      </c>
      <c r="E91" s="1522" t="s">
        <v>27</v>
      </c>
      <c r="F91" s="1505">
        <v>1</v>
      </c>
      <c r="G91" s="1522" t="s">
        <v>27</v>
      </c>
      <c r="H91" s="1507">
        <f>'MINI SSR 2022-23 (2)'!$H$18</f>
        <v>505</v>
      </c>
      <c r="I91" s="1520">
        <f>SUM(D91*H91/F91)</f>
        <v>303</v>
      </c>
      <c r="J91" s="1483" t="s">
        <v>2313</v>
      </c>
    </row>
    <row r="92" spans="1:10" s="1509" customFormat="1">
      <c r="A92" s="1507"/>
      <c r="B92" s="1502"/>
      <c r="C92" s="1510" t="s">
        <v>327</v>
      </c>
      <c r="D92" s="1503"/>
      <c r="E92" s="1522"/>
      <c r="F92" s="1505"/>
      <c r="G92" s="1522"/>
      <c r="H92" s="1507"/>
      <c r="I92" s="1508"/>
      <c r="J92" s="1483" t="s">
        <v>2313</v>
      </c>
    </row>
    <row r="93" spans="1:10" s="1509" customFormat="1">
      <c r="A93" s="1507"/>
      <c r="B93" s="1502"/>
      <c r="C93" s="1556" t="s">
        <v>621</v>
      </c>
      <c r="D93" s="1557">
        <v>6</v>
      </c>
      <c r="E93" s="1506" t="s">
        <v>325</v>
      </c>
      <c r="F93" s="1505">
        <v>1</v>
      </c>
      <c r="G93" s="1506" t="s">
        <v>115</v>
      </c>
      <c r="H93" s="1507">
        <f>'MINI SSR 2022-23 (2)'!C116</f>
        <v>18</v>
      </c>
      <c r="I93" s="1508">
        <f>SUM(D93*H93/F93)</f>
        <v>108</v>
      </c>
      <c r="J93" s="1483" t="s">
        <v>2313</v>
      </c>
    </row>
    <row r="94" spans="1:10" s="1509" customFormat="1" ht="45">
      <c r="A94" s="1507"/>
      <c r="B94" s="1502"/>
      <c r="C94" s="1556" t="s">
        <v>394</v>
      </c>
      <c r="D94" s="1503">
        <v>100</v>
      </c>
      <c r="E94" s="1522" t="s">
        <v>395</v>
      </c>
      <c r="F94" s="1505">
        <v>100</v>
      </c>
      <c r="G94" s="1522" t="s">
        <v>395</v>
      </c>
      <c r="H94" s="1507">
        <f>'MINI SSR 2022-23 (2)'!C119</f>
        <v>1375</v>
      </c>
      <c r="I94" s="1508">
        <f>SUM(D94*H94/F94)</f>
        <v>1375</v>
      </c>
      <c r="J94" s="1483" t="s">
        <v>2313</v>
      </c>
    </row>
    <row r="95" spans="1:10" s="1509" customFormat="1">
      <c r="A95" s="1507"/>
      <c r="B95" s="1502"/>
      <c r="C95" s="1510" t="s">
        <v>396</v>
      </c>
      <c r="D95" s="1503"/>
      <c r="E95" s="1506"/>
      <c r="F95" s="1505"/>
      <c r="G95" s="1506"/>
      <c r="H95" s="1507"/>
      <c r="I95" s="1508">
        <f>SUM(I89:I94)</f>
        <v>2890</v>
      </c>
      <c r="J95" s="1483" t="s">
        <v>2313</v>
      </c>
    </row>
    <row r="96" spans="1:10" s="1509" customFormat="1">
      <c r="A96" s="1507"/>
      <c r="B96" s="1502"/>
      <c r="C96" s="1510" t="s">
        <v>397</v>
      </c>
      <c r="D96" s="1503"/>
      <c r="E96" s="1506"/>
      <c r="F96" s="1505"/>
      <c r="G96" s="1506"/>
      <c r="H96" s="1507"/>
      <c r="I96" s="1508">
        <f>ROUND(I95/6,2)</f>
        <v>481.67</v>
      </c>
      <c r="J96" s="1483" t="s">
        <v>2313</v>
      </c>
    </row>
    <row r="97" spans="1:10" s="1509" customFormat="1" ht="67.5">
      <c r="A97" s="1555" t="s">
        <v>721</v>
      </c>
      <c r="B97" s="1501">
        <v>9</v>
      </c>
      <c r="C97" s="1510" t="s">
        <v>435</v>
      </c>
      <c r="D97" s="1514"/>
      <c r="E97" s="1504"/>
      <c r="F97" s="1514"/>
      <c r="G97" s="1504"/>
      <c r="H97" s="1510"/>
      <c r="I97" s="1510"/>
      <c r="J97" s="1483" t="s">
        <v>2313</v>
      </c>
    </row>
    <row r="98" spans="1:10" s="1509" customFormat="1" ht="22.5">
      <c r="A98" s="1507"/>
      <c r="B98" s="1502"/>
      <c r="C98" s="1510" t="s">
        <v>391</v>
      </c>
      <c r="D98" s="1503"/>
      <c r="E98" s="1506"/>
      <c r="F98" s="1505"/>
      <c r="G98" s="1506"/>
      <c r="H98" s="1507"/>
      <c r="I98" s="1508"/>
      <c r="J98" s="1483" t="s">
        <v>2313</v>
      </c>
    </row>
    <row r="99" spans="1:10" s="1509" customFormat="1" ht="33.75">
      <c r="A99" s="1507"/>
      <c r="B99" s="1502"/>
      <c r="C99" s="1510" t="s">
        <v>392</v>
      </c>
      <c r="D99" s="1514"/>
      <c r="E99" s="1504"/>
      <c r="F99" s="1514"/>
      <c r="G99" s="1504"/>
      <c r="H99" s="1510"/>
      <c r="I99" s="1510"/>
      <c r="J99" s="1483" t="s">
        <v>2313</v>
      </c>
    </row>
    <row r="100" spans="1:10" s="1509" customFormat="1">
      <c r="A100" s="1507"/>
      <c r="B100" s="1502"/>
      <c r="C100" s="1510" t="s">
        <v>384</v>
      </c>
      <c r="D100" s="1503"/>
      <c r="E100" s="1506"/>
      <c r="F100" s="1505"/>
      <c r="G100" s="1506"/>
      <c r="H100" s="1507"/>
      <c r="I100" s="1508"/>
      <c r="J100" s="1483" t="s">
        <v>2313</v>
      </c>
    </row>
    <row r="101" spans="1:10" s="1509" customFormat="1">
      <c r="A101" s="1507"/>
      <c r="B101" s="1502"/>
      <c r="C101" s="1510" t="s">
        <v>1656</v>
      </c>
      <c r="D101" s="1503">
        <v>0.6</v>
      </c>
      <c r="E101" s="1522" t="s">
        <v>27</v>
      </c>
      <c r="F101" s="1505">
        <v>1</v>
      </c>
      <c r="G101" s="1522" t="s">
        <v>27</v>
      </c>
      <c r="H101" s="1507">
        <f>'MINI SSR 2022-23 (2)'!$H$16</f>
        <v>700</v>
      </c>
      <c r="I101" s="1508">
        <f>SUM(D101*H101/F101)</f>
        <v>420</v>
      </c>
      <c r="J101" s="1483" t="s">
        <v>2313</v>
      </c>
    </row>
    <row r="102" spans="1:10" s="1509" customFormat="1">
      <c r="A102" s="1507"/>
      <c r="B102" s="1502"/>
      <c r="C102" s="1510" t="s">
        <v>1657</v>
      </c>
      <c r="D102" s="1503">
        <v>1.2</v>
      </c>
      <c r="E102" s="1522" t="s">
        <v>27</v>
      </c>
      <c r="F102" s="1505">
        <v>1</v>
      </c>
      <c r="G102" s="1522" t="s">
        <v>27</v>
      </c>
      <c r="H102" s="1507">
        <f>'MINI SSR 2022-23 (2)'!$H$17</f>
        <v>570</v>
      </c>
      <c r="I102" s="1520">
        <f>SUM(D102*H102/F102)</f>
        <v>684</v>
      </c>
      <c r="J102" s="1483" t="s">
        <v>2313</v>
      </c>
    </row>
    <row r="103" spans="1:10" s="1509" customFormat="1">
      <c r="A103" s="1507"/>
      <c r="B103" s="1502"/>
      <c r="C103" s="1510" t="s">
        <v>700</v>
      </c>
      <c r="D103" s="1503">
        <v>0.6</v>
      </c>
      <c r="E103" s="1522" t="s">
        <v>27</v>
      </c>
      <c r="F103" s="1505">
        <v>1</v>
      </c>
      <c r="G103" s="1522" t="s">
        <v>27</v>
      </c>
      <c r="H103" s="1507">
        <f>'MINI SSR 2022-23 (2)'!$H$18</f>
        <v>505</v>
      </c>
      <c r="I103" s="1520">
        <f>SUM(D103*H103/F103)</f>
        <v>303</v>
      </c>
      <c r="J103" s="1483" t="s">
        <v>2313</v>
      </c>
    </row>
    <row r="104" spans="1:10" s="1509" customFormat="1">
      <c r="A104" s="1507"/>
      <c r="B104" s="1502"/>
      <c r="C104" s="1510" t="s">
        <v>327</v>
      </c>
      <c r="D104" s="1503"/>
      <c r="E104" s="1522"/>
      <c r="F104" s="1505"/>
      <c r="G104" s="1522"/>
      <c r="H104" s="1507"/>
      <c r="I104" s="1508"/>
      <c r="J104" s="1483" t="s">
        <v>2313</v>
      </c>
    </row>
    <row r="105" spans="1:10" s="1509" customFormat="1">
      <c r="A105" s="1507"/>
      <c r="B105" s="1502"/>
      <c r="C105" s="1556" t="s">
        <v>621</v>
      </c>
      <c r="D105" s="1557">
        <v>6</v>
      </c>
      <c r="E105" s="1506" t="s">
        <v>325</v>
      </c>
      <c r="F105" s="1505">
        <v>1</v>
      </c>
      <c r="G105" s="1506" t="s">
        <v>115</v>
      </c>
      <c r="H105" s="1507">
        <f>'MINI SSR 2022-23 (2)'!C116</f>
        <v>18</v>
      </c>
      <c r="I105" s="1508">
        <f>SUM(D105*H105/F105)</f>
        <v>108</v>
      </c>
      <c r="J105" s="1483" t="s">
        <v>2313</v>
      </c>
    </row>
    <row r="106" spans="1:10" s="1509" customFormat="1" ht="22.5">
      <c r="A106" s="1507"/>
      <c r="B106" s="1502"/>
      <c r="C106" s="1558" t="s">
        <v>393</v>
      </c>
      <c r="D106" s="1557">
        <v>6</v>
      </c>
      <c r="E106" s="1506" t="s">
        <v>325</v>
      </c>
      <c r="F106" s="1505">
        <v>1</v>
      </c>
      <c r="G106" s="1506" t="s">
        <v>115</v>
      </c>
      <c r="H106" s="1507">
        <f>'MINI SSR 2022-23 (2)'!C120</f>
        <v>22</v>
      </c>
      <c r="I106" s="1508">
        <f>SUM(D106*H106/F106)</f>
        <v>132</v>
      </c>
      <c r="J106" s="1483" t="s">
        <v>2313</v>
      </c>
    </row>
    <row r="107" spans="1:10" s="1509" customFormat="1" ht="45">
      <c r="A107" s="1507"/>
      <c r="B107" s="1502"/>
      <c r="C107" s="1556" t="s">
        <v>394</v>
      </c>
      <c r="D107" s="1503">
        <v>100</v>
      </c>
      <c r="E107" s="1522" t="s">
        <v>395</v>
      </c>
      <c r="F107" s="1505">
        <v>100</v>
      </c>
      <c r="G107" s="1522" t="s">
        <v>395</v>
      </c>
      <c r="H107" s="1507">
        <f>'MINI SSR 2022-23 (2)'!C119</f>
        <v>1375</v>
      </c>
      <c r="I107" s="1508">
        <f>SUM(D107*H107/F107)</f>
        <v>1375</v>
      </c>
      <c r="J107" s="1483" t="s">
        <v>2313</v>
      </c>
    </row>
    <row r="108" spans="1:10" s="1509" customFormat="1">
      <c r="A108" s="1507"/>
      <c r="B108" s="1502"/>
      <c r="C108" s="1510" t="s">
        <v>396</v>
      </c>
      <c r="D108" s="1503"/>
      <c r="E108" s="1506"/>
      <c r="F108" s="1505"/>
      <c r="G108" s="1506"/>
      <c r="H108" s="1507"/>
      <c r="I108" s="1508">
        <f>SUM(I101:I107)</f>
        <v>3022</v>
      </c>
      <c r="J108" s="1483" t="s">
        <v>2313</v>
      </c>
    </row>
    <row r="109" spans="1:10" s="1509" customFormat="1">
      <c r="A109" s="1507"/>
      <c r="B109" s="1502"/>
      <c r="C109" s="1510" t="s">
        <v>397</v>
      </c>
      <c r="D109" s="1503"/>
      <c r="E109" s="1506"/>
      <c r="F109" s="1505"/>
      <c r="G109" s="1506"/>
      <c r="H109" s="1507"/>
      <c r="I109" s="1508">
        <f>ROUND(I108/6,2)</f>
        <v>503.67</v>
      </c>
      <c r="J109" s="1483" t="s">
        <v>2313</v>
      </c>
    </row>
    <row r="110" spans="1:10" s="1509" customFormat="1" ht="45">
      <c r="A110" s="1555" t="s">
        <v>722</v>
      </c>
      <c r="B110" s="1501">
        <v>10</v>
      </c>
      <c r="C110" s="1510" t="s">
        <v>432</v>
      </c>
      <c r="D110" s="1514"/>
      <c r="E110" s="1504"/>
      <c r="F110" s="1514"/>
      <c r="G110" s="1504"/>
      <c r="H110" s="1510"/>
      <c r="I110" s="1510"/>
      <c r="J110" s="1483" t="s">
        <v>2313</v>
      </c>
    </row>
    <row r="111" spans="1:10" s="1509" customFormat="1">
      <c r="A111" s="1507"/>
      <c r="B111" s="1502"/>
      <c r="C111" s="1510" t="s">
        <v>384</v>
      </c>
      <c r="D111" s="1503"/>
      <c r="E111" s="1506"/>
      <c r="F111" s="1505"/>
      <c r="G111" s="1506"/>
      <c r="H111" s="1507"/>
      <c r="I111" s="1508"/>
      <c r="J111" s="1483" t="s">
        <v>2313</v>
      </c>
    </row>
    <row r="112" spans="1:10" s="1509" customFormat="1">
      <c r="A112" s="1507"/>
      <c r="B112" s="1502"/>
      <c r="C112" s="1510" t="s">
        <v>1656</v>
      </c>
      <c r="D112" s="1559">
        <v>6.7000000000000004E-2</v>
      </c>
      <c r="E112" s="1522" t="s">
        <v>27</v>
      </c>
      <c r="F112" s="1505">
        <v>1</v>
      </c>
      <c r="G112" s="1522" t="s">
        <v>27</v>
      </c>
      <c r="H112" s="1507">
        <f>'MINI SSR 2022-23 (2)'!$H$16</f>
        <v>700</v>
      </c>
      <c r="I112" s="1508">
        <f>SUM(D112*H112/F112)</f>
        <v>46.900000000000006</v>
      </c>
      <c r="J112" s="1483" t="s">
        <v>2313</v>
      </c>
    </row>
    <row r="113" spans="1:10" s="1509" customFormat="1">
      <c r="A113" s="1507"/>
      <c r="B113" s="1502"/>
      <c r="C113" s="1510" t="s">
        <v>700</v>
      </c>
      <c r="D113" s="1559">
        <v>6.7000000000000004E-2</v>
      </c>
      <c r="E113" s="1522" t="s">
        <v>27</v>
      </c>
      <c r="F113" s="1505">
        <v>1</v>
      </c>
      <c r="G113" s="1522" t="s">
        <v>27</v>
      </c>
      <c r="H113" s="1507">
        <f>'MINI SSR 2022-23 (2)'!$H$18</f>
        <v>505</v>
      </c>
      <c r="I113" s="1520">
        <f>SUM(D113*H113/F113)</f>
        <v>33.835000000000001</v>
      </c>
      <c r="J113" s="1483" t="s">
        <v>2313</v>
      </c>
    </row>
    <row r="114" spans="1:10" s="1509" customFormat="1">
      <c r="A114" s="1507"/>
      <c r="B114" s="1502"/>
      <c r="C114" s="1510" t="s">
        <v>327</v>
      </c>
      <c r="D114" s="1503"/>
      <c r="E114" s="1522"/>
      <c r="F114" s="1505"/>
      <c r="G114" s="1522"/>
      <c r="H114" s="1507"/>
      <c r="I114" s="1508"/>
      <c r="J114" s="1483" t="s">
        <v>2313</v>
      </c>
    </row>
    <row r="115" spans="1:10" s="1509" customFormat="1">
      <c r="A115" s="1507"/>
      <c r="B115" s="1502"/>
      <c r="C115" s="1556" t="s">
        <v>621</v>
      </c>
      <c r="D115" s="1557">
        <v>1</v>
      </c>
      <c r="E115" s="1506" t="s">
        <v>325</v>
      </c>
      <c r="F115" s="1505">
        <v>1</v>
      </c>
      <c r="G115" s="1506" t="s">
        <v>115</v>
      </c>
      <c r="H115" s="1507">
        <f>'MINI SSR 2022-23 (2)'!C116</f>
        <v>18</v>
      </c>
      <c r="I115" s="1508">
        <f>SUM(D115*H115/F115)</f>
        <v>18</v>
      </c>
      <c r="J115" s="1483" t="s">
        <v>2313</v>
      </c>
    </row>
    <row r="116" spans="1:10" s="1509" customFormat="1">
      <c r="A116" s="1507"/>
      <c r="B116" s="1502"/>
      <c r="C116" s="1556" t="s">
        <v>622</v>
      </c>
      <c r="D116" s="1557">
        <v>1</v>
      </c>
      <c r="E116" s="1506" t="s">
        <v>115</v>
      </c>
      <c r="F116" s="1505">
        <v>1</v>
      </c>
      <c r="G116" s="1506" t="s">
        <v>115</v>
      </c>
      <c r="H116" s="1507">
        <f>'MINI SSR 2022-23 (2)'!C118</f>
        <v>27</v>
      </c>
      <c r="I116" s="1508">
        <f>SUM(D116*H116/F116)</f>
        <v>27</v>
      </c>
      <c r="J116" s="1483" t="s">
        <v>2313</v>
      </c>
    </row>
    <row r="117" spans="1:10" s="1509" customFormat="1">
      <c r="A117" s="1507"/>
      <c r="B117" s="1502"/>
      <c r="C117" s="1515" t="s">
        <v>388</v>
      </c>
      <c r="D117" s="1528"/>
      <c r="E117" s="1506"/>
      <c r="F117" s="1560"/>
      <c r="G117" s="1561"/>
      <c r="H117" s="1562"/>
      <c r="I117" s="1508">
        <f>SUM(I112:I116)</f>
        <v>125.73500000000001</v>
      </c>
      <c r="J117" s="1483" t="s">
        <v>2313</v>
      </c>
    </row>
    <row r="118" spans="1:10" ht="45" hidden="1">
      <c r="A118" s="1051" t="s">
        <v>1262</v>
      </c>
      <c r="B118" s="1024">
        <v>14</v>
      </c>
      <c r="C118" s="1031" t="s">
        <v>1237</v>
      </c>
      <c r="D118" s="1035"/>
      <c r="E118" s="1026"/>
      <c r="F118" s="1035"/>
      <c r="G118" s="1026"/>
      <c r="H118" s="1031"/>
      <c r="I118" s="1031"/>
      <c r="J118" s="964" t="s">
        <v>2313</v>
      </c>
    </row>
    <row r="119" spans="1:10" hidden="1">
      <c r="A119" s="1029"/>
      <c r="B119" s="1005"/>
      <c r="C119" s="1031" t="s">
        <v>384</v>
      </c>
      <c r="D119" s="1025"/>
      <c r="E119" s="1028"/>
      <c r="F119" s="1027"/>
      <c r="G119" s="1028"/>
      <c r="H119" s="1029"/>
      <c r="I119" s="1030"/>
      <c r="J119" s="964" t="s">
        <v>2313</v>
      </c>
    </row>
    <row r="120" spans="1:10" hidden="1">
      <c r="A120" s="1029"/>
      <c r="B120" s="1005"/>
      <c r="C120" s="1031" t="s">
        <v>1656</v>
      </c>
      <c r="D120" s="1061">
        <v>0.1</v>
      </c>
      <c r="E120" s="1043" t="s">
        <v>27</v>
      </c>
      <c r="F120" s="1027">
        <v>1</v>
      </c>
      <c r="G120" s="1043" t="s">
        <v>27</v>
      </c>
      <c r="H120" s="1029">
        <f>'MINI SSR 2022-23 (2)'!$H$16</f>
        <v>700</v>
      </c>
      <c r="I120" s="1030">
        <f>SUM(D120*H120/F120)</f>
        <v>70</v>
      </c>
      <c r="J120" s="964" t="s">
        <v>2313</v>
      </c>
    </row>
    <row r="121" spans="1:10" hidden="1">
      <c r="A121" s="1029"/>
      <c r="B121" s="1005"/>
      <c r="C121" s="1031" t="s">
        <v>700</v>
      </c>
      <c r="D121" s="1061">
        <v>0.1</v>
      </c>
      <c r="E121" s="1043" t="s">
        <v>27</v>
      </c>
      <c r="F121" s="1027">
        <v>1</v>
      </c>
      <c r="G121" s="1043" t="s">
        <v>27</v>
      </c>
      <c r="H121" s="1029">
        <f>'MINI SSR 2022-23 (2)'!$H$18</f>
        <v>505</v>
      </c>
      <c r="I121" s="1041">
        <f>SUM(D121*H121/F121)</f>
        <v>50.5</v>
      </c>
      <c r="J121" s="964" t="s">
        <v>2313</v>
      </c>
    </row>
    <row r="122" spans="1:10" hidden="1">
      <c r="A122" s="1029"/>
      <c r="B122" s="1005"/>
      <c r="C122" s="1031" t="s">
        <v>327</v>
      </c>
      <c r="D122" s="1025"/>
      <c r="E122" s="1043"/>
      <c r="F122" s="1027"/>
      <c r="G122" s="1043"/>
      <c r="H122" s="1029"/>
      <c r="I122" s="1030"/>
      <c r="J122" s="964" t="s">
        <v>2313</v>
      </c>
    </row>
    <row r="123" spans="1:10" hidden="1">
      <c r="A123" s="1029"/>
      <c r="B123" s="1005"/>
      <c r="C123" s="1052" t="s">
        <v>1263</v>
      </c>
      <c r="D123" s="1053">
        <v>1</v>
      </c>
      <c r="E123" s="1028" t="s">
        <v>325</v>
      </c>
      <c r="F123" s="1027">
        <v>1</v>
      </c>
      <c r="G123" s="1028" t="s">
        <v>115</v>
      </c>
      <c r="H123" s="1029">
        <f>'MINI SSR 2022-23 (2)'!C121</f>
        <v>48</v>
      </c>
      <c r="I123" s="1030">
        <f>SUM(D123*H123/F123)</f>
        <v>48</v>
      </c>
      <c r="J123" s="964" t="s">
        <v>2313</v>
      </c>
    </row>
    <row r="124" spans="1:10" hidden="1">
      <c r="A124" s="1029"/>
      <c r="B124" s="1005"/>
      <c r="C124" s="1052" t="s">
        <v>1265</v>
      </c>
      <c r="D124" s="1053">
        <v>1</v>
      </c>
      <c r="E124" s="1028" t="s">
        <v>115</v>
      </c>
      <c r="F124" s="1027">
        <v>1</v>
      </c>
      <c r="G124" s="1028" t="s">
        <v>115</v>
      </c>
      <c r="H124" s="1029">
        <f>'MINI SSR 2022-23 (2)'!C122</f>
        <v>127</v>
      </c>
      <c r="I124" s="1030">
        <f>SUM(D124*H124/F124)</f>
        <v>127</v>
      </c>
      <c r="J124" s="964" t="s">
        <v>2313</v>
      </c>
    </row>
    <row r="125" spans="1:10" ht="22.5" hidden="1">
      <c r="A125" s="1029"/>
      <c r="B125" s="1005"/>
      <c r="C125" s="1052" t="s">
        <v>1264</v>
      </c>
      <c r="D125" s="1053">
        <v>1</v>
      </c>
      <c r="E125" s="1028" t="s">
        <v>115</v>
      </c>
      <c r="F125" s="1027">
        <v>1</v>
      </c>
      <c r="G125" s="1028" t="s">
        <v>115</v>
      </c>
      <c r="H125" s="1029">
        <f>'MINI SSR 2022-23 (2)'!C123</f>
        <v>127</v>
      </c>
      <c r="I125" s="1030">
        <f>SUM(D125*H125/F125)</f>
        <v>127</v>
      </c>
      <c r="J125" s="964" t="s">
        <v>2313</v>
      </c>
    </row>
    <row r="126" spans="1:10" hidden="1">
      <c r="A126" s="1029"/>
      <c r="B126" s="1005"/>
      <c r="C126" s="1036" t="s">
        <v>388</v>
      </c>
      <c r="D126" s="1049"/>
      <c r="E126" s="1028"/>
      <c r="F126" s="1062"/>
      <c r="G126" s="1063"/>
      <c r="H126" s="1064"/>
      <c r="I126" s="1030">
        <f>SUM(I120:I125)</f>
        <v>422.5</v>
      </c>
      <c r="J126" s="964" t="s">
        <v>2313</v>
      </c>
    </row>
    <row r="127" spans="1:10" s="1509" customFormat="1" ht="45">
      <c r="A127" s="1507" t="s">
        <v>441</v>
      </c>
      <c r="B127" s="1501">
        <v>11</v>
      </c>
      <c r="C127" s="1510" t="s">
        <v>620</v>
      </c>
      <c r="D127" s="1514"/>
      <c r="E127" s="1504"/>
      <c r="F127" s="1514"/>
      <c r="G127" s="1504"/>
      <c r="H127" s="1510"/>
      <c r="I127" s="1510"/>
      <c r="J127" s="1483" t="s">
        <v>2313</v>
      </c>
    </row>
    <row r="128" spans="1:10" s="1509" customFormat="1">
      <c r="A128" s="1507"/>
      <c r="B128" s="1502"/>
      <c r="C128" s="1510" t="s">
        <v>384</v>
      </c>
      <c r="D128" s="1503"/>
      <c r="E128" s="1506"/>
      <c r="F128" s="1505"/>
      <c r="G128" s="1506"/>
      <c r="H128" s="1507"/>
      <c r="I128" s="1508"/>
      <c r="J128" s="1483" t="s">
        <v>2313</v>
      </c>
    </row>
    <row r="129" spans="1:10" s="1509" customFormat="1">
      <c r="A129" s="1507"/>
      <c r="B129" s="1502"/>
      <c r="C129" s="1510" t="s">
        <v>1656</v>
      </c>
      <c r="D129" s="1559">
        <v>6.7000000000000004E-2</v>
      </c>
      <c r="E129" s="1522" t="s">
        <v>27</v>
      </c>
      <c r="F129" s="1505">
        <v>1</v>
      </c>
      <c r="G129" s="1522" t="s">
        <v>27</v>
      </c>
      <c r="H129" s="1507">
        <f>'MINI SSR 2022-23 (2)'!$H$16</f>
        <v>700</v>
      </c>
      <c r="I129" s="1508">
        <f>SUM(D129*H129/F129)</f>
        <v>46.900000000000006</v>
      </c>
      <c r="J129" s="1483" t="s">
        <v>2313</v>
      </c>
    </row>
    <row r="130" spans="1:10" s="1509" customFormat="1">
      <c r="A130" s="1507"/>
      <c r="B130" s="1502"/>
      <c r="C130" s="1510" t="s">
        <v>700</v>
      </c>
      <c r="D130" s="1559">
        <v>6.7000000000000004E-2</v>
      </c>
      <c r="E130" s="1522" t="s">
        <v>27</v>
      </c>
      <c r="F130" s="1505">
        <v>1</v>
      </c>
      <c r="G130" s="1522" t="s">
        <v>27</v>
      </c>
      <c r="H130" s="1507">
        <f>'MINI SSR 2022-23 (2)'!$H$18</f>
        <v>505</v>
      </c>
      <c r="I130" s="1520">
        <f>SUM(D130*H130/F130)</f>
        <v>33.835000000000001</v>
      </c>
      <c r="J130" s="1483" t="s">
        <v>2313</v>
      </c>
    </row>
    <row r="131" spans="1:10" s="1509" customFormat="1">
      <c r="A131" s="1507"/>
      <c r="B131" s="1502"/>
      <c r="C131" s="1510" t="s">
        <v>327</v>
      </c>
      <c r="D131" s="1503"/>
      <c r="E131" s="1522"/>
      <c r="F131" s="1505"/>
      <c r="G131" s="1522"/>
      <c r="H131" s="1507"/>
      <c r="I131" s="1508"/>
      <c r="J131" s="1483" t="s">
        <v>2313</v>
      </c>
    </row>
    <row r="132" spans="1:10" s="1509" customFormat="1">
      <c r="A132" s="1507"/>
      <c r="B132" s="1502"/>
      <c r="C132" s="1556" t="s">
        <v>621</v>
      </c>
      <c r="D132" s="1557">
        <v>1</v>
      </c>
      <c r="E132" s="1506" t="s">
        <v>325</v>
      </c>
      <c r="F132" s="1505">
        <v>1</v>
      </c>
      <c r="G132" s="1506" t="s">
        <v>115</v>
      </c>
      <c r="H132" s="1507">
        <f>'MINI SSR 2022-23 (2)'!C116</f>
        <v>18</v>
      </c>
      <c r="I132" s="1508">
        <f>SUM(D132*H132/F132)</f>
        <v>18</v>
      </c>
      <c r="J132" s="1483" t="s">
        <v>2313</v>
      </c>
    </row>
    <row r="133" spans="1:10" s="1509" customFormat="1">
      <c r="A133" s="1507"/>
      <c r="B133" s="1502"/>
      <c r="C133" s="1556" t="s">
        <v>623</v>
      </c>
      <c r="D133" s="1557">
        <v>1</v>
      </c>
      <c r="E133" s="1506" t="s">
        <v>115</v>
      </c>
      <c r="F133" s="1505">
        <v>1</v>
      </c>
      <c r="G133" s="1506" t="s">
        <v>115</v>
      </c>
      <c r="H133" s="1507">
        <f>'MINI SSR 2022-23 (2)'!C117</f>
        <v>21</v>
      </c>
      <c r="I133" s="1508">
        <f>SUM(D133*H133/F133)</f>
        <v>21</v>
      </c>
      <c r="J133" s="1483" t="s">
        <v>2313</v>
      </c>
    </row>
    <row r="134" spans="1:10" s="1509" customFormat="1">
      <c r="A134" s="1507"/>
      <c r="B134" s="1502"/>
      <c r="C134" s="1510" t="s">
        <v>945</v>
      </c>
      <c r="D134" s="1528"/>
      <c r="E134" s="1506"/>
      <c r="F134" s="1560"/>
      <c r="G134" s="1561"/>
      <c r="H134" s="1562"/>
      <c r="I134" s="1508">
        <f>SUM(I129:I133)</f>
        <v>119.73500000000001</v>
      </c>
      <c r="J134" s="1483" t="s">
        <v>2313</v>
      </c>
    </row>
    <row r="135" spans="1:10" ht="33.75" hidden="1">
      <c r="A135" s="1029" t="s">
        <v>1659</v>
      </c>
      <c r="B135" s="1024">
        <v>29</v>
      </c>
      <c r="C135" s="1031" t="s">
        <v>1660</v>
      </c>
      <c r="D135" s="1032"/>
      <c r="E135" s="1033"/>
      <c r="F135" s="1032"/>
      <c r="G135" s="1033"/>
      <c r="H135" s="1005"/>
      <c r="I135" s="1034"/>
      <c r="J135" s="964" t="s">
        <v>2313</v>
      </c>
    </row>
    <row r="136" spans="1:10" ht="22.5" hidden="1">
      <c r="A136" s="1024"/>
      <c r="B136" s="1005"/>
      <c r="C136" s="1031" t="s">
        <v>391</v>
      </c>
      <c r="D136" s="1025"/>
      <c r="E136" s="1028"/>
      <c r="F136" s="1027"/>
      <c r="G136" s="1028"/>
      <c r="H136" s="1029"/>
      <c r="I136" s="1030"/>
      <c r="J136" s="964" t="s">
        <v>2313</v>
      </c>
    </row>
    <row r="137" spans="1:10" hidden="1">
      <c r="A137" s="1024"/>
      <c r="B137" s="1005"/>
      <c r="C137" s="1031" t="s">
        <v>384</v>
      </c>
      <c r="D137" s="1025"/>
      <c r="E137" s="1028"/>
      <c r="F137" s="1027"/>
      <c r="G137" s="1028"/>
      <c r="H137" s="1029"/>
      <c r="I137" s="1030"/>
      <c r="J137" s="964" t="s">
        <v>2313</v>
      </c>
    </row>
    <row r="138" spans="1:10" hidden="1">
      <c r="A138" s="1024"/>
      <c r="B138" s="1005"/>
      <c r="C138" s="1042" t="s">
        <v>1656</v>
      </c>
      <c r="D138" s="1025">
        <v>0.67</v>
      </c>
      <c r="E138" s="1043" t="s">
        <v>27</v>
      </c>
      <c r="F138" s="1027">
        <v>1</v>
      </c>
      <c r="G138" s="1043" t="s">
        <v>27</v>
      </c>
      <c r="H138" s="1029">
        <f>'MINI SSR 2022-23 (2)'!$H$16</f>
        <v>700</v>
      </c>
      <c r="I138" s="1030">
        <f>SUM(D138*H138/F138)</f>
        <v>469</v>
      </c>
      <c r="J138" s="964" t="s">
        <v>2313</v>
      </c>
    </row>
    <row r="139" spans="1:10" hidden="1">
      <c r="A139" s="1024"/>
      <c r="B139" s="1005"/>
      <c r="C139" s="1042" t="s">
        <v>1657</v>
      </c>
      <c r="D139" s="1025">
        <v>2</v>
      </c>
      <c r="E139" s="1043" t="s">
        <v>27</v>
      </c>
      <c r="F139" s="1027">
        <v>1</v>
      </c>
      <c r="G139" s="1043" t="s">
        <v>27</v>
      </c>
      <c r="H139" s="1029">
        <f>'MINI SSR 2022-23 (2)'!$H$17</f>
        <v>570</v>
      </c>
      <c r="I139" s="1030">
        <f>SUM(D139*H139/F139)</f>
        <v>1140</v>
      </c>
      <c r="J139" s="964" t="s">
        <v>2313</v>
      </c>
    </row>
    <row r="140" spans="1:10" hidden="1">
      <c r="A140" s="1024"/>
      <c r="B140" s="1005"/>
      <c r="C140" s="1042" t="s">
        <v>700</v>
      </c>
      <c r="D140" s="1025">
        <v>0.67</v>
      </c>
      <c r="E140" s="1043" t="s">
        <v>27</v>
      </c>
      <c r="F140" s="1027">
        <v>1</v>
      </c>
      <c r="G140" s="1043" t="s">
        <v>27</v>
      </c>
      <c r="H140" s="1029">
        <f>'MINI SSR 2022-23 (2)'!$H$18</f>
        <v>505</v>
      </c>
      <c r="I140" s="1030">
        <f>SUM(D140*H140/F140)</f>
        <v>338.35</v>
      </c>
      <c r="J140" s="964" t="s">
        <v>2313</v>
      </c>
    </row>
    <row r="141" spans="1:10" hidden="1">
      <c r="A141" s="1024"/>
      <c r="B141" s="1005"/>
      <c r="C141" s="1031" t="s">
        <v>327</v>
      </c>
      <c r="D141" s="1025"/>
      <c r="E141" s="1043"/>
      <c r="F141" s="1027"/>
      <c r="G141" s="1043"/>
      <c r="H141" s="1029"/>
      <c r="I141" s="1030"/>
      <c r="J141" s="964" t="s">
        <v>2313</v>
      </c>
    </row>
    <row r="142" spans="1:10" ht="33.75" hidden="1">
      <c r="A142" s="1024"/>
      <c r="B142" s="1005">
        <v>30</v>
      </c>
      <c r="C142" s="1052" t="s">
        <v>398</v>
      </c>
      <c r="D142" s="1025">
        <v>200</v>
      </c>
      <c r="E142" s="1028" t="s">
        <v>395</v>
      </c>
      <c r="F142" s="1027">
        <v>100</v>
      </c>
      <c r="G142" s="1028" t="s">
        <v>395</v>
      </c>
      <c r="H142" s="1029">
        <f>'MINI SSR 2022-23 (2)'!C128</f>
        <v>1977</v>
      </c>
      <c r="I142" s="1030">
        <f>SUM(D142*H142/F142)</f>
        <v>3954</v>
      </c>
      <c r="J142" s="964" t="s">
        <v>2313</v>
      </c>
    </row>
    <row r="143" spans="1:10" hidden="1">
      <c r="A143" s="1024"/>
      <c r="B143" s="1005"/>
      <c r="C143" s="1031" t="s">
        <v>399</v>
      </c>
      <c r="D143" s="1025"/>
      <c r="E143" s="1028"/>
      <c r="F143" s="1027"/>
      <c r="G143" s="1028"/>
      <c r="H143" s="1029"/>
      <c r="I143" s="1030">
        <f>SUM(I142:I142)</f>
        <v>3954</v>
      </c>
      <c r="J143" s="964" t="s">
        <v>2313</v>
      </c>
    </row>
    <row r="144" spans="1:10" hidden="1">
      <c r="A144" s="1024"/>
      <c r="B144" s="1005"/>
      <c r="C144" s="1031" t="s">
        <v>400</v>
      </c>
      <c r="D144" s="1025"/>
      <c r="E144" s="1028"/>
      <c r="F144" s="1027"/>
      <c r="G144" s="1028"/>
      <c r="H144" s="1029"/>
      <c r="I144" s="1030">
        <f>SUM(I143/100)</f>
        <v>39.54</v>
      </c>
      <c r="J144" s="964" t="s">
        <v>2313</v>
      </c>
    </row>
    <row r="145" spans="1:10" hidden="1">
      <c r="A145" s="1024"/>
      <c r="B145" s="1005"/>
      <c r="C145" s="1031" t="s">
        <v>399</v>
      </c>
      <c r="D145" s="1025"/>
      <c r="E145" s="1028"/>
      <c r="F145" s="1027"/>
      <c r="G145" s="1028"/>
      <c r="H145" s="1064"/>
      <c r="I145" s="1030">
        <f>SUM(I142:I144)</f>
        <v>7947.54</v>
      </c>
      <c r="J145" s="964" t="s">
        <v>2313</v>
      </c>
    </row>
    <row r="146" spans="1:10" hidden="1">
      <c r="A146" s="1024"/>
      <c r="B146" s="1005"/>
      <c r="C146" s="1031" t="s">
        <v>400</v>
      </c>
      <c r="D146" s="1025"/>
      <c r="E146" s="1028"/>
      <c r="F146" s="1027"/>
      <c r="G146" s="1028"/>
      <c r="H146" s="1064"/>
      <c r="I146" s="1030">
        <f>ROUND(I145/100,2)</f>
        <v>79.48</v>
      </c>
      <c r="J146" s="964" t="s">
        <v>2313</v>
      </c>
    </row>
    <row r="147" spans="1:10" ht="33.75" hidden="1">
      <c r="A147" s="1029" t="s">
        <v>2081</v>
      </c>
      <c r="B147" s="1024">
        <v>8</v>
      </c>
      <c r="C147" s="1031" t="s">
        <v>2086</v>
      </c>
      <c r="D147" s="1032"/>
      <c r="E147" s="1033"/>
      <c r="F147" s="1032"/>
      <c r="G147" s="1033"/>
      <c r="H147" s="1005"/>
      <c r="I147" s="1034"/>
      <c r="J147" s="964" t="s">
        <v>2313</v>
      </c>
    </row>
    <row r="148" spans="1:10" hidden="1">
      <c r="A148" s="1024"/>
      <c r="B148" s="1005"/>
      <c r="C148" s="1031" t="s">
        <v>384</v>
      </c>
      <c r="D148" s="1025"/>
      <c r="E148" s="1028"/>
      <c r="F148" s="1027"/>
      <c r="G148" s="1028"/>
      <c r="H148" s="1029"/>
      <c r="I148" s="1030"/>
      <c r="J148" s="964" t="s">
        <v>2313</v>
      </c>
    </row>
    <row r="149" spans="1:10" hidden="1">
      <c r="A149" s="1024"/>
      <c r="B149" s="1005"/>
      <c r="C149" s="1042" t="s">
        <v>1656</v>
      </c>
      <c r="D149" s="1025">
        <v>0.34</v>
      </c>
      <c r="E149" s="1043" t="s">
        <v>27</v>
      </c>
      <c r="F149" s="1027">
        <v>1</v>
      </c>
      <c r="G149" s="1043" t="s">
        <v>27</v>
      </c>
      <c r="H149" s="1029">
        <f>'MINI SSR 2022-23 (2)'!$H$16</f>
        <v>700</v>
      </c>
      <c r="I149" s="1030">
        <f>SUM(D149*H149/F149)</f>
        <v>238.00000000000003</v>
      </c>
      <c r="J149" s="964" t="s">
        <v>2313</v>
      </c>
    </row>
    <row r="150" spans="1:10" hidden="1">
      <c r="A150" s="1024"/>
      <c r="B150" s="1005"/>
      <c r="C150" s="1042" t="s">
        <v>1657</v>
      </c>
      <c r="D150" s="1025">
        <v>1</v>
      </c>
      <c r="E150" s="1043" t="s">
        <v>27</v>
      </c>
      <c r="F150" s="1027">
        <v>1</v>
      </c>
      <c r="G150" s="1043" t="s">
        <v>27</v>
      </c>
      <c r="H150" s="1029">
        <f>'MINI SSR 2022-23 (2)'!$H$17</f>
        <v>570</v>
      </c>
      <c r="I150" s="1030">
        <f>SUM(D150*H150/F150)</f>
        <v>570</v>
      </c>
      <c r="J150" s="964" t="s">
        <v>2313</v>
      </c>
    </row>
    <row r="151" spans="1:10" hidden="1">
      <c r="A151" s="1024"/>
      <c r="B151" s="1005"/>
      <c r="C151" s="1042" t="s">
        <v>700</v>
      </c>
      <c r="D151" s="1025">
        <v>0.34</v>
      </c>
      <c r="E151" s="1043" t="s">
        <v>27</v>
      </c>
      <c r="F151" s="1027">
        <v>1</v>
      </c>
      <c r="G151" s="1043" t="s">
        <v>27</v>
      </c>
      <c r="H151" s="1029">
        <f>'MINI SSR 2022-23 (2)'!$H$18</f>
        <v>505</v>
      </c>
      <c r="I151" s="1030">
        <f>SUM(D151*H151/F151)</f>
        <v>171.70000000000002</v>
      </c>
      <c r="J151" s="964" t="s">
        <v>2313</v>
      </c>
    </row>
    <row r="152" spans="1:10" hidden="1">
      <c r="A152" s="1024"/>
      <c r="B152" s="1005"/>
      <c r="C152" s="1052" t="s">
        <v>2082</v>
      </c>
      <c r="D152" s="1025">
        <v>100</v>
      </c>
      <c r="E152" s="1028" t="s">
        <v>395</v>
      </c>
      <c r="F152" s="1027">
        <v>100</v>
      </c>
      <c r="G152" s="1028" t="s">
        <v>395</v>
      </c>
      <c r="H152" s="1029">
        <f>'MINI SSR 2022-23 (2)'!C134</f>
        <v>1375</v>
      </c>
      <c r="I152" s="1030">
        <f>SUM(D152*H152/F152)</f>
        <v>1375</v>
      </c>
      <c r="J152" s="964" t="s">
        <v>2313</v>
      </c>
    </row>
    <row r="153" spans="1:10" hidden="1">
      <c r="A153" s="1024"/>
      <c r="B153" s="1005"/>
      <c r="C153" s="1031" t="s">
        <v>399</v>
      </c>
      <c r="D153" s="1025"/>
      <c r="E153" s="1028"/>
      <c r="F153" s="1027"/>
      <c r="G153" s="1028"/>
      <c r="H153" s="1029"/>
      <c r="I153" s="1030">
        <f>SUM(I149:I152)</f>
        <v>2354.6999999999998</v>
      </c>
      <c r="J153" s="964" t="s">
        <v>2313</v>
      </c>
    </row>
    <row r="154" spans="1:10" hidden="1">
      <c r="A154" s="1024"/>
      <c r="B154" s="1005"/>
      <c r="C154" s="1031" t="s">
        <v>400</v>
      </c>
      <c r="D154" s="1025"/>
      <c r="E154" s="1028"/>
      <c r="F154" s="1027"/>
      <c r="G154" s="1028"/>
      <c r="H154" s="1029"/>
      <c r="I154" s="1030">
        <f>ROUND(I153/100,2)</f>
        <v>23.55</v>
      </c>
      <c r="J154" s="964" t="s">
        <v>2313</v>
      </c>
    </row>
    <row r="155" spans="1:10" s="1509" customFormat="1" ht="46.5" customHeight="1">
      <c r="A155" s="1555" t="s">
        <v>723</v>
      </c>
      <c r="B155" s="1501">
        <v>12</v>
      </c>
      <c r="C155" s="1510" t="s">
        <v>401</v>
      </c>
      <c r="D155" s="1511"/>
      <c r="E155" s="1512"/>
      <c r="F155" s="1511"/>
      <c r="G155" s="1512"/>
      <c r="H155" s="1502"/>
      <c r="I155" s="1508"/>
      <c r="J155" s="1483" t="s">
        <v>2313</v>
      </c>
    </row>
    <row r="156" spans="1:10" s="1509" customFormat="1" ht="22.5">
      <c r="A156" s="1501"/>
      <c r="B156" s="1502"/>
      <c r="C156" s="1510" t="s">
        <v>391</v>
      </c>
      <c r="D156" s="1503"/>
      <c r="E156" s="1506"/>
      <c r="F156" s="1505"/>
      <c r="G156" s="1506"/>
      <c r="H156" s="1507"/>
      <c r="I156" s="1508"/>
      <c r="J156" s="1483" t="s">
        <v>2313</v>
      </c>
    </row>
    <row r="157" spans="1:10" s="1509" customFormat="1">
      <c r="A157" s="1501"/>
      <c r="B157" s="1502"/>
      <c r="C157" s="1510" t="s">
        <v>384</v>
      </c>
      <c r="D157" s="1503"/>
      <c r="E157" s="1506"/>
      <c r="F157" s="1505"/>
      <c r="G157" s="1506"/>
      <c r="H157" s="1507"/>
      <c r="I157" s="1508"/>
      <c r="J157" s="1483" t="s">
        <v>2313</v>
      </c>
    </row>
    <row r="158" spans="1:10" s="1509" customFormat="1">
      <c r="A158" s="1501"/>
      <c r="B158" s="1502"/>
      <c r="C158" s="1521" t="s">
        <v>1656</v>
      </c>
      <c r="D158" s="1503">
        <v>0.67</v>
      </c>
      <c r="E158" s="1522" t="s">
        <v>27</v>
      </c>
      <c r="F158" s="1505">
        <v>1</v>
      </c>
      <c r="G158" s="1522" t="s">
        <v>27</v>
      </c>
      <c r="H158" s="1507">
        <f>'MINI SSR 2022-23 (2)'!$H$16</f>
        <v>700</v>
      </c>
      <c r="I158" s="1508">
        <f>SUM(D158*H158/F158)</f>
        <v>469</v>
      </c>
      <c r="J158" s="1483" t="s">
        <v>2313</v>
      </c>
    </row>
    <row r="159" spans="1:10" s="1509" customFormat="1">
      <c r="A159" s="1501"/>
      <c r="B159" s="1502"/>
      <c r="C159" s="1521" t="s">
        <v>1657</v>
      </c>
      <c r="D159" s="1503">
        <v>2</v>
      </c>
      <c r="E159" s="1522" t="s">
        <v>27</v>
      </c>
      <c r="F159" s="1505">
        <v>1</v>
      </c>
      <c r="G159" s="1522" t="s">
        <v>27</v>
      </c>
      <c r="H159" s="1507">
        <f>'MINI SSR 2022-23 (2)'!$H$17</f>
        <v>570</v>
      </c>
      <c r="I159" s="1508">
        <f>SUM(D159*H159/F159)</f>
        <v>1140</v>
      </c>
      <c r="J159" s="1483" t="s">
        <v>2313</v>
      </c>
    </row>
    <row r="160" spans="1:10" s="1509" customFormat="1">
      <c r="A160" s="1501"/>
      <c r="B160" s="1502"/>
      <c r="C160" s="1521" t="s">
        <v>700</v>
      </c>
      <c r="D160" s="1503">
        <v>0.67</v>
      </c>
      <c r="E160" s="1522" t="s">
        <v>27</v>
      </c>
      <c r="F160" s="1505">
        <v>1</v>
      </c>
      <c r="G160" s="1522" t="s">
        <v>27</v>
      </c>
      <c r="H160" s="1507">
        <f>'MINI SSR 2022-23 (2)'!$H$18</f>
        <v>505</v>
      </c>
      <c r="I160" s="1508">
        <f>SUM(D160*H160/F160)</f>
        <v>338.35</v>
      </c>
      <c r="J160" s="1483" t="s">
        <v>2313</v>
      </c>
    </row>
    <row r="161" spans="1:10" s="1509" customFormat="1">
      <c r="A161" s="1501"/>
      <c r="B161" s="1502"/>
      <c r="C161" s="1510" t="s">
        <v>327</v>
      </c>
      <c r="D161" s="1503"/>
      <c r="E161" s="1522"/>
      <c r="F161" s="1505"/>
      <c r="G161" s="1522"/>
      <c r="H161" s="1507"/>
      <c r="I161" s="1508"/>
      <c r="J161" s="1483" t="s">
        <v>2313</v>
      </c>
    </row>
    <row r="162" spans="1:10" s="1509" customFormat="1" ht="33.75">
      <c r="A162" s="1501"/>
      <c r="B162" s="1502"/>
      <c r="C162" s="1556" t="s">
        <v>1661</v>
      </c>
      <c r="D162" s="1503">
        <v>200</v>
      </c>
      <c r="E162" s="1506" t="s">
        <v>395</v>
      </c>
      <c r="F162" s="1505">
        <v>100</v>
      </c>
      <c r="G162" s="1506" t="s">
        <v>395</v>
      </c>
      <c r="H162" s="1507">
        <f>'MINI SSR 2022-23 (2)'!C129</f>
        <v>3193</v>
      </c>
      <c r="I162" s="1508">
        <f>SUM(D162*H162/F162)</f>
        <v>6386</v>
      </c>
      <c r="J162" s="1483" t="s">
        <v>2313</v>
      </c>
    </row>
    <row r="163" spans="1:10" s="1509" customFormat="1">
      <c r="A163" s="1501"/>
      <c r="B163" s="1502"/>
      <c r="C163" s="1510" t="s">
        <v>399</v>
      </c>
      <c r="D163" s="1503"/>
      <c r="E163" s="1506"/>
      <c r="F163" s="1505"/>
      <c r="G163" s="1506"/>
      <c r="H163" s="1507"/>
      <c r="I163" s="1508">
        <f>SUM(I158:I162)</f>
        <v>8333.35</v>
      </c>
      <c r="J163" s="1483" t="s">
        <v>2313</v>
      </c>
    </row>
    <row r="164" spans="1:10" s="1509" customFormat="1">
      <c r="A164" s="1501"/>
      <c r="B164" s="1502"/>
      <c r="C164" s="1510" t="s">
        <v>400</v>
      </c>
      <c r="D164" s="1503"/>
      <c r="E164" s="1506"/>
      <c r="F164" s="1505"/>
      <c r="G164" s="1506"/>
      <c r="H164" s="1507"/>
      <c r="I164" s="1508">
        <f>SUM(I163/100)</f>
        <v>83.333500000000001</v>
      </c>
      <c r="J164" s="1483" t="s">
        <v>2313</v>
      </c>
    </row>
    <row r="165" spans="1:10" ht="45" hidden="1">
      <c r="A165" s="1051" t="s">
        <v>724</v>
      </c>
      <c r="B165" s="1024">
        <v>11</v>
      </c>
      <c r="C165" s="1031" t="s">
        <v>402</v>
      </c>
      <c r="D165" s="1032"/>
      <c r="E165" s="1033"/>
      <c r="F165" s="1032"/>
      <c r="G165" s="1033"/>
      <c r="H165" s="1005"/>
      <c r="I165" s="1030"/>
      <c r="J165" s="964" t="s">
        <v>2313</v>
      </c>
    </row>
    <row r="166" spans="1:10" ht="22.5" hidden="1">
      <c r="A166" s="1029"/>
      <c r="B166" s="1005"/>
      <c r="C166" s="1031" t="s">
        <v>403</v>
      </c>
      <c r="D166" s="1025"/>
      <c r="E166" s="1028"/>
      <c r="F166" s="1027"/>
      <c r="G166" s="1028"/>
      <c r="H166" s="1029"/>
      <c r="I166" s="1030"/>
      <c r="J166" s="964" t="s">
        <v>2313</v>
      </c>
    </row>
    <row r="167" spans="1:10" hidden="1">
      <c r="A167" s="1029"/>
      <c r="B167" s="1005"/>
      <c r="C167" s="1031" t="s">
        <v>384</v>
      </c>
      <c r="D167" s="1025"/>
      <c r="E167" s="1028"/>
      <c r="F167" s="1027"/>
      <c r="G167" s="1028"/>
      <c r="H167" s="1029"/>
      <c r="I167" s="1030"/>
      <c r="J167" s="964" t="s">
        <v>2313</v>
      </c>
    </row>
    <row r="168" spans="1:10" hidden="1">
      <c r="A168" s="1029"/>
      <c r="B168" s="1005"/>
      <c r="C168" s="1042" t="s">
        <v>1656</v>
      </c>
      <c r="D168" s="1025">
        <v>1</v>
      </c>
      <c r="E168" s="1043" t="s">
        <v>27</v>
      </c>
      <c r="F168" s="1027">
        <v>1</v>
      </c>
      <c r="G168" s="1043" t="s">
        <v>27</v>
      </c>
      <c r="H168" s="1029">
        <f>'MINI SSR 2022-23 (2)'!$H$16</f>
        <v>700</v>
      </c>
      <c r="I168" s="1030">
        <f>SUM(D168*H168/F168)</f>
        <v>700</v>
      </c>
      <c r="J168" s="964" t="s">
        <v>2313</v>
      </c>
    </row>
    <row r="169" spans="1:10" hidden="1">
      <c r="A169" s="1029"/>
      <c r="B169" s="1005"/>
      <c r="C169" s="1042" t="s">
        <v>1657</v>
      </c>
      <c r="D169" s="1025">
        <v>3</v>
      </c>
      <c r="E169" s="1043" t="s">
        <v>27</v>
      </c>
      <c r="F169" s="1027">
        <v>1</v>
      </c>
      <c r="G169" s="1043" t="s">
        <v>27</v>
      </c>
      <c r="H169" s="1029">
        <f>'MINI SSR 2022-23 (2)'!$H$17</f>
        <v>570</v>
      </c>
      <c r="I169" s="1030">
        <f>SUM(D169*H169/F169)</f>
        <v>1710</v>
      </c>
      <c r="J169" s="964" t="s">
        <v>2313</v>
      </c>
    </row>
    <row r="170" spans="1:10" hidden="1">
      <c r="A170" s="1029"/>
      <c r="B170" s="1005"/>
      <c r="C170" s="1042" t="s">
        <v>700</v>
      </c>
      <c r="D170" s="1025">
        <v>1</v>
      </c>
      <c r="E170" s="1043" t="s">
        <v>27</v>
      </c>
      <c r="F170" s="1027">
        <v>1</v>
      </c>
      <c r="G170" s="1043" t="s">
        <v>27</v>
      </c>
      <c r="H170" s="1029">
        <f>'MINI SSR 2022-23 (2)'!$H$18</f>
        <v>505</v>
      </c>
      <c r="I170" s="1030">
        <f>SUM(D170*H170/F170)</f>
        <v>505</v>
      </c>
      <c r="J170" s="964" t="s">
        <v>2313</v>
      </c>
    </row>
    <row r="171" spans="1:10" hidden="1">
      <c r="A171" s="1029"/>
      <c r="B171" s="1005"/>
      <c r="C171" s="1031" t="s">
        <v>327</v>
      </c>
      <c r="D171" s="1025"/>
      <c r="E171" s="1043"/>
      <c r="F171" s="1027"/>
      <c r="G171" s="1043"/>
      <c r="H171" s="1029"/>
      <c r="I171" s="1030"/>
      <c r="J171" s="964" t="s">
        <v>2313</v>
      </c>
    </row>
    <row r="172" spans="1:10" ht="33.75" hidden="1">
      <c r="A172" s="1029"/>
      <c r="B172" s="1005"/>
      <c r="C172" s="1052" t="s">
        <v>1662</v>
      </c>
      <c r="D172" s="1025">
        <v>200</v>
      </c>
      <c r="E172" s="1028" t="s">
        <v>395</v>
      </c>
      <c r="F172" s="1027">
        <v>100</v>
      </c>
      <c r="G172" s="1028" t="s">
        <v>395</v>
      </c>
      <c r="H172" s="1029">
        <f>'MINI SSR 2022-23 (2)'!C130</f>
        <v>4875</v>
      </c>
      <c r="I172" s="1030">
        <f>SUM(D172*H172/F172)</f>
        <v>9750</v>
      </c>
      <c r="J172" s="964" t="s">
        <v>2313</v>
      </c>
    </row>
    <row r="173" spans="1:10" hidden="1">
      <c r="A173" s="1029"/>
      <c r="B173" s="1005"/>
      <c r="C173" s="1031" t="s">
        <v>399</v>
      </c>
      <c r="D173" s="1025"/>
      <c r="E173" s="1028"/>
      <c r="F173" s="1027"/>
      <c r="G173" s="1028"/>
      <c r="H173" s="1029"/>
      <c r="I173" s="1030">
        <f>SUM(I168:I172)</f>
        <v>12665</v>
      </c>
      <c r="J173" s="964" t="s">
        <v>2313</v>
      </c>
    </row>
    <row r="174" spans="1:10" hidden="1">
      <c r="A174" s="1029"/>
      <c r="B174" s="1005"/>
      <c r="C174" s="1031" t="s">
        <v>400</v>
      </c>
      <c r="D174" s="1025"/>
      <c r="E174" s="1028"/>
      <c r="F174" s="1027"/>
      <c r="G174" s="1028"/>
      <c r="H174" s="1029"/>
      <c r="I174" s="1030">
        <f>SUM(I173/100)</f>
        <v>126.65</v>
      </c>
      <c r="J174" s="964" t="s">
        <v>2313</v>
      </c>
    </row>
    <row r="175" spans="1:10" ht="45" hidden="1">
      <c r="A175" s="1051" t="s">
        <v>881</v>
      </c>
      <c r="B175" s="1024">
        <v>10</v>
      </c>
      <c r="C175" s="1031" t="s">
        <v>882</v>
      </c>
      <c r="D175" s="1032"/>
      <c r="E175" s="1033"/>
      <c r="F175" s="1032"/>
      <c r="G175" s="1033"/>
      <c r="H175" s="1005"/>
      <c r="I175" s="1030"/>
      <c r="J175" s="964" t="s">
        <v>2313</v>
      </c>
    </row>
    <row r="176" spans="1:10" hidden="1">
      <c r="A176" s="1029"/>
      <c r="B176" s="1005"/>
      <c r="C176" s="1031" t="s">
        <v>384</v>
      </c>
      <c r="D176" s="1025"/>
      <c r="E176" s="1028"/>
      <c r="F176" s="1027"/>
      <c r="G176" s="1028"/>
      <c r="H176" s="1029"/>
      <c r="I176" s="1030"/>
      <c r="J176" s="964" t="s">
        <v>2313</v>
      </c>
    </row>
    <row r="177" spans="1:10" hidden="1">
      <c r="A177" s="1029"/>
      <c r="B177" s="1005"/>
      <c r="C177" s="1042" t="s">
        <v>156</v>
      </c>
      <c r="D177" s="1025">
        <v>1</v>
      </c>
      <c r="E177" s="1043" t="s">
        <v>27</v>
      </c>
      <c r="F177" s="1027">
        <v>1</v>
      </c>
      <c r="G177" s="1043" t="s">
        <v>27</v>
      </c>
      <c r="H177" s="1029">
        <f>'MINI SSR 2022-23 (2)'!$H$16</f>
        <v>700</v>
      </c>
      <c r="I177" s="1030">
        <f>SUM(D177*H177/F177)</f>
        <v>700</v>
      </c>
      <c r="J177" s="964" t="s">
        <v>2313</v>
      </c>
    </row>
    <row r="178" spans="1:10" hidden="1">
      <c r="A178" s="1029"/>
      <c r="B178" s="1005"/>
      <c r="C178" s="1042" t="s">
        <v>886</v>
      </c>
      <c r="D178" s="1025">
        <v>1</v>
      </c>
      <c r="E178" s="1043" t="s">
        <v>27</v>
      </c>
      <c r="F178" s="1027">
        <v>1</v>
      </c>
      <c r="G178" s="1043" t="s">
        <v>27</v>
      </c>
      <c r="H178" s="1029">
        <f>'MINI SSR 2022-23 (2)'!$H$17</f>
        <v>570</v>
      </c>
      <c r="I178" s="1030">
        <f>SUM(D178*H178/F178)</f>
        <v>570</v>
      </c>
      <c r="J178" s="964" t="s">
        <v>2313</v>
      </c>
    </row>
    <row r="179" spans="1:10" hidden="1">
      <c r="A179" s="1029"/>
      <c r="B179" s="1005"/>
      <c r="C179" s="1042" t="s">
        <v>700</v>
      </c>
      <c r="D179" s="1025">
        <v>1</v>
      </c>
      <c r="E179" s="1043" t="s">
        <v>27</v>
      </c>
      <c r="F179" s="1027">
        <v>1</v>
      </c>
      <c r="G179" s="1043" t="s">
        <v>27</v>
      </c>
      <c r="H179" s="1029">
        <f>'MINI SSR 2022-23 (2)'!$H$18</f>
        <v>505</v>
      </c>
      <c r="I179" s="1030">
        <f>SUM(D179*H179/F179)</f>
        <v>505</v>
      </c>
      <c r="J179" s="964" t="s">
        <v>2313</v>
      </c>
    </row>
    <row r="180" spans="1:10" hidden="1">
      <c r="A180" s="1029"/>
      <c r="B180" s="1005"/>
      <c r="C180" s="1031" t="s">
        <v>327</v>
      </c>
      <c r="D180" s="1025"/>
      <c r="E180" s="1043"/>
      <c r="F180" s="1027"/>
      <c r="G180" s="1043"/>
      <c r="H180" s="1029"/>
      <c r="I180" s="1030"/>
      <c r="J180" s="964" t="s">
        <v>2313</v>
      </c>
    </row>
    <row r="181" spans="1:10" hidden="1">
      <c r="A181" s="1029"/>
      <c r="B181" s="1005"/>
      <c r="C181" s="1052" t="s">
        <v>883</v>
      </c>
      <c r="D181" s="1025">
        <v>200</v>
      </c>
      <c r="E181" s="1028" t="s">
        <v>395</v>
      </c>
      <c r="F181" s="1027">
        <v>100</v>
      </c>
      <c r="G181" s="1028" t="s">
        <v>395</v>
      </c>
      <c r="H181" s="1029">
        <f>'MINI SSR 2022-23 (2)'!C131</f>
        <v>1816</v>
      </c>
      <c r="I181" s="1030">
        <f>SUM(D181*H181/F181)</f>
        <v>3632</v>
      </c>
      <c r="J181" s="964" t="s">
        <v>2313</v>
      </c>
    </row>
    <row r="182" spans="1:10" hidden="1">
      <c r="A182" s="1029"/>
      <c r="B182" s="1005"/>
      <c r="C182" s="1052" t="s">
        <v>884</v>
      </c>
      <c r="D182" s="1025">
        <v>6.7</v>
      </c>
      <c r="E182" s="1028" t="s">
        <v>4</v>
      </c>
      <c r="F182" s="1027">
        <v>1</v>
      </c>
      <c r="G182" s="1028" t="s">
        <v>4</v>
      </c>
      <c r="H182" s="1029">
        <f>'MINI SSR 2022-23 (2)'!C132</f>
        <v>79</v>
      </c>
      <c r="I182" s="1030">
        <f>SUM(D182*H182/F182)</f>
        <v>529.30000000000007</v>
      </c>
      <c r="J182" s="964" t="s">
        <v>2313</v>
      </c>
    </row>
    <row r="183" spans="1:10" hidden="1">
      <c r="A183" s="1029"/>
      <c r="B183" s="1005"/>
      <c r="C183" s="1052" t="s">
        <v>885</v>
      </c>
      <c r="D183" s="1025">
        <v>100</v>
      </c>
      <c r="E183" s="1028" t="s">
        <v>325</v>
      </c>
      <c r="F183" s="1027">
        <v>100</v>
      </c>
      <c r="G183" s="1028" t="s">
        <v>115</v>
      </c>
      <c r="H183" s="1029">
        <f>'MINI SSR 2022-23 (2)'!C133</f>
        <v>520</v>
      </c>
      <c r="I183" s="1030">
        <f>SUM(D183*H183/F183)</f>
        <v>520</v>
      </c>
      <c r="J183" s="964" t="s">
        <v>2313</v>
      </c>
    </row>
    <row r="184" spans="1:10" hidden="1">
      <c r="A184" s="1029"/>
      <c r="B184" s="1005"/>
      <c r="C184" s="1031" t="s">
        <v>399</v>
      </c>
      <c r="D184" s="1025"/>
      <c r="E184" s="1028"/>
      <c r="F184" s="1027"/>
      <c r="G184" s="1028"/>
      <c r="H184" s="1029"/>
      <c r="I184" s="1030">
        <f>SUM(I177:I183)</f>
        <v>6456.3</v>
      </c>
      <c r="J184" s="964" t="s">
        <v>2313</v>
      </c>
    </row>
    <row r="185" spans="1:10" hidden="1">
      <c r="A185" s="1029"/>
      <c r="B185" s="1005"/>
      <c r="C185" s="1031" t="s">
        <v>400</v>
      </c>
      <c r="D185" s="1025"/>
      <c r="E185" s="1028"/>
      <c r="F185" s="1027"/>
      <c r="G185" s="1028"/>
      <c r="H185" s="1029"/>
      <c r="I185" s="1030">
        <f>SUM(I184/100)</f>
        <v>64.563000000000002</v>
      </c>
      <c r="J185" s="964" t="s">
        <v>2313</v>
      </c>
    </row>
    <row r="186" spans="1:10" s="1509" customFormat="1" ht="33.75">
      <c r="A186" s="1555" t="s">
        <v>725</v>
      </c>
      <c r="B186" s="1501">
        <v>13</v>
      </c>
      <c r="C186" s="1510" t="s">
        <v>1267</v>
      </c>
      <c r="D186" s="1514"/>
      <c r="E186" s="1504"/>
      <c r="F186" s="1514"/>
      <c r="G186" s="1504"/>
      <c r="H186" s="1510"/>
      <c r="I186" s="1510"/>
      <c r="J186" s="1483" t="s">
        <v>2313</v>
      </c>
    </row>
    <row r="187" spans="1:10" s="1509" customFormat="1" ht="22.5">
      <c r="A187" s="1501"/>
      <c r="B187" s="1502"/>
      <c r="C187" s="1510" t="s">
        <v>404</v>
      </c>
      <c r="D187" s="1514"/>
      <c r="E187" s="1504"/>
      <c r="F187" s="1514"/>
      <c r="G187" s="1504"/>
      <c r="H187" s="1510"/>
      <c r="I187" s="1510"/>
      <c r="J187" s="1483" t="s">
        <v>2313</v>
      </c>
    </row>
    <row r="188" spans="1:10" s="1509" customFormat="1">
      <c r="A188" s="1501"/>
      <c r="B188" s="1502"/>
      <c r="C188" s="1510" t="s">
        <v>384</v>
      </c>
      <c r="D188" s="1503"/>
      <c r="E188" s="1506"/>
      <c r="F188" s="1505"/>
      <c r="G188" s="1506"/>
      <c r="H188" s="1507"/>
      <c r="I188" s="1508"/>
      <c r="J188" s="1483" t="s">
        <v>2313</v>
      </c>
    </row>
    <row r="189" spans="1:10" s="1509" customFormat="1">
      <c r="A189" s="1501"/>
      <c r="B189" s="1502"/>
      <c r="C189" s="1521" t="s">
        <v>1656</v>
      </c>
      <c r="D189" s="1503">
        <v>0.05</v>
      </c>
      <c r="E189" s="1522" t="s">
        <v>27</v>
      </c>
      <c r="F189" s="1505">
        <v>1</v>
      </c>
      <c r="G189" s="1522" t="s">
        <v>27</v>
      </c>
      <c r="H189" s="1507">
        <f>'MINI SSR 2022-23 (2)'!$H$16</f>
        <v>700</v>
      </c>
      <c r="I189" s="1508">
        <f>SUM(D189*H189/F189)</f>
        <v>35</v>
      </c>
      <c r="J189" s="1483" t="s">
        <v>2313</v>
      </c>
    </row>
    <row r="190" spans="1:10" s="1509" customFormat="1">
      <c r="A190" s="1501"/>
      <c r="B190" s="1502"/>
      <c r="C190" s="1521" t="s">
        <v>700</v>
      </c>
      <c r="D190" s="1503">
        <v>0.05</v>
      </c>
      <c r="E190" s="1522" t="s">
        <v>27</v>
      </c>
      <c r="F190" s="1505">
        <v>1</v>
      </c>
      <c r="G190" s="1522" t="s">
        <v>27</v>
      </c>
      <c r="H190" s="1507">
        <f>'MINI SSR 2022-23 (2)'!$H$18</f>
        <v>505</v>
      </c>
      <c r="I190" s="1520">
        <f>SUM(D190*H190/F190)</f>
        <v>25.25</v>
      </c>
      <c r="J190" s="1483" t="s">
        <v>2313</v>
      </c>
    </row>
    <row r="191" spans="1:10" s="1509" customFormat="1">
      <c r="A191" s="1501"/>
      <c r="B191" s="1502"/>
      <c r="C191" s="1510" t="s">
        <v>327</v>
      </c>
      <c r="D191" s="1503"/>
      <c r="E191" s="1522"/>
      <c r="F191" s="1505"/>
      <c r="G191" s="1522"/>
      <c r="H191" s="1507"/>
      <c r="I191" s="1508"/>
      <c r="J191" s="1483" t="s">
        <v>2313</v>
      </c>
    </row>
    <row r="192" spans="1:10" s="1509" customFormat="1" ht="33.75">
      <c r="A192" s="1501"/>
      <c r="B192" s="1502"/>
      <c r="C192" s="1510" t="s">
        <v>1663</v>
      </c>
      <c r="D192" s="1557">
        <v>1</v>
      </c>
      <c r="E192" s="1506" t="s">
        <v>325</v>
      </c>
      <c r="F192" s="1505">
        <v>1</v>
      </c>
      <c r="G192" s="1506" t="s">
        <v>115</v>
      </c>
      <c r="H192" s="1507">
        <f>'MINI SSR 2022-23 (2)'!G114</f>
        <v>21</v>
      </c>
      <c r="I192" s="1508">
        <f>SUM(D192*H192/F192)</f>
        <v>21</v>
      </c>
      <c r="J192" s="1483" t="s">
        <v>2313</v>
      </c>
    </row>
    <row r="193" spans="1:10" s="1509" customFormat="1">
      <c r="A193" s="1501"/>
      <c r="B193" s="1502"/>
      <c r="C193" s="1510" t="s">
        <v>1266</v>
      </c>
      <c r="D193" s="1557">
        <v>1</v>
      </c>
      <c r="E193" s="1506" t="s">
        <v>325</v>
      </c>
      <c r="F193" s="1505">
        <v>1</v>
      </c>
      <c r="G193" s="1506" t="s">
        <v>115</v>
      </c>
      <c r="H193" s="1507">
        <f>'MINI SSR 2022-23 (2)'!G115</f>
        <v>46</v>
      </c>
      <c r="I193" s="1508">
        <f>SUM(D193*H193/F193)</f>
        <v>46</v>
      </c>
      <c r="J193" s="1483" t="s">
        <v>2313</v>
      </c>
    </row>
    <row r="194" spans="1:10" s="1509" customFormat="1">
      <c r="A194" s="1501"/>
      <c r="B194" s="1502"/>
      <c r="C194" s="1510" t="s">
        <v>405</v>
      </c>
      <c r="D194" s="1503"/>
      <c r="E194" s="1522"/>
      <c r="F194" s="1505"/>
      <c r="G194" s="1522"/>
      <c r="H194" s="1507"/>
      <c r="I194" s="1508">
        <f>SUM(I189:I193)</f>
        <v>127.25</v>
      </c>
      <c r="J194" s="1483" t="s">
        <v>2313</v>
      </c>
    </row>
    <row r="195" spans="1:10" s="1509" customFormat="1" ht="45">
      <c r="A195" s="1507" t="s">
        <v>1664</v>
      </c>
      <c r="B195" s="1501">
        <v>14</v>
      </c>
      <c r="C195" s="1510" t="s">
        <v>406</v>
      </c>
      <c r="D195" s="1514"/>
      <c r="E195" s="1504"/>
      <c r="F195" s="1514"/>
      <c r="G195" s="1504"/>
      <c r="H195" s="1510"/>
      <c r="I195" s="1510"/>
      <c r="J195" s="1483" t="s">
        <v>2313</v>
      </c>
    </row>
    <row r="196" spans="1:10" s="1509" customFormat="1" ht="33.75">
      <c r="A196" s="1501"/>
      <c r="B196" s="1501"/>
      <c r="C196" s="1510" t="s">
        <v>407</v>
      </c>
      <c r="D196" s="1563"/>
      <c r="E196" s="1504"/>
      <c r="F196" s="1514"/>
      <c r="G196" s="1504"/>
      <c r="H196" s="1510"/>
      <c r="I196" s="1510"/>
      <c r="J196" s="1483" t="s">
        <v>2313</v>
      </c>
    </row>
    <row r="197" spans="1:10" s="1509" customFormat="1" ht="33.75">
      <c r="A197" s="1501"/>
      <c r="B197" s="1501"/>
      <c r="C197" s="1510" t="s">
        <v>408</v>
      </c>
      <c r="D197" s="1563"/>
      <c r="E197" s="1504"/>
      <c r="F197" s="1514"/>
      <c r="G197" s="1504"/>
      <c r="H197" s="1510"/>
      <c r="I197" s="1510"/>
      <c r="J197" s="1483" t="s">
        <v>2313</v>
      </c>
    </row>
    <row r="198" spans="1:10" s="1509" customFormat="1">
      <c r="A198" s="1501"/>
      <c r="B198" s="1502"/>
      <c r="C198" s="1564" t="s">
        <v>409</v>
      </c>
      <c r="D198" s="1503"/>
      <c r="E198" s="1506"/>
      <c r="F198" s="1505"/>
      <c r="G198" s="1506"/>
      <c r="H198" s="1507"/>
      <c r="I198" s="1508"/>
      <c r="J198" s="1483" t="s">
        <v>2313</v>
      </c>
    </row>
    <row r="199" spans="1:10" s="1509" customFormat="1">
      <c r="A199" s="1501"/>
      <c r="B199" s="1502"/>
      <c r="C199" s="1521" t="s">
        <v>1656</v>
      </c>
      <c r="D199" s="1559">
        <v>0.125</v>
      </c>
      <c r="E199" s="1522" t="s">
        <v>27</v>
      </c>
      <c r="F199" s="1505">
        <v>1</v>
      </c>
      <c r="G199" s="1522" t="s">
        <v>27</v>
      </c>
      <c r="H199" s="1507">
        <f>'MINI SSR 2022-23 (2)'!$H$16</f>
        <v>700</v>
      </c>
      <c r="I199" s="1508">
        <f>SUM(D199*H199/F199)</f>
        <v>87.5</v>
      </c>
      <c r="J199" s="1483" t="s">
        <v>2313</v>
      </c>
    </row>
    <row r="200" spans="1:10" s="1509" customFormat="1">
      <c r="A200" s="1501"/>
      <c r="B200" s="1502"/>
      <c r="C200" s="1521" t="s">
        <v>700</v>
      </c>
      <c r="D200" s="1559">
        <v>0.125</v>
      </c>
      <c r="E200" s="1522" t="s">
        <v>27</v>
      </c>
      <c r="F200" s="1505">
        <v>1</v>
      </c>
      <c r="G200" s="1522" t="s">
        <v>27</v>
      </c>
      <c r="H200" s="1507">
        <f>'MINI SSR 2022-23 (2)'!$H$18</f>
        <v>505</v>
      </c>
      <c r="I200" s="1520">
        <f>SUM(D200*H200/F200)</f>
        <v>63.125</v>
      </c>
      <c r="J200" s="1483" t="s">
        <v>2313</v>
      </c>
    </row>
    <row r="201" spans="1:10" s="1509" customFormat="1">
      <c r="A201" s="1501"/>
      <c r="B201" s="1502"/>
      <c r="C201" s="1510" t="s">
        <v>410</v>
      </c>
      <c r="D201" s="1503"/>
      <c r="E201" s="1522"/>
      <c r="F201" s="1505"/>
      <c r="G201" s="1522"/>
      <c r="H201" s="1507"/>
      <c r="I201" s="1508"/>
      <c r="J201" s="1483" t="s">
        <v>2313</v>
      </c>
    </row>
    <row r="202" spans="1:10" s="1509" customFormat="1">
      <c r="A202" s="1501"/>
      <c r="B202" s="1502"/>
      <c r="C202" s="1556" t="s">
        <v>1665</v>
      </c>
      <c r="D202" s="1503">
        <v>1</v>
      </c>
      <c r="E202" s="1506" t="s">
        <v>385</v>
      </c>
      <c r="F202" s="1505">
        <v>100</v>
      </c>
      <c r="G202" s="1506" t="s">
        <v>395</v>
      </c>
      <c r="H202" s="1507">
        <f>'MINI SSR 2022-23 (2)'!G116</f>
        <v>1244</v>
      </c>
      <c r="I202" s="1508">
        <f>SUM(D202*H202/F202)</f>
        <v>12.44</v>
      </c>
      <c r="J202" s="1483" t="s">
        <v>2313</v>
      </c>
    </row>
    <row r="203" spans="1:10" s="1509" customFormat="1">
      <c r="A203" s="1501"/>
      <c r="B203" s="1502"/>
      <c r="C203" s="1556" t="s">
        <v>1666</v>
      </c>
      <c r="D203" s="1503">
        <v>1</v>
      </c>
      <c r="E203" s="1506" t="s">
        <v>115</v>
      </c>
      <c r="F203" s="1505">
        <v>1</v>
      </c>
      <c r="G203" s="1506" t="s">
        <v>115</v>
      </c>
      <c r="H203" s="1507">
        <f>'MINI SSR 2022-23 (2)'!G117</f>
        <v>208</v>
      </c>
      <c r="I203" s="1508">
        <f>SUM(D203*H203/F203)</f>
        <v>208</v>
      </c>
      <c r="J203" s="1483" t="s">
        <v>2313</v>
      </c>
    </row>
    <row r="204" spans="1:10" s="1509" customFormat="1">
      <c r="A204" s="1501"/>
      <c r="B204" s="1502"/>
      <c r="C204" s="1556" t="s">
        <v>1667</v>
      </c>
      <c r="D204" s="1503">
        <v>1</v>
      </c>
      <c r="E204" s="1506" t="s">
        <v>325</v>
      </c>
      <c r="F204" s="1505">
        <v>1</v>
      </c>
      <c r="G204" s="1506" t="s">
        <v>325</v>
      </c>
      <c r="H204" s="1507">
        <f>'MINI SSR 2022-23 (2)'!G118</f>
        <v>2912</v>
      </c>
      <c r="I204" s="1508">
        <f>SUM(D204*H204/F204)</f>
        <v>2912</v>
      </c>
      <c r="J204" s="1483" t="s">
        <v>2313</v>
      </c>
    </row>
    <row r="205" spans="1:10" s="1509" customFormat="1">
      <c r="A205" s="1501"/>
      <c r="B205" s="1502"/>
      <c r="C205" s="1510" t="s">
        <v>411</v>
      </c>
      <c r="D205" s="1503"/>
      <c r="E205" s="1506"/>
      <c r="F205" s="1505"/>
      <c r="G205" s="1506"/>
      <c r="H205" s="1565">
        <v>0.01</v>
      </c>
      <c r="I205" s="1508">
        <f>SUM(I204*H205)</f>
        <v>29.12</v>
      </c>
      <c r="J205" s="1483" t="s">
        <v>2313</v>
      </c>
    </row>
    <row r="206" spans="1:10" s="1509" customFormat="1">
      <c r="A206" s="1501"/>
      <c r="B206" s="1502"/>
      <c r="C206" s="1515" t="s">
        <v>388</v>
      </c>
      <c r="D206" s="1511"/>
      <c r="E206" s="1512"/>
      <c r="F206" s="1511"/>
      <c r="G206" s="1566"/>
      <c r="H206" s="1562"/>
      <c r="I206" s="1508">
        <f>SUM(I199:I205)</f>
        <v>3312.1849999999999</v>
      </c>
      <c r="J206" s="1483" t="s">
        <v>2313</v>
      </c>
    </row>
    <row r="207" spans="1:10" ht="33.75" hidden="1">
      <c r="A207" s="1029" t="s">
        <v>1668</v>
      </c>
      <c r="B207" s="1024">
        <v>12</v>
      </c>
      <c r="C207" s="1031" t="s">
        <v>946</v>
      </c>
      <c r="D207" s="1035"/>
      <c r="E207" s="1026"/>
      <c r="F207" s="1035"/>
      <c r="G207" s="1026"/>
      <c r="H207" s="1031"/>
      <c r="I207" s="1031"/>
      <c r="J207" s="964" t="s">
        <v>2313</v>
      </c>
    </row>
    <row r="208" spans="1:10" hidden="1">
      <c r="A208" s="1024"/>
      <c r="B208" s="1005"/>
      <c r="C208" s="1052" t="s">
        <v>970</v>
      </c>
      <c r="D208" s="1025">
        <v>1</v>
      </c>
      <c r="E208" s="1028" t="s">
        <v>325</v>
      </c>
      <c r="F208" s="1027">
        <v>1</v>
      </c>
      <c r="G208" s="1028" t="s">
        <v>325</v>
      </c>
      <c r="H208" s="1029">
        <f>'MINI SSR 2022-23 (2)'!G118</f>
        <v>2912</v>
      </c>
      <c r="I208" s="1030">
        <f>SUM(D208*H208/F208)</f>
        <v>2912</v>
      </c>
      <c r="J208" s="964" t="s">
        <v>2313</v>
      </c>
    </row>
    <row r="209" spans="1:10" hidden="1">
      <c r="A209" s="1024"/>
      <c r="B209" s="1005"/>
      <c r="C209" s="1031" t="s">
        <v>411</v>
      </c>
      <c r="D209" s="1025"/>
      <c r="E209" s="1028"/>
      <c r="F209" s="1027"/>
      <c r="G209" s="1028"/>
      <c r="H209" s="1067">
        <v>0.01</v>
      </c>
      <c r="I209" s="1030">
        <f>SUM(I208*H209)</f>
        <v>29.12</v>
      </c>
      <c r="J209" s="964" t="s">
        <v>2313</v>
      </c>
    </row>
    <row r="210" spans="1:10" hidden="1">
      <c r="A210" s="1024"/>
      <c r="B210" s="1005"/>
      <c r="C210" s="1036" t="s">
        <v>388</v>
      </c>
      <c r="D210" s="1032"/>
      <c r="E210" s="1033"/>
      <c r="F210" s="1032"/>
      <c r="G210" s="1068"/>
      <c r="H210" s="1064"/>
      <c r="I210" s="1030">
        <f>SUM(I208:I209)</f>
        <v>2941.12</v>
      </c>
      <c r="J210" s="964" t="s">
        <v>2313</v>
      </c>
    </row>
    <row r="211" spans="1:10" ht="22.5" hidden="1">
      <c r="A211" s="1029" t="s">
        <v>1669</v>
      </c>
      <c r="B211" s="1024">
        <v>13</v>
      </c>
      <c r="C211" s="1031" t="s">
        <v>1670</v>
      </c>
      <c r="D211" s="1035"/>
      <c r="E211" s="1026"/>
      <c r="F211" s="1035"/>
      <c r="G211" s="1026"/>
      <c r="H211" s="1031"/>
      <c r="I211" s="1031"/>
      <c r="J211" s="964" t="s">
        <v>2313</v>
      </c>
    </row>
    <row r="212" spans="1:10" hidden="1">
      <c r="A212" s="1024"/>
      <c r="B212" s="1005"/>
      <c r="C212" s="1052" t="s">
        <v>1666</v>
      </c>
      <c r="D212" s="1025">
        <v>1</v>
      </c>
      <c r="E212" s="1028" t="s">
        <v>325</v>
      </c>
      <c r="F212" s="1027">
        <v>1</v>
      </c>
      <c r="G212" s="1028" t="s">
        <v>325</v>
      </c>
      <c r="H212" s="1029">
        <f>'MINI SSR 2022-23 (2)'!G117</f>
        <v>208</v>
      </c>
      <c r="I212" s="1030">
        <f>SUM(D212*H212/F212)</f>
        <v>208</v>
      </c>
      <c r="J212" s="964" t="s">
        <v>2313</v>
      </c>
    </row>
    <row r="213" spans="1:10" hidden="1">
      <c r="A213" s="1024"/>
      <c r="B213" s="1005"/>
      <c r="C213" s="1042" t="s">
        <v>1656</v>
      </c>
      <c r="D213" s="1061">
        <v>0.1</v>
      </c>
      <c r="E213" s="1043" t="s">
        <v>27</v>
      </c>
      <c r="F213" s="1027">
        <v>1</v>
      </c>
      <c r="G213" s="1043" t="s">
        <v>27</v>
      </c>
      <c r="H213" s="1029">
        <f>'MINI SSR 2022-23 (2)'!$H$16</f>
        <v>700</v>
      </c>
      <c r="I213" s="1030">
        <f>SUM(D213*H213/F213)</f>
        <v>70</v>
      </c>
      <c r="J213" s="964" t="s">
        <v>2313</v>
      </c>
    </row>
    <row r="214" spans="1:10" hidden="1">
      <c r="A214" s="1024"/>
      <c r="B214" s="1005"/>
      <c r="C214" s="1031"/>
      <c r="D214" s="1025"/>
      <c r="E214" s="1028"/>
      <c r="F214" s="1027"/>
      <c r="G214" s="1028"/>
      <c r="H214" s="1067"/>
      <c r="I214" s="1030"/>
      <c r="J214" s="964" t="s">
        <v>2313</v>
      </c>
    </row>
    <row r="215" spans="1:10" hidden="1">
      <c r="A215" s="1024"/>
      <c r="B215" s="1005"/>
      <c r="C215" s="1036" t="s">
        <v>388</v>
      </c>
      <c r="D215" s="1032"/>
      <c r="E215" s="1033"/>
      <c r="F215" s="1032"/>
      <c r="G215" s="1068"/>
      <c r="H215" s="1064"/>
      <c r="I215" s="1030">
        <f>SUM(I212:I214)</f>
        <v>278</v>
      </c>
      <c r="J215" s="964" t="s">
        <v>2313</v>
      </c>
    </row>
    <row r="216" spans="1:10" ht="22.5" hidden="1">
      <c r="A216" s="1029" t="s">
        <v>1664</v>
      </c>
      <c r="B216" s="1024">
        <v>14</v>
      </c>
      <c r="C216" s="1031" t="s">
        <v>948</v>
      </c>
      <c r="D216" s="1035"/>
      <c r="E216" s="1026"/>
      <c r="F216" s="1035"/>
      <c r="G216" s="1026"/>
      <c r="H216" s="1031"/>
      <c r="I216" s="1031"/>
      <c r="J216" s="964" t="s">
        <v>2313</v>
      </c>
    </row>
    <row r="217" spans="1:10" hidden="1">
      <c r="A217" s="1024"/>
      <c r="B217" s="1005"/>
      <c r="C217" s="1066" t="s">
        <v>409</v>
      </c>
      <c r="D217" s="1025"/>
      <c r="E217" s="1028"/>
      <c r="F217" s="1027"/>
      <c r="G217" s="1028"/>
      <c r="H217" s="1029"/>
      <c r="I217" s="1030"/>
      <c r="J217" s="964" t="s">
        <v>2313</v>
      </c>
    </row>
    <row r="218" spans="1:10" hidden="1">
      <c r="A218" s="1024"/>
      <c r="B218" s="1005"/>
      <c r="C218" s="1042" t="s">
        <v>1656</v>
      </c>
      <c r="D218" s="1061">
        <v>0.125</v>
      </c>
      <c r="E218" s="1043" t="s">
        <v>27</v>
      </c>
      <c r="F218" s="1027">
        <v>1</v>
      </c>
      <c r="G218" s="1043" t="s">
        <v>27</v>
      </c>
      <c r="H218" s="1029">
        <f>'MINI SSR 2022-23 (2)'!$H$16</f>
        <v>700</v>
      </c>
      <c r="I218" s="1030">
        <f>SUM(D218*H218/F218)</f>
        <v>87.5</v>
      </c>
      <c r="J218" s="964" t="s">
        <v>2313</v>
      </c>
    </row>
    <row r="219" spans="1:10" hidden="1">
      <c r="A219" s="1024"/>
      <c r="B219" s="1005"/>
      <c r="C219" s="1042" t="s">
        <v>700</v>
      </c>
      <c r="D219" s="1061">
        <v>0.125</v>
      </c>
      <c r="E219" s="1043" t="s">
        <v>27</v>
      </c>
      <c r="F219" s="1027">
        <v>1</v>
      </c>
      <c r="G219" s="1043" t="s">
        <v>27</v>
      </c>
      <c r="H219" s="1029">
        <f>'MINI SSR 2022-23 (2)'!$H$18</f>
        <v>505</v>
      </c>
      <c r="I219" s="1041">
        <f>SUM(D219*H219/F219)</f>
        <v>63.125</v>
      </c>
      <c r="J219" s="964" t="s">
        <v>2313</v>
      </c>
    </row>
    <row r="220" spans="1:10" hidden="1">
      <c r="A220" s="1024"/>
      <c r="B220" s="1005"/>
      <c r="C220" s="1031" t="s">
        <v>410</v>
      </c>
      <c r="D220" s="1025"/>
      <c r="E220" s="1043"/>
      <c r="F220" s="1027"/>
      <c r="G220" s="1043"/>
      <c r="H220" s="1029"/>
      <c r="I220" s="1030"/>
      <c r="J220" s="964" t="s">
        <v>2313</v>
      </c>
    </row>
    <row r="221" spans="1:10" hidden="1">
      <c r="A221" s="1024"/>
      <c r="B221" s="1005"/>
      <c r="C221" s="1052" t="s">
        <v>949</v>
      </c>
      <c r="D221" s="1025">
        <v>1</v>
      </c>
      <c r="E221" s="1028" t="s">
        <v>385</v>
      </c>
      <c r="F221" s="1027">
        <v>100</v>
      </c>
      <c r="G221" s="1028" t="s">
        <v>395</v>
      </c>
      <c r="H221" s="1029">
        <f>'MINI SSR 2022-23 (2)'!G116</f>
        <v>1244</v>
      </c>
      <c r="I221" s="1030">
        <f>SUM(D221*H221/F221)</f>
        <v>12.44</v>
      </c>
      <c r="J221" s="964" t="s">
        <v>2313</v>
      </c>
    </row>
    <row r="222" spans="1:10" hidden="1">
      <c r="A222" s="1024"/>
      <c r="B222" s="1005"/>
      <c r="C222" s="1036" t="s">
        <v>388</v>
      </c>
      <c r="D222" s="1032"/>
      <c r="E222" s="1033"/>
      <c r="F222" s="1032"/>
      <c r="G222" s="1068"/>
      <c r="H222" s="1064"/>
      <c r="I222" s="1030">
        <f>SUM(I218:I221)</f>
        <v>163.065</v>
      </c>
      <c r="J222" s="964" t="s">
        <v>2313</v>
      </c>
    </row>
    <row r="223" spans="1:10" ht="33.75" hidden="1">
      <c r="A223" s="1029" t="s">
        <v>1671</v>
      </c>
      <c r="B223" s="1024">
        <v>39</v>
      </c>
      <c r="C223" s="1031" t="s">
        <v>950</v>
      </c>
      <c r="D223" s="1035"/>
      <c r="E223" s="1026"/>
      <c r="F223" s="1035"/>
      <c r="G223" s="1026"/>
      <c r="H223" s="1031"/>
      <c r="I223" s="1031"/>
      <c r="J223" s="964" t="s">
        <v>2313</v>
      </c>
    </row>
    <row r="224" spans="1:10" hidden="1">
      <c r="A224" s="1024"/>
      <c r="B224" s="1005"/>
      <c r="C224" s="1066" t="s">
        <v>409</v>
      </c>
      <c r="D224" s="1025"/>
      <c r="E224" s="1028"/>
      <c r="F224" s="1027"/>
      <c r="G224" s="1028"/>
      <c r="H224" s="1029"/>
      <c r="I224" s="1030"/>
      <c r="J224" s="964" t="s">
        <v>2313</v>
      </c>
    </row>
    <row r="225" spans="1:10" hidden="1">
      <c r="A225" s="1024"/>
      <c r="B225" s="1005"/>
      <c r="C225" s="1042" t="s">
        <v>700</v>
      </c>
      <c r="D225" s="1061">
        <v>0.1</v>
      </c>
      <c r="E225" s="1043" t="s">
        <v>27</v>
      </c>
      <c r="F225" s="1027">
        <v>1</v>
      </c>
      <c r="G225" s="1043" t="s">
        <v>27</v>
      </c>
      <c r="H225" s="1029">
        <f>'MINI SSR 2022-23 (2)'!$H$18</f>
        <v>505</v>
      </c>
      <c r="I225" s="1041">
        <f>SUM(D225*H225/F225)</f>
        <v>50.5</v>
      </c>
      <c r="J225" s="964" t="s">
        <v>2313</v>
      </c>
    </row>
    <row r="226" spans="1:10" hidden="1">
      <c r="A226" s="1024"/>
      <c r="B226" s="1005"/>
      <c r="C226" s="1031" t="s">
        <v>410</v>
      </c>
      <c r="D226" s="1025"/>
      <c r="E226" s="1043"/>
      <c r="F226" s="1027"/>
      <c r="G226" s="1043"/>
      <c r="H226" s="1029"/>
      <c r="I226" s="1030"/>
      <c r="J226" s="964" t="s">
        <v>2313</v>
      </c>
    </row>
    <row r="227" spans="1:10" ht="22.5" hidden="1">
      <c r="A227" s="1024"/>
      <c r="B227" s="1005"/>
      <c r="C227" s="1052" t="s">
        <v>1672</v>
      </c>
      <c r="D227" s="1025">
        <v>1</v>
      </c>
      <c r="E227" s="1028" t="s">
        <v>115</v>
      </c>
      <c r="F227" s="1027">
        <v>1</v>
      </c>
      <c r="G227" s="1028" t="s">
        <v>115</v>
      </c>
      <c r="H227" s="1029">
        <f>'MINI SSR 2022-23 (2)'!G119</f>
        <v>111</v>
      </c>
      <c r="I227" s="1030">
        <f>SUM(D227*H227/F227)</f>
        <v>111</v>
      </c>
      <c r="J227" s="964" t="s">
        <v>2313</v>
      </c>
    </row>
    <row r="228" spans="1:10" hidden="1">
      <c r="A228" s="1024"/>
      <c r="B228" s="1005"/>
      <c r="C228" s="1036" t="s">
        <v>388</v>
      </c>
      <c r="D228" s="1032"/>
      <c r="E228" s="1033"/>
      <c r="F228" s="1032"/>
      <c r="G228" s="1068"/>
      <c r="H228" s="1064"/>
      <c r="I228" s="1030">
        <f>SUM(I225:I227)</f>
        <v>161.5</v>
      </c>
      <c r="J228" s="964" t="s">
        <v>2313</v>
      </c>
    </row>
    <row r="229" spans="1:10" ht="22.5" hidden="1">
      <c r="A229" s="1029" t="s">
        <v>1673</v>
      </c>
      <c r="B229" s="1048">
        <v>9</v>
      </c>
      <c r="C229" s="1031" t="s">
        <v>1674</v>
      </c>
      <c r="D229" s="1032"/>
      <c r="E229" s="1033"/>
      <c r="F229" s="1032"/>
      <c r="G229" s="1033"/>
      <c r="H229" s="1034"/>
      <c r="I229" s="1034"/>
      <c r="J229" s="964" t="s">
        <v>2313</v>
      </c>
    </row>
    <row r="230" spans="1:10" hidden="1">
      <c r="A230" s="1047"/>
      <c r="B230" s="1048"/>
      <c r="C230" s="1042" t="s">
        <v>1572</v>
      </c>
      <c r="D230" s="1025">
        <v>1</v>
      </c>
      <c r="E230" s="1043" t="s">
        <v>325</v>
      </c>
      <c r="F230" s="1027">
        <v>1</v>
      </c>
      <c r="G230" s="1043" t="s">
        <v>325</v>
      </c>
      <c r="H230" s="1029">
        <f>'MINI SSR 2022-23 (2)'!G120</f>
        <v>39</v>
      </c>
      <c r="I230" s="1041">
        <f>SUM(D230*H230/F230)</f>
        <v>39</v>
      </c>
      <c r="J230" s="964" t="s">
        <v>2313</v>
      </c>
    </row>
    <row r="231" spans="1:10" hidden="1">
      <c r="A231" s="1024"/>
      <c r="B231" s="1005"/>
      <c r="C231" s="1042" t="s">
        <v>1675</v>
      </c>
      <c r="D231" s="1061">
        <v>0.16600000000000001</v>
      </c>
      <c r="E231" s="1043" t="s">
        <v>27</v>
      </c>
      <c r="F231" s="1027">
        <v>1</v>
      </c>
      <c r="G231" s="1043" t="s">
        <v>27</v>
      </c>
      <c r="H231" s="1029">
        <f>'MINI SSR 2022-23 (2)'!H3</f>
        <v>630</v>
      </c>
      <c r="I231" s="1041">
        <f>SUM(D231*H231/F231)</f>
        <v>104.58000000000001</v>
      </c>
      <c r="J231" s="964" t="s">
        <v>2313</v>
      </c>
    </row>
    <row r="232" spans="1:10" hidden="1">
      <c r="A232" s="1024"/>
      <c r="B232" s="1005"/>
      <c r="C232" s="1042" t="s">
        <v>1676</v>
      </c>
      <c r="D232" s="1061">
        <v>0.16600000000000001</v>
      </c>
      <c r="E232" s="1043" t="s">
        <v>27</v>
      </c>
      <c r="F232" s="1027">
        <v>1</v>
      </c>
      <c r="G232" s="1043" t="s">
        <v>27</v>
      </c>
      <c r="H232" s="1029">
        <f>'MINI SSR 2022-23 (2)'!$H$18</f>
        <v>505</v>
      </c>
      <c r="I232" s="1041">
        <f>SUM(D232*H232/F232)</f>
        <v>83.83</v>
      </c>
      <c r="J232" s="964" t="s">
        <v>2313</v>
      </c>
    </row>
    <row r="233" spans="1:10" hidden="1">
      <c r="A233" s="1047"/>
      <c r="B233" s="1048"/>
      <c r="C233" s="1044"/>
      <c r="D233" s="1025"/>
      <c r="E233" s="1043"/>
      <c r="F233" s="1027"/>
      <c r="G233" s="1043"/>
      <c r="H233" s="1029"/>
      <c r="I233" s="1041">
        <f>SUM(I230:I232)</f>
        <v>227.41000000000003</v>
      </c>
      <c r="J233" s="964" t="s">
        <v>2313</v>
      </c>
    </row>
    <row r="234" spans="1:10" s="1509" customFormat="1" ht="56.25">
      <c r="A234" s="1555" t="s">
        <v>726</v>
      </c>
      <c r="B234" s="1501">
        <v>15</v>
      </c>
      <c r="C234" s="1510" t="s">
        <v>412</v>
      </c>
      <c r="D234" s="1514"/>
      <c r="E234" s="1504"/>
      <c r="F234" s="1514"/>
      <c r="G234" s="1504"/>
      <c r="H234" s="1510"/>
      <c r="I234" s="1510"/>
      <c r="J234" s="1483" t="s">
        <v>2313</v>
      </c>
    </row>
    <row r="235" spans="1:10" s="1509" customFormat="1">
      <c r="A235" s="1501"/>
      <c r="B235" s="1502"/>
      <c r="C235" s="1510" t="s">
        <v>409</v>
      </c>
      <c r="D235" s="1503"/>
      <c r="E235" s="1506"/>
      <c r="F235" s="1505"/>
      <c r="G235" s="1506"/>
      <c r="H235" s="1507"/>
      <c r="I235" s="1508"/>
      <c r="J235" s="1483" t="s">
        <v>2313</v>
      </c>
    </row>
    <row r="236" spans="1:10" s="1509" customFormat="1">
      <c r="A236" s="1501"/>
      <c r="B236" s="1502"/>
      <c r="C236" s="1521" t="s">
        <v>1656</v>
      </c>
      <c r="D236" s="1503">
        <v>0.1</v>
      </c>
      <c r="E236" s="1522" t="s">
        <v>27</v>
      </c>
      <c r="F236" s="1505">
        <v>1</v>
      </c>
      <c r="G236" s="1522" t="s">
        <v>27</v>
      </c>
      <c r="H236" s="1507">
        <f>'MINI SSR 2022-23 (2)'!$H$16</f>
        <v>700</v>
      </c>
      <c r="I236" s="1508">
        <f>SUM(D236*H236/F236)</f>
        <v>70</v>
      </c>
      <c r="J236" s="1483" t="s">
        <v>2313</v>
      </c>
    </row>
    <row r="237" spans="1:10" s="1509" customFormat="1">
      <c r="A237" s="1501"/>
      <c r="B237" s="1502"/>
      <c r="C237" s="1521" t="s">
        <v>1657</v>
      </c>
      <c r="D237" s="1503">
        <v>0.1</v>
      </c>
      <c r="E237" s="1522" t="s">
        <v>27</v>
      </c>
      <c r="F237" s="1505">
        <v>1</v>
      </c>
      <c r="G237" s="1522" t="s">
        <v>27</v>
      </c>
      <c r="H237" s="1507">
        <f>'MINI SSR 2022-23 (2)'!$H$18</f>
        <v>505</v>
      </c>
      <c r="I237" s="1508">
        <f>SUM(D237*H237/F237)</f>
        <v>50.5</v>
      </c>
      <c r="J237" s="1483" t="s">
        <v>2313</v>
      </c>
    </row>
    <row r="238" spans="1:10" s="1509" customFormat="1">
      <c r="A238" s="1501"/>
      <c r="B238" s="1502"/>
      <c r="C238" s="1510" t="s">
        <v>327</v>
      </c>
      <c r="D238" s="1503"/>
      <c r="E238" s="1522"/>
      <c r="F238" s="1505"/>
      <c r="G238" s="1522"/>
      <c r="H238" s="1507"/>
      <c r="I238" s="1508"/>
      <c r="J238" s="1483" t="s">
        <v>2313</v>
      </c>
    </row>
    <row r="239" spans="1:10" s="1509" customFormat="1">
      <c r="A239" s="1501"/>
      <c r="B239" s="1502"/>
      <c r="C239" s="1556" t="s">
        <v>1677</v>
      </c>
      <c r="D239" s="1503">
        <v>1</v>
      </c>
      <c r="E239" s="1506" t="s">
        <v>385</v>
      </c>
      <c r="F239" s="1505">
        <v>100</v>
      </c>
      <c r="G239" s="1506" t="s">
        <v>395</v>
      </c>
      <c r="H239" s="1507">
        <f>'MINI SSR 2022-23 (2)'!G116</f>
        <v>1244</v>
      </c>
      <c r="I239" s="1508">
        <f>SUM(D239*H239/F239)</f>
        <v>12.44</v>
      </c>
      <c r="J239" s="1483" t="s">
        <v>2313</v>
      </c>
    </row>
    <row r="240" spans="1:10" s="1509" customFormat="1">
      <c r="A240" s="1501"/>
      <c r="B240" s="1502"/>
      <c r="C240" s="1556" t="s">
        <v>2099</v>
      </c>
      <c r="D240" s="1557">
        <v>1</v>
      </c>
      <c r="E240" s="1506" t="s">
        <v>115</v>
      </c>
      <c r="F240" s="1505">
        <v>1</v>
      </c>
      <c r="G240" s="1506" t="s">
        <v>115</v>
      </c>
      <c r="H240" s="1507">
        <f>'MINI SSR 2022-23 (2)'!G121</f>
        <v>267</v>
      </c>
      <c r="I240" s="1508">
        <f>SUM(D240*H240/F240)</f>
        <v>267</v>
      </c>
      <c r="J240" s="1483" t="s">
        <v>2313</v>
      </c>
    </row>
    <row r="241" spans="1:10" s="1509" customFormat="1">
      <c r="A241" s="1501"/>
      <c r="B241" s="1502"/>
      <c r="C241" s="1510" t="s">
        <v>405</v>
      </c>
      <c r="D241" s="1503"/>
      <c r="E241" s="1504"/>
      <c r="F241" s="1505"/>
      <c r="G241" s="1506"/>
      <c r="H241" s="1507"/>
      <c r="I241" s="1508">
        <f>SUM(I236:I240)</f>
        <v>399.94</v>
      </c>
      <c r="J241" s="1483" t="s">
        <v>2313</v>
      </c>
    </row>
    <row r="242" spans="1:10" s="1509" customFormat="1">
      <c r="A242" s="1526"/>
      <c r="B242" s="1527"/>
      <c r="C242" s="1526"/>
      <c r="D242" s="1567"/>
      <c r="E242" s="1568"/>
      <c r="F242" s="1567"/>
      <c r="G242" s="1568"/>
      <c r="H242" s="1526"/>
      <c r="I242" s="1526"/>
      <c r="J242" s="1483" t="s">
        <v>2313</v>
      </c>
    </row>
    <row r="243" spans="1:10" s="1509" customFormat="1" ht="67.5">
      <c r="A243" s="1555" t="s">
        <v>727</v>
      </c>
      <c r="B243" s="1501">
        <v>16</v>
      </c>
      <c r="C243" s="1510" t="s">
        <v>698</v>
      </c>
      <c r="D243" s="1514"/>
      <c r="E243" s="1504"/>
      <c r="F243" s="1514"/>
      <c r="G243" s="1504"/>
      <c r="H243" s="1510"/>
      <c r="I243" s="1510"/>
      <c r="J243" s="1483" t="s">
        <v>2313</v>
      </c>
    </row>
    <row r="244" spans="1:10" s="1509" customFormat="1">
      <c r="A244" s="1501"/>
      <c r="B244" s="1502"/>
      <c r="C244" s="1510" t="s">
        <v>409</v>
      </c>
      <c r="D244" s="1503"/>
      <c r="E244" s="1506"/>
      <c r="F244" s="1505"/>
      <c r="G244" s="1506"/>
      <c r="H244" s="1507"/>
      <c r="I244" s="1508"/>
      <c r="J244" s="1483" t="s">
        <v>2313</v>
      </c>
    </row>
    <row r="245" spans="1:10" s="1509" customFormat="1">
      <c r="A245" s="1501"/>
      <c r="B245" s="1502"/>
      <c r="C245" s="1521" t="s">
        <v>699</v>
      </c>
      <c r="D245" s="1503">
        <v>0.5</v>
      </c>
      <c r="E245" s="1522" t="s">
        <v>27</v>
      </c>
      <c r="F245" s="1505">
        <v>1</v>
      </c>
      <c r="G245" s="1522" t="s">
        <v>27</v>
      </c>
      <c r="H245" s="1507">
        <f>'MINI SSR 2022-23 (2)'!$H$16</f>
        <v>700</v>
      </c>
      <c r="I245" s="1508">
        <f>SUM(D245*H245/F245)</f>
        <v>350</v>
      </c>
      <c r="J245" s="1483" t="s">
        <v>2313</v>
      </c>
    </row>
    <row r="246" spans="1:10" s="1509" customFormat="1">
      <c r="A246" s="1501"/>
      <c r="B246" s="1502"/>
      <c r="C246" s="1521" t="s">
        <v>219</v>
      </c>
      <c r="D246" s="1503">
        <v>0.5</v>
      </c>
      <c r="E246" s="1522" t="s">
        <v>27</v>
      </c>
      <c r="F246" s="1505">
        <v>1</v>
      </c>
      <c r="G246" s="1522" t="s">
        <v>27</v>
      </c>
      <c r="H246" s="1507">
        <f>'MINI SSR 2022-23 (2)'!$H$17</f>
        <v>570</v>
      </c>
      <c r="I246" s="1508">
        <f>SUM(D246*H246/F246)</f>
        <v>285</v>
      </c>
      <c r="J246" s="1483" t="s">
        <v>2313</v>
      </c>
    </row>
    <row r="247" spans="1:10" s="1509" customFormat="1">
      <c r="A247" s="1501"/>
      <c r="B247" s="1502"/>
      <c r="C247" s="1521" t="s">
        <v>700</v>
      </c>
      <c r="D247" s="1503">
        <v>1</v>
      </c>
      <c r="E247" s="1522" t="s">
        <v>27</v>
      </c>
      <c r="F247" s="1505">
        <v>1</v>
      </c>
      <c r="G247" s="1522" t="s">
        <v>27</v>
      </c>
      <c r="H247" s="1507">
        <f>'MINI SSR 2022-23 (2)'!$H$18</f>
        <v>505</v>
      </c>
      <c r="I247" s="1520">
        <f>SUM(D247*H247/F247)</f>
        <v>505</v>
      </c>
      <c r="J247" s="1483" t="s">
        <v>2313</v>
      </c>
    </row>
    <row r="248" spans="1:10" s="1509" customFormat="1">
      <c r="A248" s="1501"/>
      <c r="B248" s="1502"/>
      <c r="C248" s="1510" t="s">
        <v>327</v>
      </c>
      <c r="D248" s="1503"/>
      <c r="E248" s="1522"/>
      <c r="F248" s="1505"/>
      <c r="G248" s="1522"/>
      <c r="H248" s="1507"/>
      <c r="I248" s="1508"/>
      <c r="J248" s="1483" t="s">
        <v>2313</v>
      </c>
    </row>
    <row r="249" spans="1:10" s="1509" customFormat="1" ht="22.5">
      <c r="A249" s="1501"/>
      <c r="B249" s="1501"/>
      <c r="C249" s="1510" t="s">
        <v>701</v>
      </c>
      <c r="D249" s="1569">
        <v>1</v>
      </c>
      <c r="E249" s="1504" t="s">
        <v>325</v>
      </c>
      <c r="F249" s="1569">
        <v>1</v>
      </c>
      <c r="G249" s="1504" t="s">
        <v>115</v>
      </c>
      <c r="H249" s="1555">
        <f>'MINI SSR 2022-23 (2)'!G122</f>
        <v>1107</v>
      </c>
      <c r="I249" s="1570">
        <f>SUM(D249*H249/F249)</f>
        <v>1107</v>
      </c>
      <c r="J249" s="1483" t="s">
        <v>2313</v>
      </c>
    </row>
    <row r="250" spans="1:10" s="1509" customFormat="1">
      <c r="A250" s="1501"/>
      <c r="B250" s="1502"/>
      <c r="C250" s="1556" t="s">
        <v>702</v>
      </c>
      <c r="D250" s="1557">
        <v>1</v>
      </c>
      <c r="E250" s="1506" t="s">
        <v>325</v>
      </c>
      <c r="F250" s="1505">
        <v>1</v>
      </c>
      <c r="G250" s="1506" t="s">
        <v>115</v>
      </c>
      <c r="H250" s="1555">
        <f>'MINI SSR 2022-23 (2)'!G123</f>
        <v>455</v>
      </c>
      <c r="I250" s="1508">
        <f>SUM(D250*H250/F250)</f>
        <v>455</v>
      </c>
      <c r="J250" s="1483" t="s">
        <v>2313</v>
      </c>
    </row>
    <row r="251" spans="1:10" s="1509" customFormat="1">
      <c r="A251" s="1501"/>
      <c r="B251" s="1502"/>
      <c r="C251" s="1556" t="s">
        <v>703</v>
      </c>
      <c r="D251" s="1557">
        <v>4</v>
      </c>
      <c r="E251" s="1506" t="s">
        <v>325</v>
      </c>
      <c r="F251" s="1505">
        <v>1</v>
      </c>
      <c r="G251" s="1506" t="s">
        <v>115</v>
      </c>
      <c r="H251" s="1555">
        <f>'MINI SSR 2022-23 (2)'!G124</f>
        <v>240</v>
      </c>
      <c r="I251" s="1508">
        <f>SUM(D251*H251/F251)</f>
        <v>960</v>
      </c>
      <c r="J251" s="1483" t="s">
        <v>2313</v>
      </c>
    </row>
    <row r="252" spans="1:10" s="1509" customFormat="1">
      <c r="A252" s="1501"/>
      <c r="B252" s="1571"/>
      <c r="C252" s="1515" t="s">
        <v>388</v>
      </c>
      <c r="D252" s="1572"/>
      <c r="E252" s="1573"/>
      <c r="F252" s="1524"/>
      <c r="G252" s="1561"/>
      <c r="H252" s="1562"/>
      <c r="I252" s="1574">
        <f>SUM(I245:I251)</f>
        <v>3662</v>
      </c>
      <c r="J252" s="1483" t="s">
        <v>2313</v>
      </c>
    </row>
    <row r="253" spans="1:10" s="1509" customFormat="1" ht="45">
      <c r="A253" s="1555"/>
      <c r="B253" s="1501">
        <v>17</v>
      </c>
      <c r="C253" s="1510" t="s">
        <v>941</v>
      </c>
      <c r="D253" s="1514"/>
      <c r="E253" s="1504"/>
      <c r="F253" s="1514"/>
      <c r="G253" s="1504"/>
      <c r="H253" s="1510"/>
      <c r="I253" s="1510"/>
      <c r="J253" s="1483" t="s">
        <v>2313</v>
      </c>
    </row>
    <row r="254" spans="1:10" s="1509" customFormat="1">
      <c r="A254" s="1501"/>
      <c r="B254" s="1502"/>
      <c r="C254" s="1510" t="s">
        <v>327</v>
      </c>
      <c r="D254" s="1503"/>
      <c r="E254" s="1522"/>
      <c r="F254" s="1505"/>
      <c r="G254" s="1522"/>
      <c r="H254" s="1507"/>
      <c r="I254" s="1508"/>
      <c r="J254" s="1483" t="s">
        <v>2313</v>
      </c>
    </row>
    <row r="255" spans="1:10" s="1509" customFormat="1">
      <c r="A255" s="1501"/>
      <c r="B255" s="1501"/>
      <c r="C255" s="1510" t="s">
        <v>942</v>
      </c>
      <c r="D255" s="1569">
        <v>2</v>
      </c>
      <c r="E255" s="1504" t="s">
        <v>325</v>
      </c>
      <c r="F255" s="1569">
        <v>1</v>
      </c>
      <c r="G255" s="1504" t="s">
        <v>115</v>
      </c>
      <c r="H255" s="1555">
        <f>'MINI SSR 2022-23 (2)'!G125</f>
        <v>119</v>
      </c>
      <c r="I255" s="1570">
        <f>SUM(D255*H255/F255)</f>
        <v>238</v>
      </c>
      <c r="J255" s="1483" t="s">
        <v>2313</v>
      </c>
    </row>
    <row r="256" spans="1:10" s="1509" customFormat="1">
      <c r="A256" s="1501"/>
      <c r="B256" s="1502"/>
      <c r="C256" s="1556" t="s">
        <v>943</v>
      </c>
      <c r="D256" s="1557">
        <v>4</v>
      </c>
      <c r="E256" s="1506" t="s">
        <v>277</v>
      </c>
      <c r="F256" s="1505">
        <v>1</v>
      </c>
      <c r="G256" s="1506" t="s">
        <v>115</v>
      </c>
      <c r="H256" s="1507">
        <f>'MINI SSR 2022-23 (2)'!G126/100</f>
        <v>66.739999999999995</v>
      </c>
      <c r="I256" s="1508">
        <f>SUM(D256*H256/F256)</f>
        <v>266.95999999999998</v>
      </c>
      <c r="J256" s="1483" t="s">
        <v>2313</v>
      </c>
    </row>
    <row r="257" spans="1:10" s="1509" customFormat="1">
      <c r="A257" s="1501"/>
      <c r="B257" s="1502"/>
      <c r="C257" s="1556" t="s">
        <v>944</v>
      </c>
      <c r="D257" s="1557">
        <v>1</v>
      </c>
      <c r="E257" s="1506" t="s">
        <v>325</v>
      </c>
      <c r="F257" s="1505">
        <v>1</v>
      </c>
      <c r="G257" s="1506" t="s">
        <v>115</v>
      </c>
      <c r="H257" s="1507">
        <f>'MINI SSR 2022-23 (2)'!G127</f>
        <v>230</v>
      </c>
      <c r="I257" s="1508">
        <f>SUM(D257*H257/F257)</f>
        <v>230</v>
      </c>
      <c r="J257" s="1483" t="s">
        <v>2313</v>
      </c>
    </row>
    <row r="258" spans="1:10" s="1509" customFormat="1">
      <c r="A258" s="1501"/>
      <c r="B258" s="1502"/>
      <c r="C258" s="1510" t="s">
        <v>409</v>
      </c>
      <c r="D258" s="1503"/>
      <c r="E258" s="1506"/>
      <c r="F258" s="1505"/>
      <c r="G258" s="1506"/>
      <c r="H258" s="1507"/>
      <c r="I258" s="1508"/>
      <c r="J258" s="1483" t="s">
        <v>2313</v>
      </c>
    </row>
    <row r="259" spans="1:10" s="1509" customFormat="1">
      <c r="A259" s="1501"/>
      <c r="B259" s="1502"/>
      <c r="C259" s="1521" t="s">
        <v>699</v>
      </c>
      <c r="D259" s="1503">
        <v>0.2</v>
      </c>
      <c r="E259" s="1522" t="s">
        <v>27</v>
      </c>
      <c r="F259" s="1505">
        <v>1</v>
      </c>
      <c r="G259" s="1522" t="s">
        <v>27</v>
      </c>
      <c r="H259" s="1507">
        <f>'MINI SSR 2022-23 (2)'!$H$16</f>
        <v>700</v>
      </c>
      <c r="I259" s="1508">
        <f>SUM(D259*H259/F259)</f>
        <v>140</v>
      </c>
      <c r="J259" s="1483" t="s">
        <v>2313</v>
      </c>
    </row>
    <row r="260" spans="1:10" s="1509" customFormat="1">
      <c r="A260" s="1501"/>
      <c r="B260" s="1502"/>
      <c r="C260" s="1521" t="s">
        <v>219</v>
      </c>
      <c r="D260" s="1503">
        <v>0.2</v>
      </c>
      <c r="E260" s="1522" t="s">
        <v>27</v>
      </c>
      <c r="F260" s="1505">
        <v>1</v>
      </c>
      <c r="G260" s="1522" t="s">
        <v>27</v>
      </c>
      <c r="H260" s="1507">
        <f>'MINI SSR 2022-23 (2)'!$H$17</f>
        <v>570</v>
      </c>
      <c r="I260" s="1508">
        <f>SUM(D260*H260/F260)</f>
        <v>114</v>
      </c>
      <c r="J260" s="1483" t="s">
        <v>2313</v>
      </c>
    </row>
    <row r="261" spans="1:10" s="1509" customFormat="1">
      <c r="A261" s="1501"/>
      <c r="B261" s="1502"/>
      <c r="C261" s="1521" t="s">
        <v>700</v>
      </c>
      <c r="D261" s="1503">
        <v>0.2</v>
      </c>
      <c r="E261" s="1522" t="s">
        <v>27</v>
      </c>
      <c r="F261" s="1505">
        <v>1</v>
      </c>
      <c r="G261" s="1522" t="s">
        <v>27</v>
      </c>
      <c r="H261" s="1507">
        <f>'MINI SSR 2022-23 (2)'!$H$18</f>
        <v>505</v>
      </c>
      <c r="I261" s="1520">
        <f>SUM(D261*H261/F261)</f>
        <v>101</v>
      </c>
      <c r="J261" s="1483" t="s">
        <v>2313</v>
      </c>
    </row>
    <row r="262" spans="1:10" s="1509" customFormat="1">
      <c r="A262" s="1501"/>
      <c r="B262" s="1571"/>
      <c r="C262" s="1515" t="s">
        <v>388</v>
      </c>
      <c r="D262" s="1572"/>
      <c r="E262" s="1573"/>
      <c r="F262" s="1524"/>
      <c r="G262" s="1561"/>
      <c r="H262" s="1562"/>
      <c r="I262" s="1574">
        <f>SUM(I255:I261)</f>
        <v>1089.96</v>
      </c>
      <c r="J262" s="1483" t="s">
        <v>2313</v>
      </c>
    </row>
    <row r="263" spans="1:10" ht="78.75" hidden="1">
      <c r="A263" s="1051" t="s">
        <v>728</v>
      </c>
      <c r="B263" s="1005">
        <v>12</v>
      </c>
      <c r="C263" s="1031" t="s">
        <v>413</v>
      </c>
      <c r="D263" s="1035"/>
      <c r="E263" s="1026"/>
      <c r="F263" s="1035"/>
      <c r="G263" s="1026"/>
      <c r="H263" s="1031"/>
      <c r="I263" s="1031"/>
      <c r="J263" s="964" t="s">
        <v>2313</v>
      </c>
    </row>
    <row r="264" spans="1:10" hidden="1">
      <c r="A264" s="1005"/>
      <c r="B264" s="1005"/>
      <c r="C264" s="1066" t="s">
        <v>414</v>
      </c>
      <c r="D264" s="1075"/>
      <c r="E264" s="1076"/>
      <c r="F264" s="1027"/>
      <c r="G264" s="1076"/>
      <c r="H264" s="1029"/>
      <c r="I264" s="1030"/>
      <c r="J264" s="964" t="s">
        <v>2313</v>
      </c>
    </row>
    <row r="265" spans="1:10" hidden="1">
      <c r="A265" s="1005"/>
      <c r="B265" s="1005"/>
      <c r="C265" s="1042" t="s">
        <v>1657</v>
      </c>
      <c r="D265" s="1025">
        <v>0.5</v>
      </c>
      <c r="E265" s="1028" t="s">
        <v>325</v>
      </c>
      <c r="F265" s="1027">
        <v>1</v>
      </c>
      <c r="G265" s="1028" t="s">
        <v>115</v>
      </c>
      <c r="H265" s="1029">
        <f>'MINI SSR 2022-23 (2)'!$H$17</f>
        <v>570</v>
      </c>
      <c r="I265" s="1030">
        <f>SUM(D265*H265/F265)</f>
        <v>285</v>
      </c>
      <c r="J265" s="964" t="s">
        <v>2313</v>
      </c>
    </row>
    <row r="266" spans="1:10" hidden="1">
      <c r="A266" s="1005"/>
      <c r="B266" s="1005"/>
      <c r="C266" s="1042" t="s">
        <v>700</v>
      </c>
      <c r="D266" s="1025">
        <v>0.5</v>
      </c>
      <c r="E266" s="1043" t="s">
        <v>27</v>
      </c>
      <c r="F266" s="1027">
        <v>1</v>
      </c>
      <c r="G266" s="1043" t="s">
        <v>27</v>
      </c>
      <c r="H266" s="1029">
        <f>'MINI SSR 2022-23 (2)'!$H$18</f>
        <v>505</v>
      </c>
      <c r="I266" s="1041">
        <f>SUM(D266*H266/F266)</f>
        <v>252.5</v>
      </c>
      <c r="J266" s="964" t="s">
        <v>2313</v>
      </c>
    </row>
    <row r="267" spans="1:10" hidden="1">
      <c r="A267" s="1005"/>
      <c r="B267" s="1005"/>
      <c r="C267" s="1031" t="s">
        <v>106</v>
      </c>
      <c r="D267" s="1025"/>
      <c r="E267" s="1028"/>
      <c r="F267" s="1027"/>
      <c r="G267" s="1028"/>
      <c r="H267" s="1029"/>
      <c r="I267" s="1030"/>
      <c r="J267" s="964" t="s">
        <v>2313</v>
      </c>
    </row>
    <row r="268" spans="1:10" hidden="1">
      <c r="A268" s="1005"/>
      <c r="B268" s="1005"/>
      <c r="C268" s="1042" t="s">
        <v>729</v>
      </c>
      <c r="D268" s="1025">
        <v>2.5</v>
      </c>
      <c r="E268" s="1076" t="s">
        <v>385</v>
      </c>
      <c r="F268" s="1027">
        <v>1</v>
      </c>
      <c r="G268" s="1076" t="s">
        <v>385</v>
      </c>
      <c r="H268" s="1029">
        <f>'MINI SSR 2022-23 (2)'!G128</f>
        <v>425</v>
      </c>
      <c r="I268" s="1030">
        <f t="shared" ref="I268:I278" si="0">SUM(D268*H268/F268)</f>
        <v>1062.5</v>
      </c>
      <c r="J268" s="964" t="s">
        <v>2313</v>
      </c>
    </row>
    <row r="269" spans="1:10" hidden="1">
      <c r="A269" s="1005"/>
      <c r="B269" s="1005"/>
      <c r="C269" s="1031" t="s">
        <v>730</v>
      </c>
      <c r="D269" s="1025">
        <v>0.24</v>
      </c>
      <c r="E269" s="1076" t="s">
        <v>141</v>
      </c>
      <c r="F269" s="1027">
        <v>1</v>
      </c>
      <c r="G269" s="1076" t="s">
        <v>4</v>
      </c>
      <c r="H269" s="1029">
        <f>'MINI SSR 2022-23 (2)'!G129</f>
        <v>79</v>
      </c>
      <c r="I269" s="1030">
        <f t="shared" si="0"/>
        <v>18.96</v>
      </c>
      <c r="J269" s="964" t="s">
        <v>2313</v>
      </c>
    </row>
    <row r="270" spans="1:10" hidden="1">
      <c r="A270" s="1005"/>
      <c r="B270" s="1005"/>
      <c r="C270" s="1031" t="s">
        <v>731</v>
      </c>
      <c r="D270" s="1025">
        <v>0.83</v>
      </c>
      <c r="E270" s="1076" t="s">
        <v>141</v>
      </c>
      <c r="F270" s="1027">
        <v>1</v>
      </c>
      <c r="G270" s="1076" t="s">
        <v>90</v>
      </c>
      <c r="H270" s="1029">
        <f>'MINI SSR 2022-23 (2)'!G130</f>
        <v>79</v>
      </c>
      <c r="I270" s="1030">
        <f t="shared" si="0"/>
        <v>65.569999999999993</v>
      </c>
      <c r="J270" s="964" t="s">
        <v>2313</v>
      </c>
    </row>
    <row r="271" spans="1:10" hidden="1">
      <c r="A271" s="1005"/>
      <c r="B271" s="1005"/>
      <c r="C271" s="1042" t="s">
        <v>732</v>
      </c>
      <c r="D271" s="1025">
        <v>16</v>
      </c>
      <c r="E271" s="1076" t="s">
        <v>325</v>
      </c>
      <c r="F271" s="1027">
        <v>1</v>
      </c>
      <c r="G271" s="1028" t="s">
        <v>115</v>
      </c>
      <c r="H271" s="1029">
        <f>'MINI SSR 2022-23 (2)'!G131</f>
        <v>8</v>
      </c>
      <c r="I271" s="1030">
        <f t="shared" si="0"/>
        <v>128</v>
      </c>
      <c r="J271" s="964" t="s">
        <v>2313</v>
      </c>
    </row>
    <row r="272" spans="1:10" hidden="1">
      <c r="A272" s="1005"/>
      <c r="B272" s="1005"/>
      <c r="C272" s="1042" t="s">
        <v>733</v>
      </c>
      <c r="D272" s="1025">
        <v>2</v>
      </c>
      <c r="E272" s="1076" t="s">
        <v>415</v>
      </c>
      <c r="F272" s="1027">
        <v>1</v>
      </c>
      <c r="G272" s="1076" t="s">
        <v>416</v>
      </c>
      <c r="H272" s="1029">
        <f>'MINI SSR 2022-23 (2)'!G132</f>
        <v>14</v>
      </c>
      <c r="I272" s="1030">
        <f t="shared" si="0"/>
        <v>28</v>
      </c>
      <c r="J272" s="964" t="s">
        <v>2313</v>
      </c>
    </row>
    <row r="273" spans="1:10" hidden="1">
      <c r="A273" s="1005"/>
      <c r="B273" s="1005"/>
      <c r="C273" s="1042" t="s">
        <v>734</v>
      </c>
      <c r="D273" s="1025">
        <v>1</v>
      </c>
      <c r="E273" s="1028" t="s">
        <v>115</v>
      </c>
      <c r="F273" s="1027">
        <v>1</v>
      </c>
      <c r="G273" s="1028" t="s">
        <v>115</v>
      </c>
      <c r="H273" s="1029">
        <f>'MINI SSR 2022-23 (2)'!G133</f>
        <v>303</v>
      </c>
      <c r="I273" s="1030">
        <f t="shared" si="0"/>
        <v>303</v>
      </c>
      <c r="J273" s="964" t="s">
        <v>2313</v>
      </c>
    </row>
    <row r="274" spans="1:10" hidden="1">
      <c r="A274" s="1005"/>
      <c r="B274" s="1005"/>
      <c r="C274" s="1042" t="s">
        <v>735</v>
      </c>
      <c r="D274" s="1025">
        <v>1</v>
      </c>
      <c r="E274" s="1076" t="s">
        <v>115</v>
      </c>
      <c r="F274" s="1027">
        <v>1</v>
      </c>
      <c r="G274" s="1076" t="s">
        <v>115</v>
      </c>
      <c r="H274" s="1029">
        <f>'MINI SSR 2022-23 (2)'!G134</f>
        <v>157</v>
      </c>
      <c r="I274" s="1030">
        <f t="shared" si="0"/>
        <v>157</v>
      </c>
      <c r="J274" s="964" t="s">
        <v>2313</v>
      </c>
    </row>
    <row r="275" spans="1:10" hidden="1">
      <c r="A275" s="1005"/>
      <c r="B275" s="1005"/>
      <c r="C275" s="1042" t="s">
        <v>736</v>
      </c>
      <c r="D275" s="1025">
        <v>40</v>
      </c>
      <c r="E275" s="1076" t="s">
        <v>4</v>
      </c>
      <c r="F275" s="1027">
        <v>1</v>
      </c>
      <c r="G275" s="1076" t="s">
        <v>4</v>
      </c>
      <c r="H275" s="1029">
        <f>'MINI SSR 2022-23 (2)'!G135</f>
        <v>24</v>
      </c>
      <c r="I275" s="1030">
        <f t="shared" si="0"/>
        <v>960</v>
      </c>
      <c r="J275" s="964" t="s">
        <v>2313</v>
      </c>
    </row>
    <row r="276" spans="1:10" hidden="1">
      <c r="A276" s="1005"/>
      <c r="B276" s="1005"/>
      <c r="C276" s="1042" t="s">
        <v>737</v>
      </c>
      <c r="D276" s="1025">
        <v>20</v>
      </c>
      <c r="E276" s="1076" t="s">
        <v>4</v>
      </c>
      <c r="F276" s="1027">
        <v>1</v>
      </c>
      <c r="G276" s="1076" t="s">
        <v>4</v>
      </c>
      <c r="H276" s="1029">
        <f>'MINI SSR 2022-23 (2)'!G136</f>
        <v>19</v>
      </c>
      <c r="I276" s="1030">
        <f t="shared" si="0"/>
        <v>380</v>
      </c>
      <c r="J276" s="964" t="s">
        <v>2313</v>
      </c>
    </row>
    <row r="277" spans="1:10" ht="22.5" hidden="1">
      <c r="A277" s="1005"/>
      <c r="B277" s="1005"/>
      <c r="C277" s="1031" t="s">
        <v>738</v>
      </c>
      <c r="D277" s="1025">
        <v>0.65</v>
      </c>
      <c r="E277" s="1028" t="s">
        <v>35</v>
      </c>
      <c r="F277" s="1027">
        <v>1</v>
      </c>
      <c r="G277" s="1028" t="s">
        <v>35</v>
      </c>
      <c r="H277" s="1029">
        <f>'MINI SSR 2022-23 (2)'!G137</f>
        <v>303</v>
      </c>
      <c r="I277" s="1030">
        <f t="shared" si="0"/>
        <v>196.95000000000002</v>
      </c>
      <c r="J277" s="964" t="s">
        <v>2313</v>
      </c>
    </row>
    <row r="278" spans="1:10" ht="22.5" hidden="1">
      <c r="A278" s="1005"/>
      <c r="B278" s="1005"/>
      <c r="C278" s="1031" t="s">
        <v>739</v>
      </c>
      <c r="D278" s="1025">
        <v>0.65</v>
      </c>
      <c r="E278" s="1028" t="s">
        <v>35</v>
      </c>
      <c r="F278" s="1027">
        <v>1</v>
      </c>
      <c r="G278" s="1028" t="s">
        <v>35</v>
      </c>
      <c r="H278" s="1029">
        <f>'MINI SSR 2022-23 (2)'!G138</f>
        <v>303</v>
      </c>
      <c r="I278" s="1030">
        <f t="shared" si="0"/>
        <v>196.95000000000002</v>
      </c>
      <c r="J278" s="964" t="s">
        <v>2313</v>
      </c>
    </row>
    <row r="279" spans="1:10" ht="22.5" hidden="1">
      <c r="A279" s="1005"/>
      <c r="B279" s="1005"/>
      <c r="C279" s="1031" t="s">
        <v>417</v>
      </c>
      <c r="D279" s="1077">
        <v>0.25</v>
      </c>
      <c r="E279" s="1076"/>
      <c r="F279" s="1027"/>
      <c r="G279" s="1076"/>
      <c r="H279" s="1029">
        <f>I277+I278</f>
        <v>393.90000000000003</v>
      </c>
      <c r="I279" s="1030">
        <f>SUM(H279*D279)</f>
        <v>98.475000000000009</v>
      </c>
      <c r="J279" s="964" t="s">
        <v>2313</v>
      </c>
    </row>
    <row r="280" spans="1:10" hidden="1">
      <c r="A280" s="1005"/>
      <c r="B280" s="1005"/>
      <c r="C280" s="1031" t="s">
        <v>418</v>
      </c>
      <c r="D280" s="1025"/>
      <c r="E280" s="1028"/>
      <c r="F280" s="1027"/>
      <c r="G280" s="1028"/>
      <c r="H280" s="1029"/>
      <c r="I280" s="1030">
        <v>9.52</v>
      </c>
      <c r="J280" s="964" t="s">
        <v>2313</v>
      </c>
    </row>
    <row r="281" spans="1:10" hidden="1">
      <c r="A281" s="1005"/>
      <c r="B281" s="1005"/>
      <c r="C281" s="1031" t="s">
        <v>405</v>
      </c>
      <c r="D281" s="1025"/>
      <c r="E281" s="1028"/>
      <c r="F281" s="1027"/>
      <c r="G281" s="1028"/>
      <c r="H281" s="1029"/>
      <c r="I281" s="1030">
        <f>SUM(I265:I280)</f>
        <v>4142.4250000000002</v>
      </c>
      <c r="J281" s="964" t="s">
        <v>2313</v>
      </c>
    </row>
    <row r="282" spans="1:10" ht="106.5" hidden="1" customHeight="1">
      <c r="A282" s="1051"/>
      <c r="B282" s="1024">
        <v>28</v>
      </c>
      <c r="C282" s="1031" t="s">
        <v>2252</v>
      </c>
      <c r="D282" s="1035"/>
      <c r="E282" s="1026"/>
      <c r="F282" s="1035"/>
      <c r="G282" s="1026"/>
      <c r="H282" s="1031"/>
      <c r="I282" s="1031"/>
      <c r="J282" s="964" t="s">
        <v>2313</v>
      </c>
    </row>
    <row r="283" spans="1:10" hidden="1">
      <c r="A283" s="1024"/>
      <c r="B283" s="1005"/>
      <c r="C283" s="1042" t="s">
        <v>2089</v>
      </c>
      <c r="D283" s="1025">
        <v>1</v>
      </c>
      <c r="E283" s="1043" t="s">
        <v>115</v>
      </c>
      <c r="F283" s="1027">
        <v>1</v>
      </c>
      <c r="G283" s="1043" t="s">
        <v>115</v>
      </c>
      <c r="H283" s="1029">
        <f>'MINI SSR 2022-23 (2)'!G139</f>
        <v>1822</v>
      </c>
      <c r="I283" s="1030">
        <f>SUM(D283*H283/F283)</f>
        <v>1822</v>
      </c>
      <c r="J283" s="964" t="s">
        <v>2313</v>
      </c>
    </row>
    <row r="284" spans="1:10" hidden="1">
      <c r="A284" s="1024"/>
      <c r="B284" s="1005"/>
      <c r="C284" s="1031" t="s">
        <v>405</v>
      </c>
      <c r="D284" s="1025"/>
      <c r="E284" s="1026"/>
      <c r="F284" s="1027"/>
      <c r="G284" s="1028"/>
      <c r="H284" s="1029"/>
      <c r="I284" s="1030">
        <f>SUM(I283:I283)</f>
        <v>1822</v>
      </c>
      <c r="J284" s="964" t="s">
        <v>2313</v>
      </c>
    </row>
    <row r="285" spans="1:10" ht="106.5" hidden="1" customHeight="1">
      <c r="A285" s="1051"/>
      <c r="B285" s="1024">
        <v>13</v>
      </c>
      <c r="C285" s="1031" t="s">
        <v>2253</v>
      </c>
      <c r="D285" s="1035"/>
      <c r="E285" s="1026"/>
      <c r="F285" s="1035"/>
      <c r="G285" s="1026"/>
      <c r="H285" s="1031"/>
      <c r="I285" s="1031"/>
      <c r="J285" s="964" t="s">
        <v>2313</v>
      </c>
    </row>
    <row r="286" spans="1:10" hidden="1">
      <c r="A286" s="1024"/>
      <c r="B286" s="1005"/>
      <c r="C286" s="1042" t="s">
        <v>2260</v>
      </c>
      <c r="D286" s="1025">
        <v>1</v>
      </c>
      <c r="E286" s="1043" t="s">
        <v>115</v>
      </c>
      <c r="F286" s="1027">
        <v>1</v>
      </c>
      <c r="G286" s="1043" t="s">
        <v>115</v>
      </c>
      <c r="H286" s="1029">
        <f>'MINI SSR 2022-23 (2)'!G140</f>
        <v>5428</v>
      </c>
      <c r="I286" s="1030">
        <f>SUM(D286*H286/F286)</f>
        <v>5428</v>
      </c>
      <c r="J286" s="964" t="s">
        <v>2313</v>
      </c>
    </row>
    <row r="287" spans="1:10" hidden="1">
      <c r="A287" s="1024"/>
      <c r="B287" s="1005"/>
      <c r="C287" s="1031" t="s">
        <v>405</v>
      </c>
      <c r="D287" s="1025"/>
      <c r="E287" s="1026"/>
      <c r="F287" s="1027"/>
      <c r="G287" s="1028"/>
      <c r="H287" s="1029"/>
      <c r="I287" s="1030">
        <f>SUM(I286:I286)</f>
        <v>5428</v>
      </c>
      <c r="J287" s="964" t="s">
        <v>2313</v>
      </c>
    </row>
    <row r="291" spans="3:7">
      <c r="C291" s="1022" t="str">
        <f>'lead 22-23 P-B'!H31</f>
        <v>Deputy Executive Engineer</v>
      </c>
      <c r="G291" s="1022" t="str">
        <f>'lead 22-23 P-B'!K31</f>
        <v>Assistant  Engineer</v>
      </c>
    </row>
    <row r="292" spans="3:7">
      <c r="C292" s="1022" t="str">
        <f>'lead 22-23 P-B'!H32</f>
        <v>PRI Sub Division</v>
      </c>
      <c r="G292" s="1022" t="str">
        <f>'lead 22-23 P-B'!K32</f>
        <v>Mandal Praja parishad</v>
      </c>
    </row>
    <row r="293" spans="3:7">
      <c r="C293" s="1022" t="str">
        <f>'lead 22-23 P-B'!H33</f>
        <v>Kanigiri</v>
      </c>
      <c r="G293" s="1022" t="str">
        <f>'lead 22-23 P-B'!K33</f>
        <v>Kanigiri</v>
      </c>
    </row>
  </sheetData>
  <autoFilter ref="A4:I287">
    <filterColumn colId="0">
      <colorFilter dxfId="0"/>
    </filterColumn>
    <filterColumn colId="3" showButton="0"/>
    <filterColumn colId="5" showButton="0"/>
  </autoFilter>
  <mergeCells count="6">
    <mergeCell ref="A1:I1"/>
    <mergeCell ref="D3:E3"/>
    <mergeCell ref="F3:G3"/>
    <mergeCell ref="D4:E4"/>
    <mergeCell ref="F4:G4"/>
    <mergeCell ref="A2:I2"/>
  </mergeCells>
  <pageMargins left="0.7" right="0.4" top="0.49" bottom="0.27" header="0.3" footer="0.3"/>
  <pageSetup paperSize="9" scale="90" orientation="portrait" r:id="rId1"/>
  <rowBreaks count="1" manualBreakCount="1">
    <brk id="259" max="8" man="1"/>
  </rowBreaks>
</worksheet>
</file>

<file path=xl/worksheets/sheet32.xml><?xml version="1.0" encoding="utf-8"?>
<worksheet xmlns="http://schemas.openxmlformats.org/spreadsheetml/2006/main" xmlns:r="http://schemas.openxmlformats.org/officeDocument/2006/relationships">
  <sheetPr>
    <tabColor rgb="FF7030A0"/>
  </sheetPr>
  <dimension ref="A1:H156"/>
  <sheetViews>
    <sheetView view="pageBreakPreview" topLeftCell="A7" zoomScale="115" zoomScaleNormal="115" zoomScaleSheetLayoutView="115" workbookViewId="0">
      <selection activeCell="B44" sqref="B44:C44"/>
    </sheetView>
  </sheetViews>
  <sheetFormatPr defaultColWidth="9.140625" defaultRowHeight="12.75"/>
  <cols>
    <col min="1" max="1" width="22.28515625" style="482" customWidth="1"/>
    <col min="2" max="2" width="11.5703125" style="499" customWidth="1"/>
    <col min="3" max="3" width="10.42578125" style="499" bestFit="1" customWidth="1"/>
    <col min="4" max="4" width="10.7109375" style="499" customWidth="1"/>
    <col min="5" max="5" width="11.85546875" style="500" customWidth="1"/>
    <col min="6" max="6" width="17.42578125" style="482" customWidth="1"/>
    <col min="7" max="7" width="10.140625" style="499" customWidth="1"/>
    <col min="8" max="8" width="9.28515625" style="501" bestFit="1" customWidth="1"/>
    <col min="9" max="16384" width="9.140625" style="482"/>
  </cols>
  <sheetData>
    <row r="1" spans="1:8" ht="18.75">
      <c r="A1" s="1677" t="s">
        <v>1692</v>
      </c>
      <c r="B1" s="1677"/>
      <c r="C1" s="1677"/>
      <c r="D1" s="1677"/>
      <c r="E1" s="1677"/>
      <c r="F1" s="1677"/>
      <c r="G1" s="1677"/>
      <c r="H1" s="1677"/>
    </row>
    <row r="2" spans="1:8">
      <c r="A2" s="483"/>
      <c r="B2" s="484"/>
      <c r="C2" s="484"/>
      <c r="D2" s="484"/>
      <c r="E2" s="485"/>
      <c r="F2" s="483" t="s">
        <v>1693</v>
      </c>
      <c r="G2" s="484" t="s">
        <v>1694</v>
      </c>
      <c r="H2" s="486" t="s">
        <v>8</v>
      </c>
    </row>
    <row r="3" spans="1:8">
      <c r="A3" s="483"/>
      <c r="B3" s="484" t="s">
        <v>1695</v>
      </c>
      <c r="C3" s="484" t="s">
        <v>8</v>
      </c>
      <c r="D3" s="484"/>
      <c r="E3" s="485"/>
      <c r="F3" s="483" t="s">
        <v>1696</v>
      </c>
      <c r="G3" s="484" t="s">
        <v>1697</v>
      </c>
      <c r="H3" s="486">
        <v>550</v>
      </c>
    </row>
    <row r="4" spans="1:8">
      <c r="A4" s="487" t="s">
        <v>847</v>
      </c>
      <c r="B4" s="484" t="s">
        <v>1698</v>
      </c>
      <c r="C4" s="486">
        <v>4700</v>
      </c>
      <c r="D4" s="484"/>
      <c r="E4" s="485"/>
      <c r="F4" s="483" t="s">
        <v>1699</v>
      </c>
      <c r="G4" s="484" t="s">
        <v>1700</v>
      </c>
      <c r="H4" s="486">
        <v>500</v>
      </c>
    </row>
    <row r="5" spans="1:8">
      <c r="A5" s="461" t="s">
        <v>1701</v>
      </c>
      <c r="B5" s="484"/>
      <c r="C5" s="486">
        <v>41000</v>
      </c>
      <c r="D5" s="484" t="s">
        <v>2400</v>
      </c>
      <c r="E5" s="485"/>
      <c r="F5" s="483" t="s">
        <v>1702</v>
      </c>
      <c r="G5" s="484" t="s">
        <v>1703</v>
      </c>
      <c r="H5" s="486">
        <v>460</v>
      </c>
    </row>
    <row r="6" spans="1:8">
      <c r="A6" s="461" t="s">
        <v>1704</v>
      </c>
      <c r="B6" s="484"/>
      <c r="C6" s="486">
        <v>41000</v>
      </c>
      <c r="D6" s="484" t="s">
        <v>2400</v>
      </c>
      <c r="E6" s="485"/>
      <c r="F6" s="483" t="s">
        <v>1705</v>
      </c>
      <c r="G6" s="484" t="s">
        <v>1706</v>
      </c>
      <c r="H6" s="486">
        <v>665</v>
      </c>
    </row>
    <row r="7" spans="1:8">
      <c r="A7" s="461" t="s">
        <v>848</v>
      </c>
      <c r="B7" s="484"/>
      <c r="C7" s="486">
        <v>42000</v>
      </c>
      <c r="D7" s="484" t="s">
        <v>2400</v>
      </c>
      <c r="E7" s="485"/>
      <c r="F7" s="483"/>
      <c r="G7" s="484"/>
      <c r="H7" s="486"/>
    </row>
    <row r="8" spans="1:8">
      <c r="A8" s="461" t="s">
        <v>849</v>
      </c>
      <c r="B8" s="484"/>
      <c r="C8" s="486">
        <v>39500</v>
      </c>
      <c r="D8" s="484" t="s">
        <v>2400</v>
      </c>
      <c r="E8" s="485"/>
      <c r="F8" s="483" t="s">
        <v>1707</v>
      </c>
      <c r="G8" s="484" t="s">
        <v>1708</v>
      </c>
      <c r="H8" s="486">
        <v>615</v>
      </c>
    </row>
    <row r="9" spans="1:8" ht="25.5">
      <c r="A9" s="461" t="s">
        <v>850</v>
      </c>
      <c r="B9" s="484" t="s">
        <v>1709</v>
      </c>
      <c r="C9" s="488">
        <v>605</v>
      </c>
      <c r="D9" s="484"/>
      <c r="E9" s="485"/>
      <c r="F9" s="483" t="s">
        <v>1710</v>
      </c>
      <c r="G9" s="484" t="s">
        <v>1711</v>
      </c>
      <c r="H9" s="486">
        <v>500</v>
      </c>
    </row>
    <row r="10" spans="1:8">
      <c r="A10" s="461" t="s">
        <v>851</v>
      </c>
      <c r="B10" s="484" t="s">
        <v>1712</v>
      </c>
      <c r="C10" s="488">
        <v>510</v>
      </c>
      <c r="D10" s="484"/>
      <c r="E10" s="485"/>
      <c r="F10" s="483" t="s">
        <v>1337</v>
      </c>
      <c r="G10" s="484" t="s">
        <v>1713</v>
      </c>
      <c r="H10" s="486">
        <v>540</v>
      </c>
    </row>
    <row r="11" spans="1:8">
      <c r="A11" s="461" t="s">
        <v>768</v>
      </c>
      <c r="B11" s="484" t="s">
        <v>1714</v>
      </c>
      <c r="C11" s="488">
        <v>375</v>
      </c>
      <c r="D11" s="484" t="s">
        <v>861</v>
      </c>
      <c r="E11" s="485" t="s">
        <v>862</v>
      </c>
      <c r="F11" s="483" t="s">
        <v>1338</v>
      </c>
      <c r="G11" s="484" t="s">
        <v>1715</v>
      </c>
      <c r="H11" s="486">
        <v>525</v>
      </c>
    </row>
    <row r="12" spans="1:8">
      <c r="A12" s="461" t="s">
        <v>1716</v>
      </c>
      <c r="B12" s="484" t="s">
        <v>1717</v>
      </c>
      <c r="C12" s="488">
        <v>6000</v>
      </c>
      <c r="D12" s="484">
        <v>60</v>
      </c>
      <c r="E12" s="485">
        <v>60</v>
      </c>
      <c r="F12" s="483"/>
      <c r="G12" s="484"/>
      <c r="H12" s="486"/>
    </row>
    <row r="13" spans="1:8">
      <c r="A13" s="461" t="s">
        <v>853</v>
      </c>
      <c r="B13" s="484" t="s">
        <v>1718</v>
      </c>
      <c r="C13" s="488">
        <v>640</v>
      </c>
      <c r="D13" s="484"/>
      <c r="E13" s="485"/>
      <c r="F13" s="483" t="s">
        <v>1719</v>
      </c>
      <c r="G13" s="484" t="s">
        <v>1720</v>
      </c>
      <c r="H13" s="486">
        <v>615</v>
      </c>
    </row>
    <row r="14" spans="1:8" ht="25.5">
      <c r="A14" s="461" t="s">
        <v>854</v>
      </c>
      <c r="B14" s="484" t="s">
        <v>1721</v>
      </c>
      <c r="C14" s="488">
        <v>1064</v>
      </c>
      <c r="D14" s="484"/>
      <c r="E14" s="485"/>
      <c r="F14" s="483" t="s">
        <v>1722</v>
      </c>
      <c r="G14" s="484"/>
      <c r="H14" s="486">
        <v>525</v>
      </c>
    </row>
    <row r="15" spans="1:8">
      <c r="A15" s="461" t="s">
        <v>1723</v>
      </c>
      <c r="B15" s="484" t="s">
        <v>1724</v>
      </c>
      <c r="C15" s="488">
        <v>848</v>
      </c>
      <c r="D15" s="484"/>
      <c r="E15" s="485"/>
      <c r="F15" s="483"/>
      <c r="G15" s="484"/>
      <c r="H15" s="486"/>
    </row>
    <row r="16" spans="1:8">
      <c r="A16" s="461" t="s">
        <v>1725</v>
      </c>
      <c r="B16" s="484" t="s">
        <v>1726</v>
      </c>
      <c r="C16" s="488">
        <v>716</v>
      </c>
      <c r="D16" s="484"/>
      <c r="E16" s="485"/>
      <c r="F16" s="483" t="s">
        <v>156</v>
      </c>
      <c r="G16" s="484" t="s">
        <v>1727</v>
      </c>
      <c r="H16" s="486">
        <v>610</v>
      </c>
    </row>
    <row r="17" spans="1:8" ht="25.5">
      <c r="A17" s="461" t="s">
        <v>1728</v>
      </c>
      <c r="B17" s="484" t="s">
        <v>1729</v>
      </c>
      <c r="C17" s="488">
        <v>568</v>
      </c>
      <c r="D17" s="484"/>
      <c r="E17" s="485"/>
      <c r="F17" s="483" t="s">
        <v>1499</v>
      </c>
      <c r="G17" s="484" t="s">
        <v>1730</v>
      </c>
      <c r="H17" s="486">
        <v>500</v>
      </c>
    </row>
    <row r="18" spans="1:8">
      <c r="A18" s="461" t="s">
        <v>1193</v>
      </c>
      <c r="B18" s="484" t="s">
        <v>1731</v>
      </c>
      <c r="C18" s="486">
        <v>255</v>
      </c>
      <c r="D18" s="484"/>
      <c r="E18" s="485"/>
      <c r="F18" s="514" t="s">
        <v>3157</v>
      </c>
      <c r="G18" s="484" t="s">
        <v>1703</v>
      </c>
      <c r="H18" s="486">
        <v>445</v>
      </c>
    </row>
    <row r="19" spans="1:8">
      <c r="A19" s="462" t="s">
        <v>1732</v>
      </c>
      <c r="B19" s="484" t="s">
        <v>1733</v>
      </c>
      <c r="C19" s="488">
        <v>1991</v>
      </c>
      <c r="D19" s="484"/>
      <c r="E19" s="485"/>
      <c r="F19" s="483"/>
      <c r="G19" s="484"/>
      <c r="H19" s="486"/>
    </row>
    <row r="20" spans="1:8">
      <c r="A20" s="462" t="s">
        <v>1734</v>
      </c>
      <c r="B20" s="484" t="s">
        <v>1735</v>
      </c>
      <c r="C20" s="488">
        <v>266</v>
      </c>
      <c r="D20" s="484"/>
      <c r="E20" s="485"/>
      <c r="F20" s="483"/>
      <c r="G20" s="484"/>
      <c r="H20" s="486"/>
    </row>
    <row r="21" spans="1:8">
      <c r="A21" s="462" t="s">
        <v>1736</v>
      </c>
      <c r="B21" s="484" t="s">
        <v>1737</v>
      </c>
      <c r="C21" s="488">
        <v>612</v>
      </c>
      <c r="D21" s="484"/>
      <c r="E21" s="485"/>
      <c r="F21" s="483"/>
      <c r="G21" s="484"/>
      <c r="H21" s="486"/>
    </row>
    <row r="22" spans="1:8">
      <c r="A22" s="462" t="s">
        <v>1738</v>
      </c>
      <c r="B22" s="484" t="s">
        <v>1739</v>
      </c>
      <c r="C22" s="488">
        <v>370</v>
      </c>
      <c r="D22" s="484"/>
      <c r="E22" s="485"/>
      <c r="F22" s="483"/>
      <c r="G22" s="484"/>
      <c r="H22" s="486"/>
    </row>
    <row r="23" spans="1:8">
      <c r="A23" s="462" t="s">
        <v>1740</v>
      </c>
      <c r="B23" s="484" t="s">
        <v>1741</v>
      </c>
      <c r="C23" s="488">
        <v>323</v>
      </c>
      <c r="D23" s="484"/>
      <c r="E23" s="485"/>
      <c r="F23" s="483"/>
      <c r="G23" s="484"/>
      <c r="H23" s="486"/>
    </row>
    <row r="24" spans="1:8">
      <c r="A24" s="461" t="s">
        <v>1208</v>
      </c>
      <c r="B24" s="484" t="s">
        <v>3162</v>
      </c>
      <c r="C24" s="486">
        <v>18000</v>
      </c>
      <c r="D24" s="484"/>
      <c r="E24" s="485"/>
      <c r="F24" s="483" t="s">
        <v>1742</v>
      </c>
      <c r="G24" s="484"/>
      <c r="H24" s="486"/>
    </row>
    <row r="25" spans="1:8">
      <c r="A25" s="461" t="s">
        <v>860</v>
      </c>
      <c r="B25" s="484" t="s">
        <v>1743</v>
      </c>
      <c r="C25" s="486">
        <v>101</v>
      </c>
      <c r="D25" s="484"/>
      <c r="E25" s="485"/>
      <c r="F25" s="483" t="s">
        <v>1428</v>
      </c>
      <c r="G25" s="484"/>
      <c r="H25" s="486">
        <v>5.86</v>
      </c>
    </row>
    <row r="26" spans="1:8">
      <c r="A26" s="461" t="s">
        <v>664</v>
      </c>
      <c r="B26" s="484" t="s">
        <v>1744</v>
      </c>
      <c r="C26" s="486">
        <v>130</v>
      </c>
      <c r="D26" s="484"/>
      <c r="E26" s="485"/>
      <c r="F26" s="483" t="s">
        <v>1430</v>
      </c>
      <c r="G26" s="484"/>
      <c r="H26" s="486">
        <v>139.55000000000001</v>
      </c>
    </row>
    <row r="27" spans="1:8">
      <c r="A27" s="461" t="s">
        <v>1745</v>
      </c>
      <c r="B27" s="484" t="s">
        <v>1746</v>
      </c>
      <c r="C27" s="486">
        <v>25</v>
      </c>
      <c r="D27" s="484"/>
      <c r="E27" s="485"/>
      <c r="F27" s="483"/>
      <c r="G27" s="484"/>
      <c r="H27" s="486"/>
    </row>
    <row r="28" spans="1:8">
      <c r="A28" s="483"/>
      <c r="B28" s="484"/>
      <c r="C28" s="484"/>
      <c r="D28" s="484"/>
      <c r="E28" s="1678" t="s">
        <v>1747</v>
      </c>
      <c r="F28" s="1678"/>
      <c r="G28" s="1678"/>
      <c r="H28" s="1678"/>
    </row>
    <row r="29" spans="1:8">
      <c r="A29" s="461" t="s">
        <v>1748</v>
      </c>
      <c r="B29" s="484" t="s">
        <v>1749</v>
      </c>
      <c r="C29" s="486">
        <v>83</v>
      </c>
      <c r="D29" s="484"/>
      <c r="E29" s="489" t="s">
        <v>1750</v>
      </c>
      <c r="F29" s="490" t="s">
        <v>1751</v>
      </c>
      <c r="G29" s="491" t="s">
        <v>1752</v>
      </c>
      <c r="H29" s="491" t="s">
        <v>1753</v>
      </c>
    </row>
    <row r="30" spans="1:8">
      <c r="A30" s="461" t="s">
        <v>1754</v>
      </c>
      <c r="B30" s="484" t="s">
        <v>1755</v>
      </c>
      <c r="C30" s="486">
        <v>566.1</v>
      </c>
      <c r="D30" s="484"/>
      <c r="E30" s="489">
        <v>10.32</v>
      </c>
      <c r="F30" s="491">
        <v>79.459999999999994</v>
      </c>
      <c r="G30" s="491">
        <v>113.78</v>
      </c>
      <c r="H30" s="492">
        <v>148.09</v>
      </c>
    </row>
    <row r="31" spans="1:8" ht="25.5">
      <c r="A31" s="461" t="s">
        <v>1756</v>
      </c>
      <c r="B31" s="484" t="s">
        <v>1757</v>
      </c>
      <c r="C31" s="486">
        <v>223</v>
      </c>
      <c r="D31" s="484"/>
      <c r="E31" s="1678" t="s">
        <v>1758</v>
      </c>
      <c r="F31" s="1678"/>
      <c r="G31" s="1678"/>
      <c r="H31" s="1678"/>
    </row>
    <row r="32" spans="1:8">
      <c r="A32" s="461" t="s">
        <v>38</v>
      </c>
      <c r="B32" s="484" t="s">
        <v>1759</v>
      </c>
      <c r="C32" s="486">
        <v>56</v>
      </c>
      <c r="D32" s="484"/>
      <c r="E32" s="489" t="s">
        <v>1750</v>
      </c>
      <c r="F32" s="490" t="s">
        <v>1751</v>
      </c>
      <c r="G32" s="491" t="s">
        <v>1752</v>
      </c>
      <c r="H32" s="491" t="s">
        <v>1753</v>
      </c>
    </row>
    <row r="33" spans="1:8">
      <c r="A33" s="461" t="s">
        <v>1760</v>
      </c>
      <c r="B33" s="484" t="s">
        <v>1761</v>
      </c>
      <c r="C33" s="486">
        <v>13</v>
      </c>
      <c r="D33" s="484"/>
      <c r="E33" s="489">
        <v>2.46</v>
      </c>
      <c r="F33" s="491">
        <v>15.91</v>
      </c>
      <c r="G33" s="491">
        <v>22.57</v>
      </c>
      <c r="H33" s="492">
        <v>29.23</v>
      </c>
    </row>
    <row r="34" spans="1:8" ht="25.5">
      <c r="A34" s="461" t="s">
        <v>1762</v>
      </c>
      <c r="B34" s="484" t="s">
        <v>1763</v>
      </c>
      <c r="C34" s="486">
        <v>116.3</v>
      </c>
      <c r="D34" s="484"/>
      <c r="E34" s="1678" t="s">
        <v>1764</v>
      </c>
      <c r="F34" s="1678"/>
      <c r="G34" s="1678"/>
      <c r="H34" s="1678"/>
    </row>
    <row r="35" spans="1:8">
      <c r="A35" s="461" t="s">
        <v>1765</v>
      </c>
      <c r="B35" s="484" t="s">
        <v>1766</v>
      </c>
      <c r="C35" s="486">
        <v>27</v>
      </c>
      <c r="D35" s="484"/>
      <c r="E35" s="489" t="s">
        <v>1750</v>
      </c>
      <c r="F35" s="490" t="s">
        <v>1751</v>
      </c>
      <c r="G35" s="491" t="s">
        <v>1752</v>
      </c>
      <c r="H35" s="491" t="s">
        <v>1753</v>
      </c>
    </row>
    <row r="36" spans="1:8">
      <c r="A36" s="461" t="s">
        <v>1767</v>
      </c>
      <c r="B36" s="484" t="s">
        <v>1768</v>
      </c>
      <c r="C36" s="486">
        <v>5</v>
      </c>
      <c r="D36" s="484"/>
      <c r="E36" s="489">
        <v>1.03</v>
      </c>
      <c r="F36" s="491">
        <v>7.95</v>
      </c>
      <c r="G36" s="491">
        <v>11.38</v>
      </c>
      <c r="H36" s="492">
        <v>14.81</v>
      </c>
    </row>
    <row r="37" spans="1:8">
      <c r="A37" s="461" t="s">
        <v>1769</v>
      </c>
      <c r="B37" s="484" t="s">
        <v>1770</v>
      </c>
      <c r="C37" s="486">
        <v>60</v>
      </c>
      <c r="D37" s="484"/>
      <c r="E37" s="485"/>
      <c r="F37" s="484"/>
      <c r="G37" s="484"/>
      <c r="H37" s="486"/>
    </row>
    <row r="38" spans="1:8">
      <c r="A38" s="461" t="s">
        <v>1771</v>
      </c>
      <c r="B38" s="484" t="s">
        <v>1772</v>
      </c>
      <c r="C38" s="486">
        <v>24</v>
      </c>
      <c r="D38" s="484"/>
      <c r="E38" s="485"/>
      <c r="F38" s="484"/>
      <c r="G38" s="484"/>
      <c r="H38" s="486"/>
    </row>
    <row r="39" spans="1:8">
      <c r="A39" s="461" t="s">
        <v>1773</v>
      </c>
      <c r="B39" s="484" t="s">
        <v>1774</v>
      </c>
      <c r="C39" s="486">
        <v>21</v>
      </c>
      <c r="D39" s="484"/>
      <c r="E39" s="485"/>
      <c r="F39" s="483"/>
      <c r="G39" s="484"/>
      <c r="H39" s="486"/>
    </row>
    <row r="40" spans="1:8">
      <c r="A40" s="461" t="s">
        <v>1567</v>
      </c>
      <c r="B40" s="484" t="s">
        <v>1775</v>
      </c>
      <c r="C40" s="486">
        <v>331</v>
      </c>
      <c r="D40" s="484"/>
      <c r="E40" s="461" t="s">
        <v>1776</v>
      </c>
      <c r="F40" s="484" t="s">
        <v>1777</v>
      </c>
      <c r="G40" s="486">
        <v>550</v>
      </c>
      <c r="H40" s="486"/>
    </row>
    <row r="41" spans="1:8" ht="25.5">
      <c r="A41" s="461" t="s">
        <v>1778</v>
      </c>
      <c r="B41" s="484" t="s">
        <v>1779</v>
      </c>
      <c r="C41" s="486">
        <v>131</v>
      </c>
      <c r="D41" s="484"/>
      <c r="E41" s="485" t="s">
        <v>1780</v>
      </c>
      <c r="F41" s="484" t="s">
        <v>1781</v>
      </c>
      <c r="G41" s="486">
        <v>141</v>
      </c>
      <c r="H41" s="486"/>
    </row>
    <row r="42" spans="1:8" ht="25.5">
      <c r="A42" s="461" t="s">
        <v>1782</v>
      </c>
      <c r="B42" s="484" t="s">
        <v>1783</v>
      </c>
      <c r="C42" s="486">
        <v>187</v>
      </c>
      <c r="D42" s="484"/>
      <c r="E42" s="485" t="s">
        <v>1780</v>
      </c>
      <c r="F42" s="484" t="s">
        <v>1784</v>
      </c>
      <c r="G42" s="486">
        <v>180</v>
      </c>
      <c r="H42" s="486"/>
    </row>
    <row r="43" spans="1:8" ht="38.25">
      <c r="A43" s="461" t="s">
        <v>1785</v>
      </c>
      <c r="B43" s="484" t="s">
        <v>1786</v>
      </c>
      <c r="C43" s="486">
        <v>17</v>
      </c>
      <c r="D43" s="484"/>
      <c r="E43" s="485" t="s">
        <v>1370</v>
      </c>
      <c r="F43" s="484" t="s">
        <v>1787</v>
      </c>
      <c r="G43" s="486">
        <v>168</v>
      </c>
      <c r="H43" s="486"/>
    </row>
    <row r="44" spans="1:8" ht="38.25">
      <c r="A44" s="461" t="s">
        <v>1788</v>
      </c>
      <c r="B44" s="419" t="s">
        <v>3622</v>
      </c>
      <c r="C44" s="416">
        <v>72</v>
      </c>
      <c r="D44" s="484"/>
      <c r="E44" s="485" t="s">
        <v>1370</v>
      </c>
      <c r="F44" s="484" t="s">
        <v>1789</v>
      </c>
      <c r="G44" s="486">
        <v>194</v>
      </c>
      <c r="H44" s="486"/>
    </row>
    <row r="45" spans="1:8">
      <c r="A45" s="461" t="s">
        <v>670</v>
      </c>
      <c r="B45" s="484" t="s">
        <v>1790</v>
      </c>
      <c r="C45" s="486">
        <v>27.95</v>
      </c>
      <c r="D45" s="484"/>
      <c r="E45" s="485" t="s">
        <v>1791</v>
      </c>
      <c r="F45" s="484" t="s">
        <v>1792</v>
      </c>
      <c r="G45" s="486">
        <v>130</v>
      </c>
      <c r="H45" s="486"/>
    </row>
    <row r="46" spans="1:8">
      <c r="A46" s="461" t="s">
        <v>1793</v>
      </c>
      <c r="B46" s="484" t="s">
        <v>1794</v>
      </c>
      <c r="C46" s="486">
        <v>412</v>
      </c>
      <c r="D46" s="484"/>
      <c r="E46" s="485" t="s">
        <v>1795</v>
      </c>
      <c r="F46" s="484" t="s">
        <v>1796</v>
      </c>
      <c r="G46" s="486">
        <v>248</v>
      </c>
      <c r="H46" s="486"/>
    </row>
    <row r="47" spans="1:8" ht="38.25">
      <c r="A47" s="483" t="s">
        <v>1797</v>
      </c>
      <c r="B47" s="484" t="s">
        <v>1371</v>
      </c>
      <c r="C47" s="484">
        <v>3198</v>
      </c>
      <c r="D47" s="484"/>
      <c r="E47" s="485" t="s">
        <v>1798</v>
      </c>
      <c r="F47" s="484" t="s">
        <v>1799</v>
      </c>
      <c r="G47" s="486">
        <v>708</v>
      </c>
      <c r="H47" s="486"/>
    </row>
    <row r="48" spans="1:8" ht="38.25">
      <c r="A48" s="461" t="s">
        <v>1800</v>
      </c>
      <c r="B48" s="484" t="s">
        <v>1425</v>
      </c>
      <c r="C48" s="486">
        <v>250</v>
      </c>
      <c r="D48" s="484"/>
      <c r="E48" s="485" t="s">
        <v>1423</v>
      </c>
      <c r="F48" s="484" t="s">
        <v>1422</v>
      </c>
      <c r="G48" s="486">
        <v>244</v>
      </c>
      <c r="H48" s="486"/>
    </row>
    <row r="49" spans="1:8">
      <c r="A49" s="461" t="s">
        <v>1801</v>
      </c>
      <c r="B49" s="484" t="s">
        <v>1427</v>
      </c>
      <c r="C49" s="486">
        <v>130</v>
      </c>
      <c r="D49" s="484"/>
      <c r="E49" s="485"/>
      <c r="F49" s="483"/>
      <c r="G49" s="484"/>
      <c r="H49" s="486"/>
    </row>
    <row r="50" spans="1:8">
      <c r="A50" s="461"/>
      <c r="B50" s="484"/>
      <c r="C50" s="486"/>
      <c r="D50" s="484"/>
      <c r="E50" s="485"/>
      <c r="F50" s="483"/>
      <c r="G50" s="484"/>
      <c r="H50" s="486"/>
    </row>
    <row r="51" spans="1:8">
      <c r="A51" s="483"/>
      <c r="B51" s="484"/>
      <c r="C51" s="484" t="s">
        <v>1750</v>
      </c>
      <c r="D51" s="484" t="s">
        <v>1802</v>
      </c>
      <c r="E51" s="485"/>
      <c r="F51" s="483"/>
      <c r="G51" s="484"/>
      <c r="H51" s="486"/>
    </row>
    <row r="52" spans="1:8">
      <c r="A52" s="461" t="s">
        <v>152</v>
      </c>
      <c r="B52" s="484"/>
      <c r="C52" s="484">
        <v>288</v>
      </c>
      <c r="D52" s="484">
        <v>631</v>
      </c>
      <c r="E52" s="485"/>
      <c r="F52" s="483"/>
      <c r="G52" s="484"/>
      <c r="H52" s="486"/>
    </row>
    <row r="53" spans="1:8">
      <c r="A53" s="461" t="s">
        <v>1803</v>
      </c>
      <c r="B53" s="484"/>
      <c r="C53" s="484">
        <v>64</v>
      </c>
      <c r="D53" s="484">
        <v>341</v>
      </c>
      <c r="E53" s="485"/>
      <c r="F53" s="483"/>
      <c r="G53" s="484"/>
      <c r="H53" s="486"/>
    </row>
    <row r="54" spans="1:8">
      <c r="A54" s="461" t="s">
        <v>1804</v>
      </c>
      <c r="B54" s="484"/>
      <c r="C54" s="484">
        <v>328</v>
      </c>
      <c r="D54" s="484">
        <v>1004</v>
      </c>
      <c r="E54" s="485"/>
      <c r="F54" s="483"/>
      <c r="G54" s="484"/>
      <c r="H54" s="486"/>
    </row>
    <row r="55" spans="1:8">
      <c r="A55" s="461" t="s">
        <v>1434</v>
      </c>
      <c r="B55" s="484"/>
      <c r="C55" s="484">
        <v>1390</v>
      </c>
      <c r="D55" s="484">
        <v>1521</v>
      </c>
      <c r="E55" s="485"/>
      <c r="F55" s="483"/>
      <c r="G55" s="484"/>
      <c r="H55" s="486"/>
    </row>
    <row r="56" spans="1:8">
      <c r="A56" s="483"/>
      <c r="B56" s="484"/>
      <c r="C56" s="484"/>
      <c r="D56" s="484" t="s">
        <v>161</v>
      </c>
      <c r="E56" s="484" t="s">
        <v>162</v>
      </c>
      <c r="F56" s="484" t="s">
        <v>163</v>
      </c>
      <c r="G56" s="484"/>
      <c r="H56" s="486"/>
    </row>
    <row r="57" spans="1:8">
      <c r="A57" s="461" t="s">
        <v>1433</v>
      </c>
      <c r="B57" s="484"/>
      <c r="C57" s="484">
        <v>355</v>
      </c>
      <c r="D57" s="484">
        <v>2268</v>
      </c>
      <c r="E57" s="484">
        <v>2495</v>
      </c>
      <c r="F57" s="484">
        <v>2722</v>
      </c>
      <c r="G57" s="484"/>
      <c r="H57" s="486"/>
    </row>
    <row r="58" spans="1:8">
      <c r="A58" s="461" t="s">
        <v>866</v>
      </c>
      <c r="B58" s="484"/>
      <c r="C58" s="484">
        <v>1180</v>
      </c>
      <c r="D58" s="484">
        <v>1615</v>
      </c>
      <c r="E58" s="484">
        <v>1777</v>
      </c>
      <c r="F58" s="484">
        <v>1938</v>
      </c>
      <c r="G58" s="484"/>
      <c r="H58" s="486"/>
    </row>
    <row r="59" spans="1:8">
      <c r="A59" s="461" t="s">
        <v>1539</v>
      </c>
      <c r="B59" s="484"/>
      <c r="C59" s="484">
        <v>233</v>
      </c>
      <c r="D59" s="484">
        <v>248</v>
      </c>
      <c r="E59" s="484">
        <v>273</v>
      </c>
      <c r="F59" s="484">
        <v>298</v>
      </c>
      <c r="G59" s="484"/>
      <c r="H59" s="486"/>
    </row>
    <row r="60" spans="1:8">
      <c r="A60" s="461" t="s">
        <v>1805</v>
      </c>
      <c r="B60" s="484"/>
      <c r="C60" s="484">
        <v>2085</v>
      </c>
      <c r="D60" s="484">
        <v>1903</v>
      </c>
      <c r="E60" s="484">
        <v>2093</v>
      </c>
      <c r="F60" s="484">
        <v>2284</v>
      </c>
      <c r="G60" s="484"/>
      <c r="H60" s="486"/>
    </row>
    <row r="61" spans="1:8">
      <c r="A61" s="461" t="s">
        <v>1806</v>
      </c>
      <c r="B61" s="484"/>
      <c r="C61" s="484">
        <v>236</v>
      </c>
      <c r="D61" s="484">
        <v>226</v>
      </c>
      <c r="E61" s="484">
        <v>237</v>
      </c>
      <c r="F61" s="484">
        <v>258</v>
      </c>
      <c r="G61" s="484"/>
      <c r="H61" s="486"/>
    </row>
    <row r="62" spans="1:8">
      <c r="A62" s="461" t="s">
        <v>1807</v>
      </c>
      <c r="B62" s="484"/>
      <c r="C62" s="484">
        <v>243</v>
      </c>
      <c r="D62" s="484">
        <v>233</v>
      </c>
      <c r="E62" s="484">
        <v>244</v>
      </c>
      <c r="F62" s="484">
        <v>266</v>
      </c>
      <c r="G62" s="484"/>
      <c r="H62" s="486"/>
    </row>
    <row r="63" spans="1:8">
      <c r="A63" s="483"/>
      <c r="B63" s="484"/>
      <c r="C63" s="484"/>
      <c r="D63" s="484"/>
      <c r="E63" s="485"/>
      <c r="F63" s="484"/>
      <c r="G63" s="484"/>
      <c r="H63" s="486"/>
    </row>
    <row r="64" spans="1:8">
      <c r="A64" s="483"/>
      <c r="B64" s="484"/>
      <c r="C64" s="484"/>
      <c r="D64" s="484"/>
      <c r="E64" s="485"/>
      <c r="F64" s="484"/>
      <c r="G64" s="484"/>
      <c r="H64" s="486"/>
    </row>
    <row r="65" spans="1:8">
      <c r="A65" s="483"/>
      <c r="B65" s="484"/>
      <c r="C65" s="484"/>
      <c r="D65" s="484"/>
      <c r="E65" s="485"/>
      <c r="F65" s="483"/>
      <c r="G65" s="484"/>
      <c r="H65" s="486"/>
    </row>
    <row r="66" spans="1:8" ht="24">
      <c r="A66" s="463" t="s">
        <v>1808</v>
      </c>
      <c r="B66" s="484" t="s">
        <v>1809</v>
      </c>
      <c r="C66" s="486">
        <v>1784</v>
      </c>
      <c r="D66" s="484"/>
      <c r="E66" s="485"/>
      <c r="F66" s="483" t="s">
        <v>1810</v>
      </c>
      <c r="G66" s="484" t="s">
        <v>1811</v>
      </c>
      <c r="H66" s="486">
        <v>5</v>
      </c>
    </row>
    <row r="67" spans="1:8" ht="24">
      <c r="A67" s="463" t="s">
        <v>1812</v>
      </c>
      <c r="B67" s="484" t="s">
        <v>1813</v>
      </c>
      <c r="C67" s="486">
        <v>2226</v>
      </c>
      <c r="D67" s="484"/>
      <c r="E67" s="485"/>
      <c r="F67" s="483" t="s">
        <v>1814</v>
      </c>
      <c r="G67" s="484" t="s">
        <v>1815</v>
      </c>
      <c r="H67" s="486">
        <v>1</v>
      </c>
    </row>
    <row r="68" spans="1:8">
      <c r="A68" s="463" t="s">
        <v>1816</v>
      </c>
      <c r="B68" s="484" t="s">
        <v>1817</v>
      </c>
      <c r="C68" s="486">
        <v>766</v>
      </c>
      <c r="D68" s="484"/>
      <c r="E68" s="485"/>
      <c r="F68" s="463" t="s">
        <v>1818</v>
      </c>
      <c r="G68" s="484" t="s">
        <v>1819</v>
      </c>
      <c r="H68" s="486">
        <v>53</v>
      </c>
    </row>
    <row r="69" spans="1:8">
      <c r="A69" s="483" t="s">
        <v>1820</v>
      </c>
      <c r="B69" s="484" t="s">
        <v>1821</v>
      </c>
      <c r="C69" s="486">
        <v>934</v>
      </c>
      <c r="D69" s="484"/>
      <c r="E69" s="485"/>
      <c r="F69" s="463" t="s">
        <v>1822</v>
      </c>
      <c r="G69" s="484" t="s">
        <v>1823</v>
      </c>
      <c r="H69" s="486">
        <v>85</v>
      </c>
    </row>
    <row r="70" spans="1:8">
      <c r="A70" s="483" t="s">
        <v>1824</v>
      </c>
      <c r="B70" s="484" t="s">
        <v>1825</v>
      </c>
      <c r="C70" s="486">
        <v>2385</v>
      </c>
      <c r="D70" s="484"/>
      <c r="E70" s="485"/>
      <c r="F70" s="463" t="s">
        <v>1826</v>
      </c>
      <c r="G70" s="484" t="s">
        <v>1827</v>
      </c>
      <c r="H70" s="486">
        <v>123</v>
      </c>
    </row>
    <row r="71" spans="1:8">
      <c r="A71" s="483" t="s">
        <v>1828</v>
      </c>
      <c r="B71" s="484" t="s">
        <v>1829</v>
      </c>
      <c r="C71" s="486">
        <v>1370</v>
      </c>
      <c r="D71" s="484"/>
      <c r="E71" s="485"/>
      <c r="F71" s="463" t="s">
        <v>1830</v>
      </c>
      <c r="G71" s="484" t="s">
        <v>1831</v>
      </c>
      <c r="H71" s="486">
        <v>193</v>
      </c>
    </row>
    <row r="72" spans="1:8">
      <c r="A72" s="483" t="s">
        <v>1832</v>
      </c>
      <c r="B72" s="484" t="s">
        <v>1833</v>
      </c>
      <c r="C72" s="486">
        <v>349</v>
      </c>
      <c r="D72" s="484"/>
      <c r="E72" s="485"/>
      <c r="F72" s="463" t="s">
        <v>1834</v>
      </c>
      <c r="G72" s="484" t="s">
        <v>1835</v>
      </c>
      <c r="H72" s="486">
        <v>24</v>
      </c>
    </row>
    <row r="73" spans="1:8">
      <c r="A73" s="483" t="s">
        <v>1836</v>
      </c>
      <c r="B73" s="484" t="s">
        <v>1837</v>
      </c>
      <c r="C73" s="486">
        <v>86</v>
      </c>
      <c r="D73" s="484"/>
      <c r="E73" s="485"/>
      <c r="F73" s="483" t="s">
        <v>1838</v>
      </c>
      <c r="G73" s="484" t="s">
        <v>1839</v>
      </c>
      <c r="H73" s="486">
        <v>31</v>
      </c>
    </row>
    <row r="74" spans="1:8">
      <c r="A74" s="483" t="s">
        <v>1840</v>
      </c>
      <c r="B74" s="484" t="s">
        <v>1841</v>
      </c>
      <c r="C74" s="486">
        <v>22</v>
      </c>
      <c r="D74" s="484"/>
      <c r="E74" s="485"/>
      <c r="F74" s="483" t="s">
        <v>1842</v>
      </c>
      <c r="G74" s="484" t="s">
        <v>1843</v>
      </c>
      <c r="H74" s="486">
        <v>1051</v>
      </c>
    </row>
    <row r="75" spans="1:8">
      <c r="A75" s="483" t="s">
        <v>1444</v>
      </c>
      <c r="B75" s="484" t="s">
        <v>1844</v>
      </c>
      <c r="C75" s="486">
        <v>86</v>
      </c>
      <c r="D75" s="484"/>
      <c r="E75" s="485"/>
      <c r="F75" s="483" t="s">
        <v>1845</v>
      </c>
      <c r="G75" s="484" t="s">
        <v>1846</v>
      </c>
      <c r="H75" s="486">
        <v>70</v>
      </c>
    </row>
    <row r="76" spans="1:8" ht="25.5">
      <c r="A76" s="483" t="s">
        <v>1847</v>
      </c>
      <c r="B76" s="484" t="s">
        <v>1848</v>
      </c>
      <c r="C76" s="486">
        <v>29</v>
      </c>
      <c r="D76" s="484"/>
      <c r="E76" s="485"/>
      <c r="F76" s="483" t="s">
        <v>1849</v>
      </c>
      <c r="G76" s="484" t="s">
        <v>1850</v>
      </c>
      <c r="H76" s="486">
        <v>15</v>
      </c>
    </row>
    <row r="77" spans="1:8" ht="25.5">
      <c r="A77" s="483" t="s">
        <v>1851</v>
      </c>
      <c r="B77" s="484" t="s">
        <v>1852</v>
      </c>
      <c r="C77" s="486">
        <v>117</v>
      </c>
      <c r="D77" s="484"/>
      <c r="E77" s="485"/>
      <c r="F77" s="483"/>
      <c r="G77" s="484"/>
      <c r="H77" s="486"/>
    </row>
    <row r="78" spans="1:8">
      <c r="A78" s="483" t="s">
        <v>1441</v>
      </c>
      <c r="B78" s="484" t="s">
        <v>1853</v>
      </c>
      <c r="C78" s="486">
        <v>410</v>
      </c>
      <c r="D78" s="484"/>
      <c r="E78" s="485"/>
      <c r="F78" s="483"/>
      <c r="G78" s="484"/>
      <c r="H78" s="486"/>
    </row>
    <row r="79" spans="1:8" ht="25.5">
      <c r="A79" s="483" t="s">
        <v>1442</v>
      </c>
      <c r="B79" s="484" t="s">
        <v>1854</v>
      </c>
      <c r="C79" s="486">
        <v>389</v>
      </c>
      <c r="D79" s="484"/>
      <c r="E79" s="485"/>
      <c r="F79" s="483" t="s">
        <v>2256</v>
      </c>
      <c r="G79" s="484" t="s">
        <v>2257</v>
      </c>
      <c r="H79" s="486">
        <v>311</v>
      </c>
    </row>
    <row r="80" spans="1:8">
      <c r="A80" s="483" t="s">
        <v>1443</v>
      </c>
      <c r="B80" s="484" t="s">
        <v>1855</v>
      </c>
      <c r="C80" s="486">
        <v>244</v>
      </c>
      <c r="D80" s="484"/>
      <c r="E80" s="485"/>
      <c r="F80" s="483" t="s">
        <v>2258</v>
      </c>
      <c r="G80" s="484" t="s">
        <v>2259</v>
      </c>
      <c r="H80" s="486">
        <v>178</v>
      </c>
    </row>
    <row r="81" spans="1:8">
      <c r="A81" s="483" t="s">
        <v>1856</v>
      </c>
      <c r="B81" s="484" t="s">
        <v>1857</v>
      </c>
      <c r="C81" s="486">
        <v>70</v>
      </c>
      <c r="D81" s="484"/>
      <c r="E81" s="485"/>
      <c r="F81" s="483"/>
      <c r="G81" s="484"/>
      <c r="H81" s="486"/>
    </row>
    <row r="82" spans="1:8">
      <c r="A82" s="483" t="s">
        <v>1858</v>
      </c>
      <c r="B82" s="484" t="s">
        <v>1859</v>
      </c>
      <c r="C82" s="486">
        <v>1483</v>
      </c>
      <c r="D82" s="484"/>
      <c r="E82" s="485"/>
      <c r="F82" s="483"/>
      <c r="G82" s="484"/>
      <c r="H82" s="486"/>
    </row>
    <row r="83" spans="1:8">
      <c r="A83" s="483" t="s">
        <v>1860</v>
      </c>
      <c r="B83" s="484" t="s">
        <v>1861</v>
      </c>
      <c r="C83" s="486">
        <v>3758</v>
      </c>
      <c r="D83" s="484"/>
      <c r="E83" s="485"/>
      <c r="F83" s="483"/>
      <c r="G83" s="484"/>
      <c r="H83" s="486"/>
    </row>
    <row r="84" spans="1:8">
      <c r="A84" s="483"/>
      <c r="B84" s="484"/>
      <c r="C84" s="484"/>
      <c r="D84" s="484"/>
      <c r="E84" s="485"/>
      <c r="F84" s="483"/>
      <c r="G84" s="484"/>
      <c r="H84" s="486"/>
    </row>
    <row r="85" spans="1:8">
      <c r="A85" s="483"/>
      <c r="B85" s="484"/>
      <c r="C85" s="484"/>
      <c r="D85" s="484"/>
      <c r="E85" s="485"/>
      <c r="F85" s="483"/>
      <c r="G85" s="484"/>
      <c r="H85" s="486"/>
    </row>
    <row r="86" spans="1:8">
      <c r="A86" s="483" t="s">
        <v>1862</v>
      </c>
      <c r="B86" s="484" t="s">
        <v>1863</v>
      </c>
      <c r="C86" s="486">
        <v>446.4</v>
      </c>
      <c r="D86" s="484"/>
      <c r="E86" s="485"/>
      <c r="F86" s="483"/>
      <c r="G86" s="484"/>
      <c r="H86" s="486"/>
    </row>
    <row r="87" spans="1:8">
      <c r="A87" s="483" t="s">
        <v>1864</v>
      </c>
      <c r="B87" s="484"/>
      <c r="C87" s="486">
        <v>477.6</v>
      </c>
      <c r="D87" s="484"/>
      <c r="E87" s="485"/>
      <c r="F87" s="483"/>
      <c r="G87" s="484"/>
      <c r="H87" s="486"/>
    </row>
    <row r="88" spans="1:8">
      <c r="A88" s="483" t="s">
        <v>1865</v>
      </c>
      <c r="B88" s="484"/>
      <c r="C88" s="486">
        <v>535.70000000000005</v>
      </c>
      <c r="D88" s="484"/>
      <c r="E88" s="485"/>
      <c r="F88" s="483"/>
      <c r="G88" s="484"/>
      <c r="H88" s="486"/>
    </row>
    <row r="89" spans="1:8">
      <c r="A89" s="483" t="s">
        <v>1866</v>
      </c>
      <c r="B89" s="484" t="s">
        <v>1867</v>
      </c>
      <c r="C89" s="486">
        <v>24300</v>
      </c>
      <c r="D89" s="484"/>
      <c r="E89" s="485"/>
      <c r="F89" s="483"/>
      <c r="G89" s="484"/>
      <c r="H89" s="486"/>
    </row>
    <row r="90" spans="1:8">
      <c r="A90" s="483" t="s">
        <v>1866</v>
      </c>
      <c r="B90" s="484" t="s">
        <v>1868</v>
      </c>
      <c r="C90" s="486">
        <v>16700</v>
      </c>
      <c r="D90" s="484"/>
      <c r="E90" s="485"/>
      <c r="F90" s="483"/>
      <c r="G90" s="484"/>
      <c r="H90" s="486"/>
    </row>
    <row r="91" spans="1:8">
      <c r="A91" s="483" t="s">
        <v>1869</v>
      </c>
      <c r="B91" s="484" t="s">
        <v>1870</v>
      </c>
      <c r="C91" s="486">
        <v>325</v>
      </c>
      <c r="D91" s="484"/>
      <c r="E91" s="485"/>
      <c r="F91" s="483"/>
      <c r="G91" s="484"/>
      <c r="H91" s="486"/>
    </row>
    <row r="92" spans="1:8">
      <c r="A92" s="483" t="s">
        <v>1871</v>
      </c>
      <c r="B92" s="484" t="s">
        <v>1872</v>
      </c>
      <c r="C92" s="486">
        <v>59</v>
      </c>
      <c r="D92" s="484"/>
      <c r="E92" s="485"/>
      <c r="F92" s="483"/>
      <c r="G92" s="484"/>
      <c r="H92" s="486"/>
    </row>
    <row r="93" spans="1:8">
      <c r="A93" s="483" t="s">
        <v>1873</v>
      </c>
      <c r="B93" s="484" t="s">
        <v>1874</v>
      </c>
      <c r="C93" s="486">
        <v>175</v>
      </c>
      <c r="D93" s="484"/>
      <c r="E93" s="485"/>
      <c r="F93" s="483"/>
      <c r="G93" s="484"/>
      <c r="H93" s="486"/>
    </row>
    <row r="94" spans="1:8">
      <c r="A94" s="483" t="s">
        <v>1445</v>
      </c>
      <c r="B94" s="484" t="s">
        <v>1870</v>
      </c>
      <c r="C94" s="486">
        <v>300</v>
      </c>
      <c r="D94" s="484"/>
      <c r="E94" s="485"/>
      <c r="F94" s="483"/>
      <c r="G94" s="484"/>
      <c r="H94" s="486"/>
    </row>
    <row r="95" spans="1:8">
      <c r="A95" s="483" t="s">
        <v>1875</v>
      </c>
      <c r="B95" s="484" t="s">
        <v>1870</v>
      </c>
      <c r="C95" s="486">
        <v>400</v>
      </c>
      <c r="D95" s="484"/>
      <c r="E95" s="485"/>
      <c r="F95" s="483"/>
      <c r="G95" s="484"/>
      <c r="H95" s="486"/>
    </row>
    <row r="96" spans="1:8">
      <c r="A96" s="483" t="s">
        <v>1876</v>
      </c>
      <c r="B96" s="484" t="s">
        <v>1877</v>
      </c>
      <c r="C96" s="486">
        <v>70</v>
      </c>
      <c r="D96" s="484"/>
      <c r="E96" s="485"/>
      <c r="F96" s="483"/>
      <c r="G96" s="484"/>
      <c r="H96" s="486"/>
    </row>
    <row r="97" spans="1:8">
      <c r="A97" s="483" t="s">
        <v>1878</v>
      </c>
      <c r="B97" s="484" t="s">
        <v>1879</v>
      </c>
      <c r="C97" s="486">
        <v>80</v>
      </c>
      <c r="D97" s="484"/>
      <c r="E97" s="485"/>
      <c r="F97" s="483"/>
      <c r="G97" s="484"/>
      <c r="H97" s="486"/>
    </row>
    <row r="98" spans="1:8">
      <c r="A98" s="483" t="s">
        <v>1880</v>
      </c>
      <c r="B98" s="484" t="s">
        <v>1881</v>
      </c>
      <c r="C98" s="486">
        <v>4500</v>
      </c>
      <c r="D98" s="484"/>
      <c r="E98" s="485"/>
      <c r="F98" s="483"/>
      <c r="G98" s="484"/>
      <c r="H98" s="486"/>
    </row>
    <row r="99" spans="1:8" ht="22.5">
      <c r="A99" s="422" t="s">
        <v>1497</v>
      </c>
      <c r="B99" s="423" t="s">
        <v>3163</v>
      </c>
      <c r="C99" s="416">
        <v>65</v>
      </c>
      <c r="D99" s="484"/>
      <c r="E99" s="485"/>
      <c r="F99" s="483"/>
      <c r="G99" s="484"/>
      <c r="H99" s="486"/>
    </row>
    <row r="100" spans="1:8" ht="22.5">
      <c r="A100" s="493" t="s">
        <v>3164</v>
      </c>
      <c r="B100" s="494" t="s">
        <v>1501</v>
      </c>
      <c r="C100" s="486">
        <v>20</v>
      </c>
      <c r="D100" s="484"/>
      <c r="E100" s="485"/>
      <c r="F100" s="483"/>
      <c r="G100" s="484"/>
      <c r="H100" s="486"/>
    </row>
    <row r="101" spans="1:8">
      <c r="A101" s="493" t="s">
        <v>1498</v>
      </c>
      <c r="B101" s="494" t="s">
        <v>1502</v>
      </c>
      <c r="C101" s="486">
        <v>8</v>
      </c>
      <c r="D101" s="484"/>
      <c r="E101" s="485"/>
      <c r="F101" s="483"/>
      <c r="G101" s="484"/>
      <c r="H101" s="486"/>
    </row>
    <row r="102" spans="1:8" ht="22.5">
      <c r="A102" s="493" t="s">
        <v>1507</v>
      </c>
      <c r="B102" s="494" t="s">
        <v>1503</v>
      </c>
      <c r="C102" s="486">
        <v>25</v>
      </c>
      <c r="D102" s="484"/>
      <c r="E102" s="485"/>
      <c r="F102" s="483"/>
      <c r="G102" s="484"/>
      <c r="H102" s="486"/>
    </row>
    <row r="103" spans="1:8">
      <c r="A103" s="495" t="s">
        <v>1505</v>
      </c>
      <c r="B103" s="494" t="s">
        <v>1509</v>
      </c>
      <c r="C103" s="486">
        <v>30</v>
      </c>
      <c r="D103" s="484"/>
      <c r="E103" s="485"/>
      <c r="F103" s="483"/>
      <c r="G103" s="484"/>
      <c r="H103" s="486"/>
    </row>
    <row r="104" spans="1:8">
      <c r="A104" s="483" t="s">
        <v>1882</v>
      </c>
      <c r="B104" s="484" t="s">
        <v>1883</v>
      </c>
      <c r="C104" s="486">
        <v>55</v>
      </c>
      <c r="D104" s="484"/>
      <c r="E104" s="485"/>
      <c r="F104" s="483"/>
      <c r="G104" s="484"/>
      <c r="H104" s="486"/>
    </row>
    <row r="105" spans="1:8">
      <c r="A105" s="483"/>
      <c r="B105" s="484"/>
      <c r="C105" s="484" t="s">
        <v>1884</v>
      </c>
      <c r="D105" s="483"/>
      <c r="E105" s="484" t="s">
        <v>1885</v>
      </c>
      <c r="F105" s="483"/>
      <c r="G105" s="484"/>
      <c r="H105" s="486"/>
    </row>
    <row r="106" spans="1:8">
      <c r="A106" s="483" t="s">
        <v>1446</v>
      </c>
      <c r="B106" s="484" t="s">
        <v>1886</v>
      </c>
      <c r="C106" s="486">
        <v>205</v>
      </c>
      <c r="D106" s="484" t="s">
        <v>1887</v>
      </c>
      <c r="E106" s="486">
        <v>190</v>
      </c>
      <c r="F106" s="483"/>
      <c r="G106" s="484"/>
      <c r="H106" s="486"/>
    </row>
    <row r="107" spans="1:8">
      <c r="A107" s="483" t="s">
        <v>1447</v>
      </c>
      <c r="B107" s="484" t="s">
        <v>1888</v>
      </c>
      <c r="C107" s="486">
        <v>170</v>
      </c>
      <c r="D107" s="484" t="s">
        <v>1889</v>
      </c>
      <c r="E107" s="486">
        <v>155</v>
      </c>
      <c r="F107" s="483"/>
      <c r="G107" s="484"/>
      <c r="H107" s="486"/>
    </row>
    <row r="108" spans="1:8">
      <c r="A108" s="483" t="s">
        <v>1448</v>
      </c>
      <c r="B108" s="484" t="s">
        <v>1890</v>
      </c>
      <c r="C108" s="486">
        <v>130</v>
      </c>
      <c r="D108" s="484" t="s">
        <v>1891</v>
      </c>
      <c r="E108" s="486">
        <v>120</v>
      </c>
      <c r="F108" s="483"/>
      <c r="G108" s="484"/>
      <c r="H108" s="486"/>
    </row>
    <row r="109" spans="1:8">
      <c r="A109" s="483" t="s">
        <v>1450</v>
      </c>
      <c r="B109" s="484" t="s">
        <v>1892</v>
      </c>
      <c r="C109" s="486">
        <v>95</v>
      </c>
      <c r="D109" s="484" t="s">
        <v>1893</v>
      </c>
      <c r="E109" s="486">
        <v>80</v>
      </c>
      <c r="F109" s="483"/>
      <c r="G109" s="484"/>
      <c r="H109" s="486"/>
    </row>
    <row r="110" spans="1:8">
      <c r="A110" s="483" t="s">
        <v>1894</v>
      </c>
      <c r="B110" s="484"/>
      <c r="C110" s="486">
        <f>C106+C108</f>
        <v>335</v>
      </c>
      <c r="D110" s="484"/>
      <c r="E110" s="486">
        <f>E106+E108</f>
        <v>310</v>
      </c>
      <c r="F110" s="483"/>
      <c r="G110" s="484"/>
      <c r="H110" s="486"/>
    </row>
    <row r="111" spans="1:8">
      <c r="A111" s="483" t="s">
        <v>1895</v>
      </c>
      <c r="B111" s="484"/>
      <c r="C111" s="486">
        <f>C106+C109</f>
        <v>300</v>
      </c>
      <c r="D111" s="484"/>
      <c r="E111" s="486">
        <f>E106+E109</f>
        <v>270</v>
      </c>
      <c r="F111" s="483"/>
      <c r="G111" s="484"/>
      <c r="H111" s="486"/>
    </row>
    <row r="112" spans="1:8">
      <c r="A112" s="483" t="s">
        <v>1896</v>
      </c>
      <c r="B112" s="484" t="s">
        <v>1897</v>
      </c>
      <c r="C112" s="486">
        <v>57</v>
      </c>
      <c r="D112" s="484" t="s">
        <v>1898</v>
      </c>
      <c r="E112" s="486">
        <v>60</v>
      </c>
      <c r="F112" s="483"/>
      <c r="G112" s="484"/>
      <c r="H112" s="486"/>
    </row>
    <row r="113" spans="1:8">
      <c r="A113" s="483"/>
      <c r="B113" s="484"/>
      <c r="C113" s="484"/>
      <c r="D113" s="484"/>
      <c r="E113" s="485"/>
      <c r="F113" s="483"/>
      <c r="G113" s="484"/>
      <c r="H113" s="486"/>
    </row>
    <row r="114" spans="1:8" ht="25.5">
      <c r="A114" s="483" t="s">
        <v>1899</v>
      </c>
      <c r="B114" s="484" t="s">
        <v>1900</v>
      </c>
      <c r="C114" s="486">
        <v>18</v>
      </c>
      <c r="D114" s="484"/>
      <c r="E114" s="485" t="s">
        <v>1901</v>
      </c>
      <c r="F114" s="483" t="s">
        <v>1902</v>
      </c>
      <c r="G114" s="486">
        <v>18</v>
      </c>
      <c r="H114" s="486"/>
    </row>
    <row r="115" spans="1:8" ht="25.5">
      <c r="A115" s="483" t="s">
        <v>1453</v>
      </c>
      <c r="B115" s="484" t="s">
        <v>1903</v>
      </c>
      <c r="C115" s="486">
        <v>1290</v>
      </c>
      <c r="D115" s="484"/>
      <c r="E115" s="485" t="s">
        <v>1904</v>
      </c>
      <c r="F115" s="483" t="s">
        <v>1905</v>
      </c>
      <c r="G115" s="486">
        <v>50</v>
      </c>
      <c r="H115" s="486"/>
    </row>
    <row r="116" spans="1:8" ht="25.5">
      <c r="A116" s="483" t="s">
        <v>1906</v>
      </c>
      <c r="B116" s="484" t="s">
        <v>1907</v>
      </c>
      <c r="C116" s="486">
        <v>15</v>
      </c>
      <c r="D116" s="484"/>
      <c r="E116" s="485" t="s">
        <v>1908</v>
      </c>
      <c r="F116" s="483" t="s">
        <v>1909</v>
      </c>
      <c r="G116" s="486">
        <v>950</v>
      </c>
      <c r="H116" s="486"/>
    </row>
    <row r="117" spans="1:8" ht="25.5">
      <c r="A117" s="483" t="s">
        <v>1910</v>
      </c>
      <c r="B117" s="484" t="s">
        <v>1911</v>
      </c>
      <c r="C117" s="486">
        <v>18</v>
      </c>
      <c r="D117" s="484"/>
      <c r="E117" s="485" t="s">
        <v>1912</v>
      </c>
      <c r="F117" s="483" t="s">
        <v>1913</v>
      </c>
      <c r="G117" s="486">
        <v>180</v>
      </c>
      <c r="H117" s="486"/>
    </row>
    <row r="118" spans="1:8">
      <c r="A118" s="483" t="s">
        <v>1914</v>
      </c>
      <c r="B118" s="484" t="s">
        <v>1915</v>
      </c>
      <c r="C118" s="486">
        <v>24</v>
      </c>
      <c r="D118" s="484"/>
      <c r="E118" s="485" t="s">
        <v>1916</v>
      </c>
      <c r="F118" s="483" t="s">
        <v>1917</v>
      </c>
      <c r="G118" s="486">
        <v>2300</v>
      </c>
      <c r="H118" s="486"/>
    </row>
    <row r="119" spans="1:8" ht="38.25">
      <c r="A119" s="483" t="s">
        <v>1918</v>
      </c>
      <c r="B119" s="484" t="s">
        <v>1919</v>
      </c>
      <c r="C119" s="486">
        <v>1050</v>
      </c>
      <c r="D119" s="484"/>
      <c r="E119" s="485" t="s">
        <v>1920</v>
      </c>
      <c r="F119" s="483" t="s">
        <v>1921</v>
      </c>
      <c r="G119" s="486">
        <v>85</v>
      </c>
      <c r="H119" s="486"/>
    </row>
    <row r="120" spans="1:8">
      <c r="A120" s="483" t="s">
        <v>1922</v>
      </c>
      <c r="B120" s="484" t="s">
        <v>1923</v>
      </c>
      <c r="C120" s="486">
        <v>19</v>
      </c>
      <c r="D120" s="484"/>
      <c r="E120" s="485" t="s">
        <v>1573</v>
      </c>
      <c r="F120" s="483" t="s">
        <v>1924</v>
      </c>
      <c r="G120" s="486">
        <v>30</v>
      </c>
      <c r="H120" s="486"/>
    </row>
    <row r="121" spans="1:8" ht="51">
      <c r="A121" s="483" t="s">
        <v>1925</v>
      </c>
      <c r="B121" s="484" t="s">
        <v>1926</v>
      </c>
      <c r="C121" s="486">
        <v>40</v>
      </c>
      <c r="D121" s="484"/>
      <c r="E121" s="485" t="s">
        <v>1927</v>
      </c>
      <c r="F121" s="483" t="s">
        <v>1928</v>
      </c>
      <c r="G121" s="486">
        <v>290</v>
      </c>
      <c r="H121" s="486"/>
    </row>
    <row r="122" spans="1:8" ht="22.5">
      <c r="A122" s="483" t="s">
        <v>1929</v>
      </c>
      <c r="B122" s="484" t="s">
        <v>1930</v>
      </c>
      <c r="C122" s="486">
        <v>115</v>
      </c>
      <c r="D122" s="484"/>
      <c r="E122" s="493" t="s">
        <v>1931</v>
      </c>
      <c r="F122" s="483" t="s">
        <v>1932</v>
      </c>
      <c r="G122" s="486">
        <v>875</v>
      </c>
      <c r="H122" s="486"/>
    </row>
    <row r="123" spans="1:8" ht="38.25">
      <c r="A123" s="483" t="s">
        <v>1933</v>
      </c>
      <c r="B123" s="484" t="s">
        <v>1934</v>
      </c>
      <c r="C123" s="486">
        <v>115</v>
      </c>
      <c r="D123" s="484"/>
      <c r="E123" s="496" t="s">
        <v>1935</v>
      </c>
      <c r="F123" s="483" t="s">
        <v>1936</v>
      </c>
      <c r="G123" s="486">
        <v>360</v>
      </c>
      <c r="H123" s="486"/>
    </row>
    <row r="124" spans="1:8" ht="25.5">
      <c r="A124" s="483" t="s">
        <v>1937</v>
      </c>
      <c r="B124" s="484" t="s">
        <v>1938</v>
      </c>
      <c r="C124" s="486">
        <v>85</v>
      </c>
      <c r="D124" s="484"/>
      <c r="E124" s="496" t="s">
        <v>1939</v>
      </c>
      <c r="F124" s="483" t="s">
        <v>1940</v>
      </c>
      <c r="G124" s="486">
        <v>190</v>
      </c>
      <c r="H124" s="486"/>
    </row>
    <row r="125" spans="1:8" ht="45">
      <c r="A125" s="483" t="s">
        <v>1941</v>
      </c>
      <c r="B125" s="484" t="s">
        <v>1942</v>
      </c>
      <c r="C125" s="486">
        <v>130</v>
      </c>
      <c r="D125" s="484"/>
      <c r="E125" s="493" t="s">
        <v>1943</v>
      </c>
      <c r="F125" s="483" t="s">
        <v>1944</v>
      </c>
      <c r="G125" s="486">
        <v>100</v>
      </c>
      <c r="H125" s="486"/>
    </row>
    <row r="126" spans="1:8" ht="56.25">
      <c r="A126" s="483" t="s">
        <v>1658</v>
      </c>
      <c r="B126" s="484" t="s">
        <v>1945</v>
      </c>
      <c r="C126" s="486">
        <v>80</v>
      </c>
      <c r="D126" s="484"/>
      <c r="E126" s="496" t="s">
        <v>1946</v>
      </c>
      <c r="F126" s="483" t="s">
        <v>1947</v>
      </c>
      <c r="G126" s="486">
        <v>5100</v>
      </c>
      <c r="H126" s="486"/>
    </row>
    <row r="127" spans="1:8" ht="25.5">
      <c r="A127" s="483" t="s">
        <v>1948</v>
      </c>
      <c r="B127" s="484" t="s">
        <v>1949</v>
      </c>
      <c r="C127" s="486">
        <v>70</v>
      </c>
      <c r="D127" s="484"/>
      <c r="E127" s="496" t="s">
        <v>1950</v>
      </c>
      <c r="F127" s="483" t="s">
        <v>1951</v>
      </c>
      <c r="G127" s="486">
        <v>190</v>
      </c>
      <c r="H127" s="486"/>
    </row>
    <row r="128" spans="1:8" ht="33.75">
      <c r="A128" s="483" t="s">
        <v>1952</v>
      </c>
      <c r="B128" s="484" t="s">
        <v>2085</v>
      </c>
      <c r="C128" s="486">
        <v>1510</v>
      </c>
      <c r="D128" s="484"/>
      <c r="E128" s="497" t="s">
        <v>1953</v>
      </c>
      <c r="F128" s="483" t="s">
        <v>1954</v>
      </c>
      <c r="G128" s="486">
        <v>350</v>
      </c>
      <c r="H128" s="486"/>
    </row>
    <row r="129" spans="1:8" ht="25.5">
      <c r="A129" s="483" t="s">
        <v>1955</v>
      </c>
      <c r="B129" s="484" t="s">
        <v>1956</v>
      </c>
      <c r="C129" s="486">
        <v>2440</v>
      </c>
      <c r="D129" s="484"/>
      <c r="E129" s="493" t="s">
        <v>1957</v>
      </c>
      <c r="F129" s="483" t="s">
        <v>1958</v>
      </c>
      <c r="G129" s="486">
        <v>65</v>
      </c>
      <c r="H129" s="486"/>
    </row>
    <row r="130" spans="1:8" ht="25.5">
      <c r="A130" s="483" t="s">
        <v>1959</v>
      </c>
      <c r="B130" s="484" t="s">
        <v>1960</v>
      </c>
      <c r="C130" s="486">
        <v>3725</v>
      </c>
      <c r="D130" s="484"/>
      <c r="E130" s="493" t="s">
        <v>1961</v>
      </c>
      <c r="F130" s="483" t="s">
        <v>1962</v>
      </c>
      <c r="G130" s="486">
        <v>65</v>
      </c>
      <c r="H130" s="486"/>
    </row>
    <row r="131" spans="1:8" ht="45">
      <c r="A131" s="483" t="s">
        <v>1963</v>
      </c>
      <c r="B131" s="484" t="s">
        <v>1964</v>
      </c>
      <c r="C131" s="486">
        <v>1513</v>
      </c>
      <c r="D131" s="484"/>
      <c r="E131" s="497" t="s">
        <v>1965</v>
      </c>
      <c r="F131" s="483" t="s">
        <v>1966</v>
      </c>
      <c r="G131" s="486">
        <v>6</v>
      </c>
      <c r="H131" s="486"/>
    </row>
    <row r="132" spans="1:8" ht="33.75">
      <c r="A132" s="483" t="s">
        <v>1967</v>
      </c>
      <c r="B132" s="484" t="s">
        <v>1968</v>
      </c>
      <c r="C132" s="486">
        <v>65</v>
      </c>
      <c r="D132" s="484"/>
      <c r="E132" s="497" t="s">
        <v>1969</v>
      </c>
      <c r="F132" s="483" t="s">
        <v>1970</v>
      </c>
      <c r="G132" s="486">
        <v>12</v>
      </c>
      <c r="H132" s="486"/>
    </row>
    <row r="133" spans="1:8" ht="22.5">
      <c r="A133" s="483" t="s">
        <v>1971</v>
      </c>
      <c r="B133" s="484" t="s">
        <v>1972</v>
      </c>
      <c r="C133" s="486">
        <v>430</v>
      </c>
      <c r="D133" s="484"/>
      <c r="E133" s="497" t="s">
        <v>1973</v>
      </c>
      <c r="F133" s="483" t="s">
        <v>1425</v>
      </c>
      <c r="G133" s="486">
        <v>250</v>
      </c>
      <c r="H133" s="486"/>
    </row>
    <row r="134" spans="1:8" ht="45">
      <c r="A134" s="483" t="s">
        <v>2083</v>
      </c>
      <c r="B134" s="484" t="s">
        <v>2084</v>
      </c>
      <c r="C134" s="486">
        <v>1050</v>
      </c>
      <c r="D134" s="484"/>
      <c r="E134" s="497" t="s">
        <v>1974</v>
      </c>
      <c r="F134" s="483" t="s">
        <v>1427</v>
      </c>
      <c r="G134" s="486">
        <v>130</v>
      </c>
      <c r="H134" s="486"/>
    </row>
    <row r="135" spans="1:8">
      <c r="A135" s="483"/>
      <c r="B135" s="484"/>
      <c r="C135" s="484"/>
      <c r="D135" s="484"/>
      <c r="E135" s="497" t="s">
        <v>1975</v>
      </c>
      <c r="F135" s="483" t="s">
        <v>1976</v>
      </c>
      <c r="G135" s="486">
        <v>20</v>
      </c>
      <c r="H135" s="486"/>
    </row>
    <row r="136" spans="1:8">
      <c r="A136" s="483"/>
      <c r="B136" s="484"/>
      <c r="C136" s="484"/>
      <c r="D136" s="484"/>
      <c r="E136" s="497" t="s">
        <v>1977</v>
      </c>
      <c r="F136" s="483" t="s">
        <v>1978</v>
      </c>
      <c r="G136" s="486">
        <v>15</v>
      </c>
      <c r="H136" s="486"/>
    </row>
    <row r="137" spans="1:8" ht="22.5">
      <c r="A137" s="483"/>
      <c r="B137" s="484"/>
      <c r="C137" s="484"/>
      <c r="D137" s="484"/>
      <c r="E137" s="493" t="s">
        <v>1979</v>
      </c>
      <c r="F137" s="483" t="s">
        <v>1980</v>
      </c>
      <c r="G137" s="486">
        <v>250</v>
      </c>
      <c r="H137" s="486"/>
    </row>
    <row r="138" spans="1:8" ht="22.5">
      <c r="A138" s="483"/>
      <c r="B138" s="484"/>
      <c r="C138" s="484"/>
      <c r="D138" s="484"/>
      <c r="E138" s="493" t="s">
        <v>1979</v>
      </c>
      <c r="F138" s="483" t="s">
        <v>1980</v>
      </c>
      <c r="G138" s="486">
        <v>250</v>
      </c>
      <c r="H138" s="486"/>
    </row>
    <row r="139" spans="1:8">
      <c r="A139" s="483"/>
      <c r="B139" s="484"/>
      <c r="C139" s="484"/>
      <c r="D139" s="484"/>
      <c r="E139" s="485" t="s">
        <v>1566</v>
      </c>
      <c r="F139" s="483" t="s">
        <v>2088</v>
      </c>
      <c r="G139" s="486">
        <v>1980</v>
      </c>
      <c r="H139" s="486"/>
    </row>
    <row r="140" spans="1:8">
      <c r="A140" s="483"/>
      <c r="B140" s="484"/>
      <c r="C140" s="484"/>
      <c r="D140" s="484"/>
      <c r="E140" s="485" t="s">
        <v>1566</v>
      </c>
      <c r="F140" s="483" t="s">
        <v>2261</v>
      </c>
      <c r="G140" s="486">
        <v>5900</v>
      </c>
      <c r="H140" s="486"/>
    </row>
    <row r="141" spans="1:8">
      <c r="A141" s="483"/>
      <c r="B141" s="484"/>
      <c r="C141" s="484"/>
      <c r="D141" s="484"/>
      <c r="E141" s="485"/>
      <c r="F141" s="483"/>
      <c r="G141" s="484"/>
      <c r="H141" s="486"/>
    </row>
    <row r="142" spans="1:8" ht="25.5">
      <c r="A142" s="498" t="s">
        <v>1981</v>
      </c>
      <c r="B142" s="491" t="s">
        <v>1373</v>
      </c>
      <c r="C142" s="484">
        <v>71195</v>
      </c>
      <c r="D142" s="484"/>
      <c r="E142" s="498" t="s">
        <v>1376</v>
      </c>
      <c r="F142" s="491" t="s">
        <v>1377</v>
      </c>
      <c r="G142" s="484">
        <v>231</v>
      </c>
      <c r="H142" s="486"/>
    </row>
    <row r="143" spans="1:8" ht="38.25">
      <c r="A143" s="498" t="s">
        <v>1982</v>
      </c>
      <c r="B143" s="491" t="s">
        <v>1375</v>
      </c>
      <c r="C143" s="484">
        <v>142391</v>
      </c>
      <c r="D143" s="484"/>
      <c r="E143" s="498" t="s">
        <v>1393</v>
      </c>
      <c r="F143" s="484" t="s">
        <v>1394</v>
      </c>
      <c r="G143" s="484">
        <v>84</v>
      </c>
      <c r="H143" s="486"/>
    </row>
    <row r="144" spans="1:8" ht="38.25">
      <c r="A144" s="498" t="s">
        <v>1983</v>
      </c>
      <c r="B144" s="491" t="s">
        <v>1682</v>
      </c>
      <c r="C144" s="484">
        <v>46217</v>
      </c>
      <c r="D144" s="484"/>
      <c r="E144" s="485" t="s">
        <v>1412</v>
      </c>
      <c r="F144" s="484" t="s">
        <v>1413</v>
      </c>
      <c r="G144" s="484">
        <v>103</v>
      </c>
      <c r="H144" s="486"/>
    </row>
    <row r="145" spans="1:8" ht="38.25">
      <c r="A145" s="498" t="s">
        <v>1984</v>
      </c>
      <c r="B145" s="491" t="s">
        <v>1684</v>
      </c>
      <c r="C145" s="484">
        <v>58690</v>
      </c>
      <c r="D145" s="484"/>
      <c r="E145" s="498" t="s">
        <v>1378</v>
      </c>
      <c r="F145" s="491" t="s">
        <v>1379</v>
      </c>
      <c r="G145" s="484">
        <v>246</v>
      </c>
      <c r="H145" s="486"/>
    </row>
    <row r="146" spans="1:8" ht="38.25">
      <c r="A146" s="483" t="s">
        <v>1390</v>
      </c>
      <c r="B146" s="484" t="s">
        <v>1391</v>
      </c>
      <c r="C146" s="484">
        <v>3030</v>
      </c>
      <c r="D146" s="484"/>
      <c r="E146" s="498" t="s">
        <v>1395</v>
      </c>
      <c r="F146" s="484" t="s">
        <v>1396</v>
      </c>
      <c r="G146" s="484">
        <v>117</v>
      </c>
      <c r="H146" s="486"/>
    </row>
    <row r="147" spans="1:8" ht="38.25">
      <c r="A147" s="483" t="s">
        <v>1985</v>
      </c>
      <c r="B147" s="484" t="s">
        <v>1408</v>
      </c>
      <c r="C147" s="484">
        <v>805</v>
      </c>
      <c r="D147" s="484"/>
      <c r="E147" s="498" t="s">
        <v>1380</v>
      </c>
      <c r="F147" s="491" t="s">
        <v>1381</v>
      </c>
      <c r="G147" s="484">
        <v>103</v>
      </c>
      <c r="H147" s="486"/>
    </row>
    <row r="148" spans="1:8" ht="25.5">
      <c r="A148" s="483" t="s">
        <v>2280</v>
      </c>
      <c r="B148" s="484" t="s">
        <v>2092</v>
      </c>
      <c r="C148" s="484">
        <v>1790</v>
      </c>
      <c r="D148" s="484"/>
      <c r="E148" s="498" t="s">
        <v>1382</v>
      </c>
      <c r="F148" s="491" t="s">
        <v>1383</v>
      </c>
      <c r="G148" s="484">
        <v>1087</v>
      </c>
      <c r="H148" s="486"/>
    </row>
    <row r="149" spans="1:8" ht="38.25">
      <c r="A149" s="483" t="s">
        <v>1986</v>
      </c>
      <c r="B149" s="484" t="s">
        <v>1389</v>
      </c>
      <c r="C149" s="484">
        <v>1570</v>
      </c>
      <c r="D149" s="484"/>
      <c r="E149" s="498" t="s">
        <v>1397</v>
      </c>
      <c r="F149" s="484" t="s">
        <v>1398</v>
      </c>
      <c r="G149" s="484">
        <v>308</v>
      </c>
      <c r="H149" s="486"/>
    </row>
    <row r="150" spans="1:8" ht="25.5">
      <c r="A150" s="483" t="s">
        <v>1987</v>
      </c>
      <c r="B150" s="484" t="s">
        <v>1690</v>
      </c>
      <c r="C150" s="484">
        <v>1452</v>
      </c>
      <c r="D150" s="484"/>
      <c r="E150" s="498" t="s">
        <v>1384</v>
      </c>
      <c r="F150" s="491" t="s">
        <v>1385</v>
      </c>
      <c r="G150" s="484">
        <v>168</v>
      </c>
      <c r="H150" s="486"/>
    </row>
    <row r="151" spans="1:8" ht="38.25">
      <c r="A151" s="483" t="s">
        <v>2281</v>
      </c>
      <c r="B151" s="484" t="s">
        <v>1392</v>
      </c>
      <c r="C151" s="484">
        <v>754</v>
      </c>
      <c r="D151" s="484"/>
      <c r="E151" s="498" t="s">
        <v>1399</v>
      </c>
      <c r="F151" s="484" t="s">
        <v>1400</v>
      </c>
      <c r="G151" s="484">
        <v>45</v>
      </c>
      <c r="H151" s="486"/>
    </row>
    <row r="152" spans="1:8" ht="38.25">
      <c r="A152" s="483" t="s">
        <v>1989</v>
      </c>
      <c r="B152" s="484" t="s">
        <v>1990</v>
      </c>
      <c r="C152" s="484">
        <v>8058</v>
      </c>
      <c r="D152" s="484"/>
      <c r="E152" s="498" t="s">
        <v>1386</v>
      </c>
      <c r="F152" s="491" t="s">
        <v>1387</v>
      </c>
      <c r="G152" s="484">
        <v>32</v>
      </c>
      <c r="H152" s="486"/>
    </row>
    <row r="153" spans="1:8">
      <c r="A153" s="483" t="s">
        <v>1991</v>
      </c>
      <c r="B153" s="484" t="s">
        <v>1415</v>
      </c>
      <c r="C153" s="484">
        <v>6038</v>
      </c>
      <c r="D153" s="484"/>
      <c r="E153" s="485" t="s">
        <v>1992</v>
      </c>
      <c r="F153" s="484" t="s">
        <v>1405</v>
      </c>
      <c r="G153" s="484">
        <v>373</v>
      </c>
      <c r="H153" s="486"/>
    </row>
    <row r="154" spans="1:8" ht="38.25">
      <c r="A154" s="483" t="s">
        <v>1993</v>
      </c>
      <c r="B154" s="484" t="s">
        <v>1418</v>
      </c>
      <c r="C154" s="484">
        <v>5830</v>
      </c>
      <c r="D154" s="484"/>
      <c r="E154" s="485" t="s">
        <v>1994</v>
      </c>
      <c r="F154" s="484" t="s">
        <v>1406</v>
      </c>
      <c r="G154" s="484">
        <v>340</v>
      </c>
      <c r="H154" s="486"/>
    </row>
    <row r="155" spans="1:8" ht="25.5">
      <c r="A155" s="483" t="s">
        <v>1988</v>
      </c>
      <c r="B155" s="484" t="s">
        <v>2094</v>
      </c>
      <c r="C155" s="484">
        <v>383</v>
      </c>
      <c r="D155" s="484"/>
      <c r="E155" s="498" t="s">
        <v>1995</v>
      </c>
      <c r="F155" s="484" t="s">
        <v>1688</v>
      </c>
      <c r="G155" s="484">
        <v>53</v>
      </c>
      <c r="H155" s="486"/>
    </row>
    <row r="156" spans="1:8">
      <c r="A156" s="482" t="s">
        <v>2283</v>
      </c>
      <c r="B156" s="499" t="s">
        <v>2282</v>
      </c>
      <c r="C156" s="499">
        <v>3797</v>
      </c>
    </row>
  </sheetData>
  <mergeCells count="4">
    <mergeCell ref="A1:H1"/>
    <mergeCell ref="E28:H28"/>
    <mergeCell ref="E31:H31"/>
    <mergeCell ref="E34:H34"/>
  </mergeCells>
  <pageMargins left="0.41" right="0.22" top="0.48" bottom="0.31" header="0.3" footer="0.3"/>
  <pageSetup paperSize="9" scale="95" orientation="portrait" r:id="rId1"/>
  <rowBreaks count="2" manualBreakCount="2">
    <brk id="50" max="16383" man="1"/>
    <brk id="99" max="16383" man="1"/>
  </rowBreaks>
</worksheet>
</file>

<file path=xl/worksheets/sheet33.xml><?xml version="1.0" encoding="utf-8"?>
<worksheet xmlns="http://schemas.openxmlformats.org/spreadsheetml/2006/main" xmlns:r="http://schemas.openxmlformats.org/officeDocument/2006/relationships">
  <sheetPr>
    <tabColor rgb="FF00B050"/>
  </sheetPr>
  <dimension ref="A1:H156"/>
  <sheetViews>
    <sheetView view="pageBreakPreview" topLeftCell="A34" zoomScale="115" zoomScaleNormal="115" zoomScaleSheetLayoutView="115" workbookViewId="0">
      <selection activeCell="B44" sqref="B44:C44"/>
    </sheetView>
  </sheetViews>
  <sheetFormatPr defaultColWidth="9.140625" defaultRowHeight="12.75"/>
  <cols>
    <col min="1" max="1" width="22.28515625" style="513" customWidth="1"/>
    <col min="2" max="2" width="11.5703125" style="517" customWidth="1"/>
    <col min="3" max="3" width="10.42578125" style="517" bestFit="1" customWidth="1"/>
    <col min="4" max="4" width="10.7109375" style="517" customWidth="1"/>
    <col min="5" max="5" width="11.85546875" style="518" customWidth="1"/>
    <col min="6" max="6" width="17.42578125" style="513" customWidth="1"/>
    <col min="7" max="7" width="10.140625" style="517" customWidth="1"/>
    <col min="8" max="8" width="9.28515625" style="519" bestFit="1" customWidth="1"/>
    <col min="9" max="16384" width="9.140625" style="513"/>
  </cols>
  <sheetData>
    <row r="1" spans="1:8" ht="18.75">
      <c r="A1" s="1673" t="s">
        <v>2305</v>
      </c>
      <c r="B1" s="1673"/>
      <c r="C1" s="1673"/>
      <c r="D1" s="1673"/>
      <c r="E1" s="1673"/>
      <c r="F1" s="1673"/>
      <c r="G1" s="1673"/>
      <c r="H1" s="1673"/>
    </row>
    <row r="2" spans="1:8">
      <c r="A2" s="514"/>
      <c r="B2" s="419"/>
      <c r="C2" s="419"/>
      <c r="D2" s="419"/>
      <c r="E2" s="420"/>
      <c r="F2" s="514" t="s">
        <v>1693</v>
      </c>
      <c r="G2" s="419" t="s">
        <v>1694</v>
      </c>
      <c r="H2" s="416" t="s">
        <v>8</v>
      </c>
    </row>
    <row r="3" spans="1:8">
      <c r="A3" s="514"/>
      <c r="B3" s="419" t="s">
        <v>1695</v>
      </c>
      <c r="C3" s="419" t="s">
        <v>8</v>
      </c>
      <c r="D3" s="419"/>
      <c r="E3" s="420"/>
      <c r="F3" s="514" t="s">
        <v>1696</v>
      </c>
      <c r="G3" s="419" t="s">
        <v>1697</v>
      </c>
      <c r="H3" s="457">
        <v>585</v>
      </c>
    </row>
    <row r="4" spans="1:8">
      <c r="A4" s="415" t="s">
        <v>847</v>
      </c>
      <c r="B4" s="419" t="s">
        <v>1698</v>
      </c>
      <c r="C4" s="515">
        <v>4700</v>
      </c>
      <c r="D4" s="419"/>
      <c r="E4" s="420"/>
      <c r="F4" s="514" t="s">
        <v>1699</v>
      </c>
      <c r="G4" s="419" t="s">
        <v>1700</v>
      </c>
      <c r="H4" s="457">
        <v>525</v>
      </c>
    </row>
    <row r="5" spans="1:8">
      <c r="A5" s="389" t="s">
        <v>1701</v>
      </c>
      <c r="B5" s="419"/>
      <c r="C5" s="506">
        <v>54500</v>
      </c>
      <c r="D5" s="419" t="s">
        <v>2402</v>
      </c>
      <c r="E5" s="420"/>
      <c r="F5" s="514" t="s">
        <v>1702</v>
      </c>
      <c r="G5" s="419" t="s">
        <v>1703</v>
      </c>
      <c r="H5" s="457">
        <v>490</v>
      </c>
    </row>
    <row r="6" spans="1:8">
      <c r="A6" s="389" t="s">
        <v>1704</v>
      </c>
      <c r="B6" s="419"/>
      <c r="C6" s="416">
        <v>51500</v>
      </c>
      <c r="D6" s="419" t="s">
        <v>2402</v>
      </c>
      <c r="E6" s="420"/>
      <c r="F6" s="514" t="s">
        <v>1705</v>
      </c>
      <c r="G6" s="419" t="s">
        <v>1706</v>
      </c>
      <c r="H6" s="457">
        <v>700</v>
      </c>
    </row>
    <row r="7" spans="1:8">
      <c r="A7" s="389" t="s">
        <v>848</v>
      </c>
      <c r="B7" s="419"/>
      <c r="C7" s="507">
        <v>52000</v>
      </c>
      <c r="D7" s="419" t="s">
        <v>2402</v>
      </c>
      <c r="E7" s="420"/>
      <c r="F7" s="514"/>
      <c r="G7" s="419"/>
      <c r="H7" s="416"/>
    </row>
    <row r="8" spans="1:8">
      <c r="A8" s="389" t="s">
        <v>849</v>
      </c>
      <c r="B8" s="419"/>
      <c r="C8" s="416">
        <v>54000</v>
      </c>
      <c r="D8" s="419" t="s">
        <v>2402</v>
      </c>
      <c r="E8" s="420"/>
      <c r="F8" s="514" t="s">
        <v>1707</v>
      </c>
      <c r="G8" s="419" t="s">
        <v>1708</v>
      </c>
      <c r="H8" s="457">
        <v>655</v>
      </c>
    </row>
    <row r="9" spans="1:8" ht="25.5">
      <c r="A9" s="389" t="s">
        <v>850</v>
      </c>
      <c r="B9" s="419" t="s">
        <v>1709</v>
      </c>
      <c r="C9" s="508">
        <v>700</v>
      </c>
      <c r="D9" s="419"/>
      <c r="E9" s="420"/>
      <c r="F9" s="514" t="s">
        <v>1710</v>
      </c>
      <c r="G9" s="419" t="s">
        <v>1711</v>
      </c>
      <c r="H9" s="457">
        <v>525</v>
      </c>
    </row>
    <row r="10" spans="1:8">
      <c r="A10" s="389" t="s">
        <v>851</v>
      </c>
      <c r="B10" s="419" t="s">
        <v>1712</v>
      </c>
      <c r="C10" s="508">
        <v>605</v>
      </c>
      <c r="D10" s="419"/>
      <c r="E10" s="420"/>
      <c r="F10" s="514" t="s">
        <v>1337</v>
      </c>
      <c r="G10" s="419" t="s">
        <v>1713</v>
      </c>
      <c r="H10" s="457">
        <v>575</v>
      </c>
    </row>
    <row r="11" spans="1:8">
      <c r="A11" s="389" t="s">
        <v>768</v>
      </c>
      <c r="B11" s="419" t="s">
        <v>1714</v>
      </c>
      <c r="C11" s="508">
        <v>460</v>
      </c>
      <c r="D11" s="419" t="s">
        <v>861</v>
      </c>
      <c r="E11" s="420" t="s">
        <v>862</v>
      </c>
      <c r="F11" s="514" t="s">
        <v>1338</v>
      </c>
      <c r="G11" s="419" t="s">
        <v>1715</v>
      </c>
      <c r="H11" s="457">
        <v>550</v>
      </c>
    </row>
    <row r="12" spans="1:8">
      <c r="A12" s="389" t="s">
        <v>1716</v>
      </c>
      <c r="B12" s="419" t="s">
        <v>1717</v>
      </c>
      <c r="C12" s="508">
        <v>6400</v>
      </c>
      <c r="D12" s="509">
        <v>63.9</v>
      </c>
      <c r="E12" s="510">
        <v>63.9</v>
      </c>
      <c r="F12" s="514"/>
      <c r="G12" s="419"/>
      <c r="H12" s="416"/>
    </row>
    <row r="13" spans="1:8">
      <c r="A13" s="389" t="s">
        <v>853</v>
      </c>
      <c r="B13" s="419" t="s">
        <v>1718</v>
      </c>
      <c r="C13" s="508">
        <v>649</v>
      </c>
      <c r="D13" s="419"/>
      <c r="E13" s="420"/>
      <c r="F13" s="514" t="s">
        <v>1719</v>
      </c>
      <c r="G13" s="419" t="s">
        <v>1720</v>
      </c>
      <c r="H13" s="457">
        <v>655</v>
      </c>
    </row>
    <row r="14" spans="1:8" ht="25.5">
      <c r="A14" s="389" t="s">
        <v>854</v>
      </c>
      <c r="B14" s="419" t="s">
        <v>1721</v>
      </c>
      <c r="C14" s="508">
        <v>1079</v>
      </c>
      <c r="D14" s="419"/>
      <c r="E14" s="420"/>
      <c r="F14" s="514" t="s">
        <v>1722</v>
      </c>
      <c r="G14" s="419"/>
      <c r="H14" s="457">
        <v>525</v>
      </c>
    </row>
    <row r="15" spans="1:8">
      <c r="A15" s="389" t="s">
        <v>1723</v>
      </c>
      <c r="B15" s="419" t="s">
        <v>1724</v>
      </c>
      <c r="C15" s="508">
        <v>860</v>
      </c>
      <c r="D15" s="419"/>
      <c r="E15" s="420"/>
      <c r="F15" s="514"/>
      <c r="G15" s="419"/>
      <c r="H15" s="507"/>
    </row>
    <row r="16" spans="1:8">
      <c r="A16" s="389" t="s">
        <v>1725</v>
      </c>
      <c r="B16" s="419" t="s">
        <v>1726</v>
      </c>
      <c r="C16" s="508">
        <v>726</v>
      </c>
      <c r="D16" s="419"/>
      <c r="E16" s="420"/>
      <c r="F16" s="514" t="s">
        <v>156</v>
      </c>
      <c r="G16" s="419" t="s">
        <v>1727</v>
      </c>
      <c r="H16" s="457">
        <v>650</v>
      </c>
    </row>
    <row r="17" spans="1:8" ht="25.5">
      <c r="A17" s="389" t="s">
        <v>1728</v>
      </c>
      <c r="B17" s="419" t="s">
        <v>1729</v>
      </c>
      <c r="C17" s="508">
        <v>576</v>
      </c>
      <c r="D17" s="419"/>
      <c r="E17" s="420"/>
      <c r="F17" s="514" t="s">
        <v>1499</v>
      </c>
      <c r="G17" s="419" t="s">
        <v>1730</v>
      </c>
      <c r="H17" s="457">
        <v>530</v>
      </c>
    </row>
    <row r="18" spans="1:8">
      <c r="A18" s="389" t="s">
        <v>1193</v>
      </c>
      <c r="B18" s="419" t="s">
        <v>1731</v>
      </c>
      <c r="C18" s="457">
        <v>283</v>
      </c>
      <c r="D18" s="419"/>
      <c r="E18" s="420"/>
      <c r="F18" s="514" t="s">
        <v>3158</v>
      </c>
      <c r="G18" s="419" t="s">
        <v>1703</v>
      </c>
      <c r="H18" s="457">
        <v>470</v>
      </c>
    </row>
    <row r="19" spans="1:8">
      <c r="A19" s="393" t="s">
        <v>1732</v>
      </c>
      <c r="B19" s="419" t="s">
        <v>1733</v>
      </c>
      <c r="C19" s="508">
        <v>1991</v>
      </c>
      <c r="D19" s="419"/>
      <c r="E19" s="420"/>
      <c r="F19" s="514"/>
      <c r="G19" s="419"/>
      <c r="H19" s="416"/>
    </row>
    <row r="20" spans="1:8">
      <c r="A20" s="393" t="s">
        <v>1734</v>
      </c>
      <c r="B20" s="419" t="s">
        <v>1735</v>
      </c>
      <c r="C20" s="508">
        <v>266</v>
      </c>
      <c r="D20" s="419"/>
      <c r="E20" s="420"/>
      <c r="F20" s="514"/>
      <c r="G20" s="419"/>
      <c r="H20" s="416"/>
    </row>
    <row r="21" spans="1:8">
      <c r="A21" s="393" t="s">
        <v>1736</v>
      </c>
      <c r="B21" s="419" t="s">
        <v>1737</v>
      </c>
      <c r="C21" s="508">
        <v>612</v>
      </c>
      <c r="D21" s="419"/>
      <c r="E21" s="420"/>
      <c r="F21" s="514"/>
      <c r="G21" s="419"/>
      <c r="H21" s="416"/>
    </row>
    <row r="22" spans="1:8">
      <c r="A22" s="393" t="s">
        <v>1738</v>
      </c>
      <c r="B22" s="419" t="s">
        <v>1739</v>
      </c>
      <c r="C22" s="508">
        <v>370</v>
      </c>
      <c r="D22" s="419"/>
      <c r="E22" s="420"/>
      <c r="F22" s="514"/>
      <c r="G22" s="419"/>
      <c r="H22" s="416"/>
    </row>
    <row r="23" spans="1:8">
      <c r="A23" s="393" t="s">
        <v>1740</v>
      </c>
      <c r="B23" s="419" t="s">
        <v>1741</v>
      </c>
      <c r="C23" s="508">
        <v>323</v>
      </c>
      <c r="D23" s="419"/>
      <c r="E23" s="420"/>
      <c r="F23" s="514"/>
      <c r="G23" s="419"/>
      <c r="H23" s="416"/>
    </row>
    <row r="24" spans="1:8">
      <c r="A24" s="389" t="s">
        <v>1208</v>
      </c>
      <c r="B24" s="419" t="s">
        <v>3162</v>
      </c>
      <c r="C24" s="457">
        <v>18000</v>
      </c>
      <c r="D24" s="419"/>
      <c r="E24" s="420"/>
      <c r="F24" s="514" t="s">
        <v>1742</v>
      </c>
      <c r="G24" s="419"/>
      <c r="H24" s="416"/>
    </row>
    <row r="25" spans="1:8">
      <c r="A25" s="389" t="s">
        <v>860</v>
      </c>
      <c r="B25" s="419" t="s">
        <v>1743</v>
      </c>
      <c r="C25" s="507">
        <v>84.75</v>
      </c>
      <c r="D25" s="419"/>
      <c r="E25" s="420"/>
      <c r="F25" s="514" t="s">
        <v>1428</v>
      </c>
      <c r="G25" s="419"/>
      <c r="H25" s="507">
        <v>6.06</v>
      </c>
    </row>
    <row r="26" spans="1:8">
      <c r="A26" s="389" t="s">
        <v>664</v>
      </c>
      <c r="B26" s="419" t="s">
        <v>1744</v>
      </c>
      <c r="C26" s="457">
        <v>138</v>
      </c>
      <c r="D26" s="419"/>
      <c r="E26" s="420"/>
      <c r="F26" s="514" t="s">
        <v>1430</v>
      </c>
      <c r="G26" s="419"/>
      <c r="H26" s="507">
        <v>144.26</v>
      </c>
    </row>
    <row r="27" spans="1:8">
      <c r="A27" s="389" t="s">
        <v>1745</v>
      </c>
      <c r="B27" s="419" t="s">
        <v>1746</v>
      </c>
      <c r="C27" s="457">
        <v>28</v>
      </c>
      <c r="D27" s="419"/>
      <c r="E27" s="420"/>
      <c r="F27" s="514"/>
      <c r="G27" s="419"/>
      <c r="H27" s="416"/>
    </row>
    <row r="28" spans="1:8">
      <c r="A28" s="514"/>
      <c r="B28" s="419"/>
      <c r="C28" s="419"/>
      <c r="D28" s="419"/>
      <c r="E28" s="1674" t="s">
        <v>1747</v>
      </c>
      <c r="F28" s="1674"/>
      <c r="G28" s="1674"/>
      <c r="H28" s="1674"/>
    </row>
    <row r="29" spans="1:8">
      <c r="A29" s="389" t="s">
        <v>1748</v>
      </c>
      <c r="B29" s="419" t="s">
        <v>1749</v>
      </c>
      <c r="C29" s="457">
        <v>88</v>
      </c>
      <c r="D29" s="419"/>
      <c r="E29" s="516" t="s">
        <v>1750</v>
      </c>
      <c r="F29" s="417" t="s">
        <v>1751</v>
      </c>
      <c r="G29" s="418" t="s">
        <v>1752</v>
      </c>
      <c r="H29" s="418" t="s">
        <v>1753</v>
      </c>
    </row>
    <row r="30" spans="1:8">
      <c r="A30" s="389" t="s">
        <v>1754</v>
      </c>
      <c r="B30" s="419" t="s">
        <v>1755</v>
      </c>
      <c r="C30" s="457">
        <v>626.20000000000005</v>
      </c>
      <c r="D30" s="419"/>
      <c r="E30" s="520">
        <v>10.78</v>
      </c>
      <c r="F30" s="459">
        <v>84.62</v>
      </c>
      <c r="G30" s="459">
        <v>121.18</v>
      </c>
      <c r="H30" s="458">
        <v>157.72</v>
      </c>
    </row>
    <row r="31" spans="1:8" ht="25.5">
      <c r="A31" s="389" t="s">
        <v>1756</v>
      </c>
      <c r="B31" s="419" t="s">
        <v>1757</v>
      </c>
      <c r="C31" s="457">
        <v>240.3</v>
      </c>
      <c r="D31" s="419"/>
      <c r="E31" s="1674" t="s">
        <v>1758</v>
      </c>
      <c r="F31" s="1674"/>
      <c r="G31" s="1674"/>
      <c r="H31" s="1674"/>
    </row>
    <row r="32" spans="1:8">
      <c r="A32" s="389" t="s">
        <v>38</v>
      </c>
      <c r="B32" s="419" t="s">
        <v>1759</v>
      </c>
      <c r="C32" s="457">
        <v>64</v>
      </c>
      <c r="D32" s="419"/>
      <c r="E32" s="516" t="s">
        <v>1750</v>
      </c>
      <c r="F32" s="417" t="s">
        <v>1751</v>
      </c>
      <c r="G32" s="418" t="s">
        <v>1752</v>
      </c>
      <c r="H32" s="418" t="s">
        <v>1753</v>
      </c>
    </row>
    <row r="33" spans="1:8">
      <c r="A33" s="389" t="s">
        <v>1760</v>
      </c>
      <c r="B33" s="419" t="s">
        <v>1761</v>
      </c>
      <c r="C33" s="457">
        <v>14</v>
      </c>
      <c r="D33" s="419"/>
      <c r="E33" s="520">
        <v>2.57</v>
      </c>
      <c r="F33" s="459">
        <v>16.940000000000001</v>
      </c>
      <c r="G33" s="459">
        <v>24.04</v>
      </c>
      <c r="H33" s="458">
        <v>31.13</v>
      </c>
    </row>
    <row r="34" spans="1:8" ht="25.5">
      <c r="A34" s="389" t="s">
        <v>1762</v>
      </c>
      <c r="B34" s="419" t="s">
        <v>1763</v>
      </c>
      <c r="C34" s="457">
        <v>116.6</v>
      </c>
      <c r="D34" s="419"/>
      <c r="E34" s="1674" t="s">
        <v>1764</v>
      </c>
      <c r="F34" s="1674"/>
      <c r="G34" s="1674"/>
      <c r="H34" s="1674"/>
    </row>
    <row r="35" spans="1:8">
      <c r="A35" s="389" t="s">
        <v>1765</v>
      </c>
      <c r="B35" s="419" t="s">
        <v>1766</v>
      </c>
      <c r="C35" s="457">
        <v>28</v>
      </c>
      <c r="D35" s="419"/>
      <c r="E35" s="516" t="s">
        <v>1750</v>
      </c>
      <c r="F35" s="417" t="s">
        <v>1751</v>
      </c>
      <c r="G35" s="418" t="s">
        <v>1752</v>
      </c>
      <c r="H35" s="418" t="s">
        <v>1753</v>
      </c>
    </row>
    <row r="36" spans="1:8">
      <c r="A36" s="389" t="s">
        <v>1767</v>
      </c>
      <c r="B36" s="419" t="s">
        <v>1768</v>
      </c>
      <c r="C36" s="457">
        <v>5</v>
      </c>
      <c r="D36" s="419"/>
      <c r="E36" s="520">
        <v>1.08</v>
      </c>
      <c r="F36" s="459">
        <v>8.4700000000000006</v>
      </c>
      <c r="G36" s="459">
        <v>12.12</v>
      </c>
      <c r="H36" s="458">
        <v>15.77</v>
      </c>
    </row>
    <row r="37" spans="1:8">
      <c r="A37" s="389" t="s">
        <v>1769</v>
      </c>
      <c r="B37" s="419" t="s">
        <v>1770</v>
      </c>
      <c r="C37" s="457">
        <v>66</v>
      </c>
      <c r="D37" s="419"/>
      <c r="E37" s="420"/>
      <c r="F37" s="419"/>
      <c r="G37" s="419"/>
      <c r="H37" s="416"/>
    </row>
    <row r="38" spans="1:8">
      <c r="A38" s="389" t="s">
        <v>1771</v>
      </c>
      <c r="B38" s="419" t="s">
        <v>1772</v>
      </c>
      <c r="C38" s="457">
        <v>25</v>
      </c>
      <c r="D38" s="419"/>
      <c r="E38" s="420"/>
      <c r="F38" s="419"/>
      <c r="G38" s="419"/>
      <c r="H38" s="416"/>
    </row>
    <row r="39" spans="1:8">
      <c r="A39" s="389" t="s">
        <v>1773</v>
      </c>
      <c r="B39" s="419" t="s">
        <v>1774</v>
      </c>
      <c r="C39" s="457">
        <v>22</v>
      </c>
      <c r="D39" s="419"/>
      <c r="E39" s="420"/>
      <c r="F39" s="514"/>
      <c r="G39" s="419"/>
      <c r="H39" s="416"/>
    </row>
    <row r="40" spans="1:8">
      <c r="A40" s="389" t="s">
        <v>1567</v>
      </c>
      <c r="B40" s="419" t="s">
        <v>1775</v>
      </c>
      <c r="C40" s="457">
        <v>360</v>
      </c>
      <c r="D40" s="419"/>
      <c r="E40" s="389" t="s">
        <v>1776</v>
      </c>
      <c r="F40" s="419" t="s">
        <v>1777</v>
      </c>
      <c r="G40" s="457">
        <v>550</v>
      </c>
      <c r="H40" s="416"/>
    </row>
    <row r="41" spans="1:8" ht="25.5">
      <c r="A41" s="389" t="s">
        <v>1778</v>
      </c>
      <c r="B41" s="419" t="s">
        <v>1779</v>
      </c>
      <c r="C41" s="457">
        <v>139</v>
      </c>
      <c r="D41" s="419"/>
      <c r="E41" s="420" t="s">
        <v>1780</v>
      </c>
      <c r="F41" s="419" t="s">
        <v>1781</v>
      </c>
      <c r="G41" s="457">
        <v>141</v>
      </c>
      <c r="H41" s="416"/>
    </row>
    <row r="42" spans="1:8" ht="25.5">
      <c r="A42" s="389" t="s">
        <v>1782</v>
      </c>
      <c r="B42" s="419" t="s">
        <v>1783</v>
      </c>
      <c r="C42" s="457">
        <v>200</v>
      </c>
      <c r="D42" s="419"/>
      <c r="E42" s="420" t="s">
        <v>1780</v>
      </c>
      <c r="F42" s="419" t="s">
        <v>1784</v>
      </c>
      <c r="G42" s="457">
        <v>180</v>
      </c>
      <c r="H42" s="416"/>
    </row>
    <row r="43" spans="1:8" ht="38.25">
      <c r="A43" s="389" t="s">
        <v>1785</v>
      </c>
      <c r="B43" s="419" t="s">
        <v>1786</v>
      </c>
      <c r="C43" s="457">
        <v>18.5</v>
      </c>
      <c r="D43" s="419"/>
      <c r="E43" s="420" t="s">
        <v>1370</v>
      </c>
      <c r="F43" s="419" t="s">
        <v>1787</v>
      </c>
      <c r="G43" s="457">
        <v>168</v>
      </c>
      <c r="H43" s="416"/>
    </row>
    <row r="44" spans="1:8" ht="38.25">
      <c r="A44" s="389" t="s">
        <v>1788</v>
      </c>
      <c r="B44" s="419" t="s">
        <v>3622</v>
      </c>
      <c r="C44" s="416">
        <v>79</v>
      </c>
      <c r="D44" s="419"/>
      <c r="E44" s="420" t="s">
        <v>1370</v>
      </c>
      <c r="F44" s="419" t="s">
        <v>1789</v>
      </c>
      <c r="G44" s="457">
        <v>194</v>
      </c>
      <c r="H44" s="416"/>
    </row>
    <row r="45" spans="1:8">
      <c r="A45" s="389" t="s">
        <v>670</v>
      </c>
      <c r="B45" s="419" t="s">
        <v>1790</v>
      </c>
      <c r="C45" s="457">
        <v>27.95</v>
      </c>
      <c r="D45" s="419"/>
      <c r="E45" s="420" t="s">
        <v>1791</v>
      </c>
      <c r="F45" s="419" t="s">
        <v>1792</v>
      </c>
      <c r="G45" s="457">
        <v>130</v>
      </c>
      <c r="H45" s="416"/>
    </row>
    <row r="46" spans="1:8">
      <c r="A46" s="389" t="s">
        <v>1793</v>
      </c>
      <c r="B46" s="419" t="s">
        <v>1794</v>
      </c>
      <c r="C46" s="457">
        <v>438</v>
      </c>
      <c r="D46" s="419"/>
      <c r="E46" s="420" t="s">
        <v>1795</v>
      </c>
      <c r="F46" s="419" t="s">
        <v>1796</v>
      </c>
      <c r="G46" s="457">
        <v>248</v>
      </c>
      <c r="H46" s="416"/>
    </row>
    <row r="47" spans="1:8" ht="38.25">
      <c r="A47" s="514" t="s">
        <v>1797</v>
      </c>
      <c r="B47" s="419" t="s">
        <v>1371</v>
      </c>
      <c r="C47" s="512">
        <v>3500</v>
      </c>
      <c r="D47" s="419"/>
      <c r="E47" s="420" t="s">
        <v>1798</v>
      </c>
      <c r="F47" s="419" t="s">
        <v>1799</v>
      </c>
      <c r="G47" s="457">
        <v>708</v>
      </c>
      <c r="H47" s="416"/>
    </row>
    <row r="48" spans="1:8" ht="38.25">
      <c r="A48" s="389" t="s">
        <v>1800</v>
      </c>
      <c r="B48" s="419" t="s">
        <v>1425</v>
      </c>
      <c r="C48" s="457">
        <v>275</v>
      </c>
      <c r="D48" s="419"/>
      <c r="E48" s="420" t="s">
        <v>1423</v>
      </c>
      <c r="F48" s="419" t="s">
        <v>1422</v>
      </c>
      <c r="G48" s="457">
        <v>244</v>
      </c>
      <c r="H48" s="416"/>
    </row>
    <row r="49" spans="1:8">
      <c r="A49" s="389" t="s">
        <v>1801</v>
      </c>
      <c r="B49" s="419" t="s">
        <v>1427</v>
      </c>
      <c r="C49" s="457">
        <v>143</v>
      </c>
      <c r="D49" s="419"/>
      <c r="E49" s="420"/>
      <c r="F49" s="514"/>
      <c r="G49" s="419"/>
      <c r="H49" s="416"/>
    </row>
    <row r="50" spans="1:8">
      <c r="A50" s="389"/>
      <c r="B50" s="419"/>
      <c r="C50" s="416"/>
      <c r="D50" s="419"/>
      <c r="E50" s="420"/>
      <c r="F50" s="514"/>
      <c r="G50" s="419"/>
      <c r="H50" s="416"/>
    </row>
    <row r="51" spans="1:8">
      <c r="A51" s="514"/>
      <c r="B51" s="419"/>
      <c r="C51" s="419" t="s">
        <v>1750</v>
      </c>
      <c r="D51" s="419" t="s">
        <v>1802</v>
      </c>
      <c r="E51" s="420"/>
      <c r="F51" s="514"/>
      <c r="G51" s="419"/>
      <c r="H51" s="416"/>
    </row>
    <row r="52" spans="1:8">
      <c r="A52" s="389" t="s">
        <v>152</v>
      </c>
      <c r="B52" s="419"/>
      <c r="C52" s="512">
        <v>301</v>
      </c>
      <c r="D52" s="512">
        <v>672</v>
      </c>
      <c r="E52" s="521"/>
      <c r="F52" s="460"/>
      <c r="G52" s="419"/>
      <c r="H52" s="416"/>
    </row>
    <row r="53" spans="1:8">
      <c r="A53" s="389" t="s">
        <v>1803</v>
      </c>
      <c r="B53" s="419"/>
      <c r="C53" s="512">
        <v>67</v>
      </c>
      <c r="D53" s="512">
        <v>363</v>
      </c>
      <c r="E53" s="521"/>
      <c r="F53" s="460"/>
      <c r="G53" s="419"/>
      <c r="H53" s="416"/>
    </row>
    <row r="54" spans="1:8">
      <c r="A54" s="389" t="s">
        <v>1804</v>
      </c>
      <c r="B54" s="419"/>
      <c r="C54" s="512">
        <v>343</v>
      </c>
      <c r="D54" s="512">
        <v>1069</v>
      </c>
      <c r="E54" s="521"/>
      <c r="F54" s="460"/>
      <c r="G54" s="419"/>
      <c r="H54" s="416"/>
    </row>
    <row r="55" spans="1:8">
      <c r="A55" s="389" t="s">
        <v>1434</v>
      </c>
      <c r="B55" s="419"/>
      <c r="C55" s="512">
        <v>1453</v>
      </c>
      <c r="D55" s="512">
        <v>1620</v>
      </c>
      <c r="E55" s="521"/>
      <c r="F55" s="460"/>
      <c r="G55" s="419"/>
      <c r="H55" s="416"/>
    </row>
    <row r="56" spans="1:8">
      <c r="A56" s="514"/>
      <c r="B56" s="419"/>
      <c r="C56" s="512"/>
      <c r="D56" s="512" t="s">
        <v>161</v>
      </c>
      <c r="E56" s="512" t="s">
        <v>162</v>
      </c>
      <c r="F56" s="512" t="s">
        <v>163</v>
      </c>
      <c r="G56" s="419"/>
      <c r="H56" s="416"/>
    </row>
    <row r="57" spans="1:8">
      <c r="A57" s="389" t="s">
        <v>1433</v>
      </c>
      <c r="B57" s="419"/>
      <c r="C57" s="512">
        <v>371</v>
      </c>
      <c r="D57" s="512">
        <v>2415</v>
      </c>
      <c r="E57" s="512">
        <v>2657</v>
      </c>
      <c r="F57" s="512">
        <v>2898</v>
      </c>
      <c r="G57" s="419"/>
      <c r="H57" s="416"/>
    </row>
    <row r="58" spans="1:8">
      <c r="A58" s="389" t="s">
        <v>866</v>
      </c>
      <c r="B58" s="419"/>
      <c r="C58" s="512">
        <v>1233</v>
      </c>
      <c r="D58" s="512">
        <v>1720</v>
      </c>
      <c r="E58" s="512">
        <v>1892</v>
      </c>
      <c r="F58" s="512">
        <v>2064</v>
      </c>
      <c r="G58" s="419"/>
      <c r="H58" s="416"/>
    </row>
    <row r="59" spans="1:8">
      <c r="A59" s="389" t="s">
        <v>1539</v>
      </c>
      <c r="B59" s="419"/>
      <c r="C59" s="512">
        <v>243</v>
      </c>
      <c r="D59" s="512">
        <v>264</v>
      </c>
      <c r="E59" s="512">
        <v>290</v>
      </c>
      <c r="F59" s="512">
        <v>317</v>
      </c>
      <c r="G59" s="419"/>
      <c r="H59" s="416"/>
    </row>
    <row r="60" spans="1:8">
      <c r="A60" s="389" t="s">
        <v>1805</v>
      </c>
      <c r="B60" s="419"/>
      <c r="C60" s="512">
        <v>2179</v>
      </c>
      <c r="D60" s="512">
        <v>2027</v>
      </c>
      <c r="E60" s="512">
        <v>2230</v>
      </c>
      <c r="F60" s="512">
        <v>2432</v>
      </c>
      <c r="G60" s="419"/>
      <c r="H60" s="416"/>
    </row>
    <row r="61" spans="1:8">
      <c r="A61" s="389" t="s">
        <v>1806</v>
      </c>
      <c r="B61" s="419"/>
      <c r="C61" s="512">
        <v>247</v>
      </c>
      <c r="D61" s="512">
        <v>241</v>
      </c>
      <c r="E61" s="512">
        <v>265</v>
      </c>
      <c r="F61" s="512">
        <v>289</v>
      </c>
      <c r="G61" s="419"/>
      <c r="H61" s="416"/>
    </row>
    <row r="62" spans="1:8">
      <c r="A62" s="389" t="s">
        <v>1807</v>
      </c>
      <c r="B62" s="419"/>
      <c r="C62" s="512">
        <v>254</v>
      </c>
      <c r="D62" s="512">
        <v>248</v>
      </c>
      <c r="E62" s="512">
        <v>273</v>
      </c>
      <c r="F62" s="512">
        <v>298</v>
      </c>
      <c r="G62" s="419"/>
      <c r="H62" s="416"/>
    </row>
    <row r="63" spans="1:8">
      <c r="A63" s="514"/>
      <c r="B63" s="419"/>
      <c r="C63" s="419"/>
      <c r="D63" s="419"/>
      <c r="E63" s="420"/>
      <c r="F63" s="419"/>
      <c r="G63" s="419"/>
      <c r="H63" s="416"/>
    </row>
    <row r="64" spans="1:8">
      <c r="A64" s="514"/>
      <c r="B64" s="419"/>
      <c r="C64" s="419"/>
      <c r="D64" s="419"/>
      <c r="E64" s="420"/>
      <c r="F64" s="419"/>
      <c r="G64" s="419"/>
      <c r="H64" s="416"/>
    </row>
    <row r="65" spans="1:8">
      <c r="A65" s="514"/>
      <c r="B65" s="419"/>
      <c r="C65" s="419"/>
      <c r="D65" s="419"/>
      <c r="E65" s="420"/>
      <c r="F65" s="514"/>
      <c r="G65" s="419"/>
      <c r="H65" s="416"/>
    </row>
    <row r="66" spans="1:8" ht="24">
      <c r="A66" s="421" t="s">
        <v>1808</v>
      </c>
      <c r="B66" s="419" t="s">
        <v>1809</v>
      </c>
      <c r="C66" s="457">
        <v>1870</v>
      </c>
      <c r="D66" s="419"/>
      <c r="E66" s="420"/>
      <c r="F66" s="514" t="s">
        <v>1810</v>
      </c>
      <c r="G66" s="419" t="s">
        <v>1811</v>
      </c>
      <c r="H66" s="457">
        <v>5</v>
      </c>
    </row>
    <row r="67" spans="1:8" ht="24">
      <c r="A67" s="421" t="s">
        <v>1812</v>
      </c>
      <c r="B67" s="419" t="s">
        <v>1813</v>
      </c>
      <c r="C67" s="457">
        <v>2333</v>
      </c>
      <c r="D67" s="419"/>
      <c r="E67" s="420"/>
      <c r="F67" s="514" t="s">
        <v>1814</v>
      </c>
      <c r="G67" s="419" t="s">
        <v>1815</v>
      </c>
      <c r="H67" s="457">
        <v>1</v>
      </c>
    </row>
    <row r="68" spans="1:8">
      <c r="A68" s="421" t="s">
        <v>1816</v>
      </c>
      <c r="B68" s="419" t="s">
        <v>1817</v>
      </c>
      <c r="C68" s="457">
        <v>803</v>
      </c>
      <c r="D68" s="419"/>
      <c r="E68" s="420"/>
      <c r="F68" s="421" t="s">
        <v>1818</v>
      </c>
      <c r="G68" s="419" t="s">
        <v>1819</v>
      </c>
      <c r="H68" s="457">
        <v>56</v>
      </c>
    </row>
    <row r="69" spans="1:8">
      <c r="A69" s="514" t="s">
        <v>1820</v>
      </c>
      <c r="B69" s="419" t="s">
        <v>1821</v>
      </c>
      <c r="C69" s="457">
        <v>979</v>
      </c>
      <c r="D69" s="419"/>
      <c r="E69" s="420"/>
      <c r="F69" s="421" t="s">
        <v>1822</v>
      </c>
      <c r="G69" s="419" t="s">
        <v>1823</v>
      </c>
      <c r="H69" s="457">
        <v>89</v>
      </c>
    </row>
    <row r="70" spans="1:8">
      <c r="A70" s="514" t="s">
        <v>1824</v>
      </c>
      <c r="B70" s="419" t="s">
        <v>1825</v>
      </c>
      <c r="C70" s="457">
        <v>2499</v>
      </c>
      <c r="D70" s="419"/>
      <c r="E70" s="420"/>
      <c r="F70" s="421" t="s">
        <v>1826</v>
      </c>
      <c r="G70" s="419" t="s">
        <v>1827</v>
      </c>
      <c r="H70" s="457">
        <v>129</v>
      </c>
    </row>
    <row r="71" spans="1:8">
      <c r="A71" s="514" t="s">
        <v>1828</v>
      </c>
      <c r="B71" s="419" t="s">
        <v>1829</v>
      </c>
      <c r="C71" s="457">
        <v>1436</v>
      </c>
      <c r="D71" s="419"/>
      <c r="E71" s="420"/>
      <c r="F71" s="421" t="s">
        <v>1830</v>
      </c>
      <c r="G71" s="419" t="s">
        <v>1831</v>
      </c>
      <c r="H71" s="457">
        <v>202</v>
      </c>
    </row>
    <row r="72" spans="1:8">
      <c r="A72" s="514" t="s">
        <v>1832</v>
      </c>
      <c r="B72" s="419" t="s">
        <v>1833</v>
      </c>
      <c r="C72" s="457">
        <v>366</v>
      </c>
      <c r="D72" s="419"/>
      <c r="E72" s="420"/>
      <c r="F72" s="421" t="s">
        <v>1834</v>
      </c>
      <c r="G72" s="419" t="s">
        <v>1835</v>
      </c>
      <c r="H72" s="457">
        <v>33</v>
      </c>
    </row>
    <row r="73" spans="1:8">
      <c r="A73" s="514" t="s">
        <v>1836</v>
      </c>
      <c r="B73" s="419" t="s">
        <v>1837</v>
      </c>
      <c r="C73" s="457">
        <v>90</v>
      </c>
      <c r="D73" s="419"/>
      <c r="E73" s="420"/>
      <c r="F73" s="514" t="s">
        <v>1838</v>
      </c>
      <c r="G73" s="419" t="s">
        <v>1839</v>
      </c>
      <c r="H73" s="457">
        <v>33</v>
      </c>
    </row>
    <row r="74" spans="1:8">
      <c r="A74" s="514" t="s">
        <v>1840</v>
      </c>
      <c r="B74" s="419" t="s">
        <v>1841</v>
      </c>
      <c r="C74" s="457">
        <v>23</v>
      </c>
      <c r="D74" s="419"/>
      <c r="E74" s="420"/>
      <c r="F74" s="514" t="s">
        <v>1842</v>
      </c>
      <c r="G74" s="419" t="s">
        <v>1843</v>
      </c>
      <c r="H74" s="457">
        <v>1101</v>
      </c>
    </row>
    <row r="75" spans="1:8">
      <c r="A75" s="514" t="s">
        <v>1444</v>
      </c>
      <c r="B75" s="419" t="s">
        <v>2292</v>
      </c>
      <c r="C75" s="457">
        <v>89</v>
      </c>
      <c r="D75" s="419"/>
      <c r="E75" s="420"/>
      <c r="F75" s="514" t="s">
        <v>1845</v>
      </c>
      <c r="G75" s="419" t="s">
        <v>1846</v>
      </c>
      <c r="H75" s="457">
        <v>73</v>
      </c>
    </row>
    <row r="76" spans="1:8" ht="25.5">
      <c r="A76" s="514" t="s">
        <v>1847</v>
      </c>
      <c r="B76" s="419" t="s">
        <v>1848</v>
      </c>
      <c r="C76" s="457">
        <v>30</v>
      </c>
      <c r="D76" s="419"/>
      <c r="E76" s="420"/>
      <c r="F76" s="514" t="s">
        <v>1849</v>
      </c>
      <c r="G76" s="419" t="s">
        <v>1850</v>
      </c>
      <c r="H76" s="457">
        <v>16</v>
      </c>
    </row>
    <row r="77" spans="1:8" ht="25.5">
      <c r="A77" s="514" t="s">
        <v>1851</v>
      </c>
      <c r="B77" s="419" t="s">
        <v>1852</v>
      </c>
      <c r="C77" s="457">
        <v>122</v>
      </c>
      <c r="D77" s="419"/>
      <c r="E77" s="420"/>
      <c r="F77" s="514"/>
      <c r="G77" s="419"/>
      <c r="H77" s="416"/>
    </row>
    <row r="78" spans="1:8">
      <c r="A78" s="514" t="s">
        <v>1441</v>
      </c>
      <c r="B78" s="419" t="s">
        <v>1853</v>
      </c>
      <c r="C78" s="457">
        <v>426</v>
      </c>
      <c r="D78" s="419"/>
      <c r="E78" s="420"/>
      <c r="F78" s="514"/>
      <c r="G78" s="419"/>
      <c r="H78" s="416"/>
    </row>
    <row r="79" spans="1:8" ht="25.5">
      <c r="A79" s="514" t="s">
        <v>1442</v>
      </c>
      <c r="B79" s="419" t="s">
        <v>1854</v>
      </c>
      <c r="C79" s="457">
        <v>405</v>
      </c>
      <c r="D79" s="419"/>
      <c r="E79" s="420"/>
      <c r="F79" s="514" t="s">
        <v>2256</v>
      </c>
      <c r="G79" s="419" t="s">
        <v>2257</v>
      </c>
      <c r="H79" s="507">
        <v>320</v>
      </c>
    </row>
    <row r="80" spans="1:8">
      <c r="A80" s="514" t="s">
        <v>1443</v>
      </c>
      <c r="B80" s="419" t="s">
        <v>1855</v>
      </c>
      <c r="C80" s="457">
        <v>254</v>
      </c>
      <c r="D80" s="419"/>
      <c r="E80" s="420"/>
      <c r="F80" s="514" t="s">
        <v>2258</v>
      </c>
      <c r="G80" s="419" t="s">
        <v>2259</v>
      </c>
      <c r="H80" s="507">
        <v>190</v>
      </c>
    </row>
    <row r="81" spans="1:8">
      <c r="A81" s="514" t="s">
        <v>1856</v>
      </c>
      <c r="B81" s="419" t="s">
        <v>1857</v>
      </c>
      <c r="C81" s="457">
        <v>74</v>
      </c>
      <c r="D81" s="419"/>
      <c r="E81" s="420"/>
      <c r="F81" s="514"/>
      <c r="G81" s="419"/>
      <c r="H81" s="416"/>
    </row>
    <row r="82" spans="1:8">
      <c r="A82" s="514" t="s">
        <v>1858</v>
      </c>
      <c r="B82" s="419" t="s">
        <v>1859</v>
      </c>
      <c r="C82" s="457">
        <v>1554</v>
      </c>
      <c r="D82" s="419"/>
      <c r="E82" s="420"/>
      <c r="F82" s="514"/>
      <c r="G82" s="419"/>
      <c r="H82" s="416"/>
    </row>
    <row r="83" spans="1:8">
      <c r="A83" s="514" t="s">
        <v>1860</v>
      </c>
      <c r="B83" s="419" t="s">
        <v>1861</v>
      </c>
      <c r="C83" s="457">
        <v>3938</v>
      </c>
      <c r="D83" s="419"/>
      <c r="E83" s="420"/>
      <c r="F83" s="514"/>
      <c r="G83" s="419"/>
      <c r="H83" s="416"/>
    </row>
    <row r="84" spans="1:8">
      <c r="A84" s="514"/>
      <c r="B84" s="419"/>
      <c r="C84" s="419"/>
      <c r="D84" s="419"/>
      <c r="E84" s="420"/>
      <c r="F84" s="514"/>
      <c r="G84" s="419"/>
      <c r="H84" s="416"/>
    </row>
    <row r="85" spans="1:8">
      <c r="A85" s="514"/>
      <c r="B85" s="419"/>
      <c r="C85" s="419"/>
      <c r="D85" s="419"/>
      <c r="E85" s="420"/>
      <c r="F85" s="514"/>
      <c r="G85" s="419"/>
      <c r="H85" s="416"/>
    </row>
    <row r="86" spans="1:8">
      <c r="A86" s="514" t="s">
        <v>1862</v>
      </c>
      <c r="B86" s="419" t="s">
        <v>1863</v>
      </c>
      <c r="C86" s="457">
        <v>470</v>
      </c>
      <c r="D86" s="419"/>
      <c r="E86" s="420"/>
      <c r="F86" s="514"/>
      <c r="G86" s="419"/>
      <c r="H86" s="416"/>
    </row>
    <row r="87" spans="1:8">
      <c r="A87" s="514" t="s">
        <v>1864</v>
      </c>
      <c r="B87" s="419"/>
      <c r="C87" s="457">
        <v>502</v>
      </c>
      <c r="D87" s="419"/>
      <c r="E87" s="420"/>
      <c r="F87" s="514"/>
      <c r="G87" s="419"/>
      <c r="H87" s="416"/>
    </row>
    <row r="88" spans="1:8">
      <c r="A88" s="514" t="s">
        <v>1865</v>
      </c>
      <c r="B88" s="419"/>
      <c r="C88" s="457">
        <v>563</v>
      </c>
      <c r="D88" s="419"/>
      <c r="E88" s="420"/>
      <c r="F88" s="514"/>
      <c r="G88" s="419"/>
      <c r="H88" s="416"/>
    </row>
    <row r="89" spans="1:8">
      <c r="A89" s="514" t="s">
        <v>1866</v>
      </c>
      <c r="B89" s="419" t="s">
        <v>1867</v>
      </c>
      <c r="C89" s="457">
        <v>26730</v>
      </c>
      <c r="D89" s="419"/>
      <c r="E89" s="420"/>
      <c r="F89" s="514"/>
      <c r="G89" s="419"/>
      <c r="H89" s="416"/>
    </row>
    <row r="90" spans="1:8">
      <c r="A90" s="514" t="s">
        <v>2293</v>
      </c>
      <c r="B90" s="419" t="s">
        <v>1868</v>
      </c>
      <c r="C90" s="457">
        <v>18370</v>
      </c>
      <c r="D90" s="419"/>
      <c r="E90" s="420"/>
      <c r="F90" s="514"/>
      <c r="G90" s="419"/>
      <c r="H90" s="416"/>
    </row>
    <row r="91" spans="1:8">
      <c r="A91" s="514" t="s">
        <v>1869</v>
      </c>
      <c r="B91" s="419" t="s">
        <v>1870</v>
      </c>
      <c r="C91" s="457">
        <v>342</v>
      </c>
      <c r="D91" s="419"/>
      <c r="E91" s="420"/>
      <c r="F91" s="514"/>
      <c r="G91" s="419"/>
      <c r="H91" s="416"/>
    </row>
    <row r="92" spans="1:8">
      <c r="A92" s="514" t="s">
        <v>1871</v>
      </c>
      <c r="B92" s="419" t="s">
        <v>1872</v>
      </c>
      <c r="C92" s="457">
        <v>73</v>
      </c>
      <c r="D92" s="419"/>
      <c r="E92" s="420"/>
      <c r="F92" s="514"/>
      <c r="G92" s="419"/>
      <c r="H92" s="416"/>
    </row>
    <row r="93" spans="1:8">
      <c r="A93" s="514" t="s">
        <v>1873</v>
      </c>
      <c r="B93" s="419" t="s">
        <v>1874</v>
      </c>
      <c r="C93" s="457">
        <v>177</v>
      </c>
      <c r="D93" s="419"/>
      <c r="E93" s="420"/>
      <c r="F93" s="514"/>
      <c r="G93" s="419"/>
      <c r="H93" s="416"/>
    </row>
    <row r="94" spans="1:8">
      <c r="A94" s="514" t="s">
        <v>1445</v>
      </c>
      <c r="B94" s="419" t="s">
        <v>1870</v>
      </c>
      <c r="C94" s="457">
        <v>315</v>
      </c>
      <c r="D94" s="419"/>
      <c r="E94" s="420"/>
      <c r="F94" s="514"/>
      <c r="G94" s="419"/>
      <c r="H94" s="416"/>
    </row>
    <row r="95" spans="1:8">
      <c r="A95" s="514" t="s">
        <v>1875</v>
      </c>
      <c r="B95" s="419" t="s">
        <v>1870</v>
      </c>
      <c r="C95" s="457">
        <v>420</v>
      </c>
      <c r="D95" s="419"/>
      <c r="E95" s="420"/>
      <c r="F95" s="514"/>
      <c r="G95" s="419"/>
      <c r="H95" s="416"/>
    </row>
    <row r="96" spans="1:8">
      <c r="A96" s="514" t="s">
        <v>1876</v>
      </c>
      <c r="B96" s="419" t="s">
        <v>1877</v>
      </c>
      <c r="C96" s="457">
        <v>73</v>
      </c>
      <c r="D96" s="419"/>
      <c r="E96" s="420"/>
      <c r="F96" s="514"/>
      <c r="G96" s="419"/>
      <c r="H96" s="416"/>
    </row>
    <row r="97" spans="1:8">
      <c r="A97" s="514" t="s">
        <v>1878</v>
      </c>
      <c r="B97" s="419" t="s">
        <v>1879</v>
      </c>
      <c r="C97" s="457">
        <v>92</v>
      </c>
      <c r="D97" s="419"/>
      <c r="E97" s="420"/>
      <c r="F97" s="514"/>
      <c r="G97" s="419"/>
      <c r="H97" s="416"/>
    </row>
    <row r="98" spans="1:8">
      <c r="A98" s="514" t="s">
        <v>1880</v>
      </c>
      <c r="B98" s="419" t="s">
        <v>1881</v>
      </c>
      <c r="C98" s="457">
        <v>4950</v>
      </c>
      <c r="D98" s="419"/>
      <c r="E98" s="420"/>
      <c r="F98" s="514"/>
      <c r="G98" s="419"/>
      <c r="H98" s="416"/>
    </row>
    <row r="99" spans="1:8" ht="22.5">
      <c r="A99" s="422" t="s">
        <v>1497</v>
      </c>
      <c r="B99" s="423" t="s">
        <v>3163</v>
      </c>
      <c r="C99" s="416">
        <v>65</v>
      </c>
      <c r="D99" s="419"/>
      <c r="E99" s="420"/>
      <c r="F99" s="514"/>
      <c r="G99" s="419"/>
      <c r="H99" s="416"/>
    </row>
    <row r="100" spans="1:8" ht="22.5">
      <c r="A100" s="422" t="s">
        <v>3164</v>
      </c>
      <c r="B100" s="423" t="s">
        <v>1501</v>
      </c>
      <c r="C100" s="457">
        <v>22</v>
      </c>
      <c r="D100" s="419"/>
      <c r="E100" s="420"/>
      <c r="F100" s="514"/>
      <c r="G100" s="419"/>
      <c r="H100" s="416"/>
    </row>
    <row r="101" spans="1:8">
      <c r="A101" s="422" t="s">
        <v>1498</v>
      </c>
      <c r="B101" s="423" t="s">
        <v>1502</v>
      </c>
      <c r="C101" s="457">
        <v>9</v>
      </c>
      <c r="D101" s="419"/>
      <c r="E101" s="420"/>
      <c r="F101" s="514"/>
      <c r="G101" s="419"/>
      <c r="H101" s="416"/>
    </row>
    <row r="102" spans="1:8" ht="22.5">
      <c r="A102" s="422" t="s">
        <v>1507</v>
      </c>
      <c r="B102" s="423" t="s">
        <v>1503</v>
      </c>
      <c r="C102" s="457">
        <v>28</v>
      </c>
      <c r="D102" s="419"/>
      <c r="E102" s="420"/>
      <c r="F102" s="514"/>
      <c r="G102" s="419"/>
      <c r="H102" s="416"/>
    </row>
    <row r="103" spans="1:8">
      <c r="A103" s="424" t="s">
        <v>1505</v>
      </c>
      <c r="B103" s="423" t="s">
        <v>1509</v>
      </c>
      <c r="C103" s="457">
        <v>33</v>
      </c>
      <c r="D103" s="419"/>
      <c r="E103" s="420"/>
      <c r="F103" s="514"/>
      <c r="G103" s="419"/>
      <c r="H103" s="416"/>
    </row>
    <row r="104" spans="1:8">
      <c r="A104" s="514" t="s">
        <v>1882</v>
      </c>
      <c r="B104" s="419" t="s">
        <v>1883</v>
      </c>
      <c r="C104" s="457">
        <v>58</v>
      </c>
      <c r="D104" s="419"/>
      <c r="E104" s="420"/>
      <c r="F104" s="514"/>
      <c r="G104" s="419"/>
      <c r="H104" s="416"/>
    </row>
    <row r="105" spans="1:8">
      <c r="A105" s="514"/>
      <c r="B105" s="419"/>
      <c r="C105" s="419" t="s">
        <v>1884</v>
      </c>
      <c r="D105" s="514"/>
      <c r="E105" s="419" t="s">
        <v>1885</v>
      </c>
      <c r="F105" s="514"/>
      <c r="G105" s="419"/>
      <c r="H105" s="416"/>
    </row>
    <row r="106" spans="1:8">
      <c r="A106" s="514" t="s">
        <v>1446</v>
      </c>
      <c r="B106" s="419" t="s">
        <v>1886</v>
      </c>
      <c r="C106" s="457">
        <v>226</v>
      </c>
      <c r="D106" s="512" t="s">
        <v>1887</v>
      </c>
      <c r="E106" s="457">
        <v>209</v>
      </c>
      <c r="F106" s="514"/>
      <c r="G106" s="419"/>
      <c r="H106" s="416"/>
    </row>
    <row r="107" spans="1:8">
      <c r="A107" s="514" t="s">
        <v>1447</v>
      </c>
      <c r="B107" s="419" t="s">
        <v>1888</v>
      </c>
      <c r="C107" s="457">
        <v>187</v>
      </c>
      <c r="D107" s="512" t="s">
        <v>1889</v>
      </c>
      <c r="E107" s="457">
        <v>171</v>
      </c>
      <c r="F107" s="514"/>
      <c r="G107" s="419"/>
      <c r="H107" s="416"/>
    </row>
    <row r="108" spans="1:8">
      <c r="A108" s="514" t="s">
        <v>1448</v>
      </c>
      <c r="B108" s="419" t="s">
        <v>1890</v>
      </c>
      <c r="C108" s="457">
        <v>143</v>
      </c>
      <c r="D108" s="512" t="s">
        <v>1891</v>
      </c>
      <c r="E108" s="457">
        <v>132</v>
      </c>
      <c r="F108" s="514"/>
      <c r="G108" s="419"/>
      <c r="H108" s="416"/>
    </row>
    <row r="109" spans="1:8">
      <c r="A109" s="514" t="s">
        <v>1450</v>
      </c>
      <c r="B109" s="419" t="s">
        <v>1892</v>
      </c>
      <c r="C109" s="457">
        <v>105</v>
      </c>
      <c r="D109" s="512" t="s">
        <v>1893</v>
      </c>
      <c r="E109" s="457">
        <v>88</v>
      </c>
      <c r="F109" s="514"/>
      <c r="G109" s="419"/>
      <c r="H109" s="416"/>
    </row>
    <row r="110" spans="1:8">
      <c r="A110" s="514" t="s">
        <v>1894</v>
      </c>
      <c r="B110" s="419"/>
      <c r="C110" s="457">
        <f>C106+C108</f>
        <v>369</v>
      </c>
      <c r="D110" s="512"/>
      <c r="E110" s="457">
        <f>E106+E108</f>
        <v>341</v>
      </c>
      <c r="F110" s="514"/>
      <c r="G110" s="419"/>
      <c r="H110" s="416"/>
    </row>
    <row r="111" spans="1:8">
      <c r="A111" s="514" t="s">
        <v>1895</v>
      </c>
      <c r="B111" s="419"/>
      <c r="C111" s="457">
        <f>C106+C109</f>
        <v>331</v>
      </c>
      <c r="D111" s="512"/>
      <c r="E111" s="457">
        <f>E106+E109</f>
        <v>297</v>
      </c>
      <c r="F111" s="514"/>
      <c r="G111" s="419"/>
      <c r="H111" s="416"/>
    </row>
    <row r="112" spans="1:8">
      <c r="A112" s="514" t="s">
        <v>1896</v>
      </c>
      <c r="B112" s="419" t="s">
        <v>1897</v>
      </c>
      <c r="C112" s="457">
        <v>63</v>
      </c>
      <c r="D112" s="512" t="s">
        <v>1898</v>
      </c>
      <c r="E112" s="457">
        <v>66</v>
      </c>
      <c r="F112" s="514"/>
      <c r="G112" s="419"/>
      <c r="H112" s="416"/>
    </row>
    <row r="113" spans="1:8">
      <c r="A113" s="514"/>
      <c r="B113" s="419"/>
      <c r="C113" s="419"/>
      <c r="D113" s="419"/>
      <c r="E113" s="420"/>
      <c r="F113" s="514"/>
      <c r="G113" s="419"/>
      <c r="H113" s="416"/>
    </row>
    <row r="114" spans="1:8" ht="25.5">
      <c r="A114" s="514" t="s">
        <v>1899</v>
      </c>
      <c r="B114" s="419" t="s">
        <v>1900</v>
      </c>
      <c r="C114" s="457">
        <v>20</v>
      </c>
      <c r="D114" s="419"/>
      <c r="E114" s="420" t="s">
        <v>1901</v>
      </c>
      <c r="F114" s="514" t="s">
        <v>1902</v>
      </c>
      <c r="G114" s="457">
        <v>20</v>
      </c>
      <c r="H114" s="416"/>
    </row>
    <row r="115" spans="1:8" ht="25.5">
      <c r="A115" s="514" t="s">
        <v>1453</v>
      </c>
      <c r="B115" s="419" t="s">
        <v>1903</v>
      </c>
      <c r="C115" s="457">
        <v>1484</v>
      </c>
      <c r="D115" s="419"/>
      <c r="E115" s="420" t="s">
        <v>1904</v>
      </c>
      <c r="F115" s="514" t="s">
        <v>1905</v>
      </c>
      <c r="G115" s="457">
        <v>46</v>
      </c>
      <c r="H115" s="416"/>
    </row>
    <row r="116" spans="1:8" ht="25.5">
      <c r="A116" s="514" t="s">
        <v>1906</v>
      </c>
      <c r="B116" s="419" t="s">
        <v>1907</v>
      </c>
      <c r="C116" s="457">
        <v>17</v>
      </c>
      <c r="D116" s="419"/>
      <c r="E116" s="420" t="s">
        <v>1908</v>
      </c>
      <c r="F116" s="514" t="s">
        <v>1909</v>
      </c>
      <c r="G116" s="457">
        <v>1093</v>
      </c>
      <c r="H116" s="416"/>
    </row>
    <row r="117" spans="1:8" ht="25.5">
      <c r="A117" s="514" t="s">
        <v>1910</v>
      </c>
      <c r="B117" s="419" t="s">
        <v>1911</v>
      </c>
      <c r="C117" s="457">
        <v>20</v>
      </c>
      <c r="D117" s="419"/>
      <c r="E117" s="420" t="s">
        <v>1912</v>
      </c>
      <c r="F117" s="514" t="s">
        <v>1913</v>
      </c>
      <c r="G117" s="457">
        <v>198</v>
      </c>
      <c r="H117" s="416"/>
    </row>
    <row r="118" spans="1:8">
      <c r="A118" s="514" t="s">
        <v>1914</v>
      </c>
      <c r="B118" s="419" t="s">
        <v>1915</v>
      </c>
      <c r="C118" s="457">
        <v>26</v>
      </c>
      <c r="D118" s="419"/>
      <c r="E118" s="420" t="s">
        <v>1916</v>
      </c>
      <c r="F118" s="514" t="s">
        <v>1917</v>
      </c>
      <c r="G118" s="457">
        <v>2645</v>
      </c>
      <c r="H118" s="416"/>
    </row>
    <row r="119" spans="1:8" ht="38.25">
      <c r="A119" s="514" t="s">
        <v>1918</v>
      </c>
      <c r="B119" s="419" t="s">
        <v>1919</v>
      </c>
      <c r="C119" s="457">
        <v>1208</v>
      </c>
      <c r="D119" s="419"/>
      <c r="E119" s="420" t="s">
        <v>1920</v>
      </c>
      <c r="F119" s="514" t="s">
        <v>1921</v>
      </c>
      <c r="G119" s="457">
        <v>94</v>
      </c>
      <c r="H119" s="416"/>
    </row>
    <row r="120" spans="1:8">
      <c r="A120" s="514" t="s">
        <v>1922</v>
      </c>
      <c r="B120" s="419" t="s">
        <v>1923</v>
      </c>
      <c r="C120" s="457">
        <v>21</v>
      </c>
      <c r="D120" s="419"/>
      <c r="E120" s="420" t="s">
        <v>1573</v>
      </c>
      <c r="F120" s="514" t="s">
        <v>1924</v>
      </c>
      <c r="G120" s="457">
        <v>33</v>
      </c>
      <c r="H120" s="416"/>
    </row>
    <row r="121" spans="1:8" ht="51">
      <c r="A121" s="514" t="s">
        <v>1925</v>
      </c>
      <c r="B121" s="419" t="s">
        <v>1926</v>
      </c>
      <c r="C121" s="457">
        <v>44</v>
      </c>
      <c r="D121" s="419"/>
      <c r="E121" s="420" t="s">
        <v>1927</v>
      </c>
      <c r="F121" s="514" t="s">
        <v>1928</v>
      </c>
      <c r="G121" s="457">
        <v>267</v>
      </c>
      <c r="H121" s="416"/>
    </row>
    <row r="122" spans="1:8" ht="22.5">
      <c r="A122" s="514" t="s">
        <v>1929</v>
      </c>
      <c r="B122" s="419" t="s">
        <v>1930</v>
      </c>
      <c r="C122" s="457">
        <v>127</v>
      </c>
      <c r="D122" s="419"/>
      <c r="E122" s="422" t="s">
        <v>1931</v>
      </c>
      <c r="F122" s="514" t="s">
        <v>1932</v>
      </c>
      <c r="G122" s="457">
        <v>963</v>
      </c>
      <c r="H122" s="416"/>
    </row>
    <row r="123" spans="1:8" ht="38.25">
      <c r="A123" s="514" t="s">
        <v>1933</v>
      </c>
      <c r="B123" s="419" t="s">
        <v>1934</v>
      </c>
      <c r="C123" s="457">
        <v>127</v>
      </c>
      <c r="D123" s="419"/>
      <c r="E123" s="425" t="s">
        <v>1935</v>
      </c>
      <c r="F123" s="514" t="s">
        <v>1936</v>
      </c>
      <c r="G123" s="457">
        <v>396</v>
      </c>
      <c r="H123" s="416"/>
    </row>
    <row r="124" spans="1:8" ht="25.5">
      <c r="A124" s="514" t="s">
        <v>1937</v>
      </c>
      <c r="B124" s="419" t="s">
        <v>1938</v>
      </c>
      <c r="C124" s="457">
        <v>94</v>
      </c>
      <c r="D124" s="419"/>
      <c r="E124" s="425" t="s">
        <v>1939</v>
      </c>
      <c r="F124" s="514" t="s">
        <v>1940</v>
      </c>
      <c r="G124" s="457">
        <v>209</v>
      </c>
      <c r="H124" s="416"/>
    </row>
    <row r="125" spans="1:8" ht="45">
      <c r="A125" s="514" t="s">
        <v>1941</v>
      </c>
      <c r="B125" s="419" t="s">
        <v>1942</v>
      </c>
      <c r="C125" s="457">
        <v>143</v>
      </c>
      <c r="D125" s="419"/>
      <c r="E125" s="422" t="s">
        <v>1943</v>
      </c>
      <c r="F125" s="514" t="s">
        <v>1944</v>
      </c>
      <c r="G125" s="457">
        <v>110</v>
      </c>
      <c r="H125" s="416"/>
    </row>
    <row r="126" spans="1:8" ht="56.25">
      <c r="A126" s="514" t="s">
        <v>1658</v>
      </c>
      <c r="B126" s="419" t="s">
        <v>1945</v>
      </c>
      <c r="C126" s="457">
        <v>88</v>
      </c>
      <c r="D126" s="419"/>
      <c r="E126" s="425" t="s">
        <v>1946</v>
      </c>
      <c r="F126" s="514" t="s">
        <v>1947</v>
      </c>
      <c r="G126" s="457">
        <v>5865</v>
      </c>
      <c r="H126" s="416"/>
    </row>
    <row r="127" spans="1:8" ht="25.5">
      <c r="A127" s="514" t="s">
        <v>1948</v>
      </c>
      <c r="B127" s="419" t="s">
        <v>1949</v>
      </c>
      <c r="C127" s="457">
        <v>77</v>
      </c>
      <c r="D127" s="419"/>
      <c r="E127" s="425" t="s">
        <v>1950</v>
      </c>
      <c r="F127" s="514" t="s">
        <v>1951</v>
      </c>
      <c r="G127" s="457">
        <v>209</v>
      </c>
      <c r="H127" s="416"/>
    </row>
    <row r="128" spans="1:8" ht="33.75">
      <c r="A128" s="514" t="s">
        <v>1952</v>
      </c>
      <c r="B128" s="419" t="s">
        <v>2085</v>
      </c>
      <c r="C128" s="457">
        <v>1737</v>
      </c>
      <c r="D128" s="419"/>
      <c r="E128" s="426" t="s">
        <v>1953</v>
      </c>
      <c r="F128" s="514" t="s">
        <v>1954</v>
      </c>
      <c r="G128" s="457">
        <v>385</v>
      </c>
      <c r="H128" s="416"/>
    </row>
    <row r="129" spans="1:8" ht="25.5">
      <c r="A129" s="514" t="s">
        <v>1955</v>
      </c>
      <c r="B129" s="419" t="s">
        <v>1956</v>
      </c>
      <c r="C129" s="457">
        <v>2806</v>
      </c>
      <c r="D129" s="419"/>
      <c r="E129" s="422" t="s">
        <v>1957</v>
      </c>
      <c r="F129" s="514" t="s">
        <v>1958</v>
      </c>
      <c r="G129" s="457">
        <v>72</v>
      </c>
      <c r="H129" s="416"/>
    </row>
    <row r="130" spans="1:8" ht="25.5">
      <c r="A130" s="514" t="s">
        <v>1959</v>
      </c>
      <c r="B130" s="419" t="s">
        <v>1960</v>
      </c>
      <c r="C130" s="457">
        <v>4284</v>
      </c>
      <c r="D130" s="419"/>
      <c r="E130" s="422" t="s">
        <v>1961</v>
      </c>
      <c r="F130" s="514" t="s">
        <v>1962</v>
      </c>
      <c r="G130" s="457">
        <v>72</v>
      </c>
      <c r="H130" s="416"/>
    </row>
    <row r="131" spans="1:8" ht="45">
      <c r="A131" s="514" t="s">
        <v>1963</v>
      </c>
      <c r="B131" s="419" t="s">
        <v>1964</v>
      </c>
      <c r="C131" s="457">
        <v>1513</v>
      </c>
      <c r="D131" s="419"/>
      <c r="E131" s="426" t="s">
        <v>1965</v>
      </c>
      <c r="F131" s="514" t="s">
        <v>1966</v>
      </c>
      <c r="G131" s="457">
        <v>7</v>
      </c>
      <c r="H131" s="416"/>
    </row>
    <row r="132" spans="1:8" ht="33.75">
      <c r="A132" s="514" t="s">
        <v>1967</v>
      </c>
      <c r="B132" s="419" t="s">
        <v>1968</v>
      </c>
      <c r="C132" s="457">
        <v>72</v>
      </c>
      <c r="D132" s="419"/>
      <c r="E132" s="426" t="s">
        <v>1969</v>
      </c>
      <c r="F132" s="514" t="s">
        <v>1970</v>
      </c>
      <c r="G132" s="457">
        <v>13</v>
      </c>
      <c r="H132" s="416"/>
    </row>
    <row r="133" spans="1:8" ht="22.5">
      <c r="A133" s="514" t="s">
        <v>1971</v>
      </c>
      <c r="B133" s="419" t="s">
        <v>1972</v>
      </c>
      <c r="C133" s="457">
        <v>473</v>
      </c>
      <c r="D133" s="419"/>
      <c r="E133" s="426" t="s">
        <v>1973</v>
      </c>
      <c r="F133" s="514" t="s">
        <v>1425</v>
      </c>
      <c r="G133" s="457">
        <v>275</v>
      </c>
      <c r="H133" s="416"/>
    </row>
    <row r="134" spans="1:8" ht="45">
      <c r="A134" s="514" t="s">
        <v>2083</v>
      </c>
      <c r="B134" s="419" t="s">
        <v>2084</v>
      </c>
      <c r="C134" s="507">
        <v>1208</v>
      </c>
      <c r="D134" s="419"/>
      <c r="E134" s="426" t="s">
        <v>1974</v>
      </c>
      <c r="F134" s="514" t="s">
        <v>1427</v>
      </c>
      <c r="G134" s="457">
        <v>143</v>
      </c>
      <c r="H134" s="416"/>
    </row>
    <row r="135" spans="1:8">
      <c r="A135" s="514"/>
      <c r="B135" s="419"/>
      <c r="C135" s="419"/>
      <c r="D135" s="419"/>
      <c r="E135" s="426" t="s">
        <v>1975</v>
      </c>
      <c r="F135" s="514" t="s">
        <v>1976</v>
      </c>
      <c r="G135" s="457">
        <v>22</v>
      </c>
      <c r="H135" s="416"/>
    </row>
    <row r="136" spans="1:8">
      <c r="A136" s="514"/>
      <c r="B136" s="419"/>
      <c r="C136" s="419"/>
      <c r="D136" s="419"/>
      <c r="E136" s="426" t="s">
        <v>1977</v>
      </c>
      <c r="F136" s="514" t="s">
        <v>1978</v>
      </c>
      <c r="G136" s="457">
        <v>17</v>
      </c>
      <c r="H136" s="416"/>
    </row>
    <row r="137" spans="1:8" ht="22.5">
      <c r="A137" s="514"/>
      <c r="B137" s="419"/>
      <c r="C137" s="419"/>
      <c r="D137" s="419"/>
      <c r="E137" s="422" t="s">
        <v>1979</v>
      </c>
      <c r="F137" s="514" t="s">
        <v>1980</v>
      </c>
      <c r="G137" s="457">
        <v>275</v>
      </c>
      <c r="H137" s="416"/>
    </row>
    <row r="138" spans="1:8" ht="22.5">
      <c r="A138" s="514"/>
      <c r="B138" s="419"/>
      <c r="C138" s="419"/>
      <c r="D138" s="419"/>
      <c r="E138" s="422" t="s">
        <v>1979</v>
      </c>
      <c r="F138" s="514" t="s">
        <v>1980</v>
      </c>
      <c r="G138" s="457">
        <v>275</v>
      </c>
      <c r="H138" s="416"/>
    </row>
    <row r="139" spans="1:8">
      <c r="A139" s="514"/>
      <c r="B139" s="419"/>
      <c r="C139" s="419"/>
      <c r="D139" s="419"/>
      <c r="E139" s="420" t="s">
        <v>1566</v>
      </c>
      <c r="F139" s="514" t="s">
        <v>2088</v>
      </c>
      <c r="G139" s="457">
        <v>1822</v>
      </c>
      <c r="H139" s="416"/>
    </row>
    <row r="140" spans="1:8">
      <c r="A140" s="514"/>
      <c r="B140" s="419"/>
      <c r="C140" s="419"/>
      <c r="D140" s="419"/>
      <c r="E140" s="420" t="s">
        <v>1566</v>
      </c>
      <c r="F140" s="514" t="s">
        <v>2261</v>
      </c>
      <c r="G140" s="509">
        <v>5428</v>
      </c>
      <c r="H140" s="416"/>
    </row>
    <row r="141" spans="1:8">
      <c r="A141" s="514"/>
      <c r="B141" s="419"/>
      <c r="C141" s="419"/>
      <c r="D141" s="419"/>
      <c r="E141" s="420"/>
      <c r="F141" s="514"/>
      <c r="G141" s="419"/>
      <c r="H141" s="416"/>
    </row>
    <row r="142" spans="1:8" ht="25.5">
      <c r="A142" s="427" t="s">
        <v>1981</v>
      </c>
      <c r="B142" s="418" t="s">
        <v>1373</v>
      </c>
      <c r="C142" s="512">
        <v>74500</v>
      </c>
      <c r="D142" s="419"/>
      <c r="E142" s="427" t="s">
        <v>1376</v>
      </c>
      <c r="F142" s="418" t="s">
        <v>1377</v>
      </c>
      <c r="G142" s="512">
        <v>231</v>
      </c>
      <c r="H142" s="416"/>
    </row>
    <row r="143" spans="1:8" ht="38.25">
      <c r="A143" s="427" t="s">
        <v>1982</v>
      </c>
      <c r="B143" s="418" t="s">
        <v>1375</v>
      </c>
      <c r="C143" s="512">
        <v>149000</v>
      </c>
      <c r="D143" s="419"/>
      <c r="E143" s="427" t="s">
        <v>1393</v>
      </c>
      <c r="F143" s="419" t="s">
        <v>1394</v>
      </c>
      <c r="G143" s="512">
        <v>84</v>
      </c>
      <c r="H143" s="416"/>
    </row>
    <row r="144" spans="1:8" ht="38.25">
      <c r="A144" s="427" t="s">
        <v>1983</v>
      </c>
      <c r="B144" s="418" t="s">
        <v>1682</v>
      </c>
      <c r="C144" s="512">
        <v>48500</v>
      </c>
      <c r="D144" s="419"/>
      <c r="E144" s="420" t="s">
        <v>1412</v>
      </c>
      <c r="F144" s="419" t="s">
        <v>1413</v>
      </c>
      <c r="G144" s="512">
        <v>103</v>
      </c>
      <c r="H144" s="416"/>
    </row>
    <row r="145" spans="1:8" ht="38.25">
      <c r="A145" s="427" t="s">
        <v>1984</v>
      </c>
      <c r="B145" s="418" t="s">
        <v>1684</v>
      </c>
      <c r="C145" s="512">
        <v>61000</v>
      </c>
      <c r="D145" s="419"/>
      <c r="E145" s="427" t="s">
        <v>1378</v>
      </c>
      <c r="F145" s="418" t="s">
        <v>1379</v>
      </c>
      <c r="G145" s="512">
        <v>246</v>
      </c>
      <c r="H145" s="416"/>
    </row>
    <row r="146" spans="1:8" ht="38.25">
      <c r="A146" s="514" t="s">
        <v>1390</v>
      </c>
      <c r="B146" s="419" t="s">
        <v>1391</v>
      </c>
      <c r="C146" s="512">
        <v>3030</v>
      </c>
      <c r="D146" s="419"/>
      <c r="E146" s="427" t="s">
        <v>1395</v>
      </c>
      <c r="F146" s="419" t="s">
        <v>1396</v>
      </c>
      <c r="G146" s="512">
        <v>117</v>
      </c>
      <c r="H146" s="416"/>
    </row>
    <row r="147" spans="1:8" ht="38.25">
      <c r="A147" s="514" t="s">
        <v>1985</v>
      </c>
      <c r="B147" s="419" t="s">
        <v>1408</v>
      </c>
      <c r="C147" s="512">
        <v>805</v>
      </c>
      <c r="D147" s="419"/>
      <c r="E147" s="427" t="s">
        <v>1380</v>
      </c>
      <c r="F147" s="418" t="s">
        <v>1381</v>
      </c>
      <c r="G147" s="512">
        <v>103</v>
      </c>
      <c r="H147" s="416"/>
    </row>
    <row r="148" spans="1:8" ht="25.5">
      <c r="A148" s="514" t="s">
        <v>2280</v>
      </c>
      <c r="B148" s="419" t="s">
        <v>2092</v>
      </c>
      <c r="C148" s="509">
        <v>1790</v>
      </c>
      <c r="D148" s="419"/>
      <c r="E148" s="427" t="s">
        <v>1382</v>
      </c>
      <c r="F148" s="418" t="s">
        <v>1383</v>
      </c>
      <c r="G148" s="512">
        <v>1087</v>
      </c>
      <c r="H148" s="416"/>
    </row>
    <row r="149" spans="1:8" ht="38.25">
      <c r="A149" s="514" t="s">
        <v>1986</v>
      </c>
      <c r="B149" s="419" t="s">
        <v>1389</v>
      </c>
      <c r="C149" s="512">
        <v>1672</v>
      </c>
      <c r="D149" s="419"/>
      <c r="E149" s="427" t="s">
        <v>1397</v>
      </c>
      <c r="F149" s="419" t="s">
        <v>1398</v>
      </c>
      <c r="G149" s="512">
        <v>308</v>
      </c>
      <c r="H149" s="416"/>
    </row>
    <row r="150" spans="1:8" ht="25.5">
      <c r="A150" s="514" t="s">
        <v>1987</v>
      </c>
      <c r="B150" s="419" t="s">
        <v>1690</v>
      </c>
      <c r="C150" s="512">
        <v>1546</v>
      </c>
      <c r="D150" s="419"/>
      <c r="E150" s="427" t="s">
        <v>1384</v>
      </c>
      <c r="F150" s="418" t="s">
        <v>1385</v>
      </c>
      <c r="G150" s="512">
        <v>168</v>
      </c>
      <c r="H150" s="416"/>
    </row>
    <row r="151" spans="1:8" ht="38.25">
      <c r="A151" s="514" t="s">
        <v>2281</v>
      </c>
      <c r="B151" s="419" t="s">
        <v>1392</v>
      </c>
      <c r="C151" s="509">
        <v>800</v>
      </c>
      <c r="D151" s="419"/>
      <c r="E151" s="427" t="s">
        <v>1399</v>
      </c>
      <c r="F151" s="419" t="s">
        <v>1400</v>
      </c>
      <c r="G151" s="512">
        <v>45</v>
      </c>
      <c r="H151" s="416"/>
    </row>
    <row r="152" spans="1:8" ht="38.25">
      <c r="A152" s="514" t="s">
        <v>1989</v>
      </c>
      <c r="B152" s="419" t="s">
        <v>1990</v>
      </c>
      <c r="C152" s="512">
        <v>8058</v>
      </c>
      <c r="D152" s="419"/>
      <c r="E152" s="427" t="s">
        <v>1386</v>
      </c>
      <c r="F152" s="418" t="s">
        <v>1387</v>
      </c>
      <c r="G152" s="512">
        <v>35</v>
      </c>
      <c r="H152" s="416"/>
    </row>
    <row r="153" spans="1:8">
      <c r="A153" s="514" t="s">
        <v>1991</v>
      </c>
      <c r="B153" s="419" t="s">
        <v>1415</v>
      </c>
      <c r="C153" s="512">
        <v>6038</v>
      </c>
      <c r="D153" s="419"/>
      <c r="E153" s="420" t="s">
        <v>1992</v>
      </c>
      <c r="F153" s="419" t="s">
        <v>1405</v>
      </c>
      <c r="G153" s="512">
        <v>373</v>
      </c>
      <c r="H153" s="416"/>
    </row>
    <row r="154" spans="1:8" ht="38.25">
      <c r="A154" s="514" t="s">
        <v>1993</v>
      </c>
      <c r="B154" s="419" t="s">
        <v>1418</v>
      </c>
      <c r="C154" s="512">
        <v>5830</v>
      </c>
      <c r="D154" s="419"/>
      <c r="E154" s="420" t="s">
        <v>1994</v>
      </c>
      <c r="F154" s="419" t="s">
        <v>1406</v>
      </c>
      <c r="G154" s="512">
        <v>353</v>
      </c>
      <c r="H154" s="416"/>
    </row>
    <row r="155" spans="1:8" ht="25.5">
      <c r="A155" s="514" t="s">
        <v>1988</v>
      </c>
      <c r="B155" s="419" t="s">
        <v>2094</v>
      </c>
      <c r="C155" s="509">
        <v>407</v>
      </c>
      <c r="D155" s="419"/>
      <c r="E155" s="427" t="s">
        <v>1995</v>
      </c>
      <c r="F155" s="419" t="s">
        <v>1688</v>
      </c>
      <c r="G155" s="512">
        <v>53</v>
      </c>
      <c r="H155" s="416"/>
    </row>
    <row r="156" spans="1:8">
      <c r="A156" s="513" t="s">
        <v>2283</v>
      </c>
      <c r="B156" s="517" t="s">
        <v>2282</v>
      </c>
      <c r="C156" s="511">
        <v>3797</v>
      </c>
    </row>
  </sheetData>
  <mergeCells count="4">
    <mergeCell ref="A1:H1"/>
    <mergeCell ref="E28:H28"/>
    <mergeCell ref="E31:H31"/>
    <mergeCell ref="E34:H34"/>
  </mergeCells>
  <pageMargins left="0.41" right="0.22" top="0.48" bottom="0.31" header="0.3" footer="0.3"/>
  <pageSetup paperSize="9" scale="95" orientation="portrait" r:id="rId1"/>
  <rowBreaks count="2" manualBreakCount="2">
    <brk id="50" max="16383" man="1"/>
    <brk id="99" max="16383" man="1"/>
  </rowBreaks>
</worksheet>
</file>

<file path=xl/worksheets/sheet34.xml><?xml version="1.0" encoding="utf-8"?>
<worksheet xmlns="http://schemas.openxmlformats.org/spreadsheetml/2006/main" xmlns:r="http://schemas.openxmlformats.org/officeDocument/2006/relationships">
  <sheetPr>
    <tabColor rgb="FF7030A0"/>
  </sheetPr>
  <dimension ref="A1:H156"/>
  <sheetViews>
    <sheetView view="pageBreakPreview" topLeftCell="A34" zoomScale="115" zoomScaleNormal="115" zoomScaleSheetLayoutView="115" workbookViewId="0">
      <selection activeCell="B44" sqref="B44:C44"/>
    </sheetView>
  </sheetViews>
  <sheetFormatPr defaultColWidth="9.140625" defaultRowHeight="12.75"/>
  <cols>
    <col min="1" max="1" width="22.28515625" style="513" customWidth="1"/>
    <col min="2" max="2" width="11.5703125" style="517" customWidth="1"/>
    <col min="3" max="3" width="10.42578125" style="517" bestFit="1" customWidth="1"/>
    <col min="4" max="4" width="10.7109375" style="517" customWidth="1"/>
    <col min="5" max="5" width="11.85546875" style="518" customWidth="1"/>
    <col min="6" max="6" width="17.42578125" style="513" customWidth="1"/>
    <col min="7" max="7" width="10.140625" style="517" customWidth="1"/>
    <col min="8" max="8" width="9.28515625" style="519" bestFit="1" customWidth="1"/>
    <col min="9" max="16384" width="9.140625" style="513"/>
  </cols>
  <sheetData>
    <row r="1" spans="1:8" ht="18.75">
      <c r="A1" s="1673" t="s">
        <v>2307</v>
      </c>
      <c r="B1" s="1673"/>
      <c r="C1" s="1673"/>
      <c r="D1" s="1673"/>
      <c r="E1" s="1673"/>
      <c r="F1" s="1673"/>
      <c r="G1" s="1673"/>
      <c r="H1" s="1673"/>
    </row>
    <row r="2" spans="1:8">
      <c r="A2" s="514"/>
      <c r="B2" s="419"/>
      <c r="C2" s="419"/>
      <c r="D2" s="419"/>
      <c r="E2" s="420"/>
      <c r="F2" s="514" t="s">
        <v>1693</v>
      </c>
      <c r="G2" s="419" t="s">
        <v>1694</v>
      </c>
      <c r="H2" s="416" t="s">
        <v>8</v>
      </c>
    </row>
    <row r="3" spans="1:8">
      <c r="A3" s="514"/>
      <c r="B3" s="419" t="s">
        <v>1695</v>
      </c>
      <c r="C3" s="419" t="s">
        <v>8</v>
      </c>
      <c r="D3" s="419"/>
      <c r="E3" s="420"/>
      <c r="F3" s="514" t="s">
        <v>1696</v>
      </c>
      <c r="G3" s="419" t="s">
        <v>1697</v>
      </c>
      <c r="H3" s="457">
        <v>630</v>
      </c>
    </row>
    <row r="4" spans="1:8">
      <c r="A4" s="415" t="s">
        <v>847</v>
      </c>
      <c r="B4" s="419" t="s">
        <v>1698</v>
      </c>
      <c r="C4" s="416">
        <v>4700</v>
      </c>
      <c r="D4" s="419"/>
      <c r="E4" s="420"/>
      <c r="F4" s="514" t="s">
        <v>1699</v>
      </c>
      <c r="G4" s="419" t="s">
        <v>1700</v>
      </c>
      <c r="H4" s="457">
        <v>565</v>
      </c>
    </row>
    <row r="5" spans="1:8">
      <c r="A5" s="389" t="s">
        <v>1701</v>
      </c>
      <c r="B5" s="419"/>
      <c r="C5" s="416">
        <v>64000</v>
      </c>
      <c r="D5" s="419" t="s">
        <v>2403</v>
      </c>
      <c r="E5" s="420"/>
      <c r="F5" s="514" t="s">
        <v>1702</v>
      </c>
      <c r="G5" s="419" t="s">
        <v>1703</v>
      </c>
      <c r="H5" s="457">
        <v>525</v>
      </c>
    </row>
    <row r="6" spans="1:8">
      <c r="A6" s="389" t="s">
        <v>1704</v>
      </c>
      <c r="B6" s="419"/>
      <c r="C6" s="416">
        <v>62000</v>
      </c>
      <c r="D6" s="419" t="s">
        <v>2403</v>
      </c>
      <c r="E6" s="420"/>
      <c r="F6" s="514" t="s">
        <v>1705</v>
      </c>
      <c r="G6" s="419" t="s">
        <v>1706</v>
      </c>
      <c r="H6" s="457">
        <v>750</v>
      </c>
    </row>
    <row r="7" spans="1:8">
      <c r="A7" s="389" t="s">
        <v>848</v>
      </c>
      <c r="B7" s="419"/>
      <c r="C7" s="416">
        <v>62000</v>
      </c>
      <c r="D7" s="419" t="s">
        <v>2403</v>
      </c>
      <c r="E7" s="420"/>
      <c r="F7" s="514"/>
      <c r="G7" s="419"/>
      <c r="H7" s="507"/>
    </row>
    <row r="8" spans="1:8">
      <c r="A8" s="389" t="s">
        <v>849</v>
      </c>
      <c r="B8" s="419"/>
      <c r="C8" s="416">
        <v>62000</v>
      </c>
      <c r="D8" s="419" t="s">
        <v>2403</v>
      </c>
      <c r="E8" s="420"/>
      <c r="F8" s="514" t="s">
        <v>1707</v>
      </c>
      <c r="G8" s="419" t="s">
        <v>1708</v>
      </c>
      <c r="H8" s="457">
        <v>705</v>
      </c>
    </row>
    <row r="9" spans="1:8" ht="25.5">
      <c r="A9" s="389" t="s">
        <v>850</v>
      </c>
      <c r="B9" s="419" t="s">
        <v>1709</v>
      </c>
      <c r="C9" s="508">
        <v>700</v>
      </c>
      <c r="D9" s="419"/>
      <c r="E9" s="420"/>
      <c r="F9" s="514" t="s">
        <v>1710</v>
      </c>
      <c r="G9" s="419" t="s">
        <v>1711</v>
      </c>
      <c r="H9" s="457">
        <v>565</v>
      </c>
    </row>
    <row r="10" spans="1:8">
      <c r="A10" s="389" t="s">
        <v>851</v>
      </c>
      <c r="B10" s="419" t="s">
        <v>1712</v>
      </c>
      <c r="C10" s="508">
        <v>605</v>
      </c>
      <c r="D10" s="419"/>
      <c r="E10" s="420"/>
      <c r="F10" s="514" t="s">
        <v>1337</v>
      </c>
      <c r="G10" s="419" t="s">
        <v>1713</v>
      </c>
      <c r="H10" s="457">
        <v>615</v>
      </c>
    </row>
    <row r="11" spans="1:8">
      <c r="A11" s="389" t="s">
        <v>768</v>
      </c>
      <c r="B11" s="419" t="s">
        <v>1714</v>
      </c>
      <c r="C11" s="508">
        <v>460</v>
      </c>
      <c r="D11" s="419" t="s">
        <v>861</v>
      </c>
      <c r="E11" s="420" t="s">
        <v>862</v>
      </c>
      <c r="F11" s="514" t="s">
        <v>1338</v>
      </c>
      <c r="G11" s="419" t="s">
        <v>1715</v>
      </c>
      <c r="H11" s="457">
        <v>590</v>
      </c>
    </row>
    <row r="12" spans="1:8">
      <c r="A12" s="389" t="s">
        <v>1716</v>
      </c>
      <c r="B12" s="419" t="s">
        <v>1717</v>
      </c>
      <c r="C12" s="508">
        <v>7500</v>
      </c>
      <c r="D12" s="509">
        <v>68.5</v>
      </c>
      <c r="E12" s="510">
        <v>68.5</v>
      </c>
      <c r="F12" s="514"/>
      <c r="G12" s="419"/>
      <c r="H12" s="507"/>
    </row>
    <row r="13" spans="1:8">
      <c r="A13" s="389" t="s">
        <v>853</v>
      </c>
      <c r="B13" s="419" t="s">
        <v>1718</v>
      </c>
      <c r="C13" s="508">
        <v>716</v>
      </c>
      <c r="D13" s="419"/>
      <c r="E13" s="420"/>
      <c r="F13" s="514" t="s">
        <v>1719</v>
      </c>
      <c r="G13" s="419" t="s">
        <v>1720</v>
      </c>
      <c r="H13" s="457">
        <v>705</v>
      </c>
    </row>
    <row r="14" spans="1:8" ht="25.5">
      <c r="A14" s="389" t="s">
        <v>854</v>
      </c>
      <c r="B14" s="419" t="s">
        <v>1721</v>
      </c>
      <c r="C14" s="508">
        <v>1196</v>
      </c>
      <c r="D14" s="419"/>
      <c r="E14" s="420"/>
      <c r="F14" s="514" t="s">
        <v>1722</v>
      </c>
      <c r="G14" s="419"/>
      <c r="H14" s="457">
        <v>565</v>
      </c>
    </row>
    <row r="15" spans="1:8">
      <c r="A15" s="389" t="s">
        <v>1723</v>
      </c>
      <c r="B15" s="419" t="s">
        <v>1724</v>
      </c>
      <c r="C15" s="508">
        <v>952</v>
      </c>
      <c r="D15" s="419"/>
      <c r="E15" s="420"/>
      <c r="F15" s="514"/>
      <c r="G15" s="419"/>
      <c r="H15" s="507"/>
    </row>
    <row r="16" spans="1:8">
      <c r="A16" s="389" t="s">
        <v>1725</v>
      </c>
      <c r="B16" s="419" t="s">
        <v>1726</v>
      </c>
      <c r="C16" s="508">
        <v>800</v>
      </c>
      <c r="D16" s="419"/>
      <c r="E16" s="420"/>
      <c r="F16" s="514" t="s">
        <v>156</v>
      </c>
      <c r="G16" s="419" t="s">
        <v>1727</v>
      </c>
      <c r="H16" s="457">
        <v>700</v>
      </c>
    </row>
    <row r="17" spans="1:8" ht="25.5">
      <c r="A17" s="389" t="s">
        <v>1728</v>
      </c>
      <c r="B17" s="419" t="s">
        <v>1729</v>
      </c>
      <c r="C17" s="508">
        <v>636</v>
      </c>
      <c r="D17" s="419"/>
      <c r="E17" s="420"/>
      <c r="F17" s="514" t="s">
        <v>1499</v>
      </c>
      <c r="G17" s="419" t="s">
        <v>1730</v>
      </c>
      <c r="H17" s="457">
        <v>570</v>
      </c>
    </row>
    <row r="18" spans="1:8">
      <c r="A18" s="389" t="s">
        <v>1193</v>
      </c>
      <c r="B18" s="419" t="s">
        <v>1731</v>
      </c>
      <c r="C18" s="457">
        <v>298</v>
      </c>
      <c r="D18" s="419"/>
      <c r="E18" s="420"/>
      <c r="F18" s="514" t="s">
        <v>3159</v>
      </c>
      <c r="G18" s="419" t="s">
        <v>1703</v>
      </c>
      <c r="H18" s="457">
        <v>505</v>
      </c>
    </row>
    <row r="19" spans="1:8">
      <c r="A19" s="393" t="s">
        <v>1732</v>
      </c>
      <c r="B19" s="419" t="s">
        <v>1733</v>
      </c>
      <c r="C19" s="508">
        <v>2100</v>
      </c>
      <c r="D19" s="419"/>
      <c r="E19" s="420"/>
      <c r="F19" s="514"/>
      <c r="G19" s="419"/>
      <c r="H19" s="416"/>
    </row>
    <row r="20" spans="1:8">
      <c r="A20" s="393" t="s">
        <v>1734</v>
      </c>
      <c r="B20" s="419" t="s">
        <v>1735</v>
      </c>
      <c r="C20" s="508">
        <v>315</v>
      </c>
      <c r="D20" s="419"/>
      <c r="E20" s="420"/>
      <c r="F20" s="514"/>
      <c r="G20" s="419"/>
      <c r="H20" s="416"/>
    </row>
    <row r="21" spans="1:8">
      <c r="A21" s="393" t="s">
        <v>1736</v>
      </c>
      <c r="B21" s="419" t="s">
        <v>1737</v>
      </c>
      <c r="C21" s="508">
        <v>612</v>
      </c>
      <c r="D21" s="419"/>
      <c r="E21" s="420"/>
      <c r="F21" s="514"/>
      <c r="G21" s="419"/>
      <c r="H21" s="416"/>
    </row>
    <row r="22" spans="1:8">
      <c r="A22" s="393" t="s">
        <v>1738</v>
      </c>
      <c r="B22" s="419" t="s">
        <v>1739</v>
      </c>
      <c r="C22" s="508">
        <v>370</v>
      </c>
      <c r="D22" s="419"/>
      <c r="E22" s="420"/>
      <c r="F22" s="514"/>
      <c r="G22" s="419"/>
      <c r="H22" s="416"/>
    </row>
    <row r="23" spans="1:8">
      <c r="A23" s="393" t="s">
        <v>1740</v>
      </c>
      <c r="B23" s="419" t="s">
        <v>1741</v>
      </c>
      <c r="C23" s="508">
        <v>330</v>
      </c>
      <c r="D23" s="419"/>
      <c r="E23" s="420"/>
      <c r="F23" s="514"/>
      <c r="G23" s="419"/>
      <c r="H23" s="416"/>
    </row>
    <row r="24" spans="1:8">
      <c r="A24" s="389" t="s">
        <v>1208</v>
      </c>
      <c r="B24" s="419" t="s">
        <v>3162</v>
      </c>
      <c r="C24" s="457">
        <v>18000</v>
      </c>
      <c r="D24" s="419"/>
      <c r="E24" s="420"/>
      <c r="F24" s="514" t="s">
        <v>1742</v>
      </c>
      <c r="G24" s="419"/>
      <c r="H24" s="416"/>
    </row>
    <row r="25" spans="1:8">
      <c r="A25" s="389" t="s">
        <v>860</v>
      </c>
      <c r="B25" s="419" t="s">
        <v>1743</v>
      </c>
      <c r="C25" s="507">
        <v>93</v>
      </c>
      <c r="D25" s="419"/>
      <c r="E25" s="420"/>
      <c r="F25" s="514" t="s">
        <v>1428</v>
      </c>
      <c r="G25" s="419"/>
      <c r="H25" s="457">
        <v>6.06</v>
      </c>
    </row>
    <row r="26" spans="1:8">
      <c r="A26" s="389" t="s">
        <v>664</v>
      </c>
      <c r="B26" s="419" t="s">
        <v>1744</v>
      </c>
      <c r="C26" s="457">
        <v>149</v>
      </c>
      <c r="D26" s="419"/>
      <c r="E26" s="420"/>
      <c r="F26" s="514" t="s">
        <v>1430</v>
      </c>
      <c r="G26" s="419"/>
      <c r="H26" s="457">
        <v>144.26</v>
      </c>
    </row>
    <row r="27" spans="1:8">
      <c r="A27" s="389" t="s">
        <v>1745</v>
      </c>
      <c r="B27" s="419" t="s">
        <v>1746</v>
      </c>
      <c r="C27" s="457">
        <v>30</v>
      </c>
      <c r="D27" s="419"/>
      <c r="E27" s="420"/>
      <c r="F27" s="514"/>
      <c r="G27" s="419"/>
      <c r="H27" s="416"/>
    </row>
    <row r="28" spans="1:8">
      <c r="A28" s="514"/>
      <c r="B28" s="419"/>
      <c r="C28" s="419"/>
      <c r="D28" s="419"/>
      <c r="E28" s="1674" t="s">
        <v>1747</v>
      </c>
      <c r="F28" s="1674"/>
      <c r="G28" s="1674"/>
      <c r="H28" s="1674"/>
    </row>
    <row r="29" spans="1:8">
      <c r="A29" s="389" t="s">
        <v>1748</v>
      </c>
      <c r="B29" s="419" t="s">
        <v>1749</v>
      </c>
      <c r="C29" s="457">
        <v>95</v>
      </c>
      <c r="D29" s="419"/>
      <c r="E29" s="516" t="s">
        <v>1750</v>
      </c>
      <c r="F29" s="417" t="s">
        <v>1751</v>
      </c>
      <c r="G29" s="418" t="s">
        <v>1752</v>
      </c>
      <c r="H29" s="418" t="s">
        <v>1753</v>
      </c>
    </row>
    <row r="30" spans="1:8">
      <c r="A30" s="389" t="s">
        <v>1754</v>
      </c>
      <c r="B30" s="419" t="s">
        <v>1755</v>
      </c>
      <c r="C30" s="457">
        <v>667.5</v>
      </c>
      <c r="D30" s="419"/>
      <c r="E30" s="520">
        <v>10.78</v>
      </c>
      <c r="F30" s="459">
        <v>84.62</v>
      </c>
      <c r="G30" s="459">
        <v>121.18</v>
      </c>
      <c r="H30" s="458">
        <v>157.72</v>
      </c>
    </row>
    <row r="31" spans="1:8" ht="25.5">
      <c r="A31" s="389" t="s">
        <v>1756</v>
      </c>
      <c r="B31" s="419" t="s">
        <v>1757</v>
      </c>
      <c r="C31" s="457">
        <v>259.10000000000002</v>
      </c>
      <c r="D31" s="419"/>
      <c r="E31" s="1674" t="s">
        <v>1758</v>
      </c>
      <c r="F31" s="1674"/>
      <c r="G31" s="1674"/>
      <c r="H31" s="1674"/>
    </row>
    <row r="32" spans="1:8">
      <c r="A32" s="389" t="s">
        <v>38</v>
      </c>
      <c r="B32" s="419" t="s">
        <v>1759</v>
      </c>
      <c r="C32" s="457">
        <v>70</v>
      </c>
      <c r="D32" s="419"/>
      <c r="E32" s="516" t="s">
        <v>1750</v>
      </c>
      <c r="F32" s="417" t="s">
        <v>1751</v>
      </c>
      <c r="G32" s="418" t="s">
        <v>1752</v>
      </c>
      <c r="H32" s="418" t="s">
        <v>1753</v>
      </c>
    </row>
    <row r="33" spans="1:8">
      <c r="A33" s="389" t="s">
        <v>1760</v>
      </c>
      <c r="B33" s="419" t="s">
        <v>1761</v>
      </c>
      <c r="C33" s="457">
        <v>16</v>
      </c>
      <c r="D33" s="419"/>
      <c r="E33" s="520">
        <v>2.57</v>
      </c>
      <c r="F33" s="459">
        <v>16.940000000000001</v>
      </c>
      <c r="G33" s="459">
        <v>24.04</v>
      </c>
      <c r="H33" s="458">
        <v>31.13</v>
      </c>
    </row>
    <row r="34" spans="1:8" ht="25.5">
      <c r="A34" s="389" t="s">
        <v>1762</v>
      </c>
      <c r="B34" s="419" t="s">
        <v>1763</v>
      </c>
      <c r="C34" s="457">
        <v>117.7</v>
      </c>
      <c r="D34" s="419"/>
      <c r="E34" s="1674" t="s">
        <v>1764</v>
      </c>
      <c r="F34" s="1674"/>
      <c r="G34" s="1674"/>
      <c r="H34" s="1674"/>
    </row>
    <row r="35" spans="1:8">
      <c r="A35" s="389" t="s">
        <v>1765</v>
      </c>
      <c r="B35" s="419" t="s">
        <v>1766</v>
      </c>
      <c r="C35" s="457">
        <v>30</v>
      </c>
      <c r="D35" s="419"/>
      <c r="E35" s="516" t="s">
        <v>1750</v>
      </c>
      <c r="F35" s="417" t="s">
        <v>1751</v>
      </c>
      <c r="G35" s="418" t="s">
        <v>1752</v>
      </c>
      <c r="H35" s="418" t="s">
        <v>1753</v>
      </c>
    </row>
    <row r="36" spans="1:8">
      <c r="A36" s="389" t="s">
        <v>1767</v>
      </c>
      <c r="B36" s="419" t="s">
        <v>1768</v>
      </c>
      <c r="C36" s="457">
        <v>6</v>
      </c>
      <c r="D36" s="419"/>
      <c r="E36" s="520">
        <v>1.08</v>
      </c>
      <c r="F36" s="459">
        <v>8.4700000000000006</v>
      </c>
      <c r="G36" s="459">
        <v>12.12</v>
      </c>
      <c r="H36" s="458">
        <v>15.77</v>
      </c>
    </row>
    <row r="37" spans="1:8">
      <c r="A37" s="389" t="s">
        <v>1769</v>
      </c>
      <c r="B37" s="419" t="s">
        <v>1770</v>
      </c>
      <c r="C37" s="457">
        <v>76</v>
      </c>
      <c r="D37" s="419"/>
      <c r="E37" s="420"/>
      <c r="F37" s="419"/>
      <c r="G37" s="419"/>
      <c r="H37" s="416"/>
    </row>
    <row r="38" spans="1:8">
      <c r="A38" s="389" t="s">
        <v>1771</v>
      </c>
      <c r="B38" s="419" t="s">
        <v>1772</v>
      </c>
      <c r="C38" s="457">
        <v>26</v>
      </c>
      <c r="D38" s="419"/>
      <c r="E38" s="420"/>
      <c r="F38" s="419"/>
      <c r="G38" s="419"/>
      <c r="H38" s="416"/>
    </row>
    <row r="39" spans="1:8">
      <c r="A39" s="389" t="s">
        <v>1773</v>
      </c>
      <c r="B39" s="419" t="s">
        <v>1774</v>
      </c>
      <c r="C39" s="457">
        <v>23</v>
      </c>
      <c r="D39" s="419"/>
      <c r="E39" s="420"/>
      <c r="F39" s="514"/>
      <c r="G39" s="419"/>
      <c r="H39" s="416"/>
    </row>
    <row r="40" spans="1:8">
      <c r="A40" s="389" t="s">
        <v>1567</v>
      </c>
      <c r="B40" s="419" t="s">
        <v>1775</v>
      </c>
      <c r="C40" s="457">
        <v>414</v>
      </c>
      <c r="D40" s="419"/>
      <c r="E40" s="389" t="s">
        <v>1776</v>
      </c>
      <c r="F40" s="419" t="s">
        <v>1777</v>
      </c>
      <c r="G40" s="457">
        <v>600</v>
      </c>
      <c r="H40" s="416"/>
    </row>
    <row r="41" spans="1:8" ht="25.5">
      <c r="A41" s="389" t="s">
        <v>1778</v>
      </c>
      <c r="B41" s="419" t="s">
        <v>1779</v>
      </c>
      <c r="C41" s="457">
        <v>144</v>
      </c>
      <c r="D41" s="419"/>
      <c r="E41" s="420" t="s">
        <v>1780</v>
      </c>
      <c r="F41" s="419" t="s">
        <v>1781</v>
      </c>
      <c r="G41" s="457">
        <v>160</v>
      </c>
      <c r="H41" s="416"/>
    </row>
    <row r="42" spans="1:8" ht="25.5">
      <c r="A42" s="389" t="s">
        <v>1782</v>
      </c>
      <c r="B42" s="419" t="s">
        <v>1783</v>
      </c>
      <c r="C42" s="457">
        <v>220</v>
      </c>
      <c r="D42" s="419"/>
      <c r="E42" s="420" t="s">
        <v>1780</v>
      </c>
      <c r="F42" s="419" t="s">
        <v>1784</v>
      </c>
      <c r="G42" s="457">
        <v>200</v>
      </c>
      <c r="H42" s="416"/>
    </row>
    <row r="43" spans="1:8" ht="38.25">
      <c r="A43" s="389" t="s">
        <v>1785</v>
      </c>
      <c r="B43" s="419" t="s">
        <v>1786</v>
      </c>
      <c r="C43" s="457">
        <v>21</v>
      </c>
      <c r="D43" s="419"/>
      <c r="E43" s="420" t="s">
        <v>1370</v>
      </c>
      <c r="F43" s="419" t="s">
        <v>1787</v>
      </c>
      <c r="G43" s="457">
        <v>190</v>
      </c>
      <c r="H43" s="416"/>
    </row>
    <row r="44" spans="1:8" ht="38.25">
      <c r="A44" s="389" t="s">
        <v>1788</v>
      </c>
      <c r="B44" s="419" t="s">
        <v>3622</v>
      </c>
      <c r="C44" s="416">
        <v>85</v>
      </c>
      <c r="D44" s="419"/>
      <c r="E44" s="420" t="s">
        <v>1370</v>
      </c>
      <c r="F44" s="419" t="s">
        <v>1789</v>
      </c>
      <c r="G44" s="457">
        <v>210</v>
      </c>
      <c r="H44" s="416"/>
    </row>
    <row r="45" spans="1:8">
      <c r="A45" s="389" t="s">
        <v>670</v>
      </c>
      <c r="B45" s="419" t="s">
        <v>1790</v>
      </c>
      <c r="C45" s="457">
        <v>27.95</v>
      </c>
      <c r="D45" s="419"/>
      <c r="E45" s="420" t="s">
        <v>1791</v>
      </c>
      <c r="F45" s="419" t="s">
        <v>1792</v>
      </c>
      <c r="G45" s="457">
        <v>160</v>
      </c>
      <c r="H45" s="416"/>
    </row>
    <row r="46" spans="1:8">
      <c r="A46" s="389" t="s">
        <v>1793</v>
      </c>
      <c r="B46" s="419" t="s">
        <v>1794</v>
      </c>
      <c r="C46" s="457">
        <v>453</v>
      </c>
      <c r="D46" s="419"/>
      <c r="E46" s="420" t="s">
        <v>1795</v>
      </c>
      <c r="F46" s="419" t="s">
        <v>1796</v>
      </c>
      <c r="G46" s="457">
        <v>270</v>
      </c>
      <c r="H46" s="416"/>
    </row>
    <row r="47" spans="1:8" ht="38.25">
      <c r="A47" s="514" t="s">
        <v>1797</v>
      </c>
      <c r="B47" s="419" t="s">
        <v>1371</v>
      </c>
      <c r="C47" s="512">
        <v>4025</v>
      </c>
      <c r="D47" s="419"/>
      <c r="E47" s="420" t="s">
        <v>1798</v>
      </c>
      <c r="F47" s="419" t="s">
        <v>1799</v>
      </c>
      <c r="G47" s="457">
        <v>843</v>
      </c>
      <c r="H47" s="416"/>
    </row>
    <row r="48" spans="1:8" ht="38.25">
      <c r="A48" s="389" t="s">
        <v>1800</v>
      </c>
      <c r="B48" s="419" t="s">
        <v>1425</v>
      </c>
      <c r="C48" s="457">
        <v>303</v>
      </c>
      <c r="D48" s="419"/>
      <c r="E48" s="420" t="s">
        <v>1423</v>
      </c>
      <c r="F48" s="419" t="s">
        <v>1422</v>
      </c>
      <c r="G48" s="457">
        <v>254</v>
      </c>
      <c r="H48" s="416"/>
    </row>
    <row r="49" spans="1:8">
      <c r="A49" s="389" t="s">
        <v>1801</v>
      </c>
      <c r="B49" s="419" t="s">
        <v>1427</v>
      </c>
      <c r="C49" s="457">
        <v>157</v>
      </c>
      <c r="D49" s="419"/>
      <c r="E49" s="420"/>
      <c r="F49" s="514"/>
      <c r="G49" s="509"/>
      <c r="H49" s="416"/>
    </row>
    <row r="50" spans="1:8">
      <c r="A50" s="389"/>
      <c r="B50" s="419"/>
      <c r="C50" s="416"/>
      <c r="D50" s="419"/>
      <c r="E50" s="420"/>
      <c r="F50" s="514"/>
      <c r="G50" s="419"/>
      <c r="H50" s="416"/>
    </row>
    <row r="51" spans="1:8">
      <c r="A51" s="514"/>
      <c r="B51" s="419"/>
      <c r="C51" s="419" t="s">
        <v>1750</v>
      </c>
      <c r="D51" s="419" t="s">
        <v>1802</v>
      </c>
      <c r="E51" s="420"/>
      <c r="F51" s="514"/>
      <c r="G51" s="419"/>
      <c r="H51" s="416"/>
    </row>
    <row r="52" spans="1:8">
      <c r="A52" s="389" t="s">
        <v>152</v>
      </c>
      <c r="B52" s="419"/>
      <c r="C52" s="512">
        <v>301</v>
      </c>
      <c r="D52" s="512">
        <v>672</v>
      </c>
      <c r="E52" s="521"/>
      <c r="F52" s="460"/>
      <c r="G52" s="419"/>
      <c r="H52" s="416"/>
    </row>
    <row r="53" spans="1:8">
      <c r="A53" s="389" t="s">
        <v>1803</v>
      </c>
      <c r="B53" s="419"/>
      <c r="C53" s="512">
        <v>67</v>
      </c>
      <c r="D53" s="512">
        <v>363</v>
      </c>
      <c r="E53" s="521"/>
      <c r="F53" s="460"/>
      <c r="G53" s="419"/>
      <c r="H53" s="416"/>
    </row>
    <row r="54" spans="1:8">
      <c r="A54" s="389" t="s">
        <v>1804</v>
      </c>
      <c r="B54" s="419"/>
      <c r="C54" s="512">
        <v>343</v>
      </c>
      <c r="D54" s="512">
        <v>1069</v>
      </c>
      <c r="E54" s="521"/>
      <c r="F54" s="460"/>
      <c r="G54" s="419"/>
      <c r="H54" s="416"/>
    </row>
    <row r="55" spans="1:8">
      <c r="A55" s="389" t="s">
        <v>1434</v>
      </c>
      <c r="B55" s="419"/>
      <c r="C55" s="512">
        <v>1453</v>
      </c>
      <c r="D55" s="512">
        <v>1620</v>
      </c>
      <c r="E55" s="521"/>
      <c r="F55" s="460"/>
      <c r="G55" s="419"/>
      <c r="H55" s="416"/>
    </row>
    <row r="56" spans="1:8">
      <c r="A56" s="514"/>
      <c r="B56" s="419"/>
      <c r="C56" s="512"/>
      <c r="D56" s="512" t="s">
        <v>161</v>
      </c>
      <c r="E56" s="512" t="s">
        <v>162</v>
      </c>
      <c r="F56" s="512" t="s">
        <v>163</v>
      </c>
      <c r="G56" s="419"/>
      <c r="H56" s="416"/>
    </row>
    <row r="57" spans="1:8">
      <c r="A57" s="389" t="s">
        <v>1433</v>
      </c>
      <c r="B57" s="419"/>
      <c r="C57" s="512">
        <v>371</v>
      </c>
      <c r="D57" s="512">
        <v>2415</v>
      </c>
      <c r="E57" s="512">
        <v>2657</v>
      </c>
      <c r="F57" s="512">
        <v>2898</v>
      </c>
      <c r="G57" s="419"/>
      <c r="H57" s="416"/>
    </row>
    <row r="58" spans="1:8">
      <c r="A58" s="389" t="s">
        <v>866</v>
      </c>
      <c r="B58" s="419"/>
      <c r="C58" s="512">
        <v>1233</v>
      </c>
      <c r="D58" s="512">
        <v>1720</v>
      </c>
      <c r="E58" s="512">
        <v>1892</v>
      </c>
      <c r="F58" s="512">
        <v>2064</v>
      </c>
      <c r="G58" s="419"/>
      <c r="H58" s="416"/>
    </row>
    <row r="59" spans="1:8">
      <c r="A59" s="389" t="s">
        <v>1539</v>
      </c>
      <c r="B59" s="419"/>
      <c r="C59" s="512">
        <v>243</v>
      </c>
      <c r="D59" s="512">
        <v>264</v>
      </c>
      <c r="E59" s="512">
        <v>290</v>
      </c>
      <c r="F59" s="512">
        <v>317</v>
      </c>
      <c r="G59" s="419"/>
      <c r="H59" s="416"/>
    </row>
    <row r="60" spans="1:8">
      <c r="A60" s="389" t="s">
        <v>1805</v>
      </c>
      <c r="B60" s="419"/>
      <c r="C60" s="512">
        <v>2179</v>
      </c>
      <c r="D60" s="512">
        <v>2027</v>
      </c>
      <c r="E60" s="512">
        <v>2230</v>
      </c>
      <c r="F60" s="512">
        <v>2432</v>
      </c>
      <c r="G60" s="419"/>
      <c r="H60" s="416"/>
    </row>
    <row r="61" spans="1:8">
      <c r="A61" s="389" t="s">
        <v>1806</v>
      </c>
      <c r="B61" s="419"/>
      <c r="C61" s="512">
        <v>247</v>
      </c>
      <c r="D61" s="512">
        <v>241</v>
      </c>
      <c r="E61" s="512">
        <v>265</v>
      </c>
      <c r="F61" s="512">
        <v>289</v>
      </c>
      <c r="G61" s="419"/>
      <c r="H61" s="416"/>
    </row>
    <row r="62" spans="1:8">
      <c r="A62" s="389" t="s">
        <v>1807</v>
      </c>
      <c r="B62" s="419"/>
      <c r="C62" s="512">
        <v>254</v>
      </c>
      <c r="D62" s="512">
        <v>248</v>
      </c>
      <c r="E62" s="512">
        <v>273</v>
      </c>
      <c r="F62" s="512">
        <v>298</v>
      </c>
      <c r="G62" s="419"/>
      <c r="H62" s="416"/>
    </row>
    <row r="63" spans="1:8">
      <c r="A63" s="514"/>
      <c r="B63" s="419"/>
      <c r="C63" s="419"/>
      <c r="D63" s="419"/>
      <c r="E63" s="420"/>
      <c r="F63" s="419"/>
      <c r="G63" s="419"/>
      <c r="H63" s="416"/>
    </row>
    <row r="64" spans="1:8">
      <c r="A64" s="514"/>
      <c r="B64" s="419"/>
      <c r="C64" s="419"/>
      <c r="D64" s="419"/>
      <c r="E64" s="420"/>
      <c r="F64" s="419"/>
      <c r="G64" s="419"/>
      <c r="H64" s="416"/>
    </row>
    <row r="65" spans="1:8">
      <c r="A65" s="514"/>
      <c r="B65" s="419"/>
      <c r="C65" s="419"/>
      <c r="D65" s="419"/>
      <c r="E65" s="420"/>
      <c r="F65" s="514"/>
      <c r="G65" s="419"/>
      <c r="H65" s="416"/>
    </row>
    <row r="66" spans="1:8" ht="24">
      <c r="A66" s="421" t="s">
        <v>1808</v>
      </c>
      <c r="B66" s="419" t="s">
        <v>1809</v>
      </c>
      <c r="C66" s="457">
        <v>1979</v>
      </c>
      <c r="D66" s="419"/>
      <c r="E66" s="420"/>
      <c r="F66" s="514" t="s">
        <v>1810</v>
      </c>
      <c r="G66" s="419" t="s">
        <v>1811</v>
      </c>
      <c r="H66" s="457">
        <v>8.5</v>
      </c>
    </row>
    <row r="67" spans="1:8" ht="24">
      <c r="A67" s="421" t="s">
        <v>1812</v>
      </c>
      <c r="B67" s="419" t="s">
        <v>1813</v>
      </c>
      <c r="C67" s="457">
        <v>2468</v>
      </c>
      <c r="D67" s="419"/>
      <c r="E67" s="420"/>
      <c r="F67" s="514" t="s">
        <v>1814</v>
      </c>
      <c r="G67" s="419" t="s">
        <v>1815</v>
      </c>
      <c r="H67" s="457">
        <v>1</v>
      </c>
    </row>
    <row r="68" spans="1:8">
      <c r="A68" s="421" t="s">
        <v>1816</v>
      </c>
      <c r="B68" s="419" t="s">
        <v>1817</v>
      </c>
      <c r="C68" s="457">
        <v>850</v>
      </c>
      <c r="D68" s="419"/>
      <c r="E68" s="420"/>
      <c r="F68" s="421" t="s">
        <v>1818</v>
      </c>
      <c r="G68" s="419" t="s">
        <v>1819</v>
      </c>
      <c r="H68" s="457">
        <v>59</v>
      </c>
    </row>
    <row r="69" spans="1:8">
      <c r="A69" s="514" t="s">
        <v>1820</v>
      </c>
      <c r="B69" s="419" t="s">
        <v>1821</v>
      </c>
      <c r="C69" s="457">
        <v>1036</v>
      </c>
      <c r="D69" s="419"/>
      <c r="E69" s="420"/>
      <c r="F69" s="421" t="s">
        <v>1822</v>
      </c>
      <c r="G69" s="419" t="s">
        <v>1823</v>
      </c>
      <c r="H69" s="457">
        <v>94</v>
      </c>
    </row>
    <row r="70" spans="1:8">
      <c r="A70" s="514" t="s">
        <v>1824</v>
      </c>
      <c r="B70" s="419" t="s">
        <v>1825</v>
      </c>
      <c r="C70" s="457">
        <v>2644</v>
      </c>
      <c r="D70" s="419"/>
      <c r="E70" s="420"/>
      <c r="F70" s="421" t="s">
        <v>1826</v>
      </c>
      <c r="G70" s="419" t="s">
        <v>1827</v>
      </c>
      <c r="H70" s="457">
        <v>136</v>
      </c>
    </row>
    <row r="71" spans="1:8">
      <c r="A71" s="514" t="s">
        <v>1828</v>
      </c>
      <c r="B71" s="419" t="s">
        <v>1829</v>
      </c>
      <c r="C71" s="457">
        <v>1519</v>
      </c>
      <c r="D71" s="419"/>
      <c r="E71" s="420"/>
      <c r="F71" s="421" t="s">
        <v>1830</v>
      </c>
      <c r="G71" s="419" t="s">
        <v>1831</v>
      </c>
      <c r="H71" s="457">
        <v>214</v>
      </c>
    </row>
    <row r="72" spans="1:8">
      <c r="A72" s="514" t="s">
        <v>1832</v>
      </c>
      <c r="B72" s="419" t="s">
        <v>1833</v>
      </c>
      <c r="C72" s="457">
        <v>387</v>
      </c>
      <c r="D72" s="419"/>
      <c r="E72" s="420"/>
      <c r="F72" s="421" t="s">
        <v>1834</v>
      </c>
      <c r="G72" s="419" t="s">
        <v>1835</v>
      </c>
      <c r="H72" s="457">
        <v>35</v>
      </c>
    </row>
    <row r="73" spans="1:8">
      <c r="A73" s="514" t="s">
        <v>1836</v>
      </c>
      <c r="B73" s="419" t="s">
        <v>1837</v>
      </c>
      <c r="C73" s="457">
        <v>95</v>
      </c>
      <c r="D73" s="419"/>
      <c r="E73" s="420"/>
      <c r="F73" s="514" t="s">
        <v>1838</v>
      </c>
      <c r="G73" s="419" t="s">
        <v>1839</v>
      </c>
      <c r="H73" s="457">
        <v>33</v>
      </c>
    </row>
    <row r="74" spans="1:8">
      <c r="A74" s="514" t="s">
        <v>1840</v>
      </c>
      <c r="B74" s="419" t="s">
        <v>1841</v>
      </c>
      <c r="C74" s="457">
        <v>24</v>
      </c>
      <c r="D74" s="419"/>
      <c r="E74" s="420"/>
      <c r="F74" s="514" t="s">
        <v>1842</v>
      </c>
      <c r="G74" s="419" t="s">
        <v>1843</v>
      </c>
      <c r="H74" s="457">
        <v>1165</v>
      </c>
    </row>
    <row r="75" spans="1:8">
      <c r="A75" s="514" t="s">
        <v>1444</v>
      </c>
      <c r="B75" s="419" t="s">
        <v>1844</v>
      </c>
      <c r="C75" s="457">
        <v>93</v>
      </c>
      <c r="D75" s="419"/>
      <c r="E75" s="420"/>
      <c r="F75" s="514" t="s">
        <v>1845</v>
      </c>
      <c r="G75" s="419" t="s">
        <v>1846</v>
      </c>
      <c r="H75" s="457">
        <v>77</v>
      </c>
    </row>
    <row r="76" spans="1:8" ht="25.5">
      <c r="A76" s="514" t="s">
        <v>1847</v>
      </c>
      <c r="B76" s="419" t="s">
        <v>1848</v>
      </c>
      <c r="C76" s="457">
        <v>32</v>
      </c>
      <c r="D76" s="419"/>
      <c r="E76" s="420"/>
      <c r="F76" s="514" t="s">
        <v>1849</v>
      </c>
      <c r="G76" s="419" t="s">
        <v>1850</v>
      </c>
      <c r="H76" s="457">
        <v>17</v>
      </c>
    </row>
    <row r="77" spans="1:8" ht="25.5">
      <c r="A77" s="514" t="s">
        <v>1851</v>
      </c>
      <c r="B77" s="419" t="s">
        <v>1852</v>
      </c>
      <c r="C77" s="457">
        <v>128</v>
      </c>
      <c r="D77" s="419"/>
      <c r="E77" s="420"/>
      <c r="F77" s="514"/>
      <c r="G77" s="419"/>
      <c r="H77" s="416"/>
    </row>
    <row r="78" spans="1:8">
      <c r="A78" s="514" t="s">
        <v>1441</v>
      </c>
      <c r="B78" s="419" t="s">
        <v>1853</v>
      </c>
      <c r="C78" s="457">
        <v>447</v>
      </c>
      <c r="D78" s="419"/>
      <c r="E78" s="420"/>
      <c r="F78" s="514"/>
      <c r="G78" s="419"/>
      <c r="H78" s="416"/>
    </row>
    <row r="79" spans="1:8" ht="25.5">
      <c r="A79" s="514" t="s">
        <v>1442</v>
      </c>
      <c r="B79" s="419" t="s">
        <v>1854</v>
      </c>
      <c r="C79" s="457">
        <v>425</v>
      </c>
      <c r="D79" s="419"/>
      <c r="E79" s="420"/>
      <c r="F79" s="514" t="s">
        <v>2256</v>
      </c>
      <c r="G79" s="419" t="s">
        <v>2257</v>
      </c>
      <c r="H79" s="507">
        <v>390</v>
      </c>
    </row>
    <row r="80" spans="1:8">
      <c r="A80" s="514" t="s">
        <v>1443</v>
      </c>
      <c r="B80" s="419" t="s">
        <v>1855</v>
      </c>
      <c r="C80" s="457">
        <v>267</v>
      </c>
      <c r="D80" s="419"/>
      <c r="E80" s="420"/>
      <c r="F80" s="514" t="s">
        <v>2258</v>
      </c>
      <c r="G80" s="419" t="s">
        <v>2259</v>
      </c>
      <c r="H80" s="507">
        <v>220</v>
      </c>
    </row>
    <row r="81" spans="1:8">
      <c r="A81" s="514" t="s">
        <v>1856</v>
      </c>
      <c r="B81" s="419" t="s">
        <v>1857</v>
      </c>
      <c r="C81" s="457">
        <v>79</v>
      </c>
      <c r="D81" s="419"/>
      <c r="E81" s="420"/>
      <c r="F81" s="514"/>
      <c r="G81" s="419"/>
      <c r="H81" s="416"/>
    </row>
    <row r="82" spans="1:8">
      <c r="A82" s="514" t="s">
        <v>1858</v>
      </c>
      <c r="B82" s="419" t="s">
        <v>1859</v>
      </c>
      <c r="C82" s="457">
        <v>1644</v>
      </c>
      <c r="D82" s="419"/>
      <c r="E82" s="420"/>
      <c r="F82" s="514"/>
      <c r="G82" s="419"/>
      <c r="H82" s="416"/>
    </row>
    <row r="83" spans="1:8">
      <c r="A83" s="514" t="s">
        <v>1860</v>
      </c>
      <c r="B83" s="419" t="s">
        <v>1861</v>
      </c>
      <c r="C83" s="457">
        <v>4166</v>
      </c>
      <c r="D83" s="419"/>
      <c r="E83" s="420"/>
      <c r="F83" s="514"/>
      <c r="G83" s="419"/>
      <c r="H83" s="416"/>
    </row>
    <row r="84" spans="1:8">
      <c r="A84" s="514"/>
      <c r="B84" s="419"/>
      <c r="C84" s="419"/>
      <c r="D84" s="419"/>
      <c r="E84" s="420"/>
      <c r="F84" s="514"/>
      <c r="G84" s="419"/>
      <c r="H84" s="416"/>
    </row>
    <row r="85" spans="1:8">
      <c r="A85" s="514"/>
      <c r="B85" s="419"/>
      <c r="C85" s="419"/>
      <c r="D85" s="419"/>
      <c r="E85" s="420"/>
      <c r="F85" s="514"/>
      <c r="G85" s="419"/>
      <c r="H85" s="416"/>
    </row>
    <row r="86" spans="1:8">
      <c r="A86" s="514" t="s">
        <v>1862</v>
      </c>
      <c r="B86" s="419" t="s">
        <v>1863</v>
      </c>
      <c r="C86" s="457">
        <v>446.4</v>
      </c>
      <c r="D86" s="419"/>
      <c r="E86" s="420"/>
      <c r="F86" s="514"/>
      <c r="G86" s="419"/>
      <c r="H86" s="416"/>
    </row>
    <row r="87" spans="1:8">
      <c r="A87" s="514" t="s">
        <v>1864</v>
      </c>
      <c r="B87" s="419"/>
      <c r="C87" s="457">
        <v>477.6</v>
      </c>
      <c r="D87" s="419"/>
      <c r="E87" s="420"/>
      <c r="F87" s="514"/>
      <c r="G87" s="419"/>
      <c r="H87" s="416"/>
    </row>
    <row r="88" spans="1:8">
      <c r="A88" s="514" t="s">
        <v>1865</v>
      </c>
      <c r="B88" s="419"/>
      <c r="C88" s="457">
        <v>535.70000000000005</v>
      </c>
      <c r="D88" s="419"/>
      <c r="E88" s="420"/>
      <c r="F88" s="514"/>
      <c r="G88" s="419"/>
      <c r="H88" s="416"/>
    </row>
    <row r="89" spans="1:8">
      <c r="A89" s="514" t="s">
        <v>1866</v>
      </c>
      <c r="B89" s="419" t="s">
        <v>1867</v>
      </c>
      <c r="C89" s="457">
        <v>26730</v>
      </c>
      <c r="D89" s="419"/>
      <c r="E89" s="420"/>
      <c r="F89" s="514"/>
      <c r="G89" s="419"/>
      <c r="H89" s="416"/>
    </row>
    <row r="90" spans="1:8">
      <c r="A90" s="514" t="s">
        <v>1866</v>
      </c>
      <c r="B90" s="419" t="s">
        <v>1868</v>
      </c>
      <c r="C90" s="457">
        <v>18370</v>
      </c>
      <c r="D90" s="419"/>
      <c r="E90" s="420"/>
      <c r="F90" s="514"/>
      <c r="G90" s="419"/>
      <c r="H90" s="416"/>
    </row>
    <row r="91" spans="1:8">
      <c r="A91" s="514" t="s">
        <v>1869</v>
      </c>
      <c r="B91" s="419" t="s">
        <v>1870</v>
      </c>
      <c r="C91" s="457">
        <v>325</v>
      </c>
      <c r="D91" s="419"/>
      <c r="E91" s="420"/>
      <c r="F91" s="514"/>
      <c r="G91" s="419"/>
      <c r="H91" s="416"/>
    </row>
    <row r="92" spans="1:8">
      <c r="A92" s="514" t="s">
        <v>1871</v>
      </c>
      <c r="B92" s="419" t="s">
        <v>1872</v>
      </c>
      <c r="C92" s="457">
        <v>85</v>
      </c>
      <c r="D92" s="419"/>
      <c r="E92" s="420"/>
      <c r="F92" s="514"/>
      <c r="G92" s="419"/>
      <c r="H92" s="416"/>
    </row>
    <row r="93" spans="1:8">
      <c r="A93" s="514" t="s">
        <v>1873</v>
      </c>
      <c r="B93" s="419" t="s">
        <v>1874</v>
      </c>
      <c r="C93" s="457">
        <v>194</v>
      </c>
      <c r="D93" s="419"/>
      <c r="E93" s="420"/>
      <c r="F93" s="514"/>
      <c r="G93" s="419"/>
      <c r="H93" s="416"/>
    </row>
    <row r="94" spans="1:8">
      <c r="A94" s="514" t="s">
        <v>1445</v>
      </c>
      <c r="B94" s="419" t="s">
        <v>1870</v>
      </c>
      <c r="C94" s="457">
        <v>300</v>
      </c>
      <c r="D94" s="419"/>
      <c r="E94" s="420"/>
      <c r="F94" s="514"/>
      <c r="G94" s="419"/>
      <c r="H94" s="416"/>
    </row>
    <row r="95" spans="1:8">
      <c r="A95" s="514" t="s">
        <v>1875</v>
      </c>
      <c r="B95" s="419" t="s">
        <v>1870</v>
      </c>
      <c r="C95" s="457">
        <v>400</v>
      </c>
      <c r="D95" s="419"/>
      <c r="E95" s="420"/>
      <c r="F95" s="514"/>
      <c r="G95" s="419"/>
      <c r="H95" s="416"/>
    </row>
    <row r="96" spans="1:8">
      <c r="A96" s="514" t="s">
        <v>1876</v>
      </c>
      <c r="B96" s="419" t="s">
        <v>1877</v>
      </c>
      <c r="C96" s="457">
        <v>77</v>
      </c>
      <c r="D96" s="419"/>
      <c r="E96" s="420"/>
      <c r="F96" s="514"/>
      <c r="G96" s="419"/>
      <c r="H96" s="416"/>
    </row>
    <row r="97" spans="1:8">
      <c r="A97" s="514" t="s">
        <v>1878</v>
      </c>
      <c r="B97" s="419" t="s">
        <v>1879</v>
      </c>
      <c r="C97" s="457">
        <v>105</v>
      </c>
      <c r="D97" s="419"/>
      <c r="E97" s="420"/>
      <c r="F97" s="514"/>
      <c r="G97" s="419"/>
      <c r="H97" s="416"/>
    </row>
    <row r="98" spans="1:8">
      <c r="A98" s="514" t="s">
        <v>1880</v>
      </c>
      <c r="B98" s="419" t="s">
        <v>1881</v>
      </c>
      <c r="C98" s="457">
        <v>5445</v>
      </c>
      <c r="D98" s="419"/>
      <c r="E98" s="420"/>
      <c r="F98" s="514"/>
      <c r="G98" s="419"/>
      <c r="H98" s="416"/>
    </row>
    <row r="99" spans="1:8" ht="22.5">
      <c r="A99" s="422" t="s">
        <v>1497</v>
      </c>
      <c r="B99" s="423" t="s">
        <v>3163</v>
      </c>
      <c r="C99" s="416">
        <v>78</v>
      </c>
      <c r="D99" s="419"/>
      <c r="E99" s="420"/>
      <c r="F99" s="514"/>
      <c r="G99" s="419"/>
      <c r="H99" s="416"/>
    </row>
    <row r="100" spans="1:8" ht="22.5">
      <c r="A100" s="422" t="s">
        <v>3164</v>
      </c>
      <c r="B100" s="423" t="s">
        <v>1501</v>
      </c>
      <c r="C100" s="457">
        <v>26</v>
      </c>
      <c r="D100" s="419"/>
      <c r="E100" s="420"/>
      <c r="F100" s="514"/>
      <c r="G100" s="419"/>
      <c r="H100" s="416"/>
    </row>
    <row r="101" spans="1:8">
      <c r="A101" s="422" t="s">
        <v>1498</v>
      </c>
      <c r="B101" s="423" t="s">
        <v>1502</v>
      </c>
      <c r="C101" s="457">
        <v>11</v>
      </c>
      <c r="D101" s="419"/>
      <c r="E101" s="420"/>
      <c r="F101" s="514"/>
      <c r="G101" s="419"/>
      <c r="H101" s="416"/>
    </row>
    <row r="102" spans="1:8" ht="22.5">
      <c r="A102" s="422" t="s">
        <v>1507</v>
      </c>
      <c r="B102" s="423" t="s">
        <v>1503</v>
      </c>
      <c r="C102" s="457">
        <v>34</v>
      </c>
      <c r="D102" s="419"/>
      <c r="E102" s="420"/>
      <c r="F102" s="514"/>
      <c r="G102" s="419"/>
      <c r="H102" s="416"/>
    </row>
    <row r="103" spans="1:8">
      <c r="A103" s="424" t="s">
        <v>1505</v>
      </c>
      <c r="B103" s="423" t="s">
        <v>1509</v>
      </c>
      <c r="C103" s="457">
        <v>36</v>
      </c>
      <c r="D103" s="419"/>
      <c r="E103" s="420"/>
      <c r="F103" s="514"/>
      <c r="G103" s="419"/>
      <c r="H103" s="416"/>
    </row>
    <row r="104" spans="1:8">
      <c r="A104" s="514" t="s">
        <v>1882</v>
      </c>
      <c r="B104" s="419" t="s">
        <v>1883</v>
      </c>
      <c r="C104" s="457">
        <v>64</v>
      </c>
      <c r="D104" s="419"/>
      <c r="E104" s="420"/>
      <c r="F104" s="514"/>
      <c r="G104" s="419"/>
      <c r="H104" s="416"/>
    </row>
    <row r="105" spans="1:8">
      <c r="A105" s="514"/>
      <c r="B105" s="419"/>
      <c r="C105" s="419" t="s">
        <v>1884</v>
      </c>
      <c r="D105" s="514"/>
      <c r="E105" s="419" t="s">
        <v>1885</v>
      </c>
      <c r="F105" s="514"/>
      <c r="G105" s="419"/>
      <c r="H105" s="416"/>
    </row>
    <row r="106" spans="1:8">
      <c r="A106" s="514" t="s">
        <v>1446</v>
      </c>
      <c r="B106" s="419" t="s">
        <v>1886</v>
      </c>
      <c r="C106" s="457">
        <v>245</v>
      </c>
      <c r="D106" s="512" t="s">
        <v>1887</v>
      </c>
      <c r="E106" s="457">
        <v>209</v>
      </c>
      <c r="F106" s="514"/>
      <c r="G106" s="419"/>
      <c r="H106" s="416"/>
    </row>
    <row r="107" spans="1:8">
      <c r="A107" s="514" t="s">
        <v>1447</v>
      </c>
      <c r="B107" s="419" t="s">
        <v>1888</v>
      </c>
      <c r="C107" s="457">
        <v>203</v>
      </c>
      <c r="D107" s="512" t="s">
        <v>1889</v>
      </c>
      <c r="E107" s="457">
        <v>171</v>
      </c>
      <c r="F107" s="514"/>
      <c r="G107" s="419"/>
      <c r="H107" s="416"/>
    </row>
    <row r="108" spans="1:8">
      <c r="A108" s="514" t="s">
        <v>1448</v>
      </c>
      <c r="B108" s="419" t="s">
        <v>1890</v>
      </c>
      <c r="C108" s="457">
        <v>155</v>
      </c>
      <c r="D108" s="512" t="s">
        <v>1891</v>
      </c>
      <c r="E108" s="457">
        <v>132</v>
      </c>
      <c r="F108" s="514"/>
      <c r="G108" s="419"/>
      <c r="H108" s="416"/>
    </row>
    <row r="109" spans="1:8">
      <c r="A109" s="514" t="s">
        <v>1450</v>
      </c>
      <c r="B109" s="419" t="s">
        <v>1892</v>
      </c>
      <c r="C109" s="457">
        <v>114</v>
      </c>
      <c r="D109" s="512" t="s">
        <v>1893</v>
      </c>
      <c r="E109" s="457">
        <v>88</v>
      </c>
      <c r="F109" s="514"/>
      <c r="G109" s="419"/>
      <c r="H109" s="416"/>
    </row>
    <row r="110" spans="1:8">
      <c r="A110" s="514" t="s">
        <v>1894</v>
      </c>
      <c r="B110" s="419"/>
      <c r="C110" s="457">
        <f>C106+C108</f>
        <v>400</v>
      </c>
      <c r="D110" s="512"/>
      <c r="E110" s="457">
        <f>E106+E108</f>
        <v>341</v>
      </c>
      <c r="F110" s="514"/>
      <c r="G110" s="419"/>
      <c r="H110" s="416"/>
    </row>
    <row r="111" spans="1:8">
      <c r="A111" s="514" t="s">
        <v>1895</v>
      </c>
      <c r="B111" s="419"/>
      <c r="C111" s="457">
        <f>C106+C109</f>
        <v>359</v>
      </c>
      <c r="D111" s="512"/>
      <c r="E111" s="457">
        <f>E106+E109</f>
        <v>297</v>
      </c>
      <c r="F111" s="514"/>
      <c r="G111" s="419"/>
      <c r="H111" s="416"/>
    </row>
    <row r="112" spans="1:8">
      <c r="A112" s="514" t="s">
        <v>1896</v>
      </c>
      <c r="B112" s="419" t="s">
        <v>1897</v>
      </c>
      <c r="C112" s="457">
        <v>68</v>
      </c>
      <c r="D112" s="512" t="s">
        <v>1898</v>
      </c>
      <c r="E112" s="457">
        <v>66</v>
      </c>
      <c r="F112" s="514"/>
      <c r="G112" s="419"/>
      <c r="H112" s="416"/>
    </row>
    <row r="113" spans="1:8">
      <c r="A113" s="514"/>
      <c r="B113" s="419"/>
      <c r="C113" s="419"/>
      <c r="D113" s="419"/>
      <c r="E113" s="420"/>
      <c r="F113" s="514"/>
      <c r="G113" s="419"/>
      <c r="H113" s="416"/>
    </row>
    <row r="114" spans="1:8" ht="25.5">
      <c r="A114" s="514" t="s">
        <v>1899</v>
      </c>
      <c r="B114" s="419" t="s">
        <v>1900</v>
      </c>
      <c r="C114" s="457">
        <v>21</v>
      </c>
      <c r="D114" s="419"/>
      <c r="E114" s="420" t="s">
        <v>1901</v>
      </c>
      <c r="F114" s="514" t="s">
        <v>1902</v>
      </c>
      <c r="G114" s="457">
        <v>21</v>
      </c>
      <c r="H114" s="416"/>
    </row>
    <row r="115" spans="1:8" ht="25.5">
      <c r="A115" s="514" t="s">
        <v>1453</v>
      </c>
      <c r="B115" s="419" t="s">
        <v>1903</v>
      </c>
      <c r="C115" s="457">
        <v>1634</v>
      </c>
      <c r="D115" s="419"/>
      <c r="E115" s="420" t="s">
        <v>1904</v>
      </c>
      <c r="F115" s="514" t="s">
        <v>1905</v>
      </c>
      <c r="G115" s="457">
        <v>46</v>
      </c>
      <c r="H115" s="416"/>
    </row>
    <row r="116" spans="1:8" ht="25.5">
      <c r="A116" s="514" t="s">
        <v>1906</v>
      </c>
      <c r="B116" s="419" t="s">
        <v>1907</v>
      </c>
      <c r="C116" s="457">
        <v>18</v>
      </c>
      <c r="D116" s="419"/>
      <c r="E116" s="420" t="s">
        <v>1908</v>
      </c>
      <c r="F116" s="514" t="s">
        <v>1909</v>
      </c>
      <c r="G116" s="457">
        <v>1244</v>
      </c>
      <c r="H116" s="416"/>
    </row>
    <row r="117" spans="1:8" ht="25.5">
      <c r="A117" s="514" t="s">
        <v>1910</v>
      </c>
      <c r="B117" s="419" t="s">
        <v>1911</v>
      </c>
      <c r="C117" s="457">
        <v>21</v>
      </c>
      <c r="D117" s="419"/>
      <c r="E117" s="420" t="s">
        <v>1912</v>
      </c>
      <c r="F117" s="514" t="s">
        <v>1913</v>
      </c>
      <c r="G117" s="457">
        <v>208</v>
      </c>
      <c r="H117" s="416"/>
    </row>
    <row r="118" spans="1:8">
      <c r="A118" s="514" t="s">
        <v>1914</v>
      </c>
      <c r="B118" s="419" t="s">
        <v>1915</v>
      </c>
      <c r="C118" s="457">
        <v>27</v>
      </c>
      <c r="D118" s="419"/>
      <c r="E118" s="420" t="s">
        <v>1916</v>
      </c>
      <c r="F118" s="514" t="s">
        <v>1917</v>
      </c>
      <c r="G118" s="457">
        <v>2912</v>
      </c>
      <c r="H118" s="416"/>
    </row>
    <row r="119" spans="1:8" ht="38.25">
      <c r="A119" s="514" t="s">
        <v>1918</v>
      </c>
      <c r="B119" s="419" t="s">
        <v>1919</v>
      </c>
      <c r="C119" s="457">
        <v>1375</v>
      </c>
      <c r="D119" s="419"/>
      <c r="E119" s="420" t="s">
        <v>1920</v>
      </c>
      <c r="F119" s="514" t="s">
        <v>1921</v>
      </c>
      <c r="G119" s="457">
        <v>111</v>
      </c>
      <c r="H119" s="416"/>
    </row>
    <row r="120" spans="1:8">
      <c r="A120" s="514" t="s">
        <v>1922</v>
      </c>
      <c r="B120" s="419" t="s">
        <v>1923</v>
      </c>
      <c r="C120" s="457">
        <v>22</v>
      </c>
      <c r="D120" s="419"/>
      <c r="E120" s="420" t="s">
        <v>1573</v>
      </c>
      <c r="F120" s="514" t="s">
        <v>1924</v>
      </c>
      <c r="G120" s="457">
        <v>39</v>
      </c>
      <c r="H120" s="416"/>
    </row>
    <row r="121" spans="1:8" ht="51">
      <c r="A121" s="514" t="s">
        <v>1925</v>
      </c>
      <c r="B121" s="419" t="s">
        <v>1926</v>
      </c>
      <c r="C121" s="457">
        <v>48</v>
      </c>
      <c r="D121" s="419"/>
      <c r="E121" s="420" t="s">
        <v>1927</v>
      </c>
      <c r="F121" s="514" t="s">
        <v>1928</v>
      </c>
      <c r="G121" s="457">
        <v>267</v>
      </c>
      <c r="H121" s="416"/>
    </row>
    <row r="122" spans="1:8" ht="22.5">
      <c r="A122" s="514" t="s">
        <v>1929</v>
      </c>
      <c r="B122" s="419" t="s">
        <v>1930</v>
      </c>
      <c r="C122" s="457">
        <v>127</v>
      </c>
      <c r="D122" s="419"/>
      <c r="E122" s="422" t="s">
        <v>1931</v>
      </c>
      <c r="F122" s="514" t="s">
        <v>1932</v>
      </c>
      <c r="G122" s="457">
        <v>1107</v>
      </c>
      <c r="H122" s="416"/>
    </row>
    <row r="123" spans="1:8" ht="38.25">
      <c r="A123" s="514" t="s">
        <v>1933</v>
      </c>
      <c r="B123" s="419" t="s">
        <v>1934</v>
      </c>
      <c r="C123" s="457">
        <v>127</v>
      </c>
      <c r="D123" s="419"/>
      <c r="E123" s="425" t="s">
        <v>1935</v>
      </c>
      <c r="F123" s="514" t="s">
        <v>1936</v>
      </c>
      <c r="G123" s="457">
        <v>455</v>
      </c>
      <c r="H123" s="416"/>
    </row>
    <row r="124" spans="1:8" ht="25.5">
      <c r="A124" s="514" t="s">
        <v>1937</v>
      </c>
      <c r="B124" s="419" t="s">
        <v>1938</v>
      </c>
      <c r="C124" s="457">
        <v>94</v>
      </c>
      <c r="D124" s="419"/>
      <c r="E124" s="425" t="s">
        <v>1939</v>
      </c>
      <c r="F124" s="514" t="s">
        <v>1940</v>
      </c>
      <c r="G124" s="457">
        <v>240</v>
      </c>
      <c r="H124" s="416"/>
    </row>
    <row r="125" spans="1:8" ht="45">
      <c r="A125" s="514" t="s">
        <v>1941</v>
      </c>
      <c r="B125" s="419" t="s">
        <v>1942</v>
      </c>
      <c r="C125" s="457">
        <v>143</v>
      </c>
      <c r="D125" s="419"/>
      <c r="E125" s="422" t="s">
        <v>1943</v>
      </c>
      <c r="F125" s="514" t="s">
        <v>1944</v>
      </c>
      <c r="G125" s="457">
        <v>119</v>
      </c>
      <c r="H125" s="416"/>
    </row>
    <row r="126" spans="1:8" ht="56.25">
      <c r="A126" s="514" t="s">
        <v>1658</v>
      </c>
      <c r="B126" s="419" t="s">
        <v>1945</v>
      </c>
      <c r="C126" s="457">
        <v>95</v>
      </c>
      <c r="D126" s="419"/>
      <c r="E126" s="425" t="s">
        <v>1946</v>
      </c>
      <c r="F126" s="514" t="s">
        <v>1947</v>
      </c>
      <c r="G126" s="457">
        <v>6674</v>
      </c>
      <c r="H126" s="416"/>
    </row>
    <row r="127" spans="1:8" ht="25.5">
      <c r="A127" s="514" t="s">
        <v>1948</v>
      </c>
      <c r="B127" s="419" t="s">
        <v>1949</v>
      </c>
      <c r="C127" s="457">
        <v>77</v>
      </c>
      <c r="D127" s="419"/>
      <c r="E127" s="425" t="s">
        <v>1950</v>
      </c>
      <c r="F127" s="514" t="s">
        <v>1951</v>
      </c>
      <c r="G127" s="457">
        <v>230</v>
      </c>
      <c r="H127" s="416"/>
    </row>
    <row r="128" spans="1:8" ht="33.75">
      <c r="A128" s="514" t="s">
        <v>1952</v>
      </c>
      <c r="B128" s="419" t="s">
        <v>2085</v>
      </c>
      <c r="C128" s="457">
        <v>1977</v>
      </c>
      <c r="D128" s="419"/>
      <c r="E128" s="426" t="s">
        <v>1953</v>
      </c>
      <c r="F128" s="514" t="s">
        <v>1954</v>
      </c>
      <c r="G128" s="457">
        <v>425</v>
      </c>
      <c r="H128" s="416"/>
    </row>
    <row r="129" spans="1:8" ht="25.5">
      <c r="A129" s="514" t="s">
        <v>1955</v>
      </c>
      <c r="B129" s="419" t="s">
        <v>1956</v>
      </c>
      <c r="C129" s="457">
        <v>3193</v>
      </c>
      <c r="D129" s="419"/>
      <c r="E129" s="422" t="s">
        <v>1957</v>
      </c>
      <c r="F129" s="514" t="s">
        <v>1958</v>
      </c>
      <c r="G129" s="457">
        <v>79</v>
      </c>
      <c r="H129" s="416"/>
    </row>
    <row r="130" spans="1:8" ht="25.5">
      <c r="A130" s="514" t="s">
        <v>1959</v>
      </c>
      <c r="B130" s="419" t="s">
        <v>1960</v>
      </c>
      <c r="C130" s="457">
        <v>4875</v>
      </c>
      <c r="D130" s="419"/>
      <c r="E130" s="422" t="s">
        <v>1961</v>
      </c>
      <c r="F130" s="514" t="s">
        <v>1962</v>
      </c>
      <c r="G130" s="457">
        <v>79</v>
      </c>
      <c r="H130" s="416"/>
    </row>
    <row r="131" spans="1:8" ht="45">
      <c r="A131" s="514" t="s">
        <v>1963</v>
      </c>
      <c r="B131" s="419" t="s">
        <v>1964</v>
      </c>
      <c r="C131" s="457">
        <v>1816</v>
      </c>
      <c r="D131" s="419"/>
      <c r="E131" s="426" t="s">
        <v>1965</v>
      </c>
      <c r="F131" s="514" t="s">
        <v>1966</v>
      </c>
      <c r="G131" s="457">
        <v>8</v>
      </c>
      <c r="H131" s="416"/>
    </row>
    <row r="132" spans="1:8" ht="33.75">
      <c r="A132" s="514" t="s">
        <v>1967</v>
      </c>
      <c r="B132" s="419" t="s">
        <v>1968</v>
      </c>
      <c r="C132" s="457">
        <v>79</v>
      </c>
      <c r="D132" s="419"/>
      <c r="E132" s="426" t="s">
        <v>1969</v>
      </c>
      <c r="F132" s="514" t="s">
        <v>1970</v>
      </c>
      <c r="G132" s="457">
        <v>14</v>
      </c>
      <c r="H132" s="416"/>
    </row>
    <row r="133" spans="1:8" ht="22.5">
      <c r="A133" s="514" t="s">
        <v>1971</v>
      </c>
      <c r="B133" s="419" t="s">
        <v>1972</v>
      </c>
      <c r="C133" s="457">
        <v>520</v>
      </c>
      <c r="D133" s="419"/>
      <c r="E133" s="426" t="s">
        <v>1973</v>
      </c>
      <c r="F133" s="514" t="s">
        <v>1425</v>
      </c>
      <c r="G133" s="457">
        <v>303</v>
      </c>
      <c r="H133" s="416"/>
    </row>
    <row r="134" spans="1:8" ht="45">
      <c r="A134" s="514" t="s">
        <v>2083</v>
      </c>
      <c r="B134" s="419" t="s">
        <v>2084</v>
      </c>
      <c r="C134" s="457">
        <v>1375</v>
      </c>
      <c r="D134" s="419"/>
      <c r="E134" s="426" t="s">
        <v>1974</v>
      </c>
      <c r="F134" s="514" t="s">
        <v>1427</v>
      </c>
      <c r="G134" s="457">
        <v>157</v>
      </c>
      <c r="H134" s="416"/>
    </row>
    <row r="135" spans="1:8">
      <c r="A135" s="514"/>
      <c r="B135" s="419"/>
      <c r="C135" s="419"/>
      <c r="D135" s="419"/>
      <c r="E135" s="426" t="s">
        <v>1975</v>
      </c>
      <c r="F135" s="514" t="s">
        <v>1976</v>
      </c>
      <c r="G135" s="457">
        <v>24</v>
      </c>
      <c r="H135" s="416"/>
    </row>
    <row r="136" spans="1:8">
      <c r="A136" s="514"/>
      <c r="B136" s="419"/>
      <c r="C136" s="419"/>
      <c r="D136" s="419"/>
      <c r="E136" s="426" t="s">
        <v>1977</v>
      </c>
      <c r="F136" s="514" t="s">
        <v>1978</v>
      </c>
      <c r="G136" s="457">
        <v>19</v>
      </c>
      <c r="H136" s="416"/>
    </row>
    <row r="137" spans="1:8" ht="22.5">
      <c r="A137" s="514"/>
      <c r="B137" s="419"/>
      <c r="C137" s="419"/>
      <c r="D137" s="419"/>
      <c r="E137" s="422" t="s">
        <v>1979</v>
      </c>
      <c r="F137" s="514" t="s">
        <v>1980</v>
      </c>
      <c r="G137" s="457">
        <v>303</v>
      </c>
      <c r="H137" s="416"/>
    </row>
    <row r="138" spans="1:8" ht="22.5">
      <c r="A138" s="514"/>
      <c r="B138" s="419"/>
      <c r="C138" s="419"/>
      <c r="D138" s="419"/>
      <c r="E138" s="422" t="s">
        <v>1979</v>
      </c>
      <c r="F138" s="514" t="s">
        <v>1980</v>
      </c>
      <c r="G138" s="457">
        <v>303</v>
      </c>
      <c r="H138" s="416"/>
    </row>
    <row r="139" spans="1:8">
      <c r="A139" s="514"/>
      <c r="B139" s="419"/>
      <c r="C139" s="419"/>
      <c r="D139" s="419"/>
      <c r="E139" s="420" t="s">
        <v>1566</v>
      </c>
      <c r="F139" s="514" t="s">
        <v>2088</v>
      </c>
      <c r="G139" s="507">
        <v>1822</v>
      </c>
      <c r="H139" s="416"/>
    </row>
    <row r="140" spans="1:8">
      <c r="A140" s="514"/>
      <c r="B140" s="419"/>
      <c r="C140" s="419"/>
      <c r="D140" s="419"/>
      <c r="E140" s="420" t="s">
        <v>1566</v>
      </c>
      <c r="F140" s="514" t="s">
        <v>2261</v>
      </c>
      <c r="G140" s="507">
        <v>5428</v>
      </c>
      <c r="H140" s="416"/>
    </row>
    <row r="141" spans="1:8">
      <c r="A141" s="514"/>
      <c r="B141" s="419"/>
      <c r="C141" s="419"/>
      <c r="D141" s="419"/>
      <c r="E141" s="420"/>
      <c r="F141" s="514"/>
      <c r="G141" s="419"/>
      <c r="H141" s="416"/>
    </row>
    <row r="142" spans="1:8" ht="25.5">
      <c r="A142" s="427" t="s">
        <v>1981</v>
      </c>
      <c r="B142" s="418" t="s">
        <v>1373</v>
      </c>
      <c r="C142" s="512">
        <v>81950</v>
      </c>
      <c r="D142" s="419"/>
      <c r="E142" s="427" t="s">
        <v>1376</v>
      </c>
      <c r="F142" s="418" t="s">
        <v>1377</v>
      </c>
      <c r="G142" s="512">
        <v>255</v>
      </c>
      <c r="H142" s="416"/>
    </row>
    <row r="143" spans="1:8" ht="38.25">
      <c r="A143" s="427" t="s">
        <v>1982</v>
      </c>
      <c r="B143" s="418" t="s">
        <v>1375</v>
      </c>
      <c r="C143" s="512">
        <v>160920</v>
      </c>
      <c r="D143" s="419"/>
      <c r="E143" s="427" t="s">
        <v>1393</v>
      </c>
      <c r="F143" s="419" t="s">
        <v>1394</v>
      </c>
      <c r="G143" s="512">
        <v>86.5</v>
      </c>
      <c r="H143" s="416"/>
    </row>
    <row r="144" spans="1:8" ht="38.25">
      <c r="A144" s="427" t="s">
        <v>1983</v>
      </c>
      <c r="B144" s="418" t="s">
        <v>1682</v>
      </c>
      <c r="C144" s="512">
        <v>51000</v>
      </c>
      <c r="D144" s="419"/>
      <c r="E144" s="420" t="s">
        <v>1412</v>
      </c>
      <c r="F144" s="419" t="s">
        <v>1413</v>
      </c>
      <c r="G144" s="512">
        <v>108</v>
      </c>
      <c r="H144" s="416"/>
    </row>
    <row r="145" spans="1:8" ht="38.25">
      <c r="A145" s="427" t="s">
        <v>1984</v>
      </c>
      <c r="B145" s="418" t="s">
        <v>1684</v>
      </c>
      <c r="C145" s="512">
        <v>63950</v>
      </c>
      <c r="D145" s="419"/>
      <c r="E145" s="427" t="s">
        <v>1378</v>
      </c>
      <c r="F145" s="418" t="s">
        <v>1379</v>
      </c>
      <c r="G145" s="512">
        <v>273</v>
      </c>
      <c r="H145" s="416"/>
    </row>
    <row r="146" spans="1:8" ht="38.25">
      <c r="A146" s="514" t="s">
        <v>1390</v>
      </c>
      <c r="B146" s="419" t="s">
        <v>1391</v>
      </c>
      <c r="C146" s="512">
        <v>3394</v>
      </c>
      <c r="D146" s="419"/>
      <c r="E146" s="427" t="s">
        <v>1395</v>
      </c>
      <c r="F146" s="419" t="s">
        <v>1396</v>
      </c>
      <c r="G146" s="512">
        <v>129</v>
      </c>
      <c r="H146" s="416"/>
    </row>
    <row r="147" spans="1:8" ht="38.25">
      <c r="A147" s="514" t="s">
        <v>1985</v>
      </c>
      <c r="B147" s="419" t="s">
        <v>1408</v>
      </c>
      <c r="C147" s="512">
        <v>920</v>
      </c>
      <c r="D147" s="419"/>
      <c r="E147" s="427" t="s">
        <v>1380</v>
      </c>
      <c r="F147" s="418" t="s">
        <v>1381</v>
      </c>
      <c r="G147" s="512">
        <v>114</v>
      </c>
      <c r="H147" s="416"/>
    </row>
    <row r="148" spans="1:8" ht="25.5">
      <c r="A148" s="514" t="s">
        <v>2280</v>
      </c>
      <c r="B148" s="419" t="s">
        <v>2092</v>
      </c>
      <c r="C148" s="509">
        <v>2000</v>
      </c>
      <c r="D148" s="419"/>
      <c r="E148" s="427" t="s">
        <v>1382</v>
      </c>
      <c r="F148" s="418" t="s">
        <v>1383</v>
      </c>
      <c r="G148" s="512">
        <v>1195</v>
      </c>
      <c r="H148" s="416"/>
    </row>
    <row r="149" spans="1:8" ht="38.25">
      <c r="A149" s="514" t="s">
        <v>1986</v>
      </c>
      <c r="B149" s="419" t="s">
        <v>1389</v>
      </c>
      <c r="C149" s="512">
        <v>1727</v>
      </c>
      <c r="D149" s="419"/>
      <c r="E149" s="427" t="s">
        <v>1397</v>
      </c>
      <c r="F149" s="419" t="s">
        <v>1398</v>
      </c>
      <c r="G149" s="512">
        <v>338</v>
      </c>
      <c r="H149" s="416"/>
    </row>
    <row r="150" spans="1:8" ht="25.5">
      <c r="A150" s="514" t="s">
        <v>1987</v>
      </c>
      <c r="B150" s="419" t="s">
        <v>1690</v>
      </c>
      <c r="C150" s="512">
        <v>1701</v>
      </c>
      <c r="D150" s="419"/>
      <c r="E150" s="427" t="s">
        <v>1384</v>
      </c>
      <c r="F150" s="418" t="s">
        <v>1385</v>
      </c>
      <c r="G150" s="512">
        <v>185</v>
      </c>
      <c r="H150" s="416"/>
    </row>
    <row r="151" spans="1:8" ht="38.25">
      <c r="A151" s="514" t="s">
        <v>2281</v>
      </c>
      <c r="B151" s="419" t="s">
        <v>1392</v>
      </c>
      <c r="C151" s="509">
        <v>1036</v>
      </c>
      <c r="D151" s="419"/>
      <c r="E151" s="427" t="s">
        <v>1399</v>
      </c>
      <c r="F151" s="419" t="s">
        <v>1400</v>
      </c>
      <c r="G151" s="512">
        <v>45</v>
      </c>
      <c r="H151" s="416"/>
    </row>
    <row r="152" spans="1:8" ht="38.25">
      <c r="A152" s="514" t="s">
        <v>1989</v>
      </c>
      <c r="B152" s="419" t="s">
        <v>1990</v>
      </c>
      <c r="C152" s="512">
        <v>8622</v>
      </c>
      <c r="D152" s="419"/>
      <c r="E152" s="427" t="s">
        <v>1386</v>
      </c>
      <c r="F152" s="418" t="s">
        <v>1387</v>
      </c>
      <c r="G152" s="512">
        <v>39</v>
      </c>
      <c r="H152" s="416"/>
    </row>
    <row r="153" spans="1:8">
      <c r="A153" s="514" t="s">
        <v>1991</v>
      </c>
      <c r="B153" s="419" t="s">
        <v>1415</v>
      </c>
      <c r="C153" s="512">
        <v>6460</v>
      </c>
      <c r="D153" s="419"/>
      <c r="E153" s="420" t="s">
        <v>1992</v>
      </c>
      <c r="F153" s="419" t="s">
        <v>1405</v>
      </c>
      <c r="G153" s="512">
        <v>486</v>
      </c>
      <c r="H153" s="416"/>
    </row>
    <row r="154" spans="1:8" ht="38.25">
      <c r="A154" s="514" t="s">
        <v>1993</v>
      </c>
      <c r="B154" s="419" t="s">
        <v>1418</v>
      </c>
      <c r="C154" s="512">
        <v>6238</v>
      </c>
      <c r="D154" s="419"/>
      <c r="E154" s="420" t="s">
        <v>1994</v>
      </c>
      <c r="F154" s="419" t="s">
        <v>1406</v>
      </c>
      <c r="G154" s="512">
        <v>388</v>
      </c>
      <c r="H154" s="416"/>
    </row>
    <row r="155" spans="1:8" ht="25.5">
      <c r="A155" s="514" t="s">
        <v>1988</v>
      </c>
      <c r="B155" s="419" t="s">
        <v>2094</v>
      </c>
      <c r="C155" s="509">
        <v>421</v>
      </c>
      <c r="D155" s="419"/>
      <c r="E155" s="427" t="s">
        <v>1995</v>
      </c>
      <c r="F155" s="419" t="s">
        <v>1688</v>
      </c>
      <c r="G155" s="512">
        <v>58</v>
      </c>
      <c r="H155" s="416"/>
    </row>
    <row r="156" spans="1:8">
      <c r="A156" s="513" t="s">
        <v>2283</v>
      </c>
      <c r="B156" s="517" t="s">
        <v>2282</v>
      </c>
      <c r="C156" s="511">
        <v>4062</v>
      </c>
    </row>
  </sheetData>
  <mergeCells count="4">
    <mergeCell ref="A1:H1"/>
    <mergeCell ref="E28:H28"/>
    <mergeCell ref="E31:H31"/>
    <mergeCell ref="E34:H34"/>
  </mergeCells>
  <pageMargins left="0.41" right="0.22" top="0.48" bottom="0.31" header="0.3" footer="0.3"/>
  <pageSetup paperSize="9" scale="95" orientation="portrait" r:id="rId1"/>
  <rowBreaks count="2" manualBreakCount="2">
    <brk id="50" max="16383" man="1"/>
    <brk id="99" max="16383" man="1"/>
  </rowBreaks>
</worksheet>
</file>

<file path=xl/worksheets/sheet35.xml><?xml version="1.0" encoding="utf-8"?>
<worksheet xmlns="http://schemas.openxmlformats.org/spreadsheetml/2006/main" xmlns:r="http://schemas.openxmlformats.org/officeDocument/2006/relationships">
  <sheetPr>
    <tabColor rgb="FF7030A0"/>
  </sheetPr>
  <dimension ref="A1:H156"/>
  <sheetViews>
    <sheetView view="pageBreakPreview" zoomScale="115" zoomScaleNormal="115" zoomScaleSheetLayoutView="115" workbookViewId="0">
      <selection sqref="A1:H1"/>
    </sheetView>
  </sheetViews>
  <sheetFormatPr defaultColWidth="9.140625" defaultRowHeight="12.75"/>
  <cols>
    <col min="1" max="1" width="22.28515625" style="513" customWidth="1"/>
    <col min="2" max="2" width="11.5703125" style="517" customWidth="1"/>
    <col min="3" max="3" width="10.42578125" style="517" bestFit="1" customWidth="1"/>
    <col min="4" max="4" width="10.7109375" style="517" customWidth="1"/>
    <col min="5" max="5" width="11.85546875" style="518" customWidth="1"/>
    <col min="6" max="6" width="17.42578125" style="513" customWidth="1"/>
    <col min="7" max="7" width="10.140625" style="517" customWidth="1"/>
    <col min="8" max="8" width="9.28515625" style="519" bestFit="1" customWidth="1"/>
    <col min="9" max="16384" width="9.140625" style="513"/>
  </cols>
  <sheetData>
    <row r="1" spans="1:8" ht="18.75">
      <c r="A1" s="1673" t="s">
        <v>2307</v>
      </c>
      <c r="B1" s="1673"/>
      <c r="C1" s="1673"/>
      <c r="D1" s="1673"/>
      <c r="E1" s="1673"/>
      <c r="F1" s="1673"/>
      <c r="G1" s="1673"/>
      <c r="H1" s="1673"/>
    </row>
    <row r="2" spans="1:8">
      <c r="A2" s="514"/>
      <c r="B2" s="419"/>
      <c r="C2" s="419"/>
      <c r="D2" s="419"/>
      <c r="E2" s="420"/>
      <c r="F2" s="514" t="s">
        <v>1693</v>
      </c>
      <c r="G2" s="419" t="s">
        <v>1694</v>
      </c>
      <c r="H2" s="416" t="s">
        <v>8</v>
      </c>
    </row>
    <row r="3" spans="1:8">
      <c r="A3" s="514"/>
      <c r="B3" s="419" t="s">
        <v>1695</v>
      </c>
      <c r="C3" s="419" t="s">
        <v>8</v>
      </c>
      <c r="D3" s="419"/>
      <c r="E3" s="420"/>
      <c r="F3" s="514" t="s">
        <v>1696</v>
      </c>
      <c r="G3" s="419" t="s">
        <v>1697</v>
      </c>
      <c r="H3" s="613">
        <v>630</v>
      </c>
    </row>
    <row r="4" spans="1:8">
      <c r="A4" s="415" t="s">
        <v>847</v>
      </c>
      <c r="B4" s="419" t="s">
        <v>1698</v>
      </c>
      <c r="C4" s="416">
        <v>4700</v>
      </c>
      <c r="D4" s="419"/>
      <c r="E4" s="420"/>
      <c r="F4" s="514" t="s">
        <v>1699</v>
      </c>
      <c r="G4" s="419" t="s">
        <v>1700</v>
      </c>
      <c r="H4" s="613">
        <v>565</v>
      </c>
    </row>
    <row r="5" spans="1:8">
      <c r="A5" s="389" t="s">
        <v>1701</v>
      </c>
      <c r="B5" s="419"/>
      <c r="C5" s="613">
        <v>64500</v>
      </c>
      <c r="D5" s="419" t="s">
        <v>2465</v>
      </c>
      <c r="E5" s="420"/>
      <c r="F5" s="514" t="s">
        <v>1702</v>
      </c>
      <c r="G5" s="419" t="s">
        <v>1703</v>
      </c>
      <c r="H5" s="613">
        <v>525</v>
      </c>
    </row>
    <row r="6" spans="1:8">
      <c r="A6" s="389" t="s">
        <v>1704</v>
      </c>
      <c r="B6" s="419"/>
      <c r="C6" s="613">
        <v>61000</v>
      </c>
      <c r="D6" s="419" t="s">
        <v>2465</v>
      </c>
      <c r="E6" s="420"/>
      <c r="F6" s="514" t="s">
        <v>1705</v>
      </c>
      <c r="G6" s="419" t="s">
        <v>1706</v>
      </c>
      <c r="H6" s="613">
        <v>750</v>
      </c>
    </row>
    <row r="7" spans="1:8">
      <c r="A7" s="389" t="s">
        <v>848</v>
      </c>
      <c r="B7" s="419"/>
      <c r="C7" s="613">
        <v>61500</v>
      </c>
      <c r="D7" s="419" t="s">
        <v>2465</v>
      </c>
      <c r="E7" s="420"/>
      <c r="F7" s="514"/>
      <c r="G7" s="419"/>
      <c r="H7" s="416"/>
    </row>
    <row r="8" spans="1:8">
      <c r="A8" s="389" t="s">
        <v>849</v>
      </c>
      <c r="B8" s="419"/>
      <c r="C8" s="613">
        <v>61500</v>
      </c>
      <c r="D8" s="419" t="s">
        <v>2465</v>
      </c>
      <c r="E8" s="420"/>
      <c r="F8" s="514" t="s">
        <v>1707</v>
      </c>
      <c r="G8" s="419" t="s">
        <v>1708</v>
      </c>
      <c r="H8" s="613">
        <v>705</v>
      </c>
    </row>
    <row r="9" spans="1:8" ht="25.5">
      <c r="A9" s="389" t="s">
        <v>850</v>
      </c>
      <c r="B9" s="419" t="s">
        <v>1709</v>
      </c>
      <c r="C9" s="733">
        <v>700</v>
      </c>
      <c r="D9" s="419"/>
      <c r="E9" s="420"/>
      <c r="F9" s="514" t="s">
        <v>1710</v>
      </c>
      <c r="G9" s="419" t="s">
        <v>1711</v>
      </c>
      <c r="H9" s="613">
        <v>565</v>
      </c>
    </row>
    <row r="10" spans="1:8">
      <c r="A10" s="389" t="s">
        <v>851</v>
      </c>
      <c r="B10" s="419" t="s">
        <v>1712</v>
      </c>
      <c r="C10" s="733">
        <v>605</v>
      </c>
      <c r="D10" s="419"/>
      <c r="E10" s="420"/>
      <c r="F10" s="514" t="s">
        <v>1337</v>
      </c>
      <c r="G10" s="419" t="s">
        <v>1713</v>
      </c>
      <c r="H10" s="613">
        <v>615</v>
      </c>
    </row>
    <row r="11" spans="1:8">
      <c r="A11" s="389" t="s">
        <v>768</v>
      </c>
      <c r="B11" s="419" t="s">
        <v>1714</v>
      </c>
      <c r="C11" s="733">
        <v>460</v>
      </c>
      <c r="D11" s="419" t="s">
        <v>861</v>
      </c>
      <c r="E11" s="420" t="s">
        <v>862</v>
      </c>
      <c r="F11" s="514" t="s">
        <v>1338</v>
      </c>
      <c r="G11" s="419" t="s">
        <v>1715</v>
      </c>
      <c r="H11" s="613">
        <v>590</v>
      </c>
    </row>
    <row r="12" spans="1:8">
      <c r="A12" s="389" t="s">
        <v>1716</v>
      </c>
      <c r="B12" s="419" t="s">
        <v>1717</v>
      </c>
      <c r="C12" s="733">
        <v>7500</v>
      </c>
      <c r="D12" s="419">
        <v>68.5</v>
      </c>
      <c r="E12" s="420">
        <v>68.5</v>
      </c>
      <c r="F12" s="514"/>
      <c r="G12" s="419"/>
      <c r="H12" s="416"/>
    </row>
    <row r="13" spans="1:8">
      <c r="A13" s="389" t="s">
        <v>853</v>
      </c>
      <c r="B13" s="419" t="s">
        <v>1718</v>
      </c>
      <c r="C13" s="733">
        <v>716</v>
      </c>
      <c r="D13" s="419"/>
      <c r="E13" s="420"/>
      <c r="F13" s="514" t="s">
        <v>1719</v>
      </c>
      <c r="G13" s="419" t="s">
        <v>1720</v>
      </c>
      <c r="H13" s="613">
        <v>705</v>
      </c>
    </row>
    <row r="14" spans="1:8" ht="25.5">
      <c r="A14" s="389" t="s">
        <v>854</v>
      </c>
      <c r="B14" s="419" t="s">
        <v>1721</v>
      </c>
      <c r="C14" s="733">
        <v>1196</v>
      </c>
      <c r="D14" s="419"/>
      <c r="E14" s="420"/>
      <c r="F14" s="514" t="s">
        <v>1722</v>
      </c>
      <c r="G14" s="419"/>
      <c r="H14" s="613">
        <v>565</v>
      </c>
    </row>
    <row r="15" spans="1:8">
      <c r="A15" s="389" t="s">
        <v>1723</v>
      </c>
      <c r="B15" s="419" t="s">
        <v>1724</v>
      </c>
      <c r="C15" s="733">
        <v>952</v>
      </c>
      <c r="D15" s="419"/>
      <c r="E15" s="420"/>
      <c r="F15" s="514"/>
      <c r="G15" s="419"/>
      <c r="H15" s="416"/>
    </row>
    <row r="16" spans="1:8">
      <c r="A16" s="389" t="s">
        <v>1725</v>
      </c>
      <c r="B16" s="419" t="s">
        <v>1726</v>
      </c>
      <c r="C16" s="733">
        <v>800</v>
      </c>
      <c r="D16" s="419"/>
      <c r="E16" s="420"/>
      <c r="F16" s="514" t="s">
        <v>156</v>
      </c>
      <c r="G16" s="419" t="s">
        <v>1727</v>
      </c>
      <c r="H16" s="457">
        <v>700</v>
      </c>
    </row>
    <row r="17" spans="1:8" ht="25.5">
      <c r="A17" s="389" t="s">
        <v>1728</v>
      </c>
      <c r="B17" s="419" t="s">
        <v>1729</v>
      </c>
      <c r="C17" s="733">
        <v>636</v>
      </c>
      <c r="D17" s="419"/>
      <c r="E17" s="420"/>
      <c r="F17" s="514" t="s">
        <v>1499</v>
      </c>
      <c r="G17" s="419" t="s">
        <v>1730</v>
      </c>
      <c r="H17" s="457">
        <v>570</v>
      </c>
    </row>
    <row r="18" spans="1:8">
      <c r="A18" s="389" t="s">
        <v>1193</v>
      </c>
      <c r="B18" s="419" t="s">
        <v>1731</v>
      </c>
      <c r="C18" s="613">
        <v>298</v>
      </c>
      <c r="D18" s="419"/>
      <c r="E18" s="420"/>
      <c r="F18" s="514" t="s">
        <v>3502</v>
      </c>
      <c r="G18" s="419" t="s">
        <v>1703</v>
      </c>
      <c r="H18" s="457">
        <v>505</v>
      </c>
    </row>
    <row r="19" spans="1:8">
      <c r="A19" s="393" t="s">
        <v>1732</v>
      </c>
      <c r="B19" s="419" t="s">
        <v>1733</v>
      </c>
      <c r="C19" s="733">
        <v>2100</v>
      </c>
      <c r="D19" s="419"/>
      <c r="E19" s="420"/>
      <c r="F19" s="514"/>
      <c r="G19" s="419"/>
      <c r="H19" s="416"/>
    </row>
    <row r="20" spans="1:8">
      <c r="A20" s="393" t="s">
        <v>1734</v>
      </c>
      <c r="B20" s="419" t="s">
        <v>1735</v>
      </c>
      <c r="C20" s="733">
        <v>315</v>
      </c>
      <c r="D20" s="419"/>
      <c r="E20" s="420"/>
      <c r="F20" s="514"/>
      <c r="G20" s="419"/>
      <c r="H20" s="416"/>
    </row>
    <row r="21" spans="1:8">
      <c r="A21" s="393" t="s">
        <v>1736</v>
      </c>
      <c r="B21" s="419" t="s">
        <v>1737</v>
      </c>
      <c r="C21" s="733">
        <v>612</v>
      </c>
      <c r="D21" s="419"/>
      <c r="E21" s="420"/>
      <c r="F21" s="514"/>
      <c r="G21" s="419"/>
      <c r="H21" s="416"/>
    </row>
    <row r="22" spans="1:8">
      <c r="A22" s="393" t="s">
        <v>1738</v>
      </c>
      <c r="B22" s="419" t="s">
        <v>1739</v>
      </c>
      <c r="C22" s="733">
        <v>370</v>
      </c>
      <c r="D22" s="419"/>
      <c r="E22" s="420"/>
      <c r="F22" s="514"/>
      <c r="G22" s="419"/>
      <c r="H22" s="416"/>
    </row>
    <row r="23" spans="1:8">
      <c r="A23" s="393" t="s">
        <v>1740</v>
      </c>
      <c r="B23" s="419" t="s">
        <v>1741</v>
      </c>
      <c r="C23" s="733">
        <v>330</v>
      </c>
      <c r="D23" s="419"/>
      <c r="E23" s="420"/>
      <c r="F23" s="514"/>
      <c r="G23" s="419"/>
      <c r="H23" s="416"/>
    </row>
    <row r="24" spans="1:8">
      <c r="A24" s="389" t="s">
        <v>1208</v>
      </c>
      <c r="B24" s="419" t="s">
        <v>3162</v>
      </c>
      <c r="C24" s="613">
        <v>18000</v>
      </c>
      <c r="D24" s="419"/>
      <c r="E24" s="420"/>
      <c r="F24" s="514" t="s">
        <v>1742</v>
      </c>
      <c r="G24" s="419"/>
      <c r="H24" s="416"/>
    </row>
    <row r="25" spans="1:8">
      <c r="A25" s="389" t="s">
        <v>860</v>
      </c>
      <c r="B25" s="419" t="s">
        <v>1743</v>
      </c>
      <c r="C25" s="416">
        <v>93</v>
      </c>
      <c r="D25" s="419"/>
      <c r="E25" s="420"/>
      <c r="F25" s="514" t="s">
        <v>1428</v>
      </c>
      <c r="G25" s="419"/>
      <c r="H25" s="613">
        <v>6.06</v>
      </c>
    </row>
    <row r="26" spans="1:8">
      <c r="A26" s="389" t="s">
        <v>664</v>
      </c>
      <c r="B26" s="419" t="s">
        <v>1744</v>
      </c>
      <c r="C26" s="613">
        <v>149</v>
      </c>
      <c r="D26" s="419"/>
      <c r="E26" s="420"/>
      <c r="F26" s="514" t="s">
        <v>1430</v>
      </c>
      <c r="G26" s="419"/>
      <c r="H26" s="613">
        <v>144.26</v>
      </c>
    </row>
    <row r="27" spans="1:8">
      <c r="A27" s="389" t="s">
        <v>1745</v>
      </c>
      <c r="B27" s="419" t="s">
        <v>1746</v>
      </c>
      <c r="C27" s="613">
        <v>30</v>
      </c>
      <c r="D27" s="419"/>
      <c r="E27" s="420"/>
      <c r="F27" s="514"/>
      <c r="G27" s="419"/>
      <c r="H27" s="416"/>
    </row>
    <row r="28" spans="1:8">
      <c r="A28" s="514"/>
      <c r="B28" s="419"/>
      <c r="C28" s="419"/>
      <c r="D28" s="419"/>
      <c r="E28" s="1674" t="s">
        <v>1747</v>
      </c>
      <c r="F28" s="1674"/>
      <c r="G28" s="1674"/>
      <c r="H28" s="1674"/>
    </row>
    <row r="29" spans="1:8">
      <c r="A29" s="389" t="s">
        <v>1748</v>
      </c>
      <c r="B29" s="419" t="s">
        <v>1749</v>
      </c>
      <c r="C29" s="613">
        <v>95</v>
      </c>
      <c r="D29" s="419"/>
      <c r="E29" s="516" t="s">
        <v>1750</v>
      </c>
      <c r="F29" s="417" t="s">
        <v>1751</v>
      </c>
      <c r="G29" s="418" t="s">
        <v>1752</v>
      </c>
      <c r="H29" s="418" t="s">
        <v>1753</v>
      </c>
    </row>
    <row r="30" spans="1:8">
      <c r="A30" s="389" t="s">
        <v>1754</v>
      </c>
      <c r="B30" s="419" t="s">
        <v>1755</v>
      </c>
      <c r="C30" s="613">
        <v>667.5</v>
      </c>
      <c r="D30" s="419"/>
      <c r="E30" s="740">
        <v>10.78</v>
      </c>
      <c r="F30" s="612">
        <v>84.62</v>
      </c>
      <c r="G30" s="612">
        <v>121.18</v>
      </c>
      <c r="H30" s="614">
        <v>157.72</v>
      </c>
    </row>
    <row r="31" spans="1:8" ht="25.5">
      <c r="A31" s="389" t="s">
        <v>1756</v>
      </c>
      <c r="B31" s="419" t="s">
        <v>1757</v>
      </c>
      <c r="C31" s="613">
        <v>259.10000000000002</v>
      </c>
      <c r="D31" s="419"/>
      <c r="E31" s="1674" t="s">
        <v>1758</v>
      </c>
      <c r="F31" s="1674"/>
      <c r="G31" s="1674"/>
      <c r="H31" s="1674"/>
    </row>
    <row r="32" spans="1:8">
      <c r="A32" s="389" t="s">
        <v>38</v>
      </c>
      <c r="B32" s="419" t="s">
        <v>1759</v>
      </c>
      <c r="C32" s="613">
        <v>70</v>
      </c>
      <c r="D32" s="419"/>
      <c r="E32" s="516" t="s">
        <v>1750</v>
      </c>
      <c r="F32" s="417" t="s">
        <v>1751</v>
      </c>
      <c r="G32" s="418" t="s">
        <v>1752</v>
      </c>
      <c r="H32" s="418" t="s">
        <v>1753</v>
      </c>
    </row>
    <row r="33" spans="1:8">
      <c r="A33" s="389" t="s">
        <v>1760</v>
      </c>
      <c r="B33" s="419" t="s">
        <v>1761</v>
      </c>
      <c r="C33" s="613">
        <v>16</v>
      </c>
      <c r="D33" s="419"/>
      <c r="E33" s="740">
        <v>2.57</v>
      </c>
      <c r="F33" s="612">
        <v>16.940000000000001</v>
      </c>
      <c r="G33" s="612">
        <v>24.04</v>
      </c>
      <c r="H33" s="614">
        <v>31.13</v>
      </c>
    </row>
    <row r="34" spans="1:8" ht="25.5">
      <c r="A34" s="389" t="s">
        <v>1762</v>
      </c>
      <c r="B34" s="419" t="s">
        <v>1763</v>
      </c>
      <c r="C34" s="613">
        <v>117.7</v>
      </c>
      <c r="D34" s="419"/>
      <c r="E34" s="1674" t="s">
        <v>1764</v>
      </c>
      <c r="F34" s="1674"/>
      <c r="G34" s="1674"/>
      <c r="H34" s="1674"/>
    </row>
    <row r="35" spans="1:8">
      <c r="A35" s="389" t="s">
        <v>1765</v>
      </c>
      <c r="B35" s="419" t="s">
        <v>1766</v>
      </c>
      <c r="C35" s="613">
        <v>30</v>
      </c>
      <c r="D35" s="419"/>
      <c r="E35" s="516" t="s">
        <v>1750</v>
      </c>
      <c r="F35" s="417" t="s">
        <v>1751</v>
      </c>
      <c r="G35" s="418" t="s">
        <v>1752</v>
      </c>
      <c r="H35" s="418" t="s">
        <v>1753</v>
      </c>
    </row>
    <row r="36" spans="1:8">
      <c r="A36" s="389" t="s">
        <v>1767</v>
      </c>
      <c r="B36" s="419" t="s">
        <v>1768</v>
      </c>
      <c r="C36" s="613">
        <v>6</v>
      </c>
      <c r="D36" s="419"/>
      <c r="E36" s="740">
        <v>1.08</v>
      </c>
      <c r="F36" s="612">
        <v>8.4700000000000006</v>
      </c>
      <c r="G36" s="612">
        <v>12.12</v>
      </c>
      <c r="H36" s="614">
        <v>15.77</v>
      </c>
    </row>
    <row r="37" spans="1:8">
      <c r="A37" s="389" t="s">
        <v>1769</v>
      </c>
      <c r="B37" s="419" t="s">
        <v>1770</v>
      </c>
      <c r="C37" s="613">
        <v>76</v>
      </c>
      <c r="D37" s="419"/>
      <c r="E37" s="420"/>
      <c r="F37" s="419"/>
      <c r="G37" s="419"/>
      <c r="H37" s="416"/>
    </row>
    <row r="38" spans="1:8">
      <c r="A38" s="389" t="s">
        <v>1771</v>
      </c>
      <c r="B38" s="419" t="s">
        <v>1772</v>
      </c>
      <c r="C38" s="613">
        <v>26</v>
      </c>
      <c r="D38" s="419"/>
      <c r="E38" s="420"/>
      <c r="F38" s="419"/>
      <c r="G38" s="419"/>
      <c r="H38" s="416"/>
    </row>
    <row r="39" spans="1:8">
      <c r="A39" s="389" t="s">
        <v>1773</v>
      </c>
      <c r="B39" s="419" t="s">
        <v>1774</v>
      </c>
      <c r="C39" s="613">
        <v>23</v>
      </c>
      <c r="D39" s="419"/>
      <c r="E39" s="420"/>
      <c r="F39" s="514"/>
      <c r="G39" s="419"/>
      <c r="H39" s="416"/>
    </row>
    <row r="40" spans="1:8">
      <c r="A40" s="389" t="s">
        <v>1567</v>
      </c>
      <c r="B40" s="419" t="s">
        <v>1775</v>
      </c>
      <c r="C40" s="613">
        <v>414</v>
      </c>
      <c r="D40" s="419"/>
      <c r="E40" s="389" t="s">
        <v>1776</v>
      </c>
      <c r="F40" s="419" t="s">
        <v>1777</v>
      </c>
      <c r="G40" s="613">
        <v>600</v>
      </c>
      <c r="H40" s="416"/>
    </row>
    <row r="41" spans="1:8" ht="25.5">
      <c r="A41" s="389" t="s">
        <v>1778</v>
      </c>
      <c r="B41" s="419" t="s">
        <v>1779</v>
      </c>
      <c r="C41" s="613">
        <v>144</v>
      </c>
      <c r="D41" s="419"/>
      <c r="E41" s="420" t="s">
        <v>1780</v>
      </c>
      <c r="F41" s="419" t="s">
        <v>1781</v>
      </c>
      <c r="G41" s="613">
        <v>160</v>
      </c>
      <c r="H41" s="416"/>
    </row>
    <row r="42" spans="1:8" ht="25.5">
      <c r="A42" s="389" t="s">
        <v>1782</v>
      </c>
      <c r="B42" s="419" t="s">
        <v>1783</v>
      </c>
      <c r="C42" s="613">
        <v>220</v>
      </c>
      <c r="D42" s="419"/>
      <c r="E42" s="420" t="s">
        <v>1780</v>
      </c>
      <c r="F42" s="419" t="s">
        <v>1784</v>
      </c>
      <c r="G42" s="613">
        <v>200</v>
      </c>
      <c r="H42" s="416"/>
    </row>
    <row r="43" spans="1:8" ht="38.25">
      <c r="A43" s="389" t="s">
        <v>1785</v>
      </c>
      <c r="B43" s="419" t="s">
        <v>1786</v>
      </c>
      <c r="C43" s="613">
        <v>21</v>
      </c>
      <c r="D43" s="419"/>
      <c r="E43" s="420" t="s">
        <v>1370</v>
      </c>
      <c r="F43" s="419" t="s">
        <v>1787</v>
      </c>
      <c r="G43" s="613">
        <v>190</v>
      </c>
      <c r="H43" s="416"/>
    </row>
    <row r="44" spans="1:8" ht="38.25">
      <c r="A44" s="389" t="s">
        <v>1788</v>
      </c>
      <c r="B44" s="419" t="s">
        <v>3622</v>
      </c>
      <c r="C44" s="416">
        <v>85</v>
      </c>
      <c r="D44" s="419"/>
      <c r="E44" s="420" t="s">
        <v>1370</v>
      </c>
      <c r="F44" s="419" t="s">
        <v>1789</v>
      </c>
      <c r="G44" s="613">
        <v>210</v>
      </c>
      <c r="H44" s="416"/>
    </row>
    <row r="45" spans="1:8">
      <c r="A45" s="389" t="s">
        <v>670</v>
      </c>
      <c r="B45" s="419" t="s">
        <v>1790</v>
      </c>
      <c r="C45" s="613">
        <v>27.95</v>
      </c>
      <c r="D45" s="419"/>
      <c r="E45" s="420" t="s">
        <v>1791</v>
      </c>
      <c r="F45" s="419" t="s">
        <v>1792</v>
      </c>
      <c r="G45" s="613">
        <v>160</v>
      </c>
      <c r="H45" s="416"/>
    </row>
    <row r="46" spans="1:8">
      <c r="A46" s="389" t="s">
        <v>1793</v>
      </c>
      <c r="B46" s="419" t="s">
        <v>1794</v>
      </c>
      <c r="C46" s="613">
        <v>453</v>
      </c>
      <c r="D46" s="419"/>
      <c r="E46" s="420" t="s">
        <v>1795</v>
      </c>
      <c r="F46" s="419" t="s">
        <v>1796</v>
      </c>
      <c r="G46" s="613">
        <v>270</v>
      </c>
      <c r="H46" s="416"/>
    </row>
    <row r="47" spans="1:8" ht="38.25">
      <c r="A47" s="514" t="s">
        <v>1797</v>
      </c>
      <c r="B47" s="419" t="s">
        <v>1371</v>
      </c>
      <c r="C47" s="621">
        <v>4025</v>
      </c>
      <c r="D47" s="419"/>
      <c r="E47" s="420" t="s">
        <v>1798</v>
      </c>
      <c r="F47" s="419" t="s">
        <v>1799</v>
      </c>
      <c r="G47" s="613">
        <v>843</v>
      </c>
      <c r="H47" s="416"/>
    </row>
    <row r="48" spans="1:8" ht="38.25">
      <c r="A48" s="389" t="s">
        <v>1800</v>
      </c>
      <c r="B48" s="419" t="s">
        <v>1425</v>
      </c>
      <c r="C48" s="613">
        <v>303</v>
      </c>
      <c r="D48" s="419"/>
      <c r="E48" s="420" t="s">
        <v>1423</v>
      </c>
      <c r="F48" s="419" t="s">
        <v>1422</v>
      </c>
      <c r="G48" s="613">
        <v>254</v>
      </c>
      <c r="H48" s="416"/>
    </row>
    <row r="49" spans="1:8">
      <c r="A49" s="389" t="s">
        <v>1801</v>
      </c>
      <c r="B49" s="419" t="s">
        <v>1427</v>
      </c>
      <c r="C49" s="613">
        <v>157</v>
      </c>
      <c r="D49" s="419"/>
      <c r="E49" s="420"/>
      <c r="F49" s="514"/>
      <c r="G49" s="419"/>
      <c r="H49" s="416"/>
    </row>
    <row r="50" spans="1:8">
      <c r="A50" s="389"/>
      <c r="B50" s="419"/>
      <c r="C50" s="416"/>
      <c r="D50" s="419"/>
      <c r="E50" s="420"/>
      <c r="F50" s="514"/>
      <c r="G50" s="419"/>
      <c r="H50" s="416"/>
    </row>
    <row r="51" spans="1:8">
      <c r="A51" s="514"/>
      <c r="B51" s="419"/>
      <c r="C51" s="419" t="s">
        <v>1750</v>
      </c>
      <c r="D51" s="419" t="s">
        <v>1802</v>
      </c>
      <c r="E51" s="420"/>
      <c r="F51" s="514"/>
      <c r="G51" s="419"/>
      <c r="H51" s="416"/>
    </row>
    <row r="52" spans="1:8">
      <c r="A52" s="389" t="s">
        <v>152</v>
      </c>
      <c r="B52" s="419"/>
      <c r="C52" s="621">
        <v>301</v>
      </c>
      <c r="D52" s="621">
        <v>672</v>
      </c>
      <c r="E52" s="741"/>
      <c r="F52" s="623"/>
      <c r="G52" s="419"/>
      <c r="H52" s="416"/>
    </row>
    <row r="53" spans="1:8">
      <c r="A53" s="389" t="s">
        <v>1803</v>
      </c>
      <c r="B53" s="419"/>
      <c r="C53" s="621">
        <v>67</v>
      </c>
      <c r="D53" s="621">
        <v>363</v>
      </c>
      <c r="E53" s="741"/>
      <c r="F53" s="623"/>
      <c r="G53" s="419"/>
      <c r="H53" s="416"/>
    </row>
    <row r="54" spans="1:8">
      <c r="A54" s="389" t="s">
        <v>1804</v>
      </c>
      <c r="B54" s="419"/>
      <c r="C54" s="621">
        <v>343</v>
      </c>
      <c r="D54" s="621">
        <v>1069</v>
      </c>
      <c r="E54" s="741"/>
      <c r="F54" s="623"/>
      <c r="G54" s="419"/>
      <c r="H54" s="416"/>
    </row>
    <row r="55" spans="1:8">
      <c r="A55" s="389" t="s">
        <v>1434</v>
      </c>
      <c r="B55" s="419"/>
      <c r="C55" s="621">
        <v>1453</v>
      </c>
      <c r="D55" s="621">
        <v>1620</v>
      </c>
      <c r="E55" s="741"/>
      <c r="F55" s="623"/>
      <c r="G55" s="419"/>
      <c r="H55" s="416"/>
    </row>
    <row r="56" spans="1:8">
      <c r="A56" s="514"/>
      <c r="B56" s="419"/>
      <c r="C56" s="621"/>
      <c r="D56" s="621" t="s">
        <v>161</v>
      </c>
      <c r="E56" s="621" t="s">
        <v>162</v>
      </c>
      <c r="F56" s="621" t="s">
        <v>163</v>
      </c>
      <c r="G56" s="419"/>
      <c r="H56" s="416"/>
    </row>
    <row r="57" spans="1:8">
      <c r="A57" s="389" t="s">
        <v>1433</v>
      </c>
      <c r="B57" s="419"/>
      <c r="C57" s="621">
        <v>371</v>
      </c>
      <c r="D57" s="621">
        <v>2415</v>
      </c>
      <c r="E57" s="621">
        <v>2657</v>
      </c>
      <c r="F57" s="621">
        <v>2898</v>
      </c>
      <c r="G57" s="419"/>
      <c r="H57" s="416"/>
    </row>
    <row r="58" spans="1:8">
      <c r="A58" s="389" t="s">
        <v>866</v>
      </c>
      <c r="B58" s="419"/>
      <c r="C58" s="621">
        <v>1233</v>
      </c>
      <c r="D58" s="621">
        <v>1720</v>
      </c>
      <c r="E58" s="621">
        <v>1892</v>
      </c>
      <c r="F58" s="621">
        <v>2064</v>
      </c>
      <c r="G58" s="419"/>
      <c r="H58" s="416"/>
    </row>
    <row r="59" spans="1:8">
      <c r="A59" s="389" t="s">
        <v>1539</v>
      </c>
      <c r="B59" s="419"/>
      <c r="C59" s="621">
        <v>243</v>
      </c>
      <c r="D59" s="621">
        <v>264</v>
      </c>
      <c r="E59" s="621">
        <v>290</v>
      </c>
      <c r="F59" s="621">
        <v>317</v>
      </c>
      <c r="G59" s="419"/>
      <c r="H59" s="416"/>
    </row>
    <row r="60" spans="1:8">
      <c r="A60" s="389" t="s">
        <v>1805</v>
      </c>
      <c r="B60" s="419"/>
      <c r="C60" s="621">
        <v>2179</v>
      </c>
      <c r="D60" s="621">
        <v>2027</v>
      </c>
      <c r="E60" s="621">
        <v>2230</v>
      </c>
      <c r="F60" s="621">
        <v>2432</v>
      </c>
      <c r="G60" s="419"/>
      <c r="H60" s="416"/>
    </row>
    <row r="61" spans="1:8">
      <c r="A61" s="389" t="s">
        <v>1806</v>
      </c>
      <c r="B61" s="419"/>
      <c r="C61" s="621">
        <v>247</v>
      </c>
      <c r="D61" s="621">
        <v>241</v>
      </c>
      <c r="E61" s="621">
        <v>265</v>
      </c>
      <c r="F61" s="621">
        <v>289</v>
      </c>
      <c r="G61" s="419"/>
      <c r="H61" s="416"/>
    </row>
    <row r="62" spans="1:8">
      <c r="A62" s="389" t="s">
        <v>1807</v>
      </c>
      <c r="B62" s="419"/>
      <c r="C62" s="621">
        <v>254</v>
      </c>
      <c r="D62" s="621">
        <v>248</v>
      </c>
      <c r="E62" s="621">
        <v>273</v>
      </c>
      <c r="F62" s="621">
        <v>298</v>
      </c>
      <c r="G62" s="419"/>
      <c r="H62" s="416"/>
    </row>
    <row r="63" spans="1:8">
      <c r="A63" s="514"/>
      <c r="B63" s="419"/>
      <c r="C63" s="419"/>
      <c r="D63" s="419"/>
      <c r="E63" s="420"/>
      <c r="F63" s="419"/>
      <c r="G63" s="419"/>
      <c r="H63" s="416"/>
    </row>
    <row r="64" spans="1:8">
      <c r="A64" s="514"/>
      <c r="B64" s="419"/>
      <c r="C64" s="419"/>
      <c r="D64" s="419"/>
      <c r="E64" s="420"/>
      <c r="F64" s="419"/>
      <c r="G64" s="419"/>
      <c r="H64" s="416"/>
    </row>
    <row r="65" spans="1:8">
      <c r="A65" s="514"/>
      <c r="B65" s="419"/>
      <c r="C65" s="419"/>
      <c r="D65" s="419"/>
      <c r="E65" s="420"/>
      <c r="F65" s="514"/>
      <c r="G65" s="419"/>
      <c r="H65" s="416"/>
    </row>
    <row r="66" spans="1:8" ht="24">
      <c r="A66" s="421" t="s">
        <v>1808</v>
      </c>
      <c r="B66" s="419" t="s">
        <v>1809</v>
      </c>
      <c r="C66" s="613">
        <v>1979</v>
      </c>
      <c r="D66" s="419"/>
      <c r="E66" s="420"/>
      <c r="F66" s="514" t="s">
        <v>1810</v>
      </c>
      <c r="G66" s="419" t="s">
        <v>1811</v>
      </c>
      <c r="H66" s="613">
        <v>8.5</v>
      </c>
    </row>
    <row r="67" spans="1:8" ht="24">
      <c r="A67" s="421" t="s">
        <v>1812</v>
      </c>
      <c r="B67" s="419" t="s">
        <v>1813</v>
      </c>
      <c r="C67" s="613">
        <v>2468</v>
      </c>
      <c r="D67" s="419"/>
      <c r="E67" s="420"/>
      <c r="F67" s="514" t="s">
        <v>1814</v>
      </c>
      <c r="G67" s="419" t="s">
        <v>1815</v>
      </c>
      <c r="H67" s="613">
        <v>1</v>
      </c>
    </row>
    <row r="68" spans="1:8">
      <c r="A68" s="421" t="s">
        <v>1816</v>
      </c>
      <c r="B68" s="419" t="s">
        <v>1817</v>
      </c>
      <c r="C68" s="613">
        <v>850</v>
      </c>
      <c r="D68" s="419"/>
      <c r="E68" s="420"/>
      <c r="F68" s="421" t="s">
        <v>1818</v>
      </c>
      <c r="G68" s="419" t="s">
        <v>1819</v>
      </c>
      <c r="H68" s="613">
        <v>59</v>
      </c>
    </row>
    <row r="69" spans="1:8">
      <c r="A69" s="514" t="s">
        <v>1820</v>
      </c>
      <c r="B69" s="419" t="s">
        <v>1821</v>
      </c>
      <c r="C69" s="613">
        <v>1036</v>
      </c>
      <c r="D69" s="419"/>
      <c r="E69" s="420"/>
      <c r="F69" s="421" t="s">
        <v>1822</v>
      </c>
      <c r="G69" s="419" t="s">
        <v>1823</v>
      </c>
      <c r="H69" s="613">
        <v>94</v>
      </c>
    </row>
    <row r="70" spans="1:8">
      <c r="A70" s="514" t="s">
        <v>1824</v>
      </c>
      <c r="B70" s="419" t="s">
        <v>1825</v>
      </c>
      <c r="C70" s="613">
        <v>2644</v>
      </c>
      <c r="D70" s="419"/>
      <c r="E70" s="420"/>
      <c r="F70" s="421" t="s">
        <v>1826</v>
      </c>
      <c r="G70" s="419" t="s">
        <v>1827</v>
      </c>
      <c r="H70" s="613">
        <v>136</v>
      </c>
    </row>
    <row r="71" spans="1:8">
      <c r="A71" s="514" t="s">
        <v>1828</v>
      </c>
      <c r="B71" s="419" t="s">
        <v>1829</v>
      </c>
      <c r="C71" s="613">
        <v>1519</v>
      </c>
      <c r="D71" s="419"/>
      <c r="E71" s="420"/>
      <c r="F71" s="421" t="s">
        <v>1830</v>
      </c>
      <c r="G71" s="419" t="s">
        <v>1831</v>
      </c>
      <c r="H71" s="613">
        <v>214</v>
      </c>
    </row>
    <row r="72" spans="1:8">
      <c r="A72" s="514" t="s">
        <v>1832</v>
      </c>
      <c r="B72" s="419" t="s">
        <v>1833</v>
      </c>
      <c r="C72" s="613">
        <v>387</v>
      </c>
      <c r="D72" s="419"/>
      <c r="E72" s="420"/>
      <c r="F72" s="421" t="s">
        <v>1834</v>
      </c>
      <c r="G72" s="419" t="s">
        <v>1835</v>
      </c>
      <c r="H72" s="613">
        <v>35</v>
      </c>
    </row>
    <row r="73" spans="1:8">
      <c r="A73" s="514" t="s">
        <v>1836</v>
      </c>
      <c r="B73" s="419" t="s">
        <v>1837</v>
      </c>
      <c r="C73" s="613">
        <v>95</v>
      </c>
      <c r="D73" s="419"/>
      <c r="E73" s="420"/>
      <c r="F73" s="514" t="s">
        <v>1838</v>
      </c>
      <c r="G73" s="419" t="s">
        <v>1839</v>
      </c>
      <c r="H73" s="613">
        <v>33</v>
      </c>
    </row>
    <row r="74" spans="1:8">
      <c r="A74" s="514" t="s">
        <v>1840</v>
      </c>
      <c r="B74" s="419" t="s">
        <v>1841</v>
      </c>
      <c r="C74" s="613">
        <v>24</v>
      </c>
      <c r="D74" s="419"/>
      <c r="E74" s="420"/>
      <c r="F74" s="514" t="s">
        <v>1842</v>
      </c>
      <c r="G74" s="419" t="s">
        <v>1843</v>
      </c>
      <c r="H74" s="613">
        <v>1165</v>
      </c>
    </row>
    <row r="75" spans="1:8">
      <c r="A75" s="514" t="s">
        <v>1444</v>
      </c>
      <c r="B75" s="419" t="s">
        <v>1844</v>
      </c>
      <c r="C75" s="613">
        <v>93</v>
      </c>
      <c r="D75" s="419"/>
      <c r="E75" s="420"/>
      <c r="F75" s="514" t="s">
        <v>1845</v>
      </c>
      <c r="G75" s="419" t="s">
        <v>1846</v>
      </c>
      <c r="H75" s="613">
        <v>77</v>
      </c>
    </row>
    <row r="76" spans="1:8" ht="25.5">
      <c r="A76" s="514" t="s">
        <v>1847</v>
      </c>
      <c r="B76" s="419" t="s">
        <v>1848</v>
      </c>
      <c r="C76" s="613">
        <v>32</v>
      </c>
      <c r="D76" s="419"/>
      <c r="E76" s="420"/>
      <c r="F76" s="514" t="s">
        <v>1849</v>
      </c>
      <c r="G76" s="419" t="s">
        <v>1850</v>
      </c>
      <c r="H76" s="613">
        <v>17</v>
      </c>
    </row>
    <row r="77" spans="1:8" ht="25.5">
      <c r="A77" s="514" t="s">
        <v>1851</v>
      </c>
      <c r="B77" s="419" t="s">
        <v>1852</v>
      </c>
      <c r="C77" s="613">
        <v>128</v>
      </c>
      <c r="D77" s="419"/>
      <c r="E77" s="420"/>
      <c r="F77" s="514"/>
      <c r="G77" s="419"/>
      <c r="H77" s="416"/>
    </row>
    <row r="78" spans="1:8">
      <c r="A78" s="514" t="s">
        <v>1441</v>
      </c>
      <c r="B78" s="419" t="s">
        <v>1853</v>
      </c>
      <c r="C78" s="613">
        <v>447</v>
      </c>
      <c r="D78" s="419"/>
      <c r="E78" s="420"/>
      <c r="F78" s="514"/>
      <c r="G78" s="419"/>
      <c r="H78" s="416"/>
    </row>
    <row r="79" spans="1:8" ht="25.5">
      <c r="A79" s="514" t="s">
        <v>1442</v>
      </c>
      <c r="B79" s="419" t="s">
        <v>1854</v>
      </c>
      <c r="C79" s="613">
        <v>425</v>
      </c>
      <c r="D79" s="419"/>
      <c r="E79" s="420"/>
      <c r="F79" s="514" t="s">
        <v>2256</v>
      </c>
      <c r="G79" s="419" t="s">
        <v>2257</v>
      </c>
      <c r="H79" s="416">
        <v>390</v>
      </c>
    </row>
    <row r="80" spans="1:8">
      <c r="A80" s="514" t="s">
        <v>1443</v>
      </c>
      <c r="B80" s="419" t="s">
        <v>1855</v>
      </c>
      <c r="C80" s="613">
        <v>267</v>
      </c>
      <c r="D80" s="419"/>
      <c r="E80" s="420"/>
      <c r="F80" s="514" t="s">
        <v>2258</v>
      </c>
      <c r="G80" s="419" t="s">
        <v>2259</v>
      </c>
      <c r="H80" s="416">
        <v>220</v>
      </c>
    </row>
    <row r="81" spans="1:8">
      <c r="A81" s="514" t="s">
        <v>1856</v>
      </c>
      <c r="B81" s="419" t="s">
        <v>1857</v>
      </c>
      <c r="C81" s="613">
        <v>79</v>
      </c>
      <c r="D81" s="419"/>
      <c r="E81" s="420"/>
      <c r="F81" s="514"/>
      <c r="G81" s="419"/>
      <c r="H81" s="416"/>
    </row>
    <row r="82" spans="1:8">
      <c r="A82" s="514" t="s">
        <v>1858</v>
      </c>
      <c r="B82" s="419" t="s">
        <v>1859</v>
      </c>
      <c r="C82" s="613">
        <v>1644</v>
      </c>
      <c r="D82" s="419"/>
      <c r="E82" s="420"/>
      <c r="F82" s="514"/>
      <c r="G82" s="419"/>
      <c r="H82" s="416"/>
    </row>
    <row r="83" spans="1:8">
      <c r="A83" s="514" t="s">
        <v>1860</v>
      </c>
      <c r="B83" s="419" t="s">
        <v>1861</v>
      </c>
      <c r="C83" s="613">
        <v>4166</v>
      </c>
      <c r="D83" s="419"/>
      <c r="E83" s="420"/>
      <c r="F83" s="514"/>
      <c r="G83" s="419"/>
      <c r="H83" s="416"/>
    </row>
    <row r="84" spans="1:8">
      <c r="A84" s="514"/>
      <c r="B84" s="419"/>
      <c r="C84" s="419"/>
      <c r="D84" s="419"/>
      <c r="E84" s="420"/>
      <c r="F84" s="514"/>
      <c r="G84" s="419"/>
      <c r="H84" s="416"/>
    </row>
    <row r="85" spans="1:8">
      <c r="A85" s="514"/>
      <c r="B85" s="419"/>
      <c r="C85" s="419"/>
      <c r="D85" s="419"/>
      <c r="E85" s="420"/>
      <c r="F85" s="514"/>
      <c r="G85" s="419"/>
      <c r="H85" s="416"/>
    </row>
    <row r="86" spans="1:8">
      <c r="A86" s="514" t="s">
        <v>1862</v>
      </c>
      <c r="B86" s="419" t="s">
        <v>1863</v>
      </c>
      <c r="C86" s="613">
        <v>446.4</v>
      </c>
      <c r="D86" s="419"/>
      <c r="E86" s="420"/>
      <c r="F86" s="514"/>
      <c r="G86" s="419"/>
      <c r="H86" s="416"/>
    </row>
    <row r="87" spans="1:8">
      <c r="A87" s="514" t="s">
        <v>1864</v>
      </c>
      <c r="B87" s="419"/>
      <c r="C87" s="613">
        <v>477.6</v>
      </c>
      <c r="D87" s="419"/>
      <c r="E87" s="420"/>
      <c r="F87" s="514"/>
      <c r="G87" s="419"/>
      <c r="H87" s="416"/>
    </row>
    <row r="88" spans="1:8">
      <c r="A88" s="514" t="s">
        <v>1865</v>
      </c>
      <c r="B88" s="419"/>
      <c r="C88" s="613">
        <v>535.70000000000005</v>
      </c>
      <c r="D88" s="419"/>
      <c r="E88" s="420"/>
      <c r="F88" s="514"/>
      <c r="G88" s="419"/>
      <c r="H88" s="416"/>
    </row>
    <row r="89" spans="1:8">
      <c r="A89" s="514" t="s">
        <v>1866</v>
      </c>
      <c r="B89" s="419" t="s">
        <v>1867</v>
      </c>
      <c r="C89" s="613">
        <v>26730</v>
      </c>
      <c r="D89" s="419"/>
      <c r="E89" s="420"/>
      <c r="F89" s="514"/>
      <c r="G89" s="419"/>
      <c r="H89" s="416"/>
    </row>
    <row r="90" spans="1:8">
      <c r="A90" s="514" t="s">
        <v>1866</v>
      </c>
      <c r="B90" s="419" t="s">
        <v>1868</v>
      </c>
      <c r="C90" s="613">
        <v>18370</v>
      </c>
      <c r="D90" s="419"/>
      <c r="E90" s="420"/>
      <c r="F90" s="514"/>
      <c r="G90" s="419"/>
      <c r="H90" s="416"/>
    </row>
    <row r="91" spans="1:8">
      <c r="A91" s="514" t="s">
        <v>1869</v>
      </c>
      <c r="B91" s="419" t="s">
        <v>1870</v>
      </c>
      <c r="C91" s="613">
        <v>325</v>
      </c>
      <c r="D91" s="419"/>
      <c r="E91" s="420"/>
      <c r="F91" s="514"/>
      <c r="G91" s="419"/>
      <c r="H91" s="416"/>
    </row>
    <row r="92" spans="1:8">
      <c r="A92" s="514" t="s">
        <v>1871</v>
      </c>
      <c r="B92" s="419" t="s">
        <v>1872</v>
      </c>
      <c r="C92" s="613">
        <v>85</v>
      </c>
      <c r="D92" s="419"/>
      <c r="E92" s="420"/>
      <c r="F92" s="514"/>
      <c r="G92" s="419"/>
      <c r="H92" s="416"/>
    </row>
    <row r="93" spans="1:8">
      <c r="A93" s="514" t="s">
        <v>1873</v>
      </c>
      <c r="B93" s="419" t="s">
        <v>1874</v>
      </c>
      <c r="C93" s="613">
        <v>194</v>
      </c>
      <c r="D93" s="419"/>
      <c r="E93" s="420"/>
      <c r="F93" s="514"/>
      <c r="G93" s="419"/>
      <c r="H93" s="416"/>
    </row>
    <row r="94" spans="1:8">
      <c r="A94" s="514" t="s">
        <v>1445</v>
      </c>
      <c r="B94" s="419" t="s">
        <v>1870</v>
      </c>
      <c r="C94" s="613">
        <v>300</v>
      </c>
      <c r="D94" s="419"/>
      <c r="E94" s="420"/>
      <c r="F94" s="514"/>
      <c r="G94" s="419"/>
      <c r="H94" s="416"/>
    </row>
    <row r="95" spans="1:8">
      <c r="A95" s="514" t="s">
        <v>1875</v>
      </c>
      <c r="B95" s="419" t="s">
        <v>1870</v>
      </c>
      <c r="C95" s="613">
        <v>400</v>
      </c>
      <c r="D95" s="419"/>
      <c r="E95" s="420"/>
      <c r="F95" s="514"/>
      <c r="G95" s="419"/>
      <c r="H95" s="416"/>
    </row>
    <row r="96" spans="1:8">
      <c r="A96" s="514" t="s">
        <v>1876</v>
      </c>
      <c r="B96" s="419" t="s">
        <v>1877</v>
      </c>
      <c r="C96" s="613">
        <v>77</v>
      </c>
      <c r="D96" s="419"/>
      <c r="E96" s="420"/>
      <c r="F96" s="514"/>
      <c r="G96" s="419"/>
      <c r="H96" s="416"/>
    </row>
    <row r="97" spans="1:8">
      <c r="A97" s="514" t="s">
        <v>1878</v>
      </c>
      <c r="B97" s="419" t="s">
        <v>1879</v>
      </c>
      <c r="C97" s="613">
        <v>105</v>
      </c>
      <c r="D97" s="419"/>
      <c r="E97" s="420"/>
      <c r="F97" s="514"/>
      <c r="G97" s="419"/>
      <c r="H97" s="416"/>
    </row>
    <row r="98" spans="1:8">
      <c r="A98" s="514" t="s">
        <v>1880</v>
      </c>
      <c r="B98" s="419" t="s">
        <v>1881</v>
      </c>
      <c r="C98" s="613">
        <v>5445</v>
      </c>
      <c r="D98" s="419"/>
      <c r="E98" s="420"/>
      <c r="F98" s="514"/>
      <c r="G98" s="419"/>
      <c r="H98" s="416"/>
    </row>
    <row r="99" spans="1:8" ht="22.5">
      <c r="A99" s="422" t="s">
        <v>1497</v>
      </c>
      <c r="B99" s="423" t="s">
        <v>3163</v>
      </c>
      <c r="C99" s="416">
        <v>78</v>
      </c>
      <c r="D99" s="419"/>
      <c r="E99" s="420"/>
      <c r="F99" s="514"/>
      <c r="G99" s="419"/>
      <c r="H99" s="416"/>
    </row>
    <row r="100" spans="1:8" ht="22.5">
      <c r="A100" s="422" t="s">
        <v>1497</v>
      </c>
      <c r="B100" s="423" t="s">
        <v>1501</v>
      </c>
      <c r="C100" s="613">
        <v>26</v>
      </c>
      <c r="D100" s="419"/>
      <c r="E100" s="420"/>
      <c r="F100" s="514"/>
      <c r="G100" s="419"/>
      <c r="H100" s="416"/>
    </row>
    <row r="101" spans="1:8">
      <c r="A101" s="422" t="s">
        <v>1498</v>
      </c>
      <c r="B101" s="423" t="s">
        <v>1502</v>
      </c>
      <c r="C101" s="613">
        <v>11</v>
      </c>
      <c r="D101" s="419"/>
      <c r="E101" s="420"/>
      <c r="F101" s="514"/>
      <c r="G101" s="419"/>
      <c r="H101" s="416"/>
    </row>
    <row r="102" spans="1:8" ht="22.5">
      <c r="A102" s="422" t="s">
        <v>1507</v>
      </c>
      <c r="B102" s="423" t="s">
        <v>1503</v>
      </c>
      <c r="C102" s="613">
        <v>34</v>
      </c>
      <c r="D102" s="419"/>
      <c r="E102" s="420"/>
      <c r="F102" s="514"/>
      <c r="G102" s="419"/>
      <c r="H102" s="416"/>
    </row>
    <row r="103" spans="1:8">
      <c r="A103" s="424" t="s">
        <v>1505</v>
      </c>
      <c r="B103" s="423" t="s">
        <v>1509</v>
      </c>
      <c r="C103" s="613">
        <v>36</v>
      </c>
      <c r="D103" s="419"/>
      <c r="E103" s="420"/>
      <c r="F103" s="514"/>
      <c r="G103" s="419"/>
      <c r="H103" s="416"/>
    </row>
    <row r="104" spans="1:8">
      <c r="A104" s="514" t="s">
        <v>1882</v>
      </c>
      <c r="B104" s="419" t="s">
        <v>1883</v>
      </c>
      <c r="C104" s="613">
        <v>64</v>
      </c>
      <c r="D104" s="419"/>
      <c r="E104" s="420"/>
      <c r="F104" s="514"/>
      <c r="G104" s="419"/>
      <c r="H104" s="416"/>
    </row>
    <row r="105" spans="1:8">
      <c r="A105" s="514"/>
      <c r="B105" s="419"/>
      <c r="C105" s="419" t="s">
        <v>1884</v>
      </c>
      <c r="D105" s="514"/>
      <c r="E105" s="419" t="s">
        <v>1885</v>
      </c>
      <c r="F105" s="514"/>
      <c r="G105" s="419"/>
      <c r="H105" s="416"/>
    </row>
    <row r="106" spans="1:8">
      <c r="A106" s="514" t="s">
        <v>1446</v>
      </c>
      <c r="B106" s="419" t="s">
        <v>1886</v>
      </c>
      <c r="C106" s="613">
        <v>245</v>
      </c>
      <c r="D106" s="621" t="s">
        <v>1887</v>
      </c>
      <c r="E106" s="613">
        <v>209</v>
      </c>
      <c r="F106" s="514"/>
      <c r="G106" s="419"/>
      <c r="H106" s="416"/>
    </row>
    <row r="107" spans="1:8">
      <c r="A107" s="514" t="s">
        <v>1447</v>
      </c>
      <c r="B107" s="419" t="s">
        <v>1888</v>
      </c>
      <c r="C107" s="613">
        <v>203</v>
      </c>
      <c r="D107" s="621" t="s">
        <v>1889</v>
      </c>
      <c r="E107" s="613">
        <v>171</v>
      </c>
      <c r="F107" s="514"/>
      <c r="G107" s="419"/>
      <c r="H107" s="416"/>
    </row>
    <row r="108" spans="1:8">
      <c r="A108" s="514" t="s">
        <v>1448</v>
      </c>
      <c r="B108" s="419" t="s">
        <v>1890</v>
      </c>
      <c r="C108" s="613">
        <v>155</v>
      </c>
      <c r="D108" s="621" t="s">
        <v>1891</v>
      </c>
      <c r="E108" s="613">
        <v>132</v>
      </c>
      <c r="F108" s="514"/>
      <c r="G108" s="419"/>
      <c r="H108" s="416"/>
    </row>
    <row r="109" spans="1:8">
      <c r="A109" s="514" t="s">
        <v>1450</v>
      </c>
      <c r="B109" s="419" t="s">
        <v>1892</v>
      </c>
      <c r="C109" s="613">
        <v>114</v>
      </c>
      <c r="D109" s="621" t="s">
        <v>1893</v>
      </c>
      <c r="E109" s="613">
        <v>88</v>
      </c>
      <c r="F109" s="514"/>
      <c r="G109" s="419"/>
      <c r="H109" s="416"/>
    </row>
    <row r="110" spans="1:8">
      <c r="A110" s="514" t="s">
        <v>1894</v>
      </c>
      <c r="B110" s="419"/>
      <c r="C110" s="613">
        <f>C106+C108</f>
        <v>400</v>
      </c>
      <c r="D110" s="621"/>
      <c r="E110" s="613">
        <f>E106+E108</f>
        <v>341</v>
      </c>
      <c r="F110" s="514"/>
      <c r="G110" s="419"/>
      <c r="H110" s="416"/>
    </row>
    <row r="111" spans="1:8">
      <c r="A111" s="514" t="s">
        <v>1895</v>
      </c>
      <c r="B111" s="419"/>
      <c r="C111" s="613">
        <f>C106+C109</f>
        <v>359</v>
      </c>
      <c r="D111" s="621"/>
      <c r="E111" s="613">
        <f>E106+E109</f>
        <v>297</v>
      </c>
      <c r="F111" s="514"/>
      <c r="G111" s="419"/>
      <c r="H111" s="416"/>
    </row>
    <row r="112" spans="1:8">
      <c r="A112" s="514" t="s">
        <v>1896</v>
      </c>
      <c r="B112" s="419" t="s">
        <v>1897</v>
      </c>
      <c r="C112" s="613">
        <v>68</v>
      </c>
      <c r="D112" s="621" t="s">
        <v>1898</v>
      </c>
      <c r="E112" s="613">
        <v>66</v>
      </c>
      <c r="F112" s="514"/>
      <c r="G112" s="419"/>
      <c r="H112" s="416"/>
    </row>
    <row r="113" spans="1:8">
      <c r="A113" s="514"/>
      <c r="B113" s="419"/>
      <c r="C113" s="419"/>
      <c r="D113" s="419"/>
      <c r="E113" s="420"/>
      <c r="F113" s="514"/>
      <c r="G113" s="419"/>
      <c r="H113" s="416"/>
    </row>
    <row r="114" spans="1:8" ht="25.5">
      <c r="A114" s="514" t="s">
        <v>1899</v>
      </c>
      <c r="B114" s="419" t="s">
        <v>1900</v>
      </c>
      <c r="C114" s="613">
        <v>21</v>
      </c>
      <c r="D114" s="419"/>
      <c r="E114" s="420" t="s">
        <v>1901</v>
      </c>
      <c r="F114" s="514" t="s">
        <v>1902</v>
      </c>
      <c r="G114" s="613">
        <v>21</v>
      </c>
      <c r="H114" s="416"/>
    </row>
    <row r="115" spans="1:8" ht="25.5">
      <c r="A115" s="514" t="s">
        <v>1453</v>
      </c>
      <c r="B115" s="419" t="s">
        <v>1903</v>
      </c>
      <c r="C115" s="613">
        <v>1634</v>
      </c>
      <c r="D115" s="419"/>
      <c r="E115" s="420" t="s">
        <v>1904</v>
      </c>
      <c r="F115" s="514" t="s">
        <v>1905</v>
      </c>
      <c r="G115" s="613">
        <v>46</v>
      </c>
      <c r="H115" s="416"/>
    </row>
    <row r="116" spans="1:8" ht="25.5">
      <c r="A116" s="514" t="s">
        <v>1906</v>
      </c>
      <c r="B116" s="419" t="s">
        <v>1907</v>
      </c>
      <c r="C116" s="613">
        <v>18</v>
      </c>
      <c r="D116" s="419"/>
      <c r="E116" s="420" t="s">
        <v>1908</v>
      </c>
      <c r="F116" s="514" t="s">
        <v>1909</v>
      </c>
      <c r="G116" s="613">
        <v>1244</v>
      </c>
      <c r="H116" s="416"/>
    </row>
    <row r="117" spans="1:8" ht="25.5">
      <c r="A117" s="514" t="s">
        <v>1910</v>
      </c>
      <c r="B117" s="419" t="s">
        <v>1911</v>
      </c>
      <c r="C117" s="613">
        <v>21</v>
      </c>
      <c r="D117" s="419"/>
      <c r="E117" s="420" t="s">
        <v>1912</v>
      </c>
      <c r="F117" s="514" t="s">
        <v>1913</v>
      </c>
      <c r="G117" s="613">
        <v>208</v>
      </c>
      <c r="H117" s="416"/>
    </row>
    <row r="118" spans="1:8">
      <c r="A118" s="514" t="s">
        <v>1914</v>
      </c>
      <c r="B118" s="419" t="s">
        <v>1915</v>
      </c>
      <c r="C118" s="613">
        <v>27</v>
      </c>
      <c r="D118" s="419"/>
      <c r="E118" s="420" t="s">
        <v>1916</v>
      </c>
      <c r="F118" s="514" t="s">
        <v>1917</v>
      </c>
      <c r="G118" s="613">
        <v>2912</v>
      </c>
      <c r="H118" s="416"/>
    </row>
    <row r="119" spans="1:8" ht="38.25">
      <c r="A119" s="514" t="s">
        <v>1918</v>
      </c>
      <c r="B119" s="419" t="s">
        <v>1919</v>
      </c>
      <c r="C119" s="613">
        <v>1375</v>
      </c>
      <c r="D119" s="419"/>
      <c r="E119" s="420" t="s">
        <v>1920</v>
      </c>
      <c r="F119" s="514" t="s">
        <v>1921</v>
      </c>
      <c r="G119" s="613">
        <v>111</v>
      </c>
      <c r="H119" s="416"/>
    </row>
    <row r="120" spans="1:8">
      <c r="A120" s="514" t="s">
        <v>1922</v>
      </c>
      <c r="B120" s="419" t="s">
        <v>1923</v>
      </c>
      <c r="C120" s="613">
        <v>22</v>
      </c>
      <c r="D120" s="419"/>
      <c r="E120" s="420" t="s">
        <v>1573</v>
      </c>
      <c r="F120" s="514" t="s">
        <v>1924</v>
      </c>
      <c r="G120" s="613">
        <v>39</v>
      </c>
      <c r="H120" s="416"/>
    </row>
    <row r="121" spans="1:8" ht="51">
      <c r="A121" s="514" t="s">
        <v>1925</v>
      </c>
      <c r="B121" s="419" t="s">
        <v>1926</v>
      </c>
      <c r="C121" s="613">
        <v>48</v>
      </c>
      <c r="D121" s="419"/>
      <c r="E121" s="420" t="s">
        <v>1927</v>
      </c>
      <c r="F121" s="514" t="s">
        <v>1928</v>
      </c>
      <c r="G121" s="613">
        <v>267</v>
      </c>
      <c r="H121" s="416"/>
    </row>
    <row r="122" spans="1:8" ht="22.5">
      <c r="A122" s="514" t="s">
        <v>1929</v>
      </c>
      <c r="B122" s="419" t="s">
        <v>1930</v>
      </c>
      <c r="C122" s="613">
        <v>127</v>
      </c>
      <c r="D122" s="419"/>
      <c r="E122" s="422" t="s">
        <v>1931</v>
      </c>
      <c r="F122" s="514" t="s">
        <v>1932</v>
      </c>
      <c r="G122" s="613">
        <v>1107</v>
      </c>
      <c r="H122" s="416"/>
    </row>
    <row r="123" spans="1:8" ht="38.25">
      <c r="A123" s="514" t="s">
        <v>1933</v>
      </c>
      <c r="B123" s="419" t="s">
        <v>1934</v>
      </c>
      <c r="C123" s="613">
        <v>127</v>
      </c>
      <c r="D123" s="419"/>
      <c r="E123" s="425" t="s">
        <v>1935</v>
      </c>
      <c r="F123" s="514" t="s">
        <v>1936</v>
      </c>
      <c r="G123" s="613">
        <v>455</v>
      </c>
      <c r="H123" s="416"/>
    </row>
    <row r="124" spans="1:8" ht="25.5">
      <c r="A124" s="514" t="s">
        <v>1937</v>
      </c>
      <c r="B124" s="419" t="s">
        <v>1938</v>
      </c>
      <c r="C124" s="613">
        <v>94</v>
      </c>
      <c r="D124" s="419"/>
      <c r="E124" s="425" t="s">
        <v>1939</v>
      </c>
      <c r="F124" s="514" t="s">
        <v>1940</v>
      </c>
      <c r="G124" s="613">
        <v>240</v>
      </c>
      <c r="H124" s="416"/>
    </row>
    <row r="125" spans="1:8" ht="45">
      <c r="A125" s="514" t="s">
        <v>1941</v>
      </c>
      <c r="B125" s="419" t="s">
        <v>1942</v>
      </c>
      <c r="C125" s="613">
        <v>143</v>
      </c>
      <c r="D125" s="419"/>
      <c r="E125" s="422" t="s">
        <v>1943</v>
      </c>
      <c r="F125" s="514" t="s">
        <v>1944</v>
      </c>
      <c r="G125" s="613">
        <v>119</v>
      </c>
      <c r="H125" s="416"/>
    </row>
    <row r="126" spans="1:8" ht="56.25">
      <c r="A126" s="514" t="s">
        <v>1658</v>
      </c>
      <c r="B126" s="419" t="s">
        <v>1945</v>
      </c>
      <c r="C126" s="613">
        <v>95</v>
      </c>
      <c r="D126" s="419"/>
      <c r="E126" s="425" t="s">
        <v>1946</v>
      </c>
      <c r="F126" s="514" t="s">
        <v>1947</v>
      </c>
      <c r="G126" s="613">
        <v>6674</v>
      </c>
      <c r="H126" s="416"/>
    </row>
    <row r="127" spans="1:8" ht="25.5">
      <c r="A127" s="514" t="s">
        <v>1948</v>
      </c>
      <c r="B127" s="419" t="s">
        <v>1949</v>
      </c>
      <c r="C127" s="613">
        <v>77</v>
      </c>
      <c r="D127" s="419"/>
      <c r="E127" s="425" t="s">
        <v>1950</v>
      </c>
      <c r="F127" s="514" t="s">
        <v>1951</v>
      </c>
      <c r="G127" s="613">
        <v>230</v>
      </c>
      <c r="H127" s="416"/>
    </row>
    <row r="128" spans="1:8" ht="33.75">
      <c r="A128" s="514" t="s">
        <v>1952</v>
      </c>
      <c r="B128" s="419" t="s">
        <v>2085</v>
      </c>
      <c r="C128" s="613">
        <v>1977</v>
      </c>
      <c r="D128" s="419"/>
      <c r="E128" s="426" t="s">
        <v>1953</v>
      </c>
      <c r="F128" s="514" t="s">
        <v>1954</v>
      </c>
      <c r="G128" s="613">
        <v>425</v>
      </c>
      <c r="H128" s="416"/>
    </row>
    <row r="129" spans="1:8" ht="25.5">
      <c r="A129" s="514" t="s">
        <v>1955</v>
      </c>
      <c r="B129" s="419" t="s">
        <v>1956</v>
      </c>
      <c r="C129" s="613">
        <v>3193</v>
      </c>
      <c r="D129" s="419"/>
      <c r="E129" s="422" t="s">
        <v>1957</v>
      </c>
      <c r="F129" s="514" t="s">
        <v>1958</v>
      </c>
      <c r="G129" s="613">
        <v>79</v>
      </c>
      <c r="H129" s="416"/>
    </row>
    <row r="130" spans="1:8" ht="25.5">
      <c r="A130" s="514" t="s">
        <v>1959</v>
      </c>
      <c r="B130" s="419" t="s">
        <v>1960</v>
      </c>
      <c r="C130" s="613">
        <v>4875</v>
      </c>
      <c r="D130" s="419"/>
      <c r="E130" s="422" t="s">
        <v>1961</v>
      </c>
      <c r="F130" s="514" t="s">
        <v>1962</v>
      </c>
      <c r="G130" s="613">
        <v>79</v>
      </c>
      <c r="H130" s="416"/>
    </row>
    <row r="131" spans="1:8" ht="45">
      <c r="A131" s="514" t="s">
        <v>1963</v>
      </c>
      <c r="B131" s="419" t="s">
        <v>1964</v>
      </c>
      <c r="C131" s="613">
        <v>1816</v>
      </c>
      <c r="D131" s="419"/>
      <c r="E131" s="426" t="s">
        <v>1965</v>
      </c>
      <c r="F131" s="514" t="s">
        <v>1966</v>
      </c>
      <c r="G131" s="613">
        <v>8</v>
      </c>
      <c r="H131" s="416"/>
    </row>
    <row r="132" spans="1:8" ht="33.75">
      <c r="A132" s="514" t="s">
        <v>1967</v>
      </c>
      <c r="B132" s="419" t="s">
        <v>1968</v>
      </c>
      <c r="C132" s="613">
        <v>79</v>
      </c>
      <c r="D132" s="419"/>
      <c r="E132" s="426" t="s">
        <v>1969</v>
      </c>
      <c r="F132" s="514" t="s">
        <v>1970</v>
      </c>
      <c r="G132" s="613">
        <v>14</v>
      </c>
      <c r="H132" s="416"/>
    </row>
    <row r="133" spans="1:8" ht="22.5">
      <c r="A133" s="514" t="s">
        <v>1971</v>
      </c>
      <c r="B133" s="419" t="s">
        <v>1972</v>
      </c>
      <c r="C133" s="613">
        <v>520</v>
      </c>
      <c r="D133" s="419"/>
      <c r="E133" s="426" t="s">
        <v>1973</v>
      </c>
      <c r="F133" s="514" t="s">
        <v>1425</v>
      </c>
      <c r="G133" s="613">
        <v>303</v>
      </c>
      <c r="H133" s="416"/>
    </row>
    <row r="134" spans="1:8" ht="45">
      <c r="A134" s="514" t="s">
        <v>2083</v>
      </c>
      <c r="B134" s="419" t="s">
        <v>2084</v>
      </c>
      <c r="C134" s="613">
        <v>1375</v>
      </c>
      <c r="D134" s="419"/>
      <c r="E134" s="426" t="s">
        <v>1974</v>
      </c>
      <c r="F134" s="514" t="s">
        <v>1427</v>
      </c>
      <c r="G134" s="613">
        <v>157</v>
      </c>
      <c r="H134" s="416"/>
    </row>
    <row r="135" spans="1:8">
      <c r="A135" s="514"/>
      <c r="B135" s="419"/>
      <c r="C135" s="419"/>
      <c r="D135" s="419"/>
      <c r="E135" s="426" t="s">
        <v>1975</v>
      </c>
      <c r="F135" s="514" t="s">
        <v>1976</v>
      </c>
      <c r="G135" s="613">
        <v>24</v>
      </c>
      <c r="H135" s="416"/>
    </row>
    <row r="136" spans="1:8">
      <c r="A136" s="514"/>
      <c r="B136" s="419"/>
      <c r="C136" s="419"/>
      <c r="D136" s="419"/>
      <c r="E136" s="426" t="s">
        <v>1977</v>
      </c>
      <c r="F136" s="514" t="s">
        <v>1978</v>
      </c>
      <c r="G136" s="613">
        <v>19</v>
      </c>
      <c r="H136" s="416"/>
    </row>
    <row r="137" spans="1:8" ht="22.5">
      <c r="A137" s="514"/>
      <c r="B137" s="419"/>
      <c r="C137" s="419"/>
      <c r="D137" s="419"/>
      <c r="E137" s="422" t="s">
        <v>1979</v>
      </c>
      <c r="F137" s="514" t="s">
        <v>1980</v>
      </c>
      <c r="G137" s="613">
        <v>303</v>
      </c>
      <c r="H137" s="416"/>
    </row>
    <row r="138" spans="1:8" ht="22.5">
      <c r="A138" s="514"/>
      <c r="B138" s="419"/>
      <c r="C138" s="419"/>
      <c r="D138" s="419"/>
      <c r="E138" s="422" t="s">
        <v>1979</v>
      </c>
      <c r="F138" s="514" t="s">
        <v>1980</v>
      </c>
      <c r="G138" s="613">
        <v>303</v>
      </c>
      <c r="H138" s="416"/>
    </row>
    <row r="139" spans="1:8">
      <c r="A139" s="514"/>
      <c r="B139" s="419"/>
      <c r="C139" s="419"/>
      <c r="D139" s="419"/>
      <c r="E139" s="420" t="s">
        <v>1566</v>
      </c>
      <c r="F139" s="514" t="s">
        <v>2088</v>
      </c>
      <c r="G139" s="416">
        <v>1822</v>
      </c>
      <c r="H139" s="416"/>
    </row>
    <row r="140" spans="1:8">
      <c r="A140" s="514"/>
      <c r="B140" s="419"/>
      <c r="C140" s="419"/>
      <c r="D140" s="419"/>
      <c r="E140" s="420" t="s">
        <v>1566</v>
      </c>
      <c r="F140" s="514" t="s">
        <v>2261</v>
      </c>
      <c r="G140" s="416">
        <v>5428</v>
      </c>
      <c r="H140" s="416"/>
    </row>
    <row r="141" spans="1:8">
      <c r="A141" s="514"/>
      <c r="B141" s="419"/>
      <c r="C141" s="419"/>
      <c r="D141" s="419"/>
      <c r="E141" s="420"/>
      <c r="F141" s="514"/>
      <c r="G141" s="419"/>
      <c r="H141" s="416"/>
    </row>
    <row r="142" spans="1:8" ht="25.5">
      <c r="A142" s="427" t="s">
        <v>1981</v>
      </c>
      <c r="B142" s="418" t="s">
        <v>1373</v>
      </c>
      <c r="C142" s="621">
        <v>81950</v>
      </c>
      <c r="D142" s="419"/>
      <c r="E142" s="427" t="s">
        <v>1376</v>
      </c>
      <c r="F142" s="418" t="s">
        <v>1377</v>
      </c>
      <c r="G142" s="621">
        <v>255</v>
      </c>
      <c r="H142" s="416"/>
    </row>
    <row r="143" spans="1:8" ht="38.25">
      <c r="A143" s="427" t="s">
        <v>1982</v>
      </c>
      <c r="B143" s="418" t="s">
        <v>1375</v>
      </c>
      <c r="C143" s="621">
        <v>160920</v>
      </c>
      <c r="D143" s="419"/>
      <c r="E143" s="427" t="s">
        <v>1393</v>
      </c>
      <c r="F143" s="419" t="s">
        <v>1394</v>
      </c>
      <c r="G143" s="621">
        <v>86.5</v>
      </c>
      <c r="H143" s="416"/>
    </row>
    <row r="144" spans="1:8" ht="38.25">
      <c r="A144" s="427" t="s">
        <v>1983</v>
      </c>
      <c r="B144" s="418" t="s">
        <v>1682</v>
      </c>
      <c r="C144" s="621">
        <v>51000</v>
      </c>
      <c r="D144" s="419"/>
      <c r="E144" s="420" t="s">
        <v>1412</v>
      </c>
      <c r="F144" s="419" t="s">
        <v>1413</v>
      </c>
      <c r="G144" s="621">
        <v>108</v>
      </c>
      <c r="H144" s="416"/>
    </row>
    <row r="145" spans="1:8" ht="38.25">
      <c r="A145" s="427" t="s">
        <v>1984</v>
      </c>
      <c r="B145" s="418" t="s">
        <v>1684</v>
      </c>
      <c r="C145" s="621">
        <v>63950</v>
      </c>
      <c r="D145" s="419"/>
      <c r="E145" s="427" t="s">
        <v>1378</v>
      </c>
      <c r="F145" s="418" t="s">
        <v>1379</v>
      </c>
      <c r="G145" s="621">
        <v>273</v>
      </c>
      <c r="H145" s="416"/>
    </row>
    <row r="146" spans="1:8" ht="38.25">
      <c r="A146" s="514" t="s">
        <v>1390</v>
      </c>
      <c r="B146" s="419" t="s">
        <v>1391</v>
      </c>
      <c r="C146" s="621">
        <v>3394</v>
      </c>
      <c r="D146" s="419"/>
      <c r="E146" s="427" t="s">
        <v>1395</v>
      </c>
      <c r="F146" s="419" t="s">
        <v>1396</v>
      </c>
      <c r="G146" s="621">
        <v>129</v>
      </c>
      <c r="H146" s="416"/>
    </row>
    <row r="147" spans="1:8" ht="38.25">
      <c r="A147" s="514" t="s">
        <v>1985</v>
      </c>
      <c r="B147" s="419" t="s">
        <v>1408</v>
      </c>
      <c r="C147" s="621">
        <v>920</v>
      </c>
      <c r="D147" s="419"/>
      <c r="E147" s="427" t="s">
        <v>1380</v>
      </c>
      <c r="F147" s="418" t="s">
        <v>1381</v>
      </c>
      <c r="G147" s="621">
        <v>114</v>
      </c>
      <c r="H147" s="416"/>
    </row>
    <row r="148" spans="1:8" ht="25.5">
      <c r="A148" s="514" t="s">
        <v>2280</v>
      </c>
      <c r="B148" s="419" t="s">
        <v>2092</v>
      </c>
      <c r="C148" s="419">
        <v>2000</v>
      </c>
      <c r="D148" s="419"/>
      <c r="E148" s="427" t="s">
        <v>1382</v>
      </c>
      <c r="F148" s="418" t="s">
        <v>1383</v>
      </c>
      <c r="G148" s="621">
        <v>1195</v>
      </c>
      <c r="H148" s="416"/>
    </row>
    <row r="149" spans="1:8" ht="38.25">
      <c r="A149" s="514" t="s">
        <v>1986</v>
      </c>
      <c r="B149" s="419" t="s">
        <v>1389</v>
      </c>
      <c r="C149" s="621">
        <v>1727</v>
      </c>
      <c r="D149" s="419"/>
      <c r="E149" s="427" t="s">
        <v>1397</v>
      </c>
      <c r="F149" s="419" t="s">
        <v>1398</v>
      </c>
      <c r="G149" s="621">
        <v>338</v>
      </c>
      <c r="H149" s="416"/>
    </row>
    <row r="150" spans="1:8" ht="25.5">
      <c r="A150" s="514" t="s">
        <v>1987</v>
      </c>
      <c r="B150" s="419" t="s">
        <v>1690</v>
      </c>
      <c r="C150" s="621">
        <v>1701</v>
      </c>
      <c r="D150" s="419"/>
      <c r="E150" s="427" t="s">
        <v>1384</v>
      </c>
      <c r="F150" s="418" t="s">
        <v>1385</v>
      </c>
      <c r="G150" s="621">
        <v>185</v>
      </c>
      <c r="H150" s="416"/>
    </row>
    <row r="151" spans="1:8" ht="38.25">
      <c r="A151" s="514" t="s">
        <v>2281</v>
      </c>
      <c r="B151" s="419" t="s">
        <v>1392</v>
      </c>
      <c r="C151" s="419">
        <v>1036</v>
      </c>
      <c r="D151" s="419"/>
      <c r="E151" s="427" t="s">
        <v>1399</v>
      </c>
      <c r="F151" s="419" t="s">
        <v>1400</v>
      </c>
      <c r="G151" s="621">
        <v>45</v>
      </c>
      <c r="H151" s="416"/>
    </row>
    <row r="152" spans="1:8" ht="38.25">
      <c r="A152" s="514" t="s">
        <v>1989</v>
      </c>
      <c r="B152" s="419" t="s">
        <v>1990</v>
      </c>
      <c r="C152" s="621">
        <v>8622</v>
      </c>
      <c r="D152" s="419"/>
      <c r="E152" s="427" t="s">
        <v>1386</v>
      </c>
      <c r="F152" s="418" t="s">
        <v>1387</v>
      </c>
      <c r="G152" s="621">
        <v>39</v>
      </c>
      <c r="H152" s="416"/>
    </row>
    <row r="153" spans="1:8">
      <c r="A153" s="514" t="s">
        <v>1991</v>
      </c>
      <c r="B153" s="419" t="s">
        <v>1415</v>
      </c>
      <c r="C153" s="621">
        <v>6460</v>
      </c>
      <c r="D153" s="419"/>
      <c r="E153" s="420" t="s">
        <v>1992</v>
      </c>
      <c r="F153" s="419" t="s">
        <v>1405</v>
      </c>
      <c r="G153" s="621">
        <v>486</v>
      </c>
      <c r="H153" s="416"/>
    </row>
    <row r="154" spans="1:8" ht="38.25">
      <c r="A154" s="514" t="s">
        <v>1993</v>
      </c>
      <c r="B154" s="419" t="s">
        <v>1418</v>
      </c>
      <c r="C154" s="621">
        <v>6238</v>
      </c>
      <c r="D154" s="419"/>
      <c r="E154" s="420" t="s">
        <v>1994</v>
      </c>
      <c r="F154" s="419" t="s">
        <v>1406</v>
      </c>
      <c r="G154" s="621">
        <v>388</v>
      </c>
      <c r="H154" s="416"/>
    </row>
    <row r="155" spans="1:8" ht="25.5">
      <c r="A155" s="514" t="s">
        <v>1988</v>
      </c>
      <c r="B155" s="419" t="s">
        <v>2094</v>
      </c>
      <c r="C155" s="419">
        <v>421</v>
      </c>
      <c r="D155" s="419"/>
      <c r="E155" s="427" t="s">
        <v>1995</v>
      </c>
      <c r="F155" s="419" t="s">
        <v>1688</v>
      </c>
      <c r="G155" s="621">
        <v>58</v>
      </c>
      <c r="H155" s="416"/>
    </row>
    <row r="156" spans="1:8">
      <c r="A156" s="513" t="s">
        <v>2283</v>
      </c>
      <c r="B156" s="517" t="s">
        <v>2282</v>
      </c>
      <c r="C156" s="517">
        <v>4062</v>
      </c>
    </row>
  </sheetData>
  <mergeCells count="4">
    <mergeCell ref="A1:H1"/>
    <mergeCell ref="E28:H28"/>
    <mergeCell ref="E31:H31"/>
    <mergeCell ref="E34:H34"/>
  </mergeCells>
  <pageMargins left="0.41" right="0.22" top="0.48" bottom="0.31" header="0.3" footer="0.3"/>
  <pageSetup paperSize="9" scale="95" orientation="portrait" r:id="rId1"/>
  <rowBreaks count="2" manualBreakCount="2">
    <brk id="50" max="16383" man="1"/>
    <brk id="99" max="16383" man="1"/>
  </rowBreaks>
</worksheet>
</file>

<file path=xl/worksheets/sheet36.xml><?xml version="1.0" encoding="utf-8"?>
<worksheet xmlns="http://schemas.openxmlformats.org/spreadsheetml/2006/main" xmlns:r="http://schemas.openxmlformats.org/officeDocument/2006/relationships">
  <sheetPr filterMode="1">
    <tabColor rgb="FF00B050"/>
  </sheetPr>
  <dimension ref="A1:P1277"/>
  <sheetViews>
    <sheetView showZeros="0" view="pageBreakPreview" zoomScaleNormal="130" zoomScaleSheetLayoutView="100" workbookViewId="0">
      <selection activeCell="F17" sqref="F17"/>
    </sheetView>
  </sheetViews>
  <sheetFormatPr defaultColWidth="9.140625" defaultRowHeight="12.75"/>
  <cols>
    <col min="1" max="1" width="5.140625" style="1136" customWidth="1"/>
    <col min="2" max="2" width="42.42578125" style="1136" customWidth="1"/>
    <col min="3" max="3" width="8.28515625" style="1242" customWidth="1"/>
    <col min="4" max="4" width="5.140625" style="1243" customWidth="1"/>
    <col min="5" max="5" width="9" style="1136" customWidth="1"/>
    <col min="6" max="6" width="12.28515625" style="1136" customWidth="1"/>
    <col min="7" max="7" width="8.140625" style="1236" customWidth="1"/>
    <col min="8" max="8" width="4.7109375" style="1243" customWidth="1"/>
    <col min="9" max="9" width="9.42578125" style="1136" bestFit="1" customWidth="1"/>
    <col min="10" max="10" width="10.85546875" style="1136" customWidth="1"/>
    <col min="11" max="11" width="11" style="1236" customWidth="1"/>
    <col min="12" max="12" width="11" style="1244" customWidth="1"/>
    <col min="13" max="13" width="7.85546875" style="1136" customWidth="1"/>
    <col min="14" max="14" width="9.28515625" style="1136" bestFit="1" customWidth="1"/>
    <col min="15" max="16" width="10.42578125" style="1136" bestFit="1" customWidth="1"/>
    <col min="17" max="16384" width="9.140625" style="1136"/>
  </cols>
  <sheetData>
    <row r="1" spans="1:15" ht="19.5" customHeight="1">
      <c r="A1" s="1684" t="s">
        <v>451</v>
      </c>
      <c r="B1" s="1685"/>
      <c r="C1" s="1685"/>
      <c r="D1" s="1685"/>
      <c r="E1" s="1685"/>
      <c r="F1" s="1685"/>
      <c r="G1" s="1685"/>
      <c r="H1" s="1685"/>
      <c r="I1" s="1685"/>
      <c r="J1" s="1685"/>
      <c r="K1" s="1686"/>
      <c r="L1" s="1687"/>
      <c r="M1" s="1687"/>
    </row>
    <row r="2" spans="1:15" s="1137" customFormat="1" ht="36.75" customHeight="1">
      <c r="A2" s="1688" t="str">
        <f>'lead 19-20'!B2&amp;'lead 19-20'!C2</f>
        <v>Name of the Work: Providing Additional Space for Health Staff in Grama Sachivalayam of Baduguleru GP of Kanigiri Mandal</v>
      </c>
      <c r="B2" s="1688"/>
      <c r="C2" s="1688"/>
      <c r="D2" s="1688"/>
      <c r="E2" s="1688"/>
      <c r="F2" s="1688"/>
      <c r="G2" s="1688"/>
      <c r="H2" s="1688"/>
      <c r="I2" s="1688"/>
      <c r="J2" s="1688"/>
      <c r="K2" s="1689"/>
      <c r="L2" s="1688"/>
      <c r="M2" s="1688"/>
    </row>
    <row r="3" spans="1:15" s="1137" customFormat="1" ht="15">
      <c r="A3" s="1138"/>
      <c r="B3" s="1139"/>
      <c r="C3" s="1140"/>
      <c r="D3" s="1141"/>
      <c r="E3" s="1142"/>
      <c r="F3" s="1139"/>
      <c r="G3" s="1143"/>
      <c r="H3" s="1141"/>
      <c r="I3" s="1142"/>
      <c r="J3" s="1139" t="s">
        <v>452</v>
      </c>
      <c r="K3" s="1690" t="str">
        <f>'lead 19-20'!K4</f>
        <v>20.80 Lakhs</v>
      </c>
      <c r="L3" s="1691"/>
      <c r="M3" s="1691"/>
    </row>
    <row r="4" spans="1:15" s="1137" customFormat="1" ht="19.5" customHeight="1">
      <c r="A4" s="1692" t="s">
        <v>271</v>
      </c>
      <c r="B4" s="1692" t="s">
        <v>7</v>
      </c>
      <c r="C4" s="1692" t="s">
        <v>573</v>
      </c>
      <c r="D4" s="1692"/>
      <c r="E4" s="1693"/>
      <c r="F4" s="1693"/>
      <c r="G4" s="1692" t="s">
        <v>569</v>
      </c>
      <c r="H4" s="1692"/>
      <c r="I4" s="1693"/>
      <c r="J4" s="1693"/>
      <c r="K4" s="1694" t="s">
        <v>454</v>
      </c>
      <c r="L4" s="1693"/>
      <c r="M4" s="1692" t="s">
        <v>455</v>
      </c>
    </row>
    <row r="5" spans="1:15" s="1137" customFormat="1" ht="15.75" customHeight="1">
      <c r="A5" s="1692"/>
      <c r="B5" s="1692"/>
      <c r="C5" s="1692" t="s">
        <v>456</v>
      </c>
      <c r="D5" s="1692"/>
      <c r="E5" s="1393" t="s">
        <v>457</v>
      </c>
      <c r="F5" s="1393" t="s">
        <v>10</v>
      </c>
      <c r="G5" s="1692" t="s">
        <v>456</v>
      </c>
      <c r="H5" s="1692"/>
      <c r="I5" s="1393" t="s">
        <v>457</v>
      </c>
      <c r="J5" s="1393" t="s">
        <v>10</v>
      </c>
      <c r="K5" s="1394" t="s">
        <v>458</v>
      </c>
      <c r="L5" s="1393" t="s">
        <v>459</v>
      </c>
      <c r="M5" s="1692"/>
    </row>
    <row r="6" spans="1:15" s="1137" customFormat="1" ht="16.5" customHeight="1">
      <c r="A6" s="1393" t="s">
        <v>460</v>
      </c>
      <c r="B6" s="1393" t="s">
        <v>461</v>
      </c>
      <c r="C6" s="1692" t="s">
        <v>462</v>
      </c>
      <c r="D6" s="1692"/>
      <c r="E6" s="1393" t="s">
        <v>463</v>
      </c>
      <c r="F6" s="1393" t="s">
        <v>464</v>
      </c>
      <c r="G6" s="1692" t="s">
        <v>465</v>
      </c>
      <c r="H6" s="1692"/>
      <c r="I6" s="1393" t="s">
        <v>466</v>
      </c>
      <c r="J6" s="1393" t="s">
        <v>467</v>
      </c>
      <c r="K6" s="1394" t="s">
        <v>468</v>
      </c>
      <c r="L6" s="1393" t="s">
        <v>326</v>
      </c>
      <c r="M6" s="1393" t="s">
        <v>469</v>
      </c>
    </row>
    <row r="7" spans="1:15" s="1137" customFormat="1" ht="16.5" customHeight="1">
      <c r="A7" s="1393"/>
      <c r="B7" s="1393" t="s">
        <v>2425</v>
      </c>
      <c r="C7" s="1144"/>
      <c r="D7" s="1145"/>
      <c r="E7" s="1145"/>
      <c r="F7" s="1393"/>
      <c r="G7" s="1144"/>
      <c r="H7" s="1145"/>
      <c r="I7" s="1393"/>
      <c r="J7" s="1393"/>
      <c r="K7" s="1394"/>
      <c r="L7" s="1393"/>
      <c r="M7" s="1393"/>
      <c r="O7" s="1137" t="s">
        <v>460</v>
      </c>
    </row>
    <row r="8" spans="1:15" s="26" customFormat="1" ht="20.25" hidden="1" customHeight="1">
      <c r="A8" s="23"/>
      <c r="B8" s="627" t="s">
        <v>470</v>
      </c>
      <c r="C8" s="628"/>
      <c r="D8" s="629"/>
      <c r="E8" s="630"/>
      <c r="F8" s="223"/>
      <c r="G8" s="28"/>
      <c r="H8" s="224"/>
      <c r="I8" s="29"/>
      <c r="J8" s="223"/>
      <c r="K8" s="25">
        <f t="shared" ref="K8" si="0">IF(J8&gt;F8,J8-F8,0)</f>
        <v>0</v>
      </c>
      <c r="L8" s="25">
        <f t="shared" ref="L8" si="1">IF(J8&lt;F8,F8-J8,0)</f>
        <v>0</v>
      </c>
      <c r="M8" s="23" t="s">
        <v>15</v>
      </c>
      <c r="N8" s="223"/>
      <c r="O8" s="850"/>
    </row>
    <row r="9" spans="1:15" s="360" customFormat="1" ht="25.5" hidden="1">
      <c r="A9" s="356" t="s">
        <v>460</v>
      </c>
      <c r="B9" s="632" t="s">
        <v>294</v>
      </c>
      <c r="C9" s="611"/>
      <c r="D9" s="354"/>
      <c r="E9" s="607"/>
      <c r="F9" s="353"/>
      <c r="G9" s="358">
        <f>'PART-A'!I14</f>
        <v>0</v>
      </c>
      <c r="H9" s="354" t="s">
        <v>102</v>
      </c>
      <c r="I9" s="355">
        <f>'PART-A'!K14</f>
        <v>5.22</v>
      </c>
      <c r="J9" s="353">
        <f t="shared" ref="J9:J22" si="2">ROUND(G9*I9,0)</f>
        <v>0</v>
      </c>
      <c r="K9" s="1679">
        <f>IF((J9+J10+J11+J12)&gt;(F9+F10+F11+F12),(J9+J10+J11+J12)-(F9+F10+F11+F12),0)</f>
        <v>0</v>
      </c>
      <c r="L9" s="1679">
        <f>IF((J9+J10+J11+J12)&lt;(F9+F10+F11+F12),(F9+F10+F11+F12)-(J9+J10+J11+J12),0)</f>
        <v>0</v>
      </c>
      <c r="M9" s="633" t="s">
        <v>2217</v>
      </c>
      <c r="N9" s="223"/>
      <c r="O9" s="631">
        <f>F9-J9</f>
        <v>0</v>
      </c>
    </row>
    <row r="10" spans="1:15" s="360" customFormat="1" ht="15" hidden="1">
      <c r="A10" s="356" t="s">
        <v>460</v>
      </c>
      <c r="B10" s="632" t="s">
        <v>537</v>
      </c>
      <c r="C10" s="611"/>
      <c r="D10" s="354"/>
      <c r="E10" s="607"/>
      <c r="F10" s="353"/>
      <c r="G10" s="358">
        <f>'PART-A'!I20</f>
        <v>0</v>
      </c>
      <c r="H10" s="354" t="s">
        <v>102</v>
      </c>
      <c r="I10" s="355">
        <f>'PART-A'!K20</f>
        <v>5.86</v>
      </c>
      <c r="J10" s="353">
        <f t="shared" si="2"/>
        <v>0</v>
      </c>
      <c r="K10" s="1680"/>
      <c r="L10" s="1680"/>
      <c r="M10" s="633" t="s">
        <v>2299</v>
      </c>
      <c r="N10" s="223"/>
      <c r="O10" s="631">
        <f t="shared" ref="O10:O74" si="3">F10-J10</f>
        <v>0</v>
      </c>
    </row>
    <row r="11" spans="1:15" s="360" customFormat="1" ht="15" hidden="1">
      <c r="A11" s="356" t="s">
        <v>460</v>
      </c>
      <c r="B11" s="632" t="s">
        <v>537</v>
      </c>
      <c r="C11" s="611"/>
      <c r="D11" s="354"/>
      <c r="E11" s="607"/>
      <c r="F11" s="353"/>
      <c r="G11" s="358">
        <f>'PART-A'!I26</f>
        <v>0</v>
      </c>
      <c r="H11" s="354" t="s">
        <v>102</v>
      </c>
      <c r="I11" s="355">
        <f>'PART-A'!K26</f>
        <v>6.06</v>
      </c>
      <c r="J11" s="353">
        <f>ROUND(G11*I11,0)</f>
        <v>0</v>
      </c>
      <c r="K11" s="1680"/>
      <c r="L11" s="1680"/>
      <c r="M11" s="633" t="s">
        <v>2312</v>
      </c>
      <c r="N11" s="223"/>
      <c r="O11" s="631">
        <f t="shared" si="3"/>
        <v>0</v>
      </c>
    </row>
    <row r="12" spans="1:15" s="360" customFormat="1" ht="15" hidden="1">
      <c r="A12" s="356" t="s">
        <v>460</v>
      </c>
      <c r="B12" s="632" t="s">
        <v>537</v>
      </c>
      <c r="C12" s="611"/>
      <c r="D12" s="354"/>
      <c r="E12" s="607"/>
      <c r="F12" s="353"/>
      <c r="G12" s="358">
        <f>'PART-A'!I32</f>
        <v>0</v>
      </c>
      <c r="H12" s="354" t="s">
        <v>102</v>
      </c>
      <c r="I12" s="355">
        <f>'PART-A'!K32</f>
        <v>6.06</v>
      </c>
      <c r="J12" s="353">
        <f>ROUND(G12*I12,0)</f>
        <v>0</v>
      </c>
      <c r="K12" s="1681"/>
      <c r="L12" s="1681"/>
      <c r="M12" s="633" t="s">
        <v>2313</v>
      </c>
      <c r="N12" s="223"/>
      <c r="O12" s="631">
        <f t="shared" si="3"/>
        <v>0</v>
      </c>
    </row>
    <row r="13" spans="1:15" s="1157" customFormat="1" ht="51">
      <c r="A13" s="1146" t="s">
        <v>460</v>
      </c>
      <c r="B13" s="1147" t="s">
        <v>3175</v>
      </c>
      <c r="C13" s="916">
        <v>116.24</v>
      </c>
      <c r="D13" s="1148" t="s">
        <v>5</v>
      </c>
      <c r="E13" s="1149">
        <v>124.4</v>
      </c>
      <c r="F13" s="1150">
        <f t="shared" ref="F13" si="4">ROUND(C13*E13,0)</f>
        <v>14460</v>
      </c>
      <c r="G13" s="1151">
        <f>'PART-A'!I49</f>
        <v>71.969999999999985</v>
      </c>
      <c r="H13" s="1148" t="s">
        <v>5</v>
      </c>
      <c r="I13" s="1152">
        <f>'PART-A'!K49</f>
        <v>124.24</v>
      </c>
      <c r="J13" s="1153">
        <f t="shared" si="2"/>
        <v>8942</v>
      </c>
      <c r="K13" s="1679">
        <f>IF((J13+J14+J15+J16)&gt;(F13+F14+F15+F16),(J13+J14+J15+J16)-(F13+F14+F15+F16),0)</f>
        <v>0</v>
      </c>
      <c r="L13" s="1679">
        <f>IF((J13+J14+J15+J16)&lt;(F13+F14+F15+F16),(F13+F14+F15+F16)-(J13+J14+J15+J16),0)</f>
        <v>5518</v>
      </c>
      <c r="M13" s="1154" t="s">
        <v>2217</v>
      </c>
      <c r="N13" s="1155"/>
      <c r="O13" s="1156">
        <f t="shared" si="3"/>
        <v>5518</v>
      </c>
    </row>
    <row r="14" spans="1:15" s="1157" customFormat="1" ht="51" hidden="1">
      <c r="A14" s="1146" t="s">
        <v>461</v>
      </c>
      <c r="B14" s="1147" t="s">
        <v>3175</v>
      </c>
      <c r="C14" s="1158"/>
      <c r="D14" s="1148"/>
      <c r="E14" s="922"/>
      <c r="F14" s="1153"/>
      <c r="G14" s="1151">
        <f>'PART-A'!I56</f>
        <v>0</v>
      </c>
      <c r="H14" s="1148" t="s">
        <v>5</v>
      </c>
      <c r="I14" s="1152">
        <f>'PART-A'!K56</f>
        <v>139.55000000000001</v>
      </c>
      <c r="J14" s="1153">
        <f t="shared" si="2"/>
        <v>0</v>
      </c>
      <c r="K14" s="1680"/>
      <c r="L14" s="1680"/>
      <c r="M14" s="1159" t="s">
        <v>2299</v>
      </c>
      <c r="N14" s="1155"/>
      <c r="O14" s="1160">
        <f t="shared" si="3"/>
        <v>0</v>
      </c>
    </row>
    <row r="15" spans="1:15" s="1157" customFormat="1" ht="51" hidden="1">
      <c r="A15" s="1146" t="s">
        <v>462</v>
      </c>
      <c r="B15" s="1147" t="s">
        <v>3175</v>
      </c>
      <c r="C15" s="1158"/>
      <c r="D15" s="1148"/>
      <c r="E15" s="922"/>
      <c r="F15" s="1153"/>
      <c r="G15" s="1151">
        <f>'PART-A'!I62</f>
        <v>0</v>
      </c>
      <c r="H15" s="1148" t="s">
        <v>5</v>
      </c>
      <c r="I15" s="1152">
        <f>'PART-A'!K62</f>
        <v>144.26</v>
      </c>
      <c r="J15" s="1153">
        <f>ROUND(G15*I15,0)</f>
        <v>0</v>
      </c>
      <c r="K15" s="1680"/>
      <c r="L15" s="1680"/>
      <c r="M15" s="1159" t="s">
        <v>2312</v>
      </c>
      <c r="N15" s="1155"/>
      <c r="O15" s="1160">
        <f t="shared" si="3"/>
        <v>0</v>
      </c>
    </row>
    <row r="16" spans="1:15" s="360" customFormat="1" ht="15" hidden="1">
      <c r="A16" s="356" t="s">
        <v>461</v>
      </c>
      <c r="B16" s="632" t="s">
        <v>471</v>
      </c>
      <c r="C16" s="634"/>
      <c r="D16" s="354"/>
      <c r="E16" s="10"/>
      <c r="F16" s="353"/>
      <c r="G16" s="358">
        <f>'PART-A'!I72</f>
        <v>0</v>
      </c>
      <c r="H16" s="354" t="s">
        <v>5</v>
      </c>
      <c r="I16" s="355">
        <f>'PART-A'!K72</f>
        <v>144.26</v>
      </c>
      <c r="J16" s="353">
        <f>ROUND(G16*I16,0)</f>
        <v>0</v>
      </c>
      <c r="K16" s="1681"/>
      <c r="L16" s="1681"/>
      <c r="M16" s="633" t="s">
        <v>2313</v>
      </c>
      <c r="N16" s="223"/>
      <c r="O16" s="631">
        <f t="shared" si="3"/>
        <v>0</v>
      </c>
    </row>
    <row r="17" spans="1:15" s="1157" customFormat="1" ht="51">
      <c r="A17" s="1146" t="s">
        <v>461</v>
      </c>
      <c r="B17" s="1147" t="s">
        <v>3176</v>
      </c>
      <c r="C17" s="916">
        <v>20.07</v>
      </c>
      <c r="D17" s="1148" t="s">
        <v>5</v>
      </c>
      <c r="E17" s="1161">
        <v>3723.38</v>
      </c>
      <c r="F17" s="1150">
        <f t="shared" ref="F17" si="5">ROUND(C17*E17,0)</f>
        <v>74728</v>
      </c>
      <c r="G17" s="1151">
        <f>'PART-A'!I108</f>
        <v>20.59</v>
      </c>
      <c r="H17" s="1148" t="s">
        <v>5</v>
      </c>
      <c r="I17" s="1152">
        <f>'PART-A'!K108</f>
        <v>3877.2799999999997</v>
      </c>
      <c r="J17" s="1153">
        <f t="shared" si="2"/>
        <v>79833</v>
      </c>
      <c r="K17" s="1679">
        <f>IF((J17+J18+J19+J20)&gt;(F17+F18+F19+F20),(J17+J18+J19+J20)-(F17+F18+F19+F20),0)</f>
        <v>5105</v>
      </c>
      <c r="L17" s="1679">
        <f>IF((J17+J18+J19+J20)&lt;(F17+F18+F19+F20),(F17+F18+F19+F20)-(J17+J18+J19+J20),0)</f>
        <v>0</v>
      </c>
      <c r="M17" s="1154" t="s">
        <v>2217</v>
      </c>
      <c r="N17" s="1155"/>
      <c r="O17" s="1156">
        <f t="shared" si="3"/>
        <v>-5105</v>
      </c>
    </row>
    <row r="18" spans="1:15" s="1157" customFormat="1" ht="51" hidden="1">
      <c r="A18" s="1146" t="s">
        <v>464</v>
      </c>
      <c r="B18" s="1147" t="s">
        <v>3176</v>
      </c>
      <c r="C18" s="1158"/>
      <c r="D18" s="1148"/>
      <c r="E18" s="922"/>
      <c r="F18" s="1153"/>
      <c r="G18" s="1151">
        <f>'PART-A'!I127</f>
        <v>0</v>
      </c>
      <c r="H18" s="1148" t="s">
        <v>5</v>
      </c>
      <c r="I18" s="1152">
        <f>'PART-A'!K127</f>
        <v>4067.8399999999997</v>
      </c>
      <c r="J18" s="1153">
        <f t="shared" si="2"/>
        <v>0</v>
      </c>
      <c r="K18" s="1680"/>
      <c r="L18" s="1680"/>
      <c r="M18" s="1159" t="s">
        <v>2299</v>
      </c>
      <c r="N18" s="1155"/>
      <c r="O18" s="1160">
        <f t="shared" si="3"/>
        <v>0</v>
      </c>
    </row>
    <row r="19" spans="1:15" s="1157" customFormat="1" ht="51" hidden="1">
      <c r="A19" s="1146" t="s">
        <v>465</v>
      </c>
      <c r="B19" s="1147" t="s">
        <v>3176</v>
      </c>
      <c r="C19" s="1158"/>
      <c r="D19" s="1148"/>
      <c r="E19" s="922"/>
      <c r="F19" s="1153"/>
      <c r="G19" s="1151">
        <f>'PART-A'!I133</f>
        <v>0</v>
      </c>
      <c r="H19" s="1148" t="s">
        <v>5</v>
      </c>
      <c r="I19" s="1152">
        <f>'PART-A'!K133</f>
        <v>4332.55</v>
      </c>
      <c r="J19" s="1153">
        <f>ROUND(G19*I19,0)</f>
        <v>0</v>
      </c>
      <c r="K19" s="1680"/>
      <c r="L19" s="1680"/>
      <c r="M19" s="1159" t="s">
        <v>2312</v>
      </c>
      <c r="N19" s="1155"/>
      <c r="O19" s="1160">
        <f t="shared" si="3"/>
        <v>0</v>
      </c>
    </row>
    <row r="20" spans="1:15" s="360" customFormat="1" ht="15" hidden="1">
      <c r="A20" s="356" t="s">
        <v>463</v>
      </c>
      <c r="B20" s="632" t="s">
        <v>538</v>
      </c>
      <c r="C20" s="634"/>
      <c r="D20" s="354"/>
      <c r="E20" s="10"/>
      <c r="F20" s="353"/>
      <c r="G20" s="358">
        <f>'PART-A'!I146</f>
        <v>0</v>
      </c>
      <c r="H20" s="354" t="s">
        <v>5</v>
      </c>
      <c r="I20" s="355">
        <f>'PART-A'!K146</f>
        <v>4583.3100000000004</v>
      </c>
      <c r="J20" s="353">
        <f>ROUND(G20*I20,0)</f>
        <v>0</v>
      </c>
      <c r="K20" s="1681"/>
      <c r="L20" s="1681"/>
      <c r="M20" s="633" t="s">
        <v>2313</v>
      </c>
      <c r="N20" s="223"/>
      <c r="O20" s="631">
        <f t="shared" si="3"/>
        <v>0</v>
      </c>
    </row>
    <row r="21" spans="1:15" s="360" customFormat="1" ht="15" hidden="1">
      <c r="A21" s="356" t="s">
        <v>463</v>
      </c>
      <c r="B21" s="632" t="s">
        <v>539</v>
      </c>
      <c r="C21" s="611"/>
      <c r="D21" s="354"/>
      <c r="E21" s="607"/>
      <c r="F21" s="353"/>
      <c r="G21" s="358">
        <f>'PART-A'!I155</f>
        <v>0</v>
      </c>
      <c r="H21" s="354" t="s">
        <v>5</v>
      </c>
      <c r="I21" s="355">
        <f>'PART-A'!K155</f>
        <v>3725</v>
      </c>
      <c r="J21" s="353">
        <f t="shared" si="2"/>
        <v>0</v>
      </c>
      <c r="K21" s="1679">
        <f>IF((J21+J22+J23+J24)&gt;(F21+F22+F23+F24),(J21+J22+J23+J24)-(F21+F22+F23+F24),0)</f>
        <v>0</v>
      </c>
      <c r="L21" s="1679">
        <f>IF((J21+J22+J23+J24)&lt;(F21+F22+F23+F24),(F21+F22+F23+F24)-(J21+J22+J23+J24),0)</f>
        <v>0</v>
      </c>
      <c r="M21" s="633" t="s">
        <v>2217</v>
      </c>
      <c r="N21" s="223"/>
      <c r="O21" s="631">
        <f t="shared" si="3"/>
        <v>0</v>
      </c>
    </row>
    <row r="22" spans="1:15" s="360" customFormat="1" ht="15" hidden="1">
      <c r="A22" s="356" t="s">
        <v>463</v>
      </c>
      <c r="B22" s="632" t="s">
        <v>539</v>
      </c>
      <c r="C22" s="611"/>
      <c r="D22" s="354"/>
      <c r="E22" s="607"/>
      <c r="F22" s="353"/>
      <c r="G22" s="358">
        <f>'PART-A'!I164</f>
        <v>0</v>
      </c>
      <c r="H22" s="354" t="s">
        <v>5</v>
      </c>
      <c r="I22" s="355">
        <f>'PART-A'!K164</f>
        <v>3915.56</v>
      </c>
      <c r="J22" s="353">
        <f t="shared" si="2"/>
        <v>0</v>
      </c>
      <c r="K22" s="1680"/>
      <c r="L22" s="1680"/>
      <c r="M22" s="633" t="s">
        <v>2299</v>
      </c>
      <c r="N22" s="223"/>
      <c r="O22" s="631">
        <f t="shared" si="3"/>
        <v>0</v>
      </c>
    </row>
    <row r="23" spans="1:15" s="360" customFormat="1" ht="15" hidden="1">
      <c r="A23" s="356" t="s">
        <v>463</v>
      </c>
      <c r="B23" s="632" t="s">
        <v>539</v>
      </c>
      <c r="C23" s="611"/>
      <c r="D23" s="354"/>
      <c r="E23" s="607"/>
      <c r="F23" s="353"/>
      <c r="G23" s="358">
        <f>'PART-A'!I173</f>
        <v>0</v>
      </c>
      <c r="H23" s="354" t="s">
        <v>5</v>
      </c>
      <c r="I23" s="355">
        <f>'PART-A'!K173</f>
        <v>4180.2700000000004</v>
      </c>
      <c r="J23" s="353">
        <f>ROUND(G23*I23,0)</f>
        <v>0</v>
      </c>
      <c r="K23" s="1680"/>
      <c r="L23" s="1680"/>
      <c r="M23" s="633" t="s">
        <v>2312</v>
      </c>
      <c r="N23" s="223"/>
      <c r="O23" s="631">
        <f t="shared" si="3"/>
        <v>0</v>
      </c>
    </row>
    <row r="24" spans="1:15" s="360" customFormat="1" ht="15" hidden="1">
      <c r="A24" s="356" t="s">
        <v>463</v>
      </c>
      <c r="B24" s="632" t="s">
        <v>539</v>
      </c>
      <c r="C24" s="611"/>
      <c r="D24" s="354"/>
      <c r="E24" s="607"/>
      <c r="F24" s="353"/>
      <c r="G24" s="358">
        <f>'PART-A'!I182</f>
        <v>0</v>
      </c>
      <c r="H24" s="354" t="s">
        <v>5</v>
      </c>
      <c r="I24" s="355">
        <f>'PART-A'!K182</f>
        <v>4431.03</v>
      </c>
      <c r="J24" s="353">
        <f>ROUND(G24*I24,0)</f>
        <v>0</v>
      </c>
      <c r="K24" s="1681"/>
      <c r="L24" s="1681"/>
      <c r="M24" s="633" t="s">
        <v>2313</v>
      </c>
      <c r="N24" s="223"/>
      <c r="O24" s="631">
        <f t="shared" si="3"/>
        <v>0</v>
      </c>
    </row>
    <row r="25" spans="1:15" s="1157" customFormat="1" ht="63.75">
      <c r="A25" s="1146" t="s">
        <v>462</v>
      </c>
      <c r="B25" s="1147" t="s">
        <v>3177</v>
      </c>
      <c r="C25" s="1162"/>
      <c r="D25" s="1148"/>
      <c r="E25" s="1163"/>
      <c r="F25" s="1153"/>
      <c r="G25" s="1151">
        <f>'PART-A'!I189</f>
        <v>17.93</v>
      </c>
      <c r="H25" s="1148" t="s">
        <v>5</v>
      </c>
      <c r="I25" s="1152">
        <f>'PART-A'!K189</f>
        <v>183</v>
      </c>
      <c r="J25" s="1153">
        <f t="shared" ref="J25" si="6">ROUND(G25*I25,0)</f>
        <v>3281</v>
      </c>
      <c r="K25" s="1679">
        <f>IF((J25+J26+J27+J28)&gt;(F25+F26+F27+F28),(J25+J26+J27+J28)-(F25+F26+F27+F28),0)</f>
        <v>3281</v>
      </c>
      <c r="L25" s="1679">
        <f>IF((J25+J26+J27+J28)&lt;(F25+F26+F27+F28),(F25+F26+F27+F28)-(J25+J26+J27+J28),0)</f>
        <v>0</v>
      </c>
      <c r="M25" s="1154" t="s">
        <v>2217</v>
      </c>
      <c r="N25" s="1155"/>
      <c r="O25" s="1156">
        <f t="shared" si="3"/>
        <v>-3281</v>
      </c>
    </row>
    <row r="26" spans="1:15" s="1157" customFormat="1" ht="63.75" hidden="1">
      <c r="A26" s="1146" t="s">
        <v>466</v>
      </c>
      <c r="B26" s="1147" t="s">
        <v>3177</v>
      </c>
      <c r="C26" s="1162"/>
      <c r="D26" s="1148"/>
      <c r="E26" s="1163"/>
      <c r="F26" s="1153"/>
      <c r="G26" s="1151">
        <f>'PART-A'!I195</f>
        <v>0</v>
      </c>
      <c r="H26" s="1148" t="s">
        <v>5</v>
      </c>
      <c r="I26" s="1152">
        <f>'PART-A'!K195</f>
        <v>205.87</v>
      </c>
      <c r="J26" s="1153">
        <f>ROUND(G26*I26,0)</f>
        <v>0</v>
      </c>
      <c r="K26" s="1680"/>
      <c r="L26" s="1680"/>
      <c r="M26" s="1159" t="s">
        <v>2299</v>
      </c>
      <c r="N26" s="1155"/>
      <c r="O26" s="1160">
        <f t="shared" si="3"/>
        <v>0</v>
      </c>
    </row>
    <row r="27" spans="1:15" s="360" customFormat="1" ht="15" hidden="1">
      <c r="A27" s="356" t="s">
        <v>462</v>
      </c>
      <c r="B27" s="632" t="s">
        <v>1218</v>
      </c>
      <c r="C27" s="635"/>
      <c r="D27" s="354"/>
      <c r="E27" s="362"/>
      <c r="F27" s="353"/>
      <c r="G27" s="358">
        <f>'PART-A'!I201</f>
        <v>0</v>
      </c>
      <c r="H27" s="354" t="s">
        <v>5</v>
      </c>
      <c r="I27" s="355">
        <f>'PART-A'!K201</f>
        <v>199.97</v>
      </c>
      <c r="J27" s="353">
        <f>ROUND(G27*I27,0)</f>
        <v>0</v>
      </c>
      <c r="K27" s="1680"/>
      <c r="L27" s="1680"/>
      <c r="M27" s="633" t="s">
        <v>2312</v>
      </c>
      <c r="N27" s="223"/>
      <c r="O27" s="631">
        <f t="shared" si="3"/>
        <v>0</v>
      </c>
    </row>
    <row r="28" spans="1:15" s="360" customFormat="1" ht="15" hidden="1">
      <c r="A28" s="356" t="s">
        <v>462</v>
      </c>
      <c r="B28" s="632" t="s">
        <v>1218</v>
      </c>
      <c r="C28" s="635"/>
      <c r="D28" s="354"/>
      <c r="E28" s="362"/>
      <c r="F28" s="353"/>
      <c r="G28" s="358">
        <f>'PART-A'!I207</f>
        <v>0</v>
      </c>
      <c r="H28" s="354" t="s">
        <v>5</v>
      </c>
      <c r="I28" s="355">
        <f>'PART-A'!K207</f>
        <v>216.13</v>
      </c>
      <c r="J28" s="353">
        <f>ROUND(G28*I28,0)</f>
        <v>0</v>
      </c>
      <c r="K28" s="1681"/>
      <c r="L28" s="1681"/>
      <c r="M28" s="633" t="s">
        <v>2313</v>
      </c>
      <c r="N28" s="223"/>
      <c r="O28" s="631">
        <f t="shared" si="3"/>
        <v>0</v>
      </c>
    </row>
    <row r="29" spans="1:15" s="360" customFormat="1" ht="15" hidden="1">
      <c r="A29" s="356" t="s">
        <v>464</v>
      </c>
      <c r="B29" s="632" t="s">
        <v>716</v>
      </c>
      <c r="C29" s="635"/>
      <c r="D29" s="354"/>
      <c r="E29" s="362"/>
      <c r="F29" s="353"/>
      <c r="G29" s="358">
        <f>'PART-A'!I213</f>
        <v>0</v>
      </c>
      <c r="H29" s="354" t="s">
        <v>5</v>
      </c>
      <c r="I29" s="355">
        <f>'PART-A'!K213</f>
        <v>210</v>
      </c>
      <c r="J29" s="353">
        <f t="shared" ref="J29:J110" si="7">ROUND(G29*I29,0)</f>
        <v>0</v>
      </c>
      <c r="K29" s="1679">
        <f>IF((J29+J30+J31+J32)&gt;(F29+F30+F31+F32),(J29+J30+J31+J32)-(F29+F30+F31+F32),0)</f>
        <v>0</v>
      </c>
      <c r="L29" s="1679">
        <f>IF((J29+J30+J31+J32)&lt;(F29+F30+F31+F32),(F29+F30+F31+F32)-(J29+F30+J31+J32),0)</f>
        <v>0</v>
      </c>
      <c r="M29" s="633" t="s">
        <v>2217</v>
      </c>
      <c r="N29" s="223"/>
      <c r="O29" s="631">
        <f t="shared" si="3"/>
        <v>0</v>
      </c>
    </row>
    <row r="30" spans="1:15" s="360" customFormat="1" ht="15" hidden="1">
      <c r="A30" s="356" t="s">
        <v>464</v>
      </c>
      <c r="B30" s="632" t="s">
        <v>716</v>
      </c>
      <c r="C30" s="635"/>
      <c r="D30" s="354"/>
      <c r="E30" s="362"/>
      <c r="F30" s="353"/>
      <c r="G30" s="358">
        <f>'PART-A'!I219</f>
        <v>0</v>
      </c>
      <c r="H30" s="354" t="s">
        <v>5</v>
      </c>
      <c r="I30" s="355">
        <f>'PART-A'!K219</f>
        <v>234.87</v>
      </c>
      <c r="J30" s="353">
        <f>ROUND(G30*I30,0)</f>
        <v>0</v>
      </c>
      <c r="K30" s="1680"/>
      <c r="L30" s="1680"/>
      <c r="M30" s="633" t="s">
        <v>2299</v>
      </c>
      <c r="N30" s="223"/>
      <c r="O30" s="631">
        <f t="shared" si="3"/>
        <v>0</v>
      </c>
    </row>
    <row r="31" spans="1:15" s="360" customFormat="1" ht="15" hidden="1">
      <c r="A31" s="356" t="s">
        <v>464</v>
      </c>
      <c r="B31" s="632" t="s">
        <v>716</v>
      </c>
      <c r="C31" s="635"/>
      <c r="D31" s="354"/>
      <c r="E31" s="362"/>
      <c r="F31" s="353"/>
      <c r="G31" s="358">
        <f>'PART-A'!I225</f>
        <v>0</v>
      </c>
      <c r="H31" s="354" t="s">
        <v>5</v>
      </c>
      <c r="I31" s="355">
        <f>'PART-A'!K225</f>
        <v>253.22</v>
      </c>
      <c r="J31" s="353">
        <f>ROUND(G31*I31,0)</f>
        <v>0</v>
      </c>
      <c r="K31" s="1680"/>
      <c r="L31" s="1680"/>
      <c r="M31" s="633" t="s">
        <v>2312</v>
      </c>
      <c r="N31" s="223"/>
      <c r="O31" s="631">
        <f t="shared" si="3"/>
        <v>0</v>
      </c>
    </row>
    <row r="32" spans="1:15" s="360" customFormat="1" ht="15" hidden="1">
      <c r="A32" s="356" t="s">
        <v>464</v>
      </c>
      <c r="B32" s="632" t="s">
        <v>716</v>
      </c>
      <c r="C32" s="635"/>
      <c r="D32" s="354"/>
      <c r="E32" s="362"/>
      <c r="F32" s="353"/>
      <c r="G32" s="358">
        <f>'PART-A'!I231</f>
        <v>0</v>
      </c>
      <c r="H32" s="354" t="s">
        <v>5</v>
      </c>
      <c r="I32" s="355">
        <f>'PART-A'!K231</f>
        <v>272.13</v>
      </c>
      <c r="J32" s="353">
        <f>ROUND(G32*I32,0)</f>
        <v>0</v>
      </c>
      <c r="K32" s="1681"/>
      <c r="L32" s="1681"/>
      <c r="M32" s="633" t="s">
        <v>2313</v>
      </c>
      <c r="N32" s="223"/>
      <c r="O32" s="631">
        <f t="shared" si="3"/>
        <v>0</v>
      </c>
    </row>
    <row r="33" spans="1:15" s="1157" customFormat="1" ht="76.5">
      <c r="A33" s="1146" t="s">
        <v>463</v>
      </c>
      <c r="B33" s="1147" t="s">
        <v>3178</v>
      </c>
      <c r="C33" s="1164">
        <v>76.81</v>
      </c>
      <c r="D33" s="1148" t="s">
        <v>5</v>
      </c>
      <c r="E33" s="1161">
        <v>1262.0999999999999</v>
      </c>
      <c r="F33" s="1150">
        <f t="shared" ref="F33" si="8">ROUND(C33*E33,0)</f>
        <v>96942</v>
      </c>
      <c r="G33" s="1151">
        <f>'PART-A'!I248</f>
        <v>87.509999999999991</v>
      </c>
      <c r="H33" s="1148" t="s">
        <v>5</v>
      </c>
      <c r="I33" s="1152">
        <f>'PART-A'!K248</f>
        <v>1271.5</v>
      </c>
      <c r="J33" s="1153">
        <f t="shared" si="7"/>
        <v>111269</v>
      </c>
      <c r="K33" s="1679">
        <f>IF((J33+J34+J35+J36)&gt;(F33+F34+F35+F36),(J33+J34+J35+J36)-(F33+F34+F35+F36),0)</f>
        <v>14327</v>
      </c>
      <c r="L33" s="1679">
        <f>IF((J33+J34+J35+J36)&lt;(F33+F34+F35+F36),(F33+F34+F35+F36)-(J33+J34+J35+J36),0)</f>
        <v>0</v>
      </c>
      <c r="M33" s="1154" t="s">
        <v>2217</v>
      </c>
      <c r="N33" s="1155"/>
      <c r="O33" s="1156">
        <f t="shared" si="3"/>
        <v>-14327</v>
      </c>
    </row>
    <row r="34" spans="1:15" s="360" customFormat="1" ht="76.5" hidden="1">
      <c r="A34" s="356" t="s">
        <v>466</v>
      </c>
      <c r="B34" s="632" t="s">
        <v>3178</v>
      </c>
      <c r="C34" s="634"/>
      <c r="D34" s="354"/>
      <c r="E34" s="10"/>
      <c r="F34" s="353"/>
      <c r="G34" s="358">
        <f>'PART-A'!I264</f>
        <v>0</v>
      </c>
      <c r="H34" s="354" t="s">
        <v>5</v>
      </c>
      <c r="I34" s="355">
        <f>'PART-A'!K264</f>
        <v>1340.37</v>
      </c>
      <c r="J34" s="353">
        <f>ROUND(G34*I34,0)</f>
        <v>0</v>
      </c>
      <c r="K34" s="1680"/>
      <c r="L34" s="1680"/>
      <c r="M34" s="633" t="s">
        <v>2299</v>
      </c>
      <c r="N34" s="223"/>
      <c r="O34" s="631">
        <f t="shared" si="3"/>
        <v>0</v>
      </c>
    </row>
    <row r="35" spans="1:15" s="360" customFormat="1" ht="15" hidden="1">
      <c r="A35" s="356" t="s">
        <v>466</v>
      </c>
      <c r="B35" s="632" t="s">
        <v>704</v>
      </c>
      <c r="C35" s="634"/>
      <c r="D35" s="354"/>
      <c r="E35" s="10"/>
      <c r="F35" s="353"/>
      <c r="G35" s="358">
        <f>'PART-A'!I270</f>
        <v>0</v>
      </c>
      <c r="H35" s="354" t="s">
        <v>5</v>
      </c>
      <c r="I35" s="355">
        <f>'PART-A'!K270</f>
        <v>1528.72</v>
      </c>
      <c r="J35" s="353">
        <f>ROUND(G35*I35,0)</f>
        <v>0</v>
      </c>
      <c r="K35" s="1680"/>
      <c r="L35" s="1680"/>
      <c r="M35" s="633" t="s">
        <v>2312</v>
      </c>
      <c r="N35" s="223"/>
      <c r="O35" s="631">
        <f t="shared" si="3"/>
        <v>0</v>
      </c>
    </row>
    <row r="36" spans="1:15" s="360" customFormat="1" ht="15" hidden="1">
      <c r="A36" s="356" t="s">
        <v>466</v>
      </c>
      <c r="B36" s="632" t="s">
        <v>704</v>
      </c>
      <c r="C36" s="634"/>
      <c r="D36" s="354"/>
      <c r="E36" s="10"/>
      <c r="F36" s="353"/>
      <c r="G36" s="358">
        <f>'PART-A'!I276</f>
        <v>0</v>
      </c>
      <c r="H36" s="354" t="s">
        <v>5</v>
      </c>
      <c r="I36" s="355">
        <f>'PART-A'!K276</f>
        <v>1603.13</v>
      </c>
      <c r="J36" s="353">
        <f>ROUND(G36*I36,0)</f>
        <v>0</v>
      </c>
      <c r="K36" s="1681"/>
      <c r="L36" s="1681"/>
      <c r="M36" s="633" t="s">
        <v>2313</v>
      </c>
      <c r="N36" s="223"/>
      <c r="O36" s="631">
        <f t="shared" si="3"/>
        <v>0</v>
      </c>
    </row>
    <row r="37" spans="1:15" s="360" customFormat="1" ht="15" hidden="1">
      <c r="A37" s="356" t="s">
        <v>464</v>
      </c>
      <c r="B37" s="632" t="s">
        <v>3179</v>
      </c>
      <c r="C37" s="645"/>
      <c r="D37" s="791" t="s">
        <v>5</v>
      </c>
      <c r="E37" s="10">
        <v>25.59</v>
      </c>
      <c r="F37" s="792">
        <f t="shared" ref="F37:F38" si="9">ROUND(C37*E37,0)</f>
        <v>0</v>
      </c>
      <c r="G37" s="358"/>
      <c r="H37" s="354"/>
      <c r="I37" s="355"/>
      <c r="J37" s="353"/>
      <c r="K37" s="669">
        <f t="shared" ref="K37" si="10">IF(J37&gt;F37,J37-F37,0)</f>
        <v>0</v>
      </c>
      <c r="L37" s="368">
        <f t="shared" ref="L37" si="11">IF(J37&lt;F37,F37-J37,0)</f>
        <v>0</v>
      </c>
      <c r="M37" s="851" t="s">
        <v>2217</v>
      </c>
      <c r="N37" s="223"/>
      <c r="O37" s="850">
        <f t="shared" si="3"/>
        <v>0</v>
      </c>
    </row>
    <row r="38" spans="1:15" s="1157" customFormat="1" ht="38.25">
      <c r="A38" s="1146" t="s">
        <v>464</v>
      </c>
      <c r="B38" s="1147" t="s">
        <v>3180</v>
      </c>
      <c r="C38" s="1165">
        <v>52.63</v>
      </c>
      <c r="D38" s="1166" t="s">
        <v>5</v>
      </c>
      <c r="E38" s="1149">
        <v>227.64</v>
      </c>
      <c r="F38" s="1150">
        <f t="shared" si="9"/>
        <v>11981</v>
      </c>
      <c r="G38" s="1151">
        <f>'PART-A'!I293</f>
        <v>47.300000000000004</v>
      </c>
      <c r="H38" s="1148" t="s">
        <v>5</v>
      </c>
      <c r="I38" s="1152">
        <f>'PART-A'!K293</f>
        <v>228</v>
      </c>
      <c r="J38" s="1153">
        <f t="shared" si="7"/>
        <v>10784</v>
      </c>
      <c r="K38" s="1679">
        <f>IF((J38+J39+J40+J41)&gt;(F38+F39+F40+F41),(J38+J39+J40+J41)-(F38+F39+F40+F41),0)</f>
        <v>0</v>
      </c>
      <c r="L38" s="1679">
        <f>IF((J38+J39+J40+J41)&lt;(F38+F39+F40+F41),(F38+F39+F40+F41)-(J38+J39+J40+J41),0)</f>
        <v>1197</v>
      </c>
      <c r="M38" s="1154" t="s">
        <v>2217</v>
      </c>
      <c r="N38" s="1155"/>
      <c r="O38" s="1156">
        <f t="shared" si="3"/>
        <v>1197</v>
      </c>
    </row>
    <row r="39" spans="1:15" s="360" customFormat="1" ht="38.25" hidden="1">
      <c r="A39" s="356" t="s">
        <v>467</v>
      </c>
      <c r="B39" s="632" t="s">
        <v>3180</v>
      </c>
      <c r="C39" s="636"/>
      <c r="D39" s="354"/>
      <c r="E39" s="10"/>
      <c r="F39" s="353"/>
      <c r="G39" s="358">
        <f>'PART-A'!I304</f>
        <v>0</v>
      </c>
      <c r="H39" s="354" t="s">
        <v>5</v>
      </c>
      <c r="I39" s="355">
        <f>'PART-A'!K304</f>
        <v>249.16</v>
      </c>
      <c r="J39" s="353">
        <f>ROUND(G39*I39,0)</f>
        <v>0</v>
      </c>
      <c r="K39" s="1680"/>
      <c r="L39" s="1680"/>
      <c r="M39" s="633" t="s">
        <v>2299</v>
      </c>
      <c r="N39" s="223"/>
      <c r="O39" s="631">
        <f t="shared" si="3"/>
        <v>0</v>
      </c>
    </row>
    <row r="40" spans="1:15" s="360" customFormat="1" ht="15" hidden="1">
      <c r="A40" s="356" t="s">
        <v>326</v>
      </c>
      <c r="B40" s="632" t="s">
        <v>540</v>
      </c>
      <c r="C40" s="636"/>
      <c r="D40" s="354"/>
      <c r="E40" s="10"/>
      <c r="F40" s="353"/>
      <c r="G40" s="358">
        <f>'PART-A'!I311</f>
        <v>0</v>
      </c>
      <c r="H40" s="354" t="s">
        <v>5</v>
      </c>
      <c r="I40" s="355">
        <f>'PART-A'!K311</f>
        <v>265.36</v>
      </c>
      <c r="J40" s="353">
        <f>ROUND(G40*I40,0)</f>
        <v>0</v>
      </c>
      <c r="K40" s="1680"/>
      <c r="L40" s="1680"/>
      <c r="M40" s="633" t="s">
        <v>2312</v>
      </c>
      <c r="N40" s="223"/>
      <c r="O40" s="631">
        <f t="shared" si="3"/>
        <v>0</v>
      </c>
    </row>
    <row r="41" spans="1:15" s="360" customFormat="1" ht="15" hidden="1">
      <c r="A41" s="356" t="s">
        <v>326</v>
      </c>
      <c r="B41" s="632" t="s">
        <v>540</v>
      </c>
      <c r="C41" s="636"/>
      <c r="D41" s="354"/>
      <c r="E41" s="10"/>
      <c r="F41" s="353"/>
      <c r="G41" s="358">
        <f>'PART-A'!I318</f>
        <v>0</v>
      </c>
      <c r="H41" s="354" t="s">
        <v>5</v>
      </c>
      <c r="I41" s="355">
        <f>'PART-A'!K318</f>
        <v>284.39999999999998</v>
      </c>
      <c r="J41" s="353">
        <f>ROUND(G41*I41,0)</f>
        <v>0</v>
      </c>
      <c r="K41" s="1681"/>
      <c r="L41" s="1681"/>
      <c r="M41" s="633" t="s">
        <v>2313</v>
      </c>
      <c r="N41" s="223"/>
      <c r="O41" s="631">
        <f t="shared" si="3"/>
        <v>0</v>
      </c>
    </row>
    <row r="42" spans="1:15" s="1157" customFormat="1" ht="51">
      <c r="A42" s="1146" t="s">
        <v>465</v>
      </c>
      <c r="B42" s="1147" t="s">
        <v>3181</v>
      </c>
      <c r="C42" s="1167">
        <v>10.130000000000001</v>
      </c>
      <c r="D42" s="1148" t="s">
        <v>5</v>
      </c>
      <c r="E42" s="1161">
        <v>6656.88</v>
      </c>
      <c r="F42" s="1150">
        <f t="shared" ref="F42" si="12">ROUND(C42*E42,0)</f>
        <v>67434</v>
      </c>
      <c r="G42" s="1151">
        <f>'PART-A'!I325</f>
        <v>9.44</v>
      </c>
      <c r="H42" s="1148" t="s">
        <v>5</v>
      </c>
      <c r="I42" s="1152">
        <f>'PART-A'!K325</f>
        <v>6979.88</v>
      </c>
      <c r="J42" s="1153">
        <f t="shared" si="7"/>
        <v>65890</v>
      </c>
      <c r="K42" s="1679">
        <f>IF((J42+J43+J44+J45)&gt;(F42+F43+F44+F45),(J42+J43+J44+J45)-(F42+F43+F44+F45),0)</f>
        <v>0</v>
      </c>
      <c r="L42" s="1679">
        <f>IF((J42+J43+J44+J45)&lt;(F42+F43+F44+F45),(F42+F43+F44+F45)-(J42+J43+J44+J45),0)</f>
        <v>1544</v>
      </c>
      <c r="M42" s="1154" t="s">
        <v>2217</v>
      </c>
      <c r="N42" s="1155"/>
      <c r="O42" s="1156">
        <f t="shared" si="3"/>
        <v>1544</v>
      </c>
    </row>
    <row r="43" spans="1:15" s="360" customFormat="1" ht="51" hidden="1">
      <c r="A43" s="356" t="s">
        <v>326</v>
      </c>
      <c r="B43" s="632" t="s">
        <v>3181</v>
      </c>
      <c r="C43" s="634"/>
      <c r="D43" s="354"/>
      <c r="E43" s="10"/>
      <c r="F43" s="353"/>
      <c r="G43" s="358">
        <f>'PART-A'!I332</f>
        <v>0</v>
      </c>
      <c r="H43" s="354" t="s">
        <v>5</v>
      </c>
      <c r="I43" s="355">
        <f>'PART-A'!K332</f>
        <v>7288.23</v>
      </c>
      <c r="J43" s="353">
        <f>ROUND(G43*I43,0)</f>
        <v>0</v>
      </c>
      <c r="K43" s="1680"/>
      <c r="L43" s="1680"/>
      <c r="M43" s="633" t="s">
        <v>2299</v>
      </c>
      <c r="N43" s="223"/>
      <c r="O43" s="631">
        <f t="shared" si="3"/>
        <v>0</v>
      </c>
    </row>
    <row r="44" spans="1:15" s="1157" customFormat="1" ht="15" hidden="1">
      <c r="A44" s="1146" t="s">
        <v>469</v>
      </c>
      <c r="B44" s="1147" t="s">
        <v>2445</v>
      </c>
      <c r="C44" s="1158"/>
      <c r="D44" s="1148"/>
      <c r="E44" s="922"/>
      <c r="F44" s="1153"/>
      <c r="G44" s="1151">
        <f>'PART-A'!I338</f>
        <v>0</v>
      </c>
      <c r="H44" s="1148" t="s">
        <v>5</v>
      </c>
      <c r="I44" s="1152">
        <f>'PART-A'!K338</f>
        <v>7685.43</v>
      </c>
      <c r="J44" s="1153">
        <f>ROUND(G44*I44,0)</f>
        <v>0</v>
      </c>
      <c r="K44" s="1680"/>
      <c r="L44" s="1680"/>
      <c r="M44" s="1159" t="s">
        <v>2312</v>
      </c>
      <c r="N44" s="1155"/>
      <c r="O44" s="1160">
        <f t="shared" si="3"/>
        <v>0</v>
      </c>
    </row>
    <row r="45" spans="1:15" s="360" customFormat="1" ht="15" hidden="1">
      <c r="A45" s="356" t="s">
        <v>465</v>
      </c>
      <c r="B45" s="632" t="s">
        <v>2445</v>
      </c>
      <c r="C45" s="634"/>
      <c r="D45" s="354"/>
      <c r="E45" s="10"/>
      <c r="F45" s="353"/>
      <c r="G45" s="358">
        <f>'PART-A'!I343</f>
        <v>0</v>
      </c>
      <c r="H45" s="354" t="s">
        <v>5</v>
      </c>
      <c r="I45" s="355">
        <f>'PART-A'!K343</f>
        <v>8062.18</v>
      </c>
      <c r="J45" s="353">
        <f>ROUND(G45*I45,0)</f>
        <v>0</v>
      </c>
      <c r="K45" s="1681"/>
      <c r="L45" s="1681"/>
      <c r="M45" s="633" t="s">
        <v>2313</v>
      </c>
      <c r="N45" s="223"/>
      <c r="O45" s="631">
        <f t="shared" si="3"/>
        <v>0</v>
      </c>
    </row>
    <row r="46" spans="1:15" s="1157" customFormat="1" ht="51">
      <c r="A46" s="1146" t="s">
        <v>466</v>
      </c>
      <c r="B46" s="1147" t="s">
        <v>3182</v>
      </c>
      <c r="C46" s="1168">
        <v>1.82</v>
      </c>
      <c r="D46" s="1148" t="s">
        <v>5</v>
      </c>
      <c r="E46" s="1161">
        <v>7069.88</v>
      </c>
      <c r="F46" s="1150">
        <f t="shared" ref="F46" si="13">ROUND(C46*E46,0)</f>
        <v>12867</v>
      </c>
      <c r="G46" s="1151">
        <f>'PART-A'!I348</f>
        <v>1.37</v>
      </c>
      <c r="H46" s="1148" t="s">
        <v>5</v>
      </c>
      <c r="I46" s="1152">
        <f>'PART-A'!K348</f>
        <v>7392.88</v>
      </c>
      <c r="J46" s="1153">
        <f t="shared" si="7"/>
        <v>10128</v>
      </c>
      <c r="K46" s="1679">
        <f>IF((J46+J47+J48+J49)&gt;(F46+F47+F48+F49),(J46+J47+J48+J49)-(F46+F47+F48+F49),0)</f>
        <v>0</v>
      </c>
      <c r="L46" s="1679">
        <f>IF((J46+J47+J48+J49)&lt;(F46+F47+F48+F49),(F46+F47+F48+F49)-(J46+J47+J48+J49),0)</f>
        <v>2739</v>
      </c>
      <c r="M46" s="1154" t="s">
        <v>2217</v>
      </c>
      <c r="N46" s="1155"/>
      <c r="O46" s="1156">
        <f t="shared" si="3"/>
        <v>2739</v>
      </c>
    </row>
    <row r="47" spans="1:15" s="360" customFormat="1" ht="51" hidden="1">
      <c r="A47" s="356" t="s">
        <v>472</v>
      </c>
      <c r="B47" s="632" t="s">
        <v>3182</v>
      </c>
      <c r="C47" s="636"/>
      <c r="D47" s="354"/>
      <c r="E47" s="10"/>
      <c r="F47" s="353"/>
      <c r="G47" s="358">
        <f>'PART-A'!I353</f>
        <v>0</v>
      </c>
      <c r="H47" s="354" t="s">
        <v>5</v>
      </c>
      <c r="I47" s="355">
        <f>'PART-A'!K353</f>
        <v>7701.23</v>
      </c>
      <c r="J47" s="353">
        <f>ROUND(G47*I47,0)</f>
        <v>0</v>
      </c>
      <c r="K47" s="1680"/>
      <c r="L47" s="1680"/>
      <c r="M47" s="633" t="s">
        <v>2299</v>
      </c>
      <c r="N47" s="223"/>
      <c r="O47" s="631">
        <f t="shared" si="3"/>
        <v>0</v>
      </c>
    </row>
    <row r="48" spans="1:15" s="360" customFormat="1" ht="15" hidden="1">
      <c r="A48" s="356" t="s">
        <v>466</v>
      </c>
      <c r="B48" s="632" t="s">
        <v>2060</v>
      </c>
      <c r="C48" s="636"/>
      <c r="D48" s="354"/>
      <c r="E48" s="10"/>
      <c r="F48" s="353"/>
      <c r="G48" s="358">
        <f>'PART-A'!I358</f>
        <v>0</v>
      </c>
      <c r="H48" s="354" t="s">
        <v>5</v>
      </c>
      <c r="I48" s="355">
        <f>'PART-A'!K358</f>
        <v>8124.43</v>
      </c>
      <c r="J48" s="353">
        <f>ROUND(G48*I48,0)</f>
        <v>0</v>
      </c>
      <c r="K48" s="1680"/>
      <c r="L48" s="1680"/>
      <c r="M48" s="633" t="s">
        <v>2312</v>
      </c>
      <c r="N48" s="223"/>
      <c r="O48" s="631">
        <f t="shared" si="3"/>
        <v>0</v>
      </c>
    </row>
    <row r="49" spans="1:16" s="360" customFormat="1" ht="15" hidden="1">
      <c r="A49" s="356" t="s">
        <v>466</v>
      </c>
      <c r="B49" s="632" t="s">
        <v>2060</v>
      </c>
      <c r="C49" s="636"/>
      <c r="D49" s="354"/>
      <c r="E49" s="10"/>
      <c r="F49" s="353"/>
      <c r="G49" s="358">
        <f>'PART-A'!I363</f>
        <v>0</v>
      </c>
      <c r="H49" s="354" t="s">
        <v>5</v>
      </c>
      <c r="I49" s="355">
        <f>'PART-A'!K363</f>
        <v>8501.18</v>
      </c>
      <c r="J49" s="353">
        <f>ROUND(G49*I49,0)</f>
        <v>0</v>
      </c>
      <c r="K49" s="1681"/>
      <c r="L49" s="1681"/>
      <c r="M49" s="633" t="s">
        <v>2313</v>
      </c>
      <c r="N49" s="223"/>
      <c r="O49" s="631">
        <f t="shared" si="3"/>
        <v>0</v>
      </c>
    </row>
    <row r="50" spans="1:16" s="1157" customFormat="1" ht="51">
      <c r="A50" s="1146" t="s">
        <v>467</v>
      </c>
      <c r="B50" s="1147" t="s">
        <v>3183</v>
      </c>
      <c r="C50" s="1167">
        <v>5.77</v>
      </c>
      <c r="D50" s="1148" t="s">
        <v>5</v>
      </c>
      <c r="E50" s="1161">
        <v>8793.880000000001</v>
      </c>
      <c r="F50" s="1150">
        <f t="shared" ref="F50" si="14">ROUND(C50*E50,0)</f>
        <v>50741</v>
      </c>
      <c r="G50" s="1151">
        <f>'PART-A'!I376</f>
        <v>5.64</v>
      </c>
      <c r="H50" s="1148" t="s">
        <v>5</v>
      </c>
      <c r="I50" s="1152">
        <f>'PART-A'!K376</f>
        <v>9116.880000000001</v>
      </c>
      <c r="J50" s="1153">
        <f t="shared" si="7"/>
        <v>51419</v>
      </c>
      <c r="K50" s="1679">
        <f>IF((J50+J51+J52+J53)&gt;(F50+F51+F52+F53),(J50+J51+J52+J53)-(F50+F51+F52+F53),0)</f>
        <v>678</v>
      </c>
      <c r="L50" s="1679">
        <f>IF((J50+J51+J52+J53)&lt;(F50+F51+F52+F53),(F50+F51+F52+F53)-(J50+J51+J52+J53),0)</f>
        <v>0</v>
      </c>
      <c r="M50" s="1154" t="s">
        <v>2217</v>
      </c>
      <c r="N50" s="1155"/>
      <c r="O50" s="1156">
        <f t="shared" si="3"/>
        <v>-678</v>
      </c>
    </row>
    <row r="51" spans="1:16" s="360" customFormat="1" ht="51" hidden="1">
      <c r="A51" s="356" t="s">
        <v>474</v>
      </c>
      <c r="B51" s="632" t="s">
        <v>3183</v>
      </c>
      <c r="C51" s="634"/>
      <c r="D51" s="354"/>
      <c r="E51" s="10"/>
      <c r="F51" s="353"/>
      <c r="G51" s="358">
        <f>'PART-A'!I387</f>
        <v>0</v>
      </c>
      <c r="H51" s="354" t="s">
        <v>5</v>
      </c>
      <c r="I51" s="355">
        <f>'PART-A'!K387</f>
        <v>9466.93</v>
      </c>
      <c r="J51" s="353">
        <f>ROUND(G51*I51,0)</f>
        <v>0</v>
      </c>
      <c r="K51" s="1680"/>
      <c r="L51" s="1680"/>
      <c r="M51" s="633" t="s">
        <v>2299</v>
      </c>
      <c r="N51" s="223"/>
      <c r="O51" s="631">
        <f t="shared" si="3"/>
        <v>0</v>
      </c>
    </row>
    <row r="52" spans="1:16" s="360" customFormat="1" ht="15" hidden="1">
      <c r="A52" s="356" t="s">
        <v>467</v>
      </c>
      <c r="B52" s="632" t="s">
        <v>2061</v>
      </c>
      <c r="C52" s="634"/>
      <c r="D52" s="354"/>
      <c r="E52" s="10"/>
      <c r="F52" s="353"/>
      <c r="G52" s="358">
        <f>'PART-A'!I399</f>
        <v>0</v>
      </c>
      <c r="H52" s="354" t="s">
        <v>5</v>
      </c>
      <c r="I52" s="355">
        <f>'PART-A'!K399</f>
        <v>10004.82</v>
      </c>
      <c r="J52" s="353">
        <f>ROUND(G52*I52,0)</f>
        <v>0</v>
      </c>
      <c r="K52" s="1680"/>
      <c r="L52" s="1680"/>
      <c r="M52" s="633" t="s">
        <v>2312</v>
      </c>
      <c r="N52" s="223"/>
      <c r="O52" s="631">
        <f t="shared" si="3"/>
        <v>0</v>
      </c>
    </row>
    <row r="53" spans="1:16" s="360" customFormat="1" ht="15" hidden="1">
      <c r="A53" s="356" t="s">
        <v>467</v>
      </c>
      <c r="B53" s="632" t="s">
        <v>2061</v>
      </c>
      <c r="C53" s="634"/>
      <c r="D53" s="354"/>
      <c r="E53" s="10"/>
      <c r="F53" s="353"/>
      <c r="G53" s="358">
        <f>'PART-A'!I411</f>
        <v>0</v>
      </c>
      <c r="H53" s="354" t="s">
        <v>5</v>
      </c>
      <c r="I53" s="355">
        <f>'PART-A'!K411</f>
        <v>10417.6</v>
      </c>
      <c r="J53" s="353">
        <f>ROUND(G53*I53,0)</f>
        <v>0</v>
      </c>
      <c r="K53" s="1681"/>
      <c r="L53" s="1681"/>
      <c r="M53" s="633" t="s">
        <v>2313</v>
      </c>
      <c r="N53" s="223"/>
      <c r="O53" s="631">
        <f t="shared" si="3"/>
        <v>0</v>
      </c>
    </row>
    <row r="54" spans="1:16" s="1157" customFormat="1" ht="51">
      <c r="A54" s="1146" t="s">
        <v>468</v>
      </c>
      <c r="B54" s="1147" t="s">
        <v>3184</v>
      </c>
      <c r="C54" s="1167">
        <v>7.19</v>
      </c>
      <c r="D54" s="1148" t="s">
        <v>5</v>
      </c>
      <c r="E54" s="1161">
        <v>8648.880000000001</v>
      </c>
      <c r="F54" s="1150">
        <f t="shared" ref="F54" si="15">ROUND(C54*E54,0)</f>
        <v>62185</v>
      </c>
      <c r="G54" s="1151">
        <f>'PART-A'!I430</f>
        <v>6.1499999999999995</v>
      </c>
      <c r="H54" s="1148" t="s">
        <v>5</v>
      </c>
      <c r="I54" s="1152">
        <f>'PART-A'!K430</f>
        <v>8971.880000000001</v>
      </c>
      <c r="J54" s="1153">
        <f t="shared" si="7"/>
        <v>55177</v>
      </c>
      <c r="K54" s="1679">
        <f>IF((J54+J55+J56+J57)&gt;(F54+F55+F56+F57),(J54+J55+J56+J57)-(F54+F55+F56+F57),0)</f>
        <v>0</v>
      </c>
      <c r="L54" s="1679">
        <f>IF((J54+J55+J56+J57)&lt;(F54+F55+F56+F57),(F54+F55+F56+F57)-(J54+J55+J56+J57),0)</f>
        <v>7008</v>
      </c>
      <c r="M54" s="1154" t="s">
        <v>2217</v>
      </c>
      <c r="N54" s="1155"/>
      <c r="O54" s="1156">
        <f t="shared" si="3"/>
        <v>7008</v>
      </c>
    </row>
    <row r="55" spans="1:16" s="360" customFormat="1" ht="51" hidden="1">
      <c r="A55" s="356" t="s">
        <v>476</v>
      </c>
      <c r="B55" s="632" t="s">
        <v>3184</v>
      </c>
      <c r="C55" s="634"/>
      <c r="D55" s="354"/>
      <c r="E55" s="10"/>
      <c r="F55" s="353"/>
      <c r="G55" s="358">
        <f>'PART-A'!I441</f>
        <v>0</v>
      </c>
      <c r="H55" s="354" t="s">
        <v>5</v>
      </c>
      <c r="I55" s="355">
        <f>'PART-A'!K441</f>
        <v>9280.23</v>
      </c>
      <c r="J55" s="353">
        <f>ROUND(G55*I55,0)</f>
        <v>0</v>
      </c>
      <c r="K55" s="1680"/>
      <c r="L55" s="1680"/>
      <c r="M55" s="633" t="s">
        <v>2299</v>
      </c>
      <c r="N55" s="223"/>
      <c r="O55" s="631">
        <f t="shared" si="3"/>
        <v>0</v>
      </c>
    </row>
    <row r="56" spans="1:16" s="360" customFormat="1" ht="15" hidden="1">
      <c r="A56" s="356" t="s">
        <v>468</v>
      </c>
      <c r="B56" s="632" t="s">
        <v>2062</v>
      </c>
      <c r="C56" s="634"/>
      <c r="D56" s="354"/>
      <c r="E56" s="10"/>
      <c r="F56" s="353"/>
      <c r="G56" s="358">
        <f>'PART-A'!I447</f>
        <v>0</v>
      </c>
      <c r="H56" s="354" t="s">
        <v>5</v>
      </c>
      <c r="I56" s="355">
        <f>'PART-A'!K447</f>
        <v>9785.43</v>
      </c>
      <c r="J56" s="353">
        <f>ROUND(G56*I56,0)</f>
        <v>0</v>
      </c>
      <c r="K56" s="1680"/>
      <c r="L56" s="1680"/>
      <c r="M56" s="633" t="s">
        <v>2312</v>
      </c>
      <c r="N56" s="223"/>
      <c r="O56" s="631">
        <f t="shared" si="3"/>
        <v>0</v>
      </c>
    </row>
    <row r="57" spans="1:16" s="360" customFormat="1" ht="15" hidden="1">
      <c r="A57" s="356" t="s">
        <v>468</v>
      </c>
      <c r="B57" s="632" t="s">
        <v>2062</v>
      </c>
      <c r="C57" s="634"/>
      <c r="D57" s="354"/>
      <c r="E57" s="10"/>
      <c r="F57" s="353"/>
      <c r="G57" s="358">
        <f>'PART-A'!I453</f>
        <v>0</v>
      </c>
      <c r="H57" s="354" t="s">
        <v>5</v>
      </c>
      <c r="I57" s="355">
        <f>'PART-A'!K453</f>
        <v>10162.18</v>
      </c>
      <c r="J57" s="353">
        <f>ROUND(G57*I57,0)</f>
        <v>0</v>
      </c>
      <c r="K57" s="1681"/>
      <c r="L57" s="1681"/>
      <c r="M57" s="633" t="s">
        <v>2313</v>
      </c>
      <c r="N57" s="223"/>
      <c r="O57" s="631">
        <f t="shared" si="3"/>
        <v>0</v>
      </c>
    </row>
    <row r="58" spans="1:16" s="1157" customFormat="1" ht="51">
      <c r="A58" s="1146" t="s">
        <v>326</v>
      </c>
      <c r="B58" s="1147" t="s">
        <v>3185</v>
      </c>
      <c r="C58" s="1167">
        <v>4.92</v>
      </c>
      <c r="D58" s="1169" t="s">
        <v>5</v>
      </c>
      <c r="E58" s="1161">
        <v>8631.369999999999</v>
      </c>
      <c r="F58" s="1150">
        <f t="shared" ref="F58" si="16">ROUND(C58*E58,0)</f>
        <v>42466</v>
      </c>
      <c r="G58" s="1151">
        <f>'PART-A'!I477</f>
        <v>6.9400000000000022</v>
      </c>
      <c r="H58" s="1169" t="s">
        <v>5</v>
      </c>
      <c r="I58" s="1152">
        <f>'PART-A'!K477</f>
        <v>8954.36</v>
      </c>
      <c r="J58" s="1153">
        <f t="shared" si="7"/>
        <v>62143</v>
      </c>
      <c r="K58" s="1679">
        <f>IF((J58+J59+J60+J61)&gt;(F58+F59+F60+F61),(J58+J59+J60+J61)-(F58+F59+F60+F61),0)</f>
        <v>19677</v>
      </c>
      <c r="L58" s="1679">
        <f>IF((J58+J59+J60+J61)&lt;(F58+F59+F60+F61),(F58+F59+F60+F61)-(J58+J59+J60+J61),0)</f>
        <v>0</v>
      </c>
      <c r="M58" s="1154" t="s">
        <v>2217</v>
      </c>
      <c r="N58" s="1155"/>
      <c r="O58" s="1156">
        <f t="shared" si="3"/>
        <v>-19677</v>
      </c>
      <c r="P58" s="1172"/>
    </row>
    <row r="59" spans="1:16" s="1157" customFormat="1" ht="51" hidden="1">
      <c r="A59" s="1146" t="s">
        <v>476</v>
      </c>
      <c r="B59" s="1147" t="s">
        <v>3185</v>
      </c>
      <c r="C59" s="1158"/>
      <c r="D59" s="1169"/>
      <c r="E59" s="922"/>
      <c r="F59" s="1153"/>
      <c r="G59" s="1151">
        <f>'PART-A'!I501</f>
        <v>0</v>
      </c>
      <c r="H59" s="1169" t="s">
        <v>5</v>
      </c>
      <c r="I59" s="1152">
        <f>'PART-A'!K501</f>
        <v>9169.52</v>
      </c>
      <c r="J59" s="1153">
        <f>ROUND(G59*I59,0)</f>
        <v>0</v>
      </c>
      <c r="K59" s="1680"/>
      <c r="L59" s="1680"/>
      <c r="M59" s="1159" t="s">
        <v>2299</v>
      </c>
      <c r="N59" s="1155"/>
      <c r="O59" s="1160">
        <f t="shared" si="3"/>
        <v>0</v>
      </c>
      <c r="P59" s="1172"/>
    </row>
    <row r="60" spans="1:16" s="360" customFormat="1" ht="15" hidden="1">
      <c r="A60" s="356" t="s">
        <v>326</v>
      </c>
      <c r="B60" s="632" t="s">
        <v>2063</v>
      </c>
      <c r="C60" s="634"/>
      <c r="D60" s="428"/>
      <c r="E60" s="10"/>
      <c r="F60" s="353"/>
      <c r="G60" s="358">
        <f>'PART-A'!I528</f>
        <v>0</v>
      </c>
      <c r="H60" s="428" t="s">
        <v>5</v>
      </c>
      <c r="I60" s="355">
        <f>'PART-A'!K528</f>
        <v>9635.33</v>
      </c>
      <c r="J60" s="353">
        <f>ROUND(G60*I60,0)</f>
        <v>0</v>
      </c>
      <c r="K60" s="1680"/>
      <c r="L60" s="1680"/>
      <c r="M60" s="633" t="s">
        <v>2312</v>
      </c>
      <c r="N60" s="223"/>
      <c r="O60" s="631">
        <f t="shared" si="3"/>
        <v>0</v>
      </c>
      <c r="P60" s="637"/>
    </row>
    <row r="61" spans="1:16" s="360" customFormat="1" ht="15" hidden="1">
      <c r="A61" s="356" t="s">
        <v>326</v>
      </c>
      <c r="B61" s="632" t="s">
        <v>2063</v>
      </c>
      <c r="C61" s="634"/>
      <c r="D61" s="428"/>
      <c r="E61" s="10"/>
      <c r="F61" s="353"/>
      <c r="G61" s="358">
        <f>'PART-A'!I536</f>
        <v>0</v>
      </c>
      <c r="H61" s="428" t="s">
        <v>5</v>
      </c>
      <c r="I61" s="355">
        <f>'PART-A'!K536</f>
        <v>9921.19</v>
      </c>
      <c r="J61" s="353">
        <f>ROUND(G61*I61,0)</f>
        <v>0</v>
      </c>
      <c r="K61" s="1681"/>
      <c r="L61" s="1681"/>
      <c r="M61" s="633" t="s">
        <v>2313</v>
      </c>
      <c r="N61" s="223"/>
      <c r="O61" s="631">
        <f t="shared" si="3"/>
        <v>0</v>
      </c>
      <c r="P61" s="637"/>
    </row>
    <row r="62" spans="1:16" s="1157" customFormat="1" ht="51">
      <c r="A62" s="1146" t="s">
        <v>469</v>
      </c>
      <c r="B62" s="1147" t="s">
        <v>3186</v>
      </c>
      <c r="C62" s="1167">
        <v>115.62</v>
      </c>
      <c r="D62" s="1169" t="s">
        <v>102</v>
      </c>
      <c r="E62" s="1161">
        <v>1031.42</v>
      </c>
      <c r="F62" s="1150">
        <f t="shared" ref="F62" si="17">ROUND(C62*E62,0)</f>
        <v>119253</v>
      </c>
      <c r="G62" s="1151">
        <f>'PART-A'!I567</f>
        <v>118.08999999999999</v>
      </c>
      <c r="H62" s="1148" t="s">
        <v>102</v>
      </c>
      <c r="I62" s="1152">
        <f>'PART-A'!K567</f>
        <v>1071.8</v>
      </c>
      <c r="J62" s="1153">
        <f t="shared" si="7"/>
        <v>126569</v>
      </c>
      <c r="K62" s="1679">
        <f>IF((J62+J63+J64+J65)&gt;(F62+F63+F64+F65),(J62+J63+J64+J65)-(F62+F63+F64+F65),0)</f>
        <v>7316</v>
      </c>
      <c r="L62" s="1679">
        <f>IF((J62+J63+J64+J65)&lt;(F62+F63+F64+F65),(F62+F63+F64+F65)-(J62+J63+J64+J65),0)</f>
        <v>0</v>
      </c>
      <c r="M62" s="1154" t="s">
        <v>2217</v>
      </c>
      <c r="N62" s="1155"/>
      <c r="O62" s="1156">
        <f t="shared" si="3"/>
        <v>-7316</v>
      </c>
    </row>
    <row r="63" spans="1:16" s="1157" customFormat="1" ht="51" hidden="1">
      <c r="A63" s="1146" t="s">
        <v>479</v>
      </c>
      <c r="B63" s="1147" t="s">
        <v>3186</v>
      </c>
      <c r="C63" s="1174"/>
      <c r="D63" s="1148"/>
      <c r="E63" s="922"/>
      <c r="F63" s="1153"/>
      <c r="G63" s="1151">
        <f>'PART-A'!I573</f>
        <v>0</v>
      </c>
      <c r="H63" s="1148" t="s">
        <v>102</v>
      </c>
      <c r="I63" s="1152">
        <f>'PART-A'!K573</f>
        <v>1109.69</v>
      </c>
      <c r="J63" s="1153">
        <f>ROUND(G63*I63,0)</f>
        <v>0</v>
      </c>
      <c r="K63" s="1680"/>
      <c r="L63" s="1680"/>
      <c r="M63" s="1159" t="s">
        <v>2299</v>
      </c>
      <c r="N63" s="1155"/>
      <c r="O63" s="1160">
        <f t="shared" si="3"/>
        <v>0</v>
      </c>
    </row>
    <row r="64" spans="1:16" s="360" customFormat="1" ht="15" hidden="1">
      <c r="A64" s="356" t="s">
        <v>469</v>
      </c>
      <c r="B64" s="632" t="s">
        <v>2064</v>
      </c>
      <c r="C64" s="636"/>
      <c r="D64" s="354"/>
      <c r="E64" s="10"/>
      <c r="F64" s="353"/>
      <c r="G64" s="358">
        <f>'PART-A'!I580</f>
        <v>0</v>
      </c>
      <c r="H64" s="354" t="s">
        <v>102</v>
      </c>
      <c r="I64" s="355">
        <f>'PART-A'!K580</f>
        <v>1166.67</v>
      </c>
      <c r="J64" s="353">
        <f>ROUND(G64*I64,0)</f>
        <v>0</v>
      </c>
      <c r="K64" s="1680"/>
      <c r="L64" s="1680"/>
      <c r="M64" s="633" t="s">
        <v>2312</v>
      </c>
      <c r="N64" s="223"/>
      <c r="O64" s="631">
        <f t="shared" si="3"/>
        <v>0</v>
      </c>
    </row>
    <row r="65" spans="1:15" s="360" customFormat="1" ht="15" hidden="1">
      <c r="A65" s="356" t="s">
        <v>469</v>
      </c>
      <c r="B65" s="632" t="s">
        <v>2064</v>
      </c>
      <c r="C65" s="636"/>
      <c r="D65" s="354"/>
      <c r="E65" s="10"/>
      <c r="F65" s="353"/>
      <c r="G65" s="358">
        <f>'PART-A'!I586</f>
        <v>0</v>
      </c>
      <c r="H65" s="354" t="s">
        <v>102</v>
      </c>
      <c r="I65" s="355">
        <f>'PART-A'!K586</f>
        <v>1202.4000000000001</v>
      </c>
      <c r="J65" s="353">
        <f>ROUND(G65*I65,0)</f>
        <v>0</v>
      </c>
      <c r="K65" s="1681"/>
      <c r="L65" s="1681"/>
      <c r="M65" s="633" t="s">
        <v>2313</v>
      </c>
      <c r="N65" s="223"/>
      <c r="O65" s="631">
        <f t="shared" si="3"/>
        <v>0</v>
      </c>
    </row>
    <row r="66" spans="1:15" s="360" customFormat="1" ht="51" hidden="1">
      <c r="A66" s="356" t="s">
        <v>473</v>
      </c>
      <c r="B66" s="632" t="s">
        <v>3187</v>
      </c>
      <c r="C66" s="824"/>
      <c r="D66" s="791" t="s">
        <v>102</v>
      </c>
      <c r="E66" s="10">
        <v>1100.53</v>
      </c>
      <c r="F66" s="792">
        <f t="shared" ref="F66" si="18">ROUND(C66*E66,0)</f>
        <v>0</v>
      </c>
      <c r="G66" s="358">
        <f>'PART-A'!I544</f>
        <v>0</v>
      </c>
      <c r="H66" s="354" t="s">
        <v>102</v>
      </c>
      <c r="I66" s="355">
        <f>'PART-A'!K544</f>
        <v>1195.95</v>
      </c>
      <c r="J66" s="353">
        <f t="shared" si="7"/>
        <v>0</v>
      </c>
      <c r="K66" s="1679">
        <f>IF((J66+J67+J68+J69)&gt;(F66+F67+F68+F69),(J66+J67+J68+J69)-(F66+F67+F68+F69),0)</f>
        <v>0</v>
      </c>
      <c r="L66" s="1679">
        <f>IF((J66+J67+J68+J69)&lt;(F66+F67+F68+F69),(F66+F67+F68+F69)-(J66+J67+J68+J69),0)</f>
        <v>0</v>
      </c>
      <c r="M66" s="851" t="s">
        <v>2217</v>
      </c>
      <c r="N66" s="223"/>
      <c r="O66" s="850">
        <f t="shared" si="3"/>
        <v>0</v>
      </c>
    </row>
    <row r="67" spans="1:15" s="360" customFormat="1" ht="15" hidden="1">
      <c r="A67" s="356" t="s">
        <v>472</v>
      </c>
      <c r="B67" s="632" t="s">
        <v>2065</v>
      </c>
      <c r="C67" s="634"/>
      <c r="D67" s="354"/>
      <c r="E67" s="10"/>
      <c r="F67" s="353"/>
      <c r="G67" s="358">
        <f>'PART-A'!I550</f>
        <v>0</v>
      </c>
      <c r="H67" s="354" t="s">
        <v>102</v>
      </c>
      <c r="I67" s="355">
        <f>'PART-A'!K550</f>
        <v>1239.23</v>
      </c>
      <c r="J67" s="353">
        <f>ROUND(G67*I67,0)</f>
        <v>0</v>
      </c>
      <c r="K67" s="1680"/>
      <c r="L67" s="1680"/>
      <c r="M67" s="633" t="s">
        <v>2299</v>
      </c>
      <c r="N67" s="223"/>
      <c r="O67" s="631">
        <f t="shared" si="3"/>
        <v>0</v>
      </c>
    </row>
    <row r="68" spans="1:15" s="360" customFormat="1" ht="15" hidden="1">
      <c r="A68" s="356" t="s">
        <v>472</v>
      </c>
      <c r="B68" s="632" t="s">
        <v>2065</v>
      </c>
      <c r="C68" s="634"/>
      <c r="D68" s="354"/>
      <c r="E68" s="10"/>
      <c r="F68" s="353"/>
      <c r="G68" s="358">
        <f>'PART-A'!I555</f>
        <v>0</v>
      </c>
      <c r="H68" s="354" t="s">
        <v>102</v>
      </c>
      <c r="I68" s="355">
        <f>'PART-A'!K555</f>
        <v>1302.4000000000001</v>
      </c>
      <c r="J68" s="353">
        <f>ROUND(G68*I68,0)</f>
        <v>0</v>
      </c>
      <c r="K68" s="1680"/>
      <c r="L68" s="1680"/>
      <c r="M68" s="633" t="s">
        <v>2312</v>
      </c>
      <c r="N68" s="223"/>
      <c r="O68" s="631">
        <f t="shared" si="3"/>
        <v>0</v>
      </c>
    </row>
    <row r="69" spans="1:15" s="360" customFormat="1" ht="15" hidden="1">
      <c r="A69" s="356" t="s">
        <v>472</v>
      </c>
      <c r="B69" s="632" t="s">
        <v>2065</v>
      </c>
      <c r="C69" s="634"/>
      <c r="D69" s="354"/>
      <c r="E69" s="10"/>
      <c r="F69" s="353"/>
      <c r="G69" s="358">
        <f>'PART-A'!I561</f>
        <v>0</v>
      </c>
      <c r="H69" s="354" t="s">
        <v>102</v>
      </c>
      <c r="I69" s="355">
        <f>'PART-A'!K561</f>
        <v>1345.28</v>
      </c>
      <c r="J69" s="353">
        <f>ROUND(G69*I69,0)</f>
        <v>0</v>
      </c>
      <c r="K69" s="1681"/>
      <c r="L69" s="1681"/>
      <c r="M69" s="633" t="s">
        <v>2313</v>
      </c>
      <c r="N69" s="223"/>
      <c r="O69" s="631">
        <f t="shared" si="3"/>
        <v>0</v>
      </c>
    </row>
    <row r="70" spans="1:15" s="1157" customFormat="1" ht="51">
      <c r="A70" s="1146" t="s">
        <v>472</v>
      </c>
      <c r="B70" s="1147" t="s">
        <v>3213</v>
      </c>
      <c r="C70" s="1162"/>
      <c r="D70" s="1148"/>
      <c r="E70" s="1163"/>
      <c r="F70" s="1153"/>
      <c r="G70" s="1151">
        <f>'PART-A'!I592</f>
        <v>22.14</v>
      </c>
      <c r="H70" s="1148" t="s">
        <v>102</v>
      </c>
      <c r="I70" s="1152">
        <f>'PART-A'!K592</f>
        <v>947.64</v>
      </c>
      <c r="J70" s="1153">
        <f t="shared" si="7"/>
        <v>20981</v>
      </c>
      <c r="K70" s="1679">
        <f>IF((J70+J71+J72+J73)&gt;(F70+F71+F72+F73),(J70+J71+J72+J73)-(F70+F71+F72+F73),0)</f>
        <v>20981</v>
      </c>
      <c r="L70" s="1679">
        <f>IF((J70+J71+J72+J73)&lt;(F70+F71+F72+F73),(F70+F71+F72+F73)-(J70+J71+J72+J73),0)</f>
        <v>0</v>
      </c>
      <c r="M70" s="1159" t="s">
        <v>2217</v>
      </c>
      <c r="N70" s="1155"/>
      <c r="O70" s="1160">
        <f t="shared" si="3"/>
        <v>-20981</v>
      </c>
    </row>
    <row r="71" spans="1:15" s="1157" customFormat="1" ht="51" hidden="1">
      <c r="A71" s="1146" t="s">
        <v>2455</v>
      </c>
      <c r="B71" s="1147" t="s">
        <v>3213</v>
      </c>
      <c r="C71" s="1162"/>
      <c r="D71" s="1148"/>
      <c r="E71" s="1163"/>
      <c r="F71" s="1153"/>
      <c r="G71" s="1151">
        <f>'PART-A'!I598</f>
        <v>0</v>
      </c>
      <c r="H71" s="1148" t="s">
        <v>102</v>
      </c>
      <c r="I71" s="1152">
        <f>'PART-A'!K598</f>
        <v>980.15</v>
      </c>
      <c r="J71" s="1153">
        <f>ROUND(G71*I71,0)</f>
        <v>0</v>
      </c>
      <c r="K71" s="1680"/>
      <c r="L71" s="1680"/>
      <c r="M71" s="1159" t="s">
        <v>2299</v>
      </c>
      <c r="N71" s="1155"/>
      <c r="O71" s="1160">
        <f t="shared" si="3"/>
        <v>0</v>
      </c>
    </row>
    <row r="72" spans="1:15" s="360" customFormat="1" ht="15" hidden="1">
      <c r="A72" s="356" t="s">
        <v>469</v>
      </c>
      <c r="B72" s="632" t="s">
        <v>2066</v>
      </c>
      <c r="C72" s="635"/>
      <c r="D72" s="354"/>
      <c r="E72" s="362"/>
      <c r="F72" s="353"/>
      <c r="G72" s="358">
        <f>'PART-A'!I604</f>
        <v>0</v>
      </c>
      <c r="H72" s="354" t="s">
        <v>102</v>
      </c>
      <c r="I72" s="355">
        <f>'PART-A'!K604</f>
        <v>1030.9299999999998</v>
      </c>
      <c r="J72" s="353">
        <f>ROUND(G72*I72,0)</f>
        <v>0</v>
      </c>
      <c r="K72" s="1680"/>
      <c r="L72" s="1680"/>
      <c r="M72" s="633" t="s">
        <v>2312</v>
      </c>
      <c r="N72" s="223"/>
      <c r="O72" s="631">
        <f t="shared" si="3"/>
        <v>0</v>
      </c>
    </row>
    <row r="73" spans="1:15" s="360" customFormat="1" ht="15" hidden="1">
      <c r="A73" s="356" t="s">
        <v>469</v>
      </c>
      <c r="B73" s="632" t="s">
        <v>2066</v>
      </c>
      <c r="C73" s="635"/>
      <c r="D73" s="354"/>
      <c r="E73" s="362"/>
      <c r="F73" s="353"/>
      <c r="G73" s="358">
        <f>'PART-A'!I610</f>
        <v>0</v>
      </c>
      <c r="H73" s="354" t="s">
        <v>102</v>
      </c>
      <c r="I73" s="355">
        <f>'PART-A'!K610</f>
        <v>1059.52</v>
      </c>
      <c r="J73" s="353">
        <f>ROUND(G73*I73,0)</f>
        <v>0</v>
      </c>
      <c r="K73" s="1681"/>
      <c r="L73" s="1681"/>
      <c r="M73" s="633" t="s">
        <v>2313</v>
      </c>
      <c r="N73" s="223"/>
      <c r="O73" s="631">
        <f t="shared" si="3"/>
        <v>0</v>
      </c>
    </row>
    <row r="74" spans="1:15" s="1157" customFormat="1" ht="51">
      <c r="A74" s="1146" t="s">
        <v>473</v>
      </c>
      <c r="B74" s="1147" t="s">
        <v>3298</v>
      </c>
      <c r="C74" s="1175">
        <v>9.43</v>
      </c>
      <c r="D74" s="1148" t="s">
        <v>5</v>
      </c>
      <c r="E74" s="1161">
        <v>683.17</v>
      </c>
      <c r="F74" s="1150">
        <f t="shared" ref="F74" si="19">ROUND(C74*E74,0)</f>
        <v>6442</v>
      </c>
      <c r="G74" s="1170">
        <f>'PART-A'!I616</f>
        <v>0</v>
      </c>
      <c r="H74" s="1173" t="s">
        <v>102</v>
      </c>
      <c r="I74" s="1171">
        <f>'PART-A'!K616</f>
        <v>471.03</v>
      </c>
      <c r="J74" s="1153">
        <f t="shared" si="7"/>
        <v>0</v>
      </c>
      <c r="K74" s="1679">
        <f>IF((J74+J75+J76+J77)&gt;(F74+F75+F76+F77),(J74+J75+J76+J77)-(F74+F75+F76+F77),0)</f>
        <v>0</v>
      </c>
      <c r="L74" s="1679">
        <f>IF((J74+J75+J76+J77)&lt;(F74+F75+F76+F77),(F74+F75+F76+F77)-(J74+J75+J76+J77),0)</f>
        <v>6442</v>
      </c>
      <c r="M74" s="1159" t="s">
        <v>2217</v>
      </c>
      <c r="N74" s="1155"/>
      <c r="O74" s="1160">
        <f t="shared" si="3"/>
        <v>6442</v>
      </c>
    </row>
    <row r="75" spans="1:15" s="360" customFormat="1" ht="15" hidden="1">
      <c r="A75" s="356" t="s">
        <v>469</v>
      </c>
      <c r="B75" s="632" t="s">
        <v>2067</v>
      </c>
      <c r="C75" s="636"/>
      <c r="D75" s="354"/>
      <c r="E75" s="10"/>
      <c r="F75" s="353"/>
      <c r="G75" s="358">
        <f>'PART-A'!I622</f>
        <v>0</v>
      </c>
      <c r="H75" s="354" t="s">
        <v>102</v>
      </c>
      <c r="I75" s="355">
        <f>'PART-A'!K622</f>
        <v>487.1</v>
      </c>
      <c r="J75" s="353">
        <f>ROUND(G75*I75,0)</f>
        <v>0</v>
      </c>
      <c r="K75" s="1680"/>
      <c r="L75" s="1680"/>
      <c r="M75" s="633" t="s">
        <v>2299</v>
      </c>
      <c r="N75" s="223"/>
      <c r="O75" s="631">
        <f t="shared" ref="O75:O138" si="20">F75-J75</f>
        <v>0</v>
      </c>
    </row>
    <row r="76" spans="1:15" s="360" customFormat="1" ht="15" hidden="1">
      <c r="A76" s="356" t="s">
        <v>469</v>
      </c>
      <c r="B76" s="632" t="s">
        <v>2067</v>
      </c>
      <c r="C76" s="636"/>
      <c r="D76" s="354"/>
      <c r="E76" s="10"/>
      <c r="F76" s="353"/>
      <c r="G76" s="358">
        <f>'PART-A'!I628</f>
        <v>0</v>
      </c>
      <c r="H76" s="354" t="s">
        <v>102</v>
      </c>
      <c r="I76" s="355">
        <f>'PART-A'!K628</f>
        <v>512.26</v>
      </c>
      <c r="J76" s="353">
        <f>ROUND(G76*I76,0)</f>
        <v>0</v>
      </c>
      <c r="K76" s="1680"/>
      <c r="L76" s="1680"/>
      <c r="M76" s="633" t="s">
        <v>2312</v>
      </c>
      <c r="N76" s="223"/>
      <c r="O76" s="631">
        <f t="shared" si="20"/>
        <v>0</v>
      </c>
    </row>
    <row r="77" spans="1:15" s="360" customFormat="1" ht="15" hidden="1">
      <c r="A77" s="356" t="s">
        <v>469</v>
      </c>
      <c r="B77" s="632" t="s">
        <v>2067</v>
      </c>
      <c r="C77" s="636"/>
      <c r="D77" s="354"/>
      <c r="E77" s="10"/>
      <c r="F77" s="353"/>
      <c r="G77" s="358">
        <f>'PART-A'!I634</f>
        <v>0</v>
      </c>
      <c r="H77" s="354" t="s">
        <v>102</v>
      </c>
      <c r="I77" s="355">
        <f>'PART-A'!K634</f>
        <v>526.29999999999995</v>
      </c>
      <c r="J77" s="353">
        <f>ROUND(G77*I77,0)</f>
        <v>0</v>
      </c>
      <c r="K77" s="1681"/>
      <c r="L77" s="1681"/>
      <c r="M77" s="633" t="s">
        <v>2313</v>
      </c>
      <c r="N77" s="223"/>
      <c r="O77" s="631">
        <f t="shared" si="20"/>
        <v>0</v>
      </c>
    </row>
    <row r="78" spans="1:15" s="360" customFormat="1" ht="15" hidden="1">
      <c r="A78" s="356" t="s">
        <v>475</v>
      </c>
      <c r="B78" s="632" t="s">
        <v>2068</v>
      </c>
      <c r="C78" s="636"/>
      <c r="D78" s="354"/>
      <c r="E78" s="362"/>
      <c r="F78" s="353"/>
      <c r="G78" s="358">
        <f>'PART-A'!I641</f>
        <v>0</v>
      </c>
      <c r="H78" s="354" t="s">
        <v>102</v>
      </c>
      <c r="I78" s="355">
        <f>'PART-A'!K641</f>
        <v>348.26</v>
      </c>
      <c r="J78" s="353">
        <f t="shared" si="7"/>
        <v>0</v>
      </c>
      <c r="K78" s="1679">
        <f>IF((J78+J79+J80+J81)&gt;(F78+F79+F80+F81),(J78+J79+J80+J81)-(F78+F79+F80+F81),0)</f>
        <v>0</v>
      </c>
      <c r="L78" s="1679">
        <f>IF((J78+J79+J80+J81)&lt;(F78+F79+F80+F81),(F78+F79+F80+F81)-(J78+J79+J80+J81),0)</f>
        <v>0</v>
      </c>
      <c r="M78" s="633" t="s">
        <v>2217</v>
      </c>
      <c r="N78" s="223"/>
      <c r="O78" s="631">
        <f t="shared" si="20"/>
        <v>0</v>
      </c>
    </row>
    <row r="79" spans="1:15" s="360" customFormat="1" ht="15" hidden="1">
      <c r="A79" s="356" t="s">
        <v>475</v>
      </c>
      <c r="B79" s="632" t="s">
        <v>2068</v>
      </c>
      <c r="C79" s="636"/>
      <c r="D79" s="354"/>
      <c r="E79" s="362"/>
      <c r="F79" s="353"/>
      <c r="G79" s="358">
        <f>'PART-A'!I648</f>
        <v>0</v>
      </c>
      <c r="H79" s="354" t="s">
        <v>102</v>
      </c>
      <c r="I79" s="355">
        <f>'PART-A'!K648</f>
        <v>359.05</v>
      </c>
      <c r="J79" s="353">
        <f>ROUND(G79*I79,0)</f>
        <v>0</v>
      </c>
      <c r="K79" s="1680"/>
      <c r="L79" s="1680"/>
      <c r="M79" s="633" t="s">
        <v>2299</v>
      </c>
      <c r="N79" s="223"/>
      <c r="O79" s="631">
        <f t="shared" si="20"/>
        <v>0</v>
      </c>
    </row>
    <row r="80" spans="1:15" s="360" customFormat="1" ht="15" hidden="1">
      <c r="A80" s="356" t="s">
        <v>475</v>
      </c>
      <c r="B80" s="632" t="s">
        <v>2068</v>
      </c>
      <c r="C80" s="636"/>
      <c r="D80" s="354"/>
      <c r="E80" s="362"/>
      <c r="F80" s="353"/>
      <c r="G80" s="358">
        <f>'PART-A'!I655</f>
        <v>0</v>
      </c>
      <c r="H80" s="354" t="s">
        <v>102</v>
      </c>
      <c r="I80" s="355">
        <f>'PART-A'!K655</f>
        <v>378.13</v>
      </c>
      <c r="J80" s="353">
        <f>ROUND(G80*I80,0)</f>
        <v>0</v>
      </c>
      <c r="K80" s="1680"/>
      <c r="L80" s="1680"/>
      <c r="M80" s="633" t="s">
        <v>2312</v>
      </c>
      <c r="N80" s="223"/>
      <c r="O80" s="631">
        <f t="shared" si="20"/>
        <v>0</v>
      </c>
    </row>
    <row r="81" spans="1:15" s="360" customFormat="1" ht="15" hidden="1">
      <c r="A81" s="356" t="s">
        <v>475</v>
      </c>
      <c r="B81" s="632" t="s">
        <v>2068</v>
      </c>
      <c r="C81" s="636"/>
      <c r="D81" s="354"/>
      <c r="E81" s="362"/>
      <c r="F81" s="353"/>
      <c r="G81" s="358">
        <f>'PART-A'!I662</f>
        <v>0</v>
      </c>
      <c r="H81" s="354" t="s">
        <v>102</v>
      </c>
      <c r="I81" s="355">
        <f>'PART-A'!K662</f>
        <v>385.15</v>
      </c>
      <c r="J81" s="353">
        <f>ROUND(G81*I81,0)</f>
        <v>0</v>
      </c>
      <c r="K81" s="1681"/>
      <c r="L81" s="1681"/>
      <c r="M81" s="633" t="s">
        <v>2313</v>
      </c>
      <c r="N81" s="223"/>
      <c r="O81" s="631">
        <f t="shared" si="20"/>
        <v>0</v>
      </c>
    </row>
    <row r="82" spans="1:15" s="1157" customFormat="1" ht="51">
      <c r="A82" s="1146" t="s">
        <v>474</v>
      </c>
      <c r="B82" s="1147" t="s">
        <v>3188</v>
      </c>
      <c r="C82" s="1167">
        <v>0.63</v>
      </c>
      <c r="D82" s="1148" t="s">
        <v>5</v>
      </c>
      <c r="E82" s="1161">
        <v>8965.880000000001</v>
      </c>
      <c r="F82" s="1150">
        <f t="shared" ref="F82" si="21">ROUND(C82*E82,0)</f>
        <v>5649</v>
      </c>
      <c r="G82" s="1151">
        <f>'PART-A'!I672</f>
        <v>1.21</v>
      </c>
      <c r="H82" s="1148" t="s">
        <v>5</v>
      </c>
      <c r="I82" s="1152">
        <f>'PART-A'!K672</f>
        <v>9288.880000000001</v>
      </c>
      <c r="J82" s="1153">
        <f t="shared" si="7"/>
        <v>11240</v>
      </c>
      <c r="K82" s="1679">
        <f>IF((J82+J83+J84+J85)&gt;(F82+F83+F84+F85),(J82+J83+J84+J85)-(F82+F83+F84+F85),0)</f>
        <v>5591</v>
      </c>
      <c r="L82" s="1679">
        <f>IF((J82+J83+J84+J85)&lt;(F82+F83+F84+F85),(F82+F83+F84+F85)-(J82+J83+J84+J85),0)</f>
        <v>0</v>
      </c>
      <c r="M82" s="1154" t="s">
        <v>2217</v>
      </c>
      <c r="N82" s="1155"/>
      <c r="O82" s="1156">
        <f t="shared" si="20"/>
        <v>-5591</v>
      </c>
    </row>
    <row r="83" spans="1:15" s="1157" customFormat="1" ht="51" hidden="1">
      <c r="A83" s="1146" t="s">
        <v>483</v>
      </c>
      <c r="B83" s="1147" t="s">
        <v>3188</v>
      </c>
      <c r="C83" s="1158"/>
      <c r="D83" s="1148"/>
      <c r="E83" s="922"/>
      <c r="F83" s="1153"/>
      <c r="G83" s="1151">
        <f>'PART-A'!I684</f>
        <v>0</v>
      </c>
      <c r="H83" s="1148" t="s">
        <v>5</v>
      </c>
      <c r="I83" s="1152">
        <f>'PART-A'!K684</f>
        <v>9638.93</v>
      </c>
      <c r="J83" s="1153">
        <f>ROUND(G83*I83,0)</f>
        <v>0</v>
      </c>
      <c r="K83" s="1680"/>
      <c r="L83" s="1680"/>
      <c r="M83" s="1159" t="s">
        <v>2299</v>
      </c>
      <c r="N83" s="1155"/>
      <c r="O83" s="1160">
        <f t="shared" si="20"/>
        <v>0</v>
      </c>
    </row>
    <row r="84" spans="1:15" s="360" customFormat="1" ht="15" hidden="1">
      <c r="A84" s="356" t="s">
        <v>475</v>
      </c>
      <c r="B84" s="632" t="s">
        <v>2069</v>
      </c>
      <c r="C84" s="634"/>
      <c r="D84" s="354"/>
      <c r="E84" s="10"/>
      <c r="F84" s="353"/>
      <c r="G84" s="358">
        <f>'PART-A'!I693</f>
        <v>0</v>
      </c>
      <c r="H84" s="354" t="s">
        <v>5</v>
      </c>
      <c r="I84" s="355">
        <f>'PART-A'!K693</f>
        <v>10171.82</v>
      </c>
      <c r="J84" s="353">
        <f>ROUND(G84*I84,0)</f>
        <v>0</v>
      </c>
      <c r="K84" s="1680"/>
      <c r="L84" s="1680"/>
      <c r="M84" s="633" t="s">
        <v>2312</v>
      </c>
      <c r="N84" s="223"/>
      <c r="O84" s="631">
        <f t="shared" si="20"/>
        <v>0</v>
      </c>
    </row>
    <row r="85" spans="1:15" s="360" customFormat="1" ht="51" hidden="1">
      <c r="A85" s="356" t="s">
        <v>486</v>
      </c>
      <c r="B85" s="632" t="s">
        <v>3188</v>
      </c>
      <c r="C85" s="634"/>
      <c r="D85" s="354"/>
      <c r="E85" s="10"/>
      <c r="F85" s="353"/>
      <c r="G85" s="358">
        <f>'PART-A'!I762</f>
        <v>0</v>
      </c>
      <c r="H85" s="354" t="s">
        <v>5</v>
      </c>
      <c r="I85" s="355">
        <f>'PART-A'!K762</f>
        <v>10584.6</v>
      </c>
      <c r="J85" s="353">
        <f>ROUND(G85*I85,0)</f>
        <v>0</v>
      </c>
      <c r="K85" s="1681"/>
      <c r="L85" s="1681"/>
      <c r="M85" s="633" t="s">
        <v>2313</v>
      </c>
      <c r="N85" s="223"/>
      <c r="O85" s="631">
        <f t="shared" si="20"/>
        <v>0</v>
      </c>
    </row>
    <row r="86" spans="1:15" s="1157" customFormat="1" ht="51">
      <c r="A86" s="1146" t="s">
        <v>475</v>
      </c>
      <c r="B86" s="1147" t="s">
        <v>3189</v>
      </c>
      <c r="C86" s="1176">
        <v>11.76</v>
      </c>
      <c r="D86" s="1148" t="s">
        <v>277</v>
      </c>
      <c r="E86" s="1161">
        <v>655.13</v>
      </c>
      <c r="F86" s="1150">
        <f t="shared" ref="F86" si="22">ROUND(C86*E86,0)</f>
        <v>7704</v>
      </c>
      <c r="G86" s="1151">
        <f>'PART-A'!I767</f>
        <v>7.5</v>
      </c>
      <c r="H86" s="1148" t="s">
        <v>277</v>
      </c>
      <c r="I86" s="1152">
        <f>'PART-A'!K767</f>
        <v>474.83999999999992</v>
      </c>
      <c r="J86" s="1153">
        <f t="shared" si="7"/>
        <v>3561</v>
      </c>
      <c r="K86" s="1679">
        <f>IF((J86+J87+J88+J89)&gt;(F86+F87+F88+F89),(J86+J87+J88+J89)-(F86+F87+F88+F89),0)</f>
        <v>0</v>
      </c>
      <c r="L86" s="1679">
        <f>IF((J86+J87+J88+J89)&lt;(F86+F87+F88+F89),(F86+F87+F88+F89)-(J86+J87+J88+J89),0)</f>
        <v>4143</v>
      </c>
      <c r="M86" s="1154" t="s">
        <v>2217</v>
      </c>
      <c r="N86" s="1155"/>
      <c r="O86" s="1156">
        <f t="shared" si="20"/>
        <v>4143</v>
      </c>
    </row>
    <row r="87" spans="1:15" s="1157" customFormat="1" ht="51" hidden="1">
      <c r="A87" s="1146" t="s">
        <v>485</v>
      </c>
      <c r="B87" s="1147" t="s">
        <v>3189</v>
      </c>
      <c r="C87" s="917"/>
      <c r="D87" s="1148"/>
      <c r="E87" s="922"/>
      <c r="F87" s="1153"/>
      <c r="G87" s="1151">
        <f>'PART-A'!I772</f>
        <v>0</v>
      </c>
      <c r="H87" s="1148" t="s">
        <v>277</v>
      </c>
      <c r="I87" s="1152">
        <f>'PART-A'!K772</f>
        <v>482.90999999999997</v>
      </c>
      <c r="J87" s="1153">
        <f>ROUND(G87*I87,0)</f>
        <v>0</v>
      </c>
      <c r="K87" s="1680"/>
      <c r="L87" s="1680"/>
      <c r="M87" s="1159" t="s">
        <v>2299</v>
      </c>
      <c r="N87" s="1155"/>
      <c r="O87" s="1160">
        <f t="shared" si="20"/>
        <v>0</v>
      </c>
    </row>
    <row r="88" spans="1:15" s="360" customFormat="1" ht="15" hidden="1">
      <c r="A88" s="356" t="s">
        <v>478</v>
      </c>
      <c r="B88" s="632" t="s">
        <v>2070</v>
      </c>
      <c r="C88" s="551"/>
      <c r="D88" s="354"/>
      <c r="E88" s="10"/>
      <c r="F88" s="353"/>
      <c r="G88" s="358">
        <f>'PART-A'!I778</f>
        <v>0</v>
      </c>
      <c r="H88" s="354" t="s">
        <v>277</v>
      </c>
      <c r="I88" s="355">
        <f>'PART-A'!K778</f>
        <v>507.79999999999995</v>
      </c>
      <c r="J88" s="353">
        <f>ROUND(G88*I88,0)</f>
        <v>0</v>
      </c>
      <c r="K88" s="1680"/>
      <c r="L88" s="1680"/>
      <c r="M88" s="633" t="s">
        <v>2312</v>
      </c>
      <c r="N88" s="223"/>
      <c r="O88" s="631">
        <f t="shared" si="20"/>
        <v>0</v>
      </c>
    </row>
    <row r="89" spans="1:15" s="360" customFormat="1" ht="51" hidden="1">
      <c r="A89" s="356" t="s">
        <v>488</v>
      </c>
      <c r="B89" s="632" t="s">
        <v>3189</v>
      </c>
      <c r="C89" s="551"/>
      <c r="D89" s="354"/>
      <c r="E89" s="10"/>
      <c r="F89" s="353"/>
      <c r="G89" s="358">
        <f>'PART-A'!I783</f>
        <v>0</v>
      </c>
      <c r="H89" s="354" t="s">
        <v>277</v>
      </c>
      <c r="I89" s="355">
        <f>'PART-A'!K783</f>
        <v>518.52</v>
      </c>
      <c r="J89" s="353">
        <f>ROUND(G89*I89,0)</f>
        <v>0</v>
      </c>
      <c r="K89" s="1681"/>
      <c r="L89" s="1681"/>
      <c r="M89" s="633" t="s">
        <v>2313</v>
      </c>
      <c r="N89" s="223"/>
      <c r="O89" s="631">
        <f t="shared" si="20"/>
        <v>0</v>
      </c>
    </row>
    <row r="90" spans="1:15" s="1157" customFormat="1" ht="51" hidden="1">
      <c r="A90" s="1146" t="s">
        <v>476</v>
      </c>
      <c r="B90" s="1147" t="s">
        <v>3290</v>
      </c>
      <c r="C90" s="1158"/>
      <c r="D90" s="1177"/>
      <c r="E90" s="922"/>
      <c r="F90" s="1150">
        <f>ROUND(C90*E90/10,0)</f>
        <v>0</v>
      </c>
      <c r="G90" s="1151">
        <f>'PART-A'!I790</f>
        <v>0</v>
      </c>
      <c r="H90" s="1177" t="s">
        <v>102</v>
      </c>
      <c r="I90" s="1152">
        <f>'PART-A'!K790</f>
        <v>259.97000000000003</v>
      </c>
      <c r="J90" s="1153">
        <f t="shared" si="7"/>
        <v>0</v>
      </c>
      <c r="K90" s="1679">
        <f>IF((J90+J91+J92+J93)&gt;(F90+F91+F92+F93),(J90+J91+J92+J93)-(F90+F91+F92+F93),0)</f>
        <v>0</v>
      </c>
      <c r="L90" s="1679">
        <f>IF((J90+J91+J92+J93)&lt;(F90+F91+F92+F93),(F90+F91+F92+F93)-(J90+J91+J92+J93),0)</f>
        <v>0</v>
      </c>
      <c r="M90" s="1159" t="s">
        <v>2217</v>
      </c>
      <c r="N90" s="1155"/>
      <c r="O90" s="1160">
        <f t="shared" si="20"/>
        <v>0</v>
      </c>
    </row>
    <row r="91" spans="1:15" s="1157" customFormat="1" ht="15" hidden="1">
      <c r="A91" s="1146" t="s">
        <v>486</v>
      </c>
      <c r="B91" s="1147" t="s">
        <v>1478</v>
      </c>
      <c r="C91" s="1158"/>
      <c r="D91" s="1177"/>
      <c r="E91" s="922"/>
      <c r="F91" s="1153"/>
      <c r="G91" s="1151">
        <f>'PART-A'!I797</f>
        <v>0</v>
      </c>
      <c r="H91" s="1177" t="s">
        <v>102</v>
      </c>
      <c r="I91" s="1152">
        <f>'PART-A'!K797</f>
        <v>280.02999999999997</v>
      </c>
      <c r="J91" s="1153">
        <f t="shared" ref="J91" si="23">ROUND(G91*I91,0)</f>
        <v>0</v>
      </c>
      <c r="K91" s="1680"/>
      <c r="L91" s="1680"/>
      <c r="M91" s="1159" t="s">
        <v>2299</v>
      </c>
      <c r="N91" s="1155"/>
      <c r="O91" s="1160">
        <f t="shared" si="20"/>
        <v>0</v>
      </c>
    </row>
    <row r="92" spans="1:15" s="360" customFormat="1" ht="15" hidden="1">
      <c r="A92" s="356" t="s">
        <v>480</v>
      </c>
      <c r="B92" s="632" t="s">
        <v>1478</v>
      </c>
      <c r="C92" s="634"/>
      <c r="D92" s="221"/>
      <c r="E92" s="10"/>
      <c r="F92" s="353"/>
      <c r="G92" s="358">
        <f>'PART-A'!I803</f>
        <v>0</v>
      </c>
      <c r="H92" s="221" t="s">
        <v>102</v>
      </c>
      <c r="I92" s="355">
        <f>'PART-A'!K803</f>
        <v>297.22000000000003</v>
      </c>
      <c r="J92" s="353">
        <f>ROUND(G92*I92,0)</f>
        <v>0</v>
      </c>
      <c r="K92" s="1680"/>
      <c r="L92" s="1680"/>
      <c r="M92" s="633" t="s">
        <v>2312</v>
      </c>
      <c r="N92" s="223"/>
      <c r="O92" s="631">
        <f t="shared" si="20"/>
        <v>0</v>
      </c>
    </row>
    <row r="93" spans="1:15" s="360" customFormat="1" ht="15" hidden="1">
      <c r="A93" s="356" t="s">
        <v>480</v>
      </c>
      <c r="B93" s="632" t="s">
        <v>1478</v>
      </c>
      <c r="C93" s="634"/>
      <c r="D93" s="221"/>
      <c r="E93" s="10"/>
      <c r="F93" s="353"/>
      <c r="G93" s="358">
        <f>'PART-A'!I809</f>
        <v>0</v>
      </c>
      <c r="H93" s="221" t="s">
        <v>102</v>
      </c>
      <c r="I93" s="355">
        <f>'PART-A'!K809</f>
        <v>315.69</v>
      </c>
      <c r="J93" s="353">
        <f>ROUND(G93*I93,0)</f>
        <v>0</v>
      </c>
      <c r="K93" s="1681"/>
      <c r="L93" s="1681"/>
      <c r="M93" s="633" t="s">
        <v>2313</v>
      </c>
      <c r="N93" s="223"/>
      <c r="O93" s="631">
        <f t="shared" si="20"/>
        <v>0</v>
      </c>
    </row>
    <row r="94" spans="1:15" s="1157" customFormat="1" ht="51">
      <c r="A94" s="1146" t="s">
        <v>476</v>
      </c>
      <c r="B94" s="1147" t="s">
        <v>3327</v>
      </c>
      <c r="C94" s="1168">
        <v>106.12</v>
      </c>
      <c r="D94" s="1177" t="s">
        <v>102</v>
      </c>
      <c r="E94" s="1161">
        <v>344.5</v>
      </c>
      <c r="F94" s="1150">
        <f t="shared" ref="F94" si="24">ROUND(C94*E94,0)</f>
        <v>36558</v>
      </c>
      <c r="G94" s="1170">
        <f>'PART-A'!I815</f>
        <v>0</v>
      </c>
      <c r="H94" s="1178" t="s">
        <v>102</v>
      </c>
      <c r="I94" s="1171">
        <f>'PART-A'!K815</f>
        <v>330.39</v>
      </c>
      <c r="J94" s="1153">
        <f t="shared" si="7"/>
        <v>0</v>
      </c>
      <c r="K94" s="1679">
        <f>IF((J94+J95+J96+J97)&gt;(F94+F95+F96+F97),(J94+J95+J96+J97)-(F94+F95+F96+F97),0)</f>
        <v>0</v>
      </c>
      <c r="L94" s="1679">
        <f>IF((J94+J95+J96+J97)&lt;(F94+F95+F96+F97),(F94+F95+F96+F97)-(J94+J95+J96+J97),0)</f>
        <v>36558</v>
      </c>
      <c r="M94" s="1159" t="s">
        <v>2217</v>
      </c>
      <c r="N94" s="1155"/>
      <c r="O94" s="1160">
        <f t="shared" si="20"/>
        <v>36558</v>
      </c>
    </row>
    <row r="95" spans="1:15" s="360" customFormat="1" ht="51" hidden="1">
      <c r="A95" s="356" t="s">
        <v>489</v>
      </c>
      <c r="B95" s="632" t="s">
        <v>3327</v>
      </c>
      <c r="C95" s="634"/>
      <c r="D95" s="221"/>
      <c r="E95" s="10"/>
      <c r="F95" s="353"/>
      <c r="G95" s="358">
        <f>'PART-A'!I822</f>
        <v>0</v>
      </c>
      <c r="H95" s="221" t="s">
        <v>102</v>
      </c>
      <c r="I95" s="355">
        <f>'PART-A'!K822</f>
        <v>357.62</v>
      </c>
      <c r="J95" s="353">
        <f>ROUND(G95*I95,0)</f>
        <v>0</v>
      </c>
      <c r="K95" s="1680"/>
      <c r="L95" s="1680"/>
      <c r="M95" s="633" t="s">
        <v>2299</v>
      </c>
      <c r="N95" s="223"/>
      <c r="O95" s="631">
        <f t="shared" si="20"/>
        <v>0</v>
      </c>
    </row>
    <row r="96" spans="1:15" s="360" customFormat="1" ht="15" hidden="1">
      <c r="A96" s="356" t="s">
        <v>476</v>
      </c>
      <c r="B96" s="632" t="s">
        <v>1479</v>
      </c>
      <c r="C96" s="634"/>
      <c r="D96" s="221"/>
      <c r="E96" s="10"/>
      <c r="F96" s="353"/>
      <c r="G96" s="358">
        <f>'PART-A'!I828</f>
        <v>0</v>
      </c>
      <c r="H96" s="221" t="s">
        <v>102</v>
      </c>
      <c r="I96" s="355">
        <f>'PART-A'!K828</f>
        <v>380.75</v>
      </c>
      <c r="J96" s="353">
        <f>ROUND(G96*I96,0)</f>
        <v>0</v>
      </c>
      <c r="K96" s="1680"/>
      <c r="L96" s="1680"/>
      <c r="M96" s="633" t="s">
        <v>2312</v>
      </c>
      <c r="N96" s="223"/>
      <c r="O96" s="631">
        <f t="shared" si="20"/>
        <v>0</v>
      </c>
    </row>
    <row r="97" spans="1:15" s="360" customFormat="1" ht="15" hidden="1">
      <c r="A97" s="356" t="s">
        <v>476</v>
      </c>
      <c r="B97" s="632" t="s">
        <v>1479</v>
      </c>
      <c r="C97" s="634"/>
      <c r="D97" s="221"/>
      <c r="E97" s="10"/>
      <c r="F97" s="353"/>
      <c r="G97" s="358">
        <f>'PART-A'!I834</f>
        <v>0</v>
      </c>
      <c r="H97" s="221" t="s">
        <v>102</v>
      </c>
      <c r="I97" s="355">
        <f>'PART-A'!K834</f>
        <v>405.78</v>
      </c>
      <c r="J97" s="353">
        <f>ROUND(G97*I97,0)</f>
        <v>0</v>
      </c>
      <c r="K97" s="1681"/>
      <c r="L97" s="1681"/>
      <c r="M97" s="633" t="s">
        <v>2313</v>
      </c>
      <c r="N97" s="223"/>
      <c r="O97" s="631">
        <f t="shared" si="20"/>
        <v>0</v>
      </c>
    </row>
    <row r="98" spans="1:15" s="360" customFormat="1" ht="51" hidden="1">
      <c r="A98" s="356" t="s">
        <v>476</v>
      </c>
      <c r="B98" s="632" t="s">
        <v>3190</v>
      </c>
      <c r="C98" s="611"/>
      <c r="D98" s="354"/>
      <c r="E98" s="607"/>
      <c r="F98" s="353"/>
      <c r="G98" s="358">
        <f>'PART-A'!I1509</f>
        <v>0</v>
      </c>
      <c r="H98" s="354" t="s">
        <v>5</v>
      </c>
      <c r="I98" s="355">
        <f>'PART-A'!K1509</f>
        <v>4946.1699999999992</v>
      </c>
      <c r="J98" s="353">
        <f t="shared" si="7"/>
        <v>0</v>
      </c>
      <c r="K98" s="1679">
        <f>IF((J98+J99+J100+J101)&gt;(F98+F99+F100+F101),(J98+J99+J100+J101)-(F98+F99+F100+F101),0)</f>
        <v>0</v>
      </c>
      <c r="L98" s="1679">
        <f>IF((J98+J99+J100+J101)&lt;(F98+F99+F100+F101),(F98+F99+F100+F101)-(J98+J99+J100+J101),0)</f>
        <v>0</v>
      </c>
      <c r="M98" s="851" t="s">
        <v>2217</v>
      </c>
      <c r="N98" s="223"/>
      <c r="O98" s="850">
        <f t="shared" si="20"/>
        <v>0</v>
      </c>
    </row>
    <row r="99" spans="1:15" s="360" customFormat="1" ht="15" hidden="1">
      <c r="A99" s="356" t="s">
        <v>475</v>
      </c>
      <c r="B99" s="632" t="s">
        <v>2071</v>
      </c>
      <c r="C99" s="611"/>
      <c r="D99" s="354"/>
      <c r="E99" s="607"/>
      <c r="F99" s="353"/>
      <c r="G99" s="358">
        <f>'PART-A'!I1516</f>
        <v>0</v>
      </c>
      <c r="H99" s="354" t="s">
        <v>5</v>
      </c>
      <c r="I99" s="355">
        <f>'PART-A'!K1516</f>
        <v>5115.5200000000004</v>
      </c>
      <c r="J99" s="353">
        <f>ROUND(G99*I99,0)</f>
        <v>0</v>
      </c>
      <c r="K99" s="1680"/>
      <c r="L99" s="1680"/>
      <c r="M99" s="633" t="s">
        <v>2299</v>
      </c>
      <c r="N99" s="223"/>
      <c r="O99" s="631">
        <f t="shared" si="20"/>
        <v>0</v>
      </c>
    </row>
    <row r="100" spans="1:15" s="360" customFormat="1" ht="15" hidden="1">
      <c r="A100" s="356" t="s">
        <v>475</v>
      </c>
      <c r="B100" s="632" t="s">
        <v>2071</v>
      </c>
      <c r="C100" s="611"/>
      <c r="D100" s="354"/>
      <c r="E100" s="607"/>
      <c r="F100" s="353"/>
      <c r="G100" s="358">
        <f>'PART-A'!I1523</f>
        <v>0</v>
      </c>
      <c r="H100" s="354" t="s">
        <v>5</v>
      </c>
      <c r="I100" s="355">
        <f>'PART-A'!K1523</f>
        <v>5349.0700000000006</v>
      </c>
      <c r="J100" s="353">
        <f>ROUND(G100*I100,0)</f>
        <v>0</v>
      </c>
      <c r="K100" s="1680"/>
      <c r="L100" s="1680"/>
      <c r="M100" s="633" t="s">
        <v>2312</v>
      </c>
      <c r="N100" s="223"/>
      <c r="O100" s="631">
        <f t="shared" si="20"/>
        <v>0</v>
      </c>
    </row>
    <row r="101" spans="1:15" s="360" customFormat="1" ht="15" hidden="1">
      <c r="A101" s="356" t="s">
        <v>475</v>
      </c>
      <c r="B101" s="632" t="s">
        <v>2071</v>
      </c>
      <c r="C101" s="611"/>
      <c r="D101" s="354"/>
      <c r="E101" s="607"/>
      <c r="F101" s="353"/>
      <c r="G101" s="358">
        <f>'PART-A'!I1528</f>
        <v>0</v>
      </c>
      <c r="H101" s="354" t="s">
        <v>5</v>
      </c>
      <c r="I101" s="355">
        <f>'PART-A'!K1528</f>
        <v>5601.67</v>
      </c>
      <c r="J101" s="353">
        <f>ROUND(G101*I101,0)</f>
        <v>0</v>
      </c>
      <c r="K101" s="1681"/>
      <c r="L101" s="1681"/>
      <c r="M101" s="633" t="s">
        <v>2313</v>
      </c>
      <c r="N101" s="223"/>
      <c r="O101" s="631">
        <f t="shared" si="20"/>
        <v>0</v>
      </c>
    </row>
    <row r="102" spans="1:15" s="360" customFormat="1" ht="15" hidden="1">
      <c r="A102" s="356" t="s">
        <v>476</v>
      </c>
      <c r="B102" s="632" t="s">
        <v>1219</v>
      </c>
      <c r="C102" s="634"/>
      <c r="D102" s="354"/>
      <c r="E102" s="10"/>
      <c r="F102" s="353"/>
      <c r="G102" s="358">
        <f>'PART-A'!I841</f>
        <v>0</v>
      </c>
      <c r="H102" s="354" t="s">
        <v>5</v>
      </c>
      <c r="I102" s="355">
        <f>'PART-A'!K841</f>
        <v>3154.94</v>
      </c>
      <c r="J102" s="353">
        <f t="shared" si="7"/>
        <v>0</v>
      </c>
      <c r="K102" s="1679">
        <f>IF((J102+J103+J104+J105)&gt;(F102+F103+F104+F105),(J102+J103+J104+J105)-(F102+F103+F104+F105),0)</f>
        <v>0</v>
      </c>
      <c r="L102" s="1679">
        <f>IF((J102+J103+J104+J105)&lt;(F102+F103+F104+F105),(F102+F103+F104+F105)-(J102+J103+J104+J105),0)</f>
        <v>0</v>
      </c>
      <c r="M102" s="633" t="s">
        <v>2217</v>
      </c>
      <c r="N102" s="223"/>
      <c r="O102" s="631">
        <f t="shared" si="20"/>
        <v>0</v>
      </c>
    </row>
    <row r="103" spans="1:15" s="360" customFormat="1" ht="15" hidden="1">
      <c r="A103" s="356" t="s">
        <v>476</v>
      </c>
      <c r="B103" s="632" t="s">
        <v>1219</v>
      </c>
      <c r="C103" s="634"/>
      <c r="D103" s="354"/>
      <c r="E103" s="10"/>
      <c r="F103" s="353"/>
      <c r="G103" s="358">
        <f>'PART-A'!I848</f>
        <v>0</v>
      </c>
      <c r="H103" s="354" t="s">
        <v>5</v>
      </c>
      <c r="I103" s="355">
        <f>'PART-A'!K848</f>
        <v>3350.54</v>
      </c>
      <c r="J103" s="353">
        <f>ROUND(G103*I103,0)</f>
        <v>0</v>
      </c>
      <c r="K103" s="1680"/>
      <c r="L103" s="1680"/>
      <c r="M103" s="633" t="s">
        <v>2299</v>
      </c>
      <c r="N103" s="223"/>
      <c r="O103" s="631">
        <f t="shared" si="20"/>
        <v>0</v>
      </c>
    </row>
    <row r="104" spans="1:15" s="360" customFormat="1" ht="15" hidden="1">
      <c r="A104" s="356" t="s">
        <v>476</v>
      </c>
      <c r="B104" s="632" t="s">
        <v>1219</v>
      </c>
      <c r="C104" s="634"/>
      <c r="D104" s="354"/>
      <c r="E104" s="10"/>
      <c r="F104" s="353"/>
      <c r="G104" s="358">
        <f>'PART-A'!I855</f>
        <v>0</v>
      </c>
      <c r="H104" s="354" t="s">
        <v>5</v>
      </c>
      <c r="I104" s="355">
        <f>'PART-A'!K855</f>
        <v>3615.1600000000003</v>
      </c>
      <c r="J104" s="353">
        <f>ROUND(G104*I104,0)</f>
        <v>0</v>
      </c>
      <c r="K104" s="1680"/>
      <c r="L104" s="1680"/>
      <c r="M104" s="633" t="s">
        <v>2312</v>
      </c>
      <c r="N104" s="223"/>
      <c r="O104" s="631">
        <f t="shared" si="20"/>
        <v>0</v>
      </c>
    </row>
    <row r="105" spans="1:15" s="360" customFormat="1" ht="15" hidden="1">
      <c r="A105" s="356" t="s">
        <v>476</v>
      </c>
      <c r="B105" s="632" t="s">
        <v>1219</v>
      </c>
      <c r="C105" s="634"/>
      <c r="D105" s="354"/>
      <c r="E105" s="10"/>
      <c r="F105" s="353"/>
      <c r="G105" s="358">
        <f>'PART-A'!I862</f>
        <v>0</v>
      </c>
      <c r="H105" s="354" t="s">
        <v>5</v>
      </c>
      <c r="I105" s="355">
        <f>'PART-A'!K862</f>
        <v>3828.3500000000004</v>
      </c>
      <c r="J105" s="353">
        <f>ROUND(G105*I105,0)</f>
        <v>0</v>
      </c>
      <c r="K105" s="1681"/>
      <c r="L105" s="1681"/>
      <c r="M105" s="633" t="s">
        <v>2313</v>
      </c>
      <c r="N105" s="223"/>
      <c r="O105" s="631">
        <f t="shared" si="20"/>
        <v>0</v>
      </c>
    </row>
    <row r="106" spans="1:15" s="1157" customFormat="1" ht="63.75">
      <c r="A106" s="1146" t="s">
        <v>478</v>
      </c>
      <c r="B106" s="1147" t="s">
        <v>3191</v>
      </c>
      <c r="C106" s="1164">
        <v>15.14</v>
      </c>
      <c r="D106" s="1148" t="s">
        <v>5</v>
      </c>
      <c r="E106" s="1161">
        <v>5164.21</v>
      </c>
      <c r="F106" s="1150">
        <f t="shared" ref="F106" si="25">ROUND(C106*E106,0)</f>
        <v>78186</v>
      </c>
      <c r="G106" s="1151">
        <f>'PART-A'!I876</f>
        <v>22.569999999999997</v>
      </c>
      <c r="H106" s="1148" t="s">
        <v>5</v>
      </c>
      <c r="I106" s="1152">
        <f>'PART-A'!K876</f>
        <v>5588.9500000000007</v>
      </c>
      <c r="J106" s="1153">
        <f t="shared" si="7"/>
        <v>126143</v>
      </c>
      <c r="K106" s="1679">
        <f>IF((J106+J107+J108+J109)&gt;(F106+F107+F108+F109),(J106+J107+J108+J109)-(F106+F107+F108+F109),0)</f>
        <v>47957</v>
      </c>
      <c r="L106" s="1679">
        <f>IF((J106+J107+J108+J109)&lt;(F106+F107+F108+F109),(F106+F107+F108+F109)-(J106+J107+J108+J109),0)</f>
        <v>0</v>
      </c>
      <c r="M106" s="1154" t="s">
        <v>2217</v>
      </c>
      <c r="N106" s="1155"/>
      <c r="O106" s="1156">
        <f t="shared" si="20"/>
        <v>-47957</v>
      </c>
    </row>
    <row r="107" spans="1:15" s="1157" customFormat="1" ht="63.75" hidden="1">
      <c r="A107" s="1146" t="s">
        <v>489</v>
      </c>
      <c r="B107" s="1147" t="s">
        <v>3191</v>
      </c>
      <c r="C107" s="1158"/>
      <c r="D107" s="1148"/>
      <c r="E107" s="922"/>
      <c r="F107" s="1153"/>
      <c r="G107" s="1151">
        <f>'PART-A'!I885</f>
        <v>0</v>
      </c>
      <c r="H107" s="1148" t="s">
        <v>5</v>
      </c>
      <c r="I107" s="1152">
        <f>'PART-A'!K885</f>
        <v>5751.7699999999995</v>
      </c>
      <c r="J107" s="1153">
        <f>ROUND(G107*I107,0)</f>
        <v>0</v>
      </c>
      <c r="K107" s="1680"/>
      <c r="L107" s="1680"/>
      <c r="M107" s="1159" t="s">
        <v>2299</v>
      </c>
      <c r="N107" s="1155"/>
      <c r="O107" s="1160">
        <f t="shared" si="20"/>
        <v>0</v>
      </c>
    </row>
    <row r="108" spans="1:15" s="1157" customFormat="1" ht="15" hidden="1">
      <c r="A108" s="1146" t="s">
        <v>490</v>
      </c>
      <c r="B108" s="1147" t="s">
        <v>828</v>
      </c>
      <c r="C108" s="1158"/>
      <c r="D108" s="1148"/>
      <c r="E108" s="922"/>
      <c r="F108" s="1153"/>
      <c r="G108" s="1151">
        <f>'PART-A'!I896</f>
        <v>0</v>
      </c>
      <c r="H108" s="1148" t="s">
        <v>5</v>
      </c>
      <c r="I108" s="1152">
        <f>'PART-A'!K896</f>
        <v>6154.1100000000006</v>
      </c>
      <c r="J108" s="1153">
        <f>ROUND(G108*I108,0)</f>
        <v>0</v>
      </c>
      <c r="K108" s="1680"/>
      <c r="L108" s="1680"/>
      <c r="M108" s="1159" t="s">
        <v>2312</v>
      </c>
      <c r="N108" s="1155"/>
      <c r="O108" s="1160">
        <f t="shared" si="20"/>
        <v>0</v>
      </c>
    </row>
    <row r="109" spans="1:15" s="360" customFormat="1" ht="15" hidden="1">
      <c r="A109" s="356" t="s">
        <v>479</v>
      </c>
      <c r="B109" s="632" t="s">
        <v>828</v>
      </c>
      <c r="C109" s="634"/>
      <c r="D109" s="354"/>
      <c r="E109" s="10"/>
      <c r="F109" s="353"/>
      <c r="G109" s="358">
        <f>'PART-A'!I914</f>
        <v>0</v>
      </c>
      <c r="H109" s="354" t="s">
        <v>5</v>
      </c>
      <c r="I109" s="355">
        <f>'PART-A'!K914</f>
        <v>6869.83</v>
      </c>
      <c r="J109" s="353">
        <f>ROUND(G109*I109,0)</f>
        <v>0</v>
      </c>
      <c r="K109" s="1681"/>
      <c r="L109" s="1681"/>
      <c r="M109" s="633" t="s">
        <v>2313</v>
      </c>
      <c r="N109" s="223"/>
      <c r="O109" s="631">
        <f t="shared" si="20"/>
        <v>0</v>
      </c>
    </row>
    <row r="110" spans="1:15" s="1157" customFormat="1" ht="63.75">
      <c r="A110" s="1146" t="s">
        <v>479</v>
      </c>
      <c r="B110" s="1147" t="s">
        <v>3192</v>
      </c>
      <c r="C110" s="1164">
        <v>25.86</v>
      </c>
      <c r="D110" s="1148" t="s">
        <v>5</v>
      </c>
      <c r="E110" s="1161">
        <v>5599.73</v>
      </c>
      <c r="F110" s="1150">
        <f t="shared" ref="F110" si="26">ROUND(C110*E110,0)</f>
        <v>144809</v>
      </c>
      <c r="G110" s="1151">
        <f>'PART-A'!I934</f>
        <v>17.52</v>
      </c>
      <c r="H110" s="1148" t="s">
        <v>5</v>
      </c>
      <c r="I110" s="1152">
        <f>'PART-A'!K934</f>
        <v>5645.35</v>
      </c>
      <c r="J110" s="1153">
        <f t="shared" si="7"/>
        <v>98907</v>
      </c>
      <c r="K110" s="1679">
        <f>IF((J110+J111+J112+J113)&gt;(F110+F111+F112+F113),(J110+J111+J112+J113)-(F110+F111+F112+F113),0)</f>
        <v>0</v>
      </c>
      <c r="L110" s="1679">
        <f>IF((J110+J111+J112+J113)&lt;(F110+F111+F112+F113),(F110+F111+F112+F113)-(J110+J111+J112+J113),0)</f>
        <v>45902</v>
      </c>
      <c r="M110" s="1154" t="s">
        <v>2217</v>
      </c>
      <c r="N110" s="1155"/>
      <c r="O110" s="1156">
        <f t="shared" si="20"/>
        <v>45902</v>
      </c>
    </row>
    <row r="111" spans="1:15" s="1157" customFormat="1" ht="63.75" hidden="1">
      <c r="A111" s="1146" t="s">
        <v>1514</v>
      </c>
      <c r="B111" s="1147" t="s">
        <v>3192</v>
      </c>
      <c r="C111" s="1158"/>
      <c r="D111" s="1148"/>
      <c r="E111" s="922"/>
      <c r="F111" s="1153"/>
      <c r="G111" s="1151">
        <f>'PART-A'!I950</f>
        <v>0</v>
      </c>
      <c r="H111" s="1148" t="s">
        <v>5</v>
      </c>
      <c r="I111" s="1152">
        <f>'PART-A'!K950</f>
        <v>5808.1699999999992</v>
      </c>
      <c r="J111" s="1153">
        <f>ROUND(G111*I111,0)</f>
        <v>0</v>
      </c>
      <c r="K111" s="1680"/>
      <c r="L111" s="1680"/>
      <c r="M111" s="1159" t="s">
        <v>2299</v>
      </c>
      <c r="N111" s="1155"/>
      <c r="O111" s="1160">
        <f t="shared" si="20"/>
        <v>0</v>
      </c>
    </row>
    <row r="112" spans="1:15" s="360" customFormat="1" ht="15" hidden="1">
      <c r="A112" s="356" t="s">
        <v>490</v>
      </c>
      <c r="B112" s="632" t="s">
        <v>829</v>
      </c>
      <c r="C112" s="634"/>
      <c r="D112" s="354"/>
      <c r="E112" s="10"/>
      <c r="F112" s="353"/>
      <c r="G112" s="358">
        <f>'PART-A'!I956</f>
        <v>0</v>
      </c>
      <c r="H112" s="354" t="s">
        <v>5</v>
      </c>
      <c r="I112" s="355">
        <f>'PART-A'!K956</f>
        <v>6210.51</v>
      </c>
      <c r="J112" s="353">
        <f>ROUND(G112*I112,0)</f>
        <v>0</v>
      </c>
      <c r="K112" s="1680"/>
      <c r="L112" s="1680"/>
      <c r="M112" s="633" t="s">
        <v>2312</v>
      </c>
      <c r="N112" s="223"/>
      <c r="O112" s="631">
        <f t="shared" si="20"/>
        <v>0</v>
      </c>
    </row>
    <row r="113" spans="1:15" s="360" customFormat="1" ht="63.75" hidden="1">
      <c r="A113" s="356" t="s">
        <v>493</v>
      </c>
      <c r="B113" s="632" t="s">
        <v>3192</v>
      </c>
      <c r="C113" s="634"/>
      <c r="D113" s="354"/>
      <c r="E113" s="10"/>
      <c r="F113" s="353"/>
      <c r="G113" s="358">
        <f>'PART-A'!I1010</f>
        <v>0</v>
      </c>
      <c r="H113" s="354" t="s">
        <v>5</v>
      </c>
      <c r="I113" s="355">
        <f>'PART-A'!K1010</f>
        <v>6926.2300000000005</v>
      </c>
      <c r="J113" s="353">
        <f>ROUND(G113*I113,0)</f>
        <v>0</v>
      </c>
      <c r="K113" s="1681"/>
      <c r="L113" s="1681"/>
      <c r="M113" s="633" t="s">
        <v>2313</v>
      </c>
      <c r="N113" s="223"/>
      <c r="O113" s="631">
        <f t="shared" si="20"/>
        <v>0</v>
      </c>
    </row>
    <row r="114" spans="1:15" s="1157" customFormat="1" ht="51">
      <c r="A114" s="1146" t="s">
        <v>2455</v>
      </c>
      <c r="B114" s="1147" t="s">
        <v>3193</v>
      </c>
      <c r="C114" s="1164">
        <v>95.46</v>
      </c>
      <c r="D114" s="1148" t="s">
        <v>102</v>
      </c>
      <c r="E114" s="1161">
        <v>7008.91</v>
      </c>
      <c r="F114" s="1150">
        <f>ROUND(C114*E114/10,0)</f>
        <v>66907</v>
      </c>
      <c r="G114" s="1151">
        <f>'PART-A'!I1037</f>
        <v>78.33</v>
      </c>
      <c r="H114" s="1148" t="s">
        <v>102</v>
      </c>
      <c r="I114" s="1152">
        <f>'PART-A'!K1037</f>
        <v>710.66</v>
      </c>
      <c r="J114" s="1153">
        <f t="shared" ref="J114:J122" si="27">ROUND(G114*I114/1,0)</f>
        <v>55666</v>
      </c>
      <c r="K114" s="1679">
        <f>IF((J114+J115+J116+J117)&gt;(F114+F115+F116+F117),(J114+J115+J116+J117)-(F114+F115+F116+F117),0)</f>
        <v>0</v>
      </c>
      <c r="L114" s="1679">
        <f>IF((J114+J115+J116+J117)&lt;(F114+F115+F116+F117),(F114+F115+F116+F117)-(J114+J115+J116+J117),0)</f>
        <v>11241</v>
      </c>
      <c r="M114" s="1154" t="s">
        <v>2217</v>
      </c>
      <c r="N114" s="1155"/>
      <c r="O114" s="1156">
        <f t="shared" si="20"/>
        <v>11241</v>
      </c>
    </row>
    <row r="115" spans="1:15" s="1157" customFormat="1" ht="51" hidden="1">
      <c r="A115" s="1146" t="s">
        <v>493</v>
      </c>
      <c r="B115" s="1147" t="s">
        <v>3193</v>
      </c>
      <c r="C115" s="1158"/>
      <c r="D115" s="1148"/>
      <c r="E115" s="922"/>
      <c r="F115" s="1153"/>
      <c r="G115" s="1151">
        <f>'PART-A'!I1060</f>
        <v>0</v>
      </c>
      <c r="H115" s="1148" t="s">
        <v>102</v>
      </c>
      <c r="I115" s="1152">
        <f>'PART-A'!K1060</f>
        <v>732.88</v>
      </c>
      <c r="J115" s="1153">
        <f>ROUND(G115*I115/1,0)</f>
        <v>0</v>
      </c>
      <c r="K115" s="1680"/>
      <c r="L115" s="1680"/>
      <c r="M115" s="1159" t="s">
        <v>2299</v>
      </c>
      <c r="N115" s="1155"/>
      <c r="O115" s="1160">
        <f t="shared" si="20"/>
        <v>0</v>
      </c>
    </row>
    <row r="116" spans="1:15" s="360" customFormat="1" ht="15" hidden="1">
      <c r="A116" s="356" t="s">
        <v>484</v>
      </c>
      <c r="B116" s="632" t="s">
        <v>2447</v>
      </c>
      <c r="C116" s="634"/>
      <c r="D116" s="354"/>
      <c r="E116" s="10"/>
      <c r="F116" s="353"/>
      <c r="G116" s="358">
        <f>'PART-A'!I1067</f>
        <v>0</v>
      </c>
      <c r="H116" s="354" t="s">
        <v>102</v>
      </c>
      <c r="I116" s="355">
        <f>'PART-A'!K1067</f>
        <v>782.58</v>
      </c>
      <c r="J116" s="353">
        <f>ROUND(G116*I116/1,0)</f>
        <v>0</v>
      </c>
      <c r="K116" s="1680"/>
      <c r="L116" s="1680"/>
      <c r="M116" s="633" t="s">
        <v>2312</v>
      </c>
      <c r="N116" s="223"/>
      <c r="O116" s="631">
        <f t="shared" si="20"/>
        <v>0</v>
      </c>
    </row>
    <row r="117" spans="1:15" s="360" customFormat="1" ht="51" hidden="1">
      <c r="A117" s="356" t="s">
        <v>495</v>
      </c>
      <c r="B117" s="632" t="s">
        <v>3193</v>
      </c>
      <c r="C117" s="634"/>
      <c r="D117" s="354"/>
      <c r="E117" s="10"/>
      <c r="F117" s="353"/>
      <c r="G117" s="358">
        <f>'PART-A'!I1121</f>
        <v>0</v>
      </c>
      <c r="H117" s="354" t="s">
        <v>102</v>
      </c>
      <c r="I117" s="355">
        <f>'PART-A'!K1121</f>
        <v>865.32</v>
      </c>
      <c r="J117" s="353">
        <f>ROUND(G117*I117/1,0)</f>
        <v>0</v>
      </c>
      <c r="K117" s="1681"/>
      <c r="L117" s="1681"/>
      <c r="M117" s="633" t="s">
        <v>2313</v>
      </c>
      <c r="N117" s="223"/>
      <c r="O117" s="631">
        <f t="shared" si="20"/>
        <v>0</v>
      </c>
    </row>
    <row r="118" spans="1:15" s="360" customFormat="1" ht="15" hidden="1">
      <c r="A118" s="356" t="s">
        <v>482</v>
      </c>
      <c r="B118" s="632" t="s">
        <v>1221</v>
      </c>
      <c r="C118" s="634"/>
      <c r="D118" s="354"/>
      <c r="E118" s="10"/>
      <c r="F118" s="353"/>
      <c r="G118" s="358">
        <f>'PART-A'!I1129</f>
        <v>0</v>
      </c>
      <c r="H118" s="354" t="s">
        <v>102</v>
      </c>
      <c r="I118" s="355">
        <f>'PART-A'!K1129</f>
        <v>5224.74</v>
      </c>
      <c r="J118" s="353">
        <f t="shared" si="27"/>
        <v>0</v>
      </c>
      <c r="K118" s="1679">
        <f>IF((J118+J119+J120+J121)&gt;(F118+F119+F120+F121),(J118+J119+J120+J121)-(F118+F119+F120+F121),0)</f>
        <v>0</v>
      </c>
      <c r="L118" s="1679">
        <f>IF((J118+J119+J120+J121)&lt;(F118+F119+F120+F121),(F118+F119+F120+F121)-(J118+J119+J120+J121),0)</f>
        <v>0</v>
      </c>
      <c r="M118" s="633" t="s">
        <v>2217</v>
      </c>
      <c r="N118" s="223"/>
      <c r="O118" s="631">
        <f t="shared" si="20"/>
        <v>0</v>
      </c>
    </row>
    <row r="119" spans="1:15" s="360" customFormat="1" ht="15" hidden="1">
      <c r="A119" s="356" t="s">
        <v>482</v>
      </c>
      <c r="B119" s="632" t="s">
        <v>1221</v>
      </c>
      <c r="C119" s="634"/>
      <c r="D119" s="354"/>
      <c r="E119" s="10"/>
      <c r="F119" s="353"/>
      <c r="G119" s="358">
        <f>'PART-A'!I1137</f>
        <v>0</v>
      </c>
      <c r="H119" s="354" t="s">
        <v>102</v>
      </c>
      <c r="I119" s="355">
        <f>'PART-A'!K1137</f>
        <v>5403.9299999999994</v>
      </c>
      <c r="J119" s="353">
        <f>ROUND(G119*I119/1,0)</f>
        <v>0</v>
      </c>
      <c r="K119" s="1680"/>
      <c r="L119" s="1680"/>
      <c r="M119" s="633" t="s">
        <v>2299</v>
      </c>
      <c r="N119" s="223"/>
      <c r="O119" s="631">
        <f t="shared" si="20"/>
        <v>0</v>
      </c>
    </row>
    <row r="120" spans="1:15" s="360" customFormat="1" ht="15" hidden="1">
      <c r="A120" s="356" t="s">
        <v>482</v>
      </c>
      <c r="B120" s="632" t="s">
        <v>1221</v>
      </c>
      <c r="C120" s="634"/>
      <c r="D120" s="354"/>
      <c r="E120" s="10"/>
      <c r="F120" s="353"/>
      <c r="G120" s="358">
        <f>'PART-A'!I1145</f>
        <v>0</v>
      </c>
      <c r="H120" s="354" t="s">
        <v>102</v>
      </c>
      <c r="I120" s="355">
        <f>'PART-A'!K1145</f>
        <v>5899.35</v>
      </c>
      <c r="J120" s="353">
        <f>ROUND(G120*I120/1,0)</f>
        <v>0</v>
      </c>
      <c r="K120" s="1680"/>
      <c r="L120" s="1680"/>
      <c r="M120" s="633" t="s">
        <v>2312</v>
      </c>
      <c r="N120" s="223"/>
      <c r="O120" s="631">
        <f t="shared" si="20"/>
        <v>0</v>
      </c>
    </row>
    <row r="121" spans="1:15" s="360" customFormat="1" ht="15" hidden="1">
      <c r="A121" s="356" t="s">
        <v>482</v>
      </c>
      <c r="B121" s="632" t="s">
        <v>1221</v>
      </c>
      <c r="C121" s="634"/>
      <c r="D121" s="354"/>
      <c r="E121" s="10"/>
      <c r="F121" s="353"/>
      <c r="G121" s="358">
        <f>'PART-A'!I1153</f>
        <v>0</v>
      </c>
      <c r="H121" s="354" t="s">
        <v>102</v>
      </c>
      <c r="I121" s="355">
        <f>'PART-A'!K1153</f>
        <v>6281.3700000000008</v>
      </c>
      <c r="J121" s="353">
        <f>ROUND(G121*I121/1,0)</f>
        <v>0</v>
      </c>
      <c r="K121" s="1681"/>
      <c r="L121" s="1681"/>
      <c r="M121" s="633" t="s">
        <v>2313</v>
      </c>
      <c r="N121" s="223"/>
      <c r="O121" s="631">
        <f t="shared" si="20"/>
        <v>0</v>
      </c>
    </row>
    <row r="122" spans="1:15" s="360" customFormat="1" ht="38.25" hidden="1">
      <c r="A122" s="356" t="s">
        <v>479</v>
      </c>
      <c r="B122" s="632" t="s">
        <v>3291</v>
      </c>
      <c r="C122" s="636"/>
      <c r="D122" s="354"/>
      <c r="E122" s="614"/>
      <c r="F122" s="353"/>
      <c r="G122" s="358">
        <f>'PART-A'!I1159</f>
        <v>0</v>
      </c>
      <c r="H122" s="354" t="s">
        <v>102</v>
      </c>
      <c r="I122" s="355">
        <f>'PART-A'!K1159</f>
        <v>1815.79</v>
      </c>
      <c r="J122" s="353">
        <f t="shared" si="27"/>
        <v>0</v>
      </c>
      <c r="K122" s="1679">
        <f>IF((J122+J123+J124+J125)&gt;(F122+F123+F124+F125),(J122+J123+J124+J125)-(F122+F123+F124+F125),0)</f>
        <v>0</v>
      </c>
      <c r="L122" s="1679">
        <f>IF((J122+J123+J124+J125)&lt;(F122+F123+F124+F125),(F122+F123+F124+F125)-(J122+J123+J124+J125),0)</f>
        <v>0</v>
      </c>
      <c r="M122" s="633" t="s">
        <v>2217</v>
      </c>
      <c r="N122" s="223"/>
      <c r="O122" s="631">
        <f t="shared" si="20"/>
        <v>0</v>
      </c>
    </row>
    <row r="123" spans="1:15" s="360" customFormat="1" ht="15" hidden="1">
      <c r="A123" s="356" t="s">
        <v>479</v>
      </c>
      <c r="B123" s="632" t="s">
        <v>1214</v>
      </c>
      <c r="C123" s="636"/>
      <c r="D123" s="354"/>
      <c r="E123" s="614"/>
      <c r="F123" s="353"/>
      <c r="G123" s="358">
        <f>'PART-A'!I1166</f>
        <v>0</v>
      </c>
      <c r="H123" s="354" t="s">
        <v>102</v>
      </c>
      <c r="I123" s="355">
        <f>'PART-A'!K1166</f>
        <v>1966.77</v>
      </c>
      <c r="J123" s="353">
        <f>ROUND(G123*I123/1,0)</f>
        <v>0</v>
      </c>
      <c r="K123" s="1680"/>
      <c r="L123" s="1680"/>
      <c r="M123" s="633" t="s">
        <v>2299</v>
      </c>
      <c r="N123" s="223"/>
      <c r="O123" s="631">
        <f t="shared" si="20"/>
        <v>0</v>
      </c>
    </row>
    <row r="124" spans="1:15" s="360" customFormat="1" ht="15" hidden="1">
      <c r="A124" s="356" t="s">
        <v>479</v>
      </c>
      <c r="B124" s="632" t="s">
        <v>1214</v>
      </c>
      <c r="C124" s="636"/>
      <c r="D124" s="354"/>
      <c r="E124" s="614"/>
      <c r="F124" s="353"/>
      <c r="G124" s="358">
        <f>'PART-A'!I1171</f>
        <v>0</v>
      </c>
      <c r="H124" s="354" t="s">
        <v>102</v>
      </c>
      <c r="I124" s="355">
        <f>'PART-A'!K1171</f>
        <v>2093.16</v>
      </c>
      <c r="J124" s="353">
        <f>ROUND(G124*I124/1,0)</f>
        <v>0</v>
      </c>
      <c r="K124" s="1680"/>
      <c r="L124" s="1680"/>
      <c r="M124" s="633" t="s">
        <v>2312</v>
      </c>
      <c r="N124" s="223"/>
      <c r="O124" s="631">
        <f t="shared" si="20"/>
        <v>0</v>
      </c>
    </row>
    <row r="125" spans="1:15" s="360" customFormat="1" ht="15" hidden="1">
      <c r="A125" s="356" t="s">
        <v>479</v>
      </c>
      <c r="B125" s="632" t="s">
        <v>1214</v>
      </c>
      <c r="C125" s="636"/>
      <c r="D125" s="354"/>
      <c r="E125" s="614"/>
      <c r="F125" s="353"/>
      <c r="G125" s="358">
        <f>'PART-A'!I1178</f>
        <v>0</v>
      </c>
      <c r="H125" s="354" t="s">
        <v>102</v>
      </c>
      <c r="I125" s="355">
        <f>'PART-A'!K1178</f>
        <v>2232.9699999999998</v>
      </c>
      <c r="J125" s="353">
        <f>ROUND(G125*I125/1,0)</f>
        <v>0</v>
      </c>
      <c r="K125" s="1681"/>
      <c r="L125" s="1681"/>
      <c r="M125" s="633" t="s">
        <v>2313</v>
      </c>
      <c r="N125" s="223"/>
      <c r="O125" s="631">
        <f t="shared" si="20"/>
        <v>0</v>
      </c>
    </row>
    <row r="126" spans="1:15" s="1157" customFormat="1" ht="63.75">
      <c r="A126" s="1146" t="s">
        <v>480</v>
      </c>
      <c r="B126" s="1147" t="s">
        <v>3194</v>
      </c>
      <c r="C126" s="1158"/>
      <c r="D126" s="1148"/>
      <c r="E126" s="922"/>
      <c r="F126" s="1150">
        <f t="shared" ref="F126" si="28">ROUND(C126*E126,0)</f>
        <v>0</v>
      </c>
      <c r="G126" s="1151">
        <f>'PART-A'!I1200</f>
        <v>134.56000000000003</v>
      </c>
      <c r="H126" s="1148" t="s">
        <v>102</v>
      </c>
      <c r="I126" s="1152">
        <f>'PART-A'!K1200</f>
        <v>264.94</v>
      </c>
      <c r="J126" s="1153">
        <f t="shared" ref="J126:J166" si="29">ROUND(G126*I126,0)</f>
        <v>35650</v>
      </c>
      <c r="K126" s="1679">
        <f>IF((J126+J127+J128+J129)&gt;(F126+F127+F128+F129),(J126+J127+J128+J129)-(F126+F127+F128+F129),0)</f>
        <v>35650</v>
      </c>
      <c r="L126" s="1679">
        <f>IF((J126+J127+J128+J129)&lt;(F126+F127+F128+F129),(F126+F127+F128+F129)-(J126+J127+J128+J129),0)</f>
        <v>0</v>
      </c>
      <c r="M126" s="1154" t="s">
        <v>2217</v>
      </c>
      <c r="N126" s="1155"/>
      <c r="O126" s="1156">
        <f t="shared" si="20"/>
        <v>-35650</v>
      </c>
    </row>
    <row r="127" spans="1:15" s="1157" customFormat="1" ht="63.75" hidden="1">
      <c r="A127" s="1146" t="s">
        <v>494</v>
      </c>
      <c r="B127" s="1147" t="s">
        <v>3194</v>
      </c>
      <c r="C127" s="1158"/>
      <c r="D127" s="1148"/>
      <c r="E127" s="922"/>
      <c r="F127" s="1153"/>
      <c r="G127" s="1151">
        <f>'PART-A'!I1220</f>
        <v>0</v>
      </c>
      <c r="H127" s="1148" t="s">
        <v>102</v>
      </c>
      <c r="I127" s="1152">
        <f>'PART-A'!K1220</f>
        <v>284</v>
      </c>
      <c r="J127" s="1153">
        <f>ROUND(G127*I127,0)</f>
        <v>0</v>
      </c>
      <c r="K127" s="1680"/>
      <c r="L127" s="1680"/>
      <c r="M127" s="1159" t="s">
        <v>2299</v>
      </c>
      <c r="N127" s="1155"/>
      <c r="O127" s="1160">
        <f t="shared" si="20"/>
        <v>0</v>
      </c>
    </row>
    <row r="128" spans="1:15" s="360" customFormat="1" ht="15" hidden="1">
      <c r="A128" s="356" t="s">
        <v>492</v>
      </c>
      <c r="B128" s="632" t="s">
        <v>481</v>
      </c>
      <c r="C128" s="634"/>
      <c r="D128" s="354"/>
      <c r="E128" s="10"/>
      <c r="F128" s="353"/>
      <c r="G128" s="358">
        <f>'PART-A'!I1247</f>
        <v>0</v>
      </c>
      <c r="H128" s="354" t="s">
        <v>102</v>
      </c>
      <c r="I128" s="355">
        <f>'PART-A'!K1247</f>
        <v>300.93</v>
      </c>
      <c r="J128" s="353">
        <f>ROUND(G128*I128,0)</f>
        <v>0</v>
      </c>
      <c r="K128" s="1680"/>
      <c r="L128" s="1680"/>
      <c r="M128" s="633" t="s">
        <v>2312</v>
      </c>
      <c r="N128" s="223"/>
      <c r="O128" s="631">
        <f t="shared" si="20"/>
        <v>0</v>
      </c>
    </row>
    <row r="129" spans="1:15" s="360" customFormat="1" ht="15" hidden="1">
      <c r="A129" s="356" t="s">
        <v>484</v>
      </c>
      <c r="B129" s="632" t="s">
        <v>481</v>
      </c>
      <c r="C129" s="634"/>
      <c r="D129" s="354"/>
      <c r="E129" s="10"/>
      <c r="F129" s="353"/>
      <c r="G129" s="358">
        <f>'PART-A'!I1265</f>
        <v>0</v>
      </c>
      <c r="H129" s="354" t="s">
        <v>102</v>
      </c>
      <c r="I129" s="355">
        <f>'PART-A'!K1265</f>
        <v>318.2</v>
      </c>
      <c r="J129" s="353">
        <f>ROUND(G129*I129,0)</f>
        <v>0</v>
      </c>
      <c r="K129" s="1681"/>
      <c r="L129" s="1681"/>
      <c r="M129" s="633" t="s">
        <v>2313</v>
      </c>
      <c r="N129" s="223"/>
      <c r="O129" s="631">
        <f t="shared" si="20"/>
        <v>0</v>
      </c>
    </row>
    <row r="130" spans="1:15" s="360" customFormat="1" ht="15" hidden="1">
      <c r="A130" s="356" t="s">
        <v>483</v>
      </c>
      <c r="B130" s="632" t="s">
        <v>505</v>
      </c>
      <c r="C130" s="635"/>
      <c r="D130" s="354"/>
      <c r="E130" s="362"/>
      <c r="F130" s="353"/>
      <c r="G130" s="358">
        <f>'PART-A'!I1272</f>
        <v>0</v>
      </c>
      <c r="H130" s="354" t="s">
        <v>102</v>
      </c>
      <c r="I130" s="355">
        <f>'PART-A'!K1272</f>
        <v>242.02</v>
      </c>
      <c r="J130" s="353">
        <f t="shared" si="29"/>
        <v>0</v>
      </c>
      <c r="K130" s="1679">
        <f>IF((J130+J131+J132+J133)&gt;(F130+F131+F132+F133),(J130+J131+J132+J133)-(F130+F131+F132+F133),0)</f>
        <v>0</v>
      </c>
      <c r="L130" s="1679">
        <f>IF((J130+J131+J132+J133)&lt;(F130+F131+F132+F133),(F130+F131+F132+F133)-(J130+J131+J132+J133),0)</f>
        <v>0</v>
      </c>
      <c r="M130" s="633" t="s">
        <v>2217</v>
      </c>
      <c r="N130" s="223"/>
      <c r="O130" s="631">
        <f t="shared" si="20"/>
        <v>0</v>
      </c>
    </row>
    <row r="131" spans="1:15" s="360" customFormat="1" ht="15" hidden="1">
      <c r="A131" s="356" t="s">
        <v>483</v>
      </c>
      <c r="B131" s="632" t="s">
        <v>505</v>
      </c>
      <c r="C131" s="635"/>
      <c r="D131" s="354"/>
      <c r="E131" s="362"/>
      <c r="F131" s="353"/>
      <c r="G131" s="358">
        <f>'PART-A'!I1279</f>
        <v>0</v>
      </c>
      <c r="H131" s="354" t="s">
        <v>102</v>
      </c>
      <c r="I131" s="355">
        <f>'PART-A'!K1279</f>
        <v>261.07</v>
      </c>
      <c r="J131" s="353">
        <f>ROUND(G131*I131,0)</f>
        <v>0</v>
      </c>
      <c r="K131" s="1680"/>
      <c r="L131" s="1680"/>
      <c r="M131" s="633" t="s">
        <v>2299</v>
      </c>
      <c r="N131" s="223"/>
      <c r="O131" s="631">
        <f t="shared" si="20"/>
        <v>0</v>
      </c>
    </row>
    <row r="132" spans="1:15" s="1157" customFormat="1" ht="15" hidden="1">
      <c r="A132" s="1146" t="s">
        <v>495</v>
      </c>
      <c r="B132" s="1147" t="s">
        <v>505</v>
      </c>
      <c r="C132" s="1162"/>
      <c r="D132" s="1148"/>
      <c r="E132" s="1163"/>
      <c r="F132" s="1153"/>
      <c r="G132" s="1151">
        <f>'PART-A'!I1287</f>
        <v>0</v>
      </c>
      <c r="H132" s="1148" t="s">
        <v>102</v>
      </c>
      <c r="I132" s="1152">
        <f>'PART-A'!K1287</f>
        <v>277.43</v>
      </c>
      <c r="J132" s="1153">
        <f>ROUND(G132*I132,0)</f>
        <v>0</v>
      </c>
      <c r="K132" s="1680"/>
      <c r="L132" s="1680"/>
      <c r="M132" s="1159" t="s">
        <v>2312</v>
      </c>
      <c r="N132" s="1155"/>
      <c r="O132" s="1160">
        <f t="shared" si="20"/>
        <v>0</v>
      </c>
    </row>
    <row r="133" spans="1:15" s="360" customFormat="1" ht="15" hidden="1">
      <c r="A133" s="356" t="s">
        <v>483</v>
      </c>
      <c r="B133" s="632" t="s">
        <v>505</v>
      </c>
      <c r="C133" s="635"/>
      <c r="D133" s="354"/>
      <c r="E133" s="362"/>
      <c r="F133" s="353"/>
      <c r="G133" s="358">
        <f>'PART-A'!I1294</f>
        <v>0</v>
      </c>
      <c r="H133" s="354" t="s">
        <v>102</v>
      </c>
      <c r="I133" s="355">
        <f>'PART-A'!K1294</f>
        <v>294.70999999999998</v>
      </c>
      <c r="J133" s="353">
        <f>ROUND(G133*I133,0)</f>
        <v>0</v>
      </c>
      <c r="K133" s="1681"/>
      <c r="L133" s="1681"/>
      <c r="M133" s="633" t="s">
        <v>2313</v>
      </c>
      <c r="N133" s="223"/>
      <c r="O133" s="631">
        <f t="shared" si="20"/>
        <v>0</v>
      </c>
    </row>
    <row r="134" spans="1:15" s="360" customFormat="1" ht="63.75" hidden="1">
      <c r="A134" s="356" t="s">
        <v>482</v>
      </c>
      <c r="B134" s="632" t="s">
        <v>3195</v>
      </c>
      <c r="C134" s="611"/>
      <c r="D134" s="354"/>
      <c r="E134" s="362"/>
      <c r="F134" s="353"/>
      <c r="G134" s="358">
        <f>'PART-A'!I1299</f>
        <v>0</v>
      </c>
      <c r="H134" s="354" t="s">
        <v>102</v>
      </c>
      <c r="I134" s="355">
        <f>'PART-A'!K1299</f>
        <v>259.87</v>
      </c>
      <c r="J134" s="353">
        <f t="shared" si="29"/>
        <v>0</v>
      </c>
      <c r="K134" s="1679">
        <f>IF((J134+J135+J136+J137)&gt;(F134+F135+F136+F137),(J134+J135+J136+J137)-(F134+F135+F136+F137),0)</f>
        <v>0</v>
      </c>
      <c r="L134" s="1679">
        <f>IF((J134+J135+J136+J137)&lt;(F134+F135+F136+F137),(F134+F135+F136+F137)-(J134+J135+J136+J137),0)</f>
        <v>0</v>
      </c>
      <c r="M134" s="851" t="s">
        <v>2217</v>
      </c>
      <c r="N134" s="223"/>
      <c r="O134" s="850">
        <f t="shared" si="20"/>
        <v>0</v>
      </c>
    </row>
    <row r="135" spans="1:15" s="360" customFormat="1" ht="15" hidden="1">
      <c r="A135" s="356" t="s">
        <v>484</v>
      </c>
      <c r="B135" s="632" t="s">
        <v>631</v>
      </c>
      <c r="C135" s="611"/>
      <c r="D135" s="354"/>
      <c r="E135" s="362"/>
      <c r="F135" s="353"/>
      <c r="G135" s="358">
        <f>'PART-A'!I1306</f>
        <v>0</v>
      </c>
      <c r="H135" s="354" t="s">
        <v>102</v>
      </c>
      <c r="I135" s="355">
        <f>'PART-A'!K1306</f>
        <v>279.49</v>
      </c>
      <c r="J135" s="353">
        <f>ROUND(G135*I135,0)</f>
        <v>0</v>
      </c>
      <c r="K135" s="1680"/>
      <c r="L135" s="1680"/>
      <c r="M135" s="633" t="s">
        <v>2299</v>
      </c>
      <c r="N135" s="223"/>
      <c r="O135" s="631">
        <f t="shared" si="20"/>
        <v>0</v>
      </c>
    </row>
    <row r="136" spans="1:15" s="360" customFormat="1" ht="15" hidden="1">
      <c r="A136" s="356" t="s">
        <v>484</v>
      </c>
      <c r="B136" s="632" t="s">
        <v>631</v>
      </c>
      <c r="C136" s="611"/>
      <c r="D136" s="354"/>
      <c r="E136" s="362"/>
      <c r="F136" s="353"/>
      <c r="G136" s="358">
        <f>'PART-A'!I1313</f>
        <v>0</v>
      </c>
      <c r="H136" s="354" t="s">
        <v>102</v>
      </c>
      <c r="I136" s="355">
        <f>'PART-A'!K1313</f>
        <v>297.13</v>
      </c>
      <c r="J136" s="353">
        <f>ROUND(G136*I136,0)</f>
        <v>0</v>
      </c>
      <c r="K136" s="1680"/>
      <c r="L136" s="1680"/>
      <c r="M136" s="633" t="s">
        <v>2312</v>
      </c>
      <c r="N136" s="223"/>
      <c r="O136" s="631">
        <f t="shared" si="20"/>
        <v>0</v>
      </c>
    </row>
    <row r="137" spans="1:15" s="360" customFormat="1" ht="15" hidden="1">
      <c r="A137" s="356" t="s">
        <v>484</v>
      </c>
      <c r="B137" s="632" t="s">
        <v>631</v>
      </c>
      <c r="C137" s="611"/>
      <c r="D137" s="354"/>
      <c r="E137" s="362"/>
      <c r="F137" s="353"/>
      <c r="G137" s="358">
        <f>'PART-A'!I1318</f>
        <v>0</v>
      </c>
      <c r="H137" s="354" t="s">
        <v>102</v>
      </c>
      <c r="I137" s="355">
        <f>'PART-A'!K1318</f>
        <v>314.89999999999998</v>
      </c>
      <c r="J137" s="353">
        <f>ROUND(G137*I137,0)</f>
        <v>0</v>
      </c>
      <c r="K137" s="1681"/>
      <c r="L137" s="1681"/>
      <c r="M137" s="633" t="s">
        <v>2313</v>
      </c>
      <c r="N137" s="223"/>
      <c r="O137" s="631">
        <f t="shared" si="20"/>
        <v>0</v>
      </c>
    </row>
    <row r="138" spans="1:15" s="1157" customFormat="1" ht="51">
      <c r="A138" s="1146" t="s">
        <v>482</v>
      </c>
      <c r="B138" s="1147" t="s">
        <v>3196</v>
      </c>
      <c r="C138" s="1164">
        <v>317.95999999999998</v>
      </c>
      <c r="D138" s="1148" t="s">
        <v>102</v>
      </c>
      <c r="E138" s="1161">
        <v>238.44</v>
      </c>
      <c r="F138" s="1150">
        <f t="shared" ref="F138" si="30">ROUND(C138*E138,0)</f>
        <v>75814</v>
      </c>
      <c r="G138" s="1151">
        <f>'PART-A'!I1350</f>
        <v>263.17999999999995</v>
      </c>
      <c r="H138" s="1148" t="s">
        <v>102</v>
      </c>
      <c r="I138" s="1152">
        <f>'PART-A'!K1350</f>
        <v>317.8</v>
      </c>
      <c r="J138" s="1153">
        <f t="shared" si="29"/>
        <v>83639</v>
      </c>
      <c r="K138" s="1679">
        <f>IF((J138+J139+J140+J141)&gt;(F138+F139+F140+F141),(J138+J139+J140+J141)-(F138+F139+F140+F141),0)</f>
        <v>7825</v>
      </c>
      <c r="L138" s="1679">
        <f>IF((J138+J139+J140+J141)&lt;(F138+F139+F140+F141),(F138+F139+F140+F141)-(J138+J139+J140+J141),0)</f>
        <v>0</v>
      </c>
      <c r="M138" s="1154" t="s">
        <v>2217</v>
      </c>
      <c r="N138" s="1155"/>
      <c r="O138" s="1156">
        <f t="shared" si="20"/>
        <v>-7825</v>
      </c>
    </row>
    <row r="139" spans="1:15" s="1157" customFormat="1" ht="51" hidden="1">
      <c r="A139" s="1146" t="s">
        <v>1516</v>
      </c>
      <c r="B139" s="1147" t="s">
        <v>3196</v>
      </c>
      <c r="C139" s="1158"/>
      <c r="D139" s="1148"/>
      <c r="E139" s="922"/>
      <c r="F139" s="1153"/>
      <c r="G139" s="1151">
        <f>'PART-A'!I1379</f>
        <v>0</v>
      </c>
      <c r="H139" s="1148" t="s">
        <v>102</v>
      </c>
      <c r="I139" s="1152">
        <f>'PART-A'!K1379</f>
        <v>343.65</v>
      </c>
      <c r="J139" s="1153">
        <f>ROUND(G139*I139,0)</f>
        <v>0</v>
      </c>
      <c r="K139" s="1680"/>
      <c r="L139" s="1680"/>
      <c r="M139" s="1159" t="s">
        <v>2299</v>
      </c>
      <c r="N139" s="1155"/>
      <c r="O139" s="1160">
        <f t="shared" ref="O139:O202" si="31">F139-J139</f>
        <v>0</v>
      </c>
    </row>
    <row r="140" spans="1:15" s="360" customFormat="1" ht="15" hidden="1">
      <c r="A140" s="356" t="s">
        <v>494</v>
      </c>
      <c r="B140" s="632" t="s">
        <v>830</v>
      </c>
      <c r="C140" s="634"/>
      <c r="D140" s="354"/>
      <c r="E140" s="10"/>
      <c r="F140" s="353"/>
      <c r="G140" s="358">
        <f>'PART-A'!I1431</f>
        <v>0</v>
      </c>
      <c r="H140" s="354" t="s">
        <v>102</v>
      </c>
      <c r="I140" s="355">
        <f>'PART-A'!K1431</f>
        <v>364.75</v>
      </c>
      <c r="J140" s="353">
        <f>ROUND(G140*I140,0)</f>
        <v>0</v>
      </c>
      <c r="K140" s="1680"/>
      <c r="L140" s="1680"/>
      <c r="M140" s="633" t="s">
        <v>2312</v>
      </c>
      <c r="N140" s="223"/>
      <c r="O140" s="631">
        <f t="shared" si="31"/>
        <v>0</v>
      </c>
    </row>
    <row r="141" spans="1:15" s="360" customFormat="1" ht="15" hidden="1">
      <c r="A141" s="356" t="s">
        <v>486</v>
      </c>
      <c r="B141" s="632" t="s">
        <v>830</v>
      </c>
      <c r="C141" s="634"/>
      <c r="D141" s="354"/>
      <c r="E141" s="10"/>
      <c r="F141" s="353"/>
      <c r="G141" s="358">
        <f>'PART-A'!I1451</f>
        <v>0</v>
      </c>
      <c r="H141" s="354" t="s">
        <v>102</v>
      </c>
      <c r="I141" s="355">
        <f>'PART-A'!K1451</f>
        <v>388.21</v>
      </c>
      <c r="J141" s="353">
        <f>ROUND(G141*I141,0)</f>
        <v>0</v>
      </c>
      <c r="K141" s="1681"/>
      <c r="L141" s="1681"/>
      <c r="M141" s="633" t="s">
        <v>2313</v>
      </c>
      <c r="N141" s="223"/>
      <c r="O141" s="631">
        <f t="shared" si="31"/>
        <v>0</v>
      </c>
    </row>
    <row r="142" spans="1:15" s="1157" customFormat="1" ht="51">
      <c r="A142" s="1146" t="s">
        <v>483</v>
      </c>
      <c r="B142" s="1147" t="s">
        <v>3197</v>
      </c>
      <c r="C142" s="1164">
        <v>314.58</v>
      </c>
      <c r="D142" s="1148" t="s">
        <v>102</v>
      </c>
      <c r="E142" s="1161">
        <v>251.17</v>
      </c>
      <c r="F142" s="1150">
        <f t="shared" ref="F142" si="32">ROUND(C142*E142,0)</f>
        <v>79013</v>
      </c>
      <c r="G142" s="1151">
        <f>'PART-A'!I1457</f>
        <v>125.81</v>
      </c>
      <c r="H142" s="1148" t="s">
        <v>102</v>
      </c>
      <c r="I142" s="1152">
        <f>'PART-A'!K1457</f>
        <v>331.15</v>
      </c>
      <c r="J142" s="1153">
        <f t="shared" si="29"/>
        <v>41662</v>
      </c>
      <c r="K142" s="1679">
        <f>IF((J142+J143+J144+J145)&gt;(F142+F143+F144+F145),(J142+J143+J144+J145)-(F142+F143+F144+F145),0)</f>
        <v>0</v>
      </c>
      <c r="L142" s="1679">
        <f>IF((J142+J143+J144+J145)&lt;(F142+F143+F144+F145),(F142+F143+F144+F145)-(J142+J143+J144+J145),0)</f>
        <v>37351</v>
      </c>
      <c r="M142" s="1154" t="s">
        <v>2217</v>
      </c>
      <c r="N142" s="1155"/>
      <c r="O142" s="1156">
        <f t="shared" si="31"/>
        <v>37351</v>
      </c>
    </row>
    <row r="143" spans="1:15" s="1157" customFormat="1" ht="51" hidden="1">
      <c r="A143" s="1146" t="s">
        <v>1518</v>
      </c>
      <c r="B143" s="1147" t="s">
        <v>3197</v>
      </c>
      <c r="C143" s="1158"/>
      <c r="D143" s="1148"/>
      <c r="E143" s="922"/>
      <c r="F143" s="1153"/>
      <c r="G143" s="1151">
        <f>'PART-A'!I1463</f>
        <v>0</v>
      </c>
      <c r="H143" s="1148" t="s">
        <v>102</v>
      </c>
      <c r="I143" s="1152">
        <f>'PART-A'!K1463</f>
        <v>357.58</v>
      </c>
      <c r="J143" s="1153">
        <f>ROUND(G143*I143,0)</f>
        <v>0</v>
      </c>
      <c r="K143" s="1680"/>
      <c r="L143" s="1680"/>
      <c r="M143" s="1159" t="s">
        <v>2299</v>
      </c>
      <c r="N143" s="1155"/>
      <c r="O143" s="1160">
        <f t="shared" si="31"/>
        <v>0</v>
      </c>
    </row>
    <row r="144" spans="1:15" s="360" customFormat="1" ht="15" hidden="1">
      <c r="A144" s="356" t="s">
        <v>1515</v>
      </c>
      <c r="B144" s="632" t="s">
        <v>541</v>
      </c>
      <c r="C144" s="634"/>
      <c r="D144" s="354"/>
      <c r="E144" s="10"/>
      <c r="F144" s="353"/>
      <c r="G144" s="358">
        <f>'PART-A'!I1482</f>
        <v>0</v>
      </c>
      <c r="H144" s="354" t="s">
        <v>102</v>
      </c>
      <c r="I144" s="355">
        <f>'PART-A'!K1482</f>
        <v>380.06</v>
      </c>
      <c r="J144" s="353">
        <f>ROUND(G144*I144,0)</f>
        <v>0</v>
      </c>
      <c r="K144" s="1680"/>
      <c r="L144" s="1680"/>
      <c r="M144" s="633" t="s">
        <v>2312</v>
      </c>
      <c r="N144" s="223"/>
      <c r="O144" s="631">
        <f t="shared" si="31"/>
        <v>0</v>
      </c>
    </row>
    <row r="145" spans="1:15" s="360" customFormat="1" ht="51" hidden="1">
      <c r="A145" s="356" t="s">
        <v>1518</v>
      </c>
      <c r="B145" s="632" t="s">
        <v>3197</v>
      </c>
      <c r="C145" s="634"/>
      <c r="D145" s="354"/>
      <c r="E145" s="10"/>
      <c r="F145" s="353"/>
      <c r="G145" s="358">
        <f>'PART-A'!I1504</f>
        <v>0</v>
      </c>
      <c r="H145" s="354" t="s">
        <v>102</v>
      </c>
      <c r="I145" s="355">
        <f>'PART-A'!K1504</f>
        <v>404.02</v>
      </c>
      <c r="J145" s="353">
        <f>ROUND(G145*I145,0)</f>
        <v>0</v>
      </c>
      <c r="K145" s="1681"/>
      <c r="L145" s="1681"/>
      <c r="M145" s="851" t="s">
        <v>2313</v>
      </c>
      <c r="N145" s="223"/>
      <c r="O145" s="850">
        <f t="shared" si="31"/>
        <v>0</v>
      </c>
    </row>
    <row r="146" spans="1:15" s="1157" customFormat="1" ht="63.75">
      <c r="A146" s="1146" t="s">
        <v>484</v>
      </c>
      <c r="B146" s="1147" t="s">
        <v>3198</v>
      </c>
      <c r="C146" s="1164">
        <v>75.930000000000007</v>
      </c>
      <c r="D146" s="1148" t="s">
        <v>102</v>
      </c>
      <c r="E146" s="1161">
        <v>975.47</v>
      </c>
      <c r="F146" s="1150">
        <f t="shared" ref="F146" si="33">ROUND(C146*E146,0)</f>
        <v>74067</v>
      </c>
      <c r="G146" s="1170">
        <f>'PART-A'!I1544</f>
        <v>0</v>
      </c>
      <c r="H146" s="1173" t="s">
        <v>102</v>
      </c>
      <c r="I146" s="1171">
        <f>'PART-A'!K1544</f>
        <v>991.04</v>
      </c>
      <c r="J146" s="1153">
        <f t="shared" si="29"/>
        <v>0</v>
      </c>
      <c r="K146" s="1679">
        <f>IF((J146+J147+J148+J149)&gt;(F146+F147+F148+F149),(J146+J147+J148+J149)-(F146+F147+F148+F149),0)</f>
        <v>0</v>
      </c>
      <c r="L146" s="1679">
        <f>IF((J146+J147+J148+J149)&lt;(F146+F147+F148+F149),(F146+F147+F148+F149)-(J146+J147+J148+J149),0)</f>
        <v>74067</v>
      </c>
      <c r="M146" s="1154" t="s">
        <v>2217</v>
      </c>
      <c r="N146" s="1155"/>
      <c r="O146" s="1156">
        <f t="shared" si="31"/>
        <v>74067</v>
      </c>
    </row>
    <row r="147" spans="1:15" s="360" customFormat="1" ht="63.75" hidden="1">
      <c r="A147" s="356" t="s">
        <v>497</v>
      </c>
      <c r="B147" s="632" t="s">
        <v>3198</v>
      </c>
      <c r="C147" s="634"/>
      <c r="D147" s="354"/>
      <c r="E147" s="10"/>
      <c r="F147" s="353"/>
      <c r="G147" s="358">
        <f>'PART-A'!I1556</f>
        <v>0</v>
      </c>
      <c r="H147" s="354" t="s">
        <v>102</v>
      </c>
      <c r="I147" s="355">
        <f>'PART-A'!K1556</f>
        <v>1019.43</v>
      </c>
      <c r="J147" s="353">
        <f>ROUND(G147*I147,0)</f>
        <v>0</v>
      </c>
      <c r="K147" s="1680"/>
      <c r="L147" s="1680"/>
      <c r="M147" s="633" t="s">
        <v>2299</v>
      </c>
      <c r="N147" s="223"/>
      <c r="O147" s="631">
        <f t="shared" si="31"/>
        <v>0</v>
      </c>
    </row>
    <row r="148" spans="1:15" s="360" customFormat="1" ht="15" hidden="1">
      <c r="A148" s="356" t="s">
        <v>490</v>
      </c>
      <c r="B148" s="632" t="s">
        <v>507</v>
      </c>
      <c r="C148" s="634"/>
      <c r="D148" s="354"/>
      <c r="E148" s="10"/>
      <c r="F148" s="353"/>
      <c r="G148" s="358">
        <f>'PART-A'!I1563</f>
        <v>0</v>
      </c>
      <c r="H148" s="354" t="s">
        <v>102</v>
      </c>
      <c r="I148" s="355">
        <f>'PART-A'!K1563</f>
        <v>1041.26</v>
      </c>
      <c r="J148" s="353">
        <f>ROUND(G148*I148,0)</f>
        <v>0</v>
      </c>
      <c r="K148" s="1680"/>
      <c r="L148" s="1680"/>
      <c r="M148" s="633" t="s">
        <v>2312</v>
      </c>
      <c r="N148" s="223"/>
      <c r="O148" s="631">
        <f t="shared" si="31"/>
        <v>0</v>
      </c>
    </row>
    <row r="149" spans="1:15" s="1157" customFormat="1" ht="15" hidden="1">
      <c r="A149" s="1146" t="s">
        <v>486</v>
      </c>
      <c r="B149" s="1147" t="s">
        <v>507</v>
      </c>
      <c r="C149" s="1158"/>
      <c r="D149" s="1148"/>
      <c r="E149" s="922"/>
      <c r="F149" s="1153"/>
      <c r="G149" s="1151">
        <f>'PART-A'!I1579</f>
        <v>0</v>
      </c>
      <c r="H149" s="1148" t="s">
        <v>102</v>
      </c>
      <c r="I149" s="1152">
        <f>'PART-A'!K1579</f>
        <v>1067.3599999999999</v>
      </c>
      <c r="J149" s="1153">
        <f>ROUND(G149*I149,0)</f>
        <v>0</v>
      </c>
      <c r="K149" s="1681"/>
      <c r="L149" s="1681"/>
      <c r="M149" s="1159" t="s">
        <v>2313</v>
      </c>
      <c r="N149" s="1155"/>
      <c r="O149" s="1160">
        <f t="shared" si="31"/>
        <v>0</v>
      </c>
    </row>
    <row r="150" spans="1:15" s="360" customFormat="1" ht="63.75" hidden="1">
      <c r="A150" s="356" t="s">
        <v>484</v>
      </c>
      <c r="B150" s="632" t="s">
        <v>3199</v>
      </c>
      <c r="C150" s="634"/>
      <c r="D150" s="354"/>
      <c r="E150" s="10"/>
      <c r="F150" s="792">
        <f t="shared" ref="F150" si="34">ROUND(C150*E150,0)</f>
        <v>0</v>
      </c>
      <c r="G150" s="864">
        <f>'PART-A'!I1600</f>
        <v>0</v>
      </c>
      <c r="H150" s="865" t="s">
        <v>102</v>
      </c>
      <c r="I150" s="866">
        <f>'PART-A'!K1600</f>
        <v>986.97</v>
      </c>
      <c r="J150" s="353">
        <f t="shared" si="29"/>
        <v>0</v>
      </c>
      <c r="K150" s="1679">
        <f>IF((J150+J151+J152+J153)&gt;(F150+F151+F152+F153),(J150+J151+J152+J153)-(F150+F151+F152+F153),0)</f>
        <v>0</v>
      </c>
      <c r="L150" s="1679">
        <f>IF((J150+J151+J152+J153)&lt;(F150+F151+F152+F153),(F150+F151+F152+F153)-(J150+J151+J152+J153),0)</f>
        <v>0</v>
      </c>
      <c r="M150" s="851" t="s">
        <v>2217</v>
      </c>
      <c r="N150" s="223"/>
      <c r="O150" s="850">
        <f t="shared" si="31"/>
        <v>0</v>
      </c>
    </row>
    <row r="151" spans="1:15" s="360" customFormat="1" ht="63.75" hidden="1">
      <c r="A151" s="356" t="s">
        <v>498</v>
      </c>
      <c r="B151" s="632" t="s">
        <v>3199</v>
      </c>
      <c r="C151" s="634"/>
      <c r="D151" s="354"/>
      <c r="E151" s="10"/>
      <c r="F151" s="353"/>
      <c r="G151" s="358">
        <f>'PART-A'!I1625</f>
        <v>0</v>
      </c>
      <c r="H151" s="354" t="s">
        <v>102</v>
      </c>
      <c r="I151" s="355">
        <f>'PART-A'!K1625</f>
        <v>1015.1</v>
      </c>
      <c r="J151" s="353">
        <f>ROUND(G151*I151,0)</f>
        <v>0</v>
      </c>
      <c r="K151" s="1680"/>
      <c r="L151" s="1680"/>
      <c r="M151" s="633" t="s">
        <v>2299</v>
      </c>
      <c r="N151" s="223"/>
      <c r="O151" s="631">
        <f t="shared" si="31"/>
        <v>0</v>
      </c>
    </row>
    <row r="152" spans="1:15" s="360" customFormat="1" ht="15" hidden="1">
      <c r="A152" s="356" t="s">
        <v>1514</v>
      </c>
      <c r="B152" s="632" t="s">
        <v>1480</v>
      </c>
      <c r="C152" s="634"/>
      <c r="D152" s="354"/>
      <c r="E152" s="10"/>
      <c r="F152" s="353"/>
      <c r="G152" s="358">
        <f>'PART-A'!I1632</f>
        <v>0</v>
      </c>
      <c r="H152" s="354" t="s">
        <v>102</v>
      </c>
      <c r="I152" s="355">
        <f>'PART-A'!K1632</f>
        <v>1036.32</v>
      </c>
      <c r="J152" s="353">
        <f>ROUND(G152*I152,0)</f>
        <v>0</v>
      </c>
      <c r="K152" s="1680"/>
      <c r="L152" s="1680"/>
      <c r="M152" s="633" t="s">
        <v>2312</v>
      </c>
      <c r="N152" s="223"/>
      <c r="O152" s="631">
        <f t="shared" si="31"/>
        <v>0</v>
      </c>
    </row>
    <row r="153" spans="1:15" s="1157" customFormat="1" ht="15" hidden="1">
      <c r="A153" s="1146" t="s">
        <v>487</v>
      </c>
      <c r="B153" s="1147" t="s">
        <v>1480</v>
      </c>
      <c r="C153" s="1158"/>
      <c r="D153" s="1148"/>
      <c r="E153" s="922"/>
      <c r="F153" s="1153"/>
      <c r="G153" s="1151">
        <f>'PART-A'!I1653</f>
        <v>0</v>
      </c>
      <c r="H153" s="1148" t="s">
        <v>102</v>
      </c>
      <c r="I153" s="1152">
        <f>'PART-A'!K1653</f>
        <v>1062.03</v>
      </c>
      <c r="J153" s="1153">
        <f>ROUND(G153*I153,0)</f>
        <v>0</v>
      </c>
      <c r="K153" s="1681"/>
      <c r="L153" s="1681"/>
      <c r="M153" s="1159" t="s">
        <v>2313</v>
      </c>
      <c r="N153" s="1155"/>
      <c r="O153" s="1160">
        <f t="shared" si="31"/>
        <v>0</v>
      </c>
    </row>
    <row r="154" spans="1:15" s="360" customFormat="1" ht="63.75" hidden="1">
      <c r="A154" s="356" t="s">
        <v>485</v>
      </c>
      <c r="B154" s="632" t="s">
        <v>3292</v>
      </c>
      <c r="C154" s="635"/>
      <c r="D154" s="354"/>
      <c r="E154" s="362"/>
      <c r="F154" s="353"/>
      <c r="G154" s="358">
        <f>'PART-A'!I1671</f>
        <v>0</v>
      </c>
      <c r="H154" s="354" t="s">
        <v>77</v>
      </c>
      <c r="I154" s="355">
        <f>'PART-A'!K1671</f>
        <v>2828.1</v>
      </c>
      <c r="J154" s="353">
        <f t="shared" si="29"/>
        <v>0</v>
      </c>
      <c r="K154" s="1679">
        <f>IF((J154+J155+J156+J157)&gt;(F154+F155+F156+F157),(J154+J155+J156+J157)-(F154+F155+F156+F157),0)</f>
        <v>273067</v>
      </c>
      <c r="L154" s="1679">
        <f>IF((J154+J155+J156+J157)&lt;(F154+F155+F156+F157),(F154+F155+F156+F157)-(J154+J155+J156+J157),0)</f>
        <v>0</v>
      </c>
      <c r="M154" s="633" t="s">
        <v>2217</v>
      </c>
      <c r="N154" s="223"/>
      <c r="O154" s="631">
        <f t="shared" si="31"/>
        <v>0</v>
      </c>
    </row>
    <row r="155" spans="1:15" s="360" customFormat="1" ht="15" hidden="1">
      <c r="A155" s="356" t="s">
        <v>494</v>
      </c>
      <c r="B155" s="632" t="s">
        <v>708</v>
      </c>
      <c r="C155" s="635"/>
      <c r="D155" s="354"/>
      <c r="E155" s="362"/>
      <c r="F155" s="353"/>
      <c r="G155" s="358">
        <f>'PART-A'!I1681</f>
        <v>0</v>
      </c>
      <c r="H155" s="354" t="s">
        <v>77</v>
      </c>
      <c r="I155" s="355">
        <f>'PART-A'!K1681</f>
        <v>2886.61</v>
      </c>
      <c r="J155" s="353">
        <f>ROUND(G155*I155,0)</f>
        <v>0</v>
      </c>
      <c r="K155" s="1680"/>
      <c r="L155" s="1680"/>
      <c r="M155" s="633" t="s">
        <v>2299</v>
      </c>
      <c r="N155" s="223"/>
      <c r="O155" s="631">
        <f t="shared" si="31"/>
        <v>0</v>
      </c>
    </row>
    <row r="156" spans="1:15" s="360" customFormat="1" ht="15" hidden="1">
      <c r="A156" s="356" t="s">
        <v>492</v>
      </c>
      <c r="B156" s="632" t="s">
        <v>708</v>
      </c>
      <c r="C156" s="635"/>
      <c r="D156" s="354"/>
      <c r="E156" s="362"/>
      <c r="F156" s="353"/>
      <c r="G156" s="358">
        <f>'PART-A'!I1688</f>
        <v>0</v>
      </c>
      <c r="H156" s="354" t="s">
        <v>77</v>
      </c>
      <c r="I156" s="355">
        <f>'PART-A'!K1688</f>
        <v>2942.62</v>
      </c>
      <c r="J156" s="353">
        <f>ROUND(G156*I156,0)</f>
        <v>0</v>
      </c>
      <c r="K156" s="1680"/>
      <c r="L156" s="1680"/>
      <c r="M156" s="633" t="s">
        <v>2312</v>
      </c>
      <c r="N156" s="223"/>
      <c r="O156" s="631">
        <f t="shared" si="31"/>
        <v>0</v>
      </c>
    </row>
    <row r="157" spans="1:15" s="1157" customFormat="1" ht="63.75">
      <c r="A157" s="1146" t="s">
        <v>485</v>
      </c>
      <c r="B157" s="1147" t="s">
        <v>3200</v>
      </c>
      <c r="C157" s="1162"/>
      <c r="D157" s="1148"/>
      <c r="E157" s="1163"/>
      <c r="F157" s="1153"/>
      <c r="G157" s="1151">
        <f>'PART-A'!I1706</f>
        <v>87.660000000000011</v>
      </c>
      <c r="H157" s="1148" t="s">
        <v>77</v>
      </c>
      <c r="I157" s="1152">
        <f>'PART-A'!K1706</f>
        <v>3115.07</v>
      </c>
      <c r="J157" s="1153">
        <f>ROUND(G157*I157,0)</f>
        <v>273067</v>
      </c>
      <c r="K157" s="1681"/>
      <c r="L157" s="1681"/>
      <c r="M157" s="1154" t="s">
        <v>2313</v>
      </c>
      <c r="N157" s="1155"/>
      <c r="O157" s="1156">
        <f t="shared" si="31"/>
        <v>-273067</v>
      </c>
    </row>
    <row r="158" spans="1:15" s="360" customFormat="1" ht="63.75" hidden="1">
      <c r="A158" s="356" t="s">
        <v>486</v>
      </c>
      <c r="B158" s="632" t="s">
        <v>3294</v>
      </c>
      <c r="C158" s="635"/>
      <c r="D158" s="354"/>
      <c r="E158" s="362"/>
      <c r="F158" s="353"/>
      <c r="G158" s="358">
        <f>'PART-A'!I1724</f>
        <v>0</v>
      </c>
      <c r="H158" s="354" t="s">
        <v>102</v>
      </c>
      <c r="I158" s="355">
        <f>'PART-A'!K1724</f>
        <v>2667.63</v>
      </c>
      <c r="J158" s="353">
        <f t="shared" si="29"/>
        <v>0</v>
      </c>
      <c r="K158" s="1679">
        <f>IF((J158+J159+J160+J161)&gt;(F158+F159+F160+F161),(J158+J159+J160+J161)-(F158+F159+F160+F161),0)</f>
        <v>19554</v>
      </c>
      <c r="L158" s="1679">
        <f>IF((J158+J159+J160+J161)&lt;(F158+F159+F160+F161),(F158+F159+F160+F161)-(J158+J159+J160+J161),0)</f>
        <v>0</v>
      </c>
      <c r="M158" s="633" t="s">
        <v>2217</v>
      </c>
      <c r="N158" s="223"/>
      <c r="O158" s="631">
        <f t="shared" si="31"/>
        <v>0</v>
      </c>
    </row>
    <row r="159" spans="1:15" s="360" customFormat="1" ht="15" hidden="1">
      <c r="A159" s="356" t="s">
        <v>494</v>
      </c>
      <c r="B159" s="632" t="s">
        <v>709</v>
      </c>
      <c r="C159" s="635"/>
      <c r="D159" s="354"/>
      <c r="E159" s="362"/>
      <c r="F159" s="353"/>
      <c r="G159" s="358">
        <f>'PART-A'!I1735</f>
        <v>0</v>
      </c>
      <c r="H159" s="354" t="s">
        <v>102</v>
      </c>
      <c r="I159" s="355">
        <f>'PART-A'!K1735</f>
        <v>2708.07</v>
      </c>
      <c r="J159" s="353">
        <f>ROUND(G159*I159,0)</f>
        <v>0</v>
      </c>
      <c r="K159" s="1680"/>
      <c r="L159" s="1680"/>
      <c r="M159" s="633" t="s">
        <v>2299</v>
      </c>
      <c r="N159" s="223"/>
      <c r="O159" s="631">
        <f t="shared" si="31"/>
        <v>0</v>
      </c>
    </row>
    <row r="160" spans="1:15" s="360" customFormat="1" ht="15" hidden="1">
      <c r="A160" s="356" t="s">
        <v>493</v>
      </c>
      <c r="B160" s="632" t="s">
        <v>709</v>
      </c>
      <c r="C160" s="635"/>
      <c r="D160" s="354"/>
      <c r="E160" s="362"/>
      <c r="F160" s="353"/>
      <c r="G160" s="358">
        <f>'PART-A'!I1743</f>
        <v>0</v>
      </c>
      <c r="H160" s="354" t="s">
        <v>102</v>
      </c>
      <c r="I160" s="355">
        <f>'PART-A'!K1743</f>
        <v>2747.34</v>
      </c>
      <c r="J160" s="353">
        <f>ROUND(G160*I160,0)</f>
        <v>0</v>
      </c>
      <c r="K160" s="1680"/>
      <c r="L160" s="1680"/>
      <c r="M160" s="633" t="s">
        <v>2312</v>
      </c>
      <c r="N160" s="223"/>
      <c r="O160" s="631">
        <f t="shared" si="31"/>
        <v>0</v>
      </c>
    </row>
    <row r="161" spans="1:15" s="1157" customFormat="1" ht="63.75">
      <c r="A161" s="1146" t="s">
        <v>486</v>
      </c>
      <c r="B161" s="1147" t="s">
        <v>3201</v>
      </c>
      <c r="C161" s="1162"/>
      <c r="D161" s="1148"/>
      <c r="E161" s="1163"/>
      <c r="F161" s="1153"/>
      <c r="G161" s="1151">
        <f>'PART-A'!I1761</f>
        <v>6.7299999999999995</v>
      </c>
      <c r="H161" s="1148" t="s">
        <v>102</v>
      </c>
      <c r="I161" s="1152">
        <f>'PART-A'!K1761</f>
        <v>2905.43</v>
      </c>
      <c r="J161" s="1153">
        <f>ROUND(G161*I161,0)</f>
        <v>19554</v>
      </c>
      <c r="K161" s="1681"/>
      <c r="L161" s="1681"/>
      <c r="M161" s="1154" t="s">
        <v>2313</v>
      </c>
      <c r="N161" s="1155"/>
      <c r="O161" s="1156">
        <f t="shared" si="31"/>
        <v>-19554</v>
      </c>
    </row>
    <row r="162" spans="1:15" s="360" customFormat="1" ht="15" hidden="1">
      <c r="A162" s="356" t="s">
        <v>498</v>
      </c>
      <c r="B162" s="632" t="s">
        <v>710</v>
      </c>
      <c r="C162" s="636"/>
      <c r="D162" s="354"/>
      <c r="E162" s="362"/>
      <c r="F162" s="353"/>
      <c r="G162" s="358">
        <f>'PART-A'!I1768</f>
        <v>0</v>
      </c>
      <c r="H162" s="354" t="s">
        <v>102</v>
      </c>
      <c r="I162" s="355">
        <f>'PART-A'!K1768</f>
        <v>605.58000000000004</v>
      </c>
      <c r="J162" s="353">
        <f t="shared" si="29"/>
        <v>0</v>
      </c>
      <c r="K162" s="1679">
        <f>IF((J162+J163+J164+J165)&gt;(F162+F163+F164+F165),(J162+J163+J164+J165)-(F162+F163+F164+F165),0)</f>
        <v>0</v>
      </c>
      <c r="L162" s="1679">
        <f>IF((J162+J163+J164+J165)&lt;(F162+F163+F164+F165),(F162+F163+F164+F165)-(J162+J163+J164+J165),0)</f>
        <v>0</v>
      </c>
      <c r="M162" s="633" t="s">
        <v>2217</v>
      </c>
      <c r="N162" s="223"/>
      <c r="O162" s="631">
        <f t="shared" si="31"/>
        <v>0</v>
      </c>
    </row>
    <row r="163" spans="1:15" s="360" customFormat="1" ht="38.25" hidden="1">
      <c r="A163" s="356" t="s">
        <v>499</v>
      </c>
      <c r="B163" s="632" t="s">
        <v>3627</v>
      </c>
      <c r="C163" s="636"/>
      <c r="D163" s="354"/>
      <c r="E163" s="362"/>
      <c r="F163" s="353"/>
      <c r="G163" s="358">
        <f>'PART-A'!I1777</f>
        <v>0</v>
      </c>
      <c r="H163" s="354" t="s">
        <v>102</v>
      </c>
      <c r="I163" s="355">
        <f>'PART-A'!K1777</f>
        <v>646.33000000000004</v>
      </c>
      <c r="J163" s="353">
        <f>ROUND(G163*I163,0)</f>
        <v>0</v>
      </c>
      <c r="K163" s="1680"/>
      <c r="L163" s="1680"/>
      <c r="M163" s="633" t="s">
        <v>2299</v>
      </c>
      <c r="N163" s="223"/>
      <c r="O163" s="631">
        <f t="shared" si="31"/>
        <v>0</v>
      </c>
    </row>
    <row r="164" spans="1:15" s="360" customFormat="1" ht="15" hidden="1">
      <c r="A164" s="356" t="s">
        <v>498</v>
      </c>
      <c r="B164" s="632" t="s">
        <v>710</v>
      </c>
      <c r="C164" s="636"/>
      <c r="D164" s="354"/>
      <c r="E164" s="362"/>
      <c r="F164" s="353"/>
      <c r="G164" s="358">
        <f>'PART-A'!I1784</f>
        <v>0</v>
      </c>
      <c r="H164" s="354" t="s">
        <v>102</v>
      </c>
      <c r="I164" s="355">
        <f>'PART-A'!K1784</f>
        <v>653.95000000000005</v>
      </c>
      <c r="J164" s="353">
        <f>ROUND(G164*I164,0)</f>
        <v>0</v>
      </c>
      <c r="K164" s="1680"/>
      <c r="L164" s="1680"/>
      <c r="M164" s="633" t="s">
        <v>2312</v>
      </c>
      <c r="N164" s="223"/>
      <c r="O164" s="631">
        <f t="shared" si="31"/>
        <v>0</v>
      </c>
    </row>
    <row r="165" spans="1:15" s="360" customFormat="1" ht="15" hidden="1">
      <c r="A165" s="356" t="s">
        <v>498</v>
      </c>
      <c r="B165" s="632" t="s">
        <v>710</v>
      </c>
      <c r="C165" s="636"/>
      <c r="D165" s="354"/>
      <c r="E165" s="362"/>
      <c r="F165" s="353"/>
      <c r="G165" s="358">
        <f>'PART-A'!I1791</f>
        <v>0</v>
      </c>
      <c r="H165" s="354" t="s">
        <v>102</v>
      </c>
      <c r="I165" s="355">
        <f>'PART-A'!K1791</f>
        <v>744.7</v>
      </c>
      <c r="J165" s="353">
        <f>ROUND(G165*I165,0)</f>
        <v>0</v>
      </c>
      <c r="K165" s="1681"/>
      <c r="L165" s="1681"/>
      <c r="M165" s="633" t="s">
        <v>2313</v>
      </c>
      <c r="N165" s="223"/>
      <c r="O165" s="631">
        <f t="shared" si="31"/>
        <v>0</v>
      </c>
    </row>
    <row r="166" spans="1:15" s="360" customFormat="1" ht="15" hidden="1">
      <c r="A166" s="356" t="s">
        <v>499</v>
      </c>
      <c r="B166" s="632" t="s">
        <v>711</v>
      </c>
      <c r="C166" s="635"/>
      <c r="D166" s="354"/>
      <c r="E166" s="362"/>
      <c r="F166" s="353"/>
      <c r="G166" s="358">
        <f>'PART-A'!I1798</f>
        <v>0</v>
      </c>
      <c r="H166" s="354" t="s">
        <v>102</v>
      </c>
      <c r="I166" s="355">
        <f>'PART-A'!K1798</f>
        <v>623.66999999999996</v>
      </c>
      <c r="J166" s="353">
        <f t="shared" si="29"/>
        <v>0</v>
      </c>
      <c r="K166" s="1679">
        <f>IF((J166+J167+J168+J169)&gt;(F166+F167+F168+F169),(J166+J167+J168+J169)-(F166+F167+F168+F169),0)</f>
        <v>0</v>
      </c>
      <c r="L166" s="1679">
        <f>IF((J166+J167+J168+J169)&lt;(F166+F167+F168+F169),(F166+F167+F168+F169)-(J166+J167+J168+J169),0)</f>
        <v>0</v>
      </c>
      <c r="M166" s="633" t="s">
        <v>2217</v>
      </c>
      <c r="N166" s="223"/>
      <c r="O166" s="631">
        <f t="shared" si="31"/>
        <v>0</v>
      </c>
    </row>
    <row r="167" spans="1:15" s="360" customFormat="1" ht="25.5" hidden="1">
      <c r="A167" s="356" t="s">
        <v>500</v>
      </c>
      <c r="B167" s="632" t="s">
        <v>3628</v>
      </c>
      <c r="C167" s="635"/>
      <c r="D167" s="354"/>
      <c r="E167" s="362"/>
      <c r="F167" s="353"/>
      <c r="G167" s="358">
        <f>'PART-A'!I1805</f>
        <v>0</v>
      </c>
      <c r="H167" s="354" t="s">
        <v>102</v>
      </c>
      <c r="I167" s="355">
        <f>'PART-A'!K1805</f>
        <v>651.79999999999995</v>
      </c>
      <c r="J167" s="353">
        <f>ROUND(G167*I167,0)</f>
        <v>0</v>
      </c>
      <c r="K167" s="1680"/>
      <c r="L167" s="1680"/>
      <c r="M167" s="633" t="s">
        <v>2299</v>
      </c>
      <c r="N167" s="223"/>
      <c r="O167" s="631">
        <f t="shared" si="31"/>
        <v>0</v>
      </c>
    </row>
    <row r="168" spans="1:15" s="360" customFormat="1" ht="15" hidden="1">
      <c r="A168" s="356" t="s">
        <v>499</v>
      </c>
      <c r="B168" s="632" t="s">
        <v>711</v>
      </c>
      <c r="C168" s="635"/>
      <c r="D168" s="354"/>
      <c r="E168" s="362"/>
      <c r="F168" s="353"/>
      <c r="G168" s="358">
        <f>'PART-A'!I1812</f>
        <v>0</v>
      </c>
      <c r="H168" s="354" t="s">
        <v>102</v>
      </c>
      <c r="I168" s="355">
        <f>'PART-A'!K1812</f>
        <v>673.02</v>
      </c>
      <c r="J168" s="353">
        <f>ROUND(G168*I168,0)</f>
        <v>0</v>
      </c>
      <c r="K168" s="1680"/>
      <c r="L168" s="1680"/>
      <c r="M168" s="633" t="s">
        <v>2312</v>
      </c>
      <c r="N168" s="223"/>
      <c r="O168" s="631">
        <f t="shared" si="31"/>
        <v>0</v>
      </c>
    </row>
    <row r="169" spans="1:15" s="360" customFormat="1" ht="15" hidden="1">
      <c r="A169" s="356" t="s">
        <v>499</v>
      </c>
      <c r="B169" s="632" t="s">
        <v>711</v>
      </c>
      <c r="C169" s="635"/>
      <c r="D169" s="354"/>
      <c r="E169" s="362"/>
      <c r="F169" s="353"/>
      <c r="G169" s="358">
        <f>'PART-A'!I1819</f>
        <v>0</v>
      </c>
      <c r="H169" s="354" t="s">
        <v>102</v>
      </c>
      <c r="I169" s="355">
        <f>'PART-A'!K1819</f>
        <v>750.18</v>
      </c>
      <c r="J169" s="353">
        <f>ROUND(G169*I169,0)</f>
        <v>0</v>
      </c>
      <c r="K169" s="1681"/>
      <c r="L169" s="1681"/>
      <c r="M169" s="633" t="s">
        <v>2313</v>
      </c>
      <c r="N169" s="223"/>
      <c r="O169" s="631">
        <f t="shared" si="31"/>
        <v>0</v>
      </c>
    </row>
    <row r="170" spans="1:15" s="360" customFormat="1" ht="63.75" hidden="1">
      <c r="A170" s="356" t="s">
        <v>487</v>
      </c>
      <c r="B170" s="632" t="s">
        <v>3295</v>
      </c>
      <c r="C170" s="634"/>
      <c r="D170" s="354"/>
      <c r="E170" s="10"/>
      <c r="F170" s="792">
        <f t="shared" ref="F170" si="35">ROUND(C170*E170,0)</f>
        <v>0</v>
      </c>
      <c r="G170" s="864">
        <f>'PART-A'!I1825</f>
        <v>0</v>
      </c>
      <c r="H170" s="865" t="s">
        <v>102</v>
      </c>
      <c r="I170" s="866">
        <f>'PART-A'!K1825</f>
        <v>726.78</v>
      </c>
      <c r="J170" s="353">
        <f t="shared" ref="J170" si="36">ROUND(G170*I170,0)</f>
        <v>0</v>
      </c>
      <c r="K170" s="1679">
        <f>IF((J170+J171+J172+J173)&gt;(F170+F171+F172+F173),(J170+J171+J172+J173)-(F170+F171+F172+F173),0)</f>
        <v>3368</v>
      </c>
      <c r="L170" s="1679">
        <f>IF((J170+J171+J172+J173)&lt;(F170+F171+F172+F173),(F170+F171+F172+F173)-(J170+J171+J172+J173),0)</f>
        <v>0</v>
      </c>
      <c r="M170" s="633" t="s">
        <v>2217</v>
      </c>
      <c r="N170" s="223"/>
      <c r="O170" s="631">
        <f t="shared" si="31"/>
        <v>0</v>
      </c>
    </row>
    <row r="171" spans="1:15" s="360" customFormat="1" ht="15" hidden="1">
      <c r="A171" s="356" t="s">
        <v>495</v>
      </c>
      <c r="B171" s="632" t="s">
        <v>511</v>
      </c>
      <c r="C171" s="634"/>
      <c r="D171" s="354"/>
      <c r="E171" s="10"/>
      <c r="F171" s="353"/>
      <c r="G171" s="358">
        <f>'PART-A'!I1830</f>
        <v>0</v>
      </c>
      <c r="H171" s="354" t="s">
        <v>102</v>
      </c>
      <c r="I171" s="355">
        <f>'PART-A'!K1830</f>
        <v>754.91</v>
      </c>
      <c r="J171" s="353">
        <f>ROUND(G171*I171,0)</f>
        <v>0</v>
      </c>
      <c r="K171" s="1680"/>
      <c r="L171" s="1680"/>
      <c r="M171" s="633" t="s">
        <v>2299</v>
      </c>
      <c r="N171" s="223"/>
      <c r="O171" s="631">
        <f t="shared" si="31"/>
        <v>0</v>
      </c>
    </row>
    <row r="172" spans="1:15" s="360" customFormat="1" ht="15" hidden="1">
      <c r="A172" s="356" t="s">
        <v>1514</v>
      </c>
      <c r="B172" s="632" t="s">
        <v>511</v>
      </c>
      <c r="C172" s="634"/>
      <c r="D172" s="354"/>
      <c r="E172" s="10"/>
      <c r="F172" s="353"/>
      <c r="G172" s="358">
        <f>'PART-A'!I1836</f>
        <v>0</v>
      </c>
      <c r="H172" s="354" t="s">
        <v>102</v>
      </c>
      <c r="I172" s="355">
        <f>'PART-A'!K1836</f>
        <v>776.13</v>
      </c>
      <c r="J172" s="353">
        <f>ROUND(G172*I172,0)</f>
        <v>0</v>
      </c>
      <c r="K172" s="1680"/>
      <c r="L172" s="1680"/>
      <c r="M172" s="633" t="s">
        <v>2312</v>
      </c>
      <c r="N172" s="223"/>
      <c r="O172" s="631">
        <f t="shared" si="31"/>
        <v>0</v>
      </c>
    </row>
    <row r="173" spans="1:15" s="1157" customFormat="1" ht="15">
      <c r="A173" s="1146" t="s">
        <v>487</v>
      </c>
      <c r="B173" s="1147" t="s">
        <v>511</v>
      </c>
      <c r="C173" s="1158"/>
      <c r="D173" s="1148"/>
      <c r="E173" s="922"/>
      <c r="F173" s="1153"/>
      <c r="G173" s="1151">
        <f>'PART-A'!I1842</f>
        <v>4.2</v>
      </c>
      <c r="H173" s="1148" t="s">
        <v>102</v>
      </c>
      <c r="I173" s="1152">
        <f>'PART-A'!K1842</f>
        <v>801.83</v>
      </c>
      <c r="J173" s="1153">
        <f>ROUND(G173*I173,0)</f>
        <v>3368</v>
      </c>
      <c r="K173" s="1681"/>
      <c r="L173" s="1681"/>
      <c r="M173" s="1159" t="s">
        <v>2313</v>
      </c>
      <c r="N173" s="1155"/>
      <c r="O173" s="1160">
        <f t="shared" si="31"/>
        <v>-3368</v>
      </c>
    </row>
    <row r="174" spans="1:15" s="360" customFormat="1" ht="63.75" hidden="1">
      <c r="A174" s="356" t="s">
        <v>488</v>
      </c>
      <c r="B174" s="632" t="s">
        <v>3296</v>
      </c>
      <c r="C174" s="634"/>
      <c r="D174" s="354"/>
      <c r="E174" s="10"/>
      <c r="F174" s="792">
        <f t="shared" ref="F174" si="37">ROUND(C174*E174,0)</f>
        <v>0</v>
      </c>
      <c r="G174" s="864">
        <f>'PART-A'!I1849</f>
        <v>0</v>
      </c>
      <c r="H174" s="865" t="s">
        <v>102</v>
      </c>
      <c r="I174" s="866">
        <f>'PART-A'!K1849</f>
        <v>487.61</v>
      </c>
      <c r="J174" s="353">
        <f t="shared" ref="J174:J210" si="38">ROUND(G174*I174,0)</f>
        <v>0</v>
      </c>
      <c r="K174" s="1679">
        <f>IF((J174+J175+J176+J177)&gt;(F174+F175+F176+F177),(J174+J175+J176+J177)-(F174+F175+F176+F177),0)</f>
        <v>9156</v>
      </c>
      <c r="L174" s="1679">
        <f>IF((J174+J175+J176+J177)&lt;(F174+F175+F176+F177),(F174+F175+F176+F177)-(J174+J175+J176+J177),0)</f>
        <v>0</v>
      </c>
      <c r="M174" s="633" t="s">
        <v>2217</v>
      </c>
      <c r="N174" s="223"/>
      <c r="O174" s="631">
        <f t="shared" si="31"/>
        <v>0</v>
      </c>
    </row>
    <row r="175" spans="1:15" s="360" customFormat="1" ht="15" hidden="1">
      <c r="A175" s="356" t="s">
        <v>492</v>
      </c>
      <c r="B175" s="632" t="s">
        <v>570</v>
      </c>
      <c r="C175" s="634"/>
      <c r="D175" s="354"/>
      <c r="E175" s="10"/>
      <c r="F175" s="353"/>
      <c r="G175" s="358">
        <f>'PART-A'!I1856</f>
        <v>0</v>
      </c>
      <c r="H175" s="354" t="s">
        <v>102</v>
      </c>
      <c r="I175" s="355">
        <f>'PART-A'!K1856</f>
        <v>496.21</v>
      </c>
      <c r="J175" s="353">
        <f>ROUND(G175*I175,0)</f>
        <v>0</v>
      </c>
      <c r="K175" s="1680"/>
      <c r="L175" s="1680"/>
      <c r="M175" s="633" t="s">
        <v>2299</v>
      </c>
      <c r="N175" s="223"/>
      <c r="O175" s="631">
        <f t="shared" si="31"/>
        <v>0</v>
      </c>
    </row>
    <row r="176" spans="1:15" s="360" customFormat="1" ht="15" hidden="1">
      <c r="A176" s="356" t="s">
        <v>492</v>
      </c>
      <c r="B176" s="632" t="s">
        <v>570</v>
      </c>
      <c r="C176" s="634"/>
      <c r="D176" s="354"/>
      <c r="E176" s="10"/>
      <c r="F176" s="353"/>
      <c r="G176" s="358">
        <f>'PART-A'!I1863</f>
        <v>0</v>
      </c>
      <c r="H176" s="354" t="s">
        <v>102</v>
      </c>
      <c r="I176" s="355">
        <f>'PART-A'!K1863</f>
        <v>503.67</v>
      </c>
      <c r="J176" s="353">
        <f>ROUND(G176*I176,0)</f>
        <v>0</v>
      </c>
      <c r="K176" s="1680"/>
      <c r="L176" s="1680"/>
      <c r="M176" s="633" t="s">
        <v>2312</v>
      </c>
      <c r="N176" s="223"/>
      <c r="O176" s="631">
        <f t="shared" si="31"/>
        <v>0</v>
      </c>
    </row>
    <row r="177" spans="1:15" s="1157" customFormat="1" ht="15">
      <c r="A177" s="1146" t="s">
        <v>488</v>
      </c>
      <c r="B177" s="1147" t="s">
        <v>570</v>
      </c>
      <c r="C177" s="1158"/>
      <c r="D177" s="1148"/>
      <c r="E177" s="922"/>
      <c r="F177" s="1153"/>
      <c r="G177" s="1151">
        <f>'PART-A'!I1870</f>
        <v>17.670000000000002</v>
      </c>
      <c r="H177" s="1148" t="s">
        <v>102</v>
      </c>
      <c r="I177" s="1152">
        <f>'PART-A'!K1870</f>
        <v>518.15</v>
      </c>
      <c r="J177" s="1153">
        <f>ROUND(G177*I177,0)</f>
        <v>9156</v>
      </c>
      <c r="K177" s="1681"/>
      <c r="L177" s="1681"/>
      <c r="M177" s="1159" t="s">
        <v>2313</v>
      </c>
      <c r="N177" s="1155"/>
      <c r="O177" s="1160">
        <f t="shared" si="31"/>
        <v>-9156</v>
      </c>
    </row>
    <row r="178" spans="1:15" s="360" customFormat="1" ht="38.25" hidden="1">
      <c r="A178" s="356" t="s">
        <v>489</v>
      </c>
      <c r="B178" s="632" t="s">
        <v>3297</v>
      </c>
      <c r="C178" s="635"/>
      <c r="D178" s="354"/>
      <c r="E178" s="362"/>
      <c r="F178" s="353"/>
      <c r="G178" s="358">
        <f>'PART-A'!I1876</f>
        <v>0</v>
      </c>
      <c r="H178" s="354" t="s">
        <v>102</v>
      </c>
      <c r="I178" s="355">
        <f>'PART-A'!K1876</f>
        <v>911.63</v>
      </c>
      <c r="J178" s="353">
        <f t="shared" si="38"/>
        <v>0</v>
      </c>
      <c r="K178" s="1679">
        <f>IF((J178+J179+J180+J181)&gt;(F178+F179+F180+F181),(J178+J179+J180+J181)-(F178+F179+F180+F181),0)</f>
        <v>0</v>
      </c>
      <c r="L178" s="1679">
        <f>IF((J178+J179+J180+J181)&lt;(F178+F179+F180+F181),(F178+F179+F180+F181)-(J178+J179+J180+J181),0)</f>
        <v>0</v>
      </c>
      <c r="M178" s="633" t="s">
        <v>2217</v>
      </c>
      <c r="N178" s="223"/>
      <c r="O178" s="631">
        <f t="shared" si="31"/>
        <v>0</v>
      </c>
    </row>
    <row r="179" spans="1:15" s="360" customFormat="1" ht="15" hidden="1">
      <c r="A179" s="356" t="s">
        <v>487</v>
      </c>
      <c r="B179" s="632" t="s">
        <v>1222</v>
      </c>
      <c r="C179" s="635"/>
      <c r="D179" s="354"/>
      <c r="E179" s="362"/>
      <c r="F179" s="353"/>
      <c r="G179" s="358">
        <f>'PART-A'!I1883</f>
        <v>0</v>
      </c>
      <c r="H179" s="354" t="s">
        <v>102</v>
      </c>
      <c r="I179" s="355">
        <f>'PART-A'!K1883</f>
        <v>950.67</v>
      </c>
      <c r="J179" s="353">
        <f>ROUND(G179*I179,0)</f>
        <v>0</v>
      </c>
      <c r="K179" s="1680"/>
      <c r="L179" s="1680"/>
      <c r="M179" s="633" t="s">
        <v>2299</v>
      </c>
      <c r="N179" s="223"/>
      <c r="O179" s="631">
        <f t="shared" si="31"/>
        <v>0</v>
      </c>
    </row>
    <row r="180" spans="1:15" s="1157" customFormat="1" ht="15" hidden="1">
      <c r="A180" s="1146" t="s">
        <v>497</v>
      </c>
      <c r="B180" s="1147" t="s">
        <v>1222</v>
      </c>
      <c r="C180" s="1162"/>
      <c r="D180" s="1148"/>
      <c r="E180" s="1163"/>
      <c r="F180" s="1153"/>
      <c r="G180" s="1151">
        <f>'PART-A'!I1889</f>
        <v>0</v>
      </c>
      <c r="H180" s="1148" t="s">
        <v>102</v>
      </c>
      <c r="I180" s="1152">
        <f>'PART-A'!K1889</f>
        <v>981.79</v>
      </c>
      <c r="J180" s="1153">
        <f>ROUND(G180*I180,0)</f>
        <v>0</v>
      </c>
      <c r="K180" s="1680"/>
      <c r="L180" s="1680"/>
      <c r="M180" s="1159" t="s">
        <v>2312</v>
      </c>
      <c r="N180" s="1155"/>
      <c r="O180" s="1160">
        <f t="shared" si="31"/>
        <v>0</v>
      </c>
    </row>
    <row r="181" spans="1:15" s="360" customFormat="1" ht="15" hidden="1">
      <c r="A181" s="356" t="s">
        <v>487</v>
      </c>
      <c r="B181" s="632" t="s">
        <v>1222</v>
      </c>
      <c r="C181" s="635"/>
      <c r="D181" s="354"/>
      <c r="E181" s="362"/>
      <c r="F181" s="353"/>
      <c r="G181" s="358">
        <f>'PART-A'!I1896</f>
        <v>0</v>
      </c>
      <c r="H181" s="354" t="s">
        <v>102</v>
      </c>
      <c r="I181" s="355">
        <f>'PART-A'!K1896</f>
        <v>1017.93</v>
      </c>
      <c r="J181" s="353">
        <f>ROUND(G181*I181,0)</f>
        <v>0</v>
      </c>
      <c r="K181" s="1681"/>
      <c r="L181" s="1681"/>
      <c r="M181" s="633" t="s">
        <v>2313</v>
      </c>
      <c r="N181" s="223"/>
      <c r="O181" s="631">
        <f t="shared" si="31"/>
        <v>0</v>
      </c>
    </row>
    <row r="182" spans="1:15" s="360" customFormat="1" ht="15" hidden="1">
      <c r="A182" s="356"/>
      <c r="B182" s="632" t="s">
        <v>2262</v>
      </c>
      <c r="C182" s="635"/>
      <c r="D182" s="354"/>
      <c r="E182" s="362"/>
      <c r="F182" s="353"/>
      <c r="G182" s="358">
        <f>'PART-A'!I1903</f>
        <v>0</v>
      </c>
      <c r="H182" s="354" t="s">
        <v>102</v>
      </c>
      <c r="I182" s="355">
        <f>'PART-A'!K1903</f>
        <v>489</v>
      </c>
      <c r="J182" s="353">
        <f t="shared" si="38"/>
        <v>0</v>
      </c>
      <c r="K182" s="1679">
        <f>IF((J182+J183+J184+J185)&gt;(F182+F183+F184+F185),(J182+J183+J184+J185)-(F182+F183+F184+F185),0)</f>
        <v>0</v>
      </c>
      <c r="L182" s="1679">
        <f>IF((J182+J183+J184+J185)&lt;(F182+F183+F184+F185),(F182+F183+F184+F185)-(J182+J183+J184+J185),0)</f>
        <v>0</v>
      </c>
      <c r="M182" s="633" t="s">
        <v>2217</v>
      </c>
      <c r="N182" s="223"/>
      <c r="O182" s="631">
        <f t="shared" si="31"/>
        <v>0</v>
      </c>
    </row>
    <row r="183" spans="1:15" s="360" customFormat="1" ht="15" hidden="1">
      <c r="A183" s="356"/>
      <c r="B183" s="632" t="s">
        <v>2262</v>
      </c>
      <c r="C183" s="635"/>
      <c r="D183" s="354"/>
      <c r="E183" s="362"/>
      <c r="F183" s="353"/>
      <c r="G183" s="358">
        <f>'PART-A'!I1910</f>
        <v>0</v>
      </c>
      <c r="H183" s="354" t="s">
        <v>102</v>
      </c>
      <c r="I183" s="355">
        <f>'PART-A'!K1910</f>
        <v>489</v>
      </c>
      <c r="J183" s="353">
        <f>ROUND(G183*I183,0)</f>
        <v>0</v>
      </c>
      <c r="K183" s="1680"/>
      <c r="L183" s="1680"/>
      <c r="M183" s="633" t="s">
        <v>2299</v>
      </c>
      <c r="N183" s="223"/>
      <c r="O183" s="631">
        <f t="shared" si="31"/>
        <v>0</v>
      </c>
    </row>
    <row r="184" spans="1:15" s="360" customFormat="1" ht="15" hidden="1">
      <c r="A184" s="356"/>
      <c r="B184" s="632" t="s">
        <v>2262</v>
      </c>
      <c r="C184" s="635"/>
      <c r="D184" s="354"/>
      <c r="E184" s="362"/>
      <c r="F184" s="353"/>
      <c r="G184" s="358">
        <f>'PART-A'!I1917</f>
        <v>0</v>
      </c>
      <c r="H184" s="354" t="s">
        <v>102</v>
      </c>
      <c r="I184" s="355">
        <f>'PART-A'!K1917</f>
        <v>510</v>
      </c>
      <c r="J184" s="353">
        <f>ROUND(G184*I184,0)</f>
        <v>0</v>
      </c>
      <c r="K184" s="1680"/>
      <c r="L184" s="1680"/>
      <c r="M184" s="633" t="s">
        <v>2312</v>
      </c>
      <c r="N184" s="223"/>
      <c r="O184" s="631">
        <f t="shared" si="31"/>
        <v>0</v>
      </c>
    </row>
    <row r="185" spans="1:15" s="360" customFormat="1" ht="15" hidden="1">
      <c r="A185" s="356"/>
      <c r="B185" s="632" t="s">
        <v>2262</v>
      </c>
      <c r="C185" s="635"/>
      <c r="D185" s="354"/>
      <c r="E185" s="362"/>
      <c r="F185" s="353"/>
      <c r="G185" s="358">
        <f>'PART-A'!I1924</f>
        <v>0</v>
      </c>
      <c r="H185" s="354" t="s">
        <v>102</v>
      </c>
      <c r="I185" s="355">
        <f>'PART-A'!K1924</f>
        <v>610</v>
      </c>
      <c r="J185" s="353">
        <f>ROUND(G185*I185,0)</f>
        <v>0</v>
      </c>
      <c r="K185" s="1681"/>
      <c r="L185" s="1681"/>
      <c r="M185" s="633" t="s">
        <v>2313</v>
      </c>
      <c r="N185" s="223"/>
      <c r="O185" s="631">
        <f t="shared" si="31"/>
        <v>0</v>
      </c>
    </row>
    <row r="186" spans="1:15" s="360" customFormat="1" ht="51" hidden="1">
      <c r="A186" s="356" t="s">
        <v>490</v>
      </c>
      <c r="B186" s="632" t="s">
        <v>3202</v>
      </c>
      <c r="C186" s="568"/>
      <c r="D186" s="791" t="s">
        <v>102</v>
      </c>
      <c r="E186" s="10">
        <v>273.87</v>
      </c>
      <c r="F186" s="792">
        <f t="shared" ref="F186" si="39">ROUND(C186*E186,0)</f>
        <v>0</v>
      </c>
      <c r="G186" s="358">
        <f>'PART-A'!I1931</f>
        <v>0</v>
      </c>
      <c r="H186" s="354" t="s">
        <v>102</v>
      </c>
      <c r="I186" s="355">
        <f>'PART-A'!K1931</f>
        <v>288.70999999999998</v>
      </c>
      <c r="J186" s="353">
        <f t="shared" si="38"/>
        <v>0</v>
      </c>
      <c r="K186" s="1679">
        <f>IF((J186+J187+J188+J189)&gt;(F186+F187+F188+F189),(J186+J187+J188+J189)-(F186+F187+F188+F189),0)</f>
        <v>0</v>
      </c>
      <c r="L186" s="1679">
        <f>IF((J186+J187+J188+J189)&lt;(F186+F187+F188+F189),(F186+F187+F188+F189)-(J186+J187+J188+J189),0)</f>
        <v>0</v>
      </c>
      <c r="M186" s="851" t="s">
        <v>2217</v>
      </c>
      <c r="N186" s="223"/>
      <c r="O186" s="850">
        <f t="shared" si="31"/>
        <v>0</v>
      </c>
    </row>
    <row r="187" spans="1:15" s="360" customFormat="1" ht="15" hidden="1">
      <c r="A187" s="356"/>
      <c r="B187" s="632" t="s">
        <v>2263</v>
      </c>
      <c r="C187" s="635"/>
      <c r="D187" s="354"/>
      <c r="E187" s="362"/>
      <c r="F187" s="353"/>
      <c r="G187" s="358">
        <f>'PART-A'!I1938</f>
        <v>0</v>
      </c>
      <c r="H187" s="354" t="s">
        <v>102</v>
      </c>
      <c r="I187" s="355">
        <f>'PART-A'!K1938</f>
        <v>309.07</v>
      </c>
      <c r="J187" s="353">
        <f>ROUND(G187*I187,0)</f>
        <v>0</v>
      </c>
      <c r="K187" s="1680"/>
      <c r="L187" s="1680"/>
      <c r="M187" s="633" t="s">
        <v>2299</v>
      </c>
      <c r="N187" s="223"/>
      <c r="O187" s="631">
        <f t="shared" si="31"/>
        <v>0</v>
      </c>
    </row>
    <row r="188" spans="1:15" s="360" customFormat="1" ht="15" hidden="1">
      <c r="A188" s="356"/>
      <c r="B188" s="632" t="s">
        <v>2263</v>
      </c>
      <c r="C188" s="635"/>
      <c r="D188" s="354"/>
      <c r="E188" s="362"/>
      <c r="F188" s="353"/>
      <c r="G188" s="358">
        <f>'PART-A'!I1945</f>
        <v>0</v>
      </c>
      <c r="H188" s="354" t="s">
        <v>102</v>
      </c>
      <c r="I188" s="355">
        <f>'PART-A'!K1945</f>
        <v>325.58</v>
      </c>
      <c r="J188" s="353">
        <f>ROUND(G188*I188,0)</f>
        <v>0</v>
      </c>
      <c r="K188" s="1680"/>
      <c r="L188" s="1680"/>
      <c r="M188" s="633" t="s">
        <v>2312</v>
      </c>
      <c r="N188" s="223"/>
      <c r="O188" s="631">
        <f t="shared" si="31"/>
        <v>0</v>
      </c>
    </row>
    <row r="189" spans="1:15" s="360" customFormat="1" ht="15" hidden="1">
      <c r="A189" s="356"/>
      <c r="B189" s="632" t="s">
        <v>2263</v>
      </c>
      <c r="C189" s="635"/>
      <c r="D189" s="354"/>
      <c r="E189" s="362"/>
      <c r="F189" s="353"/>
      <c r="G189" s="358">
        <f>'PART-A'!I1952</f>
        <v>0</v>
      </c>
      <c r="H189" s="354" t="s">
        <v>102</v>
      </c>
      <c r="I189" s="355">
        <f>'PART-A'!K1952</f>
        <v>345.47</v>
      </c>
      <c r="J189" s="353">
        <f>ROUND(G189*I189,0)</f>
        <v>0</v>
      </c>
      <c r="K189" s="1681"/>
      <c r="L189" s="1681"/>
      <c r="M189" s="633" t="s">
        <v>2313</v>
      </c>
      <c r="N189" s="223"/>
      <c r="O189" s="631">
        <f t="shared" si="31"/>
        <v>0</v>
      </c>
    </row>
    <row r="190" spans="1:15" s="360" customFormat="1" ht="15" hidden="1">
      <c r="A190" s="356" t="s">
        <v>491</v>
      </c>
      <c r="B190" s="632" t="s">
        <v>959</v>
      </c>
      <c r="C190" s="635"/>
      <c r="D190" s="354"/>
      <c r="E190" s="362"/>
      <c r="F190" s="353"/>
      <c r="G190" s="358">
        <f>'PART-A'!I1959</f>
        <v>0</v>
      </c>
      <c r="H190" s="354" t="s">
        <v>102</v>
      </c>
      <c r="I190" s="355">
        <f>'PART-A'!K1959</f>
        <v>19.87</v>
      </c>
      <c r="J190" s="353">
        <f t="shared" si="38"/>
        <v>0</v>
      </c>
      <c r="K190" s="1679">
        <f>IF((J190+J191+J192+J193)&gt;(F190+F191+F192+F193),(J190+J191+J192+J193)-(F190+F191+F192+F193),0)</f>
        <v>0</v>
      </c>
      <c r="L190" s="1679">
        <f>IF((J190+J191+J192+J193)&lt;(F190+F191+F192+F193),(F190+F191+F192+F193)-(J190+J191+J192+J193),0)</f>
        <v>0</v>
      </c>
      <c r="M190" s="633" t="s">
        <v>2217</v>
      </c>
      <c r="N190" s="223"/>
      <c r="O190" s="631">
        <f t="shared" si="31"/>
        <v>0</v>
      </c>
    </row>
    <row r="191" spans="1:15" s="360" customFormat="1" ht="15" hidden="1">
      <c r="A191" s="356" t="s">
        <v>491</v>
      </c>
      <c r="B191" s="632" t="s">
        <v>959</v>
      </c>
      <c r="C191" s="635"/>
      <c r="D191" s="354"/>
      <c r="E191" s="362"/>
      <c r="F191" s="353"/>
      <c r="G191" s="358">
        <f>'PART-A'!I1966</f>
        <v>0</v>
      </c>
      <c r="H191" s="354" t="s">
        <v>102</v>
      </c>
      <c r="I191" s="355">
        <f>'PART-A'!K1966</f>
        <v>21.19</v>
      </c>
      <c r="J191" s="353">
        <f>ROUND(G191*I191,0)</f>
        <v>0</v>
      </c>
      <c r="K191" s="1680"/>
      <c r="L191" s="1680"/>
      <c r="M191" s="633" t="s">
        <v>2299</v>
      </c>
      <c r="N191" s="223"/>
      <c r="O191" s="631">
        <f t="shared" si="31"/>
        <v>0</v>
      </c>
    </row>
    <row r="192" spans="1:15" s="360" customFormat="1" ht="15" hidden="1">
      <c r="A192" s="356" t="s">
        <v>491</v>
      </c>
      <c r="B192" s="632" t="s">
        <v>959</v>
      </c>
      <c r="C192" s="635"/>
      <c r="D192" s="354"/>
      <c r="E192" s="362"/>
      <c r="F192" s="353"/>
      <c r="G192" s="358">
        <f>'PART-A'!I1973</f>
        <v>0</v>
      </c>
      <c r="H192" s="354" t="s">
        <v>102</v>
      </c>
      <c r="I192" s="355">
        <f>'PART-A'!K1973</f>
        <v>22.35</v>
      </c>
      <c r="J192" s="353">
        <f>ROUND(G192*I192,0)</f>
        <v>0</v>
      </c>
      <c r="K192" s="1680"/>
      <c r="L192" s="1680"/>
      <c r="M192" s="633" t="s">
        <v>2312</v>
      </c>
      <c r="N192" s="223"/>
      <c r="O192" s="631">
        <f t="shared" si="31"/>
        <v>0</v>
      </c>
    </row>
    <row r="193" spans="1:15" s="360" customFormat="1" ht="15" hidden="1">
      <c r="A193" s="356" t="s">
        <v>491</v>
      </c>
      <c r="B193" s="632" t="s">
        <v>959</v>
      </c>
      <c r="C193" s="635"/>
      <c r="D193" s="354"/>
      <c r="E193" s="362"/>
      <c r="F193" s="353"/>
      <c r="G193" s="358">
        <f>'PART-A'!I1980</f>
        <v>0</v>
      </c>
      <c r="H193" s="354" t="s">
        <v>102</v>
      </c>
      <c r="I193" s="355">
        <f>'PART-A'!K1980</f>
        <v>24.05</v>
      </c>
      <c r="J193" s="353">
        <f>ROUND(G193*I193,0)</f>
        <v>0</v>
      </c>
      <c r="K193" s="1681"/>
      <c r="L193" s="1681"/>
      <c r="M193" s="633" t="s">
        <v>2313</v>
      </c>
      <c r="N193" s="223"/>
      <c r="O193" s="631">
        <f t="shared" si="31"/>
        <v>0</v>
      </c>
    </row>
    <row r="194" spans="1:15" s="360" customFormat="1" ht="51" hidden="1">
      <c r="A194" s="356" t="s">
        <v>490</v>
      </c>
      <c r="B194" s="632" t="s">
        <v>3203</v>
      </c>
      <c r="C194" s="568"/>
      <c r="D194" s="791"/>
      <c r="E194" s="567"/>
      <c r="F194" s="792">
        <f t="shared" ref="F194" si="40">ROUND(C194*E194,0)</f>
        <v>0</v>
      </c>
      <c r="G194" s="358">
        <f>'PART-A'!I2004</f>
        <v>0</v>
      </c>
      <c r="H194" s="354" t="s">
        <v>102</v>
      </c>
      <c r="I194" s="355">
        <f>'PART-A'!K2004</f>
        <v>148.07</v>
      </c>
      <c r="J194" s="353">
        <f t="shared" si="38"/>
        <v>0</v>
      </c>
      <c r="K194" s="1679">
        <f>IF((J194+J195+J196+J197)&gt;(F194+F195+F196+F197),(J194+J195+J196+J197)-(F194+F195+F196+F197),0)</f>
        <v>43290</v>
      </c>
      <c r="L194" s="1679">
        <f>IF((J194+J195+J196+J197)&lt;(F194+F195+F196+F197),(F194+F195+F196+F197)-(J194+J195+J196+J197),0)</f>
        <v>0</v>
      </c>
      <c r="M194" s="851" t="s">
        <v>2217</v>
      </c>
      <c r="N194" s="223"/>
      <c r="O194" s="850">
        <f t="shared" si="31"/>
        <v>0</v>
      </c>
    </row>
    <row r="195" spans="1:15" s="1157" customFormat="1" ht="15" hidden="1">
      <c r="A195" s="1146" t="s">
        <v>498</v>
      </c>
      <c r="B195" s="1147" t="s">
        <v>960</v>
      </c>
      <c r="C195" s="1162"/>
      <c r="D195" s="1148"/>
      <c r="E195" s="1163"/>
      <c r="F195" s="1153"/>
      <c r="G195" s="1151">
        <f>'PART-A'!I2033</f>
        <v>0</v>
      </c>
      <c r="H195" s="1148" t="s">
        <v>102</v>
      </c>
      <c r="I195" s="1152">
        <f>'PART-A'!K2033</f>
        <v>155.29</v>
      </c>
      <c r="J195" s="1153">
        <f>ROUND(G195*I195,0)</f>
        <v>0</v>
      </c>
      <c r="K195" s="1680"/>
      <c r="L195" s="1680"/>
      <c r="M195" s="1159" t="s">
        <v>2299</v>
      </c>
      <c r="N195" s="1155"/>
      <c r="O195" s="1160">
        <f t="shared" si="31"/>
        <v>0</v>
      </c>
    </row>
    <row r="196" spans="1:15" s="360" customFormat="1" ht="15" hidden="1">
      <c r="A196" s="356" t="s">
        <v>1518</v>
      </c>
      <c r="B196" s="632" t="s">
        <v>960</v>
      </c>
      <c r="C196" s="635"/>
      <c r="D196" s="354"/>
      <c r="E196" s="362"/>
      <c r="F196" s="353"/>
      <c r="G196" s="358">
        <f>'PART-A'!I2054</f>
        <v>0</v>
      </c>
      <c r="H196" s="354" t="s">
        <v>102</v>
      </c>
      <c r="I196" s="355">
        <f>'PART-A'!K2054</f>
        <v>160.76</v>
      </c>
      <c r="J196" s="353">
        <f>ROUND(G196*I196,0)</f>
        <v>0</v>
      </c>
      <c r="K196" s="1680"/>
      <c r="L196" s="1680"/>
      <c r="M196" s="633" t="s">
        <v>2312</v>
      </c>
      <c r="N196" s="223"/>
      <c r="O196" s="631">
        <f t="shared" si="31"/>
        <v>0</v>
      </c>
    </row>
    <row r="197" spans="1:15" s="1157" customFormat="1" ht="51">
      <c r="A197" s="1146" t="s">
        <v>489</v>
      </c>
      <c r="B197" s="1147" t="s">
        <v>3203</v>
      </c>
      <c r="C197" s="1162"/>
      <c r="D197" s="1148"/>
      <c r="E197" s="1163"/>
      <c r="F197" s="1153"/>
      <c r="G197" s="1151">
        <f>'PART-A'!I2078</f>
        <v>249.18000000000006</v>
      </c>
      <c r="H197" s="1148" t="s">
        <v>102</v>
      </c>
      <c r="I197" s="1152">
        <f>'PART-A'!K2078</f>
        <v>173.73</v>
      </c>
      <c r="J197" s="1153">
        <f>ROUND(G197*I197,0)</f>
        <v>43290</v>
      </c>
      <c r="K197" s="1681"/>
      <c r="L197" s="1681"/>
      <c r="M197" s="1154" t="s">
        <v>2313</v>
      </c>
      <c r="N197" s="1155"/>
      <c r="O197" s="1156">
        <f t="shared" si="31"/>
        <v>-43290</v>
      </c>
    </row>
    <row r="198" spans="1:15" s="360" customFormat="1" ht="51" hidden="1">
      <c r="A198" s="356" t="s">
        <v>491</v>
      </c>
      <c r="B198" s="632" t="s">
        <v>3204</v>
      </c>
      <c r="C198" s="634"/>
      <c r="D198" s="354"/>
      <c r="E198" s="10"/>
      <c r="F198" s="792">
        <f t="shared" ref="F198" si="41">ROUND(C198*E198,0)</f>
        <v>0</v>
      </c>
      <c r="G198" s="358">
        <f>'PART-A'!I2111</f>
        <v>0</v>
      </c>
      <c r="H198" s="354" t="s">
        <v>102</v>
      </c>
      <c r="I198" s="355">
        <f>'PART-A'!K2111</f>
        <v>122.02</v>
      </c>
      <c r="J198" s="353">
        <f t="shared" si="38"/>
        <v>0</v>
      </c>
      <c r="K198" s="1679">
        <f>IF((J198+J199+J200+J201)&gt;(F198+F199+F200+F201),(J198+J199+J200+J201)-(F198+F199+F200+F201),0)</f>
        <v>0</v>
      </c>
      <c r="L198" s="1679">
        <f>IF((J198+J199+J200+J201)&lt;(F198+F199+F200+F201),(F198+F199+F200+F201)-(J198+J199+J200+J201),0)</f>
        <v>0</v>
      </c>
      <c r="M198" s="851" t="s">
        <v>2217</v>
      </c>
      <c r="N198" s="223"/>
      <c r="O198" s="850">
        <f t="shared" si="31"/>
        <v>0</v>
      </c>
    </row>
    <row r="199" spans="1:15" s="1157" customFormat="1" ht="15" hidden="1">
      <c r="A199" s="1146" t="s">
        <v>499</v>
      </c>
      <c r="B199" s="1147" t="s">
        <v>1165</v>
      </c>
      <c r="C199" s="1158"/>
      <c r="D199" s="1148"/>
      <c r="E199" s="922"/>
      <c r="F199" s="1153"/>
      <c r="G199" s="1151">
        <f>'PART-A'!I2147</f>
        <v>0</v>
      </c>
      <c r="H199" s="1148" t="s">
        <v>102</v>
      </c>
      <c r="I199" s="1152">
        <f>'PART-A'!K2147</f>
        <v>129.35</v>
      </c>
      <c r="J199" s="1153">
        <f>ROUND(G199*I199,0)</f>
        <v>0</v>
      </c>
      <c r="K199" s="1680"/>
      <c r="L199" s="1680"/>
      <c r="M199" s="1159" t="s">
        <v>2299</v>
      </c>
      <c r="N199" s="1155"/>
      <c r="O199" s="1160">
        <f t="shared" si="31"/>
        <v>0</v>
      </c>
    </row>
    <row r="200" spans="1:15" s="360" customFormat="1" ht="15" hidden="1">
      <c r="A200" s="356" t="s">
        <v>1519</v>
      </c>
      <c r="B200" s="632" t="s">
        <v>1165</v>
      </c>
      <c r="C200" s="634"/>
      <c r="D200" s="354"/>
      <c r="E200" s="10"/>
      <c r="F200" s="353"/>
      <c r="G200" s="358">
        <f>'PART-A'!I2207</f>
        <v>0</v>
      </c>
      <c r="H200" s="354" t="s">
        <v>102</v>
      </c>
      <c r="I200" s="355">
        <f>'PART-A'!K2207</f>
        <v>134.97</v>
      </c>
      <c r="J200" s="353">
        <f>ROUND(G200*I200,0)</f>
        <v>0</v>
      </c>
      <c r="K200" s="1680"/>
      <c r="L200" s="1680"/>
      <c r="M200" s="633" t="s">
        <v>2312</v>
      </c>
      <c r="N200" s="223"/>
      <c r="O200" s="631">
        <f t="shared" si="31"/>
        <v>0</v>
      </c>
    </row>
    <row r="201" spans="1:15" s="1157" customFormat="1" ht="51" hidden="1">
      <c r="A201" s="1146" t="s">
        <v>491</v>
      </c>
      <c r="B201" s="1147" t="s">
        <v>3204</v>
      </c>
      <c r="C201" s="1158"/>
      <c r="D201" s="1148"/>
      <c r="E201" s="922"/>
      <c r="F201" s="1153"/>
      <c r="G201" s="1151">
        <f>'PART-A'!I2240</f>
        <v>0</v>
      </c>
      <c r="H201" s="1148" t="s">
        <v>102</v>
      </c>
      <c r="I201" s="1152">
        <f>'PART-A'!K2240</f>
        <v>146.82</v>
      </c>
      <c r="J201" s="1153">
        <f>ROUND(G201*I201,0)</f>
        <v>0</v>
      </c>
      <c r="K201" s="1681"/>
      <c r="L201" s="1681"/>
      <c r="M201" s="1154" t="s">
        <v>2313</v>
      </c>
      <c r="N201" s="1155"/>
      <c r="O201" s="1156">
        <f t="shared" si="31"/>
        <v>0</v>
      </c>
    </row>
    <row r="202" spans="1:15" s="360" customFormat="1" ht="51" hidden="1">
      <c r="A202" s="356" t="s">
        <v>1514</v>
      </c>
      <c r="B202" s="632" t="s">
        <v>3205</v>
      </c>
      <c r="C202" s="634"/>
      <c r="D202" s="354"/>
      <c r="E202" s="10"/>
      <c r="F202" s="792">
        <f t="shared" ref="F202" si="42">ROUND(C202*E202,0)</f>
        <v>0</v>
      </c>
      <c r="G202" s="358">
        <f>'PART-A'!I2251</f>
        <v>0</v>
      </c>
      <c r="H202" s="354" t="s">
        <v>102</v>
      </c>
      <c r="I202" s="355">
        <f>'PART-A'!K2251</f>
        <v>166.22</v>
      </c>
      <c r="J202" s="353">
        <f t="shared" si="38"/>
        <v>0</v>
      </c>
      <c r="K202" s="1679">
        <f>IF((J202+J203+J204+J205)&gt;(F202+F203+F204+F205),(J202+J203+J204+J205)-(F202+F203+F204+F205),0)</f>
        <v>0</v>
      </c>
      <c r="L202" s="1679">
        <f>IF((J202+J203+J204+J205)&lt;(F202+F203+F204+F205),(F202+F203+F204+F205)-(J202+J203+J204+J205),0)</f>
        <v>0</v>
      </c>
      <c r="M202" s="851" t="s">
        <v>2217</v>
      </c>
      <c r="N202" s="223"/>
      <c r="O202" s="850">
        <f t="shared" si="31"/>
        <v>0</v>
      </c>
    </row>
    <row r="203" spans="1:15" s="1157" customFormat="1" ht="15" hidden="1">
      <c r="A203" s="1146" t="s">
        <v>500</v>
      </c>
      <c r="B203" s="1147" t="s">
        <v>1166</v>
      </c>
      <c r="C203" s="1158"/>
      <c r="D203" s="1148"/>
      <c r="E203" s="922"/>
      <c r="F203" s="1153"/>
      <c r="G203" s="1151">
        <f>'PART-A'!I2262</f>
        <v>0</v>
      </c>
      <c r="H203" s="1148" t="s">
        <v>102</v>
      </c>
      <c r="I203" s="1152">
        <f>'PART-A'!K2262</f>
        <v>177.63</v>
      </c>
      <c r="J203" s="1153">
        <f>ROUND(G203*I203,0)</f>
        <v>0</v>
      </c>
      <c r="K203" s="1680"/>
      <c r="L203" s="1680"/>
      <c r="M203" s="1159" t="s">
        <v>2299</v>
      </c>
      <c r="N203" s="1155"/>
      <c r="O203" s="1160">
        <f t="shared" ref="O203:O267" si="43">F203-J203</f>
        <v>0</v>
      </c>
    </row>
    <row r="204" spans="1:15" s="360" customFormat="1" ht="15" hidden="1">
      <c r="A204" s="356" t="s">
        <v>1518</v>
      </c>
      <c r="B204" s="632" t="s">
        <v>1166</v>
      </c>
      <c r="C204" s="634"/>
      <c r="D204" s="354"/>
      <c r="E204" s="10"/>
      <c r="F204" s="353"/>
      <c r="G204" s="358">
        <f>'PART-A'!I2292</f>
        <v>0</v>
      </c>
      <c r="H204" s="354" t="s">
        <v>102</v>
      </c>
      <c r="I204" s="355">
        <f>'PART-A'!K2292</f>
        <v>186.27</v>
      </c>
      <c r="J204" s="353">
        <f>ROUND(G204*I204,0)</f>
        <v>0</v>
      </c>
      <c r="K204" s="1680"/>
      <c r="L204" s="1680"/>
      <c r="M204" s="633" t="s">
        <v>2312</v>
      </c>
      <c r="N204" s="223"/>
      <c r="O204" s="631">
        <f t="shared" si="43"/>
        <v>0</v>
      </c>
    </row>
    <row r="205" spans="1:15" s="360" customFormat="1" ht="51" hidden="1">
      <c r="A205" s="356" t="s">
        <v>502</v>
      </c>
      <c r="B205" s="632" t="s">
        <v>3205</v>
      </c>
      <c r="C205" s="634"/>
      <c r="D205" s="354"/>
      <c r="E205" s="10"/>
      <c r="F205" s="353"/>
      <c r="G205" s="358">
        <f>'PART-A'!I2317</f>
        <v>0</v>
      </c>
      <c r="H205" s="354" t="s">
        <v>102</v>
      </c>
      <c r="I205" s="355">
        <f>'PART-A'!K2317</f>
        <v>200.84</v>
      </c>
      <c r="J205" s="353">
        <f>ROUND(G205*I205,0)</f>
        <v>0</v>
      </c>
      <c r="K205" s="1681"/>
      <c r="L205" s="1681"/>
      <c r="M205" s="851" t="s">
        <v>2313</v>
      </c>
      <c r="N205" s="223"/>
      <c r="O205" s="850">
        <f t="shared" si="43"/>
        <v>0</v>
      </c>
    </row>
    <row r="206" spans="1:15" s="360" customFormat="1" ht="25.5" hidden="1">
      <c r="A206" s="356" t="s">
        <v>491</v>
      </c>
      <c r="B206" s="632" t="s">
        <v>1223</v>
      </c>
      <c r="C206" s="635"/>
      <c r="D206" s="354"/>
      <c r="E206" s="362"/>
      <c r="F206" s="353"/>
      <c r="G206" s="358">
        <f>'PART-A'!I2373</f>
        <v>0</v>
      </c>
      <c r="H206" s="354" t="s">
        <v>102</v>
      </c>
      <c r="I206" s="355">
        <f>'PART-A'!K2373</f>
        <v>786.87</v>
      </c>
      <c r="J206" s="353">
        <f t="shared" si="38"/>
        <v>0</v>
      </c>
      <c r="K206" s="1679">
        <f>IF((J206+J207+J208+J209)&gt;(F206+F207+F208+F209),(J206+J207+J208+J209)-(F206+F207+F208+F209),0)</f>
        <v>0</v>
      </c>
      <c r="L206" s="1679">
        <f>IF((J206+J207+J208+J209)&lt;(F206+F207+F208+F209),(F206+F207+F208+F209)-(J206+J207+J208+J209),0)</f>
        <v>0</v>
      </c>
      <c r="M206" s="633" t="s">
        <v>2217</v>
      </c>
      <c r="N206" s="223"/>
      <c r="O206" s="631">
        <f t="shared" si="43"/>
        <v>0</v>
      </c>
    </row>
    <row r="207" spans="1:15" s="360" customFormat="1" ht="25.5" hidden="1">
      <c r="A207" s="356" t="s">
        <v>491</v>
      </c>
      <c r="B207" s="632" t="s">
        <v>1223</v>
      </c>
      <c r="C207" s="635"/>
      <c r="D207" s="354"/>
      <c r="E207" s="362"/>
      <c r="F207" s="353"/>
      <c r="G207" s="358">
        <f>'PART-A'!I2378</f>
        <v>0</v>
      </c>
      <c r="H207" s="354" t="s">
        <v>102</v>
      </c>
      <c r="I207" s="355">
        <f>'PART-A'!K2378</f>
        <v>849.67000000000007</v>
      </c>
      <c r="J207" s="353">
        <f>ROUND(G207*I207,0)</f>
        <v>0</v>
      </c>
      <c r="K207" s="1680"/>
      <c r="L207" s="1680"/>
      <c r="M207" s="633" t="s">
        <v>2299</v>
      </c>
      <c r="N207" s="223"/>
      <c r="O207" s="631">
        <f t="shared" si="43"/>
        <v>0</v>
      </c>
    </row>
    <row r="208" spans="1:15" s="360" customFormat="1" ht="25.5" hidden="1">
      <c r="A208" s="356" t="s">
        <v>491</v>
      </c>
      <c r="B208" s="632" t="s">
        <v>1223</v>
      </c>
      <c r="C208" s="635"/>
      <c r="D208" s="354"/>
      <c r="E208" s="362"/>
      <c r="F208" s="353"/>
      <c r="G208" s="358">
        <f>'PART-A'!I2383</f>
        <v>0</v>
      </c>
      <c r="H208" s="354" t="s">
        <v>102</v>
      </c>
      <c r="I208" s="355">
        <f>'PART-A'!K2383</f>
        <v>897.27</v>
      </c>
      <c r="J208" s="353">
        <f>ROUND(G208*I208,0)</f>
        <v>0</v>
      </c>
      <c r="K208" s="1680"/>
      <c r="L208" s="1680"/>
      <c r="M208" s="633" t="s">
        <v>2312</v>
      </c>
      <c r="N208" s="223"/>
      <c r="O208" s="631">
        <f t="shared" si="43"/>
        <v>0</v>
      </c>
    </row>
    <row r="209" spans="1:15" s="360" customFormat="1" ht="25.5" hidden="1">
      <c r="A209" s="356" t="s">
        <v>491</v>
      </c>
      <c r="B209" s="632" t="s">
        <v>1223</v>
      </c>
      <c r="C209" s="635"/>
      <c r="D209" s="354"/>
      <c r="E209" s="362"/>
      <c r="F209" s="353"/>
      <c r="G209" s="358">
        <f>'PART-A'!I2388</f>
        <v>0</v>
      </c>
      <c r="H209" s="354" t="s">
        <v>102</v>
      </c>
      <c r="I209" s="355">
        <f>'PART-A'!K2388</f>
        <v>968.78</v>
      </c>
      <c r="J209" s="353">
        <f>ROUND(G209*I209,0)</f>
        <v>0</v>
      </c>
      <c r="K209" s="1681"/>
      <c r="L209" s="1681"/>
      <c r="M209" s="633" t="s">
        <v>2313</v>
      </c>
      <c r="N209" s="223"/>
      <c r="O209" s="631">
        <f t="shared" si="43"/>
        <v>0</v>
      </c>
    </row>
    <row r="210" spans="1:15" s="360" customFormat="1" ht="51" hidden="1">
      <c r="A210" s="356" t="s">
        <v>1515</v>
      </c>
      <c r="B210" s="632" t="s">
        <v>3206</v>
      </c>
      <c r="C210" s="825"/>
      <c r="D210" s="794" t="s">
        <v>102</v>
      </c>
      <c r="E210" s="567">
        <v>51205</v>
      </c>
      <c r="F210" s="792">
        <f>ROUND(C210*E210/1000,0)</f>
        <v>0</v>
      </c>
      <c r="G210" s="429">
        <f>'PART-A'!I2393</f>
        <v>0</v>
      </c>
      <c r="H210" s="221" t="s">
        <v>102</v>
      </c>
      <c r="I210" s="430">
        <f>'PART-A'!K2393</f>
        <v>3198</v>
      </c>
      <c r="J210" s="353">
        <f t="shared" si="38"/>
        <v>0</v>
      </c>
      <c r="K210" s="1679">
        <f>IF((J210+J211+J212+J213)&gt;(F210+F211+F212+F213),(J210+J211+J212+J213)-(F210+F211+F212+F213),0)</f>
        <v>0</v>
      </c>
      <c r="L210" s="1679">
        <f>IF((J210+J211+J212+J213)&lt;(F210+F211+F212+F213),(F210+F211+F212+F213)-(J210+J211+J212+J213),0)</f>
        <v>0</v>
      </c>
      <c r="M210" s="851" t="s">
        <v>2217</v>
      </c>
      <c r="N210" s="223"/>
      <c r="O210" s="850">
        <f t="shared" si="43"/>
        <v>0</v>
      </c>
    </row>
    <row r="211" spans="1:15" s="360" customFormat="1" ht="25.5" hidden="1">
      <c r="A211" s="356" t="s">
        <v>500</v>
      </c>
      <c r="B211" s="632" t="s">
        <v>706</v>
      </c>
      <c r="C211" s="551"/>
      <c r="D211" s="221"/>
      <c r="E211" s="10"/>
      <c r="F211" s="353"/>
      <c r="G211" s="429">
        <f>'PART-A'!I2398</f>
        <v>0</v>
      </c>
      <c r="H211" s="221" t="s">
        <v>102</v>
      </c>
      <c r="I211" s="430">
        <f>'PART-A'!K2398</f>
        <v>3198</v>
      </c>
      <c r="J211" s="353">
        <f>ROUND(G211*I211,0)</f>
        <v>0</v>
      </c>
      <c r="K211" s="1680"/>
      <c r="L211" s="1680"/>
      <c r="M211" s="633" t="s">
        <v>2299</v>
      </c>
      <c r="N211" s="223"/>
      <c r="O211" s="631">
        <f t="shared" si="43"/>
        <v>0</v>
      </c>
    </row>
    <row r="212" spans="1:15" s="360" customFormat="1" ht="25.5" hidden="1">
      <c r="A212" s="356" t="s">
        <v>497</v>
      </c>
      <c r="B212" s="632" t="s">
        <v>706</v>
      </c>
      <c r="C212" s="551"/>
      <c r="D212" s="221"/>
      <c r="E212" s="10"/>
      <c r="F212" s="353"/>
      <c r="G212" s="429">
        <f>'PART-A'!I2403</f>
        <v>0</v>
      </c>
      <c r="H212" s="221" t="s">
        <v>102</v>
      </c>
      <c r="I212" s="430">
        <f>'PART-A'!K2403</f>
        <v>3500</v>
      </c>
      <c r="J212" s="353">
        <f>ROUND(G212*I212,0)</f>
        <v>0</v>
      </c>
      <c r="K212" s="1680"/>
      <c r="L212" s="1680"/>
      <c r="M212" s="633" t="s">
        <v>2312</v>
      </c>
      <c r="N212" s="223"/>
      <c r="O212" s="631">
        <f t="shared" si="43"/>
        <v>0</v>
      </c>
    </row>
    <row r="213" spans="1:15" s="360" customFormat="1" ht="51" hidden="1">
      <c r="A213" s="356" t="s">
        <v>1516</v>
      </c>
      <c r="B213" s="632" t="s">
        <v>3206</v>
      </c>
      <c r="C213" s="551"/>
      <c r="D213" s="221"/>
      <c r="E213" s="10"/>
      <c r="F213" s="353"/>
      <c r="G213" s="429">
        <f>'PART-A'!I2408</f>
        <v>0</v>
      </c>
      <c r="H213" s="221" t="s">
        <v>102</v>
      </c>
      <c r="I213" s="430">
        <f>'PART-A'!K2408</f>
        <v>4025</v>
      </c>
      <c r="J213" s="353">
        <f>ROUND(G213*I213,0)</f>
        <v>0</v>
      </c>
      <c r="K213" s="1681"/>
      <c r="L213" s="1681"/>
      <c r="M213" s="851" t="s">
        <v>2313</v>
      </c>
      <c r="N213" s="223"/>
      <c r="O213" s="850">
        <f t="shared" si="43"/>
        <v>0</v>
      </c>
    </row>
    <row r="214" spans="1:15" s="360" customFormat="1" ht="38.25" hidden="1">
      <c r="A214" s="356" t="s">
        <v>1517</v>
      </c>
      <c r="B214" s="632" t="s">
        <v>3207</v>
      </c>
      <c r="C214" s="825"/>
      <c r="D214" s="791" t="s">
        <v>102</v>
      </c>
      <c r="E214" s="567">
        <v>133.91999999999999</v>
      </c>
      <c r="F214" s="792">
        <f t="shared" ref="F214" si="44">ROUND(C214*E214,0)</f>
        <v>0</v>
      </c>
      <c r="G214" s="358">
        <f>'PART-A'!I2323</f>
        <v>0</v>
      </c>
      <c r="H214" s="354" t="s">
        <v>102</v>
      </c>
      <c r="I214" s="355">
        <f>'PART-A'!K2323</f>
        <v>172.75</v>
      </c>
      <c r="J214" s="353">
        <f t="shared" ref="J214:J218" si="45">ROUND(G214*I214,0)</f>
        <v>0</v>
      </c>
      <c r="K214" s="1679">
        <f>IF((J214+J215+J216+J217)&gt;(F214+F215+F216+F217),(J214+J215+J216+J217)-(F214+F215+F216+F217),0)</f>
        <v>0</v>
      </c>
      <c r="L214" s="1679">
        <f>IF((J214+J215+J216+J217)&lt;(F214+F215+F216+F217),(F214+F215+F216+F217)-(J214+J215+J216+J217),0)</f>
        <v>0</v>
      </c>
      <c r="M214" s="851" t="s">
        <v>2217</v>
      </c>
      <c r="N214" s="223"/>
      <c r="O214" s="850">
        <f t="shared" si="43"/>
        <v>0</v>
      </c>
    </row>
    <row r="215" spans="1:15" s="360" customFormat="1" ht="25.5" hidden="1">
      <c r="A215" s="356" t="s">
        <v>492</v>
      </c>
      <c r="B215" s="632" t="s">
        <v>961</v>
      </c>
      <c r="C215" s="551"/>
      <c r="D215" s="354"/>
      <c r="E215" s="10"/>
      <c r="F215" s="353"/>
      <c r="G215" s="358">
        <f>'PART-A'!I2333</f>
        <v>0</v>
      </c>
      <c r="H215" s="354" t="s">
        <v>102</v>
      </c>
      <c r="I215" s="355">
        <f>'PART-A'!K2333</f>
        <v>132.55000000000001</v>
      </c>
      <c r="J215" s="353">
        <f>ROUND(G215*I215,0)</f>
        <v>0</v>
      </c>
      <c r="K215" s="1680"/>
      <c r="L215" s="1680"/>
      <c r="M215" s="633" t="s">
        <v>2299</v>
      </c>
      <c r="N215" s="223"/>
      <c r="O215" s="631">
        <f t="shared" si="43"/>
        <v>0</v>
      </c>
    </row>
    <row r="216" spans="1:15" s="360" customFormat="1" ht="25.5" hidden="1">
      <c r="A216" s="356" t="s">
        <v>492</v>
      </c>
      <c r="B216" s="632" t="s">
        <v>961</v>
      </c>
      <c r="C216" s="551"/>
      <c r="D216" s="354"/>
      <c r="E216" s="10"/>
      <c r="F216" s="353"/>
      <c r="G216" s="358">
        <f>'PART-A'!I2339</f>
        <v>0</v>
      </c>
      <c r="H216" s="354" t="s">
        <v>102</v>
      </c>
      <c r="I216" s="355">
        <f>'PART-A'!K2339</f>
        <v>137.6</v>
      </c>
      <c r="J216" s="353">
        <f>ROUND(G216*I216,0)</f>
        <v>0</v>
      </c>
      <c r="K216" s="1680"/>
      <c r="L216" s="1680"/>
      <c r="M216" s="633" t="s">
        <v>2312</v>
      </c>
      <c r="N216" s="223"/>
      <c r="O216" s="631">
        <f t="shared" si="43"/>
        <v>0</v>
      </c>
    </row>
    <row r="217" spans="1:15" s="360" customFormat="1" ht="25.5" hidden="1">
      <c r="A217" s="356" t="s">
        <v>503</v>
      </c>
      <c r="B217" s="632" t="s">
        <v>961</v>
      </c>
      <c r="C217" s="551"/>
      <c r="D217" s="354"/>
      <c r="E217" s="10"/>
      <c r="F217" s="353"/>
      <c r="G217" s="358">
        <f>'PART-A'!I2344</f>
        <v>0</v>
      </c>
      <c r="H217" s="354" t="s">
        <v>102</v>
      </c>
      <c r="I217" s="355">
        <f>'PART-A'!K2344</f>
        <v>149.86000000000001</v>
      </c>
      <c r="J217" s="353">
        <f>ROUND(G217*I217,0)</f>
        <v>0</v>
      </c>
      <c r="K217" s="1681"/>
      <c r="L217" s="1681"/>
      <c r="M217" s="633" t="s">
        <v>2313</v>
      </c>
      <c r="N217" s="223"/>
      <c r="O217" s="631">
        <f t="shared" si="43"/>
        <v>0</v>
      </c>
    </row>
    <row r="218" spans="1:15" s="360" customFormat="1" ht="15" hidden="1">
      <c r="A218" s="356"/>
      <c r="B218" s="632" t="s">
        <v>2268</v>
      </c>
      <c r="C218" s="551"/>
      <c r="D218" s="354"/>
      <c r="E218" s="10"/>
      <c r="F218" s="353"/>
      <c r="G218" s="358">
        <f>'PART-A'!I2350</f>
        <v>0</v>
      </c>
      <c r="H218" s="354" t="s">
        <v>102</v>
      </c>
      <c r="I218" s="355">
        <f>'PART-A'!K2350</f>
        <v>630</v>
      </c>
      <c r="J218" s="353">
        <f t="shared" si="45"/>
        <v>0</v>
      </c>
      <c r="K218" s="1679">
        <f>IF((J218+J219+J220+J221)&gt;(F218+F219+F220+F221),(J218+J219+J220+J221)-(F218+F219+F220+F221),0)</f>
        <v>0</v>
      </c>
      <c r="L218" s="1679">
        <f>IF((J218+J219+J220+J221)&lt;(F218+F219+F220+F221),(F218+F219+F220+F221)-(J218+J219+J220+J221),0)</f>
        <v>0</v>
      </c>
      <c r="M218" s="633" t="s">
        <v>2217</v>
      </c>
      <c r="N218" s="223"/>
      <c r="O218" s="631">
        <f t="shared" si="43"/>
        <v>0</v>
      </c>
    </row>
    <row r="219" spans="1:15" s="360" customFormat="1" ht="15" hidden="1">
      <c r="A219" s="356"/>
      <c r="B219" s="632" t="s">
        <v>2268</v>
      </c>
      <c r="C219" s="551"/>
      <c r="D219" s="354"/>
      <c r="E219" s="10"/>
      <c r="F219" s="353"/>
      <c r="G219" s="358">
        <f>'PART-A'!I2356</f>
        <v>0</v>
      </c>
      <c r="H219" s="354" t="s">
        <v>102</v>
      </c>
      <c r="I219" s="355">
        <f>'PART-A'!K2356</f>
        <v>630</v>
      </c>
      <c r="J219" s="353">
        <f t="shared" ref="J219:J235" si="46">ROUND(G219*I219,0)</f>
        <v>0</v>
      </c>
      <c r="K219" s="1680"/>
      <c r="L219" s="1680"/>
      <c r="M219" s="633" t="s">
        <v>2299</v>
      </c>
      <c r="N219" s="223"/>
      <c r="O219" s="631">
        <f t="shared" si="43"/>
        <v>0</v>
      </c>
    </row>
    <row r="220" spans="1:15" s="360" customFormat="1" ht="15" hidden="1">
      <c r="A220" s="356"/>
      <c r="B220" s="632" t="s">
        <v>2268</v>
      </c>
      <c r="C220" s="551"/>
      <c r="D220" s="354"/>
      <c r="E220" s="10"/>
      <c r="F220" s="353"/>
      <c r="G220" s="358">
        <f>'PART-A'!I2362</f>
        <v>0</v>
      </c>
      <c r="H220" s="354" t="s">
        <v>102</v>
      </c>
      <c r="I220" s="355">
        <f>'PART-A'!K2362</f>
        <v>630</v>
      </c>
      <c r="J220" s="353">
        <f>ROUND(G220*I220,0)</f>
        <v>0</v>
      </c>
      <c r="K220" s="1680"/>
      <c r="L220" s="1680"/>
      <c r="M220" s="633" t="s">
        <v>2312</v>
      </c>
      <c r="N220" s="223"/>
      <c r="O220" s="631">
        <f t="shared" si="43"/>
        <v>0</v>
      </c>
    </row>
    <row r="221" spans="1:15" s="360" customFormat="1" ht="15" hidden="1">
      <c r="A221" s="356" t="s">
        <v>501</v>
      </c>
      <c r="B221" s="632" t="s">
        <v>2268</v>
      </c>
      <c r="C221" s="551"/>
      <c r="D221" s="354"/>
      <c r="E221" s="10"/>
      <c r="F221" s="353"/>
      <c r="G221" s="358">
        <f>'PART-A'!I2368</f>
        <v>0</v>
      </c>
      <c r="H221" s="354" t="s">
        <v>102</v>
      </c>
      <c r="I221" s="355">
        <f>'PART-A'!K2368</f>
        <v>630</v>
      </c>
      <c r="J221" s="353">
        <f>ROUND(G221*I221,0)</f>
        <v>0</v>
      </c>
      <c r="K221" s="1681"/>
      <c r="L221" s="1681"/>
      <c r="M221" s="633" t="s">
        <v>2313</v>
      </c>
      <c r="N221" s="223"/>
      <c r="O221" s="631">
        <f t="shared" si="43"/>
        <v>0</v>
      </c>
    </row>
    <row r="222" spans="1:15" s="360" customFormat="1" ht="15" hidden="1">
      <c r="A222" s="356" t="s">
        <v>492</v>
      </c>
      <c r="B222" s="632" t="s">
        <v>1481</v>
      </c>
      <c r="C222" s="611"/>
      <c r="D222" s="354"/>
      <c r="E222" s="607"/>
      <c r="F222" s="353"/>
      <c r="G222" s="358">
        <f>'PART-A'!I2413</f>
        <v>0</v>
      </c>
      <c r="H222" s="354" t="s">
        <v>115</v>
      </c>
      <c r="I222" s="355">
        <f>'PART-A'!K2413</f>
        <v>666.66</v>
      </c>
      <c r="J222" s="353">
        <f t="shared" si="46"/>
        <v>0</v>
      </c>
      <c r="K222" s="1679">
        <f>IF((J222+J223+J224+J225)&gt;(F222+F223+F224+F225),(J222+J223+J224+J225)-(F222+F223+F224+F225),0)</f>
        <v>0</v>
      </c>
      <c r="L222" s="1679">
        <f>IF((J222+J223+J224+J225)&lt;(F222+F223+F224+F225),(F222+F223+F224+F225)-(J222+J223+J224+J225),0)</f>
        <v>0</v>
      </c>
      <c r="M222" s="633" t="s">
        <v>2217</v>
      </c>
      <c r="N222" s="223"/>
      <c r="O222" s="631">
        <f t="shared" si="43"/>
        <v>0</v>
      </c>
    </row>
    <row r="223" spans="1:15" s="360" customFormat="1" ht="15" hidden="1">
      <c r="A223" s="356" t="s">
        <v>492</v>
      </c>
      <c r="B223" s="632" t="s">
        <v>1481</v>
      </c>
      <c r="C223" s="611"/>
      <c r="D223" s="354"/>
      <c r="E223" s="607"/>
      <c r="F223" s="353"/>
      <c r="G223" s="358">
        <f>'PART-A'!I2418</f>
        <v>0</v>
      </c>
      <c r="H223" s="354" t="s">
        <v>115</v>
      </c>
      <c r="I223" s="355">
        <f>'PART-A'!K2418</f>
        <v>666.66</v>
      </c>
      <c r="J223" s="353">
        <f t="shared" si="46"/>
        <v>0</v>
      </c>
      <c r="K223" s="1680"/>
      <c r="L223" s="1680"/>
      <c r="M223" s="633" t="s">
        <v>2299</v>
      </c>
      <c r="N223" s="223"/>
      <c r="O223" s="631">
        <f t="shared" si="43"/>
        <v>0</v>
      </c>
    </row>
    <row r="224" spans="1:15" s="360" customFormat="1" ht="15" hidden="1">
      <c r="A224" s="356" t="s">
        <v>492</v>
      </c>
      <c r="B224" s="632" t="s">
        <v>1481</v>
      </c>
      <c r="C224" s="611"/>
      <c r="D224" s="354"/>
      <c r="E224" s="607"/>
      <c r="F224" s="353"/>
      <c r="G224" s="358">
        <f>'PART-A'!I2423</f>
        <v>0</v>
      </c>
      <c r="H224" s="354" t="s">
        <v>115</v>
      </c>
      <c r="I224" s="355">
        <f>'PART-A'!K2423</f>
        <v>733.33</v>
      </c>
      <c r="J224" s="353">
        <f>ROUND(G224*I224,0)</f>
        <v>0</v>
      </c>
      <c r="K224" s="1680"/>
      <c r="L224" s="1680"/>
      <c r="M224" s="633" t="s">
        <v>2312</v>
      </c>
      <c r="N224" s="223"/>
      <c r="O224" s="631">
        <f t="shared" si="43"/>
        <v>0</v>
      </c>
    </row>
    <row r="225" spans="1:15" s="360" customFormat="1" ht="15" hidden="1">
      <c r="A225" s="356" t="s">
        <v>504</v>
      </c>
      <c r="B225" s="632" t="s">
        <v>1481</v>
      </c>
      <c r="C225" s="611"/>
      <c r="D225" s="354"/>
      <c r="E225" s="607"/>
      <c r="F225" s="353"/>
      <c r="G225" s="358">
        <f>'PART-A'!I2428</f>
        <v>0</v>
      </c>
      <c r="H225" s="354" t="s">
        <v>115</v>
      </c>
      <c r="I225" s="355">
        <f>'PART-A'!K2428</f>
        <v>808</v>
      </c>
      <c r="J225" s="353">
        <f>ROUND(G225*I225,0)</f>
        <v>0</v>
      </c>
      <c r="K225" s="1681"/>
      <c r="L225" s="1681"/>
      <c r="M225" s="633" t="s">
        <v>2313</v>
      </c>
      <c r="N225" s="223"/>
      <c r="O225" s="631">
        <f t="shared" si="43"/>
        <v>0</v>
      </c>
    </row>
    <row r="226" spans="1:15" s="360" customFormat="1" ht="15" hidden="1">
      <c r="A226" s="356" t="s">
        <v>492</v>
      </c>
      <c r="B226" s="632" t="s">
        <v>1482</v>
      </c>
      <c r="C226" s="611"/>
      <c r="D226" s="354"/>
      <c r="E226" s="607"/>
      <c r="F226" s="353"/>
      <c r="G226" s="358">
        <f>'PART-A'!I2433</f>
        <v>0</v>
      </c>
      <c r="H226" s="354" t="s">
        <v>115</v>
      </c>
      <c r="I226" s="355">
        <f>'PART-A'!K2433</f>
        <v>500</v>
      </c>
      <c r="J226" s="353">
        <f t="shared" si="46"/>
        <v>0</v>
      </c>
      <c r="K226" s="1679">
        <f>IF((J226+J227+J228+J229)&gt;(F226+F227+F228+F229),(J226+J227+J228+J229)-(F226+F227+F228+F229),0)</f>
        <v>0</v>
      </c>
      <c r="L226" s="1679">
        <f>IF((J226+J227+J228+J229)&lt;(F226+F227+F228+F229),(F226+F227+F228+F229)-(J226+J227+J228+J229),0)</f>
        <v>0</v>
      </c>
      <c r="M226" s="633" t="s">
        <v>2217</v>
      </c>
      <c r="N226" s="223"/>
      <c r="O226" s="631">
        <f t="shared" si="43"/>
        <v>0</v>
      </c>
    </row>
    <row r="227" spans="1:15" s="360" customFormat="1" ht="15" hidden="1">
      <c r="A227" s="356" t="s">
        <v>492</v>
      </c>
      <c r="B227" s="632" t="s">
        <v>1482</v>
      </c>
      <c r="C227" s="611"/>
      <c r="D227" s="354"/>
      <c r="E227" s="607"/>
      <c r="F227" s="353"/>
      <c r="G227" s="358">
        <f>'PART-A'!I2438</f>
        <v>0</v>
      </c>
      <c r="H227" s="354" t="s">
        <v>115</v>
      </c>
      <c r="I227" s="355">
        <f>'PART-A'!K2438</f>
        <v>500</v>
      </c>
      <c r="J227" s="353">
        <f t="shared" si="46"/>
        <v>0</v>
      </c>
      <c r="K227" s="1680"/>
      <c r="L227" s="1680"/>
      <c r="M227" s="633" t="s">
        <v>2299</v>
      </c>
      <c r="N227" s="223"/>
      <c r="O227" s="631">
        <f t="shared" si="43"/>
        <v>0</v>
      </c>
    </row>
    <row r="228" spans="1:15" s="360" customFormat="1" ht="15" hidden="1">
      <c r="A228" s="356" t="s">
        <v>492</v>
      </c>
      <c r="B228" s="632" t="s">
        <v>1482</v>
      </c>
      <c r="C228" s="611"/>
      <c r="D228" s="354"/>
      <c r="E228" s="607"/>
      <c r="F228" s="353"/>
      <c r="G228" s="358">
        <f>'PART-A'!I2443</f>
        <v>0</v>
      </c>
      <c r="H228" s="354" t="s">
        <v>115</v>
      </c>
      <c r="I228" s="355">
        <f>'PART-A'!K2443</f>
        <v>550</v>
      </c>
      <c r="J228" s="353">
        <f>ROUND(G228*I228,0)</f>
        <v>0</v>
      </c>
      <c r="K228" s="1680"/>
      <c r="L228" s="1680"/>
      <c r="M228" s="633" t="s">
        <v>2312</v>
      </c>
      <c r="N228" s="223"/>
      <c r="O228" s="631">
        <f t="shared" si="43"/>
        <v>0</v>
      </c>
    </row>
    <row r="229" spans="1:15" s="360" customFormat="1" ht="15" hidden="1">
      <c r="A229" s="356" t="s">
        <v>492</v>
      </c>
      <c r="B229" s="632" t="s">
        <v>1482</v>
      </c>
      <c r="C229" s="611"/>
      <c r="D229" s="354"/>
      <c r="E229" s="607"/>
      <c r="F229" s="353"/>
      <c r="G229" s="358">
        <f>'PART-A'!I2448</f>
        <v>0</v>
      </c>
      <c r="H229" s="354" t="s">
        <v>115</v>
      </c>
      <c r="I229" s="355">
        <f>'PART-A'!K2448</f>
        <v>606</v>
      </c>
      <c r="J229" s="353">
        <f>ROUND(G229*I229,0)</f>
        <v>0</v>
      </c>
      <c r="K229" s="1681"/>
      <c r="L229" s="1681"/>
      <c r="M229" s="633" t="s">
        <v>2313</v>
      </c>
      <c r="N229" s="223"/>
      <c r="O229" s="631">
        <f t="shared" si="43"/>
        <v>0</v>
      </c>
    </row>
    <row r="230" spans="1:15" s="360" customFormat="1" ht="15" hidden="1">
      <c r="A230" s="356" t="s">
        <v>508</v>
      </c>
      <c r="B230" s="632" t="s">
        <v>1483</v>
      </c>
      <c r="C230" s="611"/>
      <c r="D230" s="354"/>
      <c r="E230" s="607"/>
      <c r="F230" s="353"/>
      <c r="G230" s="358">
        <f>'PART-A'!I2453</f>
        <v>0</v>
      </c>
      <c r="H230" s="354" t="s">
        <v>115</v>
      </c>
      <c r="I230" s="355">
        <f>'PART-A'!K2453</f>
        <v>130</v>
      </c>
      <c r="J230" s="353">
        <f t="shared" si="46"/>
        <v>0</v>
      </c>
      <c r="K230" s="1679">
        <f>IF((J230+J231+J232+J233)&gt;(F230+F231+F232+F233),(J230+J231+J232+J233)-(F230+F231+F232+F233),0)</f>
        <v>0</v>
      </c>
      <c r="L230" s="1679">
        <f>IF((J230+J231+J232+J233)&lt;(F230+F231+F232+F233),(F230+F231+F232+F233)-(J230+J231+J232+J233),0)</f>
        <v>0</v>
      </c>
      <c r="M230" s="633" t="s">
        <v>2217</v>
      </c>
      <c r="N230" s="223"/>
      <c r="O230" s="631">
        <f t="shared" si="43"/>
        <v>0</v>
      </c>
    </row>
    <row r="231" spans="1:15" s="360" customFormat="1" ht="15" hidden="1">
      <c r="A231" s="356" t="s">
        <v>508</v>
      </c>
      <c r="B231" s="632" t="s">
        <v>1483</v>
      </c>
      <c r="C231" s="611"/>
      <c r="D231" s="354"/>
      <c r="E231" s="607"/>
      <c r="F231" s="353"/>
      <c r="G231" s="358">
        <f>'PART-A'!I2458</f>
        <v>0</v>
      </c>
      <c r="H231" s="354" t="s">
        <v>115</v>
      </c>
      <c r="I231" s="355">
        <f>'PART-A'!K2458</f>
        <v>130</v>
      </c>
      <c r="J231" s="353">
        <f t="shared" si="46"/>
        <v>0</v>
      </c>
      <c r="K231" s="1680"/>
      <c r="L231" s="1680"/>
      <c r="M231" s="633" t="s">
        <v>2299</v>
      </c>
      <c r="N231" s="223"/>
      <c r="O231" s="631">
        <f t="shared" si="43"/>
        <v>0</v>
      </c>
    </row>
    <row r="232" spans="1:15" s="360" customFormat="1" ht="15" hidden="1">
      <c r="A232" s="356" t="s">
        <v>508</v>
      </c>
      <c r="B232" s="632" t="s">
        <v>1483</v>
      </c>
      <c r="C232" s="611"/>
      <c r="D232" s="354"/>
      <c r="E232" s="607"/>
      <c r="F232" s="353"/>
      <c r="G232" s="358">
        <f>'PART-A'!I2463</f>
        <v>0</v>
      </c>
      <c r="H232" s="354" t="s">
        <v>115</v>
      </c>
      <c r="I232" s="355">
        <f>'PART-A'!K2463</f>
        <v>143</v>
      </c>
      <c r="J232" s="353">
        <f>ROUND(G232*I232,0)</f>
        <v>0</v>
      </c>
      <c r="K232" s="1680"/>
      <c r="L232" s="1680"/>
      <c r="M232" s="633" t="s">
        <v>2312</v>
      </c>
      <c r="N232" s="223"/>
      <c r="O232" s="631">
        <f t="shared" si="43"/>
        <v>0</v>
      </c>
    </row>
    <row r="233" spans="1:15" s="360" customFormat="1" ht="15" hidden="1">
      <c r="A233" s="356" t="s">
        <v>506</v>
      </c>
      <c r="B233" s="632" t="s">
        <v>1483</v>
      </c>
      <c r="C233" s="611"/>
      <c r="D233" s="354"/>
      <c r="E233" s="607"/>
      <c r="F233" s="353"/>
      <c r="G233" s="358">
        <f>'PART-A'!I2468</f>
        <v>0</v>
      </c>
      <c r="H233" s="354" t="s">
        <v>115</v>
      </c>
      <c r="I233" s="355">
        <f>'PART-A'!K2468</f>
        <v>157</v>
      </c>
      <c r="J233" s="353">
        <f>ROUND(G233*I233,0)</f>
        <v>0</v>
      </c>
      <c r="K233" s="1681"/>
      <c r="L233" s="1681"/>
      <c r="M233" s="633" t="s">
        <v>2313</v>
      </c>
      <c r="N233" s="223"/>
      <c r="O233" s="631">
        <f t="shared" si="43"/>
        <v>0</v>
      </c>
    </row>
    <row r="234" spans="1:15" s="1157" customFormat="1" ht="38.25">
      <c r="A234" s="1146" t="s">
        <v>490</v>
      </c>
      <c r="B234" s="1147" t="s">
        <v>3208</v>
      </c>
      <c r="C234" s="1179">
        <v>4.5</v>
      </c>
      <c r="D234" s="1177" t="s">
        <v>4</v>
      </c>
      <c r="E234" s="922">
        <v>54355</v>
      </c>
      <c r="F234" s="1150">
        <f>ROUND(C234*E234/1,0)</f>
        <v>244598</v>
      </c>
      <c r="G234" s="1180">
        <f>'PART-A'!I2476</f>
        <v>4.25</v>
      </c>
      <c r="H234" s="1177" t="s">
        <v>29</v>
      </c>
      <c r="I234" s="1181">
        <f>'PART-A'!K2476</f>
        <v>62198.5</v>
      </c>
      <c r="J234" s="1153">
        <f t="shared" si="46"/>
        <v>264344</v>
      </c>
      <c r="K234" s="1679">
        <f>IF((J234+J235+J236+J237)&gt;(F234+F235+F236+F237),(J234+J235+J236+J237)-(F234+F235+F236+F237),0)</f>
        <v>19746</v>
      </c>
      <c r="L234" s="1679">
        <f>IF((J234+J235+J236+J237)&lt;(F234+F235+F236+F237),(F234+F235+F236+F237)-(J234+J235+J236+J237),0)</f>
        <v>0</v>
      </c>
      <c r="M234" s="1154" t="s">
        <v>2217</v>
      </c>
      <c r="N234" s="1155"/>
      <c r="O234" s="1156">
        <f t="shared" si="43"/>
        <v>-19746</v>
      </c>
    </row>
    <row r="235" spans="1:15" s="1157" customFormat="1" ht="38.25" hidden="1">
      <c r="A235" s="1146" t="s">
        <v>502</v>
      </c>
      <c r="B235" s="1147" t="s">
        <v>3208</v>
      </c>
      <c r="C235" s="917"/>
      <c r="D235" s="1177"/>
      <c r="E235" s="922"/>
      <c r="F235" s="1153"/>
      <c r="G235" s="1180">
        <f>'PART-A'!I2482</f>
        <v>0</v>
      </c>
      <c r="H235" s="1177" t="s">
        <v>29</v>
      </c>
      <c r="I235" s="1181">
        <f>'PART-A'!K2482</f>
        <v>62385</v>
      </c>
      <c r="J235" s="1153">
        <f t="shared" si="46"/>
        <v>0</v>
      </c>
      <c r="K235" s="1680"/>
      <c r="L235" s="1680"/>
      <c r="M235" s="1159" t="s">
        <v>2299</v>
      </c>
      <c r="N235" s="1155"/>
      <c r="O235" s="1160">
        <f t="shared" si="43"/>
        <v>0</v>
      </c>
    </row>
    <row r="236" spans="1:15" s="360" customFormat="1" ht="15" hidden="1">
      <c r="A236" s="356" t="s">
        <v>503</v>
      </c>
      <c r="B236" s="632" t="s">
        <v>477</v>
      </c>
      <c r="C236" s="551"/>
      <c r="D236" s="221"/>
      <c r="E236" s="10"/>
      <c r="F236" s="353"/>
      <c r="G236" s="429">
        <f>'PART-A'!I2487</f>
        <v>0</v>
      </c>
      <c r="H236" s="221" t="s">
        <v>29</v>
      </c>
      <c r="I236" s="430">
        <f>'PART-A'!K2487</f>
        <v>79809.5</v>
      </c>
      <c r="J236" s="353">
        <f>ROUND(G236*I236,0)</f>
        <v>0</v>
      </c>
      <c r="K236" s="1680"/>
      <c r="L236" s="1680"/>
      <c r="M236" s="633" t="s">
        <v>2312</v>
      </c>
      <c r="N236" s="223"/>
      <c r="O236" s="631">
        <f t="shared" si="43"/>
        <v>0</v>
      </c>
    </row>
    <row r="237" spans="1:15" s="360" customFormat="1" ht="38.25" hidden="1">
      <c r="A237" s="356" t="s">
        <v>499</v>
      </c>
      <c r="B237" s="632" t="s">
        <v>3208</v>
      </c>
      <c r="C237" s="551"/>
      <c r="D237" s="221"/>
      <c r="E237" s="10"/>
      <c r="F237" s="353"/>
      <c r="G237" s="429">
        <f>'PART-A'!I2493</f>
        <v>0</v>
      </c>
      <c r="H237" s="221" t="s">
        <v>29</v>
      </c>
      <c r="I237" s="430">
        <f>'PART-A'!K2493</f>
        <v>92466</v>
      </c>
      <c r="J237" s="353">
        <f>ROUND(G237*I237,0)</f>
        <v>0</v>
      </c>
      <c r="K237" s="1681"/>
      <c r="L237" s="1681"/>
      <c r="M237" s="633" t="s">
        <v>2313</v>
      </c>
      <c r="N237" s="223"/>
      <c r="O237" s="631">
        <f t="shared" si="43"/>
        <v>0</v>
      </c>
    </row>
    <row r="238" spans="1:15" s="360" customFormat="1" ht="51" hidden="1">
      <c r="A238" s="356" t="s">
        <v>1519</v>
      </c>
      <c r="B238" s="632" t="s">
        <v>3209</v>
      </c>
      <c r="C238" s="825"/>
      <c r="D238" s="794" t="s">
        <v>872</v>
      </c>
      <c r="E238" s="567">
        <v>51205</v>
      </c>
      <c r="F238" s="792">
        <f>ROUND(C238*E238/1000,0)</f>
        <v>0</v>
      </c>
      <c r="G238" s="358"/>
      <c r="H238" s="354"/>
      <c r="I238" s="355"/>
      <c r="J238" s="353">
        <f t="shared" ref="J238" si="47">ROUND(G238*I238,0)</f>
        <v>0</v>
      </c>
      <c r="K238" s="669">
        <f t="shared" ref="K238" si="48">IF(J238&gt;F238,J238-F238,0)</f>
        <v>0</v>
      </c>
      <c r="L238" s="368">
        <f t="shared" ref="L238" si="49">IF(J238&lt;F238,F238-J238,0)</f>
        <v>0</v>
      </c>
      <c r="M238" s="851" t="s">
        <v>2217</v>
      </c>
      <c r="N238" s="223"/>
      <c r="O238" s="850">
        <f t="shared" si="43"/>
        <v>0</v>
      </c>
    </row>
    <row r="239" spans="1:15" s="26" customFormat="1" ht="15" hidden="1">
      <c r="A239" s="23"/>
      <c r="B239" s="627" t="s">
        <v>496</v>
      </c>
      <c r="C239" s="638"/>
      <c r="D239" s="639"/>
      <c r="E239" s="640"/>
      <c r="F239" s="641"/>
      <c r="G239" s="28"/>
      <c r="H239" s="224"/>
      <c r="I239" s="37"/>
      <c r="J239" s="11">
        <f t="shared" ref="J239" si="50">ROUND(G239*I239,0)</f>
        <v>0</v>
      </c>
      <c r="K239" s="25"/>
      <c r="L239" s="25"/>
      <c r="M239" s="851" t="s">
        <v>2217</v>
      </c>
      <c r="N239" s="223"/>
      <c r="O239" s="850"/>
    </row>
    <row r="240" spans="1:15" s="360" customFormat="1" ht="51" hidden="1">
      <c r="A240" s="356" t="s">
        <v>497</v>
      </c>
      <c r="B240" s="632" t="s">
        <v>3183</v>
      </c>
      <c r="C240" s="568"/>
      <c r="D240" s="791" t="s">
        <v>5</v>
      </c>
      <c r="E240" s="10">
        <v>9147.9419999999991</v>
      </c>
      <c r="F240" s="792">
        <f t="shared" ref="F240" si="51">ROUND(C240*E240,0)</f>
        <v>0</v>
      </c>
      <c r="G240" s="358">
        <f>FF!I16</f>
        <v>0</v>
      </c>
      <c r="H240" s="354" t="s">
        <v>5</v>
      </c>
      <c r="I240" s="355">
        <f>FF!K16</f>
        <v>9806.8100000000013</v>
      </c>
      <c r="J240" s="353">
        <f t="shared" ref="J240:J288" si="52">ROUND(G240*I240,0)</f>
        <v>0</v>
      </c>
      <c r="K240" s="1679">
        <f>IF((J240+J241+J242+J243)&gt;(F240+F241+F242+F243),(J240+J241+J242+J243)-(F240+F241+F242+F243),0)</f>
        <v>0</v>
      </c>
      <c r="L240" s="1679">
        <f>IF((J240+J241+J242+J243)&lt;(F240+F241+F242+F243),(F240+F241+F242+F243)-(J240+J241+J242+J243),0)</f>
        <v>0</v>
      </c>
      <c r="M240" s="851" t="s">
        <v>2217</v>
      </c>
      <c r="N240" s="223"/>
      <c r="O240" s="850">
        <f t="shared" si="43"/>
        <v>0</v>
      </c>
    </row>
    <row r="241" spans="1:15" s="360" customFormat="1" ht="15" hidden="1">
      <c r="A241" s="356" t="s">
        <v>495</v>
      </c>
      <c r="B241" s="632" t="s">
        <v>2061</v>
      </c>
      <c r="C241" s="634"/>
      <c r="D241" s="354"/>
      <c r="E241" s="10"/>
      <c r="F241" s="353"/>
      <c r="G241" s="358">
        <f>FF!I21</f>
        <v>0</v>
      </c>
      <c r="H241" s="354" t="s">
        <v>5</v>
      </c>
      <c r="I241" s="355">
        <f>FF!K21</f>
        <v>10177.17</v>
      </c>
      <c r="J241" s="353">
        <f>ROUND(G241*I241,0)</f>
        <v>0</v>
      </c>
      <c r="K241" s="1680"/>
      <c r="L241" s="1680"/>
      <c r="M241" s="633" t="s">
        <v>2299</v>
      </c>
      <c r="N241" s="223"/>
      <c r="O241" s="631">
        <f t="shared" si="43"/>
        <v>0</v>
      </c>
    </row>
    <row r="242" spans="1:15" s="360" customFormat="1" ht="15" hidden="1">
      <c r="A242" s="356" t="s">
        <v>495</v>
      </c>
      <c r="B242" s="632" t="s">
        <v>2061</v>
      </c>
      <c r="C242" s="634"/>
      <c r="D242" s="354"/>
      <c r="E242" s="10"/>
      <c r="F242" s="353"/>
      <c r="G242" s="358">
        <f>FF!I30</f>
        <v>0</v>
      </c>
      <c r="H242" s="354" t="s">
        <v>5</v>
      </c>
      <c r="I242" s="355">
        <f>FF!K30</f>
        <v>10761.36</v>
      </c>
      <c r="J242" s="353">
        <f>ROUND(G242*I242,0)</f>
        <v>0</v>
      </c>
      <c r="K242" s="1680"/>
      <c r="L242" s="1680"/>
      <c r="M242" s="633" t="s">
        <v>2312</v>
      </c>
      <c r="N242" s="223"/>
      <c r="O242" s="631">
        <f t="shared" si="43"/>
        <v>0</v>
      </c>
    </row>
    <row r="243" spans="1:15" s="360" customFormat="1" ht="15" hidden="1">
      <c r="A243" s="356" t="s">
        <v>495</v>
      </c>
      <c r="B243" s="632" t="s">
        <v>2061</v>
      </c>
      <c r="C243" s="634"/>
      <c r="D243" s="354"/>
      <c r="E243" s="10"/>
      <c r="F243" s="353"/>
      <c r="G243" s="358">
        <f>FF!I35</f>
        <v>0</v>
      </c>
      <c r="H243" s="354" t="s">
        <v>5</v>
      </c>
      <c r="I243" s="355">
        <f>FF!K35</f>
        <v>11192.01</v>
      </c>
      <c r="J243" s="353">
        <f>ROUND(G243*I243,0)</f>
        <v>0</v>
      </c>
      <c r="K243" s="1681"/>
      <c r="L243" s="1681"/>
      <c r="M243" s="633" t="s">
        <v>2313</v>
      </c>
      <c r="N243" s="223"/>
      <c r="O243" s="631">
        <f t="shared" si="43"/>
        <v>0</v>
      </c>
    </row>
    <row r="244" spans="1:15" s="360" customFormat="1" ht="51" hidden="1">
      <c r="A244" s="356" t="s">
        <v>498</v>
      </c>
      <c r="B244" s="632" t="s">
        <v>3185</v>
      </c>
      <c r="C244" s="568"/>
      <c r="D244" s="791" t="s">
        <v>5</v>
      </c>
      <c r="E244" s="10">
        <v>8812.9680000000008</v>
      </c>
      <c r="F244" s="792">
        <f t="shared" ref="F244" si="53">ROUND(C244*E244,0)</f>
        <v>0</v>
      </c>
      <c r="G244" s="358">
        <f>FF!I59</f>
        <v>0</v>
      </c>
      <c r="H244" s="354" t="s">
        <v>5</v>
      </c>
      <c r="I244" s="355">
        <f>FF!K59</f>
        <v>9468.130000000001</v>
      </c>
      <c r="J244" s="353">
        <f t="shared" si="52"/>
        <v>0</v>
      </c>
      <c r="K244" s="1679">
        <f>IF((J244+J245+J246+J247)&gt;(F244+F245+F246+F247),(J244+J245+J246+J247)-(F244+F245+F246+F247),0)</f>
        <v>0</v>
      </c>
      <c r="L244" s="1679">
        <f>IF((J244+J245+J246+J247)&lt;(F244+F245+F246+F247),(F244+F245+F246+F247)-(J244+J245+J246+J247),0)</f>
        <v>0</v>
      </c>
      <c r="M244" s="851" t="s">
        <v>2217</v>
      </c>
      <c r="N244" s="223"/>
      <c r="O244" s="850">
        <f t="shared" si="43"/>
        <v>0</v>
      </c>
    </row>
    <row r="245" spans="1:15" s="360" customFormat="1" ht="15" hidden="1">
      <c r="A245" s="356" t="s">
        <v>510</v>
      </c>
      <c r="B245" s="632" t="s">
        <v>2063</v>
      </c>
      <c r="C245" s="634"/>
      <c r="D245" s="354"/>
      <c r="E245" s="10"/>
      <c r="F245" s="353"/>
      <c r="G245" s="358">
        <f>FF!I74</f>
        <v>0</v>
      </c>
      <c r="H245" s="354" t="s">
        <v>5</v>
      </c>
      <c r="I245" s="355">
        <f>FF!K74</f>
        <v>9694.16</v>
      </c>
      <c r="J245" s="353">
        <f>ROUND(G245*I245,0)</f>
        <v>0</v>
      </c>
      <c r="K245" s="1680"/>
      <c r="L245" s="1680"/>
      <c r="M245" s="633" t="s">
        <v>2299</v>
      </c>
      <c r="N245" s="223"/>
      <c r="O245" s="631">
        <f t="shared" si="43"/>
        <v>0</v>
      </c>
    </row>
    <row r="246" spans="1:15" s="360" customFormat="1" ht="15" hidden="1">
      <c r="A246" s="356" t="s">
        <v>1515</v>
      </c>
      <c r="B246" s="632" t="s">
        <v>2063</v>
      </c>
      <c r="C246" s="634"/>
      <c r="D246" s="354"/>
      <c r="E246" s="10"/>
      <c r="F246" s="353"/>
      <c r="G246" s="358">
        <f>FF!I98</f>
        <v>0</v>
      </c>
      <c r="H246" s="354" t="s">
        <v>5</v>
      </c>
      <c r="I246" s="355">
        <f>FF!K98</f>
        <v>10194.73</v>
      </c>
      <c r="J246" s="353">
        <f>ROUND(G246*I246,0)</f>
        <v>0</v>
      </c>
      <c r="K246" s="1680"/>
      <c r="L246" s="1680"/>
      <c r="M246" s="633" t="s">
        <v>2312</v>
      </c>
      <c r="N246" s="223"/>
      <c r="O246" s="631">
        <f t="shared" si="43"/>
        <v>0</v>
      </c>
    </row>
    <row r="247" spans="1:15" s="360" customFormat="1" ht="15" hidden="1">
      <c r="A247" s="356" t="s">
        <v>1515</v>
      </c>
      <c r="B247" s="632" t="s">
        <v>2063</v>
      </c>
      <c r="C247" s="634"/>
      <c r="D247" s="354"/>
      <c r="E247" s="10"/>
      <c r="F247" s="353"/>
      <c r="G247" s="358">
        <f>FF!I104</f>
        <v>0</v>
      </c>
      <c r="H247" s="354" t="s">
        <v>5</v>
      </c>
      <c r="I247" s="355">
        <f>FF!K104</f>
        <v>10490.18</v>
      </c>
      <c r="J247" s="353">
        <f>ROUND(G247*I247,0)</f>
        <v>0</v>
      </c>
      <c r="K247" s="1681"/>
      <c r="L247" s="1681"/>
      <c r="M247" s="633" t="s">
        <v>2313</v>
      </c>
      <c r="N247" s="223"/>
      <c r="O247" s="631">
        <f t="shared" si="43"/>
        <v>0</v>
      </c>
    </row>
    <row r="248" spans="1:15" s="360" customFormat="1" ht="51" hidden="1">
      <c r="A248" s="356" t="s">
        <v>499</v>
      </c>
      <c r="B248" s="632" t="s">
        <v>3186</v>
      </c>
      <c r="C248" s="568"/>
      <c r="D248" s="791" t="s">
        <v>102</v>
      </c>
      <c r="E248" s="10">
        <v>1150.248</v>
      </c>
      <c r="F248" s="792">
        <f t="shared" ref="F248" si="54">ROUND(C248*E248,0)</f>
        <v>0</v>
      </c>
      <c r="G248" s="358">
        <f>FF!I140</f>
        <v>0</v>
      </c>
      <c r="H248" s="354" t="s">
        <v>102</v>
      </c>
      <c r="I248" s="355">
        <f>FF!K140</f>
        <v>1231.97</v>
      </c>
      <c r="J248" s="353">
        <f t="shared" si="52"/>
        <v>0</v>
      </c>
      <c r="K248" s="1679">
        <f>IF((J248+J249+J250+J251)&gt;(F248+F249+F250+F251),(J248+J249+J250+J251)-(F248+F249+F250+F251),0)</f>
        <v>0</v>
      </c>
      <c r="L248" s="1679">
        <f>IF((J248+J249+J250+J251)&lt;(F248+F249+F250+F251),(F248+F249+F250+F251)-(J248+J249+J250+J251),0)</f>
        <v>0</v>
      </c>
      <c r="M248" s="851" t="s">
        <v>2217</v>
      </c>
      <c r="N248" s="223"/>
      <c r="O248" s="850">
        <f t="shared" si="43"/>
        <v>0</v>
      </c>
    </row>
    <row r="249" spans="1:15" s="360" customFormat="1" ht="15" hidden="1">
      <c r="A249" s="356" t="s">
        <v>512</v>
      </c>
      <c r="B249" s="632" t="s">
        <v>2064</v>
      </c>
      <c r="C249" s="634"/>
      <c r="D249" s="354"/>
      <c r="E249" s="10"/>
      <c r="F249" s="353"/>
      <c r="G249" s="358">
        <f>FF!I146</f>
        <v>0</v>
      </c>
      <c r="H249" s="354" t="s">
        <v>102</v>
      </c>
      <c r="I249" s="355">
        <f>FF!K146</f>
        <v>1269.73</v>
      </c>
      <c r="J249" s="353">
        <f>ROUND(G249*I249,0)</f>
        <v>0</v>
      </c>
      <c r="K249" s="1680"/>
      <c r="L249" s="1680"/>
      <c r="M249" s="633" t="s">
        <v>2299</v>
      </c>
      <c r="N249" s="223"/>
      <c r="O249" s="631">
        <f t="shared" si="43"/>
        <v>0</v>
      </c>
    </row>
    <row r="250" spans="1:15" s="360" customFormat="1" ht="15" hidden="1">
      <c r="A250" s="356" t="s">
        <v>1516</v>
      </c>
      <c r="B250" s="632" t="s">
        <v>2064</v>
      </c>
      <c r="C250" s="634"/>
      <c r="D250" s="354"/>
      <c r="E250" s="10"/>
      <c r="F250" s="353"/>
      <c r="G250" s="358">
        <f>FF!I153</f>
        <v>0</v>
      </c>
      <c r="H250" s="354" t="s">
        <v>102</v>
      </c>
      <c r="I250" s="355">
        <f>FF!K153</f>
        <v>1350.5700000000002</v>
      </c>
      <c r="J250" s="353">
        <f>ROUND(G250*I250,0)</f>
        <v>0</v>
      </c>
      <c r="K250" s="1680"/>
      <c r="L250" s="1680"/>
      <c r="M250" s="633" t="s">
        <v>2312</v>
      </c>
      <c r="N250" s="223"/>
      <c r="O250" s="631">
        <f t="shared" si="43"/>
        <v>0</v>
      </c>
    </row>
    <row r="251" spans="1:15" s="360" customFormat="1" ht="15" hidden="1">
      <c r="A251" s="356" t="s">
        <v>1516</v>
      </c>
      <c r="B251" s="632" t="s">
        <v>2064</v>
      </c>
      <c r="C251" s="634"/>
      <c r="D251" s="354"/>
      <c r="E251" s="10"/>
      <c r="F251" s="353"/>
      <c r="G251" s="358">
        <f>FF!I159</f>
        <v>0</v>
      </c>
      <c r="H251" s="354" t="s">
        <v>102</v>
      </c>
      <c r="I251" s="355">
        <f>FF!K159</f>
        <v>1395.89</v>
      </c>
      <c r="J251" s="353">
        <f>ROUND(G251*I251,0)</f>
        <v>0</v>
      </c>
      <c r="K251" s="1681"/>
      <c r="L251" s="1681"/>
      <c r="M251" s="633" t="s">
        <v>2313</v>
      </c>
      <c r="N251" s="223"/>
      <c r="O251" s="631">
        <f t="shared" si="43"/>
        <v>0</v>
      </c>
    </row>
    <row r="252" spans="1:15" s="360" customFormat="1" ht="15" hidden="1">
      <c r="A252" s="356" t="s">
        <v>487</v>
      </c>
      <c r="B252" s="632" t="s">
        <v>2066</v>
      </c>
      <c r="C252" s="611"/>
      <c r="D252" s="354"/>
      <c r="E252" s="607"/>
      <c r="F252" s="353"/>
      <c r="G252" s="358">
        <f>FF!I164</f>
        <v>0</v>
      </c>
      <c r="H252" s="354" t="s">
        <v>102</v>
      </c>
      <c r="I252" s="355">
        <f>FF!K164</f>
        <v>1107.81</v>
      </c>
      <c r="J252" s="353">
        <f t="shared" si="52"/>
        <v>0</v>
      </c>
      <c r="K252" s="1679">
        <f>IF((J252+J253+J254+J255)&gt;(F252+F253+F254+F255),(J252+J253+J254+J255)-(F252+F253+F254+F255),0)</f>
        <v>0</v>
      </c>
      <c r="L252" s="1679">
        <f>IF((J252+J253+J254+J255)&lt;(F252+F253+F254+F255),(F252+F253+F254+F255)-(J252+J253+J254+J255),0)</f>
        <v>0</v>
      </c>
      <c r="M252" s="633" t="s">
        <v>2217</v>
      </c>
      <c r="N252" s="223"/>
      <c r="O252" s="631">
        <f t="shared" si="43"/>
        <v>0</v>
      </c>
    </row>
    <row r="253" spans="1:15" s="360" customFormat="1" ht="15" hidden="1">
      <c r="A253" s="356" t="s">
        <v>487</v>
      </c>
      <c r="B253" s="632" t="s">
        <v>2066</v>
      </c>
      <c r="C253" s="611"/>
      <c r="D253" s="354"/>
      <c r="E253" s="607"/>
      <c r="F253" s="353"/>
      <c r="G253" s="358">
        <f>FF!I169</f>
        <v>0</v>
      </c>
      <c r="H253" s="354" t="s">
        <v>102</v>
      </c>
      <c r="I253" s="355">
        <f>FF!K169</f>
        <v>1140.19</v>
      </c>
      <c r="J253" s="353">
        <f>ROUND(G253*I253,0)</f>
        <v>0</v>
      </c>
      <c r="K253" s="1680"/>
      <c r="L253" s="1680"/>
      <c r="M253" s="633" t="s">
        <v>2299</v>
      </c>
      <c r="N253" s="223"/>
      <c r="O253" s="631">
        <f t="shared" si="43"/>
        <v>0</v>
      </c>
    </row>
    <row r="254" spans="1:15" s="360" customFormat="1" ht="15" hidden="1">
      <c r="A254" s="356" t="s">
        <v>487</v>
      </c>
      <c r="B254" s="632" t="s">
        <v>2066</v>
      </c>
      <c r="C254" s="611"/>
      <c r="D254" s="354"/>
      <c r="E254" s="607"/>
      <c r="F254" s="353"/>
      <c r="G254" s="358">
        <f>FF!I174</f>
        <v>0</v>
      </c>
      <c r="H254" s="354" t="s">
        <v>102</v>
      </c>
      <c r="I254" s="355">
        <f>FF!K174</f>
        <v>1214.83</v>
      </c>
      <c r="J254" s="353">
        <f>ROUND(G254*I254,0)</f>
        <v>0</v>
      </c>
      <c r="K254" s="1680"/>
      <c r="L254" s="1680"/>
      <c r="M254" s="633" t="s">
        <v>2312</v>
      </c>
      <c r="N254" s="223"/>
      <c r="O254" s="631">
        <f t="shared" si="43"/>
        <v>0</v>
      </c>
    </row>
    <row r="255" spans="1:15" s="360" customFormat="1" ht="15" hidden="1">
      <c r="A255" s="356" t="s">
        <v>487</v>
      </c>
      <c r="B255" s="632" t="s">
        <v>2066</v>
      </c>
      <c r="C255" s="611"/>
      <c r="D255" s="354"/>
      <c r="E255" s="607"/>
      <c r="F255" s="353"/>
      <c r="G255" s="358">
        <f>FF!I179</f>
        <v>0</v>
      </c>
      <c r="H255" s="354" t="s">
        <v>102</v>
      </c>
      <c r="I255" s="355">
        <f>FF!K179</f>
        <v>1253.01</v>
      </c>
      <c r="J255" s="353">
        <f>ROUND(G255*I255,0)</f>
        <v>0</v>
      </c>
      <c r="K255" s="1681"/>
      <c r="L255" s="1681"/>
      <c r="M255" s="633" t="s">
        <v>2313</v>
      </c>
      <c r="N255" s="223"/>
      <c r="O255" s="631">
        <f t="shared" si="43"/>
        <v>0</v>
      </c>
    </row>
    <row r="256" spans="1:15" s="360" customFormat="1" ht="51" hidden="1">
      <c r="A256" s="356" t="s">
        <v>500</v>
      </c>
      <c r="B256" s="632" t="s">
        <v>3187</v>
      </c>
      <c r="C256" s="825"/>
      <c r="D256" s="794" t="s">
        <v>102</v>
      </c>
      <c r="E256" s="10">
        <v>1641.8836000000001</v>
      </c>
      <c r="F256" s="792">
        <f t="shared" ref="F256" si="55">ROUND(C256*E256,0)</f>
        <v>0</v>
      </c>
      <c r="G256" s="358">
        <f>FF!I112</f>
        <v>0</v>
      </c>
      <c r="H256" s="221" t="s">
        <v>102</v>
      </c>
      <c r="I256" s="355">
        <f>FF!K112</f>
        <v>1356.1200000000001</v>
      </c>
      <c r="J256" s="353">
        <f t="shared" si="52"/>
        <v>0</v>
      </c>
      <c r="K256" s="1679">
        <f>IF((J256+J257+J258+J259)&gt;(F256+F257+F258+F259),(J256+J257+J258+J259)-(F256+F257+F258+F259),0)</f>
        <v>0</v>
      </c>
      <c r="L256" s="1679">
        <f>IF((J256+J257+J258+J259)&lt;(F256+F257+F258+F259),(F256+F257+F258+F259)-(J256+J257+J258+J259),0)</f>
        <v>0</v>
      </c>
      <c r="M256" s="851" t="s">
        <v>2217</v>
      </c>
      <c r="N256" s="223"/>
      <c r="O256" s="850">
        <f t="shared" si="43"/>
        <v>0</v>
      </c>
    </row>
    <row r="257" spans="1:15" s="360" customFormat="1" ht="15" hidden="1">
      <c r="A257" s="356" t="s">
        <v>514</v>
      </c>
      <c r="B257" s="632" t="s">
        <v>2065</v>
      </c>
      <c r="C257" s="551"/>
      <c r="D257" s="221"/>
      <c r="E257" s="10"/>
      <c r="F257" s="353"/>
      <c r="G257" s="358">
        <f>FF!I120</f>
        <v>0</v>
      </c>
      <c r="H257" s="221" t="s">
        <v>102</v>
      </c>
      <c r="I257" s="355">
        <f>FF!K120</f>
        <v>1399.27</v>
      </c>
      <c r="J257" s="353">
        <f>ROUND(G257*I257,0)</f>
        <v>0</v>
      </c>
      <c r="K257" s="1680"/>
      <c r="L257" s="1680"/>
      <c r="M257" s="633" t="s">
        <v>2299</v>
      </c>
      <c r="N257" s="223"/>
      <c r="O257" s="631">
        <f t="shared" si="43"/>
        <v>0</v>
      </c>
    </row>
    <row r="258" spans="1:15" s="360" customFormat="1" ht="15" hidden="1">
      <c r="A258" s="356" t="s">
        <v>1517</v>
      </c>
      <c r="B258" s="632" t="s">
        <v>2065</v>
      </c>
      <c r="C258" s="551"/>
      <c r="D258" s="221"/>
      <c r="E258" s="10"/>
      <c r="F258" s="353"/>
      <c r="G258" s="358">
        <f>FF!I128</f>
        <v>0</v>
      </c>
      <c r="H258" s="221" t="s">
        <v>102</v>
      </c>
      <c r="I258" s="355">
        <f>FF!K128</f>
        <v>1486.3000000000002</v>
      </c>
      <c r="J258" s="353">
        <f>ROUND(G258*I258,0)</f>
        <v>0</v>
      </c>
      <c r="K258" s="1680"/>
      <c r="L258" s="1680"/>
      <c r="M258" s="633" t="s">
        <v>2312</v>
      </c>
      <c r="N258" s="223"/>
      <c r="O258" s="631">
        <f t="shared" si="43"/>
        <v>0</v>
      </c>
    </row>
    <row r="259" spans="1:15" s="360" customFormat="1" ht="15" hidden="1">
      <c r="A259" s="356" t="s">
        <v>1517</v>
      </c>
      <c r="B259" s="632" t="s">
        <v>2065</v>
      </c>
      <c r="C259" s="551"/>
      <c r="D259" s="221"/>
      <c r="E259" s="10"/>
      <c r="F259" s="353"/>
      <c r="G259" s="358">
        <f>FF!I133</f>
        <v>0</v>
      </c>
      <c r="H259" s="221" t="s">
        <v>102</v>
      </c>
      <c r="I259" s="355">
        <f>FF!K133</f>
        <v>1538.77</v>
      </c>
      <c r="J259" s="353">
        <f>ROUND(G259*I259,0)</f>
        <v>0</v>
      </c>
      <c r="K259" s="1681"/>
      <c r="L259" s="1681"/>
      <c r="M259" s="633" t="s">
        <v>2313</v>
      </c>
      <c r="N259" s="223"/>
      <c r="O259" s="631">
        <f t="shared" si="43"/>
        <v>0</v>
      </c>
    </row>
    <row r="260" spans="1:15" s="360" customFormat="1" ht="15" hidden="1">
      <c r="A260" s="356" t="s">
        <v>517</v>
      </c>
      <c r="B260" s="632" t="s">
        <v>2072</v>
      </c>
      <c r="C260" s="636"/>
      <c r="D260" s="221"/>
      <c r="E260" s="614"/>
      <c r="F260" s="353"/>
      <c r="G260" s="358">
        <f>FF!I185</f>
        <v>0</v>
      </c>
      <c r="H260" s="221" t="s">
        <v>102</v>
      </c>
      <c r="I260" s="355">
        <f>FF!K185</f>
        <v>608.34999999999991</v>
      </c>
      <c r="J260" s="353">
        <f t="shared" si="52"/>
        <v>0</v>
      </c>
      <c r="K260" s="1679">
        <f>IF((J260+J261+J262+J263)&gt;(F260+F261+F262+F263),(J260+J261+J262+J263)-(F260+F261+F262+F263),0)</f>
        <v>0</v>
      </c>
      <c r="L260" s="1679">
        <f>IF((J260+J261+J262+J263)&lt;(F260+F261+F262+F263),(F260+F261+F262+F263)-(J260+J261+J262+J263),0)</f>
        <v>0</v>
      </c>
      <c r="M260" s="633" t="s">
        <v>2217</v>
      </c>
      <c r="N260" s="223"/>
      <c r="O260" s="631">
        <f t="shared" si="43"/>
        <v>0</v>
      </c>
    </row>
    <row r="261" spans="1:15" s="360" customFormat="1" ht="15" hidden="1">
      <c r="A261" s="356" t="s">
        <v>517</v>
      </c>
      <c r="B261" s="632" t="s">
        <v>2072</v>
      </c>
      <c r="C261" s="636"/>
      <c r="D261" s="221"/>
      <c r="E261" s="614"/>
      <c r="F261" s="353"/>
      <c r="G261" s="358">
        <f>FF!I191</f>
        <v>0</v>
      </c>
      <c r="H261" s="221" t="s">
        <v>102</v>
      </c>
      <c r="I261" s="355">
        <f>FF!K191</f>
        <v>629.79</v>
      </c>
      <c r="J261" s="353">
        <f>ROUND(G261*I261,0)</f>
        <v>0</v>
      </c>
      <c r="K261" s="1680"/>
      <c r="L261" s="1680"/>
      <c r="M261" s="633" t="s">
        <v>2299</v>
      </c>
      <c r="N261" s="223"/>
      <c r="O261" s="631">
        <f t="shared" si="43"/>
        <v>0</v>
      </c>
    </row>
    <row r="262" spans="1:15" s="360" customFormat="1" ht="15" hidden="1">
      <c r="A262" s="356" t="s">
        <v>517</v>
      </c>
      <c r="B262" s="632" t="s">
        <v>2072</v>
      </c>
      <c r="C262" s="636"/>
      <c r="D262" s="221"/>
      <c r="E262" s="614"/>
      <c r="F262" s="353"/>
      <c r="G262" s="358">
        <f>FF!I197</f>
        <v>0</v>
      </c>
      <c r="H262" s="221" t="s">
        <v>102</v>
      </c>
      <c r="I262" s="355">
        <f>FF!K197</f>
        <v>670.91</v>
      </c>
      <c r="J262" s="353">
        <f>ROUND(G262*I262,0)</f>
        <v>0</v>
      </c>
      <c r="K262" s="1680"/>
      <c r="L262" s="1680"/>
      <c r="M262" s="633" t="s">
        <v>2312</v>
      </c>
      <c r="N262" s="223"/>
      <c r="O262" s="631">
        <f t="shared" si="43"/>
        <v>0</v>
      </c>
    </row>
    <row r="263" spans="1:15" s="360" customFormat="1" ht="15" hidden="1">
      <c r="A263" s="356" t="s">
        <v>517</v>
      </c>
      <c r="B263" s="632" t="s">
        <v>2072</v>
      </c>
      <c r="C263" s="636"/>
      <c r="D263" s="221"/>
      <c r="E263" s="614"/>
      <c r="F263" s="353"/>
      <c r="G263" s="358">
        <f>FF!I203</f>
        <v>0</v>
      </c>
      <c r="H263" s="221" t="s">
        <v>102</v>
      </c>
      <c r="I263" s="355">
        <f>FF!K203</f>
        <v>694.54</v>
      </c>
      <c r="J263" s="353">
        <f>ROUND(G263*I263,0)</f>
        <v>0</v>
      </c>
      <c r="K263" s="1681"/>
      <c r="L263" s="1681"/>
      <c r="M263" s="633" t="s">
        <v>2313</v>
      </c>
      <c r="N263" s="223"/>
      <c r="O263" s="631">
        <f t="shared" si="43"/>
        <v>0</v>
      </c>
    </row>
    <row r="264" spans="1:15" s="360" customFormat="1" ht="15" hidden="1">
      <c r="A264" s="356" t="s">
        <v>517</v>
      </c>
      <c r="B264" s="632" t="s">
        <v>2073</v>
      </c>
      <c r="C264" s="636"/>
      <c r="D264" s="221"/>
      <c r="E264" s="614"/>
      <c r="F264" s="353"/>
      <c r="G264" s="358">
        <f>FF!I209</f>
        <v>0</v>
      </c>
      <c r="H264" s="221" t="s">
        <v>102</v>
      </c>
      <c r="I264" s="355">
        <f>FF!K209</f>
        <v>485.58</v>
      </c>
      <c r="J264" s="353">
        <f t="shared" si="52"/>
        <v>0</v>
      </c>
      <c r="K264" s="1679">
        <f>IF((J264+J265+J266+J267)&gt;(F264+F265+F266+F267),(J264+J265+J266+J267)-(F264+F265+F266+F267),0)</f>
        <v>0</v>
      </c>
      <c r="L264" s="1679">
        <f>IF((J264+J265+J266+J267)&lt;(F264+F265+F266+F267),(F264+F265+F266+F267)-(J264+J265+J266+J267),0)</f>
        <v>0</v>
      </c>
      <c r="M264" s="633" t="s">
        <v>2217</v>
      </c>
      <c r="N264" s="223"/>
      <c r="O264" s="631">
        <f t="shared" si="43"/>
        <v>0</v>
      </c>
    </row>
    <row r="265" spans="1:15" s="360" customFormat="1" ht="15" hidden="1">
      <c r="A265" s="356" t="s">
        <v>517</v>
      </c>
      <c r="B265" s="632" t="s">
        <v>2073</v>
      </c>
      <c r="C265" s="636"/>
      <c r="D265" s="221"/>
      <c r="E265" s="614"/>
      <c r="F265" s="353"/>
      <c r="G265" s="358">
        <f>FF!I215</f>
        <v>0</v>
      </c>
      <c r="H265" s="221" t="s">
        <v>102</v>
      </c>
      <c r="I265" s="355">
        <f>FF!K215</f>
        <v>501.74</v>
      </c>
      <c r="J265" s="353">
        <f>ROUND(G265*I265,0)</f>
        <v>0</v>
      </c>
      <c r="K265" s="1680"/>
      <c r="L265" s="1680"/>
      <c r="M265" s="633" t="s">
        <v>2299</v>
      </c>
      <c r="N265" s="223"/>
      <c r="O265" s="631">
        <f t="shared" si="43"/>
        <v>0</v>
      </c>
    </row>
    <row r="266" spans="1:15" s="360" customFormat="1" ht="15" hidden="1">
      <c r="A266" s="356" t="s">
        <v>517</v>
      </c>
      <c r="B266" s="632" t="s">
        <v>2073</v>
      </c>
      <c r="C266" s="636"/>
      <c r="D266" s="221"/>
      <c r="E266" s="614"/>
      <c r="F266" s="353"/>
      <c r="G266" s="358">
        <f>FF!I221</f>
        <v>0</v>
      </c>
      <c r="H266" s="221" t="s">
        <v>102</v>
      </c>
      <c r="I266" s="355">
        <f>FF!K221</f>
        <v>536.78</v>
      </c>
      <c r="J266" s="353">
        <f>ROUND(G266*I266,0)</f>
        <v>0</v>
      </c>
      <c r="K266" s="1680"/>
      <c r="L266" s="1680"/>
      <c r="M266" s="633" t="s">
        <v>2312</v>
      </c>
      <c r="N266" s="223"/>
      <c r="O266" s="631">
        <f t="shared" si="43"/>
        <v>0</v>
      </c>
    </row>
    <row r="267" spans="1:15" s="360" customFormat="1" ht="15" hidden="1">
      <c r="A267" s="356" t="s">
        <v>517</v>
      </c>
      <c r="B267" s="632" t="s">
        <v>2073</v>
      </c>
      <c r="C267" s="636"/>
      <c r="D267" s="221"/>
      <c r="E267" s="614"/>
      <c r="F267" s="353"/>
      <c r="G267" s="358">
        <f>FF!I227</f>
        <v>0</v>
      </c>
      <c r="H267" s="221" t="s">
        <v>102</v>
      </c>
      <c r="I267" s="355">
        <f>FF!K227</f>
        <v>553.39</v>
      </c>
      <c r="J267" s="353">
        <f>ROUND(G267*I267,0)</f>
        <v>0</v>
      </c>
      <c r="K267" s="1681"/>
      <c r="L267" s="1681"/>
      <c r="M267" s="633" t="s">
        <v>2313</v>
      </c>
      <c r="N267" s="223"/>
      <c r="O267" s="631">
        <f t="shared" si="43"/>
        <v>0</v>
      </c>
    </row>
    <row r="268" spans="1:15" s="360" customFormat="1" ht="51" hidden="1">
      <c r="A268" s="356" t="s">
        <v>501</v>
      </c>
      <c r="B268" s="632" t="s">
        <v>3188</v>
      </c>
      <c r="C268" s="568"/>
      <c r="D268" s="791" t="s">
        <v>5</v>
      </c>
      <c r="E268" s="10">
        <v>9189.6419999999998</v>
      </c>
      <c r="F268" s="792">
        <f t="shared" ref="F268" si="56">ROUND(C268*E268,0)</f>
        <v>0</v>
      </c>
      <c r="G268" s="358">
        <f>FF!I238</f>
        <v>0</v>
      </c>
      <c r="H268" s="354" t="s">
        <v>5</v>
      </c>
      <c r="I268" s="355">
        <f>FF!K238</f>
        <v>9842.01</v>
      </c>
      <c r="J268" s="353">
        <f t="shared" si="52"/>
        <v>0</v>
      </c>
      <c r="K268" s="1679">
        <f>IF((J268+J269+J270+J271)&gt;(F268+F269+F270+F271),(J268+J269+J270+J271)-(F268+F269+F270+F271),0)</f>
        <v>0</v>
      </c>
      <c r="L268" s="1679">
        <f>IF((J268+J269+J270+J271)&lt;(F268+F269+F270+F271),(F268+F269+F270+F271)-(J268+J269+J270+J271),0)</f>
        <v>0</v>
      </c>
      <c r="M268" s="851" t="s">
        <v>2217</v>
      </c>
      <c r="N268" s="223"/>
      <c r="O268" s="850">
        <f t="shared" ref="O268:O331" si="57">F268-J268</f>
        <v>0</v>
      </c>
    </row>
    <row r="269" spans="1:15" s="360" customFormat="1" ht="15" hidden="1">
      <c r="A269" s="356" t="s">
        <v>516</v>
      </c>
      <c r="B269" s="632" t="s">
        <v>2069</v>
      </c>
      <c r="C269" s="634"/>
      <c r="D269" s="354"/>
      <c r="E269" s="10"/>
      <c r="F269" s="353"/>
      <c r="G269" s="358">
        <f>FF!I259</f>
        <v>0</v>
      </c>
      <c r="H269" s="354" t="s">
        <v>5</v>
      </c>
      <c r="I269" s="355">
        <f>FF!K259</f>
        <v>10212.370000000001</v>
      </c>
      <c r="J269" s="353">
        <f>ROUND(G269*I269,0)</f>
        <v>0</v>
      </c>
      <c r="K269" s="1680"/>
      <c r="L269" s="1680"/>
      <c r="M269" s="633" t="s">
        <v>2299</v>
      </c>
      <c r="N269" s="223"/>
      <c r="O269" s="631">
        <f t="shared" si="57"/>
        <v>0</v>
      </c>
    </row>
    <row r="270" spans="1:15" s="360" customFormat="1" ht="15" hidden="1">
      <c r="A270" s="356" t="s">
        <v>513</v>
      </c>
      <c r="B270" s="632" t="s">
        <v>2069</v>
      </c>
      <c r="C270" s="634"/>
      <c r="D270" s="354"/>
      <c r="E270" s="10"/>
      <c r="F270" s="353"/>
      <c r="G270" s="358">
        <f>FF!I270</f>
        <v>0</v>
      </c>
      <c r="H270" s="354" t="s">
        <v>5</v>
      </c>
      <c r="I270" s="355">
        <f>FF!K270</f>
        <v>10781.86</v>
      </c>
      <c r="J270" s="353">
        <f>ROUND(G270*I270,0)</f>
        <v>0</v>
      </c>
      <c r="K270" s="1680"/>
      <c r="L270" s="1680"/>
      <c r="M270" s="633" t="s">
        <v>2312</v>
      </c>
      <c r="N270" s="223"/>
      <c r="O270" s="631">
        <f t="shared" si="57"/>
        <v>0</v>
      </c>
    </row>
    <row r="271" spans="1:15" s="360" customFormat="1" ht="15" hidden="1">
      <c r="A271" s="356" t="s">
        <v>513</v>
      </c>
      <c r="B271" s="632" t="s">
        <v>2069</v>
      </c>
      <c r="C271" s="634"/>
      <c r="D271" s="354"/>
      <c r="E271" s="10"/>
      <c r="F271" s="353"/>
      <c r="G271" s="358">
        <f>FF!I276</f>
        <v>0</v>
      </c>
      <c r="H271" s="354" t="s">
        <v>5</v>
      </c>
      <c r="I271" s="355">
        <f>FF!K276</f>
        <v>11212.51</v>
      </c>
      <c r="J271" s="353">
        <f>ROUND(G271*I271,0)</f>
        <v>0</v>
      </c>
      <c r="K271" s="1681"/>
      <c r="L271" s="1681"/>
      <c r="M271" s="633" t="s">
        <v>2313</v>
      </c>
      <c r="N271" s="223"/>
      <c r="O271" s="631">
        <f t="shared" si="57"/>
        <v>0</v>
      </c>
    </row>
    <row r="272" spans="1:15" s="360" customFormat="1" ht="51" hidden="1">
      <c r="A272" s="356" t="s">
        <v>502</v>
      </c>
      <c r="B272" s="632" t="s">
        <v>3189</v>
      </c>
      <c r="C272" s="825"/>
      <c r="D272" s="794" t="s">
        <v>277</v>
      </c>
      <c r="E272" s="10">
        <v>807.64800000000002</v>
      </c>
      <c r="F272" s="792">
        <f t="shared" ref="F272" si="58">ROUND(C272*E272,0)</f>
        <v>0</v>
      </c>
      <c r="G272" s="358">
        <f>FF!I282</f>
        <v>0</v>
      </c>
      <c r="H272" s="221" t="s">
        <v>277</v>
      </c>
      <c r="I272" s="355">
        <f>FF!K282</f>
        <v>568.34999999999991</v>
      </c>
      <c r="J272" s="353">
        <f t="shared" si="52"/>
        <v>0</v>
      </c>
      <c r="K272" s="1679">
        <f>IF((J272+J273+J274+J275)&gt;(F272+F273+F274+F275),(J272+J273+J274+J275)-(F272+F273+F274+F275),0)</f>
        <v>0</v>
      </c>
      <c r="L272" s="1679">
        <f>IF((J272+J273+J274+J275)&lt;(F272+F273+F274+F275),(F272+F273+F274+F275)-(J272+J273+J274+J275),0)</f>
        <v>0</v>
      </c>
      <c r="M272" s="851" t="s">
        <v>2217</v>
      </c>
      <c r="N272" s="223"/>
      <c r="O272" s="850">
        <f t="shared" si="57"/>
        <v>0</v>
      </c>
    </row>
    <row r="273" spans="1:15" s="360" customFormat="1" ht="15" hidden="1">
      <c r="A273" s="356" t="s">
        <v>518</v>
      </c>
      <c r="B273" s="632" t="s">
        <v>2070</v>
      </c>
      <c r="C273" s="551"/>
      <c r="D273" s="221"/>
      <c r="E273" s="10"/>
      <c r="F273" s="353"/>
      <c r="G273" s="358">
        <f>FF!I288</f>
        <v>0</v>
      </c>
      <c r="H273" s="221" t="s">
        <v>277</v>
      </c>
      <c r="I273" s="355">
        <f>FF!K288</f>
        <v>582.93999999999994</v>
      </c>
      <c r="J273" s="353">
        <f>ROUND(G273*I273,0)</f>
        <v>0</v>
      </c>
      <c r="K273" s="1680"/>
      <c r="L273" s="1680"/>
      <c r="M273" s="633" t="s">
        <v>2299</v>
      </c>
      <c r="N273" s="223"/>
      <c r="O273" s="631">
        <f t="shared" si="57"/>
        <v>0</v>
      </c>
    </row>
    <row r="274" spans="1:15" s="360" customFormat="1" ht="15" hidden="1">
      <c r="A274" s="356" t="s">
        <v>515</v>
      </c>
      <c r="B274" s="632" t="s">
        <v>2070</v>
      </c>
      <c r="C274" s="551"/>
      <c r="D274" s="221"/>
      <c r="E274" s="10"/>
      <c r="F274" s="353"/>
      <c r="G274" s="358">
        <f>FF!I295</f>
        <v>0</v>
      </c>
      <c r="H274" s="221" t="s">
        <v>277</v>
      </c>
      <c r="I274" s="355">
        <f>FF!K295</f>
        <v>613.88</v>
      </c>
      <c r="J274" s="353">
        <f>ROUND(G274*I274,0)</f>
        <v>0</v>
      </c>
      <c r="K274" s="1680"/>
      <c r="L274" s="1680"/>
      <c r="M274" s="633" t="s">
        <v>2312</v>
      </c>
      <c r="N274" s="223"/>
      <c r="O274" s="631">
        <f t="shared" si="57"/>
        <v>0</v>
      </c>
    </row>
    <row r="275" spans="1:15" s="360" customFormat="1" ht="15" hidden="1">
      <c r="A275" s="356" t="s">
        <v>515</v>
      </c>
      <c r="B275" s="632" t="s">
        <v>2070</v>
      </c>
      <c r="C275" s="551"/>
      <c r="D275" s="221"/>
      <c r="E275" s="10"/>
      <c r="F275" s="353"/>
      <c r="G275" s="358">
        <f>FF!I301</f>
        <v>0</v>
      </c>
      <c r="H275" s="221" t="s">
        <v>277</v>
      </c>
      <c r="I275" s="355">
        <f>FF!K301</f>
        <v>630.35</v>
      </c>
      <c r="J275" s="353">
        <f>ROUND(G275*I275,0)</f>
        <v>0</v>
      </c>
      <c r="K275" s="1681"/>
      <c r="L275" s="1681"/>
      <c r="M275" s="633" t="s">
        <v>2313</v>
      </c>
      <c r="N275" s="223"/>
      <c r="O275" s="631">
        <f t="shared" si="57"/>
        <v>0</v>
      </c>
    </row>
    <row r="276" spans="1:15" s="360" customFormat="1" ht="15" hidden="1">
      <c r="A276" s="356" t="s">
        <v>514</v>
      </c>
      <c r="B276" s="632" t="s">
        <v>1478</v>
      </c>
      <c r="C276" s="636"/>
      <c r="D276" s="221"/>
      <c r="E276" s="10"/>
      <c r="F276" s="353"/>
      <c r="G276" s="358">
        <f>FF!I307</f>
        <v>0</v>
      </c>
      <c r="H276" s="221" t="s">
        <v>102</v>
      </c>
      <c r="I276" s="355">
        <f>FF!K307</f>
        <v>278.81</v>
      </c>
      <c r="J276" s="353">
        <f t="shared" si="52"/>
        <v>0</v>
      </c>
      <c r="K276" s="1679">
        <f>IF((J276+J277+J278+J279)&gt;(F276+F277+F278+F279),(J276+J277+J278+J279)-(F276+F277+F278+F279),0)</f>
        <v>0</v>
      </c>
      <c r="L276" s="1679">
        <f>IF((J276+J277+J278+J279)&lt;(F276+F277+F278+F279),(F276+F277+F278+F279)-(J276+J277+J278+J279),0)</f>
        <v>0</v>
      </c>
      <c r="M276" s="633" t="s">
        <v>2217</v>
      </c>
      <c r="N276" s="223"/>
      <c r="O276" s="631">
        <f t="shared" si="57"/>
        <v>0</v>
      </c>
    </row>
    <row r="277" spans="1:15" s="360" customFormat="1" ht="15" hidden="1">
      <c r="A277" s="356" t="s">
        <v>519</v>
      </c>
      <c r="B277" s="632" t="s">
        <v>1478</v>
      </c>
      <c r="C277" s="636"/>
      <c r="D277" s="221"/>
      <c r="E277" s="10"/>
      <c r="F277" s="353"/>
      <c r="G277" s="358">
        <f>FF!I314</f>
        <v>0</v>
      </c>
      <c r="H277" s="221" t="s">
        <v>102</v>
      </c>
      <c r="I277" s="355">
        <f>FF!K314</f>
        <v>300.63</v>
      </c>
      <c r="J277" s="353">
        <f>ROUND(G277*I277,0)</f>
        <v>0</v>
      </c>
      <c r="K277" s="1680"/>
      <c r="L277" s="1680"/>
      <c r="M277" s="633" t="s">
        <v>2299</v>
      </c>
      <c r="N277" s="223"/>
      <c r="O277" s="631">
        <f t="shared" si="57"/>
        <v>0</v>
      </c>
    </row>
    <row r="278" spans="1:15" s="360" customFormat="1" ht="15" hidden="1">
      <c r="A278" s="356" t="s">
        <v>497</v>
      </c>
      <c r="B278" s="632" t="s">
        <v>1478</v>
      </c>
      <c r="C278" s="636"/>
      <c r="D278" s="221"/>
      <c r="E278" s="10"/>
      <c r="F278" s="353"/>
      <c r="G278" s="358">
        <f>FF!I320</f>
        <v>0</v>
      </c>
      <c r="H278" s="221" t="s">
        <v>102</v>
      </c>
      <c r="I278" s="355">
        <f>FF!K320</f>
        <v>319.08</v>
      </c>
      <c r="J278" s="353">
        <f>ROUND(G278*I278,0)</f>
        <v>0</v>
      </c>
      <c r="K278" s="1680"/>
      <c r="L278" s="1680"/>
      <c r="M278" s="633" t="s">
        <v>2312</v>
      </c>
      <c r="N278" s="223"/>
      <c r="O278" s="631">
        <f t="shared" si="57"/>
        <v>0</v>
      </c>
    </row>
    <row r="279" spans="1:15" s="360" customFormat="1" ht="15" hidden="1">
      <c r="A279" s="356" t="s">
        <v>497</v>
      </c>
      <c r="B279" s="632" t="s">
        <v>1478</v>
      </c>
      <c r="C279" s="636"/>
      <c r="D279" s="221"/>
      <c r="E279" s="10"/>
      <c r="F279" s="353"/>
      <c r="G279" s="358">
        <f>FF!I326</f>
        <v>0</v>
      </c>
      <c r="H279" s="221" t="s">
        <v>102</v>
      </c>
      <c r="I279" s="355">
        <f>FF!K326</f>
        <v>339.16</v>
      </c>
      <c r="J279" s="353">
        <f>ROUND(G279*I279,0)</f>
        <v>0</v>
      </c>
      <c r="K279" s="1681"/>
      <c r="L279" s="1681"/>
      <c r="M279" s="633" t="s">
        <v>2313</v>
      </c>
      <c r="N279" s="223"/>
      <c r="O279" s="631">
        <f t="shared" si="57"/>
        <v>0</v>
      </c>
    </row>
    <row r="280" spans="1:15" s="360" customFormat="1" ht="51" hidden="1">
      <c r="A280" s="356" t="s">
        <v>503</v>
      </c>
      <c r="B280" s="632" t="s">
        <v>3210</v>
      </c>
      <c r="C280" s="568"/>
      <c r="D280" s="794" t="s">
        <v>102</v>
      </c>
      <c r="E280" s="10">
        <v>368.35</v>
      </c>
      <c r="F280" s="792">
        <f t="shared" ref="F280" si="59">ROUND(C280*E280,0)</f>
        <v>0</v>
      </c>
      <c r="G280" s="358">
        <f>FF!I332</f>
        <v>0</v>
      </c>
      <c r="H280" s="221" t="s">
        <v>102</v>
      </c>
      <c r="I280" s="355">
        <f>FF!K332</f>
        <v>356.32</v>
      </c>
      <c r="J280" s="353">
        <f t="shared" si="52"/>
        <v>0</v>
      </c>
      <c r="K280" s="1679">
        <f>IF((J280+J281+J282+J283)&gt;(F280+F281+F282+F283),(J280+J281+J282+J283)-(F280+F281+F282+F283),0)</f>
        <v>0</v>
      </c>
      <c r="L280" s="1679">
        <f>IF((J280+J281+J282+J283)&lt;(F280+F281+F282+F283),(F280+F281+F282+F283)-(J280+J281+J282+J283),0)</f>
        <v>0</v>
      </c>
      <c r="M280" s="851" t="s">
        <v>2217</v>
      </c>
      <c r="N280" s="223"/>
      <c r="O280" s="850">
        <f t="shared" si="57"/>
        <v>0</v>
      </c>
    </row>
    <row r="281" spans="1:15" s="360" customFormat="1" ht="15" hidden="1">
      <c r="A281" s="356" t="s">
        <v>520</v>
      </c>
      <c r="B281" s="632" t="s">
        <v>1479</v>
      </c>
      <c r="C281" s="636"/>
      <c r="D281" s="221"/>
      <c r="E281" s="614"/>
      <c r="F281" s="353"/>
      <c r="G281" s="358">
        <f>FF!I338</f>
        <v>0</v>
      </c>
      <c r="H281" s="221" t="s">
        <v>102</v>
      </c>
      <c r="I281" s="355">
        <f>FF!K338</f>
        <v>385.97</v>
      </c>
      <c r="J281" s="353">
        <f>ROUND(G281*I281,0)</f>
        <v>0</v>
      </c>
      <c r="K281" s="1680"/>
      <c r="L281" s="1680"/>
      <c r="M281" s="633" t="s">
        <v>2299</v>
      </c>
      <c r="N281" s="223"/>
      <c r="O281" s="631">
        <f t="shared" si="57"/>
        <v>0</v>
      </c>
    </row>
    <row r="282" spans="1:15" s="360" customFormat="1" ht="15" hidden="1">
      <c r="A282" s="356" t="s">
        <v>520</v>
      </c>
      <c r="B282" s="632" t="s">
        <v>1479</v>
      </c>
      <c r="C282" s="636"/>
      <c r="D282" s="221"/>
      <c r="E282" s="614"/>
      <c r="F282" s="353"/>
      <c r="G282" s="358">
        <f>FF!I344</f>
        <v>0</v>
      </c>
      <c r="H282" s="221" t="s">
        <v>102</v>
      </c>
      <c r="I282" s="355">
        <f>FF!K344</f>
        <v>410.82</v>
      </c>
      <c r="J282" s="353">
        <f>ROUND(G282*I282,0)</f>
        <v>0</v>
      </c>
      <c r="K282" s="1680"/>
      <c r="L282" s="1680"/>
      <c r="M282" s="633" t="s">
        <v>2312</v>
      </c>
      <c r="N282" s="223"/>
      <c r="O282" s="631">
        <f t="shared" si="57"/>
        <v>0</v>
      </c>
    </row>
    <row r="283" spans="1:15" s="360" customFormat="1" ht="15" hidden="1">
      <c r="A283" s="356" t="s">
        <v>520</v>
      </c>
      <c r="B283" s="632" t="s">
        <v>1479</v>
      </c>
      <c r="C283" s="636"/>
      <c r="D283" s="221"/>
      <c r="E283" s="614"/>
      <c r="F283" s="353"/>
      <c r="G283" s="358">
        <f>FF!I350</f>
        <v>0</v>
      </c>
      <c r="H283" s="221" t="s">
        <v>102</v>
      </c>
      <c r="I283" s="355">
        <f>FF!K350</f>
        <v>438.06</v>
      </c>
      <c r="J283" s="353">
        <f>ROUND(G283*I283,0)</f>
        <v>0</v>
      </c>
      <c r="K283" s="1681"/>
      <c r="L283" s="1681"/>
      <c r="M283" s="633" t="s">
        <v>2313</v>
      </c>
      <c r="N283" s="223"/>
      <c r="O283" s="631">
        <f t="shared" si="57"/>
        <v>0</v>
      </c>
    </row>
    <row r="284" spans="1:15" s="360" customFormat="1" ht="63.75" hidden="1">
      <c r="A284" s="356" t="s">
        <v>504</v>
      </c>
      <c r="B284" s="632" t="s">
        <v>3192</v>
      </c>
      <c r="C284" s="568"/>
      <c r="D284" s="791" t="s">
        <v>5</v>
      </c>
      <c r="E284" s="10">
        <v>5819.6699999999992</v>
      </c>
      <c r="F284" s="792">
        <f t="shared" ref="F284" si="60">ROUND(C284*E284,0)</f>
        <v>0</v>
      </c>
      <c r="G284" s="358">
        <f>FF!I396</f>
        <v>0</v>
      </c>
      <c r="H284" s="354" t="s">
        <v>5</v>
      </c>
      <c r="I284" s="355">
        <f>FF!K396</f>
        <v>5961.27</v>
      </c>
      <c r="J284" s="353">
        <f t="shared" si="52"/>
        <v>0</v>
      </c>
      <c r="K284" s="1679">
        <f>IF((J284+J285+J286+J287)&gt;(F284+F285+F286+F287),(J284+J285+J286+J287)-(F284+F285+F286+F287),0)</f>
        <v>0</v>
      </c>
      <c r="L284" s="1679">
        <f>IF((J284+J285+J286+J287)&lt;(F284+F285+F286+F287),(F284+F285+F286+F287)-(J284+J285+J286+J287),0)</f>
        <v>0</v>
      </c>
      <c r="M284" s="851" t="s">
        <v>2217</v>
      </c>
      <c r="N284" s="223"/>
      <c r="O284" s="850">
        <f t="shared" si="57"/>
        <v>0</v>
      </c>
    </row>
    <row r="285" spans="1:15" s="360" customFormat="1" ht="15" hidden="1">
      <c r="A285" s="356" t="s">
        <v>522</v>
      </c>
      <c r="B285" s="632" t="s">
        <v>829</v>
      </c>
      <c r="C285" s="634"/>
      <c r="D285" s="354"/>
      <c r="E285" s="10"/>
      <c r="F285" s="353"/>
      <c r="G285" s="358">
        <f>FF!I435</f>
        <v>0</v>
      </c>
      <c r="H285" s="354" t="s">
        <v>5</v>
      </c>
      <c r="I285" s="355">
        <f>FF!K435</f>
        <v>6135.0899999999992</v>
      </c>
      <c r="J285" s="353">
        <f>ROUND(G285*I285,0)</f>
        <v>0</v>
      </c>
      <c r="K285" s="1680"/>
      <c r="L285" s="1680"/>
      <c r="M285" s="633" t="s">
        <v>2299</v>
      </c>
      <c r="N285" s="223"/>
      <c r="O285" s="631">
        <f t="shared" si="57"/>
        <v>0</v>
      </c>
    </row>
    <row r="286" spans="1:15" s="360" customFormat="1" ht="15" hidden="1">
      <c r="A286" s="356" t="s">
        <v>519</v>
      </c>
      <c r="B286" s="632" t="s">
        <v>829</v>
      </c>
      <c r="C286" s="634"/>
      <c r="D286" s="354"/>
      <c r="E286" s="10"/>
      <c r="F286" s="353"/>
      <c r="G286" s="358">
        <f>FF!I454</f>
        <v>0</v>
      </c>
      <c r="H286" s="354" t="s">
        <v>5</v>
      </c>
      <c r="I286" s="355">
        <f>FF!K454</f>
        <v>6558.3</v>
      </c>
      <c r="J286" s="353">
        <f>ROUND(G286*I286,0)</f>
        <v>0</v>
      </c>
      <c r="K286" s="1680"/>
      <c r="L286" s="1680"/>
      <c r="M286" s="633" t="s">
        <v>2312</v>
      </c>
      <c r="N286" s="223"/>
      <c r="O286" s="631">
        <f t="shared" si="57"/>
        <v>0</v>
      </c>
    </row>
    <row r="287" spans="1:15" s="360" customFormat="1" ht="15" hidden="1">
      <c r="A287" s="356" t="s">
        <v>519</v>
      </c>
      <c r="B287" s="632" t="s">
        <v>829</v>
      </c>
      <c r="C287" s="634"/>
      <c r="D287" s="354"/>
      <c r="E287" s="10"/>
      <c r="F287" s="353"/>
      <c r="G287" s="358">
        <f>FF!I460</f>
        <v>0</v>
      </c>
      <c r="H287" s="354" t="s">
        <v>5</v>
      </c>
      <c r="I287" s="355">
        <f>FF!K460</f>
        <v>7283.96</v>
      </c>
      <c r="J287" s="353">
        <f>ROUND(G287*I287,0)</f>
        <v>0</v>
      </c>
      <c r="K287" s="1681"/>
      <c r="L287" s="1681"/>
      <c r="M287" s="633" t="s">
        <v>2313</v>
      </c>
      <c r="N287" s="223"/>
      <c r="O287" s="631">
        <f t="shared" si="57"/>
        <v>0</v>
      </c>
    </row>
    <row r="288" spans="1:15" s="360" customFormat="1" ht="15" hidden="1">
      <c r="A288" s="356" t="s">
        <v>491</v>
      </c>
      <c r="B288" s="632" t="s">
        <v>828</v>
      </c>
      <c r="C288" s="634"/>
      <c r="D288" s="354"/>
      <c r="E288" s="10"/>
      <c r="F288" s="353"/>
      <c r="G288" s="358">
        <f>FF!I356</f>
        <v>0</v>
      </c>
      <c r="H288" s="354" t="s">
        <v>5</v>
      </c>
      <c r="I288" s="355">
        <f>FF!K356</f>
        <v>5904.8700000000008</v>
      </c>
      <c r="J288" s="353">
        <f t="shared" si="52"/>
        <v>0</v>
      </c>
      <c r="K288" s="1679">
        <f>IF((J288+J289+J290+J291)&gt;(F288+F289+F290+F291),(J288+J289+J290+J291)-(F288+F289+F290+F291),0)</f>
        <v>0</v>
      </c>
      <c r="L288" s="1679">
        <f>IF((J288+J289+J290+J291)&lt;(F288+F289+F290+F291),(F288+F289+F290+F291)-(J288+J289+J290+J291),0)</f>
        <v>0</v>
      </c>
      <c r="M288" s="633" t="s">
        <v>2217</v>
      </c>
      <c r="N288" s="223"/>
      <c r="O288" s="631">
        <f t="shared" si="57"/>
        <v>0</v>
      </c>
    </row>
    <row r="289" spans="1:15" s="360" customFormat="1" ht="15" hidden="1">
      <c r="A289" s="356" t="s">
        <v>491</v>
      </c>
      <c r="B289" s="632" t="s">
        <v>828</v>
      </c>
      <c r="C289" s="634"/>
      <c r="D289" s="354"/>
      <c r="E289" s="10"/>
      <c r="F289" s="353"/>
      <c r="G289" s="358">
        <f>FF!I362</f>
        <v>0</v>
      </c>
      <c r="H289" s="354" t="s">
        <v>5</v>
      </c>
      <c r="I289" s="355">
        <f>FF!K362</f>
        <v>6078.69</v>
      </c>
      <c r="J289" s="353">
        <f>ROUND(G289*I289,0)</f>
        <v>0</v>
      </c>
      <c r="K289" s="1680"/>
      <c r="L289" s="1680"/>
      <c r="M289" s="633" t="s">
        <v>2299</v>
      </c>
      <c r="N289" s="223"/>
      <c r="O289" s="631">
        <f t="shared" si="57"/>
        <v>0</v>
      </c>
    </row>
    <row r="290" spans="1:15" s="360" customFormat="1" ht="15" hidden="1">
      <c r="A290" s="356" t="s">
        <v>491</v>
      </c>
      <c r="B290" s="632" t="s">
        <v>828</v>
      </c>
      <c r="C290" s="634"/>
      <c r="D290" s="354"/>
      <c r="E290" s="10"/>
      <c r="F290" s="353"/>
      <c r="G290" s="358">
        <f>FF!I368</f>
        <v>0</v>
      </c>
      <c r="H290" s="354" t="s">
        <v>5</v>
      </c>
      <c r="I290" s="355">
        <f>FF!K368</f>
        <v>6501.9000000000005</v>
      </c>
      <c r="J290" s="353">
        <f>ROUND(G290*I290,0)</f>
        <v>0</v>
      </c>
      <c r="K290" s="1680"/>
      <c r="L290" s="1680"/>
      <c r="M290" s="633" t="s">
        <v>2312</v>
      </c>
      <c r="N290" s="223"/>
      <c r="O290" s="631">
        <f t="shared" si="57"/>
        <v>0</v>
      </c>
    </row>
    <row r="291" spans="1:15" s="360" customFormat="1" ht="15" hidden="1">
      <c r="A291" s="356" t="s">
        <v>491</v>
      </c>
      <c r="B291" s="632" t="s">
        <v>828</v>
      </c>
      <c r="C291" s="634"/>
      <c r="D291" s="354"/>
      <c r="E291" s="10"/>
      <c r="F291" s="353"/>
      <c r="G291" s="358">
        <f>FF!I374</f>
        <v>0</v>
      </c>
      <c r="H291" s="354" t="s">
        <v>5</v>
      </c>
      <c r="I291" s="355">
        <f>FF!K374</f>
        <v>7227.5599999999995</v>
      </c>
      <c r="J291" s="353">
        <f>ROUND(G291*I291,0)</f>
        <v>0</v>
      </c>
      <c r="K291" s="1681"/>
      <c r="L291" s="1681"/>
      <c r="M291" s="633" t="s">
        <v>2313</v>
      </c>
      <c r="N291" s="223"/>
      <c r="O291" s="631">
        <f t="shared" si="57"/>
        <v>0</v>
      </c>
    </row>
    <row r="292" spans="1:15" s="360" customFormat="1" ht="51" hidden="1">
      <c r="A292" s="356" t="s">
        <v>506</v>
      </c>
      <c r="B292" s="632" t="s">
        <v>3193</v>
      </c>
      <c r="C292" s="568"/>
      <c r="D292" s="791" t="s">
        <v>102</v>
      </c>
      <c r="E292" s="10">
        <v>7462.23</v>
      </c>
      <c r="F292" s="792">
        <f>ROUND(C292*E292/10,0)</f>
        <v>0</v>
      </c>
      <c r="G292" s="358">
        <f>FF!I487</f>
        <v>0</v>
      </c>
      <c r="H292" s="354" t="s">
        <v>102</v>
      </c>
      <c r="I292" s="355">
        <f>FF!K487</f>
        <v>767.73</v>
      </c>
      <c r="J292" s="353">
        <f t="shared" ref="J292:J300" si="61">ROUND(G292*I292/1,0)</f>
        <v>0</v>
      </c>
      <c r="K292" s="1679">
        <f>IF((J292+J293+J294+J295)&gt;(F292+F293+F294+F295),(J292+J293+J294+J295)-(F292+F293+F294+F295),0)</f>
        <v>0</v>
      </c>
      <c r="L292" s="1679">
        <f>IF((J292+J293+J294+J295)&lt;(F292+F293+F294+F295),(F292+F293+F294+F295)-(J292+J293+J294+J295),0)</f>
        <v>0</v>
      </c>
      <c r="M292" s="851" t="s">
        <v>2217</v>
      </c>
      <c r="N292" s="223"/>
      <c r="O292" s="850">
        <f t="shared" si="57"/>
        <v>0</v>
      </c>
    </row>
    <row r="293" spans="1:15" s="360" customFormat="1" ht="25.5" hidden="1">
      <c r="A293" s="356" t="s">
        <v>525</v>
      </c>
      <c r="B293" s="632" t="s">
        <v>705</v>
      </c>
      <c r="C293" s="634"/>
      <c r="D293" s="354"/>
      <c r="E293" s="10"/>
      <c r="F293" s="353"/>
      <c r="G293" s="358">
        <f>FF!I520</f>
        <v>0</v>
      </c>
      <c r="H293" s="354" t="s">
        <v>102</v>
      </c>
      <c r="I293" s="355">
        <f>FF!K520</f>
        <v>791.59</v>
      </c>
      <c r="J293" s="353">
        <f>ROUND(G293*I293/1,0)</f>
        <v>0</v>
      </c>
      <c r="K293" s="1680"/>
      <c r="L293" s="1680"/>
      <c r="M293" s="633" t="s">
        <v>2299</v>
      </c>
      <c r="N293" s="223"/>
      <c r="O293" s="631">
        <f t="shared" si="57"/>
        <v>0</v>
      </c>
    </row>
    <row r="294" spans="1:15" s="360" customFormat="1" ht="25.5" hidden="1">
      <c r="A294" s="356" t="s">
        <v>521</v>
      </c>
      <c r="B294" s="632" t="s">
        <v>705</v>
      </c>
      <c r="C294" s="634"/>
      <c r="D294" s="354"/>
      <c r="E294" s="10"/>
      <c r="F294" s="353"/>
      <c r="G294" s="358">
        <f>FF!I541</f>
        <v>0</v>
      </c>
      <c r="H294" s="354" t="s">
        <v>102</v>
      </c>
      <c r="I294" s="355">
        <f>FF!K541</f>
        <v>845.07</v>
      </c>
      <c r="J294" s="353">
        <f>ROUND(G294*I294/1,0)</f>
        <v>0</v>
      </c>
      <c r="K294" s="1680"/>
      <c r="L294" s="1680"/>
      <c r="M294" s="633" t="s">
        <v>2312</v>
      </c>
      <c r="N294" s="223"/>
      <c r="O294" s="631">
        <f t="shared" si="57"/>
        <v>0</v>
      </c>
    </row>
    <row r="295" spans="1:15" s="360" customFormat="1" ht="25.5" hidden="1">
      <c r="A295" s="356" t="s">
        <v>521</v>
      </c>
      <c r="B295" s="632" t="s">
        <v>705</v>
      </c>
      <c r="C295" s="634"/>
      <c r="D295" s="354"/>
      <c r="E295" s="10"/>
      <c r="F295" s="353"/>
      <c r="G295" s="358">
        <f>FF!I550</f>
        <v>0</v>
      </c>
      <c r="H295" s="354" t="s">
        <v>102</v>
      </c>
      <c r="I295" s="355">
        <f>FF!K550</f>
        <v>929.28</v>
      </c>
      <c r="J295" s="353">
        <f>ROUND(G295*I295/1,0)</f>
        <v>0</v>
      </c>
      <c r="K295" s="1681"/>
      <c r="L295" s="1681"/>
      <c r="M295" s="633" t="s">
        <v>2313</v>
      </c>
      <c r="N295" s="223"/>
      <c r="O295" s="631">
        <f t="shared" si="57"/>
        <v>0</v>
      </c>
    </row>
    <row r="296" spans="1:15" s="360" customFormat="1" ht="15" hidden="1">
      <c r="A296" s="356" t="s">
        <v>483</v>
      </c>
      <c r="B296" s="632" t="s">
        <v>1221</v>
      </c>
      <c r="C296" s="634"/>
      <c r="D296" s="354"/>
      <c r="E296" s="10"/>
      <c r="F296" s="353"/>
      <c r="G296" s="358">
        <f>FF!I557</f>
        <v>0</v>
      </c>
      <c r="H296" s="354" t="s">
        <v>102</v>
      </c>
      <c r="I296" s="355">
        <f>FF!K557</f>
        <v>5604.44</v>
      </c>
      <c r="J296" s="353">
        <f t="shared" si="61"/>
        <v>0</v>
      </c>
      <c r="K296" s="1679">
        <f>IF((J296+J297+J298+J299)&gt;(F296+F297+F298+F299),(J296+J297+J298+J299)-(F296+F297+F298+F299),0)</f>
        <v>0</v>
      </c>
      <c r="L296" s="1679">
        <f>IF((J296+J297+J298+J299)&lt;(F296+F297+F298+F299),(F296+F297+F298+F299)-(J296+J297+J298+J299),0)</f>
        <v>0</v>
      </c>
      <c r="M296" s="633" t="s">
        <v>2217</v>
      </c>
      <c r="N296" s="223"/>
      <c r="O296" s="631">
        <f t="shared" si="57"/>
        <v>0</v>
      </c>
    </row>
    <row r="297" spans="1:15" s="360" customFormat="1" ht="15" hidden="1">
      <c r="A297" s="356" t="s">
        <v>483</v>
      </c>
      <c r="B297" s="632" t="s">
        <v>1221</v>
      </c>
      <c r="C297" s="634"/>
      <c r="D297" s="354"/>
      <c r="E297" s="10"/>
      <c r="F297" s="353"/>
      <c r="G297" s="358">
        <f>FF!I564</f>
        <v>0</v>
      </c>
      <c r="H297" s="354" t="s">
        <v>102</v>
      </c>
      <c r="I297" s="355">
        <f>FF!K564</f>
        <v>5800.61</v>
      </c>
      <c r="J297" s="353">
        <f>ROUND(G297*I297/1,0)</f>
        <v>0</v>
      </c>
      <c r="K297" s="1680"/>
      <c r="L297" s="1680"/>
      <c r="M297" s="633" t="s">
        <v>2299</v>
      </c>
      <c r="N297" s="223"/>
      <c r="O297" s="631">
        <f t="shared" si="57"/>
        <v>0</v>
      </c>
    </row>
    <row r="298" spans="1:15" s="360" customFormat="1" ht="15" hidden="1">
      <c r="A298" s="356" t="s">
        <v>483</v>
      </c>
      <c r="B298" s="632" t="s">
        <v>1221</v>
      </c>
      <c r="C298" s="634"/>
      <c r="D298" s="354"/>
      <c r="E298" s="10"/>
      <c r="F298" s="353"/>
      <c r="G298" s="358">
        <f>FF!I571</f>
        <v>0</v>
      </c>
      <c r="H298" s="354" t="s">
        <v>102</v>
      </c>
      <c r="I298" s="355">
        <f>FF!K571</f>
        <v>6321.16</v>
      </c>
      <c r="J298" s="353">
        <f>ROUND(G298*I298/1,0)</f>
        <v>0</v>
      </c>
      <c r="K298" s="1680"/>
      <c r="L298" s="1680"/>
      <c r="M298" s="633" t="s">
        <v>2312</v>
      </c>
      <c r="N298" s="223"/>
      <c r="O298" s="631">
        <f t="shared" si="57"/>
        <v>0</v>
      </c>
    </row>
    <row r="299" spans="1:15" s="360" customFormat="1" ht="15" hidden="1">
      <c r="A299" s="356" t="s">
        <v>483</v>
      </c>
      <c r="B299" s="632" t="s">
        <v>1221</v>
      </c>
      <c r="C299" s="634"/>
      <c r="D299" s="354"/>
      <c r="E299" s="10"/>
      <c r="F299" s="353"/>
      <c r="G299" s="358">
        <f>FF!I578</f>
        <v>0</v>
      </c>
      <c r="H299" s="354" t="s">
        <v>102</v>
      </c>
      <c r="I299" s="355">
        <f>FF!K578</f>
        <v>6718.55</v>
      </c>
      <c r="J299" s="353">
        <f>ROUND(G299*I299/1,0)</f>
        <v>0</v>
      </c>
      <c r="K299" s="1681"/>
      <c r="L299" s="1681"/>
      <c r="M299" s="633" t="s">
        <v>2313</v>
      </c>
      <c r="N299" s="223"/>
      <c r="O299" s="631">
        <f t="shared" si="57"/>
        <v>0</v>
      </c>
    </row>
    <row r="300" spans="1:15" s="360" customFormat="1" ht="15" hidden="1">
      <c r="A300" s="356" t="s">
        <v>484</v>
      </c>
      <c r="B300" s="632" t="s">
        <v>1214</v>
      </c>
      <c r="C300" s="636"/>
      <c r="D300" s="354"/>
      <c r="E300" s="614"/>
      <c r="F300" s="353"/>
      <c r="G300" s="358">
        <f>FF!I584</f>
        <v>0</v>
      </c>
      <c r="H300" s="354" t="s">
        <v>102</v>
      </c>
      <c r="I300" s="355">
        <f>FF!K584</f>
        <v>1906.95</v>
      </c>
      <c r="J300" s="353">
        <f t="shared" si="61"/>
        <v>0</v>
      </c>
      <c r="K300" s="1679">
        <f>IF((J300+J301+J302+J303)&gt;(F300+F301+F302+F303),(J300+J301+J302+J303)-(F300+F301+F302+F303),0)</f>
        <v>0</v>
      </c>
      <c r="L300" s="1679">
        <f>IF((J300+J301+J302+J303)&lt;(F300+F301+F302+F303),(F300+F301+F302+F303)-(J300+J301+J302+J303),0)</f>
        <v>0</v>
      </c>
      <c r="M300" s="633" t="s">
        <v>2217</v>
      </c>
      <c r="N300" s="223"/>
      <c r="O300" s="631">
        <f t="shared" si="57"/>
        <v>0</v>
      </c>
    </row>
    <row r="301" spans="1:15" s="360" customFormat="1" ht="15" hidden="1">
      <c r="A301" s="356" t="s">
        <v>484</v>
      </c>
      <c r="B301" s="632" t="s">
        <v>1214</v>
      </c>
      <c r="C301" s="636"/>
      <c r="D301" s="354"/>
      <c r="E301" s="614"/>
      <c r="F301" s="353"/>
      <c r="G301" s="358">
        <f>FF!I590</f>
        <v>0</v>
      </c>
      <c r="H301" s="354" t="s">
        <v>102</v>
      </c>
      <c r="I301" s="355">
        <f>FF!K590</f>
        <v>2066.33</v>
      </c>
      <c r="J301" s="353">
        <f>ROUND(G301*I301/1,0)</f>
        <v>0</v>
      </c>
      <c r="K301" s="1680"/>
      <c r="L301" s="1680"/>
      <c r="M301" s="633" t="s">
        <v>2299</v>
      </c>
      <c r="N301" s="223"/>
      <c r="O301" s="631">
        <f t="shared" si="57"/>
        <v>0</v>
      </c>
    </row>
    <row r="302" spans="1:15" s="360" customFormat="1" ht="15" hidden="1">
      <c r="A302" s="356" t="s">
        <v>484</v>
      </c>
      <c r="B302" s="632" t="s">
        <v>1214</v>
      </c>
      <c r="C302" s="636"/>
      <c r="D302" s="354"/>
      <c r="E302" s="614"/>
      <c r="F302" s="353"/>
      <c r="G302" s="358">
        <f>FF!I596</f>
        <v>0</v>
      </c>
      <c r="H302" s="354" t="s">
        <v>102</v>
      </c>
      <c r="I302" s="355">
        <f>FF!K596</f>
        <v>2199.0300000000002</v>
      </c>
      <c r="J302" s="353">
        <f>ROUND(G302*I302/1,0)</f>
        <v>0</v>
      </c>
      <c r="K302" s="1680"/>
      <c r="L302" s="1680"/>
      <c r="M302" s="633" t="s">
        <v>2312</v>
      </c>
      <c r="N302" s="223"/>
      <c r="O302" s="631">
        <f t="shared" si="57"/>
        <v>0</v>
      </c>
    </row>
    <row r="303" spans="1:15" s="360" customFormat="1" ht="15" hidden="1">
      <c r="A303" s="356" t="s">
        <v>484</v>
      </c>
      <c r="B303" s="632" t="s">
        <v>1214</v>
      </c>
      <c r="C303" s="636"/>
      <c r="D303" s="354"/>
      <c r="E303" s="614"/>
      <c r="F303" s="353"/>
      <c r="G303" s="358">
        <f>FF!I602</f>
        <v>0</v>
      </c>
      <c r="H303" s="354" t="s">
        <v>102</v>
      </c>
      <c r="I303" s="355">
        <f>FF!K602</f>
        <v>2346.34</v>
      </c>
      <c r="J303" s="353">
        <f>ROUND(G303*I303/1,0)</f>
        <v>0</v>
      </c>
      <c r="K303" s="1681"/>
      <c r="L303" s="1681"/>
      <c r="M303" s="633" t="s">
        <v>2313</v>
      </c>
      <c r="N303" s="223"/>
      <c r="O303" s="631">
        <f t="shared" si="57"/>
        <v>0</v>
      </c>
    </row>
    <row r="304" spans="1:15" s="360" customFormat="1" ht="63.75" hidden="1">
      <c r="A304" s="356" t="s">
        <v>508</v>
      </c>
      <c r="B304" s="632" t="s">
        <v>3194</v>
      </c>
      <c r="C304" s="568"/>
      <c r="D304" s="791" t="s">
        <v>102</v>
      </c>
      <c r="E304" s="10">
        <v>283.68</v>
      </c>
      <c r="F304" s="792">
        <f t="shared" ref="F304" si="62">ROUND(C304*E304,0)</f>
        <v>0</v>
      </c>
      <c r="G304" s="358">
        <f>FF!I621</f>
        <v>0</v>
      </c>
      <c r="H304" s="354" t="s">
        <v>102</v>
      </c>
      <c r="I304" s="355">
        <f>FF!K621</f>
        <v>292.7</v>
      </c>
      <c r="J304" s="353">
        <f t="shared" ref="J304:J380" si="63">ROUND(G304*I304,0)</f>
        <v>0</v>
      </c>
      <c r="K304" s="1679">
        <f>IF((J304+J305+J306+J307)&gt;(F304+F305+F306+F307),(J304+J305+J306+J307)-(F304+F305+F306+F307),0)</f>
        <v>0</v>
      </c>
      <c r="L304" s="1679">
        <f>IF((J304+J305+J306+J307)&lt;(F304+F305+F306+F307),(F304+F305+F306+F307)-(J304+J305+J306+J307),0)</f>
        <v>0</v>
      </c>
      <c r="M304" s="851" t="s">
        <v>2217</v>
      </c>
      <c r="N304" s="223"/>
      <c r="O304" s="850">
        <f t="shared" si="57"/>
        <v>0</v>
      </c>
    </row>
    <row r="305" spans="1:15" s="360" customFormat="1" ht="15" hidden="1">
      <c r="A305" s="356" t="s">
        <v>527</v>
      </c>
      <c r="B305" s="632" t="s">
        <v>481</v>
      </c>
      <c r="C305" s="634"/>
      <c r="D305" s="354"/>
      <c r="E305" s="10"/>
      <c r="F305" s="353"/>
      <c r="G305" s="358">
        <f>FF!I652</f>
        <v>0</v>
      </c>
      <c r="H305" s="354" t="s">
        <v>102</v>
      </c>
      <c r="I305" s="355">
        <f>FF!K652</f>
        <v>313.52</v>
      </c>
      <c r="J305" s="353">
        <f>ROUND(G305*I305,0)</f>
        <v>0</v>
      </c>
      <c r="K305" s="1680"/>
      <c r="L305" s="1680"/>
      <c r="M305" s="633" t="s">
        <v>2299</v>
      </c>
      <c r="N305" s="223"/>
      <c r="O305" s="631">
        <f t="shared" si="57"/>
        <v>0</v>
      </c>
    </row>
    <row r="306" spans="1:15" s="360" customFormat="1" ht="15" hidden="1">
      <c r="A306" s="356" t="s">
        <v>516</v>
      </c>
      <c r="B306" s="632" t="s">
        <v>481</v>
      </c>
      <c r="C306" s="634"/>
      <c r="D306" s="354"/>
      <c r="E306" s="10"/>
      <c r="F306" s="353"/>
      <c r="G306" s="358">
        <f>FF!I659</f>
        <v>0</v>
      </c>
      <c r="H306" s="354" t="s">
        <v>102</v>
      </c>
      <c r="I306" s="355">
        <f>FF!K659</f>
        <v>332.3</v>
      </c>
      <c r="J306" s="353">
        <f>ROUND(G306*I306,0)</f>
        <v>0</v>
      </c>
      <c r="K306" s="1680"/>
      <c r="L306" s="1680"/>
      <c r="M306" s="633" t="s">
        <v>2312</v>
      </c>
      <c r="N306" s="223"/>
      <c r="O306" s="631">
        <f t="shared" si="57"/>
        <v>0</v>
      </c>
    </row>
    <row r="307" spans="1:15" s="360" customFormat="1" ht="15" hidden="1">
      <c r="A307" s="356" t="s">
        <v>516</v>
      </c>
      <c r="B307" s="632" t="s">
        <v>481</v>
      </c>
      <c r="C307" s="634"/>
      <c r="D307" s="354"/>
      <c r="E307" s="10"/>
      <c r="F307" s="353"/>
      <c r="G307" s="358">
        <f>FF!I678</f>
        <v>0</v>
      </c>
      <c r="H307" s="354" t="s">
        <v>102</v>
      </c>
      <c r="I307" s="355">
        <f>FF!K678</f>
        <v>351.17</v>
      </c>
      <c r="J307" s="353">
        <f>ROUND(G307*I307,0)</f>
        <v>0</v>
      </c>
      <c r="K307" s="1681"/>
      <c r="L307" s="1681"/>
      <c r="M307" s="633" t="s">
        <v>2313</v>
      </c>
      <c r="N307" s="223"/>
      <c r="O307" s="631">
        <f t="shared" si="57"/>
        <v>0</v>
      </c>
    </row>
    <row r="308" spans="1:15" s="360" customFormat="1" ht="15" hidden="1">
      <c r="A308" s="356" t="s">
        <v>516</v>
      </c>
      <c r="B308" s="632" t="s">
        <v>505</v>
      </c>
      <c r="C308" s="568"/>
      <c r="D308" s="791"/>
      <c r="E308" s="567"/>
      <c r="F308" s="792"/>
      <c r="G308" s="358">
        <f>FF!I686</f>
        <v>0</v>
      </c>
      <c r="H308" s="354" t="s">
        <v>102</v>
      </c>
      <c r="I308" s="355">
        <f>FF!K686</f>
        <v>265.42</v>
      </c>
      <c r="J308" s="353">
        <f t="shared" si="63"/>
        <v>0</v>
      </c>
      <c r="K308" s="1679">
        <f>IF((J308+J309+J310+J311)&gt;(F308+F309+F310+F311),(J308+J309+J310+J311)-(F308+F309+F310+F311),0)</f>
        <v>0</v>
      </c>
      <c r="L308" s="1679">
        <f>IF((J308+J309+J310+J311)&lt;(F308+F309+F310+F311),(F308+F309+F310+F311)-(J308+J309+J310+J311),0)</f>
        <v>0</v>
      </c>
      <c r="M308" s="633" t="s">
        <v>2217</v>
      </c>
      <c r="N308" s="223"/>
      <c r="O308" s="631">
        <f t="shared" si="57"/>
        <v>0</v>
      </c>
    </row>
    <row r="309" spans="1:15" s="360" customFormat="1" ht="15" hidden="1">
      <c r="A309" s="356" t="s">
        <v>516</v>
      </c>
      <c r="B309" s="632" t="s">
        <v>505</v>
      </c>
      <c r="C309" s="611"/>
      <c r="D309" s="354"/>
      <c r="E309" s="362"/>
      <c r="F309" s="353"/>
      <c r="G309" s="358">
        <f>FF!I694</f>
        <v>0</v>
      </c>
      <c r="H309" s="354" t="s">
        <v>102</v>
      </c>
      <c r="I309" s="355">
        <f>FF!K694</f>
        <v>286.25</v>
      </c>
      <c r="J309" s="353">
        <f>ROUND(G309*I309,0)</f>
        <v>0</v>
      </c>
      <c r="K309" s="1680"/>
      <c r="L309" s="1680"/>
      <c r="M309" s="633" t="s">
        <v>2299</v>
      </c>
      <c r="N309" s="223"/>
      <c r="O309" s="631">
        <f t="shared" si="57"/>
        <v>0</v>
      </c>
    </row>
    <row r="310" spans="1:15" s="360" customFormat="1" ht="15" hidden="1">
      <c r="A310" s="356" t="s">
        <v>516</v>
      </c>
      <c r="B310" s="632" t="s">
        <v>505</v>
      </c>
      <c r="C310" s="611"/>
      <c r="D310" s="354"/>
      <c r="E310" s="362"/>
      <c r="F310" s="353"/>
      <c r="G310" s="358">
        <f>FF!I702</f>
        <v>0</v>
      </c>
      <c r="H310" s="354" t="s">
        <v>102</v>
      </c>
      <c r="I310" s="355">
        <f>FF!K702</f>
        <v>304.16000000000003</v>
      </c>
      <c r="J310" s="353">
        <f>ROUND(G310*I310,0)</f>
        <v>0</v>
      </c>
      <c r="K310" s="1680"/>
      <c r="L310" s="1680"/>
      <c r="M310" s="633" t="s">
        <v>2312</v>
      </c>
      <c r="N310" s="223"/>
      <c r="O310" s="631">
        <f t="shared" si="57"/>
        <v>0</v>
      </c>
    </row>
    <row r="311" spans="1:15" s="360" customFormat="1" ht="15" hidden="1">
      <c r="A311" s="356" t="s">
        <v>516</v>
      </c>
      <c r="B311" s="632" t="s">
        <v>505</v>
      </c>
      <c r="C311" s="611"/>
      <c r="D311" s="354"/>
      <c r="E311" s="362"/>
      <c r="F311" s="353"/>
      <c r="G311" s="358">
        <f>FF!I710</f>
        <v>0</v>
      </c>
      <c r="H311" s="354" t="s">
        <v>102</v>
      </c>
      <c r="I311" s="355">
        <f>FF!K710</f>
        <v>323.04000000000002</v>
      </c>
      <c r="J311" s="353">
        <f>ROUND(G311*I311,0)</f>
        <v>0</v>
      </c>
      <c r="K311" s="1681"/>
      <c r="L311" s="1681"/>
      <c r="M311" s="633" t="s">
        <v>2313</v>
      </c>
      <c r="N311" s="223"/>
      <c r="O311" s="631">
        <f t="shared" si="57"/>
        <v>0</v>
      </c>
    </row>
    <row r="312" spans="1:15" s="360" customFormat="1" ht="15" hidden="1">
      <c r="A312" s="356" t="s">
        <v>517</v>
      </c>
      <c r="B312" s="632" t="s">
        <v>805</v>
      </c>
      <c r="C312" s="611"/>
      <c r="D312" s="354"/>
      <c r="E312" s="362"/>
      <c r="F312" s="353"/>
      <c r="G312" s="358">
        <f>FF!I718</f>
        <v>0</v>
      </c>
      <c r="H312" s="354" t="s">
        <v>102</v>
      </c>
      <c r="I312" s="355">
        <f>FF!K718</f>
        <v>283.27999999999997</v>
      </c>
      <c r="J312" s="353">
        <f t="shared" si="63"/>
        <v>0</v>
      </c>
      <c r="K312" s="1679">
        <f>IF((J312+J313+J314+J315)&gt;(F312+F313+F314+F315),(J312+J313+J314+J315)-(F312+F313+F314+F315),0)</f>
        <v>0</v>
      </c>
      <c r="L312" s="1679">
        <f>IF((J312+J313+J314+J315)&lt;(F312+F313+F314+F315),(F312+F313+F314+F315)-(J312+J313+J314+J315),0)</f>
        <v>0</v>
      </c>
      <c r="M312" s="633" t="s">
        <v>2217</v>
      </c>
      <c r="N312" s="223"/>
      <c r="O312" s="631">
        <f t="shared" si="57"/>
        <v>0</v>
      </c>
    </row>
    <row r="313" spans="1:15" s="360" customFormat="1" ht="15" hidden="1">
      <c r="A313" s="356" t="s">
        <v>517</v>
      </c>
      <c r="B313" s="632" t="s">
        <v>805</v>
      </c>
      <c r="C313" s="611"/>
      <c r="D313" s="354"/>
      <c r="E313" s="362"/>
      <c r="F313" s="353"/>
      <c r="G313" s="358">
        <f>FF!I726</f>
        <v>0</v>
      </c>
      <c r="H313" s="354" t="s">
        <v>102</v>
      </c>
      <c r="I313" s="355">
        <f>FF!K726</f>
        <v>304.66000000000003</v>
      </c>
      <c r="J313" s="353">
        <f>ROUND(G313*I313,0)</f>
        <v>0</v>
      </c>
      <c r="K313" s="1680"/>
      <c r="L313" s="1680"/>
      <c r="M313" s="633" t="s">
        <v>2299</v>
      </c>
      <c r="N313" s="223"/>
      <c r="O313" s="631">
        <f t="shared" si="57"/>
        <v>0</v>
      </c>
    </row>
    <row r="314" spans="1:15" s="360" customFormat="1" ht="15" hidden="1">
      <c r="A314" s="356" t="s">
        <v>517</v>
      </c>
      <c r="B314" s="632" t="s">
        <v>805</v>
      </c>
      <c r="C314" s="611"/>
      <c r="D314" s="354"/>
      <c r="E314" s="362"/>
      <c r="F314" s="353"/>
      <c r="G314" s="358">
        <f>FF!I734</f>
        <v>0</v>
      </c>
      <c r="H314" s="354" t="s">
        <v>102</v>
      </c>
      <c r="I314" s="355">
        <f>FF!K734</f>
        <v>323.85000000000002</v>
      </c>
      <c r="J314" s="353">
        <f>ROUND(G314*I314,0)</f>
        <v>0</v>
      </c>
      <c r="K314" s="1680"/>
      <c r="L314" s="1680"/>
      <c r="M314" s="633" t="s">
        <v>2312</v>
      </c>
      <c r="N314" s="223"/>
      <c r="O314" s="631">
        <f t="shared" si="57"/>
        <v>0</v>
      </c>
    </row>
    <row r="315" spans="1:15" s="360" customFormat="1" ht="15" hidden="1">
      <c r="A315" s="356" t="s">
        <v>517</v>
      </c>
      <c r="B315" s="632" t="s">
        <v>805</v>
      </c>
      <c r="C315" s="611"/>
      <c r="D315" s="354"/>
      <c r="E315" s="362"/>
      <c r="F315" s="353"/>
      <c r="G315" s="358">
        <f>FF!I742</f>
        <v>0</v>
      </c>
      <c r="H315" s="354" t="s">
        <v>102</v>
      </c>
      <c r="I315" s="355">
        <f>FF!K742</f>
        <v>343.23</v>
      </c>
      <c r="J315" s="353">
        <f>ROUND(G315*I315,0)</f>
        <v>0</v>
      </c>
      <c r="K315" s="1681"/>
      <c r="L315" s="1681"/>
      <c r="M315" s="633" t="s">
        <v>2313</v>
      </c>
      <c r="N315" s="223"/>
      <c r="O315" s="631">
        <f t="shared" si="57"/>
        <v>0</v>
      </c>
    </row>
    <row r="316" spans="1:15" s="360" customFormat="1" ht="51" hidden="1">
      <c r="A316" s="356" t="s">
        <v>510</v>
      </c>
      <c r="B316" s="632" t="s">
        <v>3196</v>
      </c>
      <c r="C316" s="568"/>
      <c r="D316" s="791" t="s">
        <v>102</v>
      </c>
      <c r="E316" s="10">
        <v>260.10000000000002</v>
      </c>
      <c r="F316" s="792">
        <f t="shared" ref="F316" si="64">ROUND(C316*E316,0)</f>
        <v>0</v>
      </c>
      <c r="G316" s="358">
        <f>FF!I770</f>
        <v>0</v>
      </c>
      <c r="H316" s="354" t="s">
        <v>102</v>
      </c>
      <c r="I316" s="355">
        <f>FF!K770</f>
        <v>348.66</v>
      </c>
      <c r="J316" s="353">
        <f t="shared" si="63"/>
        <v>0</v>
      </c>
      <c r="K316" s="1679">
        <f>IF((J316+J317+J318+J319)&gt;(F316+F317+F318+F319),(J316+J317+J318+J319)-(F316+F317+F318+F319),0)</f>
        <v>0</v>
      </c>
      <c r="L316" s="1679">
        <f>IF((J316+J317+J318+J319)&lt;(F316+F317+F318+F319),(F316+F317+F318+F319)-(J316+J317+J318+J319),0)</f>
        <v>0</v>
      </c>
      <c r="M316" s="851" t="s">
        <v>2217</v>
      </c>
      <c r="N316" s="223"/>
      <c r="O316" s="850">
        <f t="shared" si="57"/>
        <v>0</v>
      </c>
    </row>
    <row r="317" spans="1:15" s="360" customFormat="1" ht="15" hidden="1">
      <c r="A317" s="356" t="s">
        <v>1579</v>
      </c>
      <c r="B317" s="632" t="s">
        <v>830</v>
      </c>
      <c r="C317" s="634"/>
      <c r="D317" s="354"/>
      <c r="E317" s="10"/>
      <c r="F317" s="353"/>
      <c r="G317" s="358">
        <f>FF!I823</f>
        <v>0</v>
      </c>
      <c r="H317" s="354" t="s">
        <v>102</v>
      </c>
      <c r="I317" s="355">
        <f>FF!K823</f>
        <v>376.98</v>
      </c>
      <c r="J317" s="353">
        <f>ROUND(G317*I317,0)</f>
        <v>0</v>
      </c>
      <c r="K317" s="1680"/>
      <c r="L317" s="1680"/>
      <c r="M317" s="633" t="s">
        <v>2299</v>
      </c>
      <c r="N317" s="223"/>
      <c r="O317" s="631">
        <f t="shared" si="57"/>
        <v>0</v>
      </c>
    </row>
    <row r="318" spans="1:15" s="360" customFormat="1" ht="15" hidden="1">
      <c r="A318" s="356" t="s">
        <v>518</v>
      </c>
      <c r="B318" s="632" t="s">
        <v>830</v>
      </c>
      <c r="C318" s="634"/>
      <c r="D318" s="354"/>
      <c r="E318" s="10"/>
      <c r="F318" s="353"/>
      <c r="G318" s="358">
        <f>FF!I830</f>
        <v>0</v>
      </c>
      <c r="H318" s="354" t="s">
        <v>102</v>
      </c>
      <c r="I318" s="355">
        <f>FF!K830</f>
        <v>400.13</v>
      </c>
      <c r="J318" s="353">
        <f>ROUND(G318*I318,0)</f>
        <v>0</v>
      </c>
      <c r="K318" s="1680"/>
      <c r="L318" s="1680"/>
      <c r="M318" s="633" t="s">
        <v>2312</v>
      </c>
      <c r="N318" s="223"/>
      <c r="O318" s="631">
        <f t="shared" si="57"/>
        <v>0</v>
      </c>
    </row>
    <row r="319" spans="1:15" s="360" customFormat="1" ht="15" hidden="1">
      <c r="A319" s="356" t="s">
        <v>518</v>
      </c>
      <c r="B319" s="632" t="s">
        <v>830</v>
      </c>
      <c r="C319" s="634"/>
      <c r="D319" s="354"/>
      <c r="E319" s="10"/>
      <c r="F319" s="353"/>
      <c r="G319" s="358">
        <f>FF!I858</f>
        <v>0</v>
      </c>
      <c r="H319" s="354" t="s">
        <v>102</v>
      </c>
      <c r="I319" s="355">
        <f>FF!K858</f>
        <v>425.82</v>
      </c>
      <c r="J319" s="353">
        <f>ROUND(G319*I319,0)</f>
        <v>0</v>
      </c>
      <c r="K319" s="1681"/>
      <c r="L319" s="1681"/>
      <c r="M319" s="633" t="s">
        <v>2313</v>
      </c>
      <c r="N319" s="223"/>
      <c r="O319" s="631">
        <f t="shared" si="57"/>
        <v>0</v>
      </c>
    </row>
    <row r="320" spans="1:15" s="360" customFormat="1" ht="51" hidden="1">
      <c r="A320" s="356" t="s">
        <v>1520</v>
      </c>
      <c r="B320" s="632" t="s">
        <v>3197</v>
      </c>
      <c r="C320" s="568"/>
      <c r="D320" s="791" t="s">
        <v>102</v>
      </c>
      <c r="E320" s="10">
        <v>272.17</v>
      </c>
      <c r="F320" s="792">
        <f t="shared" ref="F320" si="65">ROUND(C320*E320,0)</f>
        <v>0</v>
      </c>
      <c r="G320" s="358">
        <f>FF!I865</f>
        <v>0</v>
      </c>
      <c r="H320" s="354" t="s">
        <v>102</v>
      </c>
      <c r="I320" s="355">
        <f>FF!K865</f>
        <v>362.01</v>
      </c>
      <c r="J320" s="353">
        <f t="shared" si="63"/>
        <v>0</v>
      </c>
      <c r="K320" s="1679">
        <f>IF((J320+J321+J322+J323)&gt;(F320+F321+F322+F323),(J320+J321+J322+J323)-(F320+F321+F322+F323),0)</f>
        <v>0</v>
      </c>
      <c r="L320" s="1679">
        <f>IF((J320+J321+J322+J323)&lt;(F320+F321+F322+F323),(F320+F321+F322+F323)-(J320+J321+J322+J323),0)</f>
        <v>0</v>
      </c>
      <c r="M320" s="851" t="s">
        <v>2217</v>
      </c>
      <c r="N320" s="223"/>
      <c r="O320" s="850">
        <f t="shared" si="57"/>
        <v>0</v>
      </c>
    </row>
    <row r="321" spans="1:15" s="360" customFormat="1" ht="15" hidden="1">
      <c r="A321" s="356" t="s">
        <v>530</v>
      </c>
      <c r="B321" s="632" t="s">
        <v>541</v>
      </c>
      <c r="C321" s="634"/>
      <c r="D321" s="354"/>
      <c r="E321" s="10"/>
      <c r="F321" s="353"/>
      <c r="G321" s="358">
        <f>FF!I890</f>
        <v>0</v>
      </c>
      <c r="H321" s="354" t="s">
        <v>102</v>
      </c>
      <c r="I321" s="355">
        <f>FF!K890</f>
        <v>390.9</v>
      </c>
      <c r="J321" s="353">
        <f>ROUND(G321*I321,0)</f>
        <v>0</v>
      </c>
      <c r="K321" s="1680"/>
      <c r="L321" s="1680"/>
      <c r="M321" s="633" t="s">
        <v>2299</v>
      </c>
      <c r="N321" s="223"/>
      <c r="O321" s="631">
        <f t="shared" si="57"/>
        <v>0</v>
      </c>
    </row>
    <row r="322" spans="1:15" s="360" customFormat="1" ht="15" hidden="1">
      <c r="A322" s="356" t="s">
        <v>520</v>
      </c>
      <c r="B322" s="632" t="s">
        <v>541</v>
      </c>
      <c r="C322" s="634"/>
      <c r="D322" s="354"/>
      <c r="E322" s="10"/>
      <c r="F322" s="353"/>
      <c r="G322" s="358">
        <f>FF!I897</f>
        <v>0</v>
      </c>
      <c r="H322" s="354" t="s">
        <v>102</v>
      </c>
      <c r="I322" s="355">
        <f>FF!K897</f>
        <v>415.44</v>
      </c>
      <c r="J322" s="353">
        <f>ROUND(G322*I322,0)</f>
        <v>0</v>
      </c>
      <c r="K322" s="1680"/>
      <c r="L322" s="1680"/>
      <c r="M322" s="633" t="s">
        <v>2312</v>
      </c>
      <c r="N322" s="223"/>
      <c r="O322" s="631">
        <f t="shared" si="57"/>
        <v>0</v>
      </c>
    </row>
    <row r="323" spans="1:15" s="360" customFormat="1" ht="51" hidden="1">
      <c r="A323" s="356" t="s">
        <v>512</v>
      </c>
      <c r="B323" s="632" t="s">
        <v>3197</v>
      </c>
      <c r="C323" s="634"/>
      <c r="D323" s="354"/>
      <c r="E323" s="10"/>
      <c r="F323" s="353"/>
      <c r="G323" s="358">
        <f>FF!I904</f>
        <v>0</v>
      </c>
      <c r="H323" s="354" t="s">
        <v>102</v>
      </c>
      <c r="I323" s="355">
        <f>FF!K904</f>
        <v>441.63</v>
      </c>
      <c r="J323" s="353">
        <f>ROUND(G323*I323,0)</f>
        <v>0</v>
      </c>
      <c r="K323" s="1681"/>
      <c r="L323" s="1681"/>
      <c r="M323" s="851" t="s">
        <v>2313</v>
      </c>
      <c r="N323" s="223"/>
      <c r="O323" s="850">
        <f t="shared" si="57"/>
        <v>0</v>
      </c>
    </row>
    <row r="324" spans="1:15" s="360" customFormat="1" ht="15" hidden="1">
      <c r="A324" s="356" t="s">
        <v>503</v>
      </c>
      <c r="B324" s="632" t="s">
        <v>2071</v>
      </c>
      <c r="C324" s="611"/>
      <c r="D324" s="354"/>
      <c r="E324" s="607"/>
      <c r="F324" s="353"/>
      <c r="G324" s="358">
        <f>FF!I911</f>
        <v>0</v>
      </c>
      <c r="H324" s="354" t="s">
        <v>5</v>
      </c>
      <c r="I324" s="355">
        <f>FF!K911</f>
        <v>5049.2099999999991</v>
      </c>
      <c r="J324" s="353">
        <f t="shared" si="63"/>
        <v>0</v>
      </c>
      <c r="K324" s="1679">
        <f>IF((J324+J325+J326+J327)&gt;(F324+F325+F326+F327),(J324+J325+J326+J327)-(F324+F325+F326+F327),0)</f>
        <v>0</v>
      </c>
      <c r="L324" s="1679">
        <f>IF((J324+J325+J326+J327)&lt;(F324+F325+F326+F327),(F324+F325+F326+F327)-(J324+J325+J326+J327),0)</f>
        <v>0</v>
      </c>
      <c r="M324" s="633" t="s">
        <v>2217</v>
      </c>
      <c r="N324" s="223"/>
      <c r="O324" s="631">
        <f t="shared" si="57"/>
        <v>0</v>
      </c>
    </row>
    <row r="325" spans="1:15" s="360" customFormat="1" ht="15" hidden="1">
      <c r="A325" s="356" t="s">
        <v>503</v>
      </c>
      <c r="B325" s="632" t="s">
        <v>2071</v>
      </c>
      <c r="C325" s="611"/>
      <c r="D325" s="354"/>
      <c r="E325" s="607"/>
      <c r="F325" s="353"/>
      <c r="G325" s="358">
        <f>FF!I918</f>
        <v>0</v>
      </c>
      <c r="H325" s="354" t="s">
        <v>5</v>
      </c>
      <c r="I325" s="355">
        <f>FF!K918</f>
        <v>5224.6200000000008</v>
      </c>
      <c r="J325" s="353">
        <f>ROUND(G325*I325,0)</f>
        <v>0</v>
      </c>
      <c r="K325" s="1680"/>
      <c r="L325" s="1680"/>
      <c r="M325" s="633" t="s">
        <v>2299</v>
      </c>
      <c r="N325" s="223"/>
      <c r="O325" s="631">
        <f t="shared" si="57"/>
        <v>0</v>
      </c>
    </row>
    <row r="326" spans="1:15" s="360" customFormat="1" ht="15" hidden="1">
      <c r="A326" s="356" t="s">
        <v>503</v>
      </c>
      <c r="B326" s="632" t="s">
        <v>2071</v>
      </c>
      <c r="C326" s="611"/>
      <c r="D326" s="354"/>
      <c r="E326" s="607"/>
      <c r="F326" s="353"/>
      <c r="G326" s="358">
        <f>FF!I925</f>
        <v>0</v>
      </c>
      <c r="H326" s="354" t="s">
        <v>5</v>
      </c>
      <c r="I326" s="355">
        <f>FF!K925</f>
        <v>5464.2000000000007</v>
      </c>
      <c r="J326" s="353">
        <f>ROUND(G326*I326,0)</f>
        <v>0</v>
      </c>
      <c r="K326" s="1680"/>
      <c r="L326" s="1680"/>
      <c r="M326" s="633" t="s">
        <v>2312</v>
      </c>
      <c r="N326" s="223"/>
      <c r="O326" s="631">
        <f t="shared" si="57"/>
        <v>0</v>
      </c>
    </row>
    <row r="327" spans="1:15" s="360" customFormat="1" ht="15" hidden="1">
      <c r="A327" s="356" t="s">
        <v>503</v>
      </c>
      <c r="B327" s="632" t="s">
        <v>2071</v>
      </c>
      <c r="C327" s="611"/>
      <c r="D327" s="354"/>
      <c r="E327" s="607"/>
      <c r="F327" s="353"/>
      <c r="G327" s="358">
        <f>FF!I932</f>
        <v>0</v>
      </c>
      <c r="H327" s="354" t="s">
        <v>5</v>
      </c>
      <c r="I327" s="355">
        <f>FF!K932</f>
        <v>5722.81</v>
      </c>
      <c r="J327" s="353">
        <f>ROUND(G327*I327,0)</f>
        <v>0</v>
      </c>
      <c r="K327" s="1681"/>
      <c r="L327" s="1681"/>
      <c r="M327" s="633" t="s">
        <v>2313</v>
      </c>
      <c r="N327" s="223"/>
      <c r="O327" s="631">
        <f t="shared" si="57"/>
        <v>0</v>
      </c>
    </row>
    <row r="328" spans="1:15" s="360" customFormat="1" ht="63.75" hidden="1">
      <c r="A328" s="356" t="s">
        <v>513</v>
      </c>
      <c r="B328" s="632" t="s">
        <v>3198</v>
      </c>
      <c r="C328" s="568"/>
      <c r="D328" s="791" t="s">
        <v>102</v>
      </c>
      <c r="E328" s="53">
        <v>1003.12</v>
      </c>
      <c r="F328" s="792">
        <f t="shared" ref="F328" si="66">ROUND(C328*E328,0)</f>
        <v>0</v>
      </c>
      <c r="G328" s="358">
        <f>FF!I939</f>
        <v>0</v>
      </c>
      <c r="H328" s="354" t="s">
        <v>102</v>
      </c>
      <c r="I328" s="355">
        <f>FF!K939</f>
        <v>1020.01</v>
      </c>
      <c r="J328" s="353">
        <f t="shared" si="63"/>
        <v>0</v>
      </c>
      <c r="K328" s="1679">
        <f>IF((J328+J329+J330+J331)&gt;(F328+F329+F330+F331),(J328+J329+J330+J331)-(F328+F329+F330+F331),0)</f>
        <v>0</v>
      </c>
      <c r="L328" s="1679">
        <f>IF((J328+J329+J330+J331)&lt;(F328+F329+F330+F331),(F328+F329+F330+F331)-(J328+J329+J330+J331),0)</f>
        <v>0</v>
      </c>
      <c r="M328" s="851" t="s">
        <v>2217</v>
      </c>
      <c r="N328" s="223"/>
      <c r="O328" s="850">
        <f t="shared" si="57"/>
        <v>0</v>
      </c>
    </row>
    <row r="329" spans="1:15" s="360" customFormat="1" ht="15" hidden="1">
      <c r="A329" s="356" t="s">
        <v>532</v>
      </c>
      <c r="B329" s="632" t="s">
        <v>507</v>
      </c>
      <c r="C329" s="634"/>
      <c r="D329" s="354"/>
      <c r="E329" s="10"/>
      <c r="F329" s="353"/>
      <c r="G329" s="358">
        <f>FF!I949</f>
        <v>0</v>
      </c>
      <c r="H329" s="354" t="s">
        <v>102</v>
      </c>
      <c r="I329" s="355">
        <f>FF!K949</f>
        <v>1051.0899999999999</v>
      </c>
      <c r="J329" s="353">
        <f>ROUND(G329*I329,0)</f>
        <v>0</v>
      </c>
      <c r="K329" s="1680"/>
      <c r="L329" s="1680"/>
      <c r="M329" s="633" t="s">
        <v>2299</v>
      </c>
      <c r="N329" s="223"/>
      <c r="O329" s="631">
        <f t="shared" si="57"/>
        <v>0</v>
      </c>
    </row>
    <row r="330" spans="1:15" s="360" customFormat="1" ht="15" hidden="1">
      <c r="A330" s="356" t="s">
        <v>522</v>
      </c>
      <c r="B330" s="632" t="s">
        <v>507</v>
      </c>
      <c r="C330" s="634"/>
      <c r="D330" s="354"/>
      <c r="E330" s="10"/>
      <c r="F330" s="353"/>
      <c r="G330" s="358">
        <f>FF!I956</f>
        <v>0</v>
      </c>
      <c r="H330" s="354" t="s">
        <v>102</v>
      </c>
      <c r="I330" s="355">
        <f>FF!K956</f>
        <v>1074.81</v>
      </c>
      <c r="J330" s="353">
        <f>ROUND(G330*I330,0)</f>
        <v>0</v>
      </c>
      <c r="K330" s="1680"/>
      <c r="L330" s="1680"/>
      <c r="M330" s="633" t="s">
        <v>2312</v>
      </c>
      <c r="N330" s="223"/>
      <c r="O330" s="631">
        <f t="shared" si="57"/>
        <v>0</v>
      </c>
    </row>
    <row r="331" spans="1:15" s="360" customFormat="1" ht="15" hidden="1">
      <c r="A331" s="356" t="s">
        <v>522</v>
      </c>
      <c r="B331" s="632" t="s">
        <v>507</v>
      </c>
      <c r="C331" s="634"/>
      <c r="D331" s="354"/>
      <c r="E331" s="10"/>
      <c r="F331" s="353"/>
      <c r="G331" s="358">
        <f>FF!I963</f>
        <v>0</v>
      </c>
      <c r="H331" s="354" t="s">
        <v>102</v>
      </c>
      <c r="I331" s="355">
        <f>FF!K963</f>
        <v>1103.3900000000001</v>
      </c>
      <c r="J331" s="353">
        <f>ROUND(G331*I331,0)</f>
        <v>0</v>
      </c>
      <c r="K331" s="1681"/>
      <c r="L331" s="1681"/>
      <c r="M331" s="633" t="s">
        <v>2313</v>
      </c>
      <c r="N331" s="223"/>
      <c r="O331" s="631">
        <f t="shared" si="57"/>
        <v>0</v>
      </c>
    </row>
    <row r="332" spans="1:15" s="360" customFormat="1" ht="63.75" hidden="1">
      <c r="A332" s="356" t="s">
        <v>514</v>
      </c>
      <c r="B332" s="632" t="s">
        <v>3199</v>
      </c>
      <c r="C332" s="568"/>
      <c r="D332" s="791" t="s">
        <v>102</v>
      </c>
      <c r="E332" s="53">
        <v>1008.39</v>
      </c>
      <c r="F332" s="792">
        <f t="shared" ref="F332" si="67">ROUND(C332*E332,0)</f>
        <v>0</v>
      </c>
      <c r="G332" s="358">
        <f>FF!I970</f>
        <v>0</v>
      </c>
      <c r="H332" s="354" t="s">
        <v>102</v>
      </c>
      <c r="I332" s="355">
        <f>FF!K970</f>
        <v>1015.94</v>
      </c>
      <c r="J332" s="353">
        <f t="shared" si="63"/>
        <v>0</v>
      </c>
      <c r="K332" s="1679">
        <f>IF((J332+J333+J334+J335)&gt;(F332+F333+F334+F335),(J332+J333+J334+J335)-(F332+F333+F334+F335),0)</f>
        <v>0</v>
      </c>
      <c r="L332" s="1679">
        <f>IF((J332+J333+J334+J335)&lt;(F332+F333+F334+F335),(F332+F333+F334+F335)-(J332+J333+J334+J335),0)</f>
        <v>0</v>
      </c>
      <c r="M332" s="851" t="s">
        <v>2217</v>
      </c>
      <c r="N332" s="223"/>
      <c r="O332" s="850">
        <f t="shared" ref="O332:O395" si="68">F332-J332</f>
        <v>0</v>
      </c>
    </row>
    <row r="333" spans="1:15" s="360" customFormat="1" ht="15" hidden="1">
      <c r="A333" s="356" t="s">
        <v>533</v>
      </c>
      <c r="B333" s="632" t="s">
        <v>509</v>
      </c>
      <c r="C333" s="634"/>
      <c r="D333" s="354"/>
      <c r="E333" s="10"/>
      <c r="F333" s="353"/>
      <c r="G333" s="358">
        <f>FF!I988</f>
        <v>0</v>
      </c>
      <c r="H333" s="354" t="s">
        <v>102</v>
      </c>
      <c r="I333" s="355">
        <f>FF!K988</f>
        <v>1046.76</v>
      </c>
      <c r="J333" s="353">
        <f>ROUND(G333*I333,0)</f>
        <v>0</v>
      </c>
      <c r="K333" s="1680"/>
      <c r="L333" s="1680"/>
      <c r="M333" s="633" t="s">
        <v>2299</v>
      </c>
      <c r="N333" s="223"/>
      <c r="O333" s="631">
        <f t="shared" si="68"/>
        <v>0</v>
      </c>
    </row>
    <row r="334" spans="1:15" s="360" customFormat="1" ht="15" hidden="1">
      <c r="A334" s="356" t="s">
        <v>525</v>
      </c>
      <c r="B334" s="632" t="s">
        <v>509</v>
      </c>
      <c r="C334" s="634"/>
      <c r="D334" s="354"/>
      <c r="E334" s="10"/>
      <c r="F334" s="353"/>
      <c r="G334" s="358">
        <f>FF!I995</f>
        <v>0</v>
      </c>
      <c r="H334" s="354" t="s">
        <v>102</v>
      </c>
      <c r="I334" s="355">
        <f>FF!K995</f>
        <v>1069.8699999999999</v>
      </c>
      <c r="J334" s="353">
        <f>ROUND(G334*I334,0)</f>
        <v>0</v>
      </c>
      <c r="K334" s="1680"/>
      <c r="L334" s="1680"/>
      <c r="M334" s="633" t="s">
        <v>2312</v>
      </c>
      <c r="N334" s="223"/>
      <c r="O334" s="631">
        <f t="shared" si="68"/>
        <v>0</v>
      </c>
    </row>
    <row r="335" spans="1:15" s="360" customFormat="1" ht="15" hidden="1">
      <c r="A335" s="356" t="s">
        <v>525</v>
      </c>
      <c r="B335" s="632" t="s">
        <v>509</v>
      </c>
      <c r="C335" s="634"/>
      <c r="D335" s="354"/>
      <c r="E335" s="10"/>
      <c r="F335" s="353"/>
      <c r="G335" s="358">
        <f>FF!I1002</f>
        <v>0</v>
      </c>
      <c r="H335" s="354" t="s">
        <v>102</v>
      </c>
      <c r="I335" s="355">
        <f>FF!K1002</f>
        <v>1098.05</v>
      </c>
      <c r="J335" s="353">
        <f>ROUND(G335*I335,0)</f>
        <v>0</v>
      </c>
      <c r="K335" s="1681"/>
      <c r="L335" s="1681"/>
      <c r="M335" s="633" t="s">
        <v>2313</v>
      </c>
      <c r="N335" s="223"/>
      <c r="O335" s="631">
        <f t="shared" si="68"/>
        <v>0</v>
      </c>
    </row>
    <row r="336" spans="1:15" s="360" customFormat="1" ht="15" hidden="1">
      <c r="A336" s="356" t="s">
        <v>526</v>
      </c>
      <c r="B336" s="632" t="s">
        <v>708</v>
      </c>
      <c r="C336" s="635"/>
      <c r="D336" s="354"/>
      <c r="E336" s="362"/>
      <c r="F336" s="353"/>
      <c r="G336" s="358">
        <f>FF!I1009</f>
        <v>0</v>
      </c>
      <c r="H336" s="354" t="s">
        <v>77</v>
      </c>
      <c r="I336" s="355">
        <f>FF!K1009</f>
        <v>2881.3</v>
      </c>
      <c r="J336" s="353">
        <f t="shared" si="63"/>
        <v>0</v>
      </c>
      <c r="K336" s="1679">
        <f>IF((J336+J337+J338+J339)&gt;(F336+F337+F338+F339),(J336+J337+J338+J339)-(F336+F337+F338+F339),0)</f>
        <v>0</v>
      </c>
      <c r="L336" s="1679">
        <f>IF((J336+J337+J338+J339)&lt;(F336+F337+F338+F339),(F336+F337+F338+F339)-(J336+J337+J338+J339),0)</f>
        <v>0</v>
      </c>
      <c r="M336" s="633" t="s">
        <v>2217</v>
      </c>
      <c r="N336" s="223"/>
      <c r="O336" s="631">
        <f t="shared" si="68"/>
        <v>0</v>
      </c>
    </row>
    <row r="337" spans="1:15" s="360" customFormat="1" ht="15" hidden="1">
      <c r="A337" s="356" t="s">
        <v>534</v>
      </c>
      <c r="B337" s="632" t="s">
        <v>708</v>
      </c>
      <c r="C337" s="635"/>
      <c r="D337" s="354"/>
      <c r="E337" s="362"/>
      <c r="F337" s="353"/>
      <c r="G337" s="358">
        <f>FF!I1017</f>
        <v>0</v>
      </c>
      <c r="H337" s="354" t="s">
        <v>77</v>
      </c>
      <c r="I337" s="355">
        <f>FF!K1017</f>
        <v>2944.91</v>
      </c>
      <c r="J337" s="353">
        <f>ROUND(G337*I337,0)</f>
        <v>0</v>
      </c>
      <c r="K337" s="1680"/>
      <c r="L337" s="1680"/>
      <c r="M337" s="633" t="s">
        <v>2299</v>
      </c>
      <c r="N337" s="223"/>
      <c r="O337" s="631">
        <f t="shared" si="68"/>
        <v>0</v>
      </c>
    </row>
    <row r="338" spans="1:15" s="360" customFormat="1" ht="15" hidden="1">
      <c r="A338" s="356" t="s">
        <v>526</v>
      </c>
      <c r="B338" s="632" t="s">
        <v>708</v>
      </c>
      <c r="C338" s="635"/>
      <c r="D338" s="354"/>
      <c r="E338" s="362"/>
      <c r="F338" s="353"/>
      <c r="G338" s="358">
        <f>FF!I1024</f>
        <v>0</v>
      </c>
      <c r="H338" s="354" t="s">
        <v>77</v>
      </c>
      <c r="I338" s="355">
        <f>FF!K1024</f>
        <v>3004.62</v>
      </c>
      <c r="J338" s="353">
        <f>ROUND(G338*I338,0)</f>
        <v>0</v>
      </c>
      <c r="K338" s="1680"/>
      <c r="L338" s="1680"/>
      <c r="M338" s="633" t="s">
        <v>2312</v>
      </c>
      <c r="N338" s="223"/>
      <c r="O338" s="631">
        <f t="shared" si="68"/>
        <v>0</v>
      </c>
    </row>
    <row r="339" spans="1:15" s="360" customFormat="1" ht="63.75" hidden="1">
      <c r="A339" s="356" t="s">
        <v>515</v>
      </c>
      <c r="B339" s="632" t="s">
        <v>3200</v>
      </c>
      <c r="C339" s="635"/>
      <c r="D339" s="354"/>
      <c r="E339" s="362"/>
      <c r="F339" s="353"/>
      <c r="G339" s="358">
        <f>FF!I1041</f>
        <v>0</v>
      </c>
      <c r="H339" s="354" t="s">
        <v>77</v>
      </c>
      <c r="I339" s="355">
        <f>FF!K1041</f>
        <v>3181.62</v>
      </c>
      <c r="J339" s="353">
        <f>ROUND(G339*I339,0)</f>
        <v>0</v>
      </c>
      <c r="K339" s="1681"/>
      <c r="L339" s="1681"/>
      <c r="M339" s="851" t="s">
        <v>2313</v>
      </c>
      <c r="N339" s="223"/>
      <c r="O339" s="850">
        <f t="shared" si="68"/>
        <v>0</v>
      </c>
    </row>
    <row r="340" spans="1:15" s="360" customFormat="1" ht="15" hidden="1">
      <c r="A340" s="356" t="s">
        <v>527</v>
      </c>
      <c r="B340" s="632" t="s">
        <v>877</v>
      </c>
      <c r="C340" s="635"/>
      <c r="D340" s="354"/>
      <c r="E340" s="362"/>
      <c r="F340" s="353"/>
      <c r="G340" s="358">
        <f>FF!I1048</f>
        <v>0</v>
      </c>
      <c r="H340" s="354" t="s">
        <v>102</v>
      </c>
      <c r="I340" s="355">
        <f>FF!K1048</f>
        <v>2704.03</v>
      </c>
      <c r="J340" s="353">
        <f t="shared" si="63"/>
        <v>0</v>
      </c>
      <c r="K340" s="1679">
        <f>IF((J340+J341+J342+J343)&gt;(F340+F341+F342+F343),(J340+J341+J342+J343)-(F340+F341+F342+F343),0)</f>
        <v>0</v>
      </c>
      <c r="L340" s="1679">
        <f>IF((J340+J341+J342+J343)&lt;(F340+F341+F342+F343),(F340+F341+F342+F343)-(J340+J341+J342+J343),0)</f>
        <v>0</v>
      </c>
      <c r="M340" s="633" t="s">
        <v>2217</v>
      </c>
      <c r="N340" s="223"/>
      <c r="O340" s="631">
        <f t="shared" si="68"/>
        <v>0</v>
      </c>
    </row>
    <row r="341" spans="1:15" s="360" customFormat="1" ht="15" hidden="1">
      <c r="A341" s="356" t="s">
        <v>1579</v>
      </c>
      <c r="B341" s="632" t="s">
        <v>877</v>
      </c>
      <c r="C341" s="635"/>
      <c r="D341" s="354"/>
      <c r="E341" s="362"/>
      <c r="F341" s="353"/>
      <c r="G341" s="358">
        <f>FF!I1057</f>
        <v>0</v>
      </c>
      <c r="H341" s="354" t="s">
        <v>102</v>
      </c>
      <c r="I341" s="355">
        <f>FF!K1057</f>
        <v>2747.8</v>
      </c>
      <c r="J341" s="353">
        <f>ROUND(G341*I341,0)</f>
        <v>0</v>
      </c>
      <c r="K341" s="1680"/>
      <c r="L341" s="1680"/>
      <c r="M341" s="633" t="s">
        <v>2299</v>
      </c>
      <c r="N341" s="223"/>
      <c r="O341" s="631">
        <f t="shared" si="68"/>
        <v>0</v>
      </c>
    </row>
    <row r="342" spans="1:15" s="360" customFormat="1" ht="15" hidden="1">
      <c r="A342" s="356" t="s">
        <v>527</v>
      </c>
      <c r="B342" s="632" t="s">
        <v>877</v>
      </c>
      <c r="C342" s="635"/>
      <c r="D342" s="354"/>
      <c r="E342" s="362"/>
      <c r="F342" s="353"/>
      <c r="G342" s="358">
        <f>FF!I1064</f>
        <v>0</v>
      </c>
      <c r="H342" s="354" t="s">
        <v>102</v>
      </c>
      <c r="I342" s="355">
        <f>FF!K1064</f>
        <v>2789.27</v>
      </c>
      <c r="J342" s="353">
        <f>ROUND(G342*I342,0)</f>
        <v>0</v>
      </c>
      <c r="K342" s="1680"/>
      <c r="L342" s="1680"/>
      <c r="M342" s="633" t="s">
        <v>2312</v>
      </c>
      <c r="N342" s="223"/>
      <c r="O342" s="631">
        <f t="shared" si="68"/>
        <v>0</v>
      </c>
    </row>
    <row r="343" spans="1:15" s="360" customFormat="1" ht="63.75" hidden="1">
      <c r="A343" s="356" t="s">
        <v>516</v>
      </c>
      <c r="B343" s="632" t="s">
        <v>3201</v>
      </c>
      <c r="C343" s="635"/>
      <c r="D343" s="354"/>
      <c r="E343" s="362"/>
      <c r="F343" s="353"/>
      <c r="G343" s="358">
        <f>FF!I1081</f>
        <v>0</v>
      </c>
      <c r="H343" s="354" t="s">
        <v>102</v>
      </c>
      <c r="I343" s="355">
        <f>FF!K1081</f>
        <v>2950.54</v>
      </c>
      <c r="J343" s="353">
        <f>ROUND(G343*I343,0)</f>
        <v>0</v>
      </c>
      <c r="K343" s="1681"/>
      <c r="L343" s="1681"/>
      <c r="M343" s="851" t="s">
        <v>2313</v>
      </c>
      <c r="N343" s="223"/>
      <c r="O343" s="850">
        <f t="shared" si="68"/>
        <v>0</v>
      </c>
    </row>
    <row r="344" spans="1:15" s="360" customFormat="1" ht="15" hidden="1">
      <c r="A344" s="356" t="s">
        <v>529</v>
      </c>
      <c r="B344" s="632" t="s">
        <v>710</v>
      </c>
      <c r="C344" s="635"/>
      <c r="D344" s="354"/>
      <c r="E344" s="362"/>
      <c r="F344" s="353"/>
      <c r="G344" s="358">
        <f>FF!I1089</f>
        <v>0</v>
      </c>
      <c r="H344" s="354" t="s">
        <v>102</v>
      </c>
      <c r="I344" s="355">
        <f>FF!K1089</f>
        <v>633.27</v>
      </c>
      <c r="J344" s="353">
        <f t="shared" si="63"/>
        <v>0</v>
      </c>
      <c r="K344" s="1679">
        <f>IF((J344+J345+J346+J347)&gt;(F344+F345+F346+F347),(J344+J345+J346+J347)-(F344+F345+F346+F347),0)</f>
        <v>0</v>
      </c>
      <c r="L344" s="1679">
        <f>IF((J344+J345+J346+J347)&lt;(F344+F345+F346+F347),(F344+F345+F346+F347)-(J344+J345+J346+J347),0)</f>
        <v>0</v>
      </c>
      <c r="M344" s="633" t="s">
        <v>2217</v>
      </c>
      <c r="N344" s="223"/>
      <c r="O344" s="631">
        <f t="shared" si="68"/>
        <v>0</v>
      </c>
    </row>
    <row r="345" spans="1:15" s="360" customFormat="1" ht="15" hidden="1">
      <c r="A345" s="356" t="s">
        <v>529</v>
      </c>
      <c r="B345" s="632" t="s">
        <v>710</v>
      </c>
      <c r="C345" s="635"/>
      <c r="D345" s="354"/>
      <c r="E345" s="362"/>
      <c r="F345" s="353"/>
      <c r="G345" s="358">
        <f>FF!I1100</f>
        <v>0</v>
      </c>
      <c r="H345" s="354" t="s">
        <v>102</v>
      </c>
      <c r="I345" s="355">
        <f>FF!K1100</f>
        <v>677.99</v>
      </c>
      <c r="J345" s="353">
        <f>ROUND(G345*I345,0)</f>
        <v>0</v>
      </c>
      <c r="K345" s="1680"/>
      <c r="L345" s="1680"/>
      <c r="M345" s="633" t="s">
        <v>2299</v>
      </c>
      <c r="N345" s="223"/>
      <c r="O345" s="631">
        <f t="shared" si="68"/>
        <v>0</v>
      </c>
    </row>
    <row r="346" spans="1:15" s="360" customFormat="1" ht="15" hidden="1">
      <c r="A346" s="356" t="s">
        <v>529</v>
      </c>
      <c r="B346" s="632" t="s">
        <v>710</v>
      </c>
      <c r="C346" s="635"/>
      <c r="D346" s="354"/>
      <c r="E346" s="362"/>
      <c r="F346" s="353"/>
      <c r="G346" s="358">
        <f>FF!I1108</f>
        <v>0</v>
      </c>
      <c r="H346" s="354" t="s">
        <v>102</v>
      </c>
      <c r="I346" s="355">
        <f>FF!K1108</f>
        <v>686.13</v>
      </c>
      <c r="J346" s="353">
        <f>ROUND(G346*I346,0)</f>
        <v>0</v>
      </c>
      <c r="K346" s="1680"/>
      <c r="L346" s="1680"/>
      <c r="M346" s="633" t="s">
        <v>2312</v>
      </c>
      <c r="N346" s="223"/>
      <c r="O346" s="631">
        <f t="shared" si="68"/>
        <v>0</v>
      </c>
    </row>
    <row r="347" spans="1:15" s="360" customFormat="1" ht="15" hidden="1">
      <c r="A347" s="356" t="s">
        <v>529</v>
      </c>
      <c r="B347" s="632" t="s">
        <v>710</v>
      </c>
      <c r="C347" s="635"/>
      <c r="D347" s="354"/>
      <c r="E347" s="362"/>
      <c r="F347" s="353"/>
      <c r="G347" s="358">
        <f>FF!I1116</f>
        <v>0</v>
      </c>
      <c r="H347" s="354" t="s">
        <v>102</v>
      </c>
      <c r="I347" s="355">
        <f>FF!K1116</f>
        <v>780.73</v>
      </c>
      <c r="J347" s="353">
        <f>ROUND(G347*I347,0)</f>
        <v>0</v>
      </c>
      <c r="K347" s="1681"/>
      <c r="L347" s="1681"/>
      <c r="M347" s="633" t="s">
        <v>2313</v>
      </c>
      <c r="N347" s="223"/>
      <c r="O347" s="631">
        <f t="shared" si="68"/>
        <v>0</v>
      </c>
    </row>
    <row r="348" spans="1:15" s="360" customFormat="1" ht="15" hidden="1">
      <c r="A348" s="356" t="s">
        <v>530</v>
      </c>
      <c r="B348" s="632" t="s">
        <v>711</v>
      </c>
      <c r="C348" s="635"/>
      <c r="D348" s="354"/>
      <c r="E348" s="362"/>
      <c r="F348" s="353"/>
      <c r="G348" s="358">
        <f>FF!I1123</f>
        <v>0</v>
      </c>
      <c r="H348" s="354" t="s">
        <v>102</v>
      </c>
      <c r="I348" s="355">
        <f>FF!K1123</f>
        <v>652.64</v>
      </c>
      <c r="J348" s="353">
        <f t="shared" si="63"/>
        <v>0</v>
      </c>
      <c r="K348" s="1679">
        <f>IF((J348+J349+J350+J351)&gt;(F348+F349+F350+F351),(J348+J349+J350+J351)-(F348+F349+F350+F351),0)</f>
        <v>0</v>
      </c>
      <c r="L348" s="1679">
        <f>IF((J348+J349+J350+J351)&lt;(F348+F349+F350+F351),(F348+F349+F350+F351)-(J348+J349+J350+J351),0)</f>
        <v>0</v>
      </c>
      <c r="M348" s="633" t="s">
        <v>2217</v>
      </c>
      <c r="N348" s="223"/>
      <c r="O348" s="631">
        <f t="shared" si="68"/>
        <v>0</v>
      </c>
    </row>
    <row r="349" spans="1:15" s="360" customFormat="1" ht="15" hidden="1">
      <c r="A349" s="356" t="s">
        <v>530</v>
      </c>
      <c r="B349" s="632" t="s">
        <v>711</v>
      </c>
      <c r="C349" s="635"/>
      <c r="D349" s="354"/>
      <c r="E349" s="362"/>
      <c r="F349" s="353"/>
      <c r="G349" s="358">
        <f>FF!I1134</f>
        <v>0</v>
      </c>
      <c r="H349" s="354" t="s">
        <v>102</v>
      </c>
      <c r="I349" s="355">
        <f>FF!K1134</f>
        <v>683.46</v>
      </c>
      <c r="J349" s="353">
        <f>ROUND(G349*I349,0)</f>
        <v>0</v>
      </c>
      <c r="K349" s="1680"/>
      <c r="L349" s="1680"/>
      <c r="M349" s="633" t="s">
        <v>2299</v>
      </c>
      <c r="N349" s="223"/>
      <c r="O349" s="631">
        <f t="shared" si="68"/>
        <v>0</v>
      </c>
    </row>
    <row r="350" spans="1:15" s="360" customFormat="1" ht="15" hidden="1">
      <c r="A350" s="356" t="s">
        <v>530</v>
      </c>
      <c r="B350" s="632" t="s">
        <v>711</v>
      </c>
      <c r="C350" s="635"/>
      <c r="D350" s="354"/>
      <c r="E350" s="362"/>
      <c r="F350" s="353"/>
      <c r="G350" s="358">
        <f>FF!I1141</f>
        <v>0</v>
      </c>
      <c r="H350" s="354" t="s">
        <v>102</v>
      </c>
      <c r="I350" s="355">
        <f>FF!K1141</f>
        <v>706.57</v>
      </c>
      <c r="J350" s="353">
        <f>ROUND(G350*I350,0)</f>
        <v>0</v>
      </c>
      <c r="K350" s="1680"/>
      <c r="L350" s="1680"/>
      <c r="M350" s="633" t="s">
        <v>2312</v>
      </c>
      <c r="N350" s="223"/>
      <c r="O350" s="631">
        <f t="shared" si="68"/>
        <v>0</v>
      </c>
    </row>
    <row r="351" spans="1:15" s="360" customFormat="1" ht="15" hidden="1">
      <c r="A351" s="356" t="s">
        <v>530</v>
      </c>
      <c r="B351" s="632" t="s">
        <v>711</v>
      </c>
      <c r="C351" s="635"/>
      <c r="D351" s="354"/>
      <c r="E351" s="362"/>
      <c r="F351" s="353"/>
      <c r="G351" s="358">
        <f>FF!I1148</f>
        <v>0</v>
      </c>
      <c r="H351" s="354" t="s">
        <v>102</v>
      </c>
      <c r="I351" s="355">
        <f>FF!K1148</f>
        <v>786.2</v>
      </c>
      <c r="J351" s="353">
        <f>ROUND(G351*I351,0)</f>
        <v>0</v>
      </c>
      <c r="K351" s="1681"/>
      <c r="L351" s="1681"/>
      <c r="M351" s="633" t="s">
        <v>2313</v>
      </c>
      <c r="N351" s="223"/>
      <c r="O351" s="631">
        <f t="shared" si="68"/>
        <v>0</v>
      </c>
    </row>
    <row r="352" spans="1:15" s="360" customFormat="1" ht="51" hidden="1">
      <c r="A352" s="356" t="s">
        <v>517</v>
      </c>
      <c r="B352" s="632" t="s">
        <v>3211</v>
      </c>
      <c r="C352" s="568"/>
      <c r="D352" s="791" t="s">
        <v>102</v>
      </c>
      <c r="E352" s="10">
        <v>700.08</v>
      </c>
      <c r="F352" s="792">
        <f t="shared" ref="F352" si="69">ROUND(C352*E352,0)</f>
        <v>0</v>
      </c>
      <c r="G352" s="358">
        <f>FF!I1155</f>
        <v>0</v>
      </c>
      <c r="H352" s="354" t="s">
        <v>102</v>
      </c>
      <c r="I352" s="355">
        <f>FF!K1155</f>
        <v>755.74</v>
      </c>
      <c r="J352" s="353">
        <f t="shared" si="63"/>
        <v>0</v>
      </c>
      <c r="K352" s="1679">
        <f>IF((J352+J353+J354+J355)&gt;(F352+F353+F354+F355),(J352+J353+J354+J355)-(F352+F353+F354+F355),0)</f>
        <v>0</v>
      </c>
      <c r="L352" s="1679">
        <f>IF((J352+J353+J354+J355)&lt;(F352+F353+F354+F355),(F352+F353+F354+F355)-(J352+J353+J354+J355),0)</f>
        <v>0</v>
      </c>
      <c r="M352" s="851" t="s">
        <v>2217</v>
      </c>
      <c r="N352" s="223"/>
      <c r="O352" s="850">
        <f t="shared" si="68"/>
        <v>0</v>
      </c>
    </row>
    <row r="353" spans="1:15" s="360" customFormat="1" ht="15" hidden="1">
      <c r="A353" s="356" t="s">
        <v>643</v>
      </c>
      <c r="B353" s="632" t="s">
        <v>511</v>
      </c>
      <c r="C353" s="634"/>
      <c r="D353" s="354"/>
      <c r="E353" s="10"/>
      <c r="F353" s="353"/>
      <c r="G353" s="358">
        <f>FF!I1163</f>
        <v>0</v>
      </c>
      <c r="H353" s="354" t="s">
        <v>102</v>
      </c>
      <c r="I353" s="355">
        <f>FF!K1163</f>
        <v>786.57</v>
      </c>
      <c r="J353" s="353">
        <f>ROUND(G353*I353,0)</f>
        <v>0</v>
      </c>
      <c r="K353" s="1680"/>
      <c r="L353" s="1680"/>
      <c r="M353" s="633" t="s">
        <v>2299</v>
      </c>
      <c r="N353" s="223"/>
      <c r="O353" s="631">
        <f t="shared" si="68"/>
        <v>0</v>
      </c>
    </row>
    <row r="354" spans="1:15" s="360" customFormat="1" ht="15" hidden="1">
      <c r="A354" s="356" t="s">
        <v>528</v>
      </c>
      <c r="B354" s="632" t="s">
        <v>511</v>
      </c>
      <c r="C354" s="634"/>
      <c r="D354" s="354"/>
      <c r="E354" s="10"/>
      <c r="F354" s="353"/>
      <c r="G354" s="358">
        <f>FF!I1170</f>
        <v>0</v>
      </c>
      <c r="H354" s="354" t="s">
        <v>102</v>
      </c>
      <c r="I354" s="355">
        <f>FF!K1170</f>
        <v>809.68</v>
      </c>
      <c r="J354" s="353">
        <f>ROUND(G354*I354,0)</f>
        <v>0</v>
      </c>
      <c r="K354" s="1680"/>
      <c r="L354" s="1680"/>
      <c r="M354" s="633" t="s">
        <v>2312</v>
      </c>
      <c r="N354" s="223"/>
      <c r="O354" s="631">
        <f t="shared" si="68"/>
        <v>0</v>
      </c>
    </row>
    <row r="355" spans="1:15" s="360" customFormat="1" ht="15" hidden="1">
      <c r="A355" s="356" t="s">
        <v>528</v>
      </c>
      <c r="B355" s="632" t="s">
        <v>511</v>
      </c>
      <c r="C355" s="634"/>
      <c r="D355" s="354"/>
      <c r="E355" s="10"/>
      <c r="F355" s="353"/>
      <c r="G355" s="358">
        <f>FF!I1175</f>
        <v>0</v>
      </c>
      <c r="H355" s="354" t="s">
        <v>102</v>
      </c>
      <c r="I355" s="355">
        <f>FF!K1175</f>
        <v>837.86</v>
      </c>
      <c r="J355" s="353">
        <f>ROUND(G355*I355,0)</f>
        <v>0</v>
      </c>
      <c r="K355" s="1681"/>
      <c r="L355" s="1681"/>
      <c r="M355" s="633" t="s">
        <v>2313</v>
      </c>
      <c r="N355" s="223"/>
      <c r="O355" s="631">
        <f t="shared" si="68"/>
        <v>0</v>
      </c>
    </row>
    <row r="356" spans="1:15" s="360" customFormat="1" ht="63.75" hidden="1">
      <c r="A356" s="356" t="s">
        <v>518</v>
      </c>
      <c r="B356" s="632" t="s">
        <v>3212</v>
      </c>
      <c r="C356" s="568"/>
      <c r="D356" s="791" t="s">
        <v>102</v>
      </c>
      <c r="E356" s="10">
        <v>485.09</v>
      </c>
      <c r="F356" s="792">
        <f t="shared" ref="F356" si="70">ROUND(C356*E356,0)</f>
        <v>0</v>
      </c>
      <c r="G356" s="358">
        <f>FF!I1182</f>
        <v>0</v>
      </c>
      <c r="H356" s="354" t="s">
        <v>102</v>
      </c>
      <c r="I356" s="355">
        <f>FF!K1182</f>
        <v>494.82</v>
      </c>
      <c r="J356" s="353">
        <f t="shared" si="63"/>
        <v>0</v>
      </c>
      <c r="K356" s="1679">
        <f>IF((J356+J357+J358+J359)&gt;(F356+F357+F358+F359),(J356+J357+J358+J359)-(F356+F357+F358+F359),0)</f>
        <v>0</v>
      </c>
      <c r="L356" s="1679">
        <f>IF((J356+J357+J358+J359)&lt;(F356+F357+F358+F359),(F356+F357+F358+F359)-(J356+J357+J358+J359),0)</f>
        <v>0</v>
      </c>
      <c r="M356" s="851" t="s">
        <v>2217</v>
      </c>
      <c r="N356" s="223"/>
      <c r="O356" s="850">
        <f t="shared" si="68"/>
        <v>0</v>
      </c>
    </row>
    <row r="357" spans="1:15" s="360" customFormat="1" ht="15" hidden="1">
      <c r="A357" s="356" t="s">
        <v>1574</v>
      </c>
      <c r="B357" s="632" t="s">
        <v>570</v>
      </c>
      <c r="C357" s="634"/>
      <c r="D357" s="354"/>
      <c r="E357" s="10"/>
      <c r="F357" s="353"/>
      <c r="G357" s="358">
        <f>FF!I1190</f>
        <v>0</v>
      </c>
      <c r="H357" s="354" t="s">
        <v>102</v>
      </c>
      <c r="I357" s="355">
        <f>FF!K1190</f>
        <v>504.13</v>
      </c>
      <c r="J357" s="353">
        <f>ROUND(G357*I357,0)</f>
        <v>0</v>
      </c>
      <c r="K357" s="1680"/>
      <c r="L357" s="1680"/>
      <c r="M357" s="633" t="s">
        <v>2299</v>
      </c>
      <c r="N357" s="223"/>
      <c r="O357" s="631">
        <f t="shared" si="68"/>
        <v>0</v>
      </c>
    </row>
    <row r="358" spans="1:15" s="360" customFormat="1" ht="15" hidden="1">
      <c r="A358" s="356" t="s">
        <v>529</v>
      </c>
      <c r="B358" s="632" t="s">
        <v>570</v>
      </c>
      <c r="C358" s="634"/>
      <c r="D358" s="354"/>
      <c r="E358" s="10"/>
      <c r="F358" s="353"/>
      <c r="G358" s="358">
        <f>FF!I1197</f>
        <v>0</v>
      </c>
      <c r="H358" s="354" t="s">
        <v>102</v>
      </c>
      <c r="I358" s="355">
        <f>FF!K1197</f>
        <v>512.09</v>
      </c>
      <c r="J358" s="353">
        <f>ROUND(G358*I358,0)</f>
        <v>0</v>
      </c>
      <c r="K358" s="1680"/>
      <c r="L358" s="1680"/>
      <c r="M358" s="633" t="s">
        <v>2312</v>
      </c>
      <c r="N358" s="223"/>
      <c r="O358" s="631">
        <f t="shared" si="68"/>
        <v>0</v>
      </c>
    </row>
    <row r="359" spans="1:15" s="360" customFormat="1" ht="15" hidden="1">
      <c r="A359" s="356" t="s">
        <v>529</v>
      </c>
      <c r="B359" s="632" t="s">
        <v>570</v>
      </c>
      <c r="C359" s="634"/>
      <c r="D359" s="354"/>
      <c r="E359" s="10"/>
      <c r="F359" s="353"/>
      <c r="G359" s="358">
        <f>FF!I1209</f>
        <v>0</v>
      </c>
      <c r="H359" s="354" t="s">
        <v>102</v>
      </c>
      <c r="I359" s="355">
        <f>FF!K1209</f>
        <v>527.21</v>
      </c>
      <c r="J359" s="353">
        <f>ROUND(G359*I359,0)</f>
        <v>0</v>
      </c>
      <c r="K359" s="1681"/>
      <c r="L359" s="1681"/>
      <c r="M359" s="633" t="s">
        <v>2313</v>
      </c>
      <c r="N359" s="223"/>
      <c r="O359" s="631">
        <f t="shared" si="68"/>
        <v>0</v>
      </c>
    </row>
    <row r="360" spans="1:15" s="360" customFormat="1" ht="15" hidden="1">
      <c r="A360" s="356" t="s">
        <v>492</v>
      </c>
      <c r="B360" s="632" t="s">
        <v>1222</v>
      </c>
      <c r="C360" s="635"/>
      <c r="D360" s="354"/>
      <c r="E360" s="362"/>
      <c r="F360" s="353"/>
      <c r="G360" s="358">
        <f>FF!I1217</f>
        <v>0</v>
      </c>
      <c r="H360" s="354" t="s">
        <v>102</v>
      </c>
      <c r="I360" s="355">
        <f>FF!K1217</f>
        <v>944.79</v>
      </c>
      <c r="J360" s="353">
        <f t="shared" si="63"/>
        <v>0</v>
      </c>
      <c r="K360" s="1679">
        <f>IF((J360+J361+J362+J363)&gt;(F360+F361+F362+F363),(J360+J361+J362+J363)-(F360+F361+F362+F363),0)</f>
        <v>0</v>
      </c>
      <c r="L360" s="1679">
        <f>IF((J360+J361+J362+J363)&lt;(F360+F361+F362+F363),(F360+F361+F362+F363)-(J360+J361+J362+J363),0)</f>
        <v>0</v>
      </c>
      <c r="M360" s="633" t="s">
        <v>2217</v>
      </c>
      <c r="N360" s="223"/>
      <c r="O360" s="631">
        <f t="shared" si="68"/>
        <v>0</v>
      </c>
    </row>
    <row r="361" spans="1:15" s="360" customFormat="1" ht="15" hidden="1">
      <c r="A361" s="356" t="s">
        <v>492</v>
      </c>
      <c r="B361" s="632" t="s">
        <v>1222</v>
      </c>
      <c r="C361" s="635"/>
      <c r="D361" s="354"/>
      <c r="E361" s="362"/>
      <c r="F361" s="353"/>
      <c r="G361" s="358">
        <f>FF!I1225</f>
        <v>0</v>
      </c>
      <c r="H361" s="354" t="s">
        <v>102</v>
      </c>
      <c r="I361" s="355">
        <f>FF!K1225</f>
        <v>986.93</v>
      </c>
      <c r="J361" s="353">
        <f>ROUND(G361*I361,0)</f>
        <v>0</v>
      </c>
      <c r="K361" s="1680"/>
      <c r="L361" s="1680"/>
      <c r="M361" s="633" t="s">
        <v>2299</v>
      </c>
      <c r="N361" s="223"/>
      <c r="O361" s="631">
        <f t="shared" si="68"/>
        <v>0</v>
      </c>
    </row>
    <row r="362" spans="1:15" s="360" customFormat="1" ht="15" hidden="1">
      <c r="A362" s="356" t="s">
        <v>492</v>
      </c>
      <c r="B362" s="632" t="s">
        <v>1222</v>
      </c>
      <c r="C362" s="635"/>
      <c r="D362" s="354"/>
      <c r="E362" s="362"/>
      <c r="F362" s="353"/>
      <c r="G362" s="358">
        <f>FF!I1233</f>
        <v>0</v>
      </c>
      <c r="H362" s="354" t="s">
        <v>102</v>
      </c>
      <c r="I362" s="355">
        <f>FF!K1233</f>
        <v>1020.23</v>
      </c>
      <c r="J362" s="353">
        <f>ROUND(G362*I362,0)</f>
        <v>0</v>
      </c>
      <c r="K362" s="1680"/>
      <c r="L362" s="1680"/>
      <c r="M362" s="633" t="s">
        <v>2312</v>
      </c>
      <c r="N362" s="223"/>
      <c r="O362" s="631">
        <f t="shared" si="68"/>
        <v>0</v>
      </c>
    </row>
    <row r="363" spans="1:15" s="360" customFormat="1" ht="15" hidden="1">
      <c r="A363" s="356" t="s">
        <v>492</v>
      </c>
      <c r="B363" s="632" t="s">
        <v>1222</v>
      </c>
      <c r="C363" s="635"/>
      <c r="D363" s="354"/>
      <c r="E363" s="362"/>
      <c r="F363" s="353"/>
      <c r="G363" s="358">
        <f>FF!I1241</f>
        <v>0</v>
      </c>
      <c r="H363" s="354" t="s">
        <v>102</v>
      </c>
      <c r="I363" s="355">
        <f>FF!K1241</f>
        <v>1059.21</v>
      </c>
      <c r="J363" s="353">
        <f>ROUND(G363*I363,0)</f>
        <v>0</v>
      </c>
      <c r="K363" s="1681"/>
      <c r="L363" s="1681"/>
      <c r="M363" s="633" t="s">
        <v>2313</v>
      </c>
      <c r="N363" s="223"/>
      <c r="O363" s="631">
        <f t="shared" si="68"/>
        <v>0</v>
      </c>
    </row>
    <row r="364" spans="1:15" s="360" customFormat="1" ht="15" hidden="1">
      <c r="A364" s="356" t="s">
        <v>533</v>
      </c>
      <c r="B364" s="632" t="s">
        <v>707</v>
      </c>
      <c r="C364" s="636"/>
      <c r="D364" s="354"/>
      <c r="E364" s="614"/>
      <c r="F364" s="353"/>
      <c r="G364" s="358">
        <f>FF!I1250</f>
        <v>0</v>
      </c>
      <c r="H364" s="354" t="s">
        <v>102</v>
      </c>
      <c r="I364" s="355">
        <f>FF!K1250</f>
        <v>21.43</v>
      </c>
      <c r="J364" s="353">
        <f t="shared" si="63"/>
        <v>0</v>
      </c>
      <c r="K364" s="1679">
        <f>IF((J364+J365+J366+J367)&gt;(F364+F365+F366+F367),(J364+J365+J366+J367)-(F364+F365+F366+F367),0)</f>
        <v>0</v>
      </c>
      <c r="L364" s="1679">
        <f>IF((J364+J365+J366+J367)&lt;(F364+F365+F366+F367),(F364+F365+F366+F367)-(J364+J365+J366+J367),0)</f>
        <v>0</v>
      </c>
      <c r="M364" s="633" t="s">
        <v>2217</v>
      </c>
      <c r="N364" s="223"/>
      <c r="O364" s="631">
        <f t="shared" si="68"/>
        <v>0</v>
      </c>
    </row>
    <row r="365" spans="1:15" s="360" customFormat="1" ht="15" hidden="1">
      <c r="A365" s="356" t="s">
        <v>533</v>
      </c>
      <c r="B365" s="632" t="s">
        <v>707</v>
      </c>
      <c r="C365" s="636"/>
      <c r="D365" s="354"/>
      <c r="E365" s="614"/>
      <c r="F365" s="353"/>
      <c r="G365" s="358">
        <f>FF!I1259</f>
        <v>0</v>
      </c>
      <c r="H365" s="354" t="s">
        <v>102</v>
      </c>
      <c r="I365" s="355">
        <f>FF!K1259</f>
        <v>22.88</v>
      </c>
      <c r="J365" s="353">
        <f>ROUND(G365*I365,0)</f>
        <v>0</v>
      </c>
      <c r="K365" s="1680"/>
      <c r="L365" s="1680"/>
      <c r="M365" s="633" t="s">
        <v>2299</v>
      </c>
      <c r="N365" s="223"/>
      <c r="O365" s="631">
        <f t="shared" si="68"/>
        <v>0</v>
      </c>
    </row>
    <row r="366" spans="1:15" s="360" customFormat="1" ht="15" hidden="1">
      <c r="A366" s="356" t="s">
        <v>533</v>
      </c>
      <c r="B366" s="632" t="s">
        <v>707</v>
      </c>
      <c r="C366" s="636"/>
      <c r="D366" s="354"/>
      <c r="E366" s="614"/>
      <c r="F366" s="353"/>
      <c r="G366" s="358">
        <f>FF!I1268</f>
        <v>0</v>
      </c>
      <c r="H366" s="354" t="s">
        <v>102</v>
      </c>
      <c r="I366" s="355">
        <f>FF!K1268</f>
        <v>24.15</v>
      </c>
      <c r="J366" s="353">
        <f>ROUND(G366*I366,0)</f>
        <v>0</v>
      </c>
      <c r="K366" s="1680"/>
      <c r="L366" s="1680"/>
      <c r="M366" s="633" t="s">
        <v>2312</v>
      </c>
      <c r="N366" s="223"/>
      <c r="O366" s="631">
        <f t="shared" si="68"/>
        <v>0</v>
      </c>
    </row>
    <row r="367" spans="1:15" s="360" customFormat="1" ht="15" hidden="1">
      <c r="A367" s="356" t="s">
        <v>533</v>
      </c>
      <c r="B367" s="632" t="s">
        <v>707</v>
      </c>
      <c r="C367" s="636"/>
      <c r="D367" s="354"/>
      <c r="E367" s="614"/>
      <c r="F367" s="353"/>
      <c r="G367" s="358">
        <f>FF!I1277</f>
        <v>0</v>
      </c>
      <c r="H367" s="354" t="s">
        <v>102</v>
      </c>
      <c r="I367" s="355">
        <f>FF!K1277</f>
        <v>25.98</v>
      </c>
      <c r="J367" s="353">
        <f>ROUND(G367*I367,0)</f>
        <v>0</v>
      </c>
      <c r="K367" s="1681"/>
      <c r="L367" s="1681"/>
      <c r="M367" s="633" t="s">
        <v>2313</v>
      </c>
      <c r="N367" s="223"/>
      <c r="O367" s="631">
        <f t="shared" si="68"/>
        <v>0</v>
      </c>
    </row>
    <row r="368" spans="1:15" s="360" customFormat="1" ht="15" hidden="1">
      <c r="A368" s="356" t="s">
        <v>516</v>
      </c>
      <c r="B368" s="632" t="s">
        <v>888</v>
      </c>
      <c r="C368" s="635"/>
      <c r="D368" s="354"/>
      <c r="E368" s="362"/>
      <c r="F368" s="353"/>
      <c r="G368" s="358">
        <f>FF!I1302</f>
        <v>0</v>
      </c>
      <c r="H368" s="354" t="s">
        <v>102</v>
      </c>
      <c r="I368" s="355">
        <f>FF!K1302</f>
        <v>156.41</v>
      </c>
      <c r="J368" s="353">
        <f t="shared" si="63"/>
        <v>0</v>
      </c>
      <c r="K368" s="1679">
        <f>IF((J368+J369+J370+J371)&gt;(F368+F369+F370+F371),(J368+J369+J370+J371)-(F368+F369+F370+F371),0)</f>
        <v>0</v>
      </c>
      <c r="L368" s="1679">
        <f>IF((J368+J369+J370+J371)&lt;(F368+F369+F370+F371),(F368+F369+F370+F371)-(J368+J369+J370+J371),0)</f>
        <v>0</v>
      </c>
      <c r="M368" s="633" t="s">
        <v>2217</v>
      </c>
      <c r="N368" s="223"/>
      <c r="O368" s="631">
        <f t="shared" si="68"/>
        <v>0</v>
      </c>
    </row>
    <row r="369" spans="1:15" s="360" customFormat="1" ht="15" hidden="1">
      <c r="A369" s="356" t="s">
        <v>1581</v>
      </c>
      <c r="B369" s="632" t="s">
        <v>888</v>
      </c>
      <c r="C369" s="635"/>
      <c r="D369" s="354"/>
      <c r="E369" s="362"/>
      <c r="F369" s="353"/>
      <c r="G369" s="358">
        <f>FF!I1334</f>
        <v>0</v>
      </c>
      <c r="H369" s="354" t="s">
        <v>102</v>
      </c>
      <c r="I369" s="355">
        <f>FF!K1334</f>
        <v>164.34</v>
      </c>
      <c r="J369" s="353">
        <f>ROUND(G369*I369,0)</f>
        <v>0</v>
      </c>
      <c r="K369" s="1680"/>
      <c r="L369" s="1680"/>
      <c r="M369" s="633" t="s">
        <v>2299</v>
      </c>
      <c r="N369" s="223"/>
      <c r="O369" s="631">
        <f t="shared" si="68"/>
        <v>0</v>
      </c>
    </row>
    <row r="370" spans="1:15" s="360" customFormat="1" ht="15" hidden="1">
      <c r="A370" s="356" t="s">
        <v>530</v>
      </c>
      <c r="B370" s="632" t="s">
        <v>888</v>
      </c>
      <c r="C370" s="635"/>
      <c r="D370" s="354"/>
      <c r="E370" s="362"/>
      <c r="F370" s="353"/>
      <c r="G370" s="358">
        <f>FF!I1344</f>
        <v>0</v>
      </c>
      <c r="H370" s="354" t="s">
        <v>102</v>
      </c>
      <c r="I370" s="355">
        <f>FF!K1344</f>
        <v>170.35</v>
      </c>
      <c r="J370" s="353">
        <f>ROUND(G370*I370,0)</f>
        <v>0</v>
      </c>
      <c r="K370" s="1680"/>
      <c r="L370" s="1680"/>
      <c r="M370" s="633" t="s">
        <v>2312</v>
      </c>
      <c r="N370" s="223"/>
      <c r="O370" s="631">
        <f t="shared" si="68"/>
        <v>0</v>
      </c>
    </row>
    <row r="371" spans="1:15" s="360" customFormat="1" ht="51" hidden="1">
      <c r="A371" s="356" t="s">
        <v>519</v>
      </c>
      <c r="B371" s="632" t="s">
        <v>3203</v>
      </c>
      <c r="C371" s="635"/>
      <c r="D371" s="354"/>
      <c r="E371" s="362"/>
      <c r="F371" s="353"/>
      <c r="G371" s="358">
        <f>FF!I1369</f>
        <v>0</v>
      </c>
      <c r="H371" s="354" t="s">
        <v>102</v>
      </c>
      <c r="I371" s="355">
        <f>FF!K1369</f>
        <v>184.03</v>
      </c>
      <c r="J371" s="353">
        <f>ROUND(G371*I371,0)</f>
        <v>0</v>
      </c>
      <c r="K371" s="1681"/>
      <c r="L371" s="1681"/>
      <c r="M371" s="851" t="s">
        <v>2313</v>
      </c>
      <c r="N371" s="223"/>
      <c r="O371" s="850">
        <f t="shared" si="68"/>
        <v>0</v>
      </c>
    </row>
    <row r="372" spans="1:15" s="360" customFormat="1" ht="51" hidden="1">
      <c r="A372" s="356" t="s">
        <v>520</v>
      </c>
      <c r="B372" s="632" t="s">
        <v>3204</v>
      </c>
      <c r="C372" s="568"/>
      <c r="D372" s="791" t="s">
        <v>102</v>
      </c>
      <c r="E372" s="10">
        <v>146.94</v>
      </c>
      <c r="F372" s="792">
        <f t="shared" ref="F372" si="71">ROUND(C372*E372,0)</f>
        <v>0</v>
      </c>
      <c r="G372" s="358">
        <f>FF!I1378</f>
        <v>0</v>
      </c>
      <c r="H372" s="354" t="s">
        <v>102</v>
      </c>
      <c r="I372" s="355">
        <f>FF!K1378</f>
        <v>131.44999999999999</v>
      </c>
      <c r="J372" s="353">
        <f t="shared" si="63"/>
        <v>0</v>
      </c>
      <c r="K372" s="1679">
        <f>IF((J372+J373+J374+J375)&gt;(F372+F373+F374+F375),(J372+J373+J374+J375)-(F372+F373+F374+F375),0)</f>
        <v>0</v>
      </c>
      <c r="L372" s="1679">
        <f>IF((J372+J373+J374+J375)&lt;(F372+F373+F374+F375),(F372+F373+F374+F375)-(J372+J373+J374+J375),0)</f>
        <v>0</v>
      </c>
      <c r="M372" s="851" t="s">
        <v>2217</v>
      </c>
      <c r="N372" s="223"/>
      <c r="O372" s="850">
        <f t="shared" si="68"/>
        <v>0</v>
      </c>
    </row>
    <row r="373" spans="1:15" s="360" customFormat="1" ht="15" hidden="1">
      <c r="A373" s="356" t="s">
        <v>1143</v>
      </c>
      <c r="B373" s="632" t="s">
        <v>571</v>
      </c>
      <c r="C373" s="634"/>
      <c r="D373" s="354"/>
      <c r="E373" s="10"/>
      <c r="F373" s="353"/>
      <c r="G373" s="358">
        <f>FF!I1420</f>
        <v>0</v>
      </c>
      <c r="H373" s="354" t="s">
        <v>102</v>
      </c>
      <c r="I373" s="355">
        <f>FF!K1420</f>
        <v>139.51</v>
      </c>
      <c r="J373" s="353">
        <f>ROUND(G373*I373,0)</f>
        <v>0</v>
      </c>
      <c r="K373" s="1680"/>
      <c r="L373" s="1680"/>
      <c r="M373" s="633" t="s">
        <v>2299</v>
      </c>
      <c r="N373" s="223"/>
      <c r="O373" s="631">
        <f t="shared" si="68"/>
        <v>0</v>
      </c>
    </row>
    <row r="374" spans="1:15" s="360" customFormat="1" ht="15" hidden="1">
      <c r="A374" s="356" t="s">
        <v>532</v>
      </c>
      <c r="B374" s="632" t="s">
        <v>571</v>
      </c>
      <c r="C374" s="634"/>
      <c r="D374" s="354"/>
      <c r="E374" s="10"/>
      <c r="F374" s="353"/>
      <c r="G374" s="358">
        <f>FF!I1429</f>
        <v>0</v>
      </c>
      <c r="H374" s="354" t="s">
        <v>102</v>
      </c>
      <c r="I374" s="355">
        <f>FF!K1429</f>
        <v>145.68</v>
      </c>
      <c r="J374" s="353">
        <f>ROUND(G374*I374,0)</f>
        <v>0</v>
      </c>
      <c r="K374" s="1680"/>
      <c r="L374" s="1680"/>
      <c r="M374" s="633" t="s">
        <v>2312</v>
      </c>
      <c r="N374" s="223"/>
      <c r="O374" s="631">
        <f t="shared" si="68"/>
        <v>0</v>
      </c>
    </row>
    <row r="375" spans="1:15" s="360" customFormat="1" ht="51" hidden="1">
      <c r="A375" s="356" t="s">
        <v>521</v>
      </c>
      <c r="B375" s="632" t="s">
        <v>3204</v>
      </c>
      <c r="C375" s="634"/>
      <c r="D375" s="354"/>
      <c r="E375" s="10"/>
      <c r="F375" s="353"/>
      <c r="G375" s="358">
        <f>FF!I1454</f>
        <v>0</v>
      </c>
      <c r="H375" s="354" t="s">
        <v>102</v>
      </c>
      <c r="I375" s="355">
        <f>FF!K1454</f>
        <v>158.36000000000001</v>
      </c>
      <c r="J375" s="353">
        <f>ROUND(G375*I375,0)</f>
        <v>0</v>
      </c>
      <c r="K375" s="1681"/>
      <c r="L375" s="1681"/>
      <c r="M375" s="851" t="s">
        <v>2313</v>
      </c>
      <c r="N375" s="223"/>
      <c r="O375" s="850">
        <f t="shared" si="68"/>
        <v>0</v>
      </c>
    </row>
    <row r="376" spans="1:15" s="360" customFormat="1" ht="51" hidden="1">
      <c r="A376" s="356" t="s">
        <v>522</v>
      </c>
      <c r="B376" s="632" t="s">
        <v>3205</v>
      </c>
      <c r="C376" s="568"/>
      <c r="D376" s="791" t="s">
        <v>102</v>
      </c>
      <c r="E376" s="10">
        <v>187.22</v>
      </c>
      <c r="F376" s="792">
        <f t="shared" ref="F376" si="72">ROUND(C376*E376,0)</f>
        <v>0</v>
      </c>
      <c r="G376" s="358">
        <f>FF!I1461</f>
        <v>0</v>
      </c>
      <c r="H376" s="354" t="s">
        <v>102</v>
      </c>
      <c r="I376" s="355">
        <f>FF!K1461</f>
        <v>179.47</v>
      </c>
      <c r="J376" s="353">
        <f t="shared" si="63"/>
        <v>0</v>
      </c>
      <c r="K376" s="1679">
        <f>IF((J376+J377+J378+J379)&gt;(F376+F377+F378+F379),(J376+J377+J378+J379)-(F376+F377+F378+F379),0)</f>
        <v>0</v>
      </c>
      <c r="L376" s="1679">
        <f>IF((J376+J377+J378+J379)&lt;(F376+F377+F378+F379),(F376+F377+F378+F379)-(J376+J377+J378+J379),0)</f>
        <v>0</v>
      </c>
      <c r="M376" s="851" t="s">
        <v>2217</v>
      </c>
      <c r="N376" s="223"/>
      <c r="O376" s="850">
        <f t="shared" si="68"/>
        <v>0</v>
      </c>
    </row>
    <row r="377" spans="1:15" s="360" customFormat="1" ht="15" hidden="1">
      <c r="A377" s="356" t="s">
        <v>645</v>
      </c>
      <c r="B377" s="632" t="s">
        <v>1226</v>
      </c>
      <c r="C377" s="634"/>
      <c r="D377" s="354"/>
      <c r="E377" s="10"/>
      <c r="F377" s="353"/>
      <c r="G377" s="358">
        <f>FF!I1493</f>
        <v>0</v>
      </c>
      <c r="H377" s="354" t="s">
        <v>102</v>
      </c>
      <c r="I377" s="355">
        <f>FF!K1493</f>
        <v>192.01</v>
      </c>
      <c r="J377" s="353">
        <f>ROUND(G377*I377,0)</f>
        <v>0</v>
      </c>
      <c r="K377" s="1680"/>
      <c r="L377" s="1680"/>
      <c r="M377" s="633" t="s">
        <v>2299</v>
      </c>
      <c r="N377" s="223"/>
      <c r="O377" s="631">
        <f t="shared" si="68"/>
        <v>0</v>
      </c>
    </row>
    <row r="378" spans="1:15" s="360" customFormat="1" ht="15" hidden="1">
      <c r="A378" s="356" t="s">
        <v>533</v>
      </c>
      <c r="B378" s="632" t="s">
        <v>1226</v>
      </c>
      <c r="C378" s="634"/>
      <c r="D378" s="354"/>
      <c r="E378" s="10"/>
      <c r="F378" s="353"/>
      <c r="G378" s="358">
        <f>FF!I1500</f>
        <v>0</v>
      </c>
      <c r="H378" s="354" t="s">
        <v>102</v>
      </c>
      <c r="I378" s="355">
        <f>FF!K1500</f>
        <v>201.51</v>
      </c>
      <c r="J378" s="353">
        <f>ROUND(G378*I378,0)</f>
        <v>0</v>
      </c>
      <c r="K378" s="1680"/>
      <c r="L378" s="1680"/>
      <c r="M378" s="633" t="s">
        <v>2312</v>
      </c>
      <c r="N378" s="223"/>
      <c r="O378" s="631">
        <f t="shared" si="68"/>
        <v>0</v>
      </c>
    </row>
    <row r="379" spans="1:15" s="360" customFormat="1" ht="51" hidden="1">
      <c r="A379" s="356" t="s">
        <v>524</v>
      </c>
      <c r="B379" s="632" t="s">
        <v>3205</v>
      </c>
      <c r="C379" s="634"/>
      <c r="D379" s="354"/>
      <c r="E379" s="10"/>
      <c r="F379" s="353"/>
      <c r="G379" s="358">
        <f>FF!I1514</f>
        <v>0</v>
      </c>
      <c r="H379" s="354" t="s">
        <v>102</v>
      </c>
      <c r="I379" s="355">
        <f>FF!K1514</f>
        <v>217.22</v>
      </c>
      <c r="J379" s="353">
        <f>ROUND(G379*I379,0)</f>
        <v>0</v>
      </c>
      <c r="K379" s="1681"/>
      <c r="L379" s="1681"/>
      <c r="M379" s="851" t="s">
        <v>2313</v>
      </c>
      <c r="N379" s="223"/>
      <c r="O379" s="850">
        <f t="shared" si="68"/>
        <v>0</v>
      </c>
    </row>
    <row r="380" spans="1:15" s="360" customFormat="1" ht="15" hidden="1">
      <c r="A380" s="356" t="s">
        <v>525</v>
      </c>
      <c r="B380" s="632" t="s">
        <v>477</v>
      </c>
      <c r="C380" s="825"/>
      <c r="D380" s="794" t="s">
        <v>872</v>
      </c>
      <c r="E380" s="567">
        <v>51205</v>
      </c>
      <c r="F380" s="792">
        <f>ROUND(C380*E380/1000,0)</f>
        <v>0</v>
      </c>
      <c r="G380" s="429">
        <f>FF!I1522</f>
        <v>0</v>
      </c>
      <c r="H380" s="221" t="s">
        <v>29</v>
      </c>
      <c r="I380" s="430">
        <f>FF!K1522</f>
        <v>63243.5</v>
      </c>
      <c r="J380" s="353">
        <f t="shared" si="63"/>
        <v>0</v>
      </c>
      <c r="K380" s="1679">
        <f>IF((J380+J381+J382+J383)&gt;(F380+F381+F382+F383),(J380+J381+J382+J383)-(F380+F381+F382+F383),0)</f>
        <v>0</v>
      </c>
      <c r="L380" s="1679">
        <f>IF((J380+J381+J382+J383)&lt;(F380+F381+F382+F383),(F380+F381+F382+F383)-(J380+J381+J382+J383),0)</f>
        <v>0</v>
      </c>
      <c r="M380" s="851" t="s">
        <v>2217</v>
      </c>
      <c r="N380" s="223"/>
      <c r="O380" s="850">
        <f t="shared" si="68"/>
        <v>0</v>
      </c>
    </row>
    <row r="381" spans="1:15" s="360" customFormat="1" ht="15" hidden="1">
      <c r="A381" s="356" t="s">
        <v>1585</v>
      </c>
      <c r="B381" s="632" t="s">
        <v>477</v>
      </c>
      <c r="C381" s="551"/>
      <c r="D381" s="221"/>
      <c r="E381" s="10"/>
      <c r="F381" s="353"/>
      <c r="G381" s="429">
        <f>FF!I1527</f>
        <v>0</v>
      </c>
      <c r="H381" s="221" t="s">
        <v>29</v>
      </c>
      <c r="I381" s="430">
        <f>FF!K1527</f>
        <v>63510</v>
      </c>
      <c r="J381" s="353">
        <f>ROUND(G381*I381,0)</f>
        <v>0</v>
      </c>
      <c r="K381" s="1680"/>
      <c r="L381" s="1680"/>
      <c r="M381" s="633" t="s">
        <v>2299</v>
      </c>
      <c r="N381" s="223"/>
      <c r="O381" s="631">
        <f t="shared" si="68"/>
        <v>0</v>
      </c>
    </row>
    <row r="382" spans="1:15" s="360" customFormat="1" ht="15" hidden="1">
      <c r="A382" s="356" t="s">
        <v>1143</v>
      </c>
      <c r="B382" s="632" t="s">
        <v>477</v>
      </c>
      <c r="C382" s="551"/>
      <c r="D382" s="221"/>
      <c r="E382" s="10"/>
      <c r="F382" s="353"/>
      <c r="G382" s="429">
        <f>FF!I1535</f>
        <v>0</v>
      </c>
      <c r="H382" s="221" t="s">
        <v>29</v>
      </c>
      <c r="I382" s="430">
        <f>FF!K1535</f>
        <v>80999.5</v>
      </c>
      <c r="J382" s="353">
        <f>ROUND(G382*I382,0)</f>
        <v>0</v>
      </c>
      <c r="K382" s="1680"/>
      <c r="L382" s="1680"/>
      <c r="M382" s="633" t="s">
        <v>2312</v>
      </c>
      <c r="N382" s="223"/>
      <c r="O382" s="631">
        <f t="shared" si="68"/>
        <v>0</v>
      </c>
    </row>
    <row r="383" spans="1:15" s="360" customFormat="1" ht="15" hidden="1">
      <c r="A383" s="356" t="s">
        <v>1143</v>
      </c>
      <c r="B383" s="632" t="s">
        <v>477</v>
      </c>
      <c r="C383" s="551"/>
      <c r="D383" s="221"/>
      <c r="E383" s="10"/>
      <c r="F383" s="353"/>
      <c r="G383" s="429">
        <f>FF!I1542</f>
        <v>0</v>
      </c>
      <c r="H383" s="221" t="s">
        <v>29</v>
      </c>
      <c r="I383" s="430">
        <f>FF!K1542</f>
        <v>93741</v>
      </c>
      <c r="J383" s="353">
        <f>ROUND(G383*I383,0)</f>
        <v>0</v>
      </c>
      <c r="K383" s="1681"/>
      <c r="L383" s="1681"/>
      <c r="M383" s="633" t="s">
        <v>2313</v>
      </c>
      <c r="N383" s="223"/>
      <c r="O383" s="631">
        <f t="shared" si="68"/>
        <v>0</v>
      </c>
    </row>
    <row r="384" spans="1:15" s="26" customFormat="1" ht="15" hidden="1">
      <c r="A384" s="23"/>
      <c r="B384" s="627" t="s">
        <v>889</v>
      </c>
      <c r="C384" s="638"/>
      <c r="D384" s="639"/>
      <c r="E384" s="640"/>
      <c r="F384" s="641"/>
      <c r="G384" s="28"/>
      <c r="H384" s="224"/>
      <c r="I384" s="37"/>
      <c r="J384" s="11">
        <f t="shared" ref="J384" si="73">ROUND(G384*I384,0)</f>
        <v>0</v>
      </c>
      <c r="K384" s="25"/>
      <c r="L384" s="25"/>
      <c r="M384" s="851" t="s">
        <v>2217</v>
      </c>
      <c r="N384" s="223"/>
      <c r="O384" s="850"/>
    </row>
    <row r="385" spans="1:15" s="360" customFormat="1" ht="51" hidden="1">
      <c r="A385" s="356" t="s">
        <v>526</v>
      </c>
      <c r="B385" s="632" t="s">
        <v>3183</v>
      </c>
      <c r="C385" s="636"/>
      <c r="D385" s="354"/>
      <c r="E385" s="614"/>
      <c r="F385" s="353"/>
      <c r="G385" s="358">
        <f>SF!I14</f>
        <v>0</v>
      </c>
      <c r="H385" s="354" t="s">
        <v>5</v>
      </c>
      <c r="I385" s="355">
        <f>SF!K14</f>
        <v>10542.140000000001</v>
      </c>
      <c r="J385" s="353">
        <f t="shared" ref="J385:J409" si="74">ROUND(G385*I385,0)</f>
        <v>0</v>
      </c>
      <c r="K385" s="1679">
        <f>IF((J385+J386+J387+J388)&gt;(F385+F386+F387+F388),(J385+J386+J387+J388)-(F385+F386+F387+F388),0)</f>
        <v>0</v>
      </c>
      <c r="L385" s="1679">
        <f>IF((J385+J386+J387+J388)&lt;(F385+F386+F387+F388),(F385+F386+F387+F388)-(J385+J386+J387+J388),0)</f>
        <v>0</v>
      </c>
      <c r="M385" s="851" t="s">
        <v>2217</v>
      </c>
      <c r="N385" s="223"/>
      <c r="O385" s="850">
        <f t="shared" si="68"/>
        <v>0</v>
      </c>
    </row>
    <row r="386" spans="1:15" s="360" customFormat="1" ht="15" hidden="1">
      <c r="A386" s="356" t="s">
        <v>1144</v>
      </c>
      <c r="B386" s="632" t="s">
        <v>2061</v>
      </c>
      <c r="C386" s="636"/>
      <c r="D386" s="354"/>
      <c r="E386" s="614"/>
      <c r="F386" s="353"/>
      <c r="G386" s="358">
        <f>SF!I21</f>
        <v>0</v>
      </c>
      <c r="H386" s="354" t="s">
        <v>5</v>
      </c>
      <c r="I386" s="355">
        <f>SF!K21</f>
        <v>10932.800000000001</v>
      </c>
      <c r="J386" s="353">
        <f>ROUND(G386*I386,0)</f>
        <v>0</v>
      </c>
      <c r="K386" s="1680"/>
      <c r="L386" s="1680"/>
      <c r="M386" s="633" t="s">
        <v>2299</v>
      </c>
      <c r="N386" s="223"/>
      <c r="O386" s="631">
        <f t="shared" si="68"/>
        <v>0</v>
      </c>
    </row>
    <row r="387" spans="1:15" s="360" customFormat="1" ht="15" hidden="1">
      <c r="A387" s="356" t="s">
        <v>1583</v>
      </c>
      <c r="B387" s="632" t="s">
        <v>2061</v>
      </c>
      <c r="C387" s="636"/>
      <c r="D387" s="354"/>
      <c r="E387" s="614"/>
      <c r="F387" s="353"/>
      <c r="G387" s="358">
        <f>SF!I28</f>
        <v>0</v>
      </c>
      <c r="H387" s="354" t="s">
        <v>5</v>
      </c>
      <c r="I387" s="355">
        <f>SF!K28</f>
        <v>11565.1</v>
      </c>
      <c r="J387" s="353">
        <f>ROUND(G387*I387,0)</f>
        <v>0</v>
      </c>
      <c r="K387" s="1680"/>
      <c r="L387" s="1680"/>
      <c r="M387" s="633" t="s">
        <v>2312</v>
      </c>
      <c r="N387" s="223"/>
      <c r="O387" s="631">
        <f t="shared" si="68"/>
        <v>0</v>
      </c>
    </row>
    <row r="388" spans="1:15" s="360" customFormat="1" ht="15" hidden="1">
      <c r="A388" s="356" t="s">
        <v>1583</v>
      </c>
      <c r="B388" s="632" t="s">
        <v>2061</v>
      </c>
      <c r="C388" s="636"/>
      <c r="D388" s="354"/>
      <c r="E388" s="614"/>
      <c r="F388" s="353"/>
      <c r="G388" s="358">
        <f>SF!I33</f>
        <v>0</v>
      </c>
      <c r="H388" s="354" t="s">
        <v>5</v>
      </c>
      <c r="I388" s="355">
        <f>SF!K33</f>
        <v>12013.61</v>
      </c>
      <c r="J388" s="353">
        <f>ROUND(G388*I388,0)</f>
        <v>0</v>
      </c>
      <c r="K388" s="1681"/>
      <c r="L388" s="1681"/>
      <c r="M388" s="633" t="s">
        <v>2313</v>
      </c>
      <c r="N388" s="223"/>
      <c r="O388" s="631">
        <f t="shared" si="68"/>
        <v>0</v>
      </c>
    </row>
    <row r="389" spans="1:15" s="360" customFormat="1" ht="51" hidden="1">
      <c r="A389" s="356" t="s">
        <v>527</v>
      </c>
      <c r="B389" s="632" t="s">
        <v>3185</v>
      </c>
      <c r="C389" s="636"/>
      <c r="D389" s="354"/>
      <c r="E389" s="614"/>
      <c r="F389" s="353"/>
      <c r="G389" s="358">
        <f>SF!I39</f>
        <v>0</v>
      </c>
      <c r="H389" s="354" t="s">
        <v>5</v>
      </c>
      <c r="I389" s="355">
        <f>SF!K39</f>
        <v>10021.1</v>
      </c>
      <c r="J389" s="353">
        <f t="shared" si="74"/>
        <v>0</v>
      </c>
      <c r="K389" s="1679">
        <f>IF((J389+J390+J391+J392)&gt;(F389+F390+F391+F392),(J389+J390+J391+J392)-(F389+F390+F391+F392),0)</f>
        <v>0</v>
      </c>
      <c r="L389" s="1679">
        <f>IF((J389+J390+J391+J392)&lt;(F389+F390+F391+F392),(F389+F390+F391+F392)-(J389+J390+J391+J392),0)</f>
        <v>0</v>
      </c>
      <c r="M389" s="851" t="s">
        <v>2217</v>
      </c>
      <c r="N389" s="223"/>
      <c r="O389" s="850">
        <f t="shared" si="68"/>
        <v>0</v>
      </c>
    </row>
    <row r="390" spans="1:15" s="360" customFormat="1" ht="15" hidden="1">
      <c r="A390" s="356" t="s">
        <v>1586</v>
      </c>
      <c r="B390" s="632" t="s">
        <v>2063</v>
      </c>
      <c r="C390" s="636"/>
      <c r="D390" s="354"/>
      <c r="E390" s="614"/>
      <c r="F390" s="353"/>
      <c r="G390" s="358">
        <f>SF!I45</f>
        <v>0</v>
      </c>
      <c r="H390" s="354" t="s">
        <v>5</v>
      </c>
      <c r="I390" s="355">
        <f>SF!K45</f>
        <v>10257.99</v>
      </c>
      <c r="J390" s="353">
        <f>ROUND(G390*I390,0)</f>
        <v>0</v>
      </c>
      <c r="K390" s="1680"/>
      <c r="L390" s="1680"/>
      <c r="M390" s="633" t="s">
        <v>2299</v>
      </c>
      <c r="N390" s="223"/>
      <c r="O390" s="631">
        <f t="shared" si="68"/>
        <v>0</v>
      </c>
    </row>
    <row r="391" spans="1:15" s="360" customFormat="1" ht="15" hidden="1">
      <c r="A391" s="356" t="s">
        <v>645</v>
      </c>
      <c r="B391" s="632" t="s">
        <v>2063</v>
      </c>
      <c r="C391" s="636"/>
      <c r="D391" s="354"/>
      <c r="E391" s="614"/>
      <c r="F391" s="353"/>
      <c r="G391" s="358">
        <f>SF!I51</f>
        <v>0</v>
      </c>
      <c r="H391" s="354" t="s">
        <v>5</v>
      </c>
      <c r="I391" s="355">
        <f>SF!K51</f>
        <v>10793.54</v>
      </c>
      <c r="J391" s="353">
        <f>ROUND(G391*I391,0)</f>
        <v>0</v>
      </c>
      <c r="K391" s="1680"/>
      <c r="L391" s="1680"/>
      <c r="M391" s="633" t="s">
        <v>2312</v>
      </c>
      <c r="N391" s="223"/>
      <c r="O391" s="631">
        <f t="shared" si="68"/>
        <v>0</v>
      </c>
    </row>
    <row r="392" spans="1:15" s="360" customFormat="1" ht="15" hidden="1">
      <c r="A392" s="356" t="s">
        <v>645</v>
      </c>
      <c r="B392" s="632" t="s">
        <v>2063</v>
      </c>
      <c r="C392" s="636"/>
      <c r="D392" s="354"/>
      <c r="E392" s="614"/>
      <c r="F392" s="353"/>
      <c r="G392" s="358">
        <f>SF!I57</f>
        <v>0</v>
      </c>
      <c r="H392" s="354" t="s">
        <v>5</v>
      </c>
      <c r="I392" s="355">
        <f>SF!K57</f>
        <v>11098.560000000001</v>
      </c>
      <c r="J392" s="353">
        <f>ROUND(G392*I392,0)</f>
        <v>0</v>
      </c>
      <c r="K392" s="1681"/>
      <c r="L392" s="1681"/>
      <c r="M392" s="633" t="s">
        <v>2313</v>
      </c>
      <c r="N392" s="223"/>
      <c r="O392" s="631">
        <f t="shared" si="68"/>
        <v>0</v>
      </c>
    </row>
    <row r="393" spans="1:15" s="360" customFormat="1" ht="15" hidden="1">
      <c r="A393" s="356" t="s">
        <v>1143</v>
      </c>
      <c r="B393" s="632" t="s">
        <v>2064</v>
      </c>
      <c r="C393" s="636"/>
      <c r="D393" s="354"/>
      <c r="E393" s="614"/>
      <c r="F393" s="353"/>
      <c r="G393" s="358">
        <f>SF!I86</f>
        <v>0</v>
      </c>
      <c r="H393" s="354" t="s">
        <v>102</v>
      </c>
      <c r="I393" s="355">
        <f>SF!K86</f>
        <v>1395.34</v>
      </c>
      <c r="J393" s="353">
        <f t="shared" si="74"/>
        <v>0</v>
      </c>
      <c r="K393" s="1679">
        <f>IF((J393+J394+J395+J396)&gt;(F393+F394+F395+F396),(J393+J394+J395+J396)-(F393+F394+F395+F396),0)</f>
        <v>0</v>
      </c>
      <c r="L393" s="1679">
        <f>IF((J393+J394+J395+J396)&lt;(F393+F394+F395+F396),(F393+F394+F395+F396)-(J393+J394+J395+J396),0)</f>
        <v>0</v>
      </c>
      <c r="M393" s="633" t="s">
        <v>2217</v>
      </c>
      <c r="N393" s="223"/>
      <c r="O393" s="631">
        <f t="shared" si="68"/>
        <v>0</v>
      </c>
    </row>
    <row r="394" spans="1:15" s="360" customFormat="1" ht="15" hidden="1">
      <c r="A394" s="356" t="s">
        <v>1587</v>
      </c>
      <c r="B394" s="632" t="s">
        <v>2064</v>
      </c>
      <c r="C394" s="636"/>
      <c r="D394" s="354"/>
      <c r="E394" s="614"/>
      <c r="F394" s="353"/>
      <c r="G394" s="358">
        <f>SF!I91</f>
        <v>0</v>
      </c>
      <c r="H394" s="354" t="s">
        <v>102</v>
      </c>
      <c r="I394" s="355">
        <f>SF!K91</f>
        <v>1443.96</v>
      </c>
      <c r="J394" s="353">
        <f>ROUND(G394*I394,0)</f>
        <v>0</v>
      </c>
      <c r="K394" s="1680"/>
      <c r="L394" s="1680"/>
      <c r="M394" s="633" t="s">
        <v>2299</v>
      </c>
      <c r="N394" s="223"/>
      <c r="O394" s="631">
        <f t="shared" si="68"/>
        <v>0</v>
      </c>
    </row>
    <row r="395" spans="1:15" s="360" customFormat="1" ht="15" hidden="1">
      <c r="A395" s="356" t="s">
        <v>1584</v>
      </c>
      <c r="B395" s="632" t="s">
        <v>2064</v>
      </c>
      <c r="C395" s="636"/>
      <c r="D395" s="354"/>
      <c r="E395" s="614"/>
      <c r="F395" s="353"/>
      <c r="G395" s="358">
        <f>SF!I96</f>
        <v>0</v>
      </c>
      <c r="H395" s="354" t="s">
        <v>102</v>
      </c>
      <c r="I395" s="355">
        <f>SF!K96</f>
        <v>1539.2800000000002</v>
      </c>
      <c r="J395" s="353">
        <f>ROUND(G395*I395,0)</f>
        <v>0</v>
      </c>
      <c r="K395" s="1680"/>
      <c r="L395" s="1680"/>
      <c r="M395" s="633" t="s">
        <v>2312</v>
      </c>
      <c r="N395" s="223"/>
      <c r="O395" s="631">
        <f t="shared" si="68"/>
        <v>0</v>
      </c>
    </row>
    <row r="396" spans="1:15" s="360" customFormat="1" ht="15" hidden="1">
      <c r="A396" s="356" t="s">
        <v>1584</v>
      </c>
      <c r="B396" s="632" t="s">
        <v>2064</v>
      </c>
      <c r="C396" s="636"/>
      <c r="D396" s="354"/>
      <c r="E396" s="614"/>
      <c r="F396" s="353"/>
      <c r="G396" s="358">
        <f>SF!I101</f>
        <v>0</v>
      </c>
      <c r="H396" s="354" t="s">
        <v>102</v>
      </c>
      <c r="I396" s="355">
        <f>SF!K101</f>
        <v>1594.17</v>
      </c>
      <c r="J396" s="353">
        <f>ROUND(G396*I396,0)</f>
        <v>0</v>
      </c>
      <c r="K396" s="1681"/>
      <c r="L396" s="1681"/>
      <c r="M396" s="633" t="s">
        <v>2313</v>
      </c>
      <c r="N396" s="223"/>
      <c r="O396" s="631">
        <f t="shared" ref="O396:O459" si="75">F396-J396</f>
        <v>0</v>
      </c>
    </row>
    <row r="397" spans="1:15" s="360" customFormat="1" ht="51" hidden="1">
      <c r="A397" s="356" t="s">
        <v>1578</v>
      </c>
      <c r="B397" s="632" t="s">
        <v>3213</v>
      </c>
      <c r="C397" s="611"/>
      <c r="D397" s="354"/>
      <c r="E397" s="607"/>
      <c r="F397" s="353"/>
      <c r="G397" s="358">
        <f>SF!I106</f>
        <v>0</v>
      </c>
      <c r="H397" s="354" t="s">
        <v>102</v>
      </c>
      <c r="I397" s="355">
        <f>SF!K106</f>
        <v>1271.18</v>
      </c>
      <c r="J397" s="353">
        <f t="shared" si="74"/>
        <v>0</v>
      </c>
      <c r="K397" s="1679">
        <f>IF((J397+J398+J399+J400)&gt;(F397+F398+F399+F400),(J397+J398+J399+J400)-(F397+F398+F399+F400),0)</f>
        <v>0</v>
      </c>
      <c r="L397" s="1679">
        <f>IF((J397+J398+J399+J400)&lt;(F397+F398+F399+F400),(F397+F398+F399+F400)-(J397+J398+J399+J400),0)</f>
        <v>0</v>
      </c>
      <c r="M397" s="851" t="s">
        <v>2217</v>
      </c>
      <c r="N397" s="223"/>
      <c r="O397" s="850">
        <f t="shared" si="75"/>
        <v>0</v>
      </c>
    </row>
    <row r="398" spans="1:15" s="360" customFormat="1" ht="15" hidden="1">
      <c r="A398" s="356" t="s">
        <v>487</v>
      </c>
      <c r="B398" s="632" t="s">
        <v>2066</v>
      </c>
      <c r="C398" s="611"/>
      <c r="D398" s="354"/>
      <c r="E398" s="607"/>
      <c r="F398" s="353"/>
      <c r="G398" s="358">
        <f>SF!I111</f>
        <v>0</v>
      </c>
      <c r="H398" s="354" t="s">
        <v>102</v>
      </c>
      <c r="I398" s="355">
        <f>SF!K111</f>
        <v>1314.42</v>
      </c>
      <c r="J398" s="353">
        <f>ROUND(G398*I398,0)</f>
        <v>0</v>
      </c>
      <c r="K398" s="1680"/>
      <c r="L398" s="1680"/>
      <c r="M398" s="633" t="s">
        <v>2299</v>
      </c>
      <c r="N398" s="223"/>
      <c r="O398" s="631">
        <f t="shared" si="75"/>
        <v>0</v>
      </c>
    </row>
    <row r="399" spans="1:15" s="360" customFormat="1" ht="15" hidden="1">
      <c r="A399" s="356" t="s">
        <v>487</v>
      </c>
      <c r="B399" s="632" t="s">
        <v>2066</v>
      </c>
      <c r="C399" s="611"/>
      <c r="D399" s="354"/>
      <c r="E399" s="607"/>
      <c r="F399" s="353"/>
      <c r="G399" s="358">
        <f>SF!I116</f>
        <v>0</v>
      </c>
      <c r="H399" s="354" t="s">
        <v>102</v>
      </c>
      <c r="I399" s="355">
        <f>SF!K116</f>
        <v>1403.54</v>
      </c>
      <c r="J399" s="353">
        <f>ROUND(G399*I399,0)</f>
        <v>0</v>
      </c>
      <c r="K399" s="1680"/>
      <c r="L399" s="1680"/>
      <c r="M399" s="633" t="s">
        <v>2312</v>
      </c>
      <c r="N399" s="223"/>
      <c r="O399" s="631">
        <f t="shared" si="75"/>
        <v>0</v>
      </c>
    </row>
    <row r="400" spans="1:15" s="360" customFormat="1" ht="15" hidden="1">
      <c r="A400" s="356" t="s">
        <v>487</v>
      </c>
      <c r="B400" s="632" t="s">
        <v>2066</v>
      </c>
      <c r="C400" s="611"/>
      <c r="D400" s="354"/>
      <c r="E400" s="607"/>
      <c r="F400" s="353"/>
      <c r="G400" s="358">
        <f>SF!I121</f>
        <v>0</v>
      </c>
      <c r="H400" s="354" t="s">
        <v>102</v>
      </c>
      <c r="I400" s="355">
        <f>SF!K121</f>
        <v>1451.29</v>
      </c>
      <c r="J400" s="353">
        <f>ROUND(G400*I400,0)</f>
        <v>0</v>
      </c>
      <c r="K400" s="1681"/>
      <c r="L400" s="1681"/>
      <c r="M400" s="633" t="s">
        <v>2313</v>
      </c>
      <c r="N400" s="223"/>
      <c r="O400" s="631">
        <f t="shared" si="75"/>
        <v>0</v>
      </c>
    </row>
    <row r="401" spans="1:15" s="360" customFormat="1" ht="15" hidden="1">
      <c r="A401" s="356" t="s">
        <v>516</v>
      </c>
      <c r="B401" s="632" t="s">
        <v>2065</v>
      </c>
      <c r="C401" s="636"/>
      <c r="D401" s="221"/>
      <c r="E401" s="614"/>
      <c r="F401" s="353"/>
      <c r="G401" s="358">
        <f>SF!I63</f>
        <v>0</v>
      </c>
      <c r="H401" s="221" t="s">
        <v>102</v>
      </c>
      <c r="I401" s="355">
        <f>SF!K63</f>
        <v>1519.49</v>
      </c>
      <c r="J401" s="353">
        <f t="shared" si="74"/>
        <v>0</v>
      </c>
      <c r="K401" s="1679">
        <f>IF((J401+J402+J403+J404)&gt;(F401+F402+F403+F404),(J401+J402+J403+J404)-(F401+F402+F403+F404),0)</f>
        <v>0</v>
      </c>
      <c r="L401" s="1679">
        <f>IF((J401+J402+J403+J404)&lt;(F401+F402+F403+F404),(F401+F402+F403+F404)-(J401+J402+J403+J404),0)</f>
        <v>0</v>
      </c>
      <c r="M401" s="633" t="s">
        <v>2217</v>
      </c>
      <c r="N401" s="223"/>
      <c r="O401" s="631">
        <f t="shared" si="75"/>
        <v>0</v>
      </c>
    </row>
    <row r="402" spans="1:15" s="360" customFormat="1" ht="15" hidden="1">
      <c r="A402" s="356" t="s">
        <v>516</v>
      </c>
      <c r="B402" s="632" t="s">
        <v>2065</v>
      </c>
      <c r="C402" s="636"/>
      <c r="D402" s="221"/>
      <c r="E402" s="614"/>
      <c r="F402" s="353"/>
      <c r="G402" s="358">
        <f>SF!I69</f>
        <v>0</v>
      </c>
      <c r="H402" s="221" t="s">
        <v>102</v>
      </c>
      <c r="I402" s="355">
        <f>SF!K69</f>
        <v>1573.5</v>
      </c>
      <c r="J402" s="353">
        <f>ROUND(G402*I402,0)</f>
        <v>0</v>
      </c>
      <c r="K402" s="1680"/>
      <c r="L402" s="1680"/>
      <c r="M402" s="633" t="s">
        <v>2299</v>
      </c>
      <c r="N402" s="223"/>
      <c r="O402" s="631">
        <f t="shared" si="75"/>
        <v>0</v>
      </c>
    </row>
    <row r="403" spans="1:15" s="360" customFormat="1" ht="15" hidden="1">
      <c r="A403" s="356" t="s">
        <v>516</v>
      </c>
      <c r="B403" s="632" t="s">
        <v>2065</v>
      </c>
      <c r="C403" s="636"/>
      <c r="D403" s="221"/>
      <c r="E403" s="614"/>
      <c r="F403" s="353"/>
      <c r="G403" s="358">
        <f>SF!I75</f>
        <v>0</v>
      </c>
      <c r="H403" s="221" t="s">
        <v>102</v>
      </c>
      <c r="I403" s="355">
        <f>SF!K75</f>
        <v>1675.0100000000002</v>
      </c>
      <c r="J403" s="353">
        <f>ROUND(G403*I403,0)</f>
        <v>0</v>
      </c>
      <c r="K403" s="1680"/>
      <c r="L403" s="1680"/>
      <c r="M403" s="633" t="s">
        <v>2312</v>
      </c>
      <c r="N403" s="223"/>
      <c r="O403" s="631">
        <f t="shared" si="75"/>
        <v>0</v>
      </c>
    </row>
    <row r="404" spans="1:15" s="360" customFormat="1" ht="15" hidden="1">
      <c r="A404" s="356" t="s">
        <v>516</v>
      </c>
      <c r="B404" s="632" t="s">
        <v>2065</v>
      </c>
      <c r="C404" s="636"/>
      <c r="D404" s="221"/>
      <c r="E404" s="614"/>
      <c r="F404" s="353"/>
      <c r="G404" s="358">
        <f>SF!I81</f>
        <v>0</v>
      </c>
      <c r="H404" s="221" t="s">
        <v>102</v>
      </c>
      <c r="I404" s="355">
        <f>SF!K81</f>
        <v>1737.05</v>
      </c>
      <c r="J404" s="353">
        <f>ROUND(G404*I404,0)</f>
        <v>0</v>
      </c>
      <c r="K404" s="1681"/>
      <c r="L404" s="1681"/>
      <c r="M404" s="633" t="s">
        <v>2313</v>
      </c>
      <c r="N404" s="223"/>
      <c r="O404" s="631">
        <f t="shared" si="75"/>
        <v>0</v>
      </c>
    </row>
    <row r="405" spans="1:15" s="360" customFormat="1" ht="15" hidden="1">
      <c r="A405" s="356" t="s">
        <v>517</v>
      </c>
      <c r="B405" s="632" t="s">
        <v>2072</v>
      </c>
      <c r="C405" s="636"/>
      <c r="D405" s="221"/>
      <c r="E405" s="614"/>
      <c r="F405" s="353"/>
      <c r="G405" s="358">
        <f>SF!I127</f>
        <v>0</v>
      </c>
      <c r="H405" s="221" t="s">
        <v>102</v>
      </c>
      <c r="I405" s="355">
        <f>SF!K127</f>
        <v>747.27</v>
      </c>
      <c r="J405" s="353">
        <f t="shared" si="74"/>
        <v>0</v>
      </c>
      <c r="K405" s="1679">
        <f>IF((J405+J406+J407+J408)&gt;(F405+F406+F407+F408),(J405+J406+J407+J408)-(F405+F406+F407+F408),0)</f>
        <v>0</v>
      </c>
      <c r="L405" s="1679">
        <f>IF((J405+J406+J407+J408)&lt;(F405+F406+F407+F408),(F405+F406+F407+F408)-(J405+J406+J407+J408),0)</f>
        <v>0</v>
      </c>
      <c r="M405" s="633" t="s">
        <v>2217</v>
      </c>
      <c r="N405" s="223"/>
      <c r="O405" s="631">
        <f t="shared" si="75"/>
        <v>0</v>
      </c>
    </row>
    <row r="406" spans="1:15" s="360" customFormat="1" ht="15" hidden="1">
      <c r="A406" s="356" t="s">
        <v>517</v>
      </c>
      <c r="B406" s="632" t="s">
        <v>2072</v>
      </c>
      <c r="C406" s="636"/>
      <c r="D406" s="221"/>
      <c r="E406" s="614"/>
      <c r="F406" s="353"/>
      <c r="G406" s="358">
        <f>SF!I133</f>
        <v>0</v>
      </c>
      <c r="H406" s="221" t="s">
        <v>102</v>
      </c>
      <c r="I406" s="355">
        <f>SF!K133</f>
        <v>779.57</v>
      </c>
      <c r="J406" s="353">
        <f>ROUND(G406*I406,0)</f>
        <v>0</v>
      </c>
      <c r="K406" s="1680"/>
      <c r="L406" s="1680"/>
      <c r="M406" s="633" t="s">
        <v>2299</v>
      </c>
      <c r="N406" s="223"/>
      <c r="O406" s="631">
        <f t="shared" si="75"/>
        <v>0</v>
      </c>
    </row>
    <row r="407" spans="1:15" s="360" customFormat="1" ht="15" hidden="1">
      <c r="A407" s="356" t="s">
        <v>517</v>
      </c>
      <c r="B407" s="632" t="s">
        <v>2072</v>
      </c>
      <c r="C407" s="636"/>
      <c r="D407" s="221"/>
      <c r="E407" s="614"/>
      <c r="F407" s="353"/>
      <c r="G407" s="358">
        <f>SF!I139</f>
        <v>0</v>
      </c>
      <c r="H407" s="221" t="s">
        <v>102</v>
      </c>
      <c r="I407" s="355">
        <f>SF!K139</f>
        <v>831.97</v>
      </c>
      <c r="J407" s="353">
        <f>ROUND(G407*I407,0)</f>
        <v>0</v>
      </c>
      <c r="K407" s="1680"/>
      <c r="L407" s="1680"/>
      <c r="M407" s="633" t="s">
        <v>2312</v>
      </c>
      <c r="N407" s="223"/>
      <c r="O407" s="631">
        <f t="shared" si="75"/>
        <v>0</v>
      </c>
    </row>
    <row r="408" spans="1:15" s="360" customFormat="1" ht="15" hidden="1">
      <c r="A408" s="356" t="s">
        <v>517</v>
      </c>
      <c r="B408" s="632" t="s">
        <v>2072</v>
      </c>
      <c r="C408" s="636"/>
      <c r="D408" s="221"/>
      <c r="E408" s="614"/>
      <c r="F408" s="353"/>
      <c r="G408" s="358">
        <f>SF!I145</f>
        <v>0</v>
      </c>
      <c r="H408" s="221" t="s">
        <v>102</v>
      </c>
      <c r="I408" s="355">
        <f>SF!K145</f>
        <v>865.17</v>
      </c>
      <c r="J408" s="353">
        <f>ROUND(G408*I408,0)</f>
        <v>0</v>
      </c>
      <c r="K408" s="1681"/>
      <c r="L408" s="1681"/>
      <c r="M408" s="633" t="s">
        <v>2313</v>
      </c>
      <c r="N408" s="223"/>
      <c r="O408" s="631">
        <f t="shared" si="75"/>
        <v>0</v>
      </c>
    </row>
    <row r="409" spans="1:15" s="360" customFormat="1" ht="15" hidden="1">
      <c r="A409" s="356" t="s">
        <v>517</v>
      </c>
      <c r="B409" s="632" t="s">
        <v>2073</v>
      </c>
      <c r="C409" s="636"/>
      <c r="D409" s="221"/>
      <c r="E409" s="614"/>
      <c r="F409" s="353"/>
      <c r="G409" s="358">
        <f>SF!I151</f>
        <v>0</v>
      </c>
      <c r="H409" s="221" t="s">
        <v>102</v>
      </c>
      <c r="I409" s="355">
        <f>SF!K151</f>
        <v>624.5</v>
      </c>
      <c r="J409" s="353">
        <f t="shared" si="74"/>
        <v>0</v>
      </c>
      <c r="K409" s="1679">
        <f>IF((J409+J410+J411+J412)&gt;(F409+F410+F411+F412),(J409+J410+J411+J412)-(F409+F410+F411+F412),0)</f>
        <v>0</v>
      </c>
      <c r="L409" s="1679">
        <f>IF((J409+J410+J411+J412)&lt;(F409+F410+F411+F412),(F409+F410+F411+F412)-(J409+J410+J411+J412),0)</f>
        <v>0</v>
      </c>
      <c r="M409" s="633" t="s">
        <v>2217</v>
      </c>
      <c r="N409" s="223"/>
      <c r="O409" s="631">
        <f t="shared" si="75"/>
        <v>0</v>
      </c>
    </row>
    <row r="410" spans="1:15" s="360" customFormat="1" ht="15" hidden="1">
      <c r="A410" s="356" t="s">
        <v>517</v>
      </c>
      <c r="B410" s="632" t="s">
        <v>2073</v>
      </c>
      <c r="C410" s="636"/>
      <c r="D410" s="221"/>
      <c r="E410" s="614"/>
      <c r="F410" s="353"/>
      <c r="G410" s="358">
        <f>SF!I157</f>
        <v>0</v>
      </c>
      <c r="H410" s="221" t="s">
        <v>102</v>
      </c>
      <c r="I410" s="355">
        <f>SF!K157</f>
        <v>651.52</v>
      </c>
      <c r="J410" s="353">
        <f>ROUND(G410*I410,0)</f>
        <v>0</v>
      </c>
      <c r="K410" s="1680"/>
      <c r="L410" s="1680"/>
      <c r="M410" s="633" t="s">
        <v>2299</v>
      </c>
      <c r="N410" s="223"/>
      <c r="O410" s="631">
        <f t="shared" si="75"/>
        <v>0</v>
      </c>
    </row>
    <row r="411" spans="1:15" s="360" customFormat="1" ht="15" hidden="1">
      <c r="A411" s="356" t="s">
        <v>517</v>
      </c>
      <c r="B411" s="632" t="s">
        <v>2073</v>
      </c>
      <c r="C411" s="636"/>
      <c r="D411" s="221"/>
      <c r="E411" s="614"/>
      <c r="F411" s="353"/>
      <c r="G411" s="358">
        <f>SF!I163</f>
        <v>0</v>
      </c>
      <c r="H411" s="221" t="s">
        <v>102</v>
      </c>
      <c r="I411" s="355">
        <f>SF!K163</f>
        <v>697.83999999999992</v>
      </c>
      <c r="J411" s="353">
        <f>ROUND(G411*I411,0)</f>
        <v>0</v>
      </c>
      <c r="K411" s="1680"/>
      <c r="L411" s="1680"/>
      <c r="M411" s="633" t="s">
        <v>2312</v>
      </c>
      <c r="N411" s="223"/>
      <c r="O411" s="631">
        <f t="shared" si="75"/>
        <v>0</v>
      </c>
    </row>
    <row r="412" spans="1:15" s="360" customFormat="1" ht="15" hidden="1">
      <c r="A412" s="356" t="s">
        <v>517</v>
      </c>
      <c r="B412" s="632" t="s">
        <v>2073</v>
      </c>
      <c r="C412" s="636"/>
      <c r="D412" s="221"/>
      <c r="E412" s="614"/>
      <c r="F412" s="353"/>
      <c r="G412" s="358">
        <f>SF!I169</f>
        <v>0</v>
      </c>
      <c r="H412" s="221" t="s">
        <v>102</v>
      </c>
      <c r="I412" s="355">
        <f>SF!K169</f>
        <v>724.02</v>
      </c>
      <c r="J412" s="353">
        <f>ROUND(G412*I412,0)</f>
        <v>0</v>
      </c>
      <c r="K412" s="1681"/>
      <c r="L412" s="1681"/>
      <c r="M412" s="633" t="s">
        <v>2313</v>
      </c>
      <c r="N412" s="223"/>
      <c r="O412" s="631">
        <f t="shared" si="75"/>
        <v>0</v>
      </c>
    </row>
    <row r="413" spans="1:15" s="360" customFormat="1" ht="15" hidden="1">
      <c r="A413" s="356" t="s">
        <v>518</v>
      </c>
      <c r="B413" s="632" t="s">
        <v>2069</v>
      </c>
      <c r="C413" s="636"/>
      <c r="D413" s="354"/>
      <c r="E413" s="614"/>
      <c r="F413" s="353"/>
      <c r="G413" s="358">
        <f>SF!I176</f>
        <v>0</v>
      </c>
      <c r="H413" s="354" t="s">
        <v>5</v>
      </c>
      <c r="I413" s="355">
        <f>SF!K176</f>
        <v>10426.34</v>
      </c>
      <c r="J413" s="353">
        <f t="shared" ref="J413" si="76">ROUND(G413*I413,0)</f>
        <v>0</v>
      </c>
      <c r="K413" s="1679">
        <f>IF((J413+J414+J415+J416)&gt;(F413+F414+F415+F416),(J413+J414+J415+J416)-(F413+F414+F415+F416),0)</f>
        <v>0</v>
      </c>
      <c r="L413" s="1679">
        <f>IF((J413+J414+J415+J416)&lt;(F413+F414+F415+F416),(F413+F414+F415+F416)-(J413+J414+J415+J416),0)</f>
        <v>0</v>
      </c>
      <c r="M413" s="633" t="s">
        <v>2217</v>
      </c>
      <c r="N413" s="223"/>
      <c r="O413" s="631">
        <f t="shared" si="75"/>
        <v>0</v>
      </c>
    </row>
    <row r="414" spans="1:15" s="360" customFormat="1" ht="15" hidden="1">
      <c r="A414" s="356" t="s">
        <v>518</v>
      </c>
      <c r="B414" s="632" t="s">
        <v>2069</v>
      </c>
      <c r="C414" s="636"/>
      <c r="D414" s="354"/>
      <c r="E414" s="614"/>
      <c r="F414" s="353"/>
      <c r="G414" s="358">
        <f>SF!I183</f>
        <v>0</v>
      </c>
      <c r="H414" s="354" t="s">
        <v>5</v>
      </c>
      <c r="I414" s="355">
        <f>SF!K183</f>
        <v>10817</v>
      </c>
      <c r="J414" s="353">
        <f t="shared" ref="J414:J434" si="77">ROUND(G414*I414,0)</f>
        <v>0</v>
      </c>
      <c r="K414" s="1680"/>
      <c r="L414" s="1680"/>
      <c r="M414" s="633" t="s">
        <v>2299</v>
      </c>
      <c r="N414" s="223"/>
      <c r="O414" s="631">
        <f t="shared" si="75"/>
        <v>0</v>
      </c>
    </row>
    <row r="415" spans="1:15" s="360" customFormat="1" ht="15" hidden="1">
      <c r="A415" s="356" t="s">
        <v>518</v>
      </c>
      <c r="B415" s="632" t="s">
        <v>2069</v>
      </c>
      <c r="C415" s="636"/>
      <c r="D415" s="354"/>
      <c r="E415" s="614"/>
      <c r="F415" s="353"/>
      <c r="G415" s="358">
        <f>SF!I190</f>
        <v>0</v>
      </c>
      <c r="H415" s="354" t="s">
        <v>5</v>
      </c>
      <c r="I415" s="355">
        <f>SF!K190</f>
        <v>11426.3</v>
      </c>
      <c r="J415" s="353">
        <f>ROUND(G415*I415,0)</f>
        <v>0</v>
      </c>
      <c r="K415" s="1680"/>
      <c r="L415" s="1680"/>
      <c r="M415" s="633" t="s">
        <v>2312</v>
      </c>
      <c r="N415" s="223"/>
      <c r="O415" s="631">
        <f t="shared" si="75"/>
        <v>0</v>
      </c>
    </row>
    <row r="416" spans="1:15" s="360" customFormat="1" ht="15" hidden="1">
      <c r="A416" s="356" t="s">
        <v>518</v>
      </c>
      <c r="B416" s="632" t="s">
        <v>2069</v>
      </c>
      <c r="C416" s="636"/>
      <c r="D416" s="354"/>
      <c r="E416" s="614"/>
      <c r="F416" s="353"/>
      <c r="G416" s="358">
        <f>SF!I197</f>
        <v>0</v>
      </c>
      <c r="H416" s="354" t="s">
        <v>5</v>
      </c>
      <c r="I416" s="355">
        <f>SF!K197</f>
        <v>11874.810000000001</v>
      </c>
      <c r="J416" s="353">
        <f>ROUND(G416*I416,0)</f>
        <v>0</v>
      </c>
      <c r="K416" s="1681"/>
      <c r="L416" s="1681"/>
      <c r="M416" s="633" t="s">
        <v>2313</v>
      </c>
      <c r="N416" s="223"/>
      <c r="O416" s="631">
        <f t="shared" si="75"/>
        <v>0</v>
      </c>
    </row>
    <row r="417" spans="1:15" s="360" customFormat="1" ht="15" hidden="1">
      <c r="A417" s="356" t="s">
        <v>519</v>
      </c>
      <c r="B417" s="632" t="s">
        <v>2070</v>
      </c>
      <c r="C417" s="636"/>
      <c r="D417" s="221"/>
      <c r="E417" s="614"/>
      <c r="F417" s="353"/>
      <c r="G417" s="358">
        <f>SF!I202</f>
        <v>0</v>
      </c>
      <c r="H417" s="221" t="s">
        <v>277</v>
      </c>
      <c r="I417" s="355">
        <f>SF!K202</f>
        <v>663.65999999999985</v>
      </c>
      <c r="J417" s="353">
        <f t="shared" si="77"/>
        <v>0</v>
      </c>
      <c r="K417" s="1679">
        <f>IF((J417+J418+J419+J420)&gt;(F417+F418+F419+F420),(J417+J418+J419+J420)-(F417+F418+F419+F420),0)</f>
        <v>0</v>
      </c>
      <c r="L417" s="1679">
        <f>IF((J417+J418+J419+J420)&lt;(F417+F418+F419+F420),(F417+F418+F419+F420)-(J417+J418+J419+J420),0)</f>
        <v>0</v>
      </c>
      <c r="M417" s="633" t="s">
        <v>2217</v>
      </c>
      <c r="N417" s="223"/>
      <c r="O417" s="631">
        <f t="shared" si="75"/>
        <v>0</v>
      </c>
    </row>
    <row r="418" spans="1:15" s="360" customFormat="1" ht="15" hidden="1">
      <c r="A418" s="356" t="s">
        <v>519</v>
      </c>
      <c r="B418" s="632" t="s">
        <v>2070</v>
      </c>
      <c r="C418" s="636"/>
      <c r="D418" s="221"/>
      <c r="E418" s="614"/>
      <c r="F418" s="353"/>
      <c r="G418" s="358">
        <f>SF!I207</f>
        <v>0</v>
      </c>
      <c r="H418" s="221" t="s">
        <v>277</v>
      </c>
      <c r="I418" s="355">
        <f>SF!K207</f>
        <v>684.77</v>
      </c>
      <c r="J418" s="353">
        <f t="shared" si="77"/>
        <v>0</v>
      </c>
      <c r="K418" s="1680"/>
      <c r="L418" s="1680"/>
      <c r="M418" s="633" t="s">
        <v>2299</v>
      </c>
      <c r="N418" s="223"/>
      <c r="O418" s="631">
        <f t="shared" si="75"/>
        <v>0</v>
      </c>
    </row>
    <row r="419" spans="1:15" s="360" customFormat="1" ht="15" hidden="1">
      <c r="A419" s="356" t="s">
        <v>519</v>
      </c>
      <c r="B419" s="632" t="s">
        <v>2070</v>
      </c>
      <c r="C419" s="636"/>
      <c r="D419" s="221"/>
      <c r="E419" s="614"/>
      <c r="F419" s="353"/>
      <c r="G419" s="358">
        <f>SF!I212</f>
        <v>0</v>
      </c>
      <c r="H419" s="221" t="s">
        <v>277</v>
      </c>
      <c r="I419" s="355">
        <f>SF!K212</f>
        <v>722.50999999999988</v>
      </c>
      <c r="J419" s="353">
        <f>ROUND(G419*I419,0)</f>
        <v>0</v>
      </c>
      <c r="K419" s="1680"/>
      <c r="L419" s="1680"/>
      <c r="M419" s="633" t="s">
        <v>2312</v>
      </c>
      <c r="N419" s="223"/>
      <c r="O419" s="631">
        <f t="shared" si="75"/>
        <v>0</v>
      </c>
    </row>
    <row r="420" spans="1:15" s="360" customFormat="1" ht="15" hidden="1">
      <c r="A420" s="356" t="s">
        <v>519</v>
      </c>
      <c r="B420" s="632" t="s">
        <v>2070</v>
      </c>
      <c r="C420" s="636"/>
      <c r="D420" s="221"/>
      <c r="E420" s="614"/>
      <c r="F420" s="353"/>
      <c r="G420" s="358">
        <f>SF!I217</f>
        <v>0</v>
      </c>
      <c r="H420" s="221" t="s">
        <v>277</v>
      </c>
      <c r="I420" s="355">
        <f>SF!K217</f>
        <v>744.7299999999999</v>
      </c>
      <c r="J420" s="353">
        <f>ROUND(G420*I420,0)</f>
        <v>0</v>
      </c>
      <c r="K420" s="1681"/>
      <c r="L420" s="1681"/>
      <c r="M420" s="633" t="s">
        <v>2313</v>
      </c>
      <c r="N420" s="223"/>
      <c r="O420" s="631">
        <f t="shared" si="75"/>
        <v>0</v>
      </c>
    </row>
    <row r="421" spans="1:15" s="360" customFormat="1" ht="15" hidden="1">
      <c r="A421" s="356" t="s">
        <v>519</v>
      </c>
      <c r="B421" s="632" t="s">
        <v>1478</v>
      </c>
      <c r="C421" s="636"/>
      <c r="D421" s="221"/>
      <c r="E421" s="614"/>
      <c r="F421" s="353"/>
      <c r="G421" s="358">
        <f>SF!I222</f>
        <v>0</v>
      </c>
      <c r="H421" s="221" t="s">
        <v>102</v>
      </c>
      <c r="I421" s="355">
        <f>SF!K222</f>
        <v>297.64999999999998</v>
      </c>
      <c r="J421" s="353">
        <f t="shared" si="77"/>
        <v>0</v>
      </c>
      <c r="K421" s="1679">
        <f>IF((J421+J422+J423+J424)&gt;(F421+F422+F423+F424),(J421+J422+J423+J424)-(F421+F422+F423+F424),0)</f>
        <v>0</v>
      </c>
      <c r="L421" s="1679">
        <f>IF((J421+J422+J423+J424)&lt;(F421+F422+F423+F424),(F421+F422+F423+F424)-(J421+J422+J423+J424),0)</f>
        <v>0</v>
      </c>
      <c r="M421" s="633" t="s">
        <v>2217</v>
      </c>
      <c r="N421" s="223"/>
      <c r="O421" s="631">
        <f t="shared" si="75"/>
        <v>0</v>
      </c>
    </row>
    <row r="422" spans="1:15" s="360" customFormat="1" ht="15" hidden="1">
      <c r="A422" s="356" t="s">
        <v>519</v>
      </c>
      <c r="B422" s="632" t="s">
        <v>1478</v>
      </c>
      <c r="C422" s="636"/>
      <c r="D422" s="221"/>
      <c r="E422" s="614"/>
      <c r="F422" s="353"/>
      <c r="G422" s="358">
        <f>SF!I227</f>
        <v>0</v>
      </c>
      <c r="H422" s="221" t="s">
        <v>102</v>
      </c>
      <c r="I422" s="355">
        <f>SF!K227</f>
        <v>321.24</v>
      </c>
      <c r="J422" s="353">
        <f t="shared" si="77"/>
        <v>0</v>
      </c>
      <c r="K422" s="1680"/>
      <c r="L422" s="1680"/>
      <c r="M422" s="633" t="s">
        <v>2299</v>
      </c>
      <c r="N422" s="223"/>
      <c r="O422" s="631">
        <f t="shared" si="75"/>
        <v>0</v>
      </c>
    </row>
    <row r="423" spans="1:15" s="360" customFormat="1" ht="15" hidden="1">
      <c r="A423" s="356" t="s">
        <v>519</v>
      </c>
      <c r="B423" s="632" t="s">
        <v>1478</v>
      </c>
      <c r="C423" s="636"/>
      <c r="D423" s="221"/>
      <c r="E423" s="614"/>
      <c r="F423" s="353"/>
      <c r="G423" s="358">
        <f>SF!I232</f>
        <v>0</v>
      </c>
      <c r="H423" s="221" t="s">
        <v>102</v>
      </c>
      <c r="I423" s="355">
        <f>SF!K232</f>
        <v>340.95</v>
      </c>
      <c r="J423" s="353">
        <f>ROUND(G423*I423,0)</f>
        <v>0</v>
      </c>
      <c r="K423" s="1680"/>
      <c r="L423" s="1680"/>
      <c r="M423" s="633" t="s">
        <v>2312</v>
      </c>
      <c r="N423" s="223"/>
      <c r="O423" s="631">
        <f t="shared" si="75"/>
        <v>0</v>
      </c>
    </row>
    <row r="424" spans="1:15" s="360" customFormat="1" ht="15" hidden="1">
      <c r="A424" s="356" t="s">
        <v>519</v>
      </c>
      <c r="B424" s="632" t="s">
        <v>1478</v>
      </c>
      <c r="C424" s="636"/>
      <c r="D424" s="221"/>
      <c r="E424" s="614"/>
      <c r="F424" s="353"/>
      <c r="G424" s="358">
        <f>SF!I237</f>
        <v>0</v>
      </c>
      <c r="H424" s="221" t="s">
        <v>102</v>
      </c>
      <c r="I424" s="355">
        <f>SF!K237</f>
        <v>362.63</v>
      </c>
      <c r="J424" s="353">
        <f>ROUND(G424*I424,0)</f>
        <v>0</v>
      </c>
      <c r="K424" s="1681"/>
      <c r="L424" s="1681"/>
      <c r="M424" s="633" t="s">
        <v>2313</v>
      </c>
      <c r="N424" s="223"/>
      <c r="O424" s="631">
        <f t="shared" si="75"/>
        <v>0</v>
      </c>
    </row>
    <row r="425" spans="1:15" s="360" customFormat="1" ht="15" hidden="1">
      <c r="A425" s="356" t="s">
        <v>520</v>
      </c>
      <c r="B425" s="632" t="s">
        <v>1479</v>
      </c>
      <c r="C425" s="636"/>
      <c r="D425" s="221"/>
      <c r="E425" s="614"/>
      <c r="F425" s="353"/>
      <c r="G425" s="358">
        <f>SF!I243</f>
        <v>0</v>
      </c>
      <c r="H425" s="221" t="s">
        <v>102</v>
      </c>
      <c r="I425" s="355">
        <f>SF!K243</f>
        <v>382.24</v>
      </c>
      <c r="J425" s="353">
        <f t="shared" si="77"/>
        <v>0</v>
      </c>
      <c r="K425" s="1679">
        <f>IF((J425+J426+J427+J428)&gt;(F425+F426+F427+F428),(J425+J426+J427+J428)-(F425+F426+F427+F428),0)</f>
        <v>0</v>
      </c>
      <c r="L425" s="1679">
        <f>IF((J425+J426+J427+J428)&lt;(F425+F426+F427+F428),(F425+F426+F427+F428)-(J425+J426+J427+J428),0)</f>
        <v>0</v>
      </c>
      <c r="M425" s="633" t="s">
        <v>2217</v>
      </c>
      <c r="N425" s="223"/>
      <c r="O425" s="631">
        <f t="shared" si="75"/>
        <v>0</v>
      </c>
    </row>
    <row r="426" spans="1:15" s="360" customFormat="1" ht="15" hidden="1">
      <c r="A426" s="356" t="s">
        <v>520</v>
      </c>
      <c r="B426" s="632" t="s">
        <v>1479</v>
      </c>
      <c r="C426" s="636"/>
      <c r="D426" s="221"/>
      <c r="E426" s="614"/>
      <c r="F426" s="353"/>
      <c r="G426" s="358">
        <f>SF!I249</f>
        <v>0</v>
      </c>
      <c r="H426" s="221" t="s">
        <v>102</v>
      </c>
      <c r="I426" s="355">
        <f>SF!K249</f>
        <v>414.32</v>
      </c>
      <c r="J426" s="353">
        <f t="shared" si="77"/>
        <v>0</v>
      </c>
      <c r="K426" s="1680"/>
      <c r="L426" s="1680"/>
      <c r="M426" s="633" t="s">
        <v>2299</v>
      </c>
      <c r="N426" s="223"/>
      <c r="O426" s="631">
        <f t="shared" si="75"/>
        <v>0</v>
      </c>
    </row>
    <row r="427" spans="1:15" s="360" customFormat="1" ht="15" hidden="1">
      <c r="A427" s="356" t="s">
        <v>520</v>
      </c>
      <c r="B427" s="632" t="s">
        <v>1479</v>
      </c>
      <c r="C427" s="636"/>
      <c r="D427" s="221"/>
      <c r="E427" s="614"/>
      <c r="F427" s="353"/>
      <c r="G427" s="358">
        <f>SF!I255</f>
        <v>0</v>
      </c>
      <c r="H427" s="221" t="s">
        <v>102</v>
      </c>
      <c r="I427" s="355">
        <f>SF!K255</f>
        <v>440.9</v>
      </c>
      <c r="J427" s="353">
        <f>ROUND(G427*I427,0)</f>
        <v>0</v>
      </c>
      <c r="K427" s="1680"/>
      <c r="L427" s="1680"/>
      <c r="M427" s="633" t="s">
        <v>2312</v>
      </c>
      <c r="N427" s="223"/>
      <c r="O427" s="631">
        <f t="shared" si="75"/>
        <v>0</v>
      </c>
    </row>
    <row r="428" spans="1:15" s="360" customFormat="1" ht="15" hidden="1">
      <c r="A428" s="356" t="s">
        <v>520</v>
      </c>
      <c r="B428" s="632" t="s">
        <v>1479</v>
      </c>
      <c r="C428" s="636"/>
      <c r="D428" s="221"/>
      <c r="E428" s="614"/>
      <c r="F428" s="353"/>
      <c r="G428" s="358">
        <f>SF!I261</f>
        <v>0</v>
      </c>
      <c r="H428" s="221" t="s">
        <v>102</v>
      </c>
      <c r="I428" s="355">
        <f>SF!K261</f>
        <v>470.34</v>
      </c>
      <c r="J428" s="353">
        <f>ROUND(G428*I428,0)</f>
        <v>0</v>
      </c>
      <c r="K428" s="1681"/>
      <c r="L428" s="1681"/>
      <c r="M428" s="633" t="s">
        <v>2313</v>
      </c>
      <c r="N428" s="223"/>
      <c r="O428" s="631">
        <f t="shared" si="75"/>
        <v>0</v>
      </c>
    </row>
    <row r="429" spans="1:15" s="360" customFormat="1" ht="63.75" hidden="1">
      <c r="A429" s="356" t="s">
        <v>528</v>
      </c>
      <c r="B429" s="632" t="s">
        <v>3192</v>
      </c>
      <c r="C429" s="636"/>
      <c r="D429" s="354"/>
      <c r="E429" s="614"/>
      <c r="F429" s="353"/>
      <c r="G429" s="358">
        <f>SF!I298</f>
        <v>0</v>
      </c>
      <c r="H429" s="354" t="s">
        <v>5</v>
      </c>
      <c r="I429" s="355">
        <f>SF!K298</f>
        <v>6307.0100000000011</v>
      </c>
      <c r="J429" s="353">
        <f t="shared" si="77"/>
        <v>0</v>
      </c>
      <c r="K429" s="1679">
        <f>IF((J429+J430+J431+J432)&gt;(F429+F430+F431+F432),(J429+J430+J431+J432)-(F429+F430+F431+F432),0)</f>
        <v>0</v>
      </c>
      <c r="L429" s="1679">
        <f>IF((J429+J430+J431+J432)&lt;(F429+F430+F431+F432),(F429+F430+F431+F432)-(J429+J430+J431+J432),0)</f>
        <v>0</v>
      </c>
      <c r="M429" s="851" t="s">
        <v>2217</v>
      </c>
      <c r="N429" s="223"/>
      <c r="O429" s="850">
        <f t="shared" si="75"/>
        <v>0</v>
      </c>
    </row>
    <row r="430" spans="1:15" s="360" customFormat="1" ht="15" hidden="1">
      <c r="A430" s="356" t="s">
        <v>1588</v>
      </c>
      <c r="B430" s="632" t="s">
        <v>829</v>
      </c>
      <c r="C430" s="636"/>
      <c r="D430" s="354"/>
      <c r="E430" s="614"/>
      <c r="F430" s="353"/>
      <c r="G430" s="358">
        <f>SF!I307</f>
        <v>0</v>
      </c>
      <c r="H430" s="354" t="s">
        <v>5</v>
      </c>
      <c r="I430" s="355">
        <f>SF!K307</f>
        <v>6491.829999999999</v>
      </c>
      <c r="J430" s="353">
        <f t="shared" si="77"/>
        <v>0</v>
      </c>
      <c r="K430" s="1680"/>
      <c r="L430" s="1680"/>
      <c r="M430" s="633" t="s">
        <v>2299</v>
      </c>
      <c r="N430" s="223"/>
      <c r="O430" s="631">
        <f t="shared" si="75"/>
        <v>0</v>
      </c>
    </row>
    <row r="431" spans="1:15" s="360" customFormat="1" ht="15" hidden="1">
      <c r="A431" s="356" t="s">
        <v>1585</v>
      </c>
      <c r="B431" s="632" t="s">
        <v>829</v>
      </c>
      <c r="C431" s="636"/>
      <c r="D431" s="354"/>
      <c r="E431" s="614"/>
      <c r="F431" s="353"/>
      <c r="G431" s="358">
        <f>SF!I312</f>
        <v>0</v>
      </c>
      <c r="H431" s="354" t="s">
        <v>5</v>
      </c>
      <c r="I431" s="355">
        <f>SF!K312</f>
        <v>6937.8099999999995</v>
      </c>
      <c r="J431" s="353">
        <f>ROUND(G431*I431,0)</f>
        <v>0</v>
      </c>
      <c r="K431" s="1680"/>
      <c r="L431" s="1680"/>
      <c r="M431" s="633" t="s">
        <v>2312</v>
      </c>
      <c r="N431" s="223"/>
      <c r="O431" s="631">
        <f t="shared" si="75"/>
        <v>0</v>
      </c>
    </row>
    <row r="432" spans="1:15" s="360" customFormat="1" ht="15" hidden="1">
      <c r="A432" s="356" t="s">
        <v>1585</v>
      </c>
      <c r="B432" s="632" t="s">
        <v>829</v>
      </c>
      <c r="C432" s="636"/>
      <c r="D432" s="354"/>
      <c r="E432" s="614"/>
      <c r="F432" s="353"/>
      <c r="G432" s="358">
        <f>SF!I320</f>
        <v>0</v>
      </c>
      <c r="H432" s="354" t="s">
        <v>5</v>
      </c>
      <c r="I432" s="355">
        <f>SF!K320</f>
        <v>7673.4</v>
      </c>
      <c r="J432" s="353">
        <f>ROUND(G432*I432,0)</f>
        <v>0</v>
      </c>
      <c r="K432" s="1681"/>
      <c r="L432" s="1681"/>
      <c r="M432" s="633" t="s">
        <v>2313</v>
      </c>
      <c r="N432" s="223"/>
      <c r="O432" s="631">
        <f t="shared" si="75"/>
        <v>0</v>
      </c>
    </row>
    <row r="433" spans="1:15" s="360" customFormat="1" ht="15" hidden="1">
      <c r="A433" s="356" t="s">
        <v>491</v>
      </c>
      <c r="B433" s="632" t="s">
        <v>828</v>
      </c>
      <c r="C433" s="634"/>
      <c r="D433" s="354"/>
      <c r="E433" s="10"/>
      <c r="F433" s="353"/>
      <c r="G433" s="358">
        <f>SF!I269</f>
        <v>0</v>
      </c>
      <c r="H433" s="354" t="s">
        <v>5</v>
      </c>
      <c r="I433" s="355">
        <f>SF!K269</f>
        <v>6250.6100000000015</v>
      </c>
      <c r="J433" s="353">
        <f t="shared" si="77"/>
        <v>0</v>
      </c>
      <c r="K433" s="1679">
        <f>IF((J433+J434+J435+J436)&gt;(F433+F434+F435+F436),(J433+J434+J435+J436)-(F433+F434+F435+F436),0)</f>
        <v>0</v>
      </c>
      <c r="L433" s="1679">
        <f>IF((J433+J434+J435+J436)&lt;(F433+F434+F435+F436),(F433+F434+F435+F436)-(J433+J434+J435+J436),0)</f>
        <v>0</v>
      </c>
      <c r="M433" s="633" t="s">
        <v>2217</v>
      </c>
      <c r="N433" s="223"/>
      <c r="O433" s="631">
        <f t="shared" si="75"/>
        <v>0</v>
      </c>
    </row>
    <row r="434" spans="1:15" s="360" customFormat="1" ht="15" hidden="1">
      <c r="A434" s="356" t="s">
        <v>647</v>
      </c>
      <c r="B434" s="632" t="s">
        <v>828</v>
      </c>
      <c r="C434" s="634"/>
      <c r="D434" s="354"/>
      <c r="E434" s="10"/>
      <c r="F434" s="353"/>
      <c r="G434" s="358">
        <f>SF!I274</f>
        <v>0</v>
      </c>
      <c r="H434" s="354" t="s">
        <v>5</v>
      </c>
      <c r="I434" s="355">
        <f>SF!K274</f>
        <v>6435.4299999999994</v>
      </c>
      <c r="J434" s="353">
        <f t="shared" si="77"/>
        <v>0</v>
      </c>
      <c r="K434" s="1680"/>
      <c r="L434" s="1680"/>
      <c r="M434" s="633" t="s">
        <v>2299</v>
      </c>
      <c r="N434" s="223"/>
      <c r="O434" s="631">
        <f t="shared" si="75"/>
        <v>0</v>
      </c>
    </row>
    <row r="435" spans="1:15" s="360" customFormat="1" ht="15" hidden="1">
      <c r="A435" s="356" t="s">
        <v>491</v>
      </c>
      <c r="B435" s="632" t="s">
        <v>828</v>
      </c>
      <c r="C435" s="634"/>
      <c r="D435" s="354"/>
      <c r="E435" s="10"/>
      <c r="F435" s="353"/>
      <c r="G435" s="358">
        <f>SF!I282</f>
        <v>0</v>
      </c>
      <c r="H435" s="354" t="s">
        <v>5</v>
      </c>
      <c r="I435" s="355">
        <f>SF!K282</f>
        <v>6881.41</v>
      </c>
      <c r="J435" s="353">
        <f>ROUND(G435*I435,0)</f>
        <v>0</v>
      </c>
      <c r="K435" s="1680"/>
      <c r="L435" s="1680"/>
      <c r="M435" s="633" t="s">
        <v>2312</v>
      </c>
      <c r="N435" s="223"/>
      <c r="O435" s="631">
        <f t="shared" si="75"/>
        <v>0</v>
      </c>
    </row>
    <row r="436" spans="1:15" s="360" customFormat="1" ht="15" hidden="1">
      <c r="A436" s="356" t="s">
        <v>491</v>
      </c>
      <c r="B436" s="632" t="s">
        <v>828</v>
      </c>
      <c r="C436" s="634"/>
      <c r="D436" s="354"/>
      <c r="E436" s="10"/>
      <c r="F436" s="353"/>
      <c r="G436" s="358">
        <f>SF!I290</f>
        <v>0</v>
      </c>
      <c r="H436" s="354" t="s">
        <v>5</v>
      </c>
      <c r="I436" s="355">
        <f>SF!K290</f>
        <v>7616.9999999999991</v>
      </c>
      <c r="J436" s="353">
        <f>ROUND(G436*I436,0)</f>
        <v>0</v>
      </c>
      <c r="K436" s="1681"/>
      <c r="L436" s="1681"/>
      <c r="M436" s="633" t="s">
        <v>2313</v>
      </c>
      <c r="N436" s="223"/>
      <c r="O436" s="631">
        <f t="shared" si="75"/>
        <v>0</v>
      </c>
    </row>
    <row r="437" spans="1:15" s="360" customFormat="1" ht="51" hidden="1">
      <c r="A437" s="356" t="s">
        <v>1579</v>
      </c>
      <c r="B437" s="632" t="s">
        <v>3193</v>
      </c>
      <c r="C437" s="636"/>
      <c r="D437" s="354"/>
      <c r="E437" s="614"/>
      <c r="F437" s="353"/>
      <c r="G437" s="358">
        <f>SF!I328</f>
        <v>0</v>
      </c>
      <c r="H437" s="354" t="s">
        <v>102</v>
      </c>
      <c r="I437" s="355">
        <f>SF!K328</f>
        <v>830.76</v>
      </c>
      <c r="J437" s="353">
        <f t="shared" ref="J437:J444" si="78">ROUND(G437*I437/1,0)</f>
        <v>0</v>
      </c>
      <c r="K437" s="1679">
        <f>IF((J437+J438+J439+J440)&gt;(F437+F438+F439+F440),(J437+J438+J439+J440)-(F437+F438+F439+F440),0)</f>
        <v>0</v>
      </c>
      <c r="L437" s="1679">
        <f>IF((J437+J438+J439+J440)&lt;(F437+F438+F439+F440),(F437+F438+F439+F440)-(J437+J438+J439+J440),0)</f>
        <v>0</v>
      </c>
      <c r="M437" s="851" t="s">
        <v>2217</v>
      </c>
      <c r="N437" s="223"/>
      <c r="O437" s="850">
        <f t="shared" si="75"/>
        <v>0</v>
      </c>
    </row>
    <row r="438" spans="1:15" s="360" customFormat="1" ht="25.5" hidden="1">
      <c r="A438" s="356" t="s">
        <v>1589</v>
      </c>
      <c r="B438" s="632" t="s">
        <v>705</v>
      </c>
      <c r="C438" s="636"/>
      <c r="D438" s="354"/>
      <c r="E438" s="614"/>
      <c r="F438" s="353"/>
      <c r="G438" s="358">
        <f>SF!I333</f>
        <v>0</v>
      </c>
      <c r="H438" s="354" t="s">
        <v>102</v>
      </c>
      <c r="I438" s="355">
        <f>SF!K333</f>
        <v>856.26</v>
      </c>
      <c r="J438" s="353">
        <f t="shared" si="78"/>
        <v>0</v>
      </c>
      <c r="K438" s="1680"/>
      <c r="L438" s="1680"/>
      <c r="M438" s="633" t="s">
        <v>2299</v>
      </c>
      <c r="N438" s="223"/>
      <c r="O438" s="631">
        <f t="shared" si="75"/>
        <v>0</v>
      </c>
    </row>
    <row r="439" spans="1:15" s="360" customFormat="1" ht="25.5" hidden="1">
      <c r="A439" s="356" t="s">
        <v>646</v>
      </c>
      <c r="B439" s="632" t="s">
        <v>705</v>
      </c>
      <c r="C439" s="636"/>
      <c r="D439" s="354"/>
      <c r="E439" s="614"/>
      <c r="F439" s="353"/>
      <c r="G439" s="358">
        <f>SF!I339</f>
        <v>0</v>
      </c>
      <c r="H439" s="354" t="s">
        <v>102</v>
      </c>
      <c r="I439" s="355">
        <f>SF!K339</f>
        <v>913.89</v>
      </c>
      <c r="J439" s="353">
        <f t="shared" si="78"/>
        <v>0</v>
      </c>
      <c r="K439" s="1680"/>
      <c r="L439" s="1680"/>
      <c r="M439" s="633" t="s">
        <v>2312</v>
      </c>
      <c r="N439" s="223"/>
      <c r="O439" s="631">
        <f t="shared" si="75"/>
        <v>0</v>
      </c>
    </row>
    <row r="440" spans="1:15" s="360" customFormat="1" ht="25.5" hidden="1">
      <c r="A440" s="356" t="s">
        <v>646</v>
      </c>
      <c r="B440" s="632" t="s">
        <v>705</v>
      </c>
      <c r="C440" s="636"/>
      <c r="D440" s="354"/>
      <c r="E440" s="614"/>
      <c r="F440" s="353"/>
      <c r="G440" s="358">
        <f>SF!I347</f>
        <v>0</v>
      </c>
      <c r="H440" s="354" t="s">
        <v>102</v>
      </c>
      <c r="I440" s="355">
        <f>SF!K347</f>
        <v>999.57</v>
      </c>
      <c r="J440" s="353">
        <f t="shared" si="78"/>
        <v>0</v>
      </c>
      <c r="K440" s="1681"/>
      <c r="L440" s="1681"/>
      <c r="M440" s="633" t="s">
        <v>2313</v>
      </c>
      <c r="N440" s="223"/>
      <c r="O440" s="631">
        <f t="shared" si="75"/>
        <v>0</v>
      </c>
    </row>
    <row r="441" spans="1:15" s="360" customFormat="1" ht="15" hidden="1">
      <c r="A441" s="356" t="s">
        <v>483</v>
      </c>
      <c r="B441" s="632" t="s">
        <v>1221</v>
      </c>
      <c r="C441" s="634"/>
      <c r="D441" s="354"/>
      <c r="E441" s="10"/>
      <c r="F441" s="353"/>
      <c r="G441" s="358">
        <f>SF!I354</f>
        <v>0</v>
      </c>
      <c r="H441" s="354" t="s">
        <v>102</v>
      </c>
      <c r="I441" s="355">
        <f>SF!K354</f>
        <v>6013.9600000000009</v>
      </c>
      <c r="J441" s="353">
        <f t="shared" si="78"/>
        <v>0</v>
      </c>
      <c r="K441" s="1679">
        <f>IF((J441+J442+J443+J444)&gt;(F441+F442+F443+F444),(J441+J442+J443+J444)-(F441+F442+F443+F444),0)</f>
        <v>0</v>
      </c>
      <c r="L441" s="1679">
        <f>IF((J441+J442+J443+J444)&lt;(F441+F442+F443+F444),(F441+F442+F443+F444)-(J441+J442+J443+J444),0)</f>
        <v>0</v>
      </c>
      <c r="M441" s="633" t="s">
        <v>2217</v>
      </c>
      <c r="N441" s="223"/>
      <c r="O441" s="631">
        <f t="shared" si="75"/>
        <v>0</v>
      </c>
    </row>
    <row r="442" spans="1:15" s="360" customFormat="1" ht="15" hidden="1">
      <c r="A442" s="356" t="s">
        <v>483</v>
      </c>
      <c r="B442" s="632" t="s">
        <v>1221</v>
      </c>
      <c r="C442" s="634"/>
      <c r="D442" s="354"/>
      <c r="E442" s="10"/>
      <c r="F442" s="353"/>
      <c r="G442" s="358">
        <f>SF!I361</f>
        <v>0</v>
      </c>
      <c r="H442" s="354" t="s">
        <v>102</v>
      </c>
      <c r="I442" s="355">
        <f>SF!K361</f>
        <v>6227.11</v>
      </c>
      <c r="J442" s="353">
        <f t="shared" si="78"/>
        <v>0</v>
      </c>
      <c r="K442" s="1680"/>
      <c r="L442" s="1680"/>
      <c r="M442" s="633" t="s">
        <v>2299</v>
      </c>
      <c r="N442" s="223"/>
      <c r="O442" s="631">
        <f t="shared" si="75"/>
        <v>0</v>
      </c>
    </row>
    <row r="443" spans="1:15" s="360" customFormat="1" ht="15" hidden="1">
      <c r="A443" s="356" t="s">
        <v>483</v>
      </c>
      <c r="B443" s="632" t="s">
        <v>1221</v>
      </c>
      <c r="C443" s="634"/>
      <c r="D443" s="354"/>
      <c r="E443" s="10"/>
      <c r="F443" s="353"/>
      <c r="G443" s="358">
        <f>SF!I368</f>
        <v>0</v>
      </c>
      <c r="H443" s="354" t="s">
        <v>102</v>
      </c>
      <c r="I443" s="355">
        <f>SF!K368</f>
        <v>6774.69</v>
      </c>
      <c r="J443" s="353">
        <f t="shared" si="78"/>
        <v>0</v>
      </c>
      <c r="K443" s="1680"/>
      <c r="L443" s="1680"/>
      <c r="M443" s="633" t="s">
        <v>2312</v>
      </c>
      <c r="N443" s="223"/>
      <c r="O443" s="631">
        <f t="shared" si="75"/>
        <v>0</v>
      </c>
    </row>
    <row r="444" spans="1:15" s="360" customFormat="1" ht="15" hidden="1">
      <c r="A444" s="356" t="s">
        <v>483</v>
      </c>
      <c r="B444" s="632" t="s">
        <v>1221</v>
      </c>
      <c r="C444" s="634"/>
      <c r="D444" s="354"/>
      <c r="E444" s="10"/>
      <c r="F444" s="353"/>
      <c r="G444" s="358">
        <f>SF!I375</f>
        <v>0</v>
      </c>
      <c r="H444" s="354" t="s">
        <v>102</v>
      </c>
      <c r="I444" s="355">
        <f>SF!K375</f>
        <v>7187.4500000000007</v>
      </c>
      <c r="J444" s="353">
        <f t="shared" si="78"/>
        <v>0</v>
      </c>
      <c r="K444" s="1681"/>
      <c r="L444" s="1681"/>
      <c r="M444" s="633" t="s">
        <v>2313</v>
      </c>
      <c r="N444" s="223"/>
      <c r="O444" s="631">
        <f t="shared" si="75"/>
        <v>0</v>
      </c>
    </row>
    <row r="445" spans="1:15" s="360" customFormat="1" ht="63.75" hidden="1">
      <c r="A445" s="356" t="s">
        <v>529</v>
      </c>
      <c r="B445" s="632" t="s">
        <v>3194</v>
      </c>
      <c r="C445" s="636"/>
      <c r="D445" s="354"/>
      <c r="E445" s="614"/>
      <c r="F445" s="353"/>
      <c r="G445" s="358">
        <f>SF!I382</f>
        <v>0</v>
      </c>
      <c r="H445" s="354" t="s">
        <v>102</v>
      </c>
      <c r="I445" s="355">
        <f>SF!K382</f>
        <v>321.79000000000002</v>
      </c>
      <c r="J445" s="353">
        <f t="shared" ref="J445:J517" si="79">ROUND(G445*I445,0)</f>
        <v>0</v>
      </c>
      <c r="K445" s="1679">
        <f>IF((J445+J446+J447+J448)&gt;(F445+F446+F447+F448),(J445+J446+J447+J448)-(F445+F446+F447+F448),0)</f>
        <v>0</v>
      </c>
      <c r="L445" s="1679">
        <f>IF((J445+J446+J447+J448)&lt;(F445+F446+F447+F448),(F445+F446+F447+F448)-(J445+J446+J447+J448),0)</f>
        <v>0</v>
      </c>
      <c r="M445" s="851" t="s">
        <v>2217</v>
      </c>
      <c r="N445" s="223"/>
      <c r="O445" s="850">
        <f t="shared" si="75"/>
        <v>0</v>
      </c>
    </row>
    <row r="446" spans="1:15" s="360" customFormat="1" ht="15" hidden="1">
      <c r="A446" s="356" t="s">
        <v>1575</v>
      </c>
      <c r="B446" s="632" t="s">
        <v>481</v>
      </c>
      <c r="C446" s="636"/>
      <c r="D446" s="354"/>
      <c r="E446" s="614"/>
      <c r="F446" s="353"/>
      <c r="G446" s="358">
        <f>SF!I390</f>
        <v>0</v>
      </c>
      <c r="H446" s="354" t="s">
        <v>102</v>
      </c>
      <c r="I446" s="355">
        <f>SF!K390</f>
        <v>344.38</v>
      </c>
      <c r="J446" s="353">
        <f>ROUND(G446*I446,0)</f>
        <v>0</v>
      </c>
      <c r="K446" s="1680"/>
      <c r="L446" s="1680"/>
      <c r="M446" s="633" t="s">
        <v>2299</v>
      </c>
      <c r="N446" s="223"/>
      <c r="O446" s="631">
        <f t="shared" si="75"/>
        <v>0</v>
      </c>
    </row>
    <row r="447" spans="1:15" s="360" customFormat="1" ht="15" hidden="1">
      <c r="A447" s="356" t="s">
        <v>1582</v>
      </c>
      <c r="B447" s="632" t="s">
        <v>481</v>
      </c>
      <c r="C447" s="636"/>
      <c r="D447" s="354"/>
      <c r="E447" s="614"/>
      <c r="F447" s="353"/>
      <c r="G447" s="358">
        <f>SF!I397</f>
        <v>0</v>
      </c>
      <c r="H447" s="354" t="s">
        <v>102</v>
      </c>
      <c r="I447" s="355">
        <f>SF!K397</f>
        <v>365.08</v>
      </c>
      <c r="J447" s="353">
        <f>ROUND(G447*I447,0)</f>
        <v>0</v>
      </c>
      <c r="K447" s="1680"/>
      <c r="L447" s="1680"/>
      <c r="M447" s="633" t="s">
        <v>2312</v>
      </c>
      <c r="N447" s="223"/>
      <c r="O447" s="631">
        <f t="shared" si="75"/>
        <v>0</v>
      </c>
    </row>
    <row r="448" spans="1:15" s="360" customFormat="1" ht="15" hidden="1">
      <c r="A448" s="356" t="s">
        <v>1582</v>
      </c>
      <c r="B448" s="632" t="s">
        <v>481</v>
      </c>
      <c r="C448" s="636"/>
      <c r="D448" s="354"/>
      <c r="E448" s="614"/>
      <c r="F448" s="353"/>
      <c r="G448" s="358">
        <f>SF!I404</f>
        <v>0</v>
      </c>
      <c r="H448" s="354" t="s">
        <v>102</v>
      </c>
      <c r="I448" s="355">
        <f>SF!K404</f>
        <v>385.55</v>
      </c>
      <c r="J448" s="353">
        <f>ROUND(G448*I448,0)</f>
        <v>0</v>
      </c>
      <c r="K448" s="1681"/>
      <c r="L448" s="1681"/>
      <c r="M448" s="633" t="s">
        <v>2313</v>
      </c>
      <c r="N448" s="223"/>
      <c r="O448" s="631">
        <f t="shared" si="75"/>
        <v>0</v>
      </c>
    </row>
    <row r="449" spans="1:15" s="360" customFormat="1" ht="15" hidden="1">
      <c r="A449" s="356" t="s">
        <v>1581</v>
      </c>
      <c r="B449" s="632" t="s">
        <v>505</v>
      </c>
      <c r="C449" s="611"/>
      <c r="D449" s="354"/>
      <c r="E449" s="362"/>
      <c r="F449" s="353"/>
      <c r="G449" s="358">
        <f>SF!I412</f>
        <v>0</v>
      </c>
      <c r="H449" s="354" t="s">
        <v>102</v>
      </c>
      <c r="I449" s="355">
        <f>SF!K412</f>
        <v>289.52</v>
      </c>
      <c r="J449" s="353">
        <f t="shared" si="79"/>
        <v>0</v>
      </c>
      <c r="K449" s="1679">
        <f>IF((J449+J450+J451+J452)&gt;(F449+F450+F451+F452),(J449+J450+J451+J452)-(F449+F450+F451+F452),0)</f>
        <v>0</v>
      </c>
      <c r="L449" s="1679">
        <f>IF((J449+J450+J451+J452)&lt;(F449+F450+F451+F452),(F449+F450+F451+F452)-(J449+J450+J451+J452),0)</f>
        <v>0</v>
      </c>
      <c r="M449" s="633" t="s">
        <v>2217</v>
      </c>
      <c r="N449" s="223"/>
      <c r="O449" s="631">
        <f t="shared" si="75"/>
        <v>0</v>
      </c>
    </row>
    <row r="450" spans="1:15" s="360" customFormat="1" ht="15" hidden="1">
      <c r="A450" s="356" t="s">
        <v>1581</v>
      </c>
      <c r="B450" s="632" t="s">
        <v>505</v>
      </c>
      <c r="C450" s="611"/>
      <c r="D450" s="354"/>
      <c r="E450" s="362"/>
      <c r="F450" s="353"/>
      <c r="G450" s="358">
        <f>SF!I420</f>
        <v>0</v>
      </c>
      <c r="H450" s="354" t="s">
        <v>102</v>
      </c>
      <c r="I450" s="355">
        <f>SF!K420</f>
        <v>312.11</v>
      </c>
      <c r="J450" s="353">
        <f>ROUND(G450*I450,0)</f>
        <v>0</v>
      </c>
      <c r="K450" s="1680"/>
      <c r="L450" s="1680"/>
      <c r="M450" s="633" t="s">
        <v>2299</v>
      </c>
      <c r="N450" s="223"/>
      <c r="O450" s="631">
        <f t="shared" si="75"/>
        <v>0</v>
      </c>
    </row>
    <row r="451" spans="1:15" s="360" customFormat="1" ht="15" hidden="1">
      <c r="A451" s="356" t="s">
        <v>1581</v>
      </c>
      <c r="B451" s="632" t="s">
        <v>505</v>
      </c>
      <c r="C451" s="611"/>
      <c r="D451" s="354"/>
      <c r="E451" s="362"/>
      <c r="F451" s="353"/>
      <c r="G451" s="358">
        <f>SF!I428</f>
        <v>0</v>
      </c>
      <c r="H451" s="354" t="s">
        <v>102</v>
      </c>
      <c r="I451" s="355">
        <f>SF!K428</f>
        <v>331.62</v>
      </c>
      <c r="J451" s="353">
        <f>ROUND(G451*I451,0)</f>
        <v>0</v>
      </c>
      <c r="K451" s="1680"/>
      <c r="L451" s="1680"/>
      <c r="M451" s="633" t="s">
        <v>2312</v>
      </c>
      <c r="N451" s="223"/>
      <c r="O451" s="631">
        <f t="shared" si="75"/>
        <v>0</v>
      </c>
    </row>
    <row r="452" spans="1:15" s="360" customFormat="1" ht="15" hidden="1">
      <c r="A452" s="356" t="s">
        <v>1581</v>
      </c>
      <c r="B452" s="632" t="s">
        <v>505</v>
      </c>
      <c r="C452" s="611"/>
      <c r="D452" s="354"/>
      <c r="E452" s="362"/>
      <c r="F452" s="353"/>
      <c r="G452" s="358">
        <f>SF!I436</f>
        <v>0</v>
      </c>
      <c r="H452" s="354" t="s">
        <v>102</v>
      </c>
      <c r="I452" s="355">
        <f>SF!K436</f>
        <v>352.1</v>
      </c>
      <c r="J452" s="353">
        <f>ROUND(G452*I452,0)</f>
        <v>0</v>
      </c>
      <c r="K452" s="1681"/>
      <c r="L452" s="1681"/>
      <c r="M452" s="633" t="s">
        <v>2313</v>
      </c>
      <c r="N452" s="223"/>
      <c r="O452" s="631">
        <f t="shared" si="75"/>
        <v>0</v>
      </c>
    </row>
    <row r="453" spans="1:15" s="360" customFormat="1" ht="15" hidden="1">
      <c r="A453" s="356" t="s">
        <v>1582</v>
      </c>
      <c r="B453" s="632" t="s">
        <v>805</v>
      </c>
      <c r="C453" s="611"/>
      <c r="D453" s="354"/>
      <c r="E453" s="362"/>
      <c r="F453" s="353"/>
      <c r="G453" s="358">
        <f>SF!I444</f>
        <v>0</v>
      </c>
      <c r="H453" s="354" t="s">
        <v>102</v>
      </c>
      <c r="I453" s="355">
        <f>SF!K444</f>
        <v>307.37</v>
      </c>
      <c r="J453" s="353">
        <f t="shared" si="79"/>
        <v>0</v>
      </c>
      <c r="K453" s="1679">
        <f>IF((J453+J454+J455+J456)&gt;(F453+F454+F455+F456),(J453+J454+J455+J456)-(F453+F454+F455+F456),0)</f>
        <v>0</v>
      </c>
      <c r="L453" s="1679">
        <f>IF((J453+J454+J455+J456)&lt;(F453+F454+F455+F456),(F453+F454+F455+F456)-(J453+J454+J455+J456),0)</f>
        <v>0</v>
      </c>
      <c r="M453" s="633" t="s">
        <v>2217</v>
      </c>
      <c r="N453" s="223"/>
      <c r="O453" s="631">
        <f t="shared" si="75"/>
        <v>0</v>
      </c>
    </row>
    <row r="454" spans="1:15" s="360" customFormat="1" ht="15" hidden="1">
      <c r="A454" s="356" t="s">
        <v>1582</v>
      </c>
      <c r="B454" s="632" t="s">
        <v>805</v>
      </c>
      <c r="C454" s="611"/>
      <c r="D454" s="354"/>
      <c r="E454" s="362"/>
      <c r="F454" s="353"/>
      <c r="G454" s="358">
        <f>SF!I452</f>
        <v>0</v>
      </c>
      <c r="H454" s="354" t="s">
        <v>102</v>
      </c>
      <c r="I454" s="355">
        <f>SF!K452</f>
        <v>330.52</v>
      </c>
      <c r="J454" s="353">
        <f>ROUND(G454*I454,0)</f>
        <v>0</v>
      </c>
      <c r="K454" s="1680"/>
      <c r="L454" s="1680"/>
      <c r="M454" s="633" t="s">
        <v>2299</v>
      </c>
      <c r="N454" s="223"/>
      <c r="O454" s="631">
        <f t="shared" si="75"/>
        <v>0</v>
      </c>
    </row>
    <row r="455" spans="1:15" s="360" customFormat="1" ht="15" hidden="1">
      <c r="A455" s="356" t="s">
        <v>1582</v>
      </c>
      <c r="B455" s="632" t="s">
        <v>805</v>
      </c>
      <c r="C455" s="611"/>
      <c r="D455" s="354"/>
      <c r="E455" s="362"/>
      <c r="F455" s="353"/>
      <c r="G455" s="358">
        <f>SF!I460</f>
        <v>0</v>
      </c>
      <c r="H455" s="354" t="s">
        <v>102</v>
      </c>
      <c r="I455" s="355">
        <f>SF!K460</f>
        <v>351.31</v>
      </c>
      <c r="J455" s="353">
        <f>ROUND(G455*I455,0)</f>
        <v>0</v>
      </c>
      <c r="K455" s="1680"/>
      <c r="L455" s="1680"/>
      <c r="M455" s="633" t="s">
        <v>2312</v>
      </c>
      <c r="N455" s="223"/>
      <c r="O455" s="631">
        <f t="shared" si="75"/>
        <v>0</v>
      </c>
    </row>
    <row r="456" spans="1:15" s="360" customFormat="1" ht="15" hidden="1">
      <c r="A456" s="356" t="s">
        <v>1582</v>
      </c>
      <c r="B456" s="632" t="s">
        <v>805</v>
      </c>
      <c r="C456" s="611"/>
      <c r="D456" s="354"/>
      <c r="E456" s="362"/>
      <c r="F456" s="353"/>
      <c r="G456" s="358">
        <f>SF!I468</f>
        <v>0</v>
      </c>
      <c r="H456" s="354" t="s">
        <v>102</v>
      </c>
      <c r="I456" s="355">
        <f>SF!K468</f>
        <v>372.29</v>
      </c>
      <c r="J456" s="353">
        <f>ROUND(G456*I456,0)</f>
        <v>0</v>
      </c>
      <c r="K456" s="1681"/>
      <c r="L456" s="1681"/>
      <c r="M456" s="633" t="s">
        <v>2313</v>
      </c>
      <c r="N456" s="223"/>
      <c r="O456" s="631">
        <f t="shared" si="75"/>
        <v>0</v>
      </c>
    </row>
    <row r="457" spans="1:15" s="360" customFormat="1" ht="51" hidden="1">
      <c r="A457" s="356" t="s">
        <v>530</v>
      </c>
      <c r="B457" s="632" t="s">
        <v>3196</v>
      </c>
      <c r="C457" s="636"/>
      <c r="D457" s="354"/>
      <c r="E457" s="614"/>
      <c r="F457" s="353"/>
      <c r="G457" s="358">
        <f>SF!I480</f>
        <v>0</v>
      </c>
      <c r="H457" s="354" t="s">
        <v>102</v>
      </c>
      <c r="I457" s="355">
        <f>SF!K480</f>
        <v>380.2</v>
      </c>
      <c r="J457" s="353">
        <f t="shared" si="79"/>
        <v>0</v>
      </c>
      <c r="K457" s="1679">
        <f>IF((J457+J458+J459+J460)&gt;(F457+F458+F459+F460),(J457+J458+J459+J460)-(F457+F458+F459+F460),0)</f>
        <v>0</v>
      </c>
      <c r="L457" s="1679">
        <f>IF((J457+J458+J459+J460)&lt;(F457+F458+F459+F460),(F457+F458+F459+F460)-(J457+J458+J459+J460),0)</f>
        <v>0</v>
      </c>
      <c r="M457" s="851" t="s">
        <v>2217</v>
      </c>
      <c r="N457" s="223"/>
      <c r="O457" s="850">
        <f t="shared" si="75"/>
        <v>0</v>
      </c>
    </row>
    <row r="458" spans="1:15" s="360" customFormat="1" ht="15" hidden="1">
      <c r="A458" s="356" t="s">
        <v>1590</v>
      </c>
      <c r="B458" s="632" t="s">
        <v>830</v>
      </c>
      <c r="C458" s="636"/>
      <c r="D458" s="354"/>
      <c r="E458" s="614"/>
      <c r="F458" s="353"/>
      <c r="G458" s="358">
        <f>SF!I489</f>
        <v>0</v>
      </c>
      <c r="H458" s="354" t="s">
        <v>102</v>
      </c>
      <c r="I458" s="355">
        <f>SF!K489</f>
        <v>410.98</v>
      </c>
      <c r="J458" s="353">
        <f>ROUND(G458*I458,0)</f>
        <v>0</v>
      </c>
      <c r="K458" s="1680"/>
      <c r="L458" s="1680"/>
      <c r="M458" s="633" t="s">
        <v>2299</v>
      </c>
      <c r="N458" s="223"/>
      <c r="O458" s="631">
        <f t="shared" si="75"/>
        <v>0</v>
      </c>
    </row>
    <row r="459" spans="1:15" s="360" customFormat="1" ht="15" hidden="1">
      <c r="A459" s="356" t="s">
        <v>1143</v>
      </c>
      <c r="B459" s="632" t="s">
        <v>830</v>
      </c>
      <c r="C459" s="636"/>
      <c r="D459" s="354"/>
      <c r="E459" s="614"/>
      <c r="F459" s="353"/>
      <c r="G459" s="358">
        <f>SF!I496</f>
        <v>0</v>
      </c>
      <c r="H459" s="354" t="s">
        <v>102</v>
      </c>
      <c r="I459" s="355">
        <f>SF!K496</f>
        <v>436.23</v>
      </c>
      <c r="J459" s="353">
        <f>ROUND(G459*I459,0)</f>
        <v>0</v>
      </c>
      <c r="K459" s="1680"/>
      <c r="L459" s="1680"/>
      <c r="M459" s="633" t="s">
        <v>2312</v>
      </c>
      <c r="N459" s="223"/>
      <c r="O459" s="631">
        <f t="shared" si="75"/>
        <v>0</v>
      </c>
    </row>
    <row r="460" spans="1:15" s="360" customFormat="1" ht="15" hidden="1">
      <c r="A460" s="356" t="s">
        <v>1143</v>
      </c>
      <c r="B460" s="632" t="s">
        <v>830</v>
      </c>
      <c r="C460" s="636"/>
      <c r="D460" s="354"/>
      <c r="E460" s="614"/>
      <c r="F460" s="353"/>
      <c r="G460" s="358">
        <f>SF!I508</f>
        <v>0</v>
      </c>
      <c r="H460" s="354" t="s">
        <v>102</v>
      </c>
      <c r="I460" s="355">
        <f>SF!K508</f>
        <v>464.16</v>
      </c>
      <c r="J460" s="353">
        <f>ROUND(G460*I460,0)</f>
        <v>0</v>
      </c>
      <c r="K460" s="1681"/>
      <c r="L460" s="1681"/>
      <c r="M460" s="633" t="s">
        <v>2313</v>
      </c>
      <c r="N460" s="223"/>
      <c r="O460" s="631">
        <f t="shared" ref="O460:O523" si="80">F460-J460</f>
        <v>0</v>
      </c>
    </row>
    <row r="461" spans="1:15" s="360" customFormat="1" ht="15" hidden="1">
      <c r="A461" s="356" t="s">
        <v>1579</v>
      </c>
      <c r="B461" s="632" t="s">
        <v>541</v>
      </c>
      <c r="C461" s="636"/>
      <c r="D461" s="354"/>
      <c r="E461" s="614"/>
      <c r="F461" s="353"/>
      <c r="G461" s="358">
        <f>SF!I515</f>
        <v>0</v>
      </c>
      <c r="H461" s="354" t="s">
        <v>102</v>
      </c>
      <c r="I461" s="355">
        <f>SF!K515</f>
        <v>393.56</v>
      </c>
      <c r="J461" s="353">
        <f t="shared" si="79"/>
        <v>0</v>
      </c>
      <c r="K461" s="1679">
        <f>IF((J461+J462+J463+J464)&gt;(F461+F462+F463+F464),(J461+J462+J463+J464)-(F461+F462+F463+F464),0)</f>
        <v>0</v>
      </c>
      <c r="L461" s="1679">
        <f>IF((J461+J462+J463+J464)&lt;(F461+F462+F463+F464),(F461+F462+F463+F464)-(J461+J462+J463+J464),0)</f>
        <v>0</v>
      </c>
      <c r="M461" s="633" t="s">
        <v>2217</v>
      </c>
      <c r="N461" s="223"/>
      <c r="O461" s="631">
        <f t="shared" si="80"/>
        <v>0</v>
      </c>
    </row>
    <row r="462" spans="1:15" s="360" customFormat="1" ht="15" hidden="1">
      <c r="A462" s="356" t="s">
        <v>1576</v>
      </c>
      <c r="B462" s="632" t="s">
        <v>541</v>
      </c>
      <c r="C462" s="636"/>
      <c r="D462" s="354"/>
      <c r="E462" s="614"/>
      <c r="F462" s="353"/>
      <c r="G462" s="358">
        <f>SF!I525</f>
        <v>0</v>
      </c>
      <c r="H462" s="354" t="s">
        <v>102</v>
      </c>
      <c r="I462" s="355">
        <f>SF!K525</f>
        <v>424.91</v>
      </c>
      <c r="J462" s="353">
        <f>ROUND(G462*I462,0)</f>
        <v>0</v>
      </c>
      <c r="K462" s="1680"/>
      <c r="L462" s="1680"/>
      <c r="M462" s="633" t="s">
        <v>2299</v>
      </c>
      <c r="N462" s="223"/>
      <c r="O462" s="631">
        <f t="shared" si="80"/>
        <v>0</v>
      </c>
    </row>
    <row r="463" spans="1:15" s="360" customFormat="1" ht="19.5" hidden="1" customHeight="1">
      <c r="A463" s="356" t="s">
        <v>1583</v>
      </c>
      <c r="B463" s="632" t="s">
        <v>541</v>
      </c>
      <c r="C463" s="636"/>
      <c r="D463" s="354"/>
      <c r="E463" s="614"/>
      <c r="F463" s="353"/>
      <c r="G463" s="358">
        <f>SF!I532</f>
        <v>0</v>
      </c>
      <c r="H463" s="354" t="s">
        <v>102</v>
      </c>
      <c r="I463" s="355">
        <f>SF!K532</f>
        <v>451.54</v>
      </c>
      <c r="J463" s="353">
        <f>ROUND(G463*I463,0)</f>
        <v>0</v>
      </c>
      <c r="K463" s="1680"/>
      <c r="L463" s="1680"/>
      <c r="M463" s="633" t="s">
        <v>2312</v>
      </c>
      <c r="N463" s="223"/>
      <c r="O463" s="631">
        <f t="shared" si="80"/>
        <v>0</v>
      </c>
    </row>
    <row r="464" spans="1:15" s="360" customFormat="1" ht="51" hidden="1">
      <c r="A464" s="356" t="s">
        <v>531</v>
      </c>
      <c r="B464" s="632" t="s">
        <v>3197</v>
      </c>
      <c r="C464" s="636"/>
      <c r="D464" s="354"/>
      <c r="E464" s="614"/>
      <c r="F464" s="353"/>
      <c r="G464" s="358">
        <f>SF!I539</f>
        <v>0</v>
      </c>
      <c r="H464" s="354" t="s">
        <v>102</v>
      </c>
      <c r="I464" s="355">
        <f>SF!K539</f>
        <v>479.98</v>
      </c>
      <c r="J464" s="353">
        <f>ROUND(G464*I464,0)</f>
        <v>0</v>
      </c>
      <c r="K464" s="1681"/>
      <c r="L464" s="1681"/>
      <c r="M464" s="851" t="s">
        <v>2313</v>
      </c>
      <c r="N464" s="223"/>
      <c r="O464" s="850">
        <f t="shared" si="80"/>
        <v>0</v>
      </c>
    </row>
    <row r="465" spans="1:15" s="360" customFormat="1" ht="15" hidden="1">
      <c r="A465" s="356" t="s">
        <v>473</v>
      </c>
      <c r="B465" s="632" t="s">
        <v>2071</v>
      </c>
      <c r="C465" s="611"/>
      <c r="D465" s="354"/>
      <c r="E465" s="607"/>
      <c r="F465" s="353"/>
      <c r="G465" s="358">
        <f>SF!I544</f>
        <v>0</v>
      </c>
      <c r="H465" s="354" t="s">
        <v>5</v>
      </c>
      <c r="I465" s="355">
        <f>SF!K544</f>
        <v>5152.2499999999991</v>
      </c>
      <c r="J465" s="353">
        <f t="shared" si="79"/>
        <v>0</v>
      </c>
      <c r="K465" s="1679">
        <f>IF((J465+J466+J467+J468)&gt;(F465+F466+F467+F468),(J465+J466+J467+J468)-(F465+F466+F467+F468),0)</f>
        <v>0</v>
      </c>
      <c r="L465" s="1679">
        <f>IF((J465+J466+J467+J468)&lt;(F465+F466+F467+F468),(F465+F466+F467+F468)-(J465+J466+J467+J468),0)</f>
        <v>0</v>
      </c>
      <c r="M465" s="633" t="s">
        <v>2217</v>
      </c>
      <c r="N465" s="223"/>
      <c r="O465" s="631">
        <f t="shared" si="80"/>
        <v>0</v>
      </c>
    </row>
    <row r="466" spans="1:15" s="360" customFormat="1" ht="15" hidden="1">
      <c r="A466" s="356" t="s">
        <v>473</v>
      </c>
      <c r="B466" s="632" t="s">
        <v>2071</v>
      </c>
      <c r="C466" s="611"/>
      <c r="D466" s="354"/>
      <c r="E466" s="607"/>
      <c r="F466" s="353"/>
      <c r="G466" s="358">
        <f>SF!I549</f>
        <v>0</v>
      </c>
      <c r="H466" s="354" t="s">
        <v>5</v>
      </c>
      <c r="I466" s="355">
        <f>SF!K549</f>
        <v>5333.72</v>
      </c>
      <c r="J466" s="353">
        <f>ROUND(G466*I466,0)</f>
        <v>0</v>
      </c>
      <c r="K466" s="1680"/>
      <c r="L466" s="1680"/>
      <c r="M466" s="633" t="s">
        <v>2299</v>
      </c>
      <c r="N466" s="223"/>
      <c r="O466" s="631">
        <f t="shared" si="80"/>
        <v>0</v>
      </c>
    </row>
    <row r="467" spans="1:15" s="360" customFormat="1" ht="15" hidden="1">
      <c r="A467" s="356" t="s">
        <v>473</v>
      </c>
      <c r="B467" s="632" t="s">
        <v>2071</v>
      </c>
      <c r="C467" s="611"/>
      <c r="D467" s="354"/>
      <c r="E467" s="607"/>
      <c r="F467" s="353"/>
      <c r="G467" s="358">
        <f>SF!I554</f>
        <v>0</v>
      </c>
      <c r="H467" s="354" t="s">
        <v>5</v>
      </c>
      <c r="I467" s="355">
        <f>SF!K554</f>
        <v>5579.3200000000006</v>
      </c>
      <c r="J467" s="353">
        <f>ROUND(G467*I467,0)</f>
        <v>0</v>
      </c>
      <c r="K467" s="1680"/>
      <c r="L467" s="1680"/>
      <c r="M467" s="633" t="s">
        <v>2312</v>
      </c>
      <c r="N467" s="223"/>
      <c r="O467" s="631">
        <f t="shared" si="80"/>
        <v>0</v>
      </c>
    </row>
    <row r="468" spans="1:15" s="360" customFormat="1" ht="15" hidden="1">
      <c r="A468" s="356" t="s">
        <v>473</v>
      </c>
      <c r="B468" s="632" t="s">
        <v>2071</v>
      </c>
      <c r="C468" s="611"/>
      <c r="D468" s="354"/>
      <c r="E468" s="607"/>
      <c r="F468" s="353"/>
      <c r="G468" s="358">
        <f>SF!I559</f>
        <v>0</v>
      </c>
      <c r="H468" s="354" t="s">
        <v>5</v>
      </c>
      <c r="I468" s="355">
        <f>SF!K559</f>
        <v>5843.9400000000005</v>
      </c>
      <c r="J468" s="353">
        <f>ROUND(G468*I468,0)</f>
        <v>0</v>
      </c>
      <c r="K468" s="1681"/>
      <c r="L468" s="1681"/>
      <c r="M468" s="633" t="s">
        <v>2313</v>
      </c>
      <c r="N468" s="223"/>
      <c r="O468" s="631">
        <f t="shared" si="80"/>
        <v>0</v>
      </c>
    </row>
    <row r="469" spans="1:15" s="360" customFormat="1" ht="15" hidden="1">
      <c r="A469" s="356" t="s">
        <v>525</v>
      </c>
      <c r="B469" s="632" t="s">
        <v>507</v>
      </c>
      <c r="C469" s="642"/>
      <c r="D469" s="354"/>
      <c r="E469" s="10"/>
      <c r="F469" s="353"/>
      <c r="G469" s="358">
        <f>SF!I565</f>
        <v>0</v>
      </c>
      <c r="H469" s="354" t="s">
        <v>102</v>
      </c>
      <c r="I469" s="355">
        <f>SF!K565</f>
        <v>1048.97</v>
      </c>
      <c r="J469" s="353">
        <f t="shared" si="79"/>
        <v>0</v>
      </c>
      <c r="K469" s="1679">
        <f>IF((J469+J470+J471+J472)&gt;(F469+F470+F471+F472),(J469+J470+J471+J472)-(F469+F470+F471+F472),0)</f>
        <v>0</v>
      </c>
      <c r="L469" s="1679">
        <f>IF((J469+J470+J471+J472)&lt;(F469+F470+F471+F472),(F469+F470+F471+F472)-(J469+J470+J471+J472),0)</f>
        <v>0</v>
      </c>
      <c r="M469" s="633" t="s">
        <v>2217</v>
      </c>
      <c r="N469" s="223"/>
      <c r="O469" s="631">
        <f t="shared" si="80"/>
        <v>0</v>
      </c>
    </row>
    <row r="470" spans="1:15" s="360" customFormat="1" ht="15" hidden="1">
      <c r="A470" s="356" t="s">
        <v>525</v>
      </c>
      <c r="B470" s="632" t="s">
        <v>507</v>
      </c>
      <c r="C470" s="642"/>
      <c r="D470" s="354"/>
      <c r="E470" s="10"/>
      <c r="F470" s="353"/>
      <c r="G470" s="358">
        <f>SF!I571</f>
        <v>0</v>
      </c>
      <c r="H470" s="354" t="s">
        <v>102</v>
      </c>
      <c r="I470" s="355">
        <f>SF!K571</f>
        <v>1082.75</v>
      </c>
      <c r="J470" s="353">
        <f>ROUND(G470*I470,0)</f>
        <v>0</v>
      </c>
      <c r="K470" s="1680"/>
      <c r="L470" s="1680"/>
      <c r="M470" s="633" t="s">
        <v>2299</v>
      </c>
      <c r="N470" s="223"/>
      <c r="O470" s="631">
        <f t="shared" si="80"/>
        <v>0</v>
      </c>
    </row>
    <row r="471" spans="1:15" s="360" customFormat="1" ht="15" hidden="1">
      <c r="A471" s="356" t="s">
        <v>525</v>
      </c>
      <c r="B471" s="632" t="s">
        <v>507</v>
      </c>
      <c r="C471" s="642"/>
      <c r="D471" s="354"/>
      <c r="E471" s="10"/>
      <c r="F471" s="353"/>
      <c r="G471" s="358">
        <f>SF!I577</f>
        <v>0</v>
      </c>
      <c r="H471" s="354" t="s">
        <v>102</v>
      </c>
      <c r="I471" s="355">
        <f>SF!K577</f>
        <v>1108.3499999999999</v>
      </c>
      <c r="J471" s="353">
        <f>ROUND(G471*I471,0)</f>
        <v>0</v>
      </c>
      <c r="K471" s="1680"/>
      <c r="L471" s="1680"/>
      <c r="M471" s="633" t="s">
        <v>2312</v>
      </c>
      <c r="N471" s="223"/>
      <c r="O471" s="631">
        <f t="shared" si="80"/>
        <v>0</v>
      </c>
    </row>
    <row r="472" spans="1:15" s="360" customFormat="1" ht="15" hidden="1">
      <c r="A472" s="356" t="s">
        <v>525</v>
      </c>
      <c r="B472" s="632" t="s">
        <v>507</v>
      </c>
      <c r="C472" s="642"/>
      <c r="D472" s="354"/>
      <c r="E472" s="10"/>
      <c r="F472" s="353"/>
      <c r="G472" s="358">
        <f>SF!I583</f>
        <v>0</v>
      </c>
      <c r="H472" s="354" t="s">
        <v>102</v>
      </c>
      <c r="I472" s="355">
        <f>SF!K583</f>
        <v>1139.42</v>
      </c>
      <c r="J472" s="353">
        <f>ROUND(G472*I472,0)</f>
        <v>0</v>
      </c>
      <c r="K472" s="1681"/>
      <c r="L472" s="1681"/>
      <c r="M472" s="633" t="s">
        <v>2313</v>
      </c>
      <c r="N472" s="223"/>
      <c r="O472" s="631">
        <f t="shared" si="80"/>
        <v>0</v>
      </c>
    </row>
    <row r="473" spans="1:15" s="360" customFormat="1" ht="15" hidden="1">
      <c r="A473" s="356" t="s">
        <v>528</v>
      </c>
      <c r="B473" s="632" t="s">
        <v>509</v>
      </c>
      <c r="C473" s="642"/>
      <c r="D473" s="354"/>
      <c r="E473" s="10"/>
      <c r="F473" s="353"/>
      <c r="G473" s="358">
        <f>SF!I590</f>
        <v>0</v>
      </c>
      <c r="H473" s="354" t="s">
        <v>102</v>
      </c>
      <c r="I473" s="355">
        <f>SF!K590</f>
        <v>1044.9000000000001</v>
      </c>
      <c r="J473" s="353">
        <f t="shared" si="79"/>
        <v>0</v>
      </c>
      <c r="K473" s="1679">
        <f>IF((J473+J474+J475+J476)&gt;(F473+F474+F475+F476),(J473+J474+J475+J476)-(F473+F474+F475+F476),0)</f>
        <v>0</v>
      </c>
      <c r="L473" s="1679">
        <f>IF((J473+J474+J475+J476)&lt;(F473+F474+F475+F476),(F473+F474+F475+F476)-(J473+J474+J475+J476),0)</f>
        <v>0</v>
      </c>
      <c r="M473" s="633" t="s">
        <v>2217</v>
      </c>
      <c r="N473" s="223"/>
      <c r="O473" s="631">
        <f t="shared" si="80"/>
        <v>0</v>
      </c>
    </row>
    <row r="474" spans="1:15" s="360" customFormat="1" ht="15" hidden="1">
      <c r="A474" s="356" t="s">
        <v>528</v>
      </c>
      <c r="B474" s="632" t="s">
        <v>509</v>
      </c>
      <c r="C474" s="642"/>
      <c r="D474" s="354"/>
      <c r="E474" s="10"/>
      <c r="F474" s="353"/>
      <c r="G474" s="358">
        <f>SF!I597</f>
        <v>0</v>
      </c>
      <c r="H474" s="354" t="s">
        <v>102</v>
      </c>
      <c r="I474" s="355">
        <f>SF!K597</f>
        <v>1078.42</v>
      </c>
      <c r="J474" s="353">
        <f>ROUND(G474*I474,0)</f>
        <v>0</v>
      </c>
      <c r="K474" s="1680"/>
      <c r="L474" s="1680"/>
      <c r="M474" s="633" t="s">
        <v>2299</v>
      </c>
      <c r="N474" s="223"/>
      <c r="O474" s="631">
        <f t="shared" si="80"/>
        <v>0</v>
      </c>
    </row>
    <row r="475" spans="1:15" s="360" customFormat="1" ht="15" hidden="1">
      <c r="A475" s="356" t="s">
        <v>528</v>
      </c>
      <c r="B475" s="632" t="s">
        <v>509</v>
      </c>
      <c r="C475" s="642"/>
      <c r="D475" s="354"/>
      <c r="E475" s="10"/>
      <c r="F475" s="353"/>
      <c r="G475" s="358">
        <f>SF!I604</f>
        <v>0</v>
      </c>
      <c r="H475" s="354" t="s">
        <v>102</v>
      </c>
      <c r="I475" s="355">
        <f>SF!K604</f>
        <v>1103.42</v>
      </c>
      <c r="J475" s="353">
        <f>ROUND(G475*I475,0)</f>
        <v>0</v>
      </c>
      <c r="K475" s="1680"/>
      <c r="L475" s="1680"/>
      <c r="M475" s="633" t="s">
        <v>2312</v>
      </c>
      <c r="N475" s="223"/>
      <c r="O475" s="631">
        <f t="shared" si="80"/>
        <v>0</v>
      </c>
    </row>
    <row r="476" spans="1:15" s="360" customFormat="1" ht="15" hidden="1">
      <c r="A476" s="356" t="s">
        <v>528</v>
      </c>
      <c r="B476" s="632" t="s">
        <v>509</v>
      </c>
      <c r="C476" s="642"/>
      <c r="D476" s="354"/>
      <c r="E476" s="10"/>
      <c r="F476" s="353"/>
      <c r="G476" s="358">
        <f>SF!I611</f>
        <v>0</v>
      </c>
      <c r="H476" s="354" t="s">
        <v>102</v>
      </c>
      <c r="I476" s="355">
        <f>SF!K611</f>
        <v>1134.08</v>
      </c>
      <c r="J476" s="353">
        <f>ROUND(G476*I476,0)</f>
        <v>0</v>
      </c>
      <c r="K476" s="1681"/>
      <c r="L476" s="1681"/>
      <c r="M476" s="633" t="s">
        <v>2313</v>
      </c>
      <c r="N476" s="223"/>
      <c r="O476" s="631">
        <f t="shared" si="80"/>
        <v>0</v>
      </c>
    </row>
    <row r="477" spans="1:15" s="360" customFormat="1" ht="15" hidden="1">
      <c r="A477" s="356" t="s">
        <v>508</v>
      </c>
      <c r="B477" s="632" t="s">
        <v>708</v>
      </c>
      <c r="C477" s="635"/>
      <c r="D477" s="354"/>
      <c r="E477" s="362"/>
      <c r="F477" s="353"/>
      <c r="G477" s="358">
        <f>SF!I618</f>
        <v>0</v>
      </c>
      <c r="H477" s="354" t="s">
        <v>77</v>
      </c>
      <c r="I477" s="355">
        <f>SF!K618</f>
        <v>2934.5</v>
      </c>
      <c r="J477" s="353">
        <f t="shared" si="79"/>
        <v>0</v>
      </c>
      <c r="K477" s="1679">
        <f>IF((J477+J478+J479+J480)&gt;(F477+F478+F479+F480),(J477+J478+J479+J480)-(F477+F478+F479+F480),0)</f>
        <v>0</v>
      </c>
      <c r="L477" s="1679">
        <f>IF((J477+J478+J479+J480)&lt;(F477+F478+F479+F480),(F477+F478+F479+F480)-(J477+J478+J479+J480),0)</f>
        <v>0</v>
      </c>
      <c r="M477" s="633" t="s">
        <v>2217</v>
      </c>
      <c r="N477" s="223"/>
      <c r="O477" s="631">
        <f t="shared" si="80"/>
        <v>0</v>
      </c>
    </row>
    <row r="478" spans="1:15" s="360" customFormat="1" ht="15" hidden="1">
      <c r="A478" s="356" t="s">
        <v>508</v>
      </c>
      <c r="B478" s="632" t="s">
        <v>708</v>
      </c>
      <c r="C478" s="635"/>
      <c r="D478" s="354"/>
      <c r="E478" s="362"/>
      <c r="F478" s="353"/>
      <c r="G478" s="358">
        <f>SF!I625</f>
        <v>0</v>
      </c>
      <c r="H478" s="354" t="s">
        <v>77</v>
      </c>
      <c r="I478" s="355">
        <f>SF!K625</f>
        <v>3003.21</v>
      </c>
      <c r="J478" s="353">
        <f>ROUND(G478*I478,0)</f>
        <v>0</v>
      </c>
      <c r="K478" s="1680"/>
      <c r="L478" s="1680"/>
      <c r="M478" s="633" t="s">
        <v>2299</v>
      </c>
      <c r="N478" s="223"/>
      <c r="O478" s="631">
        <f t="shared" si="80"/>
        <v>0</v>
      </c>
    </row>
    <row r="479" spans="1:15" s="360" customFormat="1" ht="15" hidden="1">
      <c r="A479" s="356" t="s">
        <v>508</v>
      </c>
      <c r="B479" s="632" t="s">
        <v>708</v>
      </c>
      <c r="C479" s="635"/>
      <c r="D479" s="354"/>
      <c r="E479" s="362"/>
      <c r="F479" s="353"/>
      <c r="G479" s="358">
        <f>SF!I632</f>
        <v>0</v>
      </c>
      <c r="H479" s="354" t="s">
        <v>77</v>
      </c>
      <c r="I479" s="355">
        <f>SF!K632</f>
        <v>3066.62</v>
      </c>
      <c r="J479" s="353">
        <f>ROUND(G479*I479,0)</f>
        <v>0</v>
      </c>
      <c r="K479" s="1680"/>
      <c r="L479" s="1680"/>
      <c r="M479" s="633" t="s">
        <v>2312</v>
      </c>
      <c r="N479" s="223"/>
      <c r="O479" s="631">
        <f t="shared" si="80"/>
        <v>0</v>
      </c>
    </row>
    <row r="480" spans="1:15" s="360" customFormat="1" ht="15" hidden="1">
      <c r="A480" s="356" t="s">
        <v>508</v>
      </c>
      <c r="B480" s="632" t="s">
        <v>708</v>
      </c>
      <c r="C480" s="635"/>
      <c r="D480" s="354"/>
      <c r="E480" s="362"/>
      <c r="F480" s="353"/>
      <c r="G480" s="358">
        <f>SF!I639</f>
        <v>0</v>
      </c>
      <c r="H480" s="354" t="s">
        <v>77</v>
      </c>
      <c r="I480" s="355">
        <f>SF!K639</f>
        <v>3248.17</v>
      </c>
      <c r="J480" s="353">
        <f>ROUND(G480*I480,0)</f>
        <v>0</v>
      </c>
      <c r="K480" s="1681"/>
      <c r="L480" s="1681"/>
      <c r="M480" s="633" t="s">
        <v>2313</v>
      </c>
      <c r="N480" s="223"/>
      <c r="O480" s="631">
        <f t="shared" si="80"/>
        <v>0</v>
      </c>
    </row>
    <row r="481" spans="1:15" s="360" customFormat="1" ht="15" hidden="1">
      <c r="A481" s="356" t="s">
        <v>510</v>
      </c>
      <c r="B481" s="632" t="s">
        <v>877</v>
      </c>
      <c r="C481" s="635"/>
      <c r="D481" s="354"/>
      <c r="E481" s="362"/>
      <c r="F481" s="353"/>
      <c r="G481" s="358">
        <f>SF!I646</f>
        <v>0</v>
      </c>
      <c r="H481" s="354" t="s">
        <v>102</v>
      </c>
      <c r="I481" s="355">
        <f>SF!K646</f>
        <v>2740.43</v>
      </c>
      <c r="J481" s="353">
        <f t="shared" si="79"/>
        <v>0</v>
      </c>
      <c r="K481" s="1679">
        <f>IF((J481+J482+J483+J484)&gt;(F481+F482+F483+F484),(J481+J482+J483+J484)-(F481+F482+F483+F484),0)</f>
        <v>0</v>
      </c>
      <c r="L481" s="1679">
        <f>IF((J481+J482+J483+J484)&lt;(F481+F482+F483+F484),(F481+F482+F483+F484)-(J481+J482+J483+J484),0)</f>
        <v>0</v>
      </c>
      <c r="M481" s="633" t="s">
        <v>2217</v>
      </c>
      <c r="N481" s="223"/>
      <c r="O481" s="631">
        <f t="shared" si="80"/>
        <v>0</v>
      </c>
    </row>
    <row r="482" spans="1:15" s="360" customFormat="1" ht="15" hidden="1">
      <c r="A482" s="356" t="s">
        <v>510</v>
      </c>
      <c r="B482" s="632" t="s">
        <v>877</v>
      </c>
      <c r="C482" s="635"/>
      <c r="D482" s="354"/>
      <c r="E482" s="362"/>
      <c r="F482" s="353"/>
      <c r="G482" s="358">
        <f>SF!I653</f>
        <v>0</v>
      </c>
      <c r="H482" s="354" t="s">
        <v>102</v>
      </c>
      <c r="I482" s="355">
        <f>SF!K653</f>
        <v>2787.53</v>
      </c>
      <c r="J482" s="353">
        <f>ROUND(G482*I482,0)</f>
        <v>0</v>
      </c>
      <c r="K482" s="1680"/>
      <c r="L482" s="1680"/>
      <c r="M482" s="633" t="s">
        <v>2299</v>
      </c>
      <c r="N482" s="223"/>
      <c r="O482" s="631">
        <f t="shared" si="80"/>
        <v>0</v>
      </c>
    </row>
    <row r="483" spans="1:15" s="360" customFormat="1" ht="15" hidden="1">
      <c r="A483" s="356" t="s">
        <v>510</v>
      </c>
      <c r="B483" s="632" t="s">
        <v>877</v>
      </c>
      <c r="C483" s="635"/>
      <c r="D483" s="354"/>
      <c r="E483" s="362"/>
      <c r="F483" s="353"/>
      <c r="G483" s="358">
        <f>SF!I660</f>
        <v>0</v>
      </c>
      <c r="H483" s="354" t="s">
        <v>102</v>
      </c>
      <c r="I483" s="355">
        <f>SF!K660</f>
        <v>2831.2</v>
      </c>
      <c r="J483" s="353">
        <f>ROUND(G483*I483,0)</f>
        <v>0</v>
      </c>
      <c r="K483" s="1680"/>
      <c r="L483" s="1680"/>
      <c r="M483" s="633" t="s">
        <v>2312</v>
      </c>
      <c r="N483" s="223"/>
      <c r="O483" s="631">
        <f t="shared" si="80"/>
        <v>0</v>
      </c>
    </row>
    <row r="484" spans="1:15" s="360" customFormat="1" ht="15" hidden="1">
      <c r="A484" s="356" t="s">
        <v>510</v>
      </c>
      <c r="B484" s="632" t="s">
        <v>877</v>
      </c>
      <c r="C484" s="635"/>
      <c r="D484" s="354"/>
      <c r="E484" s="362"/>
      <c r="F484" s="353"/>
      <c r="G484" s="358">
        <f>SF!I667</f>
        <v>0</v>
      </c>
      <c r="H484" s="354" t="s">
        <v>102</v>
      </c>
      <c r="I484" s="355">
        <f>SF!K667</f>
        <v>2995.66</v>
      </c>
      <c r="J484" s="353">
        <f>ROUND(G484*I484,0)</f>
        <v>0</v>
      </c>
      <c r="K484" s="1681"/>
      <c r="L484" s="1681"/>
      <c r="M484" s="633" t="s">
        <v>2313</v>
      </c>
      <c r="N484" s="223"/>
      <c r="O484" s="631">
        <f t="shared" si="80"/>
        <v>0</v>
      </c>
    </row>
    <row r="485" spans="1:15" s="360" customFormat="1" ht="15" hidden="1">
      <c r="A485" s="356" t="s">
        <v>529</v>
      </c>
      <c r="B485" s="632" t="s">
        <v>710</v>
      </c>
      <c r="C485" s="635"/>
      <c r="D485" s="354"/>
      <c r="E485" s="362"/>
      <c r="F485" s="353"/>
      <c r="G485" s="358">
        <f>SF!I674</f>
        <v>0</v>
      </c>
      <c r="H485" s="354" t="s">
        <v>102</v>
      </c>
      <c r="I485" s="355">
        <f>SF!K674</f>
        <v>660.95</v>
      </c>
      <c r="J485" s="353">
        <f t="shared" si="79"/>
        <v>0</v>
      </c>
      <c r="K485" s="1679">
        <f>IF((J485+J486+J487+J488)&gt;(F485+F486+F487+F488),(J485+J486+J487+J488)-(F485+F486+F487+F488),0)</f>
        <v>0</v>
      </c>
      <c r="L485" s="1679">
        <f>IF((J485+J486+J487+J488)&lt;(F485+F486+F487+F488),(F485+F486+F487+F488)-(J485+J486+J487+J488),0)</f>
        <v>0</v>
      </c>
      <c r="M485" s="633" t="s">
        <v>2217</v>
      </c>
      <c r="N485" s="223"/>
      <c r="O485" s="631">
        <f t="shared" si="80"/>
        <v>0</v>
      </c>
    </row>
    <row r="486" spans="1:15" s="360" customFormat="1" ht="15" hidden="1">
      <c r="A486" s="356" t="s">
        <v>529</v>
      </c>
      <c r="B486" s="632" t="s">
        <v>710</v>
      </c>
      <c r="C486" s="635"/>
      <c r="D486" s="354"/>
      <c r="E486" s="362"/>
      <c r="F486" s="353"/>
      <c r="G486" s="358">
        <f>SF!I681</f>
        <v>0</v>
      </c>
      <c r="H486" s="354" t="s">
        <v>102</v>
      </c>
      <c r="I486" s="355">
        <f>SF!K681</f>
        <v>709.65</v>
      </c>
      <c r="J486" s="353">
        <f>ROUND(G486*I486,0)</f>
        <v>0</v>
      </c>
      <c r="K486" s="1680"/>
      <c r="L486" s="1680"/>
      <c r="M486" s="633" t="s">
        <v>2299</v>
      </c>
      <c r="N486" s="223"/>
      <c r="O486" s="631">
        <f t="shared" si="80"/>
        <v>0</v>
      </c>
    </row>
    <row r="487" spans="1:15" s="360" customFormat="1" ht="15" hidden="1">
      <c r="A487" s="356" t="s">
        <v>529</v>
      </c>
      <c r="B487" s="632" t="s">
        <v>710</v>
      </c>
      <c r="C487" s="635"/>
      <c r="D487" s="354"/>
      <c r="E487" s="362"/>
      <c r="F487" s="353"/>
      <c r="G487" s="358">
        <f>SF!I688</f>
        <v>0</v>
      </c>
      <c r="H487" s="354" t="s">
        <v>102</v>
      </c>
      <c r="I487" s="355">
        <f>SF!K688</f>
        <v>718.32</v>
      </c>
      <c r="J487" s="353">
        <f>ROUND(G487*I487,0)</f>
        <v>0</v>
      </c>
      <c r="K487" s="1680"/>
      <c r="L487" s="1680"/>
      <c r="M487" s="633" t="s">
        <v>2312</v>
      </c>
      <c r="N487" s="223"/>
      <c r="O487" s="631">
        <f t="shared" si="80"/>
        <v>0</v>
      </c>
    </row>
    <row r="488" spans="1:15" s="360" customFormat="1" ht="15" hidden="1">
      <c r="A488" s="356" t="s">
        <v>529</v>
      </c>
      <c r="B488" s="632" t="s">
        <v>710</v>
      </c>
      <c r="C488" s="635"/>
      <c r="D488" s="354"/>
      <c r="E488" s="362"/>
      <c r="F488" s="353"/>
      <c r="G488" s="358">
        <f>SF!I695</f>
        <v>0</v>
      </c>
      <c r="H488" s="354" t="s">
        <v>102</v>
      </c>
      <c r="I488" s="355">
        <f>SF!K695</f>
        <v>816.76</v>
      </c>
      <c r="J488" s="353">
        <f>ROUND(G488*I488,0)</f>
        <v>0</v>
      </c>
      <c r="K488" s="1681"/>
      <c r="L488" s="1681"/>
      <c r="M488" s="633" t="s">
        <v>2313</v>
      </c>
      <c r="N488" s="223"/>
      <c r="O488" s="631">
        <f t="shared" si="80"/>
        <v>0</v>
      </c>
    </row>
    <row r="489" spans="1:15" s="360" customFormat="1" ht="15" hidden="1">
      <c r="A489" s="356" t="s">
        <v>530</v>
      </c>
      <c r="B489" s="632" t="s">
        <v>711</v>
      </c>
      <c r="C489" s="635"/>
      <c r="D489" s="354"/>
      <c r="E489" s="362"/>
      <c r="F489" s="353"/>
      <c r="G489" s="358">
        <f>SF!I702</f>
        <v>0</v>
      </c>
      <c r="H489" s="354" t="s">
        <v>102</v>
      </c>
      <c r="I489" s="355">
        <f>SF!K702</f>
        <v>681.6</v>
      </c>
      <c r="J489" s="353">
        <f t="shared" si="79"/>
        <v>0</v>
      </c>
      <c r="K489" s="1679">
        <f>IF((J489+J490+J491+J492)&gt;(F489+F490+F491+F492),(J489+J490+J491+J492)-(F489+F490+F491+F492),0)</f>
        <v>0</v>
      </c>
      <c r="L489" s="1679">
        <f>IF((J489+J490+J491+J492)&lt;(F489+F490+F491+F492),(F489+F490+F491+F492)-(J489+J490+J491+J492),0)</f>
        <v>0</v>
      </c>
      <c r="M489" s="633" t="s">
        <v>2217</v>
      </c>
      <c r="N489" s="223"/>
      <c r="O489" s="631">
        <f t="shared" si="80"/>
        <v>0</v>
      </c>
    </row>
    <row r="490" spans="1:15" s="360" customFormat="1" ht="15" hidden="1">
      <c r="A490" s="356" t="s">
        <v>530</v>
      </c>
      <c r="B490" s="632" t="s">
        <v>711</v>
      </c>
      <c r="C490" s="635"/>
      <c r="D490" s="354"/>
      <c r="E490" s="362"/>
      <c r="F490" s="353"/>
      <c r="G490" s="358">
        <f>SF!I709</f>
        <v>0</v>
      </c>
      <c r="H490" s="354" t="s">
        <v>102</v>
      </c>
      <c r="I490" s="355">
        <f>SF!K709</f>
        <v>715.12</v>
      </c>
      <c r="J490" s="353">
        <f>ROUND(G490*I490,0)</f>
        <v>0</v>
      </c>
      <c r="K490" s="1680"/>
      <c r="L490" s="1680"/>
      <c r="M490" s="633" t="s">
        <v>2299</v>
      </c>
      <c r="N490" s="223"/>
      <c r="O490" s="631">
        <f t="shared" si="80"/>
        <v>0</v>
      </c>
    </row>
    <row r="491" spans="1:15" s="360" customFormat="1" ht="15" hidden="1">
      <c r="A491" s="356" t="s">
        <v>530</v>
      </c>
      <c r="B491" s="632" t="s">
        <v>711</v>
      </c>
      <c r="C491" s="635"/>
      <c r="D491" s="354"/>
      <c r="E491" s="362"/>
      <c r="F491" s="353"/>
      <c r="G491" s="358">
        <f>SF!I716</f>
        <v>0</v>
      </c>
      <c r="H491" s="354" t="s">
        <v>102</v>
      </c>
      <c r="I491" s="355">
        <f>SF!K716</f>
        <v>740.12</v>
      </c>
      <c r="J491" s="353">
        <f>ROUND(G491*I491,0)</f>
        <v>0</v>
      </c>
      <c r="K491" s="1680"/>
      <c r="L491" s="1680"/>
      <c r="M491" s="633" t="s">
        <v>2312</v>
      </c>
      <c r="N491" s="223"/>
      <c r="O491" s="631">
        <f t="shared" si="80"/>
        <v>0</v>
      </c>
    </row>
    <row r="492" spans="1:15" s="360" customFormat="1" ht="15" hidden="1">
      <c r="A492" s="356" t="s">
        <v>530</v>
      </c>
      <c r="B492" s="632" t="s">
        <v>711</v>
      </c>
      <c r="C492" s="635"/>
      <c r="D492" s="354"/>
      <c r="E492" s="362"/>
      <c r="F492" s="353"/>
      <c r="G492" s="358">
        <f>SF!I723</f>
        <v>0</v>
      </c>
      <c r="H492" s="354" t="s">
        <v>102</v>
      </c>
      <c r="I492" s="355">
        <f>SF!K723</f>
        <v>822.23</v>
      </c>
      <c r="J492" s="353">
        <f>ROUND(G492*I492,0)</f>
        <v>0</v>
      </c>
      <c r="K492" s="1681"/>
      <c r="L492" s="1681"/>
      <c r="M492" s="633" t="s">
        <v>2313</v>
      </c>
      <c r="N492" s="223"/>
      <c r="O492" s="631">
        <f t="shared" si="80"/>
        <v>0</v>
      </c>
    </row>
    <row r="493" spans="1:15" s="360" customFormat="1" ht="15" hidden="1">
      <c r="A493" s="356" t="s">
        <v>531</v>
      </c>
      <c r="B493" s="632" t="s">
        <v>511</v>
      </c>
      <c r="C493" s="636"/>
      <c r="D493" s="354"/>
      <c r="E493" s="643"/>
      <c r="F493" s="353"/>
      <c r="G493" s="358">
        <f>SF!I730</f>
        <v>0</v>
      </c>
      <c r="H493" s="354" t="s">
        <v>102</v>
      </c>
      <c r="I493" s="355">
        <f>SF!K730</f>
        <v>784.71</v>
      </c>
      <c r="J493" s="353">
        <f t="shared" si="79"/>
        <v>0</v>
      </c>
      <c r="K493" s="1679">
        <f>IF((J493+J494+J495+J496)&gt;(F493+F494+F495+F496),(J493+J494+J495+J496)-(F493+F494+F495+F496),0)</f>
        <v>0</v>
      </c>
      <c r="L493" s="1679">
        <f>IF((J493+J494+J495+J496)&lt;(F493+F494+F495+F496),(F493+F494+F495+F496)-(J493+J494+J495+J496),0)</f>
        <v>0</v>
      </c>
      <c r="M493" s="633" t="s">
        <v>2217</v>
      </c>
      <c r="N493" s="223"/>
      <c r="O493" s="631">
        <f t="shared" si="80"/>
        <v>0</v>
      </c>
    </row>
    <row r="494" spans="1:15" s="360" customFormat="1" ht="15" hidden="1">
      <c r="A494" s="356" t="s">
        <v>531</v>
      </c>
      <c r="B494" s="632" t="s">
        <v>511</v>
      </c>
      <c r="C494" s="636"/>
      <c r="D494" s="354"/>
      <c r="E494" s="643"/>
      <c r="F494" s="353"/>
      <c r="G494" s="358">
        <f>SF!I737</f>
        <v>0</v>
      </c>
      <c r="H494" s="354" t="s">
        <v>102</v>
      </c>
      <c r="I494" s="355">
        <f>SF!K737</f>
        <v>818.23</v>
      </c>
      <c r="J494" s="353">
        <f>ROUND(G494*I494,0)</f>
        <v>0</v>
      </c>
      <c r="K494" s="1680"/>
      <c r="L494" s="1680"/>
      <c r="M494" s="633" t="s">
        <v>2299</v>
      </c>
      <c r="N494" s="223"/>
      <c r="O494" s="631">
        <f t="shared" si="80"/>
        <v>0</v>
      </c>
    </row>
    <row r="495" spans="1:15" s="360" customFormat="1" ht="15" hidden="1">
      <c r="A495" s="356" t="s">
        <v>531</v>
      </c>
      <c r="B495" s="632" t="s">
        <v>511</v>
      </c>
      <c r="C495" s="636"/>
      <c r="D495" s="354"/>
      <c r="E495" s="643"/>
      <c r="F495" s="353"/>
      <c r="G495" s="358">
        <f>SF!I744</f>
        <v>0</v>
      </c>
      <c r="H495" s="354" t="s">
        <v>102</v>
      </c>
      <c r="I495" s="355">
        <f>SF!K744</f>
        <v>843.23</v>
      </c>
      <c r="J495" s="353">
        <f>ROUND(G495*I495,0)</f>
        <v>0</v>
      </c>
      <c r="K495" s="1680"/>
      <c r="L495" s="1680"/>
      <c r="M495" s="633" t="s">
        <v>2312</v>
      </c>
      <c r="N495" s="223"/>
      <c r="O495" s="631">
        <f t="shared" si="80"/>
        <v>0</v>
      </c>
    </row>
    <row r="496" spans="1:15" s="360" customFormat="1" ht="15" hidden="1">
      <c r="A496" s="356" t="s">
        <v>531</v>
      </c>
      <c r="B496" s="632" t="s">
        <v>511</v>
      </c>
      <c r="C496" s="636"/>
      <c r="D496" s="354"/>
      <c r="E496" s="643"/>
      <c r="F496" s="353"/>
      <c r="G496" s="358">
        <f>SF!I751</f>
        <v>0</v>
      </c>
      <c r="H496" s="354" t="s">
        <v>102</v>
      </c>
      <c r="I496" s="355">
        <f>SF!K751</f>
        <v>873.89</v>
      </c>
      <c r="J496" s="353">
        <f>ROUND(G496*I496,0)</f>
        <v>0</v>
      </c>
      <c r="K496" s="1681"/>
      <c r="L496" s="1681"/>
      <c r="M496" s="633" t="s">
        <v>2313</v>
      </c>
      <c r="N496" s="223"/>
      <c r="O496" s="631">
        <f t="shared" si="80"/>
        <v>0</v>
      </c>
    </row>
    <row r="497" spans="1:15" s="360" customFormat="1" ht="15" hidden="1">
      <c r="A497" s="356" t="s">
        <v>532</v>
      </c>
      <c r="B497" s="632" t="s">
        <v>570</v>
      </c>
      <c r="C497" s="636"/>
      <c r="D497" s="354"/>
      <c r="E497" s="614"/>
      <c r="F497" s="353"/>
      <c r="G497" s="358">
        <f>SF!I757</f>
        <v>0</v>
      </c>
      <c r="H497" s="354" t="s">
        <v>102</v>
      </c>
      <c r="I497" s="355">
        <f>SF!K757</f>
        <v>502.03</v>
      </c>
      <c r="J497" s="353">
        <f t="shared" si="79"/>
        <v>0</v>
      </c>
      <c r="K497" s="1679">
        <f>IF((J497+J498+J499+J500)&gt;(F497+F498+F499+F500),(J497+J498+J499+J500)-(F497+F498+F499+F500),0)</f>
        <v>0</v>
      </c>
      <c r="L497" s="1679">
        <f>IF((J497+J498+J499+J500)&lt;(F497+F498+F499+F500),(F497+F498+F499+F500)-(J497+J498+J499+J500),0)</f>
        <v>0</v>
      </c>
      <c r="M497" s="633" t="s">
        <v>2217</v>
      </c>
      <c r="N497" s="223"/>
      <c r="O497" s="631">
        <f t="shared" si="80"/>
        <v>0</v>
      </c>
    </row>
    <row r="498" spans="1:15" s="360" customFormat="1" ht="15" hidden="1">
      <c r="A498" s="356" t="s">
        <v>532</v>
      </c>
      <c r="B498" s="632" t="s">
        <v>570</v>
      </c>
      <c r="C498" s="636"/>
      <c r="D498" s="354"/>
      <c r="E498" s="614"/>
      <c r="F498" s="353"/>
      <c r="G498" s="358">
        <f>SF!I763</f>
        <v>0</v>
      </c>
      <c r="H498" s="354" t="s">
        <v>102</v>
      </c>
      <c r="I498" s="355">
        <f>SF!K763</f>
        <v>512.04</v>
      </c>
      <c r="J498" s="353">
        <f>ROUND(G498*I498,0)</f>
        <v>0</v>
      </c>
      <c r="K498" s="1680"/>
      <c r="L498" s="1680"/>
      <c r="M498" s="633" t="s">
        <v>2299</v>
      </c>
      <c r="N498" s="223"/>
      <c r="O498" s="631">
        <f t="shared" si="80"/>
        <v>0</v>
      </c>
    </row>
    <row r="499" spans="1:15" s="360" customFormat="1" ht="15" hidden="1">
      <c r="A499" s="356" t="s">
        <v>532</v>
      </c>
      <c r="B499" s="632" t="s">
        <v>570</v>
      </c>
      <c r="C499" s="636"/>
      <c r="D499" s="354"/>
      <c r="E499" s="614"/>
      <c r="F499" s="353"/>
      <c r="G499" s="358">
        <f>SF!I769</f>
        <v>0</v>
      </c>
      <c r="H499" s="354" t="s">
        <v>102</v>
      </c>
      <c r="I499" s="355">
        <f>SF!K769</f>
        <v>520.52</v>
      </c>
      <c r="J499" s="353">
        <f>ROUND(G499*I499,0)</f>
        <v>0</v>
      </c>
      <c r="K499" s="1680"/>
      <c r="L499" s="1680"/>
      <c r="M499" s="633" t="s">
        <v>2312</v>
      </c>
      <c r="N499" s="223"/>
      <c r="O499" s="631">
        <f t="shared" si="80"/>
        <v>0</v>
      </c>
    </row>
    <row r="500" spans="1:15" s="360" customFormat="1" ht="15" hidden="1">
      <c r="A500" s="356" t="s">
        <v>532</v>
      </c>
      <c r="B500" s="632" t="s">
        <v>570</v>
      </c>
      <c r="C500" s="636"/>
      <c r="D500" s="354"/>
      <c r="E500" s="614"/>
      <c r="F500" s="353"/>
      <c r="G500" s="358">
        <f>SF!I775</f>
        <v>0</v>
      </c>
      <c r="H500" s="354" t="s">
        <v>102</v>
      </c>
      <c r="I500" s="355">
        <f>SF!K775</f>
        <v>536.26</v>
      </c>
      <c r="J500" s="353">
        <f>ROUND(G500*I500,0)</f>
        <v>0</v>
      </c>
      <c r="K500" s="1681"/>
      <c r="L500" s="1681"/>
      <c r="M500" s="633" t="s">
        <v>2313</v>
      </c>
      <c r="N500" s="223"/>
      <c r="O500" s="631">
        <f t="shared" si="80"/>
        <v>0</v>
      </c>
    </row>
    <row r="501" spans="1:15" s="360" customFormat="1" ht="15" hidden="1">
      <c r="A501" s="356" t="s">
        <v>492</v>
      </c>
      <c r="B501" s="632" t="s">
        <v>1222</v>
      </c>
      <c r="C501" s="635"/>
      <c r="D501" s="354"/>
      <c r="E501" s="362"/>
      <c r="F501" s="353"/>
      <c r="G501" s="358">
        <f>SF!I781</f>
        <v>0</v>
      </c>
      <c r="H501" s="354" t="s">
        <v>102</v>
      </c>
      <c r="I501" s="355">
        <f>SF!K781</f>
        <v>977.96</v>
      </c>
      <c r="J501" s="353">
        <f t="shared" si="79"/>
        <v>0</v>
      </c>
      <c r="K501" s="1679">
        <f>IF((J501+J502+J503+J504)&gt;(F501+F502+F503+F504),(J501+J502+J503+J504)-(F501+F502+F503+F504),0)</f>
        <v>0</v>
      </c>
      <c r="L501" s="1679">
        <f>IF((J501+J502+J503+J504)&lt;(F501+F502+F503+F504),(F501+F502+F503+F504)-(J501+J502+J503+J504),0)</f>
        <v>0</v>
      </c>
      <c r="M501" s="633" t="s">
        <v>2217</v>
      </c>
      <c r="N501" s="223"/>
      <c r="O501" s="631">
        <f t="shared" si="80"/>
        <v>0</v>
      </c>
    </row>
    <row r="502" spans="1:15" s="360" customFormat="1" ht="15" hidden="1">
      <c r="A502" s="356" t="s">
        <v>492</v>
      </c>
      <c r="B502" s="632" t="s">
        <v>1222</v>
      </c>
      <c r="C502" s="635"/>
      <c r="D502" s="354"/>
      <c r="E502" s="362"/>
      <c r="F502" s="353"/>
      <c r="G502" s="358">
        <f>SF!I787</f>
        <v>0</v>
      </c>
      <c r="H502" s="354" t="s">
        <v>102</v>
      </c>
      <c r="I502" s="355">
        <f>SF!K787</f>
        <v>1023.19</v>
      </c>
      <c r="J502" s="353">
        <f>ROUND(G502*I502,0)</f>
        <v>0</v>
      </c>
      <c r="K502" s="1680"/>
      <c r="L502" s="1680"/>
      <c r="M502" s="633" t="s">
        <v>2299</v>
      </c>
      <c r="N502" s="223"/>
      <c r="O502" s="631">
        <f t="shared" si="80"/>
        <v>0</v>
      </c>
    </row>
    <row r="503" spans="1:15" s="360" customFormat="1" ht="15" hidden="1">
      <c r="A503" s="356" t="s">
        <v>492</v>
      </c>
      <c r="B503" s="632" t="s">
        <v>1222</v>
      </c>
      <c r="C503" s="635"/>
      <c r="D503" s="354"/>
      <c r="E503" s="362"/>
      <c r="F503" s="353"/>
      <c r="G503" s="358">
        <f>SF!I793</f>
        <v>0</v>
      </c>
      <c r="H503" s="354" t="s">
        <v>102</v>
      </c>
      <c r="I503" s="355">
        <f>SF!K793</f>
        <v>1058.68</v>
      </c>
      <c r="J503" s="353">
        <f>ROUND(G503*I503,0)</f>
        <v>0</v>
      </c>
      <c r="K503" s="1680"/>
      <c r="L503" s="1680"/>
      <c r="M503" s="633" t="s">
        <v>2312</v>
      </c>
      <c r="N503" s="223"/>
      <c r="O503" s="631">
        <f t="shared" si="80"/>
        <v>0</v>
      </c>
    </row>
    <row r="504" spans="1:15" s="360" customFormat="1" ht="15" hidden="1">
      <c r="A504" s="356" t="s">
        <v>492</v>
      </c>
      <c r="B504" s="632" t="s">
        <v>1222</v>
      </c>
      <c r="C504" s="635"/>
      <c r="D504" s="354"/>
      <c r="E504" s="362"/>
      <c r="F504" s="353"/>
      <c r="G504" s="358">
        <f>SF!I799</f>
        <v>0</v>
      </c>
      <c r="H504" s="354" t="s">
        <v>102</v>
      </c>
      <c r="I504" s="355">
        <f>SF!K799</f>
        <v>1100.49</v>
      </c>
      <c r="J504" s="353">
        <f>ROUND(G504*I504,0)</f>
        <v>0</v>
      </c>
      <c r="K504" s="1681"/>
      <c r="L504" s="1681"/>
      <c r="M504" s="633" t="s">
        <v>2313</v>
      </c>
      <c r="N504" s="223"/>
      <c r="O504" s="631">
        <f t="shared" si="80"/>
        <v>0</v>
      </c>
    </row>
    <row r="505" spans="1:15" s="360" customFormat="1" ht="15" hidden="1">
      <c r="A505" s="356" t="s">
        <v>533</v>
      </c>
      <c r="B505" s="632" t="s">
        <v>707</v>
      </c>
      <c r="C505" s="636"/>
      <c r="D505" s="354"/>
      <c r="E505" s="614"/>
      <c r="F505" s="353"/>
      <c r="G505" s="358">
        <f>SF!I807</f>
        <v>0</v>
      </c>
      <c r="H505" s="354" t="s">
        <v>102</v>
      </c>
      <c r="I505" s="355">
        <f>SF!K807</f>
        <v>21.43</v>
      </c>
      <c r="J505" s="353">
        <f t="shared" si="79"/>
        <v>0</v>
      </c>
      <c r="K505" s="1679">
        <f>IF((J505+J506+J507+J508)&gt;(F505+F506+F507+F508),(J505+J506+J507+J508)-(F505+F506+F507+F508),0)</f>
        <v>0</v>
      </c>
      <c r="L505" s="1679">
        <f>IF((J505+J506+J507+J508)&lt;(F505+F506+F507+F508),(F505+F506+F507+F508)-(J505+J506+J507+J508),0)</f>
        <v>0</v>
      </c>
      <c r="M505" s="633" t="s">
        <v>2217</v>
      </c>
      <c r="N505" s="223"/>
      <c r="O505" s="631">
        <f t="shared" si="80"/>
        <v>0</v>
      </c>
    </row>
    <row r="506" spans="1:15" s="360" customFormat="1" ht="15" hidden="1">
      <c r="A506" s="356" t="s">
        <v>533</v>
      </c>
      <c r="B506" s="632" t="s">
        <v>707</v>
      </c>
      <c r="C506" s="636"/>
      <c r="D506" s="354"/>
      <c r="E506" s="614"/>
      <c r="F506" s="353"/>
      <c r="G506" s="358">
        <f>SF!I815</f>
        <v>0</v>
      </c>
      <c r="H506" s="354" t="s">
        <v>102</v>
      </c>
      <c r="I506" s="355">
        <f>SF!K815</f>
        <v>22.88</v>
      </c>
      <c r="J506" s="353">
        <f t="shared" ref="J506" si="81">ROUND(G506*I506,0)</f>
        <v>0</v>
      </c>
      <c r="K506" s="1680"/>
      <c r="L506" s="1680"/>
      <c r="M506" s="633" t="s">
        <v>2299</v>
      </c>
      <c r="N506" s="223"/>
      <c r="O506" s="631">
        <f t="shared" si="80"/>
        <v>0</v>
      </c>
    </row>
    <row r="507" spans="1:15" s="360" customFormat="1" ht="15" hidden="1">
      <c r="A507" s="356" t="s">
        <v>533</v>
      </c>
      <c r="B507" s="632" t="s">
        <v>707</v>
      </c>
      <c r="C507" s="636"/>
      <c r="D507" s="354"/>
      <c r="E507" s="614"/>
      <c r="F507" s="353"/>
      <c r="G507" s="358">
        <f>SF!I823</f>
        <v>0</v>
      </c>
      <c r="H507" s="354" t="s">
        <v>102</v>
      </c>
      <c r="I507" s="355">
        <f>SF!K823</f>
        <v>25.95</v>
      </c>
      <c r="J507" s="353">
        <f>ROUND(G507*I507,0)</f>
        <v>0</v>
      </c>
      <c r="K507" s="1680"/>
      <c r="L507" s="1680"/>
      <c r="M507" s="633" t="s">
        <v>2312</v>
      </c>
      <c r="N507" s="223"/>
      <c r="O507" s="631">
        <f t="shared" si="80"/>
        <v>0</v>
      </c>
    </row>
    <row r="508" spans="1:15" s="360" customFormat="1" ht="15" hidden="1">
      <c r="A508" s="356" t="s">
        <v>533</v>
      </c>
      <c r="B508" s="632" t="s">
        <v>707</v>
      </c>
      <c r="C508" s="636"/>
      <c r="D508" s="354"/>
      <c r="E508" s="614"/>
      <c r="F508" s="353"/>
      <c r="G508" s="358">
        <f>SF!I831</f>
        <v>0</v>
      </c>
      <c r="H508" s="354" t="s">
        <v>102</v>
      </c>
      <c r="I508" s="355">
        <f>SF!K831</f>
        <v>27.91</v>
      </c>
      <c r="J508" s="353">
        <f>ROUND(G508*I508,0)</f>
        <v>0</v>
      </c>
      <c r="K508" s="1681"/>
      <c r="L508" s="1681"/>
      <c r="M508" s="633" t="s">
        <v>2313</v>
      </c>
      <c r="N508" s="223"/>
      <c r="O508" s="631">
        <f t="shared" si="80"/>
        <v>0</v>
      </c>
    </row>
    <row r="509" spans="1:15" s="360" customFormat="1" ht="15" hidden="1">
      <c r="A509" s="356" t="s">
        <v>529</v>
      </c>
      <c r="B509" s="632" t="s">
        <v>888</v>
      </c>
      <c r="C509" s="635"/>
      <c r="D509" s="354"/>
      <c r="E509" s="362"/>
      <c r="F509" s="353"/>
      <c r="G509" s="358">
        <f>SF!I839</f>
        <v>0</v>
      </c>
      <c r="H509" s="354" t="s">
        <v>102</v>
      </c>
      <c r="I509" s="355">
        <f>SF!K839</f>
        <v>164.74</v>
      </c>
      <c r="J509" s="353">
        <f t="shared" si="79"/>
        <v>0</v>
      </c>
      <c r="K509" s="1679">
        <f>IF((J509+J510+J511+J512)&gt;(F509+F510+F511+F512),(J509+J510+J511+J512)-(F509+F510+F511+F512),0)</f>
        <v>0</v>
      </c>
      <c r="L509" s="1679">
        <f>IF((J509+J510+J511+J512)&lt;(F509+F510+F511+F512),(F509+F510+F511+F512)-(J509+J510+J511+J512),0)</f>
        <v>0</v>
      </c>
      <c r="M509" s="633" t="s">
        <v>2217</v>
      </c>
      <c r="N509" s="223"/>
      <c r="O509" s="631">
        <f t="shared" si="80"/>
        <v>0</v>
      </c>
    </row>
    <row r="510" spans="1:15" s="360" customFormat="1" ht="15" hidden="1">
      <c r="A510" s="356" t="s">
        <v>1143</v>
      </c>
      <c r="B510" s="632" t="s">
        <v>888</v>
      </c>
      <c r="C510" s="635"/>
      <c r="D510" s="354"/>
      <c r="E510" s="362"/>
      <c r="F510" s="353"/>
      <c r="G510" s="358">
        <f>SF!I847</f>
        <v>0</v>
      </c>
      <c r="H510" s="354" t="s">
        <v>102</v>
      </c>
      <c r="I510" s="355">
        <f>SF!K847</f>
        <v>173.39</v>
      </c>
      <c r="J510" s="353">
        <f>ROUND(G510*I510,0)</f>
        <v>0</v>
      </c>
      <c r="K510" s="1680"/>
      <c r="L510" s="1680"/>
      <c r="M510" s="633" t="s">
        <v>2299</v>
      </c>
      <c r="N510" s="223"/>
      <c r="O510" s="631">
        <f t="shared" si="80"/>
        <v>0</v>
      </c>
    </row>
    <row r="511" spans="1:15" s="360" customFormat="1" ht="15" hidden="1">
      <c r="A511" s="356" t="s">
        <v>1143</v>
      </c>
      <c r="B511" s="632" t="s">
        <v>888</v>
      </c>
      <c r="C511" s="635"/>
      <c r="D511" s="354"/>
      <c r="E511" s="362"/>
      <c r="F511" s="353"/>
      <c r="G511" s="358">
        <f>SF!I855</f>
        <v>0</v>
      </c>
      <c r="H511" s="354" t="s">
        <v>102</v>
      </c>
      <c r="I511" s="355">
        <f>SF!K855</f>
        <v>179.94</v>
      </c>
      <c r="J511" s="353">
        <f>ROUND(G511*I511,0)</f>
        <v>0</v>
      </c>
      <c r="K511" s="1680"/>
      <c r="L511" s="1680"/>
      <c r="M511" s="633" t="s">
        <v>2312</v>
      </c>
      <c r="N511" s="223"/>
      <c r="O511" s="631">
        <f t="shared" si="80"/>
        <v>0</v>
      </c>
    </row>
    <row r="512" spans="1:15" s="360" customFormat="1" ht="51" hidden="1">
      <c r="A512" s="356" t="s">
        <v>532</v>
      </c>
      <c r="B512" s="632" t="s">
        <v>3203</v>
      </c>
      <c r="C512" s="635"/>
      <c r="D512" s="354"/>
      <c r="E512" s="362"/>
      <c r="F512" s="353"/>
      <c r="G512" s="358">
        <f>SF!I863</f>
        <v>0</v>
      </c>
      <c r="H512" s="354" t="s">
        <v>102</v>
      </c>
      <c r="I512" s="355">
        <f>SF!K863</f>
        <v>194.34</v>
      </c>
      <c r="J512" s="353">
        <f>ROUND(G512*I512,0)</f>
        <v>0</v>
      </c>
      <c r="K512" s="1681"/>
      <c r="L512" s="1681"/>
      <c r="M512" s="851" t="s">
        <v>2313</v>
      </c>
      <c r="N512" s="223"/>
      <c r="O512" s="850">
        <f t="shared" si="80"/>
        <v>0</v>
      </c>
    </row>
    <row r="513" spans="1:15" s="360" customFormat="1" ht="15" hidden="1">
      <c r="A513" s="356" t="s">
        <v>645</v>
      </c>
      <c r="B513" s="632" t="s">
        <v>571</v>
      </c>
      <c r="C513" s="635"/>
      <c r="D513" s="354"/>
      <c r="E513" s="362"/>
      <c r="F513" s="353"/>
      <c r="G513" s="358">
        <f>SF!I871</f>
        <v>0</v>
      </c>
      <c r="H513" s="354" t="s">
        <v>102</v>
      </c>
      <c r="I513" s="355">
        <f>SF!K871</f>
        <v>140.87</v>
      </c>
      <c r="J513" s="353">
        <f t="shared" si="79"/>
        <v>0</v>
      </c>
      <c r="K513" s="1679">
        <f>IF((J513+J514+J515+J516)&gt;(F513+F514+F515+F516),(J513+J514+J515+J516)-(F513+F514+F515+F516),0)</f>
        <v>0</v>
      </c>
      <c r="L513" s="1679">
        <f>IF((J513+J514+J515+J516)&lt;(F513+F514+F515+F516),(F513+F514+F515+F516)-(J513+J514+J515+J516),0)</f>
        <v>0</v>
      </c>
      <c r="M513" s="633" t="s">
        <v>2217</v>
      </c>
      <c r="N513" s="223"/>
      <c r="O513" s="631">
        <f t="shared" si="80"/>
        <v>0</v>
      </c>
    </row>
    <row r="514" spans="1:15" s="360" customFormat="1" ht="15" hidden="1">
      <c r="A514" s="356" t="s">
        <v>1577</v>
      </c>
      <c r="B514" s="632" t="s">
        <v>571</v>
      </c>
      <c r="C514" s="635"/>
      <c r="D514" s="354"/>
      <c r="E514" s="362"/>
      <c r="F514" s="353"/>
      <c r="G514" s="358">
        <f>SF!I883</f>
        <v>0</v>
      </c>
      <c r="H514" s="354" t="s">
        <v>102</v>
      </c>
      <c r="I514" s="355">
        <f>SF!K883</f>
        <v>149.66</v>
      </c>
      <c r="J514" s="353">
        <f>ROUND(G514*I514,0)</f>
        <v>0</v>
      </c>
      <c r="K514" s="1680"/>
      <c r="L514" s="1680"/>
      <c r="M514" s="633" t="s">
        <v>2299</v>
      </c>
      <c r="N514" s="223"/>
      <c r="O514" s="631">
        <f t="shared" si="80"/>
        <v>0</v>
      </c>
    </row>
    <row r="515" spans="1:15" s="360" customFormat="1" ht="15" hidden="1">
      <c r="A515" s="356" t="s">
        <v>645</v>
      </c>
      <c r="B515" s="632" t="s">
        <v>571</v>
      </c>
      <c r="C515" s="635"/>
      <c r="D515" s="354"/>
      <c r="E515" s="362"/>
      <c r="F515" s="353"/>
      <c r="G515" s="358">
        <f>SF!I891</f>
        <v>0</v>
      </c>
      <c r="H515" s="354" t="s">
        <v>102</v>
      </c>
      <c r="I515" s="355">
        <f>SF!K891</f>
        <v>156.4</v>
      </c>
      <c r="J515" s="353">
        <f>ROUND(G515*I515,0)</f>
        <v>0</v>
      </c>
      <c r="K515" s="1680"/>
      <c r="L515" s="1680"/>
      <c r="M515" s="633" t="s">
        <v>2312</v>
      </c>
      <c r="N515" s="223"/>
      <c r="O515" s="631">
        <f t="shared" si="80"/>
        <v>0</v>
      </c>
    </row>
    <row r="516" spans="1:15" s="360" customFormat="1" ht="51" hidden="1">
      <c r="A516" s="356" t="s">
        <v>1580</v>
      </c>
      <c r="B516" s="632" t="s">
        <v>3204</v>
      </c>
      <c r="C516" s="635"/>
      <c r="D516" s="354"/>
      <c r="E516" s="362"/>
      <c r="F516" s="353"/>
      <c r="G516" s="358">
        <f>SF!I899</f>
        <v>0</v>
      </c>
      <c r="H516" s="354" t="s">
        <v>102</v>
      </c>
      <c r="I516" s="355">
        <f>SF!K899</f>
        <v>169.89</v>
      </c>
      <c r="J516" s="353">
        <f>ROUND(G516*I516,0)</f>
        <v>0</v>
      </c>
      <c r="K516" s="1681"/>
      <c r="L516" s="1681"/>
      <c r="M516" s="851" t="s">
        <v>2313</v>
      </c>
      <c r="N516" s="223"/>
      <c r="O516" s="850">
        <f t="shared" si="80"/>
        <v>0</v>
      </c>
    </row>
    <row r="517" spans="1:15" s="360" customFormat="1" ht="15" hidden="1">
      <c r="A517" s="356" t="s">
        <v>1584</v>
      </c>
      <c r="B517" s="632" t="s">
        <v>1226</v>
      </c>
      <c r="C517" s="636"/>
      <c r="D517" s="354"/>
      <c r="E517" s="614"/>
      <c r="F517" s="353"/>
      <c r="G517" s="358">
        <f>SF!I906</f>
        <v>0</v>
      </c>
      <c r="H517" s="354" t="s">
        <v>102</v>
      </c>
      <c r="I517" s="355">
        <f>SF!K906</f>
        <v>192.71</v>
      </c>
      <c r="J517" s="353">
        <f t="shared" si="79"/>
        <v>0</v>
      </c>
      <c r="K517" s="1679">
        <f>IF((J517+J518+J519+J520)&gt;(F517+F518+F519+F520),(J517+J518+J519+J520)-(F517+F518+F519+F520),0)</f>
        <v>0</v>
      </c>
      <c r="L517" s="1679">
        <f>IF((J517+J518+J519+J520)&lt;(F517+F518+F519+F520),(F517+F518+F519+F520)-(J517+J518+J519+J520),0)</f>
        <v>0</v>
      </c>
      <c r="M517" s="633" t="s">
        <v>2217</v>
      </c>
      <c r="N517" s="223"/>
      <c r="O517" s="631">
        <f t="shared" si="80"/>
        <v>0</v>
      </c>
    </row>
    <row r="518" spans="1:15" s="360" customFormat="1" ht="15" hidden="1">
      <c r="A518" s="356" t="s">
        <v>1145</v>
      </c>
      <c r="B518" s="632" t="s">
        <v>1226</v>
      </c>
      <c r="C518" s="636"/>
      <c r="D518" s="354"/>
      <c r="E518" s="614"/>
      <c r="F518" s="353"/>
      <c r="G518" s="358">
        <f>SF!I914</f>
        <v>0</v>
      </c>
      <c r="H518" s="354" t="s">
        <v>102</v>
      </c>
      <c r="I518" s="355">
        <f>SF!K914</f>
        <v>206.39</v>
      </c>
      <c r="J518" s="353">
        <f>ROUND(G518*I518,0)</f>
        <v>0</v>
      </c>
      <c r="K518" s="1680"/>
      <c r="L518" s="1680"/>
      <c r="M518" s="633" t="s">
        <v>2299</v>
      </c>
      <c r="N518" s="223"/>
      <c r="O518" s="631">
        <f t="shared" si="80"/>
        <v>0</v>
      </c>
    </row>
    <row r="519" spans="1:15" s="360" customFormat="1" ht="15" hidden="1">
      <c r="A519" s="356" t="s">
        <v>1584</v>
      </c>
      <c r="B519" s="632" t="s">
        <v>1226</v>
      </c>
      <c r="C519" s="636"/>
      <c r="D519" s="354"/>
      <c r="E519" s="614"/>
      <c r="F519" s="353"/>
      <c r="G519" s="358">
        <f>SF!I921</f>
        <v>0</v>
      </c>
      <c r="H519" s="354" t="s">
        <v>102</v>
      </c>
      <c r="I519" s="355">
        <f>SF!K921</f>
        <v>216.76</v>
      </c>
      <c r="J519" s="353">
        <f>ROUND(G519*I519,0)</f>
        <v>0</v>
      </c>
      <c r="K519" s="1680"/>
      <c r="L519" s="1680"/>
      <c r="M519" s="633" t="s">
        <v>2312</v>
      </c>
      <c r="N519" s="223"/>
      <c r="O519" s="631">
        <f t="shared" si="80"/>
        <v>0</v>
      </c>
    </row>
    <row r="520" spans="1:15" s="360" customFormat="1" ht="51" hidden="1">
      <c r="A520" s="356" t="s">
        <v>533</v>
      </c>
      <c r="B520" s="632" t="s">
        <v>3205</v>
      </c>
      <c r="C520" s="636"/>
      <c r="D520" s="354"/>
      <c r="E520" s="614"/>
      <c r="F520" s="353"/>
      <c r="G520" s="358">
        <f>SF!I937</f>
        <v>0</v>
      </c>
      <c r="H520" s="354" t="s">
        <v>102</v>
      </c>
      <c r="I520" s="355">
        <f>SF!K937</f>
        <v>233.59</v>
      </c>
      <c r="J520" s="353">
        <f>ROUND(G520*I520,0)</f>
        <v>0</v>
      </c>
      <c r="K520" s="1681"/>
      <c r="L520" s="1681"/>
      <c r="M520" s="851" t="s">
        <v>2313</v>
      </c>
      <c r="N520" s="223"/>
      <c r="O520" s="850">
        <f t="shared" si="80"/>
        <v>0</v>
      </c>
    </row>
    <row r="521" spans="1:15" s="360" customFormat="1" ht="38.25" hidden="1">
      <c r="A521" s="356" t="s">
        <v>534</v>
      </c>
      <c r="B521" s="632" t="s">
        <v>3208</v>
      </c>
      <c r="C521" s="644"/>
      <c r="D521" s="221"/>
      <c r="E521" s="614"/>
      <c r="F521" s="353"/>
      <c r="G521" s="429">
        <f>SF!I943</f>
        <v>0</v>
      </c>
      <c r="H521" s="221" t="s">
        <v>29</v>
      </c>
      <c r="I521" s="430">
        <f>SF!K943</f>
        <v>64288.5</v>
      </c>
      <c r="J521" s="353">
        <f t="shared" ref="J521" si="82">ROUND(G521*I521,0)</f>
        <v>0</v>
      </c>
      <c r="K521" s="1679">
        <f>IF((J521+J522+J523+J524)&gt;(F521+F522+F523+F524),(J521+J522+J523+J524)-(F521+F522+F523+F524),0)</f>
        <v>0</v>
      </c>
      <c r="L521" s="1679">
        <f>IF((J521+J522+J523+J524)&lt;(F521+F522+F523+F524),(F521+F522+F523+F524)-(J521+J522+J523+J524),0)</f>
        <v>0</v>
      </c>
      <c r="M521" s="851" t="s">
        <v>2217</v>
      </c>
      <c r="N521" s="223"/>
      <c r="O521" s="850">
        <f t="shared" si="80"/>
        <v>0</v>
      </c>
    </row>
    <row r="522" spans="1:15" s="360" customFormat="1" ht="15" hidden="1">
      <c r="A522" s="356" t="s">
        <v>1591</v>
      </c>
      <c r="B522" s="632" t="s">
        <v>477</v>
      </c>
      <c r="C522" s="644"/>
      <c r="D522" s="221"/>
      <c r="E522" s="614"/>
      <c r="F522" s="353"/>
      <c r="G522" s="429">
        <f>SF!I948</f>
        <v>0</v>
      </c>
      <c r="H522" s="221" t="s">
        <v>29</v>
      </c>
      <c r="I522" s="430">
        <f>SF!K948</f>
        <v>64635</v>
      </c>
      <c r="J522" s="353">
        <f>ROUND(G522*I522,0)</f>
        <v>0</v>
      </c>
      <c r="K522" s="1680"/>
      <c r="L522" s="1680"/>
      <c r="M522" s="633" t="s">
        <v>2299</v>
      </c>
      <c r="N522" s="223"/>
      <c r="O522" s="631">
        <f t="shared" si="80"/>
        <v>0</v>
      </c>
    </row>
    <row r="523" spans="1:15" s="360" customFormat="1" ht="15" hidden="1">
      <c r="A523" s="356" t="s">
        <v>1575</v>
      </c>
      <c r="B523" s="632" t="s">
        <v>477</v>
      </c>
      <c r="C523" s="644"/>
      <c r="D523" s="221"/>
      <c r="E523" s="614"/>
      <c r="F523" s="353"/>
      <c r="G523" s="429">
        <f>SF!I954</f>
        <v>0</v>
      </c>
      <c r="H523" s="221" t="s">
        <v>29</v>
      </c>
      <c r="I523" s="430">
        <f>SF!K954</f>
        <v>82189.5</v>
      </c>
      <c r="J523" s="353">
        <f>ROUND(G523*I523,0)</f>
        <v>0</v>
      </c>
      <c r="K523" s="1680"/>
      <c r="L523" s="1680"/>
      <c r="M523" s="633" t="s">
        <v>2312</v>
      </c>
      <c r="N523" s="223"/>
      <c r="O523" s="631">
        <f t="shared" si="80"/>
        <v>0</v>
      </c>
    </row>
    <row r="524" spans="1:15" s="360" customFormat="1" ht="15" hidden="1">
      <c r="A524" s="356" t="s">
        <v>1575</v>
      </c>
      <c r="B524" s="632" t="s">
        <v>477</v>
      </c>
      <c r="C524" s="644"/>
      <c r="D524" s="221"/>
      <c r="E524" s="614"/>
      <c r="F524" s="353"/>
      <c r="G524" s="429">
        <f>SF!I960</f>
        <v>0</v>
      </c>
      <c r="H524" s="221" t="s">
        <v>29</v>
      </c>
      <c r="I524" s="430">
        <f>SF!K960</f>
        <v>95016</v>
      </c>
      <c r="J524" s="353">
        <f>ROUND(G524*I524,0)</f>
        <v>0</v>
      </c>
      <c r="K524" s="1681"/>
      <c r="L524" s="1681"/>
      <c r="M524" s="633" t="s">
        <v>2313</v>
      </c>
      <c r="N524" s="223"/>
      <c r="O524" s="631">
        <f t="shared" ref="O524:O588" si="83">F524-J524</f>
        <v>0</v>
      </c>
    </row>
    <row r="525" spans="1:15" s="26" customFormat="1" ht="15" hidden="1">
      <c r="A525" s="23"/>
      <c r="B525" s="627" t="s">
        <v>890</v>
      </c>
      <c r="C525" s="645"/>
      <c r="D525" s="646"/>
      <c r="E525" s="647"/>
      <c r="F525" s="641"/>
      <c r="G525" s="648"/>
      <c r="H525" s="649"/>
      <c r="I525" s="650"/>
      <c r="J525" s="11"/>
      <c r="K525" s="25"/>
      <c r="L525" s="25"/>
      <c r="M525" s="851" t="s">
        <v>2217</v>
      </c>
      <c r="N525" s="223"/>
      <c r="O525" s="850"/>
    </row>
    <row r="526" spans="1:15" s="1157" customFormat="1" ht="51">
      <c r="A526" s="1146" t="s">
        <v>491</v>
      </c>
      <c r="B526" s="1147" t="s">
        <v>3214</v>
      </c>
      <c r="C526" s="1174">
        <v>1</v>
      </c>
      <c r="D526" s="1166" t="s">
        <v>115</v>
      </c>
      <c r="E526" s="1161">
        <v>9777.36</v>
      </c>
      <c r="F526" s="1150">
        <f t="shared" ref="F526" si="84">ROUND(C526*E526,0)</f>
        <v>9777</v>
      </c>
      <c r="G526" s="1170">
        <f>'PART-A'!I2499</f>
        <v>0</v>
      </c>
      <c r="H526" s="1173" t="s">
        <v>115</v>
      </c>
      <c r="I526" s="1171">
        <f>'PART-A'!K2499</f>
        <v>20396.340000000004</v>
      </c>
      <c r="J526" s="1153">
        <f t="shared" ref="J526:J542" si="85">ROUND(G526*I526,0)</f>
        <v>0</v>
      </c>
      <c r="K526" s="1679">
        <f>IF((J526+J527+J528+J529)&gt;(F526+F527+F528+F529),(J526+J527+J528+J529)-(F526+F527+F528+F529),0)</f>
        <v>0</v>
      </c>
      <c r="L526" s="1679">
        <f>IF((J526+J527+J528+J529)&lt;(F526+F527+F528+F529),(F526+F527+F528+F529)-(J526+J527+J528+J529),0)</f>
        <v>9777</v>
      </c>
      <c r="M526" s="1154" t="s">
        <v>2217</v>
      </c>
      <c r="N526" s="1155"/>
      <c r="O526" s="1156">
        <f t="shared" si="83"/>
        <v>9777</v>
      </c>
    </row>
    <row r="527" spans="1:15" s="360" customFormat="1" ht="15" hidden="1">
      <c r="A527" s="356" t="s">
        <v>1593</v>
      </c>
      <c r="B527" s="632" t="s">
        <v>1228</v>
      </c>
      <c r="C527" s="635"/>
      <c r="D527" s="354"/>
      <c r="E527" s="10"/>
      <c r="F527" s="353"/>
      <c r="G527" s="358">
        <f>'PART-A'!I2632</f>
        <v>0</v>
      </c>
      <c r="H527" s="354" t="s">
        <v>115</v>
      </c>
      <c r="I527" s="355">
        <f>'PART-A'!K2632</f>
        <v>20396.340000000004</v>
      </c>
      <c r="J527" s="353">
        <f>ROUND(G527*I527,0)</f>
        <v>0</v>
      </c>
      <c r="K527" s="1680"/>
      <c r="L527" s="1680"/>
      <c r="M527" s="633" t="s">
        <v>2299</v>
      </c>
      <c r="N527" s="223"/>
      <c r="O527" s="631">
        <f t="shared" si="83"/>
        <v>0</v>
      </c>
    </row>
    <row r="528" spans="1:15" s="1157" customFormat="1" ht="15" hidden="1">
      <c r="A528" s="1146" t="s">
        <v>504</v>
      </c>
      <c r="B528" s="1147" t="s">
        <v>1228</v>
      </c>
      <c r="C528" s="1162"/>
      <c r="D528" s="1148"/>
      <c r="E528" s="922"/>
      <c r="F528" s="1153"/>
      <c r="G528" s="1151">
        <f>'PART-A'!I2770</f>
        <v>0</v>
      </c>
      <c r="H528" s="1148" t="s">
        <v>115</v>
      </c>
      <c r="I528" s="1152">
        <f>'PART-A'!K2770</f>
        <v>18903.09</v>
      </c>
      <c r="J528" s="1153">
        <f>ROUND(G528*I528,0)</f>
        <v>0</v>
      </c>
      <c r="K528" s="1680"/>
      <c r="L528" s="1680"/>
      <c r="M528" s="1159" t="s">
        <v>2312</v>
      </c>
      <c r="N528" s="1155"/>
      <c r="O528" s="1160">
        <f t="shared" si="83"/>
        <v>0</v>
      </c>
    </row>
    <row r="529" spans="1:15" s="360" customFormat="1" ht="51" hidden="1">
      <c r="A529" s="356" t="s">
        <v>493</v>
      </c>
      <c r="B529" s="632" t="s">
        <v>3214</v>
      </c>
      <c r="C529" s="635"/>
      <c r="D529" s="354"/>
      <c r="E529" s="10"/>
      <c r="F529" s="353"/>
      <c r="G529" s="358">
        <f>'PART-A'!I2903</f>
        <v>0</v>
      </c>
      <c r="H529" s="354" t="s">
        <v>115</v>
      </c>
      <c r="I529" s="355">
        <f>'PART-A'!K2903</f>
        <v>22903.660000000003</v>
      </c>
      <c r="J529" s="353">
        <f>ROUND(G529*I529,0)</f>
        <v>0</v>
      </c>
      <c r="K529" s="1681"/>
      <c r="L529" s="1681"/>
      <c r="M529" s="851" t="s">
        <v>2313</v>
      </c>
      <c r="N529" s="223"/>
      <c r="O529" s="850">
        <f t="shared" si="83"/>
        <v>0</v>
      </c>
    </row>
    <row r="530" spans="1:15" s="1157" customFormat="1" ht="51">
      <c r="A530" s="1146" t="s">
        <v>1514</v>
      </c>
      <c r="B530" s="1147" t="s">
        <v>3328</v>
      </c>
      <c r="C530" s="1182">
        <v>3</v>
      </c>
      <c r="D530" s="1166" t="s">
        <v>115</v>
      </c>
      <c r="E530" s="922">
        <v>7576.9</v>
      </c>
      <c r="F530" s="1150">
        <f t="shared" ref="F530" si="86">ROUND(C530*E530,0)</f>
        <v>22731</v>
      </c>
      <c r="G530" s="1170">
        <f>'PART-A'!I2514</f>
        <v>0</v>
      </c>
      <c r="H530" s="1173" t="s">
        <v>115</v>
      </c>
      <c r="I530" s="1171">
        <f>'PART-A'!K2514</f>
        <v>14099.53</v>
      </c>
      <c r="J530" s="1153">
        <f t="shared" si="85"/>
        <v>0</v>
      </c>
      <c r="K530" s="1679">
        <f>IF((J530+J531+J532+J533)&gt;(F530+F531+F532+F533),(J530+J531+J532+J533)-(F530+F531+F532+F533),0)</f>
        <v>0</v>
      </c>
      <c r="L530" s="1679">
        <f>IF((J530+J531+J532+J533)&lt;(F530+F531+F532+F533),(F530+F531+F532+F533)-(J530+J531+J532+J533),0)</f>
        <v>22731</v>
      </c>
      <c r="M530" s="1159" t="s">
        <v>2217</v>
      </c>
      <c r="N530" s="1155"/>
      <c r="O530" s="1160">
        <f t="shared" si="83"/>
        <v>22731</v>
      </c>
    </row>
    <row r="531" spans="1:15" s="360" customFormat="1" ht="15" hidden="1">
      <c r="A531" s="356" t="s">
        <v>485</v>
      </c>
      <c r="B531" s="632" t="s">
        <v>1998</v>
      </c>
      <c r="C531" s="635"/>
      <c r="D531" s="354"/>
      <c r="E531" s="362"/>
      <c r="F531" s="353"/>
      <c r="G531" s="358">
        <f>'PART-A'!I2647</f>
        <v>0</v>
      </c>
      <c r="H531" s="354" t="s">
        <v>115</v>
      </c>
      <c r="I531" s="355">
        <f>'PART-A'!K2647</f>
        <v>14099.53</v>
      </c>
      <c r="J531" s="353">
        <f>ROUND(G531*I531,0)</f>
        <v>0</v>
      </c>
      <c r="K531" s="1680"/>
      <c r="L531" s="1680"/>
      <c r="M531" s="633" t="s">
        <v>2299</v>
      </c>
      <c r="N531" s="223"/>
      <c r="O531" s="631">
        <f t="shared" si="83"/>
        <v>0</v>
      </c>
    </row>
    <row r="532" spans="1:15" s="1157" customFormat="1" ht="15" hidden="1">
      <c r="A532" s="1146" t="s">
        <v>508</v>
      </c>
      <c r="B532" s="1147" t="s">
        <v>1998</v>
      </c>
      <c r="C532" s="1162"/>
      <c r="D532" s="1148"/>
      <c r="E532" s="1163"/>
      <c r="F532" s="1153"/>
      <c r="G532" s="1151">
        <f>'PART-A'!I2785</f>
        <v>0</v>
      </c>
      <c r="H532" s="1148" t="s">
        <v>115</v>
      </c>
      <c r="I532" s="1152">
        <f>'PART-A'!K2785</f>
        <v>12770.460000000001</v>
      </c>
      <c r="J532" s="1153">
        <f>ROUND(G532*I532,0)</f>
        <v>0</v>
      </c>
      <c r="K532" s="1680"/>
      <c r="L532" s="1680"/>
      <c r="M532" s="1159" t="s">
        <v>2312</v>
      </c>
      <c r="N532" s="1155"/>
      <c r="O532" s="1160">
        <f t="shared" si="83"/>
        <v>0</v>
      </c>
    </row>
    <row r="533" spans="1:15" s="360" customFormat="1" ht="15" hidden="1">
      <c r="A533" s="356" t="s">
        <v>485</v>
      </c>
      <c r="B533" s="632" t="s">
        <v>1998</v>
      </c>
      <c r="C533" s="635"/>
      <c r="D533" s="354"/>
      <c r="E533" s="362"/>
      <c r="F533" s="353"/>
      <c r="G533" s="358">
        <f>'PART-A'!I2918</f>
        <v>0</v>
      </c>
      <c r="H533" s="354" t="s">
        <v>115</v>
      </c>
      <c r="I533" s="355">
        <f>'PART-A'!K2918</f>
        <v>15875.19</v>
      </c>
      <c r="J533" s="353">
        <f>ROUND(G533*I533,0)</f>
        <v>0</v>
      </c>
      <c r="K533" s="1681"/>
      <c r="L533" s="1681"/>
      <c r="M533" s="633" t="s">
        <v>2313</v>
      </c>
      <c r="N533" s="223"/>
      <c r="O533" s="631">
        <f t="shared" si="83"/>
        <v>0</v>
      </c>
    </row>
    <row r="534" spans="1:15" s="360" customFormat="1" ht="15" hidden="1">
      <c r="A534" s="356"/>
      <c r="B534" s="632" t="s">
        <v>1999</v>
      </c>
      <c r="C534" s="636"/>
      <c r="D534" s="354"/>
      <c r="E534" s="10"/>
      <c r="F534" s="353"/>
      <c r="G534" s="358">
        <f>'PART-A'!I2519</f>
        <v>0</v>
      </c>
      <c r="H534" s="354" t="s">
        <v>115</v>
      </c>
      <c r="I534" s="355">
        <f>'PART-A'!K2519</f>
        <v>13359.1</v>
      </c>
      <c r="J534" s="353">
        <f t="shared" si="85"/>
        <v>0</v>
      </c>
      <c r="K534" s="1679">
        <f>IF((J534+J535+J536+J537)&gt;(F534+F535+F536+F537),(J534+J535+J536+J537)-(F534+F535+F536+F537),0)</f>
        <v>0</v>
      </c>
      <c r="L534" s="1679">
        <f>IF((J534+J535+J536+J537)&lt;(F534+F535+F536+F537),(F534+F535+F536+F537)-(J534+J535+J536+J537),0)</f>
        <v>0</v>
      </c>
      <c r="M534" s="633" t="s">
        <v>2217</v>
      </c>
      <c r="N534" s="223"/>
      <c r="O534" s="631">
        <f t="shared" si="83"/>
        <v>0</v>
      </c>
    </row>
    <row r="535" spans="1:15" s="360" customFormat="1" ht="15" hidden="1">
      <c r="A535" s="356"/>
      <c r="B535" s="632" t="s">
        <v>1999</v>
      </c>
      <c r="C535" s="636"/>
      <c r="D535" s="354"/>
      <c r="E535" s="10"/>
      <c r="F535" s="353"/>
      <c r="G535" s="358">
        <f>'PART-A'!I2652</f>
        <v>0</v>
      </c>
      <c r="H535" s="354" t="s">
        <v>115</v>
      </c>
      <c r="I535" s="355">
        <f>'PART-A'!K2652</f>
        <v>13359.1</v>
      </c>
      <c r="J535" s="353">
        <f>ROUND(G535*I535,0)</f>
        <v>0</v>
      </c>
      <c r="K535" s="1680"/>
      <c r="L535" s="1680"/>
      <c r="M535" s="633" t="s">
        <v>2299</v>
      </c>
      <c r="N535" s="223"/>
      <c r="O535" s="631">
        <f t="shared" si="83"/>
        <v>0</v>
      </c>
    </row>
    <row r="536" spans="1:15" s="1157" customFormat="1" ht="15" hidden="1">
      <c r="A536" s="1146" t="s">
        <v>510</v>
      </c>
      <c r="B536" s="1147" t="s">
        <v>1999</v>
      </c>
      <c r="C536" s="1174"/>
      <c r="D536" s="1148"/>
      <c r="E536" s="922"/>
      <c r="F536" s="1153"/>
      <c r="G536" s="1151">
        <f>'PART-A'!I2790</f>
        <v>0</v>
      </c>
      <c r="H536" s="1148" t="s">
        <v>115</v>
      </c>
      <c r="I536" s="1152">
        <f>'PART-A'!K2790</f>
        <v>10756.689999999999</v>
      </c>
      <c r="J536" s="1153">
        <f>ROUND(G536*I536,0)</f>
        <v>0</v>
      </c>
      <c r="K536" s="1680"/>
      <c r="L536" s="1680"/>
      <c r="M536" s="1159" t="s">
        <v>2312</v>
      </c>
      <c r="N536" s="1155"/>
      <c r="O536" s="1160">
        <f t="shared" si="83"/>
        <v>0</v>
      </c>
    </row>
    <row r="537" spans="1:15" s="360" customFormat="1" ht="15" hidden="1">
      <c r="A537" s="356"/>
      <c r="B537" s="632" t="s">
        <v>1999</v>
      </c>
      <c r="C537" s="636"/>
      <c r="D537" s="354"/>
      <c r="E537" s="10"/>
      <c r="F537" s="353"/>
      <c r="G537" s="358">
        <f>'PART-A'!I2923</f>
        <v>0</v>
      </c>
      <c r="H537" s="354" t="s">
        <v>115</v>
      </c>
      <c r="I537" s="355">
        <f>'PART-A'!K2923</f>
        <v>15037.220000000001</v>
      </c>
      <c r="J537" s="353">
        <f>ROUND(G537*I537,0)</f>
        <v>0</v>
      </c>
      <c r="K537" s="1681"/>
      <c r="L537" s="1681"/>
      <c r="M537" s="633" t="s">
        <v>2313</v>
      </c>
      <c r="N537" s="223"/>
      <c r="O537" s="631">
        <f t="shared" si="83"/>
        <v>0</v>
      </c>
    </row>
    <row r="538" spans="1:15" s="360" customFormat="1" ht="15" hidden="1">
      <c r="A538" s="356" t="s">
        <v>1144</v>
      </c>
      <c r="B538" s="632" t="s">
        <v>1998</v>
      </c>
      <c r="C538" s="636"/>
      <c r="D538" s="354"/>
      <c r="E538" s="10"/>
      <c r="F538" s="353"/>
      <c r="G538" s="358">
        <f>'PART-A'!I2524</f>
        <v>0</v>
      </c>
      <c r="H538" s="354" t="s">
        <v>115</v>
      </c>
      <c r="I538" s="355">
        <f>'PART-A'!K2524</f>
        <v>8905.99</v>
      </c>
      <c r="J538" s="353">
        <f t="shared" si="85"/>
        <v>0</v>
      </c>
      <c r="K538" s="1679">
        <f>IF((J538+J539+J540+J541)&gt;(F538+F539+F540+F541),(J538+J539+J540+J541)-(F538+F539+F540+F541),0)</f>
        <v>0</v>
      </c>
      <c r="L538" s="1679">
        <f>IF((J538+J539+J540+J541)&lt;(F538+F539+F540+F541),(F538+F539+F540+F541)-(J538+J539+J540+J541),0)</f>
        <v>0</v>
      </c>
      <c r="M538" s="633" t="s">
        <v>2217</v>
      </c>
      <c r="N538" s="223"/>
      <c r="O538" s="631">
        <f t="shared" si="83"/>
        <v>0</v>
      </c>
    </row>
    <row r="539" spans="1:15" s="360" customFormat="1" ht="15" hidden="1">
      <c r="A539" s="356" t="s">
        <v>1144</v>
      </c>
      <c r="B539" s="632" t="s">
        <v>1998</v>
      </c>
      <c r="C539" s="636"/>
      <c r="D539" s="354"/>
      <c r="E539" s="10"/>
      <c r="F539" s="353"/>
      <c r="G539" s="358">
        <f>'PART-A'!I2657</f>
        <v>0</v>
      </c>
      <c r="H539" s="354" t="s">
        <v>115</v>
      </c>
      <c r="I539" s="355">
        <f>'PART-A'!K2657</f>
        <v>8905.99</v>
      </c>
      <c r="J539" s="353">
        <f>ROUND(G539*I539,0)</f>
        <v>0</v>
      </c>
      <c r="K539" s="1680"/>
      <c r="L539" s="1680"/>
      <c r="M539" s="633" t="s">
        <v>2299</v>
      </c>
      <c r="N539" s="223"/>
      <c r="O539" s="631">
        <f t="shared" si="83"/>
        <v>0</v>
      </c>
    </row>
    <row r="540" spans="1:15" s="360" customFormat="1" ht="15" hidden="1">
      <c r="A540" s="356" t="s">
        <v>1144</v>
      </c>
      <c r="B540" s="632" t="s">
        <v>1998</v>
      </c>
      <c r="C540" s="636"/>
      <c r="D540" s="354"/>
      <c r="E540" s="10"/>
      <c r="F540" s="353"/>
      <c r="G540" s="358">
        <f>'PART-A'!I2795</f>
        <v>0</v>
      </c>
      <c r="H540" s="354" t="s">
        <v>115</v>
      </c>
      <c r="I540" s="355">
        <f>'PART-A'!K2795</f>
        <v>9185.3799999999992</v>
      </c>
      <c r="J540" s="353">
        <f>ROUND(G540*I540,0)</f>
        <v>0</v>
      </c>
      <c r="K540" s="1680"/>
      <c r="L540" s="1680"/>
      <c r="M540" s="633" t="s">
        <v>2312</v>
      </c>
      <c r="N540" s="223"/>
      <c r="O540" s="631">
        <f t="shared" si="83"/>
        <v>0</v>
      </c>
    </row>
    <row r="541" spans="1:15" s="360" customFormat="1" ht="15" hidden="1">
      <c r="A541" s="356" t="s">
        <v>1144</v>
      </c>
      <c r="B541" s="632" t="s">
        <v>1998</v>
      </c>
      <c r="C541" s="636"/>
      <c r="D541" s="354"/>
      <c r="E541" s="10"/>
      <c r="F541" s="353"/>
      <c r="G541" s="358">
        <f>'PART-A'!I2928</f>
        <v>0</v>
      </c>
      <c r="H541" s="354" t="s">
        <v>115</v>
      </c>
      <c r="I541" s="355">
        <f>'PART-A'!K2928</f>
        <v>10330.61</v>
      </c>
      <c r="J541" s="353">
        <f>ROUND(G541*I541,0)</f>
        <v>0</v>
      </c>
      <c r="K541" s="1681"/>
      <c r="L541" s="1681"/>
      <c r="M541" s="633" t="s">
        <v>2313</v>
      </c>
      <c r="N541" s="223"/>
      <c r="O541" s="631">
        <f t="shared" si="83"/>
        <v>0</v>
      </c>
    </row>
    <row r="542" spans="1:15" s="360" customFormat="1" ht="15" hidden="1">
      <c r="A542" s="356" t="s">
        <v>1579</v>
      </c>
      <c r="B542" s="632" t="s">
        <v>2000</v>
      </c>
      <c r="C542" s="551"/>
      <c r="D542" s="354"/>
      <c r="E542" s="10"/>
      <c r="F542" s="353"/>
      <c r="G542" s="358">
        <f>'PART-A'!I2529</f>
        <v>0</v>
      </c>
      <c r="H542" s="354" t="s">
        <v>115</v>
      </c>
      <c r="I542" s="355">
        <f>'PART-A'!K2529</f>
        <v>6334.76</v>
      </c>
      <c r="J542" s="353">
        <f t="shared" si="85"/>
        <v>0</v>
      </c>
      <c r="K542" s="1679">
        <f>IF((J542+J543+J544+J545)&gt;(F542+F543+F544+F545),(J542+J543+J544+J545)-(F542+F543+F544+F545),0)</f>
        <v>0</v>
      </c>
      <c r="L542" s="1679">
        <f>IF((J542+J543+J544+J545)&lt;(F542+F543+F544+F545),(F542+F543+F544+F545)-(J542+J543+J544+J545),0)</f>
        <v>0</v>
      </c>
      <c r="M542" s="633" t="s">
        <v>2217</v>
      </c>
      <c r="N542" s="223"/>
      <c r="O542" s="631">
        <f t="shared" si="83"/>
        <v>0</v>
      </c>
    </row>
    <row r="543" spans="1:15" s="360" customFormat="1" ht="15" hidden="1">
      <c r="A543" s="356" t="s">
        <v>1579</v>
      </c>
      <c r="B543" s="632" t="s">
        <v>2000</v>
      </c>
      <c r="C543" s="551"/>
      <c r="D543" s="354"/>
      <c r="E543" s="10"/>
      <c r="F543" s="353"/>
      <c r="G543" s="358">
        <f>'PART-A'!I2662</f>
        <v>0</v>
      </c>
      <c r="H543" s="354" t="s">
        <v>115</v>
      </c>
      <c r="I543" s="355">
        <f>'PART-A'!K2662</f>
        <v>6334.76</v>
      </c>
      <c r="J543" s="353">
        <f t="shared" ref="J543:J563" si="87">ROUND(G543*I543,0)</f>
        <v>0</v>
      </c>
      <c r="K543" s="1680"/>
      <c r="L543" s="1680"/>
      <c r="M543" s="633" t="s">
        <v>2299</v>
      </c>
      <c r="N543" s="223"/>
      <c r="O543" s="631">
        <f t="shared" si="83"/>
        <v>0</v>
      </c>
    </row>
    <row r="544" spans="1:15" s="360" customFormat="1" ht="15" hidden="1">
      <c r="A544" s="356" t="s">
        <v>1579</v>
      </c>
      <c r="B544" s="632" t="s">
        <v>2000</v>
      </c>
      <c r="C544" s="551"/>
      <c r="D544" s="354"/>
      <c r="E544" s="10"/>
      <c r="F544" s="353"/>
      <c r="G544" s="358">
        <f>'PART-A'!I2800</f>
        <v>0</v>
      </c>
      <c r="H544" s="354" t="s">
        <v>115</v>
      </c>
      <c r="I544" s="355">
        <f>'PART-A'!K2800</f>
        <v>6584.41</v>
      </c>
      <c r="J544" s="353">
        <f>ROUND(G544*I544,0)</f>
        <v>0</v>
      </c>
      <c r="K544" s="1680"/>
      <c r="L544" s="1680"/>
      <c r="M544" s="633" t="s">
        <v>2312</v>
      </c>
      <c r="N544" s="223"/>
      <c r="O544" s="631">
        <f t="shared" si="83"/>
        <v>0</v>
      </c>
    </row>
    <row r="545" spans="1:15" s="360" customFormat="1" ht="15" hidden="1">
      <c r="A545" s="356" t="s">
        <v>1579</v>
      </c>
      <c r="B545" s="632" t="s">
        <v>2000</v>
      </c>
      <c r="C545" s="551"/>
      <c r="D545" s="354"/>
      <c r="E545" s="10"/>
      <c r="F545" s="353"/>
      <c r="G545" s="358">
        <f>'PART-A'!I2933</f>
        <v>0</v>
      </c>
      <c r="H545" s="354" t="s">
        <v>115</v>
      </c>
      <c r="I545" s="355">
        <f>'PART-A'!K2933</f>
        <v>7015.49</v>
      </c>
      <c r="J545" s="353">
        <f>ROUND(G545*I545,0)</f>
        <v>0</v>
      </c>
      <c r="K545" s="1681"/>
      <c r="L545" s="1681"/>
      <c r="M545" s="633" t="s">
        <v>2313</v>
      </c>
      <c r="N545" s="223"/>
      <c r="O545" s="631">
        <f t="shared" si="83"/>
        <v>0</v>
      </c>
    </row>
    <row r="546" spans="1:15" s="360" customFormat="1" ht="15" hidden="1" customHeight="1">
      <c r="A546" s="356" t="s">
        <v>1586</v>
      </c>
      <c r="B546" s="632" t="s">
        <v>1227</v>
      </c>
      <c r="C546" s="636"/>
      <c r="D546" s="354"/>
      <c r="E546" s="10"/>
      <c r="F546" s="353"/>
      <c r="G546" s="358">
        <f>'PART-A'!I2504</f>
        <v>0</v>
      </c>
      <c r="H546" s="354" t="s">
        <v>115</v>
      </c>
      <c r="I546" s="355">
        <f>'PART-A'!K2504</f>
        <v>10891.57</v>
      </c>
      <c r="J546" s="353">
        <f t="shared" si="87"/>
        <v>0</v>
      </c>
      <c r="K546" s="1679">
        <f>IF((J546+J547+J548+J549)&gt;(F546+F547+F548+F549),(J546+J547+J548+J549)-(F546+F547+F548+F549),0)</f>
        <v>0</v>
      </c>
      <c r="L546" s="1679">
        <f>IF((J546+J547+J548+J549)&lt;(F546+F547+F548+F549),(F546+F547+F548+F549)-(J546+J547+J548+J549),0)</f>
        <v>0</v>
      </c>
      <c r="M546" s="633" t="s">
        <v>2217</v>
      </c>
      <c r="N546" s="223"/>
      <c r="O546" s="631">
        <f t="shared" si="83"/>
        <v>0</v>
      </c>
    </row>
    <row r="547" spans="1:15" s="360" customFormat="1" ht="15" hidden="1" customHeight="1">
      <c r="A547" s="356" t="s">
        <v>1594</v>
      </c>
      <c r="B547" s="632" t="s">
        <v>1227</v>
      </c>
      <c r="C547" s="636"/>
      <c r="D547" s="354"/>
      <c r="E547" s="10"/>
      <c r="F547" s="353"/>
      <c r="G547" s="358">
        <f>'PART-A'!I2637</f>
        <v>0</v>
      </c>
      <c r="H547" s="354" t="s">
        <v>115</v>
      </c>
      <c r="I547" s="355">
        <f>'PART-A'!K2637</f>
        <v>4180.6099999999997</v>
      </c>
      <c r="J547" s="353">
        <f t="shared" si="87"/>
        <v>0</v>
      </c>
      <c r="K547" s="1680"/>
      <c r="L547" s="1680"/>
      <c r="M547" s="633" t="s">
        <v>2299</v>
      </c>
      <c r="N547" s="223"/>
      <c r="O547" s="631">
        <f t="shared" si="83"/>
        <v>0</v>
      </c>
    </row>
    <row r="548" spans="1:15" s="360" customFormat="1" ht="15" hidden="1" customHeight="1">
      <c r="A548" s="356" t="s">
        <v>1586</v>
      </c>
      <c r="B548" s="632" t="s">
        <v>1227</v>
      </c>
      <c r="C548" s="636"/>
      <c r="D548" s="354"/>
      <c r="E548" s="10"/>
      <c r="F548" s="353"/>
      <c r="G548" s="358">
        <f>'PART-A'!I2775</f>
        <v>0</v>
      </c>
      <c r="H548" s="354" t="s">
        <v>115</v>
      </c>
      <c r="I548" s="355">
        <f>'PART-A'!K2775</f>
        <v>11215.33</v>
      </c>
      <c r="J548" s="353">
        <f>ROUND(G548*I548,0)</f>
        <v>0</v>
      </c>
      <c r="K548" s="1680"/>
      <c r="L548" s="1680"/>
      <c r="M548" s="633" t="s">
        <v>2312</v>
      </c>
      <c r="N548" s="223"/>
      <c r="O548" s="631">
        <f t="shared" si="83"/>
        <v>0</v>
      </c>
    </row>
    <row r="549" spans="1:15" s="360" customFormat="1" ht="51" hidden="1">
      <c r="A549" s="356" t="s">
        <v>644</v>
      </c>
      <c r="B549" s="632" t="s">
        <v>3214</v>
      </c>
      <c r="C549" s="636"/>
      <c r="D549" s="354"/>
      <c r="E549" s="10"/>
      <c r="F549" s="353"/>
      <c r="G549" s="358">
        <f>'PART-A'!I2908</f>
        <v>0</v>
      </c>
      <c r="H549" s="354" t="s">
        <v>115</v>
      </c>
      <c r="I549" s="355">
        <f>'PART-A'!K2908</f>
        <v>11464.42</v>
      </c>
      <c r="J549" s="353">
        <f>ROUND(G549*I549,0)</f>
        <v>0</v>
      </c>
      <c r="K549" s="1681"/>
      <c r="L549" s="1681"/>
      <c r="M549" s="851" t="s">
        <v>2313</v>
      </c>
      <c r="N549" s="223"/>
      <c r="O549" s="850">
        <f t="shared" si="83"/>
        <v>0</v>
      </c>
    </row>
    <row r="550" spans="1:15" s="360" customFormat="1" ht="15" hidden="1" customHeight="1">
      <c r="A550" s="356" t="s">
        <v>1587</v>
      </c>
      <c r="B550" s="632" t="s">
        <v>1227</v>
      </c>
      <c r="C550" s="636"/>
      <c r="D550" s="354"/>
      <c r="E550" s="10"/>
      <c r="F550" s="353"/>
      <c r="G550" s="358">
        <f>'PART-A'!I2509</f>
        <v>0</v>
      </c>
      <c r="H550" s="354" t="s">
        <v>115</v>
      </c>
      <c r="I550" s="355">
        <f>'PART-A'!K2509</f>
        <v>9855.7799999999988</v>
      </c>
      <c r="J550" s="353">
        <f t="shared" si="87"/>
        <v>0</v>
      </c>
      <c r="K550" s="1679">
        <f>IF((J550+J551+J552+J553)&gt;(F550+F551+F552+F553),(J550+J551+J552+J553)-(F550+F551+F552+F553),0)</f>
        <v>0</v>
      </c>
      <c r="L550" s="1679">
        <f>IF((J550+J551+J552+J553)&lt;(F550+F551+F552+F553),(F550+F551+F552+F553)-(J550+J551+J552+J553),0)</f>
        <v>0</v>
      </c>
      <c r="M550" s="633" t="s">
        <v>2217</v>
      </c>
      <c r="N550" s="223"/>
      <c r="O550" s="631">
        <f t="shared" si="83"/>
        <v>0</v>
      </c>
    </row>
    <row r="551" spans="1:15" s="360" customFormat="1" ht="15" hidden="1" customHeight="1">
      <c r="A551" s="356" t="s">
        <v>1590</v>
      </c>
      <c r="B551" s="632" t="s">
        <v>1227</v>
      </c>
      <c r="C551" s="636"/>
      <c r="D551" s="354"/>
      <c r="E551" s="10"/>
      <c r="F551" s="353"/>
      <c r="G551" s="358">
        <f>'PART-A'!I2642</f>
        <v>0</v>
      </c>
      <c r="H551" s="354" t="s">
        <v>115</v>
      </c>
      <c r="I551" s="355">
        <f>'PART-A'!K2642</f>
        <v>9855.7799999999988</v>
      </c>
      <c r="J551" s="353">
        <f t="shared" si="87"/>
        <v>0</v>
      </c>
      <c r="K551" s="1680"/>
      <c r="L551" s="1680"/>
      <c r="M551" s="633" t="s">
        <v>2299</v>
      </c>
      <c r="N551" s="223"/>
      <c r="O551" s="631">
        <f t="shared" si="83"/>
        <v>0</v>
      </c>
    </row>
    <row r="552" spans="1:15" s="360" customFormat="1" ht="15" hidden="1" customHeight="1">
      <c r="A552" s="356" t="s">
        <v>1587</v>
      </c>
      <c r="B552" s="632" t="s">
        <v>1227</v>
      </c>
      <c r="C552" s="636"/>
      <c r="D552" s="354"/>
      <c r="E552" s="10"/>
      <c r="F552" s="353"/>
      <c r="G552" s="358">
        <f>'PART-A'!I2780</f>
        <v>0</v>
      </c>
      <c r="H552" s="354" t="s">
        <v>115</v>
      </c>
      <c r="I552" s="355">
        <f>'PART-A'!K2780</f>
        <v>10134.49</v>
      </c>
      <c r="J552" s="353">
        <f>ROUND(G552*I552,0)</f>
        <v>0</v>
      </c>
      <c r="K552" s="1680"/>
      <c r="L552" s="1680"/>
      <c r="M552" s="633" t="s">
        <v>2312</v>
      </c>
      <c r="N552" s="223"/>
      <c r="O552" s="631">
        <f t="shared" si="83"/>
        <v>0</v>
      </c>
    </row>
    <row r="553" spans="1:15" s="360" customFormat="1" ht="15" hidden="1" customHeight="1">
      <c r="A553" s="356" t="s">
        <v>1587</v>
      </c>
      <c r="B553" s="632" t="s">
        <v>1227</v>
      </c>
      <c r="C553" s="636"/>
      <c r="D553" s="354"/>
      <c r="E553" s="10"/>
      <c r="F553" s="353"/>
      <c r="G553" s="358">
        <f>'PART-A'!I2913</f>
        <v>0</v>
      </c>
      <c r="H553" s="354" t="s">
        <v>115</v>
      </c>
      <c r="I553" s="355">
        <f>'PART-A'!K2913</f>
        <v>11442.58</v>
      </c>
      <c r="J553" s="353">
        <f>ROUND(G553*I553,0)</f>
        <v>0</v>
      </c>
      <c r="K553" s="1681"/>
      <c r="L553" s="1681"/>
      <c r="M553" s="633" t="s">
        <v>2313</v>
      </c>
      <c r="N553" s="223"/>
      <c r="O553" s="631">
        <f t="shared" si="83"/>
        <v>0</v>
      </c>
    </row>
    <row r="554" spans="1:15" s="360" customFormat="1" ht="51" hidden="1">
      <c r="A554" s="356" t="s">
        <v>1574</v>
      </c>
      <c r="B554" s="632" t="s">
        <v>3215</v>
      </c>
      <c r="C554" s="645"/>
      <c r="D554" s="791" t="s">
        <v>115</v>
      </c>
      <c r="E554" s="567">
        <v>8697.7999999999993</v>
      </c>
      <c r="F554" s="792">
        <f t="shared" ref="F554" si="88">ROUND(C554*E554,0)</f>
        <v>0</v>
      </c>
      <c r="G554" s="358">
        <f>'PART-A'!I2536</f>
        <v>0</v>
      </c>
      <c r="H554" s="354" t="s">
        <v>115</v>
      </c>
      <c r="I554" s="355">
        <f>'PART-A'!K2536</f>
        <v>15555.64</v>
      </c>
      <c r="J554" s="353">
        <f t="shared" si="87"/>
        <v>0</v>
      </c>
      <c r="K554" s="1679">
        <f>IF((J554+J555+J556+J557)&gt;(F554+F555+F556+F557),(J554+J555+J556+J557)-(F554+F555+F556+F557),0)</f>
        <v>0</v>
      </c>
      <c r="L554" s="1679">
        <f>IF((J554+J555+J556+J557)&lt;(F554+F555+F556+F557),(F554+F555+F556+F557)-(J554+J555+J556+J557),0)</f>
        <v>0</v>
      </c>
      <c r="M554" s="851" t="s">
        <v>2217</v>
      </c>
      <c r="N554" s="223"/>
      <c r="O554" s="850">
        <f t="shared" si="83"/>
        <v>0</v>
      </c>
    </row>
    <row r="555" spans="1:15" s="360" customFormat="1" ht="15" hidden="1">
      <c r="A555" s="356" t="s">
        <v>529</v>
      </c>
      <c r="B555" s="632" t="s">
        <v>963</v>
      </c>
      <c r="C555" s="551"/>
      <c r="D555" s="354"/>
      <c r="E555" s="10"/>
      <c r="F555" s="353"/>
      <c r="G555" s="358">
        <f>'PART-A'!I2670</f>
        <v>0</v>
      </c>
      <c r="H555" s="354" t="s">
        <v>115</v>
      </c>
      <c r="I555" s="355">
        <f>'PART-A'!K2670</f>
        <v>15555.64</v>
      </c>
      <c r="J555" s="353">
        <f t="shared" si="87"/>
        <v>0</v>
      </c>
      <c r="K555" s="1680"/>
      <c r="L555" s="1680"/>
      <c r="M555" s="633" t="s">
        <v>2299</v>
      </c>
      <c r="N555" s="223"/>
      <c r="O555" s="631">
        <f t="shared" si="83"/>
        <v>0</v>
      </c>
    </row>
    <row r="556" spans="1:15" s="360" customFormat="1" ht="15" hidden="1">
      <c r="A556" s="356" t="s">
        <v>529</v>
      </c>
      <c r="B556" s="632" t="s">
        <v>963</v>
      </c>
      <c r="C556" s="551"/>
      <c r="D556" s="354"/>
      <c r="E556" s="10"/>
      <c r="F556" s="353"/>
      <c r="G556" s="358">
        <f>'PART-A'!I2807</f>
        <v>0</v>
      </c>
      <c r="H556" s="354" t="s">
        <v>115</v>
      </c>
      <c r="I556" s="355">
        <f>'PART-A'!K2807</f>
        <v>13789.809999999998</v>
      </c>
      <c r="J556" s="353">
        <f>ROUND(G556*I556,0)</f>
        <v>0</v>
      </c>
      <c r="K556" s="1680"/>
      <c r="L556" s="1680"/>
      <c r="M556" s="633" t="s">
        <v>2312</v>
      </c>
      <c r="N556" s="223"/>
      <c r="O556" s="631">
        <f t="shared" si="83"/>
        <v>0</v>
      </c>
    </row>
    <row r="557" spans="1:15" s="360" customFormat="1" ht="15" hidden="1">
      <c r="A557" s="356" t="s">
        <v>529</v>
      </c>
      <c r="B557" s="632" t="s">
        <v>963</v>
      </c>
      <c r="C557" s="551"/>
      <c r="D557" s="354"/>
      <c r="E557" s="10"/>
      <c r="F557" s="353"/>
      <c r="G557" s="358">
        <f>'PART-A'!I2940</f>
        <v>0</v>
      </c>
      <c r="H557" s="354" t="s">
        <v>115</v>
      </c>
      <c r="I557" s="355">
        <f>'PART-A'!K2940</f>
        <v>17517.36</v>
      </c>
      <c r="J557" s="353">
        <f>ROUND(G557*I557,0)</f>
        <v>0</v>
      </c>
      <c r="K557" s="1681"/>
      <c r="L557" s="1681"/>
      <c r="M557" s="633" t="s">
        <v>2313</v>
      </c>
      <c r="N557" s="223"/>
      <c r="O557" s="631">
        <f t="shared" si="83"/>
        <v>0</v>
      </c>
    </row>
    <row r="558" spans="1:15" s="360" customFormat="1" ht="51" hidden="1">
      <c r="A558" s="356" t="s">
        <v>1581</v>
      </c>
      <c r="B558" s="632" t="s">
        <v>3215</v>
      </c>
      <c r="C558" s="645"/>
      <c r="D558" s="791" t="s">
        <v>115</v>
      </c>
      <c r="E558" s="567">
        <v>7175.5</v>
      </c>
      <c r="F558" s="792">
        <f t="shared" ref="F558" si="89">ROUND(C558*E558,0)</f>
        <v>0</v>
      </c>
      <c r="G558" s="358">
        <f>'PART-A'!I2543</f>
        <v>0</v>
      </c>
      <c r="H558" s="354" t="s">
        <v>115</v>
      </c>
      <c r="I558" s="355">
        <f>'PART-A'!K2543</f>
        <v>9631.65</v>
      </c>
      <c r="J558" s="353">
        <f t="shared" si="87"/>
        <v>0</v>
      </c>
      <c r="K558" s="1679">
        <f>IF((J558+J559+J560+J561)&gt;(F558+F559+F560+F561),(J558+J559+J560+J561)-(F558+F559+F560+F561),0)</f>
        <v>0</v>
      </c>
      <c r="L558" s="1679">
        <f>IF((J558+J559+J560+J561)&lt;(F558+F559+F560+F561),(F558+F559+F560+F561)-(J558+J559+J560+J561),0)</f>
        <v>0</v>
      </c>
      <c r="M558" s="851" t="s">
        <v>2217</v>
      </c>
      <c r="N558" s="223"/>
      <c r="O558" s="850">
        <f t="shared" si="83"/>
        <v>0</v>
      </c>
    </row>
    <row r="559" spans="1:15" s="360" customFormat="1" ht="15" hidden="1">
      <c r="A559" s="356" t="s">
        <v>1148</v>
      </c>
      <c r="B559" s="632" t="s">
        <v>964</v>
      </c>
      <c r="C559" s="634"/>
      <c r="D559" s="354"/>
      <c r="E559" s="10"/>
      <c r="F559" s="353"/>
      <c r="G559" s="358">
        <f>'PART-A'!I2678</f>
        <v>0</v>
      </c>
      <c r="H559" s="354" t="s">
        <v>115</v>
      </c>
      <c r="I559" s="355">
        <f>'PART-A'!K2678</f>
        <v>4472.53</v>
      </c>
      <c r="J559" s="353">
        <f t="shared" si="87"/>
        <v>0</v>
      </c>
      <c r="K559" s="1680"/>
      <c r="L559" s="1680"/>
      <c r="M559" s="633" t="s">
        <v>2299</v>
      </c>
      <c r="N559" s="223"/>
      <c r="O559" s="631">
        <f t="shared" si="83"/>
        <v>0</v>
      </c>
    </row>
    <row r="560" spans="1:15" s="360" customFormat="1" ht="15" hidden="1">
      <c r="A560" s="356" t="s">
        <v>1589</v>
      </c>
      <c r="B560" s="632" t="s">
        <v>964</v>
      </c>
      <c r="C560" s="634"/>
      <c r="D560" s="354"/>
      <c r="E560" s="10"/>
      <c r="F560" s="353"/>
      <c r="G560" s="358">
        <f>'PART-A'!I2814</f>
        <v>0</v>
      </c>
      <c r="H560" s="354" t="s">
        <v>115</v>
      </c>
      <c r="I560" s="355">
        <f>'PART-A'!K2814</f>
        <v>9936.0399999999991</v>
      </c>
      <c r="J560" s="353">
        <f>ROUND(G560*I560,0)</f>
        <v>0</v>
      </c>
      <c r="K560" s="1680"/>
      <c r="L560" s="1680"/>
      <c r="M560" s="633" t="s">
        <v>2312</v>
      </c>
      <c r="N560" s="223"/>
      <c r="O560" s="631">
        <f t="shared" si="83"/>
        <v>0</v>
      </c>
    </row>
    <row r="561" spans="1:15" s="360" customFormat="1" ht="15" hidden="1">
      <c r="A561" s="356" t="s">
        <v>1589</v>
      </c>
      <c r="B561" s="632" t="s">
        <v>964</v>
      </c>
      <c r="C561" s="634"/>
      <c r="D561" s="354"/>
      <c r="E561" s="10"/>
      <c r="F561" s="353"/>
      <c r="G561" s="358">
        <f>'PART-A'!I2947</f>
        <v>0</v>
      </c>
      <c r="H561" s="354" t="s">
        <v>115</v>
      </c>
      <c r="I561" s="355">
        <f>'PART-A'!K2947</f>
        <v>11186.3</v>
      </c>
      <c r="J561" s="353">
        <f>ROUND(G561*I561,0)</f>
        <v>0</v>
      </c>
      <c r="K561" s="1681"/>
      <c r="L561" s="1681"/>
      <c r="M561" s="633" t="s">
        <v>2313</v>
      </c>
      <c r="N561" s="223"/>
      <c r="O561" s="631">
        <f t="shared" si="83"/>
        <v>0</v>
      </c>
    </row>
    <row r="562" spans="1:15" s="360" customFormat="1" ht="38.25" hidden="1">
      <c r="A562" s="356" t="s">
        <v>1582</v>
      </c>
      <c r="B562" s="632" t="s">
        <v>3216</v>
      </c>
      <c r="C562" s="826"/>
      <c r="D562" s="791" t="s">
        <v>102</v>
      </c>
      <c r="E562" s="795">
        <v>407</v>
      </c>
      <c r="F562" s="792">
        <f t="shared" ref="F562" si="90">ROUND(C562*E562,0)</f>
        <v>0</v>
      </c>
      <c r="G562" s="358">
        <f>'PART-A'!I2548</f>
        <v>0</v>
      </c>
      <c r="H562" s="354" t="s">
        <v>102</v>
      </c>
      <c r="I562" s="355">
        <f>'PART-A'!K2548</f>
        <v>6011.2</v>
      </c>
      <c r="J562" s="353">
        <f t="shared" si="87"/>
        <v>0</v>
      </c>
      <c r="K562" s="1679">
        <f>IF((J562+J563+J564+J565)&gt;(F562+F563+F564+F565),(J562+J563+J564+J565)-(F562+F563+F564+F565),0)</f>
        <v>0</v>
      </c>
      <c r="L562" s="1679">
        <f>IF((J562+J563+J564+J565)&lt;(F562+F563+F564+F565),(F562+F563+F564+F565)-(J562+J563+J564+J565),0)</f>
        <v>0</v>
      </c>
      <c r="M562" s="851" t="s">
        <v>2217</v>
      </c>
      <c r="N562" s="223"/>
      <c r="O562" s="850">
        <f t="shared" si="83"/>
        <v>0</v>
      </c>
    </row>
    <row r="563" spans="1:15" s="360" customFormat="1" ht="15" hidden="1">
      <c r="A563" s="356" t="s">
        <v>1575</v>
      </c>
      <c r="B563" s="632" t="s">
        <v>2030</v>
      </c>
      <c r="C563" s="551"/>
      <c r="D563" s="354"/>
      <c r="E563" s="10"/>
      <c r="F563" s="353"/>
      <c r="G563" s="358">
        <f>'PART-A'!I2683</f>
        <v>0</v>
      </c>
      <c r="H563" s="354" t="s">
        <v>102</v>
      </c>
      <c r="I563" s="355">
        <f>'PART-A'!K2683</f>
        <v>6011.2</v>
      </c>
      <c r="J563" s="353">
        <f t="shared" si="87"/>
        <v>0</v>
      </c>
      <c r="K563" s="1680"/>
      <c r="L563" s="1680"/>
      <c r="M563" s="633" t="s">
        <v>2299</v>
      </c>
      <c r="N563" s="223"/>
      <c r="O563" s="631">
        <f t="shared" si="83"/>
        <v>0</v>
      </c>
    </row>
    <row r="564" spans="1:15" s="360" customFormat="1" ht="15" hidden="1">
      <c r="A564" s="356" t="s">
        <v>1575</v>
      </c>
      <c r="B564" s="632" t="s">
        <v>2030</v>
      </c>
      <c r="C564" s="551"/>
      <c r="D564" s="354"/>
      <c r="E564" s="10"/>
      <c r="F564" s="353"/>
      <c r="G564" s="358">
        <f>'PART-A'!I2819</f>
        <v>0</v>
      </c>
      <c r="H564" s="354" t="s">
        <v>102</v>
      </c>
      <c r="I564" s="355">
        <f>'PART-A'!K2819</f>
        <v>6057.2</v>
      </c>
      <c r="J564" s="353">
        <f>ROUND(G564*I564,0)</f>
        <v>0</v>
      </c>
      <c r="K564" s="1680"/>
      <c r="L564" s="1680"/>
      <c r="M564" s="633" t="s">
        <v>2312</v>
      </c>
      <c r="N564" s="223"/>
      <c r="O564" s="631">
        <f t="shared" si="83"/>
        <v>0</v>
      </c>
    </row>
    <row r="565" spans="1:15" s="360" customFormat="1" ht="15" hidden="1">
      <c r="A565" s="356" t="s">
        <v>1575</v>
      </c>
      <c r="B565" s="632" t="s">
        <v>2030</v>
      </c>
      <c r="C565" s="551"/>
      <c r="D565" s="354"/>
      <c r="E565" s="10"/>
      <c r="F565" s="353"/>
      <c r="G565" s="358">
        <f>'PART-A'!I2954</f>
        <v>0</v>
      </c>
      <c r="H565" s="354" t="s">
        <v>102</v>
      </c>
      <c r="I565" s="355">
        <f>'PART-A'!K2954</f>
        <v>6958.78</v>
      </c>
      <c r="J565" s="353">
        <f>ROUND(G565*I565,0)</f>
        <v>0</v>
      </c>
      <c r="K565" s="1681"/>
      <c r="L565" s="1681"/>
      <c r="M565" s="633" t="s">
        <v>2313</v>
      </c>
      <c r="N565" s="223"/>
      <c r="O565" s="631">
        <f t="shared" si="83"/>
        <v>0</v>
      </c>
    </row>
    <row r="566" spans="1:15" s="360" customFormat="1" ht="15" hidden="1">
      <c r="A566" s="356" t="s">
        <v>1147</v>
      </c>
      <c r="B566" s="632" t="s">
        <v>2031</v>
      </c>
      <c r="C566" s="551"/>
      <c r="D566" s="354"/>
      <c r="E566" s="10"/>
      <c r="F566" s="353"/>
      <c r="G566" s="358">
        <f>'PART-A'!I2555</f>
        <v>0</v>
      </c>
      <c r="H566" s="354" t="s">
        <v>102</v>
      </c>
      <c r="I566" s="355">
        <f>'PART-A'!K2555</f>
        <v>5617.52</v>
      </c>
      <c r="J566" s="353">
        <f t="shared" ref="J566" si="91">ROUND(G566*I566,0)</f>
        <v>0</v>
      </c>
      <c r="K566" s="1679">
        <f>IF((J566+J567+J568+J569)&gt;(F566+F567+F568+F569),(J566+J567+J568+J569)-(F566+F567+F568+F569),0)</f>
        <v>0</v>
      </c>
      <c r="L566" s="1679">
        <f>IF((J566+J567+J568+J569)&lt;(F566+F567+F568+F569),(F566+F567+F568+F569)-(J566+J567+J568+J569),0)</f>
        <v>0</v>
      </c>
      <c r="M566" s="633" t="s">
        <v>2217</v>
      </c>
      <c r="N566" s="223"/>
      <c r="O566" s="631">
        <f t="shared" si="83"/>
        <v>0</v>
      </c>
    </row>
    <row r="567" spans="1:15" s="360" customFormat="1" ht="15" hidden="1">
      <c r="A567" s="356" t="s">
        <v>1147</v>
      </c>
      <c r="B567" s="632" t="s">
        <v>2031</v>
      </c>
      <c r="C567" s="551"/>
      <c r="D567" s="354"/>
      <c r="E567" s="10"/>
      <c r="F567" s="353"/>
      <c r="G567" s="358">
        <f>'PART-A'!I2690</f>
        <v>0</v>
      </c>
      <c r="H567" s="354" t="s">
        <v>102</v>
      </c>
      <c r="I567" s="355">
        <f>'PART-A'!K2690</f>
        <v>5617.52</v>
      </c>
      <c r="J567" s="353">
        <f>ROUND(G567*I567,0)</f>
        <v>0</v>
      </c>
      <c r="K567" s="1680"/>
      <c r="L567" s="1680"/>
      <c r="M567" s="633" t="s">
        <v>2299</v>
      </c>
      <c r="N567" s="223"/>
      <c r="O567" s="631">
        <f t="shared" si="83"/>
        <v>0</v>
      </c>
    </row>
    <row r="568" spans="1:15" s="360" customFormat="1" ht="15" hidden="1">
      <c r="A568" s="356" t="s">
        <v>1147</v>
      </c>
      <c r="B568" s="632" t="s">
        <v>2031</v>
      </c>
      <c r="C568" s="551"/>
      <c r="D568" s="354"/>
      <c r="E568" s="10"/>
      <c r="F568" s="353"/>
      <c r="G568" s="358">
        <f>'PART-A'!I2826</f>
        <v>0</v>
      </c>
      <c r="H568" s="354" t="s">
        <v>102</v>
      </c>
      <c r="I568" s="355">
        <f>'PART-A'!K2826</f>
        <v>5663.52</v>
      </c>
      <c r="J568" s="353">
        <f>ROUND(G568*I568,0)</f>
        <v>0</v>
      </c>
      <c r="K568" s="1680"/>
      <c r="L568" s="1680"/>
      <c r="M568" s="633" t="s">
        <v>2312</v>
      </c>
      <c r="N568" s="223"/>
      <c r="O568" s="631">
        <f t="shared" si="83"/>
        <v>0</v>
      </c>
    </row>
    <row r="569" spans="1:15" s="360" customFormat="1" ht="15" hidden="1">
      <c r="A569" s="356" t="s">
        <v>1147</v>
      </c>
      <c r="B569" s="632" t="s">
        <v>2031</v>
      </c>
      <c r="C569" s="551"/>
      <c r="D569" s="354"/>
      <c r="E569" s="10"/>
      <c r="F569" s="353"/>
      <c r="G569" s="358">
        <f>'PART-A'!I2961</f>
        <v>0</v>
      </c>
      <c r="H569" s="354" t="s">
        <v>102</v>
      </c>
      <c r="I569" s="355">
        <f>'PART-A'!K2961</f>
        <v>6508.85</v>
      </c>
      <c r="J569" s="353">
        <f>ROUND(G569*I569,0)</f>
        <v>0</v>
      </c>
      <c r="K569" s="1681"/>
      <c r="L569" s="1681"/>
      <c r="M569" s="633" t="s">
        <v>2313</v>
      </c>
      <c r="N569" s="223"/>
      <c r="O569" s="631">
        <f t="shared" si="83"/>
        <v>0</v>
      </c>
    </row>
    <row r="570" spans="1:15" s="360" customFormat="1" ht="51" hidden="1">
      <c r="A570" s="356" t="s">
        <v>1143</v>
      </c>
      <c r="B570" s="632" t="s">
        <v>3217</v>
      </c>
      <c r="C570" s="826"/>
      <c r="D570" s="791" t="s">
        <v>277</v>
      </c>
      <c r="E570" s="567">
        <v>2770</v>
      </c>
      <c r="F570" s="792">
        <f>ROUND(C570*E570/1,0)</f>
        <v>0</v>
      </c>
      <c r="G570" s="358"/>
      <c r="H570" s="354"/>
      <c r="I570" s="355"/>
      <c r="J570" s="353">
        <f t="shared" ref="J570" si="92">ROUND(G570*I570,0)</f>
        <v>0</v>
      </c>
      <c r="K570" s="669">
        <f t="shared" ref="K570" si="93">IF(J570&gt;F570,J570-F570,0)</f>
        <v>0</v>
      </c>
      <c r="L570" s="368">
        <f t="shared" ref="L570" si="94">IF(J570&lt;F570,F570-J570,0)</f>
        <v>0</v>
      </c>
      <c r="M570" s="851" t="s">
        <v>2217</v>
      </c>
      <c r="N570" s="223"/>
      <c r="O570" s="850">
        <f t="shared" si="83"/>
        <v>0</v>
      </c>
    </row>
    <row r="571" spans="1:15" s="1157" customFormat="1" ht="38.25">
      <c r="A571" s="1146" t="s">
        <v>492</v>
      </c>
      <c r="B571" s="1147" t="s">
        <v>3218</v>
      </c>
      <c r="C571" s="1168">
        <v>8.2799999999999994</v>
      </c>
      <c r="D571" s="1183" t="s">
        <v>102</v>
      </c>
      <c r="E571" s="922">
        <v>7288</v>
      </c>
      <c r="F571" s="1150">
        <f t="shared" ref="F571" si="95">ROUND(C571*E571,0)</f>
        <v>60345</v>
      </c>
      <c r="G571" s="1170">
        <f>'PART-A'!I2560</f>
        <v>0</v>
      </c>
      <c r="H571" s="1173" t="s">
        <v>102</v>
      </c>
      <c r="I571" s="1171">
        <f>'PART-A'!K2560</f>
        <v>8058</v>
      </c>
      <c r="J571" s="1153">
        <f t="shared" ref="J571:J619" si="96">ROUND(G571*I571,0)</f>
        <v>0</v>
      </c>
      <c r="K571" s="1679">
        <f>IF((J571+J572+J573+J574)&gt;(F571+F572+F573+F574),(J571+J572+J573+J574)-(F571+F572+F573+F574),0)</f>
        <v>0</v>
      </c>
      <c r="L571" s="1679">
        <f>IF((J571+J572+J573+J574)&lt;(F571+F572+F573+F574),(F571+F572+F573+F574)-(J571+J572+J573+J574),0)</f>
        <v>60345</v>
      </c>
      <c r="M571" s="1154" t="s">
        <v>2217</v>
      </c>
      <c r="N571" s="1155"/>
      <c r="O571" s="1156">
        <f t="shared" si="83"/>
        <v>60345</v>
      </c>
    </row>
    <row r="572" spans="1:15" s="360" customFormat="1" ht="25.5" hidden="1">
      <c r="A572" s="356" t="s">
        <v>1594</v>
      </c>
      <c r="B572" s="632" t="s">
        <v>965</v>
      </c>
      <c r="C572" s="551"/>
      <c r="D572" s="354"/>
      <c r="E572" s="10"/>
      <c r="F572" s="353"/>
      <c r="G572" s="358">
        <f>'PART-A'!I2696</f>
        <v>0</v>
      </c>
      <c r="H572" s="354" t="s">
        <v>102</v>
      </c>
      <c r="I572" s="355">
        <f>'PART-A'!K2696</f>
        <v>8058</v>
      </c>
      <c r="J572" s="353">
        <f>ROUND(G572*I572,0)</f>
        <v>0</v>
      </c>
      <c r="K572" s="1680"/>
      <c r="L572" s="1680"/>
      <c r="M572" s="633" t="s">
        <v>2299</v>
      </c>
      <c r="N572" s="223"/>
      <c r="O572" s="631">
        <f t="shared" si="83"/>
        <v>0</v>
      </c>
    </row>
    <row r="573" spans="1:15" s="1157" customFormat="1" ht="25.5" hidden="1">
      <c r="A573" s="1146" t="s">
        <v>512</v>
      </c>
      <c r="B573" s="1147" t="s">
        <v>965</v>
      </c>
      <c r="C573" s="917"/>
      <c r="D573" s="1148"/>
      <c r="E573" s="922"/>
      <c r="F573" s="1153"/>
      <c r="G573" s="1151">
        <f>'PART-A'!I2832</f>
        <v>0</v>
      </c>
      <c r="H573" s="1148" t="s">
        <v>102</v>
      </c>
      <c r="I573" s="1152">
        <f>'PART-A'!K2832</f>
        <v>8058</v>
      </c>
      <c r="J573" s="1153">
        <f>ROUND(G573*I573,0)</f>
        <v>0</v>
      </c>
      <c r="K573" s="1680"/>
      <c r="L573" s="1680"/>
      <c r="M573" s="1159" t="s">
        <v>2312</v>
      </c>
      <c r="N573" s="1155"/>
      <c r="O573" s="1160">
        <f t="shared" si="83"/>
        <v>0</v>
      </c>
    </row>
    <row r="574" spans="1:15" s="360" customFormat="1" ht="38.25" hidden="1">
      <c r="A574" s="356" t="s">
        <v>494</v>
      </c>
      <c r="B574" s="632" t="s">
        <v>3218</v>
      </c>
      <c r="C574" s="551"/>
      <c r="D574" s="354"/>
      <c r="E574" s="10"/>
      <c r="F574" s="353"/>
      <c r="G574" s="358">
        <f>'PART-A'!I2966</f>
        <v>0</v>
      </c>
      <c r="H574" s="354" t="s">
        <v>102</v>
      </c>
      <c r="I574" s="355">
        <f>'PART-A'!K2966</f>
        <v>8622</v>
      </c>
      <c r="J574" s="353">
        <f>ROUND(G574*I574,0)</f>
        <v>0</v>
      </c>
      <c r="K574" s="1681"/>
      <c r="L574" s="1681"/>
      <c r="M574" s="851" t="s">
        <v>2313</v>
      </c>
      <c r="N574" s="223"/>
      <c r="O574" s="850">
        <f t="shared" si="83"/>
        <v>0</v>
      </c>
    </row>
    <row r="575" spans="1:15" s="360" customFormat="1" ht="25.5" hidden="1">
      <c r="A575" s="356" t="s">
        <v>1145</v>
      </c>
      <c r="B575" s="632" t="s">
        <v>965</v>
      </c>
      <c r="C575" s="634"/>
      <c r="D575" s="354"/>
      <c r="E575" s="10"/>
      <c r="F575" s="353"/>
      <c r="G575" s="358">
        <f>'PART-A'!I2564</f>
        <v>0</v>
      </c>
      <c r="H575" s="354" t="s">
        <v>102</v>
      </c>
      <c r="I575" s="355">
        <f>'PART-A'!K2564</f>
        <v>6038</v>
      </c>
      <c r="J575" s="353">
        <f t="shared" si="96"/>
        <v>0</v>
      </c>
      <c r="K575" s="1679">
        <f>IF((J575+J576+J577+J578)&gt;(F575+F576+F577+F578),(J575+J576+J577+J578)-(F575+F576+F577+F578),0)</f>
        <v>0</v>
      </c>
      <c r="L575" s="1679">
        <f>IF((J575+J576+J577+J578)&lt;(F575+F576+F577+F578),(F575+F576+F577+F578)-(J575+J576+J577+J578),0)</f>
        <v>0</v>
      </c>
      <c r="M575" s="633" t="s">
        <v>2217</v>
      </c>
      <c r="N575" s="223"/>
      <c r="O575" s="631">
        <f t="shared" si="83"/>
        <v>0</v>
      </c>
    </row>
    <row r="576" spans="1:15" s="360" customFormat="1" ht="25.5" hidden="1">
      <c r="A576" s="356" t="s">
        <v>1146</v>
      </c>
      <c r="B576" s="632" t="s">
        <v>965</v>
      </c>
      <c r="C576" s="634"/>
      <c r="D576" s="354"/>
      <c r="E576" s="10"/>
      <c r="F576" s="353"/>
      <c r="G576" s="358">
        <f>'PART-A'!I2700</f>
        <v>0</v>
      </c>
      <c r="H576" s="354" t="s">
        <v>102</v>
      </c>
      <c r="I576" s="355">
        <f>'PART-A'!K2700</f>
        <v>6038</v>
      </c>
      <c r="J576" s="353">
        <f>ROUND(G576*I576,0)</f>
        <v>0</v>
      </c>
      <c r="K576" s="1680"/>
      <c r="L576" s="1680"/>
      <c r="M576" s="633" t="s">
        <v>2299</v>
      </c>
      <c r="N576" s="223"/>
      <c r="O576" s="631">
        <f t="shared" si="83"/>
        <v>0</v>
      </c>
    </row>
    <row r="577" spans="1:15" s="360" customFormat="1" ht="25.5" hidden="1">
      <c r="A577" s="356" t="s">
        <v>1145</v>
      </c>
      <c r="B577" s="632" t="s">
        <v>965</v>
      </c>
      <c r="C577" s="634"/>
      <c r="D577" s="354"/>
      <c r="E577" s="10"/>
      <c r="F577" s="353"/>
      <c r="G577" s="358">
        <f>'PART-A'!I2836</f>
        <v>0</v>
      </c>
      <c r="H577" s="354" t="s">
        <v>102</v>
      </c>
      <c r="I577" s="355">
        <f>'PART-A'!K2836</f>
        <v>6038</v>
      </c>
      <c r="J577" s="353">
        <f>ROUND(G577*I577,0)</f>
        <v>0</v>
      </c>
      <c r="K577" s="1680"/>
      <c r="L577" s="1680"/>
      <c r="M577" s="633" t="s">
        <v>2312</v>
      </c>
      <c r="N577" s="223"/>
      <c r="O577" s="631">
        <f t="shared" si="83"/>
        <v>0</v>
      </c>
    </row>
    <row r="578" spans="1:15" s="360" customFormat="1" ht="25.5" hidden="1">
      <c r="A578" s="356" t="s">
        <v>1145</v>
      </c>
      <c r="B578" s="632" t="s">
        <v>965</v>
      </c>
      <c r="C578" s="634"/>
      <c r="D578" s="354"/>
      <c r="E578" s="10"/>
      <c r="F578" s="353"/>
      <c r="G578" s="358">
        <f>'PART-A'!I2970</f>
        <v>0</v>
      </c>
      <c r="H578" s="354" t="s">
        <v>102</v>
      </c>
      <c r="I578" s="355">
        <f>'PART-A'!K2970</f>
        <v>6460</v>
      </c>
      <c r="J578" s="353">
        <f>ROUND(G578*I578,0)</f>
        <v>0</v>
      </c>
      <c r="K578" s="1681"/>
      <c r="L578" s="1681"/>
      <c r="M578" s="633" t="s">
        <v>2313</v>
      </c>
      <c r="N578" s="223"/>
      <c r="O578" s="631">
        <f t="shared" si="83"/>
        <v>0</v>
      </c>
    </row>
    <row r="579" spans="1:15" s="360" customFormat="1" ht="25.5" hidden="1">
      <c r="A579" s="356" t="s">
        <v>1576</v>
      </c>
      <c r="B579" s="632" t="s">
        <v>966</v>
      </c>
      <c r="C579" s="634"/>
      <c r="D579" s="354"/>
      <c r="E579" s="10"/>
      <c r="F579" s="353"/>
      <c r="G579" s="358">
        <f>'PART-A'!I2568</f>
        <v>0</v>
      </c>
      <c r="H579" s="354" t="s">
        <v>102</v>
      </c>
      <c r="I579" s="355">
        <f>'PART-A'!K2568</f>
        <v>5830</v>
      </c>
      <c r="J579" s="353">
        <f t="shared" si="96"/>
        <v>0</v>
      </c>
      <c r="K579" s="1679">
        <f>IF((J579+J580+J581+J582)&gt;(F579+F580+F581+F582),(J579+J580+J581+J582)-(F579+F580+F581+F582),0)</f>
        <v>0</v>
      </c>
      <c r="L579" s="1679">
        <f>IF((J579+J580+J581+J582)&lt;(F579+F580+F581+F582),(F579+F580+F581+F582)-(J579+J580+J581+J582),0)</f>
        <v>0</v>
      </c>
      <c r="M579" s="633" t="s">
        <v>2217</v>
      </c>
      <c r="N579" s="223"/>
      <c r="O579" s="631">
        <f t="shared" si="83"/>
        <v>0</v>
      </c>
    </row>
    <row r="580" spans="1:15" s="360" customFormat="1" ht="25.5" hidden="1">
      <c r="A580" s="356" t="s">
        <v>1576</v>
      </c>
      <c r="B580" s="632" t="s">
        <v>966</v>
      </c>
      <c r="C580" s="634"/>
      <c r="D580" s="354"/>
      <c r="E580" s="10"/>
      <c r="F580" s="353"/>
      <c r="G580" s="358">
        <f>'PART-A'!I2706</f>
        <v>0</v>
      </c>
      <c r="H580" s="354" t="s">
        <v>102</v>
      </c>
      <c r="I580" s="355">
        <f>'PART-A'!K2706</f>
        <v>5830</v>
      </c>
      <c r="J580" s="353">
        <f>ROUND(G580*I580,0)</f>
        <v>0</v>
      </c>
      <c r="K580" s="1680"/>
      <c r="L580" s="1680"/>
      <c r="M580" s="633" t="s">
        <v>2299</v>
      </c>
      <c r="N580" s="223"/>
      <c r="O580" s="631">
        <f t="shared" si="83"/>
        <v>0</v>
      </c>
    </row>
    <row r="581" spans="1:15" s="360" customFormat="1" ht="25.5" hidden="1">
      <c r="A581" s="356" t="s">
        <v>1576</v>
      </c>
      <c r="B581" s="632" t="s">
        <v>966</v>
      </c>
      <c r="C581" s="634"/>
      <c r="D581" s="354"/>
      <c r="E581" s="10"/>
      <c r="F581" s="353"/>
      <c r="G581" s="358">
        <f>'PART-A'!I2840</f>
        <v>0</v>
      </c>
      <c r="H581" s="354" t="s">
        <v>102</v>
      </c>
      <c r="I581" s="355">
        <f>'PART-A'!K2840</f>
        <v>5830</v>
      </c>
      <c r="J581" s="353">
        <f>ROUND(G581*I581,0)</f>
        <v>0</v>
      </c>
      <c r="K581" s="1680"/>
      <c r="L581" s="1680"/>
      <c r="M581" s="633" t="s">
        <v>2312</v>
      </c>
      <c r="N581" s="223"/>
      <c r="O581" s="631">
        <f t="shared" si="83"/>
        <v>0</v>
      </c>
    </row>
    <row r="582" spans="1:15" s="360" customFormat="1" ht="25.5" hidden="1">
      <c r="A582" s="356" t="s">
        <v>1576</v>
      </c>
      <c r="B582" s="632" t="s">
        <v>966</v>
      </c>
      <c r="C582" s="634"/>
      <c r="D582" s="354"/>
      <c r="E582" s="10"/>
      <c r="F582" s="353"/>
      <c r="G582" s="358">
        <f>'PART-A'!I2974</f>
        <v>0</v>
      </c>
      <c r="H582" s="354" t="s">
        <v>102</v>
      </c>
      <c r="I582" s="355">
        <f>'PART-A'!K2974</f>
        <v>6238</v>
      </c>
      <c r="J582" s="353">
        <f>ROUND(G582*I582,0)</f>
        <v>0</v>
      </c>
      <c r="K582" s="1681"/>
      <c r="L582" s="1681"/>
      <c r="M582" s="633" t="s">
        <v>2313</v>
      </c>
      <c r="N582" s="223"/>
      <c r="O582" s="631">
        <f t="shared" si="83"/>
        <v>0</v>
      </c>
    </row>
    <row r="583" spans="1:15" s="360" customFormat="1" ht="15" hidden="1">
      <c r="A583" s="356"/>
      <c r="B583" s="632" t="s">
        <v>2285</v>
      </c>
      <c r="C583" s="634"/>
      <c r="D583" s="354"/>
      <c r="E583" s="10"/>
      <c r="F583" s="353"/>
      <c r="G583" s="358">
        <f>'PART-A'!I2573</f>
        <v>0</v>
      </c>
      <c r="H583" s="354" t="s">
        <v>102</v>
      </c>
      <c r="I583" s="355">
        <f>'PART-A'!K2573</f>
        <v>3797</v>
      </c>
      <c r="J583" s="353">
        <f t="shared" si="96"/>
        <v>0</v>
      </c>
      <c r="K583" s="1679">
        <f>IF((J583+J584+J585+J586)&gt;(F583+F584+F585+F586),(J583+J584+J585+J586)-(F583+F584+F585+F586),0)</f>
        <v>0</v>
      </c>
      <c r="L583" s="1679">
        <f>IF((J583+J584+J585+J586)&lt;(F583+F584+F585+F586),(F583+F584+F585+F586)-(J583+J584+J585+J586),0)</f>
        <v>0</v>
      </c>
      <c r="M583" s="633" t="s">
        <v>2217</v>
      </c>
      <c r="N583" s="223"/>
      <c r="O583" s="631">
        <f t="shared" si="83"/>
        <v>0</v>
      </c>
    </row>
    <row r="584" spans="1:15" s="360" customFormat="1" ht="15" hidden="1">
      <c r="A584" s="356"/>
      <c r="B584" s="632" t="s">
        <v>2285</v>
      </c>
      <c r="C584" s="634"/>
      <c r="D584" s="354"/>
      <c r="E584" s="10"/>
      <c r="F584" s="353"/>
      <c r="G584" s="358">
        <f>'PART-A'!I2711</f>
        <v>0</v>
      </c>
      <c r="H584" s="354" t="s">
        <v>102</v>
      </c>
      <c r="I584" s="355">
        <f>'PART-A'!K2711</f>
        <v>3797</v>
      </c>
      <c r="J584" s="353">
        <f>ROUND(G584*I584,0)</f>
        <v>0</v>
      </c>
      <c r="K584" s="1680"/>
      <c r="L584" s="1680"/>
      <c r="M584" s="633" t="s">
        <v>2299</v>
      </c>
      <c r="N584" s="223"/>
      <c r="O584" s="631">
        <f t="shared" si="83"/>
        <v>0</v>
      </c>
    </row>
    <row r="585" spans="1:15" s="360" customFormat="1" ht="15" hidden="1">
      <c r="A585" s="356"/>
      <c r="B585" s="632" t="s">
        <v>2285</v>
      </c>
      <c r="C585" s="634"/>
      <c r="D585" s="354"/>
      <c r="E585" s="10"/>
      <c r="F585" s="353"/>
      <c r="G585" s="358">
        <f>'PART-A'!I2845</f>
        <v>0</v>
      </c>
      <c r="H585" s="354" t="s">
        <v>102</v>
      </c>
      <c r="I585" s="355">
        <f>'PART-A'!K2845</f>
        <v>3797</v>
      </c>
      <c r="J585" s="353">
        <f>ROUND(G585*I585,0)</f>
        <v>0</v>
      </c>
      <c r="K585" s="1680"/>
      <c r="L585" s="1680"/>
      <c r="M585" s="633" t="s">
        <v>2312</v>
      </c>
      <c r="N585" s="223"/>
      <c r="O585" s="631">
        <f t="shared" si="83"/>
        <v>0</v>
      </c>
    </row>
    <row r="586" spans="1:15" s="360" customFormat="1" ht="15" hidden="1">
      <c r="A586" s="356"/>
      <c r="B586" s="632" t="s">
        <v>2285</v>
      </c>
      <c r="C586" s="634"/>
      <c r="D586" s="354"/>
      <c r="E586" s="10"/>
      <c r="F586" s="353"/>
      <c r="G586" s="358">
        <f>'PART-A'!I2979</f>
        <v>0</v>
      </c>
      <c r="H586" s="354" t="s">
        <v>102</v>
      </c>
      <c r="I586" s="355">
        <f>'PART-A'!K2979</f>
        <v>4062</v>
      </c>
      <c r="J586" s="353">
        <f>ROUND(G586*I586,0)</f>
        <v>0</v>
      </c>
      <c r="K586" s="1681"/>
      <c r="L586" s="1681"/>
      <c r="M586" s="633" t="s">
        <v>2313</v>
      </c>
      <c r="N586" s="223"/>
      <c r="O586" s="631">
        <f t="shared" si="83"/>
        <v>0</v>
      </c>
    </row>
    <row r="587" spans="1:15" s="360" customFormat="1" ht="15" hidden="1">
      <c r="A587" s="356" t="s">
        <v>1147</v>
      </c>
      <c r="B587" s="632" t="s">
        <v>712</v>
      </c>
      <c r="C587" s="635"/>
      <c r="D587" s="354"/>
      <c r="E587" s="362"/>
      <c r="F587" s="353"/>
      <c r="G587" s="358">
        <f>'PART-A'!I2578</f>
        <v>0</v>
      </c>
      <c r="H587" s="354" t="s">
        <v>115</v>
      </c>
      <c r="I587" s="355">
        <f>'PART-A'!K2578</f>
        <v>494.94</v>
      </c>
      <c r="J587" s="353">
        <f t="shared" si="96"/>
        <v>0</v>
      </c>
      <c r="K587" s="1679">
        <f>IF((J587+J588+J589+J590)&gt;(F587+F588+F589+F590),(J587+J588+J589+J590)-(F587+F588+F589+F590),0)</f>
        <v>0</v>
      </c>
      <c r="L587" s="1679">
        <f>IF((J587+J588+J589+J590)&lt;(F587+F588+F589+F590),(F587+F588+F589+F590)-(J587+J588+J589+J590),0)</f>
        <v>0</v>
      </c>
      <c r="M587" s="633" t="s">
        <v>2217</v>
      </c>
      <c r="N587" s="223"/>
      <c r="O587" s="631">
        <f t="shared" si="83"/>
        <v>0</v>
      </c>
    </row>
    <row r="588" spans="1:15" s="360" customFormat="1" ht="15" hidden="1">
      <c r="A588" s="356" t="s">
        <v>1147</v>
      </c>
      <c r="B588" s="632" t="s">
        <v>712</v>
      </c>
      <c r="C588" s="635"/>
      <c r="D588" s="354"/>
      <c r="E588" s="362"/>
      <c r="F588" s="353"/>
      <c r="G588" s="358">
        <f>'PART-A'!I2716</f>
        <v>0</v>
      </c>
      <c r="H588" s="354" t="s">
        <v>115</v>
      </c>
      <c r="I588" s="355">
        <f>'PART-A'!K2716</f>
        <v>494.64</v>
      </c>
      <c r="J588" s="353">
        <f>ROUND(G588*I588,0)</f>
        <v>0</v>
      </c>
      <c r="K588" s="1680"/>
      <c r="L588" s="1680"/>
      <c r="M588" s="633" t="s">
        <v>2299</v>
      </c>
      <c r="N588" s="223"/>
      <c r="O588" s="631">
        <f t="shared" si="83"/>
        <v>0</v>
      </c>
    </row>
    <row r="589" spans="1:15" s="360" customFormat="1" ht="15" hidden="1">
      <c r="A589" s="356" t="s">
        <v>1147</v>
      </c>
      <c r="B589" s="632" t="s">
        <v>712</v>
      </c>
      <c r="C589" s="635"/>
      <c r="D589" s="354"/>
      <c r="E589" s="362"/>
      <c r="F589" s="353"/>
      <c r="G589" s="358">
        <f>'PART-A'!I2850</f>
        <v>0</v>
      </c>
      <c r="H589" s="354" t="s">
        <v>115</v>
      </c>
      <c r="I589" s="355">
        <f>'PART-A'!K2850</f>
        <v>520.87</v>
      </c>
      <c r="J589" s="353">
        <f>ROUND(G589*I589,0)</f>
        <v>0</v>
      </c>
      <c r="K589" s="1680"/>
      <c r="L589" s="1680"/>
      <c r="M589" s="633" t="s">
        <v>2312</v>
      </c>
      <c r="N589" s="223"/>
      <c r="O589" s="631">
        <f t="shared" ref="O589:O653" si="97">F589-J589</f>
        <v>0</v>
      </c>
    </row>
    <row r="590" spans="1:15" s="360" customFormat="1" ht="15" hidden="1">
      <c r="A590" s="356" t="s">
        <v>1147</v>
      </c>
      <c r="B590" s="632" t="s">
        <v>712</v>
      </c>
      <c r="C590" s="635"/>
      <c r="D590" s="354"/>
      <c r="E590" s="362"/>
      <c r="F590" s="353"/>
      <c r="G590" s="358">
        <f>'PART-A'!I2984</f>
        <v>0</v>
      </c>
      <c r="H590" s="354" t="s">
        <v>115</v>
      </c>
      <c r="I590" s="355">
        <f>'PART-A'!K2984</f>
        <v>576.98</v>
      </c>
      <c r="J590" s="353">
        <f>ROUND(G590*I590,0)</f>
        <v>0</v>
      </c>
      <c r="K590" s="1681"/>
      <c r="L590" s="1681"/>
      <c r="M590" s="633" t="s">
        <v>2313</v>
      </c>
      <c r="N590" s="223"/>
      <c r="O590" s="631">
        <f t="shared" si="97"/>
        <v>0</v>
      </c>
    </row>
    <row r="591" spans="1:15" s="360" customFormat="1" ht="15" hidden="1">
      <c r="A591" s="356" t="s">
        <v>1577</v>
      </c>
      <c r="B591" s="632" t="s">
        <v>932</v>
      </c>
      <c r="C591" s="611"/>
      <c r="D591" s="354"/>
      <c r="E591" s="607"/>
      <c r="F591" s="353"/>
      <c r="G591" s="358">
        <f>'PART-A'!I2583</f>
        <v>0</v>
      </c>
      <c r="H591" s="354" t="s">
        <v>102</v>
      </c>
      <c r="I591" s="355">
        <f>'PART-A'!K2583</f>
        <v>513.1</v>
      </c>
      <c r="J591" s="353">
        <f t="shared" si="96"/>
        <v>0</v>
      </c>
      <c r="K591" s="1679">
        <f>IF((J591+J592+J593+J594)&gt;(F591+F592+F593+F594),(J591+J592+J593+J594)-(F591+F592+F593+F594),0)</f>
        <v>0</v>
      </c>
      <c r="L591" s="1679">
        <f>IF((J591+J592+J593+J594)&lt;(F591+F592+F593+F594),(F591+F592+F593+F594)-(J591+J592+J593+J594),0)</f>
        <v>0</v>
      </c>
      <c r="M591" s="633" t="s">
        <v>2217</v>
      </c>
      <c r="N591" s="223"/>
      <c r="O591" s="631">
        <f t="shared" si="97"/>
        <v>0</v>
      </c>
    </row>
    <row r="592" spans="1:15" s="360" customFormat="1" ht="15" hidden="1">
      <c r="A592" s="356" t="s">
        <v>1577</v>
      </c>
      <c r="B592" s="632" t="s">
        <v>932</v>
      </c>
      <c r="C592" s="611"/>
      <c r="D592" s="354"/>
      <c r="E592" s="607"/>
      <c r="F592" s="353"/>
      <c r="G592" s="358">
        <f>'PART-A'!I2721</f>
        <v>0</v>
      </c>
      <c r="H592" s="354" t="s">
        <v>102</v>
      </c>
      <c r="I592" s="355">
        <f>'PART-A'!K2721</f>
        <v>529.5</v>
      </c>
      <c r="J592" s="353">
        <f>ROUND(G592*I592,0)</f>
        <v>0</v>
      </c>
      <c r="K592" s="1680"/>
      <c r="L592" s="1680"/>
      <c r="M592" s="633" t="s">
        <v>2299</v>
      </c>
      <c r="N592" s="223"/>
      <c r="O592" s="631">
        <f t="shared" si="97"/>
        <v>0</v>
      </c>
    </row>
    <row r="593" spans="1:15" s="360" customFormat="1" ht="15" hidden="1">
      <c r="A593" s="356" t="s">
        <v>1577</v>
      </c>
      <c r="B593" s="632" t="s">
        <v>932</v>
      </c>
      <c r="C593" s="611"/>
      <c r="D593" s="354"/>
      <c r="E593" s="607"/>
      <c r="F593" s="353"/>
      <c r="G593" s="358">
        <f>'PART-A'!I2855</f>
        <v>0</v>
      </c>
      <c r="H593" s="354" t="s">
        <v>102</v>
      </c>
      <c r="I593" s="355">
        <f>'PART-A'!K2855</f>
        <v>554.35</v>
      </c>
      <c r="J593" s="353">
        <f>ROUND(G593*I593,0)</f>
        <v>0</v>
      </c>
      <c r="K593" s="1680"/>
      <c r="L593" s="1680"/>
      <c r="M593" s="633" t="s">
        <v>2312</v>
      </c>
      <c r="N593" s="223"/>
      <c r="O593" s="631">
        <f t="shared" si="97"/>
        <v>0</v>
      </c>
    </row>
    <row r="594" spans="1:15" s="360" customFormat="1" ht="15" hidden="1">
      <c r="A594" s="356" t="s">
        <v>514</v>
      </c>
      <c r="B594" s="632" t="s">
        <v>932</v>
      </c>
      <c r="C594" s="611"/>
      <c r="D594" s="354"/>
      <c r="E594" s="607"/>
      <c r="F594" s="353"/>
      <c r="G594" s="358">
        <f>'PART-A'!I2990</f>
        <v>0</v>
      </c>
      <c r="H594" s="354" t="s">
        <v>102</v>
      </c>
      <c r="I594" s="355">
        <f>'PART-A'!K2990</f>
        <v>604.07999999999993</v>
      </c>
      <c r="J594" s="353">
        <f>ROUND(G594*I594,0)</f>
        <v>0</v>
      </c>
      <c r="K594" s="1681"/>
      <c r="L594" s="1681"/>
      <c r="M594" s="633" t="s">
        <v>2313</v>
      </c>
      <c r="N594" s="223"/>
      <c r="O594" s="631">
        <f t="shared" si="97"/>
        <v>0</v>
      </c>
    </row>
    <row r="595" spans="1:15" s="1157" customFormat="1" ht="51">
      <c r="A595" s="1146" t="s">
        <v>493</v>
      </c>
      <c r="B595" s="1147" t="s">
        <v>3219</v>
      </c>
      <c r="C595" s="1162"/>
      <c r="D595" s="1148"/>
      <c r="E595" s="1163"/>
      <c r="F595" s="1153"/>
      <c r="G595" s="1151">
        <f>'PART-A'!I2588</f>
        <v>320</v>
      </c>
      <c r="H595" s="1148" t="s">
        <v>872</v>
      </c>
      <c r="I595" s="1152">
        <f>'PART-A'!K2588</f>
        <v>84.009999999999991</v>
      </c>
      <c r="J595" s="1153">
        <f t="shared" si="96"/>
        <v>26883</v>
      </c>
      <c r="K595" s="1679">
        <f>IF((J595+J596+J597+J598)&gt;(F595+F596+F597+F598),(J595+J596+J597+J598)-(F595+F596+F597+F598),0)</f>
        <v>26883</v>
      </c>
      <c r="L595" s="1679">
        <f>IF((J595+J596+J597+J598)&lt;(F595+F596+F597+F598),(F595+F596+F597+F598)-(J595+J596+J597+J598),0)</f>
        <v>0</v>
      </c>
      <c r="M595" s="1154" t="s">
        <v>2217</v>
      </c>
      <c r="N595" s="1155"/>
      <c r="O595" s="1156">
        <f t="shared" si="97"/>
        <v>-26883</v>
      </c>
    </row>
    <row r="596" spans="1:15" s="1157" customFormat="1" ht="15" hidden="1">
      <c r="A596" s="1146" t="s">
        <v>513</v>
      </c>
      <c r="B596" s="1147" t="s">
        <v>542</v>
      </c>
      <c r="C596" s="1162"/>
      <c r="D596" s="1148"/>
      <c r="E596" s="1163"/>
      <c r="F596" s="1153"/>
      <c r="G596" s="1151">
        <f>'PART-A'!I2726</f>
        <v>0</v>
      </c>
      <c r="H596" s="1148" t="s">
        <v>872</v>
      </c>
      <c r="I596" s="1152">
        <f>'PART-A'!K2726</f>
        <v>82.8</v>
      </c>
      <c r="J596" s="1153">
        <f>ROUND(G596*I596,0)</f>
        <v>0</v>
      </c>
      <c r="K596" s="1680"/>
      <c r="L596" s="1680"/>
      <c r="M596" s="1159" t="s">
        <v>2299</v>
      </c>
      <c r="N596" s="1155"/>
      <c r="O596" s="1160">
        <f t="shared" si="97"/>
        <v>0</v>
      </c>
    </row>
    <row r="597" spans="1:15" s="360" customFormat="1" ht="15" hidden="1">
      <c r="A597" s="356" t="s">
        <v>533</v>
      </c>
      <c r="B597" s="632" t="s">
        <v>542</v>
      </c>
      <c r="C597" s="635"/>
      <c r="D597" s="354"/>
      <c r="E597" s="362"/>
      <c r="F597" s="353"/>
      <c r="G597" s="358">
        <f>'PART-A'!I2861</f>
        <v>0</v>
      </c>
      <c r="H597" s="354" t="s">
        <v>872</v>
      </c>
      <c r="I597" s="355">
        <f>'PART-A'!K2861</f>
        <v>95.89</v>
      </c>
      <c r="J597" s="353">
        <f>ROUND(G597*I597,0)</f>
        <v>0</v>
      </c>
      <c r="K597" s="1680"/>
      <c r="L597" s="1680"/>
      <c r="M597" s="633" t="s">
        <v>2312</v>
      </c>
      <c r="N597" s="223"/>
      <c r="O597" s="631">
        <f t="shared" si="97"/>
        <v>0</v>
      </c>
    </row>
    <row r="598" spans="1:15" s="360" customFormat="1" ht="51" hidden="1">
      <c r="A598" s="356" t="s">
        <v>504</v>
      </c>
      <c r="B598" s="632" t="s">
        <v>3219</v>
      </c>
      <c r="C598" s="635"/>
      <c r="D598" s="354"/>
      <c r="E598" s="362"/>
      <c r="F598" s="353"/>
      <c r="G598" s="358">
        <f>'PART-A'!I2995</f>
        <v>0</v>
      </c>
      <c r="H598" s="354" t="s">
        <v>872</v>
      </c>
      <c r="I598" s="355">
        <f>'PART-A'!K2995</f>
        <v>110.99</v>
      </c>
      <c r="J598" s="353">
        <f>ROUND(G598*I598,0)</f>
        <v>0</v>
      </c>
      <c r="K598" s="1681"/>
      <c r="L598" s="1681"/>
      <c r="M598" s="851" t="s">
        <v>2313</v>
      </c>
      <c r="N598" s="223"/>
      <c r="O598" s="850">
        <f t="shared" si="97"/>
        <v>0</v>
      </c>
    </row>
    <row r="599" spans="1:15" s="360" customFormat="1" ht="15" hidden="1">
      <c r="A599" s="356" t="s">
        <v>1591</v>
      </c>
      <c r="B599" s="632" t="s">
        <v>542</v>
      </c>
      <c r="C599" s="634"/>
      <c r="D599" s="354"/>
      <c r="E599" s="362"/>
      <c r="F599" s="353"/>
      <c r="G599" s="358">
        <f>'PART-A'!I2595</f>
        <v>0</v>
      </c>
      <c r="H599" s="354" t="s">
        <v>102</v>
      </c>
      <c r="I599" s="355">
        <f>'PART-A'!K2595</f>
        <v>2353.58</v>
      </c>
      <c r="J599" s="353">
        <f t="shared" si="96"/>
        <v>0</v>
      </c>
      <c r="K599" s="1679">
        <f>IF((J599+J600+J601+J602)&gt;(F599+F600+F601+F602),(J599+J600+J601+J602)-(F599+F600+F601+F602),0)</f>
        <v>0</v>
      </c>
      <c r="L599" s="1679">
        <f>IF((J599+J600+J601+J602)&lt;(F599+F600+F601+F602),(F599+F600+F601+F602)-(J599+J600+J601+J602),0)</f>
        <v>0</v>
      </c>
      <c r="M599" s="633" t="s">
        <v>2217</v>
      </c>
      <c r="N599" s="223"/>
      <c r="O599" s="631">
        <f t="shared" si="97"/>
        <v>0</v>
      </c>
    </row>
    <row r="600" spans="1:15" s="360" customFormat="1" ht="15" hidden="1">
      <c r="A600" s="356" t="s">
        <v>515</v>
      </c>
      <c r="B600" s="632" t="s">
        <v>542</v>
      </c>
      <c r="C600" s="634"/>
      <c r="D600" s="354"/>
      <c r="E600" s="362"/>
      <c r="F600" s="353"/>
      <c r="G600" s="358">
        <f>'PART-A'!I2731</f>
        <v>0</v>
      </c>
      <c r="H600" s="354" t="s">
        <v>102</v>
      </c>
      <c r="I600" s="355">
        <f>'PART-A'!K2731</f>
        <v>2324.02</v>
      </c>
      <c r="J600" s="353">
        <f>ROUND(G600*I600,0)</f>
        <v>0</v>
      </c>
      <c r="K600" s="1680"/>
      <c r="L600" s="1680"/>
      <c r="M600" s="633" t="s">
        <v>2299</v>
      </c>
      <c r="N600" s="223"/>
      <c r="O600" s="631">
        <f t="shared" si="97"/>
        <v>0</v>
      </c>
    </row>
    <row r="601" spans="1:15" s="360" customFormat="1" ht="15" hidden="1">
      <c r="A601" s="356" t="s">
        <v>1520</v>
      </c>
      <c r="B601" s="632" t="s">
        <v>542</v>
      </c>
      <c r="C601" s="634"/>
      <c r="D601" s="354"/>
      <c r="E601" s="362"/>
      <c r="F601" s="353"/>
      <c r="G601" s="358">
        <f>'PART-A'!I2866</f>
        <v>0</v>
      </c>
      <c r="H601" s="354" t="s">
        <v>102</v>
      </c>
      <c r="I601" s="355">
        <f>'PART-A'!K2866</f>
        <v>2719.44</v>
      </c>
      <c r="J601" s="353">
        <f>ROUND(G601*I601,0)</f>
        <v>0</v>
      </c>
      <c r="K601" s="1680"/>
      <c r="L601" s="1680"/>
      <c r="M601" s="633" t="s">
        <v>2312</v>
      </c>
      <c r="N601" s="223"/>
      <c r="O601" s="631">
        <f t="shared" si="97"/>
        <v>0</v>
      </c>
    </row>
    <row r="602" spans="1:15" s="360" customFormat="1" ht="15" hidden="1">
      <c r="A602" s="356" t="s">
        <v>1591</v>
      </c>
      <c r="B602" s="632" t="s">
        <v>542</v>
      </c>
      <c r="C602" s="634"/>
      <c r="D602" s="354"/>
      <c r="E602" s="362"/>
      <c r="F602" s="353"/>
      <c r="G602" s="358">
        <f>'PART-A'!I3002</f>
        <v>0</v>
      </c>
      <c r="H602" s="354" t="s">
        <v>102</v>
      </c>
      <c r="I602" s="355">
        <f>'PART-A'!K3002</f>
        <v>3138.49</v>
      </c>
      <c r="J602" s="353">
        <f>ROUND(G602*I602,0)</f>
        <v>0</v>
      </c>
      <c r="K602" s="1681"/>
      <c r="L602" s="1681"/>
      <c r="M602" s="633" t="s">
        <v>2313</v>
      </c>
      <c r="N602" s="223"/>
      <c r="O602" s="631">
        <f t="shared" si="97"/>
        <v>0</v>
      </c>
    </row>
    <row r="603" spans="1:15" s="360" customFormat="1" ht="15" hidden="1">
      <c r="A603" s="356" t="s">
        <v>518</v>
      </c>
      <c r="B603" s="632" t="s">
        <v>632</v>
      </c>
      <c r="C603" s="611"/>
      <c r="D603" s="354"/>
      <c r="E603" s="607"/>
      <c r="F603" s="353"/>
      <c r="G603" s="358">
        <f>'PART-A'!I2600</f>
        <v>0</v>
      </c>
      <c r="H603" s="354"/>
      <c r="I603" s="355">
        <f>'PART-A'!K2600</f>
        <v>106.5</v>
      </c>
      <c r="J603" s="353">
        <f t="shared" si="96"/>
        <v>0</v>
      </c>
      <c r="K603" s="1679">
        <f>IF((J603+J604+J605+J606)&gt;(F603+F604+F605+F606),(J603+J604+J605+J606)-(F603+F604+F605+F606),0)</f>
        <v>0</v>
      </c>
      <c r="L603" s="1679">
        <f>IF((J603+J604+J605+J606)&lt;(F603+F604+F605+F606),(F603+F604+F605+F606)-(J603+J604+J605+J606),0)</f>
        <v>0</v>
      </c>
      <c r="M603" s="633" t="s">
        <v>2217</v>
      </c>
      <c r="N603" s="223"/>
      <c r="O603" s="631">
        <f t="shared" si="97"/>
        <v>0</v>
      </c>
    </row>
    <row r="604" spans="1:15" s="360" customFormat="1" ht="15" hidden="1">
      <c r="A604" s="356" t="s">
        <v>518</v>
      </c>
      <c r="B604" s="632" t="s">
        <v>632</v>
      </c>
      <c r="C604" s="611"/>
      <c r="D604" s="354"/>
      <c r="E604" s="607"/>
      <c r="F604" s="353"/>
      <c r="G604" s="358">
        <f>'PART-A'!I2736</f>
        <v>0</v>
      </c>
      <c r="H604" s="354"/>
      <c r="I604" s="355">
        <f>'PART-A'!K2736</f>
        <v>106.5</v>
      </c>
      <c r="J604" s="353">
        <f>ROUND(G604*I604,0)</f>
        <v>0</v>
      </c>
      <c r="K604" s="1680"/>
      <c r="L604" s="1680"/>
      <c r="M604" s="633" t="s">
        <v>2299</v>
      </c>
      <c r="N604" s="223"/>
      <c r="O604" s="631">
        <f t="shared" si="97"/>
        <v>0</v>
      </c>
    </row>
    <row r="605" spans="1:15" s="360" customFormat="1" ht="15" hidden="1">
      <c r="A605" s="356" t="s">
        <v>518</v>
      </c>
      <c r="B605" s="632" t="s">
        <v>632</v>
      </c>
      <c r="C605" s="611"/>
      <c r="D605" s="354"/>
      <c r="E605" s="607"/>
      <c r="F605" s="353"/>
      <c r="G605" s="358">
        <f>'PART-A'!I2871</f>
        <v>0</v>
      </c>
      <c r="H605" s="354"/>
      <c r="I605" s="355">
        <f>'PART-A'!K2871</f>
        <v>114.65</v>
      </c>
      <c r="J605" s="353">
        <f>ROUND(G605*I605,0)</f>
        <v>0</v>
      </c>
      <c r="K605" s="1680"/>
      <c r="L605" s="1680"/>
      <c r="M605" s="633" t="s">
        <v>2312</v>
      </c>
      <c r="N605" s="223"/>
      <c r="O605" s="631">
        <f t="shared" si="97"/>
        <v>0</v>
      </c>
    </row>
    <row r="606" spans="1:15" s="360" customFormat="1" ht="15" hidden="1">
      <c r="A606" s="356" t="s">
        <v>518</v>
      </c>
      <c r="B606" s="632" t="s">
        <v>632</v>
      </c>
      <c r="C606" s="611"/>
      <c r="D606" s="354"/>
      <c r="E606" s="607"/>
      <c r="F606" s="353"/>
      <c r="G606" s="358">
        <f>'PART-A'!I3007</f>
        <v>0</v>
      </c>
      <c r="H606" s="354"/>
      <c r="I606" s="355">
        <f>'PART-A'!K3007</f>
        <v>126.9</v>
      </c>
      <c r="J606" s="353">
        <f>ROUND(G606*I606,0)</f>
        <v>0</v>
      </c>
      <c r="K606" s="1681"/>
      <c r="L606" s="1681"/>
      <c r="M606" s="633" t="s">
        <v>2313</v>
      </c>
      <c r="N606" s="223"/>
      <c r="O606" s="631">
        <f t="shared" si="97"/>
        <v>0</v>
      </c>
    </row>
    <row r="607" spans="1:15" s="360" customFormat="1" ht="15" hidden="1">
      <c r="A607" s="356" t="s">
        <v>1592</v>
      </c>
      <c r="B607" s="632" t="s">
        <v>2001</v>
      </c>
      <c r="C607" s="611"/>
      <c r="D607" s="354"/>
      <c r="E607" s="607"/>
      <c r="F607" s="353"/>
      <c r="G607" s="358">
        <f>'PART-A'!I2605</f>
        <v>0</v>
      </c>
      <c r="H607" s="354" t="s">
        <v>102</v>
      </c>
      <c r="I607" s="355">
        <f>'PART-A'!K2605</f>
        <v>2839.34</v>
      </c>
      <c r="J607" s="353">
        <f t="shared" si="96"/>
        <v>0</v>
      </c>
      <c r="K607" s="1679">
        <f>IF((J607+J608+J609+J610)&gt;(F607+F608+F609+F610),(J607+J608+J609+J610)-(F607+F608+F609+F610),0)</f>
        <v>0</v>
      </c>
      <c r="L607" s="1679">
        <f>IF((J607+J608+J609+J610)&lt;(F607+F608+F609+F610),(F607+F608+F609+F610)-(J607+J608+J609+J610),0)</f>
        <v>0</v>
      </c>
      <c r="M607" s="633" t="s">
        <v>2217</v>
      </c>
      <c r="N607" s="223"/>
      <c r="O607" s="631">
        <f t="shared" si="97"/>
        <v>0</v>
      </c>
    </row>
    <row r="608" spans="1:15" s="360" customFormat="1" ht="15" hidden="1">
      <c r="A608" s="356" t="s">
        <v>1153</v>
      </c>
      <c r="B608" s="632" t="s">
        <v>2001</v>
      </c>
      <c r="C608" s="611"/>
      <c r="D608" s="354"/>
      <c r="E608" s="607"/>
      <c r="F608" s="353"/>
      <c r="G608" s="358">
        <f>'PART-A'!I2743</f>
        <v>0</v>
      </c>
      <c r="H608" s="354" t="s">
        <v>102</v>
      </c>
      <c r="I608" s="355">
        <f>'PART-A'!K2743</f>
        <v>2839.34</v>
      </c>
      <c r="J608" s="353">
        <f>ROUND(G608*I608,0)</f>
        <v>0</v>
      </c>
      <c r="K608" s="1680"/>
      <c r="L608" s="1680"/>
      <c r="M608" s="633" t="s">
        <v>2299</v>
      </c>
      <c r="N608" s="223"/>
      <c r="O608" s="631">
        <f t="shared" si="97"/>
        <v>0</v>
      </c>
    </row>
    <row r="609" spans="1:15" s="360" customFormat="1" ht="15" hidden="1">
      <c r="A609" s="356" t="s">
        <v>1592</v>
      </c>
      <c r="B609" s="632" t="s">
        <v>2001</v>
      </c>
      <c r="C609" s="611"/>
      <c r="D609" s="354"/>
      <c r="E609" s="607"/>
      <c r="F609" s="353"/>
      <c r="G609" s="358">
        <f>'PART-A'!I2876</f>
        <v>0</v>
      </c>
      <c r="H609" s="354" t="s">
        <v>102</v>
      </c>
      <c r="I609" s="355">
        <f>'PART-A'!K2876</f>
        <v>3034.69</v>
      </c>
      <c r="J609" s="353">
        <f>ROUND(G609*I609,0)</f>
        <v>0</v>
      </c>
      <c r="K609" s="1680"/>
      <c r="L609" s="1680"/>
      <c r="M609" s="633" t="s">
        <v>2312</v>
      </c>
      <c r="N609" s="223"/>
      <c r="O609" s="631">
        <f t="shared" si="97"/>
        <v>0</v>
      </c>
    </row>
    <row r="610" spans="1:15" s="360" customFormat="1" ht="38.25" hidden="1">
      <c r="A610" s="356" t="s">
        <v>646</v>
      </c>
      <c r="B610" s="632" t="s">
        <v>3220</v>
      </c>
      <c r="C610" s="611"/>
      <c r="D610" s="354"/>
      <c r="E610" s="607"/>
      <c r="F610" s="353"/>
      <c r="G610" s="358">
        <f>'PART-A'!I3017</f>
        <v>0</v>
      </c>
      <c r="H610" s="354" t="s">
        <v>102</v>
      </c>
      <c r="I610" s="355">
        <f>'PART-A'!K3017</f>
        <v>3345.94</v>
      </c>
      <c r="J610" s="353">
        <f>ROUND(G610*I610,0)</f>
        <v>0</v>
      </c>
      <c r="K610" s="1681"/>
      <c r="L610" s="1681"/>
      <c r="M610" s="851" t="s">
        <v>2313</v>
      </c>
      <c r="N610" s="223"/>
      <c r="O610" s="850">
        <f t="shared" si="97"/>
        <v>0</v>
      </c>
    </row>
    <row r="611" spans="1:15" s="360" customFormat="1" ht="15" hidden="1">
      <c r="A611" s="356" t="s">
        <v>642</v>
      </c>
      <c r="B611" s="632" t="s">
        <v>2076</v>
      </c>
      <c r="C611" s="611"/>
      <c r="D611" s="354"/>
      <c r="E611" s="607"/>
      <c r="F611" s="353"/>
      <c r="G611" s="358">
        <f>'PART-A'!I2613</f>
        <v>0</v>
      </c>
      <c r="H611" s="354" t="s">
        <v>102</v>
      </c>
      <c r="I611" s="355">
        <f>'PART-A'!K2613</f>
        <v>1258.8900000000001</v>
      </c>
      <c r="J611" s="353">
        <f t="shared" si="96"/>
        <v>0</v>
      </c>
      <c r="K611" s="1679">
        <f>IF((J611+J612+J613+J614)&gt;(F611+F612+F613+F614),(J611+J612+J613+J614)-(F611+F612+F613+F614),0)</f>
        <v>0</v>
      </c>
      <c r="L611" s="1679">
        <f>IF((J611+J612+J613+J614)&lt;(F611+F612+F613+F614),(F611+F612+F613+F614)-(J611+J612+J613+J614),0)</f>
        <v>0</v>
      </c>
      <c r="M611" s="633" t="s">
        <v>2217</v>
      </c>
      <c r="N611" s="223"/>
      <c r="O611" s="631">
        <f t="shared" si="97"/>
        <v>0</v>
      </c>
    </row>
    <row r="612" spans="1:15" s="360" customFormat="1" ht="15" hidden="1">
      <c r="A612" s="356" t="s">
        <v>642</v>
      </c>
      <c r="B612" s="632" t="s">
        <v>2076</v>
      </c>
      <c r="C612" s="611"/>
      <c r="D612" s="354"/>
      <c r="E612" s="607"/>
      <c r="F612" s="353"/>
      <c r="G612" s="358">
        <f>'PART-A'!I2751</f>
        <v>0</v>
      </c>
      <c r="H612" s="354" t="s">
        <v>102</v>
      </c>
      <c r="I612" s="355">
        <f>'PART-A'!K2751</f>
        <v>1258.8900000000001</v>
      </c>
      <c r="J612" s="353">
        <f>ROUND(G612*I612,0)</f>
        <v>0</v>
      </c>
      <c r="K612" s="1680"/>
      <c r="L612" s="1680"/>
      <c r="M612" s="633" t="s">
        <v>2299</v>
      </c>
      <c r="N612" s="223"/>
      <c r="O612" s="631">
        <f t="shared" si="97"/>
        <v>0</v>
      </c>
    </row>
    <row r="613" spans="1:15" s="360" customFormat="1" ht="15" hidden="1">
      <c r="A613" s="356" t="s">
        <v>642</v>
      </c>
      <c r="B613" s="632" t="s">
        <v>2076</v>
      </c>
      <c r="C613" s="611"/>
      <c r="D613" s="354"/>
      <c r="E613" s="607"/>
      <c r="F613" s="353"/>
      <c r="G613" s="358">
        <f>'PART-A'!I2884</f>
        <v>0</v>
      </c>
      <c r="H613" s="354" t="s">
        <v>102</v>
      </c>
      <c r="I613" s="355">
        <f>'PART-A'!K2884</f>
        <v>1357.37</v>
      </c>
      <c r="J613" s="353">
        <f>ROUND(G613*I613,0)</f>
        <v>0</v>
      </c>
      <c r="K613" s="1680"/>
      <c r="L613" s="1680"/>
      <c r="M613" s="633" t="s">
        <v>2312</v>
      </c>
      <c r="N613" s="223"/>
      <c r="O613" s="631">
        <f t="shared" si="97"/>
        <v>0</v>
      </c>
    </row>
    <row r="614" spans="1:15" s="360" customFormat="1" ht="15" hidden="1">
      <c r="A614" s="356" t="s">
        <v>642</v>
      </c>
      <c r="B614" s="632" t="s">
        <v>2076</v>
      </c>
      <c r="C614" s="611"/>
      <c r="D614" s="354"/>
      <c r="E614" s="607"/>
      <c r="F614" s="353"/>
      <c r="G614" s="358">
        <f>'PART-A'!I3025</f>
        <v>0</v>
      </c>
      <c r="H614" s="354" t="s">
        <v>102</v>
      </c>
      <c r="I614" s="355">
        <f>'PART-A'!K3025</f>
        <v>1514.34</v>
      </c>
      <c r="J614" s="353">
        <f>ROUND(G614*I614,0)</f>
        <v>0</v>
      </c>
      <c r="K614" s="1681"/>
      <c r="L614" s="1681"/>
      <c r="M614" s="633" t="s">
        <v>2313</v>
      </c>
      <c r="N614" s="223"/>
      <c r="O614" s="631">
        <f t="shared" si="97"/>
        <v>0</v>
      </c>
    </row>
    <row r="615" spans="1:15" s="360" customFormat="1" ht="15" hidden="1">
      <c r="A615" s="356" t="s">
        <v>642</v>
      </c>
      <c r="B615" s="632" t="s">
        <v>2288</v>
      </c>
      <c r="C615" s="611"/>
      <c r="D615" s="354"/>
      <c r="E615" s="607"/>
      <c r="F615" s="353"/>
      <c r="G615" s="358">
        <f>'PART-A'!I2618</f>
        <v>0</v>
      </c>
      <c r="H615" s="354" t="s">
        <v>872</v>
      </c>
      <c r="I615" s="355">
        <f>'PART-A'!K2618</f>
        <v>470.28</v>
      </c>
      <c r="J615" s="353">
        <f t="shared" ref="J615" si="98">ROUND(G615*I615,0)</f>
        <v>0</v>
      </c>
      <c r="K615" s="1679">
        <f>IF((J615+J616+J617+J618)&gt;(F615+F616+F617+F618),(J615+J616+J617+J618)-(F615+F616+F617+F618),0)</f>
        <v>0</v>
      </c>
      <c r="L615" s="1679">
        <f>IF((J615+J616+J617+J618)&lt;(F615+F616+F617+F618),(F615+F616+F617+F618)-(J615+J616+J617+J618),0)</f>
        <v>0</v>
      </c>
      <c r="M615" s="633" t="s">
        <v>2217</v>
      </c>
      <c r="N615" s="223"/>
      <c r="O615" s="631">
        <f t="shared" si="97"/>
        <v>0</v>
      </c>
    </row>
    <row r="616" spans="1:15" s="360" customFormat="1" ht="15" hidden="1">
      <c r="A616" s="356" t="s">
        <v>642</v>
      </c>
      <c r="B616" s="632" t="s">
        <v>2288</v>
      </c>
      <c r="C616" s="611"/>
      <c r="D616" s="354"/>
      <c r="E616" s="607"/>
      <c r="F616" s="353"/>
      <c r="G616" s="358">
        <f>'PART-A'!I2756</f>
        <v>0</v>
      </c>
      <c r="H616" s="354" t="s">
        <v>872</v>
      </c>
      <c r="I616" s="355">
        <f>'PART-A'!K2756</f>
        <v>470.28</v>
      </c>
      <c r="J616" s="353">
        <f>ROUND(G616*I616,0)</f>
        <v>0</v>
      </c>
      <c r="K616" s="1680"/>
      <c r="L616" s="1680"/>
      <c r="M616" s="633" t="s">
        <v>2299</v>
      </c>
      <c r="N616" s="223"/>
      <c r="O616" s="631">
        <f t="shared" si="97"/>
        <v>0</v>
      </c>
    </row>
    <row r="617" spans="1:15" s="360" customFormat="1" ht="15" hidden="1">
      <c r="A617" s="356" t="s">
        <v>642</v>
      </c>
      <c r="B617" s="632" t="s">
        <v>2288</v>
      </c>
      <c r="C617" s="611"/>
      <c r="D617" s="354"/>
      <c r="E617" s="607"/>
      <c r="F617" s="353"/>
      <c r="G617" s="358">
        <f>'PART-A'!I2889</f>
        <v>0</v>
      </c>
      <c r="H617" s="354" t="s">
        <v>872</v>
      </c>
      <c r="I617" s="355">
        <f>'PART-A'!K2889</f>
        <v>508</v>
      </c>
      <c r="J617" s="353">
        <f>ROUND(G617*I617,0)</f>
        <v>0</v>
      </c>
      <c r="K617" s="1680"/>
      <c r="L617" s="1680"/>
      <c r="M617" s="633" t="s">
        <v>2312</v>
      </c>
      <c r="N617" s="223"/>
      <c r="O617" s="631">
        <f t="shared" si="97"/>
        <v>0</v>
      </c>
    </row>
    <row r="618" spans="1:15" s="360" customFormat="1" ht="15" hidden="1">
      <c r="A618" s="356" t="s">
        <v>642</v>
      </c>
      <c r="B618" s="632" t="s">
        <v>2288</v>
      </c>
      <c r="C618" s="611"/>
      <c r="D618" s="354"/>
      <c r="E618" s="607"/>
      <c r="F618" s="353"/>
      <c r="G618" s="358">
        <f>'PART-A'!I3030</f>
        <v>0</v>
      </c>
      <c r="H618" s="354" t="s">
        <v>872</v>
      </c>
      <c r="I618" s="355">
        <f>'PART-A'!K3030</f>
        <v>568.35</v>
      </c>
      <c r="J618" s="353">
        <f>ROUND(G618*I618,0)</f>
        <v>0</v>
      </c>
      <c r="K618" s="1681"/>
      <c r="L618" s="1681"/>
      <c r="M618" s="633" t="s">
        <v>2313</v>
      </c>
      <c r="N618" s="223"/>
      <c r="O618" s="631">
        <f t="shared" si="97"/>
        <v>0</v>
      </c>
    </row>
    <row r="619" spans="1:15" s="360" customFormat="1" ht="15" hidden="1">
      <c r="A619" s="356" t="s">
        <v>1151</v>
      </c>
      <c r="B619" s="632" t="s">
        <v>962</v>
      </c>
      <c r="C619" s="634"/>
      <c r="D619" s="221"/>
      <c r="E619" s="10"/>
      <c r="F619" s="353"/>
      <c r="G619" s="429">
        <f>'PART-A'!I2626</f>
        <v>0</v>
      </c>
      <c r="H619" s="221" t="s">
        <v>277</v>
      </c>
      <c r="I619" s="430">
        <f>'PART-A'!K2626</f>
        <v>412</v>
      </c>
      <c r="J619" s="353">
        <f t="shared" si="96"/>
        <v>0</v>
      </c>
      <c r="K619" s="1679">
        <f>IF((J619+J620+J621+J622)&gt;(F619+F620+F621+F622),(J619+J620+J621+J622)-(F619+F620+F621+F622),0)</f>
        <v>0</v>
      </c>
      <c r="L619" s="1679">
        <f>IF((J619+J620+J621+J622)&lt;(F619+F620+F621+F622),(F619+F620+F621+F622)-(J619+J620+J621+J622),0)</f>
        <v>0</v>
      </c>
      <c r="M619" s="633" t="s">
        <v>2217</v>
      </c>
      <c r="N619" s="223"/>
      <c r="O619" s="631">
        <f t="shared" si="97"/>
        <v>0</v>
      </c>
    </row>
    <row r="620" spans="1:15" s="360" customFormat="1" ht="15" hidden="1">
      <c r="A620" s="356" t="s">
        <v>1151</v>
      </c>
      <c r="B620" s="632" t="s">
        <v>962</v>
      </c>
      <c r="C620" s="634"/>
      <c r="D620" s="221"/>
      <c r="E620" s="10"/>
      <c r="F620" s="353"/>
      <c r="G620" s="429">
        <f>'PART-A'!I2764</f>
        <v>0</v>
      </c>
      <c r="H620" s="221" t="s">
        <v>277</v>
      </c>
      <c r="I620" s="430">
        <f>'PART-A'!K2764</f>
        <v>412</v>
      </c>
      <c r="J620" s="353">
        <f>ROUND(G620*I620,0)</f>
        <v>0</v>
      </c>
      <c r="K620" s="1680"/>
      <c r="L620" s="1680"/>
      <c r="M620" s="633" t="s">
        <v>2299</v>
      </c>
      <c r="N620" s="223"/>
      <c r="O620" s="631">
        <f t="shared" si="97"/>
        <v>0</v>
      </c>
    </row>
    <row r="621" spans="1:15" s="360" customFormat="1" ht="15" hidden="1">
      <c r="A621" s="356" t="s">
        <v>1151</v>
      </c>
      <c r="B621" s="632" t="s">
        <v>962</v>
      </c>
      <c r="C621" s="634"/>
      <c r="D621" s="221"/>
      <c r="E621" s="10"/>
      <c r="F621" s="353"/>
      <c r="G621" s="429">
        <f>'PART-A'!I2897</f>
        <v>0</v>
      </c>
      <c r="H621" s="221" t="s">
        <v>277</v>
      </c>
      <c r="I621" s="430">
        <f>'PART-A'!K2897</f>
        <v>438</v>
      </c>
      <c r="J621" s="353">
        <f>ROUND(G621*I621,0)</f>
        <v>0</v>
      </c>
      <c r="K621" s="1680"/>
      <c r="L621" s="1680"/>
      <c r="M621" s="633" t="s">
        <v>2312</v>
      </c>
      <c r="N621" s="223"/>
      <c r="O621" s="631">
        <f t="shared" si="97"/>
        <v>0</v>
      </c>
    </row>
    <row r="622" spans="1:15" s="360" customFormat="1" ht="15" hidden="1">
      <c r="A622" s="356" t="s">
        <v>1151</v>
      </c>
      <c r="B622" s="632" t="s">
        <v>962</v>
      </c>
      <c r="C622" s="634"/>
      <c r="D622" s="221"/>
      <c r="E622" s="10"/>
      <c r="F622" s="353"/>
      <c r="G622" s="429">
        <f>'PART-A'!I3038</f>
        <v>0</v>
      </c>
      <c r="H622" s="221" t="s">
        <v>277</v>
      </c>
      <c r="I622" s="430">
        <f>'PART-A'!K3038</f>
        <v>453</v>
      </c>
      <c r="J622" s="353">
        <f>ROUND(G622*I622,0)</f>
        <v>0</v>
      </c>
      <c r="K622" s="1681"/>
      <c r="L622" s="1681"/>
      <c r="M622" s="633" t="s">
        <v>2313</v>
      </c>
      <c r="N622" s="223"/>
      <c r="O622" s="631">
        <f t="shared" si="97"/>
        <v>0</v>
      </c>
    </row>
    <row r="623" spans="1:15" s="26" customFormat="1" ht="25.5" hidden="1">
      <c r="A623" s="23"/>
      <c r="B623" s="627" t="s">
        <v>523</v>
      </c>
      <c r="C623" s="638"/>
      <c r="D623" s="639"/>
      <c r="E623" s="651"/>
      <c r="F623" s="641"/>
      <c r="G623" s="652"/>
      <c r="H623" s="653"/>
      <c r="I623" s="654"/>
      <c r="J623" s="11">
        <f t="shared" ref="J623" si="99">ROUND(G623*I623,0)</f>
        <v>0</v>
      </c>
      <c r="K623" s="25"/>
      <c r="L623" s="25"/>
      <c r="M623" s="851" t="s">
        <v>2217</v>
      </c>
      <c r="N623" s="223"/>
      <c r="O623" s="850"/>
    </row>
    <row r="624" spans="1:15" s="1157" customFormat="1" ht="38.25">
      <c r="A624" s="1146" t="s">
        <v>494</v>
      </c>
      <c r="B624" s="1147" t="s">
        <v>3221</v>
      </c>
      <c r="C624" s="1184">
        <v>20</v>
      </c>
      <c r="D624" s="1148" t="s">
        <v>277</v>
      </c>
      <c r="E624" s="1185">
        <v>193</v>
      </c>
      <c r="F624" s="1150">
        <f t="shared" ref="F624" si="100">ROUND(C624*E624,0)</f>
        <v>3860</v>
      </c>
      <c r="G624" s="1170">
        <f>'PART-A'!I3044</f>
        <v>0</v>
      </c>
      <c r="H624" s="1173" t="s">
        <v>277</v>
      </c>
      <c r="I624" s="1171">
        <f>'PART-A'!K3044</f>
        <v>193</v>
      </c>
      <c r="J624" s="1153">
        <f t="shared" ref="J624:J637" si="101">ROUND(G624*I624,0)</f>
        <v>0</v>
      </c>
      <c r="K624" s="1679">
        <f>IF((J624+J625+J626+J627)&gt;(F624+F625+F626+F627),(J624+J625+J626+J627)-(F624+F625+F626+F627),0)</f>
        <v>0</v>
      </c>
      <c r="L624" s="1679">
        <f>IF((J624+J625+J626+J627)&lt;(F624+F625+F626+F627),(F624+F625+F626+F627)-(J624+J625+J626+J627),0)</f>
        <v>3860</v>
      </c>
      <c r="M624" s="1154" t="s">
        <v>2217</v>
      </c>
      <c r="N624" s="1155"/>
      <c r="O624" s="1156">
        <f t="shared" si="97"/>
        <v>3860</v>
      </c>
    </row>
    <row r="625" spans="1:15" s="360" customFormat="1" ht="15" hidden="1">
      <c r="A625" s="356" t="s">
        <v>1516</v>
      </c>
      <c r="B625" s="632" t="s">
        <v>543</v>
      </c>
      <c r="C625" s="655"/>
      <c r="D625" s="354"/>
      <c r="E625" s="656"/>
      <c r="F625" s="353"/>
      <c r="G625" s="358">
        <f>'PART-A'!I3182</f>
        <v>0</v>
      </c>
      <c r="H625" s="354" t="s">
        <v>277</v>
      </c>
      <c r="I625" s="355">
        <f>'PART-A'!K3182</f>
        <v>193</v>
      </c>
      <c r="J625" s="353">
        <f t="shared" si="101"/>
        <v>0</v>
      </c>
      <c r="K625" s="1680"/>
      <c r="L625" s="1680"/>
      <c r="M625" s="633" t="s">
        <v>2299</v>
      </c>
      <c r="N625" s="223"/>
      <c r="O625" s="631">
        <f t="shared" si="97"/>
        <v>0</v>
      </c>
    </row>
    <row r="626" spans="1:15" s="360" customFormat="1" ht="15" hidden="1">
      <c r="A626" s="356" t="s">
        <v>1516</v>
      </c>
      <c r="B626" s="632" t="s">
        <v>543</v>
      </c>
      <c r="C626" s="655"/>
      <c r="D626" s="354"/>
      <c r="E626" s="656"/>
      <c r="F626" s="353"/>
      <c r="G626" s="358">
        <f>'PART-A'!I3320</f>
        <v>0</v>
      </c>
      <c r="H626" s="354" t="s">
        <v>277</v>
      </c>
      <c r="I626" s="355">
        <f>'PART-A'!K3320</f>
        <v>202</v>
      </c>
      <c r="J626" s="353">
        <f>ROUND(G626*I626,0)</f>
        <v>0</v>
      </c>
      <c r="K626" s="1680"/>
      <c r="L626" s="1680"/>
      <c r="M626" s="633" t="s">
        <v>2312</v>
      </c>
      <c r="N626" s="223"/>
      <c r="O626" s="631">
        <f t="shared" si="97"/>
        <v>0</v>
      </c>
    </row>
    <row r="627" spans="1:15" s="360" customFormat="1" ht="38.25" hidden="1">
      <c r="A627" s="356" t="s">
        <v>1586</v>
      </c>
      <c r="B627" s="632" t="s">
        <v>3221</v>
      </c>
      <c r="C627" s="655"/>
      <c r="D627" s="354"/>
      <c r="E627" s="656"/>
      <c r="F627" s="353"/>
      <c r="G627" s="358">
        <f>'PART-A'!I3462</f>
        <v>0</v>
      </c>
      <c r="H627" s="354" t="s">
        <v>277</v>
      </c>
      <c r="I627" s="355">
        <f>'PART-A'!K3462</f>
        <v>214</v>
      </c>
      <c r="J627" s="353">
        <f>ROUND(G627*I627,0)</f>
        <v>0</v>
      </c>
      <c r="K627" s="1681"/>
      <c r="L627" s="1681"/>
      <c r="M627" s="851" t="s">
        <v>2313</v>
      </c>
      <c r="N627" s="223"/>
      <c r="O627" s="850">
        <f t="shared" si="97"/>
        <v>0</v>
      </c>
    </row>
    <row r="628" spans="1:15" s="1157" customFormat="1" ht="38.25">
      <c r="A628" s="1146" t="s">
        <v>495</v>
      </c>
      <c r="B628" s="1147" t="s">
        <v>3222</v>
      </c>
      <c r="C628" s="1184">
        <v>20</v>
      </c>
      <c r="D628" s="1148" t="s">
        <v>277</v>
      </c>
      <c r="E628" s="1185">
        <v>123</v>
      </c>
      <c r="F628" s="1150">
        <f t="shared" ref="F628" si="102">ROUND(C628*E628,0)</f>
        <v>2460</v>
      </c>
      <c r="G628" s="1170">
        <f>'PART-A'!I3049</f>
        <v>0</v>
      </c>
      <c r="H628" s="1173" t="s">
        <v>277</v>
      </c>
      <c r="I628" s="1171">
        <f>'PART-A'!K3049</f>
        <v>123</v>
      </c>
      <c r="J628" s="1153">
        <f t="shared" si="101"/>
        <v>0</v>
      </c>
      <c r="K628" s="1679">
        <f>IF((J628+J629+J630+J631)&gt;(F628+F629+F630+F631),(J628+J629+J630+J631)-(F628+F629+F630+F631),0)</f>
        <v>0</v>
      </c>
      <c r="L628" s="1679">
        <f>IF((J628+J629+J630+J631)&lt;(F628+F629+F630+F631),(F628+F629+F630+F631)-(J628+J629+J630+J631),0)</f>
        <v>2460</v>
      </c>
      <c r="M628" s="1154" t="s">
        <v>2217</v>
      </c>
      <c r="N628" s="1155"/>
      <c r="O628" s="1156">
        <f t="shared" si="97"/>
        <v>2460</v>
      </c>
    </row>
    <row r="629" spans="1:15" s="360" customFormat="1" ht="15" hidden="1">
      <c r="A629" s="356" t="s">
        <v>1152</v>
      </c>
      <c r="B629" s="632" t="s">
        <v>544</v>
      </c>
      <c r="C629" s="655"/>
      <c r="D629" s="354"/>
      <c r="E629" s="656"/>
      <c r="F629" s="353"/>
      <c r="G629" s="358">
        <f>'PART-A'!I3187</f>
        <v>0</v>
      </c>
      <c r="H629" s="354" t="s">
        <v>277</v>
      </c>
      <c r="I629" s="355">
        <f>'PART-A'!K3187</f>
        <v>123</v>
      </c>
      <c r="J629" s="353">
        <f t="shared" si="101"/>
        <v>0</v>
      </c>
      <c r="K629" s="1680"/>
      <c r="L629" s="1680"/>
      <c r="M629" s="633" t="s">
        <v>2299</v>
      </c>
      <c r="N629" s="223"/>
      <c r="O629" s="631">
        <f t="shared" si="97"/>
        <v>0</v>
      </c>
    </row>
    <row r="630" spans="1:15" s="360" customFormat="1" ht="15" hidden="1">
      <c r="A630" s="356" t="s">
        <v>1146</v>
      </c>
      <c r="B630" s="632" t="s">
        <v>544</v>
      </c>
      <c r="C630" s="655"/>
      <c r="D630" s="354"/>
      <c r="E630" s="656"/>
      <c r="F630" s="353"/>
      <c r="G630" s="358">
        <f>'PART-A'!I3325</f>
        <v>0</v>
      </c>
      <c r="H630" s="354" t="s">
        <v>277</v>
      </c>
      <c r="I630" s="355">
        <f>'PART-A'!K3325</f>
        <v>129</v>
      </c>
      <c r="J630" s="353">
        <f>ROUND(G630*I630,0)</f>
        <v>0</v>
      </c>
      <c r="K630" s="1680"/>
      <c r="L630" s="1680"/>
      <c r="M630" s="633" t="s">
        <v>2312</v>
      </c>
      <c r="N630" s="223"/>
      <c r="O630" s="631">
        <f t="shared" si="97"/>
        <v>0</v>
      </c>
    </row>
    <row r="631" spans="1:15" s="360" customFormat="1" ht="38.25" hidden="1">
      <c r="A631" s="356" t="s">
        <v>1588</v>
      </c>
      <c r="B631" s="632" t="s">
        <v>3222</v>
      </c>
      <c r="C631" s="655"/>
      <c r="D631" s="354"/>
      <c r="E631" s="656"/>
      <c r="F631" s="353"/>
      <c r="G631" s="358">
        <f>'PART-A'!I3467</f>
        <v>0</v>
      </c>
      <c r="H631" s="354" t="s">
        <v>277</v>
      </c>
      <c r="I631" s="355">
        <f>'PART-A'!K3467</f>
        <v>136</v>
      </c>
      <c r="J631" s="353">
        <f>ROUND(G631*I631,0)</f>
        <v>0</v>
      </c>
      <c r="K631" s="1681"/>
      <c r="L631" s="1681"/>
      <c r="M631" s="851" t="s">
        <v>2313</v>
      </c>
      <c r="N631" s="223"/>
      <c r="O631" s="850">
        <f t="shared" si="97"/>
        <v>0</v>
      </c>
    </row>
    <row r="632" spans="1:15" s="1157" customFormat="1" ht="38.25">
      <c r="A632" s="1146" t="s">
        <v>1515</v>
      </c>
      <c r="B632" s="1147" t="s">
        <v>3329</v>
      </c>
      <c r="C632" s="1184">
        <v>5</v>
      </c>
      <c r="D632" s="1148" t="s">
        <v>277</v>
      </c>
      <c r="E632" s="1185">
        <v>85</v>
      </c>
      <c r="F632" s="1150">
        <f t="shared" ref="F632" si="103">ROUND(C632*E632,0)</f>
        <v>425</v>
      </c>
      <c r="G632" s="1170">
        <f>'PART-A'!I3054</f>
        <v>0</v>
      </c>
      <c r="H632" s="1173" t="s">
        <v>277</v>
      </c>
      <c r="I632" s="1171">
        <f>'PART-A'!K3054</f>
        <v>85</v>
      </c>
      <c r="J632" s="1153">
        <f t="shared" si="101"/>
        <v>0</v>
      </c>
      <c r="K632" s="1679">
        <f>IF((J632+J633+J634+J635)&gt;(F632+F633+F634+F635),(J632+J633+J634+J635)-(F632+F633+F634+F635),0)</f>
        <v>0</v>
      </c>
      <c r="L632" s="1679">
        <f>IF((J632+J633+J634+J635)&lt;(F632+F633+F634+F635),(F632+F633+F634+F635)-(J632+J633+J634+J635),0)</f>
        <v>425</v>
      </c>
      <c r="M632" s="1159" t="s">
        <v>2217</v>
      </c>
      <c r="N632" s="1155"/>
      <c r="O632" s="1160">
        <f t="shared" si="97"/>
        <v>425</v>
      </c>
    </row>
    <row r="633" spans="1:15" s="360" customFormat="1" ht="15" hidden="1">
      <c r="A633" s="356" t="s">
        <v>1155</v>
      </c>
      <c r="B633" s="632" t="s">
        <v>2002</v>
      </c>
      <c r="C633" s="655"/>
      <c r="D633" s="354"/>
      <c r="E633" s="656"/>
      <c r="F633" s="353"/>
      <c r="G633" s="358">
        <f>'PART-A'!I3192</f>
        <v>0</v>
      </c>
      <c r="H633" s="354" t="s">
        <v>277</v>
      </c>
      <c r="I633" s="355">
        <f>'PART-A'!K3192</f>
        <v>85</v>
      </c>
      <c r="J633" s="353">
        <f t="shared" si="101"/>
        <v>0</v>
      </c>
      <c r="K633" s="1680"/>
      <c r="L633" s="1680"/>
      <c r="M633" s="633" t="s">
        <v>2299</v>
      </c>
      <c r="N633" s="223"/>
      <c r="O633" s="631">
        <f t="shared" si="97"/>
        <v>0</v>
      </c>
    </row>
    <row r="634" spans="1:15" s="360" customFormat="1" ht="15" hidden="1">
      <c r="A634" s="356" t="s">
        <v>515</v>
      </c>
      <c r="B634" s="632" t="s">
        <v>2002</v>
      </c>
      <c r="C634" s="655"/>
      <c r="D634" s="354"/>
      <c r="E634" s="656"/>
      <c r="F634" s="353"/>
      <c r="G634" s="358">
        <f>'PART-A'!I3331</f>
        <v>0</v>
      </c>
      <c r="H634" s="354" t="s">
        <v>277</v>
      </c>
      <c r="I634" s="355">
        <f>'PART-A'!K3331</f>
        <v>89</v>
      </c>
      <c r="J634" s="353">
        <f>ROUND(G634*I634,0)</f>
        <v>0</v>
      </c>
      <c r="K634" s="1680"/>
      <c r="L634" s="1680"/>
      <c r="M634" s="633" t="s">
        <v>2312</v>
      </c>
      <c r="N634" s="223"/>
      <c r="O634" s="631">
        <f t="shared" si="97"/>
        <v>0</v>
      </c>
    </row>
    <row r="635" spans="1:15" s="360" customFormat="1" ht="15" hidden="1">
      <c r="A635" s="356" t="s">
        <v>1594</v>
      </c>
      <c r="B635" s="632" t="s">
        <v>2002</v>
      </c>
      <c r="C635" s="655"/>
      <c r="D635" s="354"/>
      <c r="E635" s="656"/>
      <c r="F635" s="353"/>
      <c r="G635" s="358">
        <f>'PART-A'!I3472</f>
        <v>0</v>
      </c>
      <c r="H635" s="354" t="s">
        <v>277</v>
      </c>
      <c r="I635" s="355">
        <f>'PART-A'!K3472</f>
        <v>94</v>
      </c>
      <c r="J635" s="353">
        <f>ROUND(G635*I635,0)</f>
        <v>0</v>
      </c>
      <c r="K635" s="1681"/>
      <c r="L635" s="1681"/>
      <c r="M635" s="633" t="s">
        <v>2313</v>
      </c>
      <c r="N635" s="223"/>
      <c r="O635" s="631">
        <f t="shared" si="97"/>
        <v>0</v>
      </c>
    </row>
    <row r="636" spans="1:15" s="360" customFormat="1" ht="38.25" hidden="1">
      <c r="A636" s="356" t="s">
        <v>1517</v>
      </c>
      <c r="B636" s="632" t="s">
        <v>3223</v>
      </c>
      <c r="C636" s="746"/>
      <c r="D636" s="354"/>
      <c r="E636" s="656"/>
      <c r="F636" s="792">
        <f t="shared" ref="F636" si="104">ROUND(C636*E636,0)</f>
        <v>0</v>
      </c>
      <c r="G636" s="864">
        <f>'PART-A'!I3059</f>
        <v>0</v>
      </c>
      <c r="H636" s="865" t="s">
        <v>277</v>
      </c>
      <c r="I636" s="866">
        <f>'PART-A'!K3059</f>
        <v>24</v>
      </c>
      <c r="J636" s="353">
        <f t="shared" si="101"/>
        <v>0</v>
      </c>
      <c r="K636" s="1679">
        <f>IF((J636+J637+J638+J639)&gt;(F636+F637+F638+F639),(J636+J637+J638+J639)-(F636+F637+F638+F639),0)</f>
        <v>0</v>
      </c>
      <c r="L636" s="1679">
        <f>IF((J636+J637+J638+J639)&lt;(F636+F637+F638+F639),(F636+F637+F638+F639)-(J636+J637+J638+J639),0)</f>
        <v>0</v>
      </c>
      <c r="M636" s="851" t="s">
        <v>2217</v>
      </c>
      <c r="N636" s="223"/>
      <c r="O636" s="850">
        <f t="shared" si="97"/>
        <v>0</v>
      </c>
    </row>
    <row r="637" spans="1:15" s="360" customFormat="1" ht="15" hidden="1">
      <c r="A637" s="356" t="s">
        <v>1153</v>
      </c>
      <c r="B637" s="632" t="s">
        <v>1255</v>
      </c>
      <c r="C637" s="611"/>
      <c r="D637" s="354"/>
      <c r="E637" s="607"/>
      <c r="F637" s="353"/>
      <c r="G637" s="358">
        <f>'PART-A'!I3197</f>
        <v>0</v>
      </c>
      <c r="H637" s="354" t="s">
        <v>277</v>
      </c>
      <c r="I637" s="355">
        <f>'PART-A'!K3197</f>
        <v>24</v>
      </c>
      <c r="J637" s="353">
        <f t="shared" si="101"/>
        <v>0</v>
      </c>
      <c r="K637" s="1680"/>
      <c r="L637" s="1680"/>
      <c r="M637" s="633" t="s">
        <v>2299</v>
      </c>
      <c r="N637" s="223"/>
      <c r="O637" s="631">
        <f t="shared" si="97"/>
        <v>0</v>
      </c>
    </row>
    <row r="638" spans="1:15" s="360" customFormat="1" ht="15" hidden="1">
      <c r="A638" s="356" t="s">
        <v>1153</v>
      </c>
      <c r="B638" s="632" t="s">
        <v>1255</v>
      </c>
      <c r="C638" s="611"/>
      <c r="D638" s="354"/>
      <c r="E638" s="607"/>
      <c r="F638" s="353"/>
      <c r="G638" s="358">
        <f>'PART-A'!I3336</f>
        <v>0</v>
      </c>
      <c r="H638" s="354" t="s">
        <v>277</v>
      </c>
      <c r="I638" s="355">
        <f>'PART-A'!K3336</f>
        <v>33</v>
      </c>
      <c r="J638" s="353">
        <f>ROUND(G638*I638,0)</f>
        <v>0</v>
      </c>
      <c r="K638" s="1680"/>
      <c r="L638" s="1680"/>
      <c r="M638" s="633" t="s">
        <v>2312</v>
      </c>
      <c r="N638" s="223"/>
      <c r="O638" s="631">
        <f t="shared" si="97"/>
        <v>0</v>
      </c>
    </row>
    <row r="639" spans="1:15" s="360" customFormat="1" ht="15" hidden="1">
      <c r="A639" s="356" t="s">
        <v>1153</v>
      </c>
      <c r="B639" s="632" t="s">
        <v>1255</v>
      </c>
      <c r="C639" s="611"/>
      <c r="D639" s="354"/>
      <c r="E639" s="607"/>
      <c r="F639" s="353"/>
      <c r="G639" s="358">
        <f>'PART-A'!I3477</f>
        <v>0</v>
      </c>
      <c r="H639" s="354" t="s">
        <v>277</v>
      </c>
      <c r="I639" s="355">
        <f>'PART-A'!K3477</f>
        <v>35</v>
      </c>
      <c r="J639" s="353">
        <f>ROUND(G639*I639,0)</f>
        <v>0</v>
      </c>
      <c r="K639" s="1681"/>
      <c r="L639" s="1681"/>
      <c r="M639" s="633" t="s">
        <v>2313</v>
      </c>
      <c r="N639" s="223"/>
      <c r="O639" s="631">
        <f t="shared" si="97"/>
        <v>0</v>
      </c>
    </row>
    <row r="640" spans="1:15" s="1157" customFormat="1" ht="38.25">
      <c r="A640" s="1146" t="s">
        <v>1516</v>
      </c>
      <c r="B640" s="1147" t="s">
        <v>3224</v>
      </c>
      <c r="C640" s="1186">
        <v>5</v>
      </c>
      <c r="D640" s="1187" t="s">
        <v>277</v>
      </c>
      <c r="E640" s="1188">
        <v>53</v>
      </c>
      <c r="F640" s="1150">
        <f>ROUND(C640*E640,0)</f>
        <v>265</v>
      </c>
      <c r="G640" s="1151"/>
      <c r="H640" s="1148"/>
      <c r="I640" s="1152"/>
      <c r="J640" s="1153"/>
      <c r="K640" s="1189">
        <f t="shared" ref="K640" si="105">IF(J640&gt;F640,J640-F640,0)</f>
        <v>0</v>
      </c>
      <c r="L640" s="1190">
        <f t="shared" ref="L640" si="106">IF(J640&lt;F640,F640-J640,0)</f>
        <v>265</v>
      </c>
      <c r="M640" s="1154" t="s">
        <v>2217</v>
      </c>
      <c r="N640" s="1155"/>
      <c r="O640" s="1156">
        <f t="shared" si="97"/>
        <v>265</v>
      </c>
    </row>
    <row r="641" spans="1:15" s="1157" customFormat="1" ht="25.5">
      <c r="A641" s="1146" t="s">
        <v>1517</v>
      </c>
      <c r="B641" s="1147" t="s">
        <v>3225</v>
      </c>
      <c r="C641" s="1184">
        <v>50</v>
      </c>
      <c r="D641" s="1148" t="s">
        <v>277</v>
      </c>
      <c r="E641" s="1185">
        <v>31</v>
      </c>
      <c r="F641" s="1150">
        <f t="shared" ref="F641" si="107">ROUND(C641*E641,0)</f>
        <v>1550</v>
      </c>
      <c r="G641" s="1170">
        <f>'PART-A'!I3064</f>
        <v>0</v>
      </c>
      <c r="H641" s="1173" t="s">
        <v>277</v>
      </c>
      <c r="I641" s="1171">
        <f>'PART-A'!K3064</f>
        <v>31</v>
      </c>
      <c r="J641" s="1153">
        <f t="shared" ref="J641" si="108">ROUND(G641*I641,0)</f>
        <v>0</v>
      </c>
      <c r="K641" s="1679">
        <f>IF((J641+J642+J643+J644)&gt;(F641+F642+F643+F644),(J641+J642+J643+J644)-(F641+F642+F643+F644),0)</f>
        <v>0</v>
      </c>
      <c r="L641" s="1679">
        <f>IF((J641+J642+J643+J644)&lt;(F641+F642+F643+F644),(F641+F642+F643+F644)-(J641+J642+J643+J644),0)</f>
        <v>1550</v>
      </c>
      <c r="M641" s="1154" t="s">
        <v>2217</v>
      </c>
      <c r="N641" s="1155"/>
      <c r="O641" s="1156">
        <f t="shared" si="97"/>
        <v>1550</v>
      </c>
    </row>
    <row r="642" spans="1:15" s="360" customFormat="1" ht="15" hidden="1">
      <c r="A642" s="356" t="s">
        <v>2683</v>
      </c>
      <c r="B642" s="632" t="s">
        <v>545</v>
      </c>
      <c r="C642" s="655"/>
      <c r="D642" s="354"/>
      <c r="E642" s="656"/>
      <c r="F642" s="353"/>
      <c r="G642" s="358">
        <f>'PART-A'!I3202</f>
        <v>0</v>
      </c>
      <c r="H642" s="354" t="s">
        <v>277</v>
      </c>
      <c r="I642" s="355">
        <f>'PART-A'!K3202</f>
        <v>31</v>
      </c>
      <c r="J642" s="353">
        <f>ROUND(G642*I642,0)</f>
        <v>0</v>
      </c>
      <c r="K642" s="1680"/>
      <c r="L642" s="1680"/>
      <c r="M642" s="633" t="s">
        <v>2299</v>
      </c>
      <c r="N642" s="223"/>
      <c r="O642" s="631">
        <f t="shared" si="97"/>
        <v>0</v>
      </c>
    </row>
    <row r="643" spans="1:15" s="360" customFormat="1" ht="15" hidden="1">
      <c r="A643" s="356" t="s">
        <v>518</v>
      </c>
      <c r="B643" s="632" t="s">
        <v>545</v>
      </c>
      <c r="C643" s="655"/>
      <c r="D643" s="354"/>
      <c r="E643" s="656"/>
      <c r="F643" s="353"/>
      <c r="G643" s="358">
        <f>'PART-A'!I3342</f>
        <v>0</v>
      </c>
      <c r="H643" s="354" t="s">
        <v>277</v>
      </c>
      <c r="I643" s="355">
        <f>'PART-A'!K3342</f>
        <v>33</v>
      </c>
      <c r="J643" s="353">
        <f>ROUND(G643*I643,0)</f>
        <v>0</v>
      </c>
      <c r="K643" s="1680"/>
      <c r="L643" s="1680"/>
      <c r="M643" s="633" t="s">
        <v>2312</v>
      </c>
      <c r="N643" s="223"/>
      <c r="O643" s="631">
        <f t="shared" si="97"/>
        <v>0</v>
      </c>
    </row>
    <row r="644" spans="1:15" s="360" customFormat="1" ht="25.5" hidden="1">
      <c r="A644" s="356" t="s">
        <v>1590</v>
      </c>
      <c r="B644" s="632" t="s">
        <v>3225</v>
      </c>
      <c r="C644" s="655"/>
      <c r="D644" s="354"/>
      <c r="E644" s="656"/>
      <c r="F644" s="353"/>
      <c r="G644" s="358">
        <f>'PART-A'!I3482</f>
        <v>0</v>
      </c>
      <c r="H644" s="354" t="s">
        <v>277</v>
      </c>
      <c r="I644" s="355">
        <f>'PART-A'!K3482</f>
        <v>33</v>
      </c>
      <c r="J644" s="353">
        <f>ROUND(G644*I644,0)</f>
        <v>0</v>
      </c>
      <c r="K644" s="1681"/>
      <c r="L644" s="1681"/>
      <c r="M644" s="851" t="s">
        <v>2313</v>
      </c>
      <c r="N644" s="223"/>
      <c r="O644" s="850">
        <f t="shared" si="97"/>
        <v>0</v>
      </c>
    </row>
    <row r="645" spans="1:15" s="1157" customFormat="1" ht="25.5">
      <c r="A645" s="1146" t="s">
        <v>1518</v>
      </c>
      <c r="B645" s="1147" t="s">
        <v>3226</v>
      </c>
      <c r="C645" s="1184">
        <v>4</v>
      </c>
      <c r="D645" s="1148" t="s">
        <v>115</v>
      </c>
      <c r="E645" s="1185">
        <v>349</v>
      </c>
      <c r="F645" s="1150">
        <f t="shared" ref="F645" si="109">ROUND(C645*E645,0)</f>
        <v>1396</v>
      </c>
      <c r="G645" s="1170">
        <f>'PART-A'!I3069</f>
        <v>0</v>
      </c>
      <c r="H645" s="1173" t="s">
        <v>115</v>
      </c>
      <c r="I645" s="1171">
        <f>'PART-A'!K3069</f>
        <v>349</v>
      </c>
      <c r="J645" s="1153">
        <f t="shared" ref="J645:J737" si="110">ROUND(G645*I645,0)</f>
        <v>0</v>
      </c>
      <c r="K645" s="1679">
        <f>IF((J645+J646+J647+J648)&gt;(F645+F646+F647+F648),(J645+J646+J647+J648)-(F645+F646+F647+F648),0)</f>
        <v>0</v>
      </c>
      <c r="L645" s="1679">
        <f>IF((J645+J646+J647+J648)&lt;(F645+F646+F647+F648),(F645+F646+F647+F648)-(J645+J646+J647+J648),0)</f>
        <v>1396</v>
      </c>
      <c r="M645" s="1154" t="s">
        <v>2217</v>
      </c>
      <c r="N645" s="1155"/>
      <c r="O645" s="1156">
        <f t="shared" si="97"/>
        <v>1396</v>
      </c>
    </row>
    <row r="646" spans="1:15" s="360" customFormat="1" ht="15" hidden="1">
      <c r="A646" s="356" t="s">
        <v>1158</v>
      </c>
      <c r="B646" s="632" t="s">
        <v>546</v>
      </c>
      <c r="C646" s="655"/>
      <c r="D646" s="354"/>
      <c r="E646" s="656"/>
      <c r="F646" s="353"/>
      <c r="G646" s="358">
        <f>'PART-A'!I3207</f>
        <v>0</v>
      </c>
      <c r="H646" s="354" t="s">
        <v>115</v>
      </c>
      <c r="I646" s="355">
        <f>'PART-A'!K3207</f>
        <v>349</v>
      </c>
      <c r="J646" s="353">
        <f>ROUND(G646*I646,0)</f>
        <v>0</v>
      </c>
      <c r="K646" s="1680"/>
      <c r="L646" s="1680"/>
      <c r="M646" s="633" t="s">
        <v>2299</v>
      </c>
      <c r="N646" s="223"/>
      <c r="O646" s="631">
        <f t="shared" si="97"/>
        <v>0</v>
      </c>
    </row>
    <row r="647" spans="1:15" s="360" customFormat="1" ht="15" hidden="1">
      <c r="A647" s="356" t="s">
        <v>1152</v>
      </c>
      <c r="B647" s="632" t="s">
        <v>546</v>
      </c>
      <c r="C647" s="655"/>
      <c r="D647" s="354"/>
      <c r="E647" s="656"/>
      <c r="F647" s="353"/>
      <c r="G647" s="358">
        <f>'PART-A'!I3347</f>
        <v>0</v>
      </c>
      <c r="H647" s="354" t="s">
        <v>115</v>
      </c>
      <c r="I647" s="355">
        <f>'PART-A'!K3347</f>
        <v>366</v>
      </c>
      <c r="J647" s="353">
        <f>ROUND(G647*I647,0)</f>
        <v>0</v>
      </c>
      <c r="K647" s="1680"/>
      <c r="L647" s="1680"/>
      <c r="M647" s="633" t="s">
        <v>2312</v>
      </c>
      <c r="N647" s="223"/>
      <c r="O647" s="631">
        <f t="shared" si="97"/>
        <v>0</v>
      </c>
    </row>
    <row r="648" spans="1:15" s="360" customFormat="1" ht="15" hidden="1">
      <c r="A648" s="356" t="s">
        <v>1152</v>
      </c>
      <c r="B648" s="632" t="s">
        <v>546</v>
      </c>
      <c r="C648" s="655"/>
      <c r="D648" s="354"/>
      <c r="E648" s="656"/>
      <c r="F648" s="353"/>
      <c r="G648" s="358">
        <f>'PART-A'!I3487</f>
        <v>0</v>
      </c>
      <c r="H648" s="354" t="s">
        <v>115</v>
      </c>
      <c r="I648" s="355">
        <f>'PART-A'!K3487</f>
        <v>387</v>
      </c>
      <c r="J648" s="353">
        <f>ROUND(G648*I648,0)</f>
        <v>0</v>
      </c>
      <c r="K648" s="1681"/>
      <c r="L648" s="1681"/>
      <c r="M648" s="633" t="s">
        <v>2313</v>
      </c>
      <c r="N648" s="223"/>
      <c r="O648" s="631">
        <f t="shared" si="97"/>
        <v>0</v>
      </c>
    </row>
    <row r="649" spans="1:15" s="1157" customFormat="1" ht="25.5">
      <c r="A649" s="1146" t="s">
        <v>1519</v>
      </c>
      <c r="B649" s="1147" t="s">
        <v>685</v>
      </c>
      <c r="C649" s="1184">
        <v>1</v>
      </c>
      <c r="D649" s="1148" t="s">
        <v>115</v>
      </c>
      <c r="E649" s="1185">
        <v>3758</v>
      </c>
      <c r="F649" s="1150">
        <f t="shared" ref="F649" si="111">ROUND(C649*E649,0)</f>
        <v>3758</v>
      </c>
      <c r="G649" s="1170">
        <f>'PART-A'!I3074</f>
        <v>0</v>
      </c>
      <c r="H649" s="1173" t="s">
        <v>115</v>
      </c>
      <c r="I649" s="1171">
        <f>'PART-A'!K3074</f>
        <v>1483</v>
      </c>
      <c r="J649" s="1153">
        <f t="shared" si="110"/>
        <v>0</v>
      </c>
      <c r="K649" s="1679">
        <f>IF((J649+J650+J651+J652)&gt;(F649+F650+F651+F652),(J649+J650+J651+J652)-(F649+F650+F651+F652),0)</f>
        <v>0</v>
      </c>
      <c r="L649" s="1679">
        <f>IF((J649+J650+J651+J652)&lt;(F649+F650+F651+F652),(F649+F650+F651+F652)-(J649+J650+J651+J652),0)</f>
        <v>3758</v>
      </c>
      <c r="M649" s="1154" t="s">
        <v>2217</v>
      </c>
      <c r="N649" s="1155"/>
      <c r="O649" s="1156">
        <f t="shared" si="97"/>
        <v>3758</v>
      </c>
    </row>
    <row r="650" spans="1:15" s="360" customFormat="1" ht="25.5" hidden="1">
      <c r="A650" s="356" t="s">
        <v>1157</v>
      </c>
      <c r="B650" s="632" t="s">
        <v>713</v>
      </c>
      <c r="C650" s="655"/>
      <c r="D650" s="354"/>
      <c r="E650" s="656"/>
      <c r="F650" s="353"/>
      <c r="G650" s="358">
        <f>'PART-A'!I3212</f>
        <v>0</v>
      </c>
      <c r="H650" s="354" t="s">
        <v>115</v>
      </c>
      <c r="I650" s="355">
        <f>'PART-A'!K3212</f>
        <v>2769</v>
      </c>
      <c r="J650" s="353">
        <f>ROUND(G650*I650,0)</f>
        <v>0</v>
      </c>
      <c r="K650" s="1680"/>
      <c r="L650" s="1680"/>
      <c r="M650" s="633" t="s">
        <v>2299</v>
      </c>
      <c r="N650" s="223"/>
      <c r="O650" s="631">
        <f t="shared" si="97"/>
        <v>0</v>
      </c>
    </row>
    <row r="651" spans="1:15" s="360" customFormat="1" ht="25.5" hidden="1">
      <c r="A651" s="356" t="s">
        <v>499</v>
      </c>
      <c r="B651" s="632" t="s">
        <v>713</v>
      </c>
      <c r="C651" s="655"/>
      <c r="D651" s="354"/>
      <c r="E651" s="656"/>
      <c r="F651" s="353"/>
      <c r="G651" s="358">
        <f>'PART-A'!I3352</f>
        <v>0</v>
      </c>
      <c r="H651" s="354" t="s">
        <v>115</v>
      </c>
      <c r="I651" s="355">
        <f>'PART-A'!K3352</f>
        <v>1554</v>
      </c>
      <c r="J651" s="353">
        <f>ROUND(G651*I651,0)</f>
        <v>0</v>
      </c>
      <c r="K651" s="1680"/>
      <c r="L651" s="1680"/>
      <c r="M651" s="633" t="s">
        <v>2312</v>
      </c>
      <c r="N651" s="223"/>
      <c r="O651" s="631">
        <f t="shared" si="97"/>
        <v>0</v>
      </c>
    </row>
    <row r="652" spans="1:15" s="360" customFormat="1" ht="25.5" hidden="1">
      <c r="A652" s="356" t="s">
        <v>499</v>
      </c>
      <c r="B652" s="632" t="s">
        <v>713</v>
      </c>
      <c r="C652" s="655"/>
      <c r="D652" s="354"/>
      <c r="E652" s="656"/>
      <c r="F652" s="353"/>
      <c r="G652" s="358">
        <f>'PART-A'!I3492</f>
        <v>0</v>
      </c>
      <c r="H652" s="354" t="s">
        <v>115</v>
      </c>
      <c r="I652" s="355">
        <f>'PART-A'!K3492</f>
        <v>1644</v>
      </c>
      <c r="J652" s="353">
        <f>ROUND(G652*I652,0)</f>
        <v>0</v>
      </c>
      <c r="K652" s="1681"/>
      <c r="L652" s="1681"/>
      <c r="M652" s="633" t="s">
        <v>2313</v>
      </c>
      <c r="N652" s="223"/>
      <c r="O652" s="631">
        <f t="shared" si="97"/>
        <v>0</v>
      </c>
    </row>
    <row r="653" spans="1:15" s="1157" customFormat="1" ht="38.25">
      <c r="A653" s="1146" t="s">
        <v>497</v>
      </c>
      <c r="B653" s="1147" t="s">
        <v>3227</v>
      </c>
      <c r="C653" s="1184">
        <v>30</v>
      </c>
      <c r="D653" s="1148" t="s">
        <v>277</v>
      </c>
      <c r="E653" s="1185">
        <v>136.66666666666666</v>
      </c>
      <c r="F653" s="1150">
        <f t="shared" ref="F653" si="112">ROUND(C653*E653,0)</f>
        <v>4100</v>
      </c>
      <c r="G653" s="1170">
        <f>'PART-A'!I3079</f>
        <v>0</v>
      </c>
      <c r="H653" s="1173" t="s">
        <v>277</v>
      </c>
      <c r="I653" s="1171">
        <f>'PART-A'!K3079</f>
        <v>136.66666666666666</v>
      </c>
      <c r="J653" s="1153">
        <f t="shared" si="110"/>
        <v>0</v>
      </c>
      <c r="K653" s="1679">
        <f>IF((J653+J654+J655+J656)&gt;(F653+F654+F655+F656),(J653+J654+J655+J656)-(F653+F654+F655+F656),0)</f>
        <v>0</v>
      </c>
      <c r="L653" s="1679">
        <f>IF((J653+J654+J655+J656)&lt;(F653+F654+F655+F656),(F653+F654+F655+F656)-(J653+J654+J655+J656),0)</f>
        <v>4100</v>
      </c>
      <c r="M653" s="1154" t="s">
        <v>2217</v>
      </c>
      <c r="N653" s="1155"/>
      <c r="O653" s="1156">
        <f t="shared" si="97"/>
        <v>4100</v>
      </c>
    </row>
    <row r="654" spans="1:15" s="360" customFormat="1" ht="15" hidden="1">
      <c r="A654" s="356" t="s">
        <v>2685</v>
      </c>
      <c r="B654" s="632" t="s">
        <v>547</v>
      </c>
      <c r="C654" s="655"/>
      <c r="D654" s="354"/>
      <c r="E654" s="656"/>
      <c r="F654" s="353"/>
      <c r="G654" s="358">
        <f>'PART-A'!I3217</f>
        <v>0</v>
      </c>
      <c r="H654" s="354" t="s">
        <v>277</v>
      </c>
      <c r="I654" s="355">
        <f>'PART-A'!K3217</f>
        <v>136.66666666666666</v>
      </c>
      <c r="J654" s="353">
        <f>ROUND(G654*I654,0)</f>
        <v>0</v>
      </c>
      <c r="K654" s="1680"/>
      <c r="L654" s="1680"/>
      <c r="M654" s="633" t="s">
        <v>2299</v>
      </c>
      <c r="N654" s="223"/>
      <c r="O654" s="631">
        <f t="shared" ref="O654:O720" si="113">F654-J654</f>
        <v>0</v>
      </c>
    </row>
    <row r="655" spans="1:15" s="360" customFormat="1" ht="15" hidden="1">
      <c r="A655" s="356" t="s">
        <v>522</v>
      </c>
      <c r="B655" s="632" t="s">
        <v>547</v>
      </c>
      <c r="C655" s="655"/>
      <c r="D655" s="354"/>
      <c r="E655" s="656"/>
      <c r="F655" s="353"/>
      <c r="G655" s="358">
        <f>'PART-A'!I3358</f>
        <v>0</v>
      </c>
      <c r="H655" s="354" t="s">
        <v>277</v>
      </c>
      <c r="I655" s="355">
        <f>'PART-A'!K3358</f>
        <v>142</v>
      </c>
      <c r="J655" s="353">
        <f>ROUND(G655*I655,0)</f>
        <v>0</v>
      </c>
      <c r="K655" s="1680"/>
      <c r="L655" s="1680"/>
      <c r="M655" s="633" t="s">
        <v>2312</v>
      </c>
      <c r="N655" s="223"/>
      <c r="O655" s="631">
        <f t="shared" si="113"/>
        <v>0</v>
      </c>
    </row>
    <row r="656" spans="1:15" s="360" customFormat="1" ht="38.25" hidden="1">
      <c r="A656" s="356" t="s">
        <v>1591</v>
      </c>
      <c r="B656" s="632" t="s">
        <v>3227</v>
      </c>
      <c r="C656" s="655"/>
      <c r="D656" s="354"/>
      <c r="E656" s="656"/>
      <c r="F656" s="353"/>
      <c r="G656" s="358">
        <f>'PART-A'!I3497</f>
        <v>0</v>
      </c>
      <c r="H656" s="354" t="s">
        <v>277</v>
      </c>
      <c r="I656" s="355">
        <f>'PART-A'!K3497</f>
        <v>149</v>
      </c>
      <c r="J656" s="353">
        <f>ROUND(G656*I656,0)</f>
        <v>0</v>
      </c>
      <c r="K656" s="1681"/>
      <c r="L656" s="1681"/>
      <c r="M656" s="851" t="s">
        <v>2313</v>
      </c>
      <c r="N656" s="223"/>
      <c r="O656" s="850">
        <f t="shared" si="113"/>
        <v>0</v>
      </c>
    </row>
    <row r="657" spans="1:15" s="1157" customFormat="1" ht="38.25">
      <c r="A657" s="1146" t="s">
        <v>498</v>
      </c>
      <c r="B657" s="1147" t="s">
        <v>3228</v>
      </c>
      <c r="C657" s="1184">
        <v>5</v>
      </c>
      <c r="D657" s="1148" t="s">
        <v>277</v>
      </c>
      <c r="E657" s="1185">
        <v>129.66666666666666</v>
      </c>
      <c r="F657" s="1150">
        <f t="shared" ref="F657" si="114">ROUND(C657*E657,0)</f>
        <v>648</v>
      </c>
      <c r="G657" s="1170">
        <f>'PART-A'!I3084</f>
        <v>0</v>
      </c>
      <c r="H657" s="1173" t="s">
        <v>277</v>
      </c>
      <c r="I657" s="1171">
        <f>'PART-A'!K3084</f>
        <v>129.66666666666666</v>
      </c>
      <c r="J657" s="1153">
        <f t="shared" si="110"/>
        <v>0</v>
      </c>
      <c r="K657" s="1679">
        <f>IF((J657+J658+J659+J660)&gt;(F657+F658+F659+F660),(J657+J658+J659+J660)-(F657+F658+F659+F660),0)</f>
        <v>0</v>
      </c>
      <c r="L657" s="1679">
        <f>IF((J657+J658+J659+J660)&lt;(F657+F658+F659+F660),(F657+F658+F659+F660)-(J657+J658+J659+J660),0)</f>
        <v>648</v>
      </c>
      <c r="M657" s="1154" t="s">
        <v>2217</v>
      </c>
      <c r="N657" s="1155"/>
      <c r="O657" s="1156">
        <f t="shared" si="113"/>
        <v>648</v>
      </c>
    </row>
    <row r="658" spans="1:15" s="360" customFormat="1" ht="15" hidden="1">
      <c r="A658" s="356" t="s">
        <v>1258</v>
      </c>
      <c r="B658" s="632" t="s">
        <v>548</v>
      </c>
      <c r="C658" s="655"/>
      <c r="D658" s="354"/>
      <c r="E658" s="656"/>
      <c r="F658" s="353"/>
      <c r="G658" s="358">
        <f>'PART-A'!I3222</f>
        <v>0</v>
      </c>
      <c r="H658" s="354" t="s">
        <v>277</v>
      </c>
      <c r="I658" s="355">
        <f>'PART-A'!K3222</f>
        <v>129.66666666666666</v>
      </c>
      <c r="J658" s="353">
        <f>ROUND(G658*I658,0)</f>
        <v>0</v>
      </c>
      <c r="K658" s="1680"/>
      <c r="L658" s="1680"/>
      <c r="M658" s="633" t="s">
        <v>2299</v>
      </c>
      <c r="N658" s="223"/>
      <c r="O658" s="631">
        <f t="shared" si="113"/>
        <v>0</v>
      </c>
    </row>
    <row r="659" spans="1:15" s="360" customFormat="1" ht="15" hidden="1">
      <c r="A659" s="356" t="s">
        <v>1258</v>
      </c>
      <c r="B659" s="632" t="s">
        <v>548</v>
      </c>
      <c r="C659" s="655"/>
      <c r="D659" s="354"/>
      <c r="E659" s="656"/>
      <c r="F659" s="353"/>
      <c r="G659" s="358">
        <f>'PART-A'!I3363</f>
        <v>0</v>
      </c>
      <c r="H659" s="354" t="s">
        <v>277</v>
      </c>
      <c r="I659" s="355">
        <f>'PART-A'!K3363</f>
        <v>135</v>
      </c>
      <c r="J659" s="353">
        <f>ROUND(G659*I659,0)</f>
        <v>0</v>
      </c>
      <c r="K659" s="1680"/>
      <c r="L659" s="1680"/>
      <c r="M659" s="633" t="s">
        <v>2312</v>
      </c>
      <c r="N659" s="223"/>
      <c r="O659" s="631">
        <f t="shared" si="113"/>
        <v>0</v>
      </c>
    </row>
    <row r="660" spans="1:15" s="360" customFormat="1" ht="15" hidden="1">
      <c r="A660" s="356" t="s">
        <v>1258</v>
      </c>
      <c r="B660" s="632" t="s">
        <v>548</v>
      </c>
      <c r="C660" s="655"/>
      <c r="D660" s="354"/>
      <c r="E660" s="656"/>
      <c r="F660" s="353"/>
      <c r="G660" s="358">
        <f>'PART-A'!I3502</f>
        <v>0</v>
      </c>
      <c r="H660" s="354" t="s">
        <v>277</v>
      </c>
      <c r="I660" s="355">
        <f>'PART-A'!K3502</f>
        <v>141.66666666666666</v>
      </c>
      <c r="J660" s="353">
        <f>ROUND(G660*I660,0)</f>
        <v>0</v>
      </c>
      <c r="K660" s="1681"/>
      <c r="L660" s="1681"/>
      <c r="M660" s="633" t="s">
        <v>2313</v>
      </c>
      <c r="N660" s="223"/>
      <c r="O660" s="631">
        <f t="shared" si="113"/>
        <v>0</v>
      </c>
    </row>
    <row r="661" spans="1:15" s="1157" customFormat="1" ht="38.25">
      <c r="A661" s="1146" t="s">
        <v>499</v>
      </c>
      <c r="B661" s="1147" t="s">
        <v>3229</v>
      </c>
      <c r="C661" s="1184">
        <v>10</v>
      </c>
      <c r="D661" s="1148" t="s">
        <v>277</v>
      </c>
      <c r="E661" s="1185">
        <v>81.333333333333329</v>
      </c>
      <c r="F661" s="1150">
        <f t="shared" ref="F661" si="115">ROUND(C661*E661,0)</f>
        <v>813</v>
      </c>
      <c r="G661" s="1170">
        <f>'PART-A'!I3089</f>
        <v>0</v>
      </c>
      <c r="H661" s="1173" t="s">
        <v>277</v>
      </c>
      <c r="I661" s="1171">
        <f>'PART-A'!K3089</f>
        <v>81.333333333333329</v>
      </c>
      <c r="J661" s="1153">
        <f t="shared" si="110"/>
        <v>0</v>
      </c>
      <c r="K661" s="1679">
        <f>IF((J661+J662+J663+J664)&gt;(F661+F662+F663+F664),(J661+J662+J663+J664)-(F661+F662+F663+F664),0)</f>
        <v>0</v>
      </c>
      <c r="L661" s="1679">
        <f>IF((J661+J662+J663+J664)&lt;(F661+F662+F663+F664),(F661+F662+F663+F664)-(J661+J662+J663+J664),0)</f>
        <v>813</v>
      </c>
      <c r="M661" s="1154" t="s">
        <v>2217</v>
      </c>
      <c r="N661" s="1155"/>
      <c r="O661" s="1156">
        <f t="shared" si="113"/>
        <v>813</v>
      </c>
    </row>
    <row r="662" spans="1:15" s="360" customFormat="1" ht="15" hidden="1">
      <c r="A662" s="356" t="s">
        <v>2687</v>
      </c>
      <c r="B662" s="632" t="s">
        <v>549</v>
      </c>
      <c r="C662" s="655"/>
      <c r="D662" s="354"/>
      <c r="E662" s="656"/>
      <c r="F662" s="353"/>
      <c r="G662" s="358">
        <f>'PART-A'!I3227</f>
        <v>0</v>
      </c>
      <c r="H662" s="354" t="s">
        <v>277</v>
      </c>
      <c r="I662" s="355">
        <f>'PART-A'!K3227</f>
        <v>81.333333333333329</v>
      </c>
      <c r="J662" s="353">
        <f>ROUND(G662*I662,0)</f>
        <v>0</v>
      </c>
      <c r="K662" s="1680"/>
      <c r="L662" s="1680"/>
      <c r="M662" s="633" t="s">
        <v>2299</v>
      </c>
      <c r="N662" s="223"/>
      <c r="O662" s="631">
        <f t="shared" si="113"/>
        <v>0</v>
      </c>
    </row>
    <row r="663" spans="1:15" s="360" customFormat="1" ht="15" hidden="1">
      <c r="A663" s="356" t="s">
        <v>526</v>
      </c>
      <c r="B663" s="632" t="s">
        <v>549</v>
      </c>
      <c r="C663" s="655"/>
      <c r="D663" s="354"/>
      <c r="E663" s="656"/>
      <c r="F663" s="353"/>
      <c r="G663" s="358">
        <f>'PART-A'!I3369</f>
        <v>0</v>
      </c>
      <c r="H663" s="354" t="s">
        <v>277</v>
      </c>
      <c r="I663" s="355">
        <f>'PART-A'!K3369</f>
        <v>84.666666666666671</v>
      </c>
      <c r="J663" s="353">
        <f>ROUND(G663*I663,0)</f>
        <v>0</v>
      </c>
      <c r="K663" s="1680"/>
      <c r="L663" s="1680"/>
      <c r="M663" s="633" t="s">
        <v>2312</v>
      </c>
      <c r="N663" s="223"/>
      <c r="O663" s="631">
        <f t="shared" si="113"/>
        <v>0</v>
      </c>
    </row>
    <row r="664" spans="1:15" s="360" customFormat="1" ht="38.25" hidden="1">
      <c r="A664" s="356" t="s">
        <v>1594</v>
      </c>
      <c r="B664" s="632" t="s">
        <v>3229</v>
      </c>
      <c r="C664" s="655"/>
      <c r="D664" s="354"/>
      <c r="E664" s="656"/>
      <c r="F664" s="353"/>
      <c r="G664" s="358">
        <f>'PART-A'!I3507</f>
        <v>0</v>
      </c>
      <c r="H664" s="354" t="s">
        <v>277</v>
      </c>
      <c r="I664" s="355">
        <f>'PART-A'!K3507</f>
        <v>89</v>
      </c>
      <c r="J664" s="353">
        <f>ROUND(G664*I664,0)</f>
        <v>0</v>
      </c>
      <c r="K664" s="1681"/>
      <c r="L664" s="1681"/>
      <c r="M664" s="851" t="s">
        <v>2313</v>
      </c>
      <c r="N664" s="223"/>
      <c r="O664" s="850">
        <f t="shared" si="113"/>
        <v>0</v>
      </c>
    </row>
    <row r="665" spans="1:15" s="1157" customFormat="1" ht="25.5">
      <c r="A665" s="1146" t="s">
        <v>500</v>
      </c>
      <c r="B665" s="1147" t="s">
        <v>3230</v>
      </c>
      <c r="C665" s="1184">
        <v>45</v>
      </c>
      <c r="D665" s="1148" t="s">
        <v>277</v>
      </c>
      <c r="E665" s="1185">
        <v>70</v>
      </c>
      <c r="F665" s="1150">
        <f t="shared" ref="F665" si="116">ROUND(C665*E665,0)</f>
        <v>3150</v>
      </c>
      <c r="G665" s="1170">
        <f>'PART-A'!I3095</f>
        <v>0</v>
      </c>
      <c r="H665" s="1173" t="s">
        <v>277</v>
      </c>
      <c r="I665" s="1171">
        <f>'PART-A'!K3095</f>
        <v>70</v>
      </c>
      <c r="J665" s="1153">
        <f t="shared" si="110"/>
        <v>0</v>
      </c>
      <c r="K665" s="1679">
        <f>IF((J665+J666+J667+J668)&gt;(F665+F666+F667+F668),(J665+J666+J667+J668)-(F665+F666+F667+F668),0)</f>
        <v>0</v>
      </c>
      <c r="L665" s="1679">
        <f>IF((J665+J666+J667+J668)&lt;(F665+F666+F667+F668),(F665+F666+F667+F668)-(J665+J666+J667+J668),0)</f>
        <v>3150</v>
      </c>
      <c r="M665" s="1154" t="s">
        <v>2217</v>
      </c>
      <c r="N665" s="1155"/>
      <c r="O665" s="1156">
        <f t="shared" si="113"/>
        <v>3150</v>
      </c>
    </row>
    <row r="666" spans="1:15" s="360" customFormat="1" ht="15" hidden="1">
      <c r="A666" s="356" t="s">
        <v>2689</v>
      </c>
      <c r="B666" s="632" t="s">
        <v>550</v>
      </c>
      <c r="C666" s="655"/>
      <c r="D666" s="354"/>
      <c r="E666" s="656"/>
      <c r="F666" s="353"/>
      <c r="G666" s="358">
        <f>'PART-A'!I3233</f>
        <v>0</v>
      </c>
      <c r="H666" s="354" t="s">
        <v>277</v>
      </c>
      <c r="I666" s="355">
        <f>'PART-A'!K3233</f>
        <v>70</v>
      </c>
      <c r="J666" s="353">
        <f>ROUND(G666*I666,0)</f>
        <v>0</v>
      </c>
      <c r="K666" s="1680"/>
      <c r="L666" s="1680"/>
      <c r="M666" s="633" t="s">
        <v>2299</v>
      </c>
      <c r="N666" s="223"/>
      <c r="O666" s="631">
        <f t="shared" si="113"/>
        <v>0</v>
      </c>
    </row>
    <row r="667" spans="1:15" s="360" customFormat="1" ht="15" hidden="1">
      <c r="A667" s="356" t="s">
        <v>1578</v>
      </c>
      <c r="B667" s="632" t="s">
        <v>550</v>
      </c>
      <c r="C667" s="655"/>
      <c r="D667" s="354"/>
      <c r="E667" s="656"/>
      <c r="F667" s="353"/>
      <c r="G667" s="358">
        <f>'PART-A'!I3375</f>
        <v>0</v>
      </c>
      <c r="H667" s="354" t="s">
        <v>277</v>
      </c>
      <c r="I667" s="355">
        <f>'PART-A'!K3375</f>
        <v>74</v>
      </c>
      <c r="J667" s="353">
        <f>ROUND(G667*I667,0)</f>
        <v>0</v>
      </c>
      <c r="K667" s="1680"/>
      <c r="L667" s="1680"/>
      <c r="M667" s="633" t="s">
        <v>2312</v>
      </c>
      <c r="N667" s="223"/>
      <c r="O667" s="631">
        <f t="shared" si="113"/>
        <v>0</v>
      </c>
    </row>
    <row r="668" spans="1:15" s="360" customFormat="1" ht="25.5" hidden="1">
      <c r="A668" s="356" t="s">
        <v>1147</v>
      </c>
      <c r="B668" s="632" t="s">
        <v>3230</v>
      </c>
      <c r="C668" s="655"/>
      <c r="D668" s="354"/>
      <c r="E668" s="656"/>
      <c r="F668" s="353"/>
      <c r="G668" s="358">
        <f>'PART-A'!I3513</f>
        <v>0</v>
      </c>
      <c r="H668" s="354" t="s">
        <v>277</v>
      </c>
      <c r="I668" s="355">
        <f>'PART-A'!K3513</f>
        <v>79</v>
      </c>
      <c r="J668" s="353">
        <f>ROUND(G668*I668,0)</f>
        <v>0</v>
      </c>
      <c r="K668" s="1681"/>
      <c r="L668" s="1681"/>
      <c r="M668" s="851" t="s">
        <v>2313</v>
      </c>
      <c r="N668" s="223"/>
      <c r="O668" s="850">
        <f t="shared" si="113"/>
        <v>0</v>
      </c>
    </row>
    <row r="669" spans="1:15" s="1157" customFormat="1" ht="38.25">
      <c r="A669" s="1146" t="s">
        <v>501</v>
      </c>
      <c r="B669" s="1147" t="s">
        <v>3504</v>
      </c>
      <c r="C669" s="1186">
        <v>1</v>
      </c>
      <c r="D669" s="1187" t="s">
        <v>115</v>
      </c>
      <c r="E669" s="1188">
        <v>3238</v>
      </c>
      <c r="F669" s="1150">
        <f t="shared" ref="F669:F670" si="117">ROUND(C669*E669,0)</f>
        <v>3238</v>
      </c>
      <c r="G669" s="1170"/>
      <c r="H669" s="1173"/>
      <c r="I669" s="1171"/>
      <c r="J669" s="1153"/>
      <c r="K669" s="1189">
        <f t="shared" ref="K669" si="118">IF(J669&gt;F669,J669-F669,0)</f>
        <v>0</v>
      </c>
      <c r="L669" s="1190">
        <f t="shared" ref="L669" si="119">IF(J669&lt;F669,F669-J669,0)</f>
        <v>3238</v>
      </c>
      <c r="M669" s="1154" t="s">
        <v>2217</v>
      </c>
      <c r="N669" s="1155"/>
      <c r="O669" s="1156">
        <f t="shared" si="113"/>
        <v>3238</v>
      </c>
    </row>
    <row r="670" spans="1:15" s="1157" customFormat="1" ht="38.25">
      <c r="A670" s="1146" t="s">
        <v>502</v>
      </c>
      <c r="B670" s="1147" t="s">
        <v>3231</v>
      </c>
      <c r="C670" s="1184">
        <v>2</v>
      </c>
      <c r="D670" s="1148" t="s">
        <v>115</v>
      </c>
      <c r="E670" s="1191">
        <v>4776</v>
      </c>
      <c r="F670" s="1150">
        <f t="shared" si="117"/>
        <v>9552</v>
      </c>
      <c r="G670" s="1170">
        <f>'PART-A'!I3100</f>
        <v>0</v>
      </c>
      <c r="H670" s="1173" t="s">
        <v>115</v>
      </c>
      <c r="I670" s="1171">
        <f>'PART-A'!K3100</f>
        <v>4776</v>
      </c>
      <c r="J670" s="1153">
        <f t="shared" si="110"/>
        <v>0</v>
      </c>
      <c r="K670" s="1679">
        <f>IF((J670+J671+J672+J673)&gt;(F670+F671+F672+F673),(J670+J671+J672+J673)-(F670+F671+F672+F673),0)</f>
        <v>0</v>
      </c>
      <c r="L670" s="1679">
        <f>IF((J670+J671+J672+J673)&lt;(F670+F671+F672+F673),(F670+F671+F672+F673)-(J670+J671+J672+J673),0)</f>
        <v>9552</v>
      </c>
      <c r="M670" s="1154" t="s">
        <v>2217</v>
      </c>
      <c r="N670" s="1155"/>
      <c r="O670" s="1156">
        <f t="shared" si="113"/>
        <v>9552</v>
      </c>
    </row>
    <row r="671" spans="1:15" s="360" customFormat="1" ht="15" hidden="1">
      <c r="A671" s="356" t="s">
        <v>2692</v>
      </c>
      <c r="B671" s="632" t="s">
        <v>551</v>
      </c>
      <c r="C671" s="551"/>
      <c r="D671" s="354"/>
      <c r="E671" s="16"/>
      <c r="F671" s="353"/>
      <c r="G671" s="358">
        <f>'PART-A'!I3238</f>
        <v>0</v>
      </c>
      <c r="H671" s="354" t="s">
        <v>115</v>
      </c>
      <c r="I671" s="355">
        <f>'PART-A'!K3238</f>
        <v>4776</v>
      </c>
      <c r="J671" s="353">
        <f>ROUND(G671*I671,0)</f>
        <v>0</v>
      </c>
      <c r="K671" s="1680"/>
      <c r="L671" s="1680"/>
      <c r="M671" s="633" t="s">
        <v>2299</v>
      </c>
      <c r="N671" s="223"/>
      <c r="O671" s="631">
        <f t="shared" si="113"/>
        <v>0</v>
      </c>
    </row>
    <row r="672" spans="1:15" s="360" customFormat="1" ht="15" hidden="1">
      <c r="A672" s="356" t="s">
        <v>1158</v>
      </c>
      <c r="B672" s="632" t="s">
        <v>551</v>
      </c>
      <c r="C672" s="551"/>
      <c r="D672" s="354"/>
      <c r="E672" s="16"/>
      <c r="F672" s="353"/>
      <c r="G672" s="358">
        <f>'PART-A'!I3380</f>
        <v>0</v>
      </c>
      <c r="H672" s="354" t="s">
        <v>115</v>
      </c>
      <c r="I672" s="355">
        <f>'PART-A'!K3380</f>
        <v>5006</v>
      </c>
      <c r="J672" s="353">
        <f>ROUND(G672*I672,0)</f>
        <v>0</v>
      </c>
      <c r="K672" s="1680"/>
      <c r="L672" s="1680"/>
      <c r="M672" s="633" t="s">
        <v>2312</v>
      </c>
      <c r="N672" s="223"/>
      <c r="O672" s="631">
        <f t="shared" si="113"/>
        <v>0</v>
      </c>
    </row>
    <row r="673" spans="1:15" s="360" customFormat="1" ht="38.25" hidden="1">
      <c r="A673" s="356" t="s">
        <v>1150</v>
      </c>
      <c r="B673" s="632" t="s">
        <v>3231</v>
      </c>
      <c r="C673" s="551"/>
      <c r="D673" s="354"/>
      <c r="E673" s="16"/>
      <c r="F673" s="353"/>
      <c r="G673" s="358">
        <f>'PART-A'!I3518</f>
        <v>0</v>
      </c>
      <c r="H673" s="354" t="s">
        <v>115</v>
      </c>
      <c r="I673" s="355">
        <f>'PART-A'!K3518</f>
        <v>5297</v>
      </c>
      <c r="J673" s="353">
        <f>ROUND(G673*I673,0)</f>
        <v>0</v>
      </c>
      <c r="K673" s="1681"/>
      <c r="L673" s="1681"/>
      <c r="M673" s="851" t="s">
        <v>2313</v>
      </c>
      <c r="N673" s="223"/>
      <c r="O673" s="850">
        <f t="shared" si="113"/>
        <v>0</v>
      </c>
    </row>
    <row r="674" spans="1:15" s="360" customFormat="1" ht="15" hidden="1">
      <c r="A674" s="356" t="s">
        <v>644</v>
      </c>
      <c r="B674" s="632" t="s">
        <v>633</v>
      </c>
      <c r="C674" s="551"/>
      <c r="D674" s="354"/>
      <c r="E674" s="16"/>
      <c r="F674" s="353"/>
      <c r="G674" s="358">
        <f>'PART-A'!I3105</f>
        <v>0</v>
      </c>
      <c r="H674" s="354" t="s">
        <v>115</v>
      </c>
      <c r="I674" s="355">
        <f>'PART-A'!K3105</f>
        <v>934</v>
      </c>
      <c r="J674" s="353">
        <f t="shared" si="110"/>
        <v>0</v>
      </c>
      <c r="K674" s="1679">
        <f>IF((J674+J675+J676+J677)&gt;(F674+F675+F676+F677),(J674+J675+J676+J677)-(F674+F675+F676+F677),0)</f>
        <v>0</v>
      </c>
      <c r="L674" s="1679">
        <f>IF((J674+J675+J676+J677)&lt;(F674+F675+F676+F677),(F674+F675+F676+F677)-(J674+J675+J676+J677),0)</f>
        <v>0</v>
      </c>
      <c r="M674" s="633" t="s">
        <v>2217</v>
      </c>
      <c r="N674" s="223"/>
      <c r="O674" s="631">
        <f t="shared" si="113"/>
        <v>0</v>
      </c>
    </row>
    <row r="675" spans="1:15" s="360" customFormat="1" ht="15" hidden="1">
      <c r="A675" s="356" t="s">
        <v>644</v>
      </c>
      <c r="B675" s="632" t="s">
        <v>633</v>
      </c>
      <c r="C675" s="551"/>
      <c r="D675" s="354"/>
      <c r="E675" s="16"/>
      <c r="F675" s="353"/>
      <c r="G675" s="358">
        <f>'PART-A'!I3243</f>
        <v>0</v>
      </c>
      <c r="H675" s="354" t="s">
        <v>115</v>
      </c>
      <c r="I675" s="355">
        <f>'PART-A'!K3243</f>
        <v>934</v>
      </c>
      <c r="J675" s="353">
        <f>ROUND(G675*I675,0)</f>
        <v>0</v>
      </c>
      <c r="K675" s="1680"/>
      <c r="L675" s="1680"/>
      <c r="M675" s="633" t="s">
        <v>2299</v>
      </c>
      <c r="N675" s="223"/>
      <c r="O675" s="631">
        <f t="shared" si="113"/>
        <v>0</v>
      </c>
    </row>
    <row r="676" spans="1:15" s="360" customFormat="1" ht="15" hidden="1">
      <c r="A676" s="356" t="s">
        <v>644</v>
      </c>
      <c r="B676" s="632" t="s">
        <v>633</v>
      </c>
      <c r="C676" s="551"/>
      <c r="D676" s="354"/>
      <c r="E676" s="16"/>
      <c r="F676" s="353"/>
      <c r="G676" s="358">
        <f>'PART-A'!I3385</f>
        <v>0</v>
      </c>
      <c r="H676" s="354" t="s">
        <v>115</v>
      </c>
      <c r="I676" s="355">
        <f>'PART-A'!K3385</f>
        <v>979</v>
      </c>
      <c r="J676" s="353">
        <f>ROUND(G676*I676,0)</f>
        <v>0</v>
      </c>
      <c r="K676" s="1680"/>
      <c r="L676" s="1680"/>
      <c r="M676" s="633" t="s">
        <v>2312</v>
      </c>
      <c r="N676" s="223"/>
      <c r="O676" s="631">
        <f t="shared" si="113"/>
        <v>0</v>
      </c>
    </row>
    <row r="677" spans="1:15" s="360" customFormat="1" ht="15" hidden="1">
      <c r="A677" s="356" t="s">
        <v>644</v>
      </c>
      <c r="B677" s="632" t="s">
        <v>633</v>
      </c>
      <c r="C677" s="551"/>
      <c r="D677" s="354"/>
      <c r="E677" s="16"/>
      <c r="F677" s="353"/>
      <c r="G677" s="358">
        <f>'PART-A'!I3523</f>
        <v>0</v>
      </c>
      <c r="H677" s="354" t="s">
        <v>115</v>
      </c>
      <c r="I677" s="355">
        <f>'PART-A'!K3523</f>
        <v>1036</v>
      </c>
      <c r="J677" s="353">
        <f>ROUND(G677*I677,0)</f>
        <v>0</v>
      </c>
      <c r="K677" s="1681"/>
      <c r="L677" s="1681"/>
      <c r="M677" s="633" t="s">
        <v>2313</v>
      </c>
      <c r="N677" s="223"/>
      <c r="O677" s="631">
        <f t="shared" si="113"/>
        <v>0</v>
      </c>
    </row>
    <row r="678" spans="1:15" s="1157" customFormat="1" ht="38.25">
      <c r="A678" s="1146" t="s">
        <v>503</v>
      </c>
      <c r="B678" s="1147" t="s">
        <v>3232</v>
      </c>
      <c r="C678" s="1184">
        <v>2</v>
      </c>
      <c r="D678" s="1148" t="s">
        <v>115</v>
      </c>
      <c r="E678" s="1191">
        <v>1827</v>
      </c>
      <c r="F678" s="1150">
        <f t="shared" ref="F678" si="120">ROUND(C678*E678,0)</f>
        <v>3654</v>
      </c>
      <c r="G678" s="1170">
        <f>'PART-A'!I3115</f>
        <v>0</v>
      </c>
      <c r="H678" s="1173" t="s">
        <v>115</v>
      </c>
      <c r="I678" s="1171">
        <f>'PART-A'!K3115</f>
        <v>1827</v>
      </c>
      <c r="J678" s="1153">
        <f t="shared" si="110"/>
        <v>0</v>
      </c>
      <c r="K678" s="1679">
        <f>IF((J678+J679+J680+J681)&gt;(F678+F679+F680+F681),(J678+J679+J680+J681)-(F678+F679+F680+F681),0)</f>
        <v>0</v>
      </c>
      <c r="L678" s="1679">
        <f>IF((J678+J679+J680+J681)&lt;(F678+F679+F680+F681),(F678+F679+F680+F681)-(J678+J679+J680+J681),0)</f>
        <v>3654</v>
      </c>
      <c r="M678" s="1154" t="s">
        <v>2217</v>
      </c>
      <c r="N678" s="1155"/>
      <c r="O678" s="1156">
        <f t="shared" si="113"/>
        <v>3654</v>
      </c>
    </row>
    <row r="679" spans="1:15" s="360" customFormat="1" ht="15" hidden="1">
      <c r="A679" s="356" t="s">
        <v>2694</v>
      </c>
      <c r="B679" s="632" t="s">
        <v>634</v>
      </c>
      <c r="C679" s="551"/>
      <c r="D679" s="354"/>
      <c r="E679" s="16"/>
      <c r="F679" s="353"/>
      <c r="G679" s="358">
        <f>'PART-A'!I3253</f>
        <v>0</v>
      </c>
      <c r="H679" s="354" t="s">
        <v>115</v>
      </c>
      <c r="I679" s="355">
        <f>'PART-A'!K3253</f>
        <v>1827</v>
      </c>
      <c r="J679" s="353">
        <f>ROUND(G679*I679,0)</f>
        <v>0</v>
      </c>
      <c r="K679" s="1680"/>
      <c r="L679" s="1680"/>
      <c r="M679" s="633" t="s">
        <v>2299</v>
      </c>
      <c r="N679" s="223"/>
      <c r="O679" s="631">
        <f t="shared" si="113"/>
        <v>0</v>
      </c>
    </row>
    <row r="680" spans="1:15" s="360" customFormat="1" ht="15" hidden="1">
      <c r="A680" s="356" t="s">
        <v>1158</v>
      </c>
      <c r="B680" s="632" t="s">
        <v>634</v>
      </c>
      <c r="C680" s="551"/>
      <c r="D680" s="354"/>
      <c r="E680" s="16"/>
      <c r="F680" s="353"/>
      <c r="G680" s="358">
        <f>'PART-A'!I3395</f>
        <v>0</v>
      </c>
      <c r="H680" s="354" t="s">
        <v>115</v>
      </c>
      <c r="I680" s="355">
        <f>'PART-A'!K3395</f>
        <v>1915</v>
      </c>
      <c r="J680" s="353">
        <f>ROUND(G680*I680,0)</f>
        <v>0</v>
      </c>
      <c r="K680" s="1680"/>
      <c r="L680" s="1680"/>
      <c r="M680" s="633" t="s">
        <v>2312</v>
      </c>
      <c r="N680" s="223"/>
      <c r="O680" s="631">
        <f t="shared" si="113"/>
        <v>0</v>
      </c>
    </row>
    <row r="681" spans="1:15" s="360" customFormat="1" ht="15" hidden="1">
      <c r="A681" s="356" t="s">
        <v>1158</v>
      </c>
      <c r="B681" s="632" t="s">
        <v>634</v>
      </c>
      <c r="C681" s="551"/>
      <c r="D681" s="354"/>
      <c r="E681" s="16"/>
      <c r="F681" s="353"/>
      <c r="G681" s="358">
        <f>'PART-A'!I3533</f>
        <v>0</v>
      </c>
      <c r="H681" s="354" t="s">
        <v>115</v>
      </c>
      <c r="I681" s="355">
        <f>'PART-A'!K3533</f>
        <v>2025</v>
      </c>
      <c r="J681" s="353">
        <f>ROUND(G681*I681,0)</f>
        <v>0</v>
      </c>
      <c r="K681" s="1681"/>
      <c r="L681" s="1681"/>
      <c r="M681" s="633" t="s">
        <v>2313</v>
      </c>
      <c r="N681" s="223"/>
      <c r="O681" s="631">
        <f t="shared" si="113"/>
        <v>0</v>
      </c>
    </row>
    <row r="682" spans="1:15" s="360" customFormat="1" ht="15" hidden="1">
      <c r="A682" s="356" t="s">
        <v>1595</v>
      </c>
      <c r="B682" s="632" t="s">
        <v>1256</v>
      </c>
      <c r="C682" s="551"/>
      <c r="D682" s="354"/>
      <c r="E682" s="16"/>
      <c r="F682" s="353"/>
      <c r="G682" s="358">
        <f>'PART-A'!I3110</f>
        <v>0</v>
      </c>
      <c r="H682" s="354" t="s">
        <v>115</v>
      </c>
      <c r="I682" s="355">
        <f>'PART-A'!K3110</f>
        <v>2385</v>
      </c>
      <c r="J682" s="353">
        <f t="shared" si="110"/>
        <v>0</v>
      </c>
      <c r="K682" s="1679">
        <f>IF((J682+J683+J684+J685)&gt;(F682+F683+F684+F685),(J682+J683+J684+J685)-(F682+F683+F684+F685),0)</f>
        <v>0</v>
      </c>
      <c r="L682" s="1679">
        <f>IF((J682+J683+J684+J685)&lt;(F682+F683+F684+F685),(F682+F683+F684+F685)-(J682+J683+J684+J685),0)</f>
        <v>0</v>
      </c>
      <c r="M682" s="633" t="s">
        <v>2217</v>
      </c>
      <c r="N682" s="223"/>
      <c r="O682" s="631">
        <f t="shared" si="113"/>
        <v>0</v>
      </c>
    </row>
    <row r="683" spans="1:15" s="360" customFormat="1" ht="15" hidden="1">
      <c r="A683" s="356" t="s">
        <v>2690</v>
      </c>
      <c r="B683" s="632" t="s">
        <v>1256</v>
      </c>
      <c r="C683" s="551"/>
      <c r="D683" s="354"/>
      <c r="E683" s="16"/>
      <c r="F683" s="353"/>
      <c r="G683" s="358">
        <f>'PART-A'!I3248</f>
        <v>0</v>
      </c>
      <c r="H683" s="354" t="s">
        <v>115</v>
      </c>
      <c r="I683" s="355">
        <f>'PART-A'!K3248</f>
        <v>2385</v>
      </c>
      <c r="J683" s="353">
        <f>ROUND(G683*I683,0)</f>
        <v>0</v>
      </c>
      <c r="K683" s="1680"/>
      <c r="L683" s="1680"/>
      <c r="M683" s="633" t="s">
        <v>2299</v>
      </c>
      <c r="N683" s="223"/>
      <c r="O683" s="631">
        <f t="shared" si="113"/>
        <v>0</v>
      </c>
    </row>
    <row r="684" spans="1:15" s="360" customFormat="1" ht="15" hidden="1">
      <c r="A684" s="356" t="s">
        <v>1595</v>
      </c>
      <c r="B684" s="632" t="s">
        <v>1256</v>
      </c>
      <c r="C684" s="551"/>
      <c r="D684" s="354"/>
      <c r="E684" s="16"/>
      <c r="F684" s="353"/>
      <c r="G684" s="358">
        <f>'PART-A'!I3390</f>
        <v>0</v>
      </c>
      <c r="H684" s="354" t="s">
        <v>115</v>
      </c>
      <c r="I684" s="355">
        <f>'PART-A'!K3390</f>
        <v>2499</v>
      </c>
      <c r="J684" s="353">
        <f>ROUND(G684*I684,0)</f>
        <v>0</v>
      </c>
      <c r="K684" s="1680"/>
      <c r="L684" s="1680"/>
      <c r="M684" s="633" t="s">
        <v>2312</v>
      </c>
      <c r="N684" s="223"/>
      <c r="O684" s="631">
        <f t="shared" si="113"/>
        <v>0</v>
      </c>
    </row>
    <row r="685" spans="1:15" s="360" customFormat="1" ht="15" hidden="1">
      <c r="A685" s="356" t="s">
        <v>1595</v>
      </c>
      <c r="B685" s="632" t="s">
        <v>1256</v>
      </c>
      <c r="C685" s="551"/>
      <c r="D685" s="354"/>
      <c r="E685" s="16"/>
      <c r="F685" s="353"/>
      <c r="G685" s="358">
        <f>'PART-A'!I3528</f>
        <v>0</v>
      </c>
      <c r="H685" s="354" t="s">
        <v>115</v>
      </c>
      <c r="I685" s="355">
        <f>'PART-A'!K3528</f>
        <v>2644</v>
      </c>
      <c r="J685" s="353">
        <f>ROUND(G685*I685,0)</f>
        <v>0</v>
      </c>
      <c r="K685" s="1681"/>
      <c r="L685" s="1681"/>
      <c r="M685" s="633" t="s">
        <v>2313</v>
      </c>
      <c r="N685" s="223"/>
      <c r="O685" s="631">
        <f t="shared" si="113"/>
        <v>0</v>
      </c>
    </row>
    <row r="686" spans="1:15" s="1157" customFormat="1" ht="25.5">
      <c r="A686" s="1146" t="s">
        <v>504</v>
      </c>
      <c r="B686" s="1147" t="s">
        <v>3233</v>
      </c>
      <c r="C686" s="1184">
        <v>4</v>
      </c>
      <c r="D686" s="1148" t="s">
        <v>115</v>
      </c>
      <c r="E686" s="1191">
        <v>115</v>
      </c>
      <c r="F686" s="1150">
        <f t="shared" ref="F686" si="121">ROUND(C686*E686,0)</f>
        <v>460</v>
      </c>
      <c r="G686" s="1170">
        <f>'PART-A'!I3120</f>
        <v>0</v>
      </c>
      <c r="H686" s="1173" t="s">
        <v>115</v>
      </c>
      <c r="I686" s="1171">
        <f>'PART-A'!K3120</f>
        <v>122</v>
      </c>
      <c r="J686" s="1153">
        <f t="shared" si="110"/>
        <v>0</v>
      </c>
      <c r="K686" s="1679">
        <f>IF((J686+J687+J688+J689)&gt;(F686+F687+F688+F689),(J686+J687+J688+J689)-(F686+F687+F688+F689),0)</f>
        <v>0</v>
      </c>
      <c r="L686" s="1679">
        <f>IF((J686+J687+J688+J689)&lt;(F686+F687+F688+F689),(F686+F687+F688+F689)-(J686+J687+J688+J689),0)</f>
        <v>460</v>
      </c>
      <c r="M686" s="1154" t="s">
        <v>2217</v>
      </c>
      <c r="N686" s="1155"/>
      <c r="O686" s="1156">
        <f t="shared" si="113"/>
        <v>460</v>
      </c>
    </row>
    <row r="687" spans="1:15" s="360" customFormat="1" ht="15" hidden="1">
      <c r="A687" s="356" t="s">
        <v>1159</v>
      </c>
      <c r="B687" s="632" t="s">
        <v>719</v>
      </c>
      <c r="C687" s="655"/>
      <c r="D687" s="354"/>
      <c r="E687" s="656"/>
      <c r="F687" s="353"/>
      <c r="G687" s="358">
        <f>'PART-A'!I3258</f>
        <v>0</v>
      </c>
      <c r="H687" s="354" t="s">
        <v>115</v>
      </c>
      <c r="I687" s="355">
        <f>'PART-A'!K3258</f>
        <v>86</v>
      </c>
      <c r="J687" s="353">
        <f>ROUND(G687*I687,0)</f>
        <v>0</v>
      </c>
      <c r="K687" s="1680"/>
      <c r="L687" s="1680"/>
      <c r="M687" s="633" t="s">
        <v>2299</v>
      </c>
      <c r="N687" s="223"/>
      <c r="O687" s="631">
        <f t="shared" si="113"/>
        <v>0</v>
      </c>
    </row>
    <row r="688" spans="1:15" s="360" customFormat="1" ht="15" hidden="1">
      <c r="A688" s="356" t="s">
        <v>1259</v>
      </c>
      <c r="B688" s="632" t="s">
        <v>719</v>
      </c>
      <c r="C688" s="655"/>
      <c r="D688" s="354"/>
      <c r="E688" s="656"/>
      <c r="F688" s="353"/>
      <c r="G688" s="358">
        <f>'PART-A'!I3400</f>
        <v>0</v>
      </c>
      <c r="H688" s="354" t="s">
        <v>115</v>
      </c>
      <c r="I688" s="355">
        <f>'PART-A'!K3400</f>
        <v>89</v>
      </c>
      <c r="J688" s="353">
        <f>ROUND(G688*I688,0)</f>
        <v>0</v>
      </c>
      <c r="K688" s="1680"/>
      <c r="L688" s="1680"/>
      <c r="M688" s="633" t="s">
        <v>2312</v>
      </c>
      <c r="N688" s="223"/>
      <c r="O688" s="631">
        <f t="shared" si="113"/>
        <v>0</v>
      </c>
    </row>
    <row r="689" spans="1:15" s="360" customFormat="1" ht="25.5" hidden="1">
      <c r="A689" s="356" t="s">
        <v>2568</v>
      </c>
      <c r="B689" s="632" t="s">
        <v>3233</v>
      </c>
      <c r="C689" s="655"/>
      <c r="D689" s="354"/>
      <c r="E689" s="656"/>
      <c r="F689" s="353"/>
      <c r="G689" s="358">
        <f>'PART-A'!I3538</f>
        <v>0</v>
      </c>
      <c r="H689" s="354" t="s">
        <v>115</v>
      </c>
      <c r="I689" s="355">
        <f>'PART-A'!K3538</f>
        <v>93</v>
      </c>
      <c r="J689" s="353">
        <f>ROUND(G689*I689,0)</f>
        <v>0</v>
      </c>
      <c r="K689" s="1681"/>
      <c r="L689" s="1681"/>
      <c r="M689" s="851" t="s">
        <v>2313</v>
      </c>
      <c r="N689" s="223"/>
      <c r="O689" s="850">
        <f t="shared" si="113"/>
        <v>0</v>
      </c>
    </row>
    <row r="690" spans="1:15" s="1157" customFormat="1" ht="25.5">
      <c r="A690" s="1146" t="s">
        <v>506</v>
      </c>
      <c r="B690" s="1147" t="s">
        <v>3233</v>
      </c>
      <c r="C690" s="1186">
        <v>4</v>
      </c>
      <c r="D690" s="1187" t="s">
        <v>115</v>
      </c>
      <c r="E690" s="1192">
        <v>117</v>
      </c>
      <c r="F690" s="1150">
        <f t="shared" ref="F690:F691" si="122">ROUND(C690*E690,0)</f>
        <v>468</v>
      </c>
      <c r="G690" s="1170"/>
      <c r="H690" s="1173"/>
      <c r="I690" s="1171"/>
      <c r="J690" s="1153"/>
      <c r="K690" s="1189">
        <f t="shared" ref="K690" si="123">IF(J690&gt;F690,J690-F690,0)</f>
        <v>0</v>
      </c>
      <c r="L690" s="1190">
        <f t="shared" ref="L690" si="124">IF(J690&lt;F690,F690-J690,0)</f>
        <v>468</v>
      </c>
      <c r="M690" s="1154" t="s">
        <v>2217</v>
      </c>
      <c r="N690" s="1155"/>
      <c r="O690" s="1156">
        <f t="shared" si="113"/>
        <v>468</v>
      </c>
    </row>
    <row r="691" spans="1:15" s="1157" customFormat="1" ht="25.5">
      <c r="A691" s="1146" t="s">
        <v>508</v>
      </c>
      <c r="B691" s="1147" t="s">
        <v>3234</v>
      </c>
      <c r="C691" s="1184">
        <v>1000</v>
      </c>
      <c r="D691" s="1148" t="s">
        <v>291</v>
      </c>
      <c r="E691" s="1185">
        <v>6</v>
      </c>
      <c r="F691" s="1150">
        <f t="shared" si="122"/>
        <v>6000</v>
      </c>
      <c r="G691" s="1170">
        <f>'PART-A'!I3125</f>
        <v>0</v>
      </c>
      <c r="H691" s="1173" t="s">
        <v>574</v>
      </c>
      <c r="I691" s="1171">
        <f>'PART-A'!K3125</f>
        <v>6</v>
      </c>
      <c r="J691" s="1153">
        <f t="shared" si="110"/>
        <v>0</v>
      </c>
      <c r="K691" s="1679">
        <f>IF((J691+J692+J693+J694)&gt;(F691+F692+F693+F694),(J691+J692+J693+J694)-(F691+F692+F693+F694),0)</f>
        <v>0</v>
      </c>
      <c r="L691" s="1679">
        <f>IF((J691+J692+J693+J694)&lt;(F691+F692+F693+F694),(F691+F692+F693+F694)-(J691+J692+J693+J694),0)</f>
        <v>6000</v>
      </c>
      <c r="M691" s="1154" t="s">
        <v>2217</v>
      </c>
      <c r="N691" s="1155"/>
      <c r="O691" s="1156">
        <f t="shared" si="113"/>
        <v>6000</v>
      </c>
    </row>
    <row r="692" spans="1:15" s="360" customFormat="1" ht="15" hidden="1">
      <c r="A692" s="356" t="s">
        <v>1160</v>
      </c>
      <c r="B692" s="632" t="s">
        <v>552</v>
      </c>
      <c r="C692" s="655"/>
      <c r="D692" s="354"/>
      <c r="E692" s="656"/>
      <c r="F692" s="353"/>
      <c r="G692" s="358">
        <f>'PART-A'!I3263</f>
        <v>0</v>
      </c>
      <c r="H692" s="354" t="s">
        <v>574</v>
      </c>
      <c r="I692" s="355">
        <f>'PART-A'!K3263</f>
        <v>6</v>
      </c>
      <c r="J692" s="353">
        <f t="shared" ref="J692" si="125">ROUND(G692*I692,0)</f>
        <v>0</v>
      </c>
      <c r="K692" s="1680"/>
      <c r="L692" s="1680"/>
      <c r="M692" s="633" t="s">
        <v>2299</v>
      </c>
      <c r="N692" s="223"/>
      <c r="O692" s="631">
        <f t="shared" si="113"/>
        <v>0</v>
      </c>
    </row>
    <row r="693" spans="1:15" s="360" customFormat="1" ht="15" hidden="1">
      <c r="A693" s="356" t="s">
        <v>1259</v>
      </c>
      <c r="B693" s="632" t="s">
        <v>552</v>
      </c>
      <c r="C693" s="655"/>
      <c r="D693" s="354"/>
      <c r="E693" s="656"/>
      <c r="F693" s="353"/>
      <c r="G693" s="358">
        <f>'PART-A'!I3405</f>
        <v>0</v>
      </c>
      <c r="H693" s="354" t="s">
        <v>574</v>
      </c>
      <c r="I693" s="355">
        <f>'PART-A'!K3405</f>
        <v>6</v>
      </c>
      <c r="J693" s="353">
        <f>ROUND(G693*I693,0)</f>
        <v>0</v>
      </c>
      <c r="K693" s="1680"/>
      <c r="L693" s="1680"/>
      <c r="M693" s="633" t="s">
        <v>2312</v>
      </c>
      <c r="N693" s="223"/>
      <c r="O693" s="631">
        <f t="shared" si="113"/>
        <v>0</v>
      </c>
    </row>
    <row r="694" spans="1:15" s="360" customFormat="1" ht="25.5" hidden="1">
      <c r="A694" s="356" t="s">
        <v>2569</v>
      </c>
      <c r="B694" s="632" t="s">
        <v>3234</v>
      </c>
      <c r="C694" s="655"/>
      <c r="D694" s="354"/>
      <c r="E694" s="656"/>
      <c r="F694" s="353"/>
      <c r="G694" s="358">
        <f>'PART-A'!I3543</f>
        <v>0</v>
      </c>
      <c r="H694" s="354" t="s">
        <v>574</v>
      </c>
      <c r="I694" s="355">
        <f>'PART-A'!K3543</f>
        <v>9.5</v>
      </c>
      <c r="J694" s="353">
        <f>ROUND(G694*I694,0)</f>
        <v>0</v>
      </c>
      <c r="K694" s="1681"/>
      <c r="L694" s="1681"/>
      <c r="M694" s="851" t="s">
        <v>2313</v>
      </c>
      <c r="N694" s="223"/>
      <c r="O694" s="850">
        <f t="shared" si="113"/>
        <v>0</v>
      </c>
    </row>
    <row r="695" spans="1:15" s="1157" customFormat="1" ht="63.75">
      <c r="A695" s="1146" t="s">
        <v>510</v>
      </c>
      <c r="B695" s="1385" t="s">
        <v>365</v>
      </c>
      <c r="C695" s="1186">
        <v>2</v>
      </c>
      <c r="D695" s="1187" t="s">
        <v>115</v>
      </c>
      <c r="E695" s="1188">
        <v>1051</v>
      </c>
      <c r="F695" s="1150">
        <f t="shared" ref="F695:F697" si="126">ROUND(C695*E695,0)</f>
        <v>2102</v>
      </c>
      <c r="G695" s="1151"/>
      <c r="H695" s="1148"/>
      <c r="I695" s="1152"/>
      <c r="J695" s="1153"/>
      <c r="K695" s="1189">
        <f t="shared" ref="K695:K696" si="127">IF(J695&gt;F695,J695-F695,0)</f>
        <v>0</v>
      </c>
      <c r="L695" s="1190">
        <f t="shared" ref="L695:L696" si="128">IF(J695&lt;F695,F695-J695,0)</f>
        <v>2102</v>
      </c>
      <c r="M695" s="1154" t="s">
        <v>2217</v>
      </c>
      <c r="N695" s="1155"/>
      <c r="O695" s="1156">
        <f t="shared" si="113"/>
        <v>2102</v>
      </c>
    </row>
    <row r="696" spans="1:15" s="1157" customFormat="1" ht="38.25">
      <c r="A696" s="1146" t="s">
        <v>1520</v>
      </c>
      <c r="B696" s="1385" t="s">
        <v>3505</v>
      </c>
      <c r="C696" s="1193">
        <v>15</v>
      </c>
      <c r="D696" s="1194" t="s">
        <v>115</v>
      </c>
      <c r="E696" s="1195">
        <v>480.33333333333331</v>
      </c>
      <c r="F696" s="1150">
        <f t="shared" si="126"/>
        <v>7205</v>
      </c>
      <c r="G696" s="1151"/>
      <c r="H696" s="1148"/>
      <c r="I696" s="1152"/>
      <c r="J696" s="1153"/>
      <c r="K696" s="1189">
        <f t="shared" si="127"/>
        <v>0</v>
      </c>
      <c r="L696" s="1190">
        <f t="shared" si="128"/>
        <v>7205</v>
      </c>
      <c r="M696" s="1154" t="s">
        <v>2217</v>
      </c>
      <c r="N696" s="1155"/>
      <c r="O696" s="1156">
        <f t="shared" si="113"/>
        <v>7205</v>
      </c>
    </row>
    <row r="697" spans="1:15" s="360" customFormat="1" ht="25.5" hidden="1">
      <c r="A697" s="356" t="s">
        <v>2682</v>
      </c>
      <c r="B697" s="632" t="s">
        <v>3235</v>
      </c>
      <c r="C697" s="796"/>
      <c r="D697" s="791" t="s">
        <v>277</v>
      </c>
      <c r="E697" s="797">
        <v>420</v>
      </c>
      <c r="F697" s="792">
        <f t="shared" si="126"/>
        <v>0</v>
      </c>
      <c r="G697" s="358">
        <f>'PART-A'!I3128</f>
        <v>0</v>
      </c>
      <c r="H697" s="354" t="s">
        <v>277</v>
      </c>
      <c r="I697" s="355">
        <f>'PART-A'!K3128</f>
        <v>446.4</v>
      </c>
      <c r="J697" s="353">
        <f t="shared" si="110"/>
        <v>0</v>
      </c>
      <c r="K697" s="1679">
        <f>IF((J697+J698+J699+J700)&gt;(F697+F698+F699+F700),(J697+J698+J699+J700)-(F697+F698+F699+F700),0)</f>
        <v>0</v>
      </c>
      <c r="L697" s="1679">
        <f>IF((J697+J698+J699+J700)&lt;(F697+F698+F699+F700),(F697+F698+F699+F700)-(J697+J698+J699+J700),0)</f>
        <v>0</v>
      </c>
      <c r="M697" s="851" t="s">
        <v>2217</v>
      </c>
      <c r="N697" s="223"/>
      <c r="O697" s="850">
        <f t="shared" si="113"/>
        <v>0</v>
      </c>
    </row>
    <row r="698" spans="1:15" s="360" customFormat="1" ht="15" hidden="1">
      <c r="A698" s="356" t="s">
        <v>1161</v>
      </c>
      <c r="B698" s="632" t="s">
        <v>553</v>
      </c>
      <c r="C698" s="655"/>
      <c r="D698" s="354"/>
      <c r="E698" s="656"/>
      <c r="F698" s="353"/>
      <c r="G698" s="358">
        <f>'PART-A'!I3266</f>
        <v>0</v>
      </c>
      <c r="H698" s="354" t="s">
        <v>277</v>
      </c>
      <c r="I698" s="355">
        <f>'PART-A'!K3266</f>
        <v>446.4</v>
      </c>
      <c r="J698" s="353">
        <f>ROUND(G698*I698,0)</f>
        <v>0</v>
      </c>
      <c r="K698" s="1680"/>
      <c r="L698" s="1680"/>
      <c r="M698" s="633" t="s">
        <v>2299</v>
      </c>
      <c r="N698" s="223"/>
      <c r="O698" s="631">
        <f t="shared" si="113"/>
        <v>0</v>
      </c>
    </row>
    <row r="699" spans="1:15" s="360" customFormat="1" ht="15" hidden="1">
      <c r="A699" s="356" t="s">
        <v>1160</v>
      </c>
      <c r="B699" s="632" t="s">
        <v>553</v>
      </c>
      <c r="C699" s="655"/>
      <c r="D699" s="354"/>
      <c r="E699" s="656"/>
      <c r="F699" s="353"/>
      <c r="G699" s="358">
        <f>'PART-A'!I3408</f>
        <v>0</v>
      </c>
      <c r="H699" s="354" t="s">
        <v>277</v>
      </c>
      <c r="I699" s="355">
        <f>'PART-A'!K3408</f>
        <v>470</v>
      </c>
      <c r="J699" s="353">
        <f>ROUND(G699*I699,0)</f>
        <v>0</v>
      </c>
      <c r="K699" s="1680"/>
      <c r="L699" s="1680"/>
      <c r="M699" s="633" t="s">
        <v>2312</v>
      </c>
      <c r="N699" s="223"/>
      <c r="O699" s="631">
        <f t="shared" si="113"/>
        <v>0</v>
      </c>
    </row>
    <row r="700" spans="1:15" s="360" customFormat="1" ht="15" hidden="1">
      <c r="A700" s="356" t="s">
        <v>1160</v>
      </c>
      <c r="B700" s="632" t="s">
        <v>553</v>
      </c>
      <c r="C700" s="655"/>
      <c r="D700" s="354"/>
      <c r="E700" s="656"/>
      <c r="F700" s="353"/>
      <c r="G700" s="358">
        <f>'PART-A'!I3546</f>
        <v>0</v>
      </c>
      <c r="H700" s="354" t="s">
        <v>277</v>
      </c>
      <c r="I700" s="355">
        <f>'PART-A'!K3546</f>
        <v>446.4</v>
      </c>
      <c r="J700" s="353">
        <f>ROUND(G700*I700,0)</f>
        <v>0</v>
      </c>
      <c r="K700" s="1681"/>
      <c r="L700" s="1681"/>
      <c r="M700" s="633" t="s">
        <v>2313</v>
      </c>
      <c r="N700" s="223"/>
      <c r="O700" s="631">
        <f t="shared" si="113"/>
        <v>0</v>
      </c>
    </row>
    <row r="701" spans="1:15" s="360" customFormat="1" ht="25.5" hidden="1">
      <c r="A701" s="356" t="s">
        <v>1157</v>
      </c>
      <c r="B701" s="632" t="s">
        <v>3235</v>
      </c>
      <c r="C701" s="611"/>
      <c r="D701" s="354"/>
      <c r="E701" s="607"/>
      <c r="F701" s="353"/>
      <c r="G701" s="358">
        <f>'PART-A'!I3129</f>
        <v>0</v>
      </c>
      <c r="H701" s="354" t="s">
        <v>277</v>
      </c>
      <c r="I701" s="355">
        <f>'PART-A'!K3129</f>
        <v>477.6</v>
      </c>
      <c r="J701" s="353">
        <f t="shared" si="110"/>
        <v>0</v>
      </c>
      <c r="K701" s="1679">
        <f>IF((J701+J702+J703+J704)&gt;(F701+F702+F703+F704),(J701+J702+J703+J704)-(F701+F702+F703+F704),0)</f>
        <v>0</v>
      </c>
      <c r="L701" s="1679">
        <f>IF((J701+J702+J703+J704)&lt;(F701+F702+F703+F704),(F701+F702+F703+F704)-(J701+J702+J703+J704),0)</f>
        <v>0</v>
      </c>
      <c r="M701" s="851" t="s">
        <v>2217</v>
      </c>
      <c r="N701" s="223"/>
      <c r="O701" s="850">
        <f t="shared" si="113"/>
        <v>0</v>
      </c>
    </row>
    <row r="702" spans="1:15" s="360" customFormat="1" ht="15" hidden="1">
      <c r="A702" s="356" t="s">
        <v>524</v>
      </c>
      <c r="B702" s="632" t="s">
        <v>553</v>
      </c>
      <c r="C702" s="611"/>
      <c r="D702" s="354"/>
      <c r="E702" s="607"/>
      <c r="F702" s="353"/>
      <c r="G702" s="358">
        <f>'PART-A'!I3267</f>
        <v>0</v>
      </c>
      <c r="H702" s="354" t="s">
        <v>277</v>
      </c>
      <c r="I702" s="355">
        <f>'PART-A'!K3267</f>
        <v>477.6</v>
      </c>
      <c r="J702" s="353">
        <f>ROUND(G702*I702,0)</f>
        <v>0</v>
      </c>
      <c r="K702" s="1680"/>
      <c r="L702" s="1680"/>
      <c r="M702" s="633" t="s">
        <v>2299</v>
      </c>
      <c r="N702" s="223"/>
      <c r="O702" s="631">
        <f t="shared" si="113"/>
        <v>0</v>
      </c>
    </row>
    <row r="703" spans="1:15" s="360" customFormat="1" ht="15" hidden="1">
      <c r="A703" s="356" t="s">
        <v>524</v>
      </c>
      <c r="B703" s="632" t="s">
        <v>553</v>
      </c>
      <c r="C703" s="611"/>
      <c r="D703" s="354"/>
      <c r="E703" s="607"/>
      <c r="F703" s="353"/>
      <c r="G703" s="358">
        <f>'PART-A'!I3409</f>
        <v>0</v>
      </c>
      <c r="H703" s="354" t="s">
        <v>277</v>
      </c>
      <c r="I703" s="355">
        <f>'PART-A'!K3409</f>
        <v>502</v>
      </c>
      <c r="J703" s="353">
        <f>ROUND(G703*I703,0)</f>
        <v>0</v>
      </c>
      <c r="K703" s="1680"/>
      <c r="L703" s="1680"/>
      <c r="M703" s="633" t="s">
        <v>2312</v>
      </c>
      <c r="N703" s="223"/>
      <c r="O703" s="631">
        <f t="shared" si="113"/>
        <v>0</v>
      </c>
    </row>
    <row r="704" spans="1:15" s="360" customFormat="1" ht="15" hidden="1">
      <c r="A704" s="356" t="s">
        <v>524</v>
      </c>
      <c r="B704" s="632" t="s">
        <v>553</v>
      </c>
      <c r="C704" s="611"/>
      <c r="D704" s="354"/>
      <c r="E704" s="607"/>
      <c r="F704" s="353"/>
      <c r="G704" s="358">
        <f>'PART-A'!I3547</f>
        <v>0</v>
      </c>
      <c r="H704" s="354" t="s">
        <v>277</v>
      </c>
      <c r="I704" s="355">
        <f>'PART-A'!K3547</f>
        <v>477.6</v>
      </c>
      <c r="J704" s="353">
        <f>ROUND(G704*I704,0)</f>
        <v>0</v>
      </c>
      <c r="K704" s="1681"/>
      <c r="L704" s="1681"/>
      <c r="M704" s="633" t="s">
        <v>2313</v>
      </c>
      <c r="N704" s="223"/>
      <c r="O704" s="631">
        <f t="shared" si="113"/>
        <v>0</v>
      </c>
    </row>
    <row r="705" spans="1:15" s="360" customFormat="1" ht="15" hidden="1">
      <c r="A705" s="356" t="s">
        <v>525</v>
      </c>
      <c r="B705" s="632" t="s">
        <v>553</v>
      </c>
      <c r="C705" s="611"/>
      <c r="D705" s="354"/>
      <c r="E705" s="607"/>
      <c r="F705" s="353"/>
      <c r="G705" s="358">
        <f>'PART-A'!I3130</f>
        <v>0</v>
      </c>
      <c r="H705" s="354" t="s">
        <v>277</v>
      </c>
      <c r="I705" s="355">
        <f>'PART-A'!K3130</f>
        <v>600</v>
      </c>
      <c r="J705" s="353">
        <f t="shared" si="110"/>
        <v>0</v>
      </c>
      <c r="K705" s="1679">
        <f>IF((J705+J706+J707+J708)&gt;(F705+F706+F707+F708),(J705+J706+J707+J708)-(F705+F706+F707+F708),0)</f>
        <v>0</v>
      </c>
      <c r="L705" s="1679">
        <f>IF((J705+J706+J707+J708)&lt;(F705+F706+F707+F708),(F705+F706+F707+F708)-(J705+J706+J707+J708),0)</f>
        <v>0</v>
      </c>
      <c r="M705" s="633" t="s">
        <v>2217</v>
      </c>
      <c r="N705" s="223"/>
      <c r="O705" s="631">
        <f t="shared" si="113"/>
        <v>0</v>
      </c>
    </row>
    <row r="706" spans="1:15" s="360" customFormat="1" ht="15" hidden="1">
      <c r="A706" s="356" t="s">
        <v>525</v>
      </c>
      <c r="B706" s="632" t="s">
        <v>553</v>
      </c>
      <c r="C706" s="611"/>
      <c r="D706" s="354"/>
      <c r="E706" s="607"/>
      <c r="F706" s="353"/>
      <c r="G706" s="358">
        <f>'PART-A'!I3268</f>
        <v>0</v>
      </c>
      <c r="H706" s="354" t="s">
        <v>277</v>
      </c>
      <c r="I706" s="355">
        <f>'PART-A'!K3268</f>
        <v>535.70000000000005</v>
      </c>
      <c r="J706" s="353">
        <f>ROUND(G706*I706,0)</f>
        <v>0</v>
      </c>
      <c r="K706" s="1680"/>
      <c r="L706" s="1680"/>
      <c r="M706" s="633" t="s">
        <v>2299</v>
      </c>
      <c r="N706" s="223"/>
      <c r="O706" s="631">
        <f t="shared" si="113"/>
        <v>0</v>
      </c>
    </row>
    <row r="707" spans="1:15" s="360" customFormat="1" ht="15" hidden="1">
      <c r="A707" s="356" t="s">
        <v>525</v>
      </c>
      <c r="B707" s="632" t="s">
        <v>553</v>
      </c>
      <c r="C707" s="611"/>
      <c r="D707" s="354"/>
      <c r="E707" s="607"/>
      <c r="F707" s="353"/>
      <c r="G707" s="358">
        <f>'PART-A'!I3410</f>
        <v>0</v>
      </c>
      <c r="H707" s="354" t="s">
        <v>277</v>
      </c>
      <c r="I707" s="355">
        <f>'PART-A'!K3410</f>
        <v>563</v>
      </c>
      <c r="J707" s="353">
        <f>ROUND(G707*I707,0)</f>
        <v>0</v>
      </c>
      <c r="K707" s="1680"/>
      <c r="L707" s="1680"/>
      <c r="M707" s="633" t="s">
        <v>2312</v>
      </c>
      <c r="N707" s="223"/>
      <c r="O707" s="631">
        <f t="shared" si="113"/>
        <v>0</v>
      </c>
    </row>
    <row r="708" spans="1:15" s="360" customFormat="1" ht="15" hidden="1">
      <c r="A708" s="356" t="s">
        <v>525</v>
      </c>
      <c r="B708" s="632" t="s">
        <v>553</v>
      </c>
      <c r="C708" s="611"/>
      <c r="D708" s="354"/>
      <c r="E708" s="607"/>
      <c r="F708" s="353"/>
      <c r="G708" s="358">
        <f>'PART-A'!I3548</f>
        <v>0</v>
      </c>
      <c r="H708" s="354" t="s">
        <v>277</v>
      </c>
      <c r="I708" s="355">
        <f>'PART-A'!K3548</f>
        <v>535.70000000000005</v>
      </c>
      <c r="J708" s="353">
        <f>ROUND(G708*I708,0)</f>
        <v>0</v>
      </c>
      <c r="K708" s="1681"/>
      <c r="L708" s="1681"/>
      <c r="M708" s="633" t="s">
        <v>2313</v>
      </c>
      <c r="N708" s="223"/>
      <c r="O708" s="631">
        <f t="shared" si="113"/>
        <v>0</v>
      </c>
    </row>
    <row r="709" spans="1:15" s="360" customFormat="1" ht="25.5" hidden="1">
      <c r="A709" s="356" t="s">
        <v>2683</v>
      </c>
      <c r="B709" s="632" t="s">
        <v>3236</v>
      </c>
      <c r="C709" s="796"/>
      <c r="D709" s="791" t="s">
        <v>277</v>
      </c>
      <c r="E709" s="797">
        <v>636</v>
      </c>
      <c r="F709" s="792">
        <f t="shared" ref="F709" si="129">ROUND(C709*E709,0)</f>
        <v>0</v>
      </c>
      <c r="G709" s="358">
        <f>'PART-A'!I3136</f>
        <v>0</v>
      </c>
      <c r="H709" s="354" t="s">
        <v>277</v>
      </c>
      <c r="I709" s="355">
        <f>'PART-A'!K3136</f>
        <v>325</v>
      </c>
      <c r="J709" s="353">
        <f t="shared" si="110"/>
        <v>0</v>
      </c>
      <c r="K709" s="1679">
        <f>IF((J709+J710+J711+J712)&gt;(F709+F710+F711+F712),(J709+J710+J711+J712)-(F709+F710+F711+F712),0)</f>
        <v>0</v>
      </c>
      <c r="L709" s="1679">
        <f>IF((J709+J710+J711+J712)&lt;(F709+F710+F711+F712),(F709+F710+F711+F712)-(J709+J710+J711+J712),0)</f>
        <v>0</v>
      </c>
      <c r="M709" s="851" t="s">
        <v>2217</v>
      </c>
      <c r="N709" s="223"/>
      <c r="O709" s="850">
        <f t="shared" si="113"/>
        <v>0</v>
      </c>
    </row>
    <row r="710" spans="1:15" s="360" customFormat="1" ht="15" hidden="1">
      <c r="A710" s="356" t="s">
        <v>1596</v>
      </c>
      <c r="B710" s="632" t="s">
        <v>554</v>
      </c>
      <c r="C710" s="655"/>
      <c r="D710" s="354"/>
      <c r="E710" s="656"/>
      <c r="F710" s="353"/>
      <c r="G710" s="358">
        <f>'PART-A'!I3274</f>
        <v>0</v>
      </c>
      <c r="H710" s="354" t="s">
        <v>277</v>
      </c>
      <c r="I710" s="355">
        <f>'PART-A'!K3274</f>
        <v>325</v>
      </c>
      <c r="J710" s="353">
        <f>ROUND(G710*I710,0)</f>
        <v>0</v>
      </c>
      <c r="K710" s="1680"/>
      <c r="L710" s="1680"/>
      <c r="M710" s="633" t="s">
        <v>2299</v>
      </c>
      <c r="N710" s="223"/>
      <c r="O710" s="631">
        <f t="shared" si="113"/>
        <v>0</v>
      </c>
    </row>
    <row r="711" spans="1:15" s="360" customFormat="1" ht="15" hidden="1">
      <c r="A711" s="356" t="s">
        <v>1260</v>
      </c>
      <c r="B711" s="632" t="s">
        <v>554</v>
      </c>
      <c r="C711" s="655"/>
      <c r="D711" s="354"/>
      <c r="E711" s="656"/>
      <c r="F711" s="353"/>
      <c r="G711" s="358">
        <f>'PART-A'!I3416</f>
        <v>0</v>
      </c>
      <c r="H711" s="354" t="s">
        <v>277</v>
      </c>
      <c r="I711" s="355">
        <f>'PART-A'!K3416</f>
        <v>342</v>
      </c>
      <c r="J711" s="353">
        <f>ROUND(G711*I711,0)</f>
        <v>0</v>
      </c>
      <c r="K711" s="1680"/>
      <c r="L711" s="1680"/>
      <c r="M711" s="633" t="s">
        <v>2312</v>
      </c>
      <c r="N711" s="223"/>
      <c r="O711" s="631">
        <f t="shared" si="113"/>
        <v>0</v>
      </c>
    </row>
    <row r="712" spans="1:15" s="360" customFormat="1" ht="15" hidden="1">
      <c r="A712" s="356" t="s">
        <v>1260</v>
      </c>
      <c r="B712" s="632" t="s">
        <v>554</v>
      </c>
      <c r="C712" s="655"/>
      <c r="D712" s="354"/>
      <c r="E712" s="656"/>
      <c r="F712" s="353"/>
      <c r="G712" s="358">
        <f>'PART-A'!I3554</f>
        <v>0</v>
      </c>
      <c r="H712" s="354" t="s">
        <v>277</v>
      </c>
      <c r="I712" s="355">
        <f>'PART-A'!K3554</f>
        <v>325</v>
      </c>
      <c r="J712" s="353">
        <f>ROUND(G712*I712,0)</f>
        <v>0</v>
      </c>
      <c r="K712" s="1681"/>
      <c r="L712" s="1681"/>
      <c r="M712" s="633" t="s">
        <v>2313</v>
      </c>
      <c r="N712" s="223"/>
      <c r="O712" s="631">
        <f t="shared" si="113"/>
        <v>0</v>
      </c>
    </row>
    <row r="713" spans="1:15" s="360" customFormat="1" ht="51" hidden="1">
      <c r="A713" s="356" t="s">
        <v>2684</v>
      </c>
      <c r="B713" s="632" t="s">
        <v>3237</v>
      </c>
      <c r="C713" s="796"/>
      <c r="D713" s="791" t="s">
        <v>115</v>
      </c>
      <c r="E713" s="797">
        <v>16700</v>
      </c>
      <c r="F713" s="792">
        <f t="shared" ref="F713" si="130">ROUND(C713*E713,0)</f>
        <v>0</v>
      </c>
      <c r="G713" s="358">
        <f>'PART-A'!I3141</f>
        <v>0</v>
      </c>
      <c r="H713" s="354" t="s">
        <v>115</v>
      </c>
      <c r="I713" s="355">
        <f>'PART-A'!K3141</f>
        <v>18409</v>
      </c>
      <c r="J713" s="353">
        <f t="shared" si="110"/>
        <v>0</v>
      </c>
      <c r="K713" s="1679">
        <f>IF((J713+J714+J715+J716)&gt;(F713+F714+F715+F716),(J713+J714+J715+J716)-(F713+F714+F715+F716),0)</f>
        <v>0</v>
      </c>
      <c r="L713" s="1679">
        <f>IF((J713+J714+J715+J716)&lt;(F713+F714+F715+F716),(F713+F714+F715+F716)-(J713+J714+J715+J716),0)</f>
        <v>0</v>
      </c>
      <c r="M713" s="851" t="s">
        <v>2217</v>
      </c>
      <c r="N713" s="223"/>
      <c r="O713" s="850">
        <f t="shared" si="113"/>
        <v>0</v>
      </c>
    </row>
    <row r="714" spans="1:15" s="360" customFormat="1" ht="15" hidden="1">
      <c r="A714" s="356" t="s">
        <v>1597</v>
      </c>
      <c r="B714" s="632" t="s">
        <v>635</v>
      </c>
      <c r="C714" s="655"/>
      <c r="D714" s="354"/>
      <c r="E714" s="656"/>
      <c r="F714" s="353"/>
      <c r="G714" s="358">
        <f>'PART-A'!I3279</f>
        <v>0</v>
      </c>
      <c r="H714" s="354" t="s">
        <v>115</v>
      </c>
      <c r="I714" s="355">
        <f>'PART-A'!K3279</f>
        <v>18526</v>
      </c>
      <c r="J714" s="353">
        <f>ROUND(G714*I714,0)</f>
        <v>0</v>
      </c>
      <c r="K714" s="1680"/>
      <c r="L714" s="1680"/>
      <c r="M714" s="633" t="s">
        <v>2299</v>
      </c>
      <c r="N714" s="223"/>
      <c r="O714" s="631">
        <f t="shared" si="113"/>
        <v>0</v>
      </c>
    </row>
    <row r="715" spans="1:15" s="360" customFormat="1" ht="15" hidden="1">
      <c r="A715" s="356" t="s">
        <v>1161</v>
      </c>
      <c r="B715" s="632" t="s">
        <v>635</v>
      </c>
      <c r="C715" s="655"/>
      <c r="D715" s="354"/>
      <c r="E715" s="656"/>
      <c r="F715" s="353"/>
      <c r="G715" s="358">
        <f>'PART-A'!I3421</f>
        <v>0</v>
      </c>
      <c r="H715" s="354" t="s">
        <v>115</v>
      </c>
      <c r="I715" s="355">
        <f>'PART-A'!K3421</f>
        <v>18370</v>
      </c>
      <c r="J715" s="353">
        <f>ROUND(G715*I715,0)</f>
        <v>0</v>
      </c>
      <c r="K715" s="1680"/>
      <c r="L715" s="1680"/>
      <c r="M715" s="633" t="s">
        <v>2312</v>
      </c>
      <c r="N715" s="223"/>
      <c r="O715" s="631">
        <f t="shared" si="113"/>
        <v>0</v>
      </c>
    </row>
    <row r="716" spans="1:15" s="360" customFormat="1" ht="15" hidden="1">
      <c r="A716" s="356" t="s">
        <v>1161</v>
      </c>
      <c r="B716" s="632" t="s">
        <v>635</v>
      </c>
      <c r="C716" s="655"/>
      <c r="D716" s="354"/>
      <c r="E716" s="656"/>
      <c r="F716" s="353"/>
      <c r="G716" s="358">
        <f>'PART-A'!I3559</f>
        <v>0</v>
      </c>
      <c r="H716" s="354" t="s">
        <v>115</v>
      </c>
      <c r="I716" s="355">
        <f>'PART-A'!K3559</f>
        <v>18370</v>
      </c>
      <c r="J716" s="353">
        <f>ROUND(G716*I716,0)</f>
        <v>0</v>
      </c>
      <c r="K716" s="1681"/>
      <c r="L716" s="1681"/>
      <c r="M716" s="633" t="s">
        <v>2313</v>
      </c>
      <c r="N716" s="223"/>
      <c r="O716" s="631">
        <f t="shared" si="113"/>
        <v>0</v>
      </c>
    </row>
    <row r="717" spans="1:15" s="360" customFormat="1" ht="38.25" hidden="1">
      <c r="A717" s="356" t="s">
        <v>1158</v>
      </c>
      <c r="B717" s="632" t="s">
        <v>591</v>
      </c>
      <c r="C717" s="796"/>
      <c r="D717" s="791" t="s">
        <v>277</v>
      </c>
      <c r="E717" s="797">
        <v>64</v>
      </c>
      <c r="F717" s="792">
        <f t="shared" ref="F717" si="131">ROUND(C717*E717,0)</f>
        <v>0</v>
      </c>
      <c r="G717" s="358">
        <f>'PART-A'!I3146</f>
        <v>0</v>
      </c>
      <c r="H717" s="354" t="s">
        <v>277</v>
      </c>
      <c r="I717" s="355">
        <f>'PART-A'!K3146</f>
        <v>64</v>
      </c>
      <c r="J717" s="353">
        <f t="shared" si="110"/>
        <v>0</v>
      </c>
      <c r="K717" s="1679">
        <f>IF((J717+J718+J719+J720)&gt;(F717+F718+F719+F720),(J717+J718+J719+J720)-(F717+F718+F719+F720),0)</f>
        <v>0</v>
      </c>
      <c r="L717" s="1679">
        <f>IF((J717+J718+J719+J720)&lt;(F717+F718+F719+F720),(F717+F718+F719+F720)-(J717+J718+J719+J720),0)</f>
        <v>0</v>
      </c>
      <c r="M717" s="851" t="s">
        <v>2217</v>
      </c>
      <c r="N717" s="223"/>
      <c r="O717" s="850">
        <f t="shared" si="113"/>
        <v>0</v>
      </c>
    </row>
    <row r="718" spans="1:15" s="360" customFormat="1" ht="15" hidden="1">
      <c r="A718" s="356" t="s">
        <v>2032</v>
      </c>
      <c r="B718" s="632" t="s">
        <v>636</v>
      </c>
      <c r="C718" s="655"/>
      <c r="D718" s="354"/>
      <c r="E718" s="656"/>
      <c r="F718" s="353"/>
      <c r="G718" s="358">
        <f>'PART-A'!I3284</f>
        <v>0</v>
      </c>
      <c r="H718" s="354" t="s">
        <v>277</v>
      </c>
      <c r="I718" s="355">
        <f>'PART-A'!K3284</f>
        <v>59</v>
      </c>
      <c r="J718" s="353">
        <f>ROUND(G718*I718,0)</f>
        <v>0</v>
      </c>
      <c r="K718" s="1680"/>
      <c r="L718" s="1680"/>
      <c r="M718" s="633" t="s">
        <v>2299</v>
      </c>
      <c r="N718" s="223"/>
      <c r="O718" s="631">
        <f t="shared" si="113"/>
        <v>0</v>
      </c>
    </row>
    <row r="719" spans="1:15" s="360" customFormat="1" ht="15" hidden="1">
      <c r="A719" s="356" t="s">
        <v>1596</v>
      </c>
      <c r="B719" s="632" t="s">
        <v>636</v>
      </c>
      <c r="C719" s="655"/>
      <c r="D719" s="354"/>
      <c r="E719" s="656"/>
      <c r="F719" s="353"/>
      <c r="G719" s="358">
        <f>'PART-A'!I3426</f>
        <v>0</v>
      </c>
      <c r="H719" s="354" t="s">
        <v>277</v>
      </c>
      <c r="I719" s="355">
        <f>'PART-A'!K3426</f>
        <v>73</v>
      </c>
      <c r="J719" s="353">
        <f>ROUND(G719*I719,0)</f>
        <v>0</v>
      </c>
      <c r="K719" s="1680"/>
      <c r="L719" s="1680"/>
      <c r="M719" s="633" t="s">
        <v>2312</v>
      </c>
      <c r="N719" s="223"/>
      <c r="O719" s="631">
        <f t="shared" si="113"/>
        <v>0</v>
      </c>
    </row>
    <row r="720" spans="1:15" s="360" customFormat="1" ht="15" hidden="1">
      <c r="A720" s="356" t="s">
        <v>1596</v>
      </c>
      <c r="B720" s="632" t="s">
        <v>636</v>
      </c>
      <c r="C720" s="655"/>
      <c r="D720" s="354"/>
      <c r="E720" s="656"/>
      <c r="F720" s="353"/>
      <c r="G720" s="358">
        <f>'PART-A'!I3564</f>
        <v>0</v>
      </c>
      <c r="H720" s="354" t="s">
        <v>277</v>
      </c>
      <c r="I720" s="355">
        <f>'PART-A'!K3564</f>
        <v>85</v>
      </c>
      <c r="J720" s="353">
        <f>ROUND(G720*I720,0)</f>
        <v>0</v>
      </c>
      <c r="K720" s="1681"/>
      <c r="L720" s="1681"/>
      <c r="M720" s="633" t="s">
        <v>2313</v>
      </c>
      <c r="N720" s="223"/>
      <c r="O720" s="631">
        <f t="shared" si="113"/>
        <v>0</v>
      </c>
    </row>
    <row r="721" spans="1:15" s="360" customFormat="1" ht="15" hidden="1">
      <c r="A721" s="356" t="s">
        <v>1258</v>
      </c>
      <c r="B721" s="632" t="s">
        <v>284</v>
      </c>
      <c r="C721" s="796"/>
      <c r="D721" s="791" t="s">
        <v>115</v>
      </c>
      <c r="E721" s="797">
        <v>109</v>
      </c>
      <c r="F721" s="792">
        <f t="shared" ref="F721" si="132">ROUND(C721*E721,0)</f>
        <v>0</v>
      </c>
      <c r="G721" s="358">
        <f>'PART-A'!I3151</f>
        <v>0</v>
      </c>
      <c r="H721" s="354" t="s">
        <v>115</v>
      </c>
      <c r="I721" s="355">
        <f>'PART-A'!K3151</f>
        <v>109</v>
      </c>
      <c r="J721" s="353">
        <f t="shared" si="110"/>
        <v>0</v>
      </c>
      <c r="K721" s="1679">
        <f>IF((J721+J722+J723+J724)&gt;(F721+F722+F723+F724),(J721+J722+J723+J724)-(F721+F722+F723+F724),0)</f>
        <v>0</v>
      </c>
      <c r="L721" s="1679">
        <f>IF((J721+J722+J723+J724)&lt;(F721+F722+F723+F724),(F721+F722+F723+F724)-(J721+J722+J723+J724),0)</f>
        <v>0</v>
      </c>
      <c r="M721" s="851" t="s">
        <v>2217</v>
      </c>
      <c r="N721" s="223"/>
      <c r="O721" s="850"/>
    </row>
    <row r="722" spans="1:15" s="360" customFormat="1" ht="15" hidden="1">
      <c r="A722" s="356" t="s">
        <v>2033</v>
      </c>
      <c r="B722" s="632" t="s">
        <v>284</v>
      </c>
      <c r="C722" s="655"/>
      <c r="D722" s="354"/>
      <c r="E722" s="656"/>
      <c r="F722" s="353"/>
      <c r="G722" s="358">
        <f>'PART-A'!I3289</f>
        <v>0</v>
      </c>
      <c r="H722" s="354" t="s">
        <v>115</v>
      </c>
      <c r="I722" s="355">
        <f>'PART-A'!K3289</f>
        <v>300</v>
      </c>
      <c r="J722" s="353">
        <f>ROUND(G722*I722,0)</f>
        <v>0</v>
      </c>
      <c r="K722" s="1680"/>
      <c r="L722" s="1680"/>
      <c r="M722" s="633" t="s">
        <v>2299</v>
      </c>
      <c r="N722" s="223"/>
      <c r="O722" s="631">
        <f t="shared" ref="O722:O786" si="133">F722-J722</f>
        <v>0</v>
      </c>
    </row>
    <row r="723" spans="1:15" s="360" customFormat="1" ht="15" hidden="1">
      <c r="A723" s="356" t="s">
        <v>1597</v>
      </c>
      <c r="B723" s="632" t="s">
        <v>284</v>
      </c>
      <c r="C723" s="655"/>
      <c r="D723" s="354"/>
      <c r="E723" s="656"/>
      <c r="F723" s="353"/>
      <c r="G723" s="358">
        <f>'PART-A'!I3431</f>
        <v>0</v>
      </c>
      <c r="H723" s="354" t="s">
        <v>115</v>
      </c>
      <c r="I723" s="355">
        <f>'PART-A'!K3431</f>
        <v>315</v>
      </c>
      <c r="J723" s="353">
        <f>ROUND(G723*I723,0)</f>
        <v>0</v>
      </c>
      <c r="K723" s="1680"/>
      <c r="L723" s="1680"/>
      <c r="M723" s="633" t="s">
        <v>2312</v>
      </c>
      <c r="N723" s="223"/>
      <c r="O723" s="631">
        <f t="shared" si="133"/>
        <v>0</v>
      </c>
    </row>
    <row r="724" spans="1:15" s="360" customFormat="1" ht="15" hidden="1">
      <c r="A724" s="356" t="s">
        <v>1597</v>
      </c>
      <c r="B724" s="632" t="s">
        <v>284</v>
      </c>
      <c r="C724" s="655"/>
      <c r="D724" s="354"/>
      <c r="E724" s="656"/>
      <c r="F724" s="353"/>
      <c r="G724" s="358">
        <f>'PART-A'!I3569</f>
        <v>0</v>
      </c>
      <c r="H724" s="354" t="s">
        <v>115</v>
      </c>
      <c r="I724" s="355">
        <f>'PART-A'!K3569</f>
        <v>300</v>
      </c>
      <c r="J724" s="353">
        <f>ROUND(G724*I724,0)</f>
        <v>0</v>
      </c>
      <c r="K724" s="1681"/>
      <c r="L724" s="1681"/>
      <c r="M724" s="633" t="s">
        <v>2313</v>
      </c>
      <c r="N724" s="223"/>
      <c r="O724" s="631">
        <f t="shared" si="133"/>
        <v>0</v>
      </c>
    </row>
    <row r="725" spans="1:15" s="360" customFormat="1" ht="15" hidden="1">
      <c r="A725" s="356" t="s">
        <v>1595</v>
      </c>
      <c r="B725" s="632" t="s">
        <v>285</v>
      </c>
      <c r="C725" s="796"/>
      <c r="D725" s="791" t="s">
        <v>115</v>
      </c>
      <c r="E725" s="797">
        <v>198</v>
      </c>
      <c r="F725" s="792">
        <f t="shared" ref="F725" si="134">ROUND(C725*E725,0)</f>
        <v>0</v>
      </c>
      <c r="G725" s="358">
        <f>'PART-A'!I3156</f>
        <v>0</v>
      </c>
      <c r="H725" s="354" t="s">
        <v>115</v>
      </c>
      <c r="I725" s="355">
        <f>'PART-A'!K3156</f>
        <v>198</v>
      </c>
      <c r="J725" s="353">
        <f t="shared" si="110"/>
        <v>0</v>
      </c>
      <c r="K725" s="1679">
        <f>IF((J725+J726+J727+J728)&gt;(F725+F726+F727+F728),(J725+J726+J727+J728)-(F725+F726+F727+F728),0)</f>
        <v>0</v>
      </c>
      <c r="L725" s="1679">
        <f>IF((J725+J726+J727+J728)&lt;(F725+F726+F727+F728),(F725+F726+F727+F728)-(J725+J726+J727+J728),0)</f>
        <v>0</v>
      </c>
      <c r="M725" s="851" t="s">
        <v>2217</v>
      </c>
      <c r="N725" s="223"/>
      <c r="O725" s="850"/>
    </row>
    <row r="726" spans="1:15" s="360" customFormat="1" ht="15" hidden="1">
      <c r="A726" s="356" t="s">
        <v>1163</v>
      </c>
      <c r="B726" s="632" t="s">
        <v>285</v>
      </c>
      <c r="C726" s="655"/>
      <c r="D726" s="354"/>
      <c r="E726" s="656"/>
      <c r="F726" s="353"/>
      <c r="G726" s="358">
        <f>'PART-A'!I3294</f>
        <v>0</v>
      </c>
      <c r="H726" s="354" t="s">
        <v>115</v>
      </c>
      <c r="I726" s="355">
        <f>'PART-A'!K3294</f>
        <v>400</v>
      </c>
      <c r="J726" s="353">
        <f>ROUND(G726*I726,0)</f>
        <v>0</v>
      </c>
      <c r="K726" s="1680"/>
      <c r="L726" s="1680"/>
      <c r="M726" s="633" t="s">
        <v>2299</v>
      </c>
      <c r="N726" s="223"/>
      <c r="O726" s="631">
        <f t="shared" si="133"/>
        <v>0</v>
      </c>
    </row>
    <row r="727" spans="1:15" s="360" customFormat="1" ht="15" hidden="1">
      <c r="A727" s="356" t="s">
        <v>2032</v>
      </c>
      <c r="B727" s="632" t="s">
        <v>285</v>
      </c>
      <c r="C727" s="655"/>
      <c r="D727" s="354"/>
      <c r="E727" s="656"/>
      <c r="F727" s="353"/>
      <c r="G727" s="358">
        <f>'PART-A'!I3436</f>
        <v>0</v>
      </c>
      <c r="H727" s="354" t="s">
        <v>115</v>
      </c>
      <c r="I727" s="355">
        <f>'PART-A'!K3436</f>
        <v>420</v>
      </c>
      <c r="J727" s="353">
        <f>ROUND(G727*I727,0)</f>
        <v>0</v>
      </c>
      <c r="K727" s="1680"/>
      <c r="L727" s="1680"/>
      <c r="M727" s="633" t="s">
        <v>2312</v>
      </c>
      <c r="N727" s="223"/>
      <c r="O727" s="631">
        <f t="shared" si="133"/>
        <v>0</v>
      </c>
    </row>
    <row r="728" spans="1:15" s="360" customFormat="1" ht="15" hidden="1">
      <c r="A728" s="356" t="s">
        <v>2032</v>
      </c>
      <c r="B728" s="632" t="s">
        <v>285</v>
      </c>
      <c r="C728" s="655"/>
      <c r="D728" s="354"/>
      <c r="E728" s="656"/>
      <c r="F728" s="353"/>
      <c r="G728" s="358">
        <f>'PART-A'!I3574</f>
        <v>0</v>
      </c>
      <c r="H728" s="354" t="s">
        <v>115</v>
      </c>
      <c r="I728" s="355">
        <f>'PART-A'!K3574</f>
        <v>400</v>
      </c>
      <c r="J728" s="353">
        <f>ROUND(G728*I728,0)</f>
        <v>0</v>
      </c>
      <c r="K728" s="1681"/>
      <c r="L728" s="1681"/>
      <c r="M728" s="633" t="s">
        <v>2313</v>
      </c>
      <c r="N728" s="223"/>
      <c r="O728" s="631">
        <f t="shared" si="133"/>
        <v>0</v>
      </c>
    </row>
    <row r="729" spans="1:15" s="360" customFormat="1" ht="15" hidden="1">
      <c r="A729" s="356" t="s">
        <v>2685</v>
      </c>
      <c r="B729" s="632" t="s">
        <v>286</v>
      </c>
      <c r="C729" s="796"/>
      <c r="D729" s="791" t="s">
        <v>115</v>
      </c>
      <c r="E729" s="797">
        <v>22</v>
      </c>
      <c r="F729" s="792">
        <f t="shared" ref="F729" si="135">ROUND(C729*E729,0)</f>
        <v>0</v>
      </c>
      <c r="G729" s="358">
        <f>'PART-A'!I3161</f>
        <v>0</v>
      </c>
      <c r="H729" s="354" t="s">
        <v>115</v>
      </c>
      <c r="I729" s="355">
        <f>'PART-A'!K3161</f>
        <v>22</v>
      </c>
      <c r="J729" s="353">
        <f t="shared" si="110"/>
        <v>0</v>
      </c>
      <c r="K729" s="1679">
        <f>IF((J729+J730+J731+J732)&gt;(F729+F730+F731+F732),(J729+J730+J731+J732)-(F729+F730+F731+F732),0)</f>
        <v>0</v>
      </c>
      <c r="L729" s="1679">
        <f>IF((J729+J730+J731+J732)&lt;(F729+F730+F731+F732),(F729+F730+F731+F732)-(J729+J730+J731+J732),0)</f>
        <v>0</v>
      </c>
      <c r="M729" s="851" t="s">
        <v>2217</v>
      </c>
      <c r="N729" s="223"/>
      <c r="O729" s="850"/>
    </row>
    <row r="730" spans="1:15" s="360" customFormat="1" ht="15" hidden="1">
      <c r="A730" s="356" t="s">
        <v>2035</v>
      </c>
      <c r="B730" s="632" t="s">
        <v>286</v>
      </c>
      <c r="C730" s="655"/>
      <c r="D730" s="354"/>
      <c r="E730" s="656"/>
      <c r="F730" s="353"/>
      <c r="G730" s="358">
        <f>'PART-A'!I3299</f>
        <v>0</v>
      </c>
      <c r="H730" s="354" t="s">
        <v>115</v>
      </c>
      <c r="I730" s="355">
        <f>'PART-A'!K3299</f>
        <v>70</v>
      </c>
      <c r="J730" s="353">
        <f>ROUND(G730*I730,0)</f>
        <v>0</v>
      </c>
      <c r="K730" s="1680"/>
      <c r="L730" s="1680"/>
      <c r="M730" s="633" t="s">
        <v>2299</v>
      </c>
      <c r="N730" s="223"/>
      <c r="O730" s="631">
        <f t="shared" si="133"/>
        <v>0</v>
      </c>
    </row>
    <row r="731" spans="1:15" s="360" customFormat="1" ht="15" hidden="1">
      <c r="A731" s="356" t="s">
        <v>1163</v>
      </c>
      <c r="B731" s="632" t="s">
        <v>286</v>
      </c>
      <c r="C731" s="655"/>
      <c r="D731" s="354"/>
      <c r="E731" s="656"/>
      <c r="F731" s="353"/>
      <c r="G731" s="358">
        <f>'PART-A'!I3441</f>
        <v>0</v>
      </c>
      <c r="H731" s="354" t="s">
        <v>115</v>
      </c>
      <c r="I731" s="355">
        <f>'PART-A'!K3441</f>
        <v>73</v>
      </c>
      <c r="J731" s="353">
        <f>ROUND(G731*I731,0)</f>
        <v>0</v>
      </c>
      <c r="K731" s="1680"/>
      <c r="L731" s="1680"/>
      <c r="M731" s="633" t="s">
        <v>2312</v>
      </c>
      <c r="N731" s="223"/>
      <c r="O731" s="631">
        <f t="shared" si="133"/>
        <v>0</v>
      </c>
    </row>
    <row r="732" spans="1:15" s="360" customFormat="1" ht="15" hidden="1">
      <c r="A732" s="356" t="s">
        <v>1163</v>
      </c>
      <c r="B732" s="632" t="s">
        <v>286</v>
      </c>
      <c r="C732" s="655"/>
      <c r="D732" s="354"/>
      <c r="E732" s="656"/>
      <c r="F732" s="353"/>
      <c r="G732" s="358">
        <f>'PART-A'!I3579</f>
        <v>0</v>
      </c>
      <c r="H732" s="354" t="s">
        <v>115</v>
      </c>
      <c r="I732" s="355">
        <f>'PART-A'!K3579</f>
        <v>77</v>
      </c>
      <c r="J732" s="353">
        <f>ROUND(G732*I732,0)</f>
        <v>0</v>
      </c>
      <c r="K732" s="1681"/>
      <c r="L732" s="1681"/>
      <c r="M732" s="633" t="s">
        <v>2313</v>
      </c>
      <c r="N732" s="223"/>
      <c r="O732" s="631">
        <f t="shared" si="133"/>
        <v>0</v>
      </c>
    </row>
    <row r="733" spans="1:15" s="360" customFormat="1" ht="15" hidden="1">
      <c r="A733" s="356" t="s">
        <v>1259</v>
      </c>
      <c r="B733" s="632" t="s">
        <v>287</v>
      </c>
      <c r="C733" s="796"/>
      <c r="D733" s="791" t="s">
        <v>115</v>
      </c>
      <c r="E733" s="797">
        <v>145.19999999999999</v>
      </c>
      <c r="F733" s="792">
        <f t="shared" ref="F733" si="136">ROUND(C733*E733,0)</f>
        <v>0</v>
      </c>
      <c r="G733" s="358">
        <f>'PART-A'!I3166</f>
        <v>0</v>
      </c>
      <c r="H733" s="354" t="s">
        <v>115</v>
      </c>
      <c r="I733" s="355">
        <f>'PART-A'!K3166</f>
        <v>145.19999999999999</v>
      </c>
      <c r="J733" s="353">
        <f t="shared" si="110"/>
        <v>0</v>
      </c>
      <c r="K733" s="1679">
        <f>IF((J733+J734+J735+J736)&gt;(F733+F734+F735+F736),(J733+J734+J735+J736)-(F733+F734+F735+F736),0)</f>
        <v>0</v>
      </c>
      <c r="L733" s="1679">
        <f>IF((J733+J734+J735+J736)&lt;(F733+F734+F735+F736),(F733+F734+F735+F736)-(J733+J734+J735+J736),0)</f>
        <v>0</v>
      </c>
      <c r="M733" s="851" t="s">
        <v>2217</v>
      </c>
      <c r="N733" s="223"/>
      <c r="O733" s="850"/>
    </row>
    <row r="734" spans="1:15" s="360" customFormat="1" ht="15" hidden="1">
      <c r="A734" s="356" t="s">
        <v>2036</v>
      </c>
      <c r="B734" s="632" t="s">
        <v>287</v>
      </c>
      <c r="C734" s="655"/>
      <c r="D734" s="354"/>
      <c r="E734" s="656"/>
      <c r="F734" s="353"/>
      <c r="G734" s="358">
        <f>'PART-A'!I3304</f>
        <v>0</v>
      </c>
      <c r="H734" s="354" t="s">
        <v>115</v>
      </c>
      <c r="I734" s="355">
        <f>'PART-A'!K3304</f>
        <v>175</v>
      </c>
      <c r="J734" s="353">
        <f>ROUND(G734*I734,0)</f>
        <v>0</v>
      </c>
      <c r="K734" s="1680"/>
      <c r="L734" s="1680"/>
      <c r="M734" s="633" t="s">
        <v>2299</v>
      </c>
      <c r="N734" s="223"/>
      <c r="O734" s="631">
        <f t="shared" si="133"/>
        <v>0</v>
      </c>
    </row>
    <row r="735" spans="1:15" s="360" customFormat="1" ht="15" hidden="1">
      <c r="A735" s="356" t="s">
        <v>2035</v>
      </c>
      <c r="B735" s="632" t="s">
        <v>287</v>
      </c>
      <c r="C735" s="655"/>
      <c r="D735" s="354"/>
      <c r="E735" s="656"/>
      <c r="F735" s="353"/>
      <c r="G735" s="358">
        <f>'PART-A'!I3446</f>
        <v>0</v>
      </c>
      <c r="H735" s="354" t="s">
        <v>115</v>
      </c>
      <c r="I735" s="355">
        <f>'PART-A'!K3446</f>
        <v>177</v>
      </c>
      <c r="J735" s="353">
        <f>ROUND(G735*I735,0)</f>
        <v>0</v>
      </c>
      <c r="K735" s="1680"/>
      <c r="L735" s="1680"/>
      <c r="M735" s="633" t="s">
        <v>2312</v>
      </c>
      <c r="N735" s="223"/>
      <c r="O735" s="631">
        <f t="shared" si="133"/>
        <v>0</v>
      </c>
    </row>
    <row r="736" spans="1:15" s="360" customFormat="1" ht="15" hidden="1">
      <c r="A736" s="356" t="s">
        <v>2035</v>
      </c>
      <c r="B736" s="632" t="s">
        <v>287</v>
      </c>
      <c r="C736" s="655"/>
      <c r="D736" s="354"/>
      <c r="E736" s="656"/>
      <c r="F736" s="353"/>
      <c r="G736" s="358">
        <f>'PART-A'!I3584</f>
        <v>0</v>
      </c>
      <c r="H736" s="354" t="s">
        <v>115</v>
      </c>
      <c r="I736" s="355">
        <f>'PART-A'!K3584</f>
        <v>194</v>
      </c>
      <c r="J736" s="353">
        <f>ROUND(G736*I736,0)</f>
        <v>0</v>
      </c>
      <c r="K736" s="1681"/>
      <c r="L736" s="1681"/>
      <c r="M736" s="633" t="s">
        <v>2313</v>
      </c>
      <c r="N736" s="223"/>
      <c r="O736" s="631">
        <f t="shared" si="133"/>
        <v>0</v>
      </c>
    </row>
    <row r="737" spans="1:15" s="360" customFormat="1" ht="51" hidden="1">
      <c r="A737" s="356" t="s">
        <v>2686</v>
      </c>
      <c r="B737" s="632" t="s">
        <v>288</v>
      </c>
      <c r="C737" s="796"/>
      <c r="D737" s="791" t="s">
        <v>277</v>
      </c>
      <c r="E737" s="797">
        <v>55</v>
      </c>
      <c r="F737" s="792">
        <f t="shared" ref="F737" si="137">ROUND(C737*E737,0)</f>
        <v>0</v>
      </c>
      <c r="G737" s="358">
        <f>'PART-A'!I3171</f>
        <v>0</v>
      </c>
      <c r="H737" s="354" t="s">
        <v>277</v>
      </c>
      <c r="I737" s="355">
        <f>'PART-A'!K3171</f>
        <v>80</v>
      </c>
      <c r="J737" s="353">
        <f t="shared" si="110"/>
        <v>0</v>
      </c>
      <c r="K737" s="1679">
        <f>IF((J737+J738+J739+J740)&gt;(F737+F738+F739+F740),(J737+J738+J739+J740)-(F737+F738+F739+F740),0)</f>
        <v>0</v>
      </c>
      <c r="L737" s="1679">
        <f>IF((J737+J738+J739+J740)&lt;(F737+F738+F739+F740),(F737+F738+F739+F740)-(J737+J738+J739+J740),0)</f>
        <v>0</v>
      </c>
      <c r="M737" s="851" t="s">
        <v>2217</v>
      </c>
      <c r="N737" s="223"/>
      <c r="O737" s="850">
        <f t="shared" si="133"/>
        <v>0</v>
      </c>
    </row>
    <row r="738" spans="1:15" s="360" customFormat="1" ht="15" hidden="1">
      <c r="A738" s="356" t="s">
        <v>2038</v>
      </c>
      <c r="B738" s="632" t="s">
        <v>637</v>
      </c>
      <c r="C738" s="655"/>
      <c r="D738" s="354"/>
      <c r="E738" s="656"/>
      <c r="F738" s="353"/>
      <c r="G738" s="358">
        <f>'PART-A'!I3309</f>
        <v>0</v>
      </c>
      <c r="H738" s="354" t="s">
        <v>277</v>
      </c>
      <c r="I738" s="355">
        <f>'PART-A'!K3309</f>
        <v>80</v>
      </c>
      <c r="J738" s="353">
        <f>ROUND(G738*I738,0)</f>
        <v>0</v>
      </c>
      <c r="K738" s="1680"/>
      <c r="L738" s="1680"/>
      <c r="M738" s="633" t="s">
        <v>2299</v>
      </c>
      <c r="N738" s="223"/>
      <c r="O738" s="631">
        <f t="shared" si="133"/>
        <v>0</v>
      </c>
    </row>
    <row r="739" spans="1:15" s="360" customFormat="1" ht="15" hidden="1">
      <c r="A739" s="356" t="s">
        <v>1163</v>
      </c>
      <c r="B739" s="632" t="s">
        <v>637</v>
      </c>
      <c r="C739" s="655"/>
      <c r="D739" s="354"/>
      <c r="E739" s="656"/>
      <c r="F739" s="353"/>
      <c r="G739" s="358">
        <f>'PART-A'!I3451</f>
        <v>0</v>
      </c>
      <c r="H739" s="354" t="s">
        <v>277</v>
      </c>
      <c r="I739" s="355">
        <f>'PART-A'!K3451</f>
        <v>92</v>
      </c>
      <c r="J739" s="353">
        <f>ROUND(G739*I739,0)</f>
        <v>0</v>
      </c>
      <c r="K739" s="1680"/>
      <c r="L739" s="1680"/>
      <c r="M739" s="633" t="s">
        <v>2312</v>
      </c>
      <c r="N739" s="223"/>
      <c r="O739" s="631">
        <f t="shared" si="133"/>
        <v>0</v>
      </c>
    </row>
    <row r="740" spans="1:15" s="360" customFormat="1" ht="15" hidden="1">
      <c r="A740" s="356" t="s">
        <v>1163</v>
      </c>
      <c r="B740" s="632" t="s">
        <v>637</v>
      </c>
      <c r="C740" s="655"/>
      <c r="D740" s="354"/>
      <c r="E740" s="656"/>
      <c r="F740" s="353"/>
      <c r="G740" s="358">
        <f>'PART-A'!I3589</f>
        <v>0</v>
      </c>
      <c r="H740" s="354" t="s">
        <v>277</v>
      </c>
      <c r="I740" s="355">
        <f>'PART-A'!K3589</f>
        <v>105</v>
      </c>
      <c r="J740" s="353">
        <f>ROUND(G740*I740,0)</f>
        <v>0</v>
      </c>
      <c r="K740" s="1681"/>
      <c r="L740" s="1681"/>
      <c r="M740" s="633" t="s">
        <v>2313</v>
      </c>
      <c r="N740" s="223"/>
      <c r="O740" s="631">
        <f t="shared" si="133"/>
        <v>0</v>
      </c>
    </row>
    <row r="741" spans="1:15" s="360" customFormat="1" ht="25.5" hidden="1">
      <c r="A741" s="356" t="s">
        <v>2687</v>
      </c>
      <c r="B741" s="632" t="s">
        <v>3238</v>
      </c>
      <c r="C741" s="796"/>
      <c r="D741" s="791" t="s">
        <v>115</v>
      </c>
      <c r="E741" s="797">
        <v>4500</v>
      </c>
      <c r="F741" s="792">
        <f t="shared" ref="F741" si="138">ROUND(C741*E741,0)</f>
        <v>0</v>
      </c>
      <c r="G741" s="358">
        <f>'PART-A'!I3176</f>
        <v>0</v>
      </c>
      <c r="H741" s="354" t="s">
        <v>115</v>
      </c>
      <c r="I741" s="355">
        <f>'PART-A'!K3176</f>
        <v>4500</v>
      </c>
      <c r="J741" s="353">
        <f t="shared" ref="J741" si="139">ROUND(G741*I741,0)</f>
        <v>0</v>
      </c>
      <c r="K741" s="1679">
        <f>IF((J741+J742+J743+J744)&gt;(F741+F742+F743+F744),(J741+J742+J743+J744)-(F741+F742+F743+F744),0)</f>
        <v>0</v>
      </c>
      <c r="L741" s="1679">
        <f>IF((J741+J742+J743+J744)&lt;(F741+F742+F743+F744),(F741+F742+F743+F744)-(J741+J742+J743+J744),0)</f>
        <v>0</v>
      </c>
      <c r="M741" s="851" t="s">
        <v>2217</v>
      </c>
      <c r="N741" s="223"/>
      <c r="O741" s="850"/>
    </row>
    <row r="742" spans="1:15" s="360" customFormat="1" ht="15" hidden="1">
      <c r="A742" s="356" t="s">
        <v>2039</v>
      </c>
      <c r="B742" s="632" t="s">
        <v>638</v>
      </c>
      <c r="C742" s="655"/>
      <c r="D742" s="354"/>
      <c r="E742" s="656"/>
      <c r="F742" s="353"/>
      <c r="G742" s="358">
        <f>'PART-A'!I3314</f>
        <v>0</v>
      </c>
      <c r="H742" s="354" t="s">
        <v>115</v>
      </c>
      <c r="I742" s="355">
        <f>'PART-A'!K3314</f>
        <v>4500</v>
      </c>
      <c r="J742" s="353">
        <f>ROUND(G742*I742,0)</f>
        <v>0</v>
      </c>
      <c r="K742" s="1680"/>
      <c r="L742" s="1680"/>
      <c r="M742" s="633" t="s">
        <v>2299</v>
      </c>
      <c r="N742" s="223"/>
      <c r="O742" s="631">
        <f t="shared" si="133"/>
        <v>0</v>
      </c>
    </row>
    <row r="743" spans="1:15" s="360" customFormat="1" ht="15" hidden="1">
      <c r="A743" s="356" t="s">
        <v>2035</v>
      </c>
      <c r="B743" s="632" t="s">
        <v>638</v>
      </c>
      <c r="C743" s="655"/>
      <c r="D743" s="354"/>
      <c r="E743" s="656"/>
      <c r="F743" s="353"/>
      <c r="G743" s="358">
        <f>'PART-A'!I3456</f>
        <v>0</v>
      </c>
      <c r="H743" s="354" t="s">
        <v>115</v>
      </c>
      <c r="I743" s="355">
        <f>'PART-A'!K3456</f>
        <v>4950</v>
      </c>
      <c r="J743" s="353">
        <f>ROUND(G743*I743,0)</f>
        <v>0</v>
      </c>
      <c r="K743" s="1680"/>
      <c r="L743" s="1680"/>
      <c r="M743" s="633" t="s">
        <v>2312</v>
      </c>
      <c r="N743" s="223"/>
      <c r="O743" s="631">
        <f t="shared" si="133"/>
        <v>0</v>
      </c>
    </row>
    <row r="744" spans="1:15" s="360" customFormat="1" ht="15" hidden="1">
      <c r="A744" s="356" t="s">
        <v>2035</v>
      </c>
      <c r="B744" s="632" t="s">
        <v>638</v>
      </c>
      <c r="C744" s="655"/>
      <c r="D744" s="354"/>
      <c r="E744" s="656"/>
      <c r="F744" s="353"/>
      <c r="G744" s="358">
        <f>'PART-A'!I3594</f>
        <v>0</v>
      </c>
      <c r="H744" s="354" t="s">
        <v>115</v>
      </c>
      <c r="I744" s="355">
        <f>'PART-A'!K3594</f>
        <v>5445</v>
      </c>
      <c r="J744" s="353">
        <f>ROUND(G744*I744,0)</f>
        <v>0</v>
      </c>
      <c r="K744" s="1681"/>
      <c r="L744" s="1681"/>
      <c r="M744" s="633" t="s">
        <v>2313</v>
      </c>
      <c r="N744" s="223"/>
      <c r="O744" s="631">
        <f t="shared" si="133"/>
        <v>0</v>
      </c>
    </row>
    <row r="745" spans="1:15" s="360" customFormat="1" ht="25.5" hidden="1">
      <c r="A745" s="356" t="s">
        <v>2688</v>
      </c>
      <c r="B745" s="632" t="s">
        <v>3226</v>
      </c>
      <c r="C745" s="796"/>
      <c r="D745" s="791" t="s">
        <v>115</v>
      </c>
      <c r="E745" s="797">
        <v>223</v>
      </c>
      <c r="F745" s="792">
        <f t="shared" ref="F745" si="140">ROUND(C745*E745,0)</f>
        <v>0</v>
      </c>
      <c r="G745" s="358"/>
      <c r="H745" s="354"/>
      <c r="I745" s="355"/>
      <c r="J745" s="353">
        <f t="shared" ref="J745" si="141">ROUND(G745*I745,0)</f>
        <v>0</v>
      </c>
      <c r="K745" s="669">
        <f t="shared" ref="K745" si="142">IF(J745&gt;F745,J745-F745,0)</f>
        <v>0</v>
      </c>
      <c r="L745" s="368">
        <f t="shared" ref="L745" si="143">IF(J745&lt;F745,F745-J745,0)</f>
        <v>0</v>
      </c>
      <c r="M745" s="851" t="s">
        <v>2217</v>
      </c>
      <c r="N745" s="223"/>
      <c r="O745" s="850">
        <f t="shared" si="133"/>
        <v>0</v>
      </c>
    </row>
    <row r="746" spans="1:15" ht="15">
      <c r="A746" s="1196"/>
      <c r="B746" s="1197" t="s">
        <v>426</v>
      </c>
      <c r="C746" s="1198"/>
      <c r="D746" s="1199"/>
      <c r="E746" s="1200"/>
      <c r="F746" s="1201"/>
      <c r="G746" s="1202"/>
      <c r="H746" s="1203"/>
      <c r="I746" s="1204"/>
      <c r="J746" s="1205"/>
      <c r="K746" s="1206"/>
      <c r="L746" s="1206"/>
      <c r="M746" s="1154" t="s">
        <v>2217</v>
      </c>
      <c r="N746" s="1155"/>
      <c r="O746" s="1156">
        <v>1</v>
      </c>
    </row>
    <row r="747" spans="1:15" s="1157" customFormat="1" ht="38.25">
      <c r="A747" s="1146" t="s">
        <v>512</v>
      </c>
      <c r="B747" s="1147" t="s">
        <v>3239</v>
      </c>
      <c r="C747" s="916">
        <v>50</v>
      </c>
      <c r="D747" s="1148" t="s">
        <v>277</v>
      </c>
      <c r="E747" s="922">
        <v>57.7</v>
      </c>
      <c r="F747" s="1150">
        <f t="shared" ref="F747" si="144">ROUND(C747*E747,0)</f>
        <v>2885</v>
      </c>
      <c r="G747" s="1151">
        <f>'PART-A'!I3602</f>
        <v>70</v>
      </c>
      <c r="H747" s="1148" t="s">
        <v>277</v>
      </c>
      <c r="I747" s="1152">
        <f>'PART-A'!K3602</f>
        <v>71.040000000000006</v>
      </c>
      <c r="J747" s="1153">
        <f t="shared" ref="J747:J895" si="145">ROUND(G747*I747,0)</f>
        <v>4973</v>
      </c>
      <c r="K747" s="1679">
        <f>IF((J747+J748+J749+J750)&gt;(F747+F748+F749+F750),(J747+J748+J749+J750)-(F747+F748+F749+F750),0)</f>
        <v>2088</v>
      </c>
      <c r="L747" s="1679">
        <f>IF((J747+J748+J749+J750)&lt;(F747+F748+F749+F750),(F747+F748+F749+F750)-(J747+J748+J749+J750),0)</f>
        <v>0</v>
      </c>
      <c r="M747" s="1154" t="s">
        <v>2217</v>
      </c>
      <c r="N747" s="1155"/>
      <c r="O747" s="1156">
        <f t="shared" si="133"/>
        <v>-2088</v>
      </c>
    </row>
    <row r="748" spans="1:15" s="1157" customFormat="1" ht="38.25" hidden="1">
      <c r="A748" s="1146" t="s">
        <v>1580</v>
      </c>
      <c r="B748" s="1147" t="s">
        <v>3239</v>
      </c>
      <c r="C748" s="1158"/>
      <c r="D748" s="1148"/>
      <c r="E748" s="922"/>
      <c r="F748" s="1153"/>
      <c r="G748" s="1151">
        <f>'PART-A'!I3825</f>
        <v>0</v>
      </c>
      <c r="H748" s="1148" t="s">
        <v>277</v>
      </c>
      <c r="I748" s="1152">
        <f>'PART-A'!K3825</f>
        <v>64.86</v>
      </c>
      <c r="J748" s="1153">
        <f>ROUND(G748*I748,0)</f>
        <v>0</v>
      </c>
      <c r="K748" s="1680"/>
      <c r="L748" s="1680"/>
      <c r="M748" s="1159" t="s">
        <v>2299</v>
      </c>
      <c r="N748" s="1155"/>
      <c r="O748" s="1160">
        <f t="shared" si="133"/>
        <v>0</v>
      </c>
    </row>
    <row r="749" spans="1:15" s="360" customFormat="1" ht="15" hidden="1">
      <c r="A749" s="356" t="s">
        <v>1260</v>
      </c>
      <c r="B749" s="632" t="s">
        <v>555</v>
      </c>
      <c r="C749" s="634"/>
      <c r="D749" s="354"/>
      <c r="E749" s="10"/>
      <c r="F749" s="353"/>
      <c r="G749" s="358">
        <f>'PART-A'!I4044</f>
        <v>0</v>
      </c>
      <c r="H749" s="354" t="s">
        <v>277</v>
      </c>
      <c r="I749" s="355">
        <f>'PART-A'!K4044</f>
        <v>69.88</v>
      </c>
      <c r="J749" s="353">
        <f>ROUND(G749*I749,0)</f>
        <v>0</v>
      </c>
      <c r="K749" s="1680"/>
      <c r="L749" s="1680"/>
      <c r="M749" s="633" t="s">
        <v>2312</v>
      </c>
      <c r="N749" s="223"/>
      <c r="O749" s="631">
        <f t="shared" si="133"/>
        <v>0</v>
      </c>
    </row>
    <row r="750" spans="1:15" s="360" customFormat="1" ht="15" hidden="1">
      <c r="A750" s="356" t="s">
        <v>1260</v>
      </c>
      <c r="B750" s="632" t="s">
        <v>555</v>
      </c>
      <c r="C750" s="634"/>
      <c r="D750" s="354"/>
      <c r="E750" s="10"/>
      <c r="F750" s="353"/>
      <c r="G750" s="358">
        <f>'PART-A'!I4265</f>
        <v>0</v>
      </c>
      <c r="H750" s="354" t="s">
        <v>277</v>
      </c>
      <c r="I750" s="355">
        <f>'PART-A'!K4265</f>
        <v>80.180000000000007</v>
      </c>
      <c r="J750" s="353">
        <f>ROUND(G750*I750,0)</f>
        <v>0</v>
      </c>
      <c r="K750" s="1681"/>
      <c r="L750" s="1681"/>
      <c r="M750" s="633" t="s">
        <v>2313</v>
      </c>
      <c r="N750" s="223"/>
      <c r="O750" s="631">
        <f t="shared" si="133"/>
        <v>0</v>
      </c>
    </row>
    <row r="751" spans="1:15" s="1157" customFormat="1" ht="38.25">
      <c r="A751" s="1146" t="s">
        <v>513</v>
      </c>
      <c r="B751" s="1147" t="s">
        <v>3239</v>
      </c>
      <c r="C751" s="916">
        <v>50</v>
      </c>
      <c r="D751" s="1148" t="s">
        <v>277</v>
      </c>
      <c r="E751" s="922">
        <v>55</v>
      </c>
      <c r="F751" s="1150">
        <f t="shared" ref="F751" si="146">ROUND(C751*E751,0)</f>
        <v>2750</v>
      </c>
      <c r="G751" s="1170">
        <f>'PART-A'!I3607</f>
        <v>0</v>
      </c>
      <c r="H751" s="1173" t="s">
        <v>277</v>
      </c>
      <c r="I751" s="1171">
        <f>'PART-A'!K3607</f>
        <v>79.19</v>
      </c>
      <c r="J751" s="1153">
        <f t="shared" si="145"/>
        <v>0</v>
      </c>
      <c r="K751" s="1679">
        <f>IF((J751+J752+J753+J754)&gt;(F751+F752+F753+F754),(J751+J752+J753+J754)-(F751+F752+F753+F754),0)</f>
        <v>0</v>
      </c>
      <c r="L751" s="1679">
        <f>IF((J751+J752+J753+J754)&lt;(F751+F752+F753+F754),(F751+F752+F753+F754)-(J751+J752+J753+J754),0)</f>
        <v>2750</v>
      </c>
      <c r="M751" s="1154" t="s">
        <v>2217</v>
      </c>
      <c r="N751" s="1155"/>
      <c r="O751" s="1156">
        <f t="shared" si="133"/>
        <v>2750</v>
      </c>
    </row>
    <row r="752" spans="1:15" s="360" customFormat="1" ht="15" hidden="1">
      <c r="A752" s="356" t="s">
        <v>2043</v>
      </c>
      <c r="B752" s="632" t="s">
        <v>555</v>
      </c>
      <c r="C752" s="634"/>
      <c r="D752" s="354"/>
      <c r="E752" s="10"/>
      <c r="F752" s="353"/>
      <c r="G752" s="358">
        <f>'PART-A'!I3831</f>
        <v>0</v>
      </c>
      <c r="H752" s="354" t="s">
        <v>277</v>
      </c>
      <c r="I752" s="355">
        <f>'PART-A'!K3831</f>
        <v>73.41</v>
      </c>
      <c r="J752" s="353">
        <f>ROUND(G752*I752,0)</f>
        <v>0</v>
      </c>
      <c r="K752" s="1680"/>
      <c r="L752" s="1680"/>
      <c r="M752" s="633" t="s">
        <v>2299</v>
      </c>
      <c r="N752" s="223"/>
      <c r="O752" s="631">
        <f t="shared" si="133"/>
        <v>0</v>
      </c>
    </row>
    <row r="753" spans="1:15" s="1157" customFormat="1" ht="15" hidden="1">
      <c r="A753" s="1146" t="s">
        <v>534</v>
      </c>
      <c r="B753" s="1147" t="s">
        <v>555</v>
      </c>
      <c r="C753" s="1158"/>
      <c r="D753" s="1148"/>
      <c r="E753" s="922"/>
      <c r="F753" s="1153"/>
      <c r="G753" s="1151">
        <f>'PART-A'!I4049</f>
        <v>0</v>
      </c>
      <c r="H753" s="1148" t="s">
        <v>277</v>
      </c>
      <c r="I753" s="1152">
        <f>'PART-A'!K4049</f>
        <v>79.430000000000007</v>
      </c>
      <c r="J753" s="1153">
        <f>ROUND(G753*I753,0)</f>
        <v>0</v>
      </c>
      <c r="K753" s="1680"/>
      <c r="L753" s="1680"/>
      <c r="M753" s="1159" t="s">
        <v>2312</v>
      </c>
      <c r="N753" s="1155"/>
      <c r="O753" s="1160">
        <f t="shared" si="133"/>
        <v>0</v>
      </c>
    </row>
    <row r="754" spans="1:15" s="360" customFormat="1" ht="38.25" hidden="1">
      <c r="A754" s="356" t="s">
        <v>529</v>
      </c>
      <c r="B754" s="632" t="s">
        <v>3239</v>
      </c>
      <c r="C754" s="634"/>
      <c r="D754" s="354"/>
      <c r="E754" s="10"/>
      <c r="F754" s="353"/>
      <c r="G754" s="358">
        <f>'PART-A'!I4270</f>
        <v>0</v>
      </c>
      <c r="H754" s="354" t="s">
        <v>277</v>
      </c>
      <c r="I754" s="355">
        <f>'PART-A'!K4270</f>
        <v>89.61</v>
      </c>
      <c r="J754" s="353">
        <f>ROUND(G754*I754,0)</f>
        <v>0</v>
      </c>
      <c r="K754" s="1681"/>
      <c r="L754" s="1681"/>
      <c r="M754" s="851" t="s">
        <v>2313</v>
      </c>
      <c r="N754" s="223"/>
      <c r="O754" s="850">
        <f t="shared" si="133"/>
        <v>0</v>
      </c>
    </row>
    <row r="755" spans="1:15" s="1157" customFormat="1" ht="15">
      <c r="A755" s="1146" t="s">
        <v>514</v>
      </c>
      <c r="B755" s="1147" t="s">
        <v>572</v>
      </c>
      <c r="C755" s="916">
        <v>50</v>
      </c>
      <c r="D755" s="1148" t="s">
        <v>277</v>
      </c>
      <c r="E755" s="922">
        <v>72.2</v>
      </c>
      <c r="F755" s="1150">
        <f t="shared" ref="F755" si="147">ROUND(C755*E755,0)</f>
        <v>3610</v>
      </c>
      <c r="G755" s="1170">
        <f>'PART-A'!I3615</f>
        <v>0</v>
      </c>
      <c r="H755" s="1173" t="s">
        <v>277</v>
      </c>
      <c r="I755" s="1171">
        <f>'PART-A'!K3615</f>
        <v>55</v>
      </c>
      <c r="J755" s="1153">
        <f t="shared" si="145"/>
        <v>0</v>
      </c>
      <c r="K755" s="1679">
        <f>IF((J755+J756+J757+J758)&gt;(F755+F756+F757+F758),(J755+J756+J757+J758)-(F755+F756+F757+F758),0)</f>
        <v>0</v>
      </c>
      <c r="L755" s="1679">
        <f>IF((J755+J756+J757+J758)&lt;(F755+F756+F757+F758),(F755+F756+F757+F758)-(J755+J756+J757+J758),0)</f>
        <v>3610</v>
      </c>
      <c r="M755" s="1154" t="s">
        <v>2217</v>
      </c>
      <c r="N755" s="1155"/>
      <c r="O755" s="1156">
        <f t="shared" si="133"/>
        <v>3610</v>
      </c>
    </row>
    <row r="756" spans="1:15" s="360" customFormat="1" ht="15" hidden="1">
      <c r="A756" s="356" t="s">
        <v>517</v>
      </c>
      <c r="B756" s="632" t="s">
        <v>572</v>
      </c>
      <c r="C756" s="634"/>
      <c r="D756" s="354"/>
      <c r="E756" s="10"/>
      <c r="F756" s="353"/>
      <c r="G756" s="358">
        <f>'PART-A'!I3839</f>
        <v>0</v>
      </c>
      <c r="H756" s="354" t="s">
        <v>277</v>
      </c>
      <c r="I756" s="355">
        <f>'PART-A'!K3839</f>
        <v>55</v>
      </c>
      <c r="J756" s="353">
        <f>ROUND(G756*I756,0)</f>
        <v>0</v>
      </c>
      <c r="K756" s="1680"/>
      <c r="L756" s="1680"/>
      <c r="M756" s="633" t="s">
        <v>2299</v>
      </c>
      <c r="N756" s="223"/>
      <c r="O756" s="631">
        <f t="shared" si="133"/>
        <v>0</v>
      </c>
    </row>
    <row r="757" spans="1:15" s="360" customFormat="1" ht="15" hidden="1">
      <c r="A757" s="356" t="s">
        <v>517</v>
      </c>
      <c r="B757" s="632" t="s">
        <v>572</v>
      </c>
      <c r="C757" s="634"/>
      <c r="D757" s="354"/>
      <c r="E757" s="10"/>
      <c r="F757" s="353"/>
      <c r="G757" s="358">
        <f>'PART-A'!I4057</f>
        <v>0</v>
      </c>
      <c r="H757" s="354" t="s">
        <v>277</v>
      </c>
      <c r="I757" s="355">
        <f>'PART-A'!K4057</f>
        <v>58</v>
      </c>
      <c r="J757" s="353">
        <f>ROUND(G757*I757,0)</f>
        <v>0</v>
      </c>
      <c r="K757" s="1680"/>
      <c r="L757" s="1680"/>
      <c r="M757" s="633" t="s">
        <v>2312</v>
      </c>
      <c r="N757" s="223"/>
      <c r="O757" s="631">
        <f t="shared" si="133"/>
        <v>0</v>
      </c>
    </row>
    <row r="758" spans="1:15" s="360" customFormat="1" ht="15" hidden="1">
      <c r="A758" s="356" t="s">
        <v>517</v>
      </c>
      <c r="B758" s="632" t="s">
        <v>572</v>
      </c>
      <c r="C758" s="634"/>
      <c r="D758" s="354"/>
      <c r="E758" s="10"/>
      <c r="F758" s="353"/>
      <c r="G758" s="358">
        <f>'PART-A'!I4278</f>
        <v>0</v>
      </c>
      <c r="H758" s="354" t="s">
        <v>277</v>
      </c>
      <c r="I758" s="355">
        <f>'PART-A'!K4278</f>
        <v>64</v>
      </c>
      <c r="J758" s="353">
        <f>ROUND(G758*I758,0)</f>
        <v>0</v>
      </c>
      <c r="K758" s="1681"/>
      <c r="L758" s="1681"/>
      <c r="M758" s="633" t="s">
        <v>2313</v>
      </c>
      <c r="N758" s="223"/>
      <c r="O758" s="631">
        <f t="shared" si="133"/>
        <v>0</v>
      </c>
    </row>
    <row r="759" spans="1:15" s="360" customFormat="1" ht="15" hidden="1">
      <c r="A759" s="356" t="s">
        <v>1162</v>
      </c>
      <c r="B759" s="632" t="s">
        <v>556</v>
      </c>
      <c r="C759" s="611"/>
      <c r="D759" s="354"/>
      <c r="E759" s="607"/>
      <c r="F759" s="353"/>
      <c r="G759" s="358">
        <f>'PART-A'!I3620</f>
        <v>0</v>
      </c>
      <c r="H759" s="354" t="s">
        <v>115</v>
      </c>
      <c r="I759" s="355">
        <f>'PART-A'!K3620</f>
        <v>205</v>
      </c>
      <c r="J759" s="353">
        <f t="shared" si="145"/>
        <v>0</v>
      </c>
      <c r="K759" s="1679">
        <f>IF((J759+J760+J761+J762)&gt;(F759+F760+F761+F762),(J759+J760+J761+J762)-(F759+F760+F761+F762),0)</f>
        <v>0</v>
      </c>
      <c r="L759" s="1679">
        <f>IF((J759+J760+J761+J762)&lt;(F759+F760+F761+F762),(F759+F760+F761+F762)-(J759+J760+J761+J762),0)</f>
        <v>0</v>
      </c>
      <c r="M759" s="633" t="s">
        <v>2217</v>
      </c>
      <c r="N759" s="223"/>
      <c r="O759" s="631">
        <f t="shared" si="133"/>
        <v>0</v>
      </c>
    </row>
    <row r="760" spans="1:15" s="360" customFormat="1" ht="15" hidden="1">
      <c r="A760" s="356" t="s">
        <v>2045</v>
      </c>
      <c r="B760" s="632" t="s">
        <v>556</v>
      </c>
      <c r="C760" s="611"/>
      <c r="D760" s="354"/>
      <c r="E760" s="607"/>
      <c r="F760" s="353"/>
      <c r="G760" s="358">
        <f>'PART-A'!I3844</f>
        <v>0</v>
      </c>
      <c r="H760" s="354" t="s">
        <v>115</v>
      </c>
      <c r="I760" s="355">
        <f>'PART-A'!K3844</f>
        <v>205</v>
      </c>
      <c r="J760" s="353">
        <f>ROUND(G760*I760,0)</f>
        <v>0</v>
      </c>
      <c r="K760" s="1680"/>
      <c r="L760" s="1680"/>
      <c r="M760" s="633" t="s">
        <v>2299</v>
      </c>
      <c r="N760" s="223"/>
      <c r="O760" s="631">
        <f t="shared" si="133"/>
        <v>0</v>
      </c>
    </row>
    <row r="761" spans="1:15" s="1157" customFormat="1" ht="15" hidden="1">
      <c r="A761" s="1146" t="s">
        <v>643</v>
      </c>
      <c r="B761" s="1147" t="s">
        <v>556</v>
      </c>
      <c r="C761" s="1207"/>
      <c r="D761" s="1148"/>
      <c r="E761" s="1208"/>
      <c r="F761" s="1153"/>
      <c r="G761" s="1151">
        <f>'PART-A'!I4062</f>
        <v>0</v>
      </c>
      <c r="H761" s="1148" t="s">
        <v>115</v>
      </c>
      <c r="I761" s="1152">
        <f>'PART-A'!K4062</f>
        <v>226</v>
      </c>
      <c r="J761" s="1153">
        <f>ROUND(G761*I761,0)</f>
        <v>0</v>
      </c>
      <c r="K761" s="1680"/>
      <c r="L761" s="1680"/>
      <c r="M761" s="1159" t="s">
        <v>2312</v>
      </c>
      <c r="N761" s="1155"/>
      <c r="O761" s="1160">
        <f t="shared" si="133"/>
        <v>0</v>
      </c>
    </row>
    <row r="762" spans="1:15" s="360" customFormat="1" ht="15" hidden="1">
      <c r="A762" s="356" t="s">
        <v>518</v>
      </c>
      <c r="B762" s="632" t="s">
        <v>556</v>
      </c>
      <c r="C762" s="611"/>
      <c r="D762" s="354"/>
      <c r="E762" s="607"/>
      <c r="F762" s="353"/>
      <c r="G762" s="358">
        <f>'PART-A'!I4283</f>
        <v>0</v>
      </c>
      <c r="H762" s="354" t="s">
        <v>115</v>
      </c>
      <c r="I762" s="355">
        <f>'PART-A'!K4283</f>
        <v>245</v>
      </c>
      <c r="J762" s="353">
        <f>ROUND(G762*I762,0)</f>
        <v>0</v>
      </c>
      <c r="K762" s="1681"/>
      <c r="L762" s="1681"/>
      <c r="M762" s="851" t="s">
        <v>2313</v>
      </c>
      <c r="N762" s="223"/>
      <c r="O762" s="850">
        <f t="shared" si="133"/>
        <v>0</v>
      </c>
    </row>
    <row r="763" spans="1:15" s="360" customFormat="1" ht="15" hidden="1">
      <c r="A763" s="356" t="s">
        <v>1596</v>
      </c>
      <c r="B763" s="632" t="s">
        <v>639</v>
      </c>
      <c r="C763" s="611"/>
      <c r="D763" s="354"/>
      <c r="E763" s="607"/>
      <c r="F763" s="353"/>
      <c r="G763" s="358">
        <f>'PART-A'!I3625</f>
        <v>0</v>
      </c>
      <c r="H763" s="354" t="s">
        <v>115</v>
      </c>
      <c r="I763" s="355">
        <f>'PART-A'!K3625</f>
        <v>170</v>
      </c>
      <c r="J763" s="353">
        <f t="shared" si="145"/>
        <v>0</v>
      </c>
      <c r="K763" s="1679">
        <f>IF((J763+J764+J765+J766)&gt;(F763+F764+F765+F766),(J763+J764+J765+J766)-(F763+F764+F765+F766),0)</f>
        <v>0</v>
      </c>
      <c r="L763" s="1679">
        <f>IF((J763+J764+J765+J766)&lt;(F763+F764+F765+F766),(F763+F764+F765+F766)-(J763+J764+J765+J766),0)</f>
        <v>0</v>
      </c>
      <c r="M763" s="633" t="s">
        <v>2217</v>
      </c>
      <c r="N763" s="223"/>
      <c r="O763" s="631">
        <f t="shared" si="133"/>
        <v>0</v>
      </c>
    </row>
    <row r="764" spans="1:15" s="360" customFormat="1" ht="15" hidden="1">
      <c r="A764" s="356" t="s">
        <v>2699</v>
      </c>
      <c r="B764" s="632" t="s">
        <v>639</v>
      </c>
      <c r="C764" s="611"/>
      <c r="D764" s="354"/>
      <c r="E764" s="607"/>
      <c r="F764" s="353"/>
      <c r="G764" s="358">
        <f>'PART-A'!I3849</f>
        <v>0</v>
      </c>
      <c r="H764" s="354" t="s">
        <v>115</v>
      </c>
      <c r="I764" s="355">
        <f>'PART-A'!K3849</f>
        <v>170</v>
      </c>
      <c r="J764" s="353">
        <f>ROUND(G764*I764,0)</f>
        <v>0</v>
      </c>
      <c r="K764" s="1680"/>
      <c r="L764" s="1680"/>
      <c r="M764" s="633" t="s">
        <v>2299</v>
      </c>
      <c r="N764" s="223"/>
      <c r="O764" s="631">
        <f t="shared" si="133"/>
        <v>0</v>
      </c>
    </row>
    <row r="765" spans="1:15" s="360" customFormat="1" ht="15" hidden="1">
      <c r="A765" s="356" t="s">
        <v>1596</v>
      </c>
      <c r="B765" s="632" t="s">
        <v>639</v>
      </c>
      <c r="C765" s="611"/>
      <c r="D765" s="354"/>
      <c r="E765" s="607"/>
      <c r="F765" s="353"/>
      <c r="G765" s="358">
        <f>'PART-A'!I4067</f>
        <v>0</v>
      </c>
      <c r="H765" s="354" t="s">
        <v>115</v>
      </c>
      <c r="I765" s="355">
        <f>'PART-A'!K4067</f>
        <v>187</v>
      </c>
      <c r="J765" s="353">
        <f>ROUND(G765*I765,0)</f>
        <v>0</v>
      </c>
      <c r="K765" s="1680"/>
      <c r="L765" s="1680"/>
      <c r="M765" s="633" t="s">
        <v>2312</v>
      </c>
      <c r="N765" s="223"/>
      <c r="O765" s="631">
        <f t="shared" si="133"/>
        <v>0</v>
      </c>
    </row>
    <row r="766" spans="1:15" s="360" customFormat="1" ht="15" hidden="1">
      <c r="A766" s="356" t="s">
        <v>519</v>
      </c>
      <c r="B766" s="632" t="s">
        <v>639</v>
      </c>
      <c r="C766" s="611"/>
      <c r="D766" s="354"/>
      <c r="E766" s="607"/>
      <c r="F766" s="353"/>
      <c r="G766" s="358">
        <f>'PART-A'!I4288</f>
        <v>0</v>
      </c>
      <c r="H766" s="354" t="s">
        <v>115</v>
      </c>
      <c r="I766" s="355">
        <f>'PART-A'!K4288</f>
        <v>203</v>
      </c>
      <c r="J766" s="353">
        <f>ROUND(G766*I766,0)</f>
        <v>0</v>
      </c>
      <c r="K766" s="1681"/>
      <c r="L766" s="1681"/>
      <c r="M766" s="851" t="s">
        <v>2313</v>
      </c>
      <c r="N766" s="223"/>
      <c r="O766" s="850">
        <f t="shared" si="133"/>
        <v>0</v>
      </c>
    </row>
    <row r="767" spans="1:15" s="360" customFormat="1" ht="15" hidden="1">
      <c r="A767" s="356" t="s">
        <v>2077</v>
      </c>
      <c r="B767" s="632" t="s">
        <v>714</v>
      </c>
      <c r="C767" s="611"/>
      <c r="D767" s="354"/>
      <c r="E767" s="607"/>
      <c r="F767" s="353"/>
      <c r="G767" s="358">
        <f>'PART-A'!I3630</f>
        <v>0</v>
      </c>
      <c r="H767" s="354" t="s">
        <v>115</v>
      </c>
      <c r="I767" s="355">
        <f>'PART-A'!K3630</f>
        <v>130</v>
      </c>
      <c r="J767" s="353">
        <f t="shared" si="145"/>
        <v>0</v>
      </c>
      <c r="K767" s="1679">
        <f>IF((J767+J768+J769+J770)&gt;(F767+F768+F769+F770),(J767+J768+J769+J770)-(F767+F768+F769+F770),0)</f>
        <v>0</v>
      </c>
      <c r="L767" s="1679">
        <f>IF((J767+J768+J769+J770)&lt;(F767+F768+F769+F770),(F767+F768+F769+F770)-(J767+J768+J769+J770),0)</f>
        <v>0</v>
      </c>
      <c r="M767" s="633" t="s">
        <v>2217</v>
      </c>
      <c r="N767" s="223"/>
      <c r="O767" s="631">
        <f t="shared" si="133"/>
        <v>0</v>
      </c>
    </row>
    <row r="768" spans="1:15" s="360" customFormat="1" ht="15" hidden="1">
      <c r="A768" s="356" t="s">
        <v>2046</v>
      </c>
      <c r="B768" s="632" t="s">
        <v>714</v>
      </c>
      <c r="C768" s="611"/>
      <c r="D768" s="354"/>
      <c r="E768" s="607"/>
      <c r="F768" s="353"/>
      <c r="G768" s="358">
        <f>'PART-A'!I3854</f>
        <v>0</v>
      </c>
      <c r="H768" s="354" t="s">
        <v>115</v>
      </c>
      <c r="I768" s="355">
        <f>'PART-A'!K3854</f>
        <v>130</v>
      </c>
      <c r="J768" s="353">
        <f>ROUND(G768*I768,0)</f>
        <v>0</v>
      </c>
      <c r="K768" s="1680"/>
      <c r="L768" s="1680"/>
      <c r="M768" s="633" t="s">
        <v>2299</v>
      </c>
      <c r="N768" s="223"/>
      <c r="O768" s="631">
        <f t="shared" si="133"/>
        <v>0</v>
      </c>
    </row>
    <row r="769" spans="1:15" s="360" customFormat="1" ht="15" hidden="1">
      <c r="A769" s="356" t="s">
        <v>2077</v>
      </c>
      <c r="B769" s="632" t="s">
        <v>714</v>
      </c>
      <c r="C769" s="611"/>
      <c r="D769" s="354"/>
      <c r="E769" s="607"/>
      <c r="F769" s="353"/>
      <c r="G769" s="358">
        <f>'PART-A'!I4072</f>
        <v>0</v>
      </c>
      <c r="H769" s="354" t="s">
        <v>115</v>
      </c>
      <c r="I769" s="355">
        <f>'PART-A'!K4072</f>
        <v>143</v>
      </c>
      <c r="J769" s="353">
        <f>ROUND(G769*I769,0)</f>
        <v>0</v>
      </c>
      <c r="K769" s="1680"/>
      <c r="L769" s="1680"/>
      <c r="M769" s="633" t="s">
        <v>2312</v>
      </c>
      <c r="N769" s="223"/>
      <c r="O769" s="631">
        <f t="shared" si="133"/>
        <v>0</v>
      </c>
    </row>
    <row r="770" spans="1:15" s="360" customFormat="1" ht="15" hidden="1">
      <c r="A770" s="356" t="s">
        <v>2077</v>
      </c>
      <c r="B770" s="632" t="s">
        <v>714</v>
      </c>
      <c r="C770" s="611"/>
      <c r="D770" s="354"/>
      <c r="E770" s="607"/>
      <c r="F770" s="353"/>
      <c r="G770" s="358">
        <f>'PART-A'!I4293</f>
        <v>0</v>
      </c>
      <c r="H770" s="354" t="s">
        <v>115</v>
      </c>
      <c r="I770" s="355">
        <f>'PART-A'!K4293</f>
        <v>155</v>
      </c>
      <c r="J770" s="353">
        <f>ROUND(G770*I770,0)</f>
        <v>0</v>
      </c>
      <c r="K770" s="1681"/>
      <c r="L770" s="1681"/>
      <c r="M770" s="633" t="s">
        <v>2313</v>
      </c>
      <c r="N770" s="223"/>
      <c r="O770" s="631">
        <f t="shared" si="133"/>
        <v>0</v>
      </c>
    </row>
    <row r="771" spans="1:15" s="360" customFormat="1" ht="15" hidden="1">
      <c r="A771" s="356" t="s">
        <v>1597</v>
      </c>
      <c r="B771" s="632" t="s">
        <v>796</v>
      </c>
      <c r="C771" s="611"/>
      <c r="D771" s="354"/>
      <c r="E771" s="607"/>
      <c r="F771" s="353"/>
      <c r="G771" s="358">
        <f>'PART-A'!I3648</f>
        <v>0</v>
      </c>
      <c r="H771" s="354" t="s">
        <v>115</v>
      </c>
      <c r="I771" s="355">
        <f>'PART-A'!K3648</f>
        <v>95</v>
      </c>
      <c r="J771" s="353">
        <f t="shared" si="145"/>
        <v>0</v>
      </c>
      <c r="K771" s="1679">
        <f>IF((J771+J772+J773+J774)&gt;(F771+F772+F773+F774),(J771+J772+J773+J774)-(F771+F772+F773+F774),0)</f>
        <v>0</v>
      </c>
      <c r="L771" s="1679">
        <f>IF((J771+J772+J773+J774)&lt;(F771+F772+F773+F774),(F771+F772+F773+F774)-(J771+J772+J773+J774),0)</f>
        <v>0</v>
      </c>
      <c r="M771" s="633" t="s">
        <v>2217</v>
      </c>
      <c r="N771" s="223"/>
      <c r="O771" s="631">
        <f t="shared" si="133"/>
        <v>0</v>
      </c>
    </row>
    <row r="772" spans="1:15" s="360" customFormat="1" ht="15" hidden="1">
      <c r="A772" s="356" t="s">
        <v>2698</v>
      </c>
      <c r="B772" s="632" t="s">
        <v>796</v>
      </c>
      <c r="C772" s="611"/>
      <c r="D772" s="354"/>
      <c r="E772" s="607"/>
      <c r="F772" s="353"/>
      <c r="G772" s="358">
        <f>'PART-A'!I3872</f>
        <v>0</v>
      </c>
      <c r="H772" s="354" t="s">
        <v>115</v>
      </c>
      <c r="I772" s="355">
        <f>'PART-A'!K3872</f>
        <v>95</v>
      </c>
      <c r="J772" s="353">
        <f>ROUND(G772*I772,0)</f>
        <v>0</v>
      </c>
      <c r="K772" s="1680"/>
      <c r="L772" s="1680"/>
      <c r="M772" s="633" t="s">
        <v>2299</v>
      </c>
      <c r="N772" s="223"/>
      <c r="O772" s="631">
        <f t="shared" si="133"/>
        <v>0</v>
      </c>
    </row>
    <row r="773" spans="1:15" s="1157" customFormat="1" ht="15" hidden="1">
      <c r="A773" s="1146" t="s">
        <v>644</v>
      </c>
      <c r="B773" s="1147" t="s">
        <v>796</v>
      </c>
      <c r="C773" s="1207"/>
      <c r="D773" s="1148"/>
      <c r="E773" s="1208"/>
      <c r="F773" s="1153"/>
      <c r="G773" s="1151">
        <f>'PART-A'!I4090</f>
        <v>0</v>
      </c>
      <c r="H773" s="1148" t="s">
        <v>115</v>
      </c>
      <c r="I773" s="1152">
        <f>'PART-A'!K4090</f>
        <v>105</v>
      </c>
      <c r="J773" s="1153">
        <f>ROUND(G773*I773,0)</f>
        <v>0</v>
      </c>
      <c r="K773" s="1680"/>
      <c r="L773" s="1680"/>
      <c r="M773" s="1159" t="s">
        <v>2312</v>
      </c>
      <c r="N773" s="1155"/>
      <c r="O773" s="1160">
        <f t="shared" si="133"/>
        <v>0</v>
      </c>
    </row>
    <row r="774" spans="1:15" s="360" customFormat="1" ht="15" hidden="1">
      <c r="A774" s="356" t="s">
        <v>1597</v>
      </c>
      <c r="B774" s="632" t="s">
        <v>796</v>
      </c>
      <c r="C774" s="611"/>
      <c r="D774" s="354"/>
      <c r="E774" s="607"/>
      <c r="F774" s="353"/>
      <c r="G774" s="358">
        <f>'PART-A'!I4311</f>
        <v>0</v>
      </c>
      <c r="H774" s="354" t="s">
        <v>115</v>
      </c>
      <c r="I774" s="355">
        <f>'PART-A'!K4311</f>
        <v>114</v>
      </c>
      <c r="J774" s="353">
        <f>ROUND(G774*I774,0)</f>
        <v>0</v>
      </c>
      <c r="K774" s="1681"/>
      <c r="L774" s="1681"/>
      <c r="M774" s="633" t="s">
        <v>2313</v>
      </c>
      <c r="N774" s="223"/>
      <c r="O774" s="631">
        <f t="shared" si="133"/>
        <v>0</v>
      </c>
    </row>
    <row r="775" spans="1:15" s="360" customFormat="1" ht="15" hidden="1">
      <c r="A775" s="356" t="s">
        <v>2043</v>
      </c>
      <c r="B775" s="632" t="s">
        <v>640</v>
      </c>
      <c r="C775" s="611"/>
      <c r="D775" s="354"/>
      <c r="E775" s="607"/>
      <c r="F775" s="353"/>
      <c r="G775" s="358">
        <f>'PART-A'!I3643</f>
        <v>0</v>
      </c>
      <c r="H775" s="354" t="s">
        <v>115</v>
      </c>
      <c r="I775" s="355">
        <f>'PART-A'!K3643</f>
        <v>335</v>
      </c>
      <c r="J775" s="353">
        <f t="shared" si="145"/>
        <v>0</v>
      </c>
      <c r="K775" s="1679">
        <f>IF((J775+J776+J777+J778)&gt;(F775+F776+F777+F778),(J775+J776+J777+J778)-(F775+F776+F777+F778),0)</f>
        <v>0</v>
      </c>
      <c r="L775" s="1679">
        <f>IF((J775+J776+J777+J778)&lt;(F775+F776+F777+F778),(F775+F776+F777+F778)-(J775+J776+J777+J778),0)</f>
        <v>0</v>
      </c>
      <c r="M775" s="633" t="s">
        <v>2217</v>
      </c>
      <c r="N775" s="223"/>
      <c r="O775" s="631">
        <f t="shared" si="133"/>
        <v>0</v>
      </c>
    </row>
    <row r="776" spans="1:15" s="360" customFormat="1" ht="15" hidden="1">
      <c r="A776" s="356" t="s">
        <v>2043</v>
      </c>
      <c r="B776" s="632" t="s">
        <v>640</v>
      </c>
      <c r="C776" s="611"/>
      <c r="D776" s="354"/>
      <c r="E776" s="607"/>
      <c r="F776" s="353"/>
      <c r="G776" s="358">
        <f>'PART-A'!I3867</f>
        <v>0</v>
      </c>
      <c r="H776" s="354" t="s">
        <v>115</v>
      </c>
      <c r="I776" s="355">
        <f>'PART-A'!K3867</f>
        <v>335</v>
      </c>
      <c r="J776" s="353">
        <f>ROUND(G776*I776,0)</f>
        <v>0</v>
      </c>
      <c r="K776" s="1680"/>
      <c r="L776" s="1680"/>
      <c r="M776" s="633" t="s">
        <v>2299</v>
      </c>
      <c r="N776" s="223"/>
      <c r="O776" s="631">
        <f t="shared" si="133"/>
        <v>0</v>
      </c>
    </row>
    <row r="777" spans="1:15" s="360" customFormat="1" ht="15" hidden="1">
      <c r="A777" s="356" t="s">
        <v>2043</v>
      </c>
      <c r="B777" s="632" t="s">
        <v>640</v>
      </c>
      <c r="C777" s="611"/>
      <c r="D777" s="354"/>
      <c r="E777" s="607"/>
      <c r="F777" s="353"/>
      <c r="G777" s="358">
        <f>'PART-A'!I4085</f>
        <v>0</v>
      </c>
      <c r="H777" s="354" t="s">
        <v>115</v>
      </c>
      <c r="I777" s="355">
        <f>'PART-A'!K4085</f>
        <v>369</v>
      </c>
      <c r="J777" s="353">
        <f>ROUND(G777*I777,0)</f>
        <v>0</v>
      </c>
      <c r="K777" s="1680"/>
      <c r="L777" s="1680"/>
      <c r="M777" s="633" t="s">
        <v>2312</v>
      </c>
      <c r="N777" s="223"/>
      <c r="O777" s="631">
        <f t="shared" si="133"/>
        <v>0</v>
      </c>
    </row>
    <row r="778" spans="1:15" s="360" customFormat="1" ht="15" hidden="1">
      <c r="A778" s="356" t="s">
        <v>2043</v>
      </c>
      <c r="B778" s="632" t="s">
        <v>640</v>
      </c>
      <c r="C778" s="611"/>
      <c r="D778" s="354"/>
      <c r="E778" s="607"/>
      <c r="F778" s="353"/>
      <c r="G778" s="358">
        <f>'PART-A'!I4306</f>
        <v>0</v>
      </c>
      <c r="H778" s="354" t="s">
        <v>115</v>
      </c>
      <c r="I778" s="355">
        <f>'PART-A'!K4306</f>
        <v>400</v>
      </c>
      <c r="J778" s="353">
        <f>ROUND(G778*I778,0)</f>
        <v>0</v>
      </c>
      <c r="K778" s="1681"/>
      <c r="L778" s="1681"/>
      <c r="M778" s="633" t="s">
        <v>2313</v>
      </c>
      <c r="N778" s="223"/>
      <c r="O778" s="631">
        <f t="shared" si="133"/>
        <v>0</v>
      </c>
    </row>
    <row r="779" spans="1:15" s="360" customFormat="1" ht="15" hidden="1">
      <c r="A779" s="356" t="s">
        <v>2044</v>
      </c>
      <c r="B779" s="632" t="s">
        <v>1512</v>
      </c>
      <c r="C779" s="611"/>
      <c r="D779" s="354"/>
      <c r="E779" s="607"/>
      <c r="F779" s="353"/>
      <c r="G779" s="358">
        <f>'PART-A'!I3638</f>
        <v>0</v>
      </c>
      <c r="H779" s="354" t="s">
        <v>115</v>
      </c>
      <c r="I779" s="355">
        <f>'PART-A'!K3638</f>
        <v>300</v>
      </c>
      <c r="J779" s="353">
        <f t="shared" si="145"/>
        <v>0</v>
      </c>
      <c r="K779" s="1679">
        <f>IF((J779+J780+J781+J782)&gt;(F779+F780+F781+F782),(J779+J780+J781+J782)-(F779+F780+F781+F782),0)</f>
        <v>0</v>
      </c>
      <c r="L779" s="1679">
        <f>IF((J779+J780+J781+J782)&lt;(F779+F780+F781+F782),(F779+F780+F781+F782)-(J779+J780+J781+J782),0)</f>
        <v>0</v>
      </c>
      <c r="M779" s="633" t="s">
        <v>2217</v>
      </c>
      <c r="N779" s="223"/>
      <c r="O779" s="631">
        <f t="shared" si="133"/>
        <v>0</v>
      </c>
    </row>
    <row r="780" spans="1:15" s="360" customFormat="1" ht="15" hidden="1">
      <c r="A780" s="356" t="s">
        <v>2044</v>
      </c>
      <c r="B780" s="632" t="s">
        <v>1512</v>
      </c>
      <c r="C780" s="611"/>
      <c r="D780" s="354"/>
      <c r="E780" s="607"/>
      <c r="F780" s="353"/>
      <c r="G780" s="358">
        <f>'PART-A'!I3862</f>
        <v>0</v>
      </c>
      <c r="H780" s="354" t="s">
        <v>115</v>
      </c>
      <c r="I780" s="355">
        <f>'PART-A'!K3862</f>
        <v>300</v>
      </c>
      <c r="J780" s="353">
        <f>ROUND(G780*I780,0)</f>
        <v>0</v>
      </c>
      <c r="K780" s="1680"/>
      <c r="L780" s="1680"/>
      <c r="M780" s="633" t="s">
        <v>2299</v>
      </c>
      <c r="N780" s="223"/>
      <c r="O780" s="631">
        <f t="shared" si="133"/>
        <v>0</v>
      </c>
    </row>
    <row r="781" spans="1:15" s="360" customFormat="1" ht="15" hidden="1">
      <c r="A781" s="356" t="s">
        <v>2044</v>
      </c>
      <c r="B781" s="632" t="s">
        <v>1512</v>
      </c>
      <c r="C781" s="611"/>
      <c r="D781" s="354"/>
      <c r="E781" s="607"/>
      <c r="F781" s="353"/>
      <c r="G781" s="358">
        <f>'PART-A'!I4080</f>
        <v>0</v>
      </c>
      <c r="H781" s="354" t="s">
        <v>115</v>
      </c>
      <c r="I781" s="355">
        <f>'PART-A'!K4080</f>
        <v>331</v>
      </c>
      <c r="J781" s="353">
        <f>ROUND(G781*I781,0)</f>
        <v>0</v>
      </c>
      <c r="K781" s="1680"/>
      <c r="L781" s="1680"/>
      <c r="M781" s="633" t="s">
        <v>2312</v>
      </c>
      <c r="N781" s="223"/>
      <c r="O781" s="631">
        <f t="shared" si="133"/>
        <v>0</v>
      </c>
    </row>
    <row r="782" spans="1:15" s="360" customFormat="1" ht="15" hidden="1">
      <c r="A782" s="356" t="s">
        <v>2044</v>
      </c>
      <c r="B782" s="632" t="s">
        <v>1512</v>
      </c>
      <c r="C782" s="611"/>
      <c r="D782" s="354"/>
      <c r="E782" s="607"/>
      <c r="F782" s="353"/>
      <c r="G782" s="358">
        <f>'PART-A'!I4301</f>
        <v>0</v>
      </c>
      <c r="H782" s="354" t="s">
        <v>115</v>
      </c>
      <c r="I782" s="355">
        <f>'PART-A'!K4301</f>
        <v>359</v>
      </c>
      <c r="J782" s="353">
        <f>ROUND(G782*I782,0)</f>
        <v>0</v>
      </c>
      <c r="K782" s="1681"/>
      <c r="L782" s="1681"/>
      <c r="M782" s="633" t="s">
        <v>2313</v>
      </c>
      <c r="N782" s="223"/>
      <c r="O782" s="631">
        <f t="shared" si="133"/>
        <v>0</v>
      </c>
    </row>
    <row r="783" spans="1:15" s="360" customFormat="1" ht="15" hidden="1">
      <c r="A783" s="356" t="s">
        <v>2077</v>
      </c>
      <c r="B783" s="632" t="s">
        <v>557</v>
      </c>
      <c r="C783" s="611"/>
      <c r="D783" s="354"/>
      <c r="E783" s="607"/>
      <c r="F783" s="353"/>
      <c r="G783" s="358">
        <f>'PART-A'!I3653</f>
        <v>0</v>
      </c>
      <c r="H783" s="354" t="s">
        <v>115</v>
      </c>
      <c r="I783" s="355">
        <f>'PART-A'!K3653</f>
        <v>57</v>
      </c>
      <c r="J783" s="353">
        <f t="shared" si="145"/>
        <v>0</v>
      </c>
      <c r="K783" s="1679">
        <f>IF((J783+J784+J785+J786)&gt;(F783+F784+F785+F786),(J783+J784+J785+J786)-(F783+F784+F785+F786),0)</f>
        <v>0</v>
      </c>
      <c r="L783" s="1679">
        <f>IF((J783+J784+J785+J786)&lt;(F783+F784+F785+F786),(F783+F784+F785+F786)-(J783+J784+J785+J786),0)</f>
        <v>0</v>
      </c>
      <c r="M783" s="633" t="s">
        <v>2217</v>
      </c>
      <c r="N783" s="223"/>
      <c r="O783" s="631">
        <f t="shared" si="133"/>
        <v>0</v>
      </c>
    </row>
    <row r="784" spans="1:15" s="360" customFormat="1" ht="15" hidden="1">
      <c r="A784" s="356" t="s">
        <v>2700</v>
      </c>
      <c r="B784" s="632" t="s">
        <v>557</v>
      </c>
      <c r="C784" s="611"/>
      <c r="D784" s="354"/>
      <c r="E784" s="607"/>
      <c r="F784" s="353"/>
      <c r="G784" s="358">
        <f>'PART-A'!I3877</f>
        <v>0</v>
      </c>
      <c r="H784" s="354" t="s">
        <v>115</v>
      </c>
      <c r="I784" s="355">
        <f>'PART-A'!K3877</f>
        <v>57</v>
      </c>
      <c r="J784" s="353">
        <f>ROUND(G784*I784,0)</f>
        <v>0</v>
      </c>
      <c r="K784" s="1680"/>
      <c r="L784" s="1680"/>
      <c r="M784" s="633" t="s">
        <v>2299</v>
      </c>
      <c r="N784" s="223"/>
      <c r="O784" s="631">
        <f t="shared" si="133"/>
        <v>0</v>
      </c>
    </row>
    <row r="785" spans="1:15" s="360" customFormat="1" ht="15" hidden="1">
      <c r="A785" s="356" t="s">
        <v>2077</v>
      </c>
      <c r="B785" s="632" t="s">
        <v>557</v>
      </c>
      <c r="C785" s="611"/>
      <c r="D785" s="354"/>
      <c r="E785" s="607"/>
      <c r="F785" s="353"/>
      <c r="G785" s="358">
        <f>'PART-A'!I4095</f>
        <v>0</v>
      </c>
      <c r="H785" s="354" t="s">
        <v>115</v>
      </c>
      <c r="I785" s="355">
        <f>'PART-A'!K4095</f>
        <v>63</v>
      </c>
      <c r="J785" s="353">
        <f>ROUND(G785*I785,0)</f>
        <v>0</v>
      </c>
      <c r="K785" s="1680"/>
      <c r="L785" s="1680"/>
      <c r="M785" s="633" t="s">
        <v>2312</v>
      </c>
      <c r="N785" s="223"/>
      <c r="O785" s="631">
        <f t="shared" si="133"/>
        <v>0</v>
      </c>
    </row>
    <row r="786" spans="1:15" s="360" customFormat="1" ht="15" hidden="1">
      <c r="A786" s="356" t="s">
        <v>2077</v>
      </c>
      <c r="B786" s="632" t="s">
        <v>557</v>
      </c>
      <c r="C786" s="611"/>
      <c r="D786" s="354"/>
      <c r="E786" s="607"/>
      <c r="F786" s="353"/>
      <c r="G786" s="358">
        <f>'PART-A'!I4316</f>
        <v>0</v>
      </c>
      <c r="H786" s="354" t="s">
        <v>115</v>
      </c>
      <c r="I786" s="355">
        <f>'PART-A'!K4316</f>
        <v>68</v>
      </c>
      <c r="J786" s="353">
        <f>ROUND(G786*I786,0)</f>
        <v>0</v>
      </c>
      <c r="K786" s="1681"/>
      <c r="L786" s="1681"/>
      <c r="M786" s="633" t="s">
        <v>2313</v>
      </c>
      <c r="N786" s="223"/>
      <c r="O786" s="631">
        <f t="shared" si="133"/>
        <v>0</v>
      </c>
    </row>
    <row r="787" spans="1:15" s="1157" customFormat="1" ht="38.25">
      <c r="A787" s="1146" t="s">
        <v>515</v>
      </c>
      <c r="B787" s="1147" t="s">
        <v>3240</v>
      </c>
      <c r="C787" s="916">
        <v>20</v>
      </c>
      <c r="D787" s="1148" t="s">
        <v>568</v>
      </c>
      <c r="E787" s="922">
        <v>522</v>
      </c>
      <c r="F787" s="1150">
        <f t="shared" ref="F787" si="148">ROUND(C787*E787,0)</f>
        <v>10440</v>
      </c>
      <c r="G787" s="1170">
        <f>'PART-A'!I3660</f>
        <v>0</v>
      </c>
      <c r="H787" s="1173" t="s">
        <v>568</v>
      </c>
      <c r="I787" s="1171">
        <f>'PART-A'!K3660</f>
        <v>383.5</v>
      </c>
      <c r="J787" s="1153">
        <f t="shared" si="145"/>
        <v>0</v>
      </c>
      <c r="K787" s="1679">
        <f>IF((J787+J788+J789+J790)&gt;(F787+F788+F789+F790),(J787+J788+J789+J790)-(F787+F788+F789+F790),0)</f>
        <v>0</v>
      </c>
      <c r="L787" s="1679">
        <f>IF((J787+J788+J789+J790)&lt;(F787+F788+F789+F790),(F787+F788+F789+F790)-(J787+J788+J789+J790),0)</f>
        <v>10440</v>
      </c>
      <c r="M787" s="1154" t="s">
        <v>2217</v>
      </c>
      <c r="N787" s="1155"/>
      <c r="O787" s="1156">
        <f t="shared" ref="O787:O850" si="149">F787-J787</f>
        <v>10440</v>
      </c>
    </row>
    <row r="788" spans="1:15" s="360" customFormat="1" ht="15" hidden="1">
      <c r="A788" s="356" t="s">
        <v>2701</v>
      </c>
      <c r="B788" s="632" t="s">
        <v>558</v>
      </c>
      <c r="C788" s="634"/>
      <c r="D788" s="354"/>
      <c r="E788" s="10"/>
      <c r="F788" s="353"/>
      <c r="G788" s="358">
        <f>'PART-A'!I3882</f>
        <v>0</v>
      </c>
      <c r="H788" s="354" t="s">
        <v>568</v>
      </c>
      <c r="I788" s="355">
        <f>'PART-A'!K3882</f>
        <v>395.5</v>
      </c>
      <c r="J788" s="353">
        <f>ROUND(G788*I788,0)</f>
        <v>0</v>
      </c>
      <c r="K788" s="1680"/>
      <c r="L788" s="1680"/>
      <c r="M788" s="633" t="s">
        <v>2299</v>
      </c>
      <c r="N788" s="223"/>
      <c r="O788" s="631">
        <f t="shared" si="149"/>
        <v>0</v>
      </c>
    </row>
    <row r="789" spans="1:15" s="360" customFormat="1" ht="15" hidden="1">
      <c r="A789" s="356" t="s">
        <v>2032</v>
      </c>
      <c r="B789" s="632" t="s">
        <v>558</v>
      </c>
      <c r="C789" s="634"/>
      <c r="D789" s="354"/>
      <c r="E789" s="10"/>
      <c r="F789" s="353"/>
      <c r="G789" s="358">
        <f>'PART-A'!I4102</f>
        <v>0</v>
      </c>
      <c r="H789" s="354" t="s">
        <v>568</v>
      </c>
      <c r="I789" s="355">
        <f>'PART-A'!K4102</f>
        <v>436.33</v>
      </c>
      <c r="J789" s="353">
        <f>ROUND(G789*I789,0)</f>
        <v>0</v>
      </c>
      <c r="K789" s="1680"/>
      <c r="L789" s="1680"/>
      <c r="M789" s="633" t="s">
        <v>2312</v>
      </c>
      <c r="N789" s="223"/>
      <c r="O789" s="631">
        <f t="shared" si="149"/>
        <v>0</v>
      </c>
    </row>
    <row r="790" spans="1:15" s="360" customFormat="1" ht="38.25" hidden="1">
      <c r="A790" s="356" t="s">
        <v>521</v>
      </c>
      <c r="B790" s="632" t="s">
        <v>3240</v>
      </c>
      <c r="C790" s="634"/>
      <c r="D790" s="354"/>
      <c r="E790" s="10"/>
      <c r="F790" s="353"/>
      <c r="G790" s="358">
        <f>'PART-A'!I4322</f>
        <v>0</v>
      </c>
      <c r="H790" s="354" t="s">
        <v>568</v>
      </c>
      <c r="I790" s="355">
        <f>'PART-A'!K4322</f>
        <v>481.67</v>
      </c>
      <c r="J790" s="353">
        <f>ROUND(G790*I790,0)</f>
        <v>0</v>
      </c>
      <c r="K790" s="1681"/>
      <c r="L790" s="1681"/>
      <c r="M790" s="851" t="s">
        <v>2313</v>
      </c>
      <c r="N790" s="223"/>
      <c r="O790" s="850">
        <f t="shared" si="149"/>
        <v>0</v>
      </c>
    </row>
    <row r="791" spans="1:15" s="1157" customFormat="1" ht="38.25">
      <c r="A791" s="1146" t="s">
        <v>516</v>
      </c>
      <c r="B791" s="1147" t="s">
        <v>3241</v>
      </c>
      <c r="C791" s="1209">
        <v>2</v>
      </c>
      <c r="D791" s="1166" t="s">
        <v>115</v>
      </c>
      <c r="E791" s="922">
        <v>564</v>
      </c>
      <c r="F791" s="1150">
        <f t="shared" ref="F791" si="150">ROUND(C791*E791,0)</f>
        <v>1128</v>
      </c>
      <c r="G791" s="1170">
        <f>'PART-A'!I3667</f>
        <v>0</v>
      </c>
      <c r="H791" s="1173" t="s">
        <v>568</v>
      </c>
      <c r="I791" s="1171">
        <f>'PART-A'!K3667</f>
        <v>402.5</v>
      </c>
      <c r="J791" s="1153">
        <f t="shared" si="145"/>
        <v>0</v>
      </c>
      <c r="K791" s="1679">
        <f>IF((J791+J792+J793+J794)&gt;(F791+F792+F793+F794),(J791+J792+J793+J794)-(F791+F792+F793+F794),0)</f>
        <v>0</v>
      </c>
      <c r="L791" s="1679">
        <f>IF((J791+J792+J793+J794)&lt;(F791+F792+F793+F794),(F791+F792+F793+F794)-(J791+J792+J793+J794),0)</f>
        <v>1128</v>
      </c>
      <c r="M791" s="1154" t="s">
        <v>2217</v>
      </c>
      <c r="N791" s="1155"/>
      <c r="O791" s="1156">
        <f t="shared" si="149"/>
        <v>1128</v>
      </c>
    </row>
    <row r="792" spans="1:15" s="360" customFormat="1" ht="15" hidden="1">
      <c r="A792" s="356" t="s">
        <v>522</v>
      </c>
      <c r="B792" s="632" t="s">
        <v>558</v>
      </c>
      <c r="C792" s="634"/>
      <c r="D792" s="354"/>
      <c r="E792" s="10"/>
      <c r="F792" s="353"/>
      <c r="G792" s="358">
        <f>'PART-A'!I3889</f>
        <v>0</v>
      </c>
      <c r="H792" s="354" t="s">
        <v>568</v>
      </c>
      <c r="I792" s="355">
        <f>'PART-A'!K3889</f>
        <v>414.5</v>
      </c>
      <c r="J792" s="353">
        <f>ROUND(G792*I792,0)</f>
        <v>0</v>
      </c>
      <c r="K792" s="1680"/>
      <c r="L792" s="1680"/>
      <c r="M792" s="633" t="s">
        <v>2299</v>
      </c>
      <c r="N792" s="223"/>
      <c r="O792" s="631">
        <f t="shared" si="149"/>
        <v>0</v>
      </c>
    </row>
    <row r="793" spans="1:15" s="360" customFormat="1" ht="15" hidden="1">
      <c r="A793" s="356" t="s">
        <v>522</v>
      </c>
      <c r="B793" s="632" t="s">
        <v>558</v>
      </c>
      <c r="C793" s="634"/>
      <c r="D793" s="354"/>
      <c r="E793" s="10"/>
      <c r="F793" s="353"/>
      <c r="G793" s="358">
        <f>'PART-A'!I4109</f>
        <v>0</v>
      </c>
      <c r="H793" s="354" t="s">
        <v>568</v>
      </c>
      <c r="I793" s="355">
        <f>'PART-A'!K4109</f>
        <v>457.33</v>
      </c>
      <c r="J793" s="353">
        <f>ROUND(G793*I793,0)</f>
        <v>0</v>
      </c>
      <c r="K793" s="1680"/>
      <c r="L793" s="1680"/>
      <c r="M793" s="633" t="s">
        <v>2312</v>
      </c>
      <c r="N793" s="223"/>
      <c r="O793" s="631">
        <f t="shared" si="149"/>
        <v>0</v>
      </c>
    </row>
    <row r="794" spans="1:15" s="360" customFormat="1" ht="38.25" hidden="1">
      <c r="A794" s="356" t="s">
        <v>1581</v>
      </c>
      <c r="B794" s="632" t="s">
        <v>3241</v>
      </c>
      <c r="C794" s="634"/>
      <c r="D794" s="354"/>
      <c r="E794" s="10"/>
      <c r="F794" s="353"/>
      <c r="G794" s="358">
        <f>'PART-A'!I4327</f>
        <v>0</v>
      </c>
      <c r="H794" s="354" t="s">
        <v>568</v>
      </c>
      <c r="I794" s="355">
        <f>'PART-A'!K4327</f>
        <v>503.67</v>
      </c>
      <c r="J794" s="353">
        <f>ROUND(G794*I794,0)</f>
        <v>0</v>
      </c>
      <c r="K794" s="1681"/>
      <c r="L794" s="1681"/>
      <c r="M794" s="851" t="s">
        <v>2313</v>
      </c>
      <c r="N794" s="223"/>
      <c r="O794" s="850">
        <f t="shared" si="149"/>
        <v>0</v>
      </c>
    </row>
    <row r="795" spans="1:15" s="360" customFormat="1" ht="15" hidden="1">
      <c r="A795" s="356" t="s">
        <v>2033</v>
      </c>
      <c r="B795" s="632" t="s">
        <v>2264</v>
      </c>
      <c r="C795" s="634"/>
      <c r="D795" s="354"/>
      <c r="E795" s="10"/>
      <c r="F795" s="353"/>
      <c r="G795" s="358">
        <f>'PART-A'!I3673</f>
        <v>0</v>
      </c>
      <c r="H795" s="354" t="s">
        <v>277</v>
      </c>
      <c r="I795" s="355">
        <f>'PART-A'!K3673</f>
        <v>18.59</v>
      </c>
      <c r="J795" s="353">
        <f t="shared" si="145"/>
        <v>0</v>
      </c>
      <c r="K795" s="1679">
        <f>IF((J795+J796+J797+J798)&gt;(F795+F796+F797+F798),(J795+J796+J797+J798)-(F795+F796+F797+F798),0)</f>
        <v>0</v>
      </c>
      <c r="L795" s="1679">
        <f>IF((J795+J796+J797+J798)&lt;(F795+F796+F797+F798),(F795+F796+F797+F798)-(J795+J796+J797+J798),0)</f>
        <v>0</v>
      </c>
      <c r="M795" s="633" t="s">
        <v>2217</v>
      </c>
      <c r="N795" s="223"/>
      <c r="O795" s="631">
        <f t="shared" si="149"/>
        <v>0</v>
      </c>
    </row>
    <row r="796" spans="1:15" s="360" customFormat="1" ht="15" hidden="1">
      <c r="A796" s="356" t="s">
        <v>2702</v>
      </c>
      <c r="B796" s="632" t="s">
        <v>2264</v>
      </c>
      <c r="C796" s="634"/>
      <c r="D796" s="354"/>
      <c r="E796" s="10"/>
      <c r="F796" s="353"/>
      <c r="G796" s="358">
        <f>'PART-A'!I3895</f>
        <v>0</v>
      </c>
      <c r="H796" s="354" t="s">
        <v>277</v>
      </c>
      <c r="I796" s="355">
        <f>'PART-A'!K3895</f>
        <v>19.09</v>
      </c>
      <c r="J796" s="353">
        <f>ROUND(G796*I796,0)</f>
        <v>0</v>
      </c>
      <c r="K796" s="1680"/>
      <c r="L796" s="1680"/>
      <c r="M796" s="633" t="s">
        <v>2299</v>
      </c>
      <c r="N796" s="223"/>
      <c r="O796" s="631">
        <f t="shared" si="149"/>
        <v>0</v>
      </c>
    </row>
    <row r="797" spans="1:15" s="360" customFormat="1" ht="15" hidden="1">
      <c r="A797" s="356" t="s">
        <v>2033</v>
      </c>
      <c r="B797" s="632" t="s">
        <v>2264</v>
      </c>
      <c r="C797" s="634"/>
      <c r="D797" s="354"/>
      <c r="E797" s="10"/>
      <c r="F797" s="353"/>
      <c r="G797" s="358">
        <f>'PART-A'!I4115</f>
        <v>0</v>
      </c>
      <c r="H797" s="354" t="s">
        <v>277</v>
      </c>
      <c r="I797" s="355">
        <f>'PART-A'!K4115</f>
        <v>21.19</v>
      </c>
      <c r="J797" s="353">
        <f>ROUND(G797*I797,0)</f>
        <v>0</v>
      </c>
      <c r="K797" s="1680"/>
      <c r="L797" s="1680"/>
      <c r="M797" s="633" t="s">
        <v>2312</v>
      </c>
      <c r="N797" s="223"/>
      <c r="O797" s="631">
        <f t="shared" si="149"/>
        <v>0</v>
      </c>
    </row>
    <row r="798" spans="1:15" s="360" customFormat="1" ht="15" hidden="1">
      <c r="A798" s="356" t="s">
        <v>1582</v>
      </c>
      <c r="B798" s="632" t="s">
        <v>2264</v>
      </c>
      <c r="C798" s="634"/>
      <c r="D798" s="354"/>
      <c r="E798" s="10"/>
      <c r="F798" s="353"/>
      <c r="G798" s="358">
        <f>'PART-A'!I4332</f>
        <v>0</v>
      </c>
      <c r="H798" s="354" t="s">
        <v>277</v>
      </c>
      <c r="I798" s="355">
        <f>'PART-A'!K4332</f>
        <v>23.55</v>
      </c>
      <c r="J798" s="353">
        <f>ROUND(G798*I798,0)</f>
        <v>0</v>
      </c>
      <c r="K798" s="1681"/>
      <c r="L798" s="1681"/>
      <c r="M798" s="633" t="s">
        <v>2313</v>
      </c>
      <c r="N798" s="223"/>
      <c r="O798" s="631">
        <f t="shared" si="149"/>
        <v>0</v>
      </c>
    </row>
    <row r="799" spans="1:15" s="1157" customFormat="1" ht="38.25">
      <c r="A799" s="1146" t="s">
        <v>517</v>
      </c>
      <c r="B799" s="1147" t="s">
        <v>3629</v>
      </c>
      <c r="C799" s="916">
        <v>20</v>
      </c>
      <c r="D799" s="1148" t="s">
        <v>277</v>
      </c>
      <c r="E799" s="922">
        <v>67</v>
      </c>
      <c r="F799" s="1150">
        <f t="shared" ref="F799" si="151">ROUND(C799*E799,0)</f>
        <v>1340</v>
      </c>
      <c r="G799" s="1170">
        <f>'PART-A'!I3678</f>
        <v>0</v>
      </c>
      <c r="H799" s="1173" t="s">
        <v>277</v>
      </c>
      <c r="I799" s="1171">
        <f>'PART-A'!K3678</f>
        <v>60.7</v>
      </c>
      <c r="J799" s="1153">
        <f t="shared" ref="J799" si="152">ROUND(G799*I799,0)</f>
        <v>0</v>
      </c>
      <c r="K799" s="1679">
        <f>IF((J799+J800+J801+J802)&gt;(F799+F800+F801+F802),(J799+J800+J801+J802)-(F799+F800+F801+F802),0)</f>
        <v>0</v>
      </c>
      <c r="L799" s="1679">
        <f>IF((J799+J800+J801+J802)&lt;(F799+F800+F801+F802),(F799+F800+F801+F802)-(J799+J800+J801+J802),0)</f>
        <v>1340</v>
      </c>
      <c r="M799" s="1154" t="s">
        <v>2217</v>
      </c>
      <c r="N799" s="1155"/>
      <c r="O799" s="1156">
        <f t="shared" si="149"/>
        <v>1340</v>
      </c>
    </row>
    <row r="800" spans="1:15" s="360" customFormat="1" ht="15" hidden="1">
      <c r="A800" s="356" t="s">
        <v>2034</v>
      </c>
      <c r="B800" s="632" t="s">
        <v>2265</v>
      </c>
      <c r="C800" s="634"/>
      <c r="D800" s="354"/>
      <c r="E800" s="10"/>
      <c r="F800" s="353"/>
      <c r="G800" s="358">
        <f>'PART-A'!I3900</f>
        <v>0</v>
      </c>
      <c r="H800" s="354" t="s">
        <v>277</v>
      </c>
      <c r="I800" s="355">
        <f>'PART-A'!K3900</f>
        <v>60.7</v>
      </c>
      <c r="J800" s="353">
        <f>ROUND(G800*I800,0)</f>
        <v>0</v>
      </c>
      <c r="K800" s="1680"/>
      <c r="L800" s="1680"/>
      <c r="M800" s="633" t="s">
        <v>2299</v>
      </c>
      <c r="N800" s="223"/>
      <c r="O800" s="631">
        <f t="shared" si="149"/>
        <v>0</v>
      </c>
    </row>
    <row r="801" spans="1:15" s="360" customFormat="1" ht="15" hidden="1">
      <c r="A801" s="356" t="s">
        <v>2034</v>
      </c>
      <c r="B801" s="632" t="s">
        <v>2265</v>
      </c>
      <c r="C801" s="634"/>
      <c r="D801" s="354"/>
      <c r="E801" s="10"/>
      <c r="F801" s="353"/>
      <c r="G801" s="358">
        <f>'PART-A'!I4120</f>
        <v>0</v>
      </c>
      <c r="H801" s="354" t="s">
        <v>277</v>
      </c>
      <c r="I801" s="355">
        <f>'PART-A'!K4120</f>
        <v>69.83</v>
      </c>
      <c r="J801" s="353">
        <f>ROUND(G801*I801,0)</f>
        <v>0</v>
      </c>
      <c r="K801" s="1680"/>
      <c r="L801" s="1680"/>
      <c r="M801" s="633" t="s">
        <v>2312</v>
      </c>
      <c r="N801" s="223"/>
      <c r="O801" s="631">
        <f t="shared" si="149"/>
        <v>0</v>
      </c>
    </row>
    <row r="802" spans="1:15" s="360" customFormat="1" ht="15" hidden="1">
      <c r="A802" s="356" t="s">
        <v>524</v>
      </c>
      <c r="B802" s="632" t="s">
        <v>2265</v>
      </c>
      <c r="C802" s="634"/>
      <c r="D802" s="354"/>
      <c r="E802" s="10"/>
      <c r="F802" s="353"/>
      <c r="G802" s="358">
        <f>'PART-A'!I4341</f>
        <v>0</v>
      </c>
      <c r="H802" s="354" t="s">
        <v>277</v>
      </c>
      <c r="I802" s="355">
        <f>'PART-A'!K4341</f>
        <v>79.48</v>
      </c>
      <c r="J802" s="353">
        <f>ROUND(G802*I802,0)</f>
        <v>0</v>
      </c>
      <c r="K802" s="1681"/>
      <c r="L802" s="1681"/>
      <c r="M802" s="633" t="s">
        <v>2313</v>
      </c>
      <c r="N802" s="223"/>
      <c r="O802" s="631">
        <f t="shared" si="149"/>
        <v>0</v>
      </c>
    </row>
    <row r="803" spans="1:15" s="1157" customFormat="1" ht="38.25">
      <c r="A803" s="1146" t="s">
        <v>518</v>
      </c>
      <c r="B803" s="1147" t="s">
        <v>3630</v>
      </c>
      <c r="C803" s="916">
        <v>45</v>
      </c>
      <c r="D803" s="1148" t="s">
        <v>277</v>
      </c>
      <c r="E803" s="922">
        <v>85.6</v>
      </c>
      <c r="F803" s="1150">
        <f t="shared" ref="F803" si="153">ROUND(C803*E803,0)</f>
        <v>3852</v>
      </c>
      <c r="G803" s="1170">
        <f>'PART-A'!I3683</f>
        <v>0</v>
      </c>
      <c r="H803" s="1173" t="s">
        <v>277</v>
      </c>
      <c r="I803" s="1171">
        <f>'PART-A'!K3683</f>
        <v>64.873099999999994</v>
      </c>
      <c r="J803" s="1153">
        <f t="shared" si="145"/>
        <v>0</v>
      </c>
      <c r="K803" s="1679">
        <f>IF((J803+J804+J805+J806)&gt;(F803+F804+F805+F806),(J803+J804+J805+J806)-(F803+F804+F805+F806),0)</f>
        <v>0</v>
      </c>
      <c r="L803" s="1679">
        <f>IF((J803+J804+J805+J806)&lt;(F803+F804+F805+F806),(F803+F804+F805+F806)-(J803+J804+J805+J806),0)</f>
        <v>3852</v>
      </c>
      <c r="M803" s="1154" t="s">
        <v>2217</v>
      </c>
      <c r="N803" s="1155"/>
      <c r="O803" s="1156">
        <f t="shared" si="149"/>
        <v>3852</v>
      </c>
    </row>
    <row r="804" spans="1:15" s="360" customFormat="1" ht="15" hidden="1">
      <c r="A804" s="356" t="s">
        <v>2703</v>
      </c>
      <c r="B804" s="632" t="s">
        <v>559</v>
      </c>
      <c r="C804" s="634"/>
      <c r="D804" s="354"/>
      <c r="E804" s="10"/>
      <c r="F804" s="353"/>
      <c r="G804" s="358">
        <f>'PART-A'!I3905</f>
        <v>0</v>
      </c>
      <c r="H804" s="354" t="s">
        <v>277</v>
      </c>
      <c r="I804" s="355">
        <f>'PART-A'!K3905</f>
        <v>65.868499999999997</v>
      </c>
      <c r="J804" s="353">
        <f>ROUND(G804*I804,0)</f>
        <v>0</v>
      </c>
      <c r="K804" s="1680"/>
      <c r="L804" s="1680"/>
      <c r="M804" s="633" t="s">
        <v>2299</v>
      </c>
      <c r="N804" s="223"/>
      <c r="O804" s="631">
        <f t="shared" si="149"/>
        <v>0</v>
      </c>
    </row>
    <row r="805" spans="1:15" s="360" customFormat="1" ht="15" hidden="1">
      <c r="A805" s="356" t="s">
        <v>2034</v>
      </c>
      <c r="B805" s="632" t="s">
        <v>559</v>
      </c>
      <c r="C805" s="634"/>
      <c r="D805" s="354"/>
      <c r="E805" s="10"/>
      <c r="F805" s="353"/>
      <c r="G805" s="358">
        <f>'PART-A'!I4125</f>
        <v>0</v>
      </c>
      <c r="H805" s="354" t="s">
        <v>277</v>
      </c>
      <c r="I805" s="355">
        <f>'PART-A'!K4125</f>
        <v>74.22399999999999</v>
      </c>
      <c r="J805" s="353">
        <f>ROUND(G805*I805,0)</f>
        <v>0</v>
      </c>
      <c r="K805" s="1680"/>
      <c r="L805" s="1680"/>
      <c r="M805" s="633" t="s">
        <v>2312</v>
      </c>
      <c r="N805" s="223"/>
      <c r="O805" s="631">
        <f t="shared" si="149"/>
        <v>0</v>
      </c>
    </row>
    <row r="806" spans="1:15" s="360" customFormat="1" ht="63.75" hidden="1">
      <c r="A806" s="356" t="s">
        <v>1260</v>
      </c>
      <c r="B806" s="632" t="s">
        <v>429</v>
      </c>
      <c r="C806" s="634"/>
      <c r="D806" s="354"/>
      <c r="E806" s="10"/>
      <c r="F806" s="353"/>
      <c r="G806" s="358">
        <f>'PART-A'!I4347</f>
        <v>0</v>
      </c>
      <c r="H806" s="354" t="s">
        <v>277</v>
      </c>
      <c r="I806" s="355">
        <f>'PART-A'!K4347</f>
        <v>83.333500000000001</v>
      </c>
      <c r="J806" s="353">
        <f>ROUND(G806*I806,0)</f>
        <v>0</v>
      </c>
      <c r="K806" s="1681"/>
      <c r="L806" s="1681"/>
      <c r="M806" s="851" t="s">
        <v>2313</v>
      </c>
      <c r="N806" s="223"/>
      <c r="O806" s="850">
        <f t="shared" si="149"/>
        <v>0</v>
      </c>
    </row>
    <row r="807" spans="1:15" s="1157" customFormat="1" ht="38.25">
      <c r="A807" s="1146" t="s">
        <v>519</v>
      </c>
      <c r="B807" s="1147" t="s">
        <v>3631</v>
      </c>
      <c r="C807" s="916">
        <v>45</v>
      </c>
      <c r="D807" s="1148" t="s">
        <v>277</v>
      </c>
      <c r="E807" s="922">
        <v>113</v>
      </c>
      <c r="F807" s="1150">
        <f t="shared" ref="F807" si="154">ROUND(C807*E807,0)</f>
        <v>5085</v>
      </c>
      <c r="G807" s="1170">
        <f>'PART-A'!I3688</f>
        <v>0</v>
      </c>
      <c r="H807" s="1173" t="s">
        <v>277</v>
      </c>
      <c r="I807" s="1171">
        <f>'PART-A'!K3688</f>
        <v>98.56</v>
      </c>
      <c r="J807" s="1153">
        <f t="shared" si="145"/>
        <v>0</v>
      </c>
      <c r="K807" s="1679">
        <f>IF((J807+J808+J809+J810)&gt;(F807+F808+F809+F810),(J807+J808+J809+J810)-(F807+F808+F809+F810),0)</f>
        <v>0</v>
      </c>
      <c r="L807" s="1679">
        <f>IF((J807+J808+J809+J810)&lt;(F807+F808+F809+F810),(F807+F808+F809+F810)-(J807+J808+J809+J810),0)</f>
        <v>5085</v>
      </c>
      <c r="M807" s="1154" t="s">
        <v>2217</v>
      </c>
      <c r="N807" s="1155"/>
      <c r="O807" s="1156">
        <f t="shared" si="149"/>
        <v>5085</v>
      </c>
    </row>
    <row r="808" spans="1:15" s="360" customFormat="1" ht="15" hidden="1">
      <c r="A808" s="356" t="s">
        <v>2051</v>
      </c>
      <c r="B808" s="632" t="s">
        <v>560</v>
      </c>
      <c r="C808" s="634"/>
      <c r="D808" s="354"/>
      <c r="E808" s="10"/>
      <c r="F808" s="353"/>
      <c r="G808" s="358">
        <f>'PART-A'!I3910</f>
        <v>0</v>
      </c>
      <c r="H808" s="354" t="s">
        <v>277</v>
      </c>
      <c r="I808" s="355">
        <f>'PART-A'!K3910</f>
        <v>100.05</v>
      </c>
      <c r="J808" s="353">
        <f>ROUND(G808*I808,0)</f>
        <v>0</v>
      </c>
      <c r="K808" s="1680"/>
      <c r="L808" s="1680"/>
      <c r="M808" s="633" t="s">
        <v>2299</v>
      </c>
      <c r="N808" s="223"/>
      <c r="O808" s="631">
        <f t="shared" si="149"/>
        <v>0</v>
      </c>
    </row>
    <row r="809" spans="1:15" s="360" customFormat="1" ht="15" hidden="1">
      <c r="A809" s="356" t="s">
        <v>2034</v>
      </c>
      <c r="B809" s="632" t="s">
        <v>560</v>
      </c>
      <c r="C809" s="634"/>
      <c r="D809" s="354"/>
      <c r="E809" s="10"/>
      <c r="F809" s="353"/>
      <c r="G809" s="358">
        <f>'PART-A'!I4130</f>
        <v>0</v>
      </c>
      <c r="H809" s="354" t="s">
        <v>277</v>
      </c>
      <c r="I809" s="355">
        <f>'PART-A'!K4130</f>
        <v>112.78</v>
      </c>
      <c r="J809" s="353">
        <f>ROUND(G809*I809,0)</f>
        <v>0</v>
      </c>
      <c r="K809" s="1680"/>
      <c r="L809" s="1680"/>
      <c r="M809" s="633" t="s">
        <v>2312</v>
      </c>
      <c r="N809" s="223"/>
      <c r="O809" s="631">
        <f t="shared" si="149"/>
        <v>0</v>
      </c>
    </row>
    <row r="810" spans="1:15" s="360" customFormat="1" ht="15" hidden="1">
      <c r="A810" s="356" t="s">
        <v>2034</v>
      </c>
      <c r="B810" s="632" t="s">
        <v>560</v>
      </c>
      <c r="C810" s="634"/>
      <c r="D810" s="354"/>
      <c r="E810" s="10"/>
      <c r="F810" s="353"/>
      <c r="G810" s="358">
        <f>'PART-A'!I4352</f>
        <v>0</v>
      </c>
      <c r="H810" s="354" t="s">
        <v>277</v>
      </c>
      <c r="I810" s="355">
        <f>'PART-A'!K4352</f>
        <v>126.65</v>
      </c>
      <c r="J810" s="353">
        <f>ROUND(G810*I810,0)</f>
        <v>0</v>
      </c>
      <c r="K810" s="1681"/>
      <c r="L810" s="1681"/>
      <c r="M810" s="633" t="s">
        <v>2313</v>
      </c>
      <c r="N810" s="223"/>
      <c r="O810" s="631">
        <f t="shared" si="149"/>
        <v>0</v>
      </c>
    </row>
    <row r="811" spans="1:15" s="1157" customFormat="1" ht="51">
      <c r="A811" s="1146" t="s">
        <v>520</v>
      </c>
      <c r="B811" s="1147" t="s">
        <v>882</v>
      </c>
      <c r="C811" s="916">
        <v>30</v>
      </c>
      <c r="D811" s="1148" t="s">
        <v>277</v>
      </c>
      <c r="E811" s="922">
        <v>297.8</v>
      </c>
      <c r="F811" s="1150">
        <f t="shared" ref="F811" si="155">ROUND(C811*E811,0)</f>
        <v>8934</v>
      </c>
      <c r="G811" s="1170">
        <f>'PART-A'!I3693</f>
        <v>0</v>
      </c>
      <c r="H811" s="1173" t="s">
        <v>277</v>
      </c>
      <c r="I811" s="1171">
        <f>'PART-A'!K3693</f>
        <v>50.795000000000002</v>
      </c>
      <c r="J811" s="1153">
        <f t="shared" si="145"/>
        <v>0</v>
      </c>
      <c r="K811" s="1679">
        <f>IF((J811+J812+J813+J814)&gt;(F811+F812+F813+F814),(J811+J812+J813+J814)-(F811+F812+F813+F814),0)</f>
        <v>0</v>
      </c>
      <c r="L811" s="1679">
        <f>IF((J811+J812+J813+J814)&lt;(F811+F812+F813+F814),(F811+F812+F813+F814)-(J811+J812+J813+J814),0)</f>
        <v>8934</v>
      </c>
      <c r="M811" s="1154" t="s">
        <v>2217</v>
      </c>
      <c r="N811" s="1155"/>
      <c r="O811" s="1156">
        <f t="shared" si="149"/>
        <v>8934</v>
      </c>
    </row>
    <row r="812" spans="1:15" s="360" customFormat="1" ht="15" hidden="1">
      <c r="A812" s="356" t="s">
        <v>2704</v>
      </c>
      <c r="B812" s="632" t="s">
        <v>833</v>
      </c>
      <c r="C812" s="634"/>
      <c r="D812" s="354"/>
      <c r="E812" s="10"/>
      <c r="F812" s="353"/>
      <c r="G812" s="358">
        <f>'PART-A'!I3915</f>
        <v>0</v>
      </c>
      <c r="H812" s="354" t="s">
        <v>277</v>
      </c>
      <c r="I812" s="355">
        <f>'PART-A'!K3915</f>
        <v>54.465000000000003</v>
      </c>
      <c r="J812" s="353">
        <f>ROUND(G812*I812,0)</f>
        <v>0</v>
      </c>
      <c r="K812" s="1680"/>
      <c r="L812" s="1680"/>
      <c r="M812" s="633" t="s">
        <v>2299</v>
      </c>
      <c r="N812" s="223"/>
      <c r="O812" s="631">
        <f t="shared" si="149"/>
        <v>0</v>
      </c>
    </row>
    <row r="813" spans="1:15" s="360" customFormat="1" ht="15" hidden="1">
      <c r="A813" s="356" t="s">
        <v>2036</v>
      </c>
      <c r="B813" s="632" t="s">
        <v>833</v>
      </c>
      <c r="C813" s="634"/>
      <c r="D813" s="354"/>
      <c r="E813" s="10"/>
      <c r="F813" s="353"/>
      <c r="G813" s="358">
        <f>'PART-A'!I4135</f>
        <v>0</v>
      </c>
      <c r="H813" s="354" t="s">
        <v>277</v>
      </c>
      <c r="I813" s="355">
        <f>'PART-A'!K4135</f>
        <v>56.313999999999993</v>
      </c>
      <c r="J813" s="353">
        <f>ROUND(G813*I813,0)</f>
        <v>0</v>
      </c>
      <c r="K813" s="1680"/>
      <c r="L813" s="1680"/>
      <c r="M813" s="633" t="s">
        <v>2312</v>
      </c>
      <c r="N813" s="223"/>
      <c r="O813" s="631">
        <f t="shared" si="149"/>
        <v>0</v>
      </c>
    </row>
    <row r="814" spans="1:15" s="360" customFormat="1" ht="15" hidden="1">
      <c r="A814" s="356" t="s">
        <v>1585</v>
      </c>
      <c r="B814" s="632" t="s">
        <v>833</v>
      </c>
      <c r="C814" s="634"/>
      <c r="D814" s="354"/>
      <c r="E814" s="10"/>
      <c r="F814" s="353"/>
      <c r="G814" s="358">
        <f>'PART-A'!I4357</f>
        <v>0</v>
      </c>
      <c r="H814" s="354" t="s">
        <v>277</v>
      </c>
      <c r="I814" s="355">
        <f>'PART-A'!K4357</f>
        <v>64.563000000000002</v>
      </c>
      <c r="J814" s="353">
        <f>ROUND(G814*I814,0)</f>
        <v>0</v>
      </c>
      <c r="K814" s="1681"/>
      <c r="L814" s="1681"/>
      <c r="M814" s="633" t="s">
        <v>2313</v>
      </c>
      <c r="N814" s="223"/>
      <c r="O814" s="631">
        <f t="shared" si="149"/>
        <v>0</v>
      </c>
    </row>
    <row r="815" spans="1:15" s="360" customFormat="1" ht="15" hidden="1">
      <c r="A815" s="356" t="s">
        <v>2037</v>
      </c>
      <c r="B815" s="632" t="s">
        <v>437</v>
      </c>
      <c r="C815" s="611"/>
      <c r="D815" s="354"/>
      <c r="E815" s="607"/>
      <c r="F815" s="353"/>
      <c r="G815" s="358">
        <f>'PART-A'!I3698</f>
        <v>0</v>
      </c>
      <c r="H815" s="354" t="s">
        <v>115</v>
      </c>
      <c r="I815" s="355">
        <f>'PART-A'!K3698</f>
        <v>190</v>
      </c>
      <c r="J815" s="353">
        <f t="shared" si="145"/>
        <v>0</v>
      </c>
      <c r="K815" s="1679">
        <f>IF((J815+J816+J817+J818)&gt;(F815+F816+F817+F818),(J815+J816+J817+J818)-(F815+F816+F817+F818),0)</f>
        <v>0</v>
      </c>
      <c r="L815" s="1679">
        <f>IF((J815+J816+J817+J818)&lt;(F815+F816+F817+F818),(F815+F816+F817+F818)-(J815+J816+J817+J818),0)</f>
        <v>0</v>
      </c>
      <c r="M815" s="633" t="s">
        <v>2217</v>
      </c>
      <c r="N815" s="223"/>
      <c r="O815" s="631">
        <f t="shared" si="149"/>
        <v>0</v>
      </c>
    </row>
    <row r="816" spans="1:15" s="360" customFormat="1" ht="15" hidden="1">
      <c r="A816" s="356" t="s">
        <v>2188</v>
      </c>
      <c r="B816" s="632" t="s">
        <v>437</v>
      </c>
      <c r="C816" s="611"/>
      <c r="D816" s="354"/>
      <c r="E816" s="607"/>
      <c r="F816" s="353"/>
      <c r="G816" s="358">
        <f>'PART-A'!I3920</f>
        <v>0</v>
      </c>
      <c r="H816" s="354" t="s">
        <v>115</v>
      </c>
      <c r="I816" s="355">
        <f>'PART-A'!K3920</f>
        <v>190</v>
      </c>
      <c r="J816" s="353">
        <f>ROUND(G816*I816,0)</f>
        <v>0</v>
      </c>
      <c r="K816" s="1680"/>
      <c r="L816" s="1680"/>
      <c r="M816" s="633" t="s">
        <v>2299</v>
      </c>
      <c r="N816" s="223"/>
      <c r="O816" s="631">
        <f t="shared" si="149"/>
        <v>0</v>
      </c>
    </row>
    <row r="817" spans="1:15" s="360" customFormat="1" ht="15" hidden="1">
      <c r="A817" s="356" t="s">
        <v>2037</v>
      </c>
      <c r="B817" s="632" t="s">
        <v>437</v>
      </c>
      <c r="C817" s="611"/>
      <c r="D817" s="354"/>
      <c r="E817" s="607"/>
      <c r="F817" s="353"/>
      <c r="G817" s="358">
        <f>'PART-A'!I4140</f>
        <v>0</v>
      </c>
      <c r="H817" s="354" t="s">
        <v>115</v>
      </c>
      <c r="I817" s="355">
        <f>'PART-A'!K4140</f>
        <v>209</v>
      </c>
      <c r="J817" s="353">
        <f>ROUND(G817*I817,0)</f>
        <v>0</v>
      </c>
      <c r="K817" s="1680"/>
      <c r="L817" s="1680"/>
      <c r="M817" s="633" t="s">
        <v>2312</v>
      </c>
      <c r="N817" s="223"/>
      <c r="O817" s="631">
        <f t="shared" si="149"/>
        <v>0</v>
      </c>
    </row>
    <row r="818" spans="1:15" s="360" customFormat="1" ht="15" hidden="1">
      <c r="A818" s="356" t="s">
        <v>1578</v>
      </c>
      <c r="B818" s="632" t="s">
        <v>437</v>
      </c>
      <c r="C818" s="611"/>
      <c r="D818" s="354"/>
      <c r="E818" s="607"/>
      <c r="F818" s="353"/>
      <c r="G818" s="358">
        <f>'PART-A'!I4362</f>
        <v>0</v>
      </c>
      <c r="H818" s="354" t="s">
        <v>115</v>
      </c>
      <c r="I818" s="355">
        <f>'PART-A'!K4362</f>
        <v>209</v>
      </c>
      <c r="J818" s="353">
        <f>ROUND(G818*I818,0)</f>
        <v>0</v>
      </c>
      <c r="K818" s="1681"/>
      <c r="L818" s="1681"/>
      <c r="M818" s="851" t="s">
        <v>2313</v>
      </c>
      <c r="N818" s="223"/>
      <c r="O818" s="850">
        <f t="shared" si="149"/>
        <v>0</v>
      </c>
    </row>
    <row r="819" spans="1:15" s="360" customFormat="1" ht="15" hidden="1">
      <c r="A819" s="356" t="s">
        <v>2038</v>
      </c>
      <c r="B819" s="632" t="s">
        <v>615</v>
      </c>
      <c r="C819" s="611"/>
      <c r="D819" s="354"/>
      <c r="E819" s="607"/>
      <c r="F819" s="353"/>
      <c r="G819" s="358">
        <f>'PART-A'!I3703</f>
        <v>0</v>
      </c>
      <c r="H819" s="354" t="s">
        <v>115</v>
      </c>
      <c r="I819" s="355">
        <f>'PART-A'!K3703</f>
        <v>155</v>
      </c>
      <c r="J819" s="353">
        <f t="shared" si="145"/>
        <v>0</v>
      </c>
      <c r="K819" s="1679">
        <f>IF((J819+J820+J821+J822)&gt;(F819+F820+F821+F822),(J819+J820+J821+J822)-(F819+F820+F821+F822),0)</f>
        <v>0</v>
      </c>
      <c r="L819" s="1679">
        <f>IF((J819+J820+J821+J822)&lt;(F819+F820+F821+F822),(F819+F820+F821+F822)-(J819+J820+J821+J822),0)</f>
        <v>0</v>
      </c>
      <c r="M819" s="633" t="s">
        <v>2217</v>
      </c>
      <c r="N819" s="223"/>
      <c r="O819" s="631">
        <f t="shared" si="149"/>
        <v>0</v>
      </c>
    </row>
    <row r="820" spans="1:15" s="360" customFormat="1" ht="15" hidden="1">
      <c r="A820" s="356" t="s">
        <v>2705</v>
      </c>
      <c r="B820" s="632" t="s">
        <v>615</v>
      </c>
      <c r="C820" s="611"/>
      <c r="D820" s="354"/>
      <c r="E820" s="607"/>
      <c r="F820" s="353"/>
      <c r="G820" s="358">
        <f>'PART-A'!I3925</f>
        <v>0</v>
      </c>
      <c r="H820" s="354" t="s">
        <v>115</v>
      </c>
      <c r="I820" s="355">
        <f>'PART-A'!K3925</f>
        <v>155</v>
      </c>
      <c r="J820" s="353">
        <f>ROUND(G820*I820,0)</f>
        <v>0</v>
      </c>
      <c r="K820" s="1680"/>
      <c r="L820" s="1680"/>
      <c r="M820" s="633" t="s">
        <v>2299</v>
      </c>
      <c r="N820" s="223"/>
      <c r="O820" s="631">
        <f t="shared" si="149"/>
        <v>0</v>
      </c>
    </row>
    <row r="821" spans="1:15" s="360" customFormat="1" ht="15" hidden="1">
      <c r="A821" s="356" t="s">
        <v>2038</v>
      </c>
      <c r="B821" s="632" t="s">
        <v>615</v>
      </c>
      <c r="C821" s="611"/>
      <c r="D821" s="354"/>
      <c r="E821" s="607"/>
      <c r="F821" s="353"/>
      <c r="G821" s="358">
        <f>'PART-A'!I4145</f>
        <v>0</v>
      </c>
      <c r="H821" s="354" t="s">
        <v>115</v>
      </c>
      <c r="I821" s="355">
        <f>'PART-A'!K4145</f>
        <v>171</v>
      </c>
      <c r="J821" s="353">
        <f>ROUND(G821*I821,0)</f>
        <v>0</v>
      </c>
      <c r="K821" s="1680"/>
      <c r="L821" s="1680"/>
      <c r="M821" s="633" t="s">
        <v>2312</v>
      </c>
      <c r="N821" s="223"/>
      <c r="O821" s="631">
        <f t="shared" si="149"/>
        <v>0</v>
      </c>
    </row>
    <row r="822" spans="1:15" s="360" customFormat="1" ht="15" hidden="1">
      <c r="A822" s="356" t="s">
        <v>528</v>
      </c>
      <c r="B822" s="632" t="s">
        <v>615</v>
      </c>
      <c r="C822" s="611"/>
      <c r="D822" s="354"/>
      <c r="E822" s="607"/>
      <c r="F822" s="353"/>
      <c r="G822" s="358">
        <f>'PART-A'!I4367</f>
        <v>0</v>
      </c>
      <c r="H822" s="354" t="s">
        <v>115</v>
      </c>
      <c r="I822" s="355">
        <f>'PART-A'!K4367</f>
        <v>171</v>
      </c>
      <c r="J822" s="353">
        <f>ROUND(G822*I822,0)</f>
        <v>0</v>
      </c>
      <c r="K822" s="1681"/>
      <c r="L822" s="1681"/>
      <c r="M822" s="851" t="s">
        <v>2313</v>
      </c>
      <c r="N822" s="223"/>
      <c r="O822" s="850">
        <f t="shared" si="149"/>
        <v>0</v>
      </c>
    </row>
    <row r="823" spans="1:15" s="360" customFormat="1" ht="15" hidden="1">
      <c r="A823" s="356" t="s">
        <v>2078</v>
      </c>
      <c r="B823" s="632" t="s">
        <v>694</v>
      </c>
      <c r="C823" s="611"/>
      <c r="D823" s="354"/>
      <c r="E823" s="607"/>
      <c r="F823" s="353"/>
      <c r="G823" s="358">
        <f>'PART-A'!I3708</f>
        <v>0</v>
      </c>
      <c r="H823" s="354" t="s">
        <v>115</v>
      </c>
      <c r="I823" s="355">
        <f>'PART-A'!K3708</f>
        <v>120</v>
      </c>
      <c r="J823" s="353">
        <f t="shared" si="145"/>
        <v>0</v>
      </c>
      <c r="K823" s="1679">
        <f>IF((J823+J824+J825+J826)&gt;(F823+F824+F825+F826),(J823+J824+J825+J826)-(F823+F824+F825+F826),0)</f>
        <v>0</v>
      </c>
      <c r="L823" s="1679">
        <f>IF((J823+J824+J825+J826)&lt;(F823+F824+F825+F826),(F823+F824+F825+F826)-(J823+J824+J825+J826),0)</f>
        <v>0</v>
      </c>
      <c r="M823" s="633" t="s">
        <v>2217</v>
      </c>
      <c r="N823" s="223"/>
      <c r="O823" s="631">
        <f t="shared" si="149"/>
        <v>0</v>
      </c>
    </row>
    <row r="824" spans="1:15" s="360" customFormat="1" ht="15" hidden="1">
      <c r="A824" s="356" t="s">
        <v>2706</v>
      </c>
      <c r="B824" s="632" t="s">
        <v>694</v>
      </c>
      <c r="C824" s="611"/>
      <c r="D824" s="354"/>
      <c r="E824" s="607"/>
      <c r="F824" s="353"/>
      <c r="G824" s="358">
        <f>'PART-A'!I3930</f>
        <v>0</v>
      </c>
      <c r="H824" s="354" t="s">
        <v>115</v>
      </c>
      <c r="I824" s="355">
        <f>'PART-A'!K3930</f>
        <v>120</v>
      </c>
      <c r="J824" s="353">
        <f>ROUND(G824*I824,0)</f>
        <v>0</v>
      </c>
      <c r="K824" s="1680"/>
      <c r="L824" s="1680"/>
      <c r="M824" s="633" t="s">
        <v>2299</v>
      </c>
      <c r="N824" s="223"/>
      <c r="O824" s="631">
        <f t="shared" si="149"/>
        <v>0</v>
      </c>
    </row>
    <row r="825" spans="1:15" s="360" customFormat="1" ht="15" hidden="1">
      <c r="A825" s="356" t="s">
        <v>2078</v>
      </c>
      <c r="B825" s="632" t="s">
        <v>694</v>
      </c>
      <c r="C825" s="611"/>
      <c r="D825" s="354"/>
      <c r="E825" s="607"/>
      <c r="F825" s="353"/>
      <c r="G825" s="358">
        <f>'PART-A'!I4150</f>
        <v>0</v>
      </c>
      <c r="H825" s="354" t="s">
        <v>115</v>
      </c>
      <c r="I825" s="355">
        <f>'PART-A'!K4150</f>
        <v>132</v>
      </c>
      <c r="J825" s="353">
        <f>ROUND(G825*I825,0)</f>
        <v>0</v>
      </c>
      <c r="K825" s="1680"/>
      <c r="L825" s="1680"/>
      <c r="M825" s="633" t="s">
        <v>2312</v>
      </c>
      <c r="N825" s="223"/>
      <c r="O825" s="631">
        <f t="shared" si="149"/>
        <v>0</v>
      </c>
    </row>
    <row r="826" spans="1:15" s="360" customFormat="1" ht="15" hidden="1">
      <c r="A826" s="356" t="s">
        <v>2078</v>
      </c>
      <c r="B826" s="632" t="s">
        <v>694</v>
      </c>
      <c r="C826" s="611"/>
      <c r="D826" s="354"/>
      <c r="E826" s="607"/>
      <c r="F826" s="353"/>
      <c r="G826" s="358">
        <f>'PART-A'!I4372</f>
        <v>0</v>
      </c>
      <c r="H826" s="354" t="s">
        <v>115</v>
      </c>
      <c r="I826" s="355">
        <f>'PART-A'!K4372</f>
        <v>132</v>
      </c>
      <c r="J826" s="353">
        <f>ROUND(G826*I826,0)</f>
        <v>0</v>
      </c>
      <c r="K826" s="1681"/>
      <c r="L826" s="1681"/>
      <c r="M826" s="633" t="s">
        <v>2313</v>
      </c>
      <c r="N826" s="223"/>
      <c r="O826" s="631">
        <f t="shared" si="149"/>
        <v>0</v>
      </c>
    </row>
    <row r="827" spans="1:15" s="360" customFormat="1" ht="15" hidden="1">
      <c r="A827" s="356" t="s">
        <v>2039</v>
      </c>
      <c r="B827" s="632" t="s">
        <v>792</v>
      </c>
      <c r="C827" s="611"/>
      <c r="D827" s="354"/>
      <c r="E827" s="607"/>
      <c r="F827" s="353"/>
      <c r="G827" s="358">
        <f>'PART-A'!I3718</f>
        <v>0</v>
      </c>
      <c r="H827" s="354" t="s">
        <v>115</v>
      </c>
      <c r="I827" s="355">
        <f>'PART-A'!K3718</f>
        <v>80</v>
      </c>
      <c r="J827" s="353">
        <f t="shared" si="145"/>
        <v>0</v>
      </c>
      <c r="K827" s="1679">
        <f>IF((J827+J828+J829+J830)&gt;(F827+F828+F829+F830),(J827+J828+J829+J830)-(F827+F828+F829+F830),0)</f>
        <v>0</v>
      </c>
      <c r="L827" s="1679">
        <f>IF((J827+J828+J829+J830)&lt;(F827+F828+F829+F830),(F827+F828+F829+F830)-(J827+J828+J829+J830),0)</f>
        <v>0</v>
      </c>
      <c r="M827" s="633" t="s">
        <v>2217</v>
      </c>
      <c r="N827" s="223"/>
      <c r="O827" s="631">
        <f t="shared" si="149"/>
        <v>0</v>
      </c>
    </row>
    <row r="828" spans="1:15" s="360" customFormat="1" ht="15" hidden="1">
      <c r="A828" s="356" t="s">
        <v>2046</v>
      </c>
      <c r="B828" s="632" t="s">
        <v>792</v>
      </c>
      <c r="C828" s="611"/>
      <c r="D828" s="354"/>
      <c r="E828" s="607"/>
      <c r="F828" s="353"/>
      <c r="G828" s="358">
        <f>'PART-A'!I3940</f>
        <v>0</v>
      </c>
      <c r="H828" s="354" t="s">
        <v>115</v>
      </c>
      <c r="I828" s="355">
        <f>'PART-A'!K3940</f>
        <v>80</v>
      </c>
      <c r="J828" s="353">
        <f>ROUND(G828*I828,0)</f>
        <v>0</v>
      </c>
      <c r="K828" s="1680"/>
      <c r="L828" s="1680"/>
      <c r="M828" s="633" t="s">
        <v>2299</v>
      </c>
      <c r="N828" s="223"/>
      <c r="O828" s="631">
        <f t="shared" si="149"/>
        <v>0</v>
      </c>
    </row>
    <row r="829" spans="1:15" s="360" customFormat="1" ht="15" hidden="1">
      <c r="A829" s="356" t="s">
        <v>2039</v>
      </c>
      <c r="B829" s="632" t="s">
        <v>792</v>
      </c>
      <c r="C829" s="611"/>
      <c r="D829" s="354"/>
      <c r="E829" s="607"/>
      <c r="F829" s="353"/>
      <c r="G829" s="358">
        <f>'PART-A'!I4160</f>
        <v>0</v>
      </c>
      <c r="H829" s="354" t="s">
        <v>115</v>
      </c>
      <c r="I829" s="355">
        <f>'PART-A'!K4160</f>
        <v>88</v>
      </c>
      <c r="J829" s="353">
        <f>ROUND(G829*I829,0)</f>
        <v>0</v>
      </c>
      <c r="K829" s="1680"/>
      <c r="L829" s="1680"/>
      <c r="M829" s="633" t="s">
        <v>2312</v>
      </c>
      <c r="N829" s="223"/>
      <c r="O829" s="631">
        <f t="shared" si="149"/>
        <v>0</v>
      </c>
    </row>
    <row r="830" spans="1:15" s="360" customFormat="1" ht="15" hidden="1">
      <c r="A830" s="356" t="s">
        <v>2039</v>
      </c>
      <c r="B830" s="632" t="s">
        <v>792</v>
      </c>
      <c r="C830" s="611"/>
      <c r="D830" s="354"/>
      <c r="E830" s="607"/>
      <c r="F830" s="353"/>
      <c r="G830" s="358">
        <f>'PART-A'!I4382</f>
        <v>0</v>
      </c>
      <c r="H830" s="354" t="s">
        <v>115</v>
      </c>
      <c r="I830" s="355">
        <f>'PART-A'!K4382</f>
        <v>88</v>
      </c>
      <c r="J830" s="353">
        <f>ROUND(G830*I830,0)</f>
        <v>0</v>
      </c>
      <c r="K830" s="1681"/>
      <c r="L830" s="1681"/>
      <c r="M830" s="633" t="s">
        <v>2313</v>
      </c>
      <c r="N830" s="223"/>
      <c r="O830" s="631">
        <f t="shared" si="149"/>
        <v>0</v>
      </c>
    </row>
    <row r="831" spans="1:15" s="360" customFormat="1" ht="15" hidden="1">
      <c r="A831" s="356" t="s">
        <v>525</v>
      </c>
      <c r="B831" s="632" t="s">
        <v>617</v>
      </c>
      <c r="C831" s="611"/>
      <c r="D831" s="354"/>
      <c r="E831" s="607"/>
      <c r="F831" s="353"/>
      <c r="G831" s="358">
        <f>'PART-A'!I3713</f>
        <v>0</v>
      </c>
      <c r="H831" s="354" t="s">
        <v>115</v>
      </c>
      <c r="I831" s="355">
        <f>'PART-A'!K3713</f>
        <v>310</v>
      </c>
      <c r="J831" s="353">
        <f t="shared" si="145"/>
        <v>0</v>
      </c>
      <c r="K831" s="1679">
        <f>IF((J831+J832+J833+J834)&gt;(F831+F832+F833+F834),(J831+J832+J833+J834)-(F831+F832+F833+F834),0)</f>
        <v>0</v>
      </c>
      <c r="L831" s="1679">
        <f>IF((J831+J832+J833+J834)&lt;(F831+F832+F833+F834),(F831+F832+F833+F834)-(J831+J832+J833+J834),0)</f>
        <v>0</v>
      </c>
      <c r="M831" s="633" t="s">
        <v>2217</v>
      </c>
      <c r="N831" s="223"/>
      <c r="O831" s="631">
        <f t="shared" si="149"/>
        <v>0</v>
      </c>
    </row>
    <row r="832" spans="1:15" s="360" customFormat="1" ht="15" hidden="1">
      <c r="A832" s="356" t="s">
        <v>525</v>
      </c>
      <c r="B832" s="632" t="s">
        <v>617</v>
      </c>
      <c r="C832" s="611"/>
      <c r="D832" s="354"/>
      <c r="E832" s="607"/>
      <c r="F832" s="353"/>
      <c r="G832" s="358">
        <f>'PART-A'!I3935</f>
        <v>0</v>
      </c>
      <c r="H832" s="354" t="s">
        <v>115</v>
      </c>
      <c r="I832" s="355">
        <f>'PART-A'!K3935</f>
        <v>310</v>
      </c>
      <c r="J832" s="353">
        <f>ROUND(G832*I832,0)</f>
        <v>0</v>
      </c>
      <c r="K832" s="1680"/>
      <c r="L832" s="1680"/>
      <c r="M832" s="633" t="s">
        <v>2299</v>
      </c>
      <c r="N832" s="223"/>
      <c r="O832" s="631">
        <f t="shared" si="149"/>
        <v>0</v>
      </c>
    </row>
    <row r="833" spans="1:15" s="360" customFormat="1" ht="15" hidden="1">
      <c r="A833" s="356" t="s">
        <v>525</v>
      </c>
      <c r="B833" s="632" t="s">
        <v>617</v>
      </c>
      <c r="C833" s="611"/>
      <c r="D833" s="354"/>
      <c r="E833" s="607"/>
      <c r="F833" s="353"/>
      <c r="G833" s="358">
        <f>'PART-A'!I4155</f>
        <v>0</v>
      </c>
      <c r="H833" s="354" t="s">
        <v>115</v>
      </c>
      <c r="I833" s="355">
        <f>'PART-A'!K4155</f>
        <v>341</v>
      </c>
      <c r="J833" s="353">
        <f>ROUND(G833*I833,0)</f>
        <v>0</v>
      </c>
      <c r="K833" s="1680"/>
      <c r="L833" s="1680"/>
      <c r="M833" s="633" t="s">
        <v>2312</v>
      </c>
      <c r="N833" s="223"/>
      <c r="O833" s="631">
        <f t="shared" si="149"/>
        <v>0</v>
      </c>
    </row>
    <row r="834" spans="1:15" s="360" customFormat="1" ht="15" hidden="1">
      <c r="A834" s="356" t="s">
        <v>525</v>
      </c>
      <c r="B834" s="632" t="s">
        <v>617</v>
      </c>
      <c r="C834" s="611"/>
      <c r="D834" s="354"/>
      <c r="E834" s="607"/>
      <c r="F834" s="353"/>
      <c r="G834" s="358">
        <f>'PART-A'!I4377</f>
        <v>0</v>
      </c>
      <c r="H834" s="354" t="s">
        <v>115</v>
      </c>
      <c r="I834" s="355">
        <f>'PART-A'!K4377</f>
        <v>341</v>
      </c>
      <c r="J834" s="353">
        <f>ROUND(G834*I834,0)</f>
        <v>0</v>
      </c>
      <c r="K834" s="1681"/>
      <c r="L834" s="1681"/>
      <c r="M834" s="633" t="s">
        <v>2313</v>
      </c>
      <c r="N834" s="223"/>
      <c r="O834" s="631">
        <f t="shared" si="149"/>
        <v>0</v>
      </c>
    </row>
    <row r="835" spans="1:15" s="360" customFormat="1" ht="15" hidden="1">
      <c r="A835" s="356" t="s">
        <v>2039</v>
      </c>
      <c r="B835" s="632" t="s">
        <v>439</v>
      </c>
      <c r="C835" s="611"/>
      <c r="D835" s="354"/>
      <c r="E835" s="607"/>
      <c r="F835" s="353"/>
      <c r="G835" s="358">
        <f>'PART-A'!I3723</f>
        <v>0</v>
      </c>
      <c r="H835" s="354" t="s">
        <v>115</v>
      </c>
      <c r="I835" s="355">
        <f>'PART-A'!K3723</f>
        <v>60</v>
      </c>
      <c r="J835" s="353">
        <f t="shared" si="145"/>
        <v>0</v>
      </c>
      <c r="K835" s="1679">
        <f>IF((J835+J836+J837+J838)&gt;(F835+F836+F837+F838),(J835+J836+J837+J838)-(F835+F836+F837+F838),0)</f>
        <v>0</v>
      </c>
      <c r="L835" s="1679">
        <f>IF((J835+J836+J837+J838)&lt;(F835+F836+F837+F838),(F835+F836+F837+F838)-(J835+J836+J837+J838),0)</f>
        <v>0</v>
      </c>
      <c r="M835" s="633" t="s">
        <v>2217</v>
      </c>
      <c r="N835" s="223"/>
      <c r="O835" s="631">
        <f t="shared" si="149"/>
        <v>0</v>
      </c>
    </row>
    <row r="836" spans="1:15" s="360" customFormat="1" ht="15" hidden="1">
      <c r="A836" s="356" t="s">
        <v>2707</v>
      </c>
      <c r="B836" s="632" t="s">
        <v>439</v>
      </c>
      <c r="C836" s="611"/>
      <c r="D836" s="354"/>
      <c r="E836" s="607"/>
      <c r="F836" s="353"/>
      <c r="G836" s="358">
        <f>'PART-A'!I3945</f>
        <v>0</v>
      </c>
      <c r="H836" s="354" t="s">
        <v>115</v>
      </c>
      <c r="I836" s="355">
        <f>'PART-A'!K3945</f>
        <v>60</v>
      </c>
      <c r="J836" s="353">
        <f>ROUND(G836*I836,0)</f>
        <v>0</v>
      </c>
      <c r="K836" s="1680"/>
      <c r="L836" s="1680"/>
      <c r="M836" s="633" t="s">
        <v>2299</v>
      </c>
      <c r="N836" s="223"/>
      <c r="O836" s="631">
        <f t="shared" si="149"/>
        <v>0</v>
      </c>
    </row>
    <row r="837" spans="1:15" s="360" customFormat="1" ht="15" hidden="1">
      <c r="A837" s="356" t="s">
        <v>2039</v>
      </c>
      <c r="B837" s="632" t="s">
        <v>439</v>
      </c>
      <c r="C837" s="611"/>
      <c r="D837" s="354"/>
      <c r="E837" s="607"/>
      <c r="F837" s="353"/>
      <c r="G837" s="358">
        <f>'PART-A'!I4165</f>
        <v>0</v>
      </c>
      <c r="H837" s="354" t="s">
        <v>115</v>
      </c>
      <c r="I837" s="355">
        <f>'PART-A'!K4165</f>
        <v>66</v>
      </c>
      <c r="J837" s="353">
        <f>ROUND(G837*I837,0)</f>
        <v>0</v>
      </c>
      <c r="K837" s="1680"/>
      <c r="L837" s="1680"/>
      <c r="M837" s="633" t="s">
        <v>2312</v>
      </c>
      <c r="N837" s="223"/>
      <c r="O837" s="631">
        <f t="shared" si="149"/>
        <v>0</v>
      </c>
    </row>
    <row r="838" spans="1:15" s="360" customFormat="1" ht="15" hidden="1">
      <c r="A838" s="356" t="s">
        <v>2039</v>
      </c>
      <c r="B838" s="632" t="s">
        <v>439</v>
      </c>
      <c r="C838" s="611"/>
      <c r="D838" s="354"/>
      <c r="E838" s="607"/>
      <c r="F838" s="353"/>
      <c r="G838" s="358">
        <f>'PART-A'!I4387</f>
        <v>0</v>
      </c>
      <c r="H838" s="354" t="s">
        <v>115</v>
      </c>
      <c r="I838" s="355">
        <f>'PART-A'!K4387</f>
        <v>66</v>
      </c>
      <c r="J838" s="353">
        <f>ROUND(G838*I838,0)</f>
        <v>0</v>
      </c>
      <c r="K838" s="1681"/>
      <c r="L838" s="1681"/>
      <c r="M838" s="633" t="s">
        <v>2313</v>
      </c>
      <c r="N838" s="223"/>
      <c r="O838" s="631">
        <f t="shared" si="149"/>
        <v>0</v>
      </c>
    </row>
    <row r="839" spans="1:15" s="1157" customFormat="1" ht="25.5">
      <c r="A839" s="1146" t="s">
        <v>521</v>
      </c>
      <c r="B839" s="1147" t="s">
        <v>3242</v>
      </c>
      <c r="C839" s="916">
        <v>10</v>
      </c>
      <c r="D839" s="1148" t="s">
        <v>115</v>
      </c>
      <c r="E839" s="922">
        <v>431</v>
      </c>
      <c r="F839" s="1150">
        <f t="shared" ref="F839" si="156">ROUND(C839*E839,0)</f>
        <v>4310</v>
      </c>
      <c r="G839" s="1170">
        <f>'PART-A'!I3734</f>
        <v>0</v>
      </c>
      <c r="H839" s="1173" t="s">
        <v>115</v>
      </c>
      <c r="I839" s="1171">
        <f>'PART-A'!K3734</f>
        <v>105.53100000000001</v>
      </c>
      <c r="J839" s="1153">
        <f t="shared" si="145"/>
        <v>0</v>
      </c>
      <c r="K839" s="1679">
        <f>IF((J839+J840+J841+J842)&gt;(F839+F840+F841+F842),(J839+J840+J841+J842)-(F839+F840+F841+F842),0)</f>
        <v>0</v>
      </c>
      <c r="L839" s="1679">
        <f>IF((J839+J840+J841+J842)&lt;(F839+F840+F841+F842),(F839+F840+F841+F842)-(J839+J840+J841+J842),0)</f>
        <v>4310</v>
      </c>
      <c r="M839" s="1154" t="s">
        <v>2217</v>
      </c>
      <c r="N839" s="1155"/>
      <c r="O839" s="1156">
        <f t="shared" si="149"/>
        <v>4310</v>
      </c>
    </row>
    <row r="840" spans="1:15" s="360" customFormat="1" ht="15" hidden="1">
      <c r="A840" s="356" t="s">
        <v>2708</v>
      </c>
      <c r="B840" s="632" t="s">
        <v>561</v>
      </c>
      <c r="C840" s="634"/>
      <c r="D840" s="354"/>
      <c r="E840" s="10"/>
      <c r="F840" s="353"/>
      <c r="G840" s="358">
        <f>'PART-A'!I3955</f>
        <v>0</v>
      </c>
      <c r="H840" s="354" t="s">
        <v>115</v>
      </c>
      <c r="I840" s="355">
        <f>'PART-A'!K3955</f>
        <v>109.685</v>
      </c>
      <c r="J840" s="353">
        <f>ROUND(G840*I840,0)</f>
        <v>0</v>
      </c>
      <c r="K840" s="1680"/>
      <c r="L840" s="1680"/>
      <c r="M840" s="633" t="s">
        <v>2299</v>
      </c>
      <c r="N840" s="223"/>
      <c r="O840" s="631">
        <f t="shared" si="149"/>
        <v>0</v>
      </c>
    </row>
    <row r="841" spans="1:15" s="360" customFormat="1" ht="15" hidden="1">
      <c r="A841" s="356" t="s">
        <v>2040</v>
      </c>
      <c r="B841" s="632" t="s">
        <v>561</v>
      </c>
      <c r="C841" s="634"/>
      <c r="D841" s="354"/>
      <c r="E841" s="10"/>
      <c r="F841" s="353"/>
      <c r="G841" s="358">
        <f>'PART-A'!I4176</f>
        <v>0</v>
      </c>
      <c r="H841" s="354" t="s">
        <v>115</v>
      </c>
      <c r="I841" s="355">
        <f>'PART-A'!K4176</f>
        <v>118.04</v>
      </c>
      <c r="J841" s="353">
        <f>ROUND(G841*I841,0)</f>
        <v>0</v>
      </c>
      <c r="K841" s="1680"/>
      <c r="L841" s="1680"/>
      <c r="M841" s="633" t="s">
        <v>2312</v>
      </c>
      <c r="N841" s="223"/>
      <c r="O841" s="631">
        <f t="shared" si="149"/>
        <v>0</v>
      </c>
    </row>
    <row r="842" spans="1:15" s="360" customFormat="1" ht="25.5" hidden="1">
      <c r="A842" s="356" t="s">
        <v>529</v>
      </c>
      <c r="B842" s="632" t="s">
        <v>3242</v>
      </c>
      <c r="C842" s="634"/>
      <c r="D842" s="354"/>
      <c r="E842" s="10"/>
      <c r="F842" s="353"/>
      <c r="G842" s="358">
        <f>'PART-A'!I4397</f>
        <v>0</v>
      </c>
      <c r="H842" s="354" t="s">
        <v>115</v>
      </c>
      <c r="I842" s="355">
        <f>'PART-A'!K4397</f>
        <v>125.73500000000001</v>
      </c>
      <c r="J842" s="353">
        <f>ROUND(G842*I842,0)</f>
        <v>0</v>
      </c>
      <c r="K842" s="1681"/>
      <c r="L842" s="1681"/>
      <c r="M842" s="851" t="s">
        <v>2313</v>
      </c>
      <c r="N842" s="223"/>
      <c r="O842" s="850">
        <f t="shared" si="149"/>
        <v>0</v>
      </c>
    </row>
    <row r="843" spans="1:15" s="360" customFormat="1" ht="15" hidden="1">
      <c r="A843" s="356" t="s">
        <v>2041</v>
      </c>
      <c r="B843" s="632" t="s">
        <v>1257</v>
      </c>
      <c r="C843" s="659"/>
      <c r="D843" s="354"/>
      <c r="E843" s="10"/>
      <c r="F843" s="353"/>
      <c r="G843" s="358">
        <f>'PART-A'!I3728</f>
        <v>0</v>
      </c>
      <c r="H843" s="354" t="s">
        <v>115</v>
      </c>
      <c r="I843" s="355">
        <f>'PART-A'!K3728</f>
        <v>344.3</v>
      </c>
      <c r="J843" s="353">
        <f t="shared" si="145"/>
        <v>0</v>
      </c>
      <c r="K843" s="1679">
        <f>IF((J843+J844+J845+J846)&gt;(F843+F844+F845+F846),(J843+J844+J845+J846)-(F843+F844+F845+F846),0)</f>
        <v>0</v>
      </c>
      <c r="L843" s="1679">
        <f>IF((J843+J844+J845+J846)&lt;(F843+F844+F845+F846),(F843+F844+F845+F846)-(J843+J844+J845+J846),0)</f>
        <v>0</v>
      </c>
      <c r="M843" s="633" t="s">
        <v>2217</v>
      </c>
      <c r="N843" s="223"/>
      <c r="O843" s="631">
        <f t="shared" si="149"/>
        <v>0</v>
      </c>
    </row>
    <row r="844" spans="1:15" s="360" customFormat="1" ht="15" hidden="1">
      <c r="A844" s="356" t="s">
        <v>2709</v>
      </c>
      <c r="B844" s="632" t="s">
        <v>1257</v>
      </c>
      <c r="C844" s="659"/>
      <c r="D844" s="354"/>
      <c r="E844" s="10"/>
      <c r="F844" s="353"/>
      <c r="G844" s="358">
        <f>'PART-A'!I3950</f>
        <v>0</v>
      </c>
      <c r="H844" s="354" t="s">
        <v>115</v>
      </c>
      <c r="I844" s="355">
        <f>'PART-A'!K3950</f>
        <v>375.5</v>
      </c>
      <c r="J844" s="353">
        <f>ROUND(G844*I844,0)</f>
        <v>0</v>
      </c>
      <c r="K844" s="1680"/>
      <c r="L844" s="1680"/>
      <c r="M844" s="633" t="s">
        <v>2299</v>
      </c>
      <c r="N844" s="223"/>
      <c r="O844" s="631">
        <f t="shared" si="149"/>
        <v>0</v>
      </c>
    </row>
    <row r="845" spans="1:15" s="360" customFormat="1" ht="15" hidden="1">
      <c r="A845" s="356" t="s">
        <v>2041</v>
      </c>
      <c r="B845" s="632" t="s">
        <v>1257</v>
      </c>
      <c r="C845" s="659"/>
      <c r="D845" s="354"/>
      <c r="E845" s="10"/>
      <c r="F845" s="353"/>
      <c r="G845" s="358">
        <f>'PART-A'!I4170</f>
        <v>0</v>
      </c>
      <c r="H845" s="354" t="s">
        <v>115</v>
      </c>
      <c r="I845" s="355">
        <f>'PART-A'!K4170</f>
        <v>410</v>
      </c>
      <c r="J845" s="353">
        <f>ROUND(G845*I845,0)</f>
        <v>0</v>
      </c>
      <c r="K845" s="1680"/>
      <c r="L845" s="1680"/>
      <c r="M845" s="633" t="s">
        <v>2312</v>
      </c>
      <c r="N845" s="223"/>
      <c r="O845" s="631">
        <f t="shared" si="149"/>
        <v>0</v>
      </c>
    </row>
    <row r="846" spans="1:15" s="360" customFormat="1" ht="15" hidden="1">
      <c r="A846" s="356" t="s">
        <v>2041</v>
      </c>
      <c r="B846" s="632" t="s">
        <v>1257</v>
      </c>
      <c r="C846" s="659"/>
      <c r="D846" s="354"/>
      <c r="E846" s="10"/>
      <c r="F846" s="353"/>
      <c r="G846" s="358">
        <f>'PART-A'!I4392</f>
        <v>0</v>
      </c>
      <c r="H846" s="354" t="s">
        <v>115</v>
      </c>
      <c r="I846" s="355">
        <f>'PART-A'!K4392</f>
        <v>422.5</v>
      </c>
      <c r="J846" s="353">
        <f>ROUND(G846*I846,0)</f>
        <v>0</v>
      </c>
      <c r="K846" s="1681"/>
      <c r="L846" s="1681"/>
      <c r="M846" s="633" t="s">
        <v>2313</v>
      </c>
      <c r="N846" s="223"/>
      <c r="O846" s="631">
        <f t="shared" si="149"/>
        <v>0</v>
      </c>
    </row>
    <row r="847" spans="1:15" s="360" customFormat="1" ht="15" hidden="1">
      <c r="A847" s="356" t="s">
        <v>646</v>
      </c>
      <c r="B847" s="632" t="s">
        <v>641</v>
      </c>
      <c r="C847" s="611"/>
      <c r="D847" s="354"/>
      <c r="E847" s="607"/>
      <c r="F847" s="353"/>
      <c r="G847" s="358">
        <f>'PART-A'!I3739</f>
        <v>0</v>
      </c>
      <c r="H847" s="354" t="s">
        <v>115</v>
      </c>
      <c r="I847" s="355">
        <f>'PART-A'!K3739</f>
        <v>99.531000000000006</v>
      </c>
      <c r="J847" s="353">
        <f t="shared" si="145"/>
        <v>0</v>
      </c>
      <c r="K847" s="1679">
        <f>IF((J847+J848+J849+J850)&gt;(F847+F848+F849+F850),(J847+J848+J849+J850)-(F847+F848+F849+F850),0)</f>
        <v>0</v>
      </c>
      <c r="L847" s="1679">
        <f>IF((J847+J848+J849+J850)&lt;(F847+F848+F849+F850),(F847+F848+F849+F850)-(J847+J848+J849+J850),0)</f>
        <v>0</v>
      </c>
      <c r="M847" s="633" t="s">
        <v>2217</v>
      </c>
      <c r="N847" s="223"/>
      <c r="O847" s="631">
        <f t="shared" si="149"/>
        <v>0</v>
      </c>
    </row>
    <row r="848" spans="1:15" s="360" customFormat="1" ht="15" hidden="1">
      <c r="A848" s="356" t="s">
        <v>646</v>
      </c>
      <c r="B848" s="632" t="s">
        <v>641</v>
      </c>
      <c r="C848" s="611"/>
      <c r="D848" s="354"/>
      <c r="E848" s="607"/>
      <c r="F848" s="353"/>
      <c r="G848" s="358">
        <f>'PART-A'!I3960</f>
        <v>0</v>
      </c>
      <c r="H848" s="354" t="s">
        <v>115</v>
      </c>
      <c r="I848" s="355">
        <f>'PART-A'!K3960</f>
        <v>103.685</v>
      </c>
      <c r="J848" s="353">
        <f>ROUND(G848*I848,0)</f>
        <v>0</v>
      </c>
      <c r="K848" s="1680"/>
      <c r="L848" s="1680"/>
      <c r="M848" s="633" t="s">
        <v>2299</v>
      </c>
      <c r="N848" s="223"/>
      <c r="O848" s="631">
        <f t="shared" si="149"/>
        <v>0</v>
      </c>
    </row>
    <row r="849" spans="1:15" s="360" customFormat="1" ht="15" hidden="1">
      <c r="A849" s="356" t="s">
        <v>646</v>
      </c>
      <c r="B849" s="632" t="s">
        <v>641</v>
      </c>
      <c r="C849" s="611"/>
      <c r="D849" s="354"/>
      <c r="E849" s="607"/>
      <c r="F849" s="353"/>
      <c r="G849" s="358">
        <f>'PART-A'!I4181</f>
        <v>0</v>
      </c>
      <c r="H849" s="354" t="s">
        <v>115</v>
      </c>
      <c r="I849" s="355">
        <f>'PART-A'!K4181</f>
        <v>112.04</v>
      </c>
      <c r="J849" s="353">
        <f>ROUND(G849*I849,0)</f>
        <v>0</v>
      </c>
      <c r="K849" s="1680"/>
      <c r="L849" s="1680"/>
      <c r="M849" s="633" t="s">
        <v>2312</v>
      </c>
      <c r="N849" s="223"/>
      <c r="O849" s="631">
        <f t="shared" si="149"/>
        <v>0</v>
      </c>
    </row>
    <row r="850" spans="1:15" s="360" customFormat="1" ht="15" hidden="1">
      <c r="A850" s="356" t="s">
        <v>646</v>
      </c>
      <c r="B850" s="632" t="s">
        <v>641</v>
      </c>
      <c r="C850" s="611"/>
      <c r="D850" s="354"/>
      <c r="E850" s="607"/>
      <c r="F850" s="353"/>
      <c r="G850" s="358">
        <f>'PART-A'!I4402</f>
        <v>0</v>
      </c>
      <c r="H850" s="354" t="s">
        <v>115</v>
      </c>
      <c r="I850" s="355">
        <f>'PART-A'!K4402</f>
        <v>119.73500000000001</v>
      </c>
      <c r="J850" s="353">
        <f>ROUND(G850*I850,0)</f>
        <v>0</v>
      </c>
      <c r="K850" s="1681"/>
      <c r="L850" s="1681"/>
      <c r="M850" s="633" t="s">
        <v>2313</v>
      </c>
      <c r="N850" s="223"/>
      <c r="O850" s="631">
        <f t="shared" si="149"/>
        <v>0</v>
      </c>
    </row>
    <row r="851" spans="1:15" s="360" customFormat="1" ht="15" hidden="1">
      <c r="A851" s="356" t="s">
        <v>2042</v>
      </c>
      <c r="B851" s="632" t="s">
        <v>624</v>
      </c>
      <c r="C851" s="611"/>
      <c r="D851" s="354"/>
      <c r="E851" s="607"/>
      <c r="F851" s="353"/>
      <c r="G851" s="358">
        <f>'PART-A'!I3744</f>
        <v>0</v>
      </c>
      <c r="H851" s="354" t="s">
        <v>115</v>
      </c>
      <c r="I851" s="355">
        <f>'PART-A'!K3744</f>
        <v>18</v>
      </c>
      <c r="J851" s="353">
        <f t="shared" si="145"/>
        <v>0</v>
      </c>
      <c r="K851" s="1679">
        <f>IF((J851+J852+J853+J854)&gt;(F851+F852+F853+F854),(J851+J852+J853+J854)-(F851+F852+F853+F854),0)</f>
        <v>0</v>
      </c>
      <c r="L851" s="1679">
        <f>IF((J851+J852+J853+J854)&lt;(F851+F852+F853+F854),(F851+F852+F853+F854)-(J851+J852+J853+J854),0)</f>
        <v>0</v>
      </c>
      <c r="M851" s="633" t="s">
        <v>2217</v>
      </c>
      <c r="N851" s="223"/>
      <c r="O851" s="631">
        <f t="shared" ref="O851:O915" si="157">F851-J851</f>
        <v>0</v>
      </c>
    </row>
    <row r="852" spans="1:15" s="360" customFormat="1" ht="15" hidden="1">
      <c r="A852" s="356" t="s">
        <v>2710</v>
      </c>
      <c r="B852" s="632" t="s">
        <v>624</v>
      </c>
      <c r="C852" s="611"/>
      <c r="D852" s="354"/>
      <c r="E852" s="607"/>
      <c r="F852" s="353"/>
      <c r="G852" s="358">
        <f>'PART-A'!I3965</f>
        <v>0</v>
      </c>
      <c r="H852" s="354" t="s">
        <v>115</v>
      </c>
      <c r="I852" s="355">
        <f>'PART-A'!K3965</f>
        <v>18</v>
      </c>
      <c r="J852" s="353">
        <f t="shared" ref="J852" si="158">ROUND(G852*I852,0)</f>
        <v>0</v>
      </c>
      <c r="K852" s="1680"/>
      <c r="L852" s="1680"/>
      <c r="M852" s="633" t="s">
        <v>2299</v>
      </c>
      <c r="N852" s="223"/>
      <c r="O852" s="631">
        <f t="shared" si="157"/>
        <v>0</v>
      </c>
    </row>
    <row r="853" spans="1:15" s="360" customFormat="1" ht="15" hidden="1">
      <c r="A853" s="356" t="s">
        <v>2042</v>
      </c>
      <c r="B853" s="632" t="s">
        <v>624</v>
      </c>
      <c r="C853" s="611"/>
      <c r="D853" s="354"/>
      <c r="E853" s="607"/>
      <c r="F853" s="353"/>
      <c r="G853" s="358">
        <f>'PART-A'!I4186</f>
        <v>0</v>
      </c>
      <c r="H853" s="354" t="s">
        <v>115</v>
      </c>
      <c r="I853" s="355">
        <f>'PART-A'!K4186</f>
        <v>20</v>
      </c>
      <c r="J853" s="353">
        <f>ROUND(G853*I853,0)</f>
        <v>0</v>
      </c>
      <c r="K853" s="1680"/>
      <c r="L853" s="1680"/>
      <c r="M853" s="633" t="s">
        <v>2312</v>
      </c>
      <c r="N853" s="223"/>
      <c r="O853" s="631">
        <f t="shared" si="157"/>
        <v>0</v>
      </c>
    </row>
    <row r="854" spans="1:15" s="360" customFormat="1" ht="15" hidden="1">
      <c r="A854" s="356" t="s">
        <v>2042</v>
      </c>
      <c r="B854" s="632" t="s">
        <v>624</v>
      </c>
      <c r="C854" s="611"/>
      <c r="D854" s="354"/>
      <c r="E854" s="607"/>
      <c r="F854" s="353"/>
      <c r="G854" s="358">
        <f>'PART-A'!I4407</f>
        <v>0</v>
      </c>
      <c r="H854" s="354" t="s">
        <v>115</v>
      </c>
      <c r="I854" s="355">
        <f>'PART-A'!K4407</f>
        <v>21</v>
      </c>
      <c r="J854" s="353">
        <f>ROUND(G854*I854,0)</f>
        <v>0</v>
      </c>
      <c r="K854" s="1681"/>
      <c r="L854" s="1681"/>
      <c r="M854" s="633" t="s">
        <v>2313</v>
      </c>
      <c r="N854" s="223"/>
      <c r="O854" s="631">
        <f t="shared" si="157"/>
        <v>0</v>
      </c>
    </row>
    <row r="855" spans="1:15" s="1157" customFormat="1" ht="38.25">
      <c r="A855" s="1146" t="s">
        <v>522</v>
      </c>
      <c r="B855" s="1147" t="s">
        <v>1267</v>
      </c>
      <c r="C855" s="916">
        <v>5</v>
      </c>
      <c r="D855" s="1148" t="s">
        <v>115</v>
      </c>
      <c r="E855" s="922">
        <v>67</v>
      </c>
      <c r="F855" s="1150">
        <f t="shared" ref="F855" si="159">ROUND(C855*E855,0)</f>
        <v>335</v>
      </c>
      <c r="G855" s="1170">
        <f>'PART-A'!I3749</f>
        <v>0</v>
      </c>
      <c r="H855" s="1173" t="s">
        <v>115</v>
      </c>
      <c r="I855" s="1171">
        <f>'PART-A'!K3749</f>
        <v>177.65</v>
      </c>
      <c r="J855" s="1153">
        <f t="shared" si="145"/>
        <v>0</v>
      </c>
      <c r="K855" s="1679">
        <f>IF((J855+J856+J857+J858)&gt;(F855+F856+F857+F858),(J855+J856+J857+J858)-(F855+F856+F857+F858),0)</f>
        <v>0</v>
      </c>
      <c r="L855" s="1679">
        <f>IF((J855+J856+J857+J858)&lt;(F855+F856+F857+F858),(F855+F856+F857+F858)-(J855+J856+J857+J858),0)</f>
        <v>335</v>
      </c>
      <c r="M855" s="1154" t="s">
        <v>2217</v>
      </c>
      <c r="N855" s="1155"/>
      <c r="O855" s="1156">
        <f t="shared" si="157"/>
        <v>335</v>
      </c>
    </row>
    <row r="856" spans="1:15" s="360" customFormat="1" ht="15" hidden="1">
      <c r="A856" s="356" t="s">
        <v>2711</v>
      </c>
      <c r="B856" s="632" t="s">
        <v>562</v>
      </c>
      <c r="C856" s="634"/>
      <c r="D856" s="354"/>
      <c r="E856" s="10"/>
      <c r="F856" s="353"/>
      <c r="G856" s="358">
        <f>'PART-A'!I3970</f>
        <v>0</v>
      </c>
      <c r="H856" s="354" t="s">
        <v>115</v>
      </c>
      <c r="I856" s="355">
        <f>'PART-A'!K3970</f>
        <v>120.75</v>
      </c>
      <c r="J856" s="353">
        <f>ROUND(G856*I856,0)</f>
        <v>0</v>
      </c>
      <c r="K856" s="1680"/>
      <c r="L856" s="1680"/>
      <c r="M856" s="633" t="s">
        <v>2299</v>
      </c>
      <c r="N856" s="223"/>
      <c r="O856" s="631">
        <f t="shared" si="157"/>
        <v>0</v>
      </c>
    </row>
    <row r="857" spans="1:15" s="360" customFormat="1" ht="15" hidden="1">
      <c r="A857" s="356" t="s">
        <v>2043</v>
      </c>
      <c r="B857" s="632" t="s">
        <v>562</v>
      </c>
      <c r="C857" s="634"/>
      <c r="D857" s="354"/>
      <c r="E857" s="10"/>
      <c r="F857" s="353"/>
      <c r="G857" s="358">
        <f>'PART-A'!I4191</f>
        <v>0</v>
      </c>
      <c r="H857" s="354" t="s">
        <v>115</v>
      </c>
      <c r="I857" s="355">
        <f>'PART-A'!K4191</f>
        <v>122</v>
      </c>
      <c r="J857" s="353">
        <f>ROUND(G857*I857,0)</f>
        <v>0</v>
      </c>
      <c r="K857" s="1680"/>
      <c r="L857" s="1680"/>
      <c r="M857" s="633" t="s">
        <v>2312</v>
      </c>
      <c r="N857" s="223"/>
      <c r="O857" s="631">
        <f t="shared" si="157"/>
        <v>0</v>
      </c>
    </row>
    <row r="858" spans="1:15" s="360" customFormat="1" ht="38.25" hidden="1">
      <c r="A858" s="356" t="s">
        <v>531</v>
      </c>
      <c r="B858" s="632" t="s">
        <v>1267</v>
      </c>
      <c r="C858" s="634"/>
      <c r="D858" s="354"/>
      <c r="E858" s="10"/>
      <c r="F858" s="353"/>
      <c r="G858" s="358">
        <f>'PART-A'!I4412</f>
        <v>0</v>
      </c>
      <c r="H858" s="354" t="s">
        <v>115</v>
      </c>
      <c r="I858" s="355">
        <f>'PART-A'!K4412</f>
        <v>127.25</v>
      </c>
      <c r="J858" s="353">
        <f>ROUND(G858*I858,0)</f>
        <v>0</v>
      </c>
      <c r="K858" s="1681"/>
      <c r="L858" s="1681"/>
      <c r="M858" s="851" t="s">
        <v>2313</v>
      </c>
      <c r="N858" s="223"/>
      <c r="O858" s="850">
        <f t="shared" si="157"/>
        <v>0</v>
      </c>
    </row>
    <row r="859" spans="1:15" s="1157" customFormat="1" ht="38.25">
      <c r="A859" s="1146" t="s">
        <v>524</v>
      </c>
      <c r="B859" s="1147" t="s">
        <v>3243</v>
      </c>
      <c r="C859" s="916">
        <v>4</v>
      </c>
      <c r="D859" s="1148" t="s">
        <v>115</v>
      </c>
      <c r="E859" s="922">
        <v>2457</v>
      </c>
      <c r="F859" s="1150">
        <f t="shared" ref="F859" si="160">ROUND(C859*E859,0)</f>
        <v>9828</v>
      </c>
      <c r="G859" s="1170">
        <f>'PART-A'!I3754</f>
        <v>0</v>
      </c>
      <c r="H859" s="1173" t="s">
        <v>115</v>
      </c>
      <c r="I859" s="1171">
        <f>'PART-A'!K3754</f>
        <v>2636.625</v>
      </c>
      <c r="J859" s="1153">
        <f t="shared" si="145"/>
        <v>0</v>
      </c>
      <c r="K859" s="1679">
        <f t="shared" ref="K859" si="161">IF((J859+J860+J861+J862)&gt;(F859+F860+F861+F862),(J859+J860+J861+J862)-(F859+F860+F861+F862),0)</f>
        <v>0</v>
      </c>
      <c r="L859" s="1679">
        <f t="shared" ref="L859" si="162">IF((J859+J860+J861+J862)&lt;(F859+F860+F861+F862),(F859+F860+F861+F862)-(J859+F860+J861+J862),0)</f>
        <v>9828</v>
      </c>
      <c r="M859" s="1154" t="s">
        <v>2217</v>
      </c>
      <c r="N859" s="1155"/>
      <c r="O859" s="1156">
        <f t="shared" si="157"/>
        <v>9828</v>
      </c>
    </row>
    <row r="860" spans="1:15" s="360" customFormat="1" ht="15" hidden="1">
      <c r="A860" s="356" t="s">
        <v>2051</v>
      </c>
      <c r="B860" s="632" t="s">
        <v>563</v>
      </c>
      <c r="C860" s="659"/>
      <c r="D860" s="354"/>
      <c r="E860" s="10"/>
      <c r="F860" s="353"/>
      <c r="G860" s="358">
        <f>'PART-A'!I3976</f>
        <v>0</v>
      </c>
      <c r="H860" s="354" t="s">
        <v>115</v>
      </c>
      <c r="I860" s="355">
        <f>'PART-A'!K3976</f>
        <v>2644.375</v>
      </c>
      <c r="J860" s="353">
        <f>ROUND(G860*I860,0)</f>
        <v>0</v>
      </c>
      <c r="K860" s="1680"/>
      <c r="L860" s="1680"/>
      <c r="M860" s="633" t="s">
        <v>2299</v>
      </c>
      <c r="N860" s="223"/>
      <c r="O860" s="631">
        <f t="shared" si="157"/>
        <v>0</v>
      </c>
    </row>
    <row r="861" spans="1:15" s="360" customFormat="1" ht="15" hidden="1">
      <c r="A861" s="356" t="s">
        <v>2051</v>
      </c>
      <c r="B861" s="632" t="s">
        <v>563</v>
      </c>
      <c r="C861" s="659"/>
      <c r="D861" s="354"/>
      <c r="E861" s="10"/>
      <c r="F861" s="353"/>
      <c r="G861" s="358">
        <f>'PART-A'!I4196</f>
        <v>0</v>
      </c>
      <c r="H861" s="354" t="s">
        <v>115</v>
      </c>
      <c r="I861" s="355">
        <f>'PART-A'!K4196</f>
        <v>3020.3799999999997</v>
      </c>
      <c r="J861" s="353">
        <f>ROUND(G861*I861,0)</f>
        <v>0</v>
      </c>
      <c r="K861" s="1680"/>
      <c r="L861" s="1680"/>
      <c r="M861" s="633" t="s">
        <v>2312</v>
      </c>
      <c r="N861" s="223"/>
      <c r="O861" s="631">
        <f t="shared" si="157"/>
        <v>0</v>
      </c>
    </row>
    <row r="862" spans="1:15" s="360" customFormat="1" ht="38.25" hidden="1">
      <c r="A862" s="356" t="s">
        <v>2033</v>
      </c>
      <c r="B862" s="632" t="s">
        <v>3243</v>
      </c>
      <c r="C862" s="659"/>
      <c r="D862" s="354"/>
      <c r="E862" s="10"/>
      <c r="F862" s="353"/>
      <c r="G862" s="358">
        <f>'PART-A'!I4418</f>
        <v>0</v>
      </c>
      <c r="H862" s="354" t="s">
        <v>115</v>
      </c>
      <c r="I862" s="355">
        <f>'PART-A'!K4418</f>
        <v>3312.1849999999999</v>
      </c>
      <c r="J862" s="353">
        <f>ROUND(G862*I862,0)</f>
        <v>0</v>
      </c>
      <c r="K862" s="1681"/>
      <c r="L862" s="1681"/>
      <c r="M862" s="851" t="s">
        <v>2313</v>
      </c>
      <c r="N862" s="223"/>
      <c r="O862" s="850">
        <f t="shared" si="157"/>
        <v>0</v>
      </c>
    </row>
    <row r="863" spans="1:15" s="360" customFormat="1" ht="15" hidden="1">
      <c r="A863" s="356" t="s">
        <v>646</v>
      </c>
      <c r="B863" s="632" t="s">
        <v>563</v>
      </c>
      <c r="C863" s="821"/>
      <c r="D863" s="823"/>
      <c r="E863" s="822"/>
      <c r="F863" s="353"/>
      <c r="G863" s="358">
        <f>'PART-A'!I3764</f>
        <v>0</v>
      </c>
      <c r="H863" s="354" t="s">
        <v>115</v>
      </c>
      <c r="I863" s="355">
        <f>'PART-A'!K3764</f>
        <v>2323</v>
      </c>
      <c r="J863" s="353">
        <f t="shared" si="145"/>
        <v>0</v>
      </c>
      <c r="K863" s="1679">
        <f>IF((J863+J864+J865+J866)&gt;(F863+F864+F865+F866),(J863+J864+J865+J866)-(F863+F864+F865+F866),0)</f>
        <v>0</v>
      </c>
      <c r="L863" s="1679">
        <f>IF((J863+J864+J865+J866)&lt;(F863+F864+F865+F866),(F863+F864+F865+F866)-(J863+J864+J865+J866),0)</f>
        <v>0</v>
      </c>
      <c r="M863" s="633" t="s">
        <v>2217</v>
      </c>
      <c r="N863" s="223"/>
      <c r="O863" s="631">
        <f t="shared" si="157"/>
        <v>0</v>
      </c>
    </row>
    <row r="864" spans="1:15" s="360" customFormat="1" ht="15" hidden="1">
      <c r="A864" s="356" t="s">
        <v>2712</v>
      </c>
      <c r="B864" s="632" t="s">
        <v>563</v>
      </c>
      <c r="C864" s="634"/>
      <c r="D864" s="354"/>
      <c r="E864" s="10"/>
      <c r="F864" s="353"/>
      <c r="G864" s="358">
        <f>'PART-A'!I3986</f>
        <v>0</v>
      </c>
      <c r="H864" s="354" t="s">
        <v>115</v>
      </c>
      <c r="I864" s="355">
        <f>'PART-A'!K3986</f>
        <v>2323</v>
      </c>
      <c r="J864" s="353">
        <f>ROUND(G864*I864,0)</f>
        <v>0</v>
      </c>
      <c r="K864" s="1680"/>
      <c r="L864" s="1680"/>
      <c r="M864" s="633" t="s">
        <v>2299</v>
      </c>
      <c r="N864" s="223"/>
      <c r="O864" s="631">
        <f t="shared" si="157"/>
        <v>0</v>
      </c>
    </row>
    <row r="865" spans="1:15" s="360" customFormat="1" ht="15" hidden="1">
      <c r="A865" s="356" t="s">
        <v>2045</v>
      </c>
      <c r="B865" s="632" t="s">
        <v>563</v>
      </c>
      <c r="C865" s="634"/>
      <c r="D865" s="354"/>
      <c r="E865" s="10"/>
      <c r="F865" s="353"/>
      <c r="G865" s="358">
        <f>'PART-A'!I4206</f>
        <v>0</v>
      </c>
      <c r="H865" s="354" t="s">
        <v>115</v>
      </c>
      <c r="I865" s="355">
        <f>'PART-A'!K4206</f>
        <v>2671.45</v>
      </c>
      <c r="J865" s="353">
        <f>ROUND(G865*I865,0)</f>
        <v>0</v>
      </c>
      <c r="K865" s="1680"/>
      <c r="L865" s="1680"/>
      <c r="M865" s="633" t="s">
        <v>2312</v>
      </c>
      <c r="N865" s="223"/>
      <c r="O865" s="631">
        <f t="shared" si="157"/>
        <v>0</v>
      </c>
    </row>
    <row r="866" spans="1:15" s="360" customFormat="1" ht="15" hidden="1">
      <c r="A866" s="356" t="s">
        <v>2045</v>
      </c>
      <c r="B866" s="632" t="s">
        <v>563</v>
      </c>
      <c r="C866" s="634"/>
      <c r="D866" s="354"/>
      <c r="E866" s="10"/>
      <c r="F866" s="353"/>
      <c r="G866" s="358">
        <f>'PART-A'!I4435</f>
        <v>0</v>
      </c>
      <c r="H866" s="354" t="s">
        <v>115</v>
      </c>
      <c r="I866" s="355">
        <f>'PART-A'!K4435</f>
        <v>2941.12</v>
      </c>
      <c r="J866" s="353">
        <f>ROUND(G866*I866,0)</f>
        <v>0</v>
      </c>
      <c r="K866" s="1681"/>
      <c r="L866" s="1681"/>
      <c r="M866" s="633" t="s">
        <v>2313</v>
      </c>
      <c r="N866" s="223"/>
      <c r="O866" s="631">
        <f t="shared" si="157"/>
        <v>0</v>
      </c>
    </row>
    <row r="867" spans="1:15" s="1157" customFormat="1" ht="38.25">
      <c r="A867" s="1146" t="s">
        <v>525</v>
      </c>
      <c r="B867" s="1147" t="s">
        <v>947</v>
      </c>
      <c r="C867" s="916">
        <v>4</v>
      </c>
      <c r="D867" s="1148" t="s">
        <v>115</v>
      </c>
      <c r="E867" s="922">
        <v>497</v>
      </c>
      <c r="F867" s="1150">
        <f t="shared" ref="F867" si="163">ROUND(C867*E867,0)</f>
        <v>1988</v>
      </c>
      <c r="G867" s="1170">
        <f>'PART-A'!I3769</f>
        <v>0</v>
      </c>
      <c r="H867" s="1173" t="s">
        <v>115</v>
      </c>
      <c r="I867" s="1171">
        <f>'PART-A'!K3769</f>
        <v>237.5</v>
      </c>
      <c r="J867" s="1153">
        <f t="shared" si="145"/>
        <v>0</v>
      </c>
      <c r="K867" s="1679">
        <f>IF((J867+J868+J869+J870)&gt;(F867+F868+F869+F870),(J867+J868+J869+J870)-(F867+F868+F869+F870),0)</f>
        <v>0</v>
      </c>
      <c r="L867" s="1679">
        <f>IF((J867+J868+J869+J870)&lt;(F867+F868+F869+F870),(F867+F868+F869+F870)-(J867+J868+J869+J870),0)</f>
        <v>1988</v>
      </c>
      <c r="M867" s="1154" t="s">
        <v>2217</v>
      </c>
      <c r="N867" s="1155"/>
      <c r="O867" s="1156">
        <f t="shared" si="157"/>
        <v>1988</v>
      </c>
    </row>
    <row r="868" spans="1:15" s="360" customFormat="1" ht="15" hidden="1">
      <c r="A868" s="356" t="s">
        <v>2713</v>
      </c>
      <c r="B868" s="632" t="s">
        <v>831</v>
      </c>
      <c r="C868" s="634"/>
      <c r="D868" s="354"/>
      <c r="E868" s="10"/>
      <c r="F868" s="353"/>
      <c r="G868" s="358">
        <f>'PART-A'!I3991</f>
        <v>0</v>
      </c>
      <c r="H868" s="354" t="s">
        <v>115</v>
      </c>
      <c r="I868" s="355">
        <f>'PART-A'!K3991</f>
        <v>241</v>
      </c>
      <c r="J868" s="353">
        <f>ROUND(G868*I868,0)</f>
        <v>0</v>
      </c>
      <c r="K868" s="1680"/>
      <c r="L868" s="1680"/>
      <c r="M868" s="633" t="s">
        <v>2299</v>
      </c>
      <c r="N868" s="223"/>
      <c r="O868" s="631">
        <f t="shared" si="157"/>
        <v>0</v>
      </c>
    </row>
    <row r="869" spans="1:15" s="360" customFormat="1" ht="15" hidden="1">
      <c r="A869" s="356" t="s">
        <v>2046</v>
      </c>
      <c r="B869" s="632" t="s">
        <v>831</v>
      </c>
      <c r="C869" s="634"/>
      <c r="D869" s="354"/>
      <c r="E869" s="10"/>
      <c r="F869" s="353"/>
      <c r="G869" s="358">
        <f>'PART-A'!I4211</f>
        <v>0</v>
      </c>
      <c r="H869" s="354" t="s">
        <v>115</v>
      </c>
      <c r="I869" s="355">
        <f>'PART-A'!K4211</f>
        <v>263</v>
      </c>
      <c r="J869" s="353">
        <f>ROUND(G869*I869,0)</f>
        <v>0</v>
      </c>
      <c r="K869" s="1680"/>
      <c r="L869" s="1680"/>
      <c r="M869" s="633" t="s">
        <v>2312</v>
      </c>
      <c r="N869" s="223"/>
      <c r="O869" s="631">
        <f t="shared" si="157"/>
        <v>0</v>
      </c>
    </row>
    <row r="870" spans="1:15" s="360" customFormat="1" ht="15" hidden="1">
      <c r="A870" s="356" t="s">
        <v>2046</v>
      </c>
      <c r="B870" s="632" t="s">
        <v>831</v>
      </c>
      <c r="C870" s="634"/>
      <c r="D870" s="354"/>
      <c r="E870" s="10"/>
      <c r="F870" s="353"/>
      <c r="G870" s="358">
        <f>'PART-A'!I4447</f>
        <v>0</v>
      </c>
      <c r="H870" s="354" t="s">
        <v>115</v>
      </c>
      <c r="I870" s="355">
        <f>'PART-A'!K4447</f>
        <v>278</v>
      </c>
      <c r="J870" s="353">
        <f>ROUND(G870*I870,0)</f>
        <v>0</v>
      </c>
      <c r="K870" s="1681"/>
      <c r="L870" s="1681"/>
      <c r="M870" s="633" t="s">
        <v>2313</v>
      </c>
      <c r="N870" s="223"/>
      <c r="O870" s="631">
        <f t="shared" si="157"/>
        <v>0</v>
      </c>
    </row>
    <row r="871" spans="1:15" s="1157" customFormat="1" ht="38.25">
      <c r="A871" s="1146" t="s">
        <v>526</v>
      </c>
      <c r="B871" s="1147" t="s">
        <v>948</v>
      </c>
      <c r="C871" s="916">
        <v>4</v>
      </c>
      <c r="D871" s="1148" t="s">
        <v>115</v>
      </c>
      <c r="E871" s="922">
        <v>272.8</v>
      </c>
      <c r="F871" s="1150">
        <f t="shared" ref="F871" si="164">ROUND(C871*E871,0)</f>
        <v>1091</v>
      </c>
      <c r="G871" s="1170">
        <f>'PART-A'!I3774</f>
        <v>0</v>
      </c>
      <c r="H871" s="1173" t="s">
        <v>115</v>
      </c>
      <c r="I871" s="1171">
        <f>'PART-A'!K3774</f>
        <v>133.625</v>
      </c>
      <c r="J871" s="1153">
        <f t="shared" si="145"/>
        <v>0</v>
      </c>
      <c r="K871" s="1679">
        <f>IF((J871+J872+J873+J874)&gt;(F871+F872+F873+F874),(J871+J872+J873+J874)-(F871+F872+F873+F874),0)</f>
        <v>0</v>
      </c>
      <c r="L871" s="1679">
        <f>IF((J871+J872+J873+J874)&lt;(F871+F872+F873+F874),(F871+F872+F873+F874)-(J871+J872+J873+J874),0)</f>
        <v>1091</v>
      </c>
      <c r="M871" s="1154" t="s">
        <v>2217</v>
      </c>
      <c r="N871" s="1155"/>
      <c r="O871" s="1156">
        <f t="shared" si="157"/>
        <v>1091</v>
      </c>
    </row>
    <row r="872" spans="1:15" s="360" customFormat="1" ht="15" hidden="1">
      <c r="A872" s="356" t="s">
        <v>2053</v>
      </c>
      <c r="B872" s="632" t="s">
        <v>967</v>
      </c>
      <c r="C872" s="634"/>
      <c r="D872" s="354"/>
      <c r="E872" s="10"/>
      <c r="F872" s="353"/>
      <c r="G872" s="358">
        <f>'PART-A'!I3996</f>
        <v>0</v>
      </c>
      <c r="H872" s="354" t="s">
        <v>115</v>
      </c>
      <c r="I872" s="355">
        <f>'PART-A'!K3996</f>
        <v>141.375</v>
      </c>
      <c r="J872" s="353">
        <f>ROUND(G872*I872,0)</f>
        <v>0</v>
      </c>
      <c r="K872" s="1680"/>
      <c r="L872" s="1680"/>
      <c r="M872" s="633" t="s">
        <v>2299</v>
      </c>
      <c r="N872" s="223"/>
      <c r="O872" s="631">
        <f t="shared" si="157"/>
        <v>0</v>
      </c>
    </row>
    <row r="873" spans="1:15" s="360" customFormat="1" ht="15" hidden="1">
      <c r="A873" s="356" t="s">
        <v>2047</v>
      </c>
      <c r="B873" s="632" t="s">
        <v>967</v>
      </c>
      <c r="C873" s="634"/>
      <c r="D873" s="354"/>
      <c r="E873" s="10"/>
      <c r="F873" s="353"/>
      <c r="G873" s="358">
        <f>'PART-A'!I4216</f>
        <v>0</v>
      </c>
      <c r="H873" s="354" t="s">
        <v>115</v>
      </c>
      <c r="I873" s="355">
        <f>'PART-A'!K4216</f>
        <v>158.43</v>
      </c>
      <c r="J873" s="353">
        <f>ROUND(G873*I873,0)</f>
        <v>0</v>
      </c>
      <c r="K873" s="1680"/>
      <c r="L873" s="1680"/>
      <c r="M873" s="633" t="s">
        <v>2312</v>
      </c>
      <c r="N873" s="223"/>
      <c r="O873" s="631">
        <f t="shared" si="157"/>
        <v>0</v>
      </c>
    </row>
    <row r="874" spans="1:15" s="360" customFormat="1" ht="15" hidden="1">
      <c r="A874" s="356" t="s">
        <v>2047</v>
      </c>
      <c r="B874" s="632" t="s">
        <v>967</v>
      </c>
      <c r="C874" s="634"/>
      <c r="D874" s="354"/>
      <c r="E874" s="10"/>
      <c r="F874" s="353"/>
      <c r="G874" s="358">
        <f>'PART-A'!I4459</f>
        <v>0</v>
      </c>
      <c r="H874" s="354" t="s">
        <v>115</v>
      </c>
      <c r="I874" s="355">
        <f>'PART-A'!K4459</f>
        <v>163.065</v>
      </c>
      <c r="J874" s="353">
        <f>ROUND(G874*I874,0)</f>
        <v>0</v>
      </c>
      <c r="K874" s="1681"/>
      <c r="L874" s="1681"/>
      <c r="M874" s="633" t="s">
        <v>2313</v>
      </c>
      <c r="N874" s="223"/>
      <c r="O874" s="631">
        <f t="shared" si="157"/>
        <v>0</v>
      </c>
    </row>
    <row r="875" spans="1:15" s="1157" customFormat="1" ht="38.25">
      <c r="A875" s="1146" t="s">
        <v>527</v>
      </c>
      <c r="B875" s="1147" t="s">
        <v>950</v>
      </c>
      <c r="C875" s="916">
        <v>6</v>
      </c>
      <c r="D875" s="1148" t="s">
        <v>115</v>
      </c>
      <c r="E875" s="922">
        <v>132</v>
      </c>
      <c r="F875" s="1150">
        <f t="shared" ref="F875" si="165">ROUND(C875*E875,0)</f>
        <v>792</v>
      </c>
      <c r="G875" s="1170">
        <f>'PART-A'!I3781</f>
        <v>0</v>
      </c>
      <c r="H875" s="1173" t="s">
        <v>115</v>
      </c>
      <c r="I875" s="1171">
        <f>'PART-A'!K3781</f>
        <v>126.80000000000001</v>
      </c>
      <c r="J875" s="1153">
        <f t="shared" si="145"/>
        <v>0</v>
      </c>
      <c r="K875" s="1679">
        <f>IF((J875+J876+J877+J878)&gt;(F875+F876+F877+F878),(J875+J876+J877+J878)-(F875+F876+F877+F878),0)</f>
        <v>0</v>
      </c>
      <c r="L875" s="1679">
        <f>IF((J875+J876+J877+J878)&lt;(F875+F876+F877+F878),(F875+F876+F877+F878)-(J875+J876+J877+J878),0)</f>
        <v>792</v>
      </c>
      <c r="M875" s="1154" t="s">
        <v>2217</v>
      </c>
      <c r="N875" s="1155"/>
      <c r="O875" s="1156">
        <f t="shared" si="157"/>
        <v>792</v>
      </c>
    </row>
    <row r="876" spans="1:15" s="360" customFormat="1" ht="15" hidden="1">
      <c r="A876" s="356" t="s">
        <v>642</v>
      </c>
      <c r="B876" s="632" t="s">
        <v>832</v>
      </c>
      <c r="C876" s="634"/>
      <c r="D876" s="354"/>
      <c r="E876" s="10"/>
      <c r="F876" s="353"/>
      <c r="G876" s="358">
        <f>'PART-A'!I4003</f>
        <v>0</v>
      </c>
      <c r="H876" s="354" t="s">
        <v>115</v>
      </c>
      <c r="I876" s="355">
        <f>'PART-A'!K4003</f>
        <v>129.5</v>
      </c>
      <c r="J876" s="353">
        <f>ROUND(G876*I876,0)</f>
        <v>0</v>
      </c>
      <c r="K876" s="1680"/>
      <c r="L876" s="1680"/>
      <c r="M876" s="633" t="s">
        <v>2299</v>
      </c>
      <c r="N876" s="223"/>
      <c r="O876" s="631">
        <f t="shared" si="157"/>
        <v>0</v>
      </c>
    </row>
    <row r="877" spans="1:15" s="360" customFormat="1" ht="15" hidden="1">
      <c r="A877" s="356" t="s">
        <v>642</v>
      </c>
      <c r="B877" s="632" t="s">
        <v>832</v>
      </c>
      <c r="C877" s="634"/>
      <c r="D877" s="354"/>
      <c r="E877" s="10"/>
      <c r="F877" s="353"/>
      <c r="G877" s="358">
        <f>'PART-A'!I4223</f>
        <v>0</v>
      </c>
      <c r="H877" s="354" t="s">
        <v>115</v>
      </c>
      <c r="I877" s="355">
        <f>'PART-A'!K4223</f>
        <v>147</v>
      </c>
      <c r="J877" s="353">
        <f>ROUND(G877*I877,0)</f>
        <v>0</v>
      </c>
      <c r="K877" s="1680"/>
      <c r="L877" s="1680"/>
      <c r="M877" s="633" t="s">
        <v>2312</v>
      </c>
      <c r="N877" s="223"/>
      <c r="O877" s="631">
        <f t="shared" si="157"/>
        <v>0</v>
      </c>
    </row>
    <row r="878" spans="1:15" s="360" customFormat="1" ht="15" hidden="1">
      <c r="A878" s="356" t="s">
        <v>642</v>
      </c>
      <c r="B878" s="632" t="s">
        <v>832</v>
      </c>
      <c r="C878" s="634"/>
      <c r="D878" s="354"/>
      <c r="E878" s="10"/>
      <c r="F878" s="353"/>
      <c r="G878" s="358">
        <f>'PART-A'!I4466</f>
        <v>0</v>
      </c>
      <c r="H878" s="354" t="s">
        <v>115</v>
      </c>
      <c r="I878" s="355">
        <f>'PART-A'!K4466</f>
        <v>161.5</v>
      </c>
      <c r="J878" s="353">
        <f>ROUND(G878*I878,0)</f>
        <v>0</v>
      </c>
      <c r="K878" s="1681"/>
      <c r="L878" s="1681"/>
      <c r="M878" s="633" t="s">
        <v>2313</v>
      </c>
      <c r="N878" s="223"/>
      <c r="O878" s="631">
        <f t="shared" si="157"/>
        <v>0</v>
      </c>
    </row>
    <row r="879" spans="1:15" s="360" customFormat="1" ht="15" hidden="1">
      <c r="A879" s="356" t="s">
        <v>2048</v>
      </c>
      <c r="B879" s="632" t="s">
        <v>1573</v>
      </c>
      <c r="C879" s="659"/>
      <c r="D879" s="354"/>
      <c r="E879" s="10"/>
      <c r="F879" s="353"/>
      <c r="G879" s="358">
        <f>'PART-A'!I3759</f>
        <v>0</v>
      </c>
      <c r="H879" s="354" t="s">
        <v>115</v>
      </c>
      <c r="I879" s="355">
        <f>'PART-A'!K3759</f>
        <v>252.38800000000001</v>
      </c>
      <c r="J879" s="353">
        <f t="shared" si="145"/>
        <v>0</v>
      </c>
      <c r="K879" s="1679">
        <f>IF((J879+J880+J881+J882)&gt;(F879+F880+F881+F882),(J879+J880+J881+J882)-(F879+F880+F881+F882),0)</f>
        <v>0</v>
      </c>
      <c r="L879" s="1679">
        <f>IF((J879+J880+J881+J882)&lt;(F879+F880+F881+F882),(F879+F880+F881+F882)-(J879+J880+J881+J882),0)</f>
        <v>0</v>
      </c>
      <c r="M879" s="633" t="s">
        <v>2217</v>
      </c>
      <c r="N879" s="223"/>
      <c r="O879" s="631">
        <f t="shared" si="157"/>
        <v>0</v>
      </c>
    </row>
    <row r="880" spans="1:15" s="360" customFormat="1" ht="15" hidden="1">
      <c r="A880" s="356" t="s">
        <v>2714</v>
      </c>
      <c r="B880" s="632" t="s">
        <v>1573</v>
      </c>
      <c r="C880" s="659"/>
      <c r="D880" s="354"/>
      <c r="E880" s="10"/>
      <c r="F880" s="353"/>
      <c r="G880" s="358">
        <f>'PART-A'!I3981</f>
        <v>0</v>
      </c>
      <c r="H880" s="354" t="s">
        <v>115</v>
      </c>
      <c r="I880" s="355">
        <f>'PART-A'!K3981</f>
        <v>195.17000000000002</v>
      </c>
      <c r="J880" s="353">
        <f>ROUND(G880*I880,0)</f>
        <v>0</v>
      </c>
      <c r="K880" s="1680"/>
      <c r="L880" s="1680"/>
      <c r="M880" s="633" t="s">
        <v>2299</v>
      </c>
      <c r="N880" s="223"/>
      <c r="O880" s="631">
        <f t="shared" si="157"/>
        <v>0</v>
      </c>
    </row>
    <row r="881" spans="1:15" s="360" customFormat="1" ht="15" hidden="1">
      <c r="A881" s="356" t="s">
        <v>2048</v>
      </c>
      <c r="B881" s="632" t="s">
        <v>1573</v>
      </c>
      <c r="C881" s="659"/>
      <c r="D881" s="354"/>
      <c r="E881" s="10"/>
      <c r="F881" s="353"/>
      <c r="G881" s="358">
        <f>'PART-A'!I4201</f>
        <v>0</v>
      </c>
      <c r="H881" s="354" t="s">
        <v>115</v>
      </c>
      <c r="I881" s="355">
        <f>'PART-A'!K4201</f>
        <v>208.13000000000002</v>
      </c>
      <c r="J881" s="353">
        <f>ROUND(G881*I881,0)</f>
        <v>0</v>
      </c>
      <c r="K881" s="1680"/>
      <c r="L881" s="1680"/>
      <c r="M881" s="633" t="s">
        <v>2312</v>
      </c>
      <c r="N881" s="223"/>
      <c r="O881" s="631">
        <f t="shared" si="157"/>
        <v>0</v>
      </c>
    </row>
    <row r="882" spans="1:15" s="360" customFormat="1" ht="15" hidden="1">
      <c r="A882" s="356" t="s">
        <v>2048</v>
      </c>
      <c r="B882" s="632" t="s">
        <v>1573</v>
      </c>
      <c r="C882" s="659"/>
      <c r="D882" s="354"/>
      <c r="E882" s="10"/>
      <c r="F882" s="353"/>
      <c r="G882" s="358">
        <f>'PART-A'!I4423</f>
        <v>0</v>
      </c>
      <c r="H882" s="354" t="s">
        <v>115</v>
      </c>
      <c r="I882" s="355">
        <f>'PART-A'!K4423</f>
        <v>230.73000000000002</v>
      </c>
      <c r="J882" s="353">
        <f>ROUND(G882*I882,0)</f>
        <v>0</v>
      </c>
      <c r="K882" s="1681"/>
      <c r="L882" s="1681"/>
      <c r="M882" s="633" t="s">
        <v>2313</v>
      </c>
      <c r="N882" s="223"/>
      <c r="O882" s="631">
        <f t="shared" si="157"/>
        <v>0</v>
      </c>
    </row>
    <row r="883" spans="1:15" s="1157" customFormat="1" ht="51">
      <c r="A883" s="1146" t="s">
        <v>1578</v>
      </c>
      <c r="B883" s="1147" t="s">
        <v>442</v>
      </c>
      <c r="C883" s="916">
        <v>5</v>
      </c>
      <c r="D883" s="1148" t="s">
        <v>115</v>
      </c>
      <c r="E883" s="1210">
        <v>405</v>
      </c>
      <c r="F883" s="1150">
        <f t="shared" ref="F883" si="166">ROUND(C883*E883,0)</f>
        <v>2025</v>
      </c>
      <c r="G883" s="1170">
        <f>'PART-A'!I3786</f>
        <v>0</v>
      </c>
      <c r="H883" s="1173" t="s">
        <v>115</v>
      </c>
      <c r="I883" s="1171">
        <f>'PART-A'!K3786</f>
        <v>404.1</v>
      </c>
      <c r="J883" s="1153">
        <f t="shared" si="145"/>
        <v>0</v>
      </c>
      <c r="K883" s="1679">
        <f>IF((J883+J884+J885+J886)&gt;(F883+F884+F885+F886),(J883+J884+J885+J886)-(F883+F884+F885+F886),0)</f>
        <v>0</v>
      </c>
      <c r="L883" s="1679">
        <f>IF((J883+J884+J885+J886)&lt;(F883+F884+F885+F886),(F883+F884+F885+F886)-(J883+J884+J885+J886),0)</f>
        <v>2025</v>
      </c>
      <c r="M883" s="1154" t="s">
        <v>2217</v>
      </c>
      <c r="N883" s="1155"/>
      <c r="O883" s="1156">
        <f t="shared" si="157"/>
        <v>2025</v>
      </c>
    </row>
    <row r="884" spans="1:15" s="360" customFormat="1" ht="15" hidden="1">
      <c r="A884" s="356" t="s">
        <v>2715</v>
      </c>
      <c r="B884" s="632" t="s">
        <v>564</v>
      </c>
      <c r="C884" s="634"/>
      <c r="D884" s="354"/>
      <c r="E884" s="10"/>
      <c r="F884" s="353"/>
      <c r="G884" s="358">
        <f>'PART-A'!I4008</f>
        <v>0</v>
      </c>
      <c r="H884" s="354" t="s">
        <v>115</v>
      </c>
      <c r="I884" s="355">
        <f>'PART-A'!K4008</f>
        <v>410.5</v>
      </c>
      <c r="J884" s="353">
        <f>ROUND(G884*I884,0)</f>
        <v>0</v>
      </c>
      <c r="K884" s="1680"/>
      <c r="L884" s="1680"/>
      <c r="M884" s="633" t="s">
        <v>2299</v>
      </c>
      <c r="N884" s="223"/>
      <c r="O884" s="631">
        <f t="shared" si="157"/>
        <v>0</v>
      </c>
    </row>
    <row r="885" spans="1:15" s="360" customFormat="1" ht="15" hidden="1">
      <c r="A885" s="356" t="s">
        <v>2049</v>
      </c>
      <c r="B885" s="632" t="s">
        <v>564</v>
      </c>
      <c r="C885" s="634"/>
      <c r="D885" s="354"/>
      <c r="E885" s="10"/>
      <c r="F885" s="353"/>
      <c r="G885" s="358">
        <f>'PART-A'!I4228</f>
        <v>0</v>
      </c>
      <c r="H885" s="354" t="s">
        <v>115</v>
      </c>
      <c r="I885" s="355">
        <f>'PART-A'!K4228</f>
        <v>395.93</v>
      </c>
      <c r="J885" s="353">
        <f>ROUND(G885*I885,0)</f>
        <v>0</v>
      </c>
      <c r="K885" s="1680"/>
      <c r="L885" s="1680"/>
      <c r="M885" s="633" t="s">
        <v>2312</v>
      </c>
      <c r="N885" s="223"/>
      <c r="O885" s="631">
        <f t="shared" si="157"/>
        <v>0</v>
      </c>
    </row>
    <row r="886" spans="1:15" s="360" customFormat="1" ht="51" hidden="1">
      <c r="A886" s="356" t="s">
        <v>643</v>
      </c>
      <c r="B886" s="632" t="s">
        <v>442</v>
      </c>
      <c r="C886" s="634"/>
      <c r="D886" s="354"/>
      <c r="E886" s="10"/>
      <c r="F886" s="353"/>
      <c r="G886" s="358">
        <f>'PART-A'!I4471</f>
        <v>0</v>
      </c>
      <c r="H886" s="354" t="s">
        <v>115</v>
      </c>
      <c r="I886" s="355">
        <f>'PART-A'!K4471</f>
        <v>406.44</v>
      </c>
      <c r="J886" s="353">
        <f>ROUND(G886*I886,0)</f>
        <v>0</v>
      </c>
      <c r="K886" s="1681"/>
      <c r="L886" s="1681"/>
      <c r="M886" s="851" t="s">
        <v>2313</v>
      </c>
      <c r="N886" s="223"/>
      <c r="O886" s="850">
        <f t="shared" si="157"/>
        <v>0</v>
      </c>
    </row>
    <row r="887" spans="1:15" s="360" customFormat="1" ht="15" hidden="1">
      <c r="A887" s="356" t="s">
        <v>2053</v>
      </c>
      <c r="B887" s="632" t="s">
        <v>2266</v>
      </c>
      <c r="C887" s="659"/>
      <c r="D887" s="354"/>
      <c r="E887" s="10"/>
      <c r="F887" s="353"/>
      <c r="G887" s="358">
        <f>'PART-A'!I3791</f>
        <v>0</v>
      </c>
      <c r="H887" s="354" t="s">
        <v>115</v>
      </c>
      <c r="I887" s="355">
        <f>'PART-A'!K3791</f>
        <v>1980</v>
      </c>
      <c r="J887" s="353">
        <f t="shared" si="145"/>
        <v>0</v>
      </c>
      <c r="K887" s="1679">
        <f>IF((J887+J888+J889+J890)&gt;(F887+F888+F889+F890),(J887+J888+J889+J890)-(F887+F888+F889+F890),0)</f>
        <v>0</v>
      </c>
      <c r="L887" s="1679">
        <f>IF((J887+J888+J889+J890)&lt;(F887+F888+F889+F890),(F887+F888+F889+F890)-(J887+J888+J889+J890),0)</f>
        <v>0</v>
      </c>
      <c r="M887" s="633" t="s">
        <v>2217</v>
      </c>
      <c r="N887" s="223"/>
      <c r="O887" s="631">
        <f t="shared" si="157"/>
        <v>0</v>
      </c>
    </row>
    <row r="888" spans="1:15" s="360" customFormat="1" ht="15" hidden="1">
      <c r="A888" s="356" t="s">
        <v>2053</v>
      </c>
      <c r="B888" s="632" t="s">
        <v>2266</v>
      </c>
      <c r="C888" s="659"/>
      <c r="D888" s="354"/>
      <c r="E888" s="10"/>
      <c r="F888" s="353"/>
      <c r="G888" s="358">
        <f>'PART-A'!I4013</f>
        <v>0</v>
      </c>
      <c r="H888" s="354" t="s">
        <v>115</v>
      </c>
      <c r="I888" s="355">
        <f>'PART-A'!K4013</f>
        <v>1980</v>
      </c>
      <c r="J888" s="353">
        <f>ROUND(G888*I888,0)</f>
        <v>0</v>
      </c>
      <c r="K888" s="1680"/>
      <c r="L888" s="1680"/>
      <c r="M888" s="633" t="s">
        <v>2299</v>
      </c>
      <c r="N888" s="223"/>
      <c r="O888" s="631">
        <f t="shared" si="157"/>
        <v>0</v>
      </c>
    </row>
    <row r="889" spans="1:15" s="360" customFormat="1" ht="15" hidden="1">
      <c r="A889" s="356" t="s">
        <v>2053</v>
      </c>
      <c r="B889" s="632" t="s">
        <v>2266</v>
      </c>
      <c r="C889" s="659"/>
      <c r="D889" s="354"/>
      <c r="E889" s="10"/>
      <c r="F889" s="353"/>
      <c r="G889" s="358">
        <f>'PART-A'!I4233</f>
        <v>0</v>
      </c>
      <c r="H889" s="354" t="s">
        <v>115</v>
      </c>
      <c r="I889" s="355">
        <f>'PART-A'!K4233</f>
        <v>1822</v>
      </c>
      <c r="J889" s="353">
        <f>ROUND(G889*I889,0)</f>
        <v>0</v>
      </c>
      <c r="K889" s="1680"/>
      <c r="L889" s="1680"/>
      <c r="M889" s="633" t="s">
        <v>2312</v>
      </c>
      <c r="N889" s="223"/>
      <c r="O889" s="631">
        <f t="shared" si="157"/>
        <v>0</v>
      </c>
    </row>
    <row r="890" spans="1:15" s="360" customFormat="1" ht="15" hidden="1">
      <c r="A890" s="356" t="s">
        <v>2053</v>
      </c>
      <c r="B890" s="632" t="s">
        <v>2266</v>
      </c>
      <c r="C890" s="659"/>
      <c r="D890" s="354"/>
      <c r="E890" s="10"/>
      <c r="F890" s="353"/>
      <c r="G890" s="358">
        <f>'PART-A'!I4476</f>
        <v>0</v>
      </c>
      <c r="H890" s="354" t="s">
        <v>115</v>
      </c>
      <c r="I890" s="355">
        <f>'PART-A'!K4476</f>
        <v>1822</v>
      </c>
      <c r="J890" s="353">
        <f>ROUND(G890*I890,0)</f>
        <v>0</v>
      </c>
      <c r="K890" s="1681"/>
      <c r="L890" s="1681"/>
      <c r="M890" s="633" t="s">
        <v>2313</v>
      </c>
      <c r="N890" s="223"/>
      <c r="O890" s="631">
        <f t="shared" si="157"/>
        <v>0</v>
      </c>
    </row>
    <row r="891" spans="1:15" s="360" customFormat="1" ht="15" hidden="1">
      <c r="A891" s="356" t="s">
        <v>2053</v>
      </c>
      <c r="B891" s="632" t="s">
        <v>2267</v>
      </c>
      <c r="C891" s="659"/>
      <c r="D891" s="354"/>
      <c r="E891" s="10"/>
      <c r="F891" s="353"/>
      <c r="G891" s="358">
        <f>'PART-A'!I3796</f>
        <v>0</v>
      </c>
      <c r="H891" s="354" t="s">
        <v>115</v>
      </c>
      <c r="I891" s="355">
        <f>'PART-A'!K3796</f>
        <v>5900</v>
      </c>
      <c r="J891" s="353">
        <f t="shared" ref="J891" si="167">ROUND(G891*I891,0)</f>
        <v>0</v>
      </c>
      <c r="K891" s="1679">
        <f>IF((J891+J892+J893+J894)&gt;(F891+F892+F893+F894),(J891+J892+J893+J894)-(F891+F892+F893+F894),0)</f>
        <v>0</v>
      </c>
      <c r="L891" s="1679">
        <f>IF((J891+J892+J893+J894)&lt;(F891+F892+F893+F894),(F891+F892+F893+F894)-(J891+J892+J893+J894),0)</f>
        <v>0</v>
      </c>
      <c r="M891" s="633" t="s">
        <v>2217</v>
      </c>
      <c r="N891" s="223"/>
      <c r="O891" s="631">
        <f t="shared" si="157"/>
        <v>0</v>
      </c>
    </row>
    <row r="892" spans="1:15" s="360" customFormat="1" ht="15" hidden="1">
      <c r="A892" s="356" t="s">
        <v>2053</v>
      </c>
      <c r="B892" s="632" t="s">
        <v>2267</v>
      </c>
      <c r="C892" s="659"/>
      <c r="D892" s="354"/>
      <c r="E892" s="10"/>
      <c r="F892" s="353"/>
      <c r="G892" s="358">
        <f>'PART-A'!I4018</f>
        <v>0</v>
      </c>
      <c r="H892" s="354" t="s">
        <v>115</v>
      </c>
      <c r="I892" s="355">
        <f>'PART-A'!K4018</f>
        <v>5900</v>
      </c>
      <c r="J892" s="353">
        <f>ROUND(G892*I892,0)</f>
        <v>0</v>
      </c>
      <c r="K892" s="1680"/>
      <c r="L892" s="1680"/>
      <c r="M892" s="633" t="s">
        <v>2299</v>
      </c>
      <c r="N892" s="223"/>
      <c r="O892" s="631">
        <f t="shared" si="157"/>
        <v>0</v>
      </c>
    </row>
    <row r="893" spans="1:15" s="360" customFormat="1" ht="15" hidden="1">
      <c r="A893" s="356" t="s">
        <v>2053</v>
      </c>
      <c r="B893" s="632" t="s">
        <v>2267</v>
      </c>
      <c r="C893" s="659"/>
      <c r="D893" s="354"/>
      <c r="E893" s="10"/>
      <c r="F893" s="353"/>
      <c r="G893" s="358">
        <f>'PART-A'!I4238</f>
        <v>0</v>
      </c>
      <c r="H893" s="354" t="s">
        <v>115</v>
      </c>
      <c r="I893" s="355">
        <f>'PART-A'!K4238</f>
        <v>5428</v>
      </c>
      <c r="J893" s="353">
        <f>ROUND(G893*I893,0)</f>
        <v>0</v>
      </c>
      <c r="K893" s="1680"/>
      <c r="L893" s="1680"/>
      <c r="M893" s="633" t="s">
        <v>2312</v>
      </c>
      <c r="N893" s="223"/>
      <c r="O893" s="631">
        <f t="shared" si="157"/>
        <v>0</v>
      </c>
    </row>
    <row r="894" spans="1:15" s="360" customFormat="1" ht="15" hidden="1">
      <c r="A894" s="356" t="s">
        <v>2053</v>
      </c>
      <c r="B894" s="632" t="s">
        <v>2267</v>
      </c>
      <c r="C894" s="659"/>
      <c r="D894" s="354"/>
      <c r="E894" s="10"/>
      <c r="F894" s="353"/>
      <c r="G894" s="358">
        <f>'PART-A'!I4481</f>
        <v>0</v>
      </c>
      <c r="H894" s="354" t="s">
        <v>115</v>
      </c>
      <c r="I894" s="355">
        <f>'PART-A'!K4481</f>
        <v>5428</v>
      </c>
      <c r="J894" s="353">
        <f>ROUND(G894*I894,0)</f>
        <v>0</v>
      </c>
      <c r="K894" s="1681"/>
      <c r="L894" s="1681"/>
      <c r="M894" s="633" t="s">
        <v>2313</v>
      </c>
      <c r="N894" s="223"/>
      <c r="O894" s="631">
        <f t="shared" si="157"/>
        <v>0</v>
      </c>
    </row>
    <row r="895" spans="1:15" s="1157" customFormat="1" ht="38.25">
      <c r="A895" s="1146" t="s">
        <v>528</v>
      </c>
      <c r="B895" s="1147" t="s">
        <v>3506</v>
      </c>
      <c r="C895" s="916">
        <v>1</v>
      </c>
      <c r="D895" s="1148" t="s">
        <v>115</v>
      </c>
      <c r="E895" s="922">
        <v>10532</v>
      </c>
      <c r="F895" s="1150">
        <f t="shared" ref="F895" si="168">ROUND(C895*E895,0)</f>
        <v>10532</v>
      </c>
      <c r="G895" s="1170">
        <f>'PART-A'!I3807</f>
        <v>0</v>
      </c>
      <c r="H895" s="1173" t="s">
        <v>115</v>
      </c>
      <c r="I895" s="1171">
        <f>'PART-A'!K3807</f>
        <v>2936</v>
      </c>
      <c r="J895" s="1153">
        <f t="shared" si="145"/>
        <v>0</v>
      </c>
      <c r="K895" s="1679">
        <f>IF((J895+J896+J897+J898)&gt;(F895+F896+F897+F898),(J895+J896+J897+J898)-(F895+F896+F897+F898),0)</f>
        <v>0</v>
      </c>
      <c r="L895" s="1679">
        <f>IF((J895+J896+J897+J898)&lt;(F895+F896+F897+F898),(F895+F896+F897+F898)-(J895+J896+J897+J898),0)</f>
        <v>10532</v>
      </c>
      <c r="M895" s="1159" t="s">
        <v>2217</v>
      </c>
      <c r="N895" s="1155"/>
      <c r="O895" s="1160">
        <f t="shared" si="157"/>
        <v>10532</v>
      </c>
    </row>
    <row r="896" spans="1:15" s="360" customFormat="1" ht="15" hidden="1">
      <c r="A896" s="356" t="s">
        <v>2716</v>
      </c>
      <c r="B896" s="632" t="s">
        <v>715</v>
      </c>
      <c r="C896" s="611"/>
      <c r="D896" s="354"/>
      <c r="E896" s="607"/>
      <c r="F896" s="353"/>
      <c r="G896" s="358">
        <f>'PART-A'!I4028</f>
        <v>0</v>
      </c>
      <c r="H896" s="354" t="s">
        <v>115</v>
      </c>
      <c r="I896" s="355">
        <f>'PART-A'!K4028</f>
        <v>2995</v>
      </c>
      <c r="J896" s="353">
        <f>ROUND(G896*I896,0)</f>
        <v>0</v>
      </c>
      <c r="K896" s="1680"/>
      <c r="L896" s="1680"/>
      <c r="M896" s="633" t="s">
        <v>2299</v>
      </c>
      <c r="N896" s="223"/>
      <c r="O896" s="631">
        <f t="shared" si="157"/>
        <v>0</v>
      </c>
    </row>
    <row r="897" spans="1:15" s="360" customFormat="1" ht="15" hidden="1">
      <c r="A897" s="356" t="s">
        <v>2050</v>
      </c>
      <c r="B897" s="632" t="s">
        <v>715</v>
      </c>
      <c r="C897" s="611"/>
      <c r="D897" s="354"/>
      <c r="E897" s="607"/>
      <c r="F897" s="353"/>
      <c r="G897" s="358">
        <f>'PART-A'!I4249</f>
        <v>0</v>
      </c>
      <c r="H897" s="354" t="s">
        <v>115</v>
      </c>
      <c r="I897" s="355">
        <f>'PART-A'!K4249</f>
        <v>3255</v>
      </c>
      <c r="J897" s="353">
        <f>ROUND(G897*I897,0)</f>
        <v>0</v>
      </c>
      <c r="K897" s="1680"/>
      <c r="L897" s="1680"/>
      <c r="M897" s="633" t="s">
        <v>2312</v>
      </c>
      <c r="N897" s="223"/>
      <c r="O897" s="631">
        <f t="shared" si="157"/>
        <v>0</v>
      </c>
    </row>
    <row r="898" spans="1:15" s="360" customFormat="1" ht="38.25" hidden="1">
      <c r="A898" s="356" t="s">
        <v>644</v>
      </c>
      <c r="B898" s="632" t="s">
        <v>3244</v>
      </c>
      <c r="C898" s="611"/>
      <c r="D898" s="354"/>
      <c r="E898" s="607"/>
      <c r="F898" s="353"/>
      <c r="G898" s="358">
        <f>'PART-A'!I4491</f>
        <v>0</v>
      </c>
      <c r="H898" s="354" t="s">
        <v>115</v>
      </c>
      <c r="I898" s="355">
        <f>'PART-A'!K4491</f>
        <v>3662</v>
      </c>
      <c r="J898" s="353">
        <f>ROUND(G898*I898,0)</f>
        <v>0</v>
      </c>
      <c r="K898" s="1681"/>
      <c r="L898" s="1681"/>
      <c r="M898" s="851" t="s">
        <v>2313</v>
      </c>
      <c r="N898" s="223"/>
      <c r="O898" s="850">
        <f t="shared" si="157"/>
        <v>0</v>
      </c>
    </row>
    <row r="899" spans="1:15" s="1157" customFormat="1" ht="25.5">
      <c r="A899" s="1146" t="s">
        <v>1579</v>
      </c>
      <c r="B899" s="1147" t="s">
        <v>794</v>
      </c>
      <c r="C899" s="916">
        <v>1</v>
      </c>
      <c r="D899" s="1148" t="s">
        <v>115</v>
      </c>
      <c r="E899" s="922">
        <v>2076</v>
      </c>
      <c r="F899" s="1150">
        <f t="shared" ref="F899" si="169">ROUND(C899*E899,0)</f>
        <v>2076</v>
      </c>
      <c r="G899" s="1170">
        <f>'PART-A'!I3801</f>
        <v>0</v>
      </c>
      <c r="H899" s="1173" t="s">
        <v>115</v>
      </c>
      <c r="I899" s="1171">
        <f>'PART-A'!K3801</f>
        <v>1290</v>
      </c>
      <c r="J899" s="1153">
        <f t="shared" ref="J899" si="170">ROUND(G899*I899,0)</f>
        <v>0</v>
      </c>
      <c r="K899" s="1679">
        <f>IF((J899+J900+J901+J902)&gt;(F899+F900+F901+F902),(J899+J900+J901+J902)-(F899+F900+F901+F902),0)</f>
        <v>0</v>
      </c>
      <c r="L899" s="1679">
        <f>IF((J899+J900+J901+J902)&lt;(F899+F900+F901+F902),(F899+F900+F901+F902)-(J899+J900+J901+J902),0)</f>
        <v>2076</v>
      </c>
      <c r="M899" s="1154" t="s">
        <v>2217</v>
      </c>
      <c r="N899" s="1155"/>
      <c r="O899" s="1156">
        <f t="shared" si="157"/>
        <v>2076</v>
      </c>
    </row>
    <row r="900" spans="1:15" s="360" customFormat="1" ht="15" hidden="1">
      <c r="A900" s="356" t="s">
        <v>1574</v>
      </c>
      <c r="B900" s="632" t="s">
        <v>797</v>
      </c>
      <c r="C900" s="634"/>
      <c r="D900" s="354"/>
      <c r="E900" s="10"/>
      <c r="F900" s="353"/>
      <c r="G900" s="358">
        <f>'PART-A'!I4023</f>
        <v>0</v>
      </c>
      <c r="H900" s="354" t="s">
        <v>115</v>
      </c>
      <c r="I900" s="355">
        <f>'PART-A'!K4023</f>
        <v>1290</v>
      </c>
      <c r="J900" s="353">
        <f t="shared" ref="J900:J910" si="171">ROUND(G900*I900,0)</f>
        <v>0</v>
      </c>
      <c r="K900" s="1680"/>
      <c r="L900" s="1680"/>
      <c r="M900" s="633" t="s">
        <v>2299</v>
      </c>
      <c r="N900" s="223"/>
      <c r="O900" s="631">
        <f t="shared" si="157"/>
        <v>0</v>
      </c>
    </row>
    <row r="901" spans="1:15" s="360" customFormat="1" ht="15" hidden="1">
      <c r="A901" s="356" t="s">
        <v>1574</v>
      </c>
      <c r="B901" s="632" t="s">
        <v>797</v>
      </c>
      <c r="C901" s="634"/>
      <c r="D901" s="354"/>
      <c r="E901" s="10"/>
      <c r="F901" s="353"/>
      <c r="G901" s="358">
        <f>'PART-A'!I4243</f>
        <v>0</v>
      </c>
      <c r="H901" s="354" t="s">
        <v>115</v>
      </c>
      <c r="I901" s="355">
        <f>'PART-A'!K4243</f>
        <v>1484</v>
      </c>
      <c r="J901" s="353">
        <f t="shared" si="171"/>
        <v>0</v>
      </c>
      <c r="K901" s="1680"/>
      <c r="L901" s="1680"/>
      <c r="M901" s="633" t="s">
        <v>2312</v>
      </c>
      <c r="N901" s="223"/>
      <c r="O901" s="631">
        <f t="shared" si="157"/>
        <v>0</v>
      </c>
    </row>
    <row r="902" spans="1:15" s="360" customFormat="1" ht="15" hidden="1">
      <c r="A902" s="356" t="s">
        <v>1574</v>
      </c>
      <c r="B902" s="632" t="s">
        <v>797</v>
      </c>
      <c r="C902" s="634"/>
      <c r="D902" s="354"/>
      <c r="E902" s="10"/>
      <c r="F902" s="353"/>
      <c r="G902" s="358">
        <f>'PART-A'!I4486</f>
        <v>0</v>
      </c>
      <c r="H902" s="354" t="s">
        <v>115</v>
      </c>
      <c r="I902" s="355">
        <f>'PART-A'!K4486</f>
        <v>1634</v>
      </c>
      <c r="J902" s="353">
        <f t="shared" si="171"/>
        <v>0</v>
      </c>
      <c r="K902" s="1681"/>
      <c r="L902" s="1681"/>
      <c r="M902" s="633" t="s">
        <v>2313</v>
      </c>
      <c r="N902" s="223"/>
      <c r="O902" s="631">
        <f t="shared" si="157"/>
        <v>0</v>
      </c>
    </row>
    <row r="903" spans="1:15" s="360" customFormat="1" ht="15" hidden="1">
      <c r="A903" s="356" t="s">
        <v>2052</v>
      </c>
      <c r="B903" s="632" t="s">
        <v>2446</v>
      </c>
      <c r="C903" s="659"/>
      <c r="D903" s="354"/>
      <c r="E903" s="10"/>
      <c r="F903" s="353"/>
      <c r="G903" s="358">
        <f>'PART-A'!I3812</f>
        <v>0</v>
      </c>
      <c r="H903" s="354" t="s">
        <v>115</v>
      </c>
      <c r="I903" s="355">
        <f>'PART-A'!K3812</f>
        <v>886.80000000000007</v>
      </c>
      <c r="J903" s="353">
        <f t="shared" si="171"/>
        <v>0</v>
      </c>
      <c r="K903" s="1679">
        <f>IF((J903+J904+J905+J906)&gt;(F903+F904+F905+F906),(J903+J904+J905+J906)-(F903+F904+F905+F906),0)</f>
        <v>0</v>
      </c>
      <c r="L903" s="1679">
        <f>IF((J903+J904+J905+J906)&lt;(F903+F904+F905+F906),(F903+F904+F905+F906)-(J903+J904+J905+J906),0)</f>
        <v>0</v>
      </c>
      <c r="M903" s="633" t="s">
        <v>2217</v>
      </c>
      <c r="N903" s="223"/>
      <c r="O903" s="631">
        <f t="shared" si="157"/>
        <v>0</v>
      </c>
    </row>
    <row r="904" spans="1:15" s="360" customFormat="1" ht="15" hidden="1">
      <c r="A904" s="356" t="s">
        <v>2775</v>
      </c>
      <c r="B904" s="632" t="s">
        <v>2446</v>
      </c>
      <c r="C904" s="659"/>
      <c r="D904" s="354"/>
      <c r="E904" s="10"/>
      <c r="F904" s="353"/>
      <c r="G904" s="358">
        <f>'PART-A'!I4033</f>
        <v>0</v>
      </c>
      <c r="H904" s="354" t="s">
        <v>115</v>
      </c>
      <c r="I904" s="355">
        <f>'PART-A'!K4033</f>
        <v>905</v>
      </c>
      <c r="J904" s="353">
        <f t="shared" si="171"/>
        <v>0</v>
      </c>
      <c r="K904" s="1680"/>
      <c r="L904" s="1680"/>
      <c r="M904" s="633" t="s">
        <v>2299</v>
      </c>
      <c r="N904" s="223"/>
      <c r="O904" s="631">
        <f t="shared" si="157"/>
        <v>0</v>
      </c>
    </row>
    <row r="905" spans="1:15" s="360" customFormat="1" ht="15" hidden="1">
      <c r="A905" s="356" t="s">
        <v>2052</v>
      </c>
      <c r="B905" s="632" t="s">
        <v>2446</v>
      </c>
      <c r="C905" s="659"/>
      <c r="D905" s="354"/>
      <c r="E905" s="10"/>
      <c r="F905" s="353"/>
      <c r="G905" s="358">
        <f>'PART-A'!I4254</f>
        <v>0</v>
      </c>
      <c r="H905" s="354" t="s">
        <v>115</v>
      </c>
      <c r="I905" s="355">
        <f>'PART-A'!K4254</f>
        <v>1005.6</v>
      </c>
      <c r="J905" s="353">
        <f t="shared" si="171"/>
        <v>0</v>
      </c>
      <c r="K905" s="1680"/>
      <c r="L905" s="1680"/>
      <c r="M905" s="633" t="s">
        <v>2312</v>
      </c>
      <c r="N905" s="223"/>
      <c r="O905" s="631">
        <f t="shared" si="157"/>
        <v>0</v>
      </c>
    </row>
    <row r="906" spans="1:15" s="360" customFormat="1" ht="63.75" hidden="1">
      <c r="A906" s="356" t="s">
        <v>1581</v>
      </c>
      <c r="B906" s="632" t="s">
        <v>941</v>
      </c>
      <c r="C906" s="659"/>
      <c r="D906" s="354"/>
      <c r="E906" s="10"/>
      <c r="F906" s="353"/>
      <c r="G906" s="358">
        <f>'PART-A'!I4496</f>
        <v>0</v>
      </c>
      <c r="H906" s="354" t="s">
        <v>115</v>
      </c>
      <c r="I906" s="355">
        <f>'PART-A'!K4496</f>
        <v>1089.96</v>
      </c>
      <c r="J906" s="353">
        <f t="shared" si="171"/>
        <v>0</v>
      </c>
      <c r="K906" s="1681"/>
      <c r="L906" s="1681"/>
      <c r="M906" s="851" t="s">
        <v>2313</v>
      </c>
      <c r="N906" s="223"/>
      <c r="O906" s="850">
        <f t="shared" si="157"/>
        <v>0</v>
      </c>
    </row>
    <row r="907" spans="1:15" s="1157" customFormat="1" ht="38.25">
      <c r="A907" s="1146" t="s">
        <v>529</v>
      </c>
      <c r="B907" s="1147" t="s">
        <v>3245</v>
      </c>
      <c r="C907" s="916">
        <v>1</v>
      </c>
      <c r="D907" s="1148" t="s">
        <v>115</v>
      </c>
      <c r="E907" s="922">
        <v>3390</v>
      </c>
      <c r="F907" s="1150">
        <f t="shared" ref="F907" si="172">ROUND(C907*E907,0)</f>
        <v>3390</v>
      </c>
      <c r="G907" s="1170">
        <f>'PART-A'!I3817</f>
        <v>0</v>
      </c>
      <c r="H907" s="1173" t="s">
        <v>115</v>
      </c>
      <c r="I907" s="1171">
        <f>'PART-A'!K3817</f>
        <v>3404.82</v>
      </c>
      <c r="J907" s="1153">
        <f t="shared" si="171"/>
        <v>0</v>
      </c>
      <c r="K907" s="1679">
        <f>IF((J907+J908+J909+J910)&gt;(F907+F908+F909+F910),(J907+J908+J909+J910)-(F907+F908+F909+F910),0)</f>
        <v>0</v>
      </c>
      <c r="L907" s="1679">
        <f>IF((J907+J908+J909+J910)&lt;(F907+F908+F909+F910),(F907+F908+F909+F910)-(J907+J908+J909+J910),0)</f>
        <v>3390</v>
      </c>
      <c r="M907" s="1154" t="s">
        <v>2217</v>
      </c>
      <c r="N907" s="1155"/>
      <c r="O907" s="1156">
        <f t="shared" si="157"/>
        <v>3390</v>
      </c>
    </row>
    <row r="908" spans="1:15" s="360" customFormat="1" ht="15" hidden="1">
      <c r="A908" s="356" t="s">
        <v>2776</v>
      </c>
      <c r="B908" s="632" t="s">
        <v>565</v>
      </c>
      <c r="C908" s="634"/>
      <c r="D908" s="354"/>
      <c r="E908" s="10"/>
      <c r="F908" s="353"/>
      <c r="G908" s="358">
        <f>'PART-A'!I4038</f>
        <v>0</v>
      </c>
      <c r="H908" s="354" t="s">
        <v>115</v>
      </c>
      <c r="I908" s="355">
        <f>'PART-A'!K4038</f>
        <v>3432.82</v>
      </c>
      <c r="J908" s="353">
        <f t="shared" si="171"/>
        <v>0</v>
      </c>
      <c r="K908" s="1680"/>
      <c r="L908" s="1680"/>
      <c r="M908" s="633" t="s">
        <v>2299</v>
      </c>
      <c r="N908" s="223"/>
      <c r="O908" s="631">
        <f t="shared" si="157"/>
        <v>0</v>
      </c>
    </row>
    <row r="909" spans="1:15" s="360" customFormat="1" ht="15" hidden="1">
      <c r="A909" s="356" t="s">
        <v>2188</v>
      </c>
      <c r="B909" s="632" t="s">
        <v>565</v>
      </c>
      <c r="C909" s="634"/>
      <c r="D909" s="354"/>
      <c r="E909" s="10"/>
      <c r="F909" s="353"/>
      <c r="G909" s="358">
        <f>'PART-A'!I4259</f>
        <v>0</v>
      </c>
      <c r="H909" s="354" t="s">
        <v>115</v>
      </c>
      <c r="I909" s="355">
        <f>'PART-A'!K4259</f>
        <v>3771.9349999999999</v>
      </c>
      <c r="J909" s="353">
        <f t="shared" si="171"/>
        <v>0</v>
      </c>
      <c r="K909" s="1680"/>
      <c r="L909" s="1680"/>
      <c r="M909" s="633" t="s">
        <v>2312</v>
      </c>
      <c r="N909" s="223"/>
      <c r="O909" s="631">
        <f t="shared" si="157"/>
        <v>0</v>
      </c>
    </row>
    <row r="910" spans="1:15" s="360" customFormat="1" ht="38.25" hidden="1">
      <c r="A910" s="356" t="s">
        <v>2039</v>
      </c>
      <c r="B910" s="632" t="s">
        <v>3245</v>
      </c>
      <c r="C910" s="634"/>
      <c r="D910" s="354"/>
      <c r="E910" s="10"/>
      <c r="F910" s="353"/>
      <c r="G910" s="358">
        <f>'PART-A'!I4501</f>
        <v>0</v>
      </c>
      <c r="H910" s="354" t="s">
        <v>115</v>
      </c>
      <c r="I910" s="355">
        <f>'PART-A'!K4501</f>
        <v>4142.4250000000002</v>
      </c>
      <c r="J910" s="353">
        <f t="shared" si="171"/>
        <v>0</v>
      </c>
      <c r="K910" s="1681"/>
      <c r="L910" s="1681"/>
      <c r="M910" s="851" t="s">
        <v>2313</v>
      </c>
      <c r="N910" s="223"/>
      <c r="O910" s="850">
        <f t="shared" si="157"/>
        <v>0</v>
      </c>
    </row>
    <row r="911" spans="1:15" s="1157" customFormat="1" ht="15">
      <c r="A911" s="1146" t="s">
        <v>530</v>
      </c>
      <c r="B911" s="1385" t="s">
        <v>2440</v>
      </c>
      <c r="C911" s="1211">
        <v>1</v>
      </c>
      <c r="D911" s="1187" t="s">
        <v>115</v>
      </c>
      <c r="E911" s="1210">
        <v>1227</v>
      </c>
      <c r="F911" s="1150">
        <f t="shared" ref="F911:F915" si="173">ROUND(C911*E911,0)</f>
        <v>1227</v>
      </c>
      <c r="G911" s="1151"/>
      <c r="H911" s="1148"/>
      <c r="I911" s="1152"/>
      <c r="J911" s="1153"/>
      <c r="K911" s="1189">
        <f t="shared" ref="K911:K916" si="174">IF(J911&gt;F911,J911-F911,0)</f>
        <v>0</v>
      </c>
      <c r="L911" s="1190">
        <f t="shared" ref="L911:L916" si="175">IF(J911&lt;F911,F911-J911,0)</f>
        <v>1227</v>
      </c>
      <c r="M911" s="1154" t="s">
        <v>2217</v>
      </c>
      <c r="N911" s="1155"/>
      <c r="O911" s="1156">
        <f t="shared" si="157"/>
        <v>1227</v>
      </c>
    </row>
    <row r="912" spans="1:15" s="360" customFormat="1" ht="15" hidden="1">
      <c r="A912" s="356" t="s">
        <v>1583</v>
      </c>
      <c r="B912" s="357" t="s">
        <v>2567</v>
      </c>
      <c r="C912" s="549"/>
      <c r="D912" s="354"/>
      <c r="E912" s="10"/>
      <c r="F912" s="792">
        <f t="shared" si="173"/>
        <v>0</v>
      </c>
      <c r="G912" s="358"/>
      <c r="H912" s="354"/>
      <c r="I912" s="355"/>
      <c r="J912" s="353">
        <f t="shared" ref="J912" si="176">ROUND(G912*I912,0)</f>
        <v>0</v>
      </c>
      <c r="K912" s="669">
        <f t="shared" si="174"/>
        <v>0</v>
      </c>
      <c r="L912" s="368">
        <f t="shared" si="175"/>
        <v>0</v>
      </c>
      <c r="M912" s="851" t="s">
        <v>2217</v>
      </c>
      <c r="N912" s="223"/>
      <c r="O912" s="850">
        <f t="shared" si="157"/>
        <v>0</v>
      </c>
    </row>
    <row r="913" spans="1:15" s="1157" customFormat="1" ht="15">
      <c r="A913" s="1146" t="s">
        <v>531</v>
      </c>
      <c r="B913" s="1385" t="s">
        <v>2441</v>
      </c>
      <c r="C913" s="1211">
        <v>5</v>
      </c>
      <c r="D913" s="1187" t="s">
        <v>115</v>
      </c>
      <c r="E913" s="1210">
        <v>113.6</v>
      </c>
      <c r="F913" s="1150">
        <f t="shared" si="173"/>
        <v>568</v>
      </c>
      <c r="G913" s="1151"/>
      <c r="H913" s="1148"/>
      <c r="I913" s="1152"/>
      <c r="J913" s="1153"/>
      <c r="K913" s="1189">
        <f t="shared" si="174"/>
        <v>0</v>
      </c>
      <c r="L913" s="1190">
        <f t="shared" si="175"/>
        <v>568</v>
      </c>
      <c r="M913" s="1154" t="s">
        <v>2217</v>
      </c>
      <c r="N913" s="1155"/>
      <c r="O913" s="1156">
        <f t="shared" si="157"/>
        <v>568</v>
      </c>
    </row>
    <row r="914" spans="1:15" s="1157" customFormat="1" ht="15">
      <c r="A914" s="1146" t="s">
        <v>532</v>
      </c>
      <c r="B914" s="1385" t="s">
        <v>2442</v>
      </c>
      <c r="C914" s="1211">
        <v>50</v>
      </c>
      <c r="D914" s="1187" t="s">
        <v>277</v>
      </c>
      <c r="E914" s="1210">
        <v>32</v>
      </c>
      <c r="F914" s="1150">
        <f t="shared" si="173"/>
        <v>1600</v>
      </c>
      <c r="G914" s="1151"/>
      <c r="H914" s="1148"/>
      <c r="I914" s="1152"/>
      <c r="J914" s="1153"/>
      <c r="K914" s="1189">
        <f t="shared" si="174"/>
        <v>0</v>
      </c>
      <c r="L914" s="1190">
        <f t="shared" si="175"/>
        <v>1600</v>
      </c>
      <c r="M914" s="1154" t="s">
        <v>2217</v>
      </c>
      <c r="N914" s="1155"/>
      <c r="O914" s="1156">
        <f t="shared" si="157"/>
        <v>1600</v>
      </c>
    </row>
    <row r="915" spans="1:15" s="1157" customFormat="1" ht="15">
      <c r="A915" s="1146" t="s">
        <v>1580</v>
      </c>
      <c r="B915" s="1385" t="s">
        <v>2443</v>
      </c>
      <c r="C915" s="1211">
        <v>30</v>
      </c>
      <c r="D915" s="1187" t="s">
        <v>277</v>
      </c>
      <c r="E915" s="1210">
        <v>29.7</v>
      </c>
      <c r="F915" s="1150">
        <f t="shared" si="173"/>
        <v>891</v>
      </c>
      <c r="G915" s="1151"/>
      <c r="H915" s="1148"/>
      <c r="I915" s="1152"/>
      <c r="J915" s="1153"/>
      <c r="K915" s="1189">
        <f t="shared" si="174"/>
        <v>0</v>
      </c>
      <c r="L915" s="1190">
        <f t="shared" si="175"/>
        <v>891</v>
      </c>
      <c r="M915" s="1154" t="s">
        <v>2217</v>
      </c>
      <c r="N915" s="1155"/>
      <c r="O915" s="1156">
        <f t="shared" si="157"/>
        <v>891</v>
      </c>
    </row>
    <row r="916" spans="1:15" s="360" customFormat="1" ht="15" hidden="1">
      <c r="A916" s="356" t="s">
        <v>2044</v>
      </c>
      <c r="B916" s="632" t="s">
        <v>3115</v>
      </c>
      <c r="C916" s="611"/>
      <c r="D916" s="354"/>
      <c r="E916" s="607"/>
      <c r="F916" s="353"/>
      <c r="G916" s="358"/>
      <c r="H916" s="354"/>
      <c r="I916" s="355"/>
      <c r="J916" s="353">
        <f t="shared" ref="J916" si="177">ROUND(G916*I916,0)</f>
        <v>0</v>
      </c>
      <c r="K916" s="669">
        <f t="shared" si="174"/>
        <v>0</v>
      </c>
      <c r="L916" s="368">
        <f t="shared" si="175"/>
        <v>0</v>
      </c>
      <c r="M916" s="851" t="s">
        <v>2217</v>
      </c>
      <c r="N916" s="223"/>
      <c r="O916" s="850">
        <f>F916-J916</f>
        <v>0</v>
      </c>
    </row>
    <row r="917" spans="1:15" ht="15">
      <c r="A917" s="1196" t="s">
        <v>533</v>
      </c>
      <c r="B917" s="1212" t="s">
        <v>2202</v>
      </c>
      <c r="C917" s="1213"/>
      <c r="D917" s="1214"/>
      <c r="E917" s="907"/>
      <c r="F917" s="1150"/>
      <c r="G917" s="1215"/>
      <c r="H917" s="1216"/>
      <c r="I917" s="1217"/>
      <c r="J917" s="1205">
        <f>'PART-A'!M4503</f>
        <v>-53531</v>
      </c>
      <c r="K917" s="1189">
        <f>IF(J917&gt;F917,J917-F917,0)</f>
        <v>0</v>
      </c>
      <c r="L917" s="1190">
        <f t="shared" ref="L917:L925" si="178">IF(J917&lt;F917,F917-J917,0)</f>
        <v>53531</v>
      </c>
      <c r="M917" s="1196" t="s">
        <v>15</v>
      </c>
      <c r="N917" s="1155"/>
      <c r="O917" s="1156">
        <f>F917-J917</f>
        <v>53531</v>
      </c>
    </row>
    <row r="918" spans="1:15" ht="15">
      <c r="A918" s="1196" t="s">
        <v>534</v>
      </c>
      <c r="B918" s="1212" t="s">
        <v>1454</v>
      </c>
      <c r="C918" s="1213"/>
      <c r="D918" s="1199"/>
      <c r="E918" s="1218"/>
      <c r="F918" s="1201"/>
      <c r="G918" s="1215"/>
      <c r="H918" s="1216"/>
      <c r="I918" s="1217"/>
      <c r="J918" s="1205">
        <f>'PART-A'!M4502</f>
        <v>64528</v>
      </c>
      <c r="K918" s="1189">
        <f>IF(J918&gt;F918,J918-F918,0)</f>
        <v>64528</v>
      </c>
      <c r="L918" s="1190">
        <f t="shared" si="178"/>
        <v>0</v>
      </c>
      <c r="M918" s="1196" t="s">
        <v>15</v>
      </c>
      <c r="N918" s="1155"/>
      <c r="O918" s="1156">
        <f>F918-J918</f>
        <v>-64528</v>
      </c>
    </row>
    <row r="919" spans="1:15" s="26" customFormat="1" ht="15" hidden="1">
      <c r="A919" s="23" t="s">
        <v>2779</v>
      </c>
      <c r="B919" s="54" t="s">
        <v>2528</v>
      </c>
      <c r="C919" s="660"/>
      <c r="D919" s="657"/>
      <c r="E919" s="647"/>
      <c r="F919" s="641"/>
      <c r="G919" s="28"/>
      <c r="H919" s="24"/>
      <c r="I919" s="37"/>
      <c r="J919" s="11">
        <f>'PART-A'!M4504</f>
        <v>0</v>
      </c>
      <c r="K919" s="669">
        <f>IF(J919&gt;F919,J919-F919,0)</f>
        <v>0</v>
      </c>
      <c r="L919" s="368">
        <f t="shared" ref="L919" si="179">IF(J919&lt;F919,F919-J919,0)</f>
        <v>0</v>
      </c>
      <c r="M919" s="23" t="s">
        <v>15</v>
      </c>
      <c r="N919" s="223"/>
      <c r="O919" s="631">
        <f t="shared" ref="O919" si="180">F919-J919</f>
        <v>0</v>
      </c>
    </row>
    <row r="920" spans="1:15" ht="15">
      <c r="A920" s="1196" t="s">
        <v>642</v>
      </c>
      <c r="B920" s="1212" t="s">
        <v>2444</v>
      </c>
      <c r="C920" s="1213"/>
      <c r="D920" s="1199"/>
      <c r="E920" s="1218"/>
      <c r="F920" s="1135">
        <v>109107</v>
      </c>
      <c r="G920" s="1215"/>
      <c r="H920" s="1216"/>
      <c r="I920" s="1217"/>
      <c r="J920" s="1205">
        <v>0</v>
      </c>
      <c r="K920" s="1189">
        <f t="shared" ref="K920" si="181">IF(J920&gt;F920,J920-F920,0)</f>
        <v>0</v>
      </c>
      <c r="L920" s="1190">
        <f t="shared" ref="L920" si="182">IF(J920&lt;F920,F920-J920,0)</f>
        <v>109107</v>
      </c>
      <c r="M920" s="1196" t="s">
        <v>15</v>
      </c>
      <c r="N920" s="1155"/>
      <c r="O920" s="1156">
        <f t="shared" ref="O920" si="183">F920-J920</f>
        <v>109107</v>
      </c>
    </row>
    <row r="921" spans="1:15" ht="15">
      <c r="A921" s="1196" t="s">
        <v>643</v>
      </c>
      <c r="B921" s="1219" t="s">
        <v>566</v>
      </c>
      <c r="C921" s="1220"/>
      <c r="D921" s="1221"/>
      <c r="E921" s="1222"/>
      <c r="F921" s="1135">
        <v>7875</v>
      </c>
      <c r="G921" s="1215"/>
      <c r="H921" s="1223"/>
      <c r="I921" s="1224"/>
      <c r="J921" s="1155">
        <f>'PART-A'!M4507</f>
        <v>8548</v>
      </c>
      <c r="K921" s="1189">
        <f t="shared" ref="K921:K925" si="184">IF(J921&gt;F921,J921-F921,0)</f>
        <v>673</v>
      </c>
      <c r="L921" s="1190">
        <f t="shared" si="178"/>
        <v>0</v>
      </c>
      <c r="M921" s="1196" t="s">
        <v>15</v>
      </c>
      <c r="N921" s="1155"/>
      <c r="O921" s="1156">
        <f>F921-J921</f>
        <v>-673</v>
      </c>
    </row>
    <row r="922" spans="1:15" ht="15">
      <c r="A922" s="1196" t="s">
        <v>644</v>
      </c>
      <c r="B922" s="1219" t="s">
        <v>444</v>
      </c>
      <c r="C922" s="1225"/>
      <c r="D922" s="1223"/>
      <c r="E922" s="1226"/>
      <c r="F922" s="1135">
        <v>19966</v>
      </c>
      <c r="G922" s="1215"/>
      <c r="H922" s="1223"/>
      <c r="I922" s="1224"/>
      <c r="J922" s="1155">
        <f>'PART-A'!M4508</f>
        <v>21507</v>
      </c>
      <c r="K922" s="1189">
        <f t="shared" si="184"/>
        <v>1541</v>
      </c>
      <c r="L922" s="1190">
        <f t="shared" si="178"/>
        <v>0</v>
      </c>
      <c r="M922" s="1196" t="s">
        <v>15</v>
      </c>
      <c r="N922" s="1155"/>
      <c r="O922" s="1156">
        <f>F922-J922</f>
        <v>-1541</v>
      </c>
    </row>
    <row r="923" spans="1:15" ht="15">
      <c r="A923" s="1196" t="s">
        <v>1574</v>
      </c>
      <c r="B923" s="1219" t="s">
        <v>445</v>
      </c>
      <c r="C923" s="1227"/>
      <c r="D923" s="1223"/>
      <c r="E923" s="1224"/>
      <c r="F923" s="1228">
        <v>3600</v>
      </c>
      <c r="G923" s="1215"/>
      <c r="H923" s="1223"/>
      <c r="I923" s="1224"/>
      <c r="J923" s="1155">
        <f>'PART-A'!M4509</f>
        <v>0</v>
      </c>
      <c r="K923" s="1189">
        <f t="shared" si="184"/>
        <v>0</v>
      </c>
      <c r="L923" s="1190">
        <f t="shared" si="178"/>
        <v>3600</v>
      </c>
      <c r="M923" s="1196" t="s">
        <v>15</v>
      </c>
      <c r="N923" s="1155"/>
      <c r="O923" s="1156">
        <f>F923-J923</f>
        <v>3600</v>
      </c>
    </row>
    <row r="924" spans="1:15" s="26" customFormat="1" ht="15" hidden="1">
      <c r="A924" s="23" t="s">
        <v>2048</v>
      </c>
      <c r="B924" s="27" t="s">
        <v>567</v>
      </c>
      <c r="C924" s="665"/>
      <c r="D924" s="224"/>
      <c r="E924" s="29"/>
      <c r="F924" s="359"/>
      <c r="G924" s="28"/>
      <c r="H924" s="224"/>
      <c r="I924" s="29"/>
      <c r="J924" s="223">
        <f>'PART-A'!M4510</f>
        <v>0</v>
      </c>
      <c r="K924" s="669">
        <f t="shared" si="184"/>
        <v>0</v>
      </c>
      <c r="L924" s="368">
        <f t="shared" si="178"/>
        <v>0</v>
      </c>
      <c r="M924" s="23" t="s">
        <v>15</v>
      </c>
      <c r="N924" s="223"/>
      <c r="O924" s="850"/>
    </row>
    <row r="925" spans="1:15" ht="15">
      <c r="A925" s="1196" t="s">
        <v>1581</v>
      </c>
      <c r="B925" s="1219" t="s">
        <v>292</v>
      </c>
      <c r="C925" s="1227"/>
      <c r="D925" s="1223"/>
      <c r="E925" s="1224"/>
      <c r="F925" s="1135">
        <v>8014</v>
      </c>
      <c r="G925" s="1215"/>
      <c r="H925" s="1223"/>
      <c r="I925" s="1224"/>
      <c r="J925" s="1155">
        <f>'PART-A'!M4511</f>
        <v>1429</v>
      </c>
      <c r="K925" s="1189">
        <f t="shared" si="184"/>
        <v>0</v>
      </c>
      <c r="L925" s="1190">
        <f t="shared" si="178"/>
        <v>6585</v>
      </c>
      <c r="M925" s="1196" t="s">
        <v>15</v>
      </c>
      <c r="N925" s="1155"/>
      <c r="O925" s="1156">
        <f t="shared" ref="O925" si="185">F925-J925</f>
        <v>6585</v>
      </c>
    </row>
    <row r="926" spans="1:15" ht="15">
      <c r="A926" s="1196"/>
      <c r="B926" s="1229" t="s">
        <v>2456</v>
      </c>
      <c r="C926" s="1227"/>
      <c r="D926" s="1223"/>
      <c r="E926" s="1224"/>
      <c r="F926" s="1230"/>
      <c r="G926" s="1215"/>
      <c r="H926" s="1223"/>
      <c r="I926" s="1217"/>
      <c r="J926" s="1155"/>
      <c r="K926" s="1231"/>
      <c r="L926" s="1232"/>
      <c r="M926" s="1233"/>
      <c r="N926" s="1155"/>
      <c r="O926" s="1160">
        <v>1</v>
      </c>
    </row>
    <row r="927" spans="1:15" s="360" customFormat="1" ht="15" hidden="1">
      <c r="A927" s="356" t="s">
        <v>460</v>
      </c>
      <c r="B927" s="632" t="s">
        <v>537</v>
      </c>
      <c r="C927" s="611"/>
      <c r="D927" s="354"/>
      <c r="E927" s="607"/>
      <c r="F927" s="353"/>
      <c r="G927" s="358">
        <f>'PART-B'!I14</f>
        <v>0</v>
      </c>
      <c r="H927" s="354" t="s">
        <v>102</v>
      </c>
      <c r="I927" s="355">
        <f>'PART-B'!K14</f>
        <v>6.06</v>
      </c>
      <c r="J927" s="353">
        <f t="shared" ref="J927:J952" si="186">ROUND(G927*I927,0)</f>
        <v>0</v>
      </c>
      <c r="K927" s="669">
        <f t="shared" ref="K927:K990" si="187">IF(J927&gt;F927,J927-F927,0)</f>
        <v>0</v>
      </c>
      <c r="L927" s="368">
        <f t="shared" ref="L927:L990" si="188">IF(J927&lt;F927,F927-J927,0)</f>
        <v>0</v>
      </c>
      <c r="M927" s="633" t="s">
        <v>2313</v>
      </c>
      <c r="N927" s="223"/>
      <c r="O927" s="631">
        <f>F927-J927</f>
        <v>0</v>
      </c>
    </row>
    <row r="928" spans="1:15" s="1157" customFormat="1" ht="51" hidden="1">
      <c r="A928" s="1146" t="s">
        <v>460</v>
      </c>
      <c r="B928" s="1147" t="s">
        <v>3175</v>
      </c>
      <c r="C928" s="1158"/>
      <c r="D928" s="1148"/>
      <c r="E928" s="922"/>
      <c r="F928" s="1153"/>
      <c r="G928" s="1151">
        <f>'PART-B'!I19</f>
        <v>0</v>
      </c>
      <c r="H928" s="1148" t="s">
        <v>5</v>
      </c>
      <c r="I928" s="1152">
        <f>'PART-B'!K19</f>
        <v>144.26</v>
      </c>
      <c r="J928" s="1153">
        <f t="shared" si="186"/>
        <v>0</v>
      </c>
      <c r="K928" s="1189">
        <f t="shared" si="187"/>
        <v>0</v>
      </c>
      <c r="L928" s="1190">
        <f t="shared" si="188"/>
        <v>0</v>
      </c>
      <c r="M928" s="1159" t="s">
        <v>2313</v>
      </c>
      <c r="N928" s="1155"/>
      <c r="O928" s="1160">
        <f t="shared" ref="O928:O991" si="189">F928-J928</f>
        <v>0</v>
      </c>
    </row>
    <row r="929" spans="1:16" s="1157" customFormat="1" ht="51" hidden="1">
      <c r="A929" s="1146" t="s">
        <v>461</v>
      </c>
      <c r="B929" s="1147" t="s">
        <v>3176</v>
      </c>
      <c r="C929" s="1158"/>
      <c r="D929" s="1148"/>
      <c r="E929" s="922"/>
      <c r="F929" s="1153"/>
      <c r="G929" s="1151">
        <f>'PART-B'!I24</f>
        <v>0</v>
      </c>
      <c r="H929" s="1148" t="s">
        <v>5</v>
      </c>
      <c r="I929" s="1152">
        <f>'PART-B'!K24</f>
        <v>4583.3100000000004</v>
      </c>
      <c r="J929" s="1153">
        <f t="shared" si="186"/>
        <v>0</v>
      </c>
      <c r="K929" s="1189">
        <f t="shared" si="187"/>
        <v>0</v>
      </c>
      <c r="L929" s="1190">
        <f t="shared" si="188"/>
        <v>0</v>
      </c>
      <c r="M929" s="1159" t="s">
        <v>2313</v>
      </c>
      <c r="N929" s="1155"/>
      <c r="O929" s="1160">
        <f t="shared" si="189"/>
        <v>0</v>
      </c>
    </row>
    <row r="930" spans="1:16" s="360" customFormat="1" ht="15" hidden="1">
      <c r="A930" s="356" t="s">
        <v>463</v>
      </c>
      <c r="B930" s="632" t="s">
        <v>539</v>
      </c>
      <c r="C930" s="611"/>
      <c r="D930" s="354"/>
      <c r="E930" s="607"/>
      <c r="F930" s="353"/>
      <c r="G930" s="358">
        <f>'PART-B'!I33</f>
        <v>0</v>
      </c>
      <c r="H930" s="354" t="s">
        <v>5</v>
      </c>
      <c r="I930" s="355">
        <f>'PART-B'!K33</f>
        <v>4431.03</v>
      </c>
      <c r="J930" s="353">
        <f t="shared" si="186"/>
        <v>0</v>
      </c>
      <c r="K930" s="669">
        <f t="shared" si="187"/>
        <v>0</v>
      </c>
      <c r="L930" s="368">
        <f t="shared" si="188"/>
        <v>0</v>
      </c>
      <c r="M930" s="633" t="s">
        <v>2313</v>
      </c>
      <c r="N930" s="223"/>
      <c r="O930" s="631">
        <f t="shared" si="189"/>
        <v>0</v>
      </c>
    </row>
    <row r="931" spans="1:16" s="360" customFormat="1" ht="15" hidden="1">
      <c r="A931" s="356" t="s">
        <v>462</v>
      </c>
      <c r="B931" s="632" t="s">
        <v>1218</v>
      </c>
      <c r="C931" s="635"/>
      <c r="D931" s="354"/>
      <c r="E931" s="362"/>
      <c r="F931" s="353"/>
      <c r="G931" s="358">
        <f>'PART-B'!I39</f>
        <v>0</v>
      </c>
      <c r="H931" s="354" t="s">
        <v>5</v>
      </c>
      <c r="I931" s="355">
        <f>'PART-B'!K39</f>
        <v>216.13</v>
      </c>
      <c r="J931" s="353">
        <f t="shared" si="186"/>
        <v>0</v>
      </c>
      <c r="K931" s="669">
        <f t="shared" si="187"/>
        <v>0</v>
      </c>
      <c r="L931" s="368">
        <f t="shared" si="188"/>
        <v>0</v>
      </c>
      <c r="M931" s="633" t="s">
        <v>2313</v>
      </c>
      <c r="N931" s="223"/>
      <c r="O931" s="631">
        <f t="shared" si="189"/>
        <v>0</v>
      </c>
    </row>
    <row r="932" spans="1:16" s="360" customFormat="1" ht="15" hidden="1">
      <c r="A932" s="356" t="s">
        <v>464</v>
      </c>
      <c r="B932" s="632" t="s">
        <v>716</v>
      </c>
      <c r="C932" s="635"/>
      <c r="D932" s="354"/>
      <c r="E932" s="362"/>
      <c r="F932" s="353"/>
      <c r="G932" s="358">
        <f>'PART-B'!I45</f>
        <v>0</v>
      </c>
      <c r="H932" s="354" t="s">
        <v>5</v>
      </c>
      <c r="I932" s="355">
        <f>'PART-B'!K45</f>
        <v>272.13</v>
      </c>
      <c r="J932" s="353">
        <f t="shared" si="186"/>
        <v>0</v>
      </c>
      <c r="K932" s="669">
        <f t="shared" si="187"/>
        <v>0</v>
      </c>
      <c r="L932" s="368">
        <f t="shared" si="188"/>
        <v>0</v>
      </c>
      <c r="M932" s="633" t="s">
        <v>2313</v>
      </c>
      <c r="N932" s="223"/>
      <c r="O932" s="631">
        <f t="shared" si="189"/>
        <v>0</v>
      </c>
    </row>
    <row r="933" spans="1:16" s="360" customFormat="1" ht="15" hidden="1">
      <c r="A933" s="356" t="s">
        <v>466</v>
      </c>
      <c r="B933" s="632" t="s">
        <v>704</v>
      </c>
      <c r="C933" s="634"/>
      <c r="D933" s="354"/>
      <c r="E933" s="10"/>
      <c r="F933" s="353"/>
      <c r="G933" s="358">
        <f>'PART-B'!I51</f>
        <v>0</v>
      </c>
      <c r="H933" s="354" t="s">
        <v>5</v>
      </c>
      <c r="I933" s="355">
        <f>'PART-B'!K51</f>
        <v>1603.13</v>
      </c>
      <c r="J933" s="353">
        <f t="shared" si="186"/>
        <v>0</v>
      </c>
      <c r="K933" s="669">
        <f t="shared" si="187"/>
        <v>0</v>
      </c>
      <c r="L933" s="368">
        <f t="shared" si="188"/>
        <v>0</v>
      </c>
      <c r="M933" s="633" t="s">
        <v>2313</v>
      </c>
      <c r="N933" s="223"/>
      <c r="O933" s="631">
        <f t="shared" si="189"/>
        <v>0</v>
      </c>
    </row>
    <row r="934" spans="1:16" s="360" customFormat="1" ht="15" hidden="1">
      <c r="A934" s="356" t="s">
        <v>326</v>
      </c>
      <c r="B934" s="632" t="s">
        <v>540</v>
      </c>
      <c r="C934" s="636"/>
      <c r="D934" s="354"/>
      <c r="E934" s="10"/>
      <c r="F934" s="353"/>
      <c r="G934" s="358">
        <f>'PART-B'!I58</f>
        <v>0</v>
      </c>
      <c r="H934" s="354" t="s">
        <v>5</v>
      </c>
      <c r="I934" s="355">
        <f>'PART-B'!K58</f>
        <v>284.39999999999998</v>
      </c>
      <c r="J934" s="353">
        <f t="shared" si="186"/>
        <v>0</v>
      </c>
      <c r="K934" s="669">
        <f t="shared" si="187"/>
        <v>0</v>
      </c>
      <c r="L934" s="368">
        <f t="shared" si="188"/>
        <v>0</v>
      </c>
      <c r="M934" s="633" t="s">
        <v>2313</v>
      </c>
      <c r="N934" s="223"/>
      <c r="O934" s="631">
        <f t="shared" si="189"/>
        <v>0</v>
      </c>
    </row>
    <row r="935" spans="1:16" s="360" customFormat="1" ht="25.5" hidden="1">
      <c r="A935" s="356" t="s">
        <v>465</v>
      </c>
      <c r="B935" s="632" t="s">
        <v>2059</v>
      </c>
      <c r="C935" s="634"/>
      <c r="D935" s="354"/>
      <c r="E935" s="10"/>
      <c r="F935" s="353"/>
      <c r="G935" s="358">
        <f>'PART-B'!I63</f>
        <v>0</v>
      </c>
      <c r="H935" s="354" t="s">
        <v>5</v>
      </c>
      <c r="I935" s="355">
        <f>'PART-B'!K63</f>
        <v>8062.18</v>
      </c>
      <c r="J935" s="353">
        <f t="shared" si="186"/>
        <v>0</v>
      </c>
      <c r="K935" s="669">
        <f t="shared" si="187"/>
        <v>0</v>
      </c>
      <c r="L935" s="368">
        <f t="shared" si="188"/>
        <v>0</v>
      </c>
      <c r="M935" s="633" t="s">
        <v>2313</v>
      </c>
      <c r="N935" s="223"/>
      <c r="O935" s="631">
        <f t="shared" si="189"/>
        <v>0</v>
      </c>
    </row>
    <row r="936" spans="1:16" s="360" customFormat="1" ht="15" hidden="1">
      <c r="A936" s="356" t="s">
        <v>466</v>
      </c>
      <c r="B936" s="632" t="s">
        <v>2060</v>
      </c>
      <c r="C936" s="636"/>
      <c r="D936" s="354"/>
      <c r="E936" s="10"/>
      <c r="F936" s="353"/>
      <c r="G936" s="358">
        <f>'PART-B'!I68</f>
        <v>0</v>
      </c>
      <c r="H936" s="354" t="s">
        <v>5</v>
      </c>
      <c r="I936" s="355">
        <f>'PART-B'!K68</f>
        <v>8501.18</v>
      </c>
      <c r="J936" s="353">
        <f t="shared" si="186"/>
        <v>0</v>
      </c>
      <c r="K936" s="669">
        <f t="shared" si="187"/>
        <v>0</v>
      </c>
      <c r="L936" s="368">
        <f t="shared" si="188"/>
        <v>0</v>
      </c>
      <c r="M936" s="633" t="s">
        <v>2313</v>
      </c>
      <c r="N936" s="223"/>
      <c r="O936" s="631">
        <f t="shared" si="189"/>
        <v>0</v>
      </c>
    </row>
    <row r="937" spans="1:16" s="360" customFormat="1" ht="15" hidden="1">
      <c r="A937" s="356" t="s">
        <v>467</v>
      </c>
      <c r="B937" s="632" t="s">
        <v>2061</v>
      </c>
      <c r="C937" s="634"/>
      <c r="D937" s="354"/>
      <c r="E937" s="10"/>
      <c r="F937" s="353"/>
      <c r="G937" s="358">
        <f>'PART-B'!I80</f>
        <v>0</v>
      </c>
      <c r="H937" s="354" t="s">
        <v>5</v>
      </c>
      <c r="I937" s="355">
        <f>'PART-B'!K80</f>
        <v>10417.6</v>
      </c>
      <c r="J937" s="353">
        <f t="shared" si="186"/>
        <v>0</v>
      </c>
      <c r="K937" s="669">
        <f t="shared" si="187"/>
        <v>0</v>
      </c>
      <c r="L937" s="368">
        <f t="shared" si="188"/>
        <v>0</v>
      </c>
      <c r="M937" s="633" t="s">
        <v>2313</v>
      </c>
      <c r="N937" s="223"/>
      <c r="O937" s="631">
        <f t="shared" si="189"/>
        <v>0</v>
      </c>
    </row>
    <row r="938" spans="1:16" s="360" customFormat="1" ht="15" hidden="1">
      <c r="A938" s="356" t="s">
        <v>468</v>
      </c>
      <c r="B938" s="632" t="s">
        <v>2062</v>
      </c>
      <c r="C938" s="634"/>
      <c r="D938" s="354"/>
      <c r="E938" s="10"/>
      <c r="F938" s="353"/>
      <c r="G938" s="358">
        <f>'PART-B'!I88</f>
        <v>0</v>
      </c>
      <c r="H938" s="354" t="s">
        <v>5</v>
      </c>
      <c r="I938" s="355">
        <f>'PART-B'!K88</f>
        <v>10162.18</v>
      </c>
      <c r="J938" s="353">
        <f t="shared" si="186"/>
        <v>0</v>
      </c>
      <c r="K938" s="669">
        <f t="shared" si="187"/>
        <v>0</v>
      </c>
      <c r="L938" s="368">
        <f t="shared" si="188"/>
        <v>0</v>
      </c>
      <c r="M938" s="633" t="s">
        <v>2313</v>
      </c>
      <c r="N938" s="223"/>
      <c r="O938" s="631">
        <f t="shared" si="189"/>
        <v>0</v>
      </c>
    </row>
    <row r="939" spans="1:16" s="360" customFormat="1" ht="15" hidden="1">
      <c r="A939" s="356" t="s">
        <v>326</v>
      </c>
      <c r="B939" s="632" t="s">
        <v>2063</v>
      </c>
      <c r="C939" s="634"/>
      <c r="D939" s="428"/>
      <c r="E939" s="10"/>
      <c r="F939" s="353"/>
      <c r="G939" s="358">
        <f>'PART-B'!I96</f>
        <v>0</v>
      </c>
      <c r="H939" s="428" t="s">
        <v>5</v>
      </c>
      <c r="I939" s="355">
        <f>'PART-B'!K96</f>
        <v>9921.19</v>
      </c>
      <c r="J939" s="353">
        <f t="shared" si="186"/>
        <v>0</v>
      </c>
      <c r="K939" s="669">
        <f t="shared" si="187"/>
        <v>0</v>
      </c>
      <c r="L939" s="368">
        <f t="shared" si="188"/>
        <v>0</v>
      </c>
      <c r="M939" s="633" t="s">
        <v>2313</v>
      </c>
      <c r="N939" s="223"/>
      <c r="O939" s="631">
        <f t="shared" si="189"/>
        <v>0</v>
      </c>
      <c r="P939" s="637"/>
    </row>
    <row r="940" spans="1:16" s="360" customFormat="1" ht="15" hidden="1">
      <c r="A940" s="356" t="s">
        <v>469</v>
      </c>
      <c r="B940" s="632" t="s">
        <v>2064</v>
      </c>
      <c r="C940" s="636"/>
      <c r="D940" s="354"/>
      <c r="E940" s="10"/>
      <c r="F940" s="353"/>
      <c r="G940" s="358">
        <f>'PART-B'!I108</f>
        <v>0</v>
      </c>
      <c r="H940" s="354" t="s">
        <v>102</v>
      </c>
      <c r="I940" s="355">
        <f>'PART-B'!K108</f>
        <v>1202.4000000000001</v>
      </c>
      <c r="J940" s="353">
        <f t="shared" si="186"/>
        <v>0</v>
      </c>
      <c r="K940" s="669">
        <f t="shared" si="187"/>
        <v>0</v>
      </c>
      <c r="L940" s="368">
        <f t="shared" si="188"/>
        <v>0</v>
      </c>
      <c r="M940" s="633" t="s">
        <v>2313</v>
      </c>
      <c r="N940" s="223"/>
      <c r="O940" s="631">
        <f t="shared" si="189"/>
        <v>0</v>
      </c>
    </row>
    <row r="941" spans="1:16" s="360" customFormat="1" ht="15" hidden="1">
      <c r="A941" s="356" t="s">
        <v>472</v>
      </c>
      <c r="B941" s="632" t="s">
        <v>2065</v>
      </c>
      <c r="C941" s="634"/>
      <c r="D941" s="354"/>
      <c r="E941" s="10"/>
      <c r="F941" s="353"/>
      <c r="G941" s="358">
        <f>'PART-B'!I102</f>
        <v>0</v>
      </c>
      <c r="H941" s="354" t="s">
        <v>102</v>
      </c>
      <c r="I941" s="355">
        <f>'PART-B'!K102</f>
        <v>1345.28</v>
      </c>
      <c r="J941" s="353">
        <f t="shared" si="186"/>
        <v>0</v>
      </c>
      <c r="K941" s="669">
        <f t="shared" si="187"/>
        <v>0</v>
      </c>
      <c r="L941" s="368">
        <f t="shared" si="188"/>
        <v>0</v>
      </c>
      <c r="M941" s="633" t="s">
        <v>2313</v>
      </c>
      <c r="N941" s="223"/>
      <c r="O941" s="631">
        <f t="shared" si="189"/>
        <v>0</v>
      </c>
    </row>
    <row r="942" spans="1:16" s="360" customFormat="1" ht="15" hidden="1">
      <c r="A942" s="356" t="s">
        <v>469</v>
      </c>
      <c r="B942" s="632" t="s">
        <v>2066</v>
      </c>
      <c r="C942" s="635"/>
      <c r="D942" s="354"/>
      <c r="E942" s="362"/>
      <c r="F942" s="353"/>
      <c r="G942" s="358">
        <f>'PART-B'!I114</f>
        <v>0</v>
      </c>
      <c r="H942" s="354" t="s">
        <v>102</v>
      </c>
      <c r="I942" s="355">
        <f>'PART-B'!K114</f>
        <v>1059.52</v>
      </c>
      <c r="J942" s="353">
        <f t="shared" si="186"/>
        <v>0</v>
      </c>
      <c r="K942" s="669">
        <f t="shared" si="187"/>
        <v>0</v>
      </c>
      <c r="L942" s="368">
        <f t="shared" si="188"/>
        <v>0</v>
      </c>
      <c r="M942" s="633" t="s">
        <v>2313</v>
      </c>
      <c r="N942" s="223"/>
      <c r="O942" s="631">
        <f t="shared" si="189"/>
        <v>0</v>
      </c>
    </row>
    <row r="943" spans="1:16" s="360" customFormat="1" ht="15" hidden="1">
      <c r="A943" s="356" t="s">
        <v>469</v>
      </c>
      <c r="B943" s="632" t="s">
        <v>2067</v>
      </c>
      <c r="C943" s="636"/>
      <c r="D943" s="354"/>
      <c r="E943" s="10"/>
      <c r="F943" s="353"/>
      <c r="G943" s="358">
        <f>'PART-B'!I120</f>
        <v>0</v>
      </c>
      <c r="H943" s="354" t="s">
        <v>102</v>
      </c>
      <c r="I943" s="355">
        <f>'PART-B'!K120</f>
        <v>526.29999999999995</v>
      </c>
      <c r="J943" s="353">
        <f t="shared" si="186"/>
        <v>0</v>
      </c>
      <c r="K943" s="669">
        <f t="shared" si="187"/>
        <v>0</v>
      </c>
      <c r="L943" s="368">
        <f t="shared" si="188"/>
        <v>0</v>
      </c>
      <c r="M943" s="633" t="s">
        <v>2313</v>
      </c>
      <c r="N943" s="223"/>
      <c r="O943" s="631">
        <f t="shared" si="189"/>
        <v>0</v>
      </c>
    </row>
    <row r="944" spans="1:16" s="360" customFormat="1" ht="15" hidden="1">
      <c r="A944" s="356" t="s">
        <v>475</v>
      </c>
      <c r="B944" s="632" t="s">
        <v>2068</v>
      </c>
      <c r="C944" s="636"/>
      <c r="D944" s="354"/>
      <c r="E944" s="362"/>
      <c r="F944" s="353"/>
      <c r="G944" s="358">
        <f>'PART-B'!I127</f>
        <v>0</v>
      </c>
      <c r="H944" s="354" t="s">
        <v>102</v>
      </c>
      <c r="I944" s="355">
        <f>'PART-B'!K127</f>
        <v>385.15</v>
      </c>
      <c r="J944" s="353">
        <f t="shared" si="186"/>
        <v>0</v>
      </c>
      <c r="K944" s="669">
        <f t="shared" si="187"/>
        <v>0</v>
      </c>
      <c r="L944" s="368">
        <f t="shared" si="188"/>
        <v>0</v>
      </c>
      <c r="M944" s="633" t="s">
        <v>2313</v>
      </c>
      <c r="N944" s="223"/>
      <c r="O944" s="631">
        <f t="shared" si="189"/>
        <v>0</v>
      </c>
    </row>
    <row r="945" spans="1:15" s="360" customFormat="1" ht="15" hidden="1">
      <c r="A945" s="356" t="s">
        <v>475</v>
      </c>
      <c r="B945" s="632" t="s">
        <v>2069</v>
      </c>
      <c r="C945" s="634"/>
      <c r="D945" s="354"/>
      <c r="E945" s="10"/>
      <c r="F945" s="353"/>
      <c r="G945" s="358">
        <f>'PART-B'!I136</f>
        <v>0</v>
      </c>
      <c r="H945" s="354" t="s">
        <v>5</v>
      </c>
      <c r="I945" s="355">
        <f>'PART-B'!K136</f>
        <v>10584.6</v>
      </c>
      <c r="J945" s="353">
        <f t="shared" si="186"/>
        <v>0</v>
      </c>
      <c r="K945" s="669">
        <f t="shared" si="187"/>
        <v>0</v>
      </c>
      <c r="L945" s="368">
        <f t="shared" si="188"/>
        <v>0</v>
      </c>
      <c r="M945" s="633" t="s">
        <v>2313</v>
      </c>
      <c r="N945" s="223"/>
      <c r="O945" s="631">
        <f t="shared" si="189"/>
        <v>0</v>
      </c>
    </row>
    <row r="946" spans="1:15" s="360" customFormat="1" ht="15" hidden="1">
      <c r="A946" s="356" t="s">
        <v>478</v>
      </c>
      <c r="B946" s="632" t="s">
        <v>2070</v>
      </c>
      <c r="C946" s="551"/>
      <c r="D946" s="354"/>
      <c r="E946" s="10"/>
      <c r="F946" s="353"/>
      <c r="G946" s="358">
        <f>'PART-B'!I142</f>
        <v>0</v>
      </c>
      <c r="H946" s="354" t="s">
        <v>277</v>
      </c>
      <c r="I946" s="355">
        <f>'PART-B'!K142</f>
        <v>518.52</v>
      </c>
      <c r="J946" s="353">
        <f t="shared" si="186"/>
        <v>0</v>
      </c>
      <c r="K946" s="669">
        <f t="shared" si="187"/>
        <v>0</v>
      </c>
      <c r="L946" s="368">
        <f t="shared" si="188"/>
        <v>0</v>
      </c>
      <c r="M946" s="633" t="s">
        <v>2313</v>
      </c>
      <c r="N946" s="223"/>
      <c r="O946" s="631">
        <f t="shared" si="189"/>
        <v>0</v>
      </c>
    </row>
    <row r="947" spans="1:15" s="360" customFormat="1" ht="15" hidden="1">
      <c r="A947" s="356" t="s">
        <v>480</v>
      </c>
      <c r="B947" s="632" t="s">
        <v>1478</v>
      </c>
      <c r="C947" s="634"/>
      <c r="D947" s="221"/>
      <c r="E947" s="10"/>
      <c r="F947" s="353"/>
      <c r="G947" s="358">
        <f>'PART-B'!I148</f>
        <v>0</v>
      </c>
      <c r="H947" s="221" t="s">
        <v>102</v>
      </c>
      <c r="I947" s="355">
        <f>'PART-B'!K148</f>
        <v>315.69</v>
      </c>
      <c r="J947" s="353">
        <f t="shared" si="186"/>
        <v>0</v>
      </c>
      <c r="K947" s="669">
        <f t="shared" si="187"/>
        <v>0</v>
      </c>
      <c r="L947" s="368">
        <f t="shared" si="188"/>
        <v>0</v>
      </c>
      <c r="M947" s="633" t="s">
        <v>2313</v>
      </c>
      <c r="N947" s="223"/>
      <c r="O947" s="631">
        <f t="shared" si="189"/>
        <v>0</v>
      </c>
    </row>
    <row r="948" spans="1:15" s="360" customFormat="1" ht="15" hidden="1">
      <c r="A948" s="356" t="s">
        <v>476</v>
      </c>
      <c r="B948" s="632" t="s">
        <v>1479</v>
      </c>
      <c r="C948" s="634"/>
      <c r="D948" s="221"/>
      <c r="E948" s="10"/>
      <c r="F948" s="353"/>
      <c r="G948" s="358">
        <f>'PART-B'!I154</f>
        <v>0</v>
      </c>
      <c r="H948" s="221" t="s">
        <v>102</v>
      </c>
      <c r="I948" s="355">
        <f>'PART-B'!K154</f>
        <v>405.78</v>
      </c>
      <c r="J948" s="353">
        <f t="shared" si="186"/>
        <v>0</v>
      </c>
      <c r="K948" s="669">
        <f t="shared" si="187"/>
        <v>0</v>
      </c>
      <c r="L948" s="368">
        <f t="shared" si="188"/>
        <v>0</v>
      </c>
      <c r="M948" s="633" t="s">
        <v>2313</v>
      </c>
      <c r="N948" s="223"/>
      <c r="O948" s="631">
        <f t="shared" si="189"/>
        <v>0</v>
      </c>
    </row>
    <row r="949" spans="1:15" s="360" customFormat="1" ht="15" hidden="1">
      <c r="A949" s="356" t="s">
        <v>460</v>
      </c>
      <c r="B949" s="632" t="s">
        <v>2071</v>
      </c>
      <c r="C949" s="611"/>
      <c r="D949" s="354"/>
      <c r="E949" s="607"/>
      <c r="F949" s="353"/>
      <c r="G949" s="358">
        <f>'PART-B'!I322</f>
        <v>0</v>
      </c>
      <c r="H949" s="354" t="s">
        <v>5</v>
      </c>
      <c r="I949" s="355">
        <f>'PART-B'!K322</f>
        <v>5601.67</v>
      </c>
      <c r="J949" s="353">
        <f t="shared" si="186"/>
        <v>0</v>
      </c>
      <c r="K949" s="669">
        <f t="shared" si="187"/>
        <v>0</v>
      </c>
      <c r="L949" s="368">
        <f t="shared" si="188"/>
        <v>0</v>
      </c>
      <c r="M949" s="633" t="s">
        <v>2313</v>
      </c>
      <c r="N949" s="223"/>
      <c r="O949" s="631">
        <f t="shared" si="189"/>
        <v>0</v>
      </c>
    </row>
    <row r="950" spans="1:15" s="360" customFormat="1" ht="15" hidden="1">
      <c r="A950" s="356" t="s">
        <v>476</v>
      </c>
      <c r="B950" s="632" t="s">
        <v>1219</v>
      </c>
      <c r="C950" s="634"/>
      <c r="D950" s="354"/>
      <c r="E950" s="10"/>
      <c r="F950" s="353"/>
      <c r="G950" s="358">
        <f>'PART-B'!I161</f>
        <v>0</v>
      </c>
      <c r="H950" s="354" t="s">
        <v>5</v>
      </c>
      <c r="I950" s="355">
        <f>'PART-B'!K161</f>
        <v>3828.3500000000004</v>
      </c>
      <c r="J950" s="353">
        <f t="shared" si="186"/>
        <v>0</v>
      </c>
      <c r="K950" s="669">
        <f t="shared" si="187"/>
        <v>0</v>
      </c>
      <c r="L950" s="368">
        <f t="shared" si="188"/>
        <v>0</v>
      </c>
      <c r="M950" s="633" t="s">
        <v>2313</v>
      </c>
      <c r="N950" s="223"/>
      <c r="O950" s="631">
        <f t="shared" si="189"/>
        <v>0</v>
      </c>
    </row>
    <row r="951" spans="1:15" s="360" customFormat="1" ht="15" hidden="1">
      <c r="A951" s="356" t="s">
        <v>479</v>
      </c>
      <c r="B951" s="632" t="s">
        <v>828</v>
      </c>
      <c r="C951" s="634"/>
      <c r="D951" s="354"/>
      <c r="E951" s="10"/>
      <c r="F951" s="353"/>
      <c r="G951" s="358">
        <f>'PART-B'!I169</f>
        <v>0</v>
      </c>
      <c r="H951" s="354" t="s">
        <v>5</v>
      </c>
      <c r="I951" s="355">
        <f>'PART-B'!K169</f>
        <v>6869.83</v>
      </c>
      <c r="J951" s="353">
        <f t="shared" si="186"/>
        <v>0</v>
      </c>
      <c r="K951" s="669">
        <f t="shared" si="187"/>
        <v>0</v>
      </c>
      <c r="L951" s="368">
        <f t="shared" si="188"/>
        <v>0</v>
      </c>
      <c r="M951" s="633" t="s">
        <v>2313</v>
      </c>
      <c r="N951" s="223"/>
      <c r="O951" s="631">
        <f t="shared" si="189"/>
        <v>0</v>
      </c>
    </row>
    <row r="952" spans="1:15" s="360" customFormat="1" ht="15" hidden="1">
      <c r="A952" s="356" t="s">
        <v>480</v>
      </c>
      <c r="B952" s="632" t="s">
        <v>829</v>
      </c>
      <c r="C952" s="634"/>
      <c r="D952" s="354"/>
      <c r="E952" s="10"/>
      <c r="F952" s="353"/>
      <c r="G952" s="358">
        <f>'PART-B'!I177</f>
        <v>0</v>
      </c>
      <c r="H952" s="354" t="s">
        <v>5</v>
      </c>
      <c r="I952" s="355">
        <f>'PART-B'!K177</f>
        <v>6926.2300000000005</v>
      </c>
      <c r="J952" s="353">
        <f t="shared" si="186"/>
        <v>0</v>
      </c>
      <c r="K952" s="669">
        <f t="shared" si="187"/>
        <v>0</v>
      </c>
      <c r="L952" s="368">
        <f t="shared" si="188"/>
        <v>0</v>
      </c>
      <c r="M952" s="633" t="s">
        <v>2313</v>
      </c>
      <c r="N952" s="223"/>
      <c r="O952" s="631">
        <f t="shared" si="189"/>
        <v>0</v>
      </c>
    </row>
    <row r="953" spans="1:15" s="360" customFormat="1" ht="25.5" hidden="1">
      <c r="A953" s="356" t="s">
        <v>484</v>
      </c>
      <c r="B953" s="632" t="s">
        <v>705</v>
      </c>
      <c r="C953" s="634"/>
      <c r="D953" s="354"/>
      <c r="E953" s="10"/>
      <c r="F953" s="353"/>
      <c r="G953" s="358">
        <f>'PART-B'!I184</f>
        <v>0</v>
      </c>
      <c r="H953" s="354" t="s">
        <v>102</v>
      </c>
      <c r="I953" s="355">
        <f>'PART-B'!K184</f>
        <v>865.32</v>
      </c>
      <c r="J953" s="353">
        <f>ROUND(G953*I953/1,0)</f>
        <v>0</v>
      </c>
      <c r="K953" s="669">
        <f t="shared" si="187"/>
        <v>0</v>
      </c>
      <c r="L953" s="368">
        <f t="shared" si="188"/>
        <v>0</v>
      </c>
      <c r="M953" s="633" t="s">
        <v>2313</v>
      </c>
      <c r="N953" s="223"/>
      <c r="O953" s="631">
        <f t="shared" si="189"/>
        <v>0</v>
      </c>
    </row>
    <row r="954" spans="1:15" s="360" customFormat="1" ht="15" hidden="1">
      <c r="A954" s="356" t="s">
        <v>482</v>
      </c>
      <c r="B954" s="632" t="s">
        <v>1221</v>
      </c>
      <c r="C954" s="634"/>
      <c r="D954" s="354"/>
      <c r="E954" s="10"/>
      <c r="F954" s="353"/>
      <c r="G954" s="358">
        <f>'PART-B'!I192</f>
        <v>0</v>
      </c>
      <c r="H954" s="354" t="s">
        <v>102</v>
      </c>
      <c r="I954" s="355">
        <f>'PART-B'!K192</f>
        <v>6281.3700000000008</v>
      </c>
      <c r="J954" s="353">
        <f>ROUND(G954*I954/1,0)</f>
        <v>0</v>
      </c>
      <c r="K954" s="669">
        <f t="shared" si="187"/>
        <v>0</v>
      </c>
      <c r="L954" s="368">
        <f t="shared" si="188"/>
        <v>0</v>
      </c>
      <c r="M954" s="633" t="s">
        <v>2313</v>
      </c>
      <c r="N954" s="223"/>
      <c r="O954" s="631">
        <f t="shared" si="189"/>
        <v>0</v>
      </c>
    </row>
    <row r="955" spans="1:15" s="360" customFormat="1" ht="15" hidden="1">
      <c r="A955" s="356" t="s">
        <v>479</v>
      </c>
      <c r="B955" s="632" t="s">
        <v>1214</v>
      </c>
      <c r="C955" s="636"/>
      <c r="D955" s="354"/>
      <c r="E955" s="614"/>
      <c r="F955" s="353"/>
      <c r="G955" s="358">
        <f>'PART-B'!I199</f>
        <v>0</v>
      </c>
      <c r="H955" s="354" t="s">
        <v>102</v>
      </c>
      <c r="I955" s="355">
        <f>'PART-B'!K199</f>
        <v>2232.9699999999998</v>
      </c>
      <c r="J955" s="353">
        <f>ROUND(G955*I955/1,0)</f>
        <v>0</v>
      </c>
      <c r="K955" s="669">
        <f t="shared" si="187"/>
        <v>0</v>
      </c>
      <c r="L955" s="368">
        <f t="shared" si="188"/>
        <v>0</v>
      </c>
      <c r="M955" s="633" t="s">
        <v>2313</v>
      </c>
      <c r="N955" s="223"/>
      <c r="O955" s="631">
        <f t="shared" si="189"/>
        <v>0</v>
      </c>
    </row>
    <row r="956" spans="1:15" s="360" customFormat="1" ht="63.75" hidden="1">
      <c r="A956" s="356" t="s">
        <v>462</v>
      </c>
      <c r="B956" s="632" t="s">
        <v>3194</v>
      </c>
      <c r="C956" s="634"/>
      <c r="D956" s="354"/>
      <c r="E956" s="10"/>
      <c r="F956" s="353"/>
      <c r="G956" s="358">
        <f>'PART-B'!I223</f>
        <v>0</v>
      </c>
      <c r="H956" s="354" t="s">
        <v>102</v>
      </c>
      <c r="I956" s="355">
        <f>'PART-B'!K223</f>
        <v>318.2</v>
      </c>
      <c r="J956" s="353">
        <f t="shared" ref="J956:J995" si="190">ROUND(G956*I956,0)</f>
        <v>0</v>
      </c>
      <c r="K956" s="669">
        <f t="shared" si="187"/>
        <v>0</v>
      </c>
      <c r="L956" s="368">
        <f t="shared" si="188"/>
        <v>0</v>
      </c>
      <c r="M956" s="633" t="s">
        <v>2313</v>
      </c>
      <c r="N956" s="223"/>
      <c r="O956" s="631">
        <f t="shared" si="189"/>
        <v>0</v>
      </c>
    </row>
    <row r="957" spans="1:15" s="360" customFormat="1" ht="15" hidden="1">
      <c r="A957" s="356" t="s">
        <v>483</v>
      </c>
      <c r="B957" s="632" t="s">
        <v>505</v>
      </c>
      <c r="C957" s="635"/>
      <c r="D957" s="354"/>
      <c r="E957" s="362"/>
      <c r="F957" s="353"/>
      <c r="G957" s="358">
        <f>'PART-B'!I233</f>
        <v>0</v>
      </c>
      <c r="H957" s="354" t="s">
        <v>102</v>
      </c>
      <c r="I957" s="355">
        <f>'PART-B'!K233</f>
        <v>294.70999999999998</v>
      </c>
      <c r="J957" s="353">
        <f t="shared" si="190"/>
        <v>0</v>
      </c>
      <c r="K957" s="669">
        <f t="shared" si="187"/>
        <v>0</v>
      </c>
      <c r="L957" s="368">
        <f t="shared" si="188"/>
        <v>0</v>
      </c>
      <c r="M957" s="633" t="s">
        <v>2313</v>
      </c>
      <c r="N957" s="223"/>
      <c r="O957" s="631">
        <f t="shared" si="189"/>
        <v>0</v>
      </c>
    </row>
    <row r="958" spans="1:15" s="360" customFormat="1" ht="15" hidden="1">
      <c r="A958" s="356" t="s">
        <v>461</v>
      </c>
      <c r="B958" s="632" t="s">
        <v>631</v>
      </c>
      <c r="C958" s="611"/>
      <c r="D958" s="354"/>
      <c r="E958" s="362"/>
      <c r="F958" s="353"/>
      <c r="G958" s="358">
        <f>'PART-B'!I251</f>
        <v>0</v>
      </c>
      <c r="H958" s="354" t="s">
        <v>102</v>
      </c>
      <c r="I958" s="355">
        <f>'PART-B'!K251</f>
        <v>314.89999999999998</v>
      </c>
      <c r="J958" s="353">
        <f t="shared" si="190"/>
        <v>0</v>
      </c>
      <c r="K958" s="669">
        <f t="shared" si="187"/>
        <v>0</v>
      </c>
      <c r="L958" s="368">
        <f t="shared" si="188"/>
        <v>0</v>
      </c>
      <c r="M958" s="633" t="s">
        <v>2313</v>
      </c>
      <c r="N958" s="223"/>
      <c r="O958" s="631">
        <f t="shared" si="189"/>
        <v>0</v>
      </c>
    </row>
    <row r="959" spans="1:15" s="360" customFormat="1" ht="51" hidden="1">
      <c r="A959" s="356" t="s">
        <v>463</v>
      </c>
      <c r="B959" s="632" t="s">
        <v>3196</v>
      </c>
      <c r="C959" s="634"/>
      <c r="D959" s="354"/>
      <c r="E959" s="10"/>
      <c r="F959" s="353"/>
      <c r="G959" s="358">
        <f>'PART-B'!I297</f>
        <v>0</v>
      </c>
      <c r="H959" s="354" t="s">
        <v>102</v>
      </c>
      <c r="I959" s="355">
        <f>'PART-B'!K297</f>
        <v>388.21</v>
      </c>
      <c r="J959" s="353">
        <f t="shared" si="190"/>
        <v>0</v>
      </c>
      <c r="K959" s="669">
        <f t="shared" si="187"/>
        <v>0</v>
      </c>
      <c r="L959" s="368">
        <f t="shared" si="188"/>
        <v>0</v>
      </c>
      <c r="M959" s="633" t="s">
        <v>2313</v>
      </c>
      <c r="N959" s="223"/>
      <c r="O959" s="631">
        <f t="shared" si="189"/>
        <v>0</v>
      </c>
    </row>
    <row r="960" spans="1:15" s="360" customFormat="1" ht="15" hidden="1">
      <c r="A960" s="356" t="s">
        <v>488</v>
      </c>
      <c r="B960" s="632" t="s">
        <v>541</v>
      </c>
      <c r="C960" s="634"/>
      <c r="D960" s="354"/>
      <c r="E960" s="10"/>
      <c r="F960" s="353"/>
      <c r="G960" s="358">
        <f>'PART-B'!I304</f>
        <v>0</v>
      </c>
      <c r="H960" s="354" t="s">
        <v>102</v>
      </c>
      <c r="I960" s="355">
        <f>'PART-B'!K304</f>
        <v>404.02</v>
      </c>
      <c r="J960" s="353">
        <f t="shared" si="190"/>
        <v>0</v>
      </c>
      <c r="K960" s="669">
        <f t="shared" si="187"/>
        <v>0</v>
      </c>
      <c r="L960" s="368">
        <f t="shared" si="188"/>
        <v>0</v>
      </c>
      <c r="M960" s="633" t="s">
        <v>2313</v>
      </c>
      <c r="N960" s="223"/>
      <c r="O960" s="631">
        <f t="shared" si="189"/>
        <v>0</v>
      </c>
    </row>
    <row r="961" spans="1:15" s="1157" customFormat="1" ht="15" hidden="1">
      <c r="A961" s="1146" t="s">
        <v>1150</v>
      </c>
      <c r="B961" s="1147" t="s">
        <v>507</v>
      </c>
      <c r="C961" s="1158"/>
      <c r="D961" s="1148"/>
      <c r="E961" s="922"/>
      <c r="F961" s="1153"/>
      <c r="G961" s="1151">
        <f>'PART-B'!I338</f>
        <v>0</v>
      </c>
      <c r="H961" s="1148" t="s">
        <v>102</v>
      </c>
      <c r="I961" s="1152">
        <f>'PART-B'!K338</f>
        <v>1067.3599999999999</v>
      </c>
      <c r="J961" s="1153">
        <f t="shared" si="190"/>
        <v>0</v>
      </c>
      <c r="K961" s="1189">
        <f t="shared" si="187"/>
        <v>0</v>
      </c>
      <c r="L961" s="1190">
        <f t="shared" si="188"/>
        <v>0</v>
      </c>
      <c r="M961" s="1159" t="s">
        <v>2313</v>
      </c>
      <c r="N961" s="1155"/>
      <c r="O961" s="1160">
        <f t="shared" si="189"/>
        <v>0</v>
      </c>
    </row>
    <row r="962" spans="1:15" s="1157" customFormat="1" ht="15" hidden="1">
      <c r="A962" s="1146" t="s">
        <v>1151</v>
      </c>
      <c r="B962" s="1147" t="s">
        <v>1480</v>
      </c>
      <c r="C962" s="1158"/>
      <c r="D962" s="1148"/>
      <c r="E962" s="922"/>
      <c r="F962" s="1153"/>
      <c r="G962" s="1151">
        <f>'PART-B'!I354</f>
        <v>0</v>
      </c>
      <c r="H962" s="1148" t="s">
        <v>102</v>
      </c>
      <c r="I962" s="1152">
        <f>'PART-B'!K354</f>
        <v>1062.03</v>
      </c>
      <c r="J962" s="1153">
        <f t="shared" si="190"/>
        <v>0</v>
      </c>
      <c r="K962" s="1189">
        <f t="shared" si="187"/>
        <v>0</v>
      </c>
      <c r="L962" s="1190">
        <f t="shared" si="188"/>
        <v>0</v>
      </c>
      <c r="M962" s="1159" t="s">
        <v>2313</v>
      </c>
      <c r="N962" s="1155"/>
      <c r="O962" s="1160">
        <f t="shared" si="189"/>
        <v>0</v>
      </c>
    </row>
    <row r="963" spans="1:15" s="360" customFormat="1" ht="15" hidden="1">
      <c r="A963" s="356" t="s">
        <v>492</v>
      </c>
      <c r="B963" s="632" t="s">
        <v>708</v>
      </c>
      <c r="C963" s="635"/>
      <c r="D963" s="354"/>
      <c r="E963" s="362"/>
      <c r="F963" s="353"/>
      <c r="G963" s="358">
        <f>'PART-B'!I361</f>
        <v>0</v>
      </c>
      <c r="H963" s="354" t="s">
        <v>77</v>
      </c>
      <c r="I963" s="355">
        <f>'PART-B'!K361</f>
        <v>3115.07</v>
      </c>
      <c r="J963" s="353">
        <f t="shared" si="190"/>
        <v>0</v>
      </c>
      <c r="K963" s="669">
        <f t="shared" si="187"/>
        <v>0</v>
      </c>
      <c r="L963" s="368">
        <f t="shared" si="188"/>
        <v>0</v>
      </c>
      <c r="M963" s="633" t="s">
        <v>2313</v>
      </c>
      <c r="N963" s="223"/>
      <c r="O963" s="631">
        <f t="shared" si="189"/>
        <v>0</v>
      </c>
    </row>
    <row r="964" spans="1:15" s="360" customFormat="1" ht="15" hidden="1">
      <c r="A964" s="356" t="s">
        <v>493</v>
      </c>
      <c r="B964" s="632" t="s">
        <v>709</v>
      </c>
      <c r="C964" s="635"/>
      <c r="D964" s="354"/>
      <c r="E964" s="362"/>
      <c r="F964" s="353"/>
      <c r="G964" s="358">
        <f>'PART-B'!I369</f>
        <v>0</v>
      </c>
      <c r="H964" s="354" t="s">
        <v>102</v>
      </c>
      <c r="I964" s="355">
        <f>'PART-B'!K369</f>
        <v>2905.43</v>
      </c>
      <c r="J964" s="353">
        <f t="shared" si="190"/>
        <v>0</v>
      </c>
      <c r="K964" s="669">
        <f t="shared" si="187"/>
        <v>0</v>
      </c>
      <c r="L964" s="368">
        <f t="shared" si="188"/>
        <v>0</v>
      </c>
      <c r="M964" s="633" t="s">
        <v>2313</v>
      </c>
      <c r="N964" s="223"/>
      <c r="O964" s="631">
        <f t="shared" si="189"/>
        <v>0</v>
      </c>
    </row>
    <row r="965" spans="1:15" s="360" customFormat="1" ht="15" hidden="1">
      <c r="A965" s="356" t="s">
        <v>498</v>
      </c>
      <c r="B965" s="632" t="s">
        <v>710</v>
      </c>
      <c r="C965" s="636"/>
      <c r="D965" s="354"/>
      <c r="E965" s="362"/>
      <c r="F965" s="353"/>
      <c r="G965" s="358">
        <f>'PART-B'!I376</f>
        <v>0</v>
      </c>
      <c r="H965" s="354" t="s">
        <v>102</v>
      </c>
      <c r="I965" s="355">
        <f>'PART-B'!K376</f>
        <v>744.7</v>
      </c>
      <c r="J965" s="353">
        <f t="shared" si="190"/>
        <v>0</v>
      </c>
      <c r="K965" s="669">
        <f t="shared" si="187"/>
        <v>0</v>
      </c>
      <c r="L965" s="368">
        <f t="shared" si="188"/>
        <v>0</v>
      </c>
      <c r="M965" s="633" t="s">
        <v>2313</v>
      </c>
      <c r="N965" s="223"/>
      <c r="O965" s="631">
        <f t="shared" si="189"/>
        <v>0</v>
      </c>
    </row>
    <row r="966" spans="1:15" s="360" customFormat="1" ht="15" hidden="1">
      <c r="A966" s="356" t="s">
        <v>499</v>
      </c>
      <c r="B966" s="632" t="s">
        <v>711</v>
      </c>
      <c r="C966" s="635"/>
      <c r="D966" s="354"/>
      <c r="E966" s="362"/>
      <c r="F966" s="353"/>
      <c r="G966" s="358">
        <f>'PART-B'!I383</f>
        <v>0</v>
      </c>
      <c r="H966" s="354" t="s">
        <v>102</v>
      </c>
      <c r="I966" s="355">
        <f>'PART-B'!K383</f>
        <v>750.18</v>
      </c>
      <c r="J966" s="353">
        <f t="shared" si="190"/>
        <v>0</v>
      </c>
      <c r="K966" s="669">
        <f t="shared" si="187"/>
        <v>0</v>
      </c>
      <c r="L966" s="368">
        <f t="shared" si="188"/>
        <v>0</v>
      </c>
      <c r="M966" s="633" t="s">
        <v>2313</v>
      </c>
      <c r="N966" s="223"/>
      <c r="O966" s="631">
        <f t="shared" si="189"/>
        <v>0</v>
      </c>
    </row>
    <row r="967" spans="1:15" s="1157" customFormat="1" ht="51" hidden="1">
      <c r="A967" s="1146" t="s">
        <v>1152</v>
      </c>
      <c r="B967" s="1147" t="s">
        <v>3211</v>
      </c>
      <c r="C967" s="1158"/>
      <c r="D967" s="1148"/>
      <c r="E967" s="922"/>
      <c r="F967" s="1153"/>
      <c r="G967" s="1151">
        <f>'PART-B'!I395</f>
        <v>0</v>
      </c>
      <c r="H967" s="1148" t="s">
        <v>102</v>
      </c>
      <c r="I967" s="1152">
        <f>'PART-B'!K395</f>
        <v>801.83</v>
      </c>
      <c r="J967" s="1153">
        <f t="shared" si="190"/>
        <v>0</v>
      </c>
      <c r="K967" s="1189">
        <f t="shared" si="187"/>
        <v>0</v>
      </c>
      <c r="L967" s="1190">
        <f t="shared" si="188"/>
        <v>0</v>
      </c>
      <c r="M967" s="1159" t="s">
        <v>2313</v>
      </c>
      <c r="N967" s="1155"/>
      <c r="O967" s="1160">
        <f t="shared" si="189"/>
        <v>0</v>
      </c>
    </row>
    <row r="968" spans="1:15" s="1157" customFormat="1" ht="63.75" hidden="1">
      <c r="A968" s="1146" t="s">
        <v>2568</v>
      </c>
      <c r="B968" s="1147" t="s">
        <v>3212</v>
      </c>
      <c r="C968" s="1158"/>
      <c r="D968" s="1148"/>
      <c r="E968" s="922"/>
      <c r="F968" s="1153"/>
      <c r="G968" s="1151">
        <f>'PART-B'!I410</f>
        <v>0</v>
      </c>
      <c r="H968" s="1148" t="s">
        <v>102</v>
      </c>
      <c r="I968" s="1152">
        <f>'PART-B'!K410</f>
        <v>518.15</v>
      </c>
      <c r="J968" s="1153">
        <f t="shared" si="190"/>
        <v>0</v>
      </c>
      <c r="K968" s="1189">
        <f t="shared" si="187"/>
        <v>0</v>
      </c>
      <c r="L968" s="1190">
        <f t="shared" si="188"/>
        <v>0</v>
      </c>
      <c r="M968" s="1159" t="s">
        <v>2313</v>
      </c>
      <c r="N968" s="1155"/>
      <c r="O968" s="1160">
        <f t="shared" si="189"/>
        <v>0</v>
      </c>
    </row>
    <row r="969" spans="1:15" s="1157" customFormat="1" ht="38.25">
      <c r="A969" s="1146" t="s">
        <v>460</v>
      </c>
      <c r="B969" s="1147" t="s">
        <v>3331</v>
      </c>
      <c r="C969" s="1162"/>
      <c r="D969" s="1148"/>
      <c r="E969" s="1163"/>
      <c r="F969" s="1153"/>
      <c r="G969" s="1151">
        <f>'PART-B'!I416</f>
        <v>22.14</v>
      </c>
      <c r="H969" s="1148" t="s">
        <v>102</v>
      </c>
      <c r="I969" s="1152">
        <f>'PART-B'!K416</f>
        <v>1017.93</v>
      </c>
      <c r="J969" s="1153">
        <f t="shared" si="190"/>
        <v>22537</v>
      </c>
      <c r="K969" s="1189">
        <f t="shared" si="187"/>
        <v>22537</v>
      </c>
      <c r="L969" s="1190">
        <f t="shared" si="188"/>
        <v>0</v>
      </c>
      <c r="M969" s="1159" t="s">
        <v>2313</v>
      </c>
      <c r="N969" s="1155"/>
      <c r="O969" s="1160">
        <f t="shared" si="189"/>
        <v>-22537</v>
      </c>
    </row>
    <row r="970" spans="1:15" s="360" customFormat="1" ht="15" hidden="1">
      <c r="A970" s="356"/>
      <c r="B970" s="632" t="s">
        <v>2262</v>
      </c>
      <c r="C970" s="635"/>
      <c r="D970" s="354"/>
      <c r="E970" s="362"/>
      <c r="F970" s="353"/>
      <c r="G970" s="358">
        <f>'PART-B'!I423</f>
        <v>0</v>
      </c>
      <c r="H970" s="354" t="s">
        <v>102</v>
      </c>
      <c r="I970" s="355">
        <f>'PART-B'!K423</f>
        <v>610</v>
      </c>
      <c r="J970" s="353">
        <f t="shared" si="190"/>
        <v>0</v>
      </c>
      <c r="K970" s="669">
        <f t="shared" si="187"/>
        <v>0</v>
      </c>
      <c r="L970" s="368">
        <f t="shared" si="188"/>
        <v>0</v>
      </c>
      <c r="M970" s="633" t="s">
        <v>2313</v>
      </c>
      <c r="N970" s="223"/>
      <c r="O970" s="631">
        <f t="shared" si="189"/>
        <v>0</v>
      </c>
    </row>
    <row r="971" spans="1:15" s="360" customFormat="1" ht="15" hidden="1">
      <c r="A971" s="356"/>
      <c r="B971" s="632" t="s">
        <v>2263</v>
      </c>
      <c r="C971" s="635"/>
      <c r="D971" s="354"/>
      <c r="E971" s="362"/>
      <c r="F971" s="353"/>
      <c r="G971" s="358">
        <f>'PART-B'!I430</f>
        <v>0</v>
      </c>
      <c r="H971" s="354" t="s">
        <v>102</v>
      </c>
      <c r="I971" s="355">
        <f>'PART-B'!K430</f>
        <v>345.47</v>
      </c>
      <c r="J971" s="353">
        <f t="shared" si="190"/>
        <v>0</v>
      </c>
      <c r="K971" s="669">
        <f t="shared" si="187"/>
        <v>0</v>
      </c>
      <c r="L971" s="368">
        <f t="shared" si="188"/>
        <v>0</v>
      </c>
      <c r="M971" s="633" t="s">
        <v>2313</v>
      </c>
      <c r="N971" s="223"/>
      <c r="O971" s="631">
        <f t="shared" si="189"/>
        <v>0</v>
      </c>
    </row>
    <row r="972" spans="1:15" s="360" customFormat="1" ht="15" hidden="1">
      <c r="A972" s="356" t="s">
        <v>491</v>
      </c>
      <c r="B972" s="632" t="s">
        <v>959</v>
      </c>
      <c r="C972" s="635"/>
      <c r="D972" s="354"/>
      <c r="E972" s="362"/>
      <c r="F972" s="353"/>
      <c r="G972" s="358">
        <f>'PART-B'!I437</f>
        <v>0</v>
      </c>
      <c r="H972" s="354" t="s">
        <v>102</v>
      </c>
      <c r="I972" s="355">
        <f>'PART-B'!K437</f>
        <v>24.05</v>
      </c>
      <c r="J972" s="353">
        <f t="shared" si="190"/>
        <v>0</v>
      </c>
      <c r="K972" s="669">
        <f t="shared" si="187"/>
        <v>0</v>
      </c>
      <c r="L972" s="368">
        <f t="shared" si="188"/>
        <v>0</v>
      </c>
      <c r="M972" s="633" t="s">
        <v>2313</v>
      </c>
      <c r="N972" s="223"/>
      <c r="O972" s="631">
        <f t="shared" si="189"/>
        <v>0</v>
      </c>
    </row>
    <row r="973" spans="1:15" s="360" customFormat="1" ht="15" hidden="1">
      <c r="A973" s="356" t="s">
        <v>463</v>
      </c>
      <c r="B973" s="632" t="s">
        <v>960</v>
      </c>
      <c r="C973" s="635"/>
      <c r="D973" s="354"/>
      <c r="E973" s="362"/>
      <c r="F973" s="353"/>
      <c r="G973" s="358">
        <f>'PART-B'!I485</f>
        <v>0</v>
      </c>
      <c r="H973" s="354" t="s">
        <v>102</v>
      </c>
      <c r="I973" s="355">
        <f>'PART-B'!K485</f>
        <v>173.73</v>
      </c>
      <c r="J973" s="353">
        <f t="shared" si="190"/>
        <v>0</v>
      </c>
      <c r="K973" s="669">
        <f t="shared" si="187"/>
        <v>0</v>
      </c>
      <c r="L973" s="368">
        <f t="shared" si="188"/>
        <v>0</v>
      </c>
      <c r="M973" s="633" t="s">
        <v>2313</v>
      </c>
      <c r="N973" s="223"/>
      <c r="O973" s="631">
        <f t="shared" si="189"/>
        <v>0</v>
      </c>
    </row>
    <row r="974" spans="1:15" s="1157" customFormat="1" ht="51">
      <c r="A974" s="1146" t="s">
        <v>461</v>
      </c>
      <c r="B974" s="1147" t="s">
        <v>3204</v>
      </c>
      <c r="C974" s="1158"/>
      <c r="D974" s="1148"/>
      <c r="E974" s="922"/>
      <c r="F974" s="1153"/>
      <c r="G974" s="1151">
        <f>'PART-B'!I516</f>
        <v>268.64000000000004</v>
      </c>
      <c r="H974" s="1148" t="s">
        <v>102</v>
      </c>
      <c r="I974" s="1152">
        <f>'PART-B'!K516</f>
        <v>146.82</v>
      </c>
      <c r="J974" s="1153">
        <f t="shared" si="190"/>
        <v>39442</v>
      </c>
      <c r="K974" s="1189">
        <f t="shared" si="187"/>
        <v>39442</v>
      </c>
      <c r="L974" s="1190">
        <f t="shared" si="188"/>
        <v>0</v>
      </c>
      <c r="M974" s="1159" t="s">
        <v>2313</v>
      </c>
      <c r="N974" s="1155"/>
      <c r="O974" s="1160">
        <f t="shared" si="189"/>
        <v>-39442</v>
      </c>
    </row>
    <row r="975" spans="1:15" s="1157" customFormat="1" ht="51">
      <c r="A975" s="1146" t="s">
        <v>462</v>
      </c>
      <c r="B975" s="1147" t="s">
        <v>3205</v>
      </c>
      <c r="C975" s="1158"/>
      <c r="D975" s="1148"/>
      <c r="E975" s="922"/>
      <c r="F975" s="1153"/>
      <c r="G975" s="1151">
        <f>'PART-B'!I537</f>
        <v>223.53</v>
      </c>
      <c r="H975" s="1148" t="s">
        <v>102</v>
      </c>
      <c r="I975" s="1152">
        <f>'PART-B'!K537</f>
        <v>200.84</v>
      </c>
      <c r="J975" s="1153">
        <f t="shared" si="190"/>
        <v>44894</v>
      </c>
      <c r="K975" s="1189">
        <f t="shared" si="187"/>
        <v>44894</v>
      </c>
      <c r="L975" s="1190">
        <f t="shared" si="188"/>
        <v>0</v>
      </c>
      <c r="M975" s="1159" t="s">
        <v>2313</v>
      </c>
      <c r="N975" s="1155"/>
      <c r="O975" s="1160">
        <f t="shared" si="189"/>
        <v>-44894</v>
      </c>
    </row>
    <row r="976" spans="1:15" s="1157" customFormat="1" ht="25.5">
      <c r="A976" s="1146" t="s">
        <v>463</v>
      </c>
      <c r="B976" s="1147" t="s">
        <v>1223</v>
      </c>
      <c r="C976" s="1162"/>
      <c r="D976" s="1148"/>
      <c r="E976" s="1163"/>
      <c r="F976" s="1153"/>
      <c r="G976" s="1151">
        <f>'PART-B'!I551</f>
        <v>14.879999999999999</v>
      </c>
      <c r="H976" s="1148" t="s">
        <v>102</v>
      </c>
      <c r="I976" s="1152">
        <f>'PART-B'!K551</f>
        <v>968.78</v>
      </c>
      <c r="J976" s="1153">
        <f t="shared" si="190"/>
        <v>14415</v>
      </c>
      <c r="K976" s="1189">
        <f t="shared" si="187"/>
        <v>14415</v>
      </c>
      <c r="L976" s="1190">
        <f t="shared" si="188"/>
        <v>0</v>
      </c>
      <c r="M976" s="1159" t="s">
        <v>2313</v>
      </c>
      <c r="N976" s="1155"/>
      <c r="O976" s="1160">
        <f t="shared" si="189"/>
        <v>-14415</v>
      </c>
    </row>
    <row r="977" spans="1:15" s="360" customFormat="1" ht="25.5" hidden="1">
      <c r="A977" s="356" t="s">
        <v>497</v>
      </c>
      <c r="B977" s="632" t="s">
        <v>706</v>
      </c>
      <c r="C977" s="551"/>
      <c r="D977" s="221"/>
      <c r="E977" s="10"/>
      <c r="F977" s="353"/>
      <c r="G977" s="429">
        <f>'PART-B'!I556</f>
        <v>0</v>
      </c>
      <c r="H977" s="221" t="s">
        <v>102</v>
      </c>
      <c r="I977" s="430">
        <f>'PART-B'!K556</f>
        <v>4025</v>
      </c>
      <c r="J977" s="353">
        <f t="shared" si="190"/>
        <v>0</v>
      </c>
      <c r="K977" s="669">
        <f t="shared" si="187"/>
        <v>0</v>
      </c>
      <c r="L977" s="368">
        <f t="shared" si="188"/>
        <v>0</v>
      </c>
      <c r="M977" s="633" t="s">
        <v>2313</v>
      </c>
      <c r="N977" s="223"/>
      <c r="O977" s="631">
        <f t="shared" si="189"/>
        <v>0</v>
      </c>
    </row>
    <row r="978" spans="1:15" s="1157" customFormat="1" ht="25.5" hidden="1">
      <c r="A978" s="1146" t="s">
        <v>1154</v>
      </c>
      <c r="B978" s="1147" t="s">
        <v>961</v>
      </c>
      <c r="C978" s="917"/>
      <c r="D978" s="1148"/>
      <c r="E978" s="922"/>
      <c r="F978" s="1153"/>
      <c r="G978" s="1151">
        <f>'PART-B'!I544</f>
        <v>0</v>
      </c>
      <c r="H978" s="1148" t="s">
        <v>102</v>
      </c>
      <c r="I978" s="1152">
        <f>'PART-B'!K544</f>
        <v>149.86000000000001</v>
      </c>
      <c r="J978" s="1153">
        <f t="shared" si="190"/>
        <v>0</v>
      </c>
      <c r="K978" s="1189">
        <f t="shared" si="187"/>
        <v>0</v>
      </c>
      <c r="L978" s="1190">
        <f t="shared" si="188"/>
        <v>0</v>
      </c>
      <c r="M978" s="1159" t="s">
        <v>2313</v>
      </c>
      <c r="N978" s="1155"/>
      <c r="O978" s="1160">
        <f t="shared" si="189"/>
        <v>0</v>
      </c>
    </row>
    <row r="979" spans="1:15" s="1157" customFormat="1" ht="15" hidden="1">
      <c r="A979" s="1146" t="s">
        <v>465</v>
      </c>
      <c r="B979" s="1147" t="s">
        <v>1481</v>
      </c>
      <c r="C979" s="1207"/>
      <c r="D979" s="1148"/>
      <c r="E979" s="1208"/>
      <c r="F979" s="1153"/>
      <c r="G979" s="1151">
        <f>'PART-B'!I561</f>
        <v>0</v>
      </c>
      <c r="H979" s="1148" t="s">
        <v>115</v>
      </c>
      <c r="I979" s="1152">
        <f>'PART-B'!K561</f>
        <v>808</v>
      </c>
      <c r="J979" s="1153">
        <f t="shared" si="190"/>
        <v>0</v>
      </c>
      <c r="K979" s="1189">
        <f t="shared" si="187"/>
        <v>0</v>
      </c>
      <c r="L979" s="1190">
        <f t="shared" si="188"/>
        <v>0</v>
      </c>
      <c r="M979" s="1159" t="s">
        <v>2313</v>
      </c>
      <c r="N979" s="1155"/>
      <c r="O979" s="1160">
        <f t="shared" si="189"/>
        <v>0</v>
      </c>
    </row>
    <row r="980" spans="1:15" s="360" customFormat="1" ht="15" hidden="1">
      <c r="A980" s="356" t="s">
        <v>467</v>
      </c>
      <c r="B980" s="632" t="s">
        <v>1482</v>
      </c>
      <c r="C980" s="611"/>
      <c r="D980" s="354"/>
      <c r="E980" s="607"/>
      <c r="F980" s="353"/>
      <c r="G980" s="358">
        <f>'PART-B'!I566</f>
        <v>0</v>
      </c>
      <c r="H980" s="354" t="s">
        <v>115</v>
      </c>
      <c r="I980" s="355">
        <f>'PART-B'!K566</f>
        <v>500</v>
      </c>
      <c r="J980" s="353">
        <f t="shared" si="190"/>
        <v>0</v>
      </c>
      <c r="K980" s="669">
        <f t="shared" si="187"/>
        <v>0</v>
      </c>
      <c r="L980" s="368">
        <f t="shared" si="188"/>
        <v>0</v>
      </c>
      <c r="M980" s="633" t="s">
        <v>2313</v>
      </c>
      <c r="N980" s="223"/>
      <c r="O980" s="631">
        <f t="shared" si="189"/>
        <v>0</v>
      </c>
    </row>
    <row r="981" spans="1:15" s="1157" customFormat="1" ht="15" hidden="1">
      <c r="A981" s="1146" t="s">
        <v>466</v>
      </c>
      <c r="B981" s="1147" t="s">
        <v>1483</v>
      </c>
      <c r="C981" s="1207"/>
      <c r="D981" s="1148"/>
      <c r="E981" s="1208"/>
      <c r="F981" s="1153"/>
      <c r="G981" s="1151">
        <f>'PART-B'!I571</f>
        <v>0</v>
      </c>
      <c r="H981" s="1148" t="s">
        <v>115</v>
      </c>
      <c r="I981" s="1152">
        <f>'PART-B'!K571</f>
        <v>130</v>
      </c>
      <c r="J981" s="1153">
        <f t="shared" si="190"/>
        <v>0</v>
      </c>
      <c r="K981" s="1189">
        <f t="shared" si="187"/>
        <v>0</v>
      </c>
      <c r="L981" s="1190">
        <f t="shared" si="188"/>
        <v>0</v>
      </c>
      <c r="M981" s="1159" t="s">
        <v>2313</v>
      </c>
      <c r="N981" s="1155"/>
      <c r="O981" s="1160">
        <f t="shared" si="189"/>
        <v>0</v>
      </c>
    </row>
    <row r="982" spans="1:15" s="360" customFormat="1" ht="15" hidden="1">
      <c r="A982" s="356" t="s">
        <v>503</v>
      </c>
      <c r="B982" s="632" t="s">
        <v>477</v>
      </c>
      <c r="C982" s="551"/>
      <c r="D982" s="221"/>
      <c r="E982" s="10"/>
      <c r="F982" s="353"/>
      <c r="G982" s="429">
        <f>'PART-B'!I578</f>
        <v>0</v>
      </c>
      <c r="H982" s="221" t="s">
        <v>29</v>
      </c>
      <c r="I982" s="430">
        <f>'PART-B'!K578</f>
        <v>89280</v>
      </c>
      <c r="J982" s="353">
        <f t="shared" si="190"/>
        <v>0</v>
      </c>
      <c r="K982" s="669">
        <f t="shared" si="187"/>
        <v>0</v>
      </c>
      <c r="L982" s="368">
        <f t="shared" si="188"/>
        <v>0</v>
      </c>
      <c r="M982" s="633" t="s">
        <v>2313</v>
      </c>
      <c r="N982" s="223"/>
      <c r="O982" s="631">
        <f t="shared" si="189"/>
        <v>0</v>
      </c>
    </row>
    <row r="983" spans="1:15" s="360" customFormat="1" ht="15" hidden="1">
      <c r="A983" s="356" t="s">
        <v>495</v>
      </c>
      <c r="B983" s="632" t="s">
        <v>2061</v>
      </c>
      <c r="C983" s="634"/>
      <c r="D983" s="354"/>
      <c r="E983" s="10"/>
      <c r="F983" s="353"/>
      <c r="G983" s="358">
        <f>'PART-B'!I584</f>
        <v>0</v>
      </c>
      <c r="H983" s="354" t="s">
        <v>5</v>
      </c>
      <c r="I983" s="355">
        <f>'PART-B'!K584</f>
        <v>11192.01</v>
      </c>
      <c r="J983" s="353">
        <f t="shared" si="190"/>
        <v>0</v>
      </c>
      <c r="K983" s="669">
        <f t="shared" si="187"/>
        <v>0</v>
      </c>
      <c r="L983" s="368">
        <f t="shared" si="188"/>
        <v>0</v>
      </c>
      <c r="M983" s="633" t="s">
        <v>2313</v>
      </c>
      <c r="N983" s="223"/>
      <c r="O983" s="631">
        <f t="shared" si="189"/>
        <v>0</v>
      </c>
    </row>
    <row r="984" spans="1:15" s="360" customFormat="1" ht="15" hidden="1">
      <c r="A984" s="356" t="s">
        <v>1515</v>
      </c>
      <c r="B984" s="632" t="s">
        <v>2063</v>
      </c>
      <c r="C984" s="634"/>
      <c r="D984" s="354"/>
      <c r="E984" s="10"/>
      <c r="F984" s="353"/>
      <c r="G984" s="358">
        <f>'PART-B'!I590</f>
        <v>0</v>
      </c>
      <c r="H984" s="354" t="s">
        <v>5</v>
      </c>
      <c r="I984" s="355">
        <f>'PART-B'!K590</f>
        <v>10490.18</v>
      </c>
      <c r="J984" s="353">
        <f t="shared" si="190"/>
        <v>0</v>
      </c>
      <c r="K984" s="669">
        <f t="shared" si="187"/>
        <v>0</v>
      </c>
      <c r="L984" s="368">
        <f t="shared" si="188"/>
        <v>0</v>
      </c>
      <c r="M984" s="633" t="s">
        <v>2313</v>
      </c>
      <c r="N984" s="223"/>
      <c r="O984" s="631">
        <f t="shared" si="189"/>
        <v>0</v>
      </c>
    </row>
    <row r="985" spans="1:15" s="360" customFormat="1" ht="15" hidden="1">
      <c r="A985" s="356" t="s">
        <v>1516</v>
      </c>
      <c r="B985" s="632" t="s">
        <v>2064</v>
      </c>
      <c r="C985" s="634"/>
      <c r="D985" s="354"/>
      <c r="E985" s="10"/>
      <c r="F985" s="353"/>
      <c r="G985" s="358">
        <f>'PART-B'!I601</f>
        <v>0</v>
      </c>
      <c r="H985" s="354" t="s">
        <v>102</v>
      </c>
      <c r="I985" s="355">
        <f>'PART-B'!K601</f>
        <v>1395.89</v>
      </c>
      <c r="J985" s="353">
        <f t="shared" si="190"/>
        <v>0</v>
      </c>
      <c r="K985" s="669">
        <f t="shared" si="187"/>
        <v>0</v>
      </c>
      <c r="L985" s="368">
        <f t="shared" si="188"/>
        <v>0</v>
      </c>
      <c r="M985" s="633" t="s">
        <v>2313</v>
      </c>
      <c r="N985" s="223"/>
      <c r="O985" s="631">
        <f t="shared" si="189"/>
        <v>0</v>
      </c>
    </row>
    <row r="986" spans="1:15" s="360" customFormat="1" ht="15" hidden="1">
      <c r="A986" s="356" t="s">
        <v>487</v>
      </c>
      <c r="B986" s="632" t="s">
        <v>2066</v>
      </c>
      <c r="C986" s="611"/>
      <c r="D986" s="354"/>
      <c r="E986" s="607"/>
      <c r="F986" s="353"/>
      <c r="G986" s="358">
        <f>'PART-B'!I606</f>
        <v>0</v>
      </c>
      <c r="H986" s="354" t="s">
        <v>102</v>
      </c>
      <c r="I986" s="355">
        <f>'PART-B'!K606</f>
        <v>1253.01</v>
      </c>
      <c r="J986" s="353">
        <f t="shared" si="190"/>
        <v>0</v>
      </c>
      <c r="K986" s="669">
        <f t="shared" si="187"/>
        <v>0</v>
      </c>
      <c r="L986" s="368">
        <f t="shared" si="188"/>
        <v>0</v>
      </c>
      <c r="M986" s="633" t="s">
        <v>2313</v>
      </c>
      <c r="N986" s="223"/>
      <c r="O986" s="631">
        <f t="shared" si="189"/>
        <v>0</v>
      </c>
    </row>
    <row r="987" spans="1:15" s="360" customFormat="1" ht="15" hidden="1">
      <c r="A987" s="356" t="s">
        <v>1517</v>
      </c>
      <c r="B987" s="632" t="s">
        <v>2065</v>
      </c>
      <c r="C987" s="551"/>
      <c r="D987" s="221"/>
      <c r="E987" s="10"/>
      <c r="F987" s="353"/>
      <c r="G987" s="358">
        <f>'PART-B'!I595</f>
        <v>0</v>
      </c>
      <c r="H987" s="221" t="s">
        <v>102</v>
      </c>
      <c r="I987" s="355">
        <f>'PART-B'!K595</f>
        <v>1538.77</v>
      </c>
      <c r="J987" s="353">
        <f t="shared" si="190"/>
        <v>0</v>
      </c>
      <c r="K987" s="669">
        <f t="shared" si="187"/>
        <v>0</v>
      </c>
      <c r="L987" s="368">
        <f t="shared" si="188"/>
        <v>0</v>
      </c>
      <c r="M987" s="633" t="s">
        <v>2313</v>
      </c>
      <c r="N987" s="223"/>
      <c r="O987" s="631">
        <f t="shared" si="189"/>
        <v>0</v>
      </c>
    </row>
    <row r="988" spans="1:15" s="360" customFormat="1" ht="15" hidden="1">
      <c r="A988" s="356" t="s">
        <v>517</v>
      </c>
      <c r="B988" s="632" t="s">
        <v>2072</v>
      </c>
      <c r="C988" s="636"/>
      <c r="D988" s="221"/>
      <c r="E988" s="614"/>
      <c r="F988" s="353"/>
      <c r="G988" s="358">
        <f>'PART-B'!I612</f>
        <v>0</v>
      </c>
      <c r="H988" s="221" t="s">
        <v>102</v>
      </c>
      <c r="I988" s="355">
        <f>'PART-B'!K612</f>
        <v>694.54</v>
      </c>
      <c r="J988" s="353">
        <f t="shared" si="190"/>
        <v>0</v>
      </c>
      <c r="K988" s="669">
        <f t="shared" si="187"/>
        <v>0</v>
      </c>
      <c r="L988" s="368">
        <f t="shared" si="188"/>
        <v>0</v>
      </c>
      <c r="M988" s="633" t="s">
        <v>2313</v>
      </c>
      <c r="N988" s="223"/>
      <c r="O988" s="631">
        <f t="shared" si="189"/>
        <v>0</v>
      </c>
    </row>
    <row r="989" spans="1:15" s="360" customFormat="1" ht="15" hidden="1">
      <c r="A989" s="356" t="s">
        <v>517</v>
      </c>
      <c r="B989" s="632" t="s">
        <v>2073</v>
      </c>
      <c r="C989" s="636"/>
      <c r="D989" s="221"/>
      <c r="E989" s="614"/>
      <c r="F989" s="353"/>
      <c r="G989" s="358">
        <f>'PART-B'!I618</f>
        <v>0</v>
      </c>
      <c r="H989" s="221" t="s">
        <v>102</v>
      </c>
      <c r="I989" s="355">
        <f>'PART-B'!K618</f>
        <v>553.39</v>
      </c>
      <c r="J989" s="353">
        <f t="shared" si="190"/>
        <v>0</v>
      </c>
      <c r="K989" s="669">
        <f t="shared" si="187"/>
        <v>0</v>
      </c>
      <c r="L989" s="368">
        <f t="shared" si="188"/>
        <v>0</v>
      </c>
      <c r="M989" s="633" t="s">
        <v>2313</v>
      </c>
      <c r="N989" s="223"/>
      <c r="O989" s="631">
        <f t="shared" si="189"/>
        <v>0</v>
      </c>
    </row>
    <row r="990" spans="1:15" s="360" customFormat="1" ht="15" hidden="1">
      <c r="A990" s="356" t="s">
        <v>513</v>
      </c>
      <c r="B990" s="632" t="s">
        <v>2069</v>
      </c>
      <c r="C990" s="634"/>
      <c r="D990" s="354"/>
      <c r="E990" s="10"/>
      <c r="F990" s="353"/>
      <c r="G990" s="358">
        <f>'PART-B'!I624</f>
        <v>0</v>
      </c>
      <c r="H990" s="354" t="s">
        <v>5</v>
      </c>
      <c r="I990" s="355">
        <f>'PART-B'!K624</f>
        <v>11212.51</v>
      </c>
      <c r="J990" s="353">
        <f t="shared" si="190"/>
        <v>0</v>
      </c>
      <c r="K990" s="669">
        <f t="shared" si="187"/>
        <v>0</v>
      </c>
      <c r="L990" s="368">
        <f t="shared" si="188"/>
        <v>0</v>
      </c>
      <c r="M990" s="633" t="s">
        <v>2313</v>
      </c>
      <c r="N990" s="223"/>
      <c r="O990" s="631">
        <f t="shared" si="189"/>
        <v>0</v>
      </c>
    </row>
    <row r="991" spans="1:15" s="360" customFormat="1" ht="15" hidden="1">
      <c r="A991" s="356" t="s">
        <v>515</v>
      </c>
      <c r="B991" s="632" t="s">
        <v>2070</v>
      </c>
      <c r="C991" s="551"/>
      <c r="D991" s="221"/>
      <c r="E991" s="10"/>
      <c r="F991" s="353"/>
      <c r="G991" s="358">
        <f>'PART-B'!I630</f>
        <v>0</v>
      </c>
      <c r="H991" s="221" t="s">
        <v>277</v>
      </c>
      <c r="I991" s="355">
        <f>'PART-B'!K630</f>
        <v>630.35</v>
      </c>
      <c r="J991" s="353">
        <f t="shared" si="190"/>
        <v>0</v>
      </c>
      <c r="K991" s="669">
        <f t="shared" ref="K991:K1054" si="191">IF(J991&gt;F991,J991-F991,0)</f>
        <v>0</v>
      </c>
      <c r="L991" s="368">
        <f t="shared" ref="L991:L1054" si="192">IF(J991&lt;F991,F991-J991,0)</f>
        <v>0</v>
      </c>
      <c r="M991" s="633" t="s">
        <v>2313</v>
      </c>
      <c r="N991" s="223"/>
      <c r="O991" s="631">
        <f t="shared" si="189"/>
        <v>0</v>
      </c>
    </row>
    <row r="992" spans="1:15" s="360" customFormat="1" ht="15" hidden="1">
      <c r="A992" s="356" t="s">
        <v>497</v>
      </c>
      <c r="B992" s="632" t="s">
        <v>1478</v>
      </c>
      <c r="C992" s="636"/>
      <c r="D992" s="221"/>
      <c r="E992" s="10"/>
      <c r="F992" s="353"/>
      <c r="G992" s="358">
        <f>'PART-B'!I636</f>
        <v>0</v>
      </c>
      <c r="H992" s="221" t="s">
        <v>102</v>
      </c>
      <c r="I992" s="355">
        <f>'PART-B'!K636</f>
        <v>339.16</v>
      </c>
      <c r="J992" s="353">
        <f t="shared" si="190"/>
        <v>0</v>
      </c>
      <c r="K992" s="669">
        <f t="shared" si="191"/>
        <v>0</v>
      </c>
      <c r="L992" s="368">
        <f t="shared" si="192"/>
        <v>0</v>
      </c>
      <c r="M992" s="633" t="s">
        <v>2313</v>
      </c>
      <c r="N992" s="223"/>
      <c r="O992" s="631">
        <f t="shared" ref="O992:O1055" si="193">F992-J992</f>
        <v>0</v>
      </c>
    </row>
    <row r="993" spans="1:15" s="360" customFormat="1" ht="15" hidden="1">
      <c r="A993" s="356" t="s">
        <v>520</v>
      </c>
      <c r="B993" s="632" t="s">
        <v>1479</v>
      </c>
      <c r="C993" s="636"/>
      <c r="D993" s="221"/>
      <c r="E993" s="614"/>
      <c r="F993" s="353"/>
      <c r="G993" s="358">
        <f>'PART-B'!I642</f>
        <v>0</v>
      </c>
      <c r="H993" s="221" t="s">
        <v>102</v>
      </c>
      <c r="I993" s="355">
        <f>'PART-B'!K642</f>
        <v>438.06</v>
      </c>
      <c r="J993" s="353">
        <f t="shared" si="190"/>
        <v>0</v>
      </c>
      <c r="K993" s="669">
        <f t="shared" si="191"/>
        <v>0</v>
      </c>
      <c r="L993" s="368">
        <f t="shared" si="192"/>
        <v>0</v>
      </c>
      <c r="M993" s="633" t="s">
        <v>2313</v>
      </c>
      <c r="N993" s="223"/>
      <c r="O993" s="631">
        <f t="shared" si="193"/>
        <v>0</v>
      </c>
    </row>
    <row r="994" spans="1:15" s="360" customFormat="1" ht="15" hidden="1">
      <c r="A994" s="356" t="s">
        <v>519</v>
      </c>
      <c r="B994" s="632" t="s">
        <v>829</v>
      </c>
      <c r="C994" s="634"/>
      <c r="D994" s="354"/>
      <c r="E994" s="10"/>
      <c r="F994" s="353"/>
      <c r="G994" s="358">
        <f>'PART-B'!I654</f>
        <v>0</v>
      </c>
      <c r="H994" s="354" t="s">
        <v>5</v>
      </c>
      <c r="I994" s="355">
        <f>'PART-B'!K654</f>
        <v>7283.96</v>
      </c>
      <c r="J994" s="353">
        <f t="shared" si="190"/>
        <v>0</v>
      </c>
      <c r="K994" s="669">
        <f t="shared" si="191"/>
        <v>0</v>
      </c>
      <c r="L994" s="368">
        <f t="shared" si="192"/>
        <v>0</v>
      </c>
      <c r="M994" s="633" t="s">
        <v>2313</v>
      </c>
      <c r="N994" s="223"/>
      <c r="O994" s="631">
        <f t="shared" si="193"/>
        <v>0</v>
      </c>
    </row>
    <row r="995" spans="1:15" s="360" customFormat="1" ht="15" hidden="1">
      <c r="A995" s="356" t="s">
        <v>491</v>
      </c>
      <c r="B995" s="632" t="s">
        <v>828</v>
      </c>
      <c r="C995" s="634"/>
      <c r="D995" s="354"/>
      <c r="E995" s="10"/>
      <c r="F995" s="353"/>
      <c r="G995" s="358">
        <f>'PART-B'!I648</f>
        <v>0</v>
      </c>
      <c r="H995" s="354" t="s">
        <v>5</v>
      </c>
      <c r="I995" s="355">
        <f>'PART-B'!K648</f>
        <v>7227.5599999999995</v>
      </c>
      <c r="J995" s="353">
        <f t="shared" si="190"/>
        <v>0</v>
      </c>
      <c r="K995" s="669">
        <f t="shared" si="191"/>
        <v>0</v>
      </c>
      <c r="L995" s="368">
        <f t="shared" si="192"/>
        <v>0</v>
      </c>
      <c r="M995" s="633" t="s">
        <v>2313</v>
      </c>
      <c r="N995" s="223"/>
      <c r="O995" s="631">
        <f t="shared" si="193"/>
        <v>0</v>
      </c>
    </row>
    <row r="996" spans="1:15" s="360" customFormat="1" ht="25.5" hidden="1">
      <c r="A996" s="356" t="s">
        <v>521</v>
      </c>
      <c r="B996" s="632" t="s">
        <v>705</v>
      </c>
      <c r="C996" s="634"/>
      <c r="D996" s="354"/>
      <c r="E996" s="10"/>
      <c r="F996" s="353"/>
      <c r="G996" s="358">
        <f>'PART-B'!I661</f>
        <v>0</v>
      </c>
      <c r="H996" s="354" t="s">
        <v>102</v>
      </c>
      <c r="I996" s="355">
        <f>'PART-B'!K661</f>
        <v>929.28</v>
      </c>
      <c r="J996" s="353">
        <f>ROUND(G996*I996/1,0)</f>
        <v>0</v>
      </c>
      <c r="K996" s="669">
        <f t="shared" si="191"/>
        <v>0</v>
      </c>
      <c r="L996" s="368">
        <f t="shared" si="192"/>
        <v>0</v>
      </c>
      <c r="M996" s="633" t="s">
        <v>2313</v>
      </c>
      <c r="N996" s="223"/>
      <c r="O996" s="631">
        <f t="shared" si="193"/>
        <v>0</v>
      </c>
    </row>
    <row r="997" spans="1:15" s="360" customFormat="1" ht="15" hidden="1">
      <c r="A997" s="356" t="s">
        <v>483</v>
      </c>
      <c r="B997" s="632" t="s">
        <v>1221</v>
      </c>
      <c r="C997" s="634"/>
      <c r="D997" s="354"/>
      <c r="E997" s="10"/>
      <c r="F997" s="353"/>
      <c r="G997" s="358">
        <f>'PART-B'!I668</f>
        <v>0</v>
      </c>
      <c r="H997" s="354" t="s">
        <v>102</v>
      </c>
      <c r="I997" s="355">
        <f>'PART-B'!K668</f>
        <v>6718.55</v>
      </c>
      <c r="J997" s="353">
        <f>ROUND(G997*I997/1,0)</f>
        <v>0</v>
      </c>
      <c r="K997" s="669">
        <f t="shared" si="191"/>
        <v>0</v>
      </c>
      <c r="L997" s="368">
        <f t="shared" si="192"/>
        <v>0</v>
      </c>
      <c r="M997" s="633" t="s">
        <v>2313</v>
      </c>
      <c r="N997" s="223"/>
      <c r="O997" s="631">
        <f t="shared" si="193"/>
        <v>0</v>
      </c>
    </row>
    <row r="998" spans="1:15" s="360" customFormat="1" ht="15" hidden="1">
      <c r="A998" s="356" t="s">
        <v>484</v>
      </c>
      <c r="B998" s="632" t="s">
        <v>1214</v>
      </c>
      <c r="C998" s="636"/>
      <c r="D998" s="354"/>
      <c r="E998" s="614"/>
      <c r="F998" s="353"/>
      <c r="G998" s="358">
        <f>'PART-B'!I674</f>
        <v>0</v>
      </c>
      <c r="H998" s="354" t="s">
        <v>102</v>
      </c>
      <c r="I998" s="355">
        <f>'PART-B'!K674</f>
        <v>2346.34</v>
      </c>
      <c r="J998" s="353">
        <f>ROUND(G998*I998/1,0)</f>
        <v>0</v>
      </c>
      <c r="K998" s="669">
        <f t="shared" si="191"/>
        <v>0</v>
      </c>
      <c r="L998" s="368">
        <f t="shared" si="192"/>
        <v>0</v>
      </c>
      <c r="M998" s="633" t="s">
        <v>2313</v>
      </c>
      <c r="N998" s="223"/>
      <c r="O998" s="631">
        <f t="shared" si="193"/>
        <v>0</v>
      </c>
    </row>
    <row r="999" spans="1:15" s="360" customFormat="1" ht="15" hidden="1">
      <c r="A999" s="356" t="s">
        <v>516</v>
      </c>
      <c r="B999" s="632" t="s">
        <v>481</v>
      </c>
      <c r="C999" s="634"/>
      <c r="D999" s="354"/>
      <c r="E999" s="10"/>
      <c r="F999" s="353"/>
      <c r="G999" s="358">
        <f>'PART-B'!I681</f>
        <v>0</v>
      </c>
      <c r="H999" s="354" t="s">
        <v>102</v>
      </c>
      <c r="I999" s="355">
        <f>'PART-B'!K681</f>
        <v>351.17</v>
      </c>
      <c r="J999" s="353">
        <f t="shared" ref="J999:J1031" si="194">ROUND(G999*I999,0)</f>
        <v>0</v>
      </c>
      <c r="K999" s="669">
        <f t="shared" si="191"/>
        <v>0</v>
      </c>
      <c r="L999" s="368">
        <f t="shared" si="192"/>
        <v>0</v>
      </c>
      <c r="M999" s="633" t="s">
        <v>2313</v>
      </c>
      <c r="N999" s="223"/>
      <c r="O999" s="631">
        <f t="shared" si="193"/>
        <v>0</v>
      </c>
    </row>
    <row r="1000" spans="1:15" s="360" customFormat="1" ht="15" hidden="1">
      <c r="A1000" s="356" t="s">
        <v>516</v>
      </c>
      <c r="B1000" s="632" t="s">
        <v>505</v>
      </c>
      <c r="C1000" s="611"/>
      <c r="D1000" s="354"/>
      <c r="E1000" s="362"/>
      <c r="F1000" s="353"/>
      <c r="G1000" s="358">
        <f>'PART-B'!I689</f>
        <v>0</v>
      </c>
      <c r="H1000" s="354" t="s">
        <v>102</v>
      </c>
      <c r="I1000" s="355">
        <f>'PART-B'!K689</f>
        <v>323.04000000000002</v>
      </c>
      <c r="J1000" s="353">
        <f t="shared" si="194"/>
        <v>0</v>
      </c>
      <c r="K1000" s="669">
        <f t="shared" si="191"/>
        <v>0</v>
      </c>
      <c r="L1000" s="368">
        <f t="shared" si="192"/>
        <v>0</v>
      </c>
      <c r="M1000" s="633" t="s">
        <v>2313</v>
      </c>
      <c r="N1000" s="223"/>
      <c r="O1000" s="631">
        <f t="shared" si="193"/>
        <v>0</v>
      </c>
    </row>
    <row r="1001" spans="1:15" s="360" customFormat="1" ht="15" hidden="1">
      <c r="A1001" s="356" t="s">
        <v>517</v>
      </c>
      <c r="B1001" s="632" t="s">
        <v>805</v>
      </c>
      <c r="C1001" s="611"/>
      <c r="D1001" s="354"/>
      <c r="E1001" s="362"/>
      <c r="F1001" s="353"/>
      <c r="G1001" s="358">
        <f>'PART-B'!I697</f>
        <v>0</v>
      </c>
      <c r="H1001" s="354" t="s">
        <v>102</v>
      </c>
      <c r="I1001" s="355">
        <f>'PART-B'!K697</f>
        <v>343.23</v>
      </c>
      <c r="J1001" s="353">
        <f t="shared" si="194"/>
        <v>0</v>
      </c>
      <c r="K1001" s="669">
        <f t="shared" si="191"/>
        <v>0</v>
      </c>
      <c r="L1001" s="368">
        <f t="shared" si="192"/>
        <v>0</v>
      </c>
      <c r="M1001" s="633" t="s">
        <v>2313</v>
      </c>
      <c r="N1001" s="223"/>
      <c r="O1001" s="631">
        <f t="shared" si="193"/>
        <v>0</v>
      </c>
    </row>
    <row r="1002" spans="1:15" s="360" customFormat="1" ht="15" hidden="1">
      <c r="A1002" s="356" t="s">
        <v>518</v>
      </c>
      <c r="B1002" s="632" t="s">
        <v>830</v>
      </c>
      <c r="C1002" s="634"/>
      <c r="D1002" s="354"/>
      <c r="E1002" s="10"/>
      <c r="F1002" s="353"/>
      <c r="G1002" s="358">
        <f>'PART-B'!I704</f>
        <v>0</v>
      </c>
      <c r="H1002" s="354" t="s">
        <v>102</v>
      </c>
      <c r="I1002" s="355">
        <f>'PART-B'!K704</f>
        <v>425.82</v>
      </c>
      <c r="J1002" s="353">
        <f t="shared" si="194"/>
        <v>0</v>
      </c>
      <c r="K1002" s="669">
        <f t="shared" si="191"/>
        <v>0</v>
      </c>
      <c r="L1002" s="368">
        <f t="shared" si="192"/>
        <v>0</v>
      </c>
      <c r="M1002" s="633" t="s">
        <v>2313</v>
      </c>
      <c r="N1002" s="223"/>
      <c r="O1002" s="631">
        <f t="shared" si="193"/>
        <v>0</v>
      </c>
    </row>
    <row r="1003" spans="1:15" s="360" customFormat="1" ht="15" hidden="1">
      <c r="A1003" s="356" t="s">
        <v>520</v>
      </c>
      <c r="B1003" s="632" t="s">
        <v>541</v>
      </c>
      <c r="C1003" s="634"/>
      <c r="D1003" s="354"/>
      <c r="E1003" s="10"/>
      <c r="F1003" s="353"/>
      <c r="G1003" s="358">
        <f>'PART-B'!I711</f>
        <v>0</v>
      </c>
      <c r="H1003" s="354" t="s">
        <v>102</v>
      </c>
      <c r="I1003" s="355">
        <f>'PART-B'!K711</f>
        <v>441.63</v>
      </c>
      <c r="J1003" s="353">
        <f t="shared" si="194"/>
        <v>0</v>
      </c>
      <c r="K1003" s="669">
        <f t="shared" si="191"/>
        <v>0</v>
      </c>
      <c r="L1003" s="368">
        <f t="shared" si="192"/>
        <v>0</v>
      </c>
      <c r="M1003" s="633" t="s">
        <v>2313</v>
      </c>
      <c r="N1003" s="223"/>
      <c r="O1003" s="631">
        <f t="shared" si="193"/>
        <v>0</v>
      </c>
    </row>
    <row r="1004" spans="1:15" s="360" customFormat="1" ht="15" hidden="1">
      <c r="A1004" s="356" t="s">
        <v>503</v>
      </c>
      <c r="B1004" s="632" t="s">
        <v>2071</v>
      </c>
      <c r="C1004" s="611"/>
      <c r="D1004" s="354"/>
      <c r="E1004" s="607"/>
      <c r="F1004" s="353"/>
      <c r="G1004" s="358">
        <f>'PART-B'!I718</f>
        <v>0</v>
      </c>
      <c r="H1004" s="354" t="s">
        <v>5</v>
      </c>
      <c r="I1004" s="355">
        <f>'PART-B'!K718</f>
        <v>5722.81</v>
      </c>
      <c r="J1004" s="353">
        <f t="shared" si="194"/>
        <v>0</v>
      </c>
      <c r="K1004" s="669">
        <f t="shared" si="191"/>
        <v>0</v>
      </c>
      <c r="L1004" s="368">
        <f t="shared" si="192"/>
        <v>0</v>
      </c>
      <c r="M1004" s="633" t="s">
        <v>2313</v>
      </c>
      <c r="N1004" s="223"/>
      <c r="O1004" s="631">
        <f t="shared" si="193"/>
        <v>0</v>
      </c>
    </row>
    <row r="1005" spans="1:15" s="360" customFormat="1" ht="15" hidden="1">
      <c r="A1005" s="356" t="s">
        <v>522</v>
      </c>
      <c r="B1005" s="632" t="s">
        <v>507</v>
      </c>
      <c r="C1005" s="634"/>
      <c r="D1005" s="354"/>
      <c r="E1005" s="10"/>
      <c r="F1005" s="353"/>
      <c r="G1005" s="358">
        <f>'PART-B'!I725</f>
        <v>0</v>
      </c>
      <c r="H1005" s="354" t="s">
        <v>102</v>
      </c>
      <c r="I1005" s="355">
        <f>'PART-B'!K725</f>
        <v>1103.3900000000001</v>
      </c>
      <c r="J1005" s="353">
        <f t="shared" si="194"/>
        <v>0</v>
      </c>
      <c r="K1005" s="669">
        <f t="shared" si="191"/>
        <v>0</v>
      </c>
      <c r="L1005" s="368">
        <f t="shared" si="192"/>
        <v>0</v>
      </c>
      <c r="M1005" s="633" t="s">
        <v>2313</v>
      </c>
      <c r="N1005" s="223"/>
      <c r="O1005" s="631">
        <f t="shared" si="193"/>
        <v>0</v>
      </c>
    </row>
    <row r="1006" spans="1:15" s="360" customFormat="1" ht="15" hidden="1">
      <c r="A1006" s="356" t="s">
        <v>525</v>
      </c>
      <c r="B1006" s="632" t="s">
        <v>509</v>
      </c>
      <c r="C1006" s="634"/>
      <c r="D1006" s="354"/>
      <c r="E1006" s="10"/>
      <c r="F1006" s="353"/>
      <c r="G1006" s="358">
        <f>'PART-B'!I732</f>
        <v>0</v>
      </c>
      <c r="H1006" s="354" t="s">
        <v>102</v>
      </c>
      <c r="I1006" s="355">
        <f>'PART-B'!K732</f>
        <v>1098.05</v>
      </c>
      <c r="J1006" s="353">
        <f t="shared" si="194"/>
        <v>0</v>
      </c>
      <c r="K1006" s="669">
        <f t="shared" si="191"/>
        <v>0</v>
      </c>
      <c r="L1006" s="368">
        <f t="shared" si="192"/>
        <v>0</v>
      </c>
      <c r="M1006" s="633" t="s">
        <v>2313</v>
      </c>
      <c r="N1006" s="223"/>
      <c r="O1006" s="631">
        <f t="shared" si="193"/>
        <v>0</v>
      </c>
    </row>
    <row r="1007" spans="1:15" s="360" customFormat="1" ht="15" hidden="1">
      <c r="A1007" s="356" t="s">
        <v>526</v>
      </c>
      <c r="B1007" s="632" t="s">
        <v>708</v>
      </c>
      <c r="C1007" s="635"/>
      <c r="D1007" s="354"/>
      <c r="E1007" s="362"/>
      <c r="F1007" s="353"/>
      <c r="G1007" s="358">
        <f>'PART-B'!I739</f>
        <v>0</v>
      </c>
      <c r="H1007" s="354" t="s">
        <v>77</v>
      </c>
      <c r="I1007" s="355">
        <f>'PART-B'!K739</f>
        <v>3181.62</v>
      </c>
      <c r="J1007" s="353">
        <f t="shared" si="194"/>
        <v>0</v>
      </c>
      <c r="K1007" s="669">
        <f t="shared" si="191"/>
        <v>0</v>
      </c>
      <c r="L1007" s="368">
        <f t="shared" si="192"/>
        <v>0</v>
      </c>
      <c r="M1007" s="633" t="s">
        <v>2313</v>
      </c>
      <c r="N1007" s="223"/>
      <c r="O1007" s="631">
        <f t="shared" si="193"/>
        <v>0</v>
      </c>
    </row>
    <row r="1008" spans="1:15" s="360" customFormat="1" ht="15" hidden="1">
      <c r="A1008" s="356" t="s">
        <v>527</v>
      </c>
      <c r="B1008" s="632" t="s">
        <v>877</v>
      </c>
      <c r="C1008" s="635"/>
      <c r="D1008" s="354"/>
      <c r="E1008" s="362"/>
      <c r="F1008" s="353"/>
      <c r="G1008" s="358">
        <f>'PART-B'!I746</f>
        <v>0</v>
      </c>
      <c r="H1008" s="354" t="s">
        <v>102</v>
      </c>
      <c r="I1008" s="355">
        <f>'PART-B'!K746</f>
        <v>2950.54</v>
      </c>
      <c r="J1008" s="353">
        <f t="shared" si="194"/>
        <v>0</v>
      </c>
      <c r="K1008" s="669">
        <f t="shared" si="191"/>
        <v>0</v>
      </c>
      <c r="L1008" s="368">
        <f t="shared" si="192"/>
        <v>0</v>
      </c>
      <c r="M1008" s="633" t="s">
        <v>2313</v>
      </c>
      <c r="N1008" s="223"/>
      <c r="O1008" s="631">
        <f t="shared" si="193"/>
        <v>0</v>
      </c>
    </row>
    <row r="1009" spans="1:15" s="360" customFormat="1" ht="15" hidden="1">
      <c r="A1009" s="356" t="s">
        <v>529</v>
      </c>
      <c r="B1009" s="632" t="s">
        <v>710</v>
      </c>
      <c r="C1009" s="635"/>
      <c r="D1009" s="354"/>
      <c r="E1009" s="362"/>
      <c r="F1009" s="353"/>
      <c r="G1009" s="358">
        <f>'PART-B'!I754</f>
        <v>0</v>
      </c>
      <c r="H1009" s="354" t="s">
        <v>102</v>
      </c>
      <c r="I1009" s="355">
        <f>'PART-B'!K754</f>
        <v>780.73</v>
      </c>
      <c r="J1009" s="353">
        <f t="shared" si="194"/>
        <v>0</v>
      </c>
      <c r="K1009" s="669">
        <f t="shared" si="191"/>
        <v>0</v>
      </c>
      <c r="L1009" s="368">
        <f t="shared" si="192"/>
        <v>0</v>
      </c>
      <c r="M1009" s="633" t="s">
        <v>2313</v>
      </c>
      <c r="N1009" s="223"/>
      <c r="O1009" s="631">
        <f t="shared" si="193"/>
        <v>0</v>
      </c>
    </row>
    <row r="1010" spans="1:15" s="360" customFormat="1" ht="15" hidden="1">
      <c r="A1010" s="356" t="s">
        <v>530</v>
      </c>
      <c r="B1010" s="632" t="s">
        <v>711</v>
      </c>
      <c r="C1010" s="635"/>
      <c r="D1010" s="354"/>
      <c r="E1010" s="362"/>
      <c r="F1010" s="353"/>
      <c r="G1010" s="358">
        <f>'PART-B'!I761</f>
        <v>0</v>
      </c>
      <c r="H1010" s="354" t="s">
        <v>102</v>
      </c>
      <c r="I1010" s="355">
        <f>'PART-B'!K761</f>
        <v>786.2</v>
      </c>
      <c r="J1010" s="353">
        <f t="shared" si="194"/>
        <v>0</v>
      </c>
      <c r="K1010" s="669">
        <f t="shared" si="191"/>
        <v>0</v>
      </c>
      <c r="L1010" s="368">
        <f t="shared" si="192"/>
        <v>0</v>
      </c>
      <c r="M1010" s="633" t="s">
        <v>2313</v>
      </c>
      <c r="N1010" s="223"/>
      <c r="O1010" s="631">
        <f t="shared" si="193"/>
        <v>0</v>
      </c>
    </row>
    <row r="1011" spans="1:15" s="360" customFormat="1" ht="15" hidden="1">
      <c r="A1011" s="356" t="s">
        <v>528</v>
      </c>
      <c r="B1011" s="632" t="s">
        <v>511</v>
      </c>
      <c r="C1011" s="634"/>
      <c r="D1011" s="354"/>
      <c r="E1011" s="10"/>
      <c r="F1011" s="353"/>
      <c r="G1011" s="358">
        <f>'PART-B'!I768</f>
        <v>0</v>
      </c>
      <c r="H1011" s="354" t="s">
        <v>102</v>
      </c>
      <c r="I1011" s="355">
        <f>'PART-B'!K768</f>
        <v>837.86</v>
      </c>
      <c r="J1011" s="353">
        <f t="shared" si="194"/>
        <v>0</v>
      </c>
      <c r="K1011" s="669">
        <f t="shared" si="191"/>
        <v>0</v>
      </c>
      <c r="L1011" s="368">
        <f t="shared" si="192"/>
        <v>0</v>
      </c>
      <c r="M1011" s="633" t="s">
        <v>2313</v>
      </c>
      <c r="N1011" s="223"/>
      <c r="O1011" s="631">
        <f t="shared" si="193"/>
        <v>0</v>
      </c>
    </row>
    <row r="1012" spans="1:15" s="360" customFormat="1" ht="15" hidden="1">
      <c r="A1012" s="356" t="s">
        <v>529</v>
      </c>
      <c r="B1012" s="632" t="s">
        <v>570</v>
      </c>
      <c r="C1012" s="634"/>
      <c r="D1012" s="354"/>
      <c r="E1012" s="10"/>
      <c r="F1012" s="353"/>
      <c r="G1012" s="358">
        <f>'PART-B'!I775</f>
        <v>0</v>
      </c>
      <c r="H1012" s="354" t="s">
        <v>102</v>
      </c>
      <c r="I1012" s="355">
        <f>'PART-B'!K775</f>
        <v>527.21</v>
      </c>
      <c r="J1012" s="353">
        <f t="shared" si="194"/>
        <v>0</v>
      </c>
      <c r="K1012" s="669">
        <f t="shared" si="191"/>
        <v>0</v>
      </c>
      <c r="L1012" s="368">
        <f t="shared" si="192"/>
        <v>0</v>
      </c>
      <c r="M1012" s="633" t="s">
        <v>2313</v>
      </c>
      <c r="N1012" s="223"/>
      <c r="O1012" s="631">
        <f t="shared" si="193"/>
        <v>0</v>
      </c>
    </row>
    <row r="1013" spans="1:15" s="360" customFormat="1" ht="15" hidden="1">
      <c r="A1013" s="356" t="s">
        <v>492</v>
      </c>
      <c r="B1013" s="632" t="s">
        <v>1222</v>
      </c>
      <c r="C1013" s="635"/>
      <c r="D1013" s="354"/>
      <c r="E1013" s="362"/>
      <c r="F1013" s="353"/>
      <c r="G1013" s="358">
        <f>'PART-B'!I783</f>
        <v>0</v>
      </c>
      <c r="H1013" s="354" t="s">
        <v>102</v>
      </c>
      <c r="I1013" s="355">
        <f>'PART-B'!K783</f>
        <v>1059.21</v>
      </c>
      <c r="J1013" s="353">
        <f t="shared" si="194"/>
        <v>0</v>
      </c>
      <c r="K1013" s="669">
        <f t="shared" si="191"/>
        <v>0</v>
      </c>
      <c r="L1013" s="368">
        <f t="shared" si="192"/>
        <v>0</v>
      </c>
      <c r="M1013" s="633" t="s">
        <v>2313</v>
      </c>
      <c r="N1013" s="223"/>
      <c r="O1013" s="631">
        <f t="shared" si="193"/>
        <v>0</v>
      </c>
    </row>
    <row r="1014" spans="1:15" s="360" customFormat="1" ht="15" hidden="1">
      <c r="A1014" s="356" t="s">
        <v>533</v>
      </c>
      <c r="B1014" s="632" t="s">
        <v>707</v>
      </c>
      <c r="C1014" s="636"/>
      <c r="D1014" s="354"/>
      <c r="E1014" s="614"/>
      <c r="F1014" s="353"/>
      <c r="G1014" s="358">
        <f>'PART-B'!I792</f>
        <v>0</v>
      </c>
      <c r="H1014" s="354" t="s">
        <v>102</v>
      </c>
      <c r="I1014" s="355">
        <f>'PART-B'!K792</f>
        <v>25.98</v>
      </c>
      <c r="J1014" s="353">
        <f t="shared" si="194"/>
        <v>0</v>
      </c>
      <c r="K1014" s="669">
        <f t="shared" si="191"/>
        <v>0</v>
      </c>
      <c r="L1014" s="368">
        <f t="shared" si="192"/>
        <v>0</v>
      </c>
      <c r="M1014" s="633" t="s">
        <v>2313</v>
      </c>
      <c r="N1014" s="223"/>
      <c r="O1014" s="631">
        <f t="shared" si="193"/>
        <v>0</v>
      </c>
    </row>
    <row r="1015" spans="1:15" s="360" customFormat="1" ht="15" hidden="1">
      <c r="A1015" s="356" t="s">
        <v>530</v>
      </c>
      <c r="B1015" s="632" t="s">
        <v>888</v>
      </c>
      <c r="C1015" s="635"/>
      <c r="D1015" s="354"/>
      <c r="E1015" s="362"/>
      <c r="F1015" s="353"/>
      <c r="G1015" s="358">
        <f>'PART-B'!I802</f>
        <v>0</v>
      </c>
      <c r="H1015" s="354" t="s">
        <v>102</v>
      </c>
      <c r="I1015" s="355">
        <f>'PART-B'!K802</f>
        <v>184.03</v>
      </c>
      <c r="J1015" s="353">
        <f t="shared" si="194"/>
        <v>0</v>
      </c>
      <c r="K1015" s="669">
        <f t="shared" si="191"/>
        <v>0</v>
      </c>
      <c r="L1015" s="368">
        <f t="shared" si="192"/>
        <v>0</v>
      </c>
      <c r="M1015" s="633" t="s">
        <v>2313</v>
      </c>
      <c r="N1015" s="223"/>
      <c r="O1015" s="631">
        <f t="shared" si="193"/>
        <v>0</v>
      </c>
    </row>
    <row r="1016" spans="1:15" s="360" customFormat="1" ht="15" hidden="1">
      <c r="A1016" s="356" t="s">
        <v>532</v>
      </c>
      <c r="B1016" s="632" t="s">
        <v>571</v>
      </c>
      <c r="C1016" s="634"/>
      <c r="D1016" s="354"/>
      <c r="E1016" s="10"/>
      <c r="F1016" s="353"/>
      <c r="G1016" s="358">
        <f>'PART-B'!I811</f>
        <v>0</v>
      </c>
      <c r="H1016" s="354" t="s">
        <v>102</v>
      </c>
      <c r="I1016" s="355">
        <f>'PART-B'!K811</f>
        <v>158.36000000000001</v>
      </c>
      <c r="J1016" s="353">
        <f t="shared" si="194"/>
        <v>0</v>
      </c>
      <c r="K1016" s="669">
        <f t="shared" si="191"/>
        <v>0</v>
      </c>
      <c r="L1016" s="368">
        <f t="shared" si="192"/>
        <v>0</v>
      </c>
      <c r="M1016" s="633" t="s">
        <v>2313</v>
      </c>
      <c r="N1016" s="223"/>
      <c r="O1016" s="631">
        <f t="shared" si="193"/>
        <v>0</v>
      </c>
    </row>
    <row r="1017" spans="1:15" s="360" customFormat="1" ht="15" hidden="1">
      <c r="A1017" s="356" t="s">
        <v>533</v>
      </c>
      <c r="B1017" s="632" t="s">
        <v>1226</v>
      </c>
      <c r="C1017" s="634"/>
      <c r="D1017" s="354"/>
      <c r="E1017" s="10"/>
      <c r="F1017" s="353"/>
      <c r="G1017" s="358">
        <f>'PART-B'!I818</f>
        <v>0</v>
      </c>
      <c r="H1017" s="354" t="s">
        <v>102</v>
      </c>
      <c r="I1017" s="355">
        <f>'PART-B'!K818</f>
        <v>217.22</v>
      </c>
      <c r="J1017" s="353">
        <f t="shared" si="194"/>
        <v>0</v>
      </c>
      <c r="K1017" s="669">
        <f t="shared" si="191"/>
        <v>0</v>
      </c>
      <c r="L1017" s="368">
        <f t="shared" si="192"/>
        <v>0</v>
      </c>
      <c r="M1017" s="633" t="s">
        <v>2313</v>
      </c>
      <c r="N1017" s="223"/>
      <c r="O1017" s="631">
        <f t="shared" si="193"/>
        <v>0</v>
      </c>
    </row>
    <row r="1018" spans="1:15" s="360" customFormat="1" ht="15" hidden="1">
      <c r="A1018" s="356" t="s">
        <v>1143</v>
      </c>
      <c r="B1018" s="632" t="s">
        <v>477</v>
      </c>
      <c r="C1018" s="551"/>
      <c r="D1018" s="221"/>
      <c r="E1018" s="10"/>
      <c r="F1018" s="353"/>
      <c r="G1018" s="429">
        <f>'PART-B'!I825</f>
        <v>0</v>
      </c>
      <c r="H1018" s="221" t="s">
        <v>29</v>
      </c>
      <c r="I1018" s="430">
        <f>'PART-B'!K825</f>
        <v>90555</v>
      </c>
      <c r="J1018" s="353">
        <f t="shared" si="194"/>
        <v>0</v>
      </c>
      <c r="K1018" s="669">
        <f t="shared" si="191"/>
        <v>0</v>
      </c>
      <c r="L1018" s="368">
        <f t="shared" si="192"/>
        <v>0</v>
      </c>
      <c r="M1018" s="633" t="s">
        <v>2313</v>
      </c>
      <c r="N1018" s="223"/>
      <c r="O1018" s="631">
        <f t="shared" si="193"/>
        <v>0</v>
      </c>
    </row>
    <row r="1019" spans="1:15" s="360" customFormat="1" ht="15" hidden="1">
      <c r="A1019" s="356" t="s">
        <v>1583</v>
      </c>
      <c r="B1019" s="632" t="s">
        <v>2061</v>
      </c>
      <c r="C1019" s="636"/>
      <c r="D1019" s="354"/>
      <c r="E1019" s="614"/>
      <c r="F1019" s="353"/>
      <c r="G1019" s="358">
        <f>'PART-B'!I831</f>
        <v>0</v>
      </c>
      <c r="H1019" s="354" t="s">
        <v>5</v>
      </c>
      <c r="I1019" s="355">
        <f>'PART-B'!K831</f>
        <v>12013.61</v>
      </c>
      <c r="J1019" s="353">
        <f t="shared" si="194"/>
        <v>0</v>
      </c>
      <c r="K1019" s="669">
        <f t="shared" si="191"/>
        <v>0</v>
      </c>
      <c r="L1019" s="368">
        <f t="shared" si="192"/>
        <v>0</v>
      </c>
      <c r="M1019" s="633" t="s">
        <v>2313</v>
      </c>
      <c r="N1019" s="223"/>
      <c r="O1019" s="631">
        <f t="shared" si="193"/>
        <v>0</v>
      </c>
    </row>
    <row r="1020" spans="1:15" s="360" customFormat="1" ht="15" hidden="1">
      <c r="A1020" s="356" t="s">
        <v>645</v>
      </c>
      <c r="B1020" s="632" t="s">
        <v>2063</v>
      </c>
      <c r="C1020" s="636"/>
      <c r="D1020" s="354"/>
      <c r="E1020" s="614"/>
      <c r="F1020" s="353"/>
      <c r="G1020" s="358">
        <f>'PART-B'!I837</f>
        <v>0</v>
      </c>
      <c r="H1020" s="354" t="s">
        <v>5</v>
      </c>
      <c r="I1020" s="355">
        <f>'PART-B'!K837</f>
        <v>11098.560000000001</v>
      </c>
      <c r="J1020" s="353">
        <f t="shared" si="194"/>
        <v>0</v>
      </c>
      <c r="K1020" s="669">
        <f t="shared" si="191"/>
        <v>0</v>
      </c>
      <c r="L1020" s="368">
        <f t="shared" si="192"/>
        <v>0</v>
      </c>
      <c r="M1020" s="633" t="s">
        <v>2313</v>
      </c>
      <c r="N1020" s="223"/>
      <c r="O1020" s="631">
        <f t="shared" si="193"/>
        <v>0</v>
      </c>
    </row>
    <row r="1021" spans="1:15" s="360" customFormat="1" ht="15" hidden="1">
      <c r="A1021" s="356" t="s">
        <v>1584</v>
      </c>
      <c r="B1021" s="632" t="s">
        <v>2064</v>
      </c>
      <c r="C1021" s="636"/>
      <c r="D1021" s="354"/>
      <c r="E1021" s="614"/>
      <c r="F1021" s="353"/>
      <c r="G1021" s="358">
        <f>'PART-B'!I848</f>
        <v>0</v>
      </c>
      <c r="H1021" s="354" t="s">
        <v>102</v>
      </c>
      <c r="I1021" s="355">
        <f>'PART-B'!K848</f>
        <v>1594.17</v>
      </c>
      <c r="J1021" s="353">
        <f t="shared" si="194"/>
        <v>0</v>
      </c>
      <c r="K1021" s="669">
        <f t="shared" si="191"/>
        <v>0</v>
      </c>
      <c r="L1021" s="368">
        <f t="shared" si="192"/>
        <v>0</v>
      </c>
      <c r="M1021" s="633" t="s">
        <v>2313</v>
      </c>
      <c r="N1021" s="223"/>
      <c r="O1021" s="631">
        <f t="shared" si="193"/>
        <v>0</v>
      </c>
    </row>
    <row r="1022" spans="1:15" s="360" customFormat="1" ht="15" hidden="1">
      <c r="A1022" s="356" t="s">
        <v>487</v>
      </c>
      <c r="B1022" s="632" t="s">
        <v>2066</v>
      </c>
      <c r="C1022" s="611"/>
      <c r="D1022" s="354"/>
      <c r="E1022" s="607"/>
      <c r="F1022" s="353"/>
      <c r="G1022" s="358">
        <f>'PART-B'!I853</f>
        <v>0</v>
      </c>
      <c r="H1022" s="354" t="s">
        <v>102</v>
      </c>
      <c r="I1022" s="355">
        <f>'PART-B'!K853</f>
        <v>1451.29</v>
      </c>
      <c r="J1022" s="353">
        <f t="shared" si="194"/>
        <v>0</v>
      </c>
      <c r="K1022" s="669">
        <f t="shared" si="191"/>
        <v>0</v>
      </c>
      <c r="L1022" s="368">
        <f t="shared" si="192"/>
        <v>0</v>
      </c>
      <c r="M1022" s="633" t="s">
        <v>2313</v>
      </c>
      <c r="N1022" s="223"/>
      <c r="O1022" s="631">
        <f t="shared" si="193"/>
        <v>0</v>
      </c>
    </row>
    <row r="1023" spans="1:15" s="360" customFormat="1" ht="15" hidden="1">
      <c r="A1023" s="356" t="s">
        <v>516</v>
      </c>
      <c r="B1023" s="632" t="s">
        <v>2065</v>
      </c>
      <c r="C1023" s="636"/>
      <c r="D1023" s="221"/>
      <c r="E1023" s="614"/>
      <c r="F1023" s="353"/>
      <c r="G1023" s="358">
        <f>'PART-B'!I843</f>
        <v>0</v>
      </c>
      <c r="H1023" s="221" t="s">
        <v>102</v>
      </c>
      <c r="I1023" s="355">
        <f>'PART-B'!K843</f>
        <v>1737.05</v>
      </c>
      <c r="J1023" s="353">
        <f t="shared" si="194"/>
        <v>0</v>
      </c>
      <c r="K1023" s="669">
        <f t="shared" si="191"/>
        <v>0</v>
      </c>
      <c r="L1023" s="368">
        <f t="shared" si="192"/>
        <v>0</v>
      </c>
      <c r="M1023" s="633" t="s">
        <v>2313</v>
      </c>
      <c r="N1023" s="223"/>
      <c r="O1023" s="631">
        <f t="shared" si="193"/>
        <v>0</v>
      </c>
    </row>
    <row r="1024" spans="1:15" s="360" customFormat="1" ht="15" hidden="1">
      <c r="A1024" s="356" t="s">
        <v>517</v>
      </c>
      <c r="B1024" s="632" t="s">
        <v>2072</v>
      </c>
      <c r="C1024" s="636"/>
      <c r="D1024" s="221"/>
      <c r="E1024" s="614"/>
      <c r="F1024" s="353"/>
      <c r="G1024" s="358">
        <f>'PART-B'!I859</f>
        <v>0</v>
      </c>
      <c r="H1024" s="221" t="s">
        <v>102</v>
      </c>
      <c r="I1024" s="355">
        <f>'PART-B'!K859</f>
        <v>865.17</v>
      </c>
      <c r="J1024" s="353">
        <f t="shared" si="194"/>
        <v>0</v>
      </c>
      <c r="K1024" s="669">
        <f t="shared" si="191"/>
        <v>0</v>
      </c>
      <c r="L1024" s="368">
        <f t="shared" si="192"/>
        <v>0</v>
      </c>
      <c r="M1024" s="633" t="s">
        <v>2313</v>
      </c>
      <c r="N1024" s="223"/>
      <c r="O1024" s="631">
        <f t="shared" si="193"/>
        <v>0</v>
      </c>
    </row>
    <row r="1025" spans="1:15" s="360" customFormat="1" ht="15" hidden="1">
      <c r="A1025" s="356" t="s">
        <v>517</v>
      </c>
      <c r="B1025" s="632" t="s">
        <v>2073</v>
      </c>
      <c r="C1025" s="636"/>
      <c r="D1025" s="221"/>
      <c r="E1025" s="614"/>
      <c r="F1025" s="353"/>
      <c r="G1025" s="358">
        <f>'PART-B'!I865</f>
        <v>0</v>
      </c>
      <c r="H1025" s="221" t="s">
        <v>102</v>
      </c>
      <c r="I1025" s="355">
        <f>'PART-B'!K865</f>
        <v>724.02</v>
      </c>
      <c r="J1025" s="353">
        <f t="shared" si="194"/>
        <v>0</v>
      </c>
      <c r="K1025" s="669">
        <f t="shared" si="191"/>
        <v>0</v>
      </c>
      <c r="L1025" s="368">
        <f t="shared" si="192"/>
        <v>0</v>
      </c>
      <c r="M1025" s="633" t="s">
        <v>2313</v>
      </c>
      <c r="N1025" s="223"/>
      <c r="O1025" s="631">
        <f t="shared" si="193"/>
        <v>0</v>
      </c>
    </row>
    <row r="1026" spans="1:15" s="360" customFormat="1" ht="15" hidden="1">
      <c r="A1026" s="356" t="s">
        <v>518</v>
      </c>
      <c r="B1026" s="632" t="s">
        <v>2069</v>
      </c>
      <c r="C1026" s="636"/>
      <c r="D1026" s="354"/>
      <c r="E1026" s="614"/>
      <c r="F1026" s="353"/>
      <c r="G1026" s="358">
        <f>'PART-B'!I872</f>
        <v>0</v>
      </c>
      <c r="H1026" s="354" t="s">
        <v>5</v>
      </c>
      <c r="I1026" s="355">
        <f>'PART-B'!K872</f>
        <v>11874.810000000001</v>
      </c>
      <c r="J1026" s="353">
        <f t="shared" si="194"/>
        <v>0</v>
      </c>
      <c r="K1026" s="669">
        <f t="shared" si="191"/>
        <v>0</v>
      </c>
      <c r="L1026" s="368">
        <f t="shared" si="192"/>
        <v>0</v>
      </c>
      <c r="M1026" s="633" t="s">
        <v>2313</v>
      </c>
      <c r="N1026" s="223"/>
      <c r="O1026" s="631">
        <f t="shared" si="193"/>
        <v>0</v>
      </c>
    </row>
    <row r="1027" spans="1:15" s="360" customFormat="1" ht="15" hidden="1">
      <c r="A1027" s="356" t="s">
        <v>519</v>
      </c>
      <c r="B1027" s="632" t="s">
        <v>2070</v>
      </c>
      <c r="C1027" s="636"/>
      <c r="D1027" s="221"/>
      <c r="E1027" s="614"/>
      <c r="F1027" s="353"/>
      <c r="G1027" s="358">
        <f>'PART-B'!I877</f>
        <v>0</v>
      </c>
      <c r="H1027" s="221" t="s">
        <v>277</v>
      </c>
      <c r="I1027" s="355">
        <f>'PART-B'!K877</f>
        <v>744.7299999999999</v>
      </c>
      <c r="J1027" s="353">
        <f t="shared" si="194"/>
        <v>0</v>
      </c>
      <c r="K1027" s="669">
        <f t="shared" si="191"/>
        <v>0</v>
      </c>
      <c r="L1027" s="368">
        <f t="shared" si="192"/>
        <v>0</v>
      </c>
      <c r="M1027" s="633" t="s">
        <v>2313</v>
      </c>
      <c r="N1027" s="223"/>
      <c r="O1027" s="631">
        <f t="shared" si="193"/>
        <v>0</v>
      </c>
    </row>
    <row r="1028" spans="1:15" s="360" customFormat="1" ht="15" hidden="1">
      <c r="A1028" s="356" t="s">
        <v>519</v>
      </c>
      <c r="B1028" s="632" t="s">
        <v>1478</v>
      </c>
      <c r="C1028" s="636"/>
      <c r="D1028" s="221"/>
      <c r="E1028" s="614"/>
      <c r="F1028" s="353"/>
      <c r="G1028" s="358">
        <f>'PART-B'!I882</f>
        <v>0</v>
      </c>
      <c r="H1028" s="221" t="s">
        <v>102</v>
      </c>
      <c r="I1028" s="355">
        <f>'PART-B'!K882</f>
        <v>362.63</v>
      </c>
      <c r="J1028" s="353">
        <f t="shared" si="194"/>
        <v>0</v>
      </c>
      <c r="K1028" s="669">
        <f t="shared" si="191"/>
        <v>0</v>
      </c>
      <c r="L1028" s="368">
        <f t="shared" si="192"/>
        <v>0</v>
      </c>
      <c r="M1028" s="633" t="s">
        <v>2313</v>
      </c>
      <c r="N1028" s="223"/>
      <c r="O1028" s="631">
        <f t="shared" si="193"/>
        <v>0</v>
      </c>
    </row>
    <row r="1029" spans="1:15" s="360" customFormat="1" ht="15" hidden="1">
      <c r="A1029" s="356" t="s">
        <v>520</v>
      </c>
      <c r="B1029" s="632" t="s">
        <v>1479</v>
      </c>
      <c r="C1029" s="636"/>
      <c r="D1029" s="221"/>
      <c r="E1029" s="614"/>
      <c r="F1029" s="353"/>
      <c r="G1029" s="358">
        <f>'PART-B'!I888</f>
        <v>0</v>
      </c>
      <c r="H1029" s="221" t="s">
        <v>102</v>
      </c>
      <c r="I1029" s="355">
        <f>'PART-B'!K888</f>
        <v>470.34</v>
      </c>
      <c r="J1029" s="353">
        <f t="shared" si="194"/>
        <v>0</v>
      </c>
      <c r="K1029" s="669">
        <f t="shared" si="191"/>
        <v>0</v>
      </c>
      <c r="L1029" s="368">
        <f t="shared" si="192"/>
        <v>0</v>
      </c>
      <c r="M1029" s="633" t="s">
        <v>2313</v>
      </c>
      <c r="N1029" s="223"/>
      <c r="O1029" s="631">
        <f t="shared" si="193"/>
        <v>0</v>
      </c>
    </row>
    <row r="1030" spans="1:15" s="360" customFormat="1" ht="15" hidden="1">
      <c r="A1030" s="356" t="s">
        <v>1585</v>
      </c>
      <c r="B1030" s="632" t="s">
        <v>829</v>
      </c>
      <c r="C1030" s="636"/>
      <c r="D1030" s="354"/>
      <c r="E1030" s="614"/>
      <c r="F1030" s="353"/>
      <c r="G1030" s="358">
        <f>'PART-B'!I901</f>
        <v>0</v>
      </c>
      <c r="H1030" s="354" t="s">
        <v>5</v>
      </c>
      <c r="I1030" s="355">
        <f>'PART-B'!K901</f>
        <v>7673.4</v>
      </c>
      <c r="J1030" s="353">
        <f t="shared" si="194"/>
        <v>0</v>
      </c>
      <c r="K1030" s="669">
        <f t="shared" si="191"/>
        <v>0</v>
      </c>
      <c r="L1030" s="368">
        <f t="shared" si="192"/>
        <v>0</v>
      </c>
      <c r="M1030" s="633" t="s">
        <v>2313</v>
      </c>
      <c r="N1030" s="223"/>
      <c r="O1030" s="631">
        <f t="shared" si="193"/>
        <v>0</v>
      </c>
    </row>
    <row r="1031" spans="1:15" s="360" customFormat="1" ht="15" hidden="1">
      <c r="A1031" s="356" t="s">
        <v>491</v>
      </c>
      <c r="B1031" s="632" t="s">
        <v>828</v>
      </c>
      <c r="C1031" s="634"/>
      <c r="D1031" s="354"/>
      <c r="E1031" s="10"/>
      <c r="F1031" s="353"/>
      <c r="G1031" s="358">
        <f>'PART-B'!I896</f>
        <v>0</v>
      </c>
      <c r="H1031" s="354" t="s">
        <v>5</v>
      </c>
      <c r="I1031" s="355">
        <f>'PART-B'!K896</f>
        <v>7616.9999999999991</v>
      </c>
      <c r="J1031" s="353">
        <f t="shared" si="194"/>
        <v>0</v>
      </c>
      <c r="K1031" s="669">
        <f t="shared" si="191"/>
        <v>0</v>
      </c>
      <c r="L1031" s="368">
        <f t="shared" si="192"/>
        <v>0</v>
      </c>
      <c r="M1031" s="633" t="s">
        <v>2313</v>
      </c>
      <c r="N1031" s="223"/>
      <c r="O1031" s="631">
        <f t="shared" si="193"/>
        <v>0</v>
      </c>
    </row>
    <row r="1032" spans="1:15" s="360" customFormat="1" ht="25.5" hidden="1">
      <c r="A1032" s="356" t="s">
        <v>646</v>
      </c>
      <c r="B1032" s="632" t="s">
        <v>705</v>
      </c>
      <c r="C1032" s="636"/>
      <c r="D1032" s="354"/>
      <c r="E1032" s="614"/>
      <c r="F1032" s="353"/>
      <c r="G1032" s="358">
        <f>'PART-B'!I907</f>
        <v>0</v>
      </c>
      <c r="H1032" s="354" t="s">
        <v>102</v>
      </c>
      <c r="I1032" s="355">
        <f>'PART-B'!K907</f>
        <v>999.57</v>
      </c>
      <c r="J1032" s="353">
        <f>ROUND(G1032*I1032/1,0)</f>
        <v>0</v>
      </c>
      <c r="K1032" s="669">
        <f t="shared" si="191"/>
        <v>0</v>
      </c>
      <c r="L1032" s="368">
        <f t="shared" si="192"/>
        <v>0</v>
      </c>
      <c r="M1032" s="633" t="s">
        <v>2313</v>
      </c>
      <c r="N1032" s="223"/>
      <c r="O1032" s="631">
        <f t="shared" si="193"/>
        <v>0</v>
      </c>
    </row>
    <row r="1033" spans="1:15" s="360" customFormat="1" ht="15" hidden="1">
      <c r="A1033" s="356" t="s">
        <v>483</v>
      </c>
      <c r="B1033" s="632" t="s">
        <v>1221</v>
      </c>
      <c r="C1033" s="634"/>
      <c r="D1033" s="354"/>
      <c r="E1033" s="10"/>
      <c r="F1033" s="353"/>
      <c r="G1033" s="358">
        <f>'PART-B'!I914</f>
        <v>0</v>
      </c>
      <c r="H1033" s="354" t="s">
        <v>102</v>
      </c>
      <c r="I1033" s="355">
        <f>'PART-B'!K914</f>
        <v>7187.4500000000007</v>
      </c>
      <c r="J1033" s="353">
        <f>ROUND(G1033*I1033/1,0)</f>
        <v>0</v>
      </c>
      <c r="K1033" s="669">
        <f t="shared" si="191"/>
        <v>0</v>
      </c>
      <c r="L1033" s="368">
        <f t="shared" si="192"/>
        <v>0</v>
      </c>
      <c r="M1033" s="633" t="s">
        <v>2313</v>
      </c>
      <c r="N1033" s="223"/>
      <c r="O1033" s="631">
        <f t="shared" si="193"/>
        <v>0</v>
      </c>
    </row>
    <row r="1034" spans="1:15" s="360" customFormat="1" ht="15" hidden="1">
      <c r="A1034" s="356" t="s">
        <v>1582</v>
      </c>
      <c r="B1034" s="632" t="s">
        <v>481</v>
      </c>
      <c r="C1034" s="636"/>
      <c r="D1034" s="354"/>
      <c r="E1034" s="614"/>
      <c r="F1034" s="353"/>
      <c r="G1034" s="358">
        <f>'PART-B'!I921</f>
        <v>0</v>
      </c>
      <c r="H1034" s="354" t="s">
        <v>102</v>
      </c>
      <c r="I1034" s="355">
        <f>'PART-B'!K921</f>
        <v>385.55</v>
      </c>
      <c r="J1034" s="353">
        <f t="shared" ref="J1034:J1065" si="195">ROUND(G1034*I1034,0)</f>
        <v>0</v>
      </c>
      <c r="K1034" s="669">
        <f t="shared" si="191"/>
        <v>0</v>
      </c>
      <c r="L1034" s="368">
        <f t="shared" si="192"/>
        <v>0</v>
      </c>
      <c r="M1034" s="633" t="s">
        <v>2313</v>
      </c>
      <c r="N1034" s="223"/>
      <c r="O1034" s="631">
        <f t="shared" si="193"/>
        <v>0</v>
      </c>
    </row>
    <row r="1035" spans="1:15" s="360" customFormat="1" ht="15" hidden="1">
      <c r="A1035" s="356" t="s">
        <v>1581</v>
      </c>
      <c r="B1035" s="632" t="s">
        <v>505</v>
      </c>
      <c r="C1035" s="611"/>
      <c r="D1035" s="354"/>
      <c r="E1035" s="362"/>
      <c r="F1035" s="353"/>
      <c r="G1035" s="358">
        <f>'PART-B'!I929</f>
        <v>0</v>
      </c>
      <c r="H1035" s="354" t="s">
        <v>102</v>
      </c>
      <c r="I1035" s="355">
        <f>'PART-B'!K929</f>
        <v>352.1</v>
      </c>
      <c r="J1035" s="353">
        <f t="shared" si="195"/>
        <v>0</v>
      </c>
      <c r="K1035" s="669">
        <f t="shared" si="191"/>
        <v>0</v>
      </c>
      <c r="L1035" s="368">
        <f t="shared" si="192"/>
        <v>0</v>
      </c>
      <c r="M1035" s="633" t="s">
        <v>2313</v>
      </c>
      <c r="N1035" s="223"/>
      <c r="O1035" s="631">
        <f t="shared" si="193"/>
        <v>0</v>
      </c>
    </row>
    <row r="1036" spans="1:15" s="360" customFormat="1" ht="15" hidden="1">
      <c r="A1036" s="356" t="s">
        <v>1582</v>
      </c>
      <c r="B1036" s="632" t="s">
        <v>805</v>
      </c>
      <c r="C1036" s="611"/>
      <c r="D1036" s="354"/>
      <c r="E1036" s="362"/>
      <c r="F1036" s="353"/>
      <c r="G1036" s="358">
        <f>'PART-B'!I937</f>
        <v>0</v>
      </c>
      <c r="H1036" s="354" t="s">
        <v>102</v>
      </c>
      <c r="I1036" s="355">
        <f>'PART-B'!K937</f>
        <v>372.29</v>
      </c>
      <c r="J1036" s="353">
        <f t="shared" si="195"/>
        <v>0</v>
      </c>
      <c r="K1036" s="669">
        <f t="shared" si="191"/>
        <v>0</v>
      </c>
      <c r="L1036" s="368">
        <f t="shared" si="192"/>
        <v>0</v>
      </c>
      <c r="M1036" s="633" t="s">
        <v>2313</v>
      </c>
      <c r="N1036" s="223"/>
      <c r="O1036" s="631">
        <f t="shared" si="193"/>
        <v>0</v>
      </c>
    </row>
    <row r="1037" spans="1:15" s="360" customFormat="1" ht="15" hidden="1">
      <c r="A1037" s="356" t="s">
        <v>1143</v>
      </c>
      <c r="B1037" s="632" t="s">
        <v>830</v>
      </c>
      <c r="C1037" s="636"/>
      <c r="D1037" s="354"/>
      <c r="E1037" s="614"/>
      <c r="F1037" s="353"/>
      <c r="G1037" s="358">
        <f>'PART-B'!I944</f>
        <v>0</v>
      </c>
      <c r="H1037" s="354" t="s">
        <v>102</v>
      </c>
      <c r="I1037" s="355">
        <f>'PART-B'!K944</f>
        <v>464.16</v>
      </c>
      <c r="J1037" s="353">
        <f t="shared" si="195"/>
        <v>0</v>
      </c>
      <c r="K1037" s="669">
        <f t="shared" si="191"/>
        <v>0</v>
      </c>
      <c r="L1037" s="368">
        <f t="shared" si="192"/>
        <v>0</v>
      </c>
      <c r="M1037" s="633" t="s">
        <v>2313</v>
      </c>
      <c r="N1037" s="223"/>
      <c r="O1037" s="631">
        <f t="shared" si="193"/>
        <v>0</v>
      </c>
    </row>
    <row r="1038" spans="1:15" s="360" customFormat="1" ht="15" hidden="1">
      <c r="A1038" s="356" t="s">
        <v>1583</v>
      </c>
      <c r="B1038" s="632" t="s">
        <v>541</v>
      </c>
      <c r="C1038" s="636"/>
      <c r="D1038" s="354"/>
      <c r="E1038" s="614"/>
      <c r="F1038" s="353"/>
      <c r="G1038" s="358">
        <f>'PART-B'!I951</f>
        <v>0</v>
      </c>
      <c r="H1038" s="354" t="s">
        <v>102</v>
      </c>
      <c r="I1038" s="355">
        <f>'PART-B'!K951</f>
        <v>479.98</v>
      </c>
      <c r="J1038" s="353">
        <f t="shared" si="195"/>
        <v>0</v>
      </c>
      <c r="K1038" s="669">
        <f t="shared" si="191"/>
        <v>0</v>
      </c>
      <c r="L1038" s="368">
        <f t="shared" si="192"/>
        <v>0</v>
      </c>
      <c r="M1038" s="633" t="s">
        <v>2313</v>
      </c>
      <c r="N1038" s="223"/>
      <c r="O1038" s="631">
        <f t="shared" si="193"/>
        <v>0</v>
      </c>
    </row>
    <row r="1039" spans="1:15" s="360" customFormat="1" ht="15" hidden="1">
      <c r="A1039" s="356" t="s">
        <v>473</v>
      </c>
      <c r="B1039" s="632" t="s">
        <v>2071</v>
      </c>
      <c r="C1039" s="611"/>
      <c r="D1039" s="354"/>
      <c r="E1039" s="607"/>
      <c r="F1039" s="353"/>
      <c r="G1039" s="358">
        <f>'PART-B'!I956</f>
        <v>0</v>
      </c>
      <c r="H1039" s="354" t="s">
        <v>5</v>
      </c>
      <c r="I1039" s="355">
        <f>'PART-B'!K956</f>
        <v>5843.9400000000005</v>
      </c>
      <c r="J1039" s="353">
        <f t="shared" si="195"/>
        <v>0</v>
      </c>
      <c r="K1039" s="669">
        <f t="shared" si="191"/>
        <v>0</v>
      </c>
      <c r="L1039" s="368">
        <f t="shared" si="192"/>
        <v>0</v>
      </c>
      <c r="M1039" s="633" t="s">
        <v>2313</v>
      </c>
      <c r="N1039" s="223"/>
      <c r="O1039" s="631">
        <f t="shared" si="193"/>
        <v>0</v>
      </c>
    </row>
    <row r="1040" spans="1:15" s="360" customFormat="1" ht="15" hidden="1">
      <c r="A1040" s="356" t="s">
        <v>525</v>
      </c>
      <c r="B1040" s="632" t="s">
        <v>507</v>
      </c>
      <c r="C1040" s="642"/>
      <c r="D1040" s="354"/>
      <c r="E1040" s="10"/>
      <c r="F1040" s="353"/>
      <c r="G1040" s="358">
        <f>'PART-B'!I962</f>
        <v>0</v>
      </c>
      <c r="H1040" s="354" t="s">
        <v>102</v>
      </c>
      <c r="I1040" s="355">
        <f>'PART-B'!K962</f>
        <v>1139.42</v>
      </c>
      <c r="J1040" s="353">
        <f t="shared" si="195"/>
        <v>0</v>
      </c>
      <c r="K1040" s="669">
        <f t="shared" si="191"/>
        <v>0</v>
      </c>
      <c r="L1040" s="368">
        <f t="shared" si="192"/>
        <v>0</v>
      </c>
      <c r="M1040" s="633" t="s">
        <v>2313</v>
      </c>
      <c r="N1040" s="223"/>
      <c r="O1040" s="631">
        <f t="shared" si="193"/>
        <v>0</v>
      </c>
    </row>
    <row r="1041" spans="1:15" s="360" customFormat="1" ht="15" hidden="1">
      <c r="A1041" s="356" t="s">
        <v>528</v>
      </c>
      <c r="B1041" s="632" t="s">
        <v>509</v>
      </c>
      <c r="C1041" s="642"/>
      <c r="D1041" s="354"/>
      <c r="E1041" s="10"/>
      <c r="F1041" s="353"/>
      <c r="G1041" s="358">
        <f>'PART-B'!I969</f>
        <v>0</v>
      </c>
      <c r="H1041" s="354" t="s">
        <v>102</v>
      </c>
      <c r="I1041" s="355">
        <f>'PART-B'!K969</f>
        <v>1134.08</v>
      </c>
      <c r="J1041" s="353">
        <f t="shared" si="195"/>
        <v>0</v>
      </c>
      <c r="K1041" s="669">
        <f t="shared" si="191"/>
        <v>0</v>
      </c>
      <c r="L1041" s="368">
        <f t="shared" si="192"/>
        <v>0</v>
      </c>
      <c r="M1041" s="633" t="s">
        <v>2313</v>
      </c>
      <c r="N1041" s="223"/>
      <c r="O1041" s="631">
        <f t="shared" si="193"/>
        <v>0</v>
      </c>
    </row>
    <row r="1042" spans="1:15" s="360" customFormat="1" ht="15" hidden="1">
      <c r="A1042" s="356" t="s">
        <v>508</v>
      </c>
      <c r="B1042" s="632" t="s">
        <v>708</v>
      </c>
      <c r="C1042" s="635"/>
      <c r="D1042" s="354"/>
      <c r="E1042" s="362"/>
      <c r="F1042" s="353"/>
      <c r="G1042" s="358">
        <f>'PART-B'!I976</f>
        <v>0</v>
      </c>
      <c r="H1042" s="354" t="s">
        <v>77</v>
      </c>
      <c r="I1042" s="355">
        <f>'PART-B'!K976</f>
        <v>3248.17</v>
      </c>
      <c r="J1042" s="353">
        <f t="shared" si="195"/>
        <v>0</v>
      </c>
      <c r="K1042" s="669">
        <f t="shared" si="191"/>
        <v>0</v>
      </c>
      <c r="L1042" s="368">
        <f t="shared" si="192"/>
        <v>0</v>
      </c>
      <c r="M1042" s="633" t="s">
        <v>2313</v>
      </c>
      <c r="N1042" s="223"/>
      <c r="O1042" s="631">
        <f t="shared" si="193"/>
        <v>0</v>
      </c>
    </row>
    <row r="1043" spans="1:15" s="360" customFormat="1" ht="15" hidden="1">
      <c r="A1043" s="356" t="s">
        <v>510</v>
      </c>
      <c r="B1043" s="632" t="s">
        <v>877</v>
      </c>
      <c r="C1043" s="635"/>
      <c r="D1043" s="354"/>
      <c r="E1043" s="362"/>
      <c r="F1043" s="353"/>
      <c r="G1043" s="358">
        <f>'PART-B'!I983</f>
        <v>0</v>
      </c>
      <c r="H1043" s="354" t="s">
        <v>102</v>
      </c>
      <c r="I1043" s="355">
        <f>'PART-B'!K983</f>
        <v>2995.66</v>
      </c>
      <c r="J1043" s="353">
        <f t="shared" si="195"/>
        <v>0</v>
      </c>
      <c r="K1043" s="669">
        <f t="shared" si="191"/>
        <v>0</v>
      </c>
      <c r="L1043" s="368">
        <f t="shared" si="192"/>
        <v>0</v>
      </c>
      <c r="M1043" s="633" t="s">
        <v>2313</v>
      </c>
      <c r="N1043" s="223"/>
      <c r="O1043" s="631">
        <f t="shared" si="193"/>
        <v>0</v>
      </c>
    </row>
    <row r="1044" spans="1:15" s="360" customFormat="1" ht="15" hidden="1">
      <c r="A1044" s="356" t="s">
        <v>529</v>
      </c>
      <c r="B1044" s="632" t="s">
        <v>710</v>
      </c>
      <c r="C1044" s="635"/>
      <c r="D1044" s="354"/>
      <c r="E1044" s="362"/>
      <c r="F1044" s="353"/>
      <c r="G1044" s="358">
        <f>'PART-B'!I990</f>
        <v>0</v>
      </c>
      <c r="H1044" s="354" t="s">
        <v>102</v>
      </c>
      <c r="I1044" s="355">
        <f>'PART-B'!K990</f>
        <v>816.76</v>
      </c>
      <c r="J1044" s="353">
        <f t="shared" si="195"/>
        <v>0</v>
      </c>
      <c r="K1044" s="669">
        <f t="shared" si="191"/>
        <v>0</v>
      </c>
      <c r="L1044" s="368">
        <f t="shared" si="192"/>
        <v>0</v>
      </c>
      <c r="M1044" s="633" t="s">
        <v>2313</v>
      </c>
      <c r="N1044" s="223"/>
      <c r="O1044" s="631">
        <f t="shared" si="193"/>
        <v>0</v>
      </c>
    </row>
    <row r="1045" spans="1:15" s="360" customFormat="1" ht="15" hidden="1">
      <c r="A1045" s="356" t="s">
        <v>530</v>
      </c>
      <c r="B1045" s="632" t="s">
        <v>711</v>
      </c>
      <c r="C1045" s="635"/>
      <c r="D1045" s="354"/>
      <c r="E1045" s="362"/>
      <c r="F1045" s="353"/>
      <c r="G1045" s="358">
        <f>'PART-B'!I997</f>
        <v>0</v>
      </c>
      <c r="H1045" s="354" t="s">
        <v>102</v>
      </c>
      <c r="I1045" s="355">
        <f>'PART-B'!K997</f>
        <v>822.23</v>
      </c>
      <c r="J1045" s="353">
        <f t="shared" si="195"/>
        <v>0</v>
      </c>
      <c r="K1045" s="669">
        <f t="shared" si="191"/>
        <v>0</v>
      </c>
      <c r="L1045" s="368">
        <f t="shared" si="192"/>
        <v>0</v>
      </c>
      <c r="M1045" s="633" t="s">
        <v>2313</v>
      </c>
      <c r="N1045" s="223"/>
      <c r="O1045" s="631">
        <f t="shared" si="193"/>
        <v>0</v>
      </c>
    </row>
    <row r="1046" spans="1:15" s="360" customFormat="1" ht="15" hidden="1">
      <c r="A1046" s="356" t="s">
        <v>531</v>
      </c>
      <c r="B1046" s="632" t="s">
        <v>511</v>
      </c>
      <c r="C1046" s="636"/>
      <c r="D1046" s="354"/>
      <c r="E1046" s="643"/>
      <c r="F1046" s="353"/>
      <c r="G1046" s="358">
        <f>'PART-B'!I1004</f>
        <v>0</v>
      </c>
      <c r="H1046" s="354" t="s">
        <v>102</v>
      </c>
      <c r="I1046" s="355">
        <f>'PART-B'!K1004</f>
        <v>873.89</v>
      </c>
      <c r="J1046" s="353">
        <f t="shared" si="195"/>
        <v>0</v>
      </c>
      <c r="K1046" s="669">
        <f t="shared" si="191"/>
        <v>0</v>
      </c>
      <c r="L1046" s="368">
        <f t="shared" si="192"/>
        <v>0</v>
      </c>
      <c r="M1046" s="633" t="s">
        <v>2313</v>
      </c>
      <c r="N1046" s="223"/>
      <c r="O1046" s="631">
        <f t="shared" si="193"/>
        <v>0</v>
      </c>
    </row>
    <row r="1047" spans="1:15" s="360" customFormat="1" ht="15" hidden="1">
      <c r="A1047" s="356" t="s">
        <v>532</v>
      </c>
      <c r="B1047" s="632" t="s">
        <v>570</v>
      </c>
      <c r="C1047" s="636"/>
      <c r="D1047" s="354"/>
      <c r="E1047" s="614"/>
      <c r="F1047" s="353"/>
      <c r="G1047" s="358">
        <f>'PART-B'!I1010</f>
        <v>0</v>
      </c>
      <c r="H1047" s="354" t="s">
        <v>102</v>
      </c>
      <c r="I1047" s="355">
        <f>'PART-B'!K1010</f>
        <v>536.26</v>
      </c>
      <c r="J1047" s="353">
        <f t="shared" si="195"/>
        <v>0</v>
      </c>
      <c r="K1047" s="669">
        <f t="shared" si="191"/>
        <v>0</v>
      </c>
      <c r="L1047" s="368">
        <f t="shared" si="192"/>
        <v>0</v>
      </c>
      <c r="M1047" s="633" t="s">
        <v>2313</v>
      </c>
      <c r="N1047" s="223"/>
      <c r="O1047" s="631">
        <f t="shared" si="193"/>
        <v>0</v>
      </c>
    </row>
    <row r="1048" spans="1:15" s="360" customFormat="1" ht="15" hidden="1">
      <c r="A1048" s="356" t="s">
        <v>492</v>
      </c>
      <c r="B1048" s="632" t="s">
        <v>1222</v>
      </c>
      <c r="C1048" s="635"/>
      <c r="D1048" s="354"/>
      <c r="E1048" s="362"/>
      <c r="F1048" s="353"/>
      <c r="G1048" s="358">
        <f>'PART-B'!I1016</f>
        <v>0</v>
      </c>
      <c r="H1048" s="354" t="s">
        <v>102</v>
      </c>
      <c r="I1048" s="355">
        <f>'PART-B'!K1016</f>
        <v>1100.49</v>
      </c>
      <c r="J1048" s="353">
        <f t="shared" si="195"/>
        <v>0</v>
      </c>
      <c r="K1048" s="669">
        <f t="shared" si="191"/>
        <v>0</v>
      </c>
      <c r="L1048" s="368">
        <f t="shared" si="192"/>
        <v>0</v>
      </c>
      <c r="M1048" s="633" t="s">
        <v>2313</v>
      </c>
      <c r="N1048" s="223"/>
      <c r="O1048" s="631">
        <f t="shared" si="193"/>
        <v>0</v>
      </c>
    </row>
    <row r="1049" spans="1:15" s="360" customFormat="1" ht="15" hidden="1">
      <c r="A1049" s="356" t="s">
        <v>533</v>
      </c>
      <c r="B1049" s="632" t="s">
        <v>707</v>
      </c>
      <c r="C1049" s="636"/>
      <c r="D1049" s="354"/>
      <c r="E1049" s="614"/>
      <c r="F1049" s="353"/>
      <c r="G1049" s="358">
        <f>'PART-B'!I1024</f>
        <v>0</v>
      </c>
      <c r="H1049" s="354" t="s">
        <v>102</v>
      </c>
      <c r="I1049" s="355">
        <f>'PART-B'!K1024</f>
        <v>27.91</v>
      </c>
      <c r="J1049" s="353">
        <f t="shared" si="195"/>
        <v>0</v>
      </c>
      <c r="K1049" s="669">
        <f t="shared" si="191"/>
        <v>0</v>
      </c>
      <c r="L1049" s="368">
        <f t="shared" si="192"/>
        <v>0</v>
      </c>
      <c r="M1049" s="633" t="s">
        <v>2313</v>
      </c>
      <c r="N1049" s="223"/>
      <c r="O1049" s="631">
        <f t="shared" si="193"/>
        <v>0</v>
      </c>
    </row>
    <row r="1050" spans="1:15" s="360" customFormat="1" ht="15" hidden="1">
      <c r="A1050" s="356" t="s">
        <v>1143</v>
      </c>
      <c r="B1050" s="632" t="s">
        <v>888</v>
      </c>
      <c r="C1050" s="635"/>
      <c r="D1050" s="354"/>
      <c r="E1050" s="362"/>
      <c r="F1050" s="353"/>
      <c r="G1050" s="358">
        <f>'PART-B'!I1032</f>
        <v>0</v>
      </c>
      <c r="H1050" s="354" t="s">
        <v>102</v>
      </c>
      <c r="I1050" s="355">
        <f>'PART-B'!K1032</f>
        <v>194.34</v>
      </c>
      <c r="J1050" s="353">
        <f t="shared" si="195"/>
        <v>0</v>
      </c>
      <c r="K1050" s="669">
        <f t="shared" si="191"/>
        <v>0</v>
      </c>
      <c r="L1050" s="368">
        <f t="shared" si="192"/>
        <v>0</v>
      </c>
      <c r="M1050" s="633" t="s">
        <v>2313</v>
      </c>
      <c r="N1050" s="223"/>
      <c r="O1050" s="631">
        <f t="shared" si="193"/>
        <v>0</v>
      </c>
    </row>
    <row r="1051" spans="1:15" s="360" customFormat="1" ht="15" hidden="1">
      <c r="A1051" s="356" t="s">
        <v>645</v>
      </c>
      <c r="B1051" s="632" t="s">
        <v>571</v>
      </c>
      <c r="C1051" s="635"/>
      <c r="D1051" s="354"/>
      <c r="E1051" s="362"/>
      <c r="F1051" s="353"/>
      <c r="G1051" s="358">
        <f>'PART-B'!I1040</f>
        <v>0</v>
      </c>
      <c r="H1051" s="354" t="s">
        <v>102</v>
      </c>
      <c r="I1051" s="355">
        <f>'PART-B'!K1040</f>
        <v>169.89</v>
      </c>
      <c r="J1051" s="353">
        <f t="shared" si="195"/>
        <v>0</v>
      </c>
      <c r="K1051" s="669">
        <f t="shared" si="191"/>
        <v>0</v>
      </c>
      <c r="L1051" s="368">
        <f t="shared" si="192"/>
        <v>0</v>
      </c>
      <c r="M1051" s="633" t="s">
        <v>2313</v>
      </c>
      <c r="N1051" s="223"/>
      <c r="O1051" s="631">
        <f t="shared" si="193"/>
        <v>0</v>
      </c>
    </row>
    <row r="1052" spans="1:15" s="360" customFormat="1" ht="15" hidden="1">
      <c r="A1052" s="356" t="s">
        <v>1584</v>
      </c>
      <c r="B1052" s="632" t="s">
        <v>1226</v>
      </c>
      <c r="C1052" s="636"/>
      <c r="D1052" s="354"/>
      <c r="E1052" s="614"/>
      <c r="F1052" s="353"/>
      <c r="G1052" s="358">
        <f>'PART-B'!I1047</f>
        <v>0</v>
      </c>
      <c r="H1052" s="354" t="s">
        <v>102</v>
      </c>
      <c r="I1052" s="355">
        <f>'PART-B'!K1047</f>
        <v>233.59</v>
      </c>
      <c r="J1052" s="353">
        <f t="shared" si="195"/>
        <v>0</v>
      </c>
      <c r="K1052" s="669">
        <f t="shared" si="191"/>
        <v>0</v>
      </c>
      <c r="L1052" s="368">
        <f t="shared" si="192"/>
        <v>0</v>
      </c>
      <c r="M1052" s="633" t="s">
        <v>2313</v>
      </c>
      <c r="N1052" s="223"/>
      <c r="O1052" s="631">
        <f t="shared" si="193"/>
        <v>0</v>
      </c>
    </row>
    <row r="1053" spans="1:15" s="360" customFormat="1" ht="15" hidden="1">
      <c r="A1053" s="356" t="s">
        <v>1575</v>
      </c>
      <c r="B1053" s="632" t="s">
        <v>477</v>
      </c>
      <c r="C1053" s="644"/>
      <c r="D1053" s="221"/>
      <c r="E1053" s="614"/>
      <c r="F1053" s="353"/>
      <c r="G1053" s="429">
        <f>'PART-B'!I1053</f>
        <v>0</v>
      </c>
      <c r="H1053" s="221" t="s">
        <v>29</v>
      </c>
      <c r="I1053" s="430">
        <f>'PART-B'!K1053</f>
        <v>91830</v>
      </c>
      <c r="J1053" s="353">
        <f t="shared" si="195"/>
        <v>0</v>
      </c>
      <c r="K1053" s="669">
        <f t="shared" si="191"/>
        <v>0</v>
      </c>
      <c r="L1053" s="368">
        <f t="shared" si="192"/>
        <v>0</v>
      </c>
      <c r="M1053" s="633" t="s">
        <v>2313</v>
      </c>
      <c r="N1053" s="223"/>
      <c r="O1053" s="631">
        <f t="shared" si="193"/>
        <v>0</v>
      </c>
    </row>
    <row r="1054" spans="1:15" s="1157" customFormat="1" ht="15">
      <c r="A1054" s="1146" t="s">
        <v>464</v>
      </c>
      <c r="B1054" s="1147" t="s">
        <v>1228</v>
      </c>
      <c r="C1054" s="1162"/>
      <c r="D1054" s="1148"/>
      <c r="E1054" s="922"/>
      <c r="F1054" s="1153"/>
      <c r="G1054" s="1151">
        <f>'PART-B'!I1059</f>
        <v>1</v>
      </c>
      <c r="H1054" s="1148" t="s">
        <v>115</v>
      </c>
      <c r="I1054" s="1152">
        <f>'PART-B'!K1059</f>
        <v>22903.660000000003</v>
      </c>
      <c r="J1054" s="1153">
        <f t="shared" si="195"/>
        <v>22904</v>
      </c>
      <c r="K1054" s="1189">
        <f t="shared" si="191"/>
        <v>22904</v>
      </c>
      <c r="L1054" s="1190">
        <f t="shared" si="192"/>
        <v>0</v>
      </c>
      <c r="M1054" s="1159" t="s">
        <v>2313</v>
      </c>
      <c r="N1054" s="1155"/>
      <c r="O1054" s="1160">
        <f t="shared" si="193"/>
        <v>-22904</v>
      </c>
    </row>
    <row r="1055" spans="1:15" s="360" customFormat="1" ht="15" hidden="1">
      <c r="A1055" s="356" t="s">
        <v>485</v>
      </c>
      <c r="B1055" s="632" t="s">
        <v>1998</v>
      </c>
      <c r="C1055" s="635"/>
      <c r="D1055" s="354"/>
      <c r="E1055" s="362"/>
      <c r="F1055" s="353"/>
      <c r="G1055" s="358">
        <f>'PART-B'!I1074</f>
        <v>0</v>
      </c>
      <c r="H1055" s="354" t="s">
        <v>115</v>
      </c>
      <c r="I1055" s="355">
        <f>'PART-B'!K1074</f>
        <v>15875.19</v>
      </c>
      <c r="J1055" s="353">
        <f t="shared" si="195"/>
        <v>0</v>
      </c>
      <c r="K1055" s="669">
        <f t="shared" ref="K1055:K1118" si="196">IF(J1055&gt;F1055,J1055-F1055,0)</f>
        <v>0</v>
      </c>
      <c r="L1055" s="368">
        <f t="shared" ref="L1055:L1118" si="197">IF(J1055&lt;F1055,F1055-J1055,0)</f>
        <v>0</v>
      </c>
      <c r="M1055" s="633" t="s">
        <v>2313</v>
      </c>
      <c r="N1055" s="223"/>
      <c r="O1055" s="631">
        <f t="shared" si="193"/>
        <v>0</v>
      </c>
    </row>
    <row r="1056" spans="1:15" s="360" customFormat="1" ht="15" hidden="1">
      <c r="A1056" s="356"/>
      <c r="B1056" s="632" t="s">
        <v>1999</v>
      </c>
      <c r="C1056" s="636"/>
      <c r="D1056" s="354"/>
      <c r="E1056" s="10"/>
      <c r="F1056" s="353"/>
      <c r="G1056" s="358">
        <f>'PART-B'!I1079</f>
        <v>0</v>
      </c>
      <c r="H1056" s="354" t="s">
        <v>115</v>
      </c>
      <c r="I1056" s="355">
        <f>'PART-B'!K1079</f>
        <v>15037.220000000001</v>
      </c>
      <c r="J1056" s="353">
        <f t="shared" si="195"/>
        <v>0</v>
      </c>
      <c r="K1056" s="669">
        <f t="shared" si="196"/>
        <v>0</v>
      </c>
      <c r="L1056" s="368">
        <f t="shared" si="197"/>
        <v>0</v>
      </c>
      <c r="M1056" s="633" t="s">
        <v>2313</v>
      </c>
      <c r="N1056" s="223"/>
      <c r="O1056" s="631">
        <f t="shared" ref="O1056:O1119" si="198">F1056-J1056</f>
        <v>0</v>
      </c>
    </row>
    <row r="1057" spans="1:15" s="1157" customFormat="1" ht="15" hidden="1">
      <c r="A1057" s="1146" t="s">
        <v>468</v>
      </c>
      <c r="B1057" s="1147" t="s">
        <v>1998</v>
      </c>
      <c r="C1057" s="1174"/>
      <c r="D1057" s="1148"/>
      <c r="E1057" s="922"/>
      <c r="F1057" s="1153"/>
      <c r="G1057" s="1151">
        <f>'PART-B'!I1084</f>
        <v>0</v>
      </c>
      <c r="H1057" s="1148" t="s">
        <v>115</v>
      </c>
      <c r="I1057" s="1152">
        <f>'PART-B'!K1084</f>
        <v>11732.029999999999</v>
      </c>
      <c r="J1057" s="1153">
        <f t="shared" si="195"/>
        <v>0</v>
      </c>
      <c r="K1057" s="1189">
        <f t="shared" si="196"/>
        <v>0</v>
      </c>
      <c r="L1057" s="1190">
        <f t="shared" si="197"/>
        <v>0</v>
      </c>
      <c r="M1057" s="1159" t="s">
        <v>2313</v>
      </c>
      <c r="N1057" s="1155"/>
      <c r="O1057" s="1160">
        <f t="shared" si="198"/>
        <v>0</v>
      </c>
    </row>
    <row r="1058" spans="1:15" s="1157" customFormat="1" ht="15">
      <c r="A1058" s="1146" t="s">
        <v>465</v>
      </c>
      <c r="B1058" s="1147" t="s">
        <v>1998</v>
      </c>
      <c r="C1058" s="917"/>
      <c r="D1058" s="1148"/>
      <c r="E1058" s="922"/>
      <c r="F1058" s="1153"/>
      <c r="G1058" s="1151">
        <f>'PART-B'!I1089</f>
        <v>1</v>
      </c>
      <c r="H1058" s="1148" t="s">
        <v>115</v>
      </c>
      <c r="I1058" s="1152">
        <f>'PART-B'!K1089</f>
        <v>7651.36</v>
      </c>
      <c r="J1058" s="1153">
        <f t="shared" si="195"/>
        <v>7651</v>
      </c>
      <c r="K1058" s="1189">
        <f t="shared" si="196"/>
        <v>7651</v>
      </c>
      <c r="L1058" s="1190">
        <f t="shared" si="197"/>
        <v>0</v>
      </c>
      <c r="M1058" s="1159" t="s">
        <v>2313</v>
      </c>
      <c r="N1058" s="1155"/>
      <c r="O1058" s="1160">
        <f t="shared" si="198"/>
        <v>-7651</v>
      </c>
    </row>
    <row r="1059" spans="1:15" s="360" customFormat="1" ht="15" hidden="1" customHeight="1">
      <c r="A1059" s="356" t="s">
        <v>2777</v>
      </c>
      <c r="B1059" s="632" t="s">
        <v>1227</v>
      </c>
      <c r="C1059" s="636"/>
      <c r="D1059" s="354"/>
      <c r="E1059" s="10"/>
      <c r="F1059" s="353"/>
      <c r="G1059" s="358">
        <f>'PART-B'!I1064</f>
        <v>0</v>
      </c>
      <c r="H1059" s="354" t="s">
        <v>115</v>
      </c>
      <c r="I1059" s="355">
        <f>'PART-B'!K1064</f>
        <v>7927.96</v>
      </c>
      <c r="J1059" s="353">
        <f t="shared" si="195"/>
        <v>0</v>
      </c>
      <c r="K1059" s="669">
        <f t="shared" si="196"/>
        <v>0</v>
      </c>
      <c r="L1059" s="368">
        <f t="shared" si="197"/>
        <v>0</v>
      </c>
      <c r="M1059" s="633" t="s">
        <v>2313</v>
      </c>
      <c r="N1059" s="223"/>
      <c r="O1059" s="631">
        <f t="shared" si="198"/>
        <v>0</v>
      </c>
    </row>
    <row r="1060" spans="1:15" s="360" customFormat="1" ht="15" hidden="1" customHeight="1">
      <c r="A1060" s="356" t="s">
        <v>1587</v>
      </c>
      <c r="B1060" s="632" t="s">
        <v>1227</v>
      </c>
      <c r="C1060" s="636"/>
      <c r="D1060" s="354"/>
      <c r="E1060" s="10"/>
      <c r="F1060" s="353"/>
      <c r="G1060" s="358">
        <f>'PART-B'!I1069</f>
        <v>0</v>
      </c>
      <c r="H1060" s="354" t="s">
        <v>115</v>
      </c>
      <c r="I1060" s="355">
        <f>'PART-B'!K1069</f>
        <v>11442.58</v>
      </c>
      <c r="J1060" s="353">
        <f t="shared" si="195"/>
        <v>0</v>
      </c>
      <c r="K1060" s="669">
        <f t="shared" si="196"/>
        <v>0</v>
      </c>
      <c r="L1060" s="368">
        <f t="shared" si="197"/>
        <v>0</v>
      </c>
      <c r="M1060" s="633" t="s">
        <v>2313</v>
      </c>
      <c r="N1060" s="223"/>
      <c r="O1060" s="631">
        <f t="shared" si="198"/>
        <v>0</v>
      </c>
    </row>
    <row r="1061" spans="1:15" s="1157" customFormat="1" ht="15">
      <c r="A1061" s="1146" t="s">
        <v>466</v>
      </c>
      <c r="B1061" s="1147" t="s">
        <v>963</v>
      </c>
      <c r="C1061" s="917"/>
      <c r="D1061" s="1148"/>
      <c r="E1061" s="922"/>
      <c r="F1061" s="1153"/>
      <c r="G1061" s="1151">
        <f>'PART-B'!I1094</f>
        <v>1</v>
      </c>
      <c r="H1061" s="1148" t="s">
        <v>115</v>
      </c>
      <c r="I1061" s="1152">
        <f>'PART-B'!K1094</f>
        <v>8519.25</v>
      </c>
      <c r="J1061" s="1153">
        <f t="shared" si="195"/>
        <v>8519</v>
      </c>
      <c r="K1061" s="1189">
        <f t="shared" si="196"/>
        <v>8519</v>
      </c>
      <c r="L1061" s="1190">
        <f t="shared" si="197"/>
        <v>0</v>
      </c>
      <c r="M1061" s="1159" t="s">
        <v>2313</v>
      </c>
      <c r="N1061" s="1155"/>
      <c r="O1061" s="1160">
        <f t="shared" si="198"/>
        <v>-8519</v>
      </c>
    </row>
    <row r="1062" spans="1:15" s="360" customFormat="1" ht="15" hidden="1">
      <c r="A1062" s="356" t="s">
        <v>2778</v>
      </c>
      <c r="B1062" s="632" t="s">
        <v>964</v>
      </c>
      <c r="C1062" s="634"/>
      <c r="D1062" s="354"/>
      <c r="E1062" s="10"/>
      <c r="F1062" s="353"/>
      <c r="G1062" s="358">
        <f>'PART-B'!I1099</f>
        <v>0</v>
      </c>
      <c r="H1062" s="354" t="s">
        <v>115</v>
      </c>
      <c r="I1062" s="355">
        <f>'PART-B'!K1099</f>
        <v>7005.16</v>
      </c>
      <c r="J1062" s="353">
        <f t="shared" si="195"/>
        <v>0</v>
      </c>
      <c r="K1062" s="669">
        <f t="shared" si="196"/>
        <v>0</v>
      </c>
      <c r="L1062" s="368">
        <f t="shared" si="197"/>
        <v>0</v>
      </c>
      <c r="M1062" s="633" t="s">
        <v>2313</v>
      </c>
      <c r="N1062" s="223"/>
      <c r="O1062" s="631">
        <f t="shared" si="198"/>
        <v>0</v>
      </c>
    </row>
    <row r="1063" spans="1:15" s="360" customFormat="1" ht="15" hidden="1">
      <c r="A1063" s="356" t="s">
        <v>1154</v>
      </c>
      <c r="B1063" s="632" t="s">
        <v>3632</v>
      </c>
      <c r="C1063" s="551"/>
      <c r="D1063" s="354"/>
      <c r="E1063" s="10"/>
      <c r="F1063" s="353"/>
      <c r="G1063" s="358">
        <f>'PART-B'!I1106</f>
        <v>0</v>
      </c>
      <c r="H1063" s="354" t="s">
        <v>102</v>
      </c>
      <c r="I1063" s="355">
        <f>'PART-B'!K1106</f>
        <v>6846.88</v>
      </c>
      <c r="J1063" s="353">
        <f t="shared" si="195"/>
        <v>0</v>
      </c>
      <c r="K1063" s="669">
        <f t="shared" si="196"/>
        <v>0</v>
      </c>
      <c r="L1063" s="368">
        <f t="shared" si="197"/>
        <v>0</v>
      </c>
      <c r="M1063" s="633" t="s">
        <v>2313</v>
      </c>
      <c r="N1063" s="223"/>
      <c r="O1063" s="631">
        <f t="shared" si="198"/>
        <v>0</v>
      </c>
    </row>
    <row r="1064" spans="1:15" s="360" customFormat="1" ht="15" hidden="1">
      <c r="A1064" s="356" t="s">
        <v>1147</v>
      </c>
      <c r="B1064" s="632" t="s">
        <v>2031</v>
      </c>
      <c r="C1064" s="551"/>
      <c r="D1064" s="354"/>
      <c r="E1064" s="10"/>
      <c r="F1064" s="353"/>
      <c r="G1064" s="358">
        <f>'PART-B'!I1112</f>
        <v>0</v>
      </c>
      <c r="H1064" s="354" t="s">
        <v>102</v>
      </c>
      <c r="I1064" s="355">
        <f>'PART-B'!K1112</f>
        <v>6132.48</v>
      </c>
      <c r="J1064" s="353">
        <f t="shared" si="195"/>
        <v>0</v>
      </c>
      <c r="K1064" s="669">
        <f t="shared" si="196"/>
        <v>0</v>
      </c>
      <c r="L1064" s="368">
        <f t="shared" si="197"/>
        <v>0</v>
      </c>
      <c r="M1064" s="633" t="s">
        <v>2313</v>
      </c>
      <c r="N1064" s="223"/>
      <c r="O1064" s="631">
        <f t="shared" si="198"/>
        <v>0</v>
      </c>
    </row>
    <row r="1065" spans="1:15" s="1157" customFormat="1" ht="25.5">
      <c r="A1065" s="1146" t="s">
        <v>467</v>
      </c>
      <c r="B1065" s="1147" t="s">
        <v>965</v>
      </c>
      <c r="C1065" s="917"/>
      <c r="D1065" s="1148"/>
      <c r="E1065" s="922"/>
      <c r="F1065" s="1153"/>
      <c r="G1065" s="1151">
        <f>'PART-B'!I1123</f>
        <v>5.76</v>
      </c>
      <c r="H1065" s="1148" t="s">
        <v>102</v>
      </c>
      <c r="I1065" s="1152">
        <f>'PART-B'!K1123</f>
        <v>8622</v>
      </c>
      <c r="J1065" s="1153">
        <f t="shared" si="195"/>
        <v>49663</v>
      </c>
      <c r="K1065" s="1189">
        <f t="shared" si="196"/>
        <v>49663</v>
      </c>
      <c r="L1065" s="1190">
        <f t="shared" si="197"/>
        <v>0</v>
      </c>
      <c r="M1065" s="1159" t="s">
        <v>2313</v>
      </c>
      <c r="N1065" s="1155"/>
      <c r="O1065" s="1160">
        <f t="shared" si="198"/>
        <v>-49663</v>
      </c>
    </row>
    <row r="1066" spans="1:15" s="360" customFormat="1" ht="25.5" hidden="1">
      <c r="A1066" s="356" t="s">
        <v>1145</v>
      </c>
      <c r="B1066" s="632" t="s">
        <v>965</v>
      </c>
      <c r="C1066" s="634"/>
      <c r="D1066" s="354"/>
      <c r="E1066" s="10"/>
      <c r="F1066" s="353"/>
      <c r="G1066" s="358">
        <f>'PART-B'!I1127</f>
        <v>0</v>
      </c>
      <c r="H1066" s="354" t="s">
        <v>102</v>
      </c>
      <c r="I1066" s="355">
        <f>'PART-B'!K1127</f>
        <v>6460</v>
      </c>
      <c r="J1066" s="353">
        <f t="shared" ref="J1066:J1097" si="199">ROUND(G1066*I1066,0)</f>
        <v>0</v>
      </c>
      <c r="K1066" s="669">
        <f t="shared" si="196"/>
        <v>0</v>
      </c>
      <c r="L1066" s="368">
        <f t="shared" si="197"/>
        <v>0</v>
      </c>
      <c r="M1066" s="633" t="s">
        <v>2313</v>
      </c>
      <c r="N1066" s="223"/>
      <c r="O1066" s="631">
        <f t="shared" si="198"/>
        <v>0</v>
      </c>
    </row>
    <row r="1067" spans="1:15" s="360" customFormat="1" ht="25.5" hidden="1">
      <c r="A1067" s="356" t="s">
        <v>1576</v>
      </c>
      <c r="B1067" s="632" t="s">
        <v>966</v>
      </c>
      <c r="C1067" s="634"/>
      <c r="D1067" s="354"/>
      <c r="E1067" s="10"/>
      <c r="F1067" s="353"/>
      <c r="G1067" s="358">
        <f>'PART-B'!I1131</f>
        <v>0</v>
      </c>
      <c r="H1067" s="354" t="s">
        <v>102</v>
      </c>
      <c r="I1067" s="355">
        <f>'PART-B'!K1131</f>
        <v>6238</v>
      </c>
      <c r="J1067" s="353">
        <f t="shared" si="199"/>
        <v>0</v>
      </c>
      <c r="K1067" s="669">
        <f t="shared" si="196"/>
        <v>0</v>
      </c>
      <c r="L1067" s="368">
        <f t="shared" si="197"/>
        <v>0</v>
      </c>
      <c r="M1067" s="633" t="s">
        <v>2313</v>
      </c>
      <c r="N1067" s="223"/>
      <c r="O1067" s="631">
        <f t="shared" si="198"/>
        <v>0</v>
      </c>
    </row>
    <row r="1068" spans="1:15" s="360" customFormat="1" ht="15" hidden="1">
      <c r="A1068" s="356"/>
      <c r="B1068" s="632" t="s">
        <v>2285</v>
      </c>
      <c r="C1068" s="634"/>
      <c r="D1068" s="354"/>
      <c r="E1068" s="10"/>
      <c r="F1068" s="353"/>
      <c r="G1068" s="358">
        <f>'PART-B'!I1136</f>
        <v>0</v>
      </c>
      <c r="H1068" s="354" t="s">
        <v>102</v>
      </c>
      <c r="I1068" s="355">
        <f>'PART-B'!K1136</f>
        <v>4062</v>
      </c>
      <c r="J1068" s="353">
        <f t="shared" si="199"/>
        <v>0</v>
      </c>
      <c r="K1068" s="669">
        <f t="shared" si="196"/>
        <v>0</v>
      </c>
      <c r="L1068" s="368">
        <f t="shared" si="197"/>
        <v>0</v>
      </c>
      <c r="M1068" s="633" t="s">
        <v>2313</v>
      </c>
      <c r="N1068" s="223"/>
      <c r="O1068" s="631">
        <f t="shared" si="198"/>
        <v>0</v>
      </c>
    </row>
    <row r="1069" spans="1:15" s="360" customFormat="1" ht="15" hidden="1">
      <c r="A1069" s="356" t="s">
        <v>1147</v>
      </c>
      <c r="B1069" s="632" t="s">
        <v>712</v>
      </c>
      <c r="C1069" s="635"/>
      <c r="D1069" s="354"/>
      <c r="E1069" s="362"/>
      <c r="F1069" s="353"/>
      <c r="G1069" s="358">
        <f>'PART-B'!I1141</f>
        <v>0</v>
      </c>
      <c r="H1069" s="354" t="s">
        <v>115</v>
      </c>
      <c r="I1069" s="355">
        <f>'PART-B'!K1141</f>
        <v>577.28</v>
      </c>
      <c r="J1069" s="353">
        <f t="shared" si="199"/>
        <v>0</v>
      </c>
      <c r="K1069" s="669">
        <f t="shared" si="196"/>
        <v>0</v>
      </c>
      <c r="L1069" s="368">
        <f t="shared" si="197"/>
        <v>0</v>
      </c>
      <c r="M1069" s="633" t="s">
        <v>2313</v>
      </c>
      <c r="N1069" s="223"/>
      <c r="O1069" s="631">
        <f t="shared" si="198"/>
        <v>0</v>
      </c>
    </row>
    <row r="1070" spans="1:15" s="360" customFormat="1" ht="15" hidden="1">
      <c r="A1070" s="356" t="s">
        <v>1577</v>
      </c>
      <c r="B1070" s="632" t="s">
        <v>932</v>
      </c>
      <c r="C1070" s="611"/>
      <c r="D1070" s="354"/>
      <c r="E1070" s="607"/>
      <c r="F1070" s="353"/>
      <c r="G1070" s="358">
        <f>'PART-B'!I1146</f>
        <v>0</v>
      </c>
      <c r="H1070" s="354" t="s">
        <v>102</v>
      </c>
      <c r="I1070" s="355">
        <f>'PART-B'!K1146</f>
        <v>604.07999999999993</v>
      </c>
      <c r="J1070" s="353">
        <f t="shared" si="199"/>
        <v>0</v>
      </c>
      <c r="K1070" s="669">
        <f t="shared" si="196"/>
        <v>0</v>
      </c>
      <c r="L1070" s="368">
        <f t="shared" si="197"/>
        <v>0</v>
      </c>
      <c r="M1070" s="633" t="s">
        <v>2313</v>
      </c>
      <c r="N1070" s="223"/>
      <c r="O1070" s="631">
        <f t="shared" si="198"/>
        <v>0</v>
      </c>
    </row>
    <row r="1071" spans="1:15" s="360" customFormat="1" ht="51" hidden="1">
      <c r="A1071" s="356" t="s">
        <v>326</v>
      </c>
      <c r="B1071" s="632" t="s">
        <v>3219</v>
      </c>
      <c r="C1071" s="635"/>
      <c r="D1071" s="354"/>
      <c r="E1071" s="362"/>
      <c r="F1071" s="353"/>
      <c r="G1071" s="358">
        <f>'PART-B'!I1151</f>
        <v>0</v>
      </c>
      <c r="H1071" s="354" t="s">
        <v>872</v>
      </c>
      <c r="I1071" s="355">
        <f>'PART-B'!K1151</f>
        <v>110.38</v>
      </c>
      <c r="J1071" s="353">
        <f t="shared" si="199"/>
        <v>0</v>
      </c>
      <c r="K1071" s="669">
        <f t="shared" si="196"/>
        <v>0</v>
      </c>
      <c r="L1071" s="368">
        <f t="shared" si="197"/>
        <v>0</v>
      </c>
      <c r="M1071" s="633" t="s">
        <v>2313</v>
      </c>
      <c r="N1071" s="223"/>
      <c r="O1071" s="631">
        <f t="shared" si="198"/>
        <v>0</v>
      </c>
    </row>
    <row r="1072" spans="1:15" s="360" customFormat="1" ht="15" hidden="1">
      <c r="A1072" s="356" t="s">
        <v>1591</v>
      </c>
      <c r="B1072" s="632" t="s">
        <v>542</v>
      </c>
      <c r="C1072" s="634"/>
      <c r="D1072" s="354"/>
      <c r="E1072" s="362"/>
      <c r="F1072" s="353"/>
      <c r="G1072" s="358">
        <f>'PART-B'!I1158</f>
        <v>0</v>
      </c>
      <c r="H1072" s="354" t="s">
        <v>102</v>
      </c>
      <c r="I1072" s="355">
        <f>'PART-B'!K1158</f>
        <v>3130</v>
      </c>
      <c r="J1072" s="353">
        <f t="shared" si="199"/>
        <v>0</v>
      </c>
      <c r="K1072" s="669">
        <f t="shared" si="196"/>
        <v>0</v>
      </c>
      <c r="L1072" s="368">
        <f t="shared" si="197"/>
        <v>0</v>
      </c>
      <c r="M1072" s="633" t="s">
        <v>2313</v>
      </c>
      <c r="N1072" s="223"/>
      <c r="O1072" s="631">
        <f t="shared" si="198"/>
        <v>0</v>
      </c>
    </row>
    <row r="1073" spans="1:15" s="360" customFormat="1" ht="15" hidden="1">
      <c r="A1073" s="356" t="s">
        <v>518</v>
      </c>
      <c r="B1073" s="632" t="s">
        <v>632</v>
      </c>
      <c r="C1073" s="611"/>
      <c r="D1073" s="354"/>
      <c r="E1073" s="607"/>
      <c r="F1073" s="353"/>
      <c r="G1073" s="358">
        <f>'PART-B'!I1163</f>
        <v>0</v>
      </c>
      <c r="H1073" s="354"/>
      <c r="I1073" s="355">
        <f>'PART-B'!K1163</f>
        <v>126.9</v>
      </c>
      <c r="J1073" s="353">
        <f t="shared" si="199"/>
        <v>0</v>
      </c>
      <c r="K1073" s="669">
        <f t="shared" si="196"/>
        <v>0</v>
      </c>
      <c r="L1073" s="368">
        <f t="shared" si="197"/>
        <v>0</v>
      </c>
      <c r="M1073" s="633" t="s">
        <v>2313</v>
      </c>
      <c r="N1073" s="223"/>
      <c r="O1073" s="631">
        <f t="shared" si="198"/>
        <v>0</v>
      </c>
    </row>
    <row r="1074" spans="1:15" s="1157" customFormat="1" ht="15" hidden="1">
      <c r="A1074" s="1146" t="s">
        <v>1155</v>
      </c>
      <c r="B1074" s="1147" t="s">
        <v>2001</v>
      </c>
      <c r="C1074" s="1207"/>
      <c r="D1074" s="1148"/>
      <c r="E1074" s="1208"/>
      <c r="F1074" s="1153"/>
      <c r="G1074" s="1151">
        <f>'PART-B'!I1172</f>
        <v>0</v>
      </c>
      <c r="H1074" s="1148" t="s">
        <v>102</v>
      </c>
      <c r="I1074" s="1152">
        <f>'PART-B'!K1172</f>
        <v>3345.94</v>
      </c>
      <c r="J1074" s="1153">
        <f t="shared" si="199"/>
        <v>0</v>
      </c>
      <c r="K1074" s="1189">
        <f t="shared" si="196"/>
        <v>0</v>
      </c>
      <c r="L1074" s="1190">
        <f t="shared" si="197"/>
        <v>0</v>
      </c>
      <c r="M1074" s="1159" t="s">
        <v>2313</v>
      </c>
      <c r="N1074" s="1155"/>
      <c r="O1074" s="1160">
        <f t="shared" si="198"/>
        <v>0</v>
      </c>
    </row>
    <row r="1075" spans="1:15" s="360" customFormat="1" ht="15" hidden="1">
      <c r="A1075" s="356" t="s">
        <v>642</v>
      </c>
      <c r="B1075" s="632" t="s">
        <v>2076</v>
      </c>
      <c r="C1075" s="611"/>
      <c r="D1075" s="354"/>
      <c r="E1075" s="607"/>
      <c r="F1075" s="353"/>
      <c r="G1075" s="358">
        <f>'PART-B'!I1180</f>
        <v>0</v>
      </c>
      <c r="H1075" s="354" t="s">
        <v>102</v>
      </c>
      <c r="I1075" s="355">
        <f>'PART-B'!K1180</f>
        <v>1514.34</v>
      </c>
      <c r="J1075" s="353">
        <f t="shared" si="199"/>
        <v>0</v>
      </c>
      <c r="K1075" s="669">
        <f t="shared" si="196"/>
        <v>0</v>
      </c>
      <c r="L1075" s="368">
        <f t="shared" si="197"/>
        <v>0</v>
      </c>
      <c r="M1075" s="633" t="s">
        <v>2313</v>
      </c>
      <c r="N1075" s="223"/>
      <c r="O1075" s="631">
        <f t="shared" si="198"/>
        <v>0</v>
      </c>
    </row>
    <row r="1076" spans="1:15" s="360" customFormat="1" ht="15" hidden="1">
      <c r="A1076" s="356" t="s">
        <v>642</v>
      </c>
      <c r="B1076" s="632" t="s">
        <v>2288</v>
      </c>
      <c r="C1076" s="611"/>
      <c r="D1076" s="354"/>
      <c r="E1076" s="607"/>
      <c r="F1076" s="353"/>
      <c r="G1076" s="358">
        <f>'PART-B'!I1185</f>
        <v>0</v>
      </c>
      <c r="H1076" s="354" t="s">
        <v>872</v>
      </c>
      <c r="I1076" s="355">
        <f>'PART-B'!K1185</f>
        <v>568.35</v>
      </c>
      <c r="J1076" s="353">
        <f t="shared" si="199"/>
        <v>0</v>
      </c>
      <c r="K1076" s="669">
        <f t="shared" si="196"/>
        <v>0</v>
      </c>
      <c r="L1076" s="368">
        <f t="shared" si="197"/>
        <v>0</v>
      </c>
      <c r="M1076" s="633" t="s">
        <v>2313</v>
      </c>
      <c r="N1076" s="223"/>
      <c r="O1076" s="631">
        <f t="shared" si="198"/>
        <v>0</v>
      </c>
    </row>
    <row r="1077" spans="1:15" s="360" customFormat="1" ht="15" hidden="1">
      <c r="A1077" s="356" t="s">
        <v>1151</v>
      </c>
      <c r="B1077" s="632" t="s">
        <v>962</v>
      </c>
      <c r="C1077" s="634"/>
      <c r="D1077" s="221"/>
      <c r="E1077" s="10"/>
      <c r="F1077" s="353"/>
      <c r="G1077" s="429">
        <f>'PART-B'!I1193</f>
        <v>0</v>
      </c>
      <c r="H1077" s="221" t="s">
        <v>277</v>
      </c>
      <c r="I1077" s="430">
        <f>'PART-B'!K1193</f>
        <v>453</v>
      </c>
      <c r="J1077" s="353">
        <f t="shared" si="199"/>
        <v>0</v>
      </c>
      <c r="K1077" s="669">
        <f t="shared" si="196"/>
        <v>0</v>
      </c>
      <c r="L1077" s="368">
        <f t="shared" si="197"/>
        <v>0</v>
      </c>
      <c r="M1077" s="633" t="s">
        <v>2313</v>
      </c>
      <c r="N1077" s="223"/>
      <c r="O1077" s="631">
        <f t="shared" si="198"/>
        <v>0</v>
      </c>
    </row>
    <row r="1078" spans="1:15" s="1157" customFormat="1" ht="15" hidden="1">
      <c r="A1078" s="1146" t="s">
        <v>1156</v>
      </c>
      <c r="B1078" s="1147" t="s">
        <v>543</v>
      </c>
      <c r="C1078" s="1234"/>
      <c r="D1078" s="1148"/>
      <c r="E1078" s="1185"/>
      <c r="F1078" s="1153"/>
      <c r="G1078" s="1151">
        <f>'PART-B'!I1199</f>
        <v>0</v>
      </c>
      <c r="H1078" s="1148" t="s">
        <v>277</v>
      </c>
      <c r="I1078" s="1152">
        <f>'PART-B'!K1199</f>
        <v>214</v>
      </c>
      <c r="J1078" s="1153">
        <f t="shared" si="199"/>
        <v>0</v>
      </c>
      <c r="K1078" s="1189">
        <f t="shared" si="196"/>
        <v>0</v>
      </c>
      <c r="L1078" s="1190">
        <f t="shared" si="197"/>
        <v>0</v>
      </c>
      <c r="M1078" s="1159" t="s">
        <v>2313</v>
      </c>
      <c r="N1078" s="1155"/>
      <c r="O1078" s="1160">
        <f t="shared" si="198"/>
        <v>0</v>
      </c>
    </row>
    <row r="1079" spans="1:15" s="1157" customFormat="1" ht="38.25">
      <c r="A1079" s="1146" t="s">
        <v>468</v>
      </c>
      <c r="B1079" s="1147" t="s">
        <v>3222</v>
      </c>
      <c r="C1079" s="1234"/>
      <c r="D1079" s="1148"/>
      <c r="E1079" s="1185"/>
      <c r="F1079" s="1153"/>
      <c r="G1079" s="1151">
        <f>'PART-B'!I1205</f>
        <v>40</v>
      </c>
      <c r="H1079" s="1148" t="s">
        <v>277</v>
      </c>
      <c r="I1079" s="1152">
        <f>'PART-B'!K1205</f>
        <v>136</v>
      </c>
      <c r="J1079" s="1153">
        <f t="shared" si="199"/>
        <v>5440</v>
      </c>
      <c r="K1079" s="1189">
        <f t="shared" si="196"/>
        <v>5440</v>
      </c>
      <c r="L1079" s="1190">
        <f t="shared" si="197"/>
        <v>0</v>
      </c>
      <c r="M1079" s="1159" t="s">
        <v>2313</v>
      </c>
      <c r="N1079" s="1155"/>
      <c r="O1079" s="1160">
        <f t="shared" si="198"/>
        <v>-5440</v>
      </c>
    </row>
    <row r="1080" spans="1:15" s="360" customFormat="1" ht="15" hidden="1">
      <c r="A1080" s="356" t="s">
        <v>1594</v>
      </c>
      <c r="B1080" s="632" t="s">
        <v>2002</v>
      </c>
      <c r="C1080" s="655"/>
      <c r="D1080" s="354"/>
      <c r="E1080" s="656"/>
      <c r="F1080" s="353"/>
      <c r="G1080" s="358">
        <f>'PART-B'!I1210</f>
        <v>0</v>
      </c>
      <c r="H1080" s="354" t="s">
        <v>277</v>
      </c>
      <c r="I1080" s="355">
        <f>'PART-B'!K1210</f>
        <v>94</v>
      </c>
      <c r="J1080" s="353">
        <f t="shared" si="199"/>
        <v>0</v>
      </c>
      <c r="K1080" s="669">
        <f t="shared" si="196"/>
        <v>0</v>
      </c>
      <c r="L1080" s="368">
        <f t="shared" si="197"/>
        <v>0</v>
      </c>
      <c r="M1080" s="633" t="s">
        <v>2313</v>
      </c>
      <c r="N1080" s="223"/>
      <c r="O1080" s="631">
        <f t="shared" si="198"/>
        <v>0</v>
      </c>
    </row>
    <row r="1081" spans="1:15" s="360" customFormat="1" ht="15" hidden="1">
      <c r="A1081" s="356" t="s">
        <v>1153</v>
      </c>
      <c r="B1081" s="632" t="s">
        <v>1255</v>
      </c>
      <c r="C1081" s="611"/>
      <c r="D1081" s="354"/>
      <c r="E1081" s="607"/>
      <c r="F1081" s="353"/>
      <c r="G1081" s="358">
        <f>'PART-B'!I1220</f>
        <v>0</v>
      </c>
      <c r="H1081" s="354" t="s">
        <v>277</v>
      </c>
      <c r="I1081" s="355">
        <f>'PART-B'!K1220</f>
        <v>35</v>
      </c>
      <c r="J1081" s="353">
        <f t="shared" si="199"/>
        <v>0</v>
      </c>
      <c r="K1081" s="669">
        <f t="shared" si="196"/>
        <v>0</v>
      </c>
      <c r="L1081" s="368">
        <f t="shared" si="197"/>
        <v>0</v>
      </c>
      <c r="M1081" s="633" t="s">
        <v>2313</v>
      </c>
      <c r="N1081" s="223"/>
      <c r="O1081" s="631">
        <f t="shared" si="198"/>
        <v>0</v>
      </c>
    </row>
    <row r="1082" spans="1:15" s="1157" customFormat="1" ht="25.5">
      <c r="A1082" s="1146" t="s">
        <v>326</v>
      </c>
      <c r="B1082" s="1147" t="s">
        <v>3225</v>
      </c>
      <c r="C1082" s="1234"/>
      <c r="D1082" s="1148"/>
      <c r="E1082" s="1185"/>
      <c r="F1082" s="1153"/>
      <c r="G1082" s="1151">
        <f>'PART-B'!I1226</f>
        <v>40</v>
      </c>
      <c r="H1082" s="1148" t="s">
        <v>277</v>
      </c>
      <c r="I1082" s="1152">
        <f>'PART-B'!K1226</f>
        <v>33</v>
      </c>
      <c r="J1082" s="1153">
        <f t="shared" si="199"/>
        <v>1320</v>
      </c>
      <c r="K1082" s="1189">
        <f t="shared" si="196"/>
        <v>1320</v>
      </c>
      <c r="L1082" s="1190">
        <f t="shared" si="197"/>
        <v>0</v>
      </c>
      <c r="M1082" s="1159" t="s">
        <v>2313</v>
      </c>
      <c r="N1082" s="1155"/>
      <c r="O1082" s="1160">
        <f t="shared" si="198"/>
        <v>-1320</v>
      </c>
    </row>
    <row r="1083" spans="1:15" s="1157" customFormat="1" ht="15" hidden="1">
      <c r="A1083" s="1146" t="s">
        <v>473</v>
      </c>
      <c r="B1083" s="1147" t="s">
        <v>546</v>
      </c>
      <c r="C1083" s="1234"/>
      <c r="D1083" s="1148"/>
      <c r="E1083" s="1185"/>
      <c r="F1083" s="1153"/>
      <c r="G1083" s="1151">
        <f>'PART-B'!I1231</f>
        <v>0</v>
      </c>
      <c r="H1083" s="1148" t="s">
        <v>115</v>
      </c>
      <c r="I1083" s="1152">
        <f>'PART-B'!K1231</f>
        <v>387</v>
      </c>
      <c r="J1083" s="1153">
        <f t="shared" si="199"/>
        <v>0</v>
      </c>
      <c r="K1083" s="1189">
        <f t="shared" si="196"/>
        <v>0</v>
      </c>
      <c r="L1083" s="1190">
        <f t="shared" si="197"/>
        <v>0</v>
      </c>
      <c r="M1083" s="1159" t="s">
        <v>2313</v>
      </c>
      <c r="N1083" s="1155"/>
      <c r="O1083" s="1160">
        <f t="shared" si="198"/>
        <v>0</v>
      </c>
    </row>
    <row r="1084" spans="1:15" s="360" customFormat="1" ht="25.5" hidden="1">
      <c r="A1084" s="356" t="s">
        <v>499</v>
      </c>
      <c r="B1084" s="632" t="s">
        <v>713</v>
      </c>
      <c r="C1084" s="655"/>
      <c r="D1084" s="354"/>
      <c r="E1084" s="656"/>
      <c r="F1084" s="353"/>
      <c r="G1084" s="358">
        <f>'PART-B'!I1236</f>
        <v>0</v>
      </c>
      <c r="H1084" s="354" t="s">
        <v>115</v>
      </c>
      <c r="I1084" s="355">
        <f>'PART-B'!K1236</f>
        <v>1644</v>
      </c>
      <c r="J1084" s="353">
        <f t="shared" si="199"/>
        <v>0</v>
      </c>
      <c r="K1084" s="669">
        <f t="shared" si="196"/>
        <v>0</v>
      </c>
      <c r="L1084" s="368">
        <f t="shared" si="197"/>
        <v>0</v>
      </c>
      <c r="M1084" s="633" t="s">
        <v>2313</v>
      </c>
      <c r="N1084" s="223"/>
      <c r="O1084" s="631">
        <f t="shared" si="198"/>
        <v>0</v>
      </c>
    </row>
    <row r="1085" spans="1:15" s="1157" customFormat="1" ht="38.25">
      <c r="A1085" s="1146" t="s">
        <v>469</v>
      </c>
      <c r="B1085" s="1147" t="s">
        <v>3227</v>
      </c>
      <c r="C1085" s="1234"/>
      <c r="D1085" s="1148"/>
      <c r="E1085" s="1185"/>
      <c r="F1085" s="1153"/>
      <c r="G1085" s="1151">
        <f>'PART-B'!I1241</f>
        <v>10</v>
      </c>
      <c r="H1085" s="1148" t="s">
        <v>277</v>
      </c>
      <c r="I1085" s="1152">
        <f>'PART-B'!K1241</f>
        <v>149</v>
      </c>
      <c r="J1085" s="1153">
        <f t="shared" si="199"/>
        <v>1490</v>
      </c>
      <c r="K1085" s="1189">
        <f t="shared" si="196"/>
        <v>1490</v>
      </c>
      <c r="L1085" s="1190">
        <f t="shared" si="197"/>
        <v>0</v>
      </c>
      <c r="M1085" s="1159" t="s">
        <v>2313</v>
      </c>
      <c r="N1085" s="1155"/>
      <c r="O1085" s="1160">
        <f t="shared" si="198"/>
        <v>-1490</v>
      </c>
    </row>
    <row r="1086" spans="1:15" s="360" customFormat="1" ht="15" hidden="1">
      <c r="A1086" s="356" t="s">
        <v>1258</v>
      </c>
      <c r="B1086" s="632" t="s">
        <v>548</v>
      </c>
      <c r="C1086" s="655"/>
      <c r="D1086" s="354"/>
      <c r="E1086" s="656"/>
      <c r="F1086" s="353"/>
      <c r="G1086" s="358">
        <f>'PART-B'!I1246</f>
        <v>0</v>
      </c>
      <c r="H1086" s="354" t="s">
        <v>277</v>
      </c>
      <c r="I1086" s="355">
        <f>'PART-B'!K1246</f>
        <v>141.66666666666666</v>
      </c>
      <c r="J1086" s="353">
        <f t="shared" si="199"/>
        <v>0</v>
      </c>
      <c r="K1086" s="669">
        <f t="shared" si="196"/>
        <v>0</v>
      </c>
      <c r="L1086" s="368">
        <f t="shared" si="197"/>
        <v>0</v>
      </c>
      <c r="M1086" s="633" t="s">
        <v>2313</v>
      </c>
      <c r="N1086" s="223"/>
      <c r="O1086" s="631">
        <f t="shared" si="198"/>
        <v>0</v>
      </c>
    </row>
    <row r="1087" spans="1:15" s="1157" customFormat="1" ht="38.25">
      <c r="A1087" s="1146" t="s">
        <v>472</v>
      </c>
      <c r="B1087" s="1147" t="s">
        <v>3507</v>
      </c>
      <c r="C1087" s="1234"/>
      <c r="D1087" s="1148"/>
      <c r="E1087" s="1185"/>
      <c r="F1087" s="1153"/>
      <c r="G1087" s="1151">
        <f>'PART-B'!I1251</f>
        <v>10</v>
      </c>
      <c r="H1087" s="1148" t="s">
        <v>277</v>
      </c>
      <c r="I1087" s="1152">
        <f>'PART-B'!K1251</f>
        <v>89</v>
      </c>
      <c r="J1087" s="1153">
        <f t="shared" si="199"/>
        <v>890</v>
      </c>
      <c r="K1087" s="1189">
        <f t="shared" si="196"/>
        <v>890</v>
      </c>
      <c r="L1087" s="1190">
        <f t="shared" si="197"/>
        <v>0</v>
      </c>
      <c r="M1087" s="1159" t="s">
        <v>2313</v>
      </c>
      <c r="N1087" s="1155"/>
      <c r="O1087" s="1160">
        <f t="shared" si="198"/>
        <v>-890</v>
      </c>
    </row>
    <row r="1088" spans="1:15" s="1157" customFormat="1" ht="25.5">
      <c r="A1088" s="1146" t="s">
        <v>473</v>
      </c>
      <c r="B1088" s="1147" t="s">
        <v>3230</v>
      </c>
      <c r="C1088" s="1234"/>
      <c r="D1088" s="1148"/>
      <c r="E1088" s="1185"/>
      <c r="F1088" s="1153"/>
      <c r="G1088" s="1151">
        <f>'PART-B'!I1257</f>
        <v>20</v>
      </c>
      <c r="H1088" s="1148" t="s">
        <v>277</v>
      </c>
      <c r="I1088" s="1152">
        <f>'PART-B'!K1257</f>
        <v>79</v>
      </c>
      <c r="J1088" s="1153">
        <f t="shared" si="199"/>
        <v>1580</v>
      </c>
      <c r="K1088" s="1189">
        <f t="shared" si="196"/>
        <v>1580</v>
      </c>
      <c r="L1088" s="1190">
        <f t="shared" si="197"/>
        <v>0</v>
      </c>
      <c r="M1088" s="1159" t="s">
        <v>2313</v>
      </c>
      <c r="N1088" s="1155"/>
      <c r="O1088" s="1160">
        <f t="shared" si="198"/>
        <v>-1580</v>
      </c>
    </row>
    <row r="1089" spans="1:15" s="1157" customFormat="1" ht="38.25">
      <c r="A1089" s="1146" t="s">
        <v>474</v>
      </c>
      <c r="B1089" s="1147" t="s">
        <v>3231</v>
      </c>
      <c r="C1089" s="917"/>
      <c r="D1089" s="1148"/>
      <c r="E1089" s="896"/>
      <c r="F1089" s="1153"/>
      <c r="G1089" s="1151">
        <f>'PART-B'!I1262</f>
        <v>2</v>
      </c>
      <c r="H1089" s="1148" t="s">
        <v>115</v>
      </c>
      <c r="I1089" s="1152">
        <f>'PART-B'!K1262</f>
        <v>5297</v>
      </c>
      <c r="J1089" s="1153">
        <f t="shared" si="199"/>
        <v>10594</v>
      </c>
      <c r="K1089" s="1189">
        <f t="shared" si="196"/>
        <v>10594</v>
      </c>
      <c r="L1089" s="1190">
        <f t="shared" si="197"/>
        <v>0</v>
      </c>
      <c r="M1089" s="1159" t="s">
        <v>2313</v>
      </c>
      <c r="N1089" s="1155"/>
      <c r="O1089" s="1160">
        <f t="shared" si="198"/>
        <v>-10594</v>
      </c>
    </row>
    <row r="1090" spans="1:15" s="360" customFormat="1" ht="15" hidden="1">
      <c r="A1090" s="356" t="s">
        <v>644</v>
      </c>
      <c r="B1090" s="632" t="s">
        <v>633</v>
      </c>
      <c r="C1090" s="551"/>
      <c r="D1090" s="354"/>
      <c r="E1090" s="16"/>
      <c r="F1090" s="353"/>
      <c r="G1090" s="358">
        <f>'PART-B'!I1267</f>
        <v>0</v>
      </c>
      <c r="H1090" s="354" t="s">
        <v>115</v>
      </c>
      <c r="I1090" s="355">
        <f>'PART-B'!K1267</f>
        <v>1036</v>
      </c>
      <c r="J1090" s="353">
        <f t="shared" si="199"/>
        <v>0</v>
      </c>
      <c r="K1090" s="669">
        <f t="shared" si="196"/>
        <v>0</v>
      </c>
      <c r="L1090" s="368">
        <f t="shared" si="197"/>
        <v>0</v>
      </c>
      <c r="M1090" s="633" t="s">
        <v>2313</v>
      </c>
      <c r="N1090" s="223"/>
      <c r="O1090" s="631">
        <f t="shared" si="198"/>
        <v>0</v>
      </c>
    </row>
    <row r="1091" spans="1:15" s="1157" customFormat="1" ht="38.25">
      <c r="A1091" s="1146" t="s">
        <v>475</v>
      </c>
      <c r="B1091" s="1147" t="s">
        <v>3232</v>
      </c>
      <c r="C1091" s="917"/>
      <c r="D1091" s="1148"/>
      <c r="E1091" s="896"/>
      <c r="F1091" s="1153"/>
      <c r="G1091" s="1151">
        <f>'PART-B'!I1277</f>
        <v>2</v>
      </c>
      <c r="H1091" s="1148" t="s">
        <v>115</v>
      </c>
      <c r="I1091" s="1152">
        <f>'PART-B'!K1277</f>
        <v>2025</v>
      </c>
      <c r="J1091" s="1153">
        <f t="shared" si="199"/>
        <v>4050</v>
      </c>
      <c r="K1091" s="1189">
        <f t="shared" si="196"/>
        <v>4050</v>
      </c>
      <c r="L1091" s="1190">
        <f t="shared" si="197"/>
        <v>0</v>
      </c>
      <c r="M1091" s="1159" t="s">
        <v>2313</v>
      </c>
      <c r="N1091" s="1155"/>
      <c r="O1091" s="1160">
        <f t="shared" si="198"/>
        <v>-4050</v>
      </c>
    </row>
    <row r="1092" spans="1:15" s="360" customFormat="1" ht="15" hidden="1">
      <c r="A1092" s="356" t="s">
        <v>1595</v>
      </c>
      <c r="B1092" s="632" t="s">
        <v>1256</v>
      </c>
      <c r="C1092" s="551"/>
      <c r="D1092" s="354"/>
      <c r="E1092" s="16"/>
      <c r="F1092" s="353"/>
      <c r="G1092" s="358">
        <f>'PART-B'!I1272</f>
        <v>0</v>
      </c>
      <c r="H1092" s="354" t="s">
        <v>115</v>
      </c>
      <c r="I1092" s="355">
        <f>'PART-B'!K1272</f>
        <v>2644</v>
      </c>
      <c r="J1092" s="353">
        <f t="shared" si="199"/>
        <v>0</v>
      </c>
      <c r="K1092" s="669">
        <f t="shared" si="196"/>
        <v>0</v>
      </c>
      <c r="L1092" s="368">
        <f t="shared" si="197"/>
        <v>0</v>
      </c>
      <c r="M1092" s="633" t="s">
        <v>2313</v>
      </c>
      <c r="N1092" s="223"/>
      <c r="O1092" s="631">
        <f t="shared" si="198"/>
        <v>0</v>
      </c>
    </row>
    <row r="1093" spans="1:15" s="1157" customFormat="1" ht="15" hidden="1">
      <c r="A1093" s="1146" t="s">
        <v>2455</v>
      </c>
      <c r="B1093" s="1147" t="s">
        <v>719</v>
      </c>
      <c r="C1093" s="1234"/>
      <c r="D1093" s="1148"/>
      <c r="E1093" s="1185"/>
      <c r="F1093" s="1153"/>
      <c r="G1093" s="1151">
        <f>'PART-B'!I1282</f>
        <v>0</v>
      </c>
      <c r="H1093" s="1148" t="s">
        <v>115</v>
      </c>
      <c r="I1093" s="1152">
        <f>'PART-B'!K1282</f>
        <v>93</v>
      </c>
      <c r="J1093" s="1153">
        <f t="shared" si="199"/>
        <v>0</v>
      </c>
      <c r="K1093" s="1189">
        <f t="shared" si="196"/>
        <v>0</v>
      </c>
      <c r="L1093" s="1190">
        <f t="shared" si="197"/>
        <v>0</v>
      </c>
      <c r="M1093" s="1159" t="s">
        <v>2313</v>
      </c>
      <c r="N1093" s="1155"/>
      <c r="O1093" s="1160">
        <f t="shared" si="198"/>
        <v>0</v>
      </c>
    </row>
    <row r="1094" spans="1:15" s="1157" customFormat="1" ht="25.5">
      <c r="A1094" s="1146" t="s">
        <v>476</v>
      </c>
      <c r="B1094" s="1147" t="s">
        <v>3234</v>
      </c>
      <c r="C1094" s="1234"/>
      <c r="D1094" s="1148"/>
      <c r="E1094" s="1185"/>
      <c r="F1094" s="1153"/>
      <c r="G1094" s="1151">
        <f>'PART-B'!I1287</f>
        <v>500</v>
      </c>
      <c r="H1094" s="1148" t="s">
        <v>574</v>
      </c>
      <c r="I1094" s="1152">
        <f>'PART-B'!K1287</f>
        <v>9.5</v>
      </c>
      <c r="J1094" s="1153">
        <f t="shared" si="199"/>
        <v>4750</v>
      </c>
      <c r="K1094" s="1189">
        <f t="shared" si="196"/>
        <v>4750</v>
      </c>
      <c r="L1094" s="1190">
        <f t="shared" si="197"/>
        <v>0</v>
      </c>
      <c r="M1094" s="1159" t="s">
        <v>2313</v>
      </c>
      <c r="N1094" s="1155"/>
      <c r="O1094" s="1160">
        <f t="shared" si="198"/>
        <v>-4750</v>
      </c>
    </row>
    <row r="1095" spans="1:15" s="360" customFormat="1" ht="15" hidden="1">
      <c r="A1095" s="356" t="s">
        <v>1160</v>
      </c>
      <c r="B1095" s="632" t="s">
        <v>553</v>
      </c>
      <c r="C1095" s="655"/>
      <c r="D1095" s="354"/>
      <c r="E1095" s="656"/>
      <c r="F1095" s="353"/>
      <c r="G1095" s="358">
        <f>'PART-B'!I1290</f>
        <v>0</v>
      </c>
      <c r="H1095" s="354" t="s">
        <v>277</v>
      </c>
      <c r="I1095" s="355">
        <f>'PART-B'!K1290</f>
        <v>446.4</v>
      </c>
      <c r="J1095" s="353">
        <f t="shared" si="199"/>
        <v>0</v>
      </c>
      <c r="K1095" s="669">
        <f t="shared" si="196"/>
        <v>0</v>
      </c>
      <c r="L1095" s="368">
        <f t="shared" si="197"/>
        <v>0</v>
      </c>
      <c r="M1095" s="633" t="s">
        <v>2313</v>
      </c>
      <c r="N1095" s="223"/>
      <c r="O1095" s="631">
        <f t="shared" si="198"/>
        <v>0</v>
      </c>
    </row>
    <row r="1096" spans="1:15" s="360" customFormat="1" ht="15" hidden="1">
      <c r="A1096" s="356" t="s">
        <v>524</v>
      </c>
      <c r="B1096" s="632" t="s">
        <v>553</v>
      </c>
      <c r="C1096" s="611"/>
      <c r="D1096" s="354"/>
      <c r="E1096" s="607"/>
      <c r="F1096" s="353"/>
      <c r="G1096" s="358">
        <f>'PART-B'!I1291</f>
        <v>0</v>
      </c>
      <c r="H1096" s="354" t="s">
        <v>277</v>
      </c>
      <c r="I1096" s="355">
        <f>'PART-B'!K1291</f>
        <v>477.6</v>
      </c>
      <c r="J1096" s="353">
        <f t="shared" si="199"/>
        <v>0</v>
      </c>
      <c r="K1096" s="669">
        <f t="shared" si="196"/>
        <v>0</v>
      </c>
      <c r="L1096" s="368">
        <f t="shared" si="197"/>
        <v>0</v>
      </c>
      <c r="M1096" s="633" t="s">
        <v>2313</v>
      </c>
      <c r="N1096" s="223"/>
      <c r="O1096" s="631">
        <f t="shared" si="198"/>
        <v>0</v>
      </c>
    </row>
    <row r="1097" spans="1:15" s="360" customFormat="1" ht="15" hidden="1">
      <c r="A1097" s="356" t="s">
        <v>525</v>
      </c>
      <c r="B1097" s="632" t="s">
        <v>553</v>
      </c>
      <c r="C1097" s="611"/>
      <c r="D1097" s="354"/>
      <c r="E1097" s="607"/>
      <c r="F1097" s="353"/>
      <c r="G1097" s="358">
        <f>'PART-B'!I1292</f>
        <v>0</v>
      </c>
      <c r="H1097" s="354" t="s">
        <v>277</v>
      </c>
      <c r="I1097" s="355">
        <f>'PART-B'!K1292</f>
        <v>535.70000000000005</v>
      </c>
      <c r="J1097" s="353">
        <f t="shared" si="199"/>
        <v>0</v>
      </c>
      <c r="K1097" s="669">
        <f t="shared" si="196"/>
        <v>0</v>
      </c>
      <c r="L1097" s="368">
        <f t="shared" si="197"/>
        <v>0</v>
      </c>
      <c r="M1097" s="633" t="s">
        <v>2313</v>
      </c>
      <c r="N1097" s="223"/>
      <c r="O1097" s="631">
        <f t="shared" si="198"/>
        <v>0</v>
      </c>
    </row>
    <row r="1098" spans="1:15" s="360" customFormat="1" ht="15" hidden="1">
      <c r="A1098" s="356" t="s">
        <v>1260</v>
      </c>
      <c r="B1098" s="632" t="s">
        <v>554</v>
      </c>
      <c r="C1098" s="655"/>
      <c r="D1098" s="354"/>
      <c r="E1098" s="656"/>
      <c r="F1098" s="353"/>
      <c r="G1098" s="358">
        <f>'PART-B'!I1298</f>
        <v>0</v>
      </c>
      <c r="H1098" s="354" t="s">
        <v>277</v>
      </c>
      <c r="I1098" s="355">
        <f>'PART-B'!K1298</f>
        <v>325</v>
      </c>
      <c r="J1098" s="353">
        <f t="shared" ref="J1098:J1129" si="200">ROUND(G1098*I1098,0)</f>
        <v>0</v>
      </c>
      <c r="K1098" s="669">
        <f t="shared" si="196"/>
        <v>0</v>
      </c>
      <c r="L1098" s="368">
        <f t="shared" si="197"/>
        <v>0</v>
      </c>
      <c r="M1098" s="633" t="s">
        <v>2313</v>
      </c>
      <c r="N1098" s="223"/>
      <c r="O1098" s="631">
        <f t="shared" si="198"/>
        <v>0</v>
      </c>
    </row>
    <row r="1099" spans="1:15" s="360" customFormat="1" ht="15" hidden="1">
      <c r="A1099" s="356" t="s">
        <v>1161</v>
      </c>
      <c r="B1099" s="632" t="s">
        <v>635</v>
      </c>
      <c r="C1099" s="655"/>
      <c r="D1099" s="354"/>
      <c r="E1099" s="656"/>
      <c r="F1099" s="353"/>
      <c r="G1099" s="358">
        <f>'PART-B'!I1303</f>
        <v>0</v>
      </c>
      <c r="H1099" s="354" t="s">
        <v>115</v>
      </c>
      <c r="I1099" s="355">
        <f>'PART-B'!K1303</f>
        <v>18370</v>
      </c>
      <c r="J1099" s="353">
        <f t="shared" si="200"/>
        <v>0</v>
      </c>
      <c r="K1099" s="669">
        <f t="shared" si="196"/>
        <v>0</v>
      </c>
      <c r="L1099" s="368">
        <f t="shared" si="197"/>
        <v>0</v>
      </c>
      <c r="M1099" s="633" t="s">
        <v>2313</v>
      </c>
      <c r="N1099" s="223"/>
      <c r="O1099" s="631">
        <f t="shared" si="198"/>
        <v>0</v>
      </c>
    </row>
    <row r="1100" spans="1:15" s="360" customFormat="1" ht="15" hidden="1">
      <c r="A1100" s="356" t="s">
        <v>1596</v>
      </c>
      <c r="B1100" s="632" t="s">
        <v>636</v>
      </c>
      <c r="C1100" s="655"/>
      <c r="D1100" s="354"/>
      <c r="E1100" s="656"/>
      <c r="F1100" s="353"/>
      <c r="G1100" s="358">
        <f>'PART-B'!I1308</f>
        <v>0</v>
      </c>
      <c r="H1100" s="354" t="s">
        <v>277</v>
      </c>
      <c r="I1100" s="355">
        <f>'PART-B'!K1308</f>
        <v>85</v>
      </c>
      <c r="J1100" s="353">
        <f t="shared" si="200"/>
        <v>0</v>
      </c>
      <c r="K1100" s="669">
        <f t="shared" si="196"/>
        <v>0</v>
      </c>
      <c r="L1100" s="368">
        <f t="shared" si="197"/>
        <v>0</v>
      </c>
      <c r="M1100" s="633" t="s">
        <v>2313</v>
      </c>
      <c r="N1100" s="223"/>
      <c r="O1100" s="631">
        <f t="shared" si="198"/>
        <v>0</v>
      </c>
    </row>
    <row r="1101" spans="1:15" s="360" customFormat="1" ht="15" hidden="1">
      <c r="A1101" s="356" t="s">
        <v>1597</v>
      </c>
      <c r="B1101" s="632" t="s">
        <v>284</v>
      </c>
      <c r="C1101" s="655"/>
      <c r="D1101" s="354"/>
      <c r="E1101" s="656"/>
      <c r="F1101" s="353"/>
      <c r="G1101" s="358">
        <f>'PART-B'!I1313</f>
        <v>0</v>
      </c>
      <c r="H1101" s="354" t="s">
        <v>115</v>
      </c>
      <c r="I1101" s="355">
        <f>'PART-B'!K1313</f>
        <v>300</v>
      </c>
      <c r="J1101" s="353">
        <f t="shared" si="200"/>
        <v>0</v>
      </c>
      <c r="K1101" s="669">
        <f t="shared" si="196"/>
        <v>0</v>
      </c>
      <c r="L1101" s="368">
        <f t="shared" si="197"/>
        <v>0</v>
      </c>
      <c r="M1101" s="633" t="s">
        <v>2313</v>
      </c>
      <c r="N1101" s="223"/>
      <c r="O1101" s="631">
        <f t="shared" si="198"/>
        <v>0</v>
      </c>
    </row>
    <row r="1102" spans="1:15" s="360" customFormat="1" ht="15" hidden="1">
      <c r="A1102" s="356" t="s">
        <v>2032</v>
      </c>
      <c r="B1102" s="632" t="s">
        <v>285</v>
      </c>
      <c r="C1102" s="655"/>
      <c r="D1102" s="354"/>
      <c r="E1102" s="656"/>
      <c r="F1102" s="353"/>
      <c r="G1102" s="358">
        <f>'PART-B'!I1318</f>
        <v>0</v>
      </c>
      <c r="H1102" s="354" t="s">
        <v>115</v>
      </c>
      <c r="I1102" s="355">
        <f>'PART-B'!K1318</f>
        <v>400</v>
      </c>
      <c r="J1102" s="353">
        <f t="shared" si="200"/>
        <v>0</v>
      </c>
      <c r="K1102" s="669">
        <f t="shared" si="196"/>
        <v>0</v>
      </c>
      <c r="L1102" s="368">
        <f t="shared" si="197"/>
        <v>0</v>
      </c>
      <c r="M1102" s="633" t="s">
        <v>2313</v>
      </c>
      <c r="N1102" s="223"/>
      <c r="O1102" s="631">
        <f t="shared" si="198"/>
        <v>0</v>
      </c>
    </row>
    <row r="1103" spans="1:15" s="360" customFormat="1" ht="15" hidden="1">
      <c r="A1103" s="356" t="s">
        <v>1163</v>
      </c>
      <c r="B1103" s="632" t="s">
        <v>286</v>
      </c>
      <c r="C1103" s="655"/>
      <c r="D1103" s="354"/>
      <c r="E1103" s="656"/>
      <c r="F1103" s="353"/>
      <c r="G1103" s="358">
        <f>'PART-B'!I1323</f>
        <v>0</v>
      </c>
      <c r="H1103" s="354" t="s">
        <v>115</v>
      </c>
      <c r="I1103" s="355">
        <f>'PART-B'!K1323</f>
        <v>77</v>
      </c>
      <c r="J1103" s="353">
        <f t="shared" si="200"/>
        <v>0</v>
      </c>
      <c r="K1103" s="669">
        <f t="shared" si="196"/>
        <v>0</v>
      </c>
      <c r="L1103" s="368">
        <f t="shared" si="197"/>
        <v>0</v>
      </c>
      <c r="M1103" s="633" t="s">
        <v>2313</v>
      </c>
      <c r="N1103" s="223"/>
      <c r="O1103" s="631">
        <f t="shared" si="198"/>
        <v>0</v>
      </c>
    </row>
    <row r="1104" spans="1:15" s="360" customFormat="1" ht="15" hidden="1">
      <c r="A1104" s="356" t="s">
        <v>2035</v>
      </c>
      <c r="B1104" s="632" t="s">
        <v>287</v>
      </c>
      <c r="C1104" s="655"/>
      <c r="D1104" s="354"/>
      <c r="E1104" s="656"/>
      <c r="F1104" s="353"/>
      <c r="G1104" s="358">
        <f>'PART-B'!I1328</f>
        <v>0</v>
      </c>
      <c r="H1104" s="354" t="s">
        <v>115</v>
      </c>
      <c r="I1104" s="355">
        <f>'PART-B'!K1328</f>
        <v>194</v>
      </c>
      <c r="J1104" s="353">
        <f t="shared" si="200"/>
        <v>0</v>
      </c>
      <c r="K1104" s="669">
        <f t="shared" si="196"/>
        <v>0</v>
      </c>
      <c r="L1104" s="368">
        <f t="shared" si="197"/>
        <v>0</v>
      </c>
      <c r="M1104" s="633" t="s">
        <v>2313</v>
      </c>
      <c r="N1104" s="223"/>
      <c r="O1104" s="631">
        <f t="shared" si="198"/>
        <v>0</v>
      </c>
    </row>
    <row r="1105" spans="1:15" s="360" customFormat="1" ht="15" hidden="1">
      <c r="A1105" s="356" t="s">
        <v>1163</v>
      </c>
      <c r="B1105" s="632" t="s">
        <v>637</v>
      </c>
      <c r="C1105" s="655"/>
      <c r="D1105" s="354"/>
      <c r="E1105" s="656"/>
      <c r="F1105" s="353"/>
      <c r="G1105" s="358">
        <f>'PART-B'!I1333</f>
        <v>0</v>
      </c>
      <c r="H1105" s="354" t="s">
        <v>277</v>
      </c>
      <c r="I1105" s="355">
        <f>'PART-B'!K1333</f>
        <v>105</v>
      </c>
      <c r="J1105" s="353">
        <f t="shared" si="200"/>
        <v>0</v>
      </c>
      <c r="K1105" s="669">
        <f t="shared" si="196"/>
        <v>0</v>
      </c>
      <c r="L1105" s="368">
        <f t="shared" si="197"/>
        <v>0</v>
      </c>
      <c r="M1105" s="633" t="s">
        <v>2313</v>
      </c>
      <c r="N1105" s="223"/>
      <c r="O1105" s="631">
        <f t="shared" si="198"/>
        <v>0</v>
      </c>
    </row>
    <row r="1106" spans="1:15" s="360" customFormat="1" ht="15" hidden="1">
      <c r="A1106" s="356" t="s">
        <v>2035</v>
      </c>
      <c r="B1106" s="632" t="s">
        <v>638</v>
      </c>
      <c r="C1106" s="655"/>
      <c r="D1106" s="354"/>
      <c r="E1106" s="656"/>
      <c r="F1106" s="353"/>
      <c r="G1106" s="358">
        <f>'PART-B'!I1338</f>
        <v>0</v>
      </c>
      <c r="H1106" s="354" t="s">
        <v>115</v>
      </c>
      <c r="I1106" s="355">
        <f>'PART-B'!K1338</f>
        <v>5445</v>
      </c>
      <c r="J1106" s="353">
        <f t="shared" si="200"/>
        <v>0</v>
      </c>
      <c r="K1106" s="669">
        <f t="shared" si="196"/>
        <v>0</v>
      </c>
      <c r="L1106" s="368">
        <f t="shared" si="197"/>
        <v>0</v>
      </c>
      <c r="M1106" s="633" t="s">
        <v>2313</v>
      </c>
      <c r="N1106" s="223"/>
      <c r="O1106" s="631">
        <f t="shared" si="198"/>
        <v>0</v>
      </c>
    </row>
    <row r="1107" spans="1:15" s="360" customFormat="1" ht="15" hidden="1">
      <c r="A1107" s="356" t="s">
        <v>1260</v>
      </c>
      <c r="B1107" s="632" t="s">
        <v>555</v>
      </c>
      <c r="C1107" s="634"/>
      <c r="D1107" s="354"/>
      <c r="E1107" s="10"/>
      <c r="F1107" s="353"/>
      <c r="G1107" s="358">
        <f>'PART-B'!I1344</f>
        <v>0</v>
      </c>
      <c r="H1107" s="354" t="s">
        <v>277</v>
      </c>
      <c r="I1107" s="355">
        <f>'PART-B'!K1344</f>
        <v>73.94</v>
      </c>
      <c r="J1107" s="353">
        <f t="shared" si="200"/>
        <v>0</v>
      </c>
      <c r="K1107" s="669">
        <f t="shared" si="196"/>
        <v>0</v>
      </c>
      <c r="L1107" s="368">
        <f t="shared" si="197"/>
        <v>0</v>
      </c>
      <c r="M1107" s="633" t="s">
        <v>2313</v>
      </c>
      <c r="N1107" s="223"/>
      <c r="O1107" s="631">
        <f t="shared" si="198"/>
        <v>0</v>
      </c>
    </row>
    <row r="1108" spans="1:15" s="1157" customFormat="1" ht="38.25">
      <c r="A1108" s="1146" t="s">
        <v>478</v>
      </c>
      <c r="B1108" s="1147" t="s">
        <v>3239</v>
      </c>
      <c r="C1108" s="1158"/>
      <c r="D1108" s="1148"/>
      <c r="E1108" s="922"/>
      <c r="F1108" s="1153"/>
      <c r="G1108" s="1151">
        <f>'PART-B'!I1354</f>
        <v>40</v>
      </c>
      <c r="H1108" s="1148" t="s">
        <v>277</v>
      </c>
      <c r="I1108" s="1152">
        <f>'PART-B'!K1354</f>
        <v>89.61</v>
      </c>
      <c r="J1108" s="1153">
        <f t="shared" si="200"/>
        <v>3584</v>
      </c>
      <c r="K1108" s="1189">
        <f t="shared" si="196"/>
        <v>3584</v>
      </c>
      <c r="L1108" s="1190">
        <f t="shared" si="197"/>
        <v>0</v>
      </c>
      <c r="M1108" s="1159" t="s">
        <v>2313</v>
      </c>
      <c r="N1108" s="1155"/>
      <c r="O1108" s="1160">
        <f t="shared" si="198"/>
        <v>-3584</v>
      </c>
    </row>
    <row r="1109" spans="1:15" s="360" customFormat="1" ht="15" hidden="1">
      <c r="A1109" s="356" t="s">
        <v>517</v>
      </c>
      <c r="B1109" s="632" t="s">
        <v>572</v>
      </c>
      <c r="C1109" s="634"/>
      <c r="D1109" s="354"/>
      <c r="E1109" s="10"/>
      <c r="F1109" s="353"/>
      <c r="G1109" s="358">
        <f>'PART-B'!I1362</f>
        <v>0</v>
      </c>
      <c r="H1109" s="354" t="s">
        <v>277</v>
      </c>
      <c r="I1109" s="355">
        <f>'PART-B'!K1362</f>
        <v>64</v>
      </c>
      <c r="J1109" s="353">
        <f t="shared" si="200"/>
        <v>0</v>
      </c>
      <c r="K1109" s="669">
        <f t="shared" si="196"/>
        <v>0</v>
      </c>
      <c r="L1109" s="368">
        <f t="shared" si="197"/>
        <v>0</v>
      </c>
      <c r="M1109" s="633" t="s">
        <v>2313</v>
      </c>
      <c r="N1109" s="223"/>
      <c r="O1109" s="631">
        <f t="shared" si="198"/>
        <v>0</v>
      </c>
    </row>
    <row r="1110" spans="1:15" s="1157" customFormat="1" ht="15">
      <c r="A1110" s="1146" t="s">
        <v>479</v>
      </c>
      <c r="B1110" s="1147" t="s">
        <v>556</v>
      </c>
      <c r="C1110" s="1207"/>
      <c r="D1110" s="1148"/>
      <c r="E1110" s="1208"/>
      <c r="F1110" s="1153"/>
      <c r="G1110" s="1151">
        <f>'PART-B'!I1367</f>
        <v>3</v>
      </c>
      <c r="H1110" s="1148" t="s">
        <v>115</v>
      </c>
      <c r="I1110" s="1152">
        <f>'PART-B'!K1367</f>
        <v>245</v>
      </c>
      <c r="J1110" s="1153">
        <f t="shared" si="200"/>
        <v>735</v>
      </c>
      <c r="K1110" s="1189">
        <f t="shared" si="196"/>
        <v>735</v>
      </c>
      <c r="L1110" s="1190">
        <f t="shared" si="197"/>
        <v>0</v>
      </c>
      <c r="M1110" s="1159" t="s">
        <v>2313</v>
      </c>
      <c r="N1110" s="1155"/>
      <c r="O1110" s="1160">
        <f t="shared" si="198"/>
        <v>-735</v>
      </c>
    </row>
    <row r="1111" spans="1:15" s="1157" customFormat="1" ht="15">
      <c r="A1111" s="1146" t="s">
        <v>2455</v>
      </c>
      <c r="B1111" s="1147" t="s">
        <v>639</v>
      </c>
      <c r="C1111" s="1207"/>
      <c r="D1111" s="1148"/>
      <c r="E1111" s="1208"/>
      <c r="F1111" s="1153"/>
      <c r="G1111" s="1151">
        <f>'PART-B'!I1372</f>
        <v>2</v>
      </c>
      <c r="H1111" s="1148" t="s">
        <v>115</v>
      </c>
      <c r="I1111" s="1152">
        <f>'PART-B'!K1372</f>
        <v>203</v>
      </c>
      <c r="J1111" s="1153">
        <f t="shared" si="200"/>
        <v>406</v>
      </c>
      <c r="K1111" s="1189">
        <f t="shared" si="196"/>
        <v>406</v>
      </c>
      <c r="L1111" s="1190">
        <f t="shared" si="197"/>
        <v>0</v>
      </c>
      <c r="M1111" s="1159" t="s">
        <v>2313</v>
      </c>
      <c r="N1111" s="1155"/>
      <c r="O1111" s="1160">
        <f t="shared" si="198"/>
        <v>-406</v>
      </c>
    </row>
    <row r="1112" spans="1:15" s="1157" customFormat="1" ht="15" hidden="1">
      <c r="A1112" s="1146" t="s">
        <v>485</v>
      </c>
      <c r="B1112" s="1147" t="s">
        <v>714</v>
      </c>
      <c r="C1112" s="1207"/>
      <c r="D1112" s="1148"/>
      <c r="E1112" s="1208"/>
      <c r="F1112" s="1153"/>
      <c r="G1112" s="1151">
        <f>'PART-B'!I1377</f>
        <v>0</v>
      </c>
      <c r="H1112" s="1148" t="s">
        <v>115</v>
      </c>
      <c r="I1112" s="1152">
        <f>'PART-B'!K1377</f>
        <v>155</v>
      </c>
      <c r="J1112" s="1153">
        <f t="shared" si="200"/>
        <v>0</v>
      </c>
      <c r="K1112" s="1189">
        <f t="shared" si="196"/>
        <v>0</v>
      </c>
      <c r="L1112" s="1190">
        <f t="shared" si="197"/>
        <v>0</v>
      </c>
      <c r="M1112" s="1159" t="s">
        <v>2313</v>
      </c>
      <c r="N1112" s="1155"/>
      <c r="O1112" s="1160">
        <f t="shared" si="198"/>
        <v>0</v>
      </c>
    </row>
    <row r="1113" spans="1:15" s="1157" customFormat="1" ht="15" hidden="1">
      <c r="A1113" s="1146" t="s">
        <v>486</v>
      </c>
      <c r="B1113" s="1147" t="s">
        <v>796</v>
      </c>
      <c r="C1113" s="1207"/>
      <c r="D1113" s="1148"/>
      <c r="E1113" s="1208"/>
      <c r="F1113" s="1153"/>
      <c r="G1113" s="1151">
        <f>'PART-B'!I1392</f>
        <v>0</v>
      </c>
      <c r="H1113" s="1148" t="s">
        <v>115</v>
      </c>
      <c r="I1113" s="1152">
        <f>'PART-B'!K1392</f>
        <v>114</v>
      </c>
      <c r="J1113" s="1153">
        <f t="shared" si="200"/>
        <v>0</v>
      </c>
      <c r="K1113" s="1189">
        <f t="shared" si="196"/>
        <v>0</v>
      </c>
      <c r="L1113" s="1190">
        <f t="shared" si="197"/>
        <v>0</v>
      </c>
      <c r="M1113" s="1159" t="s">
        <v>2313</v>
      </c>
      <c r="N1113" s="1155"/>
      <c r="O1113" s="1160">
        <f t="shared" si="198"/>
        <v>0</v>
      </c>
    </row>
    <row r="1114" spans="1:15" s="360" customFormat="1" ht="15" hidden="1">
      <c r="A1114" s="356" t="s">
        <v>2043</v>
      </c>
      <c r="B1114" s="632" t="s">
        <v>640</v>
      </c>
      <c r="C1114" s="611"/>
      <c r="D1114" s="354"/>
      <c r="E1114" s="607"/>
      <c r="F1114" s="353"/>
      <c r="G1114" s="358">
        <f>'PART-B'!I1387</f>
        <v>0</v>
      </c>
      <c r="H1114" s="354" t="s">
        <v>115</v>
      </c>
      <c r="I1114" s="355">
        <f>'PART-B'!K1387</f>
        <v>400</v>
      </c>
      <c r="J1114" s="353">
        <f t="shared" si="200"/>
        <v>0</v>
      </c>
      <c r="K1114" s="669">
        <f t="shared" si="196"/>
        <v>0</v>
      </c>
      <c r="L1114" s="368">
        <f t="shared" si="197"/>
        <v>0</v>
      </c>
      <c r="M1114" s="633" t="s">
        <v>2313</v>
      </c>
      <c r="N1114" s="223"/>
      <c r="O1114" s="631">
        <f t="shared" si="198"/>
        <v>0</v>
      </c>
    </row>
    <row r="1115" spans="1:15" s="1157" customFormat="1" ht="15">
      <c r="A1115" s="1146" t="s">
        <v>480</v>
      </c>
      <c r="B1115" s="1147" t="s">
        <v>1512</v>
      </c>
      <c r="C1115" s="1207"/>
      <c r="D1115" s="1148"/>
      <c r="E1115" s="1208"/>
      <c r="F1115" s="1153"/>
      <c r="G1115" s="1151">
        <f>'PART-B'!I1382</f>
        <v>3</v>
      </c>
      <c r="H1115" s="1148" t="s">
        <v>115</v>
      </c>
      <c r="I1115" s="1152">
        <f>'PART-B'!K1382</f>
        <v>359</v>
      </c>
      <c r="J1115" s="1153">
        <f t="shared" si="200"/>
        <v>1077</v>
      </c>
      <c r="K1115" s="1189">
        <f t="shared" si="196"/>
        <v>1077</v>
      </c>
      <c r="L1115" s="1190">
        <f t="shared" si="197"/>
        <v>0</v>
      </c>
      <c r="M1115" s="1159" t="s">
        <v>2313</v>
      </c>
      <c r="N1115" s="1155"/>
      <c r="O1115" s="1160">
        <f t="shared" si="198"/>
        <v>-1077</v>
      </c>
    </row>
    <row r="1116" spans="1:15" s="360" customFormat="1" ht="15" hidden="1">
      <c r="A1116" s="356" t="s">
        <v>480</v>
      </c>
      <c r="B1116" s="632" t="s">
        <v>557</v>
      </c>
      <c r="C1116" s="611"/>
      <c r="D1116" s="354"/>
      <c r="E1116" s="607"/>
      <c r="F1116" s="353"/>
      <c r="G1116" s="358">
        <f>'PART-B'!I1397</f>
        <v>0</v>
      </c>
      <c r="H1116" s="354" t="s">
        <v>115</v>
      </c>
      <c r="I1116" s="355">
        <f>'PART-B'!K1397</f>
        <v>68</v>
      </c>
      <c r="J1116" s="353">
        <f t="shared" si="200"/>
        <v>0</v>
      </c>
      <c r="K1116" s="669">
        <f t="shared" si="196"/>
        <v>0</v>
      </c>
      <c r="L1116" s="368">
        <f t="shared" si="197"/>
        <v>0</v>
      </c>
      <c r="M1116" s="633" t="s">
        <v>2313</v>
      </c>
      <c r="N1116" s="223"/>
      <c r="O1116" s="631">
        <f t="shared" si="198"/>
        <v>0</v>
      </c>
    </row>
    <row r="1117" spans="1:15" s="1157" customFormat="1" ht="38.25">
      <c r="A1117" s="1146" t="s">
        <v>482</v>
      </c>
      <c r="B1117" s="1147" t="s">
        <v>3240</v>
      </c>
      <c r="C1117" s="1158"/>
      <c r="D1117" s="1148"/>
      <c r="E1117" s="922"/>
      <c r="F1117" s="1153"/>
      <c r="G1117" s="1151">
        <f>'PART-B'!I1403</f>
        <v>22</v>
      </c>
      <c r="H1117" s="1148" t="s">
        <v>568</v>
      </c>
      <c r="I1117" s="1152">
        <f>'PART-B'!K1403</f>
        <v>481.67</v>
      </c>
      <c r="J1117" s="1153">
        <f t="shared" si="200"/>
        <v>10597</v>
      </c>
      <c r="K1117" s="1189">
        <f t="shared" si="196"/>
        <v>10597</v>
      </c>
      <c r="L1117" s="1190">
        <f t="shared" si="197"/>
        <v>0</v>
      </c>
      <c r="M1117" s="1159" t="s">
        <v>2313</v>
      </c>
      <c r="N1117" s="1155"/>
      <c r="O1117" s="1160">
        <f t="shared" si="198"/>
        <v>-10597</v>
      </c>
    </row>
    <row r="1118" spans="1:15" s="1157" customFormat="1" ht="15">
      <c r="A1118" s="1146" t="s">
        <v>483</v>
      </c>
      <c r="B1118" s="1147" t="s">
        <v>558</v>
      </c>
      <c r="C1118" s="1158"/>
      <c r="D1118" s="1148"/>
      <c r="E1118" s="922"/>
      <c r="F1118" s="1153"/>
      <c r="G1118" s="1151">
        <f>'PART-B'!I1408</f>
        <v>6</v>
      </c>
      <c r="H1118" s="1148" t="s">
        <v>568</v>
      </c>
      <c r="I1118" s="1152">
        <f>'PART-B'!K1408</f>
        <v>503.67</v>
      </c>
      <c r="J1118" s="1153">
        <f t="shared" si="200"/>
        <v>3022</v>
      </c>
      <c r="K1118" s="1189">
        <f t="shared" si="196"/>
        <v>3022</v>
      </c>
      <c r="L1118" s="1190">
        <f t="shared" si="197"/>
        <v>0</v>
      </c>
      <c r="M1118" s="1159" t="s">
        <v>2313</v>
      </c>
      <c r="N1118" s="1155"/>
      <c r="O1118" s="1160">
        <f t="shared" si="198"/>
        <v>-3022</v>
      </c>
    </row>
    <row r="1119" spans="1:15" s="360" customFormat="1" ht="15" hidden="1">
      <c r="A1119" s="356" t="s">
        <v>2033</v>
      </c>
      <c r="B1119" s="632" t="s">
        <v>2264</v>
      </c>
      <c r="C1119" s="634"/>
      <c r="D1119" s="354"/>
      <c r="E1119" s="10"/>
      <c r="F1119" s="353"/>
      <c r="G1119" s="358">
        <f>'PART-B'!I1414</f>
        <v>0</v>
      </c>
      <c r="H1119" s="354" t="s">
        <v>277</v>
      </c>
      <c r="I1119" s="355">
        <f>'PART-B'!K1414</f>
        <v>23.55</v>
      </c>
      <c r="J1119" s="353">
        <f t="shared" si="200"/>
        <v>0</v>
      </c>
      <c r="K1119" s="669">
        <f t="shared" ref="K1119:K1152" si="201">IF(J1119&gt;F1119,J1119-F1119,0)</f>
        <v>0</v>
      </c>
      <c r="L1119" s="368">
        <f t="shared" ref="L1119:L1152" si="202">IF(J1119&lt;F1119,F1119-J1119,0)</f>
        <v>0</v>
      </c>
      <c r="M1119" s="633" t="s">
        <v>2313</v>
      </c>
      <c r="N1119" s="223"/>
      <c r="O1119" s="631">
        <f t="shared" si="198"/>
        <v>0</v>
      </c>
    </row>
    <row r="1120" spans="1:15" s="360" customFormat="1" ht="15" hidden="1">
      <c r="A1120" s="356" t="s">
        <v>2034</v>
      </c>
      <c r="B1120" s="632" t="s">
        <v>2265</v>
      </c>
      <c r="C1120" s="634"/>
      <c r="D1120" s="354"/>
      <c r="E1120" s="10"/>
      <c r="F1120" s="353"/>
      <c r="G1120" s="358">
        <f>'PART-B'!I1419</f>
        <v>0</v>
      </c>
      <c r="H1120" s="354" t="s">
        <v>277</v>
      </c>
      <c r="I1120" s="355">
        <f>'PART-B'!K1419</f>
        <v>79.48</v>
      </c>
      <c r="J1120" s="353">
        <f t="shared" si="200"/>
        <v>0</v>
      </c>
      <c r="K1120" s="669">
        <f t="shared" si="201"/>
        <v>0</v>
      </c>
      <c r="L1120" s="368">
        <f t="shared" si="202"/>
        <v>0</v>
      </c>
      <c r="M1120" s="633" t="s">
        <v>2313</v>
      </c>
      <c r="N1120" s="223"/>
      <c r="O1120" s="631">
        <f t="shared" ref="O1120:O1149" si="203">F1120-J1120</f>
        <v>0</v>
      </c>
    </row>
    <row r="1121" spans="1:15" s="1157" customFormat="1" ht="63.75">
      <c r="A1121" s="1146" t="s">
        <v>484</v>
      </c>
      <c r="B1121" s="1147" t="s">
        <v>429</v>
      </c>
      <c r="C1121" s="1158"/>
      <c r="D1121" s="1148"/>
      <c r="E1121" s="922"/>
      <c r="F1121" s="1153"/>
      <c r="G1121" s="1151">
        <f>'PART-B'!I1429</f>
        <v>40</v>
      </c>
      <c r="H1121" s="1148" t="s">
        <v>277</v>
      </c>
      <c r="I1121" s="1152">
        <f>'PART-B'!K1429</f>
        <v>83.333500000000001</v>
      </c>
      <c r="J1121" s="1153">
        <f t="shared" si="200"/>
        <v>3333</v>
      </c>
      <c r="K1121" s="1189">
        <f t="shared" si="201"/>
        <v>3333</v>
      </c>
      <c r="L1121" s="1190">
        <f t="shared" si="202"/>
        <v>0</v>
      </c>
      <c r="M1121" s="1159" t="s">
        <v>2313</v>
      </c>
      <c r="N1121" s="1155"/>
      <c r="O1121" s="1160">
        <f t="shared" si="203"/>
        <v>-3333</v>
      </c>
    </row>
    <row r="1122" spans="1:15" s="360" customFormat="1" ht="15" hidden="1">
      <c r="A1122" s="356" t="s">
        <v>2034</v>
      </c>
      <c r="B1122" s="632" t="s">
        <v>560</v>
      </c>
      <c r="C1122" s="634"/>
      <c r="D1122" s="354"/>
      <c r="E1122" s="10"/>
      <c r="F1122" s="353"/>
      <c r="G1122" s="358">
        <f>'PART-B'!I1434</f>
        <v>0</v>
      </c>
      <c r="H1122" s="354" t="s">
        <v>277</v>
      </c>
      <c r="I1122" s="355">
        <f>'PART-B'!K1434</f>
        <v>126.65</v>
      </c>
      <c r="J1122" s="353">
        <f t="shared" si="200"/>
        <v>0</v>
      </c>
      <c r="K1122" s="669">
        <f t="shared" si="201"/>
        <v>0</v>
      </c>
      <c r="L1122" s="368">
        <f t="shared" si="202"/>
        <v>0</v>
      </c>
      <c r="M1122" s="633" t="s">
        <v>2313</v>
      </c>
      <c r="N1122" s="223"/>
      <c r="O1122" s="631">
        <f t="shared" si="203"/>
        <v>0</v>
      </c>
    </row>
    <row r="1123" spans="1:15" s="360" customFormat="1" ht="15" hidden="1">
      <c r="A1123" s="356" t="s">
        <v>2036</v>
      </c>
      <c r="B1123" s="632" t="s">
        <v>833</v>
      </c>
      <c r="C1123" s="634"/>
      <c r="D1123" s="354"/>
      <c r="E1123" s="10"/>
      <c r="F1123" s="353"/>
      <c r="G1123" s="358">
        <f>'PART-B'!I1439</f>
        <v>0</v>
      </c>
      <c r="H1123" s="354" t="s">
        <v>277</v>
      </c>
      <c r="I1123" s="355">
        <f>'PART-B'!K1439</f>
        <v>64.563000000000002</v>
      </c>
      <c r="J1123" s="353">
        <f t="shared" si="200"/>
        <v>0</v>
      </c>
      <c r="K1123" s="669">
        <f t="shared" si="201"/>
        <v>0</v>
      </c>
      <c r="L1123" s="368">
        <f t="shared" si="202"/>
        <v>0</v>
      </c>
      <c r="M1123" s="633" t="s">
        <v>2313</v>
      </c>
      <c r="N1123" s="223"/>
      <c r="O1123" s="631">
        <f t="shared" si="203"/>
        <v>0</v>
      </c>
    </row>
    <row r="1124" spans="1:15" s="1157" customFormat="1" ht="15">
      <c r="A1124" s="1146" t="s">
        <v>485</v>
      </c>
      <c r="B1124" s="1147" t="s">
        <v>437</v>
      </c>
      <c r="C1124" s="1207"/>
      <c r="D1124" s="1148"/>
      <c r="E1124" s="1208"/>
      <c r="F1124" s="1153"/>
      <c r="G1124" s="1151">
        <f>'PART-B'!I1444</f>
        <v>3</v>
      </c>
      <c r="H1124" s="1148" t="s">
        <v>115</v>
      </c>
      <c r="I1124" s="1152">
        <f>'PART-B'!K1444</f>
        <v>209</v>
      </c>
      <c r="J1124" s="1153">
        <f t="shared" si="200"/>
        <v>627</v>
      </c>
      <c r="K1124" s="1189">
        <f t="shared" si="201"/>
        <v>627</v>
      </c>
      <c r="L1124" s="1190">
        <f t="shared" si="202"/>
        <v>0</v>
      </c>
      <c r="M1124" s="1159" t="s">
        <v>2313</v>
      </c>
      <c r="N1124" s="1155"/>
      <c r="O1124" s="1160">
        <f t="shared" si="203"/>
        <v>-627</v>
      </c>
    </row>
    <row r="1125" spans="1:15" s="1157" customFormat="1" ht="15">
      <c r="A1125" s="1146" t="s">
        <v>486</v>
      </c>
      <c r="B1125" s="1147" t="s">
        <v>615</v>
      </c>
      <c r="C1125" s="1207"/>
      <c r="D1125" s="1148"/>
      <c r="E1125" s="1208"/>
      <c r="F1125" s="1153"/>
      <c r="G1125" s="1151">
        <f>'PART-B'!I1449</f>
        <v>2</v>
      </c>
      <c r="H1125" s="1148" t="s">
        <v>115</v>
      </c>
      <c r="I1125" s="1152">
        <f>'PART-B'!K1449</f>
        <v>171</v>
      </c>
      <c r="J1125" s="1153">
        <f t="shared" si="200"/>
        <v>342</v>
      </c>
      <c r="K1125" s="1189">
        <f t="shared" si="201"/>
        <v>342</v>
      </c>
      <c r="L1125" s="1190">
        <f t="shared" si="202"/>
        <v>0</v>
      </c>
      <c r="M1125" s="1159" t="s">
        <v>2313</v>
      </c>
      <c r="N1125" s="1155"/>
      <c r="O1125" s="1160">
        <f t="shared" si="203"/>
        <v>-342</v>
      </c>
    </row>
    <row r="1126" spans="1:15" s="1157" customFormat="1" ht="15" hidden="1">
      <c r="A1126" s="1146" t="s">
        <v>1514</v>
      </c>
      <c r="B1126" s="1147" t="s">
        <v>694</v>
      </c>
      <c r="C1126" s="1207"/>
      <c r="D1126" s="1148"/>
      <c r="E1126" s="1208"/>
      <c r="F1126" s="1153"/>
      <c r="G1126" s="1151">
        <f>'PART-B'!I1454</f>
        <v>0</v>
      </c>
      <c r="H1126" s="1148" t="s">
        <v>115</v>
      </c>
      <c r="I1126" s="1152">
        <f>'PART-B'!K1454</f>
        <v>132</v>
      </c>
      <c r="J1126" s="1153">
        <f t="shared" si="200"/>
        <v>0</v>
      </c>
      <c r="K1126" s="1189">
        <f t="shared" si="201"/>
        <v>0</v>
      </c>
      <c r="L1126" s="1190">
        <f t="shared" si="202"/>
        <v>0</v>
      </c>
      <c r="M1126" s="1159" t="s">
        <v>2313</v>
      </c>
      <c r="N1126" s="1155"/>
      <c r="O1126" s="1160">
        <f t="shared" si="203"/>
        <v>0</v>
      </c>
    </row>
    <row r="1127" spans="1:15" s="1157" customFormat="1" ht="15" hidden="1">
      <c r="A1127" s="1146" t="s">
        <v>492</v>
      </c>
      <c r="B1127" s="1147" t="s">
        <v>792</v>
      </c>
      <c r="C1127" s="1207"/>
      <c r="D1127" s="1148"/>
      <c r="E1127" s="1208"/>
      <c r="F1127" s="1153"/>
      <c r="G1127" s="1151">
        <f>'PART-B'!I1464</f>
        <v>0</v>
      </c>
      <c r="H1127" s="1148" t="s">
        <v>115</v>
      </c>
      <c r="I1127" s="1152">
        <f>'PART-B'!K1464</f>
        <v>88</v>
      </c>
      <c r="J1127" s="1153">
        <f t="shared" si="200"/>
        <v>0</v>
      </c>
      <c r="K1127" s="1189">
        <f t="shared" si="201"/>
        <v>0</v>
      </c>
      <c r="L1127" s="1190">
        <f t="shared" si="202"/>
        <v>0</v>
      </c>
      <c r="M1127" s="1159" t="s">
        <v>2313</v>
      </c>
      <c r="N1127" s="1155"/>
      <c r="O1127" s="1160">
        <f t="shared" si="203"/>
        <v>0</v>
      </c>
    </row>
    <row r="1128" spans="1:15" s="1157" customFormat="1" ht="15">
      <c r="A1128" s="1146" t="s">
        <v>487</v>
      </c>
      <c r="B1128" s="1147" t="s">
        <v>3982</v>
      </c>
      <c r="C1128" s="1207"/>
      <c r="D1128" s="1148"/>
      <c r="E1128" s="1208"/>
      <c r="F1128" s="1153"/>
      <c r="G1128" s="1151">
        <f>'PART-B'!I1459</f>
        <v>3</v>
      </c>
      <c r="H1128" s="1148" t="s">
        <v>115</v>
      </c>
      <c r="I1128" s="1152">
        <f>'PART-B'!K1459</f>
        <v>297</v>
      </c>
      <c r="J1128" s="1153">
        <f t="shared" si="200"/>
        <v>891</v>
      </c>
      <c r="K1128" s="1189">
        <f t="shared" si="201"/>
        <v>891</v>
      </c>
      <c r="L1128" s="1190">
        <f t="shared" si="202"/>
        <v>0</v>
      </c>
      <c r="M1128" s="1159" t="s">
        <v>2313</v>
      </c>
      <c r="N1128" s="1155"/>
      <c r="O1128" s="1160">
        <f t="shared" si="203"/>
        <v>-891</v>
      </c>
    </row>
    <row r="1129" spans="1:15" s="360" customFormat="1" ht="15" hidden="1">
      <c r="A1129" s="356" t="s">
        <v>485</v>
      </c>
      <c r="B1129" s="632" t="s">
        <v>439</v>
      </c>
      <c r="C1129" s="611"/>
      <c r="D1129" s="354"/>
      <c r="E1129" s="607"/>
      <c r="F1129" s="353"/>
      <c r="G1129" s="358">
        <f>'PART-B'!I1469</f>
        <v>0</v>
      </c>
      <c r="H1129" s="354" t="s">
        <v>115</v>
      </c>
      <c r="I1129" s="355">
        <f>'PART-B'!K1469</f>
        <v>66</v>
      </c>
      <c r="J1129" s="353">
        <f t="shared" si="200"/>
        <v>0</v>
      </c>
      <c r="K1129" s="669">
        <f t="shared" si="201"/>
        <v>0</v>
      </c>
      <c r="L1129" s="368">
        <f t="shared" si="202"/>
        <v>0</v>
      </c>
      <c r="M1129" s="633" t="s">
        <v>2313</v>
      </c>
      <c r="N1129" s="223"/>
      <c r="O1129" s="631">
        <f t="shared" si="203"/>
        <v>0</v>
      </c>
    </row>
    <row r="1130" spans="1:15" s="1157" customFormat="1" ht="25.5">
      <c r="A1130" s="1146" t="s">
        <v>488</v>
      </c>
      <c r="B1130" s="1147" t="s">
        <v>3242</v>
      </c>
      <c r="C1130" s="1158"/>
      <c r="D1130" s="1148"/>
      <c r="E1130" s="922"/>
      <c r="F1130" s="1153"/>
      <c r="G1130" s="1151">
        <f>'PART-B'!I1479</f>
        <v>11</v>
      </c>
      <c r="H1130" s="1148" t="s">
        <v>115</v>
      </c>
      <c r="I1130" s="1152">
        <f>'PART-B'!K1479</f>
        <v>125.73500000000001</v>
      </c>
      <c r="J1130" s="1153">
        <f t="shared" ref="J1130:J1148" si="204">ROUND(G1130*I1130,0)</f>
        <v>1383</v>
      </c>
      <c r="K1130" s="1189">
        <f t="shared" si="201"/>
        <v>1383</v>
      </c>
      <c r="L1130" s="1190">
        <f t="shared" si="202"/>
        <v>0</v>
      </c>
      <c r="M1130" s="1159" t="s">
        <v>2313</v>
      </c>
      <c r="N1130" s="1155"/>
      <c r="O1130" s="1160">
        <f t="shared" si="203"/>
        <v>-1383</v>
      </c>
    </row>
    <row r="1131" spans="1:15" s="360" customFormat="1" ht="15" hidden="1">
      <c r="A1131" s="356" t="s">
        <v>2041</v>
      </c>
      <c r="B1131" s="632" t="s">
        <v>1257</v>
      </c>
      <c r="C1131" s="659"/>
      <c r="D1131" s="354"/>
      <c r="E1131" s="10"/>
      <c r="F1131" s="353"/>
      <c r="G1131" s="358">
        <f>'PART-B'!I1474</f>
        <v>0</v>
      </c>
      <c r="H1131" s="354" t="s">
        <v>115</v>
      </c>
      <c r="I1131" s="355">
        <f>'PART-B'!K1474</f>
        <v>422.5</v>
      </c>
      <c r="J1131" s="353">
        <f t="shared" si="204"/>
        <v>0</v>
      </c>
      <c r="K1131" s="669">
        <f t="shared" si="201"/>
        <v>0</v>
      </c>
      <c r="L1131" s="368">
        <f t="shared" si="202"/>
        <v>0</v>
      </c>
      <c r="M1131" s="633" t="s">
        <v>2313</v>
      </c>
      <c r="N1131" s="223"/>
      <c r="O1131" s="631">
        <f t="shared" si="203"/>
        <v>0</v>
      </c>
    </row>
    <row r="1132" spans="1:15" s="1157" customFormat="1" ht="15">
      <c r="A1132" s="1146" t="s">
        <v>489</v>
      </c>
      <c r="B1132" s="1147" t="s">
        <v>641</v>
      </c>
      <c r="C1132" s="1207"/>
      <c r="D1132" s="1148"/>
      <c r="E1132" s="1208"/>
      <c r="F1132" s="1153"/>
      <c r="G1132" s="1151">
        <f>'PART-B'!I1484</f>
        <v>3</v>
      </c>
      <c r="H1132" s="1148" t="s">
        <v>115</v>
      </c>
      <c r="I1132" s="1152">
        <f>'PART-B'!K1484</f>
        <v>119.73500000000001</v>
      </c>
      <c r="J1132" s="1153">
        <f t="shared" si="204"/>
        <v>359</v>
      </c>
      <c r="K1132" s="1189">
        <f t="shared" si="201"/>
        <v>359</v>
      </c>
      <c r="L1132" s="1190">
        <f t="shared" si="202"/>
        <v>0</v>
      </c>
      <c r="M1132" s="1159" t="s">
        <v>2313</v>
      </c>
      <c r="N1132" s="1155"/>
      <c r="O1132" s="1160">
        <f t="shared" si="203"/>
        <v>-359</v>
      </c>
    </row>
    <row r="1133" spans="1:15" s="360" customFormat="1" ht="15" hidden="1">
      <c r="A1133" s="356" t="s">
        <v>2042</v>
      </c>
      <c r="B1133" s="632" t="s">
        <v>624</v>
      </c>
      <c r="C1133" s="611"/>
      <c r="D1133" s="354"/>
      <c r="E1133" s="607"/>
      <c r="F1133" s="353"/>
      <c r="G1133" s="358">
        <f>'PART-B'!I1489</f>
        <v>0</v>
      </c>
      <c r="H1133" s="354" t="s">
        <v>115</v>
      </c>
      <c r="I1133" s="355">
        <f>'PART-B'!K1489</f>
        <v>21</v>
      </c>
      <c r="J1133" s="353">
        <f t="shared" si="204"/>
        <v>0</v>
      </c>
      <c r="K1133" s="669">
        <f t="shared" si="201"/>
        <v>0</v>
      </c>
      <c r="L1133" s="368">
        <f t="shared" si="202"/>
        <v>0</v>
      </c>
      <c r="M1133" s="633" t="s">
        <v>2313</v>
      </c>
      <c r="N1133" s="223"/>
      <c r="O1133" s="631">
        <f t="shared" si="203"/>
        <v>0</v>
      </c>
    </row>
    <row r="1134" spans="1:15" s="1157" customFormat="1" ht="38.25">
      <c r="A1134" s="1146" t="s">
        <v>490</v>
      </c>
      <c r="B1134" s="1147" t="s">
        <v>1267</v>
      </c>
      <c r="C1134" s="1158"/>
      <c r="D1134" s="1148"/>
      <c r="E1134" s="922"/>
      <c r="F1134" s="1153"/>
      <c r="G1134" s="1151">
        <f>'PART-B'!I1494</f>
        <v>14</v>
      </c>
      <c r="H1134" s="1148" t="s">
        <v>115</v>
      </c>
      <c r="I1134" s="1152">
        <f>'PART-B'!K1494</f>
        <v>127.25</v>
      </c>
      <c r="J1134" s="1153">
        <f t="shared" si="204"/>
        <v>1782</v>
      </c>
      <c r="K1134" s="1189">
        <f t="shared" si="201"/>
        <v>1782</v>
      </c>
      <c r="L1134" s="1190">
        <f t="shared" si="202"/>
        <v>0</v>
      </c>
      <c r="M1134" s="1159" t="s">
        <v>2313</v>
      </c>
      <c r="N1134" s="1155"/>
      <c r="O1134" s="1160">
        <f t="shared" si="203"/>
        <v>-1782</v>
      </c>
    </row>
    <row r="1135" spans="1:15" s="1157" customFormat="1" ht="38.25">
      <c r="A1135" s="1146" t="s">
        <v>491</v>
      </c>
      <c r="B1135" s="1147" t="s">
        <v>3243</v>
      </c>
      <c r="C1135" s="1209"/>
      <c r="D1135" s="1148"/>
      <c r="E1135" s="922"/>
      <c r="F1135" s="1153"/>
      <c r="G1135" s="1151">
        <f>'PART-B'!I1499</f>
        <v>6</v>
      </c>
      <c r="H1135" s="1148" t="s">
        <v>115</v>
      </c>
      <c r="I1135" s="1152">
        <f>'PART-B'!K1499</f>
        <v>3312.1849999999999</v>
      </c>
      <c r="J1135" s="1153">
        <f t="shared" si="204"/>
        <v>19873</v>
      </c>
      <c r="K1135" s="1189">
        <f t="shared" si="201"/>
        <v>19873</v>
      </c>
      <c r="L1135" s="1190">
        <f t="shared" si="202"/>
        <v>0</v>
      </c>
      <c r="M1135" s="1159" t="s">
        <v>2313</v>
      </c>
      <c r="N1135" s="1155"/>
      <c r="O1135" s="1160">
        <f t="shared" si="203"/>
        <v>-19873</v>
      </c>
    </row>
    <row r="1136" spans="1:15" s="360" customFormat="1" ht="15" hidden="1">
      <c r="A1136" s="356" t="s">
        <v>2045</v>
      </c>
      <c r="B1136" s="632" t="s">
        <v>563</v>
      </c>
      <c r="C1136" s="634"/>
      <c r="D1136" s="354"/>
      <c r="E1136" s="10"/>
      <c r="F1136" s="353"/>
      <c r="G1136" s="358">
        <f>'PART-B'!I1509</f>
        <v>0</v>
      </c>
      <c r="H1136" s="354" t="s">
        <v>115</v>
      </c>
      <c r="I1136" s="355">
        <f>'PART-B'!K1509</f>
        <v>2941.12</v>
      </c>
      <c r="J1136" s="353">
        <f t="shared" si="204"/>
        <v>0</v>
      </c>
      <c r="K1136" s="669">
        <f t="shared" si="201"/>
        <v>0</v>
      </c>
      <c r="L1136" s="368">
        <f t="shared" si="202"/>
        <v>0</v>
      </c>
      <c r="M1136" s="633" t="s">
        <v>2313</v>
      </c>
      <c r="N1136" s="223"/>
      <c r="O1136" s="631">
        <f t="shared" si="203"/>
        <v>0</v>
      </c>
    </row>
    <row r="1137" spans="1:15" s="360" customFormat="1" ht="15" hidden="1">
      <c r="A1137" s="356" t="s">
        <v>2046</v>
      </c>
      <c r="B1137" s="632" t="s">
        <v>831</v>
      </c>
      <c r="C1137" s="634"/>
      <c r="D1137" s="354"/>
      <c r="E1137" s="10"/>
      <c r="F1137" s="353"/>
      <c r="G1137" s="358">
        <f>'PART-B'!I1514</f>
        <v>0</v>
      </c>
      <c r="H1137" s="354" t="s">
        <v>115</v>
      </c>
      <c r="I1137" s="355">
        <f>'PART-B'!K1514</f>
        <v>278</v>
      </c>
      <c r="J1137" s="353">
        <f t="shared" si="204"/>
        <v>0</v>
      </c>
      <c r="K1137" s="669">
        <f t="shared" si="201"/>
        <v>0</v>
      </c>
      <c r="L1137" s="368">
        <f t="shared" si="202"/>
        <v>0</v>
      </c>
      <c r="M1137" s="633" t="s">
        <v>2313</v>
      </c>
      <c r="N1137" s="223"/>
      <c r="O1137" s="631">
        <f t="shared" si="203"/>
        <v>0</v>
      </c>
    </row>
    <row r="1138" spans="1:15" s="360" customFormat="1" ht="15" hidden="1">
      <c r="A1138" s="356" t="s">
        <v>2047</v>
      </c>
      <c r="B1138" s="632" t="s">
        <v>967</v>
      </c>
      <c r="C1138" s="634"/>
      <c r="D1138" s="354"/>
      <c r="E1138" s="10"/>
      <c r="F1138" s="353"/>
      <c r="G1138" s="358">
        <f>'PART-B'!I1519</f>
        <v>0</v>
      </c>
      <c r="H1138" s="354" t="s">
        <v>115</v>
      </c>
      <c r="I1138" s="355">
        <f>'PART-B'!K1519</f>
        <v>163.065</v>
      </c>
      <c r="J1138" s="353">
        <f t="shared" si="204"/>
        <v>0</v>
      </c>
      <c r="K1138" s="669">
        <f t="shared" si="201"/>
        <v>0</v>
      </c>
      <c r="L1138" s="368">
        <f t="shared" si="202"/>
        <v>0</v>
      </c>
      <c r="M1138" s="633" t="s">
        <v>2313</v>
      </c>
      <c r="N1138" s="223"/>
      <c r="O1138" s="631">
        <f t="shared" si="203"/>
        <v>0</v>
      </c>
    </row>
    <row r="1139" spans="1:15" s="360" customFormat="1" ht="15" hidden="1">
      <c r="A1139" s="356" t="s">
        <v>642</v>
      </c>
      <c r="B1139" s="632" t="s">
        <v>832</v>
      </c>
      <c r="C1139" s="634"/>
      <c r="D1139" s="354"/>
      <c r="E1139" s="10"/>
      <c r="F1139" s="353"/>
      <c r="G1139" s="358">
        <f>'PART-B'!I1526</f>
        <v>0</v>
      </c>
      <c r="H1139" s="354" t="s">
        <v>115</v>
      </c>
      <c r="I1139" s="355">
        <f>'PART-B'!K1526</f>
        <v>161.5</v>
      </c>
      <c r="J1139" s="353">
        <f t="shared" si="204"/>
        <v>0</v>
      </c>
      <c r="K1139" s="669">
        <f t="shared" si="201"/>
        <v>0</v>
      </c>
      <c r="L1139" s="368">
        <f t="shared" si="202"/>
        <v>0</v>
      </c>
      <c r="M1139" s="633" t="s">
        <v>2313</v>
      </c>
      <c r="N1139" s="223"/>
      <c r="O1139" s="631">
        <f t="shared" si="203"/>
        <v>0</v>
      </c>
    </row>
    <row r="1140" spans="1:15" s="360" customFormat="1" ht="15" hidden="1">
      <c r="A1140" s="356" t="s">
        <v>2691</v>
      </c>
      <c r="B1140" s="632" t="s">
        <v>1573</v>
      </c>
      <c r="C1140" s="659"/>
      <c r="D1140" s="354"/>
      <c r="E1140" s="10"/>
      <c r="F1140" s="353"/>
      <c r="G1140" s="358">
        <f>'PART-B'!I1504</f>
        <v>0</v>
      </c>
      <c r="H1140" s="354" t="s">
        <v>115</v>
      </c>
      <c r="I1140" s="355">
        <f>'PART-B'!K1504</f>
        <v>227.41000000000003</v>
      </c>
      <c r="J1140" s="353">
        <f t="shared" si="204"/>
        <v>0</v>
      </c>
      <c r="K1140" s="669">
        <f t="shared" si="201"/>
        <v>0</v>
      </c>
      <c r="L1140" s="368">
        <f t="shared" si="202"/>
        <v>0</v>
      </c>
      <c r="M1140" s="633" t="s">
        <v>2313</v>
      </c>
      <c r="N1140" s="223"/>
      <c r="O1140" s="631">
        <f t="shared" si="203"/>
        <v>0</v>
      </c>
    </row>
    <row r="1141" spans="1:15" s="1157" customFormat="1" ht="51">
      <c r="A1141" s="1146" t="s">
        <v>1514</v>
      </c>
      <c r="B1141" s="1147" t="s">
        <v>442</v>
      </c>
      <c r="C1141" s="1158"/>
      <c r="D1141" s="1148"/>
      <c r="E1141" s="922"/>
      <c r="F1141" s="1153"/>
      <c r="G1141" s="1151">
        <f>'PART-B'!I1531</f>
        <v>8</v>
      </c>
      <c r="H1141" s="1148" t="s">
        <v>115</v>
      </c>
      <c r="I1141" s="1152">
        <f>'PART-B'!K1531</f>
        <v>399.94</v>
      </c>
      <c r="J1141" s="1153">
        <f t="shared" si="204"/>
        <v>3200</v>
      </c>
      <c r="K1141" s="1189">
        <f t="shared" si="201"/>
        <v>3200</v>
      </c>
      <c r="L1141" s="1190">
        <f t="shared" si="202"/>
        <v>0</v>
      </c>
      <c r="M1141" s="1159" t="s">
        <v>2313</v>
      </c>
      <c r="N1141" s="1155"/>
      <c r="O1141" s="1160">
        <f t="shared" si="203"/>
        <v>-3200</v>
      </c>
    </row>
    <row r="1142" spans="1:15" s="360" customFormat="1" ht="15" hidden="1">
      <c r="A1142" s="356" t="s">
        <v>2053</v>
      </c>
      <c r="B1142" s="632" t="s">
        <v>2266</v>
      </c>
      <c r="C1142" s="659"/>
      <c r="D1142" s="354"/>
      <c r="E1142" s="10"/>
      <c r="F1142" s="353"/>
      <c r="G1142" s="358">
        <f>'PART-B'!I1536</f>
        <v>0</v>
      </c>
      <c r="H1142" s="354" t="s">
        <v>115</v>
      </c>
      <c r="I1142" s="355">
        <f>'PART-B'!K1536</f>
        <v>1822</v>
      </c>
      <c r="J1142" s="353">
        <f t="shared" si="204"/>
        <v>0</v>
      </c>
      <c r="K1142" s="669">
        <f t="shared" si="201"/>
        <v>0</v>
      </c>
      <c r="L1142" s="368">
        <f t="shared" si="202"/>
        <v>0</v>
      </c>
      <c r="M1142" s="633" t="s">
        <v>2313</v>
      </c>
      <c r="N1142" s="223"/>
      <c r="O1142" s="631">
        <f t="shared" si="203"/>
        <v>0</v>
      </c>
    </row>
    <row r="1143" spans="1:15" s="1157" customFormat="1" ht="25.5" hidden="1">
      <c r="A1143" s="1146" t="s">
        <v>2695</v>
      </c>
      <c r="B1143" s="1147" t="s">
        <v>3633</v>
      </c>
      <c r="C1143" s="1209"/>
      <c r="D1143" s="1148"/>
      <c r="E1143" s="922"/>
      <c r="F1143" s="1153"/>
      <c r="G1143" s="1151">
        <f>'PART-B'!I1541</f>
        <v>0</v>
      </c>
      <c r="H1143" s="1148" t="s">
        <v>115</v>
      </c>
      <c r="I1143" s="1152">
        <f>'PART-B'!K1541</f>
        <v>5428</v>
      </c>
      <c r="J1143" s="1153">
        <f t="shared" si="204"/>
        <v>0</v>
      </c>
      <c r="K1143" s="1189">
        <f t="shared" si="201"/>
        <v>0</v>
      </c>
      <c r="L1143" s="1190">
        <f t="shared" si="202"/>
        <v>0</v>
      </c>
      <c r="M1143" s="1159" t="s">
        <v>2313</v>
      </c>
      <c r="N1143" s="1155"/>
      <c r="O1143" s="1160">
        <f t="shared" si="203"/>
        <v>0</v>
      </c>
    </row>
    <row r="1144" spans="1:15" s="1157" customFormat="1" ht="38.25">
      <c r="A1144" s="1146" t="s">
        <v>492</v>
      </c>
      <c r="B1144" s="1147" t="s">
        <v>3244</v>
      </c>
      <c r="C1144" s="1207"/>
      <c r="D1144" s="1148"/>
      <c r="E1144" s="1208"/>
      <c r="F1144" s="1153"/>
      <c r="G1144" s="1151">
        <f>'PART-B'!I1551</f>
        <v>1</v>
      </c>
      <c r="H1144" s="1148" t="s">
        <v>115</v>
      </c>
      <c r="I1144" s="1152">
        <f>'PART-B'!K1551</f>
        <v>3662</v>
      </c>
      <c r="J1144" s="1153">
        <f t="shared" si="204"/>
        <v>3662</v>
      </c>
      <c r="K1144" s="1189">
        <f t="shared" si="201"/>
        <v>3662</v>
      </c>
      <c r="L1144" s="1190">
        <f t="shared" si="202"/>
        <v>0</v>
      </c>
      <c r="M1144" s="1159" t="s">
        <v>2313</v>
      </c>
      <c r="N1144" s="1155"/>
      <c r="O1144" s="1160">
        <f t="shared" si="203"/>
        <v>-3662</v>
      </c>
    </row>
    <row r="1145" spans="1:15" s="360" customFormat="1" ht="15" hidden="1">
      <c r="A1145" s="356" t="s">
        <v>1574</v>
      </c>
      <c r="B1145" s="632" t="s">
        <v>797</v>
      </c>
      <c r="C1145" s="634"/>
      <c r="D1145" s="354"/>
      <c r="E1145" s="10"/>
      <c r="F1145" s="353"/>
      <c r="G1145" s="358">
        <f>'PART-B'!I1546</f>
        <v>0</v>
      </c>
      <c r="H1145" s="354" t="s">
        <v>115</v>
      </c>
      <c r="I1145" s="355">
        <f>'PART-B'!K1546</f>
        <v>1634</v>
      </c>
      <c r="J1145" s="353">
        <f t="shared" si="204"/>
        <v>0</v>
      </c>
      <c r="K1145" s="669">
        <f t="shared" si="201"/>
        <v>0</v>
      </c>
      <c r="L1145" s="368">
        <f t="shared" si="202"/>
        <v>0</v>
      </c>
      <c r="M1145" s="633" t="s">
        <v>2313</v>
      </c>
      <c r="N1145" s="223"/>
      <c r="O1145" s="631">
        <f t="shared" si="203"/>
        <v>0</v>
      </c>
    </row>
    <row r="1146" spans="1:15" s="1157" customFormat="1" ht="63.75">
      <c r="A1146" s="1146" t="s">
        <v>493</v>
      </c>
      <c r="B1146" s="1147" t="s">
        <v>941</v>
      </c>
      <c r="C1146" s="1209"/>
      <c r="D1146" s="1148"/>
      <c r="E1146" s="922"/>
      <c r="F1146" s="1153"/>
      <c r="G1146" s="1151">
        <f>'PART-B'!I1556</f>
        <v>1</v>
      </c>
      <c r="H1146" s="1148" t="s">
        <v>115</v>
      </c>
      <c r="I1146" s="1152">
        <f>'PART-B'!K1556</f>
        <v>1089.96</v>
      </c>
      <c r="J1146" s="1153">
        <f t="shared" si="204"/>
        <v>1090</v>
      </c>
      <c r="K1146" s="1189">
        <f t="shared" si="201"/>
        <v>1090</v>
      </c>
      <c r="L1146" s="1190">
        <f t="shared" si="202"/>
        <v>0</v>
      </c>
      <c r="M1146" s="1159" t="s">
        <v>2313</v>
      </c>
      <c r="N1146" s="1155"/>
      <c r="O1146" s="1160">
        <f t="shared" si="203"/>
        <v>-1090</v>
      </c>
    </row>
    <row r="1147" spans="1:15" s="1157" customFormat="1" ht="38.25" hidden="1">
      <c r="A1147" s="1146" t="s">
        <v>2697</v>
      </c>
      <c r="B1147" s="1147" t="s">
        <v>3245</v>
      </c>
      <c r="C1147" s="1158"/>
      <c r="D1147" s="1148"/>
      <c r="E1147" s="922"/>
      <c r="F1147" s="1153"/>
      <c r="G1147" s="1151">
        <f>'PART-B'!I1561</f>
        <v>0</v>
      </c>
      <c r="H1147" s="1148" t="s">
        <v>115</v>
      </c>
      <c r="I1147" s="1152">
        <f>'PART-B'!K1561</f>
        <v>4142.4250000000002</v>
      </c>
      <c r="J1147" s="1153">
        <f t="shared" si="204"/>
        <v>0</v>
      </c>
      <c r="K1147" s="1189">
        <f t="shared" si="201"/>
        <v>0</v>
      </c>
      <c r="L1147" s="1190">
        <f t="shared" si="202"/>
        <v>0</v>
      </c>
      <c r="M1147" s="1159" t="s">
        <v>2313</v>
      </c>
      <c r="N1147" s="1155"/>
      <c r="O1147" s="1160">
        <f t="shared" si="203"/>
        <v>0</v>
      </c>
    </row>
    <row r="1148" spans="1:15" s="1157" customFormat="1" ht="15">
      <c r="A1148" s="1146" t="s">
        <v>494</v>
      </c>
      <c r="B1148" s="1147" t="s">
        <v>2268</v>
      </c>
      <c r="C1148" s="917"/>
      <c r="D1148" s="1148"/>
      <c r="E1148" s="922"/>
      <c r="F1148" s="1153"/>
      <c r="G1148" s="1151">
        <f>'PART-B'!I1567</f>
        <v>31.745999999999999</v>
      </c>
      <c r="H1148" s="1148" t="s">
        <v>102</v>
      </c>
      <c r="I1148" s="1152">
        <f>'PART-B'!K1567</f>
        <v>630</v>
      </c>
      <c r="J1148" s="1153">
        <f t="shared" si="204"/>
        <v>20000</v>
      </c>
      <c r="K1148" s="1189">
        <f t="shared" si="201"/>
        <v>20000</v>
      </c>
      <c r="L1148" s="1190">
        <f t="shared" si="202"/>
        <v>0</v>
      </c>
      <c r="M1148" s="1159" t="s">
        <v>2313</v>
      </c>
      <c r="N1148" s="1155"/>
      <c r="O1148" s="1160">
        <f t="shared" si="203"/>
        <v>-20000</v>
      </c>
    </row>
    <row r="1149" spans="1:15" s="360" customFormat="1" ht="15" hidden="1">
      <c r="A1149" s="356" t="s">
        <v>483</v>
      </c>
      <c r="B1149" s="632" t="s">
        <v>2453</v>
      </c>
      <c r="C1149" s="551"/>
      <c r="D1149" s="354"/>
      <c r="E1149" s="756"/>
      <c r="F1149" s="353"/>
      <c r="G1149" s="358"/>
      <c r="H1149" s="354"/>
      <c r="I1149" s="355"/>
      <c r="J1149" s="353">
        <f>'PART-B'!M1569</f>
        <v>0</v>
      </c>
      <c r="K1149" s="669">
        <f t="shared" si="201"/>
        <v>0</v>
      </c>
      <c r="L1149" s="368">
        <f t="shared" si="202"/>
        <v>0</v>
      </c>
      <c r="M1149" s="633"/>
      <c r="N1149" s="223"/>
      <c r="O1149" s="631">
        <f t="shared" si="203"/>
        <v>0</v>
      </c>
    </row>
    <row r="1150" spans="1:15" ht="15">
      <c r="A1150" s="1196" t="s">
        <v>495</v>
      </c>
      <c r="B1150" s="1219" t="s">
        <v>566</v>
      </c>
      <c r="C1150" s="1220"/>
      <c r="D1150" s="1221"/>
      <c r="E1150" s="1222"/>
      <c r="F1150" s="1235"/>
      <c r="G1150" s="1215"/>
      <c r="H1150" s="1223"/>
      <c r="I1150" s="1224"/>
      <c r="J1150" s="1155">
        <f>'PART-B'!M1574</f>
        <v>1581</v>
      </c>
      <c r="K1150" s="1189">
        <f t="shared" si="201"/>
        <v>1581</v>
      </c>
      <c r="L1150" s="1190">
        <f t="shared" si="202"/>
        <v>0</v>
      </c>
      <c r="M1150" s="1196" t="s">
        <v>15</v>
      </c>
      <c r="N1150" s="1155"/>
      <c r="O1150" s="1156">
        <f>F1150-J1150</f>
        <v>-1581</v>
      </c>
    </row>
    <row r="1151" spans="1:15" ht="15">
      <c r="A1151" s="1196" t="s">
        <v>1515</v>
      </c>
      <c r="B1151" s="1219" t="s">
        <v>444</v>
      </c>
      <c r="C1151" s="1225"/>
      <c r="D1151" s="1223"/>
      <c r="E1151" s="1226"/>
      <c r="F1151" s="1228"/>
      <c r="G1151" s="1215"/>
      <c r="H1151" s="1223"/>
      <c r="I1151" s="1224"/>
      <c r="J1151" s="1155">
        <f>'PART-B'!M1572</f>
        <v>18</v>
      </c>
      <c r="K1151" s="1189">
        <f t="shared" si="201"/>
        <v>18</v>
      </c>
      <c r="L1151" s="1190">
        <f t="shared" si="202"/>
        <v>0</v>
      </c>
      <c r="M1151" s="1196" t="s">
        <v>15</v>
      </c>
      <c r="N1151" s="1155"/>
      <c r="O1151" s="1156">
        <f>F1151-J1151</f>
        <v>-18</v>
      </c>
    </row>
    <row r="1152" spans="1:15" ht="15">
      <c r="A1152" s="1196" t="s">
        <v>1516</v>
      </c>
      <c r="B1152" s="1219" t="s">
        <v>292</v>
      </c>
      <c r="C1152" s="1227"/>
      <c r="D1152" s="1223"/>
      <c r="E1152" s="1224"/>
      <c r="F1152" s="1228"/>
      <c r="G1152" s="1215"/>
      <c r="H1152" s="1223"/>
      <c r="I1152" s="1224"/>
      <c r="J1152" s="1155">
        <f>'PART-B'!M1575</f>
        <v>12299</v>
      </c>
      <c r="K1152" s="1189">
        <f t="shared" si="201"/>
        <v>12299</v>
      </c>
      <c r="L1152" s="1190">
        <f t="shared" si="202"/>
        <v>0</v>
      </c>
      <c r="M1152" s="1196" t="s">
        <v>15</v>
      </c>
      <c r="N1152" s="1155"/>
      <c r="O1152" s="1156">
        <f t="shared" ref="O1152" si="205">F1152-J1152</f>
        <v>-12299</v>
      </c>
    </row>
    <row r="1153" spans="1:15" s="360" customFormat="1" ht="15" hidden="1">
      <c r="A1153" s="356"/>
      <c r="B1153" s="867" t="s">
        <v>2456</v>
      </c>
      <c r="C1153" s="635"/>
      <c r="D1153" s="361"/>
      <c r="E1153" s="362"/>
      <c r="F1153" s="747"/>
      <c r="G1153" s="358"/>
      <c r="H1153" s="361"/>
      <c r="I1153" s="355"/>
      <c r="J1153" s="359"/>
      <c r="K1153" s="758"/>
      <c r="L1153" s="758"/>
      <c r="M1153" s="868"/>
      <c r="N1153" s="359"/>
      <c r="O1153" s="869"/>
    </row>
    <row r="1154" spans="1:15" s="360" customFormat="1" ht="25.5" hidden="1">
      <c r="A1154" s="356" t="s">
        <v>1575</v>
      </c>
      <c r="B1154" s="632" t="s">
        <v>961</v>
      </c>
      <c r="C1154" s="358"/>
      <c r="D1154" s="870"/>
      <c r="E1154" s="362"/>
      <c r="F1154" s="353">
        <f t="shared" ref="F1154:F1157" si="206">ROUND(C1154*E1154,0)</f>
        <v>0</v>
      </c>
      <c r="G1154" s="864"/>
      <c r="H1154" s="865"/>
      <c r="I1154" s="866"/>
      <c r="J1154" s="353">
        <f t="shared" ref="J1154:J1157" si="207">ROUND(G1154*I1154,0)</f>
        <v>0</v>
      </c>
      <c r="K1154" s="368">
        <f t="shared" ref="K1154:K1160" si="208">IF(J1154&gt;F1154,J1154-F1154,0)</f>
        <v>0</v>
      </c>
      <c r="L1154" s="368">
        <f t="shared" ref="L1154:L1160" si="209">IF(J1154&lt;F1154,F1154-J1154,0)</f>
        <v>0</v>
      </c>
      <c r="M1154" s="871" t="s">
        <v>2217</v>
      </c>
      <c r="N1154" s="359"/>
      <c r="O1154" s="869">
        <f t="shared" ref="O1154:O1160" si="210">F1154-J1154</f>
        <v>0</v>
      </c>
    </row>
    <row r="1155" spans="1:15" s="360" customFormat="1" ht="15" hidden="1">
      <c r="A1155" s="356" t="s">
        <v>1590</v>
      </c>
      <c r="B1155" s="632" t="s">
        <v>1228</v>
      </c>
      <c r="C1155" s="604"/>
      <c r="D1155" s="870"/>
      <c r="E1155" s="10"/>
      <c r="F1155" s="353">
        <f t="shared" si="206"/>
        <v>0</v>
      </c>
      <c r="G1155" s="864"/>
      <c r="H1155" s="865"/>
      <c r="I1155" s="866"/>
      <c r="J1155" s="353">
        <f t="shared" si="207"/>
        <v>0</v>
      </c>
      <c r="K1155" s="368">
        <f t="shared" si="208"/>
        <v>0</v>
      </c>
      <c r="L1155" s="368">
        <f t="shared" si="209"/>
        <v>0</v>
      </c>
      <c r="M1155" s="871" t="s">
        <v>2217</v>
      </c>
      <c r="N1155" s="359"/>
      <c r="O1155" s="869">
        <f t="shared" si="210"/>
        <v>0</v>
      </c>
    </row>
    <row r="1156" spans="1:15" s="360" customFormat="1" ht="15" hidden="1">
      <c r="A1156" s="356" t="s">
        <v>1576</v>
      </c>
      <c r="B1156" s="632" t="s">
        <v>1998</v>
      </c>
      <c r="C1156" s="604"/>
      <c r="D1156" s="870"/>
      <c r="E1156" s="10"/>
      <c r="F1156" s="353">
        <f t="shared" si="206"/>
        <v>0</v>
      </c>
      <c r="G1156" s="864"/>
      <c r="H1156" s="865"/>
      <c r="I1156" s="866"/>
      <c r="J1156" s="353">
        <f t="shared" si="207"/>
        <v>0</v>
      </c>
      <c r="K1156" s="368">
        <f t="shared" si="208"/>
        <v>0</v>
      </c>
      <c r="L1156" s="368">
        <f t="shared" si="209"/>
        <v>0</v>
      </c>
      <c r="M1156" s="871" t="s">
        <v>2217</v>
      </c>
      <c r="N1156" s="359"/>
      <c r="O1156" s="869">
        <f t="shared" si="210"/>
        <v>0</v>
      </c>
    </row>
    <row r="1157" spans="1:15" s="360" customFormat="1" ht="25.5" hidden="1">
      <c r="A1157" s="356" t="s">
        <v>1577</v>
      </c>
      <c r="B1157" s="632" t="s">
        <v>965</v>
      </c>
      <c r="C1157" s="358"/>
      <c r="D1157" s="870"/>
      <c r="E1157" s="362"/>
      <c r="F1157" s="353">
        <f t="shared" si="206"/>
        <v>0</v>
      </c>
      <c r="G1157" s="864"/>
      <c r="H1157" s="865"/>
      <c r="I1157" s="866"/>
      <c r="J1157" s="353">
        <f t="shared" si="207"/>
        <v>0</v>
      </c>
      <c r="K1157" s="368">
        <f t="shared" si="208"/>
        <v>0</v>
      </c>
      <c r="L1157" s="368">
        <f t="shared" si="209"/>
        <v>0</v>
      </c>
      <c r="M1157" s="871" t="s">
        <v>2217</v>
      </c>
      <c r="N1157" s="359"/>
      <c r="O1157" s="869">
        <f t="shared" si="210"/>
        <v>0</v>
      </c>
    </row>
    <row r="1158" spans="1:15" s="360" customFormat="1" ht="15" hidden="1">
      <c r="A1158" s="356" t="s">
        <v>1145</v>
      </c>
      <c r="B1158" s="632" t="s">
        <v>3289</v>
      </c>
      <c r="C1158" s="551"/>
      <c r="D1158" s="354"/>
      <c r="E1158" s="756"/>
      <c r="F1158" s="863"/>
      <c r="G1158" s="358"/>
      <c r="H1158" s="354"/>
      <c r="I1158" s="355"/>
      <c r="J1158" s="353"/>
      <c r="K1158" s="368">
        <f t="shared" si="208"/>
        <v>0</v>
      </c>
      <c r="L1158" s="368">
        <f t="shared" si="209"/>
        <v>0</v>
      </c>
      <c r="M1158" s="871" t="s">
        <v>2217</v>
      </c>
      <c r="N1158" s="359"/>
      <c r="O1158" s="869">
        <f t="shared" si="210"/>
        <v>0</v>
      </c>
    </row>
    <row r="1159" spans="1:15" s="360" customFormat="1" ht="15" hidden="1">
      <c r="A1159" s="356" t="s">
        <v>1591</v>
      </c>
      <c r="B1159" s="357" t="s">
        <v>566</v>
      </c>
      <c r="C1159" s="872"/>
      <c r="D1159" s="873"/>
      <c r="E1159" s="874"/>
      <c r="F1159" s="862"/>
      <c r="G1159" s="358"/>
      <c r="H1159" s="361"/>
      <c r="I1159" s="362"/>
      <c r="J1159" s="359">
        <f>'[4]Part-B'!M1448</f>
        <v>0</v>
      </c>
      <c r="K1159" s="368">
        <f t="shared" si="208"/>
        <v>0</v>
      </c>
      <c r="L1159" s="368">
        <f t="shared" si="209"/>
        <v>0</v>
      </c>
      <c r="M1159" s="871" t="s">
        <v>2217</v>
      </c>
      <c r="N1159" s="359"/>
      <c r="O1159" s="869">
        <f t="shared" si="210"/>
        <v>0</v>
      </c>
    </row>
    <row r="1160" spans="1:15" s="360" customFormat="1" ht="15" hidden="1">
      <c r="A1160" s="356" t="s">
        <v>1592</v>
      </c>
      <c r="B1160" s="357" t="s">
        <v>292</v>
      </c>
      <c r="C1160" s="635"/>
      <c r="D1160" s="361"/>
      <c r="E1160" s="362"/>
      <c r="F1160" s="862"/>
      <c r="G1160" s="358"/>
      <c r="H1160" s="361"/>
      <c r="I1160" s="362"/>
      <c r="J1160" s="359">
        <f>'[4]Part-B'!M1448</f>
        <v>0</v>
      </c>
      <c r="K1160" s="368">
        <f t="shared" si="208"/>
        <v>0</v>
      </c>
      <c r="L1160" s="368">
        <f t="shared" si="209"/>
        <v>0</v>
      </c>
      <c r="M1160" s="871" t="s">
        <v>2217</v>
      </c>
      <c r="N1160" s="359"/>
      <c r="O1160" s="869">
        <f t="shared" si="210"/>
        <v>0</v>
      </c>
    </row>
    <row r="1161" spans="1:15" ht="15">
      <c r="A1161" s="1196"/>
      <c r="B1161" s="1219"/>
      <c r="C1161" s="1227"/>
      <c r="D1161" s="1223"/>
      <c r="E1161" s="1224"/>
      <c r="F1161" s="1228"/>
      <c r="G1161" s="1215"/>
      <c r="H1161" s="1223"/>
      <c r="I1161" s="1224"/>
      <c r="J1161" s="1155"/>
      <c r="K1161" s="1206"/>
      <c r="L1161" s="1206"/>
      <c r="M1161" s="1196"/>
      <c r="N1161" s="1236"/>
      <c r="O1161" s="1156"/>
    </row>
    <row r="1162" spans="1:15">
      <c r="A1162" s="1196"/>
      <c r="B1162" s="1237"/>
      <c r="C1162" s="1682" t="s">
        <v>453</v>
      </c>
      <c r="D1162" s="1682"/>
      <c r="E1162" s="1683"/>
      <c r="F1162" s="1238">
        <f>SUM(F8:F1161)</f>
        <v>1750000</v>
      </c>
      <c r="G1162" s="1215"/>
      <c r="H1162" s="1239"/>
      <c r="I1162" s="1196"/>
      <c r="J1162" s="1238">
        <f>SUM(J8:J1161)</f>
        <v>2080000</v>
      </c>
      <c r="K1162" s="1238">
        <f>SUM(K8:K1161)</f>
        <v>962282</v>
      </c>
      <c r="L1162" s="1238">
        <f>SUM(L8:L1161)</f>
        <v>632282</v>
      </c>
      <c r="M1162" s="1196"/>
    </row>
    <row r="1163" spans="1:15" ht="20.25" customHeight="1">
      <c r="A1163" s="1196"/>
      <c r="B1163" s="1237"/>
      <c r="C1163" s="1682" t="s">
        <v>569</v>
      </c>
      <c r="D1163" s="1682"/>
      <c r="E1163" s="1683"/>
      <c r="F1163" s="1238">
        <f>J1162</f>
        <v>2080000</v>
      </c>
      <c r="G1163" s="1215"/>
      <c r="H1163" s="1239"/>
      <c r="I1163" s="1196"/>
      <c r="J1163" s="1155"/>
      <c r="K1163" s="1238"/>
      <c r="L1163" s="1155">
        <f>K1162</f>
        <v>962282</v>
      </c>
      <c r="M1163" s="1196"/>
    </row>
    <row r="1164" spans="1:15" ht="20.25" customHeight="1">
      <c r="A1164" s="1196"/>
      <c r="B1164" s="1240" t="s">
        <v>535</v>
      </c>
      <c r="C1164" s="1682" t="s">
        <v>536</v>
      </c>
      <c r="D1164" s="1682"/>
      <c r="E1164" s="1683"/>
      <c r="F1164" s="1238">
        <f>F1162-F1163</f>
        <v>-330000</v>
      </c>
      <c r="G1164" s="1215"/>
      <c r="H1164" s="1223"/>
      <c r="I1164" s="1224"/>
      <c r="J1164" s="1238"/>
      <c r="K1164" s="1155"/>
      <c r="L1164" s="1238">
        <f>L1162-L1163</f>
        <v>-330000</v>
      </c>
      <c r="M1164" s="1224"/>
    </row>
    <row r="1165" spans="1:15" ht="24.75" customHeight="1">
      <c r="B1165" s="1241"/>
    </row>
    <row r="1166" spans="1:15" ht="17.25" customHeight="1">
      <c r="B1166" s="1241"/>
    </row>
    <row r="1167" spans="1:15">
      <c r="B1167" s="1241"/>
      <c r="H1167" s="950" t="str">
        <f>'lead 19-20'!$H$31</f>
        <v>Deputy Executive Engineer</v>
      </c>
      <c r="K1167" s="1245" t="str">
        <f>'lead 19-20'!$K$31</f>
        <v>Assistant  Engineer</v>
      </c>
      <c r="L1167" s="1246"/>
    </row>
    <row r="1168" spans="1:15">
      <c r="B1168" s="1241"/>
      <c r="H1168" s="950" t="str">
        <f>'lead 19-20'!$H$32</f>
        <v>PRI Sub Division</v>
      </c>
      <c r="K1168" s="1245" t="str">
        <f>'lead 19-20'!$K$32</f>
        <v>Mandal Praja parishad</v>
      </c>
    </row>
    <row r="1169" spans="1:14">
      <c r="B1169" s="1241"/>
      <c r="H1169" s="950" t="str">
        <f>'lead 19-20'!$H$33</f>
        <v>Kanigiri</v>
      </c>
      <c r="K1169" s="1245" t="str">
        <f>'lead 19-20'!$K$33</f>
        <v>Kanigiri</v>
      </c>
    </row>
    <row r="1170" spans="1:14">
      <c r="B1170" s="1241"/>
    </row>
    <row r="1171" spans="1:14" s="1236" customFormat="1">
      <c r="A1171" s="1136"/>
      <c r="B1171" s="1241"/>
      <c r="C1171" s="1242"/>
      <c r="D1171" s="1243"/>
      <c r="E1171" s="1136"/>
      <c r="F1171" s="1136"/>
      <c r="H1171" s="1243"/>
      <c r="I1171" s="1136"/>
      <c r="J1171" s="1136"/>
      <c r="L1171" s="1244"/>
      <c r="M1171" s="1136"/>
      <c r="N1171" s="1136"/>
    </row>
    <row r="1172" spans="1:14" s="1236" customFormat="1">
      <c r="A1172" s="1136"/>
      <c r="B1172" s="1241"/>
      <c r="C1172" s="1242"/>
      <c r="D1172" s="1243"/>
      <c r="E1172" s="1136"/>
      <c r="F1172" s="1136"/>
      <c r="H1172" s="1243"/>
      <c r="I1172" s="1136"/>
      <c r="J1172" s="1136"/>
      <c r="L1172" s="1244"/>
      <c r="M1172" s="1136"/>
      <c r="N1172" s="1136"/>
    </row>
    <row r="1173" spans="1:14" s="1236" customFormat="1">
      <c r="A1173" s="1136"/>
      <c r="B1173" s="1241"/>
      <c r="C1173" s="1242"/>
      <c r="D1173" s="1243"/>
      <c r="E1173" s="1136"/>
      <c r="F1173" s="1136"/>
      <c r="H1173" s="1243"/>
      <c r="I1173" s="1136"/>
      <c r="J1173" s="1136"/>
      <c r="L1173" s="1244"/>
      <c r="M1173" s="1136"/>
      <c r="N1173" s="1136"/>
    </row>
    <row r="1174" spans="1:14" s="1236" customFormat="1">
      <c r="A1174" s="1136"/>
      <c r="B1174" s="1241"/>
      <c r="C1174" s="1242"/>
      <c r="D1174" s="1243"/>
      <c r="E1174" s="1136"/>
      <c r="F1174" s="1136"/>
      <c r="H1174" s="1243"/>
      <c r="I1174" s="1136"/>
      <c r="J1174" s="1136"/>
      <c r="L1174" s="1244"/>
      <c r="M1174" s="1136"/>
      <c r="N1174" s="1136"/>
    </row>
    <row r="1175" spans="1:14" s="1236" customFormat="1">
      <c r="A1175" s="1136"/>
      <c r="B1175" s="1136"/>
      <c r="C1175" s="1242"/>
      <c r="D1175" s="1243"/>
      <c r="E1175" s="1136"/>
      <c r="F1175" s="1136"/>
      <c r="H1175" s="1243"/>
      <c r="I1175" s="1136"/>
      <c r="J1175" s="1136"/>
      <c r="L1175" s="1244"/>
      <c r="M1175" s="1136"/>
      <c r="N1175" s="1136"/>
    </row>
    <row r="1176" spans="1:14" s="1236" customFormat="1">
      <c r="A1176" s="1136"/>
      <c r="B1176" s="1136"/>
      <c r="C1176" s="1242"/>
      <c r="D1176" s="1243"/>
      <c r="E1176" s="1136"/>
      <c r="F1176" s="1136"/>
      <c r="H1176" s="1243"/>
      <c r="I1176" s="1136"/>
      <c r="J1176" s="1136"/>
      <c r="L1176" s="1244"/>
      <c r="M1176" s="1136"/>
      <c r="N1176" s="1136"/>
    </row>
    <row r="1177" spans="1:14" s="1236" customFormat="1">
      <c r="A1177" s="1136"/>
      <c r="B1177" s="1136"/>
      <c r="C1177" s="1242"/>
      <c r="D1177" s="1243"/>
      <c r="E1177" s="1136"/>
      <c r="F1177" s="1136"/>
      <c r="H1177" s="1243"/>
      <c r="I1177" s="1136"/>
      <c r="J1177" s="1136"/>
      <c r="L1177" s="1244"/>
      <c r="M1177" s="1136"/>
      <c r="N1177" s="1136"/>
    </row>
    <row r="1178" spans="1:14" s="1236" customFormat="1">
      <c r="A1178" s="1136"/>
      <c r="B1178" s="1136"/>
      <c r="C1178" s="1242"/>
      <c r="D1178" s="1243"/>
      <c r="E1178" s="1136"/>
      <c r="F1178" s="1136"/>
      <c r="H1178" s="1243"/>
      <c r="I1178" s="1136"/>
      <c r="J1178" s="1136"/>
      <c r="L1178" s="1244"/>
      <c r="M1178" s="1136"/>
      <c r="N1178" s="1136"/>
    </row>
    <row r="1179" spans="1:14" s="1236" customFormat="1">
      <c r="A1179" s="1136"/>
      <c r="B1179" s="1136"/>
      <c r="C1179" s="1242"/>
      <c r="D1179" s="1243"/>
      <c r="E1179" s="1136"/>
      <c r="F1179" s="1136"/>
      <c r="H1179" s="1243"/>
      <c r="I1179" s="1136"/>
      <c r="J1179" s="1136"/>
      <c r="L1179" s="1244"/>
      <c r="M1179" s="1136"/>
      <c r="N1179" s="1136"/>
    </row>
    <row r="1180" spans="1:14" s="1236" customFormat="1">
      <c r="A1180" s="1136"/>
      <c r="B1180" s="1136"/>
      <c r="C1180" s="1242"/>
      <c r="D1180" s="1243"/>
      <c r="E1180" s="1136"/>
      <c r="F1180" s="1136"/>
      <c r="H1180" s="1243"/>
      <c r="I1180" s="1136"/>
      <c r="J1180" s="1136"/>
      <c r="L1180" s="1244"/>
      <c r="M1180" s="1136"/>
      <c r="N1180" s="1136"/>
    </row>
    <row r="1181" spans="1:14" s="1236" customFormat="1">
      <c r="A1181" s="1136"/>
      <c r="B1181" s="1136"/>
      <c r="C1181" s="1242"/>
      <c r="D1181" s="1243"/>
      <c r="E1181" s="1136"/>
      <c r="F1181" s="1136"/>
      <c r="H1181" s="1243"/>
      <c r="I1181" s="1136"/>
      <c r="J1181" s="1136"/>
      <c r="L1181" s="1244"/>
      <c r="M1181" s="1136"/>
      <c r="N1181" s="1136"/>
    </row>
    <row r="1182" spans="1:14" s="1236" customFormat="1">
      <c r="A1182" s="1136"/>
      <c r="B1182" s="1136"/>
      <c r="C1182" s="1242"/>
      <c r="D1182" s="1243"/>
      <c r="E1182" s="1136"/>
      <c r="F1182" s="1136"/>
      <c r="H1182" s="1243"/>
      <c r="I1182" s="1136"/>
      <c r="J1182" s="1136"/>
      <c r="L1182" s="1244"/>
      <c r="M1182" s="1136"/>
      <c r="N1182" s="1136"/>
    </row>
    <row r="1183" spans="1:14" s="1236" customFormat="1">
      <c r="A1183" s="1136"/>
      <c r="B1183" s="1136"/>
      <c r="C1183" s="1242"/>
      <c r="D1183" s="1243"/>
      <c r="E1183" s="1136"/>
      <c r="F1183" s="1136"/>
      <c r="H1183" s="1243"/>
      <c r="I1183" s="1136"/>
      <c r="J1183" s="1136"/>
      <c r="L1183" s="1244"/>
      <c r="M1183" s="1136"/>
      <c r="N1183" s="1136"/>
    </row>
    <row r="1184" spans="1:14" s="1236" customFormat="1">
      <c r="A1184" s="1136"/>
      <c r="B1184" s="1136"/>
      <c r="C1184" s="1242"/>
      <c r="D1184" s="1243"/>
      <c r="E1184" s="1136"/>
      <c r="F1184" s="1136"/>
      <c r="H1184" s="1243"/>
      <c r="I1184" s="1136"/>
      <c r="J1184" s="1136"/>
      <c r="L1184" s="1244"/>
      <c r="M1184" s="1136"/>
      <c r="N1184" s="1136"/>
    </row>
    <row r="1185" spans="1:14" s="1236" customFormat="1">
      <c r="A1185" s="1136"/>
      <c r="B1185" s="1136"/>
      <c r="C1185" s="1242"/>
      <c r="D1185" s="1243"/>
      <c r="E1185" s="1136"/>
      <c r="F1185" s="1136"/>
      <c r="H1185" s="1243"/>
      <c r="I1185" s="1136"/>
      <c r="J1185" s="1136"/>
      <c r="L1185" s="1244"/>
      <c r="M1185" s="1136"/>
      <c r="N1185" s="1136"/>
    </row>
    <row r="1186" spans="1:14" s="1236" customFormat="1">
      <c r="A1186" s="1136"/>
      <c r="B1186" s="1136"/>
      <c r="C1186" s="1242"/>
      <c r="D1186" s="1243"/>
      <c r="E1186" s="1136"/>
      <c r="F1186" s="1136"/>
      <c r="H1186" s="1243"/>
      <c r="I1186" s="1136"/>
      <c r="J1186" s="1136"/>
      <c r="L1186" s="1244"/>
      <c r="M1186" s="1136"/>
      <c r="N1186" s="1136"/>
    </row>
    <row r="1195" spans="1:14">
      <c r="C1195" s="1243"/>
      <c r="G1195" s="1136"/>
      <c r="H1195" s="1136"/>
      <c r="K1195" s="1247"/>
      <c r="L1195" s="1136"/>
    </row>
    <row r="1196" spans="1:14">
      <c r="C1196" s="1243"/>
      <c r="G1196" s="1136"/>
      <c r="H1196" s="1136"/>
      <c r="K1196" s="1247"/>
      <c r="L1196" s="1136"/>
    </row>
    <row r="1197" spans="1:14">
      <c r="C1197" s="1243"/>
      <c r="G1197" s="1136"/>
      <c r="H1197" s="1136"/>
      <c r="K1197" s="1247"/>
      <c r="L1197" s="1136"/>
    </row>
    <row r="1198" spans="1:14">
      <c r="C1198" s="1243"/>
      <c r="G1198" s="1136"/>
      <c r="H1198" s="1136"/>
      <c r="K1198" s="1247"/>
      <c r="L1198" s="1136"/>
    </row>
    <row r="1199" spans="1:14">
      <c r="C1199" s="1243"/>
      <c r="G1199" s="1136"/>
      <c r="H1199" s="1136"/>
      <c r="K1199" s="1247"/>
      <c r="L1199" s="1136"/>
    </row>
    <row r="1200" spans="1:14">
      <c r="C1200" s="1243"/>
      <c r="G1200" s="1136"/>
      <c r="H1200" s="1136"/>
      <c r="K1200" s="1247"/>
      <c r="L1200" s="1136"/>
    </row>
    <row r="1201" spans="3:12">
      <c r="C1201" s="1243"/>
      <c r="G1201" s="1136"/>
      <c r="H1201" s="1136"/>
      <c r="K1201" s="1247"/>
      <c r="L1201" s="1136"/>
    </row>
    <row r="1202" spans="3:12">
      <c r="C1202" s="1243"/>
      <c r="G1202" s="1136"/>
      <c r="H1202" s="1136"/>
      <c r="K1202" s="1247"/>
      <c r="L1202" s="1136"/>
    </row>
    <row r="1203" spans="3:12">
      <c r="C1203" s="1243"/>
      <c r="G1203" s="1136"/>
      <c r="H1203" s="1136"/>
      <c r="K1203" s="1247"/>
      <c r="L1203" s="1136"/>
    </row>
    <row r="1204" spans="3:12">
      <c r="C1204" s="1243"/>
      <c r="G1204" s="1136"/>
      <c r="H1204" s="1136"/>
      <c r="K1204" s="1247"/>
      <c r="L1204" s="1136"/>
    </row>
    <row r="1205" spans="3:12">
      <c r="C1205" s="1243"/>
      <c r="G1205" s="1136"/>
      <c r="H1205" s="1136"/>
      <c r="K1205" s="1247"/>
      <c r="L1205" s="1136"/>
    </row>
    <row r="1206" spans="3:12">
      <c r="C1206" s="1243"/>
      <c r="G1206" s="1136"/>
      <c r="H1206" s="1136"/>
      <c r="K1206" s="1247"/>
      <c r="L1206" s="1136"/>
    </row>
    <row r="1207" spans="3:12">
      <c r="C1207" s="1243"/>
      <c r="G1207" s="1136"/>
      <c r="H1207" s="1136"/>
      <c r="K1207" s="1247"/>
      <c r="L1207" s="1136"/>
    </row>
    <row r="1208" spans="3:12">
      <c r="C1208" s="1243"/>
      <c r="G1208" s="1136"/>
      <c r="H1208" s="1136"/>
      <c r="K1208" s="1247"/>
      <c r="L1208" s="1136"/>
    </row>
    <row r="1209" spans="3:12">
      <c r="C1209" s="1243"/>
      <c r="G1209" s="1136"/>
      <c r="H1209" s="1136"/>
      <c r="K1209" s="1247"/>
      <c r="L1209" s="1136"/>
    </row>
    <row r="1210" spans="3:12">
      <c r="C1210" s="1243"/>
      <c r="G1210" s="1136"/>
      <c r="H1210" s="1136"/>
      <c r="K1210" s="1247"/>
      <c r="L1210" s="1136"/>
    </row>
    <row r="1211" spans="3:12">
      <c r="C1211" s="1243"/>
      <c r="G1211" s="1136"/>
      <c r="H1211" s="1136"/>
      <c r="K1211" s="1247"/>
      <c r="L1211" s="1136"/>
    </row>
    <row r="1212" spans="3:12">
      <c r="C1212" s="1243"/>
      <c r="G1212" s="1136"/>
      <c r="H1212" s="1136"/>
      <c r="K1212" s="1247"/>
      <c r="L1212" s="1136"/>
    </row>
    <row r="1213" spans="3:12">
      <c r="C1213" s="1243"/>
      <c r="G1213" s="1136"/>
      <c r="H1213" s="1136"/>
      <c r="K1213" s="1247"/>
      <c r="L1213" s="1136"/>
    </row>
    <row r="1214" spans="3:12">
      <c r="C1214" s="1243"/>
      <c r="G1214" s="1136"/>
      <c r="H1214" s="1136"/>
      <c r="K1214" s="1247"/>
      <c r="L1214" s="1136"/>
    </row>
    <row r="1215" spans="3:12">
      <c r="C1215" s="1243"/>
      <c r="G1215" s="1136"/>
      <c r="H1215" s="1136"/>
      <c r="K1215" s="1247"/>
      <c r="L1215" s="1136"/>
    </row>
    <row r="1216" spans="3:12">
      <c r="C1216" s="1243"/>
      <c r="G1216" s="1136"/>
      <c r="H1216" s="1136"/>
      <c r="K1216" s="1247"/>
      <c r="L1216" s="1136"/>
    </row>
    <row r="1217" spans="3:12">
      <c r="C1217" s="1243"/>
      <c r="G1217" s="1136"/>
      <c r="H1217" s="1136"/>
      <c r="K1217" s="1247"/>
      <c r="L1217" s="1136"/>
    </row>
    <row r="1218" spans="3:12">
      <c r="C1218" s="1243"/>
      <c r="G1218" s="1136"/>
      <c r="H1218" s="1136"/>
      <c r="K1218" s="1247"/>
      <c r="L1218" s="1136"/>
    </row>
    <row r="1219" spans="3:12">
      <c r="C1219" s="1243"/>
      <c r="G1219" s="1136"/>
      <c r="H1219" s="1136"/>
      <c r="K1219" s="1247"/>
      <c r="L1219" s="1136"/>
    </row>
    <row r="1220" spans="3:12">
      <c r="C1220" s="1243"/>
      <c r="G1220" s="1136"/>
      <c r="H1220" s="1136"/>
      <c r="K1220" s="1247"/>
      <c r="L1220" s="1136"/>
    </row>
    <row r="1221" spans="3:12">
      <c r="C1221" s="1243"/>
      <c r="G1221" s="1136"/>
      <c r="H1221" s="1136"/>
      <c r="K1221" s="1247"/>
      <c r="L1221" s="1136"/>
    </row>
    <row r="1222" spans="3:12">
      <c r="C1222" s="1243"/>
      <c r="G1222" s="1136"/>
      <c r="H1222" s="1136"/>
      <c r="K1222" s="1247"/>
      <c r="L1222" s="1136"/>
    </row>
    <row r="1223" spans="3:12">
      <c r="C1223" s="1243"/>
      <c r="G1223" s="1136"/>
      <c r="H1223" s="1136"/>
      <c r="K1223" s="1247"/>
      <c r="L1223" s="1136"/>
    </row>
    <row r="1224" spans="3:12">
      <c r="C1224" s="1243"/>
      <c r="G1224" s="1136"/>
      <c r="H1224" s="1136"/>
      <c r="K1224" s="1247"/>
      <c r="L1224" s="1136"/>
    </row>
    <row r="1225" spans="3:12">
      <c r="C1225" s="1243"/>
      <c r="G1225" s="1136"/>
      <c r="H1225" s="1136"/>
      <c r="K1225" s="1247"/>
      <c r="L1225" s="1136"/>
    </row>
    <row r="1226" spans="3:12">
      <c r="C1226" s="1243"/>
      <c r="G1226" s="1136"/>
      <c r="H1226" s="1136"/>
      <c r="K1226" s="1247"/>
      <c r="L1226" s="1136"/>
    </row>
    <row r="1227" spans="3:12">
      <c r="C1227" s="1243"/>
      <c r="G1227" s="1136"/>
      <c r="H1227" s="1136"/>
      <c r="K1227" s="1247"/>
      <c r="L1227" s="1136"/>
    </row>
    <row r="1228" spans="3:12">
      <c r="C1228" s="1243"/>
      <c r="G1228" s="1136"/>
      <c r="H1228" s="1136"/>
      <c r="K1228" s="1247"/>
      <c r="L1228" s="1136"/>
    </row>
    <row r="1229" spans="3:12">
      <c r="C1229" s="1243"/>
      <c r="G1229" s="1136"/>
      <c r="H1229" s="1136"/>
      <c r="K1229" s="1247"/>
      <c r="L1229" s="1136"/>
    </row>
    <row r="1230" spans="3:12">
      <c r="C1230" s="1243"/>
      <c r="G1230" s="1136"/>
      <c r="H1230" s="1136"/>
      <c r="K1230" s="1247"/>
      <c r="L1230" s="1136"/>
    </row>
    <row r="1231" spans="3:12">
      <c r="C1231" s="1243"/>
      <c r="G1231" s="1136"/>
      <c r="H1231" s="1136"/>
      <c r="K1231" s="1247"/>
      <c r="L1231" s="1136"/>
    </row>
    <row r="1232" spans="3:12">
      <c r="C1232" s="1243"/>
      <c r="G1232" s="1136"/>
      <c r="H1232" s="1136"/>
      <c r="K1232" s="1247"/>
      <c r="L1232" s="1136"/>
    </row>
    <row r="1233" spans="3:12">
      <c r="C1233" s="1243"/>
      <c r="G1233" s="1136"/>
      <c r="H1233" s="1136"/>
      <c r="K1233" s="1247"/>
      <c r="L1233" s="1136"/>
    </row>
    <row r="1234" spans="3:12">
      <c r="C1234" s="1243"/>
      <c r="G1234" s="1136"/>
      <c r="H1234" s="1136"/>
      <c r="K1234" s="1247"/>
      <c r="L1234" s="1136"/>
    </row>
    <row r="1235" spans="3:12">
      <c r="C1235" s="1243"/>
      <c r="G1235" s="1136"/>
      <c r="H1235" s="1136"/>
      <c r="K1235" s="1247"/>
      <c r="L1235" s="1136"/>
    </row>
    <row r="1236" spans="3:12">
      <c r="C1236" s="1243"/>
      <c r="G1236" s="1136"/>
      <c r="H1236" s="1136"/>
      <c r="K1236" s="1247"/>
      <c r="L1236" s="1136"/>
    </row>
    <row r="1237" spans="3:12">
      <c r="C1237" s="1243"/>
      <c r="G1237" s="1136"/>
      <c r="H1237" s="1136"/>
      <c r="K1237" s="1247"/>
      <c r="L1237" s="1136"/>
    </row>
    <row r="1238" spans="3:12">
      <c r="C1238" s="1243"/>
      <c r="G1238" s="1136"/>
      <c r="H1238" s="1136"/>
      <c r="K1238" s="1247"/>
      <c r="L1238" s="1136"/>
    </row>
    <row r="1239" spans="3:12">
      <c r="C1239" s="1243"/>
      <c r="G1239" s="1136"/>
      <c r="H1239" s="1136"/>
      <c r="K1239" s="1247"/>
      <c r="L1239" s="1136"/>
    </row>
    <row r="1240" spans="3:12">
      <c r="C1240" s="1243"/>
      <c r="G1240" s="1136"/>
      <c r="H1240" s="1136"/>
      <c r="K1240" s="1247"/>
      <c r="L1240" s="1136"/>
    </row>
    <row r="1241" spans="3:12">
      <c r="C1241" s="1243"/>
      <c r="G1241" s="1136"/>
      <c r="H1241" s="1136"/>
      <c r="K1241" s="1247"/>
      <c r="L1241" s="1136"/>
    </row>
    <row r="1242" spans="3:12">
      <c r="C1242" s="1243"/>
      <c r="G1242" s="1136"/>
      <c r="H1242" s="1136"/>
      <c r="K1242" s="1247"/>
      <c r="L1242" s="1136"/>
    </row>
    <row r="1243" spans="3:12">
      <c r="C1243" s="1243"/>
      <c r="G1243" s="1136"/>
      <c r="H1243" s="1136"/>
      <c r="K1243" s="1247"/>
      <c r="L1243" s="1136"/>
    </row>
    <row r="1244" spans="3:12">
      <c r="C1244" s="1243"/>
      <c r="G1244" s="1136"/>
      <c r="H1244" s="1136"/>
      <c r="K1244" s="1247"/>
      <c r="L1244" s="1136"/>
    </row>
    <row r="1245" spans="3:12">
      <c r="C1245" s="1243"/>
      <c r="G1245" s="1136"/>
      <c r="H1245" s="1136"/>
      <c r="K1245" s="1247"/>
      <c r="L1245" s="1136"/>
    </row>
    <row r="1246" spans="3:12">
      <c r="C1246" s="1243"/>
      <c r="G1246" s="1136"/>
      <c r="H1246" s="1136"/>
      <c r="K1246" s="1247"/>
      <c r="L1246" s="1136"/>
    </row>
    <row r="1247" spans="3:12">
      <c r="C1247" s="1243"/>
      <c r="G1247" s="1136"/>
      <c r="H1247" s="1136"/>
      <c r="K1247" s="1247"/>
      <c r="L1247" s="1136"/>
    </row>
    <row r="1248" spans="3:12">
      <c r="C1248" s="1243"/>
      <c r="G1248" s="1136"/>
      <c r="H1248" s="1136"/>
      <c r="K1248" s="1247"/>
      <c r="L1248" s="1136"/>
    </row>
    <row r="1249" spans="3:12">
      <c r="C1249" s="1243"/>
      <c r="G1249" s="1136"/>
      <c r="H1249" s="1136"/>
      <c r="K1249" s="1247"/>
      <c r="L1249" s="1136"/>
    </row>
    <row r="1250" spans="3:12">
      <c r="C1250" s="1243"/>
      <c r="G1250" s="1136"/>
      <c r="H1250" s="1136"/>
      <c r="K1250" s="1247"/>
      <c r="L1250" s="1136"/>
    </row>
    <row r="1251" spans="3:12">
      <c r="C1251" s="1243"/>
      <c r="G1251" s="1136"/>
      <c r="H1251" s="1136"/>
      <c r="K1251" s="1247"/>
      <c r="L1251" s="1136"/>
    </row>
    <row r="1252" spans="3:12">
      <c r="C1252" s="1243"/>
      <c r="G1252" s="1136"/>
      <c r="H1252" s="1136"/>
      <c r="K1252" s="1247"/>
      <c r="L1252" s="1136"/>
    </row>
    <row r="1253" spans="3:12">
      <c r="C1253" s="1243"/>
      <c r="G1253" s="1136"/>
      <c r="H1253" s="1136"/>
      <c r="K1253" s="1247"/>
      <c r="L1253" s="1136"/>
    </row>
    <row r="1254" spans="3:12">
      <c r="C1254" s="1243"/>
      <c r="G1254" s="1136"/>
      <c r="H1254" s="1136"/>
      <c r="K1254" s="1247"/>
      <c r="L1254" s="1136"/>
    </row>
    <row r="1255" spans="3:12">
      <c r="C1255" s="1243"/>
      <c r="G1255" s="1136"/>
      <c r="H1255" s="1136"/>
      <c r="K1255" s="1247"/>
      <c r="L1255" s="1136"/>
    </row>
    <row r="1256" spans="3:12">
      <c r="C1256" s="1243"/>
      <c r="G1256" s="1136"/>
      <c r="H1256" s="1136"/>
      <c r="K1256" s="1247"/>
      <c r="L1256" s="1136"/>
    </row>
    <row r="1257" spans="3:12">
      <c r="C1257" s="1243"/>
      <c r="G1257" s="1136"/>
      <c r="H1257" s="1136"/>
      <c r="K1257" s="1247"/>
      <c r="L1257" s="1136"/>
    </row>
    <row r="1258" spans="3:12">
      <c r="C1258" s="1243"/>
      <c r="G1258" s="1136"/>
      <c r="H1258" s="1136"/>
      <c r="K1258" s="1247"/>
      <c r="L1258" s="1136"/>
    </row>
    <row r="1259" spans="3:12">
      <c r="C1259" s="1243"/>
      <c r="G1259" s="1136"/>
      <c r="H1259" s="1136"/>
      <c r="K1259" s="1247"/>
      <c r="L1259" s="1136"/>
    </row>
    <row r="1260" spans="3:12">
      <c r="C1260" s="1243"/>
      <c r="G1260" s="1136"/>
      <c r="H1260" s="1136"/>
      <c r="K1260" s="1247"/>
      <c r="L1260" s="1136"/>
    </row>
    <row r="1261" spans="3:12">
      <c r="C1261" s="1243"/>
      <c r="G1261" s="1136"/>
      <c r="H1261" s="1136"/>
      <c r="K1261" s="1247"/>
      <c r="L1261" s="1136"/>
    </row>
    <row r="1262" spans="3:12">
      <c r="C1262" s="1243"/>
      <c r="G1262" s="1136"/>
      <c r="H1262" s="1136"/>
      <c r="K1262" s="1247"/>
      <c r="L1262" s="1136"/>
    </row>
    <row r="1263" spans="3:12">
      <c r="C1263" s="1243"/>
      <c r="G1263" s="1136"/>
      <c r="H1263" s="1136"/>
      <c r="K1263" s="1247"/>
      <c r="L1263" s="1136"/>
    </row>
    <row r="1264" spans="3:12">
      <c r="C1264" s="1243"/>
      <c r="G1264" s="1136"/>
      <c r="H1264" s="1136"/>
      <c r="K1264" s="1247"/>
      <c r="L1264" s="1136"/>
    </row>
    <row r="1265" spans="3:12">
      <c r="C1265" s="1243"/>
      <c r="G1265" s="1136"/>
      <c r="H1265" s="1136"/>
      <c r="K1265" s="1247"/>
      <c r="L1265" s="1136"/>
    </row>
    <row r="1266" spans="3:12">
      <c r="C1266" s="1243"/>
      <c r="G1266" s="1136"/>
      <c r="H1266" s="1136"/>
      <c r="K1266" s="1247"/>
      <c r="L1266" s="1136"/>
    </row>
    <row r="1267" spans="3:12">
      <c r="C1267" s="1243"/>
      <c r="G1267" s="1136"/>
      <c r="H1267" s="1136"/>
      <c r="K1267" s="1247"/>
      <c r="L1267" s="1136"/>
    </row>
    <row r="1268" spans="3:12">
      <c r="C1268" s="1243"/>
      <c r="G1268" s="1136"/>
      <c r="H1268" s="1136"/>
      <c r="K1268" s="1247"/>
      <c r="L1268" s="1136"/>
    </row>
    <row r="1269" spans="3:12">
      <c r="C1269" s="1243"/>
      <c r="G1269" s="1136"/>
      <c r="H1269" s="1136"/>
      <c r="K1269" s="1247"/>
      <c r="L1269" s="1136"/>
    </row>
    <row r="1270" spans="3:12">
      <c r="C1270" s="1243"/>
      <c r="G1270" s="1136"/>
      <c r="H1270" s="1136"/>
      <c r="K1270" s="1247"/>
      <c r="L1270" s="1136"/>
    </row>
    <row r="1271" spans="3:12">
      <c r="C1271" s="1243"/>
      <c r="G1271" s="1136"/>
      <c r="H1271" s="1136"/>
      <c r="K1271" s="1247"/>
      <c r="L1271" s="1136"/>
    </row>
    <row r="1272" spans="3:12">
      <c r="C1272" s="1243"/>
      <c r="G1272" s="1136"/>
      <c r="H1272" s="1136"/>
      <c r="K1272" s="1247"/>
      <c r="L1272" s="1136"/>
    </row>
    <row r="1273" spans="3:12">
      <c r="C1273" s="1243"/>
      <c r="G1273" s="1136"/>
      <c r="H1273" s="1136"/>
      <c r="K1273" s="1247"/>
      <c r="L1273" s="1136"/>
    </row>
    <row r="1274" spans="3:12">
      <c r="C1274" s="1243"/>
      <c r="G1274" s="1136"/>
      <c r="H1274" s="1136"/>
      <c r="K1274" s="1247"/>
      <c r="L1274" s="1136"/>
    </row>
    <row r="1275" spans="3:12">
      <c r="C1275" s="1243"/>
      <c r="G1275" s="1136"/>
      <c r="H1275" s="1136"/>
      <c r="K1275" s="1247"/>
      <c r="L1275" s="1136"/>
    </row>
    <row r="1276" spans="3:12">
      <c r="C1276" s="1243"/>
      <c r="G1276" s="1136"/>
      <c r="H1276" s="1136"/>
      <c r="K1276" s="1247"/>
      <c r="L1276" s="1136"/>
    </row>
    <row r="1277" spans="3:12">
      <c r="C1277" s="1243"/>
      <c r="G1277" s="1136"/>
      <c r="H1277" s="1136"/>
      <c r="K1277" s="1247"/>
      <c r="L1277" s="1136"/>
    </row>
  </sheetData>
  <autoFilter ref="A6:O1160">
    <filterColumn colId="2" showButton="0"/>
    <filterColumn colId="6" showButton="0"/>
    <filterColumn colId="14">
      <customFilters>
        <customFilter operator="notEqual" val=" "/>
      </customFilters>
    </filterColumn>
  </autoFilter>
  <mergeCells count="460">
    <mergeCell ref="C1164:E1164"/>
    <mergeCell ref="A1:M1"/>
    <mergeCell ref="A2:M2"/>
    <mergeCell ref="K3:M3"/>
    <mergeCell ref="A4:A5"/>
    <mergeCell ref="B4:B5"/>
    <mergeCell ref="C4:F4"/>
    <mergeCell ref="G4:J4"/>
    <mergeCell ref="K4:L4"/>
    <mergeCell ref="M4:M5"/>
    <mergeCell ref="C5:D5"/>
    <mergeCell ref="G5:H5"/>
    <mergeCell ref="C6:D6"/>
    <mergeCell ref="G6:H6"/>
    <mergeCell ref="C1162:E1162"/>
    <mergeCell ref="C1163:E1163"/>
    <mergeCell ref="K21:K24"/>
    <mergeCell ref="L21:L24"/>
    <mergeCell ref="K25:K28"/>
    <mergeCell ref="L25:L28"/>
    <mergeCell ref="K29:K32"/>
    <mergeCell ref="L29:L32"/>
    <mergeCell ref="K9:K12"/>
    <mergeCell ref="L9:L12"/>
    <mergeCell ref="K13:K16"/>
    <mergeCell ref="L13:L16"/>
    <mergeCell ref="K17:K20"/>
    <mergeCell ref="L17:L20"/>
    <mergeCell ref="K46:K49"/>
    <mergeCell ref="L46:L49"/>
    <mergeCell ref="K50:K53"/>
    <mergeCell ref="L50:L53"/>
    <mergeCell ref="K54:K57"/>
    <mergeCell ref="L54:L57"/>
    <mergeCell ref="K33:K36"/>
    <mergeCell ref="L33:L36"/>
    <mergeCell ref="K38:K41"/>
    <mergeCell ref="L38:L41"/>
    <mergeCell ref="K42:K45"/>
    <mergeCell ref="L42:L45"/>
    <mergeCell ref="K70:K73"/>
    <mergeCell ref="L70:L73"/>
    <mergeCell ref="K74:K77"/>
    <mergeCell ref="L74:L77"/>
    <mergeCell ref="K78:K81"/>
    <mergeCell ref="L78:L81"/>
    <mergeCell ref="K58:K61"/>
    <mergeCell ref="L58:L61"/>
    <mergeCell ref="K62:K65"/>
    <mergeCell ref="L62:L65"/>
    <mergeCell ref="K66:K69"/>
    <mergeCell ref="L66:L69"/>
    <mergeCell ref="K94:K97"/>
    <mergeCell ref="L94:L97"/>
    <mergeCell ref="K98:K101"/>
    <mergeCell ref="L98:L101"/>
    <mergeCell ref="K102:K105"/>
    <mergeCell ref="L102:L105"/>
    <mergeCell ref="K106:K109"/>
    <mergeCell ref="L106:L109"/>
    <mergeCell ref="K82:K85"/>
    <mergeCell ref="L82:L85"/>
    <mergeCell ref="K86:K89"/>
    <mergeCell ref="L86:L89"/>
    <mergeCell ref="K90:K93"/>
    <mergeCell ref="L90:L93"/>
    <mergeCell ref="K122:K125"/>
    <mergeCell ref="L122:L125"/>
    <mergeCell ref="K126:K129"/>
    <mergeCell ref="L126:L129"/>
    <mergeCell ref="K130:K133"/>
    <mergeCell ref="L130:L133"/>
    <mergeCell ref="K110:K113"/>
    <mergeCell ref="L110:L113"/>
    <mergeCell ref="K114:K117"/>
    <mergeCell ref="L114:L117"/>
    <mergeCell ref="K118:K121"/>
    <mergeCell ref="L118:L121"/>
    <mergeCell ref="K146:K149"/>
    <mergeCell ref="L146:L149"/>
    <mergeCell ref="K150:K153"/>
    <mergeCell ref="L150:L153"/>
    <mergeCell ref="K154:K157"/>
    <mergeCell ref="L154:L157"/>
    <mergeCell ref="K134:K137"/>
    <mergeCell ref="L134:L137"/>
    <mergeCell ref="K138:K141"/>
    <mergeCell ref="L138:L141"/>
    <mergeCell ref="K142:K145"/>
    <mergeCell ref="L142:L145"/>
    <mergeCell ref="K170:K173"/>
    <mergeCell ref="L170:L173"/>
    <mergeCell ref="K174:K177"/>
    <mergeCell ref="L174:L177"/>
    <mergeCell ref="K178:K181"/>
    <mergeCell ref="L178:L181"/>
    <mergeCell ref="K158:K161"/>
    <mergeCell ref="L158:L161"/>
    <mergeCell ref="K162:K165"/>
    <mergeCell ref="L162:L165"/>
    <mergeCell ref="K166:K169"/>
    <mergeCell ref="L166:L169"/>
    <mergeCell ref="K194:K197"/>
    <mergeCell ref="L194:L197"/>
    <mergeCell ref="K198:K201"/>
    <mergeCell ref="L198:L201"/>
    <mergeCell ref="K202:K205"/>
    <mergeCell ref="L202:L205"/>
    <mergeCell ref="K182:K185"/>
    <mergeCell ref="L182:L185"/>
    <mergeCell ref="K186:K189"/>
    <mergeCell ref="L186:L189"/>
    <mergeCell ref="K190:K193"/>
    <mergeCell ref="L190:L193"/>
    <mergeCell ref="K218:K221"/>
    <mergeCell ref="L218:L221"/>
    <mergeCell ref="K222:K225"/>
    <mergeCell ref="L222:L225"/>
    <mergeCell ref="K226:K229"/>
    <mergeCell ref="L226:L229"/>
    <mergeCell ref="K206:K209"/>
    <mergeCell ref="L206:L209"/>
    <mergeCell ref="K210:K213"/>
    <mergeCell ref="L210:L213"/>
    <mergeCell ref="K214:K217"/>
    <mergeCell ref="L214:L217"/>
    <mergeCell ref="K244:K247"/>
    <mergeCell ref="L244:L247"/>
    <mergeCell ref="K248:K251"/>
    <mergeCell ref="L248:L251"/>
    <mergeCell ref="K252:K255"/>
    <mergeCell ref="L252:L255"/>
    <mergeCell ref="K230:K233"/>
    <mergeCell ref="L230:L233"/>
    <mergeCell ref="K234:K237"/>
    <mergeCell ref="L234:L237"/>
    <mergeCell ref="K240:K243"/>
    <mergeCell ref="L240:L243"/>
    <mergeCell ref="K268:K271"/>
    <mergeCell ref="L268:L271"/>
    <mergeCell ref="K272:K275"/>
    <mergeCell ref="L272:L275"/>
    <mergeCell ref="K276:K279"/>
    <mergeCell ref="L276:L279"/>
    <mergeCell ref="K256:K259"/>
    <mergeCell ref="L256:L259"/>
    <mergeCell ref="K260:K263"/>
    <mergeCell ref="L260:L263"/>
    <mergeCell ref="K264:K267"/>
    <mergeCell ref="L264:L267"/>
    <mergeCell ref="K292:K295"/>
    <mergeCell ref="L292:L295"/>
    <mergeCell ref="K296:K299"/>
    <mergeCell ref="L296:L299"/>
    <mergeCell ref="K300:K303"/>
    <mergeCell ref="L300:L303"/>
    <mergeCell ref="K280:K283"/>
    <mergeCell ref="L280:L283"/>
    <mergeCell ref="K284:K287"/>
    <mergeCell ref="L284:L287"/>
    <mergeCell ref="K288:K291"/>
    <mergeCell ref="L288:L291"/>
    <mergeCell ref="K316:K319"/>
    <mergeCell ref="L316:L319"/>
    <mergeCell ref="K320:K323"/>
    <mergeCell ref="L320:L323"/>
    <mergeCell ref="K324:K327"/>
    <mergeCell ref="L324:L327"/>
    <mergeCell ref="K304:K307"/>
    <mergeCell ref="L304:L307"/>
    <mergeCell ref="K308:K311"/>
    <mergeCell ref="L308:L311"/>
    <mergeCell ref="K312:K315"/>
    <mergeCell ref="L312:L315"/>
    <mergeCell ref="K340:K343"/>
    <mergeCell ref="L340:L343"/>
    <mergeCell ref="K344:K347"/>
    <mergeCell ref="L344:L347"/>
    <mergeCell ref="K348:K351"/>
    <mergeCell ref="L348:L351"/>
    <mergeCell ref="K328:K331"/>
    <mergeCell ref="L328:L331"/>
    <mergeCell ref="K332:K335"/>
    <mergeCell ref="L332:L335"/>
    <mergeCell ref="K336:K339"/>
    <mergeCell ref="L336:L339"/>
    <mergeCell ref="K364:K367"/>
    <mergeCell ref="L364:L367"/>
    <mergeCell ref="K368:K371"/>
    <mergeCell ref="L368:L371"/>
    <mergeCell ref="K372:K375"/>
    <mergeCell ref="L372:L375"/>
    <mergeCell ref="K352:K355"/>
    <mergeCell ref="L352:L355"/>
    <mergeCell ref="K356:K359"/>
    <mergeCell ref="L356:L359"/>
    <mergeCell ref="K360:K363"/>
    <mergeCell ref="L360:L363"/>
    <mergeCell ref="K389:K392"/>
    <mergeCell ref="L389:L392"/>
    <mergeCell ref="K393:K396"/>
    <mergeCell ref="L393:L396"/>
    <mergeCell ref="K397:K400"/>
    <mergeCell ref="L397:L400"/>
    <mergeCell ref="K376:K379"/>
    <mergeCell ref="L376:L379"/>
    <mergeCell ref="K380:K383"/>
    <mergeCell ref="L380:L383"/>
    <mergeCell ref="K385:K388"/>
    <mergeCell ref="L385:L388"/>
    <mergeCell ref="K413:K416"/>
    <mergeCell ref="L413:L416"/>
    <mergeCell ref="K417:K420"/>
    <mergeCell ref="L417:L420"/>
    <mergeCell ref="K421:K424"/>
    <mergeCell ref="L421:L424"/>
    <mergeCell ref="K401:K404"/>
    <mergeCell ref="L401:L404"/>
    <mergeCell ref="K405:K408"/>
    <mergeCell ref="L405:L408"/>
    <mergeCell ref="K409:K412"/>
    <mergeCell ref="L409:L412"/>
    <mergeCell ref="K437:K440"/>
    <mergeCell ref="L437:L440"/>
    <mergeCell ref="K441:K444"/>
    <mergeCell ref="L441:L444"/>
    <mergeCell ref="K445:K448"/>
    <mergeCell ref="L445:L448"/>
    <mergeCell ref="K425:K428"/>
    <mergeCell ref="L425:L428"/>
    <mergeCell ref="K429:K432"/>
    <mergeCell ref="L429:L432"/>
    <mergeCell ref="K433:K436"/>
    <mergeCell ref="L433:L436"/>
    <mergeCell ref="K461:K464"/>
    <mergeCell ref="L461:L464"/>
    <mergeCell ref="K465:K468"/>
    <mergeCell ref="L465:L468"/>
    <mergeCell ref="K469:K472"/>
    <mergeCell ref="L469:L472"/>
    <mergeCell ref="K449:K452"/>
    <mergeCell ref="L449:L452"/>
    <mergeCell ref="K453:K456"/>
    <mergeCell ref="L453:L456"/>
    <mergeCell ref="K457:K460"/>
    <mergeCell ref="L457:L460"/>
    <mergeCell ref="K485:K488"/>
    <mergeCell ref="L485:L488"/>
    <mergeCell ref="K489:K492"/>
    <mergeCell ref="L489:L492"/>
    <mergeCell ref="K493:K496"/>
    <mergeCell ref="L493:L496"/>
    <mergeCell ref="K473:K476"/>
    <mergeCell ref="L473:L476"/>
    <mergeCell ref="K477:K480"/>
    <mergeCell ref="L477:L480"/>
    <mergeCell ref="K481:K484"/>
    <mergeCell ref="L481:L484"/>
    <mergeCell ref="K509:K512"/>
    <mergeCell ref="L509:L512"/>
    <mergeCell ref="K513:K516"/>
    <mergeCell ref="L513:L516"/>
    <mergeCell ref="K517:K520"/>
    <mergeCell ref="L517:L520"/>
    <mergeCell ref="K497:K500"/>
    <mergeCell ref="L497:L500"/>
    <mergeCell ref="K501:K504"/>
    <mergeCell ref="L501:L504"/>
    <mergeCell ref="K505:K508"/>
    <mergeCell ref="L505:L508"/>
    <mergeCell ref="K534:K537"/>
    <mergeCell ref="L534:L537"/>
    <mergeCell ref="K538:K541"/>
    <mergeCell ref="L538:L541"/>
    <mergeCell ref="K542:K545"/>
    <mergeCell ref="L542:L545"/>
    <mergeCell ref="K521:K524"/>
    <mergeCell ref="L521:L524"/>
    <mergeCell ref="K526:K529"/>
    <mergeCell ref="L526:L529"/>
    <mergeCell ref="K530:K533"/>
    <mergeCell ref="L530:L533"/>
    <mergeCell ref="K558:K561"/>
    <mergeCell ref="L558:L561"/>
    <mergeCell ref="K562:K565"/>
    <mergeCell ref="L562:L565"/>
    <mergeCell ref="K566:K569"/>
    <mergeCell ref="L566:L569"/>
    <mergeCell ref="K546:K549"/>
    <mergeCell ref="L546:L549"/>
    <mergeCell ref="K550:K553"/>
    <mergeCell ref="L550:L553"/>
    <mergeCell ref="K554:K557"/>
    <mergeCell ref="L554:L557"/>
    <mergeCell ref="K583:K586"/>
    <mergeCell ref="L583:L586"/>
    <mergeCell ref="K587:K590"/>
    <mergeCell ref="L587:L590"/>
    <mergeCell ref="K591:K594"/>
    <mergeCell ref="L591:L594"/>
    <mergeCell ref="K571:K574"/>
    <mergeCell ref="L571:L574"/>
    <mergeCell ref="K575:K578"/>
    <mergeCell ref="L575:L578"/>
    <mergeCell ref="K579:K582"/>
    <mergeCell ref="L579:L582"/>
    <mergeCell ref="K607:K610"/>
    <mergeCell ref="L607:L610"/>
    <mergeCell ref="K611:K614"/>
    <mergeCell ref="L611:L614"/>
    <mergeCell ref="K615:K618"/>
    <mergeCell ref="L615:L618"/>
    <mergeCell ref="K595:K598"/>
    <mergeCell ref="L595:L598"/>
    <mergeCell ref="K599:K602"/>
    <mergeCell ref="L599:L602"/>
    <mergeCell ref="K603:K606"/>
    <mergeCell ref="L603:L606"/>
    <mergeCell ref="K632:K635"/>
    <mergeCell ref="L632:L635"/>
    <mergeCell ref="K636:K639"/>
    <mergeCell ref="L636:L639"/>
    <mergeCell ref="K641:K644"/>
    <mergeCell ref="L641:L644"/>
    <mergeCell ref="K619:K622"/>
    <mergeCell ref="L619:L622"/>
    <mergeCell ref="K624:K627"/>
    <mergeCell ref="L624:L627"/>
    <mergeCell ref="K628:K631"/>
    <mergeCell ref="L628:L631"/>
    <mergeCell ref="K657:K660"/>
    <mergeCell ref="L657:L660"/>
    <mergeCell ref="K661:K664"/>
    <mergeCell ref="L661:L664"/>
    <mergeCell ref="K665:K668"/>
    <mergeCell ref="L665:L668"/>
    <mergeCell ref="K645:K648"/>
    <mergeCell ref="L645:L648"/>
    <mergeCell ref="K649:K652"/>
    <mergeCell ref="L649:L652"/>
    <mergeCell ref="K653:K656"/>
    <mergeCell ref="L653:L656"/>
    <mergeCell ref="K682:K685"/>
    <mergeCell ref="L682:L685"/>
    <mergeCell ref="K686:K689"/>
    <mergeCell ref="L686:L689"/>
    <mergeCell ref="K691:K694"/>
    <mergeCell ref="L691:L694"/>
    <mergeCell ref="K670:K673"/>
    <mergeCell ref="L670:L673"/>
    <mergeCell ref="K674:K677"/>
    <mergeCell ref="L674:L677"/>
    <mergeCell ref="K678:K681"/>
    <mergeCell ref="L678:L681"/>
    <mergeCell ref="K709:K712"/>
    <mergeCell ref="L709:L712"/>
    <mergeCell ref="K713:K716"/>
    <mergeCell ref="L713:L716"/>
    <mergeCell ref="K717:K720"/>
    <mergeCell ref="L717:L720"/>
    <mergeCell ref="K697:K700"/>
    <mergeCell ref="L697:L700"/>
    <mergeCell ref="K701:K704"/>
    <mergeCell ref="L701:L704"/>
    <mergeCell ref="K705:K708"/>
    <mergeCell ref="L705:L708"/>
    <mergeCell ref="K733:K736"/>
    <mergeCell ref="L733:L736"/>
    <mergeCell ref="K737:K740"/>
    <mergeCell ref="L737:L740"/>
    <mergeCell ref="K741:K744"/>
    <mergeCell ref="L741:L744"/>
    <mergeCell ref="K721:K724"/>
    <mergeCell ref="L721:L724"/>
    <mergeCell ref="K725:K728"/>
    <mergeCell ref="L725:L728"/>
    <mergeCell ref="K729:K732"/>
    <mergeCell ref="L729:L732"/>
    <mergeCell ref="K759:K762"/>
    <mergeCell ref="L759:L762"/>
    <mergeCell ref="K763:K766"/>
    <mergeCell ref="L763:L766"/>
    <mergeCell ref="K767:K770"/>
    <mergeCell ref="L767:L770"/>
    <mergeCell ref="K747:K750"/>
    <mergeCell ref="L747:L750"/>
    <mergeCell ref="K751:K754"/>
    <mergeCell ref="L751:L754"/>
    <mergeCell ref="K755:K758"/>
    <mergeCell ref="L755:L758"/>
    <mergeCell ref="K783:K786"/>
    <mergeCell ref="L783:L786"/>
    <mergeCell ref="K787:K790"/>
    <mergeCell ref="L787:L790"/>
    <mergeCell ref="K791:K794"/>
    <mergeCell ref="L791:L794"/>
    <mergeCell ref="K771:K774"/>
    <mergeCell ref="L771:L774"/>
    <mergeCell ref="K775:K778"/>
    <mergeCell ref="L775:L778"/>
    <mergeCell ref="K779:K782"/>
    <mergeCell ref="L779:L782"/>
    <mergeCell ref="K807:K810"/>
    <mergeCell ref="L807:L810"/>
    <mergeCell ref="K811:K814"/>
    <mergeCell ref="L811:L814"/>
    <mergeCell ref="K815:K818"/>
    <mergeCell ref="L815:L818"/>
    <mergeCell ref="K795:K798"/>
    <mergeCell ref="L795:L798"/>
    <mergeCell ref="K799:K802"/>
    <mergeCell ref="L799:L802"/>
    <mergeCell ref="K803:K806"/>
    <mergeCell ref="L803:L806"/>
    <mergeCell ref="K831:K834"/>
    <mergeCell ref="L831:L834"/>
    <mergeCell ref="K835:K838"/>
    <mergeCell ref="L835:L838"/>
    <mergeCell ref="K839:K842"/>
    <mergeCell ref="L839:L842"/>
    <mergeCell ref="K819:K822"/>
    <mergeCell ref="L819:L822"/>
    <mergeCell ref="K823:K826"/>
    <mergeCell ref="L823:L826"/>
    <mergeCell ref="K827:K830"/>
    <mergeCell ref="L827:L830"/>
    <mergeCell ref="K855:K858"/>
    <mergeCell ref="L855:L858"/>
    <mergeCell ref="K859:K862"/>
    <mergeCell ref="L859:L862"/>
    <mergeCell ref="K863:K866"/>
    <mergeCell ref="L863:L866"/>
    <mergeCell ref="K843:K846"/>
    <mergeCell ref="L843:L846"/>
    <mergeCell ref="K847:K850"/>
    <mergeCell ref="L847:L850"/>
    <mergeCell ref="K851:K854"/>
    <mergeCell ref="L851:L854"/>
    <mergeCell ref="K879:K882"/>
    <mergeCell ref="L879:L882"/>
    <mergeCell ref="K883:K886"/>
    <mergeCell ref="L883:L886"/>
    <mergeCell ref="K887:K890"/>
    <mergeCell ref="L887:L890"/>
    <mergeCell ref="K867:K870"/>
    <mergeCell ref="L867:L870"/>
    <mergeCell ref="K871:K874"/>
    <mergeCell ref="L871:L874"/>
    <mergeCell ref="K875:K878"/>
    <mergeCell ref="L875:L878"/>
    <mergeCell ref="K903:K906"/>
    <mergeCell ref="L903:L906"/>
    <mergeCell ref="K907:K910"/>
    <mergeCell ref="L907:L910"/>
    <mergeCell ref="K891:K894"/>
    <mergeCell ref="L891:L894"/>
    <mergeCell ref="K895:K898"/>
    <mergeCell ref="L895:L898"/>
    <mergeCell ref="K899:K902"/>
    <mergeCell ref="L899:L902"/>
  </mergeCells>
  <printOptions horizontalCentered="1"/>
  <pageMargins left="0.23622047244094499" right="0.15748031496063" top="0.25" bottom="0.34" header="0.22" footer="0.23622047244094499"/>
  <pageSetup paperSize="9" orientation="landscape" errors="blank" r:id="rId1"/>
  <headerFooter alignWithMargins="0"/>
</worksheet>
</file>

<file path=xl/worksheets/sheet37.xml><?xml version="1.0" encoding="utf-8"?>
<worksheet xmlns="http://schemas.openxmlformats.org/spreadsheetml/2006/main" xmlns:r="http://schemas.openxmlformats.org/officeDocument/2006/relationships">
  <sheetPr filterMode="1">
    <tabColor rgb="FF00B050"/>
  </sheetPr>
  <dimension ref="A1:P1270"/>
  <sheetViews>
    <sheetView showZeros="0" view="pageBreakPreview" topLeftCell="A1144" zoomScale="115" zoomScaleNormal="130" zoomScaleSheetLayoutView="115" workbookViewId="0">
      <selection activeCell="A1155" sqref="A1155"/>
    </sheetView>
  </sheetViews>
  <sheetFormatPr defaultColWidth="9.140625" defaultRowHeight="12.75"/>
  <cols>
    <col min="1" max="1" width="5.140625" style="26" customWidth="1"/>
    <col min="2" max="2" width="42.42578125" style="26" customWidth="1"/>
    <col min="3" max="3" width="8.28515625" style="667" customWidth="1"/>
    <col min="4" max="4" width="5.140625" style="668" customWidth="1"/>
    <col min="5" max="5" width="9" style="26" customWidth="1"/>
    <col min="6" max="6" width="12.28515625" style="26" customWidth="1"/>
    <col min="7" max="7" width="8.140625" style="666" customWidth="1"/>
    <col min="8" max="8" width="4.7109375" style="668" customWidth="1"/>
    <col min="9" max="9" width="9.42578125" style="26" bestFit="1" customWidth="1"/>
    <col min="10" max="10" width="10.85546875" style="26" customWidth="1"/>
    <col min="11" max="11" width="11" style="666" customWidth="1"/>
    <col min="12" max="12" width="11" style="854" customWidth="1"/>
    <col min="13" max="13" width="7.85546875" style="26" customWidth="1"/>
    <col min="14" max="14" width="9.28515625" style="26" bestFit="1" customWidth="1"/>
    <col min="15" max="16" width="10.42578125" style="26" bestFit="1" customWidth="1"/>
    <col min="17" max="16384" width="9.140625" style="26"/>
  </cols>
  <sheetData>
    <row r="1" spans="1:15" ht="19.5" customHeight="1">
      <c r="A1" s="1701" t="s">
        <v>3139</v>
      </c>
      <c r="B1" s="1702"/>
      <c r="C1" s="1702"/>
      <c r="D1" s="1702"/>
      <c r="E1" s="1702"/>
      <c r="F1" s="1702"/>
      <c r="G1" s="1702"/>
      <c r="H1" s="1702"/>
      <c r="I1" s="1702"/>
      <c r="J1" s="1702"/>
      <c r="K1" s="1703"/>
      <c r="L1" s="1704"/>
      <c r="M1" s="1704"/>
    </row>
    <row r="2" spans="1:15" s="843" customFormat="1" ht="36.75" customHeight="1">
      <c r="A2" s="1705" t="str">
        <f>'lead 19-20'!B2&amp;'lead 19-20'!C2</f>
        <v>Name of the Work: Providing Additional Space for Health Staff in Grama Sachivalayam of Baduguleru GP of Kanigiri Mandal</v>
      </c>
      <c r="B2" s="1705"/>
      <c r="C2" s="1705"/>
      <c r="D2" s="1705"/>
      <c r="E2" s="1705"/>
      <c r="F2" s="1705"/>
      <c r="G2" s="1705"/>
      <c r="H2" s="1705"/>
      <c r="I2" s="1705"/>
      <c r="J2" s="1705"/>
      <c r="K2" s="1706"/>
      <c r="L2" s="1705"/>
      <c r="M2" s="1705"/>
    </row>
    <row r="3" spans="1:15" s="843" customFormat="1" ht="15">
      <c r="A3" s="844"/>
      <c r="B3" s="845"/>
      <c r="C3" s="626"/>
      <c r="D3" s="846"/>
      <c r="E3" s="847"/>
      <c r="F3" s="845"/>
      <c r="G3" s="848"/>
      <c r="H3" s="846"/>
      <c r="I3" s="847"/>
      <c r="J3" s="845" t="s">
        <v>452</v>
      </c>
      <c r="K3" s="1707" t="str">
        <f>'lead 19-20'!K4</f>
        <v>20.80 Lakhs</v>
      </c>
      <c r="L3" s="1708"/>
      <c r="M3" s="1708"/>
    </row>
    <row r="4" spans="1:15" s="843" customFormat="1" ht="19.5" customHeight="1">
      <c r="A4" s="1700" t="s">
        <v>271</v>
      </c>
      <c r="B4" s="1700" t="s">
        <v>7</v>
      </c>
      <c r="C4" s="1700" t="s">
        <v>569</v>
      </c>
      <c r="D4" s="1700"/>
      <c r="E4" s="1709"/>
      <c r="F4" s="1709"/>
      <c r="G4" s="1700" t="s">
        <v>3138</v>
      </c>
      <c r="H4" s="1700"/>
      <c r="I4" s="1709"/>
      <c r="J4" s="1709"/>
      <c r="K4" s="1710" t="s">
        <v>454</v>
      </c>
      <c r="L4" s="1709"/>
      <c r="M4" s="1700" t="s">
        <v>455</v>
      </c>
    </row>
    <row r="5" spans="1:15" s="843" customFormat="1" ht="15.75" customHeight="1">
      <c r="A5" s="1700"/>
      <c r="B5" s="1700"/>
      <c r="C5" s="1700" t="s">
        <v>456</v>
      </c>
      <c r="D5" s="1700"/>
      <c r="E5" s="849" t="s">
        <v>457</v>
      </c>
      <c r="F5" s="849" t="s">
        <v>10</v>
      </c>
      <c r="G5" s="1700" t="s">
        <v>456</v>
      </c>
      <c r="H5" s="1700"/>
      <c r="I5" s="849" t="s">
        <v>457</v>
      </c>
      <c r="J5" s="849" t="s">
        <v>10</v>
      </c>
      <c r="K5" s="857" t="s">
        <v>458</v>
      </c>
      <c r="L5" s="849" t="s">
        <v>459</v>
      </c>
      <c r="M5" s="1700"/>
    </row>
    <row r="6" spans="1:15" s="843" customFormat="1" ht="16.5" customHeight="1">
      <c r="A6" s="849" t="s">
        <v>460</v>
      </c>
      <c r="B6" s="849" t="s">
        <v>461</v>
      </c>
      <c r="C6" s="1700" t="s">
        <v>462</v>
      </c>
      <c r="D6" s="1700"/>
      <c r="E6" s="849" t="s">
        <v>463</v>
      </c>
      <c r="F6" s="849" t="s">
        <v>464</v>
      </c>
      <c r="G6" s="1700" t="s">
        <v>465</v>
      </c>
      <c r="H6" s="1700"/>
      <c r="I6" s="849" t="s">
        <v>466</v>
      </c>
      <c r="J6" s="849" t="s">
        <v>467</v>
      </c>
      <c r="K6" s="857" t="s">
        <v>468</v>
      </c>
      <c r="L6" s="849" t="s">
        <v>326</v>
      </c>
      <c r="M6" s="849" t="s">
        <v>469</v>
      </c>
    </row>
    <row r="7" spans="1:15" s="18" customFormat="1" ht="16.5" hidden="1" customHeight="1">
      <c r="A7" s="618"/>
      <c r="B7" s="849" t="s">
        <v>2425</v>
      </c>
      <c r="C7" s="761"/>
      <c r="D7" s="762"/>
      <c r="E7" s="762"/>
      <c r="F7" s="618"/>
      <c r="G7" s="761"/>
      <c r="H7" s="762"/>
      <c r="I7" s="618"/>
      <c r="J7" s="618"/>
      <c r="K7" s="842"/>
      <c r="L7" s="618"/>
      <c r="M7" s="618"/>
      <c r="O7" s="18" t="s">
        <v>460</v>
      </c>
    </row>
    <row r="8" spans="1:15" ht="20.25" hidden="1" customHeight="1">
      <c r="A8" s="23"/>
      <c r="B8" s="627" t="s">
        <v>470</v>
      </c>
      <c r="C8" s="628"/>
      <c r="D8" s="629"/>
      <c r="E8" s="630"/>
      <c r="F8" s="764"/>
      <c r="G8" s="28"/>
      <c r="H8" s="224"/>
      <c r="I8" s="29"/>
      <c r="J8" s="223"/>
      <c r="K8" s="25">
        <f t="shared" ref="K8" si="0">IF(J8&gt;F8,J8-F8,0)</f>
        <v>0</v>
      </c>
      <c r="L8" s="25">
        <f t="shared" ref="L8" si="1">IF(J8&lt;F8,F8-J8,0)</f>
        <v>0</v>
      </c>
      <c r="M8" s="23" t="s">
        <v>15</v>
      </c>
      <c r="N8" s="223"/>
      <c r="O8" s="850">
        <v>1</v>
      </c>
    </row>
    <row r="9" spans="1:15" s="360" customFormat="1" ht="25.5" hidden="1">
      <c r="A9" s="356" t="s">
        <v>460</v>
      </c>
      <c r="B9" s="632" t="s">
        <v>294</v>
      </c>
      <c r="C9" s="611">
        <f>G9</f>
        <v>0</v>
      </c>
      <c r="D9" s="354" t="s">
        <v>102</v>
      </c>
      <c r="E9" s="607">
        <f>I9</f>
        <v>5.22</v>
      </c>
      <c r="F9" s="792">
        <f t="shared" ref="F9:F72" si="2">ROUND(C9*E9,0)</f>
        <v>0</v>
      </c>
      <c r="G9" s="358">
        <f>'PART-A'!I14</f>
        <v>0</v>
      </c>
      <c r="H9" s="354" t="s">
        <v>102</v>
      </c>
      <c r="I9" s="355">
        <f>'PART-A'!K14</f>
        <v>5.22</v>
      </c>
      <c r="J9" s="353">
        <f>ROUND(G9*I9,2)</f>
        <v>0</v>
      </c>
      <c r="K9" s="1679">
        <f>IF((J9+J10+J11+J12)&gt;(F9+F10+F11+F12),(J9+J10+J11+J12)-(F9+F10+F11+F12),0)</f>
        <v>0</v>
      </c>
      <c r="L9" s="1679">
        <f>IF((J9+J10+J11+J12)&lt;(F9+F10+F11+F12),(F9+F10+F11+F12)-(J9+J10+J11+J12),0)</f>
        <v>0</v>
      </c>
      <c r="M9" s="633" t="s">
        <v>2217</v>
      </c>
      <c r="N9" s="223"/>
      <c r="O9" s="631">
        <f>F9-J9</f>
        <v>0</v>
      </c>
    </row>
    <row r="10" spans="1:15" s="360" customFormat="1" ht="15" hidden="1">
      <c r="A10" s="356" t="s">
        <v>460</v>
      </c>
      <c r="B10" s="632" t="s">
        <v>537</v>
      </c>
      <c r="C10" s="611">
        <f t="shared" ref="C10:C73" si="3">G10</f>
        <v>0</v>
      </c>
      <c r="D10" s="354"/>
      <c r="E10" s="607">
        <f t="shared" ref="E10:E73" si="4">I10</f>
        <v>5.86</v>
      </c>
      <c r="F10" s="792">
        <f t="shared" si="2"/>
        <v>0</v>
      </c>
      <c r="G10" s="358">
        <f>'PART-A'!I20</f>
        <v>0</v>
      </c>
      <c r="H10" s="354" t="s">
        <v>102</v>
      </c>
      <c r="I10" s="355">
        <f>'PART-A'!K20</f>
        <v>5.86</v>
      </c>
      <c r="J10" s="353">
        <f t="shared" ref="J10:J73" si="5">ROUND(G10*I10,2)</f>
        <v>0</v>
      </c>
      <c r="K10" s="1680"/>
      <c r="L10" s="1680"/>
      <c r="M10" s="633" t="s">
        <v>2299</v>
      </c>
      <c r="N10" s="223"/>
      <c r="O10" s="631">
        <f t="shared" ref="O10:O74" si="6">F10-J10</f>
        <v>0</v>
      </c>
    </row>
    <row r="11" spans="1:15" s="360" customFormat="1" ht="15" hidden="1">
      <c r="A11" s="356" t="s">
        <v>460</v>
      </c>
      <c r="B11" s="632" t="s">
        <v>537</v>
      </c>
      <c r="C11" s="611">
        <f t="shared" si="3"/>
        <v>0</v>
      </c>
      <c r="D11" s="354"/>
      <c r="E11" s="607">
        <f t="shared" si="4"/>
        <v>6.06</v>
      </c>
      <c r="F11" s="792">
        <f t="shared" si="2"/>
        <v>0</v>
      </c>
      <c r="G11" s="358">
        <f>'PART-A'!I26</f>
        <v>0</v>
      </c>
      <c r="H11" s="354" t="s">
        <v>102</v>
      </c>
      <c r="I11" s="355">
        <f>'PART-A'!K26</f>
        <v>6.06</v>
      </c>
      <c r="J11" s="353">
        <f t="shared" si="5"/>
        <v>0</v>
      </c>
      <c r="K11" s="1680"/>
      <c r="L11" s="1680"/>
      <c r="M11" s="633" t="s">
        <v>2312</v>
      </c>
      <c r="N11" s="223"/>
      <c r="O11" s="631">
        <f t="shared" si="6"/>
        <v>0</v>
      </c>
    </row>
    <row r="12" spans="1:15" s="360" customFormat="1" ht="15" hidden="1">
      <c r="A12" s="356" t="s">
        <v>460</v>
      </c>
      <c r="B12" s="632" t="s">
        <v>537</v>
      </c>
      <c r="C12" s="611">
        <f t="shared" si="3"/>
        <v>0</v>
      </c>
      <c r="D12" s="354"/>
      <c r="E12" s="607">
        <f t="shared" si="4"/>
        <v>6.06</v>
      </c>
      <c r="F12" s="792">
        <f t="shared" si="2"/>
        <v>0</v>
      </c>
      <c r="G12" s="358">
        <f>'PART-A'!I32</f>
        <v>0</v>
      </c>
      <c r="H12" s="354" t="s">
        <v>102</v>
      </c>
      <c r="I12" s="355">
        <f>'PART-A'!K32</f>
        <v>6.06</v>
      </c>
      <c r="J12" s="353">
        <f t="shared" si="5"/>
        <v>0</v>
      </c>
      <c r="K12" s="1681"/>
      <c r="L12" s="1681"/>
      <c r="M12" s="633" t="s">
        <v>2313</v>
      </c>
      <c r="N12" s="223"/>
      <c r="O12" s="631">
        <f t="shared" si="6"/>
        <v>0</v>
      </c>
    </row>
    <row r="13" spans="1:15" s="360" customFormat="1" ht="51">
      <c r="A13" s="356" t="s">
        <v>460</v>
      </c>
      <c r="B13" s="632" t="s">
        <v>3175</v>
      </c>
      <c r="C13" s="611">
        <f t="shared" si="3"/>
        <v>71.969999999999985</v>
      </c>
      <c r="D13" s="791" t="s">
        <v>102</v>
      </c>
      <c r="E13" s="607">
        <f t="shared" si="4"/>
        <v>124.24</v>
      </c>
      <c r="F13" s="792">
        <f t="shared" si="2"/>
        <v>8942</v>
      </c>
      <c r="G13" s="358">
        <f>'PART-A'!I49</f>
        <v>71.969999999999985</v>
      </c>
      <c r="H13" s="354" t="s">
        <v>5</v>
      </c>
      <c r="I13" s="355">
        <f>'PART-A'!K49</f>
        <v>124.24</v>
      </c>
      <c r="J13" s="353">
        <f t="shared" si="5"/>
        <v>8941.5499999999993</v>
      </c>
      <c r="K13" s="1698">
        <f>IF((J13+J14+J15+J16)&gt;(F13+F14+F15+F16),(J13+J14+J15+J16)-(F13+F14+F15+F16),0)</f>
        <v>0</v>
      </c>
      <c r="L13" s="1698">
        <f>IF((J13+J14+J15+J16)&lt;(F13+F14+F15+F16),(F13+F14+F15+F16)-(J13+J14+J15+J16),0)</f>
        <v>0.4500000000007276</v>
      </c>
      <c r="M13" s="851" t="s">
        <v>2217</v>
      </c>
      <c r="N13" s="223"/>
      <c r="O13" s="850">
        <f t="shared" si="6"/>
        <v>0.4500000000007276</v>
      </c>
    </row>
    <row r="14" spans="1:15" s="360" customFormat="1" ht="51" hidden="1">
      <c r="A14" s="356" t="s">
        <v>461</v>
      </c>
      <c r="B14" s="632" t="s">
        <v>3175</v>
      </c>
      <c r="C14" s="611">
        <f t="shared" si="3"/>
        <v>0</v>
      </c>
      <c r="D14" s="354" t="s">
        <v>5</v>
      </c>
      <c r="E14" s="607">
        <f t="shared" si="4"/>
        <v>139.55000000000001</v>
      </c>
      <c r="F14" s="792">
        <f t="shared" si="2"/>
        <v>0</v>
      </c>
      <c r="G14" s="358">
        <f>'PART-A'!I56</f>
        <v>0</v>
      </c>
      <c r="H14" s="354" t="s">
        <v>5</v>
      </c>
      <c r="I14" s="355">
        <f>'PART-A'!K56</f>
        <v>139.55000000000001</v>
      </c>
      <c r="J14" s="353">
        <f t="shared" si="5"/>
        <v>0</v>
      </c>
      <c r="K14" s="1680"/>
      <c r="L14" s="1680"/>
      <c r="M14" s="633" t="s">
        <v>2299</v>
      </c>
      <c r="N14" s="223"/>
      <c r="O14" s="631">
        <f t="shared" si="6"/>
        <v>0</v>
      </c>
    </row>
    <row r="15" spans="1:15" s="360" customFormat="1" ht="51" hidden="1">
      <c r="A15" s="356" t="s">
        <v>462</v>
      </c>
      <c r="B15" s="632" t="s">
        <v>3175</v>
      </c>
      <c r="C15" s="611">
        <f t="shared" si="3"/>
        <v>0</v>
      </c>
      <c r="D15" s="354" t="s">
        <v>5</v>
      </c>
      <c r="E15" s="607">
        <f t="shared" si="4"/>
        <v>144.26</v>
      </c>
      <c r="F15" s="792">
        <f t="shared" si="2"/>
        <v>0</v>
      </c>
      <c r="G15" s="358">
        <f>'PART-A'!I62</f>
        <v>0</v>
      </c>
      <c r="H15" s="354" t="s">
        <v>5</v>
      </c>
      <c r="I15" s="355">
        <f>'PART-A'!K62</f>
        <v>144.26</v>
      </c>
      <c r="J15" s="353">
        <f t="shared" si="5"/>
        <v>0</v>
      </c>
      <c r="K15" s="1680"/>
      <c r="L15" s="1680"/>
      <c r="M15" s="633" t="s">
        <v>2312</v>
      </c>
      <c r="N15" s="223"/>
      <c r="O15" s="631">
        <f t="shared" si="6"/>
        <v>0</v>
      </c>
    </row>
    <row r="16" spans="1:15" s="360" customFormat="1" ht="15" hidden="1">
      <c r="A16" s="356" t="s">
        <v>461</v>
      </c>
      <c r="B16" s="632" t="s">
        <v>471</v>
      </c>
      <c r="C16" s="611">
        <f t="shared" si="3"/>
        <v>0</v>
      </c>
      <c r="D16" s="354"/>
      <c r="E16" s="607">
        <f t="shared" si="4"/>
        <v>144.26</v>
      </c>
      <c r="F16" s="792">
        <f t="shared" si="2"/>
        <v>0</v>
      </c>
      <c r="G16" s="358">
        <f>'PART-A'!I72</f>
        <v>0</v>
      </c>
      <c r="H16" s="354" t="s">
        <v>5</v>
      </c>
      <c r="I16" s="355">
        <f>'PART-A'!K72</f>
        <v>144.26</v>
      </c>
      <c r="J16" s="353">
        <f t="shared" si="5"/>
        <v>0</v>
      </c>
      <c r="K16" s="1681"/>
      <c r="L16" s="1681"/>
      <c r="M16" s="633" t="s">
        <v>2313</v>
      </c>
      <c r="N16" s="223"/>
      <c r="O16" s="631">
        <f t="shared" si="6"/>
        <v>0</v>
      </c>
    </row>
    <row r="17" spans="1:15" s="360" customFormat="1" ht="51">
      <c r="A17" s="356" t="s">
        <v>461</v>
      </c>
      <c r="B17" s="632" t="s">
        <v>3176</v>
      </c>
      <c r="C17" s="611">
        <f t="shared" si="3"/>
        <v>20.59</v>
      </c>
      <c r="D17" s="791" t="s">
        <v>5</v>
      </c>
      <c r="E17" s="607">
        <f t="shared" si="4"/>
        <v>3877.2799999999997</v>
      </c>
      <c r="F17" s="792">
        <f t="shared" si="2"/>
        <v>79833</v>
      </c>
      <c r="G17" s="358">
        <f>'PART-A'!I108</f>
        <v>20.59</v>
      </c>
      <c r="H17" s="354" t="s">
        <v>5</v>
      </c>
      <c r="I17" s="355">
        <f>'PART-A'!K108</f>
        <v>3877.2799999999997</v>
      </c>
      <c r="J17" s="353">
        <f t="shared" si="5"/>
        <v>79833.2</v>
      </c>
      <c r="K17" s="1698">
        <f>IF((J17+J18+J19+J20)&gt;(F17+F18+F19+F20),(J17+J18+J19+J20)-(F17+F18+F19+F20),0)</f>
        <v>0.19999999999708962</v>
      </c>
      <c r="L17" s="1698">
        <f>IF((J17+J18+J19+J20)&lt;(F17+F18+F19+F20),(F17+F18+F19+F20)-(J17+J18+J19+J20),0)</f>
        <v>0</v>
      </c>
      <c r="M17" s="851" t="s">
        <v>2217</v>
      </c>
      <c r="N17" s="223"/>
      <c r="O17" s="850">
        <f t="shared" si="6"/>
        <v>-0.19999999999708962</v>
      </c>
    </row>
    <row r="18" spans="1:15" s="360" customFormat="1" ht="51" hidden="1">
      <c r="A18" s="356" t="s">
        <v>464</v>
      </c>
      <c r="B18" s="632" t="s">
        <v>3176</v>
      </c>
      <c r="C18" s="611">
        <f t="shared" si="3"/>
        <v>0</v>
      </c>
      <c r="D18" s="354" t="s">
        <v>5</v>
      </c>
      <c r="E18" s="607">
        <f t="shared" si="4"/>
        <v>4067.8399999999997</v>
      </c>
      <c r="F18" s="792">
        <f t="shared" si="2"/>
        <v>0</v>
      </c>
      <c r="G18" s="358">
        <f>'PART-A'!I127</f>
        <v>0</v>
      </c>
      <c r="H18" s="354" t="s">
        <v>5</v>
      </c>
      <c r="I18" s="355">
        <f>'PART-A'!K127</f>
        <v>4067.8399999999997</v>
      </c>
      <c r="J18" s="353">
        <f t="shared" si="5"/>
        <v>0</v>
      </c>
      <c r="K18" s="1680"/>
      <c r="L18" s="1680"/>
      <c r="M18" s="633" t="s">
        <v>2299</v>
      </c>
      <c r="N18" s="223"/>
      <c r="O18" s="631">
        <f t="shared" si="6"/>
        <v>0</v>
      </c>
    </row>
    <row r="19" spans="1:15" s="360" customFormat="1" ht="51" hidden="1">
      <c r="A19" s="356" t="s">
        <v>465</v>
      </c>
      <c r="B19" s="632" t="s">
        <v>3176</v>
      </c>
      <c r="C19" s="611">
        <f t="shared" si="3"/>
        <v>0</v>
      </c>
      <c r="D19" s="354" t="s">
        <v>5</v>
      </c>
      <c r="E19" s="607">
        <f t="shared" si="4"/>
        <v>4332.55</v>
      </c>
      <c r="F19" s="792">
        <f t="shared" si="2"/>
        <v>0</v>
      </c>
      <c r="G19" s="358">
        <f>'PART-A'!I133</f>
        <v>0</v>
      </c>
      <c r="H19" s="354" t="s">
        <v>5</v>
      </c>
      <c r="I19" s="355">
        <f>'PART-A'!K133</f>
        <v>4332.55</v>
      </c>
      <c r="J19" s="353">
        <f t="shared" si="5"/>
        <v>0</v>
      </c>
      <c r="K19" s="1680"/>
      <c r="L19" s="1680"/>
      <c r="M19" s="633" t="s">
        <v>2312</v>
      </c>
      <c r="N19" s="223"/>
      <c r="O19" s="631">
        <f t="shared" si="6"/>
        <v>0</v>
      </c>
    </row>
    <row r="20" spans="1:15" s="360" customFormat="1" ht="15" hidden="1">
      <c r="A20" s="356" t="s">
        <v>463</v>
      </c>
      <c r="B20" s="632" t="s">
        <v>538</v>
      </c>
      <c r="C20" s="611">
        <f t="shared" si="3"/>
        <v>0</v>
      </c>
      <c r="D20" s="354"/>
      <c r="E20" s="607">
        <f t="shared" si="4"/>
        <v>4583.3100000000004</v>
      </c>
      <c r="F20" s="792">
        <f t="shared" si="2"/>
        <v>0</v>
      </c>
      <c r="G20" s="358">
        <f>'PART-A'!I146</f>
        <v>0</v>
      </c>
      <c r="H20" s="354" t="s">
        <v>5</v>
      </c>
      <c r="I20" s="355">
        <f>'PART-A'!K146</f>
        <v>4583.3100000000004</v>
      </c>
      <c r="J20" s="353">
        <f t="shared" si="5"/>
        <v>0</v>
      </c>
      <c r="K20" s="1681"/>
      <c r="L20" s="1681"/>
      <c r="M20" s="633" t="s">
        <v>2313</v>
      </c>
      <c r="N20" s="223"/>
      <c r="O20" s="631">
        <f t="shared" si="6"/>
        <v>0</v>
      </c>
    </row>
    <row r="21" spans="1:15" s="360" customFormat="1" ht="15" hidden="1">
      <c r="A21" s="356" t="s">
        <v>463</v>
      </c>
      <c r="B21" s="632" t="s">
        <v>539</v>
      </c>
      <c r="C21" s="611">
        <f t="shared" si="3"/>
        <v>0</v>
      </c>
      <c r="D21" s="354"/>
      <c r="E21" s="607">
        <f t="shared" si="4"/>
        <v>3725</v>
      </c>
      <c r="F21" s="792">
        <f t="shared" si="2"/>
        <v>0</v>
      </c>
      <c r="G21" s="358">
        <f>'PART-A'!I155</f>
        <v>0</v>
      </c>
      <c r="H21" s="354" t="s">
        <v>5</v>
      </c>
      <c r="I21" s="355">
        <f>'PART-A'!K155</f>
        <v>3725</v>
      </c>
      <c r="J21" s="353">
        <f t="shared" si="5"/>
        <v>0</v>
      </c>
      <c r="K21" s="1679">
        <f>IF((J21+J22+J23+J24)&gt;(F21+F22+F23+F24),(J21+J22+J23+J24)-(F21+F22+F23+F24),0)</f>
        <v>0</v>
      </c>
      <c r="L21" s="1679">
        <f>IF((J21+J22+J23+J24)&lt;(F21+F22+F23+F24),(F21+F22+F23+F24)-(J21+J22+J23+J24),0)</f>
        <v>0</v>
      </c>
      <c r="M21" s="633" t="s">
        <v>2217</v>
      </c>
      <c r="N21" s="223"/>
      <c r="O21" s="631">
        <f t="shared" si="6"/>
        <v>0</v>
      </c>
    </row>
    <row r="22" spans="1:15" s="360" customFormat="1" ht="15" hidden="1">
      <c r="A22" s="356" t="s">
        <v>463</v>
      </c>
      <c r="B22" s="632" t="s">
        <v>539</v>
      </c>
      <c r="C22" s="611">
        <f t="shared" si="3"/>
        <v>0</v>
      </c>
      <c r="D22" s="354"/>
      <c r="E22" s="607">
        <f t="shared" si="4"/>
        <v>3915.56</v>
      </c>
      <c r="F22" s="792">
        <f t="shared" si="2"/>
        <v>0</v>
      </c>
      <c r="G22" s="358">
        <f>'PART-A'!I164</f>
        <v>0</v>
      </c>
      <c r="H22" s="354" t="s">
        <v>5</v>
      </c>
      <c r="I22" s="355">
        <f>'PART-A'!K164</f>
        <v>3915.56</v>
      </c>
      <c r="J22" s="353">
        <f t="shared" si="5"/>
        <v>0</v>
      </c>
      <c r="K22" s="1680"/>
      <c r="L22" s="1680"/>
      <c r="M22" s="633" t="s">
        <v>2299</v>
      </c>
      <c r="N22" s="223"/>
      <c r="O22" s="631">
        <f t="shared" si="6"/>
        <v>0</v>
      </c>
    </row>
    <row r="23" spans="1:15" s="360" customFormat="1" ht="15" hidden="1">
      <c r="A23" s="356" t="s">
        <v>463</v>
      </c>
      <c r="B23" s="632" t="s">
        <v>539</v>
      </c>
      <c r="C23" s="611">
        <f t="shared" si="3"/>
        <v>0</v>
      </c>
      <c r="D23" s="354"/>
      <c r="E23" s="607">
        <f t="shared" si="4"/>
        <v>4180.2700000000004</v>
      </c>
      <c r="F23" s="792">
        <f t="shared" si="2"/>
        <v>0</v>
      </c>
      <c r="G23" s="358">
        <f>'PART-A'!I173</f>
        <v>0</v>
      </c>
      <c r="H23" s="354" t="s">
        <v>5</v>
      </c>
      <c r="I23" s="355">
        <f>'PART-A'!K173</f>
        <v>4180.2700000000004</v>
      </c>
      <c r="J23" s="353">
        <f t="shared" si="5"/>
        <v>0</v>
      </c>
      <c r="K23" s="1680"/>
      <c r="L23" s="1680"/>
      <c r="M23" s="633" t="s">
        <v>2312</v>
      </c>
      <c r="N23" s="223"/>
      <c r="O23" s="631">
        <f t="shared" si="6"/>
        <v>0</v>
      </c>
    </row>
    <row r="24" spans="1:15" s="360" customFormat="1" ht="15" hidden="1">
      <c r="A24" s="356" t="s">
        <v>463</v>
      </c>
      <c r="B24" s="632" t="s">
        <v>539</v>
      </c>
      <c r="C24" s="611">
        <f t="shared" si="3"/>
        <v>0</v>
      </c>
      <c r="D24" s="354"/>
      <c r="E24" s="607">
        <f t="shared" si="4"/>
        <v>4431.03</v>
      </c>
      <c r="F24" s="792">
        <f t="shared" si="2"/>
        <v>0</v>
      </c>
      <c r="G24" s="358">
        <f>'PART-A'!I182</f>
        <v>0</v>
      </c>
      <c r="H24" s="354" t="s">
        <v>5</v>
      </c>
      <c r="I24" s="355">
        <f>'PART-A'!K182</f>
        <v>4431.03</v>
      </c>
      <c r="J24" s="353">
        <f t="shared" si="5"/>
        <v>0</v>
      </c>
      <c r="K24" s="1681"/>
      <c r="L24" s="1681"/>
      <c r="M24" s="633" t="s">
        <v>2313</v>
      </c>
      <c r="N24" s="223"/>
      <c r="O24" s="631">
        <f t="shared" si="6"/>
        <v>0</v>
      </c>
    </row>
    <row r="25" spans="1:15" s="360" customFormat="1" ht="63.75">
      <c r="A25" s="356" t="s">
        <v>462</v>
      </c>
      <c r="B25" s="632" t="s">
        <v>3177</v>
      </c>
      <c r="C25" s="611">
        <f t="shared" si="3"/>
        <v>17.93</v>
      </c>
      <c r="D25" s="354" t="s">
        <v>5</v>
      </c>
      <c r="E25" s="607">
        <f t="shared" si="4"/>
        <v>183</v>
      </c>
      <c r="F25" s="792">
        <f t="shared" si="2"/>
        <v>3281</v>
      </c>
      <c r="G25" s="358">
        <f>'PART-A'!I189</f>
        <v>17.93</v>
      </c>
      <c r="H25" s="354" t="s">
        <v>5</v>
      </c>
      <c r="I25" s="355">
        <f>'PART-A'!K189</f>
        <v>183</v>
      </c>
      <c r="J25" s="353">
        <f t="shared" si="5"/>
        <v>3281.19</v>
      </c>
      <c r="K25" s="1698">
        <f>IF((J25+J26+J27+J28)&gt;(F25+F26+F27+F28),(J25+J26+J27+J28)-(F25+F26+F27+F28),0)</f>
        <v>0.19000000000005457</v>
      </c>
      <c r="L25" s="1698">
        <f>IF((J25+J26+J27+J28)&lt;(F25+F26+F27+F28),(F25+F26+F27+F28)-(J25+J26+J27+J28),0)</f>
        <v>0</v>
      </c>
      <c r="M25" s="851" t="s">
        <v>2217</v>
      </c>
      <c r="N25" s="223"/>
      <c r="O25" s="850">
        <f t="shared" si="6"/>
        <v>-0.19000000000005457</v>
      </c>
    </row>
    <row r="26" spans="1:15" s="360" customFormat="1" ht="63.75" hidden="1">
      <c r="A26" s="356" t="s">
        <v>466</v>
      </c>
      <c r="B26" s="632" t="s">
        <v>3177</v>
      </c>
      <c r="C26" s="611">
        <f t="shared" si="3"/>
        <v>0</v>
      </c>
      <c r="D26" s="354" t="s">
        <v>5</v>
      </c>
      <c r="E26" s="607">
        <f t="shared" si="4"/>
        <v>205.87</v>
      </c>
      <c r="F26" s="792">
        <f t="shared" si="2"/>
        <v>0</v>
      </c>
      <c r="G26" s="358">
        <f>'PART-A'!I195</f>
        <v>0</v>
      </c>
      <c r="H26" s="354" t="s">
        <v>5</v>
      </c>
      <c r="I26" s="355">
        <f>'PART-A'!K195</f>
        <v>205.87</v>
      </c>
      <c r="J26" s="353">
        <f t="shared" si="5"/>
        <v>0</v>
      </c>
      <c r="K26" s="1680"/>
      <c r="L26" s="1680"/>
      <c r="M26" s="633" t="s">
        <v>2299</v>
      </c>
      <c r="N26" s="223"/>
      <c r="O26" s="631">
        <f t="shared" si="6"/>
        <v>0</v>
      </c>
    </row>
    <row r="27" spans="1:15" s="360" customFormat="1" ht="15" hidden="1">
      <c r="A27" s="356" t="s">
        <v>462</v>
      </c>
      <c r="B27" s="632" t="s">
        <v>1218</v>
      </c>
      <c r="C27" s="611">
        <f t="shared" si="3"/>
        <v>0</v>
      </c>
      <c r="D27" s="354"/>
      <c r="E27" s="607">
        <f t="shared" si="4"/>
        <v>199.97</v>
      </c>
      <c r="F27" s="792">
        <f t="shared" si="2"/>
        <v>0</v>
      </c>
      <c r="G27" s="358">
        <f>'PART-A'!I201</f>
        <v>0</v>
      </c>
      <c r="H27" s="354" t="s">
        <v>5</v>
      </c>
      <c r="I27" s="355">
        <f>'PART-A'!K201</f>
        <v>199.97</v>
      </c>
      <c r="J27" s="353">
        <f t="shared" si="5"/>
        <v>0</v>
      </c>
      <c r="K27" s="1680"/>
      <c r="L27" s="1680"/>
      <c r="M27" s="633" t="s">
        <v>2312</v>
      </c>
      <c r="N27" s="223"/>
      <c r="O27" s="631">
        <f t="shared" si="6"/>
        <v>0</v>
      </c>
    </row>
    <row r="28" spans="1:15" s="360" customFormat="1" ht="15" hidden="1">
      <c r="A28" s="356" t="s">
        <v>462</v>
      </c>
      <c r="B28" s="632" t="s">
        <v>1218</v>
      </c>
      <c r="C28" s="611">
        <f t="shared" si="3"/>
        <v>0</v>
      </c>
      <c r="D28" s="354"/>
      <c r="E28" s="607">
        <f t="shared" si="4"/>
        <v>216.13</v>
      </c>
      <c r="F28" s="792">
        <f t="shared" si="2"/>
        <v>0</v>
      </c>
      <c r="G28" s="358">
        <f>'PART-A'!I207</f>
        <v>0</v>
      </c>
      <c r="H28" s="354" t="s">
        <v>5</v>
      </c>
      <c r="I28" s="355">
        <f>'PART-A'!K207</f>
        <v>216.13</v>
      </c>
      <c r="J28" s="353">
        <f t="shared" si="5"/>
        <v>0</v>
      </c>
      <c r="K28" s="1681"/>
      <c r="L28" s="1681"/>
      <c r="M28" s="633" t="s">
        <v>2313</v>
      </c>
      <c r="N28" s="223"/>
      <c r="O28" s="631">
        <f t="shared" si="6"/>
        <v>0</v>
      </c>
    </row>
    <row r="29" spans="1:15" s="360" customFormat="1" ht="15" hidden="1">
      <c r="A29" s="356" t="s">
        <v>464</v>
      </c>
      <c r="B29" s="632" t="s">
        <v>716</v>
      </c>
      <c r="C29" s="611">
        <f t="shared" si="3"/>
        <v>0</v>
      </c>
      <c r="D29" s="354"/>
      <c r="E29" s="607">
        <f t="shared" si="4"/>
        <v>210</v>
      </c>
      <c r="F29" s="792">
        <f t="shared" si="2"/>
        <v>0</v>
      </c>
      <c r="G29" s="358">
        <f>'PART-A'!I213</f>
        <v>0</v>
      </c>
      <c r="H29" s="354" t="s">
        <v>5</v>
      </c>
      <c r="I29" s="355">
        <f>'PART-A'!K213</f>
        <v>210</v>
      </c>
      <c r="J29" s="353">
        <f t="shared" si="5"/>
        <v>0</v>
      </c>
      <c r="K29" s="1679">
        <f>IF((J29+J30+J31+J32)&gt;(F29+F30+F31+F32),(J29+J30+J31+J32)-(F29+F30+F31+F32),0)</f>
        <v>0</v>
      </c>
      <c r="L29" s="1679">
        <f>IF((J29+J30+J31+J32)&lt;(F29+F30+F31+F32),(F29+F30+F31+F32)-(J29+F30+J31+J32),0)</f>
        <v>0</v>
      </c>
      <c r="M29" s="633" t="s">
        <v>2217</v>
      </c>
      <c r="N29" s="223"/>
      <c r="O29" s="631">
        <f t="shared" si="6"/>
        <v>0</v>
      </c>
    </row>
    <row r="30" spans="1:15" s="360" customFormat="1" ht="15" hidden="1">
      <c r="A30" s="356" t="s">
        <v>464</v>
      </c>
      <c r="B30" s="632" t="s">
        <v>716</v>
      </c>
      <c r="C30" s="611">
        <f t="shared" si="3"/>
        <v>0</v>
      </c>
      <c r="D30" s="354"/>
      <c r="E30" s="607">
        <f t="shared" si="4"/>
        <v>234.87</v>
      </c>
      <c r="F30" s="792">
        <f t="shared" si="2"/>
        <v>0</v>
      </c>
      <c r="G30" s="358">
        <f>'PART-A'!I219</f>
        <v>0</v>
      </c>
      <c r="H30" s="354" t="s">
        <v>5</v>
      </c>
      <c r="I30" s="355">
        <f>'PART-A'!K219</f>
        <v>234.87</v>
      </c>
      <c r="J30" s="353">
        <f t="shared" si="5"/>
        <v>0</v>
      </c>
      <c r="K30" s="1680"/>
      <c r="L30" s="1680"/>
      <c r="M30" s="633" t="s">
        <v>2299</v>
      </c>
      <c r="N30" s="223"/>
      <c r="O30" s="631">
        <f t="shared" si="6"/>
        <v>0</v>
      </c>
    </row>
    <row r="31" spans="1:15" s="360" customFormat="1" ht="15" hidden="1">
      <c r="A31" s="356" t="s">
        <v>464</v>
      </c>
      <c r="B31" s="632" t="s">
        <v>716</v>
      </c>
      <c r="C31" s="611">
        <f t="shared" si="3"/>
        <v>0</v>
      </c>
      <c r="D31" s="354"/>
      <c r="E31" s="607">
        <f t="shared" si="4"/>
        <v>253.22</v>
      </c>
      <c r="F31" s="792">
        <f t="shared" si="2"/>
        <v>0</v>
      </c>
      <c r="G31" s="358">
        <f>'PART-A'!I225</f>
        <v>0</v>
      </c>
      <c r="H31" s="354" t="s">
        <v>5</v>
      </c>
      <c r="I31" s="355">
        <f>'PART-A'!K225</f>
        <v>253.22</v>
      </c>
      <c r="J31" s="353">
        <f t="shared" si="5"/>
        <v>0</v>
      </c>
      <c r="K31" s="1680"/>
      <c r="L31" s="1680"/>
      <c r="M31" s="633" t="s">
        <v>2312</v>
      </c>
      <c r="N31" s="223"/>
      <c r="O31" s="631">
        <f t="shared" si="6"/>
        <v>0</v>
      </c>
    </row>
    <row r="32" spans="1:15" s="360" customFormat="1" ht="15" hidden="1">
      <c r="A32" s="356" t="s">
        <v>464</v>
      </c>
      <c r="B32" s="632" t="s">
        <v>716</v>
      </c>
      <c r="C32" s="611">
        <f t="shared" si="3"/>
        <v>0</v>
      </c>
      <c r="D32" s="354"/>
      <c r="E32" s="607">
        <f t="shared" si="4"/>
        <v>272.13</v>
      </c>
      <c r="F32" s="792">
        <f t="shared" si="2"/>
        <v>0</v>
      </c>
      <c r="G32" s="358">
        <f>'PART-A'!I231</f>
        <v>0</v>
      </c>
      <c r="H32" s="354" t="s">
        <v>5</v>
      </c>
      <c r="I32" s="355">
        <f>'PART-A'!K231</f>
        <v>272.13</v>
      </c>
      <c r="J32" s="353">
        <f t="shared" si="5"/>
        <v>0</v>
      </c>
      <c r="K32" s="1681"/>
      <c r="L32" s="1681"/>
      <c r="M32" s="633" t="s">
        <v>2313</v>
      </c>
      <c r="N32" s="223"/>
      <c r="O32" s="631">
        <f t="shared" si="6"/>
        <v>0</v>
      </c>
    </row>
    <row r="33" spans="1:15" s="360" customFormat="1" ht="76.5">
      <c r="A33" s="356" t="s">
        <v>463</v>
      </c>
      <c r="B33" s="632" t="s">
        <v>3178</v>
      </c>
      <c r="C33" s="611">
        <f t="shared" si="3"/>
        <v>87.509999999999991</v>
      </c>
      <c r="D33" s="791" t="s">
        <v>5</v>
      </c>
      <c r="E33" s="607">
        <f t="shared" si="4"/>
        <v>1271.5</v>
      </c>
      <c r="F33" s="792">
        <f t="shared" si="2"/>
        <v>111269</v>
      </c>
      <c r="G33" s="358">
        <f>'PART-A'!I248</f>
        <v>87.509999999999991</v>
      </c>
      <c r="H33" s="354" t="s">
        <v>5</v>
      </c>
      <c r="I33" s="355">
        <f>'PART-A'!K248</f>
        <v>1271.5</v>
      </c>
      <c r="J33" s="353">
        <f t="shared" si="5"/>
        <v>111268.97</v>
      </c>
      <c r="K33" s="1698">
        <f>IF((J33+J34+J35+J36)&gt;(F33+F34+F35+F36),(J33+J34+J35+J36)-(F33+F34+F35+F36),0)</f>
        <v>0</v>
      </c>
      <c r="L33" s="1698">
        <f>IF((J33+J34+J35+J36)&lt;(F33+F34+F35+F36),(F33+F34+F35+F36)-(J33+J34+J35+J36),0)</f>
        <v>2.9999999998835847E-2</v>
      </c>
      <c r="M33" s="851" t="s">
        <v>2217</v>
      </c>
      <c r="N33" s="223"/>
      <c r="O33" s="850">
        <f t="shared" si="6"/>
        <v>2.9999999998835847E-2</v>
      </c>
    </row>
    <row r="34" spans="1:15" s="360" customFormat="1" ht="76.5" hidden="1">
      <c r="A34" s="356" t="s">
        <v>463</v>
      </c>
      <c r="B34" s="632" t="s">
        <v>3178</v>
      </c>
      <c r="C34" s="611">
        <f t="shared" si="3"/>
        <v>0</v>
      </c>
      <c r="D34" s="354" t="s">
        <v>5</v>
      </c>
      <c r="E34" s="607">
        <f t="shared" si="4"/>
        <v>1340.37</v>
      </c>
      <c r="F34" s="792">
        <f t="shared" si="2"/>
        <v>0</v>
      </c>
      <c r="G34" s="358">
        <f>'PART-A'!I264</f>
        <v>0</v>
      </c>
      <c r="H34" s="354" t="s">
        <v>5</v>
      </c>
      <c r="I34" s="355">
        <f>'PART-A'!K264</f>
        <v>1340.37</v>
      </c>
      <c r="J34" s="353">
        <f t="shared" si="5"/>
        <v>0</v>
      </c>
      <c r="K34" s="1680"/>
      <c r="L34" s="1680"/>
      <c r="M34" s="633" t="s">
        <v>2299</v>
      </c>
      <c r="N34" s="223"/>
      <c r="O34" s="631">
        <f t="shared" si="6"/>
        <v>0</v>
      </c>
    </row>
    <row r="35" spans="1:15" s="360" customFormat="1" ht="15" hidden="1">
      <c r="A35" s="356" t="s">
        <v>466</v>
      </c>
      <c r="B35" s="632" t="s">
        <v>704</v>
      </c>
      <c r="C35" s="611">
        <f t="shared" si="3"/>
        <v>0</v>
      </c>
      <c r="D35" s="354"/>
      <c r="E35" s="607">
        <f t="shared" si="4"/>
        <v>1528.72</v>
      </c>
      <c r="F35" s="792">
        <f t="shared" si="2"/>
        <v>0</v>
      </c>
      <c r="G35" s="358">
        <f>'PART-A'!I270</f>
        <v>0</v>
      </c>
      <c r="H35" s="354" t="s">
        <v>5</v>
      </c>
      <c r="I35" s="355">
        <f>'PART-A'!K270</f>
        <v>1528.72</v>
      </c>
      <c r="J35" s="353">
        <f t="shared" si="5"/>
        <v>0</v>
      </c>
      <c r="K35" s="1680"/>
      <c r="L35" s="1680"/>
      <c r="M35" s="633" t="s">
        <v>2312</v>
      </c>
      <c r="N35" s="223"/>
      <c r="O35" s="631">
        <f t="shared" si="6"/>
        <v>0</v>
      </c>
    </row>
    <row r="36" spans="1:15" s="360" customFormat="1" ht="15" hidden="1">
      <c r="A36" s="356" t="s">
        <v>466</v>
      </c>
      <c r="B36" s="632" t="s">
        <v>704</v>
      </c>
      <c r="C36" s="611">
        <f t="shared" si="3"/>
        <v>0</v>
      </c>
      <c r="D36" s="354"/>
      <c r="E36" s="607">
        <f t="shared" si="4"/>
        <v>1603.13</v>
      </c>
      <c r="F36" s="792">
        <f t="shared" si="2"/>
        <v>0</v>
      </c>
      <c r="G36" s="358">
        <f>'PART-A'!I276</f>
        <v>0</v>
      </c>
      <c r="H36" s="354" t="s">
        <v>5</v>
      </c>
      <c r="I36" s="355">
        <f>'PART-A'!K276</f>
        <v>1603.13</v>
      </c>
      <c r="J36" s="353">
        <f t="shared" si="5"/>
        <v>0</v>
      </c>
      <c r="K36" s="1681"/>
      <c r="L36" s="1681"/>
      <c r="M36" s="633" t="s">
        <v>2313</v>
      </c>
      <c r="N36" s="223"/>
      <c r="O36" s="631">
        <f t="shared" si="6"/>
        <v>0</v>
      </c>
    </row>
    <row r="37" spans="1:15" s="360" customFormat="1" ht="15" hidden="1">
      <c r="A37" s="356" t="s">
        <v>464</v>
      </c>
      <c r="B37" s="632" t="s">
        <v>3179</v>
      </c>
      <c r="C37" s="611">
        <f t="shared" si="3"/>
        <v>0</v>
      </c>
      <c r="D37" s="791" t="s">
        <v>5</v>
      </c>
      <c r="E37" s="607">
        <f t="shared" si="4"/>
        <v>0</v>
      </c>
      <c r="F37" s="792">
        <f t="shared" si="2"/>
        <v>0</v>
      </c>
      <c r="G37" s="358"/>
      <c r="H37" s="354"/>
      <c r="I37" s="355"/>
      <c r="J37" s="353">
        <f t="shared" si="5"/>
        <v>0</v>
      </c>
      <c r="K37" s="669">
        <f t="shared" ref="K37" si="7">IF(J37&gt;F37,J37-F37,0)</f>
        <v>0</v>
      </c>
      <c r="L37" s="368">
        <f t="shared" ref="L37" si="8">IF(J37&lt;F37,F37-J37,0)</f>
        <v>0</v>
      </c>
      <c r="M37" s="633" t="s">
        <v>2217</v>
      </c>
      <c r="N37" s="223"/>
      <c r="O37" s="631">
        <f t="shared" si="6"/>
        <v>0</v>
      </c>
    </row>
    <row r="38" spans="1:15" s="360" customFormat="1" ht="38.25">
      <c r="A38" s="356" t="s">
        <v>464</v>
      </c>
      <c r="B38" s="632" t="s">
        <v>3180</v>
      </c>
      <c r="C38" s="611">
        <f t="shared" si="3"/>
        <v>47.300000000000004</v>
      </c>
      <c r="D38" s="791" t="s">
        <v>5</v>
      </c>
      <c r="E38" s="607">
        <f t="shared" si="4"/>
        <v>228</v>
      </c>
      <c r="F38" s="792">
        <f t="shared" si="2"/>
        <v>10784</v>
      </c>
      <c r="G38" s="358">
        <f>'PART-A'!I293</f>
        <v>47.300000000000004</v>
      </c>
      <c r="H38" s="354" t="s">
        <v>5</v>
      </c>
      <c r="I38" s="355">
        <f>'PART-A'!K293</f>
        <v>228</v>
      </c>
      <c r="J38" s="353">
        <f t="shared" si="5"/>
        <v>10784.4</v>
      </c>
      <c r="K38" s="1698">
        <f>IF((J38+J39+J40+J41)&gt;(F38+F39+F40+F41),(J38+J39+J40+J41)-(F38+F39+F40+F41),0)</f>
        <v>0.3999999999996362</v>
      </c>
      <c r="L38" s="1698">
        <f>IF((J38+J39+J40+J41)&lt;(F38+F39+F40+F41),(F38+F39+F40+F41)-(J38+J39+J40+J41),0)</f>
        <v>0</v>
      </c>
      <c r="M38" s="851" t="s">
        <v>2217</v>
      </c>
      <c r="N38" s="223"/>
      <c r="O38" s="850">
        <f t="shared" si="6"/>
        <v>-0.3999999999996362</v>
      </c>
    </row>
    <row r="39" spans="1:15" s="360" customFormat="1" ht="38.25" hidden="1">
      <c r="A39" s="356" t="s">
        <v>463</v>
      </c>
      <c r="B39" s="632" t="s">
        <v>3180</v>
      </c>
      <c r="C39" s="611">
        <f t="shared" si="3"/>
        <v>0</v>
      </c>
      <c r="D39" s="354" t="s">
        <v>5</v>
      </c>
      <c r="E39" s="607">
        <f t="shared" si="4"/>
        <v>249.16</v>
      </c>
      <c r="F39" s="792">
        <f t="shared" si="2"/>
        <v>0</v>
      </c>
      <c r="G39" s="358">
        <f>'PART-A'!I304</f>
        <v>0</v>
      </c>
      <c r="H39" s="354" t="s">
        <v>5</v>
      </c>
      <c r="I39" s="355">
        <f>'PART-A'!K304</f>
        <v>249.16</v>
      </c>
      <c r="J39" s="353">
        <f t="shared" si="5"/>
        <v>0</v>
      </c>
      <c r="K39" s="1680"/>
      <c r="L39" s="1680"/>
      <c r="M39" s="633" t="s">
        <v>2299</v>
      </c>
      <c r="N39" s="223"/>
      <c r="O39" s="631">
        <f t="shared" si="6"/>
        <v>0</v>
      </c>
    </row>
    <row r="40" spans="1:15" s="360" customFormat="1" ht="15" hidden="1">
      <c r="A40" s="356" t="s">
        <v>326</v>
      </c>
      <c r="B40" s="632" t="s">
        <v>540</v>
      </c>
      <c r="C40" s="611">
        <f t="shared" si="3"/>
        <v>0</v>
      </c>
      <c r="D40" s="354"/>
      <c r="E40" s="607">
        <f t="shared" si="4"/>
        <v>265.36</v>
      </c>
      <c r="F40" s="792">
        <f t="shared" si="2"/>
        <v>0</v>
      </c>
      <c r="G40" s="358">
        <f>'PART-A'!I311</f>
        <v>0</v>
      </c>
      <c r="H40" s="354" t="s">
        <v>5</v>
      </c>
      <c r="I40" s="355">
        <f>'PART-A'!K311</f>
        <v>265.36</v>
      </c>
      <c r="J40" s="353">
        <f t="shared" si="5"/>
        <v>0</v>
      </c>
      <c r="K40" s="1680"/>
      <c r="L40" s="1680"/>
      <c r="M40" s="633" t="s">
        <v>2312</v>
      </c>
      <c r="N40" s="223"/>
      <c r="O40" s="631">
        <f t="shared" si="6"/>
        <v>0</v>
      </c>
    </row>
    <row r="41" spans="1:15" s="360" customFormat="1" ht="15" hidden="1">
      <c r="A41" s="356" t="s">
        <v>326</v>
      </c>
      <c r="B41" s="632" t="s">
        <v>540</v>
      </c>
      <c r="C41" s="611">
        <f t="shared" si="3"/>
        <v>0</v>
      </c>
      <c r="D41" s="354"/>
      <c r="E41" s="607">
        <f t="shared" si="4"/>
        <v>284.39999999999998</v>
      </c>
      <c r="F41" s="792">
        <f t="shared" si="2"/>
        <v>0</v>
      </c>
      <c r="G41" s="358">
        <f>'PART-A'!I318</f>
        <v>0</v>
      </c>
      <c r="H41" s="354" t="s">
        <v>5</v>
      </c>
      <c r="I41" s="355">
        <f>'PART-A'!K318</f>
        <v>284.39999999999998</v>
      </c>
      <c r="J41" s="353">
        <f t="shared" si="5"/>
        <v>0</v>
      </c>
      <c r="K41" s="1681"/>
      <c r="L41" s="1681"/>
      <c r="M41" s="633" t="s">
        <v>2313</v>
      </c>
      <c r="N41" s="223"/>
      <c r="O41" s="631">
        <f t="shared" si="6"/>
        <v>0</v>
      </c>
    </row>
    <row r="42" spans="1:15" s="360" customFormat="1" ht="51">
      <c r="A42" s="356" t="s">
        <v>465</v>
      </c>
      <c r="B42" s="632" t="s">
        <v>3181</v>
      </c>
      <c r="C42" s="611">
        <f t="shared" si="3"/>
        <v>9.44</v>
      </c>
      <c r="D42" s="791" t="s">
        <v>5</v>
      </c>
      <c r="E42" s="607">
        <f t="shared" si="4"/>
        <v>6979.88</v>
      </c>
      <c r="F42" s="792">
        <f t="shared" si="2"/>
        <v>65890</v>
      </c>
      <c r="G42" s="358">
        <f>'PART-A'!I325</f>
        <v>9.44</v>
      </c>
      <c r="H42" s="354" t="s">
        <v>5</v>
      </c>
      <c r="I42" s="355">
        <f>'PART-A'!K325</f>
        <v>6979.88</v>
      </c>
      <c r="J42" s="353">
        <f t="shared" si="5"/>
        <v>65890.070000000007</v>
      </c>
      <c r="K42" s="1698">
        <f>IF((J42+J43+J44+J45)&gt;(F42+F43+F44+F45),(J42+J43+J44+J45)-(F42+F43+F44+F45),0)</f>
        <v>7.0000000006984919E-2</v>
      </c>
      <c r="L42" s="1698">
        <f>IF((J42+J43+J44+J45)&lt;(F42+F43+F44+F45),(F42+F43+F44+F45)-(J42+J43+J44+J45),0)</f>
        <v>0</v>
      </c>
      <c r="M42" s="851" t="s">
        <v>2217</v>
      </c>
      <c r="N42" s="223"/>
      <c r="O42" s="850">
        <f t="shared" si="6"/>
        <v>-7.0000000006984919E-2</v>
      </c>
    </row>
    <row r="43" spans="1:15" s="360" customFormat="1" ht="51" hidden="1">
      <c r="A43" s="356" t="s">
        <v>464</v>
      </c>
      <c r="B43" s="632" t="s">
        <v>3181</v>
      </c>
      <c r="C43" s="611">
        <f t="shared" si="3"/>
        <v>0</v>
      </c>
      <c r="D43" s="354" t="s">
        <v>5</v>
      </c>
      <c r="E43" s="607">
        <f t="shared" si="4"/>
        <v>7288.23</v>
      </c>
      <c r="F43" s="792">
        <f t="shared" si="2"/>
        <v>0</v>
      </c>
      <c r="G43" s="358">
        <f>'PART-A'!I332</f>
        <v>0</v>
      </c>
      <c r="H43" s="354" t="s">
        <v>5</v>
      </c>
      <c r="I43" s="355">
        <f>'PART-A'!K332</f>
        <v>7288.23</v>
      </c>
      <c r="J43" s="353">
        <f t="shared" si="5"/>
        <v>0</v>
      </c>
      <c r="K43" s="1680"/>
      <c r="L43" s="1680"/>
      <c r="M43" s="633" t="s">
        <v>2299</v>
      </c>
      <c r="N43" s="223"/>
      <c r="O43" s="631">
        <f t="shared" si="6"/>
        <v>0</v>
      </c>
    </row>
    <row r="44" spans="1:15" s="360" customFormat="1" ht="15" hidden="1">
      <c r="A44" s="356" t="s">
        <v>469</v>
      </c>
      <c r="B44" s="632" t="s">
        <v>2445</v>
      </c>
      <c r="C44" s="611">
        <f t="shared" si="3"/>
        <v>0</v>
      </c>
      <c r="D44" s="354" t="s">
        <v>5</v>
      </c>
      <c r="E44" s="607">
        <f t="shared" si="4"/>
        <v>7685.43</v>
      </c>
      <c r="F44" s="792">
        <f t="shared" si="2"/>
        <v>0</v>
      </c>
      <c r="G44" s="358">
        <f>'PART-A'!I338</f>
        <v>0</v>
      </c>
      <c r="H44" s="354" t="s">
        <v>5</v>
      </c>
      <c r="I44" s="355">
        <f>'PART-A'!K338</f>
        <v>7685.43</v>
      </c>
      <c r="J44" s="353">
        <f t="shared" si="5"/>
        <v>0</v>
      </c>
      <c r="K44" s="1680"/>
      <c r="L44" s="1680"/>
      <c r="M44" s="633" t="s">
        <v>2312</v>
      </c>
      <c r="N44" s="223"/>
      <c r="O44" s="631">
        <f t="shared" si="6"/>
        <v>0</v>
      </c>
    </row>
    <row r="45" spans="1:15" s="360" customFormat="1" ht="15" hidden="1">
      <c r="A45" s="356" t="s">
        <v>465</v>
      </c>
      <c r="B45" s="632" t="s">
        <v>2445</v>
      </c>
      <c r="C45" s="611">
        <f t="shared" si="3"/>
        <v>0</v>
      </c>
      <c r="D45" s="354"/>
      <c r="E45" s="607">
        <f t="shared" si="4"/>
        <v>8062.18</v>
      </c>
      <c r="F45" s="792">
        <f t="shared" si="2"/>
        <v>0</v>
      </c>
      <c r="G45" s="358">
        <f>'PART-A'!I343</f>
        <v>0</v>
      </c>
      <c r="H45" s="354" t="s">
        <v>5</v>
      </c>
      <c r="I45" s="355">
        <f>'PART-A'!K343</f>
        <v>8062.18</v>
      </c>
      <c r="J45" s="353">
        <f t="shared" si="5"/>
        <v>0</v>
      </c>
      <c r="K45" s="1681"/>
      <c r="L45" s="1681"/>
      <c r="M45" s="633" t="s">
        <v>2313</v>
      </c>
      <c r="N45" s="223"/>
      <c r="O45" s="631">
        <f t="shared" si="6"/>
        <v>0</v>
      </c>
    </row>
    <row r="46" spans="1:15" s="360" customFormat="1" ht="51">
      <c r="A46" s="356" t="s">
        <v>466</v>
      </c>
      <c r="B46" s="632" t="s">
        <v>3182</v>
      </c>
      <c r="C46" s="611">
        <f t="shared" si="3"/>
        <v>1.37</v>
      </c>
      <c r="D46" s="791" t="s">
        <v>5</v>
      </c>
      <c r="E46" s="607">
        <f t="shared" si="4"/>
        <v>7392.88</v>
      </c>
      <c r="F46" s="792">
        <f t="shared" si="2"/>
        <v>10128</v>
      </c>
      <c r="G46" s="358">
        <f>'PART-A'!I348</f>
        <v>1.37</v>
      </c>
      <c r="H46" s="354" t="s">
        <v>5</v>
      </c>
      <c r="I46" s="355">
        <f>'PART-A'!K348</f>
        <v>7392.88</v>
      </c>
      <c r="J46" s="353">
        <f t="shared" si="5"/>
        <v>10128.25</v>
      </c>
      <c r="K46" s="1698">
        <f>IF((J46+J47+J48+J49)&gt;(F46+F47+F48+F49),(J46+J47+J48+J49)-(F46+F47+F48+F49),0)</f>
        <v>0.25</v>
      </c>
      <c r="L46" s="1698">
        <f>IF((J46+J47+J48+J49)&lt;(F46+F47+F48+F49),(F46+F47+F48+F49)-(J46+J47+J48+J49),0)</f>
        <v>0</v>
      </c>
      <c r="M46" s="851" t="s">
        <v>2217</v>
      </c>
      <c r="N46" s="223"/>
      <c r="O46" s="850">
        <f t="shared" si="6"/>
        <v>-0.25</v>
      </c>
    </row>
    <row r="47" spans="1:15" s="360" customFormat="1" ht="51" hidden="1">
      <c r="A47" s="356" t="s">
        <v>465</v>
      </c>
      <c r="B47" s="632" t="s">
        <v>3182</v>
      </c>
      <c r="C47" s="611">
        <f t="shared" si="3"/>
        <v>0</v>
      </c>
      <c r="D47" s="354" t="s">
        <v>5</v>
      </c>
      <c r="E47" s="607">
        <f t="shared" si="4"/>
        <v>7701.23</v>
      </c>
      <c r="F47" s="792">
        <f t="shared" si="2"/>
        <v>0</v>
      </c>
      <c r="G47" s="358">
        <f>'PART-A'!I353</f>
        <v>0</v>
      </c>
      <c r="H47" s="354" t="s">
        <v>5</v>
      </c>
      <c r="I47" s="355">
        <f>'PART-A'!K353</f>
        <v>7701.23</v>
      </c>
      <c r="J47" s="353">
        <f t="shared" si="5"/>
        <v>0</v>
      </c>
      <c r="K47" s="1680"/>
      <c r="L47" s="1680"/>
      <c r="M47" s="633" t="s">
        <v>2299</v>
      </c>
      <c r="N47" s="223"/>
      <c r="O47" s="631">
        <f t="shared" si="6"/>
        <v>0</v>
      </c>
    </row>
    <row r="48" spans="1:15" s="360" customFormat="1" ht="15" hidden="1">
      <c r="A48" s="356" t="s">
        <v>466</v>
      </c>
      <c r="B48" s="632" t="s">
        <v>2060</v>
      </c>
      <c r="C48" s="611">
        <f t="shared" si="3"/>
        <v>0</v>
      </c>
      <c r="D48" s="354"/>
      <c r="E48" s="607">
        <f t="shared" si="4"/>
        <v>8124.43</v>
      </c>
      <c r="F48" s="792">
        <f t="shared" si="2"/>
        <v>0</v>
      </c>
      <c r="G48" s="358">
        <f>'PART-A'!I358</f>
        <v>0</v>
      </c>
      <c r="H48" s="354" t="s">
        <v>5</v>
      </c>
      <c r="I48" s="355">
        <f>'PART-A'!K358</f>
        <v>8124.43</v>
      </c>
      <c r="J48" s="353">
        <f t="shared" si="5"/>
        <v>0</v>
      </c>
      <c r="K48" s="1680"/>
      <c r="L48" s="1680"/>
      <c r="M48" s="633" t="s">
        <v>2312</v>
      </c>
      <c r="N48" s="223"/>
      <c r="O48" s="631">
        <f t="shared" si="6"/>
        <v>0</v>
      </c>
    </row>
    <row r="49" spans="1:16" s="360" customFormat="1" ht="15" hidden="1">
      <c r="A49" s="356" t="s">
        <v>466</v>
      </c>
      <c r="B49" s="632" t="s">
        <v>2060</v>
      </c>
      <c r="C49" s="611">
        <f t="shared" si="3"/>
        <v>0</v>
      </c>
      <c r="D49" s="354"/>
      <c r="E49" s="607">
        <f t="shared" si="4"/>
        <v>8501.18</v>
      </c>
      <c r="F49" s="792">
        <f t="shared" si="2"/>
        <v>0</v>
      </c>
      <c r="G49" s="358">
        <f>'PART-A'!I363</f>
        <v>0</v>
      </c>
      <c r="H49" s="354" t="s">
        <v>5</v>
      </c>
      <c r="I49" s="355">
        <f>'PART-A'!K363</f>
        <v>8501.18</v>
      </c>
      <c r="J49" s="353">
        <f t="shared" si="5"/>
        <v>0</v>
      </c>
      <c r="K49" s="1681"/>
      <c r="L49" s="1681"/>
      <c r="M49" s="633" t="s">
        <v>2313</v>
      </c>
      <c r="N49" s="223"/>
      <c r="O49" s="631">
        <f t="shared" si="6"/>
        <v>0</v>
      </c>
    </row>
    <row r="50" spans="1:16" s="360" customFormat="1" ht="51">
      <c r="A50" s="356" t="s">
        <v>467</v>
      </c>
      <c r="B50" s="632" t="s">
        <v>3183</v>
      </c>
      <c r="C50" s="611">
        <f t="shared" si="3"/>
        <v>5.64</v>
      </c>
      <c r="D50" s="791" t="s">
        <v>5</v>
      </c>
      <c r="E50" s="607">
        <f t="shared" si="4"/>
        <v>9116.880000000001</v>
      </c>
      <c r="F50" s="792">
        <f t="shared" si="2"/>
        <v>51419</v>
      </c>
      <c r="G50" s="358">
        <f>'PART-A'!I376</f>
        <v>5.64</v>
      </c>
      <c r="H50" s="354" t="s">
        <v>5</v>
      </c>
      <c r="I50" s="355">
        <f>'PART-A'!K376</f>
        <v>9116.880000000001</v>
      </c>
      <c r="J50" s="353">
        <f t="shared" si="5"/>
        <v>51419.199999999997</v>
      </c>
      <c r="K50" s="1698">
        <f>IF((J50+J51+J52+J53)&gt;(F50+F51+F52+F53),(J50+J51+J52+J53)-(F50+F51+F52+F53),0)</f>
        <v>0.19999999999708962</v>
      </c>
      <c r="L50" s="1698">
        <f>IF((J50+J51+J52+J53)&lt;(F50+F51+F52+F53),(F50+F51+F52+F53)-(J50+J51+J52+J53),0)</f>
        <v>0</v>
      </c>
      <c r="M50" s="851" t="s">
        <v>2217</v>
      </c>
      <c r="N50" s="223"/>
      <c r="O50" s="850">
        <f t="shared" si="6"/>
        <v>-0.19999999999708962</v>
      </c>
    </row>
    <row r="51" spans="1:16" s="360" customFormat="1" ht="51" hidden="1">
      <c r="A51" s="356" t="s">
        <v>466</v>
      </c>
      <c r="B51" s="632" t="s">
        <v>3183</v>
      </c>
      <c r="C51" s="611">
        <f t="shared" si="3"/>
        <v>0</v>
      </c>
      <c r="D51" s="354" t="s">
        <v>5</v>
      </c>
      <c r="E51" s="607">
        <f t="shared" si="4"/>
        <v>9466.93</v>
      </c>
      <c r="F51" s="792">
        <f t="shared" si="2"/>
        <v>0</v>
      </c>
      <c r="G51" s="358">
        <f>'PART-A'!I387</f>
        <v>0</v>
      </c>
      <c r="H51" s="354" t="s">
        <v>5</v>
      </c>
      <c r="I51" s="355">
        <f>'PART-A'!K387</f>
        <v>9466.93</v>
      </c>
      <c r="J51" s="353">
        <f t="shared" si="5"/>
        <v>0</v>
      </c>
      <c r="K51" s="1680"/>
      <c r="L51" s="1680"/>
      <c r="M51" s="633" t="s">
        <v>2299</v>
      </c>
      <c r="N51" s="223"/>
      <c r="O51" s="631">
        <f t="shared" si="6"/>
        <v>0</v>
      </c>
    </row>
    <row r="52" spans="1:16" s="360" customFormat="1" ht="15" hidden="1">
      <c r="A52" s="356" t="s">
        <v>467</v>
      </c>
      <c r="B52" s="632" t="s">
        <v>2061</v>
      </c>
      <c r="C52" s="611">
        <f t="shared" si="3"/>
        <v>0</v>
      </c>
      <c r="D52" s="354"/>
      <c r="E52" s="607">
        <f t="shared" si="4"/>
        <v>10004.82</v>
      </c>
      <c r="F52" s="792">
        <f t="shared" si="2"/>
        <v>0</v>
      </c>
      <c r="G52" s="358">
        <f>'PART-A'!I399</f>
        <v>0</v>
      </c>
      <c r="H52" s="354" t="s">
        <v>5</v>
      </c>
      <c r="I52" s="355">
        <f>'PART-A'!K399</f>
        <v>10004.82</v>
      </c>
      <c r="J52" s="353">
        <f t="shared" si="5"/>
        <v>0</v>
      </c>
      <c r="K52" s="1680"/>
      <c r="L52" s="1680"/>
      <c r="M52" s="633" t="s">
        <v>2312</v>
      </c>
      <c r="N52" s="223"/>
      <c r="O52" s="631">
        <f t="shared" si="6"/>
        <v>0</v>
      </c>
    </row>
    <row r="53" spans="1:16" s="360" customFormat="1" ht="15" hidden="1">
      <c r="A53" s="356" t="s">
        <v>467</v>
      </c>
      <c r="B53" s="632" t="s">
        <v>2061</v>
      </c>
      <c r="C53" s="611">
        <f t="shared" si="3"/>
        <v>0</v>
      </c>
      <c r="D53" s="354"/>
      <c r="E53" s="607">
        <f t="shared" si="4"/>
        <v>10417.6</v>
      </c>
      <c r="F53" s="792">
        <f t="shared" si="2"/>
        <v>0</v>
      </c>
      <c r="G53" s="358">
        <f>'PART-A'!I411</f>
        <v>0</v>
      </c>
      <c r="H53" s="354" t="s">
        <v>5</v>
      </c>
      <c r="I53" s="355">
        <f>'PART-A'!K411</f>
        <v>10417.6</v>
      </c>
      <c r="J53" s="353">
        <f t="shared" si="5"/>
        <v>0</v>
      </c>
      <c r="K53" s="1681"/>
      <c r="L53" s="1681"/>
      <c r="M53" s="633" t="s">
        <v>2313</v>
      </c>
      <c r="N53" s="223"/>
      <c r="O53" s="631">
        <f t="shared" si="6"/>
        <v>0</v>
      </c>
    </row>
    <row r="54" spans="1:16" s="360" customFormat="1" ht="51">
      <c r="A54" s="356" t="s">
        <v>468</v>
      </c>
      <c r="B54" s="632" t="s">
        <v>3184</v>
      </c>
      <c r="C54" s="611">
        <f t="shared" si="3"/>
        <v>6.1499999999999995</v>
      </c>
      <c r="D54" s="791" t="s">
        <v>5</v>
      </c>
      <c r="E54" s="607">
        <f t="shared" si="4"/>
        <v>8971.880000000001</v>
      </c>
      <c r="F54" s="792">
        <f t="shared" si="2"/>
        <v>55177</v>
      </c>
      <c r="G54" s="358">
        <f>'PART-A'!I430</f>
        <v>6.1499999999999995</v>
      </c>
      <c r="H54" s="354" t="s">
        <v>5</v>
      </c>
      <c r="I54" s="355">
        <f>'PART-A'!K430</f>
        <v>8971.880000000001</v>
      </c>
      <c r="J54" s="353">
        <f t="shared" si="5"/>
        <v>55177.06</v>
      </c>
      <c r="K54" s="1698">
        <f>IF((J54+J55+J56+J57)&gt;(F54+F55+F56+F57),(J54+J55+J56+J57)-(F54+F55+F56+F57),0)</f>
        <v>5.9999999997671694E-2</v>
      </c>
      <c r="L54" s="1698">
        <f>IF((J54+J55+J56+J57)&lt;(F54+F55+F56+F57),(F54+F55+F56+F57)-(J54+J55+J56+J57),0)</f>
        <v>0</v>
      </c>
      <c r="M54" s="851" t="s">
        <v>2217</v>
      </c>
      <c r="N54" s="223"/>
      <c r="O54" s="850">
        <f t="shared" si="6"/>
        <v>-5.9999999997671694E-2</v>
      </c>
    </row>
    <row r="55" spans="1:16" s="360" customFormat="1" ht="51" hidden="1">
      <c r="A55" s="356" t="s">
        <v>467</v>
      </c>
      <c r="B55" s="632" t="s">
        <v>3184</v>
      </c>
      <c r="C55" s="611">
        <f t="shared" si="3"/>
        <v>0</v>
      </c>
      <c r="D55" s="354" t="s">
        <v>5</v>
      </c>
      <c r="E55" s="607">
        <f t="shared" si="4"/>
        <v>9280.23</v>
      </c>
      <c r="F55" s="792">
        <f t="shared" si="2"/>
        <v>0</v>
      </c>
      <c r="G55" s="358">
        <f>'PART-A'!I441</f>
        <v>0</v>
      </c>
      <c r="H55" s="354" t="s">
        <v>5</v>
      </c>
      <c r="I55" s="355">
        <f>'PART-A'!K441</f>
        <v>9280.23</v>
      </c>
      <c r="J55" s="353">
        <f t="shared" si="5"/>
        <v>0</v>
      </c>
      <c r="K55" s="1680"/>
      <c r="L55" s="1680"/>
      <c r="M55" s="633" t="s">
        <v>2299</v>
      </c>
      <c r="N55" s="223"/>
      <c r="O55" s="631">
        <f t="shared" si="6"/>
        <v>0</v>
      </c>
    </row>
    <row r="56" spans="1:16" s="360" customFormat="1" ht="15" hidden="1">
      <c r="A56" s="356" t="s">
        <v>468</v>
      </c>
      <c r="B56" s="632" t="s">
        <v>2062</v>
      </c>
      <c r="C56" s="611">
        <f t="shared" si="3"/>
        <v>0</v>
      </c>
      <c r="D56" s="354"/>
      <c r="E56" s="607">
        <f t="shared" si="4"/>
        <v>9785.43</v>
      </c>
      <c r="F56" s="792">
        <f t="shared" si="2"/>
        <v>0</v>
      </c>
      <c r="G56" s="358">
        <f>'PART-A'!I447</f>
        <v>0</v>
      </c>
      <c r="H56" s="354" t="s">
        <v>5</v>
      </c>
      <c r="I56" s="355">
        <f>'PART-A'!K447</f>
        <v>9785.43</v>
      </c>
      <c r="J56" s="353">
        <f t="shared" si="5"/>
        <v>0</v>
      </c>
      <c r="K56" s="1680"/>
      <c r="L56" s="1680"/>
      <c r="M56" s="633" t="s">
        <v>2312</v>
      </c>
      <c r="N56" s="223"/>
      <c r="O56" s="631">
        <f t="shared" si="6"/>
        <v>0</v>
      </c>
    </row>
    <row r="57" spans="1:16" s="360" customFormat="1" ht="15" hidden="1">
      <c r="A57" s="356" t="s">
        <v>468</v>
      </c>
      <c r="B57" s="632" t="s">
        <v>2062</v>
      </c>
      <c r="C57" s="611">
        <f t="shared" si="3"/>
        <v>0</v>
      </c>
      <c r="D57" s="354"/>
      <c r="E57" s="607">
        <f t="shared" si="4"/>
        <v>10162.18</v>
      </c>
      <c r="F57" s="792">
        <f t="shared" si="2"/>
        <v>0</v>
      </c>
      <c r="G57" s="358">
        <f>'PART-A'!I453</f>
        <v>0</v>
      </c>
      <c r="H57" s="354" t="s">
        <v>5</v>
      </c>
      <c r="I57" s="355">
        <f>'PART-A'!K453</f>
        <v>10162.18</v>
      </c>
      <c r="J57" s="353">
        <f t="shared" si="5"/>
        <v>0</v>
      </c>
      <c r="K57" s="1681"/>
      <c r="L57" s="1681"/>
      <c r="M57" s="633" t="s">
        <v>2313</v>
      </c>
      <c r="N57" s="223"/>
      <c r="O57" s="631">
        <f t="shared" si="6"/>
        <v>0</v>
      </c>
    </row>
    <row r="58" spans="1:16" s="360" customFormat="1" ht="51">
      <c r="A58" s="356" t="s">
        <v>326</v>
      </c>
      <c r="B58" s="632" t="s">
        <v>3185</v>
      </c>
      <c r="C58" s="611">
        <f t="shared" si="3"/>
        <v>6.9400000000000022</v>
      </c>
      <c r="D58" s="793" t="s">
        <v>5</v>
      </c>
      <c r="E58" s="607">
        <f t="shared" si="4"/>
        <v>8954.36</v>
      </c>
      <c r="F58" s="792">
        <f t="shared" si="2"/>
        <v>62143</v>
      </c>
      <c r="G58" s="358">
        <f>'PART-A'!I477</f>
        <v>6.9400000000000022</v>
      </c>
      <c r="H58" s="428" t="s">
        <v>5</v>
      </c>
      <c r="I58" s="355">
        <f>'PART-A'!K477</f>
        <v>8954.36</v>
      </c>
      <c r="J58" s="353">
        <f t="shared" si="5"/>
        <v>62143.26</v>
      </c>
      <c r="K58" s="1698">
        <f>IF((J58+J59+J60+J61)&gt;(F58+F59+F60+F61),(J58+J59+J60+J61)-(F58+F59+F60+F61),0)</f>
        <v>0.26000000000203727</v>
      </c>
      <c r="L58" s="1698">
        <f>IF((J58+J59+J60+J61)&lt;(F58+F59+F60+F61),(F58+F59+F60+F61)-(J58+J59+J60+J61),0)</f>
        <v>0</v>
      </c>
      <c r="M58" s="851" t="s">
        <v>2217</v>
      </c>
      <c r="N58" s="223"/>
      <c r="O58" s="850">
        <f t="shared" si="6"/>
        <v>-0.26000000000203727</v>
      </c>
      <c r="P58" s="637"/>
    </row>
    <row r="59" spans="1:16" s="360" customFormat="1" ht="51" hidden="1">
      <c r="A59" s="356" t="s">
        <v>475</v>
      </c>
      <c r="B59" s="632" t="s">
        <v>3185</v>
      </c>
      <c r="C59" s="611">
        <f t="shared" si="3"/>
        <v>0</v>
      </c>
      <c r="D59" s="428" t="s">
        <v>5</v>
      </c>
      <c r="E59" s="607">
        <f t="shared" si="4"/>
        <v>9169.52</v>
      </c>
      <c r="F59" s="792">
        <f t="shared" si="2"/>
        <v>0</v>
      </c>
      <c r="G59" s="358">
        <f>'PART-A'!I501</f>
        <v>0</v>
      </c>
      <c r="H59" s="428" t="s">
        <v>5</v>
      </c>
      <c r="I59" s="355">
        <f>'PART-A'!K501</f>
        <v>9169.52</v>
      </c>
      <c r="J59" s="353">
        <f t="shared" si="5"/>
        <v>0</v>
      </c>
      <c r="K59" s="1680"/>
      <c r="L59" s="1680"/>
      <c r="M59" s="633" t="s">
        <v>2299</v>
      </c>
      <c r="N59" s="223"/>
      <c r="O59" s="631">
        <f t="shared" si="6"/>
        <v>0</v>
      </c>
      <c r="P59" s="637"/>
    </row>
    <row r="60" spans="1:16" s="360" customFormat="1" ht="15" hidden="1">
      <c r="A60" s="356" t="s">
        <v>326</v>
      </c>
      <c r="B60" s="632" t="s">
        <v>2063</v>
      </c>
      <c r="C60" s="611">
        <f t="shared" si="3"/>
        <v>0</v>
      </c>
      <c r="D60" s="428"/>
      <c r="E60" s="607">
        <f t="shared" si="4"/>
        <v>9635.33</v>
      </c>
      <c r="F60" s="792">
        <f t="shared" si="2"/>
        <v>0</v>
      </c>
      <c r="G60" s="358">
        <f>'PART-A'!I528</f>
        <v>0</v>
      </c>
      <c r="H60" s="428" t="s">
        <v>5</v>
      </c>
      <c r="I60" s="355">
        <f>'PART-A'!K528</f>
        <v>9635.33</v>
      </c>
      <c r="J60" s="353">
        <f t="shared" si="5"/>
        <v>0</v>
      </c>
      <c r="K60" s="1680"/>
      <c r="L60" s="1680"/>
      <c r="M60" s="633" t="s">
        <v>2312</v>
      </c>
      <c r="N60" s="223"/>
      <c r="O60" s="631">
        <f t="shared" si="6"/>
        <v>0</v>
      </c>
      <c r="P60" s="637"/>
    </row>
    <row r="61" spans="1:16" s="360" customFormat="1" ht="15" hidden="1">
      <c r="A61" s="356" t="s">
        <v>326</v>
      </c>
      <c r="B61" s="632" t="s">
        <v>2063</v>
      </c>
      <c r="C61" s="611">
        <f t="shared" si="3"/>
        <v>0</v>
      </c>
      <c r="D61" s="428"/>
      <c r="E61" s="607">
        <f t="shared" si="4"/>
        <v>9921.19</v>
      </c>
      <c r="F61" s="792">
        <f t="shared" si="2"/>
        <v>0</v>
      </c>
      <c r="G61" s="358">
        <f>'PART-A'!I536</f>
        <v>0</v>
      </c>
      <c r="H61" s="428" t="s">
        <v>5</v>
      </c>
      <c r="I61" s="355">
        <f>'PART-A'!K536</f>
        <v>9921.19</v>
      </c>
      <c r="J61" s="353">
        <f t="shared" si="5"/>
        <v>0</v>
      </c>
      <c r="K61" s="1681"/>
      <c r="L61" s="1681"/>
      <c r="M61" s="633" t="s">
        <v>2313</v>
      </c>
      <c r="N61" s="223"/>
      <c r="O61" s="631">
        <f t="shared" si="6"/>
        <v>0</v>
      </c>
      <c r="P61" s="637"/>
    </row>
    <row r="62" spans="1:16" s="360" customFormat="1" ht="51">
      <c r="A62" s="356" t="s">
        <v>469</v>
      </c>
      <c r="B62" s="632" t="s">
        <v>3186</v>
      </c>
      <c r="C62" s="611">
        <f t="shared" si="3"/>
        <v>118.08999999999999</v>
      </c>
      <c r="D62" s="791" t="s">
        <v>102</v>
      </c>
      <c r="E62" s="607">
        <f t="shared" si="4"/>
        <v>1071.8</v>
      </c>
      <c r="F62" s="792">
        <f t="shared" si="2"/>
        <v>126569</v>
      </c>
      <c r="G62" s="358">
        <f>'PART-A'!I567</f>
        <v>118.08999999999999</v>
      </c>
      <c r="H62" s="354" t="s">
        <v>102</v>
      </c>
      <c r="I62" s="355">
        <f>'PART-A'!K567</f>
        <v>1071.8</v>
      </c>
      <c r="J62" s="353">
        <f t="shared" si="5"/>
        <v>126568.86</v>
      </c>
      <c r="K62" s="1698">
        <f>IF((J62+J63+J64+J65)&gt;(F62+F63+F64+F65),(J62+J63+J64+J65)-(F62+F63+F64+F65),0)</f>
        <v>0</v>
      </c>
      <c r="L62" s="1698">
        <f>IF((J62+J63+J64+J65)&lt;(F62+F63+F64+F65),(F62+F63+F64+F65)-(J62+J63+J64+J65),0)</f>
        <v>0.13999999999941792</v>
      </c>
      <c r="M62" s="851" t="s">
        <v>2217</v>
      </c>
      <c r="N62" s="223"/>
      <c r="O62" s="850">
        <f t="shared" si="6"/>
        <v>0.13999999999941792</v>
      </c>
    </row>
    <row r="63" spans="1:16" s="360" customFormat="1" ht="51" hidden="1">
      <c r="A63" s="356" t="s">
        <v>476</v>
      </c>
      <c r="B63" s="632" t="s">
        <v>3186</v>
      </c>
      <c r="C63" s="611">
        <f t="shared" si="3"/>
        <v>0</v>
      </c>
      <c r="D63" s="354" t="s">
        <v>102</v>
      </c>
      <c r="E63" s="607">
        <f t="shared" si="4"/>
        <v>1109.69</v>
      </c>
      <c r="F63" s="792">
        <f t="shared" si="2"/>
        <v>0</v>
      </c>
      <c r="G63" s="358">
        <f>'PART-A'!I573</f>
        <v>0</v>
      </c>
      <c r="H63" s="354" t="s">
        <v>102</v>
      </c>
      <c r="I63" s="355">
        <f>'PART-A'!K573</f>
        <v>1109.69</v>
      </c>
      <c r="J63" s="353">
        <f t="shared" si="5"/>
        <v>0</v>
      </c>
      <c r="K63" s="1680"/>
      <c r="L63" s="1680"/>
      <c r="M63" s="633" t="s">
        <v>2299</v>
      </c>
      <c r="N63" s="223"/>
      <c r="O63" s="631">
        <f t="shared" si="6"/>
        <v>0</v>
      </c>
    </row>
    <row r="64" spans="1:16" s="360" customFormat="1" ht="15" hidden="1">
      <c r="A64" s="356" t="s">
        <v>469</v>
      </c>
      <c r="B64" s="632" t="s">
        <v>2064</v>
      </c>
      <c r="C64" s="611">
        <f t="shared" si="3"/>
        <v>0</v>
      </c>
      <c r="D64" s="354"/>
      <c r="E64" s="607">
        <f t="shared" si="4"/>
        <v>1166.67</v>
      </c>
      <c r="F64" s="792">
        <f t="shared" si="2"/>
        <v>0</v>
      </c>
      <c r="G64" s="358">
        <f>'PART-A'!I580</f>
        <v>0</v>
      </c>
      <c r="H64" s="354" t="s">
        <v>102</v>
      </c>
      <c r="I64" s="355">
        <f>'PART-A'!K580</f>
        <v>1166.67</v>
      </c>
      <c r="J64" s="353">
        <f t="shared" si="5"/>
        <v>0</v>
      </c>
      <c r="K64" s="1680"/>
      <c r="L64" s="1680"/>
      <c r="M64" s="633" t="s">
        <v>2312</v>
      </c>
      <c r="N64" s="223"/>
      <c r="O64" s="631">
        <f t="shared" si="6"/>
        <v>0</v>
      </c>
    </row>
    <row r="65" spans="1:15" s="360" customFormat="1" ht="15" hidden="1">
      <c r="A65" s="356" t="s">
        <v>469</v>
      </c>
      <c r="B65" s="632" t="s">
        <v>2064</v>
      </c>
      <c r="C65" s="611">
        <f t="shared" si="3"/>
        <v>0</v>
      </c>
      <c r="D65" s="354"/>
      <c r="E65" s="607">
        <f t="shared" si="4"/>
        <v>1202.4000000000001</v>
      </c>
      <c r="F65" s="792">
        <f t="shared" si="2"/>
        <v>0</v>
      </c>
      <c r="G65" s="358">
        <f>'PART-A'!I586</f>
        <v>0</v>
      </c>
      <c r="H65" s="354" t="s">
        <v>102</v>
      </c>
      <c r="I65" s="355">
        <f>'PART-A'!K586</f>
        <v>1202.4000000000001</v>
      </c>
      <c r="J65" s="353">
        <f t="shared" si="5"/>
        <v>0</v>
      </c>
      <c r="K65" s="1681"/>
      <c r="L65" s="1681"/>
      <c r="M65" s="633" t="s">
        <v>2313</v>
      </c>
      <c r="N65" s="223"/>
      <c r="O65" s="631">
        <f t="shared" si="6"/>
        <v>0</v>
      </c>
    </row>
    <row r="66" spans="1:15" s="360" customFormat="1" ht="51" hidden="1">
      <c r="A66" s="356" t="s">
        <v>472</v>
      </c>
      <c r="B66" s="632" t="s">
        <v>3187</v>
      </c>
      <c r="C66" s="611">
        <f t="shared" si="3"/>
        <v>0</v>
      </c>
      <c r="D66" s="791" t="s">
        <v>102</v>
      </c>
      <c r="E66" s="607">
        <f t="shared" si="4"/>
        <v>1195.95</v>
      </c>
      <c r="F66" s="792">
        <f t="shared" si="2"/>
        <v>0</v>
      </c>
      <c r="G66" s="358">
        <f>'PART-A'!I544</f>
        <v>0</v>
      </c>
      <c r="H66" s="354" t="s">
        <v>102</v>
      </c>
      <c r="I66" s="355">
        <f>'PART-A'!K544</f>
        <v>1195.95</v>
      </c>
      <c r="J66" s="353">
        <f t="shared" si="5"/>
        <v>0</v>
      </c>
      <c r="K66" s="1698">
        <f>IF((J66+J67+J68+J69)&gt;(F66+F67+F68+F69),(J66+J67+J68+J69)-(F66+F67+F68+F69),0)</f>
        <v>0</v>
      </c>
      <c r="L66" s="1698">
        <f>IF((J66+J67+J68+J69)&lt;(F66+F67+F68+F69),(F66+F67+F68+F69)-(J66+J67+J68+J69),0)</f>
        <v>0</v>
      </c>
      <c r="M66" s="851" t="s">
        <v>2217</v>
      </c>
      <c r="N66" s="223"/>
      <c r="O66" s="850">
        <f t="shared" si="6"/>
        <v>0</v>
      </c>
    </row>
    <row r="67" spans="1:15" s="360" customFormat="1" ht="15" hidden="1">
      <c r="A67" s="356" t="s">
        <v>472</v>
      </c>
      <c r="B67" s="632" t="s">
        <v>2065</v>
      </c>
      <c r="C67" s="611">
        <f t="shared" si="3"/>
        <v>0</v>
      </c>
      <c r="D67" s="354"/>
      <c r="E67" s="607">
        <f t="shared" si="4"/>
        <v>1239.23</v>
      </c>
      <c r="F67" s="792">
        <f t="shared" si="2"/>
        <v>0</v>
      </c>
      <c r="G67" s="358">
        <f>'PART-A'!I550</f>
        <v>0</v>
      </c>
      <c r="H67" s="354" t="s">
        <v>102</v>
      </c>
      <c r="I67" s="355">
        <f>'PART-A'!K550</f>
        <v>1239.23</v>
      </c>
      <c r="J67" s="353">
        <f t="shared" si="5"/>
        <v>0</v>
      </c>
      <c r="K67" s="1680"/>
      <c r="L67" s="1680"/>
      <c r="M67" s="633" t="s">
        <v>2299</v>
      </c>
      <c r="N67" s="223"/>
      <c r="O67" s="631">
        <f t="shared" si="6"/>
        <v>0</v>
      </c>
    </row>
    <row r="68" spans="1:15" s="360" customFormat="1" ht="15" hidden="1">
      <c r="A68" s="356" t="s">
        <v>472</v>
      </c>
      <c r="B68" s="632" t="s">
        <v>2065</v>
      </c>
      <c r="C68" s="611">
        <f t="shared" si="3"/>
        <v>0</v>
      </c>
      <c r="D68" s="354"/>
      <c r="E68" s="607">
        <f t="shared" si="4"/>
        <v>1302.4000000000001</v>
      </c>
      <c r="F68" s="792">
        <f t="shared" si="2"/>
        <v>0</v>
      </c>
      <c r="G68" s="358">
        <f>'PART-A'!I555</f>
        <v>0</v>
      </c>
      <c r="H68" s="354" t="s">
        <v>102</v>
      </c>
      <c r="I68" s="355">
        <f>'PART-A'!K555</f>
        <v>1302.4000000000001</v>
      </c>
      <c r="J68" s="353">
        <f t="shared" si="5"/>
        <v>0</v>
      </c>
      <c r="K68" s="1680"/>
      <c r="L68" s="1680"/>
      <c r="M68" s="633" t="s">
        <v>2312</v>
      </c>
      <c r="N68" s="223"/>
      <c r="O68" s="631">
        <f t="shared" si="6"/>
        <v>0</v>
      </c>
    </row>
    <row r="69" spans="1:15" s="360" customFormat="1" ht="15" hidden="1">
      <c r="A69" s="356" t="s">
        <v>472</v>
      </c>
      <c r="B69" s="632" t="s">
        <v>2065</v>
      </c>
      <c r="C69" s="611">
        <f t="shared" si="3"/>
        <v>0</v>
      </c>
      <c r="D69" s="354"/>
      <c r="E69" s="607">
        <f t="shared" si="4"/>
        <v>1345.28</v>
      </c>
      <c r="F69" s="792">
        <f t="shared" si="2"/>
        <v>0</v>
      </c>
      <c r="G69" s="358">
        <f>'PART-A'!I561</f>
        <v>0</v>
      </c>
      <c r="H69" s="354" t="s">
        <v>102</v>
      </c>
      <c r="I69" s="355">
        <f>'PART-A'!K561</f>
        <v>1345.28</v>
      </c>
      <c r="J69" s="353">
        <f t="shared" si="5"/>
        <v>0</v>
      </c>
      <c r="K69" s="1681"/>
      <c r="L69" s="1681"/>
      <c r="M69" s="633" t="s">
        <v>2313</v>
      </c>
      <c r="N69" s="223"/>
      <c r="O69" s="631">
        <f t="shared" si="6"/>
        <v>0</v>
      </c>
    </row>
    <row r="70" spans="1:15" s="360" customFormat="1" ht="51">
      <c r="A70" s="356" t="s">
        <v>472</v>
      </c>
      <c r="B70" s="632" t="s">
        <v>3213</v>
      </c>
      <c r="C70" s="611">
        <f t="shared" si="3"/>
        <v>22.14</v>
      </c>
      <c r="D70" s="354" t="s">
        <v>102</v>
      </c>
      <c r="E70" s="607">
        <f t="shared" si="4"/>
        <v>947.64</v>
      </c>
      <c r="F70" s="792">
        <f t="shared" si="2"/>
        <v>20981</v>
      </c>
      <c r="G70" s="358">
        <f>'PART-A'!I592</f>
        <v>22.14</v>
      </c>
      <c r="H70" s="354" t="s">
        <v>102</v>
      </c>
      <c r="I70" s="355">
        <f>'PART-A'!K592</f>
        <v>947.64</v>
      </c>
      <c r="J70" s="353">
        <f t="shared" si="5"/>
        <v>20980.75</v>
      </c>
      <c r="K70" s="1679">
        <f>IF((J70+J71+J72+J73)&gt;(F70+F71+F72+F73),(J70+J71+J72+J73)-(F70+F71+F72+F73),0)</f>
        <v>0</v>
      </c>
      <c r="L70" s="1679">
        <f>IF((J70+J71+J72+J73)&lt;(F70+F71+F72+F73),(F70+F71+F72+F73)-(J70+J71+J72+J73),0)</f>
        <v>0.25</v>
      </c>
      <c r="M70" s="633" t="s">
        <v>2217</v>
      </c>
      <c r="N70" s="223"/>
      <c r="O70" s="631">
        <f t="shared" si="6"/>
        <v>0.25</v>
      </c>
    </row>
    <row r="71" spans="1:15" s="360" customFormat="1" ht="51" hidden="1">
      <c r="A71" s="356" t="s">
        <v>478</v>
      </c>
      <c r="B71" s="632" t="s">
        <v>3213</v>
      </c>
      <c r="C71" s="611">
        <f t="shared" si="3"/>
        <v>0</v>
      </c>
      <c r="D71" s="354" t="s">
        <v>102</v>
      </c>
      <c r="E71" s="607">
        <f t="shared" si="4"/>
        <v>980.15</v>
      </c>
      <c r="F71" s="792">
        <f t="shared" si="2"/>
        <v>0</v>
      </c>
      <c r="G71" s="358">
        <f>'PART-A'!I598</f>
        <v>0</v>
      </c>
      <c r="H71" s="354" t="s">
        <v>102</v>
      </c>
      <c r="I71" s="355">
        <f>'PART-A'!K598</f>
        <v>980.15</v>
      </c>
      <c r="J71" s="353">
        <f t="shared" si="5"/>
        <v>0</v>
      </c>
      <c r="K71" s="1680"/>
      <c r="L71" s="1680"/>
      <c r="M71" s="633" t="s">
        <v>2299</v>
      </c>
      <c r="N71" s="223"/>
      <c r="O71" s="631">
        <f t="shared" si="6"/>
        <v>0</v>
      </c>
    </row>
    <row r="72" spans="1:15" s="360" customFormat="1" ht="15" hidden="1">
      <c r="A72" s="356" t="s">
        <v>469</v>
      </c>
      <c r="B72" s="632" t="s">
        <v>2066</v>
      </c>
      <c r="C72" s="611">
        <f t="shared" si="3"/>
        <v>0</v>
      </c>
      <c r="D72" s="354"/>
      <c r="E72" s="607">
        <f t="shared" si="4"/>
        <v>1030.9299999999998</v>
      </c>
      <c r="F72" s="792">
        <f t="shared" si="2"/>
        <v>0</v>
      </c>
      <c r="G72" s="358">
        <f>'PART-A'!I604</f>
        <v>0</v>
      </c>
      <c r="H72" s="354" t="s">
        <v>102</v>
      </c>
      <c r="I72" s="355">
        <f>'PART-A'!K604</f>
        <v>1030.9299999999998</v>
      </c>
      <c r="J72" s="353">
        <f t="shared" si="5"/>
        <v>0</v>
      </c>
      <c r="K72" s="1680"/>
      <c r="L72" s="1680"/>
      <c r="M72" s="633" t="s">
        <v>2312</v>
      </c>
      <c r="N72" s="223"/>
      <c r="O72" s="631">
        <f t="shared" si="6"/>
        <v>0</v>
      </c>
    </row>
    <row r="73" spans="1:15" s="360" customFormat="1" ht="15" hidden="1">
      <c r="A73" s="356" t="s">
        <v>469</v>
      </c>
      <c r="B73" s="632" t="s">
        <v>2066</v>
      </c>
      <c r="C73" s="611">
        <f t="shared" si="3"/>
        <v>0</v>
      </c>
      <c r="D73" s="354"/>
      <c r="E73" s="607">
        <f t="shared" si="4"/>
        <v>1059.52</v>
      </c>
      <c r="F73" s="792">
        <f t="shared" ref="F73:F136" si="9">ROUND(C73*E73,0)</f>
        <v>0</v>
      </c>
      <c r="G73" s="358">
        <f>'PART-A'!I610</f>
        <v>0</v>
      </c>
      <c r="H73" s="354" t="s">
        <v>102</v>
      </c>
      <c r="I73" s="355">
        <f>'PART-A'!K610</f>
        <v>1059.52</v>
      </c>
      <c r="J73" s="353">
        <f t="shared" si="5"/>
        <v>0</v>
      </c>
      <c r="K73" s="1681"/>
      <c r="L73" s="1681"/>
      <c r="M73" s="633" t="s">
        <v>2313</v>
      </c>
      <c r="N73" s="223"/>
      <c r="O73" s="631">
        <f t="shared" si="6"/>
        <v>0</v>
      </c>
    </row>
    <row r="74" spans="1:15" s="360" customFormat="1" ht="15" hidden="1">
      <c r="A74" s="356" t="s">
        <v>479</v>
      </c>
      <c r="B74" s="632" t="s">
        <v>2067</v>
      </c>
      <c r="C74" s="611">
        <f t="shared" ref="C74:C137" si="10">G74</f>
        <v>0</v>
      </c>
      <c r="D74" s="354"/>
      <c r="E74" s="607">
        <f t="shared" ref="E74:E137" si="11">I74</f>
        <v>471.03</v>
      </c>
      <c r="F74" s="792">
        <f t="shared" si="9"/>
        <v>0</v>
      </c>
      <c r="G74" s="358">
        <f>'PART-A'!I616</f>
        <v>0</v>
      </c>
      <c r="H74" s="354" t="s">
        <v>102</v>
      </c>
      <c r="I74" s="355">
        <f>'PART-A'!K616</f>
        <v>471.03</v>
      </c>
      <c r="J74" s="353">
        <f t="shared" ref="J74:J137" si="12">ROUND(G74*I74,2)</f>
        <v>0</v>
      </c>
      <c r="K74" s="1679">
        <f>IF((J74+J75+J76+J77)&gt;(F74+F75+F76+F77),(J74+J75+J76+J77)-(F74+F75+F76+F77),0)</f>
        <v>0</v>
      </c>
      <c r="L74" s="1679">
        <f>IF((J74+J75+J76+J77)&lt;(F74+F75+F76+F77),(F74+F75+F76+F77)-(J74+J75+J76+J77),0)</f>
        <v>0</v>
      </c>
      <c r="M74" s="633" t="s">
        <v>2217</v>
      </c>
      <c r="N74" s="223"/>
      <c r="O74" s="631">
        <f t="shared" si="6"/>
        <v>0</v>
      </c>
    </row>
    <row r="75" spans="1:15" s="360" customFormat="1" ht="15" hidden="1">
      <c r="A75" s="356" t="s">
        <v>469</v>
      </c>
      <c r="B75" s="632" t="s">
        <v>2067</v>
      </c>
      <c r="C75" s="611">
        <f t="shared" si="10"/>
        <v>0</v>
      </c>
      <c r="D75" s="354"/>
      <c r="E75" s="607">
        <f t="shared" si="11"/>
        <v>487.1</v>
      </c>
      <c r="F75" s="792">
        <f t="shared" si="9"/>
        <v>0</v>
      </c>
      <c r="G75" s="358">
        <f>'PART-A'!I622</f>
        <v>0</v>
      </c>
      <c r="H75" s="354" t="s">
        <v>102</v>
      </c>
      <c r="I75" s="355">
        <f>'PART-A'!K622</f>
        <v>487.1</v>
      </c>
      <c r="J75" s="353">
        <f t="shared" si="12"/>
        <v>0</v>
      </c>
      <c r="K75" s="1680"/>
      <c r="L75" s="1680"/>
      <c r="M75" s="633" t="s">
        <v>2299</v>
      </c>
      <c r="N75" s="223"/>
      <c r="O75" s="631">
        <f t="shared" ref="O75:O138" si="13">F75-J75</f>
        <v>0</v>
      </c>
    </row>
    <row r="76" spans="1:15" s="360" customFormat="1" ht="15" hidden="1">
      <c r="A76" s="356" t="s">
        <v>469</v>
      </c>
      <c r="B76" s="632" t="s">
        <v>2067</v>
      </c>
      <c r="C76" s="611">
        <f t="shared" si="10"/>
        <v>0</v>
      </c>
      <c r="D76" s="354"/>
      <c r="E76" s="607">
        <f t="shared" si="11"/>
        <v>512.26</v>
      </c>
      <c r="F76" s="792">
        <f t="shared" si="9"/>
        <v>0</v>
      </c>
      <c r="G76" s="358">
        <f>'PART-A'!I628</f>
        <v>0</v>
      </c>
      <c r="H76" s="354" t="s">
        <v>102</v>
      </c>
      <c r="I76" s="355">
        <f>'PART-A'!K628</f>
        <v>512.26</v>
      </c>
      <c r="J76" s="353">
        <f t="shared" si="12"/>
        <v>0</v>
      </c>
      <c r="K76" s="1680"/>
      <c r="L76" s="1680"/>
      <c r="M76" s="633" t="s">
        <v>2312</v>
      </c>
      <c r="N76" s="223"/>
      <c r="O76" s="631">
        <f t="shared" si="13"/>
        <v>0</v>
      </c>
    </row>
    <row r="77" spans="1:15" s="360" customFormat="1" ht="15" hidden="1">
      <c r="A77" s="356" t="s">
        <v>469</v>
      </c>
      <c r="B77" s="632" t="s">
        <v>2067</v>
      </c>
      <c r="C77" s="611">
        <f t="shared" si="10"/>
        <v>0</v>
      </c>
      <c r="D77" s="354"/>
      <c r="E77" s="607">
        <f t="shared" si="11"/>
        <v>526.29999999999995</v>
      </c>
      <c r="F77" s="792">
        <f t="shared" si="9"/>
        <v>0</v>
      </c>
      <c r="G77" s="358">
        <f>'PART-A'!I634</f>
        <v>0</v>
      </c>
      <c r="H77" s="354" t="s">
        <v>102</v>
      </c>
      <c r="I77" s="355">
        <f>'PART-A'!K634</f>
        <v>526.29999999999995</v>
      </c>
      <c r="J77" s="353">
        <f t="shared" si="12"/>
        <v>0</v>
      </c>
      <c r="K77" s="1681"/>
      <c r="L77" s="1681"/>
      <c r="M77" s="633" t="s">
        <v>2313</v>
      </c>
      <c r="N77" s="223"/>
      <c r="O77" s="631">
        <f t="shared" si="13"/>
        <v>0</v>
      </c>
    </row>
    <row r="78" spans="1:15" s="360" customFormat="1" ht="15" hidden="1">
      <c r="A78" s="356" t="s">
        <v>475</v>
      </c>
      <c r="B78" s="632" t="s">
        <v>2068</v>
      </c>
      <c r="C78" s="611">
        <f t="shared" si="10"/>
        <v>0</v>
      </c>
      <c r="D78" s="354"/>
      <c r="E78" s="607">
        <f t="shared" si="11"/>
        <v>348.26</v>
      </c>
      <c r="F78" s="792">
        <f t="shared" si="9"/>
        <v>0</v>
      </c>
      <c r="G78" s="358">
        <f>'PART-A'!I641</f>
        <v>0</v>
      </c>
      <c r="H78" s="354" t="s">
        <v>102</v>
      </c>
      <c r="I78" s="355">
        <f>'PART-A'!K641</f>
        <v>348.26</v>
      </c>
      <c r="J78" s="353">
        <f t="shared" si="12"/>
        <v>0</v>
      </c>
      <c r="K78" s="1679">
        <f>IF((J78+J79+J80+J81)&gt;(F78+F79+F80+F81),(J78+J79+J80+J81)-(F78+F79+F80+F81),0)</f>
        <v>0</v>
      </c>
      <c r="L78" s="1679">
        <f>IF((J78+J79+J80+J81)&lt;(F78+F79+F80+F81),(F78+F79+F80+F81)-(J78+J79+J80+J81),0)</f>
        <v>0</v>
      </c>
      <c r="M78" s="633" t="s">
        <v>2217</v>
      </c>
      <c r="N78" s="223"/>
      <c r="O78" s="631">
        <f t="shared" si="13"/>
        <v>0</v>
      </c>
    </row>
    <row r="79" spans="1:15" s="360" customFormat="1" ht="15" hidden="1">
      <c r="A79" s="356" t="s">
        <v>475</v>
      </c>
      <c r="B79" s="632" t="s">
        <v>2068</v>
      </c>
      <c r="C79" s="611">
        <f t="shared" si="10"/>
        <v>0</v>
      </c>
      <c r="D79" s="354"/>
      <c r="E79" s="607">
        <f t="shared" si="11"/>
        <v>359.05</v>
      </c>
      <c r="F79" s="792">
        <f t="shared" si="9"/>
        <v>0</v>
      </c>
      <c r="G79" s="358">
        <f>'PART-A'!I648</f>
        <v>0</v>
      </c>
      <c r="H79" s="354" t="s">
        <v>102</v>
      </c>
      <c r="I79" s="355">
        <f>'PART-A'!K648</f>
        <v>359.05</v>
      </c>
      <c r="J79" s="353">
        <f t="shared" si="12"/>
        <v>0</v>
      </c>
      <c r="K79" s="1680"/>
      <c r="L79" s="1680"/>
      <c r="M79" s="633" t="s">
        <v>2299</v>
      </c>
      <c r="N79" s="223"/>
      <c r="O79" s="631">
        <f t="shared" si="13"/>
        <v>0</v>
      </c>
    </row>
    <row r="80" spans="1:15" s="360" customFormat="1" ht="15" hidden="1">
      <c r="A80" s="356" t="s">
        <v>475</v>
      </c>
      <c r="B80" s="632" t="s">
        <v>2068</v>
      </c>
      <c r="C80" s="611">
        <f t="shared" si="10"/>
        <v>0</v>
      </c>
      <c r="D80" s="354"/>
      <c r="E80" s="607">
        <f t="shared" si="11"/>
        <v>378.13</v>
      </c>
      <c r="F80" s="792">
        <f t="shared" si="9"/>
        <v>0</v>
      </c>
      <c r="G80" s="358">
        <f>'PART-A'!I655</f>
        <v>0</v>
      </c>
      <c r="H80" s="354" t="s">
        <v>102</v>
      </c>
      <c r="I80" s="355">
        <f>'PART-A'!K655</f>
        <v>378.13</v>
      </c>
      <c r="J80" s="353">
        <f t="shared" si="12"/>
        <v>0</v>
      </c>
      <c r="K80" s="1680"/>
      <c r="L80" s="1680"/>
      <c r="M80" s="633" t="s">
        <v>2312</v>
      </c>
      <c r="N80" s="223"/>
      <c r="O80" s="631">
        <f t="shared" si="13"/>
        <v>0</v>
      </c>
    </row>
    <row r="81" spans="1:15" s="360" customFormat="1" ht="15" hidden="1">
      <c r="A81" s="356" t="s">
        <v>475</v>
      </c>
      <c r="B81" s="632" t="s">
        <v>2068</v>
      </c>
      <c r="C81" s="611">
        <f t="shared" si="10"/>
        <v>0</v>
      </c>
      <c r="D81" s="354"/>
      <c r="E81" s="607">
        <f t="shared" si="11"/>
        <v>385.15</v>
      </c>
      <c r="F81" s="792">
        <f t="shared" si="9"/>
        <v>0</v>
      </c>
      <c r="G81" s="358">
        <f>'PART-A'!I662</f>
        <v>0</v>
      </c>
      <c r="H81" s="354" t="s">
        <v>102</v>
      </c>
      <c r="I81" s="355">
        <f>'PART-A'!K662</f>
        <v>385.15</v>
      </c>
      <c r="J81" s="353">
        <f t="shared" si="12"/>
        <v>0</v>
      </c>
      <c r="K81" s="1681"/>
      <c r="L81" s="1681"/>
      <c r="M81" s="633" t="s">
        <v>2313</v>
      </c>
      <c r="N81" s="223"/>
      <c r="O81" s="631">
        <f t="shared" si="13"/>
        <v>0</v>
      </c>
    </row>
    <row r="82" spans="1:15" s="360" customFormat="1" ht="51">
      <c r="A82" s="356" t="s">
        <v>473</v>
      </c>
      <c r="B82" s="632" t="s">
        <v>3188</v>
      </c>
      <c r="C82" s="611">
        <f t="shared" si="10"/>
        <v>1.21</v>
      </c>
      <c r="D82" s="791" t="s">
        <v>5</v>
      </c>
      <c r="E82" s="607">
        <f t="shared" si="11"/>
        <v>9288.880000000001</v>
      </c>
      <c r="F82" s="792">
        <f t="shared" si="9"/>
        <v>11240</v>
      </c>
      <c r="G82" s="358">
        <f>'PART-A'!I672</f>
        <v>1.21</v>
      </c>
      <c r="H82" s="354" t="s">
        <v>5</v>
      </c>
      <c r="I82" s="355">
        <f>'PART-A'!K672</f>
        <v>9288.880000000001</v>
      </c>
      <c r="J82" s="353">
        <f t="shared" si="12"/>
        <v>11239.54</v>
      </c>
      <c r="K82" s="1698">
        <f>IF((J82+J83+J84+J85)&gt;(F82+F83+F84+F85),(J82+J83+J84+J85)-(F82+F83+F84+F85),0)</f>
        <v>0</v>
      </c>
      <c r="L82" s="1698">
        <f>IF((J82+J83+J84+J85)&lt;(F82+F83+F84+F85),(F82+F83+F84+F85)-(J82+J83+J84+J85),0)</f>
        <v>0.45999999999912689</v>
      </c>
      <c r="M82" s="851" t="s">
        <v>2217</v>
      </c>
      <c r="N82" s="223"/>
      <c r="O82" s="850">
        <f t="shared" si="13"/>
        <v>0.45999999999912689</v>
      </c>
    </row>
    <row r="83" spans="1:15" s="360" customFormat="1" ht="51" hidden="1">
      <c r="A83" s="356" t="s">
        <v>479</v>
      </c>
      <c r="B83" s="632" t="s">
        <v>3188</v>
      </c>
      <c r="C83" s="611">
        <f t="shared" si="10"/>
        <v>0</v>
      </c>
      <c r="D83" s="354" t="s">
        <v>5</v>
      </c>
      <c r="E83" s="607">
        <f t="shared" si="11"/>
        <v>9638.93</v>
      </c>
      <c r="F83" s="792">
        <f t="shared" si="9"/>
        <v>0</v>
      </c>
      <c r="G83" s="358">
        <f>'PART-A'!I684</f>
        <v>0</v>
      </c>
      <c r="H83" s="354" t="s">
        <v>5</v>
      </c>
      <c r="I83" s="355">
        <f>'PART-A'!K684</f>
        <v>9638.93</v>
      </c>
      <c r="J83" s="353">
        <f t="shared" si="12"/>
        <v>0</v>
      </c>
      <c r="K83" s="1680"/>
      <c r="L83" s="1680"/>
      <c r="M83" s="633" t="s">
        <v>2299</v>
      </c>
      <c r="N83" s="223"/>
      <c r="O83" s="631">
        <f t="shared" si="13"/>
        <v>0</v>
      </c>
    </row>
    <row r="84" spans="1:15" s="360" customFormat="1" ht="15" hidden="1">
      <c r="A84" s="356" t="s">
        <v>475</v>
      </c>
      <c r="B84" s="632" t="s">
        <v>2069</v>
      </c>
      <c r="C84" s="611">
        <f t="shared" si="10"/>
        <v>0</v>
      </c>
      <c r="D84" s="354"/>
      <c r="E84" s="607">
        <f t="shared" si="11"/>
        <v>10171.82</v>
      </c>
      <c r="F84" s="792">
        <f t="shared" si="9"/>
        <v>0</v>
      </c>
      <c r="G84" s="358">
        <f>'PART-A'!I693</f>
        <v>0</v>
      </c>
      <c r="H84" s="354" t="s">
        <v>5</v>
      </c>
      <c r="I84" s="355">
        <f>'PART-A'!K693</f>
        <v>10171.82</v>
      </c>
      <c r="J84" s="353">
        <f t="shared" si="12"/>
        <v>0</v>
      </c>
      <c r="K84" s="1680"/>
      <c r="L84" s="1680"/>
      <c r="M84" s="633" t="s">
        <v>2312</v>
      </c>
      <c r="N84" s="223"/>
      <c r="O84" s="631">
        <f t="shared" si="13"/>
        <v>0</v>
      </c>
    </row>
    <row r="85" spans="1:15" s="360" customFormat="1" ht="51" hidden="1">
      <c r="A85" s="356" t="s">
        <v>473</v>
      </c>
      <c r="B85" s="632" t="s">
        <v>3188</v>
      </c>
      <c r="C85" s="611">
        <f t="shared" si="10"/>
        <v>0</v>
      </c>
      <c r="D85" s="354" t="s">
        <v>5</v>
      </c>
      <c r="E85" s="607">
        <f t="shared" si="11"/>
        <v>10584.6</v>
      </c>
      <c r="F85" s="792">
        <f t="shared" si="9"/>
        <v>0</v>
      </c>
      <c r="G85" s="358">
        <f>'PART-A'!I762</f>
        <v>0</v>
      </c>
      <c r="H85" s="354" t="s">
        <v>5</v>
      </c>
      <c r="I85" s="355">
        <f>'PART-A'!K762</f>
        <v>10584.6</v>
      </c>
      <c r="J85" s="353">
        <f t="shared" si="12"/>
        <v>0</v>
      </c>
      <c r="K85" s="1681"/>
      <c r="L85" s="1681"/>
      <c r="M85" s="633" t="s">
        <v>2313</v>
      </c>
      <c r="N85" s="223"/>
      <c r="O85" s="631">
        <f t="shared" si="13"/>
        <v>0</v>
      </c>
    </row>
    <row r="86" spans="1:15" s="360" customFormat="1" ht="51">
      <c r="A86" s="356" t="s">
        <v>474</v>
      </c>
      <c r="B86" s="632" t="s">
        <v>3189</v>
      </c>
      <c r="C86" s="611">
        <f t="shared" si="10"/>
        <v>7.5</v>
      </c>
      <c r="D86" s="791" t="s">
        <v>277</v>
      </c>
      <c r="E86" s="607">
        <f t="shared" si="11"/>
        <v>474.83999999999992</v>
      </c>
      <c r="F86" s="792">
        <f t="shared" si="9"/>
        <v>3561</v>
      </c>
      <c r="G86" s="358">
        <f>'PART-A'!I767</f>
        <v>7.5</v>
      </c>
      <c r="H86" s="354" t="s">
        <v>277</v>
      </c>
      <c r="I86" s="355">
        <f>'PART-A'!K767</f>
        <v>474.83999999999992</v>
      </c>
      <c r="J86" s="353">
        <f t="shared" si="12"/>
        <v>3561.3</v>
      </c>
      <c r="K86" s="1698">
        <f>IF((J86+J87+J88+J89)&gt;(F86+F87+F88+F89),(J86+J87+J88+J89)-(F86+F87+F88+F89),0)</f>
        <v>0.3000000000001819</v>
      </c>
      <c r="L86" s="1698">
        <f>IF((J86+J87+J88+J89)&lt;(F86+F87+F88+F89),(F86+F87+F88+F89)-(J86+J87+J88+J89),0)</f>
        <v>0</v>
      </c>
      <c r="M86" s="851" t="s">
        <v>2217</v>
      </c>
      <c r="N86" s="223"/>
      <c r="O86" s="850">
        <f t="shared" si="13"/>
        <v>-0.3000000000001819</v>
      </c>
    </row>
    <row r="87" spans="1:15" s="360" customFormat="1" ht="51" hidden="1">
      <c r="A87" s="356" t="s">
        <v>2455</v>
      </c>
      <c r="B87" s="632" t="s">
        <v>3189</v>
      </c>
      <c r="C87" s="611">
        <f t="shared" si="10"/>
        <v>0</v>
      </c>
      <c r="D87" s="354" t="s">
        <v>277</v>
      </c>
      <c r="E87" s="607">
        <f t="shared" si="11"/>
        <v>482.90999999999997</v>
      </c>
      <c r="F87" s="792">
        <f t="shared" si="9"/>
        <v>0</v>
      </c>
      <c r="G87" s="358">
        <f>'PART-A'!I772</f>
        <v>0</v>
      </c>
      <c r="H87" s="354" t="s">
        <v>277</v>
      </c>
      <c r="I87" s="355">
        <f>'PART-A'!K772</f>
        <v>482.90999999999997</v>
      </c>
      <c r="J87" s="353">
        <f t="shared" si="12"/>
        <v>0</v>
      </c>
      <c r="K87" s="1680"/>
      <c r="L87" s="1680"/>
      <c r="M87" s="633" t="s">
        <v>2299</v>
      </c>
      <c r="N87" s="223"/>
      <c r="O87" s="631">
        <f t="shared" si="13"/>
        <v>0</v>
      </c>
    </row>
    <row r="88" spans="1:15" s="360" customFormat="1" ht="15" hidden="1">
      <c r="A88" s="356" t="s">
        <v>478</v>
      </c>
      <c r="B88" s="632" t="s">
        <v>2070</v>
      </c>
      <c r="C88" s="611">
        <f t="shared" si="10"/>
        <v>0</v>
      </c>
      <c r="D88" s="354"/>
      <c r="E88" s="607">
        <f t="shared" si="11"/>
        <v>507.79999999999995</v>
      </c>
      <c r="F88" s="792">
        <f t="shared" si="9"/>
        <v>0</v>
      </c>
      <c r="G88" s="358">
        <f>'PART-A'!I778</f>
        <v>0</v>
      </c>
      <c r="H88" s="354" t="s">
        <v>277</v>
      </c>
      <c r="I88" s="355">
        <f>'PART-A'!K778</f>
        <v>507.79999999999995</v>
      </c>
      <c r="J88" s="353">
        <f t="shared" si="12"/>
        <v>0</v>
      </c>
      <c r="K88" s="1680"/>
      <c r="L88" s="1680"/>
      <c r="M88" s="633" t="s">
        <v>2312</v>
      </c>
      <c r="N88" s="223"/>
      <c r="O88" s="631">
        <f t="shared" si="13"/>
        <v>0</v>
      </c>
    </row>
    <row r="89" spans="1:15" s="360" customFormat="1" ht="51" hidden="1">
      <c r="A89" s="356" t="s">
        <v>474</v>
      </c>
      <c r="B89" s="632" t="s">
        <v>3189</v>
      </c>
      <c r="C89" s="611">
        <f t="shared" si="10"/>
        <v>0</v>
      </c>
      <c r="D89" s="354" t="s">
        <v>277</v>
      </c>
      <c r="E89" s="607">
        <f t="shared" si="11"/>
        <v>518.52</v>
      </c>
      <c r="F89" s="792">
        <f t="shared" si="9"/>
        <v>0</v>
      </c>
      <c r="G89" s="358">
        <f>'PART-A'!I783</f>
        <v>0</v>
      </c>
      <c r="H89" s="354" t="s">
        <v>277</v>
      </c>
      <c r="I89" s="355">
        <f>'PART-A'!K783</f>
        <v>518.52</v>
      </c>
      <c r="J89" s="353">
        <f t="shared" si="12"/>
        <v>0</v>
      </c>
      <c r="K89" s="1681"/>
      <c r="L89" s="1681"/>
      <c r="M89" s="633" t="s">
        <v>2313</v>
      </c>
      <c r="N89" s="223"/>
      <c r="O89" s="631">
        <f t="shared" si="13"/>
        <v>0</v>
      </c>
    </row>
    <row r="90" spans="1:15" s="360" customFormat="1" ht="51" hidden="1">
      <c r="A90" s="356" t="s">
        <v>475</v>
      </c>
      <c r="B90" s="632" t="s">
        <v>3290</v>
      </c>
      <c r="C90" s="611">
        <f t="shared" si="10"/>
        <v>0</v>
      </c>
      <c r="D90" s="221" t="s">
        <v>102</v>
      </c>
      <c r="E90" s="607">
        <f t="shared" si="11"/>
        <v>259.97000000000003</v>
      </c>
      <c r="F90" s="792">
        <f t="shared" si="9"/>
        <v>0</v>
      </c>
      <c r="G90" s="358">
        <f>'PART-A'!I790</f>
        <v>0</v>
      </c>
      <c r="H90" s="221" t="s">
        <v>102</v>
      </c>
      <c r="I90" s="355">
        <f>'PART-A'!K790</f>
        <v>259.97000000000003</v>
      </c>
      <c r="J90" s="353">
        <f t="shared" si="12"/>
        <v>0</v>
      </c>
      <c r="K90" s="1679">
        <f>IF((J90+J91+J92+J93)&gt;(F90+F91+F92+F93),(J90+J91+J92+J93)-(F90+F91+F92+F93),0)</f>
        <v>0</v>
      </c>
      <c r="L90" s="1679">
        <f>IF((J90+J91+J92+J93)&lt;(F90+F91+F92+F93),(F90+F91+F92+F93)-(J90+J91+J92+J93),0)</f>
        <v>0</v>
      </c>
      <c r="M90" s="633" t="s">
        <v>2217</v>
      </c>
      <c r="N90" s="223"/>
      <c r="O90" s="631">
        <f t="shared" si="13"/>
        <v>0</v>
      </c>
    </row>
    <row r="91" spans="1:15" s="360" customFormat="1" ht="15" hidden="1">
      <c r="A91" s="356" t="s">
        <v>480</v>
      </c>
      <c r="B91" s="632" t="s">
        <v>1478</v>
      </c>
      <c r="C91" s="611">
        <f t="shared" si="10"/>
        <v>0</v>
      </c>
      <c r="D91" s="221" t="s">
        <v>102</v>
      </c>
      <c r="E91" s="607">
        <f t="shared" si="11"/>
        <v>280.02999999999997</v>
      </c>
      <c r="F91" s="792">
        <f t="shared" si="9"/>
        <v>0</v>
      </c>
      <c r="G91" s="358">
        <f>'PART-A'!I797</f>
        <v>0</v>
      </c>
      <c r="H91" s="221" t="s">
        <v>102</v>
      </c>
      <c r="I91" s="355">
        <f>'PART-A'!K797</f>
        <v>280.02999999999997</v>
      </c>
      <c r="J91" s="353">
        <f t="shared" si="12"/>
        <v>0</v>
      </c>
      <c r="K91" s="1680"/>
      <c r="L91" s="1680"/>
      <c r="M91" s="633" t="s">
        <v>2299</v>
      </c>
      <c r="N91" s="223"/>
      <c r="O91" s="631">
        <f t="shared" si="13"/>
        <v>0</v>
      </c>
    </row>
    <row r="92" spans="1:15" s="360" customFormat="1" ht="15" hidden="1">
      <c r="A92" s="356" t="s">
        <v>480</v>
      </c>
      <c r="B92" s="632" t="s">
        <v>1478</v>
      </c>
      <c r="C92" s="611">
        <f t="shared" si="10"/>
        <v>0</v>
      </c>
      <c r="D92" s="221"/>
      <c r="E92" s="607">
        <f t="shared" si="11"/>
        <v>297.22000000000003</v>
      </c>
      <c r="F92" s="792">
        <f t="shared" si="9"/>
        <v>0</v>
      </c>
      <c r="G92" s="358">
        <f>'PART-A'!I803</f>
        <v>0</v>
      </c>
      <c r="H92" s="221" t="s">
        <v>102</v>
      </c>
      <c r="I92" s="355">
        <f>'PART-A'!K803</f>
        <v>297.22000000000003</v>
      </c>
      <c r="J92" s="353">
        <f t="shared" si="12"/>
        <v>0</v>
      </c>
      <c r="K92" s="1680"/>
      <c r="L92" s="1680"/>
      <c r="M92" s="633" t="s">
        <v>2312</v>
      </c>
      <c r="N92" s="223"/>
      <c r="O92" s="631">
        <f t="shared" si="13"/>
        <v>0</v>
      </c>
    </row>
    <row r="93" spans="1:15" s="360" customFormat="1" ht="15" hidden="1">
      <c r="A93" s="356" t="s">
        <v>480</v>
      </c>
      <c r="B93" s="632" t="s">
        <v>1478</v>
      </c>
      <c r="C93" s="611">
        <f t="shared" si="10"/>
        <v>0</v>
      </c>
      <c r="D93" s="221"/>
      <c r="E93" s="607">
        <f t="shared" si="11"/>
        <v>315.69</v>
      </c>
      <c r="F93" s="792">
        <f t="shared" si="9"/>
        <v>0</v>
      </c>
      <c r="G93" s="358">
        <f>'PART-A'!I809</f>
        <v>0</v>
      </c>
      <c r="H93" s="221" t="s">
        <v>102</v>
      </c>
      <c r="I93" s="355">
        <f>'PART-A'!K809</f>
        <v>315.69</v>
      </c>
      <c r="J93" s="353">
        <f t="shared" si="12"/>
        <v>0</v>
      </c>
      <c r="K93" s="1681"/>
      <c r="L93" s="1681"/>
      <c r="M93" s="633" t="s">
        <v>2313</v>
      </c>
      <c r="N93" s="223"/>
      <c r="O93" s="631">
        <f t="shared" si="13"/>
        <v>0</v>
      </c>
    </row>
    <row r="94" spans="1:15" s="360" customFormat="1" ht="15" hidden="1">
      <c r="A94" s="356" t="s">
        <v>485</v>
      </c>
      <c r="B94" s="632" t="s">
        <v>1479</v>
      </c>
      <c r="C94" s="611">
        <f t="shared" si="10"/>
        <v>0</v>
      </c>
      <c r="D94" s="221"/>
      <c r="E94" s="607">
        <f t="shared" si="11"/>
        <v>330.39</v>
      </c>
      <c r="F94" s="792">
        <f t="shared" si="9"/>
        <v>0</v>
      </c>
      <c r="G94" s="358">
        <f>'PART-A'!I815</f>
        <v>0</v>
      </c>
      <c r="H94" s="221" t="s">
        <v>102</v>
      </c>
      <c r="I94" s="355">
        <f>'PART-A'!K815</f>
        <v>330.39</v>
      </c>
      <c r="J94" s="353">
        <f t="shared" si="12"/>
        <v>0</v>
      </c>
      <c r="K94" s="1679">
        <f>IF((J94+J95+J96+J97)&gt;(F94+F95+F96+F97),(J94+J95+J96+J97)-(F94+F95+F96+F97),0)</f>
        <v>0</v>
      </c>
      <c r="L94" s="1679">
        <f>IF((J94+J95+J96+J97)&lt;(F94+F95+F96+F97),(F94+F95+F96+F97)-(J94+J95+J96+J97),0)</f>
        <v>0</v>
      </c>
      <c r="M94" s="633" t="s">
        <v>2217</v>
      </c>
      <c r="N94" s="223"/>
      <c r="O94" s="631">
        <f t="shared" si="13"/>
        <v>0</v>
      </c>
    </row>
    <row r="95" spans="1:15" s="360" customFormat="1" ht="51" hidden="1">
      <c r="A95" s="356" t="s">
        <v>474</v>
      </c>
      <c r="B95" s="632" t="s">
        <v>3327</v>
      </c>
      <c r="C95" s="611">
        <f t="shared" si="10"/>
        <v>0</v>
      </c>
      <c r="D95" s="221" t="s">
        <v>102</v>
      </c>
      <c r="E95" s="607">
        <f t="shared" si="11"/>
        <v>357.62</v>
      </c>
      <c r="F95" s="792">
        <f t="shared" si="9"/>
        <v>0</v>
      </c>
      <c r="G95" s="358">
        <f>'PART-A'!I822</f>
        <v>0</v>
      </c>
      <c r="H95" s="221" t="s">
        <v>102</v>
      </c>
      <c r="I95" s="355">
        <f>'PART-A'!K822</f>
        <v>357.62</v>
      </c>
      <c r="J95" s="353">
        <f t="shared" si="12"/>
        <v>0</v>
      </c>
      <c r="K95" s="1680"/>
      <c r="L95" s="1680"/>
      <c r="M95" s="633" t="s">
        <v>2299</v>
      </c>
      <c r="N95" s="223"/>
      <c r="O95" s="631">
        <f t="shared" si="13"/>
        <v>0</v>
      </c>
    </row>
    <row r="96" spans="1:15" s="360" customFormat="1" ht="15" hidden="1">
      <c r="A96" s="356" t="s">
        <v>476</v>
      </c>
      <c r="B96" s="632" t="s">
        <v>1479</v>
      </c>
      <c r="C96" s="611">
        <f t="shared" si="10"/>
        <v>0</v>
      </c>
      <c r="D96" s="221"/>
      <c r="E96" s="607">
        <f t="shared" si="11"/>
        <v>380.75</v>
      </c>
      <c r="F96" s="792">
        <f t="shared" si="9"/>
        <v>0</v>
      </c>
      <c r="G96" s="358">
        <f>'PART-A'!I828</f>
        <v>0</v>
      </c>
      <c r="H96" s="221" t="s">
        <v>102</v>
      </c>
      <c r="I96" s="355">
        <f>'PART-A'!K828</f>
        <v>380.75</v>
      </c>
      <c r="J96" s="353">
        <f t="shared" si="12"/>
        <v>0</v>
      </c>
      <c r="K96" s="1680"/>
      <c r="L96" s="1680"/>
      <c r="M96" s="633" t="s">
        <v>2312</v>
      </c>
      <c r="N96" s="223"/>
      <c r="O96" s="631">
        <f t="shared" si="13"/>
        <v>0</v>
      </c>
    </row>
    <row r="97" spans="1:15" s="360" customFormat="1" ht="15" hidden="1">
      <c r="A97" s="356" t="s">
        <v>476</v>
      </c>
      <c r="B97" s="632" t="s">
        <v>1479</v>
      </c>
      <c r="C97" s="611">
        <f t="shared" si="10"/>
        <v>0</v>
      </c>
      <c r="D97" s="221"/>
      <c r="E97" s="607">
        <f t="shared" si="11"/>
        <v>405.78</v>
      </c>
      <c r="F97" s="792">
        <f t="shared" si="9"/>
        <v>0</v>
      </c>
      <c r="G97" s="358">
        <f>'PART-A'!I834</f>
        <v>0</v>
      </c>
      <c r="H97" s="221" t="s">
        <v>102</v>
      </c>
      <c r="I97" s="355">
        <f>'PART-A'!K834</f>
        <v>405.78</v>
      </c>
      <c r="J97" s="353">
        <f t="shared" si="12"/>
        <v>0</v>
      </c>
      <c r="K97" s="1681"/>
      <c r="L97" s="1681"/>
      <c r="M97" s="633" t="s">
        <v>2313</v>
      </c>
      <c r="N97" s="223"/>
      <c r="O97" s="631">
        <f t="shared" si="13"/>
        <v>0</v>
      </c>
    </row>
    <row r="98" spans="1:15" s="360" customFormat="1" ht="51" hidden="1">
      <c r="A98" s="356" t="s">
        <v>475</v>
      </c>
      <c r="B98" s="632" t="s">
        <v>3190</v>
      </c>
      <c r="C98" s="611">
        <f t="shared" si="10"/>
        <v>0</v>
      </c>
      <c r="D98" s="354" t="s">
        <v>5</v>
      </c>
      <c r="E98" s="607">
        <f t="shared" si="11"/>
        <v>4946.1699999999992</v>
      </c>
      <c r="F98" s="792">
        <f t="shared" si="9"/>
        <v>0</v>
      </c>
      <c r="G98" s="358">
        <f>'PART-A'!I1509</f>
        <v>0</v>
      </c>
      <c r="H98" s="354" t="s">
        <v>5</v>
      </c>
      <c r="I98" s="355">
        <f>'PART-A'!K1509</f>
        <v>4946.1699999999992</v>
      </c>
      <c r="J98" s="353">
        <f t="shared" si="12"/>
        <v>0</v>
      </c>
      <c r="K98" s="1698">
        <f>IF((J98+J99+J100+J101)&gt;(F98+F99+F100+F101),(J98+J99+J100+J101)-(F98+F99+F100+F101),0)</f>
        <v>0</v>
      </c>
      <c r="L98" s="1698">
        <f>IF((J98+J99+J100+J101)&lt;(F98+F99+F100+F101),(F98+F99+F100+F101)-(J98+J99+J100+J101),0)</f>
        <v>0</v>
      </c>
      <c r="M98" s="851" t="s">
        <v>2217</v>
      </c>
      <c r="N98" s="223"/>
      <c r="O98" s="850">
        <f t="shared" si="13"/>
        <v>0</v>
      </c>
    </row>
    <row r="99" spans="1:15" s="360" customFormat="1" ht="15" hidden="1">
      <c r="A99" s="356" t="s">
        <v>475</v>
      </c>
      <c r="B99" s="632" t="s">
        <v>2071</v>
      </c>
      <c r="C99" s="611">
        <f t="shared" si="10"/>
        <v>0</v>
      </c>
      <c r="D99" s="354"/>
      <c r="E99" s="607">
        <f t="shared" si="11"/>
        <v>5115.5200000000004</v>
      </c>
      <c r="F99" s="792">
        <f t="shared" si="9"/>
        <v>0</v>
      </c>
      <c r="G99" s="358">
        <f>'PART-A'!I1516</f>
        <v>0</v>
      </c>
      <c r="H99" s="354" t="s">
        <v>5</v>
      </c>
      <c r="I99" s="355">
        <f>'PART-A'!K1516</f>
        <v>5115.5200000000004</v>
      </c>
      <c r="J99" s="353">
        <f t="shared" si="12"/>
        <v>0</v>
      </c>
      <c r="K99" s="1680"/>
      <c r="L99" s="1680"/>
      <c r="M99" s="633" t="s">
        <v>2299</v>
      </c>
      <c r="N99" s="223"/>
      <c r="O99" s="631">
        <f t="shared" si="13"/>
        <v>0</v>
      </c>
    </row>
    <row r="100" spans="1:15" s="360" customFormat="1" ht="15" hidden="1">
      <c r="A100" s="356" t="s">
        <v>475</v>
      </c>
      <c r="B100" s="632" t="s">
        <v>2071</v>
      </c>
      <c r="C100" s="611">
        <f t="shared" si="10"/>
        <v>0</v>
      </c>
      <c r="D100" s="354"/>
      <c r="E100" s="607">
        <f t="shared" si="11"/>
        <v>5349.0700000000006</v>
      </c>
      <c r="F100" s="792">
        <f t="shared" si="9"/>
        <v>0</v>
      </c>
      <c r="G100" s="358">
        <f>'PART-A'!I1523</f>
        <v>0</v>
      </c>
      <c r="H100" s="354" t="s">
        <v>5</v>
      </c>
      <c r="I100" s="355">
        <f>'PART-A'!K1523</f>
        <v>5349.0700000000006</v>
      </c>
      <c r="J100" s="353">
        <f t="shared" si="12"/>
        <v>0</v>
      </c>
      <c r="K100" s="1680"/>
      <c r="L100" s="1680"/>
      <c r="M100" s="633" t="s">
        <v>2312</v>
      </c>
      <c r="N100" s="223"/>
      <c r="O100" s="631">
        <f t="shared" si="13"/>
        <v>0</v>
      </c>
    </row>
    <row r="101" spans="1:15" s="360" customFormat="1" ht="15" hidden="1">
      <c r="A101" s="356" t="s">
        <v>475</v>
      </c>
      <c r="B101" s="632" t="s">
        <v>2071</v>
      </c>
      <c r="C101" s="611">
        <f t="shared" si="10"/>
        <v>0</v>
      </c>
      <c r="D101" s="354"/>
      <c r="E101" s="607">
        <f t="shared" si="11"/>
        <v>5601.67</v>
      </c>
      <c r="F101" s="792">
        <f t="shared" si="9"/>
        <v>0</v>
      </c>
      <c r="G101" s="358">
        <f>'PART-A'!I1528</f>
        <v>0</v>
      </c>
      <c r="H101" s="354" t="s">
        <v>5</v>
      </c>
      <c r="I101" s="355">
        <f>'PART-A'!K1528</f>
        <v>5601.67</v>
      </c>
      <c r="J101" s="353">
        <f t="shared" si="12"/>
        <v>0</v>
      </c>
      <c r="K101" s="1681"/>
      <c r="L101" s="1681"/>
      <c r="M101" s="633" t="s">
        <v>2313</v>
      </c>
      <c r="N101" s="223"/>
      <c r="O101" s="631">
        <f t="shared" si="13"/>
        <v>0</v>
      </c>
    </row>
    <row r="102" spans="1:15" s="360" customFormat="1" ht="15" hidden="1">
      <c r="A102" s="356" t="s">
        <v>476</v>
      </c>
      <c r="B102" s="632" t="s">
        <v>1219</v>
      </c>
      <c r="C102" s="611">
        <f t="shared" si="10"/>
        <v>0</v>
      </c>
      <c r="D102" s="354"/>
      <c r="E102" s="607">
        <f t="shared" si="11"/>
        <v>3154.94</v>
      </c>
      <c r="F102" s="792">
        <f t="shared" si="9"/>
        <v>0</v>
      </c>
      <c r="G102" s="358">
        <f>'PART-A'!I841</f>
        <v>0</v>
      </c>
      <c r="H102" s="354" t="s">
        <v>5</v>
      </c>
      <c r="I102" s="355">
        <f>'PART-A'!K841</f>
        <v>3154.94</v>
      </c>
      <c r="J102" s="353">
        <f t="shared" si="12"/>
        <v>0</v>
      </c>
      <c r="K102" s="1679">
        <f>IF((J102+J103+J104+J105)&gt;(F102+F103+F104+F105),(J102+J103+J104+J105)-(F102+F103+F104+F105),0)</f>
        <v>0</v>
      </c>
      <c r="L102" s="1679">
        <f>IF((J102+J103+J104+J105)&lt;(F102+F103+F104+F105),(F102+F103+F104+F105)-(J102+J103+J104+J105),0)</f>
        <v>0</v>
      </c>
      <c r="M102" s="633" t="s">
        <v>2217</v>
      </c>
      <c r="N102" s="223"/>
      <c r="O102" s="631">
        <f t="shared" si="13"/>
        <v>0</v>
      </c>
    </row>
    <row r="103" spans="1:15" s="360" customFormat="1" ht="15" hidden="1">
      <c r="A103" s="356" t="s">
        <v>476</v>
      </c>
      <c r="B103" s="632" t="s">
        <v>1219</v>
      </c>
      <c r="C103" s="611">
        <f t="shared" si="10"/>
        <v>0</v>
      </c>
      <c r="D103" s="354"/>
      <c r="E103" s="607">
        <f t="shared" si="11"/>
        <v>3350.54</v>
      </c>
      <c r="F103" s="792">
        <f t="shared" si="9"/>
        <v>0</v>
      </c>
      <c r="G103" s="358">
        <f>'PART-A'!I848</f>
        <v>0</v>
      </c>
      <c r="H103" s="354" t="s">
        <v>5</v>
      </c>
      <c r="I103" s="355">
        <f>'PART-A'!K848</f>
        <v>3350.54</v>
      </c>
      <c r="J103" s="353">
        <f t="shared" si="12"/>
        <v>0</v>
      </c>
      <c r="K103" s="1680"/>
      <c r="L103" s="1680"/>
      <c r="M103" s="633" t="s">
        <v>2299</v>
      </c>
      <c r="N103" s="223"/>
      <c r="O103" s="631">
        <f t="shared" si="13"/>
        <v>0</v>
      </c>
    </row>
    <row r="104" spans="1:15" s="360" customFormat="1" ht="15" hidden="1">
      <c r="A104" s="356" t="s">
        <v>476</v>
      </c>
      <c r="B104" s="632" t="s">
        <v>1219</v>
      </c>
      <c r="C104" s="611">
        <f t="shared" si="10"/>
        <v>0</v>
      </c>
      <c r="D104" s="354"/>
      <c r="E104" s="607">
        <f t="shared" si="11"/>
        <v>3615.1600000000003</v>
      </c>
      <c r="F104" s="792">
        <f t="shared" si="9"/>
        <v>0</v>
      </c>
      <c r="G104" s="358">
        <f>'PART-A'!I855</f>
        <v>0</v>
      </c>
      <c r="H104" s="354" t="s">
        <v>5</v>
      </c>
      <c r="I104" s="355">
        <f>'PART-A'!K855</f>
        <v>3615.1600000000003</v>
      </c>
      <c r="J104" s="353">
        <f t="shared" si="12"/>
        <v>0</v>
      </c>
      <c r="K104" s="1680"/>
      <c r="L104" s="1680"/>
      <c r="M104" s="633" t="s">
        <v>2312</v>
      </c>
      <c r="N104" s="223"/>
      <c r="O104" s="631">
        <f t="shared" si="13"/>
        <v>0</v>
      </c>
    </row>
    <row r="105" spans="1:15" s="360" customFormat="1" ht="15" hidden="1">
      <c r="A105" s="356" t="s">
        <v>476</v>
      </c>
      <c r="B105" s="632" t="s">
        <v>1219</v>
      </c>
      <c r="C105" s="611">
        <f t="shared" si="10"/>
        <v>0</v>
      </c>
      <c r="D105" s="354"/>
      <c r="E105" s="607">
        <f t="shared" si="11"/>
        <v>3828.3500000000004</v>
      </c>
      <c r="F105" s="792">
        <f t="shared" si="9"/>
        <v>0</v>
      </c>
      <c r="G105" s="358">
        <f>'PART-A'!I862</f>
        <v>0</v>
      </c>
      <c r="H105" s="354" t="s">
        <v>5</v>
      </c>
      <c r="I105" s="355">
        <f>'PART-A'!K862</f>
        <v>3828.3500000000004</v>
      </c>
      <c r="J105" s="353">
        <f t="shared" si="12"/>
        <v>0</v>
      </c>
      <c r="K105" s="1681"/>
      <c r="L105" s="1681"/>
      <c r="M105" s="633" t="s">
        <v>2313</v>
      </c>
      <c r="N105" s="223"/>
      <c r="O105" s="631">
        <f t="shared" si="13"/>
        <v>0</v>
      </c>
    </row>
    <row r="106" spans="1:15" s="360" customFormat="1" ht="63.75">
      <c r="A106" s="356" t="s">
        <v>475</v>
      </c>
      <c r="B106" s="632" t="s">
        <v>3191</v>
      </c>
      <c r="C106" s="611">
        <f t="shared" si="10"/>
        <v>22.569999999999997</v>
      </c>
      <c r="D106" s="791" t="s">
        <v>5</v>
      </c>
      <c r="E106" s="607">
        <f t="shared" si="11"/>
        <v>5588.9500000000007</v>
      </c>
      <c r="F106" s="792">
        <f t="shared" si="9"/>
        <v>126143</v>
      </c>
      <c r="G106" s="358">
        <f>'PART-A'!I876</f>
        <v>22.569999999999997</v>
      </c>
      <c r="H106" s="354" t="s">
        <v>5</v>
      </c>
      <c r="I106" s="355">
        <f>'PART-A'!K876</f>
        <v>5588.9500000000007</v>
      </c>
      <c r="J106" s="353">
        <f t="shared" si="12"/>
        <v>126142.6</v>
      </c>
      <c r="K106" s="1698">
        <f>IF((J106+J107+J108+J109)&gt;(F106+F107+F108+F109),(J106+J107+J108+J109)-(F106+F107+F108+F109),0)</f>
        <v>0</v>
      </c>
      <c r="L106" s="1698">
        <f>IF((J106+J107+J108+J109)&lt;(F106+F107+F108+F109),(F106+F107+F108+F109)-(J106+J107+J108+J109),0)</f>
        <v>0.39999999999417923</v>
      </c>
      <c r="M106" s="851" t="s">
        <v>2217</v>
      </c>
      <c r="N106" s="223"/>
      <c r="O106" s="850">
        <f t="shared" si="13"/>
        <v>0.39999999999417923</v>
      </c>
    </row>
    <row r="107" spans="1:15" s="360" customFormat="1" ht="51" hidden="1">
      <c r="A107" s="356" t="s">
        <v>483</v>
      </c>
      <c r="B107" s="632" t="s">
        <v>3634</v>
      </c>
      <c r="C107" s="611">
        <f t="shared" si="10"/>
        <v>0</v>
      </c>
      <c r="D107" s="354" t="s">
        <v>5</v>
      </c>
      <c r="E107" s="607">
        <f t="shared" si="11"/>
        <v>5751.7699999999995</v>
      </c>
      <c r="F107" s="792">
        <f t="shared" si="9"/>
        <v>0</v>
      </c>
      <c r="G107" s="358">
        <f>'PART-A'!I885</f>
        <v>0</v>
      </c>
      <c r="H107" s="354" t="s">
        <v>5</v>
      </c>
      <c r="I107" s="355">
        <f>'PART-A'!K885</f>
        <v>5751.7699999999995</v>
      </c>
      <c r="J107" s="353">
        <f t="shared" si="12"/>
        <v>0</v>
      </c>
      <c r="K107" s="1680"/>
      <c r="L107" s="1680"/>
      <c r="M107" s="633" t="s">
        <v>2299</v>
      </c>
      <c r="N107" s="223"/>
      <c r="O107" s="631">
        <f t="shared" si="13"/>
        <v>0</v>
      </c>
    </row>
    <row r="108" spans="1:15" s="360" customFormat="1" ht="51" hidden="1">
      <c r="A108" s="356" t="s">
        <v>484</v>
      </c>
      <c r="B108" s="632" t="s">
        <v>3634</v>
      </c>
      <c r="C108" s="611">
        <f t="shared" si="10"/>
        <v>0</v>
      </c>
      <c r="D108" s="354" t="s">
        <v>5</v>
      </c>
      <c r="E108" s="607">
        <f t="shared" si="11"/>
        <v>6154.1100000000006</v>
      </c>
      <c r="F108" s="792">
        <f t="shared" si="9"/>
        <v>0</v>
      </c>
      <c r="G108" s="358">
        <f>'PART-A'!I896</f>
        <v>0</v>
      </c>
      <c r="H108" s="354" t="s">
        <v>5</v>
      </c>
      <c r="I108" s="355">
        <f>'PART-A'!K896</f>
        <v>6154.1100000000006</v>
      </c>
      <c r="J108" s="353">
        <f t="shared" si="12"/>
        <v>0</v>
      </c>
      <c r="K108" s="1680"/>
      <c r="L108" s="1680"/>
      <c r="M108" s="633" t="s">
        <v>2312</v>
      </c>
      <c r="N108" s="223"/>
      <c r="O108" s="631">
        <f t="shared" si="13"/>
        <v>0</v>
      </c>
    </row>
    <row r="109" spans="1:15" s="360" customFormat="1" ht="15" hidden="1">
      <c r="A109" s="356" t="s">
        <v>479</v>
      </c>
      <c r="B109" s="632" t="s">
        <v>828</v>
      </c>
      <c r="C109" s="611">
        <f t="shared" si="10"/>
        <v>0</v>
      </c>
      <c r="D109" s="354"/>
      <c r="E109" s="607">
        <f t="shared" si="11"/>
        <v>6869.83</v>
      </c>
      <c r="F109" s="792">
        <f t="shared" si="9"/>
        <v>0</v>
      </c>
      <c r="G109" s="358">
        <f>'PART-A'!I914</f>
        <v>0</v>
      </c>
      <c r="H109" s="354" t="s">
        <v>5</v>
      </c>
      <c r="I109" s="355">
        <f>'PART-A'!K914</f>
        <v>6869.83</v>
      </c>
      <c r="J109" s="353">
        <f t="shared" si="12"/>
        <v>0</v>
      </c>
      <c r="K109" s="1681"/>
      <c r="L109" s="1681"/>
      <c r="M109" s="633" t="s">
        <v>2313</v>
      </c>
      <c r="N109" s="223"/>
      <c r="O109" s="631">
        <f t="shared" si="13"/>
        <v>0</v>
      </c>
    </row>
    <row r="110" spans="1:15" s="360" customFormat="1" ht="63.75">
      <c r="A110" s="356" t="s">
        <v>476</v>
      </c>
      <c r="B110" s="632" t="s">
        <v>3192</v>
      </c>
      <c r="C110" s="611">
        <f t="shared" si="10"/>
        <v>17.52</v>
      </c>
      <c r="D110" s="791" t="s">
        <v>5</v>
      </c>
      <c r="E110" s="607">
        <f t="shared" si="11"/>
        <v>5645.35</v>
      </c>
      <c r="F110" s="792">
        <f t="shared" si="9"/>
        <v>98907</v>
      </c>
      <c r="G110" s="358">
        <f>'PART-A'!I934</f>
        <v>17.52</v>
      </c>
      <c r="H110" s="354" t="s">
        <v>5</v>
      </c>
      <c r="I110" s="355">
        <f>'PART-A'!K934</f>
        <v>5645.35</v>
      </c>
      <c r="J110" s="353">
        <f t="shared" si="12"/>
        <v>98906.53</v>
      </c>
      <c r="K110" s="1698">
        <f>IF((J110+J111+J112+J113)&gt;(F110+F111+F112+F113),(J110+J111+J112+J113)-(F110+F111+F112+F113),0)</f>
        <v>0</v>
      </c>
      <c r="L110" s="1698">
        <f>IF((J110+J111+J112+J113)&lt;(F110+F111+F112+F113),(F110+F111+F112+F113)-(J110+J111+J112+J113),0)</f>
        <v>0.47000000000116415</v>
      </c>
      <c r="M110" s="851" t="s">
        <v>2217</v>
      </c>
      <c r="N110" s="223"/>
      <c r="O110" s="850">
        <f t="shared" si="13"/>
        <v>0.47000000000116415</v>
      </c>
    </row>
    <row r="111" spans="1:15" s="360" customFormat="1" ht="51" hidden="1">
      <c r="A111" s="356" t="s">
        <v>485</v>
      </c>
      <c r="B111" s="632" t="s">
        <v>3635</v>
      </c>
      <c r="C111" s="611">
        <f t="shared" si="10"/>
        <v>0</v>
      </c>
      <c r="D111" s="354" t="s">
        <v>5</v>
      </c>
      <c r="E111" s="607">
        <f t="shared" si="11"/>
        <v>5808.1699999999992</v>
      </c>
      <c r="F111" s="792">
        <f t="shared" si="9"/>
        <v>0</v>
      </c>
      <c r="G111" s="358">
        <f>'PART-A'!I950</f>
        <v>0</v>
      </c>
      <c r="H111" s="354" t="s">
        <v>5</v>
      </c>
      <c r="I111" s="355">
        <f>'PART-A'!K950</f>
        <v>5808.1699999999992</v>
      </c>
      <c r="J111" s="353">
        <f t="shared" si="12"/>
        <v>0</v>
      </c>
      <c r="K111" s="1680"/>
      <c r="L111" s="1680"/>
      <c r="M111" s="633" t="s">
        <v>2299</v>
      </c>
      <c r="N111" s="223"/>
      <c r="O111" s="631">
        <f t="shared" si="13"/>
        <v>0</v>
      </c>
    </row>
    <row r="112" spans="1:15" s="360" customFormat="1" ht="15" hidden="1">
      <c r="A112" s="356" t="s">
        <v>490</v>
      </c>
      <c r="B112" s="632" t="s">
        <v>829</v>
      </c>
      <c r="C112" s="611">
        <f t="shared" si="10"/>
        <v>0</v>
      </c>
      <c r="D112" s="354"/>
      <c r="E112" s="607">
        <f t="shared" si="11"/>
        <v>6210.51</v>
      </c>
      <c r="F112" s="792">
        <f t="shared" si="9"/>
        <v>0</v>
      </c>
      <c r="G112" s="358">
        <f>'PART-A'!I956</f>
        <v>0</v>
      </c>
      <c r="H112" s="354" t="s">
        <v>5</v>
      </c>
      <c r="I112" s="355">
        <f>'PART-A'!K956</f>
        <v>6210.51</v>
      </c>
      <c r="J112" s="353">
        <f t="shared" si="12"/>
        <v>0</v>
      </c>
      <c r="K112" s="1680"/>
      <c r="L112" s="1680"/>
      <c r="M112" s="633" t="s">
        <v>2312</v>
      </c>
      <c r="N112" s="223"/>
      <c r="O112" s="631">
        <f t="shared" si="13"/>
        <v>0</v>
      </c>
    </row>
    <row r="113" spans="1:15" s="360" customFormat="1" ht="63.75" hidden="1">
      <c r="A113" s="356" t="s">
        <v>478</v>
      </c>
      <c r="B113" s="632" t="s">
        <v>3192</v>
      </c>
      <c r="C113" s="611">
        <f t="shared" si="10"/>
        <v>0</v>
      </c>
      <c r="D113" s="354" t="s">
        <v>5</v>
      </c>
      <c r="E113" s="607">
        <f t="shared" si="11"/>
        <v>6926.2300000000005</v>
      </c>
      <c r="F113" s="792">
        <f t="shared" si="9"/>
        <v>0</v>
      </c>
      <c r="G113" s="358">
        <f>'PART-A'!I1010</f>
        <v>0</v>
      </c>
      <c r="H113" s="354" t="s">
        <v>5</v>
      </c>
      <c r="I113" s="355">
        <f>'PART-A'!K1010</f>
        <v>6926.2300000000005</v>
      </c>
      <c r="J113" s="353">
        <f t="shared" si="12"/>
        <v>0</v>
      </c>
      <c r="K113" s="1681"/>
      <c r="L113" s="1681"/>
      <c r="M113" s="633" t="s">
        <v>2313</v>
      </c>
      <c r="N113" s="223"/>
      <c r="O113" s="631">
        <f t="shared" si="13"/>
        <v>0</v>
      </c>
    </row>
    <row r="114" spans="1:15" s="360" customFormat="1" ht="51">
      <c r="A114" s="356" t="s">
        <v>478</v>
      </c>
      <c r="B114" s="632" t="s">
        <v>3193</v>
      </c>
      <c r="C114" s="611">
        <f t="shared" si="10"/>
        <v>78.33</v>
      </c>
      <c r="D114" s="791" t="s">
        <v>102</v>
      </c>
      <c r="E114" s="607">
        <f t="shared" si="11"/>
        <v>710.66</v>
      </c>
      <c r="F114" s="792">
        <f t="shared" si="9"/>
        <v>55666</v>
      </c>
      <c r="G114" s="358">
        <f>'PART-A'!I1037</f>
        <v>78.33</v>
      </c>
      <c r="H114" s="354" t="s">
        <v>102</v>
      </c>
      <c r="I114" s="355">
        <f>'PART-A'!K1037</f>
        <v>710.66</v>
      </c>
      <c r="J114" s="353">
        <f t="shared" si="12"/>
        <v>55666</v>
      </c>
      <c r="K114" s="1698">
        <f>IF((J114+J115+J116+J117)&gt;(F114+F115+F116+F117),(J114+J115+J116+J117)-(F114+F115+F116+F117),0)</f>
        <v>0</v>
      </c>
      <c r="L114" s="1698">
        <f>IF((J114+J115+J116+J117)&lt;(F114+F115+F116+F117),(F114+F115+F116+F117)-(J114+J115+J116+J117),0)</f>
        <v>0</v>
      </c>
      <c r="M114" s="851" t="s">
        <v>2217</v>
      </c>
      <c r="N114" s="223"/>
      <c r="O114" s="850">
        <f t="shared" si="13"/>
        <v>0</v>
      </c>
    </row>
    <row r="115" spans="1:15" s="360" customFormat="1" ht="51" hidden="1">
      <c r="A115" s="356" t="s">
        <v>486</v>
      </c>
      <c r="B115" s="632" t="s">
        <v>3193</v>
      </c>
      <c r="C115" s="611">
        <f t="shared" si="10"/>
        <v>0</v>
      </c>
      <c r="D115" s="354" t="s">
        <v>102</v>
      </c>
      <c r="E115" s="607">
        <f t="shared" si="11"/>
        <v>732.88</v>
      </c>
      <c r="F115" s="792">
        <f t="shared" si="9"/>
        <v>0</v>
      </c>
      <c r="G115" s="358">
        <f>'PART-A'!I1060</f>
        <v>0</v>
      </c>
      <c r="H115" s="354" t="s">
        <v>102</v>
      </c>
      <c r="I115" s="355">
        <f>'PART-A'!K1060</f>
        <v>732.88</v>
      </c>
      <c r="J115" s="353">
        <f t="shared" si="12"/>
        <v>0</v>
      </c>
      <c r="K115" s="1680"/>
      <c r="L115" s="1680"/>
      <c r="M115" s="633" t="s">
        <v>2299</v>
      </c>
      <c r="N115" s="223"/>
      <c r="O115" s="631">
        <f t="shared" si="13"/>
        <v>0</v>
      </c>
    </row>
    <row r="116" spans="1:15" s="360" customFormat="1" ht="15" hidden="1">
      <c r="A116" s="356" t="s">
        <v>484</v>
      </c>
      <c r="B116" s="632" t="s">
        <v>2447</v>
      </c>
      <c r="C116" s="611">
        <f t="shared" si="10"/>
        <v>0</v>
      </c>
      <c r="D116" s="354"/>
      <c r="E116" s="607">
        <f t="shared" si="11"/>
        <v>782.58</v>
      </c>
      <c r="F116" s="792">
        <f t="shared" si="9"/>
        <v>0</v>
      </c>
      <c r="G116" s="358">
        <f>'PART-A'!I1067</f>
        <v>0</v>
      </c>
      <c r="H116" s="354" t="s">
        <v>102</v>
      </c>
      <c r="I116" s="355">
        <f>'PART-A'!K1067</f>
        <v>782.58</v>
      </c>
      <c r="J116" s="353">
        <f t="shared" si="12"/>
        <v>0</v>
      </c>
      <c r="K116" s="1680"/>
      <c r="L116" s="1680"/>
      <c r="M116" s="633" t="s">
        <v>2312</v>
      </c>
      <c r="N116" s="223"/>
      <c r="O116" s="631">
        <f t="shared" si="13"/>
        <v>0</v>
      </c>
    </row>
    <row r="117" spans="1:15" s="360" customFormat="1" ht="51" hidden="1">
      <c r="A117" s="356" t="s">
        <v>479</v>
      </c>
      <c r="B117" s="632" t="s">
        <v>3193</v>
      </c>
      <c r="C117" s="611">
        <f t="shared" si="10"/>
        <v>0</v>
      </c>
      <c r="D117" s="354" t="s">
        <v>102</v>
      </c>
      <c r="E117" s="607">
        <f t="shared" si="11"/>
        <v>865.32</v>
      </c>
      <c r="F117" s="792">
        <f t="shared" si="9"/>
        <v>0</v>
      </c>
      <c r="G117" s="358">
        <f>'PART-A'!I1121</f>
        <v>0</v>
      </c>
      <c r="H117" s="354" t="s">
        <v>102</v>
      </c>
      <c r="I117" s="355">
        <f>'PART-A'!K1121</f>
        <v>865.32</v>
      </c>
      <c r="J117" s="353">
        <f t="shared" si="12"/>
        <v>0</v>
      </c>
      <c r="K117" s="1681"/>
      <c r="L117" s="1681"/>
      <c r="M117" s="633" t="s">
        <v>2313</v>
      </c>
      <c r="N117" s="223"/>
      <c r="O117" s="631">
        <f t="shared" si="13"/>
        <v>0</v>
      </c>
    </row>
    <row r="118" spans="1:15" s="360" customFormat="1" ht="15" hidden="1">
      <c r="A118" s="356" t="s">
        <v>482</v>
      </c>
      <c r="B118" s="632" t="s">
        <v>1221</v>
      </c>
      <c r="C118" s="611">
        <f t="shared" si="10"/>
        <v>0</v>
      </c>
      <c r="D118" s="354"/>
      <c r="E118" s="607">
        <f t="shared" si="11"/>
        <v>5224.74</v>
      </c>
      <c r="F118" s="792">
        <f t="shared" si="9"/>
        <v>0</v>
      </c>
      <c r="G118" s="358">
        <f>'PART-A'!I1129</f>
        <v>0</v>
      </c>
      <c r="H118" s="354" t="s">
        <v>102</v>
      </c>
      <c r="I118" s="355">
        <f>'PART-A'!K1129</f>
        <v>5224.74</v>
      </c>
      <c r="J118" s="353">
        <f t="shared" si="12"/>
        <v>0</v>
      </c>
      <c r="K118" s="1679">
        <f>IF((J118+J119+J120+J121)&gt;(F118+F119+F120+F121),(J118+J119+J120+J121)-(F118+F119+F120+F121),0)</f>
        <v>0</v>
      </c>
      <c r="L118" s="1679">
        <f>IF((J118+J119+J120+J121)&lt;(F118+F119+F120+F121),(F118+F119+F120+F121)-(J118+J119+J120+J121),0)</f>
        <v>0</v>
      </c>
      <c r="M118" s="633" t="s">
        <v>2217</v>
      </c>
      <c r="N118" s="223"/>
      <c r="O118" s="631">
        <f t="shared" si="13"/>
        <v>0</v>
      </c>
    </row>
    <row r="119" spans="1:15" s="360" customFormat="1" ht="15" hidden="1">
      <c r="A119" s="356" t="s">
        <v>482</v>
      </c>
      <c r="B119" s="632" t="s">
        <v>1221</v>
      </c>
      <c r="C119" s="611">
        <f t="shared" si="10"/>
        <v>0</v>
      </c>
      <c r="D119" s="354"/>
      <c r="E119" s="607">
        <f t="shared" si="11"/>
        <v>5403.9299999999994</v>
      </c>
      <c r="F119" s="792">
        <f t="shared" si="9"/>
        <v>0</v>
      </c>
      <c r="G119" s="358">
        <f>'PART-A'!I1137</f>
        <v>0</v>
      </c>
      <c r="H119" s="354" t="s">
        <v>102</v>
      </c>
      <c r="I119" s="355">
        <f>'PART-A'!K1137</f>
        <v>5403.9299999999994</v>
      </c>
      <c r="J119" s="353">
        <f t="shared" si="12"/>
        <v>0</v>
      </c>
      <c r="K119" s="1680"/>
      <c r="L119" s="1680"/>
      <c r="M119" s="633" t="s">
        <v>2299</v>
      </c>
      <c r="N119" s="223"/>
      <c r="O119" s="631">
        <f t="shared" si="13"/>
        <v>0</v>
      </c>
    </row>
    <row r="120" spans="1:15" s="360" customFormat="1" ht="15" hidden="1">
      <c r="A120" s="356" t="s">
        <v>482</v>
      </c>
      <c r="B120" s="632" t="s">
        <v>1221</v>
      </c>
      <c r="C120" s="611">
        <f t="shared" si="10"/>
        <v>0</v>
      </c>
      <c r="D120" s="354"/>
      <c r="E120" s="607">
        <f t="shared" si="11"/>
        <v>5899.35</v>
      </c>
      <c r="F120" s="792">
        <f t="shared" si="9"/>
        <v>0</v>
      </c>
      <c r="G120" s="358">
        <f>'PART-A'!I1145</f>
        <v>0</v>
      </c>
      <c r="H120" s="354" t="s">
        <v>102</v>
      </c>
      <c r="I120" s="355">
        <f>'PART-A'!K1145</f>
        <v>5899.35</v>
      </c>
      <c r="J120" s="353">
        <f t="shared" si="12"/>
        <v>0</v>
      </c>
      <c r="K120" s="1680"/>
      <c r="L120" s="1680"/>
      <c r="M120" s="633" t="s">
        <v>2312</v>
      </c>
      <c r="N120" s="223"/>
      <c r="O120" s="631">
        <f t="shared" si="13"/>
        <v>0</v>
      </c>
    </row>
    <row r="121" spans="1:15" s="360" customFormat="1" ht="15" hidden="1">
      <c r="A121" s="356" t="s">
        <v>482</v>
      </c>
      <c r="B121" s="632" t="s">
        <v>1221</v>
      </c>
      <c r="C121" s="611">
        <f t="shared" si="10"/>
        <v>0</v>
      </c>
      <c r="D121" s="354"/>
      <c r="E121" s="607">
        <f t="shared" si="11"/>
        <v>6281.3700000000008</v>
      </c>
      <c r="F121" s="792">
        <f t="shared" si="9"/>
        <v>0</v>
      </c>
      <c r="G121" s="358">
        <f>'PART-A'!I1153</f>
        <v>0</v>
      </c>
      <c r="H121" s="354" t="s">
        <v>102</v>
      </c>
      <c r="I121" s="355">
        <f>'PART-A'!K1153</f>
        <v>6281.3700000000008</v>
      </c>
      <c r="J121" s="353">
        <f t="shared" si="12"/>
        <v>0</v>
      </c>
      <c r="K121" s="1681"/>
      <c r="L121" s="1681"/>
      <c r="M121" s="633" t="s">
        <v>2313</v>
      </c>
      <c r="N121" s="223"/>
      <c r="O121" s="631">
        <f t="shared" si="13"/>
        <v>0</v>
      </c>
    </row>
    <row r="122" spans="1:15" s="360" customFormat="1" ht="38.25" hidden="1">
      <c r="A122" s="356" t="s">
        <v>478</v>
      </c>
      <c r="B122" s="632" t="s">
        <v>3291</v>
      </c>
      <c r="C122" s="611">
        <f t="shared" si="10"/>
        <v>0</v>
      </c>
      <c r="D122" s="354"/>
      <c r="E122" s="607">
        <f t="shared" si="11"/>
        <v>1815.79</v>
      </c>
      <c r="F122" s="792">
        <f t="shared" si="9"/>
        <v>0</v>
      </c>
      <c r="G122" s="358">
        <f>'PART-A'!I1159</f>
        <v>0</v>
      </c>
      <c r="H122" s="354" t="s">
        <v>102</v>
      </c>
      <c r="I122" s="355">
        <f>'PART-A'!K1159</f>
        <v>1815.79</v>
      </c>
      <c r="J122" s="353">
        <f t="shared" si="12"/>
        <v>0</v>
      </c>
      <c r="K122" s="1679">
        <f>IF((J122+J123+J124+J125)&gt;(F122+F123+F124+F125),(J122+J123+J124+J125)-(F122+F123+F124+F125),0)</f>
        <v>0</v>
      </c>
      <c r="L122" s="1679">
        <f>IF((J122+J123+J124+J125)&lt;(F122+F123+F124+F125),(F122+F123+F124+F125)-(J122+J123+J124+J125),0)</f>
        <v>0</v>
      </c>
      <c r="M122" s="633" t="s">
        <v>2217</v>
      </c>
      <c r="N122" s="223"/>
      <c r="O122" s="631">
        <f t="shared" si="13"/>
        <v>0</v>
      </c>
    </row>
    <row r="123" spans="1:15" s="360" customFormat="1" ht="15" hidden="1">
      <c r="A123" s="356" t="s">
        <v>479</v>
      </c>
      <c r="B123" s="632" t="s">
        <v>1214</v>
      </c>
      <c r="C123" s="611">
        <f t="shared" si="10"/>
        <v>0</v>
      </c>
      <c r="D123" s="354"/>
      <c r="E123" s="607">
        <f t="shared" si="11"/>
        <v>1966.77</v>
      </c>
      <c r="F123" s="792">
        <f t="shared" si="9"/>
        <v>0</v>
      </c>
      <c r="G123" s="358">
        <f>'PART-A'!I1166</f>
        <v>0</v>
      </c>
      <c r="H123" s="354" t="s">
        <v>102</v>
      </c>
      <c r="I123" s="355">
        <f>'PART-A'!K1166</f>
        <v>1966.77</v>
      </c>
      <c r="J123" s="353">
        <f t="shared" si="12"/>
        <v>0</v>
      </c>
      <c r="K123" s="1680"/>
      <c r="L123" s="1680"/>
      <c r="M123" s="633" t="s">
        <v>2299</v>
      </c>
      <c r="N123" s="223"/>
      <c r="O123" s="631">
        <f t="shared" si="13"/>
        <v>0</v>
      </c>
    </row>
    <row r="124" spans="1:15" s="360" customFormat="1" ht="15" hidden="1">
      <c r="A124" s="356" t="s">
        <v>479</v>
      </c>
      <c r="B124" s="632" t="s">
        <v>1214</v>
      </c>
      <c r="C124" s="611">
        <f t="shared" si="10"/>
        <v>0</v>
      </c>
      <c r="D124" s="354"/>
      <c r="E124" s="607">
        <f t="shared" si="11"/>
        <v>2093.16</v>
      </c>
      <c r="F124" s="792">
        <f t="shared" si="9"/>
        <v>0</v>
      </c>
      <c r="G124" s="358">
        <f>'PART-A'!I1171</f>
        <v>0</v>
      </c>
      <c r="H124" s="354" t="s">
        <v>102</v>
      </c>
      <c r="I124" s="355">
        <f>'PART-A'!K1171</f>
        <v>2093.16</v>
      </c>
      <c r="J124" s="353">
        <f t="shared" si="12"/>
        <v>0</v>
      </c>
      <c r="K124" s="1680"/>
      <c r="L124" s="1680"/>
      <c r="M124" s="633" t="s">
        <v>2312</v>
      </c>
      <c r="N124" s="223"/>
      <c r="O124" s="631">
        <f t="shared" si="13"/>
        <v>0</v>
      </c>
    </row>
    <row r="125" spans="1:15" s="360" customFormat="1" ht="15" hidden="1">
      <c r="A125" s="356" t="s">
        <v>479</v>
      </c>
      <c r="B125" s="632" t="s">
        <v>1214</v>
      </c>
      <c r="C125" s="611">
        <f t="shared" si="10"/>
        <v>0</v>
      </c>
      <c r="D125" s="354"/>
      <c r="E125" s="607">
        <f t="shared" si="11"/>
        <v>2232.9699999999998</v>
      </c>
      <c r="F125" s="792">
        <f t="shared" si="9"/>
        <v>0</v>
      </c>
      <c r="G125" s="358">
        <f>'PART-A'!I1178</f>
        <v>0</v>
      </c>
      <c r="H125" s="354" t="s">
        <v>102</v>
      </c>
      <c r="I125" s="355">
        <f>'PART-A'!K1178</f>
        <v>2232.9699999999998</v>
      </c>
      <c r="J125" s="353">
        <f t="shared" si="12"/>
        <v>0</v>
      </c>
      <c r="K125" s="1681"/>
      <c r="L125" s="1681"/>
      <c r="M125" s="633" t="s">
        <v>2313</v>
      </c>
      <c r="N125" s="223"/>
      <c r="O125" s="631">
        <f t="shared" si="13"/>
        <v>0</v>
      </c>
    </row>
    <row r="126" spans="1:15" s="360" customFormat="1" ht="63.75">
      <c r="A126" s="356" t="s">
        <v>479</v>
      </c>
      <c r="B126" s="632" t="s">
        <v>3194</v>
      </c>
      <c r="C126" s="611">
        <f t="shared" si="10"/>
        <v>134.56000000000003</v>
      </c>
      <c r="D126" s="791" t="s">
        <v>102</v>
      </c>
      <c r="E126" s="607">
        <f t="shared" si="11"/>
        <v>264.94</v>
      </c>
      <c r="F126" s="792">
        <f t="shared" si="9"/>
        <v>35650</v>
      </c>
      <c r="G126" s="358">
        <f>'PART-A'!I1200</f>
        <v>134.56000000000003</v>
      </c>
      <c r="H126" s="354" t="s">
        <v>102</v>
      </c>
      <c r="I126" s="355">
        <f>'PART-A'!K1200</f>
        <v>264.94</v>
      </c>
      <c r="J126" s="353">
        <f t="shared" si="12"/>
        <v>35650.33</v>
      </c>
      <c r="K126" s="1698">
        <f>IF((J126+J127+J128+J129)&gt;(F126+F127+F128+F129),(J126+J127+J128+J129)-(F126+F127+F128+F129),0)</f>
        <v>0.33000000000174623</v>
      </c>
      <c r="L126" s="1698">
        <f>IF((J126+J127+J128+J129)&lt;(F126+F127+F128+F129),(F126+F127+F128+F129)-(J126+J127+J128+J129),0)</f>
        <v>0</v>
      </c>
      <c r="M126" s="851" t="s">
        <v>2217</v>
      </c>
      <c r="N126" s="223"/>
      <c r="O126" s="850">
        <f t="shared" si="13"/>
        <v>-0.33000000000174623</v>
      </c>
    </row>
    <row r="127" spans="1:15" s="360" customFormat="1" ht="63.75" hidden="1">
      <c r="A127" s="356" t="s">
        <v>487</v>
      </c>
      <c r="B127" s="632" t="s">
        <v>3194</v>
      </c>
      <c r="C127" s="611">
        <f t="shared" si="10"/>
        <v>0</v>
      </c>
      <c r="D127" s="354" t="s">
        <v>102</v>
      </c>
      <c r="E127" s="607">
        <f t="shared" si="11"/>
        <v>284</v>
      </c>
      <c r="F127" s="792">
        <f t="shared" si="9"/>
        <v>0</v>
      </c>
      <c r="G127" s="358">
        <f>'PART-A'!I1220</f>
        <v>0</v>
      </c>
      <c r="H127" s="354" t="s">
        <v>102</v>
      </c>
      <c r="I127" s="355">
        <f>'PART-A'!K1220</f>
        <v>284</v>
      </c>
      <c r="J127" s="353">
        <f t="shared" si="12"/>
        <v>0</v>
      </c>
      <c r="K127" s="1680"/>
      <c r="L127" s="1680"/>
      <c r="M127" s="633" t="s">
        <v>2299</v>
      </c>
      <c r="N127" s="223"/>
      <c r="O127" s="631">
        <f t="shared" si="13"/>
        <v>0</v>
      </c>
    </row>
    <row r="128" spans="1:15" s="360" customFormat="1" ht="15" hidden="1">
      <c r="A128" s="356" t="s">
        <v>492</v>
      </c>
      <c r="B128" s="632" t="s">
        <v>481</v>
      </c>
      <c r="C128" s="611">
        <f t="shared" si="10"/>
        <v>0</v>
      </c>
      <c r="D128" s="354"/>
      <c r="E128" s="607">
        <f t="shared" si="11"/>
        <v>300.93</v>
      </c>
      <c r="F128" s="792">
        <f t="shared" si="9"/>
        <v>0</v>
      </c>
      <c r="G128" s="358">
        <f>'PART-A'!I1247</f>
        <v>0</v>
      </c>
      <c r="H128" s="354" t="s">
        <v>102</v>
      </c>
      <c r="I128" s="355">
        <f>'PART-A'!K1247</f>
        <v>300.93</v>
      </c>
      <c r="J128" s="353">
        <f t="shared" si="12"/>
        <v>0</v>
      </c>
      <c r="K128" s="1680"/>
      <c r="L128" s="1680"/>
      <c r="M128" s="633" t="s">
        <v>2312</v>
      </c>
      <c r="N128" s="223"/>
      <c r="O128" s="631">
        <f t="shared" si="13"/>
        <v>0</v>
      </c>
    </row>
    <row r="129" spans="1:15" s="360" customFormat="1" ht="15" hidden="1">
      <c r="A129" s="356" t="s">
        <v>484</v>
      </c>
      <c r="B129" s="632" t="s">
        <v>481</v>
      </c>
      <c r="C129" s="611">
        <f t="shared" si="10"/>
        <v>0</v>
      </c>
      <c r="D129" s="354"/>
      <c r="E129" s="607">
        <f t="shared" si="11"/>
        <v>318.2</v>
      </c>
      <c r="F129" s="792">
        <f t="shared" si="9"/>
        <v>0</v>
      </c>
      <c r="G129" s="358">
        <f>'PART-A'!I1265</f>
        <v>0</v>
      </c>
      <c r="H129" s="354" t="s">
        <v>102</v>
      </c>
      <c r="I129" s="355">
        <f>'PART-A'!K1265</f>
        <v>318.2</v>
      </c>
      <c r="J129" s="353">
        <f t="shared" si="12"/>
        <v>0</v>
      </c>
      <c r="K129" s="1681"/>
      <c r="L129" s="1681"/>
      <c r="M129" s="633" t="s">
        <v>2313</v>
      </c>
      <c r="N129" s="223"/>
      <c r="O129" s="631">
        <f t="shared" si="13"/>
        <v>0</v>
      </c>
    </row>
    <row r="130" spans="1:15" s="360" customFormat="1" ht="15" hidden="1">
      <c r="A130" s="356" t="s">
        <v>483</v>
      </c>
      <c r="B130" s="632" t="s">
        <v>505</v>
      </c>
      <c r="C130" s="611">
        <f t="shared" si="10"/>
        <v>0</v>
      </c>
      <c r="D130" s="354"/>
      <c r="E130" s="607">
        <f t="shared" si="11"/>
        <v>242.02</v>
      </c>
      <c r="F130" s="792">
        <f t="shared" si="9"/>
        <v>0</v>
      </c>
      <c r="G130" s="358">
        <f>'PART-A'!I1272</f>
        <v>0</v>
      </c>
      <c r="H130" s="354" t="s">
        <v>102</v>
      </c>
      <c r="I130" s="355">
        <f>'PART-A'!K1272</f>
        <v>242.02</v>
      </c>
      <c r="J130" s="353">
        <f t="shared" si="12"/>
        <v>0</v>
      </c>
      <c r="K130" s="1679">
        <f>IF((J130+J131+J132+J133)&gt;(F130+F131+F132+F133),(J130+J131+J132+J133)-(F130+F131+F132+F133),0)</f>
        <v>0</v>
      </c>
      <c r="L130" s="1679">
        <f>IF((J130+J131+J132+J133)&lt;(F130+F131+F132+F133),(F130+F131+F132+F133)-(J130+J131+J132+J133),0)</f>
        <v>0</v>
      </c>
      <c r="M130" s="633" t="s">
        <v>2217</v>
      </c>
      <c r="N130" s="223"/>
      <c r="O130" s="631">
        <f t="shared" si="13"/>
        <v>0</v>
      </c>
    </row>
    <row r="131" spans="1:15" s="360" customFormat="1" ht="15" hidden="1">
      <c r="A131" s="356" t="s">
        <v>483</v>
      </c>
      <c r="B131" s="632" t="s">
        <v>505</v>
      </c>
      <c r="C131" s="611">
        <f t="shared" si="10"/>
        <v>0</v>
      </c>
      <c r="D131" s="354"/>
      <c r="E131" s="607">
        <f t="shared" si="11"/>
        <v>261.07</v>
      </c>
      <c r="F131" s="792">
        <f t="shared" si="9"/>
        <v>0</v>
      </c>
      <c r="G131" s="358">
        <f>'PART-A'!I1279</f>
        <v>0</v>
      </c>
      <c r="H131" s="354" t="s">
        <v>102</v>
      </c>
      <c r="I131" s="355">
        <f>'PART-A'!K1279</f>
        <v>261.07</v>
      </c>
      <c r="J131" s="353">
        <f t="shared" si="12"/>
        <v>0</v>
      </c>
      <c r="K131" s="1680"/>
      <c r="L131" s="1680"/>
      <c r="M131" s="633" t="s">
        <v>2299</v>
      </c>
      <c r="N131" s="223"/>
      <c r="O131" s="631">
        <f t="shared" si="13"/>
        <v>0</v>
      </c>
    </row>
    <row r="132" spans="1:15" s="360" customFormat="1" ht="15" hidden="1">
      <c r="A132" s="356" t="s">
        <v>488</v>
      </c>
      <c r="B132" s="632" t="s">
        <v>505</v>
      </c>
      <c r="C132" s="611">
        <f t="shared" si="10"/>
        <v>0</v>
      </c>
      <c r="D132" s="354" t="s">
        <v>102</v>
      </c>
      <c r="E132" s="607">
        <f t="shared" si="11"/>
        <v>277.43</v>
      </c>
      <c r="F132" s="792">
        <f t="shared" si="9"/>
        <v>0</v>
      </c>
      <c r="G132" s="358">
        <f>'PART-A'!I1287</f>
        <v>0</v>
      </c>
      <c r="H132" s="354" t="s">
        <v>102</v>
      </c>
      <c r="I132" s="355">
        <f>'PART-A'!K1287</f>
        <v>277.43</v>
      </c>
      <c r="J132" s="353">
        <f t="shared" si="12"/>
        <v>0</v>
      </c>
      <c r="K132" s="1680"/>
      <c r="L132" s="1680"/>
      <c r="M132" s="633" t="s">
        <v>2312</v>
      </c>
      <c r="N132" s="223"/>
      <c r="O132" s="631">
        <f t="shared" si="13"/>
        <v>0</v>
      </c>
    </row>
    <row r="133" spans="1:15" s="360" customFormat="1" ht="15" hidden="1">
      <c r="A133" s="356" t="s">
        <v>483</v>
      </c>
      <c r="B133" s="632" t="s">
        <v>505</v>
      </c>
      <c r="C133" s="611">
        <f t="shared" si="10"/>
        <v>0</v>
      </c>
      <c r="D133" s="354"/>
      <c r="E133" s="607">
        <f t="shared" si="11"/>
        <v>294.70999999999998</v>
      </c>
      <c r="F133" s="792">
        <f t="shared" si="9"/>
        <v>0</v>
      </c>
      <c r="G133" s="358">
        <f>'PART-A'!I1294</f>
        <v>0</v>
      </c>
      <c r="H133" s="354" t="s">
        <v>102</v>
      </c>
      <c r="I133" s="355">
        <f>'PART-A'!K1294</f>
        <v>294.70999999999998</v>
      </c>
      <c r="J133" s="353">
        <f t="shared" si="12"/>
        <v>0</v>
      </c>
      <c r="K133" s="1681"/>
      <c r="L133" s="1681"/>
      <c r="M133" s="633" t="s">
        <v>2313</v>
      </c>
      <c r="N133" s="223"/>
      <c r="O133" s="631">
        <f t="shared" si="13"/>
        <v>0</v>
      </c>
    </row>
    <row r="134" spans="1:15" s="360" customFormat="1" ht="63.75" hidden="1">
      <c r="A134" s="356" t="s">
        <v>480</v>
      </c>
      <c r="B134" s="632" t="s">
        <v>3195</v>
      </c>
      <c r="C134" s="611">
        <f t="shared" si="10"/>
        <v>0</v>
      </c>
      <c r="D134" s="354" t="s">
        <v>102</v>
      </c>
      <c r="E134" s="607">
        <f t="shared" si="11"/>
        <v>259.87</v>
      </c>
      <c r="F134" s="792">
        <f t="shared" si="9"/>
        <v>0</v>
      </c>
      <c r="G134" s="358">
        <f>'PART-A'!I1299</f>
        <v>0</v>
      </c>
      <c r="H134" s="354" t="s">
        <v>102</v>
      </c>
      <c r="I134" s="355">
        <f>'PART-A'!K1299</f>
        <v>259.87</v>
      </c>
      <c r="J134" s="353">
        <f t="shared" si="12"/>
        <v>0</v>
      </c>
      <c r="K134" s="1698">
        <f>IF((J134+J135+J136+J137)&gt;(F134+F135+F136+F137),(J134+J135+J136+J137)-(F134+F135+F136+F137),0)</f>
        <v>0</v>
      </c>
      <c r="L134" s="1698">
        <f>IF((J134+J135+J136+J137)&lt;(F134+F135+F136+F137),(F134+F135+F136+F137)-(J134+J135+J136+J137),0)</f>
        <v>0</v>
      </c>
      <c r="M134" s="851" t="s">
        <v>2217</v>
      </c>
      <c r="N134" s="223"/>
      <c r="O134" s="850">
        <f t="shared" si="13"/>
        <v>0</v>
      </c>
    </row>
    <row r="135" spans="1:15" s="360" customFormat="1" ht="15" hidden="1">
      <c r="A135" s="356" t="s">
        <v>484</v>
      </c>
      <c r="B135" s="632" t="s">
        <v>631</v>
      </c>
      <c r="C135" s="611">
        <f t="shared" si="10"/>
        <v>0</v>
      </c>
      <c r="D135" s="354"/>
      <c r="E135" s="607">
        <f t="shared" si="11"/>
        <v>279.49</v>
      </c>
      <c r="F135" s="792">
        <f t="shared" si="9"/>
        <v>0</v>
      </c>
      <c r="G135" s="358">
        <f>'PART-A'!I1306</f>
        <v>0</v>
      </c>
      <c r="H135" s="354" t="s">
        <v>102</v>
      </c>
      <c r="I135" s="355">
        <f>'PART-A'!K1306</f>
        <v>279.49</v>
      </c>
      <c r="J135" s="353">
        <f t="shared" si="12"/>
        <v>0</v>
      </c>
      <c r="K135" s="1680"/>
      <c r="L135" s="1680"/>
      <c r="M135" s="633" t="s">
        <v>2299</v>
      </c>
      <c r="N135" s="223"/>
      <c r="O135" s="631">
        <f t="shared" si="13"/>
        <v>0</v>
      </c>
    </row>
    <row r="136" spans="1:15" s="360" customFormat="1" ht="15" hidden="1">
      <c r="A136" s="356" t="s">
        <v>484</v>
      </c>
      <c r="B136" s="632" t="s">
        <v>631</v>
      </c>
      <c r="C136" s="611">
        <f t="shared" si="10"/>
        <v>0</v>
      </c>
      <c r="D136" s="354"/>
      <c r="E136" s="607">
        <f t="shared" si="11"/>
        <v>297.13</v>
      </c>
      <c r="F136" s="792">
        <f t="shared" si="9"/>
        <v>0</v>
      </c>
      <c r="G136" s="358">
        <f>'PART-A'!I1313</f>
        <v>0</v>
      </c>
      <c r="H136" s="354" t="s">
        <v>102</v>
      </c>
      <c r="I136" s="355">
        <f>'PART-A'!K1313</f>
        <v>297.13</v>
      </c>
      <c r="J136" s="353">
        <f t="shared" si="12"/>
        <v>0</v>
      </c>
      <c r="K136" s="1680"/>
      <c r="L136" s="1680"/>
      <c r="M136" s="633" t="s">
        <v>2312</v>
      </c>
      <c r="N136" s="223"/>
      <c r="O136" s="631">
        <f t="shared" si="13"/>
        <v>0</v>
      </c>
    </row>
    <row r="137" spans="1:15" s="360" customFormat="1" ht="15" hidden="1">
      <c r="A137" s="356" t="s">
        <v>484</v>
      </c>
      <c r="B137" s="632" t="s">
        <v>631</v>
      </c>
      <c r="C137" s="611">
        <f t="shared" si="10"/>
        <v>0</v>
      </c>
      <c r="D137" s="354"/>
      <c r="E137" s="607">
        <f t="shared" si="11"/>
        <v>314.89999999999998</v>
      </c>
      <c r="F137" s="792">
        <f t="shared" ref="F137:F200" si="14">ROUND(C137*E137,0)</f>
        <v>0</v>
      </c>
      <c r="G137" s="358">
        <f>'PART-A'!I1318</f>
        <v>0</v>
      </c>
      <c r="H137" s="354" t="s">
        <v>102</v>
      </c>
      <c r="I137" s="355">
        <f>'PART-A'!K1318</f>
        <v>314.89999999999998</v>
      </c>
      <c r="J137" s="353">
        <f t="shared" si="12"/>
        <v>0</v>
      </c>
      <c r="K137" s="1681"/>
      <c r="L137" s="1681"/>
      <c r="M137" s="633" t="s">
        <v>2313</v>
      </c>
      <c r="N137" s="223"/>
      <c r="O137" s="631">
        <f t="shared" si="13"/>
        <v>0</v>
      </c>
    </row>
    <row r="138" spans="1:15" s="360" customFormat="1" ht="51">
      <c r="A138" s="356" t="s">
        <v>2455</v>
      </c>
      <c r="B138" s="632" t="s">
        <v>3196</v>
      </c>
      <c r="C138" s="611">
        <f t="shared" ref="C138:C201" si="15">G138</f>
        <v>263.17999999999995</v>
      </c>
      <c r="D138" s="791" t="s">
        <v>102</v>
      </c>
      <c r="E138" s="607">
        <f t="shared" ref="E138:E201" si="16">I138</f>
        <v>317.8</v>
      </c>
      <c r="F138" s="792">
        <f t="shared" si="14"/>
        <v>83639</v>
      </c>
      <c r="G138" s="358">
        <f>'PART-A'!I1350</f>
        <v>263.17999999999995</v>
      </c>
      <c r="H138" s="354" t="s">
        <v>102</v>
      </c>
      <c r="I138" s="355">
        <f>'PART-A'!K1350</f>
        <v>317.8</v>
      </c>
      <c r="J138" s="353">
        <f t="shared" ref="J138:J201" si="17">ROUND(G138*I138,2)</f>
        <v>83638.600000000006</v>
      </c>
      <c r="K138" s="1698">
        <f>IF((J138+J139+J140+J141)&gt;(F138+F139+F140+F141),(J138+J139+J140+J141)-(F138+F139+F140+F141),0)</f>
        <v>0</v>
      </c>
      <c r="L138" s="1698">
        <f>IF((J138+J139+J140+J141)&lt;(F138+F139+F140+F141),(F138+F139+F140+F141)-(J138+J139+J140+J141),0)</f>
        <v>0.39999999999417923</v>
      </c>
      <c r="M138" s="851" t="s">
        <v>2217</v>
      </c>
      <c r="N138" s="223"/>
      <c r="O138" s="850">
        <f t="shared" si="13"/>
        <v>0.39999999999417923</v>
      </c>
    </row>
    <row r="139" spans="1:15" s="360" customFormat="1" ht="51" hidden="1">
      <c r="A139" s="356" t="s">
        <v>489</v>
      </c>
      <c r="B139" s="632" t="s">
        <v>3196</v>
      </c>
      <c r="C139" s="611">
        <f t="shared" si="15"/>
        <v>0</v>
      </c>
      <c r="D139" s="354" t="s">
        <v>102</v>
      </c>
      <c r="E139" s="607">
        <f t="shared" si="16"/>
        <v>343.65</v>
      </c>
      <c r="F139" s="792">
        <f t="shared" si="14"/>
        <v>0</v>
      </c>
      <c r="G139" s="358">
        <f>'PART-A'!I1379</f>
        <v>0</v>
      </c>
      <c r="H139" s="354" t="s">
        <v>102</v>
      </c>
      <c r="I139" s="355">
        <f>'PART-A'!K1379</f>
        <v>343.65</v>
      </c>
      <c r="J139" s="353">
        <f t="shared" si="17"/>
        <v>0</v>
      </c>
      <c r="K139" s="1680"/>
      <c r="L139" s="1680"/>
      <c r="M139" s="633" t="s">
        <v>2299</v>
      </c>
      <c r="N139" s="223"/>
      <c r="O139" s="631">
        <f t="shared" ref="O139:O202" si="18">F139-J139</f>
        <v>0</v>
      </c>
    </row>
    <row r="140" spans="1:15" s="360" customFormat="1" ht="15" hidden="1">
      <c r="A140" s="356" t="s">
        <v>494</v>
      </c>
      <c r="B140" s="632" t="s">
        <v>830</v>
      </c>
      <c r="C140" s="611">
        <f t="shared" si="15"/>
        <v>0</v>
      </c>
      <c r="D140" s="354"/>
      <c r="E140" s="607">
        <f t="shared" si="16"/>
        <v>364.75</v>
      </c>
      <c r="F140" s="792">
        <f t="shared" si="14"/>
        <v>0</v>
      </c>
      <c r="G140" s="358">
        <f>'PART-A'!I1431</f>
        <v>0</v>
      </c>
      <c r="H140" s="354" t="s">
        <v>102</v>
      </c>
      <c r="I140" s="355">
        <f>'PART-A'!K1431</f>
        <v>364.75</v>
      </c>
      <c r="J140" s="353">
        <f t="shared" si="17"/>
        <v>0</v>
      </c>
      <c r="K140" s="1680"/>
      <c r="L140" s="1680"/>
      <c r="M140" s="633" t="s">
        <v>2312</v>
      </c>
      <c r="N140" s="223"/>
      <c r="O140" s="631">
        <f t="shared" si="18"/>
        <v>0</v>
      </c>
    </row>
    <row r="141" spans="1:15" s="360" customFormat="1" ht="15" hidden="1">
      <c r="A141" s="356" t="s">
        <v>486</v>
      </c>
      <c r="B141" s="632" t="s">
        <v>830</v>
      </c>
      <c r="C141" s="611">
        <f t="shared" si="15"/>
        <v>0</v>
      </c>
      <c r="D141" s="354"/>
      <c r="E141" s="607">
        <f t="shared" si="16"/>
        <v>388.21</v>
      </c>
      <c r="F141" s="792">
        <f t="shared" si="14"/>
        <v>0</v>
      </c>
      <c r="G141" s="358">
        <f>'PART-A'!I1451</f>
        <v>0</v>
      </c>
      <c r="H141" s="354" t="s">
        <v>102</v>
      </c>
      <c r="I141" s="355">
        <f>'PART-A'!K1451</f>
        <v>388.21</v>
      </c>
      <c r="J141" s="353">
        <f t="shared" si="17"/>
        <v>0</v>
      </c>
      <c r="K141" s="1681"/>
      <c r="L141" s="1681"/>
      <c r="M141" s="633" t="s">
        <v>2313</v>
      </c>
      <c r="N141" s="223"/>
      <c r="O141" s="631">
        <f t="shared" si="18"/>
        <v>0</v>
      </c>
    </row>
    <row r="142" spans="1:15" s="360" customFormat="1" ht="51">
      <c r="A142" s="356" t="s">
        <v>480</v>
      </c>
      <c r="B142" s="632" t="s">
        <v>3197</v>
      </c>
      <c r="C142" s="611">
        <f t="shared" si="15"/>
        <v>125.81</v>
      </c>
      <c r="D142" s="791" t="s">
        <v>102</v>
      </c>
      <c r="E142" s="607">
        <f t="shared" si="16"/>
        <v>331.15</v>
      </c>
      <c r="F142" s="792">
        <f t="shared" si="14"/>
        <v>41662</v>
      </c>
      <c r="G142" s="358">
        <f>'PART-A'!I1457</f>
        <v>125.81</v>
      </c>
      <c r="H142" s="354" t="s">
        <v>102</v>
      </c>
      <c r="I142" s="355">
        <f>'PART-A'!K1457</f>
        <v>331.15</v>
      </c>
      <c r="J142" s="353">
        <f t="shared" si="17"/>
        <v>41661.980000000003</v>
      </c>
      <c r="K142" s="1679">
        <f>IF((J142+J143+J144+J145)&gt;(F142+F143+F144+F145),(J142+J143+J144+J145)-(F142+F143+F144+F145),0)</f>
        <v>0</v>
      </c>
      <c r="L142" s="1679">
        <f>IF((J142+J143+J144+J145)&lt;(F142+F143+F144+F145),(F142+F143+F144+F145)-(J142+J143+J144+J145),0)</f>
        <v>1.9999999996798579E-2</v>
      </c>
      <c r="M142" s="851" t="s">
        <v>2217</v>
      </c>
      <c r="N142" s="223"/>
      <c r="O142" s="850">
        <f t="shared" si="18"/>
        <v>1.9999999996798579E-2</v>
      </c>
    </row>
    <row r="143" spans="1:15" s="360" customFormat="1" ht="51" hidden="1">
      <c r="A143" s="356" t="s">
        <v>490</v>
      </c>
      <c r="B143" s="632" t="s">
        <v>3197</v>
      </c>
      <c r="C143" s="611">
        <f t="shared" si="15"/>
        <v>0</v>
      </c>
      <c r="D143" s="354" t="s">
        <v>102</v>
      </c>
      <c r="E143" s="607">
        <f t="shared" si="16"/>
        <v>357.58</v>
      </c>
      <c r="F143" s="792">
        <f t="shared" si="14"/>
        <v>0</v>
      </c>
      <c r="G143" s="358">
        <f>'PART-A'!I1463</f>
        <v>0</v>
      </c>
      <c r="H143" s="354" t="s">
        <v>102</v>
      </c>
      <c r="I143" s="355">
        <f>'PART-A'!K1463</f>
        <v>357.58</v>
      </c>
      <c r="J143" s="353">
        <f t="shared" si="17"/>
        <v>0</v>
      </c>
      <c r="K143" s="1680"/>
      <c r="L143" s="1680"/>
      <c r="M143" s="633" t="s">
        <v>2299</v>
      </c>
      <c r="N143" s="223"/>
      <c r="O143" s="631">
        <f t="shared" si="18"/>
        <v>0</v>
      </c>
    </row>
    <row r="144" spans="1:15" s="360" customFormat="1" ht="15" hidden="1">
      <c r="A144" s="356" t="s">
        <v>1515</v>
      </c>
      <c r="B144" s="632" t="s">
        <v>541</v>
      </c>
      <c r="C144" s="611">
        <f t="shared" si="15"/>
        <v>0</v>
      </c>
      <c r="D144" s="354"/>
      <c r="E144" s="607">
        <f t="shared" si="16"/>
        <v>380.06</v>
      </c>
      <c r="F144" s="792">
        <f t="shared" si="14"/>
        <v>0</v>
      </c>
      <c r="G144" s="358">
        <f>'PART-A'!I1482</f>
        <v>0</v>
      </c>
      <c r="H144" s="354" t="s">
        <v>102</v>
      </c>
      <c r="I144" s="355">
        <f>'PART-A'!K1482</f>
        <v>380.06</v>
      </c>
      <c r="J144" s="353">
        <f t="shared" si="17"/>
        <v>0</v>
      </c>
      <c r="K144" s="1680"/>
      <c r="L144" s="1680"/>
      <c r="M144" s="633" t="s">
        <v>2312</v>
      </c>
      <c r="N144" s="223"/>
      <c r="O144" s="631">
        <f t="shared" si="18"/>
        <v>0</v>
      </c>
    </row>
    <row r="145" spans="1:15" s="360" customFormat="1" ht="51" hidden="1">
      <c r="A145" s="356" t="s">
        <v>480</v>
      </c>
      <c r="B145" s="632" t="s">
        <v>3197</v>
      </c>
      <c r="C145" s="611">
        <f t="shared" si="15"/>
        <v>0</v>
      </c>
      <c r="D145" s="354" t="s">
        <v>102</v>
      </c>
      <c r="E145" s="607">
        <f t="shared" si="16"/>
        <v>404.02</v>
      </c>
      <c r="F145" s="792">
        <f t="shared" si="14"/>
        <v>0</v>
      </c>
      <c r="G145" s="358">
        <f>'PART-A'!I1504</f>
        <v>0</v>
      </c>
      <c r="H145" s="354" t="s">
        <v>102</v>
      </c>
      <c r="I145" s="355">
        <f>'PART-A'!K1504</f>
        <v>404.02</v>
      </c>
      <c r="J145" s="353">
        <f t="shared" si="17"/>
        <v>0</v>
      </c>
      <c r="K145" s="1695"/>
      <c r="L145" s="1695"/>
      <c r="M145" s="851" t="s">
        <v>2313</v>
      </c>
      <c r="N145" s="223"/>
      <c r="O145" s="850">
        <f t="shared" si="18"/>
        <v>0</v>
      </c>
    </row>
    <row r="146" spans="1:15" s="360" customFormat="1" ht="63.75" hidden="1">
      <c r="A146" s="356" t="s">
        <v>485</v>
      </c>
      <c r="B146" s="632" t="s">
        <v>3198</v>
      </c>
      <c r="C146" s="611">
        <f t="shared" si="15"/>
        <v>0</v>
      </c>
      <c r="D146" s="791" t="s">
        <v>102</v>
      </c>
      <c r="E146" s="607">
        <f t="shared" si="16"/>
        <v>991.04</v>
      </c>
      <c r="F146" s="792">
        <f t="shared" si="14"/>
        <v>0</v>
      </c>
      <c r="G146" s="358">
        <f>'PART-A'!I1544</f>
        <v>0</v>
      </c>
      <c r="H146" s="354" t="s">
        <v>102</v>
      </c>
      <c r="I146" s="355">
        <f>'PART-A'!K1544</f>
        <v>991.04</v>
      </c>
      <c r="J146" s="353">
        <f t="shared" si="17"/>
        <v>0</v>
      </c>
      <c r="K146" s="1679">
        <f>IF((J146+J147+J148+J149)&gt;(F146+F147+F148+F149),(J146+J147+J148+J149)-(F146+F147+F148+F149),0)</f>
        <v>0</v>
      </c>
      <c r="L146" s="1679">
        <f>IF((J146+J147+J148+J149)&lt;(F146+F147+F148+F149),(F146+F147+F148+F149)-(J146+J147+J148+J149),0)</f>
        <v>0</v>
      </c>
      <c r="M146" s="633" t="s">
        <v>2217</v>
      </c>
      <c r="N146" s="223"/>
      <c r="O146" s="631">
        <f t="shared" si="18"/>
        <v>0</v>
      </c>
    </row>
    <row r="147" spans="1:15" s="360" customFormat="1" ht="63.75" hidden="1">
      <c r="A147" s="356" t="s">
        <v>482</v>
      </c>
      <c r="B147" s="632" t="s">
        <v>3198</v>
      </c>
      <c r="C147" s="611">
        <f t="shared" si="15"/>
        <v>0</v>
      </c>
      <c r="D147" s="354"/>
      <c r="E147" s="607">
        <f t="shared" si="16"/>
        <v>1019.43</v>
      </c>
      <c r="F147" s="792">
        <f t="shared" si="14"/>
        <v>0</v>
      </c>
      <c r="G147" s="358">
        <f>'PART-A'!I1556</f>
        <v>0</v>
      </c>
      <c r="H147" s="354" t="s">
        <v>102</v>
      </c>
      <c r="I147" s="355">
        <f>'PART-A'!K1556</f>
        <v>1019.43</v>
      </c>
      <c r="J147" s="353">
        <f t="shared" si="17"/>
        <v>0</v>
      </c>
      <c r="K147" s="1680"/>
      <c r="L147" s="1680"/>
      <c r="M147" s="633" t="s">
        <v>2299</v>
      </c>
      <c r="N147" s="223"/>
      <c r="O147" s="631">
        <f t="shared" si="18"/>
        <v>0</v>
      </c>
    </row>
    <row r="148" spans="1:15" s="360" customFormat="1" ht="15" hidden="1">
      <c r="A148" s="356" t="s">
        <v>490</v>
      </c>
      <c r="B148" s="632" t="s">
        <v>507</v>
      </c>
      <c r="C148" s="611">
        <f t="shared" si="15"/>
        <v>0</v>
      </c>
      <c r="D148" s="354"/>
      <c r="E148" s="607">
        <f t="shared" si="16"/>
        <v>1041.26</v>
      </c>
      <c r="F148" s="792">
        <f t="shared" si="14"/>
        <v>0</v>
      </c>
      <c r="G148" s="358">
        <f>'PART-A'!I1563</f>
        <v>0</v>
      </c>
      <c r="H148" s="354" t="s">
        <v>102</v>
      </c>
      <c r="I148" s="355">
        <f>'PART-A'!K1563</f>
        <v>1041.26</v>
      </c>
      <c r="J148" s="353">
        <f t="shared" si="17"/>
        <v>0</v>
      </c>
      <c r="K148" s="1680"/>
      <c r="L148" s="1680"/>
      <c r="M148" s="633" t="s">
        <v>2312</v>
      </c>
      <c r="N148" s="223"/>
      <c r="O148" s="631">
        <f t="shared" si="18"/>
        <v>0</v>
      </c>
    </row>
    <row r="149" spans="1:15" s="360" customFormat="1" ht="15" hidden="1">
      <c r="A149" s="356" t="s">
        <v>483</v>
      </c>
      <c r="B149" s="632" t="s">
        <v>507</v>
      </c>
      <c r="C149" s="611">
        <f t="shared" si="15"/>
        <v>0</v>
      </c>
      <c r="D149" s="354" t="s">
        <v>102</v>
      </c>
      <c r="E149" s="607">
        <f t="shared" si="16"/>
        <v>1067.3599999999999</v>
      </c>
      <c r="F149" s="792">
        <f t="shared" si="14"/>
        <v>0</v>
      </c>
      <c r="G149" s="358">
        <f>'PART-A'!I1579</f>
        <v>0</v>
      </c>
      <c r="H149" s="354" t="s">
        <v>102</v>
      </c>
      <c r="I149" s="355">
        <f>'PART-A'!K1579</f>
        <v>1067.3599999999999</v>
      </c>
      <c r="J149" s="353">
        <f t="shared" si="17"/>
        <v>0</v>
      </c>
      <c r="K149" s="1681"/>
      <c r="L149" s="1681"/>
      <c r="M149" s="633" t="s">
        <v>2313</v>
      </c>
      <c r="N149" s="223"/>
      <c r="O149" s="631">
        <f t="shared" si="18"/>
        <v>0</v>
      </c>
    </row>
    <row r="150" spans="1:15" s="360" customFormat="1" ht="63.75" hidden="1">
      <c r="A150" s="356" t="s">
        <v>486</v>
      </c>
      <c r="B150" s="632" t="s">
        <v>3199</v>
      </c>
      <c r="C150" s="611">
        <f t="shared" si="15"/>
        <v>0</v>
      </c>
      <c r="D150" s="791" t="s">
        <v>102</v>
      </c>
      <c r="E150" s="607">
        <f t="shared" si="16"/>
        <v>986.97</v>
      </c>
      <c r="F150" s="792">
        <f t="shared" si="14"/>
        <v>0</v>
      </c>
      <c r="G150" s="358">
        <f>'PART-A'!I1600</f>
        <v>0</v>
      </c>
      <c r="H150" s="354" t="s">
        <v>102</v>
      </c>
      <c r="I150" s="355">
        <f>'PART-A'!K1600</f>
        <v>986.97</v>
      </c>
      <c r="J150" s="353">
        <f t="shared" si="17"/>
        <v>0</v>
      </c>
      <c r="K150" s="1679">
        <f>IF((J150+J151+J152+J153)&gt;(F150+F151+F152+F153),(J150+J151+J152+J153)-(F150+F151+F152+F153),0)</f>
        <v>0</v>
      </c>
      <c r="L150" s="1679">
        <f>IF((J150+J151+J152+J153)&lt;(F150+F151+F152+F153),(F150+F151+F152+F153)-(J150+J151+J152+J153),0)</f>
        <v>0</v>
      </c>
      <c r="M150" s="633" t="s">
        <v>2217</v>
      </c>
      <c r="N150" s="223"/>
      <c r="O150" s="631">
        <f t="shared" si="18"/>
        <v>0</v>
      </c>
    </row>
    <row r="151" spans="1:15" s="360" customFormat="1" ht="63.75" hidden="1">
      <c r="A151" s="356" t="s">
        <v>483</v>
      </c>
      <c r="B151" s="632" t="s">
        <v>3199</v>
      </c>
      <c r="C151" s="611">
        <f t="shared" si="15"/>
        <v>0</v>
      </c>
      <c r="D151" s="354"/>
      <c r="E151" s="607">
        <f t="shared" si="16"/>
        <v>1015.1</v>
      </c>
      <c r="F151" s="792">
        <f t="shared" si="14"/>
        <v>0</v>
      </c>
      <c r="G151" s="358">
        <f>'PART-A'!I1625</f>
        <v>0</v>
      </c>
      <c r="H151" s="354" t="s">
        <v>102</v>
      </c>
      <c r="I151" s="355">
        <f>'PART-A'!K1625</f>
        <v>1015.1</v>
      </c>
      <c r="J151" s="353">
        <f t="shared" si="17"/>
        <v>0</v>
      </c>
      <c r="K151" s="1680"/>
      <c r="L151" s="1680"/>
      <c r="M151" s="633" t="s">
        <v>2299</v>
      </c>
      <c r="N151" s="223"/>
      <c r="O151" s="631">
        <f t="shared" si="18"/>
        <v>0</v>
      </c>
    </row>
    <row r="152" spans="1:15" s="360" customFormat="1" ht="15" hidden="1">
      <c r="A152" s="356" t="s">
        <v>1514</v>
      </c>
      <c r="B152" s="632" t="s">
        <v>1480</v>
      </c>
      <c r="C152" s="611">
        <f t="shared" si="15"/>
        <v>0</v>
      </c>
      <c r="D152" s="354"/>
      <c r="E152" s="607">
        <f t="shared" si="16"/>
        <v>1036.32</v>
      </c>
      <c r="F152" s="792">
        <f t="shared" si="14"/>
        <v>0</v>
      </c>
      <c r="G152" s="358">
        <f>'PART-A'!I1632</f>
        <v>0</v>
      </c>
      <c r="H152" s="354" t="s">
        <v>102</v>
      </c>
      <c r="I152" s="355">
        <f>'PART-A'!K1632</f>
        <v>1036.32</v>
      </c>
      <c r="J152" s="353">
        <f t="shared" si="17"/>
        <v>0</v>
      </c>
      <c r="K152" s="1680"/>
      <c r="L152" s="1680"/>
      <c r="M152" s="633" t="s">
        <v>2312</v>
      </c>
      <c r="N152" s="223"/>
      <c r="O152" s="631">
        <f t="shared" si="18"/>
        <v>0</v>
      </c>
    </row>
    <row r="153" spans="1:15" s="360" customFormat="1" ht="15" hidden="1">
      <c r="A153" s="356" t="s">
        <v>484</v>
      </c>
      <c r="B153" s="632" t="s">
        <v>1480</v>
      </c>
      <c r="C153" s="611">
        <f t="shared" si="15"/>
        <v>0</v>
      </c>
      <c r="D153" s="354" t="s">
        <v>102</v>
      </c>
      <c r="E153" s="607">
        <f t="shared" si="16"/>
        <v>1062.03</v>
      </c>
      <c r="F153" s="792">
        <f t="shared" si="14"/>
        <v>0</v>
      </c>
      <c r="G153" s="358">
        <f>'PART-A'!I1653</f>
        <v>0</v>
      </c>
      <c r="H153" s="354" t="s">
        <v>102</v>
      </c>
      <c r="I153" s="355">
        <f>'PART-A'!K1653</f>
        <v>1062.03</v>
      </c>
      <c r="J153" s="353">
        <f t="shared" si="17"/>
        <v>0</v>
      </c>
      <c r="K153" s="1681"/>
      <c r="L153" s="1681"/>
      <c r="M153" s="633" t="s">
        <v>2313</v>
      </c>
      <c r="N153" s="223"/>
      <c r="O153" s="631">
        <f t="shared" si="18"/>
        <v>0</v>
      </c>
    </row>
    <row r="154" spans="1:15" s="360" customFormat="1" ht="63.75" hidden="1">
      <c r="A154" s="356" t="s">
        <v>482</v>
      </c>
      <c r="B154" s="632" t="s">
        <v>3292</v>
      </c>
      <c r="C154" s="611">
        <f t="shared" si="15"/>
        <v>0</v>
      </c>
      <c r="D154" s="354"/>
      <c r="E154" s="607">
        <f t="shared" si="16"/>
        <v>2828.1</v>
      </c>
      <c r="F154" s="792">
        <f t="shared" si="14"/>
        <v>0</v>
      </c>
      <c r="G154" s="358">
        <f>'PART-A'!I1671</f>
        <v>0</v>
      </c>
      <c r="H154" s="354" t="s">
        <v>77</v>
      </c>
      <c r="I154" s="355">
        <f>'PART-A'!K1671</f>
        <v>2828.1</v>
      </c>
      <c r="J154" s="353">
        <f t="shared" si="17"/>
        <v>0</v>
      </c>
      <c r="K154" s="1679">
        <f>IF((J154+J155+J156+J157)&gt;(F154+F155+F156+F157),(J154+J155+J156+J157)-(F154+F155+F156+F157),0)</f>
        <v>3.9999999979045242E-2</v>
      </c>
      <c r="L154" s="1679">
        <f>IF((J154+J155+J156+J157)&lt;(F154+F155+F156+F157),(F154+F155+F156+F157)-(J154+J155+J156+J157),0)</f>
        <v>0</v>
      </c>
      <c r="M154" s="633" t="s">
        <v>2217</v>
      </c>
      <c r="N154" s="223"/>
      <c r="O154" s="631">
        <f t="shared" si="18"/>
        <v>0</v>
      </c>
    </row>
    <row r="155" spans="1:15" s="360" customFormat="1" ht="15" hidden="1">
      <c r="A155" s="356" t="s">
        <v>494</v>
      </c>
      <c r="B155" s="632" t="s">
        <v>708</v>
      </c>
      <c r="C155" s="611">
        <f t="shared" si="15"/>
        <v>0</v>
      </c>
      <c r="D155" s="354"/>
      <c r="E155" s="607">
        <f t="shared" si="16"/>
        <v>2886.61</v>
      </c>
      <c r="F155" s="792">
        <f t="shared" si="14"/>
        <v>0</v>
      </c>
      <c r="G155" s="358">
        <f>'PART-A'!I1681</f>
        <v>0</v>
      </c>
      <c r="H155" s="354" t="s">
        <v>77</v>
      </c>
      <c r="I155" s="355">
        <f>'PART-A'!K1681</f>
        <v>2886.61</v>
      </c>
      <c r="J155" s="353">
        <f t="shared" si="17"/>
        <v>0</v>
      </c>
      <c r="K155" s="1680"/>
      <c r="L155" s="1680"/>
      <c r="M155" s="633" t="s">
        <v>2299</v>
      </c>
      <c r="N155" s="223"/>
      <c r="O155" s="631">
        <f t="shared" si="18"/>
        <v>0</v>
      </c>
    </row>
    <row r="156" spans="1:15" s="360" customFormat="1" ht="15" hidden="1">
      <c r="A156" s="356" t="s">
        <v>492</v>
      </c>
      <c r="B156" s="632" t="s">
        <v>708</v>
      </c>
      <c r="C156" s="611">
        <f t="shared" si="15"/>
        <v>0</v>
      </c>
      <c r="D156" s="354"/>
      <c r="E156" s="607">
        <f t="shared" si="16"/>
        <v>2942.62</v>
      </c>
      <c r="F156" s="792">
        <f t="shared" si="14"/>
        <v>0</v>
      </c>
      <c r="G156" s="358">
        <f>'PART-A'!I1688</f>
        <v>0</v>
      </c>
      <c r="H156" s="354" t="s">
        <v>77</v>
      </c>
      <c r="I156" s="355">
        <f>'PART-A'!K1688</f>
        <v>2942.62</v>
      </c>
      <c r="J156" s="353">
        <f t="shared" si="17"/>
        <v>0</v>
      </c>
      <c r="K156" s="1680"/>
      <c r="L156" s="1680"/>
      <c r="M156" s="633" t="s">
        <v>2312</v>
      </c>
      <c r="N156" s="223"/>
      <c r="O156" s="631">
        <f t="shared" si="18"/>
        <v>0</v>
      </c>
    </row>
    <row r="157" spans="1:15" s="360" customFormat="1" ht="63.75">
      <c r="A157" s="356" t="s">
        <v>482</v>
      </c>
      <c r="B157" s="632" t="s">
        <v>3200</v>
      </c>
      <c r="C157" s="611">
        <f t="shared" si="15"/>
        <v>87.660000000000011</v>
      </c>
      <c r="D157" s="354" t="s">
        <v>102</v>
      </c>
      <c r="E157" s="607">
        <f t="shared" si="16"/>
        <v>3115.07</v>
      </c>
      <c r="F157" s="792">
        <f t="shared" si="14"/>
        <v>273067</v>
      </c>
      <c r="G157" s="358">
        <f>'PART-A'!I1706</f>
        <v>87.660000000000011</v>
      </c>
      <c r="H157" s="354" t="s">
        <v>77</v>
      </c>
      <c r="I157" s="355">
        <f>'PART-A'!K1706</f>
        <v>3115.07</v>
      </c>
      <c r="J157" s="353">
        <f t="shared" si="17"/>
        <v>273067.03999999998</v>
      </c>
      <c r="K157" s="1695"/>
      <c r="L157" s="1695"/>
      <c r="M157" s="851" t="s">
        <v>2313</v>
      </c>
      <c r="N157" s="223"/>
      <c r="O157" s="850">
        <f t="shared" si="18"/>
        <v>-3.9999999979045242E-2</v>
      </c>
    </row>
    <row r="158" spans="1:15" s="360" customFormat="1" ht="63.75" hidden="1">
      <c r="A158" s="356" t="s">
        <v>483</v>
      </c>
      <c r="B158" s="632" t="s">
        <v>3294</v>
      </c>
      <c r="C158" s="611">
        <f t="shared" si="15"/>
        <v>0</v>
      </c>
      <c r="D158" s="354"/>
      <c r="E158" s="607">
        <f t="shared" si="16"/>
        <v>2667.63</v>
      </c>
      <c r="F158" s="792">
        <f t="shared" si="14"/>
        <v>0</v>
      </c>
      <c r="G158" s="358">
        <f>'PART-A'!I1724</f>
        <v>0</v>
      </c>
      <c r="H158" s="354" t="s">
        <v>102</v>
      </c>
      <c r="I158" s="355">
        <f>'PART-A'!K1724</f>
        <v>2667.63</v>
      </c>
      <c r="J158" s="353">
        <f t="shared" si="17"/>
        <v>0</v>
      </c>
      <c r="K158" s="1679">
        <f>IF((J158+J159+J160+J161)&gt;(F158+F159+F160+F161),(J158+J159+J160+J161)-(F158+F159+F160+F161),0)</f>
        <v>0</v>
      </c>
      <c r="L158" s="1679">
        <f>IF((J158+J159+J160+J161)&lt;(F158+F159+F160+F161),(F158+F159+F160+F161)-(J158+J159+J160+J161),0)</f>
        <v>0.45999999999912689</v>
      </c>
      <c r="M158" s="633" t="s">
        <v>2217</v>
      </c>
      <c r="N158" s="223"/>
      <c r="O158" s="631">
        <f t="shared" si="18"/>
        <v>0</v>
      </c>
    </row>
    <row r="159" spans="1:15" s="360" customFormat="1" ht="15" hidden="1">
      <c r="A159" s="356" t="s">
        <v>494</v>
      </c>
      <c r="B159" s="632" t="s">
        <v>709</v>
      </c>
      <c r="C159" s="611">
        <f t="shared" si="15"/>
        <v>0</v>
      </c>
      <c r="D159" s="354"/>
      <c r="E159" s="607">
        <f t="shared" si="16"/>
        <v>2708.07</v>
      </c>
      <c r="F159" s="792">
        <f t="shared" si="14"/>
        <v>0</v>
      </c>
      <c r="G159" s="358">
        <f>'PART-A'!I1735</f>
        <v>0</v>
      </c>
      <c r="H159" s="354" t="s">
        <v>102</v>
      </c>
      <c r="I159" s="355">
        <f>'PART-A'!K1735</f>
        <v>2708.07</v>
      </c>
      <c r="J159" s="353">
        <f t="shared" si="17"/>
        <v>0</v>
      </c>
      <c r="K159" s="1680"/>
      <c r="L159" s="1680"/>
      <c r="M159" s="633" t="s">
        <v>2299</v>
      </c>
      <c r="N159" s="223"/>
      <c r="O159" s="631">
        <f t="shared" si="18"/>
        <v>0</v>
      </c>
    </row>
    <row r="160" spans="1:15" s="360" customFormat="1" ht="15" hidden="1">
      <c r="A160" s="356" t="s">
        <v>493</v>
      </c>
      <c r="B160" s="632" t="s">
        <v>709</v>
      </c>
      <c r="C160" s="611">
        <f t="shared" si="15"/>
        <v>0</v>
      </c>
      <c r="D160" s="354"/>
      <c r="E160" s="607">
        <f t="shared" si="16"/>
        <v>2747.34</v>
      </c>
      <c r="F160" s="792">
        <f t="shared" si="14"/>
        <v>0</v>
      </c>
      <c r="G160" s="358">
        <f>'PART-A'!I1743</f>
        <v>0</v>
      </c>
      <c r="H160" s="354" t="s">
        <v>102</v>
      </c>
      <c r="I160" s="355">
        <f>'PART-A'!K1743</f>
        <v>2747.34</v>
      </c>
      <c r="J160" s="353">
        <f t="shared" si="17"/>
        <v>0</v>
      </c>
      <c r="K160" s="1680"/>
      <c r="L160" s="1680"/>
      <c r="M160" s="633" t="s">
        <v>2312</v>
      </c>
      <c r="N160" s="223"/>
      <c r="O160" s="631">
        <f t="shared" si="18"/>
        <v>0</v>
      </c>
    </row>
    <row r="161" spans="1:15" s="360" customFormat="1" ht="63.75">
      <c r="A161" s="356" t="s">
        <v>483</v>
      </c>
      <c r="B161" s="632" t="s">
        <v>3201</v>
      </c>
      <c r="C161" s="611">
        <f t="shared" si="15"/>
        <v>6.7299999999999995</v>
      </c>
      <c r="D161" s="354" t="s">
        <v>102</v>
      </c>
      <c r="E161" s="607">
        <f t="shared" si="16"/>
        <v>2905.43</v>
      </c>
      <c r="F161" s="792">
        <f t="shared" si="14"/>
        <v>19554</v>
      </c>
      <c r="G161" s="358">
        <f>'PART-A'!I1761</f>
        <v>6.7299999999999995</v>
      </c>
      <c r="H161" s="354" t="s">
        <v>102</v>
      </c>
      <c r="I161" s="355">
        <f>'PART-A'!K1761</f>
        <v>2905.43</v>
      </c>
      <c r="J161" s="353">
        <f t="shared" si="17"/>
        <v>19553.54</v>
      </c>
      <c r="K161" s="1695"/>
      <c r="L161" s="1695"/>
      <c r="M161" s="851" t="s">
        <v>2313</v>
      </c>
      <c r="N161" s="223"/>
      <c r="O161" s="850">
        <f t="shared" si="18"/>
        <v>0.45999999999912689</v>
      </c>
    </row>
    <row r="162" spans="1:15" s="360" customFormat="1" ht="15" hidden="1">
      <c r="A162" s="356" t="s">
        <v>498</v>
      </c>
      <c r="B162" s="632" t="s">
        <v>710</v>
      </c>
      <c r="C162" s="611">
        <f t="shared" si="15"/>
        <v>0</v>
      </c>
      <c r="D162" s="354"/>
      <c r="E162" s="607">
        <f t="shared" si="16"/>
        <v>605.58000000000004</v>
      </c>
      <c r="F162" s="792">
        <f t="shared" si="14"/>
        <v>0</v>
      </c>
      <c r="G162" s="358">
        <f>'PART-A'!I1768</f>
        <v>0</v>
      </c>
      <c r="H162" s="354" t="s">
        <v>102</v>
      </c>
      <c r="I162" s="355">
        <f>'PART-A'!K1768</f>
        <v>605.58000000000004</v>
      </c>
      <c r="J162" s="353">
        <f t="shared" si="17"/>
        <v>0</v>
      </c>
      <c r="K162" s="1679">
        <f>IF((J162+J163+J164+J165)&gt;(F162+F163+F164+F165),(J162+J163+J164+J165)-(F162+F163+F164+F165),0)</f>
        <v>0</v>
      </c>
      <c r="L162" s="1679">
        <f>IF((J162+J163+J164+J165)&lt;(F162+F163+F164+F165),(F162+F163+F164+F165)-(J162+J163+J164+J165),0)</f>
        <v>0</v>
      </c>
      <c r="M162" s="633" t="s">
        <v>2217</v>
      </c>
      <c r="N162" s="223"/>
      <c r="O162" s="631">
        <f t="shared" si="18"/>
        <v>0</v>
      </c>
    </row>
    <row r="163" spans="1:15" s="360" customFormat="1" ht="38.25" hidden="1">
      <c r="A163" s="356" t="s">
        <v>484</v>
      </c>
      <c r="B163" s="632" t="s">
        <v>3627</v>
      </c>
      <c r="C163" s="611">
        <f t="shared" si="15"/>
        <v>0</v>
      </c>
      <c r="D163" s="354"/>
      <c r="E163" s="607">
        <f t="shared" si="16"/>
        <v>646.33000000000004</v>
      </c>
      <c r="F163" s="792">
        <f t="shared" si="14"/>
        <v>0</v>
      </c>
      <c r="G163" s="358">
        <f>'PART-A'!I1777</f>
        <v>0</v>
      </c>
      <c r="H163" s="354" t="s">
        <v>102</v>
      </c>
      <c r="I163" s="355">
        <f>'PART-A'!K1777</f>
        <v>646.33000000000004</v>
      </c>
      <c r="J163" s="353">
        <f t="shared" si="17"/>
        <v>0</v>
      </c>
      <c r="K163" s="1680"/>
      <c r="L163" s="1680"/>
      <c r="M163" s="633" t="s">
        <v>2299</v>
      </c>
      <c r="N163" s="223"/>
      <c r="O163" s="631">
        <f t="shared" si="18"/>
        <v>0</v>
      </c>
    </row>
    <row r="164" spans="1:15" s="360" customFormat="1" ht="15" hidden="1">
      <c r="A164" s="356" t="s">
        <v>498</v>
      </c>
      <c r="B164" s="632" t="s">
        <v>710</v>
      </c>
      <c r="C164" s="611">
        <f t="shared" si="15"/>
        <v>0</v>
      </c>
      <c r="D164" s="354"/>
      <c r="E164" s="607">
        <f t="shared" si="16"/>
        <v>653.95000000000005</v>
      </c>
      <c r="F164" s="792">
        <f t="shared" si="14"/>
        <v>0</v>
      </c>
      <c r="G164" s="358">
        <f>'PART-A'!I1784</f>
        <v>0</v>
      </c>
      <c r="H164" s="354" t="s">
        <v>102</v>
      </c>
      <c r="I164" s="355">
        <f>'PART-A'!K1784</f>
        <v>653.95000000000005</v>
      </c>
      <c r="J164" s="353">
        <f t="shared" si="17"/>
        <v>0</v>
      </c>
      <c r="K164" s="1680"/>
      <c r="L164" s="1680"/>
      <c r="M164" s="633" t="s">
        <v>2312</v>
      </c>
      <c r="N164" s="223"/>
      <c r="O164" s="631">
        <f t="shared" si="18"/>
        <v>0</v>
      </c>
    </row>
    <row r="165" spans="1:15" s="360" customFormat="1" ht="15" hidden="1">
      <c r="A165" s="356" t="s">
        <v>498</v>
      </c>
      <c r="B165" s="632" t="s">
        <v>710</v>
      </c>
      <c r="C165" s="611">
        <f t="shared" si="15"/>
        <v>0</v>
      </c>
      <c r="D165" s="354"/>
      <c r="E165" s="607">
        <f t="shared" si="16"/>
        <v>744.7</v>
      </c>
      <c r="F165" s="792">
        <f t="shared" si="14"/>
        <v>0</v>
      </c>
      <c r="G165" s="358">
        <f>'PART-A'!I1791</f>
        <v>0</v>
      </c>
      <c r="H165" s="354" t="s">
        <v>102</v>
      </c>
      <c r="I165" s="355">
        <f>'PART-A'!K1791</f>
        <v>744.7</v>
      </c>
      <c r="J165" s="353">
        <f t="shared" si="17"/>
        <v>0</v>
      </c>
      <c r="K165" s="1681"/>
      <c r="L165" s="1681"/>
      <c r="M165" s="633" t="s">
        <v>2313</v>
      </c>
      <c r="N165" s="223"/>
      <c r="O165" s="631">
        <f t="shared" si="18"/>
        <v>0</v>
      </c>
    </row>
    <row r="166" spans="1:15" s="360" customFormat="1" ht="15" hidden="1">
      <c r="A166" s="356" t="s">
        <v>499</v>
      </c>
      <c r="B166" s="632" t="s">
        <v>711</v>
      </c>
      <c r="C166" s="611">
        <f t="shared" si="15"/>
        <v>0</v>
      </c>
      <c r="D166" s="354"/>
      <c r="E166" s="607">
        <f t="shared" si="16"/>
        <v>623.66999999999996</v>
      </c>
      <c r="F166" s="792">
        <f t="shared" si="14"/>
        <v>0</v>
      </c>
      <c r="G166" s="358">
        <f>'PART-A'!I1798</f>
        <v>0</v>
      </c>
      <c r="H166" s="354" t="s">
        <v>102</v>
      </c>
      <c r="I166" s="355">
        <f>'PART-A'!K1798</f>
        <v>623.66999999999996</v>
      </c>
      <c r="J166" s="353">
        <f t="shared" si="17"/>
        <v>0</v>
      </c>
      <c r="K166" s="1679">
        <f>IF((J166+J167+J168+J169)&gt;(F166+F167+F168+F169),(J166+J167+J168+J169)-(F166+F167+F168+F169),0)</f>
        <v>0</v>
      </c>
      <c r="L166" s="1679">
        <f>IF((J166+J167+J168+J169)&lt;(F166+F167+F168+F169),(F166+F167+F168+F169)-(J166+J167+J168+J169),0)</f>
        <v>0</v>
      </c>
      <c r="M166" s="633" t="s">
        <v>2217</v>
      </c>
      <c r="N166" s="223"/>
      <c r="O166" s="631">
        <f t="shared" si="18"/>
        <v>0</v>
      </c>
    </row>
    <row r="167" spans="1:15" s="360" customFormat="1" ht="25.5" hidden="1">
      <c r="A167" s="356" t="s">
        <v>485</v>
      </c>
      <c r="B167" s="632" t="s">
        <v>3628</v>
      </c>
      <c r="C167" s="611">
        <f t="shared" si="15"/>
        <v>0</v>
      </c>
      <c r="D167" s="354"/>
      <c r="E167" s="607">
        <f t="shared" si="16"/>
        <v>651.79999999999995</v>
      </c>
      <c r="F167" s="792">
        <f t="shared" si="14"/>
        <v>0</v>
      </c>
      <c r="G167" s="358">
        <f>'PART-A'!I1805</f>
        <v>0</v>
      </c>
      <c r="H167" s="354" t="s">
        <v>102</v>
      </c>
      <c r="I167" s="355">
        <f>'PART-A'!K1805</f>
        <v>651.79999999999995</v>
      </c>
      <c r="J167" s="353">
        <f t="shared" si="17"/>
        <v>0</v>
      </c>
      <c r="K167" s="1680"/>
      <c r="L167" s="1680"/>
      <c r="M167" s="633" t="s">
        <v>2299</v>
      </c>
      <c r="N167" s="223"/>
      <c r="O167" s="631">
        <f t="shared" si="18"/>
        <v>0</v>
      </c>
    </row>
    <row r="168" spans="1:15" s="360" customFormat="1" ht="15" hidden="1">
      <c r="A168" s="356" t="s">
        <v>499</v>
      </c>
      <c r="B168" s="632" t="s">
        <v>711</v>
      </c>
      <c r="C168" s="611">
        <f t="shared" si="15"/>
        <v>0</v>
      </c>
      <c r="D168" s="354"/>
      <c r="E168" s="607">
        <f t="shared" si="16"/>
        <v>673.02</v>
      </c>
      <c r="F168" s="792">
        <f t="shared" si="14"/>
        <v>0</v>
      </c>
      <c r="G168" s="358">
        <f>'PART-A'!I1812</f>
        <v>0</v>
      </c>
      <c r="H168" s="354" t="s">
        <v>102</v>
      </c>
      <c r="I168" s="355">
        <f>'PART-A'!K1812</f>
        <v>673.02</v>
      </c>
      <c r="J168" s="353">
        <f t="shared" si="17"/>
        <v>0</v>
      </c>
      <c r="K168" s="1680"/>
      <c r="L168" s="1680"/>
      <c r="M168" s="633" t="s">
        <v>2312</v>
      </c>
      <c r="N168" s="223"/>
      <c r="O168" s="631">
        <f t="shared" si="18"/>
        <v>0</v>
      </c>
    </row>
    <row r="169" spans="1:15" s="360" customFormat="1" ht="15" hidden="1">
      <c r="A169" s="356" t="s">
        <v>499</v>
      </c>
      <c r="B169" s="632" t="s">
        <v>711</v>
      </c>
      <c r="C169" s="611">
        <f t="shared" si="15"/>
        <v>0</v>
      </c>
      <c r="D169" s="354"/>
      <c r="E169" s="607">
        <f t="shared" si="16"/>
        <v>750.18</v>
      </c>
      <c r="F169" s="792">
        <f t="shared" si="14"/>
        <v>0</v>
      </c>
      <c r="G169" s="358">
        <f>'PART-A'!I1819</f>
        <v>0</v>
      </c>
      <c r="H169" s="354" t="s">
        <v>102</v>
      </c>
      <c r="I169" s="355">
        <f>'PART-A'!K1819</f>
        <v>750.18</v>
      </c>
      <c r="J169" s="353">
        <f t="shared" si="17"/>
        <v>0</v>
      </c>
      <c r="K169" s="1681"/>
      <c r="L169" s="1681"/>
      <c r="M169" s="633" t="s">
        <v>2313</v>
      </c>
      <c r="N169" s="223"/>
      <c r="O169" s="631">
        <f t="shared" si="18"/>
        <v>0</v>
      </c>
    </row>
    <row r="170" spans="1:15" s="360" customFormat="1" ht="15" hidden="1">
      <c r="A170" s="356" t="s">
        <v>1514</v>
      </c>
      <c r="B170" s="632" t="s">
        <v>511</v>
      </c>
      <c r="C170" s="611">
        <f t="shared" si="15"/>
        <v>0</v>
      </c>
      <c r="D170" s="354"/>
      <c r="E170" s="607">
        <f t="shared" si="16"/>
        <v>726.78</v>
      </c>
      <c r="F170" s="792">
        <f t="shared" si="14"/>
        <v>0</v>
      </c>
      <c r="G170" s="358">
        <f>'PART-A'!I1825</f>
        <v>0</v>
      </c>
      <c r="H170" s="354" t="s">
        <v>102</v>
      </c>
      <c r="I170" s="355">
        <f>'PART-A'!K1825</f>
        <v>726.78</v>
      </c>
      <c r="J170" s="353">
        <f t="shared" si="17"/>
        <v>0</v>
      </c>
      <c r="K170" s="1679">
        <f>IF((J170+J171+J172+J173)&gt;(F170+F171+F172+F173),(J170+J171+J172+J173)-(F170+F171+F172+F173),0)</f>
        <v>0</v>
      </c>
      <c r="L170" s="1679">
        <f>IF((J170+J171+J172+J173)&lt;(F170+F171+F172+F173),(F170+F171+F172+F173)-(J170+J171+J172+J173),0)</f>
        <v>0.30999999999994543</v>
      </c>
      <c r="M170" s="633" t="s">
        <v>2217</v>
      </c>
      <c r="N170" s="223"/>
      <c r="O170" s="631">
        <f t="shared" si="18"/>
        <v>0</v>
      </c>
    </row>
    <row r="171" spans="1:15" s="360" customFormat="1" ht="15" hidden="1">
      <c r="A171" s="356" t="s">
        <v>495</v>
      </c>
      <c r="B171" s="632" t="s">
        <v>511</v>
      </c>
      <c r="C171" s="611">
        <f t="shared" si="15"/>
        <v>0</v>
      </c>
      <c r="D171" s="354"/>
      <c r="E171" s="607">
        <f t="shared" si="16"/>
        <v>754.91</v>
      </c>
      <c r="F171" s="792">
        <f t="shared" si="14"/>
        <v>0</v>
      </c>
      <c r="G171" s="358">
        <f>'PART-A'!I1830</f>
        <v>0</v>
      </c>
      <c r="H171" s="354" t="s">
        <v>102</v>
      </c>
      <c r="I171" s="355">
        <f>'PART-A'!K1830</f>
        <v>754.91</v>
      </c>
      <c r="J171" s="353">
        <f t="shared" si="17"/>
        <v>0</v>
      </c>
      <c r="K171" s="1680"/>
      <c r="L171" s="1680"/>
      <c r="M171" s="633" t="s">
        <v>2299</v>
      </c>
      <c r="N171" s="223"/>
      <c r="O171" s="631">
        <f t="shared" si="18"/>
        <v>0</v>
      </c>
    </row>
    <row r="172" spans="1:15" s="360" customFormat="1" ht="15" hidden="1">
      <c r="A172" s="356" t="s">
        <v>1514</v>
      </c>
      <c r="B172" s="632" t="s">
        <v>511</v>
      </c>
      <c r="C172" s="611">
        <f t="shared" si="15"/>
        <v>0</v>
      </c>
      <c r="D172" s="354"/>
      <c r="E172" s="607">
        <f t="shared" si="16"/>
        <v>776.13</v>
      </c>
      <c r="F172" s="792">
        <f t="shared" si="14"/>
        <v>0</v>
      </c>
      <c r="G172" s="358">
        <f>'PART-A'!I1836</f>
        <v>0</v>
      </c>
      <c r="H172" s="354" t="s">
        <v>102</v>
      </c>
      <c r="I172" s="355">
        <f>'PART-A'!K1836</f>
        <v>776.13</v>
      </c>
      <c r="J172" s="353">
        <f t="shared" si="17"/>
        <v>0</v>
      </c>
      <c r="K172" s="1680"/>
      <c r="L172" s="1680"/>
      <c r="M172" s="633" t="s">
        <v>2312</v>
      </c>
      <c r="N172" s="223"/>
      <c r="O172" s="631">
        <f t="shared" si="18"/>
        <v>0</v>
      </c>
    </row>
    <row r="173" spans="1:15" s="360" customFormat="1" ht="15">
      <c r="A173" s="356" t="s">
        <v>484</v>
      </c>
      <c r="B173" s="632" t="s">
        <v>511</v>
      </c>
      <c r="C173" s="611">
        <f t="shared" si="15"/>
        <v>4.2</v>
      </c>
      <c r="D173" s="354" t="s">
        <v>102</v>
      </c>
      <c r="E173" s="607">
        <f t="shared" si="16"/>
        <v>801.83</v>
      </c>
      <c r="F173" s="792">
        <f t="shared" si="14"/>
        <v>3368</v>
      </c>
      <c r="G173" s="358">
        <f>'PART-A'!I1842</f>
        <v>4.2</v>
      </c>
      <c r="H173" s="354" t="s">
        <v>102</v>
      </c>
      <c r="I173" s="355">
        <f>'PART-A'!K1842</f>
        <v>801.83</v>
      </c>
      <c r="J173" s="353">
        <f t="shared" si="17"/>
        <v>3367.69</v>
      </c>
      <c r="K173" s="1681"/>
      <c r="L173" s="1681"/>
      <c r="M173" s="633" t="s">
        <v>2313</v>
      </c>
      <c r="N173" s="223"/>
      <c r="O173" s="631">
        <f t="shared" si="18"/>
        <v>0.30999999999994543</v>
      </c>
    </row>
    <row r="174" spans="1:15" s="360" customFormat="1" ht="15" hidden="1">
      <c r="A174" s="356" t="s">
        <v>492</v>
      </c>
      <c r="B174" s="632" t="s">
        <v>570</v>
      </c>
      <c r="C174" s="611">
        <f t="shared" si="15"/>
        <v>0</v>
      </c>
      <c r="D174" s="354"/>
      <c r="E174" s="607">
        <f t="shared" si="16"/>
        <v>487.61</v>
      </c>
      <c r="F174" s="792">
        <f t="shared" si="14"/>
        <v>0</v>
      </c>
      <c r="G174" s="358">
        <f>'PART-A'!I1849</f>
        <v>0</v>
      </c>
      <c r="H174" s="354" t="s">
        <v>102</v>
      </c>
      <c r="I174" s="355">
        <f>'PART-A'!K1849</f>
        <v>487.61</v>
      </c>
      <c r="J174" s="353">
        <f t="shared" si="17"/>
        <v>0</v>
      </c>
      <c r="K174" s="1679">
        <f>IF((J174+J175+J176+J177)&gt;(F174+F175+F176+F177),(J174+J175+J176+J177)-(F174+F175+F176+F177),0)</f>
        <v>0</v>
      </c>
      <c r="L174" s="1679">
        <f>IF((J174+J175+J176+J177)&lt;(F174+F175+F176+F177),(F174+F175+F176+F177)-(J174+J175+J176+J177),0)</f>
        <v>0.29000000000087311</v>
      </c>
      <c r="M174" s="633" t="s">
        <v>2217</v>
      </c>
      <c r="N174" s="223"/>
      <c r="O174" s="631">
        <f t="shared" si="18"/>
        <v>0</v>
      </c>
    </row>
    <row r="175" spans="1:15" s="360" customFormat="1" ht="15" hidden="1">
      <c r="A175" s="356" t="s">
        <v>492</v>
      </c>
      <c r="B175" s="632" t="s">
        <v>570</v>
      </c>
      <c r="C175" s="611">
        <f t="shared" si="15"/>
        <v>0</v>
      </c>
      <c r="D175" s="354"/>
      <c r="E175" s="607">
        <f t="shared" si="16"/>
        <v>496.21</v>
      </c>
      <c r="F175" s="792">
        <f t="shared" si="14"/>
        <v>0</v>
      </c>
      <c r="G175" s="358">
        <f>'PART-A'!I1856</f>
        <v>0</v>
      </c>
      <c r="H175" s="354" t="s">
        <v>102</v>
      </c>
      <c r="I175" s="355">
        <f>'PART-A'!K1856</f>
        <v>496.21</v>
      </c>
      <c r="J175" s="353">
        <f t="shared" si="17"/>
        <v>0</v>
      </c>
      <c r="K175" s="1680"/>
      <c r="L175" s="1680"/>
      <c r="M175" s="633" t="s">
        <v>2299</v>
      </c>
      <c r="N175" s="223"/>
      <c r="O175" s="631">
        <f t="shared" si="18"/>
        <v>0</v>
      </c>
    </row>
    <row r="176" spans="1:15" s="360" customFormat="1" ht="15" hidden="1">
      <c r="A176" s="356" t="s">
        <v>492</v>
      </c>
      <c r="B176" s="632" t="s">
        <v>570</v>
      </c>
      <c r="C176" s="611">
        <f t="shared" si="15"/>
        <v>0</v>
      </c>
      <c r="D176" s="354"/>
      <c r="E176" s="607">
        <f t="shared" si="16"/>
        <v>503.67</v>
      </c>
      <c r="F176" s="792">
        <f t="shared" si="14"/>
        <v>0</v>
      </c>
      <c r="G176" s="358">
        <f>'PART-A'!I1863</f>
        <v>0</v>
      </c>
      <c r="H176" s="354" t="s">
        <v>102</v>
      </c>
      <c r="I176" s="355">
        <f>'PART-A'!K1863</f>
        <v>503.67</v>
      </c>
      <c r="J176" s="353">
        <f t="shared" si="17"/>
        <v>0</v>
      </c>
      <c r="K176" s="1680"/>
      <c r="L176" s="1680"/>
      <c r="M176" s="633" t="s">
        <v>2312</v>
      </c>
      <c r="N176" s="223"/>
      <c r="O176" s="631">
        <f t="shared" si="18"/>
        <v>0</v>
      </c>
    </row>
    <row r="177" spans="1:15" s="360" customFormat="1" ht="15">
      <c r="A177" s="356" t="s">
        <v>485</v>
      </c>
      <c r="B177" s="632" t="s">
        <v>570</v>
      </c>
      <c r="C177" s="611">
        <f t="shared" si="15"/>
        <v>17.670000000000002</v>
      </c>
      <c r="D177" s="354" t="s">
        <v>102</v>
      </c>
      <c r="E177" s="607">
        <f t="shared" si="16"/>
        <v>518.15</v>
      </c>
      <c r="F177" s="792">
        <f t="shared" si="14"/>
        <v>9156</v>
      </c>
      <c r="G177" s="358">
        <f>'PART-A'!I1870</f>
        <v>17.670000000000002</v>
      </c>
      <c r="H177" s="354" t="s">
        <v>102</v>
      </c>
      <c r="I177" s="355">
        <f>'PART-A'!K1870</f>
        <v>518.15</v>
      </c>
      <c r="J177" s="353">
        <f t="shared" si="17"/>
        <v>9155.7099999999991</v>
      </c>
      <c r="K177" s="1681"/>
      <c r="L177" s="1681"/>
      <c r="M177" s="633" t="s">
        <v>2313</v>
      </c>
      <c r="N177" s="223"/>
      <c r="O177" s="631">
        <f t="shared" si="18"/>
        <v>0.29000000000087311</v>
      </c>
    </row>
    <row r="178" spans="1:15" s="360" customFormat="1" ht="38.25" hidden="1">
      <c r="A178" s="356" t="s">
        <v>484</v>
      </c>
      <c r="B178" s="632" t="s">
        <v>3297</v>
      </c>
      <c r="C178" s="611">
        <f t="shared" si="15"/>
        <v>0</v>
      </c>
      <c r="D178" s="354"/>
      <c r="E178" s="607">
        <f t="shared" si="16"/>
        <v>911.63</v>
      </c>
      <c r="F178" s="792">
        <f t="shared" si="14"/>
        <v>0</v>
      </c>
      <c r="G178" s="358">
        <f>'PART-A'!I1876</f>
        <v>0</v>
      </c>
      <c r="H178" s="354" t="s">
        <v>102</v>
      </c>
      <c r="I178" s="355">
        <f>'PART-A'!K1876</f>
        <v>911.63</v>
      </c>
      <c r="J178" s="353">
        <f t="shared" si="17"/>
        <v>0</v>
      </c>
      <c r="K178" s="1679">
        <f>IF((J178+J179+J180+J181)&gt;(F178+F179+F180+F181),(J178+J179+J180+J181)-(F178+F179+F180+F181),0)</f>
        <v>0</v>
      </c>
      <c r="L178" s="1679">
        <f>IF((J178+J179+J180+J181)&lt;(F178+F179+F180+F181),(F178+F179+F180+F181)-(J178+J179+J180+J181),0)</f>
        <v>0</v>
      </c>
      <c r="M178" s="633" t="s">
        <v>2217</v>
      </c>
      <c r="N178" s="223"/>
      <c r="O178" s="631">
        <f t="shared" si="18"/>
        <v>0</v>
      </c>
    </row>
    <row r="179" spans="1:15" s="360" customFormat="1" ht="15" hidden="1">
      <c r="A179" s="356" t="s">
        <v>487</v>
      </c>
      <c r="B179" s="632" t="s">
        <v>1222</v>
      </c>
      <c r="C179" s="611">
        <f t="shared" si="15"/>
        <v>0</v>
      </c>
      <c r="D179" s="354"/>
      <c r="E179" s="607">
        <f t="shared" si="16"/>
        <v>950.67</v>
      </c>
      <c r="F179" s="792">
        <f t="shared" si="14"/>
        <v>0</v>
      </c>
      <c r="G179" s="358">
        <f>'PART-A'!I1883</f>
        <v>0</v>
      </c>
      <c r="H179" s="354" t="s">
        <v>102</v>
      </c>
      <c r="I179" s="355">
        <f>'PART-A'!K1883</f>
        <v>950.67</v>
      </c>
      <c r="J179" s="353">
        <f t="shared" si="17"/>
        <v>0</v>
      </c>
      <c r="K179" s="1680"/>
      <c r="L179" s="1680"/>
      <c r="M179" s="633" t="s">
        <v>2299</v>
      </c>
      <c r="N179" s="223"/>
      <c r="O179" s="631">
        <f t="shared" si="18"/>
        <v>0</v>
      </c>
    </row>
    <row r="180" spans="1:15" s="360" customFormat="1" ht="15" hidden="1">
      <c r="A180" s="356" t="s">
        <v>491</v>
      </c>
      <c r="B180" s="632" t="s">
        <v>1222</v>
      </c>
      <c r="C180" s="611">
        <f t="shared" si="15"/>
        <v>0</v>
      </c>
      <c r="D180" s="354" t="s">
        <v>102</v>
      </c>
      <c r="E180" s="607">
        <f t="shared" si="16"/>
        <v>981.79</v>
      </c>
      <c r="F180" s="792">
        <f t="shared" si="14"/>
        <v>0</v>
      </c>
      <c r="G180" s="358">
        <f>'PART-A'!I1889</f>
        <v>0</v>
      </c>
      <c r="H180" s="354" t="s">
        <v>102</v>
      </c>
      <c r="I180" s="355">
        <f>'PART-A'!K1889</f>
        <v>981.79</v>
      </c>
      <c r="J180" s="353">
        <f t="shared" si="17"/>
        <v>0</v>
      </c>
      <c r="K180" s="1680"/>
      <c r="L180" s="1680"/>
      <c r="M180" s="633" t="s">
        <v>2312</v>
      </c>
      <c r="N180" s="223"/>
      <c r="O180" s="631">
        <f t="shared" si="18"/>
        <v>0</v>
      </c>
    </row>
    <row r="181" spans="1:15" s="360" customFormat="1" ht="15" hidden="1">
      <c r="A181" s="356" t="s">
        <v>487</v>
      </c>
      <c r="B181" s="632" t="s">
        <v>1222</v>
      </c>
      <c r="C181" s="611">
        <f t="shared" si="15"/>
        <v>0</v>
      </c>
      <c r="D181" s="354"/>
      <c r="E181" s="607">
        <f t="shared" si="16"/>
        <v>1017.93</v>
      </c>
      <c r="F181" s="792">
        <f t="shared" si="14"/>
        <v>0</v>
      </c>
      <c r="G181" s="358">
        <f>'PART-A'!I1896</f>
        <v>0</v>
      </c>
      <c r="H181" s="354" t="s">
        <v>102</v>
      </c>
      <c r="I181" s="355">
        <f>'PART-A'!K1896</f>
        <v>1017.93</v>
      </c>
      <c r="J181" s="353">
        <f t="shared" si="17"/>
        <v>0</v>
      </c>
      <c r="K181" s="1681"/>
      <c r="L181" s="1681"/>
      <c r="M181" s="633" t="s">
        <v>2313</v>
      </c>
      <c r="N181" s="223"/>
      <c r="O181" s="631">
        <f t="shared" si="18"/>
        <v>0</v>
      </c>
    </row>
    <row r="182" spans="1:15" s="360" customFormat="1" ht="15" hidden="1">
      <c r="A182" s="356"/>
      <c r="B182" s="632" t="s">
        <v>2262</v>
      </c>
      <c r="C182" s="611">
        <f t="shared" si="15"/>
        <v>0</v>
      </c>
      <c r="D182" s="354"/>
      <c r="E182" s="607">
        <f t="shared" si="16"/>
        <v>489</v>
      </c>
      <c r="F182" s="792">
        <f t="shared" si="14"/>
        <v>0</v>
      </c>
      <c r="G182" s="358">
        <f>'PART-A'!I1903</f>
        <v>0</v>
      </c>
      <c r="H182" s="354" t="s">
        <v>102</v>
      </c>
      <c r="I182" s="355">
        <f>'PART-A'!K1903</f>
        <v>489</v>
      </c>
      <c r="J182" s="353">
        <f t="shared" si="17"/>
        <v>0</v>
      </c>
      <c r="K182" s="1679">
        <f>IF((J182+J183+J184+J185)&gt;(F182+F183+F184+F185),(J182+J183+J184+J185)-(F182+F183+F184+F185),0)</f>
        <v>0</v>
      </c>
      <c r="L182" s="1679">
        <f>IF((J182+J183+J184+J185)&lt;(F182+F183+F184+F185),(F182+F183+F184+F185)-(J182+J183+J184+J185),0)</f>
        <v>0</v>
      </c>
      <c r="M182" s="633" t="s">
        <v>2217</v>
      </c>
      <c r="N182" s="223"/>
      <c r="O182" s="631">
        <f t="shared" si="18"/>
        <v>0</v>
      </c>
    </row>
    <row r="183" spans="1:15" s="360" customFormat="1" ht="15" hidden="1">
      <c r="A183" s="356"/>
      <c r="B183" s="632" t="s">
        <v>2262</v>
      </c>
      <c r="C183" s="611">
        <f t="shared" si="15"/>
        <v>0</v>
      </c>
      <c r="D183" s="354"/>
      <c r="E183" s="607">
        <f t="shared" si="16"/>
        <v>489</v>
      </c>
      <c r="F183" s="792">
        <f t="shared" si="14"/>
        <v>0</v>
      </c>
      <c r="G183" s="358">
        <f>'PART-A'!I1910</f>
        <v>0</v>
      </c>
      <c r="H183" s="354" t="s">
        <v>102</v>
      </c>
      <c r="I183" s="355">
        <f>'PART-A'!K1910</f>
        <v>489</v>
      </c>
      <c r="J183" s="353">
        <f t="shared" si="17"/>
        <v>0</v>
      </c>
      <c r="K183" s="1680"/>
      <c r="L183" s="1680"/>
      <c r="M183" s="633" t="s">
        <v>2299</v>
      </c>
      <c r="N183" s="223"/>
      <c r="O183" s="631">
        <f t="shared" si="18"/>
        <v>0</v>
      </c>
    </row>
    <row r="184" spans="1:15" s="360" customFormat="1" ht="15" hidden="1">
      <c r="A184" s="356"/>
      <c r="B184" s="632" t="s">
        <v>2262</v>
      </c>
      <c r="C184" s="611">
        <f t="shared" si="15"/>
        <v>0</v>
      </c>
      <c r="D184" s="354"/>
      <c r="E184" s="607">
        <f t="shared" si="16"/>
        <v>510</v>
      </c>
      <c r="F184" s="792">
        <f t="shared" si="14"/>
        <v>0</v>
      </c>
      <c r="G184" s="358">
        <f>'PART-A'!I1917</f>
        <v>0</v>
      </c>
      <c r="H184" s="354" t="s">
        <v>102</v>
      </c>
      <c r="I184" s="355">
        <f>'PART-A'!K1917</f>
        <v>510</v>
      </c>
      <c r="J184" s="353">
        <f t="shared" si="17"/>
        <v>0</v>
      </c>
      <c r="K184" s="1680"/>
      <c r="L184" s="1680"/>
      <c r="M184" s="633" t="s">
        <v>2312</v>
      </c>
      <c r="N184" s="223"/>
      <c r="O184" s="631">
        <f t="shared" si="18"/>
        <v>0</v>
      </c>
    </row>
    <row r="185" spans="1:15" s="360" customFormat="1" ht="15" hidden="1">
      <c r="A185" s="356"/>
      <c r="B185" s="632" t="s">
        <v>2262</v>
      </c>
      <c r="C185" s="611">
        <f t="shared" si="15"/>
        <v>0</v>
      </c>
      <c r="D185" s="354"/>
      <c r="E185" s="607">
        <f t="shared" si="16"/>
        <v>610</v>
      </c>
      <c r="F185" s="792">
        <f t="shared" si="14"/>
        <v>0</v>
      </c>
      <c r="G185" s="358">
        <f>'PART-A'!I1924</f>
        <v>0</v>
      </c>
      <c r="H185" s="354" t="s">
        <v>102</v>
      </c>
      <c r="I185" s="355">
        <f>'PART-A'!K1924</f>
        <v>610</v>
      </c>
      <c r="J185" s="353">
        <f t="shared" si="17"/>
        <v>0</v>
      </c>
      <c r="K185" s="1681"/>
      <c r="L185" s="1681"/>
      <c r="M185" s="633" t="s">
        <v>2313</v>
      </c>
      <c r="N185" s="223"/>
      <c r="O185" s="631">
        <f t="shared" si="18"/>
        <v>0</v>
      </c>
    </row>
    <row r="186" spans="1:15" s="360" customFormat="1" ht="51" hidden="1">
      <c r="A186" s="356" t="s">
        <v>489</v>
      </c>
      <c r="B186" s="632" t="s">
        <v>3202</v>
      </c>
      <c r="C186" s="611">
        <f t="shared" si="15"/>
        <v>0</v>
      </c>
      <c r="D186" s="791" t="s">
        <v>102</v>
      </c>
      <c r="E186" s="607">
        <f t="shared" si="16"/>
        <v>288.70999999999998</v>
      </c>
      <c r="F186" s="792">
        <f t="shared" si="14"/>
        <v>0</v>
      </c>
      <c r="G186" s="358">
        <f>'PART-A'!I1931</f>
        <v>0</v>
      </c>
      <c r="H186" s="354" t="s">
        <v>102</v>
      </c>
      <c r="I186" s="355">
        <f>'PART-A'!K1931</f>
        <v>288.70999999999998</v>
      </c>
      <c r="J186" s="353">
        <f t="shared" si="17"/>
        <v>0</v>
      </c>
      <c r="K186" s="1679">
        <f>IF((J186+J187+J188+J189)&gt;(F186+F187+F188+F189),(J186+J187+J188+J189)-(F186+F187+F188+F189),0)</f>
        <v>0</v>
      </c>
      <c r="L186" s="1679">
        <f>IF((J186+J187+J188+J189)&lt;(F186+F187+F188+F189),(F186+F187+F188+F189)-(J186+J187+J188+J189),0)</f>
        <v>0</v>
      </c>
      <c r="M186" s="633" t="s">
        <v>2217</v>
      </c>
      <c r="N186" s="223"/>
      <c r="O186" s="631">
        <f t="shared" si="18"/>
        <v>0</v>
      </c>
    </row>
    <row r="187" spans="1:15" s="360" customFormat="1" ht="15" hidden="1">
      <c r="A187" s="356"/>
      <c r="B187" s="632" t="s">
        <v>2263</v>
      </c>
      <c r="C187" s="611">
        <f t="shared" si="15"/>
        <v>0</v>
      </c>
      <c r="D187" s="354"/>
      <c r="E187" s="607">
        <f t="shared" si="16"/>
        <v>309.07</v>
      </c>
      <c r="F187" s="792">
        <f t="shared" si="14"/>
        <v>0</v>
      </c>
      <c r="G187" s="358">
        <f>'PART-A'!I1938</f>
        <v>0</v>
      </c>
      <c r="H187" s="354" t="s">
        <v>102</v>
      </c>
      <c r="I187" s="355">
        <f>'PART-A'!K1938</f>
        <v>309.07</v>
      </c>
      <c r="J187" s="353">
        <f t="shared" si="17"/>
        <v>0</v>
      </c>
      <c r="K187" s="1680"/>
      <c r="L187" s="1680"/>
      <c r="M187" s="633" t="s">
        <v>2299</v>
      </c>
      <c r="N187" s="223"/>
      <c r="O187" s="631">
        <f t="shared" si="18"/>
        <v>0</v>
      </c>
    </row>
    <row r="188" spans="1:15" s="360" customFormat="1" ht="15" hidden="1">
      <c r="A188" s="356"/>
      <c r="B188" s="632" t="s">
        <v>2263</v>
      </c>
      <c r="C188" s="611">
        <f t="shared" si="15"/>
        <v>0</v>
      </c>
      <c r="D188" s="354"/>
      <c r="E188" s="607">
        <f t="shared" si="16"/>
        <v>325.58</v>
      </c>
      <c r="F188" s="792">
        <f t="shared" si="14"/>
        <v>0</v>
      </c>
      <c r="G188" s="358">
        <f>'PART-A'!I1945</f>
        <v>0</v>
      </c>
      <c r="H188" s="354" t="s">
        <v>102</v>
      </c>
      <c r="I188" s="355">
        <f>'PART-A'!K1945</f>
        <v>325.58</v>
      </c>
      <c r="J188" s="353">
        <f t="shared" si="17"/>
        <v>0</v>
      </c>
      <c r="K188" s="1680"/>
      <c r="L188" s="1680"/>
      <c r="M188" s="633" t="s">
        <v>2312</v>
      </c>
      <c r="N188" s="223"/>
      <c r="O188" s="631">
        <f t="shared" si="18"/>
        <v>0</v>
      </c>
    </row>
    <row r="189" spans="1:15" s="360" customFormat="1" ht="15" hidden="1">
      <c r="A189" s="356"/>
      <c r="B189" s="632" t="s">
        <v>2263</v>
      </c>
      <c r="C189" s="611">
        <f t="shared" si="15"/>
        <v>0</v>
      </c>
      <c r="D189" s="354"/>
      <c r="E189" s="607">
        <f t="shared" si="16"/>
        <v>345.47</v>
      </c>
      <c r="F189" s="792">
        <f t="shared" si="14"/>
        <v>0</v>
      </c>
      <c r="G189" s="358">
        <f>'PART-A'!I1952</f>
        <v>0</v>
      </c>
      <c r="H189" s="354" t="s">
        <v>102</v>
      </c>
      <c r="I189" s="355">
        <f>'PART-A'!K1952</f>
        <v>345.47</v>
      </c>
      <c r="J189" s="353">
        <f t="shared" si="17"/>
        <v>0</v>
      </c>
      <c r="K189" s="1681"/>
      <c r="L189" s="1681"/>
      <c r="M189" s="633" t="s">
        <v>2313</v>
      </c>
      <c r="N189" s="223"/>
      <c r="O189" s="631">
        <f t="shared" si="18"/>
        <v>0</v>
      </c>
    </row>
    <row r="190" spans="1:15" s="360" customFormat="1" ht="15" hidden="1">
      <c r="A190" s="356" t="s">
        <v>491</v>
      </c>
      <c r="B190" s="632" t="s">
        <v>959</v>
      </c>
      <c r="C190" s="611">
        <f t="shared" si="15"/>
        <v>0</v>
      </c>
      <c r="D190" s="354"/>
      <c r="E190" s="607">
        <f t="shared" si="16"/>
        <v>19.87</v>
      </c>
      <c r="F190" s="792">
        <f t="shared" si="14"/>
        <v>0</v>
      </c>
      <c r="G190" s="358">
        <f>'PART-A'!I1959</f>
        <v>0</v>
      </c>
      <c r="H190" s="354" t="s">
        <v>102</v>
      </c>
      <c r="I190" s="355">
        <f>'PART-A'!K1959</f>
        <v>19.87</v>
      </c>
      <c r="J190" s="353">
        <f t="shared" si="17"/>
        <v>0</v>
      </c>
      <c r="K190" s="1679">
        <f>IF((J190+J191+J192+J193)&gt;(F190+F191+F192+F193),(J190+J191+J192+J193)-(F190+F191+F192+F193),0)</f>
        <v>0</v>
      </c>
      <c r="L190" s="1679">
        <f>IF((J190+J191+J192+J193)&lt;(F190+F191+F192+F193),(F190+F191+F192+F193)-(J190+J191+J192+J193),0)</f>
        <v>0</v>
      </c>
      <c r="M190" s="633" t="s">
        <v>2217</v>
      </c>
      <c r="N190" s="223"/>
      <c r="O190" s="631">
        <f t="shared" si="18"/>
        <v>0</v>
      </c>
    </row>
    <row r="191" spans="1:15" s="360" customFormat="1" ht="15" hidden="1">
      <c r="A191" s="356" t="s">
        <v>491</v>
      </c>
      <c r="B191" s="632" t="s">
        <v>959</v>
      </c>
      <c r="C191" s="611">
        <f t="shared" si="15"/>
        <v>0</v>
      </c>
      <c r="D191" s="354"/>
      <c r="E191" s="607">
        <f t="shared" si="16"/>
        <v>21.19</v>
      </c>
      <c r="F191" s="792">
        <f t="shared" si="14"/>
        <v>0</v>
      </c>
      <c r="G191" s="358">
        <f>'PART-A'!I1966</f>
        <v>0</v>
      </c>
      <c r="H191" s="354" t="s">
        <v>102</v>
      </c>
      <c r="I191" s="355">
        <f>'PART-A'!K1966</f>
        <v>21.19</v>
      </c>
      <c r="J191" s="353">
        <f t="shared" si="17"/>
        <v>0</v>
      </c>
      <c r="K191" s="1680"/>
      <c r="L191" s="1680"/>
      <c r="M191" s="633" t="s">
        <v>2299</v>
      </c>
      <c r="N191" s="223"/>
      <c r="O191" s="631">
        <f t="shared" si="18"/>
        <v>0</v>
      </c>
    </row>
    <row r="192" spans="1:15" s="360" customFormat="1" ht="15" hidden="1">
      <c r="A192" s="356" t="s">
        <v>491</v>
      </c>
      <c r="B192" s="632" t="s">
        <v>959</v>
      </c>
      <c r="C192" s="611">
        <f t="shared" si="15"/>
        <v>0</v>
      </c>
      <c r="D192" s="354"/>
      <c r="E192" s="607">
        <f t="shared" si="16"/>
        <v>22.35</v>
      </c>
      <c r="F192" s="792">
        <f t="shared" si="14"/>
        <v>0</v>
      </c>
      <c r="G192" s="358">
        <f>'PART-A'!I1973</f>
        <v>0</v>
      </c>
      <c r="H192" s="354" t="s">
        <v>102</v>
      </c>
      <c r="I192" s="355">
        <f>'PART-A'!K1973</f>
        <v>22.35</v>
      </c>
      <c r="J192" s="353">
        <f t="shared" si="17"/>
        <v>0</v>
      </c>
      <c r="K192" s="1680"/>
      <c r="L192" s="1680"/>
      <c r="M192" s="633" t="s">
        <v>2312</v>
      </c>
      <c r="N192" s="223"/>
      <c r="O192" s="631">
        <f t="shared" si="18"/>
        <v>0</v>
      </c>
    </row>
    <row r="193" spans="1:15" s="360" customFormat="1" ht="15" hidden="1">
      <c r="A193" s="356" t="s">
        <v>491</v>
      </c>
      <c r="B193" s="632" t="s">
        <v>959</v>
      </c>
      <c r="C193" s="611">
        <f t="shared" si="15"/>
        <v>0</v>
      </c>
      <c r="D193" s="354"/>
      <c r="E193" s="607">
        <f t="shared" si="16"/>
        <v>24.05</v>
      </c>
      <c r="F193" s="792">
        <f t="shared" si="14"/>
        <v>0</v>
      </c>
      <c r="G193" s="358">
        <f>'PART-A'!I1980</f>
        <v>0</v>
      </c>
      <c r="H193" s="354" t="s">
        <v>102</v>
      </c>
      <c r="I193" s="355">
        <f>'PART-A'!K1980</f>
        <v>24.05</v>
      </c>
      <c r="J193" s="353">
        <f t="shared" si="17"/>
        <v>0</v>
      </c>
      <c r="K193" s="1681"/>
      <c r="L193" s="1681"/>
      <c r="M193" s="633" t="s">
        <v>2313</v>
      </c>
      <c r="N193" s="223"/>
      <c r="O193" s="631">
        <f t="shared" si="18"/>
        <v>0</v>
      </c>
    </row>
    <row r="194" spans="1:15" s="360" customFormat="1" ht="51" hidden="1">
      <c r="A194" s="356" t="s">
        <v>485</v>
      </c>
      <c r="B194" s="632" t="s">
        <v>3203</v>
      </c>
      <c r="C194" s="611">
        <f t="shared" si="15"/>
        <v>0</v>
      </c>
      <c r="D194" s="791" t="s">
        <v>102</v>
      </c>
      <c r="E194" s="607">
        <f t="shared" si="16"/>
        <v>148.07</v>
      </c>
      <c r="F194" s="792">
        <f t="shared" si="14"/>
        <v>0</v>
      </c>
      <c r="G194" s="358">
        <f>'PART-A'!I2004</f>
        <v>0</v>
      </c>
      <c r="H194" s="354" t="s">
        <v>102</v>
      </c>
      <c r="I194" s="355">
        <f>'PART-A'!K2004</f>
        <v>148.07</v>
      </c>
      <c r="J194" s="353">
        <f t="shared" si="17"/>
        <v>0</v>
      </c>
      <c r="K194" s="1679">
        <f>IF((J194+J195+J196+J197)&gt;(F194+F195+F196+F197),(J194+J195+J196+J197)-(F194+F195+F196+F197),0)</f>
        <v>4.0000000000873115E-2</v>
      </c>
      <c r="L194" s="1679">
        <f>IF((J194+J195+J196+J197)&lt;(F194+F195+F196+F197),(F194+F195+F196+F197)-(J194+J195+J196+J197),0)</f>
        <v>0</v>
      </c>
      <c r="M194" s="851" t="s">
        <v>2217</v>
      </c>
      <c r="N194" s="223"/>
      <c r="O194" s="850">
        <f t="shared" si="18"/>
        <v>0</v>
      </c>
    </row>
    <row r="195" spans="1:15" s="360" customFormat="1" ht="15" hidden="1">
      <c r="A195" s="356" t="s">
        <v>1514</v>
      </c>
      <c r="B195" s="632" t="s">
        <v>960</v>
      </c>
      <c r="C195" s="611">
        <f t="shared" si="15"/>
        <v>0</v>
      </c>
      <c r="D195" s="354" t="s">
        <v>102</v>
      </c>
      <c r="E195" s="607">
        <f t="shared" si="16"/>
        <v>155.29</v>
      </c>
      <c r="F195" s="792">
        <f t="shared" si="14"/>
        <v>0</v>
      </c>
      <c r="G195" s="358">
        <f>'PART-A'!I2033</f>
        <v>0</v>
      </c>
      <c r="H195" s="354" t="s">
        <v>102</v>
      </c>
      <c r="I195" s="355">
        <f>'PART-A'!K2033</f>
        <v>155.29</v>
      </c>
      <c r="J195" s="353">
        <f t="shared" si="17"/>
        <v>0</v>
      </c>
      <c r="K195" s="1680"/>
      <c r="L195" s="1680"/>
      <c r="M195" s="633" t="s">
        <v>2299</v>
      </c>
      <c r="N195" s="223"/>
      <c r="O195" s="631">
        <f t="shared" si="18"/>
        <v>0</v>
      </c>
    </row>
    <row r="196" spans="1:15" s="360" customFormat="1" ht="15" hidden="1">
      <c r="A196" s="356" t="s">
        <v>1518</v>
      </c>
      <c r="B196" s="632" t="s">
        <v>960</v>
      </c>
      <c r="C196" s="611">
        <f t="shared" si="15"/>
        <v>0</v>
      </c>
      <c r="D196" s="354"/>
      <c r="E196" s="607">
        <f t="shared" si="16"/>
        <v>160.76</v>
      </c>
      <c r="F196" s="792">
        <f t="shared" si="14"/>
        <v>0</v>
      </c>
      <c r="G196" s="358">
        <f>'PART-A'!I2054</f>
        <v>0</v>
      </c>
      <c r="H196" s="354" t="s">
        <v>102</v>
      </c>
      <c r="I196" s="355">
        <f>'PART-A'!K2054</f>
        <v>160.76</v>
      </c>
      <c r="J196" s="353">
        <f t="shared" si="17"/>
        <v>0</v>
      </c>
      <c r="K196" s="1680"/>
      <c r="L196" s="1680"/>
      <c r="M196" s="633" t="s">
        <v>2312</v>
      </c>
      <c r="N196" s="223"/>
      <c r="O196" s="631">
        <f t="shared" si="18"/>
        <v>0</v>
      </c>
    </row>
    <row r="197" spans="1:15" s="360" customFormat="1" ht="51">
      <c r="A197" s="356" t="s">
        <v>486</v>
      </c>
      <c r="B197" s="632" t="s">
        <v>3203</v>
      </c>
      <c r="C197" s="611">
        <f t="shared" si="15"/>
        <v>249.18000000000006</v>
      </c>
      <c r="D197" s="354" t="s">
        <v>102</v>
      </c>
      <c r="E197" s="607">
        <f t="shared" si="16"/>
        <v>173.73</v>
      </c>
      <c r="F197" s="792">
        <f t="shared" si="14"/>
        <v>43290</v>
      </c>
      <c r="G197" s="358">
        <f>'PART-A'!I2078</f>
        <v>249.18000000000006</v>
      </c>
      <c r="H197" s="354" t="s">
        <v>102</v>
      </c>
      <c r="I197" s="355">
        <f>'PART-A'!K2078</f>
        <v>173.73</v>
      </c>
      <c r="J197" s="353">
        <f t="shared" si="17"/>
        <v>43290.04</v>
      </c>
      <c r="K197" s="1695"/>
      <c r="L197" s="1695"/>
      <c r="M197" s="851" t="s">
        <v>2313</v>
      </c>
      <c r="N197" s="223"/>
      <c r="O197" s="850">
        <f t="shared" si="18"/>
        <v>-4.0000000000873115E-2</v>
      </c>
    </row>
    <row r="198" spans="1:15" s="360" customFormat="1" ht="51" hidden="1">
      <c r="A198" s="356" t="s">
        <v>486</v>
      </c>
      <c r="B198" s="632" t="s">
        <v>3204</v>
      </c>
      <c r="C198" s="611">
        <f t="shared" si="15"/>
        <v>0</v>
      </c>
      <c r="D198" s="791" t="s">
        <v>102</v>
      </c>
      <c r="E198" s="607">
        <f t="shared" si="16"/>
        <v>122.02</v>
      </c>
      <c r="F198" s="792">
        <f t="shared" si="14"/>
        <v>0</v>
      </c>
      <c r="G198" s="358">
        <f>'PART-A'!I2111</f>
        <v>0</v>
      </c>
      <c r="H198" s="354" t="s">
        <v>102</v>
      </c>
      <c r="I198" s="355">
        <f>'PART-A'!K2111</f>
        <v>122.02</v>
      </c>
      <c r="J198" s="353">
        <f t="shared" si="17"/>
        <v>0</v>
      </c>
      <c r="K198" s="1679">
        <f>IF((J198+J199+J200+J201)&gt;(F198+F199+F200+F201),(J198+J199+J200+J201)-(F198+F199+F200+F201),0)</f>
        <v>0</v>
      </c>
      <c r="L198" s="1679">
        <f>IF((J198+J199+J200+J201)&lt;(F198+F199+F200+F201),(F198+F199+F200+F201)-(J198+J199+J200+J201),0)</f>
        <v>0</v>
      </c>
      <c r="M198" s="633" t="s">
        <v>2217</v>
      </c>
      <c r="N198" s="223"/>
      <c r="O198" s="631">
        <f t="shared" si="18"/>
        <v>0</v>
      </c>
    </row>
    <row r="199" spans="1:15" s="360" customFormat="1" ht="15" hidden="1">
      <c r="A199" s="356" t="s">
        <v>492</v>
      </c>
      <c r="B199" s="632" t="s">
        <v>1165</v>
      </c>
      <c r="C199" s="611">
        <f t="shared" si="15"/>
        <v>0</v>
      </c>
      <c r="D199" s="354" t="s">
        <v>102</v>
      </c>
      <c r="E199" s="607">
        <f t="shared" si="16"/>
        <v>129.35</v>
      </c>
      <c r="F199" s="792">
        <f t="shared" si="14"/>
        <v>0</v>
      </c>
      <c r="G199" s="358">
        <f>'PART-A'!I2147</f>
        <v>0</v>
      </c>
      <c r="H199" s="354" t="s">
        <v>102</v>
      </c>
      <c r="I199" s="355">
        <f>'PART-A'!K2147</f>
        <v>129.35</v>
      </c>
      <c r="J199" s="353">
        <f t="shared" si="17"/>
        <v>0</v>
      </c>
      <c r="K199" s="1680"/>
      <c r="L199" s="1680"/>
      <c r="M199" s="633" t="s">
        <v>2299</v>
      </c>
      <c r="N199" s="223"/>
      <c r="O199" s="631">
        <f t="shared" si="18"/>
        <v>0</v>
      </c>
    </row>
    <row r="200" spans="1:15" s="360" customFormat="1" ht="15" hidden="1">
      <c r="A200" s="356" t="s">
        <v>1519</v>
      </c>
      <c r="B200" s="632" t="s">
        <v>1165</v>
      </c>
      <c r="C200" s="611">
        <f t="shared" si="15"/>
        <v>0</v>
      </c>
      <c r="D200" s="354"/>
      <c r="E200" s="607">
        <f t="shared" si="16"/>
        <v>134.97</v>
      </c>
      <c r="F200" s="792">
        <f t="shared" si="14"/>
        <v>0</v>
      </c>
      <c r="G200" s="358">
        <f>'PART-A'!I2207</f>
        <v>0</v>
      </c>
      <c r="H200" s="354" t="s">
        <v>102</v>
      </c>
      <c r="I200" s="355">
        <f>'PART-A'!K2207</f>
        <v>134.97</v>
      </c>
      <c r="J200" s="353">
        <f t="shared" si="17"/>
        <v>0</v>
      </c>
      <c r="K200" s="1680"/>
      <c r="L200" s="1680"/>
      <c r="M200" s="633" t="s">
        <v>2312</v>
      </c>
      <c r="N200" s="223"/>
      <c r="O200" s="631">
        <f t="shared" si="18"/>
        <v>0</v>
      </c>
    </row>
    <row r="201" spans="1:15" s="360" customFormat="1" ht="51" hidden="1">
      <c r="A201" s="356" t="s">
        <v>488</v>
      </c>
      <c r="B201" s="632" t="s">
        <v>3204</v>
      </c>
      <c r="C201" s="611">
        <f t="shared" si="15"/>
        <v>0</v>
      </c>
      <c r="D201" s="354" t="s">
        <v>102</v>
      </c>
      <c r="E201" s="607">
        <f t="shared" si="16"/>
        <v>146.82</v>
      </c>
      <c r="F201" s="792">
        <f t="shared" ref="F201:F238" si="19">ROUND(C201*E201,0)</f>
        <v>0</v>
      </c>
      <c r="G201" s="358">
        <f>'PART-A'!I2240</f>
        <v>0</v>
      </c>
      <c r="H201" s="354" t="s">
        <v>102</v>
      </c>
      <c r="I201" s="355">
        <f>'PART-A'!K2240</f>
        <v>146.82</v>
      </c>
      <c r="J201" s="353">
        <f t="shared" si="17"/>
        <v>0</v>
      </c>
      <c r="K201" s="1695"/>
      <c r="L201" s="1695"/>
      <c r="M201" s="851" t="s">
        <v>2313</v>
      </c>
      <c r="N201" s="223"/>
      <c r="O201" s="850">
        <f t="shared" si="18"/>
        <v>0</v>
      </c>
    </row>
    <row r="202" spans="1:15" s="360" customFormat="1" ht="51" hidden="1">
      <c r="A202" s="356" t="s">
        <v>487</v>
      </c>
      <c r="B202" s="632" t="s">
        <v>3205</v>
      </c>
      <c r="C202" s="611">
        <f t="shared" ref="C202:C265" si="20">G202</f>
        <v>0</v>
      </c>
      <c r="D202" s="791" t="s">
        <v>102</v>
      </c>
      <c r="E202" s="607">
        <f t="shared" ref="E202:E238" si="21">I202</f>
        <v>166.22</v>
      </c>
      <c r="F202" s="792">
        <f t="shared" si="19"/>
        <v>0</v>
      </c>
      <c r="G202" s="358">
        <f>'PART-A'!I2251</f>
        <v>0</v>
      </c>
      <c r="H202" s="354" t="s">
        <v>102</v>
      </c>
      <c r="I202" s="355">
        <f>'PART-A'!K2251</f>
        <v>166.22</v>
      </c>
      <c r="J202" s="353">
        <f t="shared" ref="J202:J265" si="22">ROUND(G202*I202,2)</f>
        <v>0</v>
      </c>
      <c r="K202" s="1679">
        <f>IF((J202+J203+J204+J205)&gt;(F202+F203+F204+F205),(J202+J203+J204+J205)-(F202+F203+F204+F205),0)</f>
        <v>0</v>
      </c>
      <c r="L202" s="1679">
        <f>IF((J202+J203+J204+J205)&lt;(F202+F203+F204+F205),(F202+F203+F204+F205)-(J202+J203+J204+J205),0)</f>
        <v>0</v>
      </c>
      <c r="M202" s="633" t="s">
        <v>2217</v>
      </c>
      <c r="N202" s="223"/>
      <c r="O202" s="631">
        <f t="shared" si="18"/>
        <v>0</v>
      </c>
    </row>
    <row r="203" spans="1:15" s="360" customFormat="1" ht="15" hidden="1">
      <c r="A203" s="356" t="s">
        <v>493</v>
      </c>
      <c r="B203" s="632" t="s">
        <v>1166</v>
      </c>
      <c r="C203" s="611">
        <f t="shared" si="20"/>
        <v>0</v>
      </c>
      <c r="D203" s="354" t="s">
        <v>102</v>
      </c>
      <c r="E203" s="607">
        <f t="shared" si="21"/>
        <v>177.63</v>
      </c>
      <c r="F203" s="792">
        <f t="shared" si="19"/>
        <v>0</v>
      </c>
      <c r="G203" s="358">
        <f>'PART-A'!I2262</f>
        <v>0</v>
      </c>
      <c r="H203" s="354" t="s">
        <v>102</v>
      </c>
      <c r="I203" s="355">
        <f>'PART-A'!K2262</f>
        <v>177.63</v>
      </c>
      <c r="J203" s="353">
        <f t="shared" si="22"/>
        <v>0</v>
      </c>
      <c r="K203" s="1680"/>
      <c r="L203" s="1680"/>
      <c r="M203" s="633" t="s">
        <v>2299</v>
      </c>
      <c r="N203" s="223"/>
      <c r="O203" s="631">
        <f t="shared" ref="O203:O267" si="23">F203-J203</f>
        <v>0</v>
      </c>
    </row>
    <row r="204" spans="1:15" s="360" customFormat="1" ht="15" hidden="1">
      <c r="A204" s="356" t="s">
        <v>1518</v>
      </c>
      <c r="B204" s="632" t="s">
        <v>1166</v>
      </c>
      <c r="C204" s="611">
        <f t="shared" si="20"/>
        <v>0</v>
      </c>
      <c r="D204" s="354"/>
      <c r="E204" s="607">
        <f t="shared" si="21"/>
        <v>186.27</v>
      </c>
      <c r="F204" s="792">
        <f t="shared" si="19"/>
        <v>0</v>
      </c>
      <c r="G204" s="358">
        <f>'PART-A'!I2292</f>
        <v>0</v>
      </c>
      <c r="H204" s="354" t="s">
        <v>102</v>
      </c>
      <c r="I204" s="355">
        <f>'PART-A'!K2292</f>
        <v>186.27</v>
      </c>
      <c r="J204" s="353">
        <f t="shared" si="22"/>
        <v>0</v>
      </c>
      <c r="K204" s="1680"/>
      <c r="L204" s="1680"/>
      <c r="M204" s="633" t="s">
        <v>2312</v>
      </c>
      <c r="N204" s="223"/>
      <c r="O204" s="631">
        <f t="shared" si="23"/>
        <v>0</v>
      </c>
    </row>
    <row r="205" spans="1:15" s="360" customFormat="1" ht="51" hidden="1">
      <c r="A205" s="356" t="s">
        <v>487</v>
      </c>
      <c r="B205" s="632" t="s">
        <v>3205</v>
      </c>
      <c r="C205" s="611">
        <f t="shared" si="20"/>
        <v>0</v>
      </c>
      <c r="D205" s="354" t="s">
        <v>102</v>
      </c>
      <c r="E205" s="607">
        <f t="shared" si="21"/>
        <v>200.84</v>
      </c>
      <c r="F205" s="792">
        <f t="shared" si="19"/>
        <v>0</v>
      </c>
      <c r="G205" s="358">
        <f>'PART-A'!I2317</f>
        <v>0</v>
      </c>
      <c r="H205" s="354" t="s">
        <v>102</v>
      </c>
      <c r="I205" s="355">
        <f>'PART-A'!K2317</f>
        <v>200.84</v>
      </c>
      <c r="J205" s="353">
        <f t="shared" si="22"/>
        <v>0</v>
      </c>
      <c r="K205" s="1695"/>
      <c r="L205" s="1695"/>
      <c r="M205" s="851" t="s">
        <v>2313</v>
      </c>
      <c r="N205" s="223"/>
      <c r="O205" s="850">
        <f t="shared" si="23"/>
        <v>0</v>
      </c>
    </row>
    <row r="206" spans="1:15" s="360" customFormat="1" ht="25.5" hidden="1">
      <c r="A206" s="356" t="s">
        <v>491</v>
      </c>
      <c r="B206" s="632" t="s">
        <v>1223</v>
      </c>
      <c r="C206" s="611">
        <f t="shared" si="20"/>
        <v>0</v>
      </c>
      <c r="D206" s="354"/>
      <c r="E206" s="607">
        <f t="shared" si="21"/>
        <v>786.87</v>
      </c>
      <c r="F206" s="792">
        <f t="shared" si="19"/>
        <v>0</v>
      </c>
      <c r="G206" s="358">
        <f>'PART-A'!I2373</f>
        <v>0</v>
      </c>
      <c r="H206" s="354" t="s">
        <v>102</v>
      </c>
      <c r="I206" s="355">
        <f>'PART-A'!K2373</f>
        <v>786.87</v>
      </c>
      <c r="J206" s="353">
        <f t="shared" si="22"/>
        <v>0</v>
      </c>
      <c r="K206" s="1679">
        <f>IF((J206+J207+J208+J209)&gt;(F206+F207+F208+F209),(J206+J207+J208+J209)-(F206+F207+F208+F209),0)</f>
        <v>0</v>
      </c>
      <c r="L206" s="1679">
        <f>IF((J206+J207+J208+J209)&lt;(F206+F207+F208+F209),(F206+F207+F208+F209)-(J206+J207+J208+J209),0)</f>
        <v>0</v>
      </c>
      <c r="M206" s="633" t="s">
        <v>2217</v>
      </c>
      <c r="N206" s="223"/>
      <c r="O206" s="631">
        <f t="shared" si="23"/>
        <v>0</v>
      </c>
    </row>
    <row r="207" spans="1:15" s="360" customFormat="1" ht="25.5" hidden="1">
      <c r="A207" s="356" t="s">
        <v>491</v>
      </c>
      <c r="B207" s="632" t="s">
        <v>1223</v>
      </c>
      <c r="C207" s="611">
        <f t="shared" si="20"/>
        <v>0</v>
      </c>
      <c r="D207" s="354"/>
      <c r="E207" s="607">
        <f t="shared" si="21"/>
        <v>849.67000000000007</v>
      </c>
      <c r="F207" s="792">
        <f t="shared" si="19"/>
        <v>0</v>
      </c>
      <c r="G207" s="358">
        <f>'PART-A'!I2378</f>
        <v>0</v>
      </c>
      <c r="H207" s="354" t="s">
        <v>102</v>
      </c>
      <c r="I207" s="355">
        <f>'PART-A'!K2378</f>
        <v>849.67000000000007</v>
      </c>
      <c r="J207" s="353">
        <f t="shared" si="22"/>
        <v>0</v>
      </c>
      <c r="K207" s="1680"/>
      <c r="L207" s="1680"/>
      <c r="M207" s="633" t="s">
        <v>2299</v>
      </c>
      <c r="N207" s="223"/>
      <c r="O207" s="631">
        <f t="shared" si="23"/>
        <v>0</v>
      </c>
    </row>
    <row r="208" spans="1:15" s="360" customFormat="1" ht="25.5" hidden="1">
      <c r="A208" s="356" t="s">
        <v>491</v>
      </c>
      <c r="B208" s="632" t="s">
        <v>1223</v>
      </c>
      <c r="C208" s="611">
        <f t="shared" si="20"/>
        <v>0</v>
      </c>
      <c r="D208" s="354"/>
      <c r="E208" s="607">
        <f t="shared" si="21"/>
        <v>897.27</v>
      </c>
      <c r="F208" s="792">
        <f t="shared" si="19"/>
        <v>0</v>
      </c>
      <c r="G208" s="358">
        <f>'PART-A'!I2383</f>
        <v>0</v>
      </c>
      <c r="H208" s="354" t="s">
        <v>102</v>
      </c>
      <c r="I208" s="355">
        <f>'PART-A'!K2383</f>
        <v>897.27</v>
      </c>
      <c r="J208" s="353">
        <f t="shared" si="22"/>
        <v>0</v>
      </c>
      <c r="K208" s="1680"/>
      <c r="L208" s="1680"/>
      <c r="M208" s="633" t="s">
        <v>2312</v>
      </c>
      <c r="N208" s="223"/>
      <c r="O208" s="631">
        <f t="shared" si="23"/>
        <v>0</v>
      </c>
    </row>
    <row r="209" spans="1:15" s="360" customFormat="1" ht="25.5" hidden="1">
      <c r="A209" s="356" t="s">
        <v>491</v>
      </c>
      <c r="B209" s="632" t="s">
        <v>1223</v>
      </c>
      <c r="C209" s="611">
        <f t="shared" si="20"/>
        <v>0</v>
      </c>
      <c r="D209" s="354"/>
      <c r="E209" s="607">
        <f t="shared" si="21"/>
        <v>968.78</v>
      </c>
      <c r="F209" s="792">
        <f t="shared" si="19"/>
        <v>0</v>
      </c>
      <c r="G209" s="358">
        <f>'PART-A'!I2388</f>
        <v>0</v>
      </c>
      <c r="H209" s="354" t="s">
        <v>102</v>
      </c>
      <c r="I209" s="355">
        <f>'PART-A'!K2388</f>
        <v>968.78</v>
      </c>
      <c r="J209" s="353">
        <f t="shared" si="22"/>
        <v>0</v>
      </c>
      <c r="K209" s="1681"/>
      <c r="L209" s="1681"/>
      <c r="M209" s="633" t="s">
        <v>2313</v>
      </c>
      <c r="N209" s="223"/>
      <c r="O209" s="631">
        <f t="shared" si="23"/>
        <v>0</v>
      </c>
    </row>
    <row r="210" spans="1:15" s="360" customFormat="1" ht="51" hidden="1">
      <c r="A210" s="356" t="s">
        <v>494</v>
      </c>
      <c r="B210" s="632" t="s">
        <v>3206</v>
      </c>
      <c r="C210" s="611">
        <f t="shared" si="20"/>
        <v>0</v>
      </c>
      <c r="D210" s="794" t="s">
        <v>102</v>
      </c>
      <c r="E210" s="607">
        <f t="shared" si="21"/>
        <v>3198</v>
      </c>
      <c r="F210" s="792">
        <f t="shared" si="19"/>
        <v>0</v>
      </c>
      <c r="G210" s="429">
        <f>'PART-A'!I2393</f>
        <v>0</v>
      </c>
      <c r="H210" s="221" t="s">
        <v>102</v>
      </c>
      <c r="I210" s="430">
        <f>'PART-A'!K2393</f>
        <v>3198</v>
      </c>
      <c r="J210" s="353">
        <f t="shared" si="22"/>
        <v>0</v>
      </c>
      <c r="K210" s="1679">
        <f>IF((J210+J211+J212+J213)&gt;(F210+F211+F212+F213),(J210+J211+J212+J213)-(F210+F211+F212+F213),0)</f>
        <v>0</v>
      </c>
      <c r="L210" s="1679">
        <f>IF((J210+J211+J212+J213)&lt;(F210+F211+F212+F213),(F210+F211+F212+F213)-(J210+J211+J212+J213),0)</f>
        <v>0</v>
      </c>
      <c r="M210" s="633" t="s">
        <v>2217</v>
      </c>
      <c r="N210" s="223"/>
      <c r="O210" s="631">
        <f t="shared" si="23"/>
        <v>0</v>
      </c>
    </row>
    <row r="211" spans="1:15" s="360" customFormat="1" ht="25.5" hidden="1">
      <c r="A211" s="356" t="s">
        <v>500</v>
      </c>
      <c r="B211" s="632" t="s">
        <v>706</v>
      </c>
      <c r="C211" s="611">
        <f t="shared" si="20"/>
        <v>0</v>
      </c>
      <c r="D211" s="221"/>
      <c r="E211" s="607">
        <f t="shared" si="21"/>
        <v>3198</v>
      </c>
      <c r="F211" s="792">
        <f t="shared" si="19"/>
        <v>0</v>
      </c>
      <c r="G211" s="429">
        <f>'PART-A'!I2398</f>
        <v>0</v>
      </c>
      <c r="H211" s="221" t="s">
        <v>102</v>
      </c>
      <c r="I211" s="430">
        <f>'PART-A'!K2398</f>
        <v>3198</v>
      </c>
      <c r="J211" s="353">
        <f t="shared" si="22"/>
        <v>0</v>
      </c>
      <c r="K211" s="1680"/>
      <c r="L211" s="1680"/>
      <c r="M211" s="633" t="s">
        <v>2299</v>
      </c>
      <c r="N211" s="223"/>
      <c r="O211" s="631">
        <f t="shared" si="23"/>
        <v>0</v>
      </c>
    </row>
    <row r="212" spans="1:15" s="360" customFormat="1" ht="25.5" hidden="1">
      <c r="A212" s="356" t="s">
        <v>497</v>
      </c>
      <c r="B212" s="632" t="s">
        <v>706</v>
      </c>
      <c r="C212" s="611">
        <f t="shared" si="20"/>
        <v>0</v>
      </c>
      <c r="D212" s="221"/>
      <c r="E212" s="607">
        <f t="shared" si="21"/>
        <v>3500</v>
      </c>
      <c r="F212" s="792">
        <f t="shared" si="19"/>
        <v>0</v>
      </c>
      <c r="G212" s="429">
        <f>'PART-A'!I2403</f>
        <v>0</v>
      </c>
      <c r="H212" s="221" t="s">
        <v>102</v>
      </c>
      <c r="I212" s="430">
        <f>'PART-A'!K2403</f>
        <v>3500</v>
      </c>
      <c r="J212" s="353">
        <f t="shared" si="22"/>
        <v>0</v>
      </c>
      <c r="K212" s="1680"/>
      <c r="L212" s="1680"/>
      <c r="M212" s="633" t="s">
        <v>2312</v>
      </c>
      <c r="N212" s="223"/>
      <c r="O212" s="631">
        <f t="shared" si="23"/>
        <v>0</v>
      </c>
    </row>
    <row r="213" spans="1:15" s="360" customFormat="1" ht="51" hidden="1">
      <c r="A213" s="356" t="s">
        <v>489</v>
      </c>
      <c r="B213" s="632" t="s">
        <v>3206</v>
      </c>
      <c r="C213" s="611">
        <f t="shared" si="20"/>
        <v>0</v>
      </c>
      <c r="D213" s="221" t="s">
        <v>102</v>
      </c>
      <c r="E213" s="607">
        <f t="shared" si="21"/>
        <v>4025</v>
      </c>
      <c r="F213" s="792">
        <f t="shared" si="19"/>
        <v>0</v>
      </c>
      <c r="G213" s="429">
        <f>'PART-A'!I2408</f>
        <v>0</v>
      </c>
      <c r="H213" s="221" t="s">
        <v>102</v>
      </c>
      <c r="I213" s="430">
        <f>'PART-A'!K2408</f>
        <v>4025</v>
      </c>
      <c r="J213" s="353">
        <f t="shared" si="22"/>
        <v>0</v>
      </c>
      <c r="K213" s="1695"/>
      <c r="L213" s="1695"/>
      <c r="M213" s="851" t="s">
        <v>2313</v>
      </c>
      <c r="N213" s="223"/>
      <c r="O213" s="850">
        <f t="shared" si="23"/>
        <v>0</v>
      </c>
    </row>
    <row r="214" spans="1:15" s="360" customFormat="1" ht="38.25" hidden="1">
      <c r="A214" s="356" t="s">
        <v>1515</v>
      </c>
      <c r="B214" s="632" t="s">
        <v>3207</v>
      </c>
      <c r="C214" s="611">
        <f t="shared" si="20"/>
        <v>0</v>
      </c>
      <c r="D214" s="791" t="s">
        <v>102</v>
      </c>
      <c r="E214" s="607">
        <f t="shared" si="21"/>
        <v>172.75</v>
      </c>
      <c r="F214" s="792">
        <f t="shared" si="19"/>
        <v>0</v>
      </c>
      <c r="G214" s="358">
        <f>'PART-A'!I2323</f>
        <v>0</v>
      </c>
      <c r="H214" s="354" t="s">
        <v>102</v>
      </c>
      <c r="I214" s="355">
        <f>'PART-A'!K2323</f>
        <v>172.75</v>
      </c>
      <c r="J214" s="353">
        <f t="shared" si="22"/>
        <v>0</v>
      </c>
      <c r="K214" s="1679">
        <f>IF((J214+J215+J216+J217)&gt;(F214+F215+F216+F217),(J214+J215+J216+J217)-(F214+F215+F216+F217),0)</f>
        <v>0</v>
      </c>
      <c r="L214" s="1679">
        <f>IF((J214+J215+J216+J217)&lt;(F214+F215+F216+F217),(F214+F215+F216+F217)-(J214+J215+J216+J217),0)</f>
        <v>0</v>
      </c>
      <c r="M214" s="633" t="s">
        <v>2217</v>
      </c>
      <c r="N214" s="223"/>
      <c r="O214" s="631">
        <f t="shared" si="23"/>
        <v>0</v>
      </c>
    </row>
    <row r="215" spans="1:15" s="360" customFormat="1" ht="25.5" hidden="1">
      <c r="A215" s="356" t="s">
        <v>492</v>
      </c>
      <c r="B215" s="632" t="s">
        <v>961</v>
      </c>
      <c r="C215" s="611">
        <f t="shared" si="20"/>
        <v>0</v>
      </c>
      <c r="D215" s="354"/>
      <c r="E215" s="607">
        <f t="shared" si="21"/>
        <v>132.55000000000001</v>
      </c>
      <c r="F215" s="792">
        <f t="shared" si="19"/>
        <v>0</v>
      </c>
      <c r="G215" s="358">
        <f>'PART-A'!I2333</f>
        <v>0</v>
      </c>
      <c r="H215" s="354" t="s">
        <v>102</v>
      </c>
      <c r="I215" s="355">
        <f>'PART-A'!K2333</f>
        <v>132.55000000000001</v>
      </c>
      <c r="J215" s="353">
        <f t="shared" si="22"/>
        <v>0</v>
      </c>
      <c r="K215" s="1680"/>
      <c r="L215" s="1680"/>
      <c r="M215" s="633" t="s">
        <v>2299</v>
      </c>
      <c r="N215" s="223"/>
      <c r="O215" s="631">
        <f t="shared" si="23"/>
        <v>0</v>
      </c>
    </row>
    <row r="216" spans="1:15" s="360" customFormat="1" ht="25.5" hidden="1">
      <c r="A216" s="356" t="s">
        <v>492</v>
      </c>
      <c r="B216" s="632" t="s">
        <v>961</v>
      </c>
      <c r="C216" s="611">
        <f t="shared" si="20"/>
        <v>0</v>
      </c>
      <c r="D216" s="354"/>
      <c r="E216" s="607">
        <f t="shared" si="21"/>
        <v>137.6</v>
      </c>
      <c r="F216" s="792">
        <f t="shared" si="19"/>
        <v>0</v>
      </c>
      <c r="G216" s="358">
        <f>'PART-A'!I2339</f>
        <v>0</v>
      </c>
      <c r="H216" s="354" t="s">
        <v>102</v>
      </c>
      <c r="I216" s="355">
        <f>'PART-A'!K2339</f>
        <v>137.6</v>
      </c>
      <c r="J216" s="353">
        <f t="shared" si="22"/>
        <v>0</v>
      </c>
      <c r="K216" s="1680"/>
      <c r="L216" s="1680"/>
      <c r="M216" s="633" t="s">
        <v>2312</v>
      </c>
      <c r="N216" s="223"/>
      <c r="O216" s="631">
        <f t="shared" si="23"/>
        <v>0</v>
      </c>
    </row>
    <row r="217" spans="1:15" s="360" customFormat="1" ht="25.5" hidden="1">
      <c r="A217" s="356" t="s">
        <v>488</v>
      </c>
      <c r="B217" s="632" t="s">
        <v>961</v>
      </c>
      <c r="C217" s="611">
        <f t="shared" si="20"/>
        <v>0</v>
      </c>
      <c r="D217" s="354"/>
      <c r="E217" s="607">
        <f t="shared" si="21"/>
        <v>149.86000000000001</v>
      </c>
      <c r="F217" s="792">
        <f t="shared" si="19"/>
        <v>0</v>
      </c>
      <c r="G217" s="358">
        <f>'PART-A'!I2344</f>
        <v>0</v>
      </c>
      <c r="H217" s="354" t="s">
        <v>102</v>
      </c>
      <c r="I217" s="355">
        <f>'PART-A'!K2344</f>
        <v>149.86000000000001</v>
      </c>
      <c r="J217" s="353">
        <f t="shared" si="22"/>
        <v>0</v>
      </c>
      <c r="K217" s="1681"/>
      <c r="L217" s="1681"/>
      <c r="M217" s="633" t="s">
        <v>2313</v>
      </c>
      <c r="N217" s="223"/>
      <c r="O217" s="631">
        <f t="shared" si="23"/>
        <v>0</v>
      </c>
    </row>
    <row r="218" spans="1:15" s="360" customFormat="1" ht="15" hidden="1">
      <c r="A218" s="356"/>
      <c r="B218" s="632" t="s">
        <v>2268</v>
      </c>
      <c r="C218" s="611">
        <f t="shared" si="20"/>
        <v>0</v>
      </c>
      <c r="D218" s="354"/>
      <c r="E218" s="607">
        <f t="shared" si="21"/>
        <v>630</v>
      </c>
      <c r="F218" s="792">
        <f t="shared" si="19"/>
        <v>0</v>
      </c>
      <c r="G218" s="358">
        <f>'PART-A'!I2350</f>
        <v>0</v>
      </c>
      <c r="H218" s="354" t="s">
        <v>102</v>
      </c>
      <c r="I218" s="355">
        <f>'PART-A'!K2350</f>
        <v>630</v>
      </c>
      <c r="J218" s="353">
        <f t="shared" si="22"/>
        <v>0</v>
      </c>
      <c r="K218" s="1679">
        <f>IF((J218+J219+J220+J221)&gt;(F218+F219+F220+F221),(J218+J219+J220+J221)-(F218+F219+F220+F221),0)</f>
        <v>0</v>
      </c>
      <c r="L218" s="1679">
        <f>IF((J218+J219+J220+J221)&lt;(F218+F219+F220+F221),(F218+F219+F220+F221)-(J218+J219+J220+J221),0)</f>
        <v>0</v>
      </c>
      <c r="M218" s="633" t="s">
        <v>2217</v>
      </c>
      <c r="N218" s="223"/>
      <c r="O218" s="631">
        <f t="shared" si="23"/>
        <v>0</v>
      </c>
    </row>
    <row r="219" spans="1:15" s="360" customFormat="1" ht="15" hidden="1">
      <c r="A219" s="356"/>
      <c r="B219" s="632" t="s">
        <v>2268</v>
      </c>
      <c r="C219" s="611">
        <f t="shared" si="20"/>
        <v>0</v>
      </c>
      <c r="D219" s="354"/>
      <c r="E219" s="607">
        <f t="shared" si="21"/>
        <v>630</v>
      </c>
      <c r="F219" s="792">
        <f t="shared" si="19"/>
        <v>0</v>
      </c>
      <c r="G219" s="358">
        <f>'PART-A'!I2356</f>
        <v>0</v>
      </c>
      <c r="H219" s="354" t="s">
        <v>102</v>
      </c>
      <c r="I219" s="355">
        <f>'PART-A'!K2356</f>
        <v>630</v>
      </c>
      <c r="J219" s="353">
        <f t="shared" si="22"/>
        <v>0</v>
      </c>
      <c r="K219" s="1680"/>
      <c r="L219" s="1680"/>
      <c r="M219" s="633" t="s">
        <v>2299</v>
      </c>
      <c r="N219" s="223"/>
      <c r="O219" s="631">
        <f t="shared" si="23"/>
        <v>0</v>
      </c>
    </row>
    <row r="220" spans="1:15" s="360" customFormat="1" ht="15" hidden="1">
      <c r="A220" s="356"/>
      <c r="B220" s="632" t="s">
        <v>2268</v>
      </c>
      <c r="C220" s="611">
        <f t="shared" si="20"/>
        <v>0</v>
      </c>
      <c r="D220" s="354"/>
      <c r="E220" s="607">
        <f t="shared" si="21"/>
        <v>630</v>
      </c>
      <c r="F220" s="792">
        <f t="shared" si="19"/>
        <v>0</v>
      </c>
      <c r="G220" s="358">
        <f>'PART-A'!I2362</f>
        <v>0</v>
      </c>
      <c r="H220" s="354" t="s">
        <v>102</v>
      </c>
      <c r="I220" s="355">
        <f>'PART-A'!K2362</f>
        <v>630</v>
      </c>
      <c r="J220" s="353">
        <f t="shared" si="22"/>
        <v>0</v>
      </c>
      <c r="K220" s="1680"/>
      <c r="L220" s="1680"/>
      <c r="M220" s="633" t="s">
        <v>2312</v>
      </c>
      <c r="N220" s="223"/>
      <c r="O220" s="631">
        <f t="shared" si="23"/>
        <v>0</v>
      </c>
    </row>
    <row r="221" spans="1:15" s="360" customFormat="1" ht="15" hidden="1">
      <c r="A221" s="356" t="s">
        <v>501</v>
      </c>
      <c r="B221" s="632" t="s">
        <v>2268</v>
      </c>
      <c r="C221" s="611">
        <f t="shared" si="20"/>
        <v>0</v>
      </c>
      <c r="D221" s="354"/>
      <c r="E221" s="607">
        <f t="shared" si="21"/>
        <v>630</v>
      </c>
      <c r="F221" s="792">
        <f t="shared" si="19"/>
        <v>0</v>
      </c>
      <c r="G221" s="358">
        <f>'PART-A'!I2368</f>
        <v>0</v>
      </c>
      <c r="H221" s="354" t="s">
        <v>102</v>
      </c>
      <c r="I221" s="355">
        <f>'PART-A'!K2368</f>
        <v>630</v>
      </c>
      <c r="J221" s="353">
        <f t="shared" si="22"/>
        <v>0</v>
      </c>
      <c r="K221" s="1681"/>
      <c r="L221" s="1681"/>
      <c r="M221" s="633" t="s">
        <v>2313</v>
      </c>
      <c r="N221" s="223"/>
      <c r="O221" s="631">
        <f t="shared" si="23"/>
        <v>0</v>
      </c>
    </row>
    <row r="222" spans="1:15" s="360" customFormat="1" ht="15" hidden="1">
      <c r="A222" s="356" t="s">
        <v>492</v>
      </c>
      <c r="B222" s="632" t="s">
        <v>1481</v>
      </c>
      <c r="C222" s="611">
        <f t="shared" si="20"/>
        <v>0</v>
      </c>
      <c r="D222" s="354"/>
      <c r="E222" s="607">
        <f t="shared" si="21"/>
        <v>666.66</v>
      </c>
      <c r="F222" s="792">
        <f t="shared" si="19"/>
        <v>0</v>
      </c>
      <c r="G222" s="358">
        <f>'PART-A'!I2413</f>
        <v>0</v>
      </c>
      <c r="H222" s="354" t="s">
        <v>115</v>
      </c>
      <c r="I222" s="355">
        <f>'PART-A'!K2413</f>
        <v>666.66</v>
      </c>
      <c r="J222" s="353">
        <f t="shared" si="22"/>
        <v>0</v>
      </c>
      <c r="K222" s="1679">
        <f>IF((J222+J223+J224+J225)&gt;(F222+F223+F224+F225),(J222+J223+J224+J225)-(F222+F223+F224+F225),0)</f>
        <v>0</v>
      </c>
      <c r="L222" s="1679">
        <f>IF((J222+J223+J224+J225)&lt;(F222+F223+F224+F225),(F222+F223+F224+F225)-(J222+J223+J224+J225),0)</f>
        <v>0</v>
      </c>
      <c r="M222" s="633" t="s">
        <v>2217</v>
      </c>
      <c r="N222" s="223"/>
      <c r="O222" s="631">
        <f t="shared" si="23"/>
        <v>0</v>
      </c>
    </row>
    <row r="223" spans="1:15" s="360" customFormat="1" ht="15" hidden="1">
      <c r="A223" s="356" t="s">
        <v>492</v>
      </c>
      <c r="B223" s="632" t="s">
        <v>1481</v>
      </c>
      <c r="C223" s="611">
        <f t="shared" si="20"/>
        <v>0</v>
      </c>
      <c r="D223" s="354"/>
      <c r="E223" s="607">
        <f t="shared" si="21"/>
        <v>666.66</v>
      </c>
      <c r="F223" s="792">
        <f t="shared" si="19"/>
        <v>0</v>
      </c>
      <c r="G223" s="358">
        <f>'PART-A'!I2418</f>
        <v>0</v>
      </c>
      <c r="H223" s="354" t="s">
        <v>115</v>
      </c>
      <c r="I223" s="355">
        <f>'PART-A'!K2418</f>
        <v>666.66</v>
      </c>
      <c r="J223" s="353">
        <f t="shared" si="22"/>
        <v>0</v>
      </c>
      <c r="K223" s="1680"/>
      <c r="L223" s="1680"/>
      <c r="M223" s="633" t="s">
        <v>2299</v>
      </c>
      <c r="N223" s="223"/>
      <c r="O223" s="631">
        <f t="shared" si="23"/>
        <v>0</v>
      </c>
    </row>
    <row r="224" spans="1:15" s="360" customFormat="1" ht="15" hidden="1">
      <c r="A224" s="356" t="s">
        <v>492</v>
      </c>
      <c r="B224" s="632" t="s">
        <v>1481</v>
      </c>
      <c r="C224" s="611">
        <f t="shared" si="20"/>
        <v>0</v>
      </c>
      <c r="D224" s="354"/>
      <c r="E224" s="607">
        <f t="shared" si="21"/>
        <v>733.33</v>
      </c>
      <c r="F224" s="792">
        <f t="shared" si="19"/>
        <v>0</v>
      </c>
      <c r="G224" s="358">
        <f>'PART-A'!I2423</f>
        <v>0</v>
      </c>
      <c r="H224" s="354" t="s">
        <v>115</v>
      </c>
      <c r="I224" s="355">
        <f>'PART-A'!K2423</f>
        <v>733.33</v>
      </c>
      <c r="J224" s="353">
        <f t="shared" si="22"/>
        <v>0</v>
      </c>
      <c r="K224" s="1680"/>
      <c r="L224" s="1680"/>
      <c r="M224" s="633" t="s">
        <v>2312</v>
      </c>
      <c r="N224" s="223"/>
      <c r="O224" s="631">
        <f t="shared" si="23"/>
        <v>0</v>
      </c>
    </row>
    <row r="225" spans="1:15" s="360" customFormat="1" ht="15" hidden="1">
      <c r="A225" s="356" t="s">
        <v>489</v>
      </c>
      <c r="B225" s="632" t="s">
        <v>1481</v>
      </c>
      <c r="C225" s="611">
        <f t="shared" si="20"/>
        <v>0</v>
      </c>
      <c r="D225" s="354"/>
      <c r="E225" s="607">
        <f t="shared" si="21"/>
        <v>808</v>
      </c>
      <c r="F225" s="792">
        <f t="shared" si="19"/>
        <v>0</v>
      </c>
      <c r="G225" s="358">
        <f>'PART-A'!I2428</f>
        <v>0</v>
      </c>
      <c r="H225" s="354" t="s">
        <v>115</v>
      </c>
      <c r="I225" s="355">
        <f>'PART-A'!K2428</f>
        <v>808</v>
      </c>
      <c r="J225" s="353">
        <f t="shared" si="22"/>
        <v>0</v>
      </c>
      <c r="K225" s="1681"/>
      <c r="L225" s="1681"/>
      <c r="M225" s="633" t="s">
        <v>2313</v>
      </c>
      <c r="N225" s="223"/>
      <c r="O225" s="631">
        <f t="shared" si="23"/>
        <v>0</v>
      </c>
    </row>
    <row r="226" spans="1:15" s="360" customFormat="1" ht="15" hidden="1">
      <c r="A226" s="356" t="s">
        <v>492</v>
      </c>
      <c r="B226" s="632" t="s">
        <v>1482</v>
      </c>
      <c r="C226" s="611">
        <f t="shared" si="20"/>
        <v>0</v>
      </c>
      <c r="D226" s="354"/>
      <c r="E226" s="607">
        <f t="shared" si="21"/>
        <v>500</v>
      </c>
      <c r="F226" s="792">
        <f t="shared" si="19"/>
        <v>0</v>
      </c>
      <c r="G226" s="358">
        <f>'PART-A'!I2433</f>
        <v>0</v>
      </c>
      <c r="H226" s="354" t="s">
        <v>115</v>
      </c>
      <c r="I226" s="355">
        <f>'PART-A'!K2433</f>
        <v>500</v>
      </c>
      <c r="J226" s="353">
        <f t="shared" si="22"/>
        <v>0</v>
      </c>
      <c r="K226" s="1679">
        <f>IF((J226+J227+J228+J229)&gt;(F226+F227+F228+F229),(J226+J227+J228+J229)-(F226+F227+F228+F229),0)</f>
        <v>0</v>
      </c>
      <c r="L226" s="1679">
        <f>IF((J226+J227+J228+J229)&lt;(F226+F227+F228+F229),(F226+F227+F228+F229)-(J226+J227+J228+J229),0)</f>
        <v>0</v>
      </c>
      <c r="M226" s="633" t="s">
        <v>2217</v>
      </c>
      <c r="N226" s="223"/>
      <c r="O226" s="631">
        <f t="shared" si="23"/>
        <v>0</v>
      </c>
    </row>
    <row r="227" spans="1:15" s="360" customFormat="1" ht="15" hidden="1">
      <c r="A227" s="356" t="s">
        <v>492</v>
      </c>
      <c r="B227" s="632" t="s">
        <v>1482</v>
      </c>
      <c r="C227" s="611">
        <f t="shared" si="20"/>
        <v>0</v>
      </c>
      <c r="D227" s="354"/>
      <c r="E227" s="607">
        <f t="shared" si="21"/>
        <v>500</v>
      </c>
      <c r="F227" s="792">
        <f t="shared" si="19"/>
        <v>0</v>
      </c>
      <c r="G227" s="358">
        <f>'PART-A'!I2438</f>
        <v>0</v>
      </c>
      <c r="H227" s="354" t="s">
        <v>115</v>
      </c>
      <c r="I227" s="355">
        <f>'PART-A'!K2438</f>
        <v>500</v>
      </c>
      <c r="J227" s="353">
        <f t="shared" si="22"/>
        <v>0</v>
      </c>
      <c r="K227" s="1680"/>
      <c r="L227" s="1680"/>
      <c r="M227" s="633" t="s">
        <v>2299</v>
      </c>
      <c r="N227" s="223"/>
      <c r="O227" s="631">
        <f t="shared" si="23"/>
        <v>0</v>
      </c>
    </row>
    <row r="228" spans="1:15" s="360" customFormat="1" ht="15" hidden="1">
      <c r="A228" s="356" t="s">
        <v>492</v>
      </c>
      <c r="B228" s="632" t="s">
        <v>1482</v>
      </c>
      <c r="C228" s="611">
        <f t="shared" si="20"/>
        <v>0</v>
      </c>
      <c r="D228" s="354"/>
      <c r="E228" s="607">
        <f t="shared" si="21"/>
        <v>550</v>
      </c>
      <c r="F228" s="792">
        <f t="shared" si="19"/>
        <v>0</v>
      </c>
      <c r="G228" s="358">
        <f>'PART-A'!I2443</f>
        <v>0</v>
      </c>
      <c r="H228" s="354" t="s">
        <v>115</v>
      </c>
      <c r="I228" s="355">
        <f>'PART-A'!K2443</f>
        <v>550</v>
      </c>
      <c r="J228" s="353">
        <f t="shared" si="22"/>
        <v>0</v>
      </c>
      <c r="K228" s="1680"/>
      <c r="L228" s="1680"/>
      <c r="M228" s="633" t="s">
        <v>2312</v>
      </c>
      <c r="N228" s="223"/>
      <c r="O228" s="631">
        <f t="shared" si="23"/>
        <v>0</v>
      </c>
    </row>
    <row r="229" spans="1:15" s="360" customFormat="1" ht="15" hidden="1">
      <c r="A229" s="356" t="s">
        <v>492</v>
      </c>
      <c r="B229" s="632" t="s">
        <v>1482</v>
      </c>
      <c r="C229" s="611">
        <f t="shared" si="20"/>
        <v>0</v>
      </c>
      <c r="D229" s="354"/>
      <c r="E229" s="607">
        <f t="shared" si="21"/>
        <v>606</v>
      </c>
      <c r="F229" s="792">
        <f t="shared" si="19"/>
        <v>0</v>
      </c>
      <c r="G229" s="358">
        <f>'PART-A'!I2448</f>
        <v>0</v>
      </c>
      <c r="H229" s="354" t="s">
        <v>115</v>
      </c>
      <c r="I229" s="355">
        <f>'PART-A'!K2448</f>
        <v>606</v>
      </c>
      <c r="J229" s="353">
        <f t="shared" si="22"/>
        <v>0</v>
      </c>
      <c r="K229" s="1681"/>
      <c r="L229" s="1681"/>
      <c r="M229" s="633" t="s">
        <v>2313</v>
      </c>
      <c r="N229" s="223"/>
      <c r="O229" s="631">
        <f t="shared" si="23"/>
        <v>0</v>
      </c>
    </row>
    <row r="230" spans="1:15" s="360" customFormat="1" ht="15" hidden="1">
      <c r="A230" s="356" t="s">
        <v>508</v>
      </c>
      <c r="B230" s="632" t="s">
        <v>1483</v>
      </c>
      <c r="C230" s="611">
        <f t="shared" si="20"/>
        <v>0</v>
      </c>
      <c r="D230" s="354"/>
      <c r="E230" s="607">
        <f t="shared" si="21"/>
        <v>130</v>
      </c>
      <c r="F230" s="792">
        <f t="shared" si="19"/>
        <v>0</v>
      </c>
      <c r="G230" s="358">
        <f>'PART-A'!I2453</f>
        <v>0</v>
      </c>
      <c r="H230" s="354" t="s">
        <v>115</v>
      </c>
      <c r="I230" s="355">
        <f>'PART-A'!K2453</f>
        <v>130</v>
      </c>
      <c r="J230" s="353">
        <f t="shared" si="22"/>
        <v>0</v>
      </c>
      <c r="K230" s="1679">
        <f>IF((J230+J231+J232+J233)&gt;(F230+F231+F232+F233),(J230+J231+J232+J233)-(F230+F231+F232+F233),0)</f>
        <v>0</v>
      </c>
      <c r="L230" s="1679">
        <f>IF((J230+J231+J232+J233)&lt;(F230+F231+F232+F233),(F230+F231+F232+F233)-(J230+J231+J232+J233),0)</f>
        <v>0</v>
      </c>
      <c r="M230" s="633" t="s">
        <v>2217</v>
      </c>
      <c r="N230" s="223"/>
      <c r="O230" s="631">
        <f t="shared" si="23"/>
        <v>0</v>
      </c>
    </row>
    <row r="231" spans="1:15" s="360" customFormat="1" ht="15" hidden="1">
      <c r="A231" s="356" t="s">
        <v>508</v>
      </c>
      <c r="B231" s="632" t="s">
        <v>1483</v>
      </c>
      <c r="C231" s="611">
        <f t="shared" si="20"/>
        <v>0</v>
      </c>
      <c r="D231" s="354"/>
      <c r="E231" s="607">
        <f t="shared" si="21"/>
        <v>130</v>
      </c>
      <c r="F231" s="792">
        <f t="shared" si="19"/>
        <v>0</v>
      </c>
      <c r="G231" s="358">
        <f>'PART-A'!I2458</f>
        <v>0</v>
      </c>
      <c r="H231" s="354" t="s">
        <v>115</v>
      </c>
      <c r="I231" s="355">
        <f>'PART-A'!K2458</f>
        <v>130</v>
      </c>
      <c r="J231" s="353">
        <f t="shared" si="22"/>
        <v>0</v>
      </c>
      <c r="K231" s="1680"/>
      <c r="L231" s="1680"/>
      <c r="M231" s="633" t="s">
        <v>2299</v>
      </c>
      <c r="N231" s="223"/>
      <c r="O231" s="631">
        <f t="shared" si="23"/>
        <v>0</v>
      </c>
    </row>
    <row r="232" spans="1:15" s="360" customFormat="1" ht="15" hidden="1">
      <c r="A232" s="356" t="s">
        <v>508</v>
      </c>
      <c r="B232" s="632" t="s">
        <v>1483</v>
      </c>
      <c r="C232" s="611">
        <f t="shared" si="20"/>
        <v>0</v>
      </c>
      <c r="D232" s="354"/>
      <c r="E232" s="607">
        <f t="shared" si="21"/>
        <v>143</v>
      </c>
      <c r="F232" s="792">
        <f t="shared" si="19"/>
        <v>0</v>
      </c>
      <c r="G232" s="358">
        <f>'PART-A'!I2463</f>
        <v>0</v>
      </c>
      <c r="H232" s="354" t="s">
        <v>115</v>
      </c>
      <c r="I232" s="355">
        <f>'PART-A'!K2463</f>
        <v>143</v>
      </c>
      <c r="J232" s="353">
        <f t="shared" si="22"/>
        <v>0</v>
      </c>
      <c r="K232" s="1680"/>
      <c r="L232" s="1680"/>
      <c r="M232" s="633" t="s">
        <v>2312</v>
      </c>
      <c r="N232" s="223"/>
      <c r="O232" s="631">
        <f t="shared" si="23"/>
        <v>0</v>
      </c>
    </row>
    <row r="233" spans="1:15" s="360" customFormat="1" ht="15" hidden="1">
      <c r="A233" s="356" t="s">
        <v>490</v>
      </c>
      <c r="B233" s="632" t="s">
        <v>1483</v>
      </c>
      <c r="C233" s="611">
        <f t="shared" si="20"/>
        <v>0</v>
      </c>
      <c r="D233" s="354"/>
      <c r="E233" s="607">
        <f t="shared" si="21"/>
        <v>157</v>
      </c>
      <c r="F233" s="792">
        <f t="shared" si="19"/>
        <v>0</v>
      </c>
      <c r="G233" s="358">
        <f>'PART-A'!I2468</f>
        <v>0</v>
      </c>
      <c r="H233" s="354" t="s">
        <v>115</v>
      </c>
      <c r="I233" s="355">
        <f>'PART-A'!K2468</f>
        <v>157</v>
      </c>
      <c r="J233" s="353">
        <f t="shared" si="22"/>
        <v>0</v>
      </c>
      <c r="K233" s="1681"/>
      <c r="L233" s="1681"/>
      <c r="M233" s="633" t="s">
        <v>2313</v>
      </c>
      <c r="N233" s="223"/>
      <c r="O233" s="631">
        <f t="shared" si="23"/>
        <v>0</v>
      </c>
    </row>
    <row r="234" spans="1:15" s="360" customFormat="1" ht="38.25">
      <c r="A234" s="356" t="s">
        <v>487</v>
      </c>
      <c r="B234" s="632" t="s">
        <v>3208</v>
      </c>
      <c r="C234" s="611">
        <f t="shared" si="20"/>
        <v>4.25</v>
      </c>
      <c r="D234" s="794" t="s">
        <v>872</v>
      </c>
      <c r="E234" s="607">
        <f t="shared" si="21"/>
        <v>62198.5</v>
      </c>
      <c r="F234" s="792">
        <f t="shared" si="19"/>
        <v>264344</v>
      </c>
      <c r="G234" s="429">
        <f>'PART-A'!I2476</f>
        <v>4.25</v>
      </c>
      <c r="H234" s="221" t="s">
        <v>29</v>
      </c>
      <c r="I234" s="430">
        <f>'PART-A'!K2476</f>
        <v>62198.5</v>
      </c>
      <c r="J234" s="353">
        <f t="shared" si="22"/>
        <v>264343.63</v>
      </c>
      <c r="K234" s="1698">
        <f>IF((J234+J235+J236+J237)&gt;(F234+F235+F236+F237),(J234+J235+J236+J237)-(F234+F235+F236+F237),0)</f>
        <v>0</v>
      </c>
      <c r="L234" s="1698">
        <f>IF((J234+J235+J236+J237)&lt;(F234+F235+F236+F237),(F234+F235+F236+F237)-(J234+J235+J236+J237),0)</f>
        <v>0.36999999999534339</v>
      </c>
      <c r="M234" s="851" t="s">
        <v>2217</v>
      </c>
      <c r="N234" s="223"/>
      <c r="O234" s="850">
        <f t="shared" si="23"/>
        <v>0.36999999999534339</v>
      </c>
    </row>
    <row r="235" spans="1:15" s="360" customFormat="1" ht="38.25" hidden="1">
      <c r="A235" s="356" t="s">
        <v>495</v>
      </c>
      <c r="B235" s="632" t="s">
        <v>3208</v>
      </c>
      <c r="C235" s="611">
        <f t="shared" si="20"/>
        <v>0</v>
      </c>
      <c r="D235" s="221" t="s">
        <v>29</v>
      </c>
      <c r="E235" s="607">
        <f t="shared" si="21"/>
        <v>62385</v>
      </c>
      <c r="F235" s="792">
        <f t="shared" si="19"/>
        <v>0</v>
      </c>
      <c r="G235" s="429">
        <f>'PART-A'!I2482</f>
        <v>0</v>
      </c>
      <c r="H235" s="221" t="s">
        <v>29</v>
      </c>
      <c r="I235" s="430">
        <f>'PART-A'!K2482</f>
        <v>62385</v>
      </c>
      <c r="J235" s="353">
        <f t="shared" si="22"/>
        <v>0</v>
      </c>
      <c r="K235" s="1680"/>
      <c r="L235" s="1680"/>
      <c r="M235" s="633" t="s">
        <v>2299</v>
      </c>
      <c r="N235" s="223"/>
      <c r="O235" s="631">
        <f t="shared" si="23"/>
        <v>0</v>
      </c>
    </row>
    <row r="236" spans="1:15" s="360" customFormat="1" ht="15" hidden="1">
      <c r="A236" s="356" t="s">
        <v>503</v>
      </c>
      <c r="B236" s="632" t="s">
        <v>477</v>
      </c>
      <c r="C236" s="611">
        <f t="shared" si="20"/>
        <v>0</v>
      </c>
      <c r="D236" s="221"/>
      <c r="E236" s="607">
        <f t="shared" si="21"/>
        <v>79809.5</v>
      </c>
      <c r="F236" s="792">
        <f t="shared" si="19"/>
        <v>0</v>
      </c>
      <c r="G236" s="429">
        <f>'PART-A'!I2487</f>
        <v>0</v>
      </c>
      <c r="H236" s="221" t="s">
        <v>29</v>
      </c>
      <c r="I236" s="430">
        <f>'PART-A'!K2487</f>
        <v>79809.5</v>
      </c>
      <c r="J236" s="353">
        <f t="shared" si="22"/>
        <v>0</v>
      </c>
      <c r="K236" s="1680"/>
      <c r="L236" s="1680"/>
      <c r="M236" s="633" t="s">
        <v>2312</v>
      </c>
      <c r="N236" s="223"/>
      <c r="O236" s="631">
        <f t="shared" si="23"/>
        <v>0</v>
      </c>
    </row>
    <row r="237" spans="1:15" s="360" customFormat="1" ht="38.25" hidden="1">
      <c r="A237" s="356" t="s">
        <v>483</v>
      </c>
      <c r="B237" s="632" t="s">
        <v>3208</v>
      </c>
      <c r="C237" s="611">
        <f t="shared" si="20"/>
        <v>0</v>
      </c>
      <c r="D237" s="221" t="s">
        <v>29</v>
      </c>
      <c r="E237" s="607">
        <f t="shared" si="21"/>
        <v>92466</v>
      </c>
      <c r="F237" s="792">
        <f t="shared" si="19"/>
        <v>0</v>
      </c>
      <c r="G237" s="429">
        <f>'PART-A'!I2493</f>
        <v>0</v>
      </c>
      <c r="H237" s="221" t="s">
        <v>29</v>
      </c>
      <c r="I237" s="430">
        <f>'PART-A'!K2493</f>
        <v>92466</v>
      </c>
      <c r="J237" s="353">
        <f t="shared" si="22"/>
        <v>0</v>
      </c>
      <c r="K237" s="1681"/>
      <c r="L237" s="1681"/>
      <c r="M237" s="633" t="s">
        <v>2313</v>
      </c>
      <c r="N237" s="223"/>
      <c r="O237" s="631">
        <f t="shared" si="23"/>
        <v>0</v>
      </c>
    </row>
    <row r="238" spans="1:15" s="360" customFormat="1" ht="51" hidden="1">
      <c r="A238" s="356" t="s">
        <v>1517</v>
      </c>
      <c r="B238" s="632" t="s">
        <v>3209</v>
      </c>
      <c r="C238" s="611">
        <f t="shared" si="20"/>
        <v>0</v>
      </c>
      <c r="D238" s="794" t="s">
        <v>872</v>
      </c>
      <c r="E238" s="607">
        <f t="shared" si="21"/>
        <v>0</v>
      </c>
      <c r="F238" s="792">
        <f t="shared" si="19"/>
        <v>0</v>
      </c>
      <c r="G238" s="358"/>
      <c r="H238" s="354"/>
      <c r="I238" s="355"/>
      <c r="J238" s="353">
        <f t="shared" si="22"/>
        <v>0</v>
      </c>
      <c r="K238" s="669">
        <f t="shared" ref="K238" si="24">IF(J238&gt;F238,J238-F238,0)</f>
        <v>0</v>
      </c>
      <c r="L238" s="368">
        <f t="shared" ref="L238" si="25">IF(J238&lt;F238,F238-J238,0)</f>
        <v>0</v>
      </c>
      <c r="M238" s="633" t="s">
        <v>2217</v>
      </c>
      <c r="N238" s="223"/>
      <c r="O238" s="631">
        <f t="shared" si="23"/>
        <v>0</v>
      </c>
    </row>
    <row r="239" spans="1:15" ht="15" hidden="1">
      <c r="A239" s="23"/>
      <c r="B239" s="627" t="s">
        <v>496</v>
      </c>
      <c r="C239" s="638"/>
      <c r="D239" s="639"/>
      <c r="E239" s="640"/>
      <c r="F239" s="764"/>
      <c r="G239" s="28"/>
      <c r="H239" s="224"/>
      <c r="I239" s="37"/>
      <c r="J239" s="353">
        <f t="shared" si="22"/>
        <v>0</v>
      </c>
      <c r="K239" s="25"/>
      <c r="L239" s="25"/>
      <c r="M239" s="851" t="s">
        <v>2217</v>
      </c>
      <c r="N239" s="223"/>
      <c r="O239" s="850">
        <v>1</v>
      </c>
    </row>
    <row r="240" spans="1:15" s="360" customFormat="1" ht="51" hidden="1">
      <c r="A240" s="356" t="s">
        <v>491</v>
      </c>
      <c r="B240" s="632" t="s">
        <v>3183</v>
      </c>
      <c r="C240" s="611">
        <f t="shared" si="20"/>
        <v>0</v>
      </c>
      <c r="D240" s="791" t="s">
        <v>5</v>
      </c>
      <c r="E240" s="10">
        <f>I240</f>
        <v>9806.8100000000013</v>
      </c>
      <c r="F240" s="792">
        <f t="shared" ref="F240:F303" si="26">ROUND(C240*E240,0)</f>
        <v>0</v>
      </c>
      <c r="G240" s="358">
        <f>FF!I16</f>
        <v>0</v>
      </c>
      <c r="H240" s="354" t="s">
        <v>5</v>
      </c>
      <c r="I240" s="355">
        <f>FF!K16</f>
        <v>9806.8100000000013</v>
      </c>
      <c r="J240" s="353">
        <f t="shared" si="22"/>
        <v>0</v>
      </c>
      <c r="K240" s="1679">
        <f>IF((J240+J241+J242+J243)&gt;(F240+F241+F242+F243),(J240+J241+J242+J243)-(F240+F241+F242+F243),0)</f>
        <v>0</v>
      </c>
      <c r="L240" s="1679">
        <f>IF((J240+J241+J242+J243)&lt;(F240+F241+F242+F243),(F240+F241+F242+F243)-(J240+J241+J242+J243),0)</f>
        <v>0</v>
      </c>
      <c r="M240" s="851" t="s">
        <v>2217</v>
      </c>
      <c r="N240" s="223"/>
      <c r="O240" s="850">
        <f t="shared" si="23"/>
        <v>0</v>
      </c>
    </row>
    <row r="241" spans="1:15" s="360" customFormat="1" ht="15" hidden="1">
      <c r="A241" s="356" t="s">
        <v>495</v>
      </c>
      <c r="B241" s="632" t="s">
        <v>2061</v>
      </c>
      <c r="C241" s="611">
        <f t="shared" si="20"/>
        <v>0</v>
      </c>
      <c r="D241" s="354"/>
      <c r="E241" s="15">
        <f t="shared" ref="E241:E304" si="27">I241</f>
        <v>10177.17</v>
      </c>
      <c r="F241" s="792">
        <f t="shared" si="26"/>
        <v>0</v>
      </c>
      <c r="G241" s="358">
        <f>FF!I21</f>
        <v>0</v>
      </c>
      <c r="H241" s="354" t="s">
        <v>5</v>
      </c>
      <c r="I241" s="355">
        <f>FF!K21</f>
        <v>10177.17</v>
      </c>
      <c r="J241" s="353">
        <f t="shared" si="22"/>
        <v>0</v>
      </c>
      <c r="K241" s="1680"/>
      <c r="L241" s="1680"/>
      <c r="M241" s="633" t="s">
        <v>2299</v>
      </c>
      <c r="N241" s="223"/>
      <c r="O241" s="631">
        <f t="shared" si="23"/>
        <v>0</v>
      </c>
    </row>
    <row r="242" spans="1:15" s="360" customFormat="1" ht="15" hidden="1">
      <c r="A242" s="356" t="s">
        <v>495</v>
      </c>
      <c r="B242" s="632" t="s">
        <v>2061</v>
      </c>
      <c r="C242" s="611">
        <f t="shared" si="20"/>
        <v>0</v>
      </c>
      <c r="D242" s="354"/>
      <c r="E242" s="15">
        <f t="shared" si="27"/>
        <v>10761.36</v>
      </c>
      <c r="F242" s="792">
        <f t="shared" si="26"/>
        <v>0</v>
      </c>
      <c r="G242" s="358">
        <f>FF!I30</f>
        <v>0</v>
      </c>
      <c r="H242" s="354" t="s">
        <v>5</v>
      </c>
      <c r="I242" s="355">
        <f>FF!K30</f>
        <v>10761.36</v>
      </c>
      <c r="J242" s="353">
        <f t="shared" si="22"/>
        <v>0</v>
      </c>
      <c r="K242" s="1680"/>
      <c r="L242" s="1680"/>
      <c r="M242" s="633" t="s">
        <v>2312</v>
      </c>
      <c r="N242" s="223"/>
      <c r="O242" s="631">
        <f t="shared" si="23"/>
        <v>0</v>
      </c>
    </row>
    <row r="243" spans="1:15" s="360" customFormat="1" ht="15" hidden="1">
      <c r="A243" s="356" t="s">
        <v>495</v>
      </c>
      <c r="B243" s="632" t="s">
        <v>2061</v>
      </c>
      <c r="C243" s="611">
        <f t="shared" si="20"/>
        <v>0</v>
      </c>
      <c r="D243" s="354"/>
      <c r="E243" s="15">
        <f t="shared" si="27"/>
        <v>11192.01</v>
      </c>
      <c r="F243" s="792">
        <f t="shared" si="26"/>
        <v>0</v>
      </c>
      <c r="G243" s="358">
        <f>FF!I35</f>
        <v>0</v>
      </c>
      <c r="H243" s="354" t="s">
        <v>5</v>
      </c>
      <c r="I243" s="355">
        <f>FF!K35</f>
        <v>11192.01</v>
      </c>
      <c r="J243" s="353">
        <f t="shared" si="22"/>
        <v>0</v>
      </c>
      <c r="K243" s="1681"/>
      <c r="L243" s="1681"/>
      <c r="M243" s="633" t="s">
        <v>2313</v>
      </c>
      <c r="N243" s="223"/>
      <c r="O243" s="631">
        <f t="shared" si="23"/>
        <v>0</v>
      </c>
    </row>
    <row r="244" spans="1:15" s="360" customFormat="1" ht="51" hidden="1">
      <c r="A244" s="356" t="s">
        <v>1514</v>
      </c>
      <c r="B244" s="632" t="s">
        <v>3185</v>
      </c>
      <c r="C244" s="611">
        <f t="shared" si="20"/>
        <v>0</v>
      </c>
      <c r="D244" s="791" t="s">
        <v>5</v>
      </c>
      <c r="E244" s="10">
        <f t="shared" si="27"/>
        <v>9468.130000000001</v>
      </c>
      <c r="F244" s="792">
        <f t="shared" si="26"/>
        <v>0</v>
      </c>
      <c r="G244" s="358">
        <f>FF!I59</f>
        <v>0</v>
      </c>
      <c r="H244" s="354" t="s">
        <v>5</v>
      </c>
      <c r="I244" s="355">
        <f>FF!K59</f>
        <v>9468.130000000001</v>
      </c>
      <c r="J244" s="353">
        <f t="shared" si="22"/>
        <v>0</v>
      </c>
      <c r="K244" s="1698">
        <f>IF((J244+J245+J246+J247)&gt;(F244+F245+F246+F247),(J244+J245+J246+J247)-(F244+F245+F246+F247),0)</f>
        <v>0</v>
      </c>
      <c r="L244" s="1698">
        <f>IF((J244+J245+J246+J247)&lt;(F244+F245+F246+F247),(F244+F245+F246+F247)-(J244+J245+J246+J247),0)</f>
        <v>0</v>
      </c>
      <c r="M244" s="851" t="s">
        <v>2217</v>
      </c>
      <c r="N244" s="223"/>
      <c r="O244" s="850">
        <f t="shared" si="23"/>
        <v>0</v>
      </c>
    </row>
    <row r="245" spans="1:15" s="360" customFormat="1" ht="15" hidden="1">
      <c r="A245" s="356" t="s">
        <v>510</v>
      </c>
      <c r="B245" s="632" t="s">
        <v>2063</v>
      </c>
      <c r="C245" s="611">
        <f t="shared" si="20"/>
        <v>0</v>
      </c>
      <c r="D245" s="354"/>
      <c r="E245" s="15">
        <f t="shared" si="27"/>
        <v>9694.16</v>
      </c>
      <c r="F245" s="792">
        <f t="shared" si="26"/>
        <v>0</v>
      </c>
      <c r="G245" s="358">
        <f>FF!I74</f>
        <v>0</v>
      </c>
      <c r="H245" s="354" t="s">
        <v>5</v>
      </c>
      <c r="I245" s="355">
        <f>FF!K74</f>
        <v>9694.16</v>
      </c>
      <c r="J245" s="353">
        <f t="shared" si="22"/>
        <v>0</v>
      </c>
      <c r="K245" s="1680"/>
      <c r="L245" s="1680"/>
      <c r="M245" s="633" t="s">
        <v>2299</v>
      </c>
      <c r="N245" s="223"/>
      <c r="O245" s="631">
        <f t="shared" si="23"/>
        <v>0</v>
      </c>
    </row>
    <row r="246" spans="1:15" s="360" customFormat="1" ht="15" hidden="1">
      <c r="A246" s="356" t="s">
        <v>1515</v>
      </c>
      <c r="B246" s="632" t="s">
        <v>2063</v>
      </c>
      <c r="C246" s="611">
        <f t="shared" si="20"/>
        <v>0</v>
      </c>
      <c r="D246" s="354"/>
      <c r="E246" s="15">
        <f t="shared" si="27"/>
        <v>10194.73</v>
      </c>
      <c r="F246" s="792">
        <f t="shared" si="26"/>
        <v>0</v>
      </c>
      <c r="G246" s="358">
        <f>FF!I98</f>
        <v>0</v>
      </c>
      <c r="H246" s="354" t="s">
        <v>5</v>
      </c>
      <c r="I246" s="355">
        <f>FF!K98</f>
        <v>10194.73</v>
      </c>
      <c r="J246" s="353">
        <f t="shared" si="22"/>
        <v>0</v>
      </c>
      <c r="K246" s="1680"/>
      <c r="L246" s="1680"/>
      <c r="M246" s="633" t="s">
        <v>2312</v>
      </c>
      <c r="N246" s="223"/>
      <c r="O246" s="631">
        <f t="shared" si="23"/>
        <v>0</v>
      </c>
    </row>
    <row r="247" spans="1:15" s="360" customFormat="1" ht="15" hidden="1">
      <c r="A247" s="356" t="s">
        <v>1515</v>
      </c>
      <c r="B247" s="632" t="s">
        <v>2063</v>
      </c>
      <c r="C247" s="611">
        <f t="shared" si="20"/>
        <v>0</v>
      </c>
      <c r="D247" s="354"/>
      <c r="E247" s="15">
        <f t="shared" si="27"/>
        <v>10490.18</v>
      </c>
      <c r="F247" s="792">
        <f t="shared" si="26"/>
        <v>0</v>
      </c>
      <c r="G247" s="358">
        <f>FF!I104</f>
        <v>0</v>
      </c>
      <c r="H247" s="354" t="s">
        <v>5</v>
      </c>
      <c r="I247" s="355">
        <f>FF!K104</f>
        <v>10490.18</v>
      </c>
      <c r="J247" s="353">
        <f t="shared" si="22"/>
        <v>0</v>
      </c>
      <c r="K247" s="1681"/>
      <c r="L247" s="1681"/>
      <c r="M247" s="633" t="s">
        <v>2313</v>
      </c>
      <c r="N247" s="223"/>
      <c r="O247" s="631">
        <f t="shared" si="23"/>
        <v>0</v>
      </c>
    </row>
    <row r="248" spans="1:15" s="360" customFormat="1" ht="51" hidden="1">
      <c r="A248" s="356" t="s">
        <v>492</v>
      </c>
      <c r="B248" s="632" t="s">
        <v>3186</v>
      </c>
      <c r="C248" s="611">
        <f t="shared" si="20"/>
        <v>0</v>
      </c>
      <c r="D248" s="791" t="s">
        <v>102</v>
      </c>
      <c r="E248" s="10">
        <f t="shared" si="27"/>
        <v>1231.97</v>
      </c>
      <c r="F248" s="792">
        <f t="shared" si="26"/>
        <v>0</v>
      </c>
      <c r="G248" s="358">
        <f>FF!I140</f>
        <v>0</v>
      </c>
      <c r="H248" s="354" t="s">
        <v>102</v>
      </c>
      <c r="I248" s="355">
        <f>FF!K140</f>
        <v>1231.97</v>
      </c>
      <c r="J248" s="353">
        <f t="shared" si="22"/>
        <v>0</v>
      </c>
      <c r="K248" s="1698">
        <f>IF((J248+J249+J250+J251)&gt;(F248+F249+F250+F251),(J248+J249+J250+J251)-(F248+F249+F250+F251),0)</f>
        <v>0</v>
      </c>
      <c r="L248" s="1698">
        <f>IF((J248+J249+J250+J251)&lt;(F248+F249+F250+F251),(F248+F249+F250+F251)-(J248+J249+J250+J251),0)</f>
        <v>0</v>
      </c>
      <c r="M248" s="851" t="s">
        <v>2217</v>
      </c>
      <c r="N248" s="223"/>
      <c r="O248" s="850">
        <f t="shared" si="23"/>
        <v>0</v>
      </c>
    </row>
    <row r="249" spans="1:15" s="360" customFormat="1" ht="15" hidden="1">
      <c r="A249" s="356" t="s">
        <v>512</v>
      </c>
      <c r="B249" s="632" t="s">
        <v>2064</v>
      </c>
      <c r="C249" s="611">
        <f t="shared" si="20"/>
        <v>0</v>
      </c>
      <c r="D249" s="354"/>
      <c r="E249" s="15">
        <f t="shared" si="27"/>
        <v>1269.73</v>
      </c>
      <c r="F249" s="792">
        <f t="shared" si="26"/>
        <v>0</v>
      </c>
      <c r="G249" s="358">
        <f>FF!I146</f>
        <v>0</v>
      </c>
      <c r="H249" s="354" t="s">
        <v>102</v>
      </c>
      <c r="I249" s="355">
        <f>FF!K146</f>
        <v>1269.73</v>
      </c>
      <c r="J249" s="353">
        <f t="shared" si="22"/>
        <v>0</v>
      </c>
      <c r="K249" s="1680"/>
      <c r="L249" s="1680"/>
      <c r="M249" s="633" t="s">
        <v>2299</v>
      </c>
      <c r="N249" s="223"/>
      <c r="O249" s="631">
        <f t="shared" si="23"/>
        <v>0</v>
      </c>
    </row>
    <row r="250" spans="1:15" s="360" customFormat="1" ht="15" hidden="1">
      <c r="A250" s="356" t="s">
        <v>1516</v>
      </c>
      <c r="B250" s="632" t="s">
        <v>2064</v>
      </c>
      <c r="C250" s="611">
        <f t="shared" si="20"/>
        <v>0</v>
      </c>
      <c r="D250" s="354"/>
      <c r="E250" s="15">
        <f t="shared" si="27"/>
        <v>1350.5700000000002</v>
      </c>
      <c r="F250" s="792">
        <f t="shared" si="26"/>
        <v>0</v>
      </c>
      <c r="G250" s="358">
        <f>FF!I153</f>
        <v>0</v>
      </c>
      <c r="H250" s="354" t="s">
        <v>102</v>
      </c>
      <c r="I250" s="355">
        <f>FF!K153</f>
        <v>1350.5700000000002</v>
      </c>
      <c r="J250" s="353">
        <f t="shared" si="22"/>
        <v>0</v>
      </c>
      <c r="K250" s="1680"/>
      <c r="L250" s="1680"/>
      <c r="M250" s="633" t="s">
        <v>2312</v>
      </c>
      <c r="N250" s="223"/>
      <c r="O250" s="631">
        <f t="shared" si="23"/>
        <v>0</v>
      </c>
    </row>
    <row r="251" spans="1:15" s="360" customFormat="1" ht="15" hidden="1">
      <c r="A251" s="356" t="s">
        <v>1516</v>
      </c>
      <c r="B251" s="632" t="s">
        <v>2064</v>
      </c>
      <c r="C251" s="611">
        <f t="shared" si="20"/>
        <v>0</v>
      </c>
      <c r="D251" s="354"/>
      <c r="E251" s="15">
        <f t="shared" si="27"/>
        <v>1395.89</v>
      </c>
      <c r="F251" s="792">
        <f t="shared" si="26"/>
        <v>0</v>
      </c>
      <c r="G251" s="358">
        <f>FF!I159</f>
        <v>0</v>
      </c>
      <c r="H251" s="354" t="s">
        <v>102</v>
      </c>
      <c r="I251" s="355">
        <f>FF!K159</f>
        <v>1395.89</v>
      </c>
      <c r="J251" s="353">
        <f t="shared" si="22"/>
        <v>0</v>
      </c>
      <c r="K251" s="1681"/>
      <c r="L251" s="1681"/>
      <c r="M251" s="633" t="s">
        <v>2313</v>
      </c>
      <c r="N251" s="223"/>
      <c r="O251" s="631">
        <f t="shared" si="23"/>
        <v>0</v>
      </c>
    </row>
    <row r="252" spans="1:15" s="360" customFormat="1" ht="15" hidden="1">
      <c r="A252" s="356" t="s">
        <v>487</v>
      </c>
      <c r="B252" s="632" t="s">
        <v>2066</v>
      </c>
      <c r="C252" s="611">
        <f t="shared" si="20"/>
        <v>0</v>
      </c>
      <c r="D252" s="354"/>
      <c r="E252" s="15">
        <f t="shared" si="27"/>
        <v>1107.81</v>
      </c>
      <c r="F252" s="792">
        <f t="shared" si="26"/>
        <v>0</v>
      </c>
      <c r="G252" s="358">
        <f>FF!I164</f>
        <v>0</v>
      </c>
      <c r="H252" s="354" t="s">
        <v>102</v>
      </c>
      <c r="I252" s="355">
        <f>FF!K164</f>
        <v>1107.81</v>
      </c>
      <c r="J252" s="353">
        <f t="shared" si="22"/>
        <v>0</v>
      </c>
      <c r="K252" s="1679">
        <f>IF((J252+J253+J254+J255)&gt;(F252+F253+F254+F255),(J252+J253+J254+J255)-(F252+F253+F254+F255),0)</f>
        <v>0</v>
      </c>
      <c r="L252" s="1679">
        <f>IF((J252+J253+J254+J255)&lt;(F252+F253+F254+F255),(F252+F253+F254+F255)-(J252+J253+J254+J255),0)</f>
        <v>0</v>
      </c>
      <c r="M252" s="633" t="s">
        <v>2217</v>
      </c>
      <c r="N252" s="223"/>
      <c r="O252" s="631">
        <f t="shared" si="23"/>
        <v>0</v>
      </c>
    </row>
    <row r="253" spans="1:15" s="360" customFormat="1" ht="15" hidden="1">
      <c r="A253" s="356" t="s">
        <v>487</v>
      </c>
      <c r="B253" s="632" t="s">
        <v>2066</v>
      </c>
      <c r="C253" s="611">
        <f t="shared" si="20"/>
        <v>0</v>
      </c>
      <c r="D253" s="354"/>
      <c r="E253" s="15">
        <f t="shared" si="27"/>
        <v>1140.19</v>
      </c>
      <c r="F253" s="792">
        <f t="shared" si="26"/>
        <v>0</v>
      </c>
      <c r="G253" s="358">
        <f>FF!I169</f>
        <v>0</v>
      </c>
      <c r="H253" s="354" t="s">
        <v>102</v>
      </c>
      <c r="I253" s="355">
        <f>FF!K169</f>
        <v>1140.19</v>
      </c>
      <c r="J253" s="353">
        <f t="shared" si="22"/>
        <v>0</v>
      </c>
      <c r="K253" s="1680"/>
      <c r="L253" s="1680"/>
      <c r="M253" s="633" t="s">
        <v>2299</v>
      </c>
      <c r="N253" s="223"/>
      <c r="O253" s="631">
        <f t="shared" si="23"/>
        <v>0</v>
      </c>
    </row>
    <row r="254" spans="1:15" s="360" customFormat="1" ht="15" hidden="1">
      <c r="A254" s="356" t="s">
        <v>487</v>
      </c>
      <c r="B254" s="632" t="s">
        <v>2066</v>
      </c>
      <c r="C254" s="611">
        <f t="shared" si="20"/>
        <v>0</v>
      </c>
      <c r="D254" s="354"/>
      <c r="E254" s="15">
        <f t="shared" si="27"/>
        <v>1214.83</v>
      </c>
      <c r="F254" s="792">
        <f t="shared" si="26"/>
        <v>0</v>
      </c>
      <c r="G254" s="358">
        <f>FF!I174</f>
        <v>0</v>
      </c>
      <c r="H254" s="354" t="s">
        <v>102</v>
      </c>
      <c r="I254" s="355">
        <f>FF!K174</f>
        <v>1214.83</v>
      </c>
      <c r="J254" s="353">
        <f t="shared" si="22"/>
        <v>0</v>
      </c>
      <c r="K254" s="1680"/>
      <c r="L254" s="1680"/>
      <c r="M254" s="633" t="s">
        <v>2312</v>
      </c>
      <c r="N254" s="223"/>
      <c r="O254" s="631">
        <f t="shared" si="23"/>
        <v>0</v>
      </c>
    </row>
    <row r="255" spans="1:15" s="360" customFormat="1" ht="15" hidden="1">
      <c r="A255" s="356" t="s">
        <v>487</v>
      </c>
      <c r="B255" s="632" t="s">
        <v>2066</v>
      </c>
      <c r="C255" s="611">
        <f t="shared" si="20"/>
        <v>0</v>
      </c>
      <c r="D255" s="354"/>
      <c r="E255" s="15">
        <f t="shared" si="27"/>
        <v>1253.01</v>
      </c>
      <c r="F255" s="792">
        <f t="shared" si="26"/>
        <v>0</v>
      </c>
      <c r="G255" s="358">
        <f>FF!I179</f>
        <v>0</v>
      </c>
      <c r="H255" s="354" t="s">
        <v>102</v>
      </c>
      <c r="I255" s="355">
        <f>FF!K179</f>
        <v>1253.01</v>
      </c>
      <c r="J255" s="353">
        <f t="shared" si="22"/>
        <v>0</v>
      </c>
      <c r="K255" s="1681"/>
      <c r="L255" s="1681"/>
      <c r="M255" s="633" t="s">
        <v>2313</v>
      </c>
      <c r="N255" s="223"/>
      <c r="O255" s="631">
        <f t="shared" si="23"/>
        <v>0</v>
      </c>
    </row>
    <row r="256" spans="1:15" s="360" customFormat="1" ht="51" hidden="1">
      <c r="A256" s="356" t="s">
        <v>493</v>
      </c>
      <c r="B256" s="632" t="s">
        <v>3187</v>
      </c>
      <c r="C256" s="611">
        <f t="shared" si="20"/>
        <v>0</v>
      </c>
      <c r="D256" s="794" t="s">
        <v>102</v>
      </c>
      <c r="E256" s="10">
        <f t="shared" si="27"/>
        <v>1356.1200000000001</v>
      </c>
      <c r="F256" s="792">
        <f t="shared" si="26"/>
        <v>0</v>
      </c>
      <c r="G256" s="358">
        <f>FF!I112</f>
        <v>0</v>
      </c>
      <c r="H256" s="221" t="s">
        <v>102</v>
      </c>
      <c r="I256" s="355">
        <f>FF!K112</f>
        <v>1356.1200000000001</v>
      </c>
      <c r="J256" s="353">
        <f t="shared" si="22"/>
        <v>0</v>
      </c>
      <c r="K256" s="1698">
        <f>IF((J256+J257+J258+J259)&gt;(F256+F257+F258+F259),(J256+J257+J258+J259)-(F256+F257+F258+F259),0)</f>
        <v>0</v>
      </c>
      <c r="L256" s="1698">
        <f>IF((J256+J257+J258+J259)&lt;(F256+F257+F258+F259),(F256+F257+F258+F259)-(J256+J257+J258+J259),0)</f>
        <v>0</v>
      </c>
      <c r="M256" s="851" t="s">
        <v>2217</v>
      </c>
      <c r="N256" s="223"/>
      <c r="O256" s="850">
        <f t="shared" si="23"/>
        <v>0</v>
      </c>
    </row>
    <row r="257" spans="1:15" s="360" customFormat="1" ht="15" hidden="1">
      <c r="A257" s="356" t="s">
        <v>514</v>
      </c>
      <c r="B257" s="632" t="s">
        <v>2065</v>
      </c>
      <c r="C257" s="611">
        <f t="shared" si="20"/>
        <v>0</v>
      </c>
      <c r="D257" s="221"/>
      <c r="E257" s="15">
        <f t="shared" si="27"/>
        <v>1399.27</v>
      </c>
      <c r="F257" s="792">
        <f t="shared" si="26"/>
        <v>0</v>
      </c>
      <c r="G257" s="358">
        <f>FF!I120</f>
        <v>0</v>
      </c>
      <c r="H257" s="221" t="s">
        <v>102</v>
      </c>
      <c r="I257" s="355">
        <f>FF!K120</f>
        <v>1399.27</v>
      </c>
      <c r="J257" s="353">
        <f t="shared" si="22"/>
        <v>0</v>
      </c>
      <c r="K257" s="1680"/>
      <c r="L257" s="1680"/>
      <c r="M257" s="633" t="s">
        <v>2299</v>
      </c>
      <c r="N257" s="223"/>
      <c r="O257" s="631">
        <f t="shared" si="23"/>
        <v>0</v>
      </c>
    </row>
    <row r="258" spans="1:15" s="360" customFormat="1" ht="15" hidden="1">
      <c r="A258" s="356" t="s">
        <v>1517</v>
      </c>
      <c r="B258" s="632" t="s">
        <v>2065</v>
      </c>
      <c r="C258" s="611">
        <f t="shared" si="20"/>
        <v>0</v>
      </c>
      <c r="D258" s="221"/>
      <c r="E258" s="15">
        <f t="shared" si="27"/>
        <v>1486.3000000000002</v>
      </c>
      <c r="F258" s="792">
        <f t="shared" si="26"/>
        <v>0</v>
      </c>
      <c r="G258" s="358">
        <f>FF!I128</f>
        <v>0</v>
      </c>
      <c r="H258" s="221" t="s">
        <v>102</v>
      </c>
      <c r="I258" s="355">
        <f>FF!K128</f>
        <v>1486.3000000000002</v>
      </c>
      <c r="J258" s="353">
        <f t="shared" si="22"/>
        <v>0</v>
      </c>
      <c r="K258" s="1680"/>
      <c r="L258" s="1680"/>
      <c r="M258" s="633" t="s">
        <v>2312</v>
      </c>
      <c r="N258" s="223"/>
      <c r="O258" s="631">
        <f t="shared" si="23"/>
        <v>0</v>
      </c>
    </row>
    <row r="259" spans="1:15" s="360" customFormat="1" ht="15" hidden="1">
      <c r="A259" s="356" t="s">
        <v>1517</v>
      </c>
      <c r="B259" s="632" t="s">
        <v>2065</v>
      </c>
      <c r="C259" s="611">
        <f t="shared" si="20"/>
        <v>0</v>
      </c>
      <c r="D259" s="221"/>
      <c r="E259" s="15">
        <f t="shared" si="27"/>
        <v>1538.77</v>
      </c>
      <c r="F259" s="792">
        <f t="shared" si="26"/>
        <v>0</v>
      </c>
      <c r="G259" s="358">
        <f>FF!I133</f>
        <v>0</v>
      </c>
      <c r="H259" s="221" t="s">
        <v>102</v>
      </c>
      <c r="I259" s="355">
        <f>FF!K133</f>
        <v>1538.77</v>
      </c>
      <c r="J259" s="353">
        <f t="shared" si="22"/>
        <v>0</v>
      </c>
      <c r="K259" s="1681"/>
      <c r="L259" s="1681"/>
      <c r="M259" s="633" t="s">
        <v>2313</v>
      </c>
      <c r="N259" s="223"/>
      <c r="O259" s="631">
        <f t="shared" si="23"/>
        <v>0</v>
      </c>
    </row>
    <row r="260" spans="1:15" s="360" customFormat="1" ht="15" hidden="1">
      <c r="A260" s="356" t="s">
        <v>517</v>
      </c>
      <c r="B260" s="632" t="s">
        <v>2072</v>
      </c>
      <c r="C260" s="611">
        <f t="shared" si="20"/>
        <v>0</v>
      </c>
      <c r="D260" s="221"/>
      <c r="E260" s="15">
        <f t="shared" si="27"/>
        <v>608.34999999999991</v>
      </c>
      <c r="F260" s="792">
        <f t="shared" si="26"/>
        <v>0</v>
      </c>
      <c r="G260" s="358">
        <f>FF!I185</f>
        <v>0</v>
      </c>
      <c r="H260" s="221" t="s">
        <v>102</v>
      </c>
      <c r="I260" s="355">
        <f>FF!K185</f>
        <v>608.34999999999991</v>
      </c>
      <c r="J260" s="353">
        <f t="shared" si="22"/>
        <v>0</v>
      </c>
      <c r="K260" s="1679">
        <f>IF((J260+J261+J262+J263)&gt;(F260+F261+F262+F263),(J260+J261+J262+J263)-(F260+F261+F262+F263),0)</f>
        <v>0</v>
      </c>
      <c r="L260" s="1679">
        <f>IF((J260+J261+J262+J263)&lt;(F260+F261+F262+F263),(F260+F261+F262+F263)-(J260+J261+J262+J263),0)</f>
        <v>0</v>
      </c>
      <c r="M260" s="633" t="s">
        <v>2217</v>
      </c>
      <c r="N260" s="223"/>
      <c r="O260" s="631">
        <f t="shared" si="23"/>
        <v>0</v>
      </c>
    </row>
    <row r="261" spans="1:15" s="360" customFormat="1" ht="15" hidden="1">
      <c r="A261" s="356" t="s">
        <v>517</v>
      </c>
      <c r="B261" s="632" t="s">
        <v>2072</v>
      </c>
      <c r="C261" s="611">
        <f t="shared" si="20"/>
        <v>0</v>
      </c>
      <c r="D261" s="221"/>
      <c r="E261" s="15">
        <f t="shared" si="27"/>
        <v>629.79</v>
      </c>
      <c r="F261" s="792">
        <f t="shared" si="26"/>
        <v>0</v>
      </c>
      <c r="G261" s="358">
        <f>FF!I191</f>
        <v>0</v>
      </c>
      <c r="H261" s="221" t="s">
        <v>102</v>
      </c>
      <c r="I261" s="355">
        <f>FF!K191</f>
        <v>629.79</v>
      </c>
      <c r="J261" s="353">
        <f t="shared" si="22"/>
        <v>0</v>
      </c>
      <c r="K261" s="1680"/>
      <c r="L261" s="1680"/>
      <c r="M261" s="633" t="s">
        <v>2299</v>
      </c>
      <c r="N261" s="223"/>
      <c r="O261" s="631">
        <f t="shared" si="23"/>
        <v>0</v>
      </c>
    </row>
    <row r="262" spans="1:15" s="360" customFormat="1" ht="15" hidden="1">
      <c r="A262" s="356" t="s">
        <v>517</v>
      </c>
      <c r="B262" s="632" t="s">
        <v>2072</v>
      </c>
      <c r="C262" s="611">
        <f t="shared" si="20"/>
        <v>0</v>
      </c>
      <c r="D262" s="221"/>
      <c r="E262" s="15">
        <f t="shared" si="27"/>
        <v>670.91</v>
      </c>
      <c r="F262" s="792">
        <f t="shared" si="26"/>
        <v>0</v>
      </c>
      <c r="G262" s="358">
        <f>FF!I197</f>
        <v>0</v>
      </c>
      <c r="H262" s="221" t="s">
        <v>102</v>
      </c>
      <c r="I262" s="355">
        <f>FF!K197</f>
        <v>670.91</v>
      </c>
      <c r="J262" s="353">
        <f t="shared" si="22"/>
        <v>0</v>
      </c>
      <c r="K262" s="1680"/>
      <c r="L262" s="1680"/>
      <c r="M262" s="633" t="s">
        <v>2312</v>
      </c>
      <c r="N262" s="223"/>
      <c r="O262" s="631">
        <f t="shared" si="23"/>
        <v>0</v>
      </c>
    </row>
    <row r="263" spans="1:15" s="360" customFormat="1" ht="15" hidden="1">
      <c r="A263" s="356" t="s">
        <v>517</v>
      </c>
      <c r="B263" s="632" t="s">
        <v>2072</v>
      </c>
      <c r="C263" s="611">
        <f t="shared" si="20"/>
        <v>0</v>
      </c>
      <c r="D263" s="221"/>
      <c r="E263" s="15">
        <f t="shared" si="27"/>
        <v>694.54</v>
      </c>
      <c r="F263" s="792">
        <f t="shared" si="26"/>
        <v>0</v>
      </c>
      <c r="G263" s="358">
        <f>FF!I203</f>
        <v>0</v>
      </c>
      <c r="H263" s="221" t="s">
        <v>102</v>
      </c>
      <c r="I263" s="355">
        <f>FF!K203</f>
        <v>694.54</v>
      </c>
      <c r="J263" s="353">
        <f t="shared" si="22"/>
        <v>0</v>
      </c>
      <c r="K263" s="1681"/>
      <c r="L263" s="1681"/>
      <c r="M263" s="633" t="s">
        <v>2313</v>
      </c>
      <c r="N263" s="223"/>
      <c r="O263" s="631">
        <f t="shared" si="23"/>
        <v>0</v>
      </c>
    </row>
    <row r="264" spans="1:15" s="360" customFormat="1" ht="15" hidden="1">
      <c r="A264" s="356" t="s">
        <v>517</v>
      </c>
      <c r="B264" s="632" t="s">
        <v>2073</v>
      </c>
      <c r="C264" s="611">
        <f t="shared" si="20"/>
        <v>0</v>
      </c>
      <c r="D264" s="221"/>
      <c r="E264" s="15">
        <f t="shared" si="27"/>
        <v>485.58</v>
      </c>
      <c r="F264" s="792">
        <f t="shared" si="26"/>
        <v>0</v>
      </c>
      <c r="G264" s="358">
        <f>FF!I209</f>
        <v>0</v>
      </c>
      <c r="H264" s="221" t="s">
        <v>102</v>
      </c>
      <c r="I264" s="355">
        <f>FF!K209</f>
        <v>485.58</v>
      </c>
      <c r="J264" s="353">
        <f t="shared" si="22"/>
        <v>0</v>
      </c>
      <c r="K264" s="1679">
        <f>IF((J264+J265+J266+J267)&gt;(F264+F265+F266+F267),(J264+J265+J266+J267)-(F264+F265+F266+F267),0)</f>
        <v>0</v>
      </c>
      <c r="L264" s="1679">
        <f>IF((J264+J265+J266+J267)&lt;(F264+F265+F266+F267),(F264+F265+F266+F267)-(J264+J265+J266+J267),0)</f>
        <v>0</v>
      </c>
      <c r="M264" s="633" t="s">
        <v>2217</v>
      </c>
      <c r="N264" s="223"/>
      <c r="O264" s="631">
        <f t="shared" si="23"/>
        <v>0</v>
      </c>
    </row>
    <row r="265" spans="1:15" s="360" customFormat="1" ht="15" hidden="1">
      <c r="A265" s="356" t="s">
        <v>517</v>
      </c>
      <c r="B265" s="632" t="s">
        <v>2073</v>
      </c>
      <c r="C265" s="611">
        <f t="shared" si="20"/>
        <v>0</v>
      </c>
      <c r="D265" s="221"/>
      <c r="E265" s="15">
        <f t="shared" si="27"/>
        <v>501.74</v>
      </c>
      <c r="F265" s="792">
        <f t="shared" si="26"/>
        <v>0</v>
      </c>
      <c r="G265" s="358">
        <f>FF!I215</f>
        <v>0</v>
      </c>
      <c r="H265" s="221" t="s">
        <v>102</v>
      </c>
      <c r="I265" s="355">
        <f>FF!K215</f>
        <v>501.74</v>
      </c>
      <c r="J265" s="353">
        <f t="shared" si="22"/>
        <v>0</v>
      </c>
      <c r="K265" s="1680"/>
      <c r="L265" s="1680"/>
      <c r="M265" s="633" t="s">
        <v>2299</v>
      </c>
      <c r="N265" s="223"/>
      <c r="O265" s="631">
        <f t="shared" si="23"/>
        <v>0</v>
      </c>
    </row>
    <row r="266" spans="1:15" s="360" customFormat="1" ht="15" hidden="1">
      <c r="A266" s="356" t="s">
        <v>517</v>
      </c>
      <c r="B266" s="632" t="s">
        <v>2073</v>
      </c>
      <c r="C266" s="611">
        <f t="shared" ref="C266:C329" si="28">G266</f>
        <v>0</v>
      </c>
      <c r="D266" s="221"/>
      <c r="E266" s="15">
        <f t="shared" si="27"/>
        <v>536.78</v>
      </c>
      <c r="F266" s="792">
        <f t="shared" si="26"/>
        <v>0</v>
      </c>
      <c r="G266" s="358">
        <f>FF!I221</f>
        <v>0</v>
      </c>
      <c r="H266" s="221" t="s">
        <v>102</v>
      </c>
      <c r="I266" s="355">
        <f>FF!K221</f>
        <v>536.78</v>
      </c>
      <c r="J266" s="353">
        <f t="shared" ref="J266:J329" si="29">ROUND(G266*I266,2)</f>
        <v>0</v>
      </c>
      <c r="K266" s="1680"/>
      <c r="L266" s="1680"/>
      <c r="M266" s="633" t="s">
        <v>2312</v>
      </c>
      <c r="N266" s="223"/>
      <c r="O266" s="631">
        <f t="shared" si="23"/>
        <v>0</v>
      </c>
    </row>
    <row r="267" spans="1:15" s="360" customFormat="1" ht="15" hidden="1">
      <c r="A267" s="356" t="s">
        <v>517</v>
      </c>
      <c r="B267" s="632" t="s">
        <v>2073</v>
      </c>
      <c r="C267" s="611">
        <f t="shared" si="28"/>
        <v>0</v>
      </c>
      <c r="D267" s="221"/>
      <c r="E267" s="15">
        <f t="shared" si="27"/>
        <v>553.39</v>
      </c>
      <c r="F267" s="792">
        <f t="shared" si="26"/>
        <v>0</v>
      </c>
      <c r="G267" s="358">
        <f>FF!I227</f>
        <v>0</v>
      </c>
      <c r="H267" s="221" t="s">
        <v>102</v>
      </c>
      <c r="I267" s="355">
        <f>FF!K227</f>
        <v>553.39</v>
      </c>
      <c r="J267" s="353">
        <f t="shared" si="29"/>
        <v>0</v>
      </c>
      <c r="K267" s="1681"/>
      <c r="L267" s="1681"/>
      <c r="M267" s="633" t="s">
        <v>2313</v>
      </c>
      <c r="N267" s="223"/>
      <c r="O267" s="631">
        <f t="shared" si="23"/>
        <v>0</v>
      </c>
    </row>
    <row r="268" spans="1:15" s="360" customFormat="1" ht="51" hidden="1">
      <c r="A268" s="356" t="s">
        <v>494</v>
      </c>
      <c r="B268" s="632" t="s">
        <v>3188</v>
      </c>
      <c r="C268" s="611">
        <f t="shared" si="28"/>
        <v>0</v>
      </c>
      <c r="D268" s="791" t="s">
        <v>5</v>
      </c>
      <c r="E268" s="10">
        <f t="shared" si="27"/>
        <v>9842.01</v>
      </c>
      <c r="F268" s="792">
        <f t="shared" si="26"/>
        <v>0</v>
      </c>
      <c r="G268" s="358">
        <f>FF!I238</f>
        <v>0</v>
      </c>
      <c r="H268" s="354" t="s">
        <v>5</v>
      </c>
      <c r="I268" s="355">
        <f>FF!K238</f>
        <v>9842.01</v>
      </c>
      <c r="J268" s="353">
        <f t="shared" si="29"/>
        <v>0</v>
      </c>
      <c r="K268" s="1698">
        <f>IF((J268+J269+J270+J271)&gt;(F268+F269+F270+F271),(J268+J269+J270+J271)-(F268+F269+F270+F271),0)</f>
        <v>0</v>
      </c>
      <c r="L268" s="1698">
        <f>IF((J268+J269+J270+J271)&lt;(F268+F269+F270+F271),(F268+F269+F270+F271)-(J268+J269+J270+J271),0)</f>
        <v>0</v>
      </c>
      <c r="M268" s="851" t="s">
        <v>2217</v>
      </c>
      <c r="N268" s="223"/>
      <c r="O268" s="850">
        <f t="shared" ref="O268:O331" si="30">F268-J268</f>
        <v>0</v>
      </c>
    </row>
    <row r="269" spans="1:15" s="360" customFormat="1" ht="15" hidden="1">
      <c r="A269" s="356" t="s">
        <v>516</v>
      </c>
      <c r="B269" s="632" t="s">
        <v>2069</v>
      </c>
      <c r="C269" s="611">
        <f t="shared" si="28"/>
        <v>0</v>
      </c>
      <c r="D269" s="354"/>
      <c r="E269" s="15">
        <f t="shared" si="27"/>
        <v>10212.370000000001</v>
      </c>
      <c r="F269" s="792">
        <f t="shared" si="26"/>
        <v>0</v>
      </c>
      <c r="G269" s="358">
        <f>FF!I259</f>
        <v>0</v>
      </c>
      <c r="H269" s="354" t="s">
        <v>5</v>
      </c>
      <c r="I269" s="355">
        <f>FF!K259</f>
        <v>10212.370000000001</v>
      </c>
      <c r="J269" s="353">
        <f t="shared" si="29"/>
        <v>0</v>
      </c>
      <c r="K269" s="1680"/>
      <c r="L269" s="1680"/>
      <c r="M269" s="633" t="s">
        <v>2299</v>
      </c>
      <c r="N269" s="223"/>
      <c r="O269" s="631">
        <f t="shared" si="30"/>
        <v>0</v>
      </c>
    </row>
    <row r="270" spans="1:15" s="360" customFormat="1" ht="15" hidden="1">
      <c r="A270" s="356" t="s">
        <v>513</v>
      </c>
      <c r="B270" s="632" t="s">
        <v>2069</v>
      </c>
      <c r="C270" s="611">
        <f t="shared" si="28"/>
        <v>0</v>
      </c>
      <c r="D270" s="354"/>
      <c r="E270" s="15">
        <f t="shared" si="27"/>
        <v>10781.86</v>
      </c>
      <c r="F270" s="792">
        <f t="shared" si="26"/>
        <v>0</v>
      </c>
      <c r="G270" s="358">
        <f>FF!I270</f>
        <v>0</v>
      </c>
      <c r="H270" s="354" t="s">
        <v>5</v>
      </c>
      <c r="I270" s="355">
        <f>FF!K270</f>
        <v>10781.86</v>
      </c>
      <c r="J270" s="353">
        <f t="shared" si="29"/>
        <v>0</v>
      </c>
      <c r="K270" s="1680"/>
      <c r="L270" s="1680"/>
      <c r="M270" s="633" t="s">
        <v>2312</v>
      </c>
      <c r="N270" s="223"/>
      <c r="O270" s="631">
        <f t="shared" si="30"/>
        <v>0</v>
      </c>
    </row>
    <row r="271" spans="1:15" s="360" customFormat="1" ht="15" hidden="1">
      <c r="A271" s="356" t="s">
        <v>513</v>
      </c>
      <c r="B271" s="632" t="s">
        <v>2069</v>
      </c>
      <c r="C271" s="611">
        <f t="shared" si="28"/>
        <v>0</v>
      </c>
      <c r="D271" s="354"/>
      <c r="E271" s="15">
        <f t="shared" si="27"/>
        <v>11212.51</v>
      </c>
      <c r="F271" s="792">
        <f t="shared" si="26"/>
        <v>0</v>
      </c>
      <c r="G271" s="358">
        <f>FF!I276</f>
        <v>0</v>
      </c>
      <c r="H271" s="354" t="s">
        <v>5</v>
      </c>
      <c r="I271" s="355">
        <f>FF!K276</f>
        <v>11212.51</v>
      </c>
      <c r="J271" s="353">
        <f t="shared" si="29"/>
        <v>0</v>
      </c>
      <c r="K271" s="1681"/>
      <c r="L271" s="1681"/>
      <c r="M271" s="633" t="s">
        <v>2313</v>
      </c>
      <c r="N271" s="223"/>
      <c r="O271" s="631">
        <f t="shared" si="30"/>
        <v>0</v>
      </c>
    </row>
    <row r="272" spans="1:15" s="360" customFormat="1" ht="51" hidden="1">
      <c r="A272" s="356" t="s">
        <v>495</v>
      </c>
      <c r="B272" s="632" t="s">
        <v>3189</v>
      </c>
      <c r="C272" s="611">
        <f t="shared" si="28"/>
        <v>0</v>
      </c>
      <c r="D272" s="794" t="s">
        <v>277</v>
      </c>
      <c r="E272" s="10">
        <f t="shared" si="27"/>
        <v>568.34999999999991</v>
      </c>
      <c r="F272" s="792">
        <f t="shared" si="26"/>
        <v>0</v>
      </c>
      <c r="G272" s="358">
        <f>FF!I282</f>
        <v>0</v>
      </c>
      <c r="H272" s="221" t="s">
        <v>277</v>
      </c>
      <c r="I272" s="355">
        <f>FF!K282</f>
        <v>568.34999999999991</v>
      </c>
      <c r="J272" s="353">
        <f t="shared" si="29"/>
        <v>0</v>
      </c>
      <c r="K272" s="1698">
        <f>IF((J272+J273+J274+J275)&gt;(F272+F273+F274+F275),(J272+J273+J274+J275)-(F272+F273+F274+F275),0)</f>
        <v>0</v>
      </c>
      <c r="L272" s="1698">
        <f>IF((J272+J273+J274+J275)&lt;(F272+F273+F274+F275),(F272+F273+F274+F275)-(J272+J273+J274+J275),0)</f>
        <v>0</v>
      </c>
      <c r="M272" s="851" t="s">
        <v>2217</v>
      </c>
      <c r="N272" s="223"/>
      <c r="O272" s="850">
        <f t="shared" si="30"/>
        <v>0</v>
      </c>
    </row>
    <row r="273" spans="1:15" s="360" customFormat="1" ht="15" hidden="1">
      <c r="A273" s="356" t="s">
        <v>518</v>
      </c>
      <c r="B273" s="632" t="s">
        <v>2070</v>
      </c>
      <c r="C273" s="611">
        <f t="shared" si="28"/>
        <v>0</v>
      </c>
      <c r="D273" s="221"/>
      <c r="E273" s="15">
        <f t="shared" si="27"/>
        <v>582.93999999999994</v>
      </c>
      <c r="F273" s="792">
        <f t="shared" si="26"/>
        <v>0</v>
      </c>
      <c r="G273" s="358">
        <f>FF!I288</f>
        <v>0</v>
      </c>
      <c r="H273" s="221" t="s">
        <v>277</v>
      </c>
      <c r="I273" s="355">
        <f>FF!K288</f>
        <v>582.93999999999994</v>
      </c>
      <c r="J273" s="353">
        <f t="shared" si="29"/>
        <v>0</v>
      </c>
      <c r="K273" s="1680"/>
      <c r="L273" s="1680"/>
      <c r="M273" s="633" t="s">
        <v>2299</v>
      </c>
      <c r="N273" s="223"/>
      <c r="O273" s="631">
        <f t="shared" si="30"/>
        <v>0</v>
      </c>
    </row>
    <row r="274" spans="1:15" s="360" customFormat="1" ht="15" hidden="1">
      <c r="A274" s="356" t="s">
        <v>515</v>
      </c>
      <c r="B274" s="632" t="s">
        <v>2070</v>
      </c>
      <c r="C274" s="611">
        <f t="shared" si="28"/>
        <v>0</v>
      </c>
      <c r="D274" s="221"/>
      <c r="E274" s="15">
        <f t="shared" si="27"/>
        <v>613.88</v>
      </c>
      <c r="F274" s="792">
        <f t="shared" si="26"/>
        <v>0</v>
      </c>
      <c r="G274" s="358">
        <f>FF!I295</f>
        <v>0</v>
      </c>
      <c r="H274" s="221" t="s">
        <v>277</v>
      </c>
      <c r="I274" s="355">
        <f>FF!K295</f>
        <v>613.88</v>
      </c>
      <c r="J274" s="353">
        <f t="shared" si="29"/>
        <v>0</v>
      </c>
      <c r="K274" s="1680"/>
      <c r="L274" s="1680"/>
      <c r="M274" s="633" t="s">
        <v>2312</v>
      </c>
      <c r="N274" s="223"/>
      <c r="O274" s="631">
        <f t="shared" si="30"/>
        <v>0</v>
      </c>
    </row>
    <row r="275" spans="1:15" s="360" customFormat="1" ht="15" hidden="1">
      <c r="A275" s="356" t="s">
        <v>515</v>
      </c>
      <c r="B275" s="632" t="s">
        <v>2070</v>
      </c>
      <c r="C275" s="611">
        <f t="shared" si="28"/>
        <v>0</v>
      </c>
      <c r="D275" s="221"/>
      <c r="E275" s="15">
        <f t="shared" si="27"/>
        <v>630.35</v>
      </c>
      <c r="F275" s="792">
        <f t="shared" si="26"/>
        <v>0</v>
      </c>
      <c r="G275" s="358">
        <f>FF!I301</f>
        <v>0</v>
      </c>
      <c r="H275" s="221" t="s">
        <v>277</v>
      </c>
      <c r="I275" s="355">
        <f>FF!K301</f>
        <v>630.35</v>
      </c>
      <c r="J275" s="353">
        <f t="shared" si="29"/>
        <v>0</v>
      </c>
      <c r="K275" s="1681"/>
      <c r="L275" s="1681"/>
      <c r="M275" s="633" t="s">
        <v>2313</v>
      </c>
      <c r="N275" s="223"/>
      <c r="O275" s="631">
        <f t="shared" si="30"/>
        <v>0</v>
      </c>
    </row>
    <row r="276" spans="1:15" s="360" customFormat="1" ht="15" hidden="1">
      <c r="A276" s="356" t="s">
        <v>514</v>
      </c>
      <c r="B276" s="632" t="s">
        <v>1478</v>
      </c>
      <c r="C276" s="611">
        <f t="shared" si="28"/>
        <v>0</v>
      </c>
      <c r="D276" s="221"/>
      <c r="E276" s="15">
        <f t="shared" si="27"/>
        <v>278.81</v>
      </c>
      <c r="F276" s="792">
        <f t="shared" si="26"/>
        <v>0</v>
      </c>
      <c r="G276" s="358">
        <f>FF!I307</f>
        <v>0</v>
      </c>
      <c r="H276" s="221" t="s">
        <v>102</v>
      </c>
      <c r="I276" s="355">
        <f>FF!K307</f>
        <v>278.81</v>
      </c>
      <c r="J276" s="353">
        <f t="shared" si="29"/>
        <v>0</v>
      </c>
      <c r="K276" s="1679">
        <f>IF((J276+J277+J278+J279)&gt;(F276+F277+F278+F279),(J276+J277+J278+J279)-(F276+F277+F278+F279),0)</f>
        <v>0</v>
      </c>
      <c r="L276" s="1679">
        <f>IF((J276+J277+J278+J279)&lt;(F276+F277+F278+F279),(F276+F277+F278+F279)-(J276+J277+J278+J279),0)</f>
        <v>0</v>
      </c>
      <c r="M276" s="633" t="s">
        <v>2217</v>
      </c>
      <c r="N276" s="223"/>
      <c r="O276" s="631">
        <f t="shared" si="30"/>
        <v>0</v>
      </c>
    </row>
    <row r="277" spans="1:15" s="360" customFormat="1" ht="15" hidden="1">
      <c r="A277" s="356" t="s">
        <v>519</v>
      </c>
      <c r="B277" s="632" t="s">
        <v>1478</v>
      </c>
      <c r="C277" s="611">
        <f t="shared" si="28"/>
        <v>0</v>
      </c>
      <c r="D277" s="221"/>
      <c r="E277" s="15">
        <f t="shared" si="27"/>
        <v>300.63</v>
      </c>
      <c r="F277" s="792">
        <f t="shared" si="26"/>
        <v>0</v>
      </c>
      <c r="G277" s="358">
        <f>FF!I314</f>
        <v>0</v>
      </c>
      <c r="H277" s="221" t="s">
        <v>102</v>
      </c>
      <c r="I277" s="355">
        <f>FF!K314</f>
        <v>300.63</v>
      </c>
      <c r="J277" s="353">
        <f t="shared" si="29"/>
        <v>0</v>
      </c>
      <c r="K277" s="1680"/>
      <c r="L277" s="1680"/>
      <c r="M277" s="633" t="s">
        <v>2299</v>
      </c>
      <c r="N277" s="223"/>
      <c r="O277" s="631">
        <f t="shared" si="30"/>
        <v>0</v>
      </c>
    </row>
    <row r="278" spans="1:15" s="360" customFormat="1" ht="15" hidden="1">
      <c r="A278" s="356" t="s">
        <v>497</v>
      </c>
      <c r="B278" s="632" t="s">
        <v>1478</v>
      </c>
      <c r="C278" s="611">
        <f t="shared" si="28"/>
        <v>0</v>
      </c>
      <c r="D278" s="221"/>
      <c r="E278" s="15">
        <f t="shared" si="27"/>
        <v>319.08</v>
      </c>
      <c r="F278" s="792">
        <f t="shared" si="26"/>
        <v>0</v>
      </c>
      <c r="G278" s="358">
        <f>FF!I320</f>
        <v>0</v>
      </c>
      <c r="H278" s="221" t="s">
        <v>102</v>
      </c>
      <c r="I278" s="355">
        <f>FF!K320</f>
        <v>319.08</v>
      </c>
      <c r="J278" s="353">
        <f t="shared" si="29"/>
        <v>0</v>
      </c>
      <c r="K278" s="1680"/>
      <c r="L278" s="1680"/>
      <c r="M278" s="633" t="s">
        <v>2312</v>
      </c>
      <c r="N278" s="223"/>
      <c r="O278" s="631">
        <f t="shared" si="30"/>
        <v>0</v>
      </c>
    </row>
    <row r="279" spans="1:15" s="360" customFormat="1" ht="15" hidden="1">
      <c r="A279" s="356" t="s">
        <v>497</v>
      </c>
      <c r="B279" s="632" t="s">
        <v>1478</v>
      </c>
      <c r="C279" s="611">
        <f t="shared" si="28"/>
        <v>0</v>
      </c>
      <c r="D279" s="221"/>
      <c r="E279" s="15">
        <f t="shared" si="27"/>
        <v>339.16</v>
      </c>
      <c r="F279" s="792">
        <f t="shared" si="26"/>
        <v>0</v>
      </c>
      <c r="G279" s="358">
        <f>FF!I326</f>
        <v>0</v>
      </c>
      <c r="H279" s="221" t="s">
        <v>102</v>
      </c>
      <c r="I279" s="355">
        <f>FF!K326</f>
        <v>339.16</v>
      </c>
      <c r="J279" s="353">
        <f t="shared" si="29"/>
        <v>0</v>
      </c>
      <c r="K279" s="1681"/>
      <c r="L279" s="1681"/>
      <c r="M279" s="633" t="s">
        <v>2313</v>
      </c>
      <c r="N279" s="223"/>
      <c r="O279" s="631">
        <f t="shared" si="30"/>
        <v>0</v>
      </c>
    </row>
    <row r="280" spans="1:15" s="360" customFormat="1" ht="51" hidden="1">
      <c r="A280" s="356" t="s">
        <v>501</v>
      </c>
      <c r="B280" s="632" t="s">
        <v>3210</v>
      </c>
      <c r="C280" s="611">
        <f t="shared" si="28"/>
        <v>0</v>
      </c>
      <c r="D280" s="794" t="s">
        <v>102</v>
      </c>
      <c r="E280" s="15">
        <f t="shared" si="27"/>
        <v>356.32</v>
      </c>
      <c r="F280" s="792">
        <f t="shared" si="26"/>
        <v>0</v>
      </c>
      <c r="G280" s="358">
        <f>FF!I332</f>
        <v>0</v>
      </c>
      <c r="H280" s="221" t="s">
        <v>102</v>
      </c>
      <c r="I280" s="355">
        <f>FF!K332</f>
        <v>356.32</v>
      </c>
      <c r="J280" s="353">
        <f t="shared" si="29"/>
        <v>0</v>
      </c>
      <c r="K280" s="1679">
        <f>IF((J280+J281+J282+J283)&gt;(F280+F281+F282+F283),(J280+J281+J282+J283)-(F280+F281+F282+F283),0)</f>
        <v>0</v>
      </c>
      <c r="L280" s="1679">
        <f>IF((J280+J281+J282+J283)&lt;(F280+F281+F282+F283),(F280+F281+F282+F283)-(J280+J281+J282+J283),0)</f>
        <v>0</v>
      </c>
      <c r="M280" s="633" t="s">
        <v>2217</v>
      </c>
      <c r="N280" s="223"/>
      <c r="O280" s="631">
        <f t="shared" si="30"/>
        <v>0</v>
      </c>
    </row>
    <row r="281" spans="1:15" s="360" customFormat="1" ht="15" hidden="1">
      <c r="A281" s="356" t="s">
        <v>520</v>
      </c>
      <c r="B281" s="632" t="s">
        <v>1479</v>
      </c>
      <c r="C281" s="611">
        <f t="shared" si="28"/>
        <v>0</v>
      </c>
      <c r="D281" s="221"/>
      <c r="E281" s="15">
        <f t="shared" si="27"/>
        <v>385.97</v>
      </c>
      <c r="F281" s="792">
        <f t="shared" si="26"/>
        <v>0</v>
      </c>
      <c r="G281" s="358">
        <f>FF!I338</f>
        <v>0</v>
      </c>
      <c r="H281" s="221" t="s">
        <v>102</v>
      </c>
      <c r="I281" s="355">
        <f>FF!K338</f>
        <v>385.97</v>
      </c>
      <c r="J281" s="353">
        <f t="shared" si="29"/>
        <v>0</v>
      </c>
      <c r="K281" s="1680"/>
      <c r="L281" s="1680"/>
      <c r="M281" s="633" t="s">
        <v>2299</v>
      </c>
      <c r="N281" s="223"/>
      <c r="O281" s="631">
        <f t="shared" si="30"/>
        <v>0</v>
      </c>
    </row>
    <row r="282" spans="1:15" s="360" customFormat="1" ht="15" hidden="1">
      <c r="A282" s="356" t="s">
        <v>520</v>
      </c>
      <c r="B282" s="632" t="s">
        <v>1479</v>
      </c>
      <c r="C282" s="611">
        <f t="shared" si="28"/>
        <v>0</v>
      </c>
      <c r="D282" s="221"/>
      <c r="E282" s="15">
        <f t="shared" si="27"/>
        <v>410.82</v>
      </c>
      <c r="F282" s="792">
        <f t="shared" si="26"/>
        <v>0</v>
      </c>
      <c r="G282" s="358">
        <f>FF!I344</f>
        <v>0</v>
      </c>
      <c r="H282" s="221" t="s">
        <v>102</v>
      </c>
      <c r="I282" s="355">
        <f>FF!K344</f>
        <v>410.82</v>
      </c>
      <c r="J282" s="353">
        <f t="shared" si="29"/>
        <v>0</v>
      </c>
      <c r="K282" s="1680"/>
      <c r="L282" s="1680"/>
      <c r="M282" s="633" t="s">
        <v>2312</v>
      </c>
      <c r="N282" s="223"/>
      <c r="O282" s="631">
        <f t="shared" si="30"/>
        <v>0</v>
      </c>
    </row>
    <row r="283" spans="1:15" s="360" customFormat="1" ht="15" hidden="1">
      <c r="A283" s="356" t="s">
        <v>520</v>
      </c>
      <c r="B283" s="632" t="s">
        <v>1479</v>
      </c>
      <c r="C283" s="611">
        <f t="shared" si="28"/>
        <v>0</v>
      </c>
      <c r="D283" s="221"/>
      <c r="E283" s="15">
        <f t="shared" si="27"/>
        <v>438.06</v>
      </c>
      <c r="F283" s="792">
        <f t="shared" si="26"/>
        <v>0</v>
      </c>
      <c r="G283" s="358">
        <f>FF!I350</f>
        <v>0</v>
      </c>
      <c r="H283" s="221" t="s">
        <v>102</v>
      </c>
      <c r="I283" s="355">
        <f>FF!K350</f>
        <v>438.06</v>
      </c>
      <c r="J283" s="353">
        <f t="shared" si="29"/>
        <v>0</v>
      </c>
      <c r="K283" s="1681"/>
      <c r="L283" s="1681"/>
      <c r="M283" s="633" t="s">
        <v>2313</v>
      </c>
      <c r="N283" s="223"/>
      <c r="O283" s="631">
        <f t="shared" si="30"/>
        <v>0</v>
      </c>
    </row>
    <row r="284" spans="1:15" s="360" customFormat="1" ht="63.75" hidden="1">
      <c r="A284" s="356" t="s">
        <v>1515</v>
      </c>
      <c r="B284" s="632" t="s">
        <v>3192</v>
      </c>
      <c r="C284" s="611">
        <f t="shared" si="28"/>
        <v>0</v>
      </c>
      <c r="D284" s="791" t="s">
        <v>5</v>
      </c>
      <c r="E284" s="10">
        <f t="shared" si="27"/>
        <v>5961.27</v>
      </c>
      <c r="F284" s="792">
        <f t="shared" si="26"/>
        <v>0</v>
      </c>
      <c r="G284" s="358">
        <f>FF!I396</f>
        <v>0</v>
      </c>
      <c r="H284" s="354" t="s">
        <v>5</v>
      </c>
      <c r="I284" s="355">
        <f>FF!K396</f>
        <v>5961.27</v>
      </c>
      <c r="J284" s="353">
        <f t="shared" si="29"/>
        <v>0</v>
      </c>
      <c r="K284" s="1698">
        <f>IF((J284+J285+J286+J287)&gt;(F284+F285+F286+F287),(J284+J285+J286+J287)-(F284+F285+F286+F287),0)</f>
        <v>0</v>
      </c>
      <c r="L284" s="1698">
        <f>IF((J284+J285+J286+J287)&lt;(F284+F285+F286+F287),(F284+F285+F286+F287)-(J284+J285+J286+J287),0)</f>
        <v>0</v>
      </c>
      <c r="M284" s="851" t="s">
        <v>2217</v>
      </c>
      <c r="N284" s="223"/>
      <c r="O284" s="850">
        <f t="shared" si="30"/>
        <v>0</v>
      </c>
    </row>
    <row r="285" spans="1:15" s="360" customFormat="1" ht="15" hidden="1">
      <c r="A285" s="356" t="s">
        <v>522</v>
      </c>
      <c r="B285" s="632" t="s">
        <v>829</v>
      </c>
      <c r="C285" s="611">
        <f t="shared" si="28"/>
        <v>0</v>
      </c>
      <c r="D285" s="354"/>
      <c r="E285" s="15">
        <f t="shared" si="27"/>
        <v>6135.0899999999992</v>
      </c>
      <c r="F285" s="792">
        <f t="shared" si="26"/>
        <v>0</v>
      </c>
      <c r="G285" s="358">
        <f>FF!I435</f>
        <v>0</v>
      </c>
      <c r="H285" s="354" t="s">
        <v>5</v>
      </c>
      <c r="I285" s="355">
        <f>FF!K435</f>
        <v>6135.0899999999992</v>
      </c>
      <c r="J285" s="353">
        <f t="shared" si="29"/>
        <v>0</v>
      </c>
      <c r="K285" s="1680"/>
      <c r="L285" s="1680"/>
      <c r="M285" s="633" t="s">
        <v>2299</v>
      </c>
      <c r="N285" s="223"/>
      <c r="O285" s="631">
        <f t="shared" si="30"/>
        <v>0</v>
      </c>
    </row>
    <row r="286" spans="1:15" s="360" customFormat="1" ht="15" hidden="1">
      <c r="A286" s="356" t="s">
        <v>519</v>
      </c>
      <c r="B286" s="632" t="s">
        <v>829</v>
      </c>
      <c r="C286" s="611">
        <f t="shared" si="28"/>
        <v>0</v>
      </c>
      <c r="D286" s="354"/>
      <c r="E286" s="15">
        <f t="shared" si="27"/>
        <v>6558.3</v>
      </c>
      <c r="F286" s="792">
        <f t="shared" si="26"/>
        <v>0</v>
      </c>
      <c r="G286" s="358">
        <f>FF!I454</f>
        <v>0</v>
      </c>
      <c r="H286" s="354" t="s">
        <v>5</v>
      </c>
      <c r="I286" s="355">
        <f>FF!K454</f>
        <v>6558.3</v>
      </c>
      <c r="J286" s="353">
        <f t="shared" si="29"/>
        <v>0</v>
      </c>
      <c r="K286" s="1680"/>
      <c r="L286" s="1680"/>
      <c r="M286" s="633" t="s">
        <v>2312</v>
      </c>
      <c r="N286" s="223"/>
      <c r="O286" s="631">
        <f t="shared" si="30"/>
        <v>0</v>
      </c>
    </row>
    <row r="287" spans="1:15" s="360" customFormat="1" ht="15" hidden="1">
      <c r="A287" s="356" t="s">
        <v>519</v>
      </c>
      <c r="B287" s="632" t="s">
        <v>829</v>
      </c>
      <c r="C287" s="611">
        <f t="shared" si="28"/>
        <v>0</v>
      </c>
      <c r="D287" s="354"/>
      <c r="E287" s="15">
        <f t="shared" si="27"/>
        <v>7283.96</v>
      </c>
      <c r="F287" s="792">
        <f t="shared" si="26"/>
        <v>0</v>
      </c>
      <c r="G287" s="358">
        <f>FF!I460</f>
        <v>0</v>
      </c>
      <c r="H287" s="354" t="s">
        <v>5</v>
      </c>
      <c r="I287" s="355">
        <f>FF!K460</f>
        <v>7283.96</v>
      </c>
      <c r="J287" s="353">
        <f t="shared" si="29"/>
        <v>0</v>
      </c>
      <c r="K287" s="1681"/>
      <c r="L287" s="1681"/>
      <c r="M287" s="633" t="s">
        <v>2313</v>
      </c>
      <c r="N287" s="223"/>
      <c r="O287" s="631">
        <f t="shared" si="30"/>
        <v>0</v>
      </c>
    </row>
    <row r="288" spans="1:15" s="360" customFormat="1" ht="15" hidden="1">
      <c r="A288" s="356" t="s">
        <v>491</v>
      </c>
      <c r="B288" s="632" t="s">
        <v>828</v>
      </c>
      <c r="C288" s="611">
        <f t="shared" si="28"/>
        <v>0</v>
      </c>
      <c r="D288" s="354"/>
      <c r="E288" s="15">
        <f t="shared" si="27"/>
        <v>5904.8700000000008</v>
      </c>
      <c r="F288" s="792">
        <f t="shared" si="26"/>
        <v>0</v>
      </c>
      <c r="G288" s="358">
        <f>FF!I356</f>
        <v>0</v>
      </c>
      <c r="H288" s="354" t="s">
        <v>5</v>
      </c>
      <c r="I288" s="355">
        <f>FF!K356</f>
        <v>5904.8700000000008</v>
      </c>
      <c r="J288" s="353">
        <f t="shared" si="29"/>
        <v>0</v>
      </c>
      <c r="K288" s="1679">
        <f>IF((J288+J289+J290+J291)&gt;(F288+F289+F290+F291),(J288+J289+J290+J291)-(F288+F289+F290+F291),0)</f>
        <v>0</v>
      </c>
      <c r="L288" s="1679">
        <f>IF((J288+J289+J290+J291)&lt;(F288+F289+F290+F291),(F288+F289+F290+F291)-(J288+J289+J290+J291),0)</f>
        <v>0</v>
      </c>
      <c r="M288" s="633" t="s">
        <v>2217</v>
      </c>
      <c r="N288" s="223"/>
      <c r="O288" s="631">
        <f t="shared" si="30"/>
        <v>0</v>
      </c>
    </row>
    <row r="289" spans="1:15" s="360" customFormat="1" ht="15" hidden="1">
      <c r="A289" s="356" t="s">
        <v>491</v>
      </c>
      <c r="B289" s="632" t="s">
        <v>828</v>
      </c>
      <c r="C289" s="611">
        <f t="shared" si="28"/>
        <v>0</v>
      </c>
      <c r="D289" s="354"/>
      <c r="E289" s="15">
        <f t="shared" si="27"/>
        <v>6078.69</v>
      </c>
      <c r="F289" s="792">
        <f t="shared" si="26"/>
        <v>0</v>
      </c>
      <c r="G289" s="358">
        <f>FF!I362</f>
        <v>0</v>
      </c>
      <c r="H289" s="354" t="s">
        <v>5</v>
      </c>
      <c r="I289" s="355">
        <f>FF!K362</f>
        <v>6078.69</v>
      </c>
      <c r="J289" s="353">
        <f t="shared" si="29"/>
        <v>0</v>
      </c>
      <c r="K289" s="1680"/>
      <c r="L289" s="1680"/>
      <c r="M289" s="633" t="s">
        <v>2299</v>
      </c>
      <c r="N289" s="223"/>
      <c r="O289" s="631">
        <f t="shared" si="30"/>
        <v>0</v>
      </c>
    </row>
    <row r="290" spans="1:15" s="360" customFormat="1" ht="15" hidden="1">
      <c r="A290" s="356" t="s">
        <v>491</v>
      </c>
      <c r="B290" s="632" t="s">
        <v>828</v>
      </c>
      <c r="C290" s="611">
        <f t="shared" si="28"/>
        <v>0</v>
      </c>
      <c r="D290" s="354"/>
      <c r="E290" s="15">
        <f t="shared" si="27"/>
        <v>6501.9000000000005</v>
      </c>
      <c r="F290" s="792">
        <f t="shared" si="26"/>
        <v>0</v>
      </c>
      <c r="G290" s="358">
        <f>FF!I368</f>
        <v>0</v>
      </c>
      <c r="H290" s="354" t="s">
        <v>5</v>
      </c>
      <c r="I290" s="355">
        <f>FF!K368</f>
        <v>6501.9000000000005</v>
      </c>
      <c r="J290" s="353">
        <f t="shared" si="29"/>
        <v>0</v>
      </c>
      <c r="K290" s="1680"/>
      <c r="L290" s="1680"/>
      <c r="M290" s="633" t="s">
        <v>2312</v>
      </c>
      <c r="N290" s="223"/>
      <c r="O290" s="631">
        <f t="shared" si="30"/>
        <v>0</v>
      </c>
    </row>
    <row r="291" spans="1:15" s="360" customFormat="1" ht="15" hidden="1">
      <c r="A291" s="356" t="s">
        <v>491</v>
      </c>
      <c r="B291" s="632" t="s">
        <v>828</v>
      </c>
      <c r="C291" s="611">
        <f t="shared" si="28"/>
        <v>0</v>
      </c>
      <c r="D291" s="354"/>
      <c r="E291" s="15">
        <f t="shared" si="27"/>
        <v>7227.5599999999995</v>
      </c>
      <c r="F291" s="792">
        <f t="shared" si="26"/>
        <v>0</v>
      </c>
      <c r="G291" s="358">
        <f>FF!I374</f>
        <v>0</v>
      </c>
      <c r="H291" s="354" t="s">
        <v>5</v>
      </c>
      <c r="I291" s="355">
        <f>FF!K374</f>
        <v>7227.5599999999995</v>
      </c>
      <c r="J291" s="353">
        <f t="shared" si="29"/>
        <v>0</v>
      </c>
      <c r="K291" s="1681"/>
      <c r="L291" s="1681"/>
      <c r="M291" s="633" t="s">
        <v>2313</v>
      </c>
      <c r="N291" s="223"/>
      <c r="O291" s="631">
        <f t="shared" si="30"/>
        <v>0</v>
      </c>
    </row>
    <row r="292" spans="1:15" s="360" customFormat="1" ht="51" hidden="1">
      <c r="A292" s="356" t="s">
        <v>1516</v>
      </c>
      <c r="B292" s="632" t="s">
        <v>3193</v>
      </c>
      <c r="C292" s="611">
        <f t="shared" si="28"/>
        <v>0</v>
      </c>
      <c r="D292" s="791" t="s">
        <v>102</v>
      </c>
      <c r="E292" s="10">
        <f t="shared" si="27"/>
        <v>767.73</v>
      </c>
      <c r="F292" s="792">
        <f t="shared" si="26"/>
        <v>0</v>
      </c>
      <c r="G292" s="358">
        <f>FF!I487</f>
        <v>0</v>
      </c>
      <c r="H292" s="354" t="s">
        <v>102</v>
      </c>
      <c r="I292" s="355">
        <f>FF!K487</f>
        <v>767.73</v>
      </c>
      <c r="J292" s="353">
        <f t="shared" si="29"/>
        <v>0</v>
      </c>
      <c r="K292" s="1698">
        <f>IF((J292+J293+J294+J295)&gt;(F292+F293+F294+F295),(J292+J293+J294+J295)-(F292+F293+F294+F295),0)</f>
        <v>0</v>
      </c>
      <c r="L292" s="1698">
        <f>IF((J292+J293+J294+J295)&lt;(F292+F293+F294+F295),(F292+F293+F294+F295)-(J292+J293+J294+J295),0)</f>
        <v>0</v>
      </c>
      <c r="M292" s="851" t="s">
        <v>2217</v>
      </c>
      <c r="N292" s="223"/>
      <c r="O292" s="850">
        <f t="shared" si="30"/>
        <v>0</v>
      </c>
    </row>
    <row r="293" spans="1:15" s="360" customFormat="1" ht="25.5" hidden="1">
      <c r="A293" s="356" t="s">
        <v>525</v>
      </c>
      <c r="B293" s="632" t="s">
        <v>705</v>
      </c>
      <c r="C293" s="611">
        <f t="shared" si="28"/>
        <v>0</v>
      </c>
      <c r="D293" s="354"/>
      <c r="E293" s="15">
        <f t="shared" si="27"/>
        <v>791.59</v>
      </c>
      <c r="F293" s="792">
        <f t="shared" si="26"/>
        <v>0</v>
      </c>
      <c r="G293" s="358">
        <f>FF!I520</f>
        <v>0</v>
      </c>
      <c r="H293" s="354" t="s">
        <v>102</v>
      </c>
      <c r="I293" s="355">
        <f>FF!K520</f>
        <v>791.59</v>
      </c>
      <c r="J293" s="353">
        <f t="shared" si="29"/>
        <v>0</v>
      </c>
      <c r="K293" s="1680"/>
      <c r="L293" s="1680"/>
      <c r="M293" s="633" t="s">
        <v>2299</v>
      </c>
      <c r="N293" s="223"/>
      <c r="O293" s="631">
        <f t="shared" si="30"/>
        <v>0</v>
      </c>
    </row>
    <row r="294" spans="1:15" s="360" customFormat="1" ht="25.5" hidden="1">
      <c r="A294" s="356" t="s">
        <v>521</v>
      </c>
      <c r="B294" s="632" t="s">
        <v>705</v>
      </c>
      <c r="C294" s="611">
        <f t="shared" si="28"/>
        <v>0</v>
      </c>
      <c r="D294" s="354"/>
      <c r="E294" s="15">
        <f t="shared" si="27"/>
        <v>845.07</v>
      </c>
      <c r="F294" s="792">
        <f t="shared" si="26"/>
        <v>0</v>
      </c>
      <c r="G294" s="358">
        <f>FF!I541</f>
        <v>0</v>
      </c>
      <c r="H294" s="354" t="s">
        <v>102</v>
      </c>
      <c r="I294" s="355">
        <f>FF!K541</f>
        <v>845.07</v>
      </c>
      <c r="J294" s="353">
        <f t="shared" si="29"/>
        <v>0</v>
      </c>
      <c r="K294" s="1680"/>
      <c r="L294" s="1680"/>
      <c r="M294" s="633" t="s">
        <v>2312</v>
      </c>
      <c r="N294" s="223"/>
      <c r="O294" s="631">
        <f t="shared" si="30"/>
        <v>0</v>
      </c>
    </row>
    <row r="295" spans="1:15" s="360" customFormat="1" ht="25.5" hidden="1">
      <c r="A295" s="356" t="s">
        <v>521</v>
      </c>
      <c r="B295" s="632" t="s">
        <v>705</v>
      </c>
      <c r="C295" s="611">
        <f t="shared" si="28"/>
        <v>0</v>
      </c>
      <c r="D295" s="354"/>
      <c r="E295" s="15">
        <f t="shared" si="27"/>
        <v>929.28</v>
      </c>
      <c r="F295" s="792">
        <f t="shared" si="26"/>
        <v>0</v>
      </c>
      <c r="G295" s="358">
        <f>FF!I550</f>
        <v>0</v>
      </c>
      <c r="H295" s="354" t="s">
        <v>102</v>
      </c>
      <c r="I295" s="355">
        <f>FF!K550</f>
        <v>929.28</v>
      </c>
      <c r="J295" s="353">
        <f t="shared" si="29"/>
        <v>0</v>
      </c>
      <c r="K295" s="1681"/>
      <c r="L295" s="1681"/>
      <c r="M295" s="633" t="s">
        <v>2313</v>
      </c>
      <c r="N295" s="223"/>
      <c r="O295" s="631">
        <f t="shared" si="30"/>
        <v>0</v>
      </c>
    </row>
    <row r="296" spans="1:15" s="360" customFormat="1" ht="15" hidden="1">
      <c r="A296" s="356" t="s">
        <v>483</v>
      </c>
      <c r="B296" s="632" t="s">
        <v>1221</v>
      </c>
      <c r="C296" s="611">
        <f t="shared" si="28"/>
        <v>0</v>
      </c>
      <c r="D296" s="354"/>
      <c r="E296" s="15">
        <f t="shared" si="27"/>
        <v>5604.44</v>
      </c>
      <c r="F296" s="792">
        <f t="shared" si="26"/>
        <v>0</v>
      </c>
      <c r="G296" s="358">
        <f>FF!I557</f>
        <v>0</v>
      </c>
      <c r="H296" s="354" t="s">
        <v>102</v>
      </c>
      <c r="I296" s="355">
        <f>FF!K557</f>
        <v>5604.44</v>
      </c>
      <c r="J296" s="353">
        <f t="shared" si="29"/>
        <v>0</v>
      </c>
      <c r="K296" s="1679">
        <f>IF((J296+J297+J298+J299)&gt;(F296+F297+F298+F299),(J296+J297+J298+J299)-(F296+F297+F298+F299),0)</f>
        <v>0</v>
      </c>
      <c r="L296" s="1679">
        <f>IF((J296+J297+J298+J299)&lt;(F296+F297+F298+F299),(F296+F297+F298+F299)-(J296+J297+J298+J299),0)</f>
        <v>0</v>
      </c>
      <c r="M296" s="633" t="s">
        <v>2217</v>
      </c>
      <c r="N296" s="223"/>
      <c r="O296" s="631">
        <f t="shared" si="30"/>
        <v>0</v>
      </c>
    </row>
    <row r="297" spans="1:15" s="360" customFormat="1" ht="15" hidden="1">
      <c r="A297" s="356" t="s">
        <v>483</v>
      </c>
      <c r="B297" s="632" t="s">
        <v>1221</v>
      </c>
      <c r="C297" s="611">
        <f t="shared" si="28"/>
        <v>0</v>
      </c>
      <c r="D297" s="354"/>
      <c r="E297" s="15">
        <f t="shared" si="27"/>
        <v>5800.61</v>
      </c>
      <c r="F297" s="792">
        <f t="shared" si="26"/>
        <v>0</v>
      </c>
      <c r="G297" s="358">
        <f>FF!I564</f>
        <v>0</v>
      </c>
      <c r="H297" s="354" t="s">
        <v>102</v>
      </c>
      <c r="I297" s="355">
        <f>FF!K564</f>
        <v>5800.61</v>
      </c>
      <c r="J297" s="353">
        <f t="shared" si="29"/>
        <v>0</v>
      </c>
      <c r="K297" s="1680"/>
      <c r="L297" s="1680"/>
      <c r="M297" s="633" t="s">
        <v>2299</v>
      </c>
      <c r="N297" s="223"/>
      <c r="O297" s="631">
        <f t="shared" si="30"/>
        <v>0</v>
      </c>
    </row>
    <row r="298" spans="1:15" s="360" customFormat="1" ht="15" hidden="1">
      <c r="A298" s="356" t="s">
        <v>483</v>
      </c>
      <c r="B298" s="632" t="s">
        <v>1221</v>
      </c>
      <c r="C298" s="611">
        <f t="shared" si="28"/>
        <v>0</v>
      </c>
      <c r="D298" s="354"/>
      <c r="E298" s="15">
        <f t="shared" si="27"/>
        <v>6321.16</v>
      </c>
      <c r="F298" s="792">
        <f t="shared" si="26"/>
        <v>0</v>
      </c>
      <c r="G298" s="358">
        <f>FF!I571</f>
        <v>0</v>
      </c>
      <c r="H298" s="354" t="s">
        <v>102</v>
      </c>
      <c r="I298" s="355">
        <f>FF!K571</f>
        <v>6321.16</v>
      </c>
      <c r="J298" s="353">
        <f t="shared" si="29"/>
        <v>0</v>
      </c>
      <c r="K298" s="1680"/>
      <c r="L298" s="1680"/>
      <c r="M298" s="633" t="s">
        <v>2312</v>
      </c>
      <c r="N298" s="223"/>
      <c r="O298" s="631">
        <f t="shared" si="30"/>
        <v>0</v>
      </c>
    </row>
    <row r="299" spans="1:15" s="360" customFormat="1" ht="15" hidden="1">
      <c r="A299" s="356" t="s">
        <v>483</v>
      </c>
      <c r="B299" s="632" t="s">
        <v>1221</v>
      </c>
      <c r="C299" s="611">
        <f t="shared" si="28"/>
        <v>0</v>
      </c>
      <c r="D299" s="354"/>
      <c r="E299" s="15">
        <f t="shared" si="27"/>
        <v>6718.55</v>
      </c>
      <c r="F299" s="792">
        <f t="shared" si="26"/>
        <v>0</v>
      </c>
      <c r="G299" s="358">
        <f>FF!I578</f>
        <v>0</v>
      </c>
      <c r="H299" s="354" t="s">
        <v>102</v>
      </c>
      <c r="I299" s="355">
        <f>FF!K578</f>
        <v>6718.55</v>
      </c>
      <c r="J299" s="353">
        <f t="shared" si="29"/>
        <v>0</v>
      </c>
      <c r="K299" s="1681"/>
      <c r="L299" s="1681"/>
      <c r="M299" s="633" t="s">
        <v>2313</v>
      </c>
      <c r="N299" s="223"/>
      <c r="O299" s="631">
        <f t="shared" si="30"/>
        <v>0</v>
      </c>
    </row>
    <row r="300" spans="1:15" s="360" customFormat="1" ht="15" hidden="1">
      <c r="A300" s="356" t="s">
        <v>484</v>
      </c>
      <c r="B300" s="632" t="s">
        <v>1214</v>
      </c>
      <c r="C300" s="611">
        <f t="shared" si="28"/>
        <v>0</v>
      </c>
      <c r="D300" s="354"/>
      <c r="E300" s="15">
        <f t="shared" si="27"/>
        <v>1906.95</v>
      </c>
      <c r="F300" s="792">
        <f t="shared" si="26"/>
        <v>0</v>
      </c>
      <c r="G300" s="358">
        <f>FF!I584</f>
        <v>0</v>
      </c>
      <c r="H300" s="354" t="s">
        <v>102</v>
      </c>
      <c r="I300" s="355">
        <f>FF!K584</f>
        <v>1906.95</v>
      </c>
      <c r="J300" s="353">
        <f t="shared" si="29"/>
        <v>0</v>
      </c>
      <c r="K300" s="1679">
        <f>IF((J300+J301+J302+J303)&gt;(F300+F301+F302+F303),(J300+J301+J302+J303)-(F300+F301+F302+F303),0)</f>
        <v>0</v>
      </c>
      <c r="L300" s="1679">
        <f>IF((J300+J301+J302+J303)&lt;(F300+F301+F302+F303),(F300+F301+F302+F303)-(J300+J301+J302+J303),0)</f>
        <v>0</v>
      </c>
      <c r="M300" s="633" t="s">
        <v>2217</v>
      </c>
      <c r="N300" s="223"/>
      <c r="O300" s="631">
        <f t="shared" si="30"/>
        <v>0</v>
      </c>
    </row>
    <row r="301" spans="1:15" s="360" customFormat="1" ht="15" hidden="1">
      <c r="A301" s="356" t="s">
        <v>484</v>
      </c>
      <c r="B301" s="632" t="s">
        <v>1214</v>
      </c>
      <c r="C301" s="611">
        <f t="shared" si="28"/>
        <v>0</v>
      </c>
      <c r="D301" s="354"/>
      <c r="E301" s="15">
        <f t="shared" si="27"/>
        <v>2066.33</v>
      </c>
      <c r="F301" s="792">
        <f t="shared" si="26"/>
        <v>0</v>
      </c>
      <c r="G301" s="358">
        <f>FF!I590</f>
        <v>0</v>
      </c>
      <c r="H301" s="354" t="s">
        <v>102</v>
      </c>
      <c r="I301" s="355">
        <f>FF!K590</f>
        <v>2066.33</v>
      </c>
      <c r="J301" s="353">
        <f t="shared" si="29"/>
        <v>0</v>
      </c>
      <c r="K301" s="1680"/>
      <c r="L301" s="1680"/>
      <c r="M301" s="633" t="s">
        <v>2299</v>
      </c>
      <c r="N301" s="223"/>
      <c r="O301" s="631">
        <f t="shared" si="30"/>
        <v>0</v>
      </c>
    </row>
    <row r="302" spans="1:15" s="360" customFormat="1" ht="15" hidden="1">
      <c r="A302" s="356" t="s">
        <v>484</v>
      </c>
      <c r="B302" s="632" t="s">
        <v>1214</v>
      </c>
      <c r="C302" s="611">
        <f t="shared" si="28"/>
        <v>0</v>
      </c>
      <c r="D302" s="354"/>
      <c r="E302" s="15">
        <f t="shared" si="27"/>
        <v>2199.0300000000002</v>
      </c>
      <c r="F302" s="792">
        <f t="shared" si="26"/>
        <v>0</v>
      </c>
      <c r="G302" s="358">
        <f>FF!I596</f>
        <v>0</v>
      </c>
      <c r="H302" s="354" t="s">
        <v>102</v>
      </c>
      <c r="I302" s="355">
        <f>FF!K596</f>
        <v>2199.0300000000002</v>
      </c>
      <c r="J302" s="353">
        <f t="shared" si="29"/>
        <v>0</v>
      </c>
      <c r="K302" s="1680"/>
      <c r="L302" s="1680"/>
      <c r="M302" s="633" t="s">
        <v>2312</v>
      </c>
      <c r="N302" s="223"/>
      <c r="O302" s="631">
        <f t="shared" si="30"/>
        <v>0</v>
      </c>
    </row>
    <row r="303" spans="1:15" s="360" customFormat="1" ht="15" hidden="1">
      <c r="A303" s="356" t="s">
        <v>484</v>
      </c>
      <c r="B303" s="632" t="s">
        <v>1214</v>
      </c>
      <c r="C303" s="611">
        <f t="shared" si="28"/>
        <v>0</v>
      </c>
      <c r="D303" s="354"/>
      <c r="E303" s="15">
        <f t="shared" si="27"/>
        <v>2346.34</v>
      </c>
      <c r="F303" s="792">
        <f t="shared" si="26"/>
        <v>0</v>
      </c>
      <c r="G303" s="358">
        <f>FF!I602</f>
        <v>0</v>
      </c>
      <c r="H303" s="354" t="s">
        <v>102</v>
      </c>
      <c r="I303" s="355">
        <f>FF!K602</f>
        <v>2346.34</v>
      </c>
      <c r="J303" s="353">
        <f t="shared" si="29"/>
        <v>0</v>
      </c>
      <c r="K303" s="1681"/>
      <c r="L303" s="1681"/>
      <c r="M303" s="633" t="s">
        <v>2313</v>
      </c>
      <c r="N303" s="223"/>
      <c r="O303" s="631">
        <f t="shared" si="30"/>
        <v>0</v>
      </c>
    </row>
    <row r="304" spans="1:15" s="360" customFormat="1" ht="63.75" hidden="1">
      <c r="A304" s="356" t="s">
        <v>1517</v>
      </c>
      <c r="B304" s="632" t="s">
        <v>3194</v>
      </c>
      <c r="C304" s="611">
        <f t="shared" si="28"/>
        <v>0</v>
      </c>
      <c r="D304" s="791" t="s">
        <v>102</v>
      </c>
      <c r="E304" s="10">
        <f t="shared" si="27"/>
        <v>292.7</v>
      </c>
      <c r="F304" s="792">
        <f t="shared" ref="F304:F367" si="31">ROUND(C304*E304,0)</f>
        <v>0</v>
      </c>
      <c r="G304" s="358">
        <f>FF!I621</f>
        <v>0</v>
      </c>
      <c r="H304" s="354" t="s">
        <v>102</v>
      </c>
      <c r="I304" s="355">
        <f>FF!K621</f>
        <v>292.7</v>
      </c>
      <c r="J304" s="353">
        <f t="shared" si="29"/>
        <v>0</v>
      </c>
      <c r="K304" s="1698">
        <f>IF((J304+J305+J306+J307)&gt;(F304+F305+F306+F307),(J304+J305+J306+J307)-(F304+F305+F306+F307),0)</f>
        <v>0</v>
      </c>
      <c r="L304" s="1698">
        <f>IF((J304+J305+J306+J307)&lt;(F304+F305+F306+F307),(F304+F305+F306+F307)-(J304+J305+J306+J307),0)</f>
        <v>0</v>
      </c>
      <c r="M304" s="851" t="s">
        <v>2217</v>
      </c>
      <c r="N304" s="223"/>
      <c r="O304" s="850">
        <f t="shared" si="30"/>
        <v>0</v>
      </c>
    </row>
    <row r="305" spans="1:15" s="360" customFormat="1" ht="15" hidden="1">
      <c r="A305" s="356" t="s">
        <v>527</v>
      </c>
      <c r="B305" s="632" t="s">
        <v>481</v>
      </c>
      <c r="C305" s="611">
        <f t="shared" si="28"/>
        <v>0</v>
      </c>
      <c r="D305" s="354"/>
      <c r="E305" s="15">
        <f t="shared" ref="E305:E368" si="32">I305</f>
        <v>313.52</v>
      </c>
      <c r="F305" s="792">
        <f t="shared" si="31"/>
        <v>0</v>
      </c>
      <c r="G305" s="358">
        <f>FF!I652</f>
        <v>0</v>
      </c>
      <c r="H305" s="354" t="s">
        <v>102</v>
      </c>
      <c r="I305" s="355">
        <f>FF!K652</f>
        <v>313.52</v>
      </c>
      <c r="J305" s="353">
        <f t="shared" si="29"/>
        <v>0</v>
      </c>
      <c r="K305" s="1680"/>
      <c r="L305" s="1680"/>
      <c r="M305" s="633" t="s">
        <v>2299</v>
      </c>
      <c r="N305" s="223"/>
      <c r="O305" s="631">
        <f t="shared" si="30"/>
        <v>0</v>
      </c>
    </row>
    <row r="306" spans="1:15" s="360" customFormat="1" ht="15" hidden="1">
      <c r="A306" s="356" t="s">
        <v>516</v>
      </c>
      <c r="B306" s="632" t="s">
        <v>481</v>
      </c>
      <c r="C306" s="611">
        <f t="shared" si="28"/>
        <v>0</v>
      </c>
      <c r="D306" s="354"/>
      <c r="E306" s="15">
        <f t="shared" si="32"/>
        <v>332.3</v>
      </c>
      <c r="F306" s="792">
        <f t="shared" si="31"/>
        <v>0</v>
      </c>
      <c r="G306" s="358">
        <f>FF!I659</f>
        <v>0</v>
      </c>
      <c r="H306" s="354" t="s">
        <v>102</v>
      </c>
      <c r="I306" s="355">
        <f>FF!K659</f>
        <v>332.3</v>
      </c>
      <c r="J306" s="353">
        <f t="shared" si="29"/>
        <v>0</v>
      </c>
      <c r="K306" s="1680"/>
      <c r="L306" s="1680"/>
      <c r="M306" s="633" t="s">
        <v>2312</v>
      </c>
      <c r="N306" s="223"/>
      <c r="O306" s="631">
        <f t="shared" si="30"/>
        <v>0</v>
      </c>
    </row>
    <row r="307" spans="1:15" s="360" customFormat="1" ht="15" hidden="1">
      <c r="A307" s="356" t="s">
        <v>516</v>
      </c>
      <c r="B307" s="632" t="s">
        <v>481</v>
      </c>
      <c r="C307" s="611">
        <f t="shared" si="28"/>
        <v>0</v>
      </c>
      <c r="D307" s="354"/>
      <c r="E307" s="15">
        <f t="shared" si="32"/>
        <v>351.17</v>
      </c>
      <c r="F307" s="792">
        <f t="shared" si="31"/>
        <v>0</v>
      </c>
      <c r="G307" s="358">
        <f>FF!I678</f>
        <v>0</v>
      </c>
      <c r="H307" s="354" t="s">
        <v>102</v>
      </c>
      <c r="I307" s="355">
        <f>FF!K678</f>
        <v>351.17</v>
      </c>
      <c r="J307" s="353">
        <f t="shared" si="29"/>
        <v>0</v>
      </c>
      <c r="K307" s="1681"/>
      <c r="L307" s="1681"/>
      <c r="M307" s="633" t="s">
        <v>2313</v>
      </c>
      <c r="N307" s="223"/>
      <c r="O307" s="631">
        <f t="shared" si="30"/>
        <v>0</v>
      </c>
    </row>
    <row r="308" spans="1:15" s="360" customFormat="1" ht="15" hidden="1">
      <c r="A308" s="356" t="s">
        <v>516</v>
      </c>
      <c r="B308" s="632" t="s">
        <v>505</v>
      </c>
      <c r="C308" s="611">
        <f t="shared" si="28"/>
        <v>0</v>
      </c>
      <c r="D308" s="791"/>
      <c r="E308" s="15">
        <f t="shared" si="32"/>
        <v>265.42</v>
      </c>
      <c r="F308" s="792">
        <f t="shared" si="31"/>
        <v>0</v>
      </c>
      <c r="G308" s="358">
        <f>FF!I686</f>
        <v>0</v>
      </c>
      <c r="H308" s="354" t="s">
        <v>102</v>
      </c>
      <c r="I308" s="355">
        <f>FF!K686</f>
        <v>265.42</v>
      </c>
      <c r="J308" s="353">
        <f t="shared" si="29"/>
        <v>0</v>
      </c>
      <c r="K308" s="1679">
        <f>IF((J308+J309+J310+J311)&gt;(F308+F309+F310+F311),(J308+J309+J310+J311)-(F308+F309+F310+F311),0)</f>
        <v>0</v>
      </c>
      <c r="L308" s="1679">
        <f>IF((J308+J309+J310+J311)&lt;(F308+F309+F310+F311),(F308+F309+F310+F311)-(J308+J309+J310+J311),0)</f>
        <v>0</v>
      </c>
      <c r="M308" s="633" t="s">
        <v>2217</v>
      </c>
      <c r="N308" s="223"/>
      <c r="O308" s="631">
        <f t="shared" si="30"/>
        <v>0</v>
      </c>
    </row>
    <row r="309" spans="1:15" s="360" customFormat="1" ht="15" hidden="1">
      <c r="A309" s="356" t="s">
        <v>516</v>
      </c>
      <c r="B309" s="632" t="s">
        <v>505</v>
      </c>
      <c r="C309" s="611">
        <f t="shared" si="28"/>
        <v>0</v>
      </c>
      <c r="D309" s="354"/>
      <c r="E309" s="15">
        <f t="shared" si="32"/>
        <v>286.25</v>
      </c>
      <c r="F309" s="792">
        <f t="shared" si="31"/>
        <v>0</v>
      </c>
      <c r="G309" s="358">
        <f>FF!I694</f>
        <v>0</v>
      </c>
      <c r="H309" s="354" t="s">
        <v>102</v>
      </c>
      <c r="I309" s="355">
        <f>FF!K694</f>
        <v>286.25</v>
      </c>
      <c r="J309" s="353">
        <f t="shared" si="29"/>
        <v>0</v>
      </c>
      <c r="K309" s="1680"/>
      <c r="L309" s="1680"/>
      <c r="M309" s="633" t="s">
        <v>2299</v>
      </c>
      <c r="N309" s="223"/>
      <c r="O309" s="631">
        <f t="shared" si="30"/>
        <v>0</v>
      </c>
    </row>
    <row r="310" spans="1:15" s="360" customFormat="1" ht="15" hidden="1">
      <c r="A310" s="356" t="s">
        <v>516</v>
      </c>
      <c r="B310" s="632" t="s">
        <v>505</v>
      </c>
      <c r="C310" s="611">
        <f t="shared" si="28"/>
        <v>0</v>
      </c>
      <c r="D310" s="354"/>
      <c r="E310" s="15">
        <f t="shared" si="32"/>
        <v>304.16000000000003</v>
      </c>
      <c r="F310" s="792">
        <f t="shared" si="31"/>
        <v>0</v>
      </c>
      <c r="G310" s="358">
        <f>FF!I702</f>
        <v>0</v>
      </c>
      <c r="H310" s="354" t="s">
        <v>102</v>
      </c>
      <c r="I310" s="355">
        <f>FF!K702</f>
        <v>304.16000000000003</v>
      </c>
      <c r="J310" s="353">
        <f t="shared" si="29"/>
        <v>0</v>
      </c>
      <c r="K310" s="1680"/>
      <c r="L310" s="1680"/>
      <c r="M310" s="633" t="s">
        <v>2312</v>
      </c>
      <c r="N310" s="223"/>
      <c r="O310" s="631">
        <f t="shared" si="30"/>
        <v>0</v>
      </c>
    </row>
    <row r="311" spans="1:15" s="360" customFormat="1" ht="15" hidden="1">
      <c r="A311" s="356" t="s">
        <v>516</v>
      </c>
      <c r="B311" s="632" t="s">
        <v>505</v>
      </c>
      <c r="C311" s="611">
        <f t="shared" si="28"/>
        <v>0</v>
      </c>
      <c r="D311" s="354"/>
      <c r="E311" s="15">
        <f t="shared" si="32"/>
        <v>323.04000000000002</v>
      </c>
      <c r="F311" s="792">
        <f t="shared" si="31"/>
        <v>0</v>
      </c>
      <c r="G311" s="358">
        <f>FF!I710</f>
        <v>0</v>
      </c>
      <c r="H311" s="354" t="s">
        <v>102</v>
      </c>
      <c r="I311" s="355">
        <f>FF!K710</f>
        <v>323.04000000000002</v>
      </c>
      <c r="J311" s="353">
        <f t="shared" si="29"/>
        <v>0</v>
      </c>
      <c r="K311" s="1681"/>
      <c r="L311" s="1681"/>
      <c r="M311" s="633" t="s">
        <v>2313</v>
      </c>
      <c r="N311" s="223"/>
      <c r="O311" s="631">
        <f t="shared" si="30"/>
        <v>0</v>
      </c>
    </row>
    <row r="312" spans="1:15" s="360" customFormat="1" ht="15" hidden="1">
      <c r="A312" s="356" t="s">
        <v>517</v>
      </c>
      <c r="B312" s="632" t="s">
        <v>805</v>
      </c>
      <c r="C312" s="611">
        <f t="shared" si="28"/>
        <v>0</v>
      </c>
      <c r="D312" s="354"/>
      <c r="E312" s="15">
        <f t="shared" si="32"/>
        <v>283.27999999999997</v>
      </c>
      <c r="F312" s="792">
        <f t="shared" si="31"/>
        <v>0</v>
      </c>
      <c r="G312" s="358">
        <f>FF!I718</f>
        <v>0</v>
      </c>
      <c r="H312" s="354" t="s">
        <v>102</v>
      </c>
      <c r="I312" s="355">
        <f>FF!K718</f>
        <v>283.27999999999997</v>
      </c>
      <c r="J312" s="353">
        <f t="shared" si="29"/>
        <v>0</v>
      </c>
      <c r="K312" s="1679">
        <f>IF((J312+J313+J314+J315)&gt;(F312+F313+F314+F315),(J312+J313+J314+J315)-(F312+F313+F314+F315),0)</f>
        <v>0</v>
      </c>
      <c r="L312" s="1679">
        <f>IF((J312+J313+J314+J315)&lt;(F312+F313+F314+F315),(F312+F313+F314+F315)-(J312+J313+J314+J315),0)</f>
        <v>0</v>
      </c>
      <c r="M312" s="633" t="s">
        <v>2217</v>
      </c>
      <c r="N312" s="223"/>
      <c r="O312" s="631">
        <f t="shared" si="30"/>
        <v>0</v>
      </c>
    </row>
    <row r="313" spans="1:15" s="360" customFormat="1" ht="15" hidden="1">
      <c r="A313" s="356" t="s">
        <v>517</v>
      </c>
      <c r="B313" s="632" t="s">
        <v>805</v>
      </c>
      <c r="C313" s="611">
        <f t="shared" si="28"/>
        <v>0</v>
      </c>
      <c r="D313" s="354"/>
      <c r="E313" s="15">
        <f t="shared" si="32"/>
        <v>304.66000000000003</v>
      </c>
      <c r="F313" s="792">
        <f t="shared" si="31"/>
        <v>0</v>
      </c>
      <c r="G313" s="358">
        <f>FF!I726</f>
        <v>0</v>
      </c>
      <c r="H313" s="354" t="s">
        <v>102</v>
      </c>
      <c r="I313" s="355">
        <f>FF!K726</f>
        <v>304.66000000000003</v>
      </c>
      <c r="J313" s="353">
        <f t="shared" si="29"/>
        <v>0</v>
      </c>
      <c r="K313" s="1680"/>
      <c r="L313" s="1680"/>
      <c r="M313" s="633" t="s">
        <v>2299</v>
      </c>
      <c r="N313" s="223"/>
      <c r="O313" s="631">
        <f t="shared" si="30"/>
        <v>0</v>
      </c>
    </row>
    <row r="314" spans="1:15" s="360" customFormat="1" ht="15" hidden="1">
      <c r="A314" s="356" t="s">
        <v>517</v>
      </c>
      <c r="B314" s="632" t="s">
        <v>805</v>
      </c>
      <c r="C314" s="611">
        <f t="shared" si="28"/>
        <v>0</v>
      </c>
      <c r="D314" s="354"/>
      <c r="E314" s="15">
        <f t="shared" si="32"/>
        <v>323.85000000000002</v>
      </c>
      <c r="F314" s="792">
        <f t="shared" si="31"/>
        <v>0</v>
      </c>
      <c r="G314" s="358">
        <f>FF!I734</f>
        <v>0</v>
      </c>
      <c r="H314" s="354" t="s">
        <v>102</v>
      </c>
      <c r="I314" s="355">
        <f>FF!K734</f>
        <v>323.85000000000002</v>
      </c>
      <c r="J314" s="353">
        <f t="shared" si="29"/>
        <v>0</v>
      </c>
      <c r="K314" s="1680"/>
      <c r="L314" s="1680"/>
      <c r="M314" s="633" t="s">
        <v>2312</v>
      </c>
      <c r="N314" s="223"/>
      <c r="O314" s="631">
        <f t="shared" si="30"/>
        <v>0</v>
      </c>
    </row>
    <row r="315" spans="1:15" s="360" customFormat="1" ht="15" hidden="1">
      <c r="A315" s="356" t="s">
        <v>517</v>
      </c>
      <c r="B315" s="632" t="s">
        <v>805</v>
      </c>
      <c r="C315" s="611">
        <f t="shared" si="28"/>
        <v>0</v>
      </c>
      <c r="D315" s="354"/>
      <c r="E315" s="15">
        <f t="shared" si="32"/>
        <v>343.23</v>
      </c>
      <c r="F315" s="792">
        <f t="shared" si="31"/>
        <v>0</v>
      </c>
      <c r="G315" s="358">
        <f>FF!I742</f>
        <v>0</v>
      </c>
      <c r="H315" s="354" t="s">
        <v>102</v>
      </c>
      <c r="I315" s="355">
        <f>FF!K742</f>
        <v>343.23</v>
      </c>
      <c r="J315" s="353">
        <f t="shared" si="29"/>
        <v>0</v>
      </c>
      <c r="K315" s="1681"/>
      <c r="L315" s="1681"/>
      <c r="M315" s="633" t="s">
        <v>2313</v>
      </c>
      <c r="N315" s="223"/>
      <c r="O315" s="631">
        <f t="shared" si="30"/>
        <v>0</v>
      </c>
    </row>
    <row r="316" spans="1:15" s="360" customFormat="1" ht="51" hidden="1">
      <c r="A316" s="356" t="s">
        <v>1518</v>
      </c>
      <c r="B316" s="632" t="s">
        <v>3196</v>
      </c>
      <c r="C316" s="611">
        <f t="shared" si="28"/>
        <v>0</v>
      </c>
      <c r="D316" s="791" t="s">
        <v>102</v>
      </c>
      <c r="E316" s="10">
        <f t="shared" si="32"/>
        <v>348.66</v>
      </c>
      <c r="F316" s="792">
        <f t="shared" si="31"/>
        <v>0</v>
      </c>
      <c r="G316" s="358">
        <f>FF!I770</f>
        <v>0</v>
      </c>
      <c r="H316" s="354" t="s">
        <v>102</v>
      </c>
      <c r="I316" s="355">
        <f>FF!K770</f>
        <v>348.66</v>
      </c>
      <c r="J316" s="353">
        <f t="shared" si="29"/>
        <v>0</v>
      </c>
      <c r="K316" s="1698">
        <f>IF((J316+J317+J318+J319)&gt;(F316+F317+F318+F319),(J316+J317+J318+J319)-(F316+F317+F318+F319),0)</f>
        <v>0</v>
      </c>
      <c r="L316" s="1698">
        <f>IF((J316+J317+J318+J319)&lt;(F316+F317+F318+F319),(F316+F317+F318+F319)-(J316+J317+J318+J319),0)</f>
        <v>0</v>
      </c>
      <c r="M316" s="851" t="s">
        <v>2217</v>
      </c>
      <c r="N316" s="223"/>
      <c r="O316" s="850">
        <f t="shared" si="30"/>
        <v>0</v>
      </c>
    </row>
    <row r="317" spans="1:15" s="360" customFormat="1" ht="15" hidden="1">
      <c r="A317" s="356" t="s">
        <v>1579</v>
      </c>
      <c r="B317" s="632" t="s">
        <v>830</v>
      </c>
      <c r="C317" s="611">
        <f t="shared" si="28"/>
        <v>0</v>
      </c>
      <c r="D317" s="354"/>
      <c r="E317" s="15">
        <f t="shared" si="32"/>
        <v>376.98</v>
      </c>
      <c r="F317" s="792">
        <f t="shared" si="31"/>
        <v>0</v>
      </c>
      <c r="G317" s="358">
        <f>FF!I823</f>
        <v>0</v>
      </c>
      <c r="H317" s="354" t="s">
        <v>102</v>
      </c>
      <c r="I317" s="355">
        <f>FF!K823</f>
        <v>376.98</v>
      </c>
      <c r="J317" s="353">
        <f t="shared" si="29"/>
        <v>0</v>
      </c>
      <c r="K317" s="1680"/>
      <c r="L317" s="1680"/>
      <c r="M317" s="633" t="s">
        <v>2299</v>
      </c>
      <c r="N317" s="223"/>
      <c r="O317" s="631">
        <f t="shared" si="30"/>
        <v>0</v>
      </c>
    </row>
    <row r="318" spans="1:15" s="360" customFormat="1" ht="15" hidden="1">
      <c r="A318" s="356" t="s">
        <v>518</v>
      </c>
      <c r="B318" s="632" t="s">
        <v>830</v>
      </c>
      <c r="C318" s="611">
        <f t="shared" si="28"/>
        <v>0</v>
      </c>
      <c r="D318" s="354"/>
      <c r="E318" s="15">
        <f t="shared" si="32"/>
        <v>400.13</v>
      </c>
      <c r="F318" s="792">
        <f t="shared" si="31"/>
        <v>0</v>
      </c>
      <c r="G318" s="358">
        <f>FF!I830</f>
        <v>0</v>
      </c>
      <c r="H318" s="354" t="s">
        <v>102</v>
      </c>
      <c r="I318" s="355">
        <f>FF!K830</f>
        <v>400.13</v>
      </c>
      <c r="J318" s="353">
        <f t="shared" si="29"/>
        <v>0</v>
      </c>
      <c r="K318" s="1680"/>
      <c r="L318" s="1680"/>
      <c r="M318" s="633" t="s">
        <v>2312</v>
      </c>
      <c r="N318" s="223"/>
      <c r="O318" s="631">
        <f t="shared" si="30"/>
        <v>0</v>
      </c>
    </row>
    <row r="319" spans="1:15" s="360" customFormat="1" ht="15" hidden="1">
      <c r="A319" s="356" t="s">
        <v>518</v>
      </c>
      <c r="B319" s="632" t="s">
        <v>830</v>
      </c>
      <c r="C319" s="611">
        <f t="shared" si="28"/>
        <v>0</v>
      </c>
      <c r="D319" s="354"/>
      <c r="E319" s="15">
        <f t="shared" si="32"/>
        <v>425.82</v>
      </c>
      <c r="F319" s="792">
        <f t="shared" si="31"/>
        <v>0</v>
      </c>
      <c r="G319" s="358">
        <f>FF!I858</f>
        <v>0</v>
      </c>
      <c r="H319" s="354" t="s">
        <v>102</v>
      </c>
      <c r="I319" s="355">
        <f>FF!K858</f>
        <v>425.82</v>
      </c>
      <c r="J319" s="353">
        <f t="shared" si="29"/>
        <v>0</v>
      </c>
      <c r="K319" s="1681"/>
      <c r="L319" s="1681"/>
      <c r="M319" s="633" t="s">
        <v>2313</v>
      </c>
      <c r="N319" s="223"/>
      <c r="O319" s="631">
        <f t="shared" si="30"/>
        <v>0</v>
      </c>
    </row>
    <row r="320" spans="1:15" s="360" customFormat="1" ht="51" hidden="1">
      <c r="A320" s="356" t="s">
        <v>1519</v>
      </c>
      <c r="B320" s="632" t="s">
        <v>3197</v>
      </c>
      <c r="C320" s="611">
        <f t="shared" si="28"/>
        <v>0</v>
      </c>
      <c r="D320" s="791" t="s">
        <v>102</v>
      </c>
      <c r="E320" s="10">
        <f t="shared" si="32"/>
        <v>362.01</v>
      </c>
      <c r="F320" s="792">
        <f t="shared" si="31"/>
        <v>0</v>
      </c>
      <c r="G320" s="358">
        <f>FF!I865</f>
        <v>0</v>
      </c>
      <c r="H320" s="354" t="s">
        <v>102</v>
      </c>
      <c r="I320" s="355">
        <f>FF!K865</f>
        <v>362.01</v>
      </c>
      <c r="J320" s="353">
        <f t="shared" si="29"/>
        <v>0</v>
      </c>
      <c r="K320" s="1679">
        <f>IF((J320+J321+J322+J323)&gt;(F320+F321+F322+F323),(J320+J321+J322+J323)-(F320+F321+F322+F323),0)</f>
        <v>0</v>
      </c>
      <c r="L320" s="1679">
        <f>IF((J320+J321+J322+J323)&lt;(F320+F321+F322+F323),(F320+F321+F322+F323)-(J320+J321+J322+J323),0)</f>
        <v>0</v>
      </c>
      <c r="M320" s="851" t="s">
        <v>2217</v>
      </c>
      <c r="N320" s="223"/>
      <c r="O320" s="850">
        <f t="shared" si="30"/>
        <v>0</v>
      </c>
    </row>
    <row r="321" spans="1:15" s="360" customFormat="1" ht="15" hidden="1">
      <c r="A321" s="356" t="s">
        <v>530</v>
      </c>
      <c r="B321" s="632" t="s">
        <v>541</v>
      </c>
      <c r="C321" s="611">
        <f t="shared" si="28"/>
        <v>0</v>
      </c>
      <c r="D321" s="354"/>
      <c r="E321" s="15">
        <f t="shared" si="32"/>
        <v>390.9</v>
      </c>
      <c r="F321" s="792">
        <f t="shared" si="31"/>
        <v>0</v>
      </c>
      <c r="G321" s="358">
        <f>FF!I890</f>
        <v>0</v>
      </c>
      <c r="H321" s="354" t="s">
        <v>102</v>
      </c>
      <c r="I321" s="355">
        <f>FF!K890</f>
        <v>390.9</v>
      </c>
      <c r="J321" s="353">
        <f t="shared" si="29"/>
        <v>0</v>
      </c>
      <c r="K321" s="1680"/>
      <c r="L321" s="1680"/>
      <c r="M321" s="633" t="s">
        <v>2299</v>
      </c>
      <c r="N321" s="223"/>
      <c r="O321" s="631">
        <f t="shared" si="30"/>
        <v>0</v>
      </c>
    </row>
    <row r="322" spans="1:15" s="360" customFormat="1" ht="15" hidden="1">
      <c r="A322" s="356" t="s">
        <v>520</v>
      </c>
      <c r="B322" s="632" t="s">
        <v>541</v>
      </c>
      <c r="C322" s="611">
        <f t="shared" si="28"/>
        <v>0</v>
      </c>
      <c r="D322" s="354"/>
      <c r="E322" s="15">
        <f t="shared" si="32"/>
        <v>415.44</v>
      </c>
      <c r="F322" s="792">
        <f t="shared" si="31"/>
        <v>0</v>
      </c>
      <c r="G322" s="358">
        <f>FF!I897</f>
        <v>0</v>
      </c>
      <c r="H322" s="354" t="s">
        <v>102</v>
      </c>
      <c r="I322" s="355">
        <f>FF!K897</f>
        <v>415.44</v>
      </c>
      <c r="J322" s="353">
        <f t="shared" si="29"/>
        <v>0</v>
      </c>
      <c r="K322" s="1680"/>
      <c r="L322" s="1680"/>
      <c r="M322" s="633" t="s">
        <v>2312</v>
      </c>
      <c r="N322" s="223"/>
      <c r="O322" s="631">
        <f t="shared" si="30"/>
        <v>0</v>
      </c>
    </row>
    <row r="323" spans="1:15" s="360" customFormat="1" ht="51" hidden="1">
      <c r="A323" s="356" t="s">
        <v>1518</v>
      </c>
      <c r="B323" s="632" t="s">
        <v>3197</v>
      </c>
      <c r="C323" s="611">
        <f t="shared" si="28"/>
        <v>0</v>
      </c>
      <c r="D323" s="354"/>
      <c r="E323" s="10">
        <f t="shared" si="32"/>
        <v>441.63</v>
      </c>
      <c r="F323" s="792">
        <f t="shared" si="31"/>
        <v>0</v>
      </c>
      <c r="G323" s="358">
        <f>FF!I904</f>
        <v>0</v>
      </c>
      <c r="H323" s="354" t="s">
        <v>102</v>
      </c>
      <c r="I323" s="355">
        <f>FF!K904</f>
        <v>441.63</v>
      </c>
      <c r="J323" s="353">
        <f t="shared" si="29"/>
        <v>0</v>
      </c>
      <c r="K323" s="1695"/>
      <c r="L323" s="1695"/>
      <c r="M323" s="851" t="s">
        <v>2313</v>
      </c>
      <c r="N323" s="223"/>
      <c r="O323" s="850">
        <f t="shared" si="30"/>
        <v>0</v>
      </c>
    </row>
    <row r="324" spans="1:15" s="360" customFormat="1" ht="15" hidden="1">
      <c r="A324" s="356" t="s">
        <v>503</v>
      </c>
      <c r="B324" s="632" t="s">
        <v>2071</v>
      </c>
      <c r="C324" s="611">
        <f t="shared" si="28"/>
        <v>0</v>
      </c>
      <c r="D324" s="354"/>
      <c r="E324" s="15">
        <f t="shared" si="32"/>
        <v>5049.2099999999991</v>
      </c>
      <c r="F324" s="792">
        <f t="shared" si="31"/>
        <v>0</v>
      </c>
      <c r="G324" s="358">
        <f>FF!I911</f>
        <v>0</v>
      </c>
      <c r="H324" s="354" t="s">
        <v>5</v>
      </c>
      <c r="I324" s="355">
        <f>FF!K911</f>
        <v>5049.2099999999991</v>
      </c>
      <c r="J324" s="353">
        <f t="shared" si="29"/>
        <v>0</v>
      </c>
      <c r="K324" s="1679">
        <f>IF((J324+J325+J326+J327)&gt;(F324+F325+F326+F327),(J324+J325+J326+J327)-(F324+F325+F326+F327),0)</f>
        <v>0</v>
      </c>
      <c r="L324" s="1679">
        <f>IF((J324+J325+J326+J327)&lt;(F324+F325+F326+F327),(F324+F325+F326+F327)-(J324+J325+J326+J327),0)</f>
        <v>0</v>
      </c>
      <c r="M324" s="633" t="s">
        <v>2217</v>
      </c>
      <c r="N324" s="223"/>
      <c r="O324" s="631">
        <f t="shared" si="30"/>
        <v>0</v>
      </c>
    </row>
    <row r="325" spans="1:15" s="360" customFormat="1" ht="15" hidden="1">
      <c r="A325" s="356" t="s">
        <v>503</v>
      </c>
      <c r="B325" s="632" t="s">
        <v>2071</v>
      </c>
      <c r="C325" s="611">
        <f t="shared" si="28"/>
        <v>0</v>
      </c>
      <c r="D325" s="354"/>
      <c r="E325" s="15">
        <f t="shared" si="32"/>
        <v>5224.6200000000008</v>
      </c>
      <c r="F325" s="792">
        <f t="shared" si="31"/>
        <v>0</v>
      </c>
      <c r="G325" s="358">
        <f>FF!I918</f>
        <v>0</v>
      </c>
      <c r="H325" s="354" t="s">
        <v>5</v>
      </c>
      <c r="I325" s="355">
        <f>FF!K918</f>
        <v>5224.6200000000008</v>
      </c>
      <c r="J325" s="353">
        <f t="shared" si="29"/>
        <v>0</v>
      </c>
      <c r="K325" s="1680"/>
      <c r="L325" s="1680"/>
      <c r="M325" s="633" t="s">
        <v>2299</v>
      </c>
      <c r="N325" s="223"/>
      <c r="O325" s="631">
        <f t="shared" si="30"/>
        <v>0</v>
      </c>
    </row>
    <row r="326" spans="1:15" s="360" customFormat="1" ht="15" hidden="1">
      <c r="A326" s="356" t="s">
        <v>503</v>
      </c>
      <c r="B326" s="632" t="s">
        <v>2071</v>
      </c>
      <c r="C326" s="611">
        <f t="shared" si="28"/>
        <v>0</v>
      </c>
      <c r="D326" s="354"/>
      <c r="E326" s="15">
        <f t="shared" si="32"/>
        <v>5464.2000000000007</v>
      </c>
      <c r="F326" s="792">
        <f t="shared" si="31"/>
        <v>0</v>
      </c>
      <c r="G326" s="358">
        <f>FF!I925</f>
        <v>0</v>
      </c>
      <c r="H326" s="354" t="s">
        <v>5</v>
      </c>
      <c r="I326" s="355">
        <f>FF!K925</f>
        <v>5464.2000000000007</v>
      </c>
      <c r="J326" s="353">
        <f t="shared" si="29"/>
        <v>0</v>
      </c>
      <c r="K326" s="1680"/>
      <c r="L326" s="1680"/>
      <c r="M326" s="633" t="s">
        <v>2312</v>
      </c>
      <c r="N326" s="223"/>
      <c r="O326" s="631">
        <f t="shared" si="30"/>
        <v>0</v>
      </c>
    </row>
    <row r="327" spans="1:15" s="360" customFormat="1" ht="15" hidden="1">
      <c r="A327" s="356" t="s">
        <v>503</v>
      </c>
      <c r="B327" s="632" t="s">
        <v>2071</v>
      </c>
      <c r="C327" s="611">
        <f t="shared" si="28"/>
        <v>0</v>
      </c>
      <c r="D327" s="354"/>
      <c r="E327" s="15">
        <f t="shared" si="32"/>
        <v>5722.81</v>
      </c>
      <c r="F327" s="792">
        <f t="shared" si="31"/>
        <v>0</v>
      </c>
      <c r="G327" s="358">
        <f>FF!I932</f>
        <v>0</v>
      </c>
      <c r="H327" s="354" t="s">
        <v>5</v>
      </c>
      <c r="I327" s="355">
        <f>FF!K932</f>
        <v>5722.81</v>
      </c>
      <c r="J327" s="353">
        <f t="shared" si="29"/>
        <v>0</v>
      </c>
      <c r="K327" s="1681"/>
      <c r="L327" s="1681"/>
      <c r="M327" s="633" t="s">
        <v>2313</v>
      </c>
      <c r="N327" s="223"/>
      <c r="O327" s="631">
        <f t="shared" si="30"/>
        <v>0</v>
      </c>
    </row>
    <row r="328" spans="1:15" s="360" customFormat="1" ht="63.75" hidden="1">
      <c r="A328" s="356" t="s">
        <v>510</v>
      </c>
      <c r="B328" s="632" t="s">
        <v>3198</v>
      </c>
      <c r="C328" s="611">
        <f t="shared" si="28"/>
        <v>0</v>
      </c>
      <c r="D328" s="791" t="s">
        <v>102</v>
      </c>
      <c r="E328" s="15">
        <f t="shared" si="32"/>
        <v>1020.01</v>
      </c>
      <c r="F328" s="792">
        <f t="shared" si="31"/>
        <v>0</v>
      </c>
      <c r="G328" s="358">
        <f>FF!I939</f>
        <v>0</v>
      </c>
      <c r="H328" s="354" t="s">
        <v>102</v>
      </c>
      <c r="I328" s="355">
        <f>FF!K939</f>
        <v>1020.01</v>
      </c>
      <c r="J328" s="353">
        <f t="shared" si="29"/>
        <v>0</v>
      </c>
      <c r="K328" s="1679">
        <f>IF((J328+J329+J330+J331)&gt;(F328+F329+F330+F331),(J328+J329+J330+J331)-(F328+F329+F330+F331),0)</f>
        <v>0</v>
      </c>
      <c r="L328" s="1679">
        <f>IF((J328+J329+J330+J331)&lt;(F328+F329+F330+F331),(F328+F329+F330+F331)-(J328+J329+J330+J331),0)</f>
        <v>0</v>
      </c>
      <c r="M328" s="633" t="s">
        <v>2217</v>
      </c>
      <c r="N328" s="223"/>
      <c r="O328" s="631">
        <f t="shared" si="30"/>
        <v>0</v>
      </c>
    </row>
    <row r="329" spans="1:15" s="360" customFormat="1" ht="15" hidden="1">
      <c r="A329" s="356" t="s">
        <v>532</v>
      </c>
      <c r="B329" s="632" t="s">
        <v>507</v>
      </c>
      <c r="C329" s="611">
        <f t="shared" si="28"/>
        <v>0</v>
      </c>
      <c r="D329" s="354"/>
      <c r="E329" s="15">
        <f t="shared" si="32"/>
        <v>1051.0899999999999</v>
      </c>
      <c r="F329" s="792">
        <f t="shared" si="31"/>
        <v>0</v>
      </c>
      <c r="G329" s="358">
        <f>FF!I949</f>
        <v>0</v>
      </c>
      <c r="H329" s="354" t="s">
        <v>102</v>
      </c>
      <c r="I329" s="355">
        <f>FF!K949</f>
        <v>1051.0899999999999</v>
      </c>
      <c r="J329" s="353">
        <f t="shared" si="29"/>
        <v>0</v>
      </c>
      <c r="K329" s="1680"/>
      <c r="L329" s="1680"/>
      <c r="M329" s="633" t="s">
        <v>2299</v>
      </c>
      <c r="N329" s="223"/>
      <c r="O329" s="631">
        <f t="shared" si="30"/>
        <v>0</v>
      </c>
    </row>
    <row r="330" spans="1:15" s="360" customFormat="1" ht="15" hidden="1">
      <c r="A330" s="356" t="s">
        <v>522</v>
      </c>
      <c r="B330" s="632" t="s">
        <v>507</v>
      </c>
      <c r="C330" s="611">
        <f t="shared" ref="C330:C393" si="33">G330</f>
        <v>0</v>
      </c>
      <c r="D330" s="354"/>
      <c r="E330" s="15">
        <f t="shared" si="32"/>
        <v>1074.81</v>
      </c>
      <c r="F330" s="792">
        <f t="shared" si="31"/>
        <v>0</v>
      </c>
      <c r="G330" s="358">
        <f>FF!I956</f>
        <v>0</v>
      </c>
      <c r="H330" s="354" t="s">
        <v>102</v>
      </c>
      <c r="I330" s="355">
        <f>FF!K956</f>
        <v>1074.81</v>
      </c>
      <c r="J330" s="353">
        <f t="shared" ref="J330:J393" si="34">ROUND(G330*I330,2)</f>
        <v>0</v>
      </c>
      <c r="K330" s="1680"/>
      <c r="L330" s="1680"/>
      <c r="M330" s="633" t="s">
        <v>2312</v>
      </c>
      <c r="N330" s="223"/>
      <c r="O330" s="631">
        <f t="shared" si="30"/>
        <v>0</v>
      </c>
    </row>
    <row r="331" spans="1:15" s="360" customFormat="1" ht="15" hidden="1">
      <c r="A331" s="356" t="s">
        <v>522</v>
      </c>
      <c r="B331" s="632" t="s">
        <v>507</v>
      </c>
      <c r="C331" s="611">
        <f t="shared" si="33"/>
        <v>0</v>
      </c>
      <c r="D331" s="354"/>
      <c r="E331" s="15">
        <f t="shared" si="32"/>
        <v>1103.3900000000001</v>
      </c>
      <c r="F331" s="792">
        <f t="shared" si="31"/>
        <v>0</v>
      </c>
      <c r="G331" s="358">
        <f>FF!I963</f>
        <v>0</v>
      </c>
      <c r="H331" s="354" t="s">
        <v>102</v>
      </c>
      <c r="I331" s="355">
        <f>FF!K963</f>
        <v>1103.3900000000001</v>
      </c>
      <c r="J331" s="353">
        <f t="shared" si="34"/>
        <v>0</v>
      </c>
      <c r="K331" s="1681"/>
      <c r="L331" s="1681"/>
      <c r="M331" s="633" t="s">
        <v>2313</v>
      </c>
      <c r="N331" s="223"/>
      <c r="O331" s="631">
        <f t="shared" si="30"/>
        <v>0</v>
      </c>
    </row>
    <row r="332" spans="1:15" s="360" customFormat="1" ht="63.75" hidden="1">
      <c r="A332" s="356" t="s">
        <v>1520</v>
      </c>
      <c r="B332" s="632" t="s">
        <v>3199</v>
      </c>
      <c r="C332" s="611">
        <f t="shared" si="33"/>
        <v>0</v>
      </c>
      <c r="D332" s="791" t="s">
        <v>102</v>
      </c>
      <c r="E332" s="15">
        <f t="shared" si="32"/>
        <v>1015.94</v>
      </c>
      <c r="F332" s="792">
        <f t="shared" si="31"/>
        <v>0</v>
      </c>
      <c r="G332" s="358">
        <f>FF!I970</f>
        <v>0</v>
      </c>
      <c r="H332" s="354" t="s">
        <v>102</v>
      </c>
      <c r="I332" s="355">
        <f>FF!K970</f>
        <v>1015.94</v>
      </c>
      <c r="J332" s="353">
        <f t="shared" si="34"/>
        <v>0</v>
      </c>
      <c r="K332" s="1679">
        <f>IF((J332+J333+J334+J335)&gt;(F332+F333+F334+F335),(J332+J333+J334+J335)-(F332+F333+F334+F335),0)</f>
        <v>0</v>
      </c>
      <c r="L332" s="1679">
        <f>IF((J332+J333+J334+J335)&lt;(F332+F333+F334+F335),(F332+F333+F334+F335)-(J332+J333+J334+J335),0)</f>
        <v>0</v>
      </c>
      <c r="M332" s="633" t="s">
        <v>2217</v>
      </c>
      <c r="N332" s="223"/>
      <c r="O332" s="631">
        <f t="shared" ref="O332:O395" si="35">F332-J332</f>
        <v>0</v>
      </c>
    </row>
    <row r="333" spans="1:15" s="360" customFormat="1" ht="15" hidden="1">
      <c r="A333" s="356" t="s">
        <v>533</v>
      </c>
      <c r="B333" s="632" t="s">
        <v>509</v>
      </c>
      <c r="C333" s="611">
        <f t="shared" si="33"/>
        <v>0</v>
      </c>
      <c r="D333" s="354"/>
      <c r="E333" s="15">
        <f t="shared" si="32"/>
        <v>1046.76</v>
      </c>
      <c r="F333" s="792">
        <f t="shared" si="31"/>
        <v>0</v>
      </c>
      <c r="G333" s="358">
        <f>FF!I988</f>
        <v>0</v>
      </c>
      <c r="H333" s="354" t="s">
        <v>102</v>
      </c>
      <c r="I333" s="355">
        <f>FF!K988</f>
        <v>1046.76</v>
      </c>
      <c r="J333" s="353">
        <f t="shared" si="34"/>
        <v>0</v>
      </c>
      <c r="K333" s="1680"/>
      <c r="L333" s="1680"/>
      <c r="M333" s="633" t="s">
        <v>2299</v>
      </c>
      <c r="N333" s="223"/>
      <c r="O333" s="631">
        <f t="shared" si="35"/>
        <v>0</v>
      </c>
    </row>
    <row r="334" spans="1:15" s="360" customFormat="1" ht="15" hidden="1">
      <c r="A334" s="356" t="s">
        <v>525</v>
      </c>
      <c r="B334" s="632" t="s">
        <v>509</v>
      </c>
      <c r="C334" s="611">
        <f t="shared" si="33"/>
        <v>0</v>
      </c>
      <c r="D334" s="354"/>
      <c r="E334" s="15">
        <f t="shared" si="32"/>
        <v>1069.8699999999999</v>
      </c>
      <c r="F334" s="792">
        <f t="shared" si="31"/>
        <v>0</v>
      </c>
      <c r="G334" s="358">
        <f>FF!I995</f>
        <v>0</v>
      </c>
      <c r="H334" s="354" t="s">
        <v>102</v>
      </c>
      <c r="I334" s="355">
        <f>FF!K995</f>
        <v>1069.8699999999999</v>
      </c>
      <c r="J334" s="353">
        <f t="shared" si="34"/>
        <v>0</v>
      </c>
      <c r="K334" s="1680"/>
      <c r="L334" s="1680"/>
      <c r="M334" s="633" t="s">
        <v>2312</v>
      </c>
      <c r="N334" s="223"/>
      <c r="O334" s="631">
        <f t="shared" si="35"/>
        <v>0</v>
      </c>
    </row>
    <row r="335" spans="1:15" s="360" customFormat="1" ht="15" hidden="1">
      <c r="A335" s="356" t="s">
        <v>525</v>
      </c>
      <c r="B335" s="632" t="s">
        <v>509</v>
      </c>
      <c r="C335" s="611">
        <f t="shared" si="33"/>
        <v>0</v>
      </c>
      <c r="D335" s="354"/>
      <c r="E335" s="15">
        <f t="shared" si="32"/>
        <v>1098.05</v>
      </c>
      <c r="F335" s="792">
        <f t="shared" si="31"/>
        <v>0</v>
      </c>
      <c r="G335" s="358">
        <f>FF!I1002</f>
        <v>0</v>
      </c>
      <c r="H335" s="354" t="s">
        <v>102</v>
      </c>
      <c r="I335" s="355">
        <f>FF!K1002</f>
        <v>1098.05</v>
      </c>
      <c r="J335" s="353">
        <f t="shared" si="34"/>
        <v>0</v>
      </c>
      <c r="K335" s="1681"/>
      <c r="L335" s="1681"/>
      <c r="M335" s="633" t="s">
        <v>2313</v>
      </c>
      <c r="N335" s="223"/>
      <c r="O335" s="631">
        <f t="shared" si="35"/>
        <v>0</v>
      </c>
    </row>
    <row r="336" spans="1:15" s="360" customFormat="1" ht="15" hidden="1">
      <c r="A336" s="356" t="s">
        <v>526</v>
      </c>
      <c r="B336" s="632" t="s">
        <v>708</v>
      </c>
      <c r="C336" s="611">
        <f t="shared" si="33"/>
        <v>0</v>
      </c>
      <c r="D336" s="354"/>
      <c r="E336" s="15">
        <f t="shared" si="32"/>
        <v>2881.3</v>
      </c>
      <c r="F336" s="792">
        <f t="shared" si="31"/>
        <v>0</v>
      </c>
      <c r="G336" s="358">
        <f>FF!I1009</f>
        <v>0</v>
      </c>
      <c r="H336" s="354" t="s">
        <v>77</v>
      </c>
      <c r="I336" s="355">
        <f>FF!K1009</f>
        <v>2881.3</v>
      </c>
      <c r="J336" s="353">
        <f t="shared" si="34"/>
        <v>0</v>
      </c>
      <c r="K336" s="1679">
        <f>IF((J336+J337+J338+J339)&gt;(F336+F337+F338+F339),(J336+J337+J338+J339)-(F336+F337+F338+F339),0)</f>
        <v>0</v>
      </c>
      <c r="L336" s="1679">
        <f>IF((J336+J337+J338+J339)&lt;(F336+F337+F338+F339),(F336+F337+F338+F339)-(J336+J337+J338+J339),0)</f>
        <v>0</v>
      </c>
      <c r="M336" s="633" t="s">
        <v>2217</v>
      </c>
      <c r="N336" s="223"/>
      <c r="O336" s="631">
        <f t="shared" si="35"/>
        <v>0</v>
      </c>
    </row>
    <row r="337" spans="1:15" s="360" customFormat="1" ht="15" hidden="1">
      <c r="A337" s="356" t="s">
        <v>534</v>
      </c>
      <c r="B337" s="632" t="s">
        <v>708</v>
      </c>
      <c r="C337" s="611">
        <f t="shared" si="33"/>
        <v>0</v>
      </c>
      <c r="D337" s="354"/>
      <c r="E337" s="15">
        <f t="shared" si="32"/>
        <v>2944.91</v>
      </c>
      <c r="F337" s="792">
        <f t="shared" si="31"/>
        <v>0</v>
      </c>
      <c r="G337" s="358">
        <f>FF!I1017</f>
        <v>0</v>
      </c>
      <c r="H337" s="354" t="s">
        <v>77</v>
      </c>
      <c r="I337" s="355">
        <f>FF!K1017</f>
        <v>2944.91</v>
      </c>
      <c r="J337" s="353">
        <f t="shared" si="34"/>
        <v>0</v>
      </c>
      <c r="K337" s="1680"/>
      <c r="L337" s="1680"/>
      <c r="M337" s="633" t="s">
        <v>2299</v>
      </c>
      <c r="N337" s="223"/>
      <c r="O337" s="631">
        <f t="shared" si="35"/>
        <v>0</v>
      </c>
    </row>
    <row r="338" spans="1:15" s="360" customFormat="1" ht="15" hidden="1">
      <c r="A338" s="356" t="s">
        <v>526</v>
      </c>
      <c r="B338" s="632" t="s">
        <v>708</v>
      </c>
      <c r="C338" s="611">
        <f t="shared" si="33"/>
        <v>0</v>
      </c>
      <c r="D338" s="354"/>
      <c r="E338" s="15">
        <f t="shared" si="32"/>
        <v>3004.62</v>
      </c>
      <c r="F338" s="792">
        <f t="shared" si="31"/>
        <v>0</v>
      </c>
      <c r="G338" s="358">
        <f>FF!I1024</f>
        <v>0</v>
      </c>
      <c r="H338" s="354" t="s">
        <v>77</v>
      </c>
      <c r="I338" s="355">
        <f>FF!K1024</f>
        <v>3004.62</v>
      </c>
      <c r="J338" s="353">
        <f t="shared" si="34"/>
        <v>0</v>
      </c>
      <c r="K338" s="1680"/>
      <c r="L338" s="1680"/>
      <c r="M338" s="633" t="s">
        <v>2312</v>
      </c>
      <c r="N338" s="223"/>
      <c r="O338" s="631">
        <f t="shared" si="35"/>
        <v>0</v>
      </c>
    </row>
    <row r="339" spans="1:15" s="360" customFormat="1" ht="63.75" hidden="1">
      <c r="A339" s="356" t="s">
        <v>497</v>
      </c>
      <c r="B339" s="632" t="s">
        <v>3200</v>
      </c>
      <c r="C339" s="611">
        <f t="shared" si="33"/>
        <v>0</v>
      </c>
      <c r="D339" s="354" t="s">
        <v>102</v>
      </c>
      <c r="E339" s="10">
        <f t="shared" si="32"/>
        <v>3181.62</v>
      </c>
      <c r="F339" s="792">
        <f t="shared" si="31"/>
        <v>0</v>
      </c>
      <c r="G339" s="358">
        <f>FF!I1041</f>
        <v>0</v>
      </c>
      <c r="H339" s="354" t="s">
        <v>77</v>
      </c>
      <c r="I339" s="355">
        <f>FF!K1041</f>
        <v>3181.62</v>
      </c>
      <c r="J339" s="353">
        <f t="shared" si="34"/>
        <v>0</v>
      </c>
      <c r="K339" s="1695"/>
      <c r="L339" s="1695"/>
      <c r="M339" s="851" t="s">
        <v>2313</v>
      </c>
      <c r="N339" s="223"/>
      <c r="O339" s="850">
        <f t="shared" si="35"/>
        <v>0</v>
      </c>
    </row>
    <row r="340" spans="1:15" s="360" customFormat="1" ht="15" hidden="1">
      <c r="A340" s="356" t="s">
        <v>527</v>
      </c>
      <c r="B340" s="632" t="s">
        <v>877</v>
      </c>
      <c r="C340" s="611">
        <f t="shared" si="33"/>
        <v>0</v>
      </c>
      <c r="D340" s="354"/>
      <c r="E340" s="15">
        <f t="shared" si="32"/>
        <v>2704.03</v>
      </c>
      <c r="F340" s="792">
        <f t="shared" si="31"/>
        <v>0</v>
      </c>
      <c r="G340" s="358">
        <f>FF!I1048</f>
        <v>0</v>
      </c>
      <c r="H340" s="354" t="s">
        <v>102</v>
      </c>
      <c r="I340" s="355">
        <f>FF!K1048</f>
        <v>2704.03</v>
      </c>
      <c r="J340" s="353">
        <f t="shared" si="34"/>
        <v>0</v>
      </c>
      <c r="K340" s="1679">
        <f>IF((J340+J341+J342+J343)&gt;(F340+F341+F342+F343),(J340+J341+J342+J343)-(F340+F341+F342+F343),0)</f>
        <v>0</v>
      </c>
      <c r="L340" s="1679">
        <f>IF((J340+J341+J342+J343)&lt;(F340+F341+F342+F343),(F340+F341+F342+F343)-(J340+J341+J342+J343),0)</f>
        <v>0</v>
      </c>
      <c r="M340" s="633" t="s">
        <v>2217</v>
      </c>
      <c r="N340" s="223"/>
      <c r="O340" s="631">
        <f t="shared" si="35"/>
        <v>0</v>
      </c>
    </row>
    <row r="341" spans="1:15" s="360" customFormat="1" ht="15" hidden="1">
      <c r="A341" s="356" t="s">
        <v>1579</v>
      </c>
      <c r="B341" s="632" t="s">
        <v>877</v>
      </c>
      <c r="C341" s="611">
        <f t="shared" si="33"/>
        <v>0</v>
      </c>
      <c r="D341" s="354"/>
      <c r="E341" s="15">
        <f t="shared" si="32"/>
        <v>2747.8</v>
      </c>
      <c r="F341" s="792">
        <f t="shared" si="31"/>
        <v>0</v>
      </c>
      <c r="G341" s="358">
        <f>FF!I1057</f>
        <v>0</v>
      </c>
      <c r="H341" s="354" t="s">
        <v>102</v>
      </c>
      <c r="I341" s="355">
        <f>FF!K1057</f>
        <v>2747.8</v>
      </c>
      <c r="J341" s="353">
        <f t="shared" si="34"/>
        <v>0</v>
      </c>
      <c r="K341" s="1680"/>
      <c r="L341" s="1680"/>
      <c r="M341" s="633" t="s">
        <v>2299</v>
      </c>
      <c r="N341" s="223"/>
      <c r="O341" s="631">
        <f t="shared" si="35"/>
        <v>0</v>
      </c>
    </row>
    <row r="342" spans="1:15" s="360" customFormat="1" ht="15" hidden="1">
      <c r="A342" s="356" t="s">
        <v>527</v>
      </c>
      <c r="B342" s="632" t="s">
        <v>877</v>
      </c>
      <c r="C342" s="611">
        <f t="shared" si="33"/>
        <v>0</v>
      </c>
      <c r="D342" s="354"/>
      <c r="E342" s="15">
        <f t="shared" si="32"/>
        <v>2789.27</v>
      </c>
      <c r="F342" s="792">
        <f t="shared" si="31"/>
        <v>0</v>
      </c>
      <c r="G342" s="358">
        <f>FF!I1064</f>
        <v>0</v>
      </c>
      <c r="H342" s="354" t="s">
        <v>102</v>
      </c>
      <c r="I342" s="355">
        <f>FF!K1064</f>
        <v>2789.27</v>
      </c>
      <c r="J342" s="353">
        <f t="shared" si="34"/>
        <v>0</v>
      </c>
      <c r="K342" s="1680"/>
      <c r="L342" s="1680"/>
      <c r="M342" s="633" t="s">
        <v>2312</v>
      </c>
      <c r="N342" s="223"/>
      <c r="O342" s="631">
        <f t="shared" si="35"/>
        <v>0</v>
      </c>
    </row>
    <row r="343" spans="1:15" s="360" customFormat="1" ht="63.75" hidden="1">
      <c r="A343" s="356" t="s">
        <v>498</v>
      </c>
      <c r="B343" s="632" t="s">
        <v>3201</v>
      </c>
      <c r="C343" s="611">
        <f t="shared" si="33"/>
        <v>0</v>
      </c>
      <c r="D343" s="354" t="s">
        <v>102</v>
      </c>
      <c r="E343" s="10">
        <f t="shared" si="32"/>
        <v>2950.54</v>
      </c>
      <c r="F343" s="792">
        <f t="shared" si="31"/>
        <v>0</v>
      </c>
      <c r="G343" s="358">
        <f>FF!I1081</f>
        <v>0</v>
      </c>
      <c r="H343" s="354" t="s">
        <v>102</v>
      </c>
      <c r="I343" s="355">
        <f>FF!K1081</f>
        <v>2950.54</v>
      </c>
      <c r="J343" s="353">
        <f t="shared" si="34"/>
        <v>0</v>
      </c>
      <c r="K343" s="1695"/>
      <c r="L343" s="1695"/>
      <c r="M343" s="851" t="s">
        <v>2313</v>
      </c>
      <c r="N343" s="223"/>
      <c r="O343" s="850">
        <f t="shared" si="35"/>
        <v>0</v>
      </c>
    </row>
    <row r="344" spans="1:15" s="360" customFormat="1" ht="15" hidden="1">
      <c r="A344" s="356" t="s">
        <v>529</v>
      </c>
      <c r="B344" s="632" t="s">
        <v>710</v>
      </c>
      <c r="C344" s="611">
        <f t="shared" si="33"/>
        <v>0</v>
      </c>
      <c r="D344" s="354"/>
      <c r="E344" s="15">
        <f t="shared" si="32"/>
        <v>633.27</v>
      </c>
      <c r="F344" s="792">
        <f t="shared" si="31"/>
        <v>0</v>
      </c>
      <c r="G344" s="358">
        <f>FF!I1089</f>
        <v>0</v>
      </c>
      <c r="H344" s="354" t="s">
        <v>102</v>
      </c>
      <c r="I344" s="355">
        <f>FF!K1089</f>
        <v>633.27</v>
      </c>
      <c r="J344" s="353">
        <f t="shared" si="34"/>
        <v>0</v>
      </c>
      <c r="K344" s="1679">
        <f>IF((J344+J345+J346+J347)&gt;(F344+F345+F346+F347),(J344+J345+J346+J347)-(F344+F345+F346+F347),0)</f>
        <v>0</v>
      </c>
      <c r="L344" s="1679">
        <f>IF((J344+J345+J346+J347)&lt;(F344+F345+F346+F347),(F344+F345+F346+F347)-(J344+J345+J346+J347),0)</f>
        <v>0</v>
      </c>
      <c r="M344" s="633" t="s">
        <v>2217</v>
      </c>
      <c r="N344" s="223"/>
      <c r="O344" s="631">
        <f t="shared" si="35"/>
        <v>0</v>
      </c>
    </row>
    <row r="345" spans="1:15" s="360" customFormat="1" ht="15" hidden="1">
      <c r="A345" s="356" t="s">
        <v>529</v>
      </c>
      <c r="B345" s="632" t="s">
        <v>710</v>
      </c>
      <c r="C345" s="611">
        <f t="shared" si="33"/>
        <v>0</v>
      </c>
      <c r="D345" s="354"/>
      <c r="E345" s="15">
        <f t="shared" si="32"/>
        <v>677.99</v>
      </c>
      <c r="F345" s="792">
        <f t="shared" si="31"/>
        <v>0</v>
      </c>
      <c r="G345" s="358">
        <f>FF!I1100</f>
        <v>0</v>
      </c>
      <c r="H345" s="354" t="s">
        <v>102</v>
      </c>
      <c r="I345" s="355">
        <f>FF!K1100</f>
        <v>677.99</v>
      </c>
      <c r="J345" s="353">
        <f t="shared" si="34"/>
        <v>0</v>
      </c>
      <c r="K345" s="1680"/>
      <c r="L345" s="1680"/>
      <c r="M345" s="633" t="s">
        <v>2299</v>
      </c>
      <c r="N345" s="223"/>
      <c r="O345" s="631">
        <f t="shared" si="35"/>
        <v>0</v>
      </c>
    </row>
    <row r="346" spans="1:15" s="360" customFormat="1" ht="15" hidden="1">
      <c r="A346" s="356" t="s">
        <v>529</v>
      </c>
      <c r="B346" s="632" t="s">
        <v>710</v>
      </c>
      <c r="C346" s="611">
        <f t="shared" si="33"/>
        <v>0</v>
      </c>
      <c r="D346" s="354"/>
      <c r="E346" s="15">
        <f t="shared" si="32"/>
        <v>686.13</v>
      </c>
      <c r="F346" s="792">
        <f t="shared" si="31"/>
        <v>0</v>
      </c>
      <c r="G346" s="358">
        <f>FF!I1108</f>
        <v>0</v>
      </c>
      <c r="H346" s="354" t="s">
        <v>102</v>
      </c>
      <c r="I346" s="355">
        <f>FF!K1108</f>
        <v>686.13</v>
      </c>
      <c r="J346" s="353">
        <f t="shared" si="34"/>
        <v>0</v>
      </c>
      <c r="K346" s="1680"/>
      <c r="L346" s="1680"/>
      <c r="M346" s="633" t="s">
        <v>2312</v>
      </c>
      <c r="N346" s="223"/>
      <c r="O346" s="631">
        <f t="shared" si="35"/>
        <v>0</v>
      </c>
    </row>
    <row r="347" spans="1:15" s="360" customFormat="1" ht="15" hidden="1">
      <c r="A347" s="356" t="s">
        <v>529</v>
      </c>
      <c r="B347" s="632" t="s">
        <v>710</v>
      </c>
      <c r="C347" s="611">
        <f t="shared" si="33"/>
        <v>0</v>
      </c>
      <c r="D347" s="354"/>
      <c r="E347" s="15">
        <f t="shared" si="32"/>
        <v>780.73</v>
      </c>
      <c r="F347" s="792">
        <f t="shared" si="31"/>
        <v>0</v>
      </c>
      <c r="G347" s="358">
        <f>FF!I1116</f>
        <v>0</v>
      </c>
      <c r="H347" s="354" t="s">
        <v>102</v>
      </c>
      <c r="I347" s="355">
        <f>FF!K1116</f>
        <v>780.73</v>
      </c>
      <c r="J347" s="353">
        <f t="shared" si="34"/>
        <v>0</v>
      </c>
      <c r="K347" s="1681"/>
      <c r="L347" s="1681"/>
      <c r="M347" s="633" t="s">
        <v>2313</v>
      </c>
      <c r="N347" s="223"/>
      <c r="O347" s="631">
        <f t="shared" si="35"/>
        <v>0</v>
      </c>
    </row>
    <row r="348" spans="1:15" s="360" customFormat="1" ht="15" hidden="1">
      <c r="A348" s="356" t="s">
        <v>530</v>
      </c>
      <c r="B348" s="632" t="s">
        <v>711</v>
      </c>
      <c r="C348" s="611">
        <f t="shared" si="33"/>
        <v>0</v>
      </c>
      <c r="D348" s="354"/>
      <c r="E348" s="15">
        <f t="shared" si="32"/>
        <v>652.64</v>
      </c>
      <c r="F348" s="792">
        <f t="shared" si="31"/>
        <v>0</v>
      </c>
      <c r="G348" s="358">
        <f>FF!I1123</f>
        <v>0</v>
      </c>
      <c r="H348" s="354" t="s">
        <v>102</v>
      </c>
      <c r="I348" s="355">
        <f>FF!K1123</f>
        <v>652.64</v>
      </c>
      <c r="J348" s="353">
        <f t="shared" si="34"/>
        <v>0</v>
      </c>
      <c r="K348" s="1679">
        <f>IF((J348+J349+J350+J351)&gt;(F348+F349+F350+F351),(J348+J349+J350+J351)-(F348+F349+F350+F351),0)</f>
        <v>0</v>
      </c>
      <c r="L348" s="1679">
        <f>IF((J348+J349+J350+J351)&lt;(F348+F349+F350+F351),(F348+F349+F350+F351)-(J348+J349+J350+J351),0)</f>
        <v>0</v>
      </c>
      <c r="M348" s="633" t="s">
        <v>2217</v>
      </c>
      <c r="N348" s="223"/>
      <c r="O348" s="631">
        <f t="shared" si="35"/>
        <v>0</v>
      </c>
    </row>
    <row r="349" spans="1:15" s="360" customFormat="1" ht="15" hidden="1">
      <c r="A349" s="356" t="s">
        <v>530</v>
      </c>
      <c r="B349" s="632" t="s">
        <v>711</v>
      </c>
      <c r="C349" s="611">
        <f t="shared" si="33"/>
        <v>0</v>
      </c>
      <c r="D349" s="354"/>
      <c r="E349" s="15">
        <f t="shared" si="32"/>
        <v>683.46</v>
      </c>
      <c r="F349" s="792">
        <f t="shared" si="31"/>
        <v>0</v>
      </c>
      <c r="G349" s="358">
        <f>FF!I1134</f>
        <v>0</v>
      </c>
      <c r="H349" s="354" t="s">
        <v>102</v>
      </c>
      <c r="I349" s="355">
        <f>FF!K1134</f>
        <v>683.46</v>
      </c>
      <c r="J349" s="353">
        <f t="shared" si="34"/>
        <v>0</v>
      </c>
      <c r="K349" s="1680"/>
      <c r="L349" s="1680"/>
      <c r="M349" s="633" t="s">
        <v>2299</v>
      </c>
      <c r="N349" s="223"/>
      <c r="O349" s="631">
        <f t="shared" si="35"/>
        <v>0</v>
      </c>
    </row>
    <row r="350" spans="1:15" s="360" customFormat="1" ht="15" hidden="1">
      <c r="A350" s="356" t="s">
        <v>530</v>
      </c>
      <c r="B350" s="632" t="s">
        <v>711</v>
      </c>
      <c r="C350" s="611">
        <f t="shared" si="33"/>
        <v>0</v>
      </c>
      <c r="D350" s="354"/>
      <c r="E350" s="15">
        <f t="shared" si="32"/>
        <v>706.57</v>
      </c>
      <c r="F350" s="792">
        <f t="shared" si="31"/>
        <v>0</v>
      </c>
      <c r="G350" s="358">
        <f>FF!I1141</f>
        <v>0</v>
      </c>
      <c r="H350" s="354" t="s">
        <v>102</v>
      </c>
      <c r="I350" s="355">
        <f>FF!K1141</f>
        <v>706.57</v>
      </c>
      <c r="J350" s="353">
        <f t="shared" si="34"/>
        <v>0</v>
      </c>
      <c r="K350" s="1680"/>
      <c r="L350" s="1680"/>
      <c r="M350" s="633" t="s">
        <v>2312</v>
      </c>
      <c r="N350" s="223"/>
      <c r="O350" s="631">
        <f t="shared" si="35"/>
        <v>0</v>
      </c>
    </row>
    <row r="351" spans="1:15" s="360" customFormat="1" ht="15" hidden="1">
      <c r="A351" s="356" t="s">
        <v>530</v>
      </c>
      <c r="B351" s="632" t="s">
        <v>711</v>
      </c>
      <c r="C351" s="611">
        <f t="shared" si="33"/>
        <v>0</v>
      </c>
      <c r="D351" s="354"/>
      <c r="E351" s="15">
        <f t="shared" si="32"/>
        <v>786.2</v>
      </c>
      <c r="F351" s="792">
        <f t="shared" si="31"/>
        <v>0</v>
      </c>
      <c r="G351" s="358">
        <f>FF!I1148</f>
        <v>0</v>
      </c>
      <c r="H351" s="354" t="s">
        <v>102</v>
      </c>
      <c r="I351" s="355">
        <f>FF!K1148</f>
        <v>786.2</v>
      </c>
      <c r="J351" s="353">
        <f t="shared" si="34"/>
        <v>0</v>
      </c>
      <c r="K351" s="1681"/>
      <c r="L351" s="1681"/>
      <c r="M351" s="633" t="s">
        <v>2313</v>
      </c>
      <c r="N351" s="223"/>
      <c r="O351" s="631">
        <f t="shared" si="35"/>
        <v>0</v>
      </c>
    </row>
    <row r="352" spans="1:15" s="360" customFormat="1" ht="51" hidden="1">
      <c r="A352" s="356" t="s">
        <v>514</v>
      </c>
      <c r="B352" s="632" t="s">
        <v>3211</v>
      </c>
      <c r="C352" s="611">
        <f t="shared" si="33"/>
        <v>0</v>
      </c>
      <c r="D352" s="791" t="s">
        <v>102</v>
      </c>
      <c r="E352" s="15">
        <f t="shared" si="32"/>
        <v>755.74</v>
      </c>
      <c r="F352" s="792">
        <f t="shared" si="31"/>
        <v>0</v>
      </c>
      <c r="G352" s="358">
        <f>FF!I1155</f>
        <v>0</v>
      </c>
      <c r="H352" s="354" t="s">
        <v>102</v>
      </c>
      <c r="I352" s="355">
        <f>FF!K1155</f>
        <v>755.74</v>
      </c>
      <c r="J352" s="353">
        <f t="shared" si="34"/>
        <v>0</v>
      </c>
      <c r="K352" s="1679">
        <f>IF((J352+J353+J354+J355)&gt;(F352+F353+F354+F355),(J352+J353+J354+J355)-(F352+F353+F354+F355),0)</f>
        <v>0</v>
      </c>
      <c r="L352" s="1679">
        <f>IF((J352+J353+J354+J355)&lt;(F352+F353+F354+F355),(F352+F353+F354+F355)-(J352+J353+J354+J355),0)</f>
        <v>0</v>
      </c>
      <c r="M352" s="633" t="s">
        <v>2217</v>
      </c>
      <c r="N352" s="223"/>
      <c r="O352" s="631">
        <f t="shared" si="35"/>
        <v>0</v>
      </c>
    </row>
    <row r="353" spans="1:15" s="360" customFormat="1" ht="15" hidden="1">
      <c r="A353" s="356" t="s">
        <v>643</v>
      </c>
      <c r="B353" s="632" t="s">
        <v>511</v>
      </c>
      <c r="C353" s="611">
        <f t="shared" si="33"/>
        <v>0</v>
      </c>
      <c r="D353" s="354"/>
      <c r="E353" s="15">
        <f t="shared" si="32"/>
        <v>786.57</v>
      </c>
      <c r="F353" s="792">
        <f t="shared" si="31"/>
        <v>0</v>
      </c>
      <c r="G353" s="358">
        <f>FF!I1163</f>
        <v>0</v>
      </c>
      <c r="H353" s="354" t="s">
        <v>102</v>
      </c>
      <c r="I353" s="355">
        <f>FF!K1163</f>
        <v>786.57</v>
      </c>
      <c r="J353" s="353">
        <f t="shared" si="34"/>
        <v>0</v>
      </c>
      <c r="K353" s="1680"/>
      <c r="L353" s="1680"/>
      <c r="M353" s="633" t="s">
        <v>2299</v>
      </c>
      <c r="N353" s="223"/>
      <c r="O353" s="631">
        <f t="shared" si="35"/>
        <v>0</v>
      </c>
    </row>
    <row r="354" spans="1:15" s="360" customFormat="1" ht="15" hidden="1">
      <c r="A354" s="356" t="s">
        <v>528</v>
      </c>
      <c r="B354" s="632" t="s">
        <v>511</v>
      </c>
      <c r="C354" s="611">
        <f t="shared" si="33"/>
        <v>0</v>
      </c>
      <c r="D354" s="354"/>
      <c r="E354" s="15">
        <f t="shared" si="32"/>
        <v>809.68</v>
      </c>
      <c r="F354" s="792">
        <f t="shared" si="31"/>
        <v>0</v>
      </c>
      <c r="G354" s="358">
        <f>FF!I1170</f>
        <v>0</v>
      </c>
      <c r="H354" s="354" t="s">
        <v>102</v>
      </c>
      <c r="I354" s="355">
        <f>FF!K1170</f>
        <v>809.68</v>
      </c>
      <c r="J354" s="353">
        <f t="shared" si="34"/>
        <v>0</v>
      </c>
      <c r="K354" s="1680"/>
      <c r="L354" s="1680"/>
      <c r="M354" s="633" t="s">
        <v>2312</v>
      </c>
      <c r="N354" s="223"/>
      <c r="O354" s="631">
        <f t="shared" si="35"/>
        <v>0</v>
      </c>
    </row>
    <row r="355" spans="1:15" s="360" customFormat="1" ht="15" hidden="1">
      <c r="A355" s="356" t="s">
        <v>528</v>
      </c>
      <c r="B355" s="632" t="s">
        <v>511</v>
      </c>
      <c r="C355" s="611">
        <f t="shared" si="33"/>
        <v>0</v>
      </c>
      <c r="D355" s="354"/>
      <c r="E355" s="15">
        <f t="shared" si="32"/>
        <v>837.86</v>
      </c>
      <c r="F355" s="792">
        <f t="shared" si="31"/>
        <v>0</v>
      </c>
      <c r="G355" s="358">
        <f>FF!I1175</f>
        <v>0</v>
      </c>
      <c r="H355" s="354" t="s">
        <v>102</v>
      </c>
      <c r="I355" s="355">
        <f>FF!K1175</f>
        <v>837.86</v>
      </c>
      <c r="J355" s="353">
        <f t="shared" si="34"/>
        <v>0</v>
      </c>
      <c r="K355" s="1681"/>
      <c r="L355" s="1681"/>
      <c r="M355" s="633" t="s">
        <v>2313</v>
      </c>
      <c r="N355" s="223"/>
      <c r="O355" s="631">
        <f t="shared" si="35"/>
        <v>0</v>
      </c>
    </row>
    <row r="356" spans="1:15" s="360" customFormat="1" ht="63.75" hidden="1">
      <c r="A356" s="356" t="s">
        <v>515</v>
      </c>
      <c r="B356" s="632" t="s">
        <v>3212</v>
      </c>
      <c r="C356" s="611">
        <f t="shared" si="33"/>
        <v>0</v>
      </c>
      <c r="D356" s="791" t="s">
        <v>102</v>
      </c>
      <c r="E356" s="15">
        <f t="shared" si="32"/>
        <v>494.82</v>
      </c>
      <c r="F356" s="792">
        <f t="shared" si="31"/>
        <v>0</v>
      </c>
      <c r="G356" s="358">
        <f>FF!I1182</f>
        <v>0</v>
      </c>
      <c r="H356" s="354" t="s">
        <v>102</v>
      </c>
      <c r="I356" s="355">
        <f>FF!K1182</f>
        <v>494.82</v>
      </c>
      <c r="J356" s="353">
        <f t="shared" si="34"/>
        <v>0</v>
      </c>
      <c r="K356" s="1679">
        <f>IF((J356+J357+J358+J359)&gt;(F356+F357+F358+F359),(J356+J357+J358+J359)-(F356+F357+F358+F359),0)</f>
        <v>0</v>
      </c>
      <c r="L356" s="1679">
        <f>IF((J356+J357+J358+J359)&lt;(F356+F357+F358+F359),(F356+F357+F358+F359)-(J356+J357+J358+J359),0)</f>
        <v>0</v>
      </c>
      <c r="M356" s="633" t="s">
        <v>2217</v>
      </c>
      <c r="N356" s="223"/>
      <c r="O356" s="631">
        <f t="shared" si="35"/>
        <v>0</v>
      </c>
    </row>
    <row r="357" spans="1:15" s="360" customFormat="1" ht="15" hidden="1">
      <c r="A357" s="356" t="s">
        <v>1574</v>
      </c>
      <c r="B357" s="632" t="s">
        <v>570</v>
      </c>
      <c r="C357" s="611">
        <f t="shared" si="33"/>
        <v>0</v>
      </c>
      <c r="D357" s="354"/>
      <c r="E357" s="15">
        <f t="shared" si="32"/>
        <v>504.13</v>
      </c>
      <c r="F357" s="792">
        <f t="shared" si="31"/>
        <v>0</v>
      </c>
      <c r="G357" s="358">
        <f>FF!I1190</f>
        <v>0</v>
      </c>
      <c r="H357" s="354" t="s">
        <v>102</v>
      </c>
      <c r="I357" s="355">
        <f>FF!K1190</f>
        <v>504.13</v>
      </c>
      <c r="J357" s="353">
        <f t="shared" si="34"/>
        <v>0</v>
      </c>
      <c r="K357" s="1680"/>
      <c r="L357" s="1680"/>
      <c r="M357" s="633" t="s">
        <v>2299</v>
      </c>
      <c r="N357" s="223"/>
      <c r="O357" s="631">
        <f t="shared" si="35"/>
        <v>0</v>
      </c>
    </row>
    <row r="358" spans="1:15" s="360" customFormat="1" ht="15" hidden="1">
      <c r="A358" s="356" t="s">
        <v>529</v>
      </c>
      <c r="B358" s="632" t="s">
        <v>570</v>
      </c>
      <c r="C358" s="611">
        <f t="shared" si="33"/>
        <v>0</v>
      </c>
      <c r="D358" s="354"/>
      <c r="E358" s="15">
        <f t="shared" si="32"/>
        <v>512.09</v>
      </c>
      <c r="F358" s="792">
        <f t="shared" si="31"/>
        <v>0</v>
      </c>
      <c r="G358" s="358">
        <f>FF!I1197</f>
        <v>0</v>
      </c>
      <c r="H358" s="354" t="s">
        <v>102</v>
      </c>
      <c r="I358" s="355">
        <f>FF!K1197</f>
        <v>512.09</v>
      </c>
      <c r="J358" s="353">
        <f t="shared" si="34"/>
        <v>0</v>
      </c>
      <c r="K358" s="1680"/>
      <c r="L358" s="1680"/>
      <c r="M358" s="633" t="s">
        <v>2312</v>
      </c>
      <c r="N358" s="223"/>
      <c r="O358" s="631">
        <f t="shared" si="35"/>
        <v>0</v>
      </c>
    </row>
    <row r="359" spans="1:15" s="360" customFormat="1" ht="15" hidden="1">
      <c r="A359" s="356" t="s">
        <v>529</v>
      </c>
      <c r="B359" s="632" t="s">
        <v>570</v>
      </c>
      <c r="C359" s="611">
        <f t="shared" si="33"/>
        <v>0</v>
      </c>
      <c r="D359" s="354"/>
      <c r="E359" s="15">
        <f t="shared" si="32"/>
        <v>527.21</v>
      </c>
      <c r="F359" s="792">
        <f t="shared" si="31"/>
        <v>0</v>
      </c>
      <c r="G359" s="358">
        <f>FF!I1209</f>
        <v>0</v>
      </c>
      <c r="H359" s="354" t="s">
        <v>102</v>
      </c>
      <c r="I359" s="355">
        <f>FF!K1209</f>
        <v>527.21</v>
      </c>
      <c r="J359" s="353">
        <f t="shared" si="34"/>
        <v>0</v>
      </c>
      <c r="K359" s="1681"/>
      <c r="L359" s="1681"/>
      <c r="M359" s="633" t="s">
        <v>2313</v>
      </c>
      <c r="N359" s="223"/>
      <c r="O359" s="631">
        <f t="shared" si="35"/>
        <v>0</v>
      </c>
    </row>
    <row r="360" spans="1:15" s="360" customFormat="1" ht="15" hidden="1">
      <c r="A360" s="356" t="s">
        <v>492</v>
      </c>
      <c r="B360" s="632" t="s">
        <v>1222</v>
      </c>
      <c r="C360" s="611">
        <f t="shared" si="33"/>
        <v>0</v>
      </c>
      <c r="D360" s="354"/>
      <c r="E360" s="15">
        <f t="shared" si="32"/>
        <v>944.79</v>
      </c>
      <c r="F360" s="792">
        <f t="shared" si="31"/>
        <v>0</v>
      </c>
      <c r="G360" s="358">
        <f>FF!I1217</f>
        <v>0</v>
      </c>
      <c r="H360" s="354" t="s">
        <v>102</v>
      </c>
      <c r="I360" s="355">
        <f>FF!K1217</f>
        <v>944.79</v>
      </c>
      <c r="J360" s="353">
        <f t="shared" si="34"/>
        <v>0</v>
      </c>
      <c r="K360" s="1679">
        <f>IF((J360+J361+J362+J363)&gt;(F360+F361+F362+F363),(J360+J361+J362+J363)-(F360+F361+F362+F363),0)</f>
        <v>0</v>
      </c>
      <c r="L360" s="1679">
        <f>IF((J360+J361+J362+J363)&lt;(F360+F361+F362+F363),(F360+F361+F362+F363)-(J360+J361+J362+J363),0)</f>
        <v>0</v>
      </c>
      <c r="M360" s="633" t="s">
        <v>2217</v>
      </c>
      <c r="N360" s="223"/>
      <c r="O360" s="631">
        <f t="shared" si="35"/>
        <v>0</v>
      </c>
    </row>
    <row r="361" spans="1:15" s="360" customFormat="1" ht="15" hidden="1">
      <c r="A361" s="356" t="s">
        <v>492</v>
      </c>
      <c r="B361" s="632" t="s">
        <v>1222</v>
      </c>
      <c r="C361" s="611">
        <f t="shared" si="33"/>
        <v>0</v>
      </c>
      <c r="D361" s="354"/>
      <c r="E361" s="15">
        <f t="shared" si="32"/>
        <v>986.93</v>
      </c>
      <c r="F361" s="792">
        <f t="shared" si="31"/>
        <v>0</v>
      </c>
      <c r="G361" s="358">
        <f>FF!I1225</f>
        <v>0</v>
      </c>
      <c r="H361" s="354" t="s">
        <v>102</v>
      </c>
      <c r="I361" s="355">
        <f>FF!K1225</f>
        <v>986.93</v>
      </c>
      <c r="J361" s="353">
        <f t="shared" si="34"/>
        <v>0</v>
      </c>
      <c r="K361" s="1680"/>
      <c r="L361" s="1680"/>
      <c r="M361" s="633" t="s">
        <v>2299</v>
      </c>
      <c r="N361" s="223"/>
      <c r="O361" s="631">
        <f t="shared" si="35"/>
        <v>0</v>
      </c>
    </row>
    <row r="362" spans="1:15" s="360" customFormat="1" ht="15" hidden="1">
      <c r="A362" s="356" t="s">
        <v>492</v>
      </c>
      <c r="B362" s="632" t="s">
        <v>1222</v>
      </c>
      <c r="C362" s="611">
        <f t="shared" si="33"/>
        <v>0</v>
      </c>
      <c r="D362" s="354"/>
      <c r="E362" s="15">
        <f t="shared" si="32"/>
        <v>1020.23</v>
      </c>
      <c r="F362" s="792">
        <f t="shared" si="31"/>
        <v>0</v>
      </c>
      <c r="G362" s="358">
        <f>FF!I1233</f>
        <v>0</v>
      </c>
      <c r="H362" s="354" t="s">
        <v>102</v>
      </c>
      <c r="I362" s="355">
        <f>FF!K1233</f>
        <v>1020.23</v>
      </c>
      <c r="J362" s="353">
        <f t="shared" si="34"/>
        <v>0</v>
      </c>
      <c r="K362" s="1680"/>
      <c r="L362" s="1680"/>
      <c r="M362" s="633" t="s">
        <v>2312</v>
      </c>
      <c r="N362" s="223"/>
      <c r="O362" s="631">
        <f t="shared" si="35"/>
        <v>0</v>
      </c>
    </row>
    <row r="363" spans="1:15" s="360" customFormat="1" ht="15" hidden="1">
      <c r="A363" s="356" t="s">
        <v>492</v>
      </c>
      <c r="B363" s="632" t="s">
        <v>1222</v>
      </c>
      <c r="C363" s="611">
        <f t="shared" si="33"/>
        <v>0</v>
      </c>
      <c r="D363" s="354"/>
      <c r="E363" s="15">
        <f t="shared" si="32"/>
        <v>1059.21</v>
      </c>
      <c r="F363" s="792">
        <f t="shared" si="31"/>
        <v>0</v>
      </c>
      <c r="G363" s="358">
        <f>FF!I1241</f>
        <v>0</v>
      </c>
      <c r="H363" s="354" t="s">
        <v>102</v>
      </c>
      <c r="I363" s="355">
        <f>FF!K1241</f>
        <v>1059.21</v>
      </c>
      <c r="J363" s="353">
        <f t="shared" si="34"/>
        <v>0</v>
      </c>
      <c r="K363" s="1681"/>
      <c r="L363" s="1681"/>
      <c r="M363" s="633" t="s">
        <v>2313</v>
      </c>
      <c r="N363" s="223"/>
      <c r="O363" s="631">
        <f t="shared" si="35"/>
        <v>0</v>
      </c>
    </row>
    <row r="364" spans="1:15" s="360" customFormat="1" ht="15" hidden="1">
      <c r="A364" s="356" t="s">
        <v>533</v>
      </c>
      <c r="B364" s="632" t="s">
        <v>707</v>
      </c>
      <c r="C364" s="611">
        <f t="shared" si="33"/>
        <v>0</v>
      </c>
      <c r="D364" s="354"/>
      <c r="E364" s="15">
        <f t="shared" si="32"/>
        <v>21.43</v>
      </c>
      <c r="F364" s="792">
        <f t="shared" si="31"/>
        <v>0</v>
      </c>
      <c r="G364" s="358">
        <f>FF!I1250</f>
        <v>0</v>
      </c>
      <c r="H364" s="354" t="s">
        <v>102</v>
      </c>
      <c r="I364" s="355">
        <f>FF!K1250</f>
        <v>21.43</v>
      </c>
      <c r="J364" s="353">
        <f t="shared" si="34"/>
        <v>0</v>
      </c>
      <c r="K364" s="1679">
        <f>IF((J364+J365+J366+J367)&gt;(F364+F365+F366+F367),(J364+J365+J366+J367)-(F364+F365+F366+F367),0)</f>
        <v>0</v>
      </c>
      <c r="L364" s="1679">
        <f>IF((J364+J365+J366+J367)&lt;(F364+F365+F366+F367),(F364+F365+F366+F367)-(J364+J365+J366+J367),0)</f>
        <v>0</v>
      </c>
      <c r="M364" s="633" t="s">
        <v>2217</v>
      </c>
      <c r="N364" s="223"/>
      <c r="O364" s="631">
        <f t="shared" si="35"/>
        <v>0</v>
      </c>
    </row>
    <row r="365" spans="1:15" s="360" customFormat="1" ht="15" hidden="1">
      <c r="A365" s="356" t="s">
        <v>533</v>
      </c>
      <c r="B365" s="632" t="s">
        <v>707</v>
      </c>
      <c r="C365" s="611">
        <f t="shared" si="33"/>
        <v>0</v>
      </c>
      <c r="D365" s="354"/>
      <c r="E365" s="15">
        <f t="shared" si="32"/>
        <v>22.88</v>
      </c>
      <c r="F365" s="792">
        <f t="shared" si="31"/>
        <v>0</v>
      </c>
      <c r="G365" s="358">
        <f>FF!I1259</f>
        <v>0</v>
      </c>
      <c r="H365" s="354" t="s">
        <v>102</v>
      </c>
      <c r="I365" s="355">
        <f>FF!K1259</f>
        <v>22.88</v>
      </c>
      <c r="J365" s="353">
        <f t="shared" si="34"/>
        <v>0</v>
      </c>
      <c r="K365" s="1680"/>
      <c r="L365" s="1680"/>
      <c r="M365" s="633" t="s">
        <v>2299</v>
      </c>
      <c r="N365" s="223"/>
      <c r="O365" s="631">
        <f t="shared" si="35"/>
        <v>0</v>
      </c>
    </row>
    <row r="366" spans="1:15" s="360" customFormat="1" ht="15" hidden="1">
      <c r="A366" s="356" t="s">
        <v>533</v>
      </c>
      <c r="B366" s="632" t="s">
        <v>707</v>
      </c>
      <c r="C366" s="611">
        <f t="shared" si="33"/>
        <v>0</v>
      </c>
      <c r="D366" s="354"/>
      <c r="E366" s="15">
        <f t="shared" si="32"/>
        <v>24.15</v>
      </c>
      <c r="F366" s="792">
        <f t="shared" si="31"/>
        <v>0</v>
      </c>
      <c r="G366" s="358">
        <f>FF!I1268</f>
        <v>0</v>
      </c>
      <c r="H366" s="354" t="s">
        <v>102</v>
      </c>
      <c r="I366" s="355">
        <f>FF!K1268</f>
        <v>24.15</v>
      </c>
      <c r="J366" s="353">
        <f t="shared" si="34"/>
        <v>0</v>
      </c>
      <c r="K366" s="1680"/>
      <c r="L366" s="1680"/>
      <c r="M366" s="633" t="s">
        <v>2312</v>
      </c>
      <c r="N366" s="223"/>
      <c r="O366" s="631">
        <f t="shared" si="35"/>
        <v>0</v>
      </c>
    </row>
    <row r="367" spans="1:15" s="360" customFormat="1" ht="15" hidden="1">
      <c r="A367" s="356" t="s">
        <v>533</v>
      </c>
      <c r="B367" s="632" t="s">
        <v>707</v>
      </c>
      <c r="C367" s="611">
        <f t="shared" si="33"/>
        <v>0</v>
      </c>
      <c r="D367" s="354"/>
      <c r="E367" s="15">
        <f t="shared" si="32"/>
        <v>25.98</v>
      </c>
      <c r="F367" s="792">
        <f t="shared" si="31"/>
        <v>0</v>
      </c>
      <c r="G367" s="358">
        <f>FF!I1277</f>
        <v>0</v>
      </c>
      <c r="H367" s="354" t="s">
        <v>102</v>
      </c>
      <c r="I367" s="355">
        <f>FF!K1277</f>
        <v>25.98</v>
      </c>
      <c r="J367" s="353">
        <f t="shared" si="34"/>
        <v>0</v>
      </c>
      <c r="K367" s="1681"/>
      <c r="L367" s="1681"/>
      <c r="M367" s="633" t="s">
        <v>2313</v>
      </c>
      <c r="N367" s="223"/>
      <c r="O367" s="631">
        <f t="shared" si="35"/>
        <v>0</v>
      </c>
    </row>
    <row r="368" spans="1:15" s="360" customFormat="1" ht="15" hidden="1">
      <c r="A368" s="356" t="s">
        <v>499</v>
      </c>
      <c r="B368" s="632" t="s">
        <v>888</v>
      </c>
      <c r="C368" s="611">
        <f t="shared" si="33"/>
        <v>0</v>
      </c>
      <c r="D368" s="354" t="s">
        <v>102</v>
      </c>
      <c r="E368" s="10">
        <f t="shared" si="32"/>
        <v>156.41</v>
      </c>
      <c r="F368" s="792">
        <f t="shared" ref="F368:F431" si="36">ROUND(C368*E368,0)</f>
        <v>0</v>
      </c>
      <c r="G368" s="358">
        <f>FF!I1302</f>
        <v>0</v>
      </c>
      <c r="H368" s="354" t="s">
        <v>102</v>
      </c>
      <c r="I368" s="355">
        <f>FF!K1302</f>
        <v>156.41</v>
      </c>
      <c r="J368" s="353">
        <f t="shared" si="34"/>
        <v>0</v>
      </c>
      <c r="K368" s="1679">
        <f>IF((J368+J369+J370+J371)&gt;(F368+F369+F370+F371),(J368+J369+J370+J371)-(F368+F369+F370+F371),0)</f>
        <v>0</v>
      </c>
      <c r="L368" s="1679">
        <f>IF((J368+J369+J370+J371)&lt;(F368+F369+F370+F371),(F368+F369+F370+F371)-(J368+J369+J370+J371),0)</f>
        <v>0</v>
      </c>
      <c r="M368" s="851" t="s">
        <v>2217</v>
      </c>
      <c r="N368" s="223"/>
      <c r="O368" s="850">
        <f t="shared" si="35"/>
        <v>0</v>
      </c>
    </row>
    <row r="369" spans="1:15" s="360" customFormat="1" ht="15" hidden="1">
      <c r="A369" s="356" t="s">
        <v>1581</v>
      </c>
      <c r="B369" s="632" t="s">
        <v>888</v>
      </c>
      <c r="C369" s="611">
        <f t="shared" si="33"/>
        <v>0</v>
      </c>
      <c r="D369" s="354"/>
      <c r="E369" s="15">
        <f t="shared" ref="E369:E432" si="37">I369</f>
        <v>164.34</v>
      </c>
      <c r="F369" s="792">
        <f t="shared" si="36"/>
        <v>0</v>
      </c>
      <c r="G369" s="358">
        <f>FF!I1334</f>
        <v>0</v>
      </c>
      <c r="H369" s="354" t="s">
        <v>102</v>
      </c>
      <c r="I369" s="355">
        <f>FF!K1334</f>
        <v>164.34</v>
      </c>
      <c r="J369" s="353">
        <f t="shared" si="34"/>
        <v>0</v>
      </c>
      <c r="K369" s="1680"/>
      <c r="L369" s="1680"/>
      <c r="M369" s="633" t="s">
        <v>2299</v>
      </c>
      <c r="N369" s="223"/>
      <c r="O369" s="631">
        <f t="shared" si="35"/>
        <v>0</v>
      </c>
    </row>
    <row r="370" spans="1:15" s="360" customFormat="1" ht="15" hidden="1">
      <c r="A370" s="356" t="s">
        <v>530</v>
      </c>
      <c r="B370" s="632" t="s">
        <v>888</v>
      </c>
      <c r="C370" s="611">
        <f t="shared" si="33"/>
        <v>0</v>
      </c>
      <c r="D370" s="354"/>
      <c r="E370" s="15">
        <f t="shared" si="37"/>
        <v>170.35</v>
      </c>
      <c r="F370" s="792">
        <f t="shared" si="36"/>
        <v>0</v>
      </c>
      <c r="G370" s="358">
        <f>FF!I1344</f>
        <v>0</v>
      </c>
      <c r="H370" s="354" t="s">
        <v>102</v>
      </c>
      <c r="I370" s="355">
        <f>FF!K1344</f>
        <v>170.35</v>
      </c>
      <c r="J370" s="353">
        <f t="shared" si="34"/>
        <v>0</v>
      </c>
      <c r="K370" s="1680"/>
      <c r="L370" s="1680"/>
      <c r="M370" s="633" t="s">
        <v>2312</v>
      </c>
      <c r="N370" s="223"/>
      <c r="O370" s="631">
        <f t="shared" si="35"/>
        <v>0</v>
      </c>
    </row>
    <row r="371" spans="1:15" s="360" customFormat="1" ht="51" hidden="1">
      <c r="A371" s="356" t="s">
        <v>498</v>
      </c>
      <c r="B371" s="632" t="s">
        <v>3203</v>
      </c>
      <c r="C371" s="611">
        <f t="shared" si="33"/>
        <v>0</v>
      </c>
      <c r="D371" s="354"/>
      <c r="E371" s="10">
        <f t="shared" si="37"/>
        <v>184.03</v>
      </c>
      <c r="F371" s="792">
        <f t="shared" si="36"/>
        <v>0</v>
      </c>
      <c r="G371" s="358">
        <f>FF!I1369</f>
        <v>0</v>
      </c>
      <c r="H371" s="354" t="s">
        <v>102</v>
      </c>
      <c r="I371" s="355">
        <f>FF!K1369</f>
        <v>184.03</v>
      </c>
      <c r="J371" s="353">
        <f t="shared" si="34"/>
        <v>0</v>
      </c>
      <c r="K371" s="1695"/>
      <c r="L371" s="1695"/>
      <c r="M371" s="851" t="s">
        <v>2313</v>
      </c>
      <c r="N371" s="223"/>
      <c r="O371" s="850">
        <f t="shared" si="35"/>
        <v>0</v>
      </c>
    </row>
    <row r="372" spans="1:15" s="360" customFormat="1" ht="51" hidden="1">
      <c r="A372" s="356" t="s">
        <v>517</v>
      </c>
      <c r="B372" s="632" t="s">
        <v>3204</v>
      </c>
      <c r="C372" s="611">
        <f t="shared" si="33"/>
        <v>0</v>
      </c>
      <c r="D372" s="791" t="s">
        <v>102</v>
      </c>
      <c r="E372" s="15">
        <f t="shared" si="37"/>
        <v>131.44999999999999</v>
      </c>
      <c r="F372" s="792">
        <f t="shared" si="36"/>
        <v>0</v>
      </c>
      <c r="G372" s="358">
        <f>FF!I1378</f>
        <v>0</v>
      </c>
      <c r="H372" s="354" t="s">
        <v>102</v>
      </c>
      <c r="I372" s="355">
        <f>FF!K1378</f>
        <v>131.44999999999999</v>
      </c>
      <c r="J372" s="353">
        <f t="shared" si="34"/>
        <v>0</v>
      </c>
      <c r="K372" s="1679">
        <f>IF((J372+J373+J374+J375)&gt;(F372+F373+F374+F375),(J372+J373+J374+J375)-(F372+F373+F374+F375),0)</f>
        <v>0</v>
      </c>
      <c r="L372" s="1679">
        <f>IF((J372+J373+J374+J375)&lt;(F372+F373+F374+F375),(F372+F373+F374+F375)-(J372+J373+J374+J375),0)</f>
        <v>0</v>
      </c>
      <c r="M372" s="633" t="s">
        <v>2217</v>
      </c>
      <c r="N372" s="223"/>
      <c r="O372" s="631">
        <f t="shared" si="35"/>
        <v>0</v>
      </c>
    </row>
    <row r="373" spans="1:15" s="360" customFormat="1" ht="15" hidden="1">
      <c r="A373" s="356" t="s">
        <v>1143</v>
      </c>
      <c r="B373" s="632" t="s">
        <v>571</v>
      </c>
      <c r="C373" s="611">
        <f t="shared" si="33"/>
        <v>0</v>
      </c>
      <c r="D373" s="354"/>
      <c r="E373" s="15">
        <f t="shared" si="37"/>
        <v>139.51</v>
      </c>
      <c r="F373" s="792">
        <f t="shared" si="36"/>
        <v>0</v>
      </c>
      <c r="G373" s="358">
        <f>FF!I1420</f>
        <v>0</v>
      </c>
      <c r="H373" s="354" t="s">
        <v>102</v>
      </c>
      <c r="I373" s="355">
        <f>FF!K1420</f>
        <v>139.51</v>
      </c>
      <c r="J373" s="353">
        <f t="shared" si="34"/>
        <v>0</v>
      </c>
      <c r="K373" s="1680"/>
      <c r="L373" s="1680"/>
      <c r="M373" s="633" t="s">
        <v>2299</v>
      </c>
      <c r="N373" s="223"/>
      <c r="O373" s="631">
        <f t="shared" si="35"/>
        <v>0</v>
      </c>
    </row>
    <row r="374" spans="1:15" s="360" customFormat="1" ht="15" hidden="1">
      <c r="A374" s="356" t="s">
        <v>532</v>
      </c>
      <c r="B374" s="632" t="s">
        <v>571</v>
      </c>
      <c r="C374" s="611">
        <f t="shared" si="33"/>
        <v>0</v>
      </c>
      <c r="D374" s="354"/>
      <c r="E374" s="15">
        <f t="shared" si="37"/>
        <v>145.68</v>
      </c>
      <c r="F374" s="792">
        <f t="shared" si="36"/>
        <v>0</v>
      </c>
      <c r="G374" s="358">
        <f>FF!I1429</f>
        <v>0</v>
      </c>
      <c r="H374" s="354" t="s">
        <v>102</v>
      </c>
      <c r="I374" s="355">
        <f>FF!K1429</f>
        <v>145.68</v>
      </c>
      <c r="J374" s="353">
        <f t="shared" si="34"/>
        <v>0</v>
      </c>
      <c r="K374" s="1680"/>
      <c r="L374" s="1680"/>
      <c r="M374" s="633" t="s">
        <v>2312</v>
      </c>
      <c r="N374" s="223"/>
      <c r="O374" s="631">
        <f t="shared" si="35"/>
        <v>0</v>
      </c>
    </row>
    <row r="375" spans="1:15" s="360" customFormat="1" ht="51" hidden="1">
      <c r="A375" s="356" t="s">
        <v>500</v>
      </c>
      <c r="B375" s="632" t="s">
        <v>3204</v>
      </c>
      <c r="C375" s="611">
        <f t="shared" si="33"/>
        <v>0</v>
      </c>
      <c r="D375" s="354" t="s">
        <v>102</v>
      </c>
      <c r="E375" s="10">
        <f t="shared" si="37"/>
        <v>158.36000000000001</v>
      </c>
      <c r="F375" s="792">
        <f t="shared" si="36"/>
        <v>0</v>
      </c>
      <c r="G375" s="358">
        <f>FF!I1454</f>
        <v>0</v>
      </c>
      <c r="H375" s="354" t="s">
        <v>102</v>
      </c>
      <c r="I375" s="355">
        <f>FF!K1454</f>
        <v>158.36000000000001</v>
      </c>
      <c r="J375" s="353">
        <f t="shared" si="34"/>
        <v>0</v>
      </c>
      <c r="K375" s="1695"/>
      <c r="L375" s="1695"/>
      <c r="M375" s="851" t="s">
        <v>2313</v>
      </c>
      <c r="N375" s="223"/>
      <c r="O375" s="850">
        <f t="shared" si="35"/>
        <v>0</v>
      </c>
    </row>
    <row r="376" spans="1:15" s="360" customFormat="1" ht="51" hidden="1">
      <c r="A376" s="356" t="s">
        <v>519</v>
      </c>
      <c r="B376" s="632" t="s">
        <v>3205</v>
      </c>
      <c r="C376" s="611">
        <f t="shared" si="33"/>
        <v>0</v>
      </c>
      <c r="D376" s="791" t="s">
        <v>102</v>
      </c>
      <c r="E376" s="15">
        <f t="shared" si="37"/>
        <v>179.47</v>
      </c>
      <c r="F376" s="792">
        <f t="shared" si="36"/>
        <v>0</v>
      </c>
      <c r="G376" s="358">
        <f>FF!I1461</f>
        <v>0</v>
      </c>
      <c r="H376" s="354" t="s">
        <v>102</v>
      </c>
      <c r="I376" s="355">
        <f>FF!K1461</f>
        <v>179.47</v>
      </c>
      <c r="J376" s="353">
        <f t="shared" si="34"/>
        <v>0</v>
      </c>
      <c r="K376" s="1679">
        <f>IF((J376+J377+J378+J379)&gt;(F376+F377+F378+F379),(J376+J377+J378+J379)-(F376+F377+F378+F379),0)</f>
        <v>0</v>
      </c>
      <c r="L376" s="1679">
        <f>IF((J376+J377+J378+J379)&lt;(F376+F377+F378+F379),(F376+F377+F378+F379)-(J376+J377+J378+J379),0)</f>
        <v>0</v>
      </c>
      <c r="M376" s="633" t="s">
        <v>2217</v>
      </c>
      <c r="N376" s="223"/>
      <c r="O376" s="631">
        <f t="shared" si="35"/>
        <v>0</v>
      </c>
    </row>
    <row r="377" spans="1:15" s="360" customFormat="1" ht="15" hidden="1">
      <c r="A377" s="356" t="s">
        <v>645</v>
      </c>
      <c r="B377" s="632" t="s">
        <v>1226</v>
      </c>
      <c r="C377" s="611">
        <f t="shared" si="33"/>
        <v>0</v>
      </c>
      <c r="D377" s="354"/>
      <c r="E377" s="15">
        <f t="shared" si="37"/>
        <v>192.01</v>
      </c>
      <c r="F377" s="792">
        <f t="shared" si="36"/>
        <v>0</v>
      </c>
      <c r="G377" s="358">
        <f>FF!I1493</f>
        <v>0</v>
      </c>
      <c r="H377" s="354" t="s">
        <v>102</v>
      </c>
      <c r="I377" s="355">
        <f>FF!K1493</f>
        <v>192.01</v>
      </c>
      <c r="J377" s="353">
        <f t="shared" si="34"/>
        <v>0</v>
      </c>
      <c r="K377" s="1680"/>
      <c r="L377" s="1680"/>
      <c r="M377" s="633" t="s">
        <v>2299</v>
      </c>
      <c r="N377" s="223"/>
      <c r="O377" s="631">
        <f t="shared" si="35"/>
        <v>0</v>
      </c>
    </row>
    <row r="378" spans="1:15" s="360" customFormat="1" ht="15" hidden="1">
      <c r="A378" s="356" t="s">
        <v>533</v>
      </c>
      <c r="B378" s="632" t="s">
        <v>1226</v>
      </c>
      <c r="C378" s="611">
        <f t="shared" si="33"/>
        <v>0</v>
      </c>
      <c r="D378" s="354"/>
      <c r="E378" s="15">
        <f t="shared" si="37"/>
        <v>201.51</v>
      </c>
      <c r="F378" s="792">
        <f t="shared" si="36"/>
        <v>0</v>
      </c>
      <c r="G378" s="358">
        <f>FF!I1500</f>
        <v>0</v>
      </c>
      <c r="H378" s="354" t="s">
        <v>102</v>
      </c>
      <c r="I378" s="355">
        <f>FF!K1500</f>
        <v>201.51</v>
      </c>
      <c r="J378" s="353">
        <f t="shared" si="34"/>
        <v>0</v>
      </c>
      <c r="K378" s="1680"/>
      <c r="L378" s="1680"/>
      <c r="M378" s="633" t="s">
        <v>2312</v>
      </c>
      <c r="N378" s="223"/>
      <c r="O378" s="631">
        <f t="shared" si="35"/>
        <v>0</v>
      </c>
    </row>
    <row r="379" spans="1:15" s="360" customFormat="1" ht="51" hidden="1">
      <c r="A379" s="356" t="s">
        <v>501</v>
      </c>
      <c r="B379" s="632" t="s">
        <v>3205</v>
      </c>
      <c r="C379" s="611">
        <f t="shared" si="33"/>
        <v>0</v>
      </c>
      <c r="D379" s="354" t="s">
        <v>102</v>
      </c>
      <c r="E379" s="10">
        <f t="shared" si="37"/>
        <v>217.22</v>
      </c>
      <c r="F379" s="792">
        <f t="shared" si="36"/>
        <v>0</v>
      </c>
      <c r="G379" s="358">
        <f>FF!I1514</f>
        <v>0</v>
      </c>
      <c r="H379" s="354" t="s">
        <v>102</v>
      </c>
      <c r="I379" s="355">
        <f>FF!K1514</f>
        <v>217.22</v>
      </c>
      <c r="J379" s="353">
        <f t="shared" si="34"/>
        <v>0</v>
      </c>
      <c r="K379" s="1695"/>
      <c r="L379" s="1695"/>
      <c r="M379" s="851" t="s">
        <v>2313</v>
      </c>
      <c r="N379" s="223"/>
      <c r="O379" s="850">
        <f t="shared" si="35"/>
        <v>0</v>
      </c>
    </row>
    <row r="380" spans="1:15" s="360" customFormat="1" ht="15" hidden="1">
      <c r="A380" s="356" t="s">
        <v>502</v>
      </c>
      <c r="B380" s="632" t="s">
        <v>477</v>
      </c>
      <c r="C380" s="611">
        <f t="shared" si="33"/>
        <v>0</v>
      </c>
      <c r="D380" s="794" t="s">
        <v>872</v>
      </c>
      <c r="E380" s="10">
        <f t="shared" si="37"/>
        <v>63243.5</v>
      </c>
      <c r="F380" s="792">
        <f t="shared" si="36"/>
        <v>0</v>
      </c>
      <c r="G380" s="429">
        <f>FF!I1522</f>
        <v>0</v>
      </c>
      <c r="H380" s="221" t="s">
        <v>29</v>
      </c>
      <c r="I380" s="430">
        <f>FF!K1522</f>
        <v>63243.5</v>
      </c>
      <c r="J380" s="353">
        <f t="shared" si="34"/>
        <v>0</v>
      </c>
      <c r="K380" s="1698">
        <f>IF((J380+J381+J382+J383)&gt;(F380+F381+F382+F383),(J380+J381+J382+J383)-(F380+F381+F382+F383),0)</f>
        <v>0</v>
      </c>
      <c r="L380" s="1698">
        <f>IF((J380+J381+J382+J383)&lt;(F380+F381+F382+F383),(F380+F381+F382+F383)-(J380+J381+J382+J383),0)</f>
        <v>0</v>
      </c>
      <c r="M380" s="851" t="s">
        <v>2217</v>
      </c>
      <c r="N380" s="223"/>
      <c r="O380" s="850">
        <f t="shared" si="35"/>
        <v>0</v>
      </c>
    </row>
    <row r="381" spans="1:15" s="360" customFormat="1" ht="15" hidden="1">
      <c r="A381" s="356" t="s">
        <v>1585</v>
      </c>
      <c r="B381" s="632" t="s">
        <v>477</v>
      </c>
      <c r="C381" s="611">
        <f t="shared" si="33"/>
        <v>0</v>
      </c>
      <c r="D381" s="221"/>
      <c r="E381" s="15">
        <f t="shared" si="37"/>
        <v>63510</v>
      </c>
      <c r="F381" s="792">
        <f t="shared" si="36"/>
        <v>0</v>
      </c>
      <c r="G381" s="429">
        <f>FF!I1527</f>
        <v>0</v>
      </c>
      <c r="H381" s="221" t="s">
        <v>29</v>
      </c>
      <c r="I381" s="430">
        <f>FF!K1527</f>
        <v>63510</v>
      </c>
      <c r="J381" s="353">
        <f t="shared" si="34"/>
        <v>0</v>
      </c>
      <c r="K381" s="1680"/>
      <c r="L381" s="1680"/>
      <c r="M381" s="633" t="s">
        <v>2299</v>
      </c>
      <c r="N381" s="223"/>
      <c r="O381" s="631">
        <f t="shared" si="35"/>
        <v>0</v>
      </c>
    </row>
    <row r="382" spans="1:15" s="360" customFormat="1" ht="15" hidden="1">
      <c r="A382" s="356" t="s">
        <v>1143</v>
      </c>
      <c r="B382" s="632" t="s">
        <v>477</v>
      </c>
      <c r="C382" s="611">
        <f t="shared" si="33"/>
        <v>0</v>
      </c>
      <c r="D382" s="221"/>
      <c r="E382" s="15">
        <f t="shared" si="37"/>
        <v>80999.5</v>
      </c>
      <c r="F382" s="792">
        <f t="shared" si="36"/>
        <v>0</v>
      </c>
      <c r="G382" s="429">
        <f>FF!I1535</f>
        <v>0</v>
      </c>
      <c r="H382" s="221" t="s">
        <v>29</v>
      </c>
      <c r="I382" s="430">
        <f>FF!K1535</f>
        <v>80999.5</v>
      </c>
      <c r="J382" s="353">
        <f t="shared" si="34"/>
        <v>0</v>
      </c>
      <c r="K382" s="1680"/>
      <c r="L382" s="1680"/>
      <c r="M382" s="633" t="s">
        <v>2312</v>
      </c>
      <c r="N382" s="223"/>
      <c r="O382" s="631">
        <f t="shared" si="35"/>
        <v>0</v>
      </c>
    </row>
    <row r="383" spans="1:15" s="360" customFormat="1" ht="15" hidden="1">
      <c r="A383" s="356" t="s">
        <v>1143</v>
      </c>
      <c r="B383" s="632" t="s">
        <v>477</v>
      </c>
      <c r="C383" s="611">
        <f t="shared" si="33"/>
        <v>0</v>
      </c>
      <c r="D383" s="221"/>
      <c r="E383" s="15">
        <f t="shared" si="37"/>
        <v>93741</v>
      </c>
      <c r="F383" s="792">
        <f t="shared" si="36"/>
        <v>0</v>
      </c>
      <c r="G383" s="429">
        <f>FF!I1542</f>
        <v>0</v>
      </c>
      <c r="H383" s="221" t="s">
        <v>29</v>
      </c>
      <c r="I383" s="430">
        <f>FF!K1542</f>
        <v>93741</v>
      </c>
      <c r="J383" s="353">
        <f t="shared" si="34"/>
        <v>0</v>
      </c>
      <c r="K383" s="1681"/>
      <c r="L383" s="1681"/>
      <c r="M383" s="633" t="s">
        <v>2313</v>
      </c>
      <c r="N383" s="223"/>
      <c r="O383" s="631">
        <f t="shared" si="35"/>
        <v>0</v>
      </c>
    </row>
    <row r="384" spans="1:15" ht="15" hidden="1">
      <c r="A384" s="23"/>
      <c r="B384" s="627" t="s">
        <v>889</v>
      </c>
      <c r="C384" s="611">
        <f t="shared" si="33"/>
        <v>0</v>
      </c>
      <c r="D384" s="639"/>
      <c r="E384" s="10">
        <f t="shared" si="37"/>
        <v>0</v>
      </c>
      <c r="F384" s="764"/>
      <c r="G384" s="28"/>
      <c r="H384" s="224"/>
      <c r="I384" s="37"/>
      <c r="J384" s="353">
        <f t="shared" si="34"/>
        <v>0</v>
      </c>
      <c r="K384" s="25"/>
      <c r="L384" s="25"/>
      <c r="M384" s="851" t="s">
        <v>2217</v>
      </c>
      <c r="N384" s="223"/>
      <c r="O384" s="850">
        <v>1</v>
      </c>
    </row>
    <row r="385" spans="1:15" s="360" customFormat="1" ht="51" hidden="1">
      <c r="A385" s="356" t="s">
        <v>503</v>
      </c>
      <c r="B385" s="632" t="s">
        <v>3183</v>
      </c>
      <c r="C385" s="611">
        <f t="shared" si="33"/>
        <v>0</v>
      </c>
      <c r="D385" s="354" t="s">
        <v>5</v>
      </c>
      <c r="E385" s="10">
        <f t="shared" si="37"/>
        <v>10542.140000000001</v>
      </c>
      <c r="F385" s="792">
        <f t="shared" si="36"/>
        <v>0</v>
      </c>
      <c r="G385" s="358">
        <f>SF!I14</f>
        <v>0</v>
      </c>
      <c r="H385" s="354" t="s">
        <v>5</v>
      </c>
      <c r="I385" s="355">
        <f>SF!K14</f>
        <v>10542.140000000001</v>
      </c>
      <c r="J385" s="353">
        <f t="shared" si="34"/>
        <v>0</v>
      </c>
      <c r="K385" s="1698">
        <f>IF((J385+J386+J387+J388)&gt;(F385+F386+F387+F388),(J385+J386+J387+J388)-(F385+F386+F387+F388),0)</f>
        <v>0</v>
      </c>
      <c r="L385" s="1698">
        <f>IF((J385+J386+J387+J388)&lt;(F385+F386+F387+F388),(F385+F386+F387+F388)-(J385+J386+J387+J388),0)</f>
        <v>0</v>
      </c>
      <c r="M385" s="851" t="s">
        <v>2217</v>
      </c>
      <c r="N385" s="223"/>
      <c r="O385" s="850">
        <f t="shared" si="35"/>
        <v>0</v>
      </c>
    </row>
    <row r="386" spans="1:15" s="360" customFormat="1" ht="15" hidden="1">
      <c r="A386" s="356" t="s">
        <v>1144</v>
      </c>
      <c r="B386" s="632" t="s">
        <v>2061</v>
      </c>
      <c r="C386" s="611">
        <f t="shared" si="33"/>
        <v>0</v>
      </c>
      <c r="D386" s="354"/>
      <c r="E386" s="15">
        <f t="shared" si="37"/>
        <v>10932.800000000001</v>
      </c>
      <c r="F386" s="792">
        <f t="shared" si="36"/>
        <v>0</v>
      </c>
      <c r="G386" s="358">
        <f>SF!I21</f>
        <v>0</v>
      </c>
      <c r="H386" s="354" t="s">
        <v>5</v>
      </c>
      <c r="I386" s="355">
        <f>SF!K21</f>
        <v>10932.800000000001</v>
      </c>
      <c r="J386" s="353">
        <f t="shared" si="34"/>
        <v>0</v>
      </c>
      <c r="K386" s="1680"/>
      <c r="L386" s="1680"/>
      <c r="M386" s="633" t="s">
        <v>2299</v>
      </c>
      <c r="N386" s="223"/>
      <c r="O386" s="631">
        <f t="shared" si="35"/>
        <v>0</v>
      </c>
    </row>
    <row r="387" spans="1:15" s="360" customFormat="1" ht="15" hidden="1">
      <c r="A387" s="356" t="s">
        <v>1583</v>
      </c>
      <c r="B387" s="632" t="s">
        <v>2061</v>
      </c>
      <c r="C387" s="611">
        <f t="shared" si="33"/>
        <v>0</v>
      </c>
      <c r="D387" s="354"/>
      <c r="E387" s="15">
        <f t="shared" si="37"/>
        <v>11565.1</v>
      </c>
      <c r="F387" s="792">
        <f t="shared" si="36"/>
        <v>0</v>
      </c>
      <c r="G387" s="358">
        <f>SF!I28</f>
        <v>0</v>
      </c>
      <c r="H387" s="354" t="s">
        <v>5</v>
      </c>
      <c r="I387" s="355">
        <f>SF!K28</f>
        <v>11565.1</v>
      </c>
      <c r="J387" s="353">
        <f t="shared" si="34"/>
        <v>0</v>
      </c>
      <c r="K387" s="1680"/>
      <c r="L387" s="1680"/>
      <c r="M387" s="633" t="s">
        <v>2312</v>
      </c>
      <c r="N387" s="223"/>
      <c r="O387" s="631">
        <f t="shared" si="35"/>
        <v>0</v>
      </c>
    </row>
    <row r="388" spans="1:15" s="360" customFormat="1" ht="15" hidden="1">
      <c r="A388" s="356" t="s">
        <v>1583</v>
      </c>
      <c r="B388" s="632" t="s">
        <v>2061</v>
      </c>
      <c r="C388" s="611">
        <f t="shared" si="33"/>
        <v>0</v>
      </c>
      <c r="D388" s="354"/>
      <c r="E388" s="15">
        <f t="shared" si="37"/>
        <v>12013.61</v>
      </c>
      <c r="F388" s="792">
        <f t="shared" si="36"/>
        <v>0</v>
      </c>
      <c r="G388" s="358">
        <f>SF!I33</f>
        <v>0</v>
      </c>
      <c r="H388" s="354" t="s">
        <v>5</v>
      </c>
      <c r="I388" s="355">
        <f>SF!K33</f>
        <v>12013.61</v>
      </c>
      <c r="J388" s="353">
        <f t="shared" si="34"/>
        <v>0</v>
      </c>
      <c r="K388" s="1681"/>
      <c r="L388" s="1681"/>
      <c r="M388" s="633" t="s">
        <v>2313</v>
      </c>
      <c r="N388" s="223"/>
      <c r="O388" s="631">
        <f t="shared" si="35"/>
        <v>0</v>
      </c>
    </row>
    <row r="389" spans="1:15" s="360" customFormat="1" ht="51" hidden="1">
      <c r="A389" s="356" t="s">
        <v>504</v>
      </c>
      <c r="B389" s="632" t="s">
        <v>3185</v>
      </c>
      <c r="C389" s="611">
        <f t="shared" si="33"/>
        <v>0</v>
      </c>
      <c r="D389" s="354" t="s">
        <v>5</v>
      </c>
      <c r="E389" s="10">
        <f t="shared" si="37"/>
        <v>10021.1</v>
      </c>
      <c r="F389" s="792">
        <f t="shared" si="36"/>
        <v>0</v>
      </c>
      <c r="G389" s="358">
        <f>SF!I39</f>
        <v>0</v>
      </c>
      <c r="H389" s="354" t="s">
        <v>5</v>
      </c>
      <c r="I389" s="355">
        <f>SF!K39</f>
        <v>10021.1</v>
      </c>
      <c r="J389" s="353">
        <f t="shared" si="34"/>
        <v>0</v>
      </c>
      <c r="K389" s="1698">
        <f>IF((J389+J390+J391+J392)&gt;(F389+F390+F391+F392),(J389+J390+J391+J392)-(F389+F390+F391+F392),0)</f>
        <v>0</v>
      </c>
      <c r="L389" s="1698">
        <f>IF((J389+J390+J391+J392)&lt;(F389+F390+F391+F392),(F389+F390+F391+F392)-(J389+J390+J391+J392),0)</f>
        <v>0</v>
      </c>
      <c r="M389" s="851" t="s">
        <v>2217</v>
      </c>
      <c r="N389" s="223"/>
      <c r="O389" s="850">
        <f t="shared" si="35"/>
        <v>0</v>
      </c>
    </row>
    <row r="390" spans="1:15" s="360" customFormat="1" ht="15" hidden="1">
      <c r="A390" s="356" t="s">
        <v>1586</v>
      </c>
      <c r="B390" s="632" t="s">
        <v>2063</v>
      </c>
      <c r="C390" s="611">
        <f t="shared" si="33"/>
        <v>0</v>
      </c>
      <c r="D390" s="354"/>
      <c r="E390" s="15">
        <f t="shared" si="37"/>
        <v>10257.99</v>
      </c>
      <c r="F390" s="792">
        <f t="shared" si="36"/>
        <v>0</v>
      </c>
      <c r="G390" s="358">
        <f>SF!I45</f>
        <v>0</v>
      </c>
      <c r="H390" s="354" t="s">
        <v>5</v>
      </c>
      <c r="I390" s="355">
        <f>SF!K45</f>
        <v>10257.99</v>
      </c>
      <c r="J390" s="353">
        <f t="shared" si="34"/>
        <v>0</v>
      </c>
      <c r="K390" s="1680"/>
      <c r="L390" s="1680"/>
      <c r="M390" s="633" t="s">
        <v>2299</v>
      </c>
      <c r="N390" s="223"/>
      <c r="O390" s="631">
        <f t="shared" si="35"/>
        <v>0</v>
      </c>
    </row>
    <row r="391" spans="1:15" s="360" customFormat="1" ht="15" hidden="1">
      <c r="A391" s="356" t="s">
        <v>645</v>
      </c>
      <c r="B391" s="632" t="s">
        <v>2063</v>
      </c>
      <c r="C391" s="611">
        <f t="shared" si="33"/>
        <v>0</v>
      </c>
      <c r="D391" s="354"/>
      <c r="E391" s="15">
        <f t="shared" si="37"/>
        <v>10793.54</v>
      </c>
      <c r="F391" s="792">
        <f t="shared" si="36"/>
        <v>0</v>
      </c>
      <c r="G391" s="358">
        <f>SF!I51</f>
        <v>0</v>
      </c>
      <c r="H391" s="354" t="s">
        <v>5</v>
      </c>
      <c r="I391" s="355">
        <f>SF!K51</f>
        <v>10793.54</v>
      </c>
      <c r="J391" s="353">
        <f t="shared" si="34"/>
        <v>0</v>
      </c>
      <c r="K391" s="1680"/>
      <c r="L391" s="1680"/>
      <c r="M391" s="633" t="s">
        <v>2312</v>
      </c>
      <c r="N391" s="223"/>
      <c r="O391" s="631">
        <f t="shared" si="35"/>
        <v>0</v>
      </c>
    </row>
    <row r="392" spans="1:15" s="360" customFormat="1" ht="15" hidden="1">
      <c r="A392" s="356" t="s">
        <v>645</v>
      </c>
      <c r="B392" s="632" t="s">
        <v>2063</v>
      </c>
      <c r="C392" s="611">
        <f t="shared" si="33"/>
        <v>0</v>
      </c>
      <c r="D392" s="354"/>
      <c r="E392" s="15">
        <f t="shared" si="37"/>
        <v>11098.560000000001</v>
      </c>
      <c r="F392" s="792">
        <f t="shared" si="36"/>
        <v>0</v>
      </c>
      <c r="G392" s="358">
        <f>SF!I57</f>
        <v>0</v>
      </c>
      <c r="H392" s="354" t="s">
        <v>5</v>
      </c>
      <c r="I392" s="355">
        <f>SF!K57</f>
        <v>11098.560000000001</v>
      </c>
      <c r="J392" s="353">
        <f t="shared" si="34"/>
        <v>0</v>
      </c>
      <c r="K392" s="1681"/>
      <c r="L392" s="1681"/>
      <c r="M392" s="633" t="s">
        <v>2313</v>
      </c>
      <c r="N392" s="223"/>
      <c r="O392" s="631">
        <f t="shared" si="35"/>
        <v>0</v>
      </c>
    </row>
    <row r="393" spans="1:15" s="360" customFormat="1" ht="15" hidden="1">
      <c r="A393" s="356" t="s">
        <v>1143</v>
      </c>
      <c r="B393" s="632" t="s">
        <v>2064</v>
      </c>
      <c r="C393" s="611">
        <f t="shared" si="33"/>
        <v>0</v>
      </c>
      <c r="D393" s="354"/>
      <c r="E393" s="15">
        <f t="shared" si="37"/>
        <v>1395.34</v>
      </c>
      <c r="F393" s="792">
        <f t="shared" si="36"/>
        <v>0</v>
      </c>
      <c r="G393" s="358">
        <f>SF!I86</f>
        <v>0</v>
      </c>
      <c r="H393" s="354" t="s">
        <v>102</v>
      </c>
      <c r="I393" s="355">
        <f>SF!K86</f>
        <v>1395.34</v>
      </c>
      <c r="J393" s="353">
        <f t="shared" si="34"/>
        <v>0</v>
      </c>
      <c r="K393" s="1679">
        <f>IF((J393+J394+J395+J396)&gt;(F393+F394+F395+F396),(J393+J394+J395+J396)-(F393+F394+F395+F396),0)</f>
        <v>0</v>
      </c>
      <c r="L393" s="1679">
        <f>IF((J393+J394+J395+J396)&lt;(F393+F394+F395+F396),(F393+F394+F395+F396)-(J393+J394+J395+J396),0)</f>
        <v>0</v>
      </c>
      <c r="M393" s="633" t="s">
        <v>2217</v>
      </c>
      <c r="N393" s="223"/>
      <c r="O393" s="631">
        <f t="shared" si="35"/>
        <v>0</v>
      </c>
    </row>
    <row r="394" spans="1:15" s="360" customFormat="1" ht="15" hidden="1">
      <c r="A394" s="356" t="s">
        <v>1587</v>
      </c>
      <c r="B394" s="632" t="s">
        <v>2064</v>
      </c>
      <c r="C394" s="611">
        <f t="shared" ref="C394:C457" si="38">G394</f>
        <v>0</v>
      </c>
      <c r="D394" s="354"/>
      <c r="E394" s="15">
        <f t="shared" si="37"/>
        <v>1443.96</v>
      </c>
      <c r="F394" s="792">
        <f t="shared" si="36"/>
        <v>0</v>
      </c>
      <c r="G394" s="358">
        <f>SF!I91</f>
        <v>0</v>
      </c>
      <c r="H394" s="354" t="s">
        <v>102</v>
      </c>
      <c r="I394" s="355">
        <f>SF!K91</f>
        <v>1443.96</v>
      </c>
      <c r="J394" s="353">
        <f t="shared" ref="J394:J457" si="39">ROUND(G394*I394,2)</f>
        <v>0</v>
      </c>
      <c r="K394" s="1680"/>
      <c r="L394" s="1680"/>
      <c r="M394" s="633" t="s">
        <v>2299</v>
      </c>
      <c r="N394" s="223"/>
      <c r="O394" s="631">
        <f t="shared" si="35"/>
        <v>0</v>
      </c>
    </row>
    <row r="395" spans="1:15" s="360" customFormat="1" ht="15" hidden="1">
      <c r="A395" s="356" t="s">
        <v>1584</v>
      </c>
      <c r="B395" s="632" t="s">
        <v>2064</v>
      </c>
      <c r="C395" s="611">
        <f t="shared" si="38"/>
        <v>0</v>
      </c>
      <c r="D395" s="354"/>
      <c r="E395" s="15">
        <f t="shared" si="37"/>
        <v>1539.2800000000002</v>
      </c>
      <c r="F395" s="792">
        <f t="shared" si="36"/>
        <v>0</v>
      </c>
      <c r="G395" s="358">
        <f>SF!I96</f>
        <v>0</v>
      </c>
      <c r="H395" s="354" t="s">
        <v>102</v>
      </c>
      <c r="I395" s="355">
        <f>SF!K96</f>
        <v>1539.2800000000002</v>
      </c>
      <c r="J395" s="353">
        <f t="shared" si="39"/>
        <v>0</v>
      </c>
      <c r="K395" s="1680"/>
      <c r="L395" s="1680"/>
      <c r="M395" s="633" t="s">
        <v>2312</v>
      </c>
      <c r="N395" s="223"/>
      <c r="O395" s="631">
        <f t="shared" si="35"/>
        <v>0</v>
      </c>
    </row>
    <row r="396" spans="1:15" s="360" customFormat="1" ht="15" hidden="1">
      <c r="A396" s="356" t="s">
        <v>1584</v>
      </c>
      <c r="B396" s="632" t="s">
        <v>2064</v>
      </c>
      <c r="C396" s="611">
        <f t="shared" si="38"/>
        <v>0</v>
      </c>
      <c r="D396" s="354"/>
      <c r="E396" s="15">
        <f t="shared" si="37"/>
        <v>1594.17</v>
      </c>
      <c r="F396" s="792">
        <f t="shared" si="36"/>
        <v>0</v>
      </c>
      <c r="G396" s="358">
        <f>SF!I101</f>
        <v>0</v>
      </c>
      <c r="H396" s="354" t="s">
        <v>102</v>
      </c>
      <c r="I396" s="355">
        <f>SF!K101</f>
        <v>1594.17</v>
      </c>
      <c r="J396" s="353">
        <f t="shared" si="39"/>
        <v>0</v>
      </c>
      <c r="K396" s="1681"/>
      <c r="L396" s="1681"/>
      <c r="M396" s="633" t="s">
        <v>2313</v>
      </c>
      <c r="N396" s="223"/>
      <c r="O396" s="631">
        <f t="shared" ref="O396:O459" si="40">F396-J396</f>
        <v>0</v>
      </c>
    </row>
    <row r="397" spans="1:15" s="360" customFormat="1" ht="51" hidden="1">
      <c r="A397" s="356" t="s">
        <v>506</v>
      </c>
      <c r="B397" s="632" t="s">
        <v>3213</v>
      </c>
      <c r="C397" s="611">
        <f t="shared" si="38"/>
        <v>0</v>
      </c>
      <c r="D397" s="354" t="s">
        <v>5</v>
      </c>
      <c r="E397" s="10">
        <f t="shared" si="37"/>
        <v>1271.18</v>
      </c>
      <c r="F397" s="792">
        <f t="shared" si="36"/>
        <v>0</v>
      </c>
      <c r="G397" s="358">
        <f>SF!I106</f>
        <v>0</v>
      </c>
      <c r="H397" s="354" t="s">
        <v>102</v>
      </c>
      <c r="I397" s="355">
        <f>SF!K106</f>
        <v>1271.18</v>
      </c>
      <c r="J397" s="353">
        <f t="shared" si="39"/>
        <v>0</v>
      </c>
      <c r="K397" s="1698">
        <f>IF((J397+J398+J399+J400)&gt;(F397+F398+F399+F400),(J397+J398+J399+J400)-(F397+F398+F399+F400),0)</f>
        <v>0</v>
      </c>
      <c r="L397" s="1698">
        <f>IF((J397+J398+J399+J400)&lt;(F397+F398+F399+F400),(F397+F398+F399+F400)-(J397+J398+J399+J400),0)</f>
        <v>0</v>
      </c>
      <c r="M397" s="851" t="s">
        <v>2217</v>
      </c>
      <c r="N397" s="223"/>
      <c r="O397" s="850">
        <f t="shared" si="40"/>
        <v>0</v>
      </c>
    </row>
    <row r="398" spans="1:15" s="360" customFormat="1" ht="15" hidden="1">
      <c r="A398" s="356" t="s">
        <v>487</v>
      </c>
      <c r="B398" s="632" t="s">
        <v>2066</v>
      </c>
      <c r="C398" s="611">
        <f t="shared" si="38"/>
        <v>0</v>
      </c>
      <c r="D398" s="354"/>
      <c r="E398" s="15">
        <f t="shared" si="37"/>
        <v>1314.42</v>
      </c>
      <c r="F398" s="792">
        <f t="shared" si="36"/>
        <v>0</v>
      </c>
      <c r="G398" s="358">
        <f>SF!I111</f>
        <v>0</v>
      </c>
      <c r="H398" s="354" t="s">
        <v>102</v>
      </c>
      <c r="I398" s="355">
        <f>SF!K111</f>
        <v>1314.42</v>
      </c>
      <c r="J398" s="353">
        <f t="shared" si="39"/>
        <v>0</v>
      </c>
      <c r="K398" s="1680"/>
      <c r="L398" s="1680"/>
      <c r="M398" s="633" t="s">
        <v>2299</v>
      </c>
      <c r="N398" s="223"/>
      <c r="O398" s="631">
        <f t="shared" si="40"/>
        <v>0</v>
      </c>
    </row>
    <row r="399" spans="1:15" s="360" customFormat="1" ht="15" hidden="1">
      <c r="A399" s="356" t="s">
        <v>487</v>
      </c>
      <c r="B399" s="632" t="s">
        <v>2066</v>
      </c>
      <c r="C399" s="611">
        <f t="shared" si="38"/>
        <v>0</v>
      </c>
      <c r="D399" s="354"/>
      <c r="E399" s="15">
        <f t="shared" si="37"/>
        <v>1403.54</v>
      </c>
      <c r="F399" s="792">
        <f t="shared" si="36"/>
        <v>0</v>
      </c>
      <c r="G399" s="358">
        <f>SF!I116</f>
        <v>0</v>
      </c>
      <c r="H399" s="354" t="s">
        <v>102</v>
      </c>
      <c r="I399" s="355">
        <f>SF!K116</f>
        <v>1403.54</v>
      </c>
      <c r="J399" s="353">
        <f t="shared" si="39"/>
        <v>0</v>
      </c>
      <c r="K399" s="1680"/>
      <c r="L399" s="1680"/>
      <c r="M399" s="633" t="s">
        <v>2312</v>
      </c>
      <c r="N399" s="223"/>
      <c r="O399" s="631">
        <f t="shared" si="40"/>
        <v>0</v>
      </c>
    </row>
    <row r="400" spans="1:15" s="360" customFormat="1" ht="15" hidden="1">
      <c r="A400" s="356" t="s">
        <v>487</v>
      </c>
      <c r="B400" s="632" t="s">
        <v>2066</v>
      </c>
      <c r="C400" s="611">
        <f t="shared" si="38"/>
        <v>0</v>
      </c>
      <c r="D400" s="354"/>
      <c r="E400" s="15">
        <f t="shared" si="37"/>
        <v>1451.29</v>
      </c>
      <c r="F400" s="792">
        <f t="shared" si="36"/>
        <v>0</v>
      </c>
      <c r="G400" s="358">
        <f>SF!I121</f>
        <v>0</v>
      </c>
      <c r="H400" s="354" t="s">
        <v>102</v>
      </c>
      <c r="I400" s="355">
        <f>SF!K121</f>
        <v>1451.29</v>
      </c>
      <c r="J400" s="353">
        <f t="shared" si="39"/>
        <v>0</v>
      </c>
      <c r="K400" s="1681"/>
      <c r="L400" s="1681"/>
      <c r="M400" s="633" t="s">
        <v>2313</v>
      </c>
      <c r="N400" s="223"/>
      <c r="O400" s="631">
        <f t="shared" si="40"/>
        <v>0</v>
      </c>
    </row>
    <row r="401" spans="1:15" s="360" customFormat="1" ht="15" hidden="1">
      <c r="A401" s="356" t="s">
        <v>516</v>
      </c>
      <c r="B401" s="632" t="s">
        <v>2065</v>
      </c>
      <c r="C401" s="611">
        <f t="shared" si="38"/>
        <v>0</v>
      </c>
      <c r="D401" s="221"/>
      <c r="E401" s="15">
        <f t="shared" si="37"/>
        <v>1519.49</v>
      </c>
      <c r="F401" s="792">
        <f t="shared" si="36"/>
        <v>0</v>
      </c>
      <c r="G401" s="358">
        <f>SF!I63</f>
        <v>0</v>
      </c>
      <c r="H401" s="221" t="s">
        <v>102</v>
      </c>
      <c r="I401" s="355">
        <f>SF!K63</f>
        <v>1519.49</v>
      </c>
      <c r="J401" s="353">
        <f t="shared" si="39"/>
        <v>0</v>
      </c>
      <c r="K401" s="1679">
        <f>IF((J401+J402+J403+J404)&gt;(F401+F402+F403+F404),(J401+J402+J403+J404)-(F401+F402+F403+F404),0)</f>
        <v>0</v>
      </c>
      <c r="L401" s="1679">
        <f>IF((J401+J402+J403+J404)&lt;(F401+F402+F403+F404),(F401+F402+F403+F404)-(J401+J402+J403+J404),0)</f>
        <v>0</v>
      </c>
      <c r="M401" s="633" t="s">
        <v>2217</v>
      </c>
      <c r="N401" s="223"/>
      <c r="O401" s="631">
        <f t="shared" si="40"/>
        <v>0</v>
      </c>
    </row>
    <row r="402" spans="1:15" s="360" customFormat="1" ht="15" hidden="1">
      <c r="A402" s="356" t="s">
        <v>516</v>
      </c>
      <c r="B402" s="632" t="s">
        <v>2065</v>
      </c>
      <c r="C402" s="611">
        <f t="shared" si="38"/>
        <v>0</v>
      </c>
      <c r="D402" s="221"/>
      <c r="E402" s="15">
        <f t="shared" si="37"/>
        <v>1573.5</v>
      </c>
      <c r="F402" s="792">
        <f t="shared" si="36"/>
        <v>0</v>
      </c>
      <c r="G402" s="358">
        <f>SF!I69</f>
        <v>0</v>
      </c>
      <c r="H402" s="221" t="s">
        <v>102</v>
      </c>
      <c r="I402" s="355">
        <f>SF!K69</f>
        <v>1573.5</v>
      </c>
      <c r="J402" s="353">
        <f t="shared" si="39"/>
        <v>0</v>
      </c>
      <c r="K402" s="1680"/>
      <c r="L402" s="1680"/>
      <c r="M402" s="633" t="s">
        <v>2299</v>
      </c>
      <c r="N402" s="223"/>
      <c r="O402" s="631">
        <f t="shared" si="40"/>
        <v>0</v>
      </c>
    </row>
    <row r="403" spans="1:15" s="360" customFormat="1" ht="15" hidden="1">
      <c r="A403" s="356" t="s">
        <v>516</v>
      </c>
      <c r="B403" s="632" t="s">
        <v>2065</v>
      </c>
      <c r="C403" s="611">
        <f t="shared" si="38"/>
        <v>0</v>
      </c>
      <c r="D403" s="221"/>
      <c r="E403" s="15">
        <f t="shared" si="37"/>
        <v>1675.0100000000002</v>
      </c>
      <c r="F403" s="792">
        <f t="shared" si="36"/>
        <v>0</v>
      </c>
      <c r="G403" s="358">
        <f>SF!I75</f>
        <v>0</v>
      </c>
      <c r="H403" s="221" t="s">
        <v>102</v>
      </c>
      <c r="I403" s="355">
        <f>SF!K75</f>
        <v>1675.0100000000002</v>
      </c>
      <c r="J403" s="353">
        <f t="shared" si="39"/>
        <v>0</v>
      </c>
      <c r="K403" s="1680"/>
      <c r="L403" s="1680"/>
      <c r="M403" s="633" t="s">
        <v>2312</v>
      </c>
      <c r="N403" s="223"/>
      <c r="O403" s="631">
        <f t="shared" si="40"/>
        <v>0</v>
      </c>
    </row>
    <row r="404" spans="1:15" s="360" customFormat="1" ht="15" hidden="1">
      <c r="A404" s="356" t="s">
        <v>516</v>
      </c>
      <c r="B404" s="632" t="s">
        <v>2065</v>
      </c>
      <c r="C404" s="611">
        <f t="shared" si="38"/>
        <v>0</v>
      </c>
      <c r="D404" s="221"/>
      <c r="E404" s="15">
        <f t="shared" si="37"/>
        <v>1737.05</v>
      </c>
      <c r="F404" s="792">
        <f t="shared" si="36"/>
        <v>0</v>
      </c>
      <c r="G404" s="358">
        <f>SF!I81</f>
        <v>0</v>
      </c>
      <c r="H404" s="221" t="s">
        <v>102</v>
      </c>
      <c r="I404" s="355">
        <f>SF!K81</f>
        <v>1737.05</v>
      </c>
      <c r="J404" s="353">
        <f t="shared" si="39"/>
        <v>0</v>
      </c>
      <c r="K404" s="1681"/>
      <c r="L404" s="1681"/>
      <c r="M404" s="633" t="s">
        <v>2313</v>
      </c>
      <c r="N404" s="223"/>
      <c r="O404" s="631">
        <f t="shared" si="40"/>
        <v>0</v>
      </c>
    </row>
    <row r="405" spans="1:15" s="360" customFormat="1" ht="15" hidden="1">
      <c r="A405" s="356" t="s">
        <v>517</v>
      </c>
      <c r="B405" s="632" t="s">
        <v>2072</v>
      </c>
      <c r="C405" s="611">
        <f t="shared" si="38"/>
        <v>0</v>
      </c>
      <c r="D405" s="221"/>
      <c r="E405" s="15">
        <f t="shared" si="37"/>
        <v>747.27</v>
      </c>
      <c r="F405" s="792">
        <f t="shared" si="36"/>
        <v>0</v>
      </c>
      <c r="G405" s="358">
        <f>SF!I127</f>
        <v>0</v>
      </c>
      <c r="H405" s="221" t="s">
        <v>102</v>
      </c>
      <c r="I405" s="355">
        <f>SF!K127</f>
        <v>747.27</v>
      </c>
      <c r="J405" s="353">
        <f t="shared" si="39"/>
        <v>0</v>
      </c>
      <c r="K405" s="1679">
        <f>IF((J405+J406+J407+J408)&gt;(F405+F406+F407+F408),(J405+J406+J407+J408)-(F405+F406+F407+F408),0)</f>
        <v>0</v>
      </c>
      <c r="L405" s="1679">
        <f>IF((J405+J406+J407+J408)&lt;(F405+F406+F407+F408),(F405+F406+F407+F408)-(J405+J406+J407+J408),0)</f>
        <v>0</v>
      </c>
      <c r="M405" s="633" t="s">
        <v>2217</v>
      </c>
      <c r="N405" s="223"/>
      <c r="O405" s="631">
        <f t="shared" si="40"/>
        <v>0</v>
      </c>
    </row>
    <row r="406" spans="1:15" s="360" customFormat="1" ht="15" hidden="1">
      <c r="A406" s="356" t="s">
        <v>517</v>
      </c>
      <c r="B406" s="632" t="s">
        <v>2072</v>
      </c>
      <c r="C406" s="611">
        <f t="shared" si="38"/>
        <v>0</v>
      </c>
      <c r="D406" s="221"/>
      <c r="E406" s="15">
        <f t="shared" si="37"/>
        <v>779.57</v>
      </c>
      <c r="F406" s="792">
        <f t="shared" si="36"/>
        <v>0</v>
      </c>
      <c r="G406" s="358">
        <f>SF!I133</f>
        <v>0</v>
      </c>
      <c r="H406" s="221" t="s">
        <v>102</v>
      </c>
      <c r="I406" s="355">
        <f>SF!K133</f>
        <v>779.57</v>
      </c>
      <c r="J406" s="353">
        <f t="shared" si="39"/>
        <v>0</v>
      </c>
      <c r="K406" s="1680"/>
      <c r="L406" s="1680"/>
      <c r="M406" s="633" t="s">
        <v>2299</v>
      </c>
      <c r="N406" s="223"/>
      <c r="O406" s="631">
        <f t="shared" si="40"/>
        <v>0</v>
      </c>
    </row>
    <row r="407" spans="1:15" s="360" customFormat="1" ht="15" hidden="1">
      <c r="A407" s="356" t="s">
        <v>517</v>
      </c>
      <c r="B407" s="632" t="s">
        <v>2072</v>
      </c>
      <c r="C407" s="611">
        <f t="shared" si="38"/>
        <v>0</v>
      </c>
      <c r="D407" s="221"/>
      <c r="E407" s="15">
        <f t="shared" si="37"/>
        <v>831.97</v>
      </c>
      <c r="F407" s="792">
        <f t="shared" si="36"/>
        <v>0</v>
      </c>
      <c r="G407" s="358">
        <f>SF!I139</f>
        <v>0</v>
      </c>
      <c r="H407" s="221" t="s">
        <v>102</v>
      </c>
      <c r="I407" s="355">
        <f>SF!K139</f>
        <v>831.97</v>
      </c>
      <c r="J407" s="353">
        <f t="shared" si="39"/>
        <v>0</v>
      </c>
      <c r="K407" s="1680"/>
      <c r="L407" s="1680"/>
      <c r="M407" s="633" t="s">
        <v>2312</v>
      </c>
      <c r="N407" s="223"/>
      <c r="O407" s="631">
        <f t="shared" si="40"/>
        <v>0</v>
      </c>
    </row>
    <row r="408" spans="1:15" s="360" customFormat="1" ht="15" hidden="1">
      <c r="A408" s="356" t="s">
        <v>517</v>
      </c>
      <c r="B408" s="632" t="s">
        <v>2072</v>
      </c>
      <c r="C408" s="611">
        <f t="shared" si="38"/>
        <v>0</v>
      </c>
      <c r="D408" s="221"/>
      <c r="E408" s="15">
        <f t="shared" si="37"/>
        <v>865.17</v>
      </c>
      <c r="F408" s="792">
        <f t="shared" si="36"/>
        <v>0</v>
      </c>
      <c r="G408" s="358">
        <f>SF!I145</f>
        <v>0</v>
      </c>
      <c r="H408" s="221" t="s">
        <v>102</v>
      </c>
      <c r="I408" s="355">
        <f>SF!K145</f>
        <v>865.17</v>
      </c>
      <c r="J408" s="353">
        <f t="shared" si="39"/>
        <v>0</v>
      </c>
      <c r="K408" s="1681"/>
      <c r="L408" s="1681"/>
      <c r="M408" s="633" t="s">
        <v>2313</v>
      </c>
      <c r="N408" s="223"/>
      <c r="O408" s="631">
        <f t="shared" si="40"/>
        <v>0</v>
      </c>
    </row>
    <row r="409" spans="1:15" s="360" customFormat="1" ht="15" hidden="1">
      <c r="A409" s="356" t="s">
        <v>517</v>
      </c>
      <c r="B409" s="632" t="s">
        <v>2073</v>
      </c>
      <c r="C409" s="611">
        <f t="shared" si="38"/>
        <v>0</v>
      </c>
      <c r="D409" s="221"/>
      <c r="E409" s="15">
        <f t="shared" si="37"/>
        <v>624.5</v>
      </c>
      <c r="F409" s="792">
        <f t="shared" si="36"/>
        <v>0</v>
      </c>
      <c r="G409" s="358">
        <f>SF!I151</f>
        <v>0</v>
      </c>
      <c r="H409" s="221" t="s">
        <v>102</v>
      </c>
      <c r="I409" s="355">
        <f>SF!K151</f>
        <v>624.5</v>
      </c>
      <c r="J409" s="353">
        <f t="shared" si="39"/>
        <v>0</v>
      </c>
      <c r="K409" s="1679">
        <f>IF((J409+J410+J411+J412)&gt;(F409+F410+F411+F412),(J409+J410+J411+J412)-(F409+F410+F411+F412),0)</f>
        <v>0</v>
      </c>
      <c r="L409" s="1679">
        <f>IF((J409+J410+J411+J412)&lt;(F409+F410+F411+F412),(F409+F410+F411+F412)-(J409+J410+J411+J412),0)</f>
        <v>0</v>
      </c>
      <c r="M409" s="633" t="s">
        <v>2217</v>
      </c>
      <c r="N409" s="223"/>
      <c r="O409" s="631">
        <f t="shared" si="40"/>
        <v>0</v>
      </c>
    </row>
    <row r="410" spans="1:15" s="360" customFormat="1" ht="15" hidden="1">
      <c r="A410" s="356" t="s">
        <v>517</v>
      </c>
      <c r="B410" s="632" t="s">
        <v>2073</v>
      </c>
      <c r="C410" s="611">
        <f t="shared" si="38"/>
        <v>0</v>
      </c>
      <c r="D410" s="221"/>
      <c r="E410" s="15">
        <f t="shared" si="37"/>
        <v>651.52</v>
      </c>
      <c r="F410" s="792">
        <f t="shared" si="36"/>
        <v>0</v>
      </c>
      <c r="G410" s="358">
        <f>SF!I157</f>
        <v>0</v>
      </c>
      <c r="H410" s="221" t="s">
        <v>102</v>
      </c>
      <c r="I410" s="355">
        <f>SF!K157</f>
        <v>651.52</v>
      </c>
      <c r="J410" s="353">
        <f t="shared" si="39"/>
        <v>0</v>
      </c>
      <c r="K410" s="1680"/>
      <c r="L410" s="1680"/>
      <c r="M410" s="633" t="s">
        <v>2299</v>
      </c>
      <c r="N410" s="223"/>
      <c r="O410" s="631">
        <f t="shared" si="40"/>
        <v>0</v>
      </c>
    </row>
    <row r="411" spans="1:15" s="360" customFormat="1" ht="15" hidden="1">
      <c r="A411" s="356" t="s">
        <v>517</v>
      </c>
      <c r="B411" s="632" t="s">
        <v>2073</v>
      </c>
      <c r="C411" s="611">
        <f t="shared" si="38"/>
        <v>0</v>
      </c>
      <c r="D411" s="221"/>
      <c r="E411" s="15">
        <f t="shared" si="37"/>
        <v>697.83999999999992</v>
      </c>
      <c r="F411" s="792">
        <f t="shared" si="36"/>
        <v>0</v>
      </c>
      <c r="G411" s="358">
        <f>SF!I163</f>
        <v>0</v>
      </c>
      <c r="H411" s="221" t="s">
        <v>102</v>
      </c>
      <c r="I411" s="355">
        <f>SF!K163</f>
        <v>697.83999999999992</v>
      </c>
      <c r="J411" s="353">
        <f t="shared" si="39"/>
        <v>0</v>
      </c>
      <c r="K411" s="1680"/>
      <c r="L411" s="1680"/>
      <c r="M411" s="633" t="s">
        <v>2312</v>
      </c>
      <c r="N411" s="223"/>
      <c r="O411" s="631">
        <f t="shared" si="40"/>
        <v>0</v>
      </c>
    </row>
    <row r="412" spans="1:15" s="360" customFormat="1" ht="15" hidden="1">
      <c r="A412" s="356" t="s">
        <v>517</v>
      </c>
      <c r="B412" s="632" t="s">
        <v>2073</v>
      </c>
      <c r="C412" s="611">
        <f t="shared" si="38"/>
        <v>0</v>
      </c>
      <c r="D412" s="221"/>
      <c r="E412" s="15">
        <f t="shared" si="37"/>
        <v>724.02</v>
      </c>
      <c r="F412" s="792">
        <f t="shared" si="36"/>
        <v>0</v>
      </c>
      <c r="G412" s="358">
        <f>SF!I169</f>
        <v>0</v>
      </c>
      <c r="H412" s="221" t="s">
        <v>102</v>
      </c>
      <c r="I412" s="355">
        <f>SF!K169</f>
        <v>724.02</v>
      </c>
      <c r="J412" s="353">
        <f t="shared" si="39"/>
        <v>0</v>
      </c>
      <c r="K412" s="1681"/>
      <c r="L412" s="1681"/>
      <c r="M412" s="633" t="s">
        <v>2313</v>
      </c>
      <c r="N412" s="223"/>
      <c r="O412" s="631">
        <f t="shared" si="40"/>
        <v>0</v>
      </c>
    </row>
    <row r="413" spans="1:15" s="360" customFormat="1" ht="15" hidden="1">
      <c r="A413" s="356" t="s">
        <v>518</v>
      </c>
      <c r="B413" s="632" t="s">
        <v>2069</v>
      </c>
      <c r="C413" s="611">
        <f t="shared" si="38"/>
        <v>0</v>
      </c>
      <c r="D413" s="354"/>
      <c r="E413" s="15">
        <f t="shared" si="37"/>
        <v>10426.34</v>
      </c>
      <c r="F413" s="792">
        <f t="shared" si="36"/>
        <v>0</v>
      </c>
      <c r="G413" s="358">
        <f>SF!I176</f>
        <v>0</v>
      </c>
      <c r="H413" s="354" t="s">
        <v>5</v>
      </c>
      <c r="I413" s="355">
        <f>SF!K176</f>
        <v>10426.34</v>
      </c>
      <c r="J413" s="353">
        <f t="shared" si="39"/>
        <v>0</v>
      </c>
      <c r="K413" s="1679">
        <f>IF((J413+J414+J415+J416)&gt;(F413+F414+F415+F416),(J413+J414+J415+J416)-(F413+F414+F415+F416),0)</f>
        <v>0</v>
      </c>
      <c r="L413" s="1679">
        <f>IF((J413+J414+J415+J416)&lt;(F413+F414+F415+F416),(F413+F414+F415+F416)-(J413+J414+J415+J416),0)</f>
        <v>0</v>
      </c>
      <c r="M413" s="633" t="s">
        <v>2217</v>
      </c>
      <c r="N413" s="223"/>
      <c r="O413" s="631">
        <f t="shared" si="40"/>
        <v>0</v>
      </c>
    </row>
    <row r="414" spans="1:15" s="360" customFormat="1" ht="15" hidden="1">
      <c r="A414" s="356" t="s">
        <v>518</v>
      </c>
      <c r="B414" s="632" t="s">
        <v>2069</v>
      </c>
      <c r="C414" s="611">
        <f t="shared" si="38"/>
        <v>0</v>
      </c>
      <c r="D414" s="354"/>
      <c r="E414" s="15">
        <f t="shared" si="37"/>
        <v>10817</v>
      </c>
      <c r="F414" s="792">
        <f t="shared" si="36"/>
        <v>0</v>
      </c>
      <c r="G414" s="358">
        <f>SF!I183</f>
        <v>0</v>
      </c>
      <c r="H414" s="354" t="s">
        <v>5</v>
      </c>
      <c r="I414" s="355">
        <f>SF!K183</f>
        <v>10817</v>
      </c>
      <c r="J414" s="353">
        <f t="shared" si="39"/>
        <v>0</v>
      </c>
      <c r="K414" s="1680"/>
      <c r="L414" s="1680"/>
      <c r="M414" s="633" t="s">
        <v>2299</v>
      </c>
      <c r="N414" s="223"/>
      <c r="O414" s="631">
        <f t="shared" si="40"/>
        <v>0</v>
      </c>
    </row>
    <row r="415" spans="1:15" s="360" customFormat="1" ht="15" hidden="1">
      <c r="A415" s="356" t="s">
        <v>518</v>
      </c>
      <c r="B415" s="632" t="s">
        <v>2069</v>
      </c>
      <c r="C415" s="611">
        <f t="shared" si="38"/>
        <v>0</v>
      </c>
      <c r="D415" s="354"/>
      <c r="E415" s="15">
        <f t="shared" si="37"/>
        <v>11426.3</v>
      </c>
      <c r="F415" s="792">
        <f t="shared" si="36"/>
        <v>0</v>
      </c>
      <c r="G415" s="358">
        <f>SF!I190</f>
        <v>0</v>
      </c>
      <c r="H415" s="354" t="s">
        <v>5</v>
      </c>
      <c r="I415" s="355">
        <f>SF!K190</f>
        <v>11426.3</v>
      </c>
      <c r="J415" s="353">
        <f t="shared" si="39"/>
        <v>0</v>
      </c>
      <c r="K415" s="1680"/>
      <c r="L415" s="1680"/>
      <c r="M415" s="633" t="s">
        <v>2312</v>
      </c>
      <c r="N415" s="223"/>
      <c r="O415" s="631">
        <f t="shared" si="40"/>
        <v>0</v>
      </c>
    </row>
    <row r="416" spans="1:15" s="360" customFormat="1" ht="15" hidden="1">
      <c r="A416" s="356" t="s">
        <v>518</v>
      </c>
      <c r="B416" s="632" t="s">
        <v>2069</v>
      </c>
      <c r="C416" s="611">
        <f t="shared" si="38"/>
        <v>0</v>
      </c>
      <c r="D416" s="354"/>
      <c r="E416" s="15">
        <f t="shared" si="37"/>
        <v>11874.810000000001</v>
      </c>
      <c r="F416" s="792">
        <f t="shared" si="36"/>
        <v>0</v>
      </c>
      <c r="G416" s="358">
        <f>SF!I197</f>
        <v>0</v>
      </c>
      <c r="H416" s="354" t="s">
        <v>5</v>
      </c>
      <c r="I416" s="355">
        <f>SF!K197</f>
        <v>11874.810000000001</v>
      </c>
      <c r="J416" s="353">
        <f t="shared" si="39"/>
        <v>0</v>
      </c>
      <c r="K416" s="1681"/>
      <c r="L416" s="1681"/>
      <c r="M416" s="633" t="s">
        <v>2313</v>
      </c>
      <c r="N416" s="223"/>
      <c r="O416" s="631">
        <f t="shared" si="40"/>
        <v>0</v>
      </c>
    </row>
    <row r="417" spans="1:15" s="360" customFormat="1" ht="15" hidden="1">
      <c r="A417" s="356" t="s">
        <v>519</v>
      </c>
      <c r="B417" s="632" t="s">
        <v>2070</v>
      </c>
      <c r="C417" s="611">
        <f t="shared" si="38"/>
        <v>0</v>
      </c>
      <c r="D417" s="221"/>
      <c r="E417" s="15">
        <f t="shared" si="37"/>
        <v>663.65999999999985</v>
      </c>
      <c r="F417" s="792">
        <f t="shared" si="36"/>
        <v>0</v>
      </c>
      <c r="G417" s="358">
        <f>SF!I202</f>
        <v>0</v>
      </c>
      <c r="H417" s="221" t="s">
        <v>277</v>
      </c>
      <c r="I417" s="355">
        <f>SF!K202</f>
        <v>663.65999999999985</v>
      </c>
      <c r="J417" s="353">
        <f t="shared" si="39"/>
        <v>0</v>
      </c>
      <c r="K417" s="1679">
        <f>IF((J417+J418+J419+J420)&gt;(F417+F418+F419+F420),(J417+J418+J419+J420)-(F417+F418+F419+F420),0)</f>
        <v>0</v>
      </c>
      <c r="L417" s="1679">
        <f>IF((J417+J418+J419+J420)&lt;(F417+F418+F419+F420),(F417+F418+F419+F420)-(J417+J418+J419+J420),0)</f>
        <v>0</v>
      </c>
      <c r="M417" s="633" t="s">
        <v>2217</v>
      </c>
      <c r="N417" s="223"/>
      <c r="O417" s="631">
        <f t="shared" si="40"/>
        <v>0</v>
      </c>
    </row>
    <row r="418" spans="1:15" s="360" customFormat="1" ht="15" hidden="1">
      <c r="A418" s="356" t="s">
        <v>519</v>
      </c>
      <c r="B418" s="632" t="s">
        <v>2070</v>
      </c>
      <c r="C418" s="611">
        <f t="shared" si="38"/>
        <v>0</v>
      </c>
      <c r="D418" s="221"/>
      <c r="E418" s="15">
        <f t="shared" si="37"/>
        <v>684.77</v>
      </c>
      <c r="F418" s="792">
        <f t="shared" si="36"/>
        <v>0</v>
      </c>
      <c r="G418" s="358">
        <f>SF!I207</f>
        <v>0</v>
      </c>
      <c r="H418" s="221" t="s">
        <v>277</v>
      </c>
      <c r="I418" s="355">
        <f>SF!K207</f>
        <v>684.77</v>
      </c>
      <c r="J418" s="353">
        <f t="shared" si="39"/>
        <v>0</v>
      </c>
      <c r="K418" s="1680"/>
      <c r="L418" s="1680"/>
      <c r="M418" s="633" t="s">
        <v>2299</v>
      </c>
      <c r="N418" s="223"/>
      <c r="O418" s="631">
        <f t="shared" si="40"/>
        <v>0</v>
      </c>
    </row>
    <row r="419" spans="1:15" s="360" customFormat="1" ht="15" hidden="1">
      <c r="A419" s="356" t="s">
        <v>519</v>
      </c>
      <c r="B419" s="632" t="s">
        <v>2070</v>
      </c>
      <c r="C419" s="611">
        <f t="shared" si="38"/>
        <v>0</v>
      </c>
      <c r="D419" s="221"/>
      <c r="E419" s="15">
        <f t="shared" si="37"/>
        <v>722.50999999999988</v>
      </c>
      <c r="F419" s="792">
        <f t="shared" si="36"/>
        <v>0</v>
      </c>
      <c r="G419" s="358">
        <f>SF!I212</f>
        <v>0</v>
      </c>
      <c r="H419" s="221" t="s">
        <v>277</v>
      </c>
      <c r="I419" s="355">
        <f>SF!K212</f>
        <v>722.50999999999988</v>
      </c>
      <c r="J419" s="353">
        <f t="shared" si="39"/>
        <v>0</v>
      </c>
      <c r="K419" s="1680"/>
      <c r="L419" s="1680"/>
      <c r="M419" s="633" t="s">
        <v>2312</v>
      </c>
      <c r="N419" s="223"/>
      <c r="O419" s="631">
        <f t="shared" si="40"/>
        <v>0</v>
      </c>
    </row>
    <row r="420" spans="1:15" s="360" customFormat="1" ht="15" hidden="1">
      <c r="A420" s="356" t="s">
        <v>519</v>
      </c>
      <c r="B420" s="632" t="s">
        <v>2070</v>
      </c>
      <c r="C420" s="611">
        <f t="shared" si="38"/>
        <v>0</v>
      </c>
      <c r="D420" s="221"/>
      <c r="E420" s="15">
        <f t="shared" si="37"/>
        <v>744.7299999999999</v>
      </c>
      <c r="F420" s="792">
        <f t="shared" si="36"/>
        <v>0</v>
      </c>
      <c r="G420" s="358">
        <f>SF!I217</f>
        <v>0</v>
      </c>
      <c r="H420" s="221" t="s">
        <v>277</v>
      </c>
      <c r="I420" s="355">
        <f>SF!K217</f>
        <v>744.7299999999999</v>
      </c>
      <c r="J420" s="353">
        <f t="shared" si="39"/>
        <v>0</v>
      </c>
      <c r="K420" s="1681"/>
      <c r="L420" s="1681"/>
      <c r="M420" s="633" t="s">
        <v>2313</v>
      </c>
      <c r="N420" s="223"/>
      <c r="O420" s="631">
        <f t="shared" si="40"/>
        <v>0</v>
      </c>
    </row>
    <row r="421" spans="1:15" s="360" customFormat="1" ht="15" hidden="1">
      <c r="A421" s="356" t="s">
        <v>519</v>
      </c>
      <c r="B421" s="632" t="s">
        <v>1478</v>
      </c>
      <c r="C421" s="611">
        <f t="shared" si="38"/>
        <v>0</v>
      </c>
      <c r="D421" s="221"/>
      <c r="E421" s="15">
        <f t="shared" si="37"/>
        <v>297.64999999999998</v>
      </c>
      <c r="F421" s="792">
        <f t="shared" si="36"/>
        <v>0</v>
      </c>
      <c r="G421" s="358">
        <f>SF!I222</f>
        <v>0</v>
      </c>
      <c r="H421" s="221" t="s">
        <v>102</v>
      </c>
      <c r="I421" s="355">
        <f>SF!K222</f>
        <v>297.64999999999998</v>
      </c>
      <c r="J421" s="353">
        <f t="shared" si="39"/>
        <v>0</v>
      </c>
      <c r="K421" s="1679">
        <f>IF((J421+J422+J423+J424)&gt;(F421+F422+F423+F424),(J421+J422+J423+J424)-(F421+F422+F423+F424),0)</f>
        <v>0</v>
      </c>
      <c r="L421" s="1679">
        <f>IF((J421+J422+J423+J424)&lt;(F421+F422+F423+F424),(F421+F422+F423+F424)-(J421+J422+J423+J424),0)</f>
        <v>0</v>
      </c>
      <c r="M421" s="633" t="s">
        <v>2217</v>
      </c>
      <c r="N421" s="223"/>
      <c r="O421" s="631">
        <f t="shared" si="40"/>
        <v>0</v>
      </c>
    </row>
    <row r="422" spans="1:15" s="360" customFormat="1" ht="15" hidden="1">
      <c r="A422" s="356" t="s">
        <v>519</v>
      </c>
      <c r="B422" s="632" t="s">
        <v>1478</v>
      </c>
      <c r="C422" s="611">
        <f t="shared" si="38"/>
        <v>0</v>
      </c>
      <c r="D422" s="221"/>
      <c r="E422" s="15">
        <f t="shared" si="37"/>
        <v>321.24</v>
      </c>
      <c r="F422" s="792">
        <f t="shared" si="36"/>
        <v>0</v>
      </c>
      <c r="G422" s="358">
        <f>SF!I227</f>
        <v>0</v>
      </c>
      <c r="H422" s="221" t="s">
        <v>102</v>
      </c>
      <c r="I422" s="355">
        <f>SF!K227</f>
        <v>321.24</v>
      </c>
      <c r="J422" s="353">
        <f t="shared" si="39"/>
        <v>0</v>
      </c>
      <c r="K422" s="1680"/>
      <c r="L422" s="1680"/>
      <c r="M422" s="633" t="s">
        <v>2299</v>
      </c>
      <c r="N422" s="223"/>
      <c r="O422" s="631">
        <f t="shared" si="40"/>
        <v>0</v>
      </c>
    </row>
    <row r="423" spans="1:15" s="360" customFormat="1" ht="15" hidden="1">
      <c r="A423" s="356" t="s">
        <v>519</v>
      </c>
      <c r="B423" s="632" t="s">
        <v>1478</v>
      </c>
      <c r="C423" s="611">
        <f t="shared" si="38"/>
        <v>0</v>
      </c>
      <c r="D423" s="221"/>
      <c r="E423" s="15">
        <f t="shared" si="37"/>
        <v>340.95</v>
      </c>
      <c r="F423" s="792">
        <f t="shared" si="36"/>
        <v>0</v>
      </c>
      <c r="G423" s="358">
        <f>SF!I232</f>
        <v>0</v>
      </c>
      <c r="H423" s="221" t="s">
        <v>102</v>
      </c>
      <c r="I423" s="355">
        <f>SF!K232</f>
        <v>340.95</v>
      </c>
      <c r="J423" s="353">
        <f t="shared" si="39"/>
        <v>0</v>
      </c>
      <c r="K423" s="1680"/>
      <c r="L423" s="1680"/>
      <c r="M423" s="633" t="s">
        <v>2312</v>
      </c>
      <c r="N423" s="223"/>
      <c r="O423" s="631">
        <f t="shared" si="40"/>
        <v>0</v>
      </c>
    </row>
    <row r="424" spans="1:15" s="360" customFormat="1" ht="15" hidden="1">
      <c r="A424" s="356" t="s">
        <v>519</v>
      </c>
      <c r="B424" s="632" t="s">
        <v>1478</v>
      </c>
      <c r="C424" s="611">
        <f t="shared" si="38"/>
        <v>0</v>
      </c>
      <c r="D424" s="221"/>
      <c r="E424" s="15">
        <f t="shared" si="37"/>
        <v>362.63</v>
      </c>
      <c r="F424" s="792">
        <f t="shared" si="36"/>
        <v>0</v>
      </c>
      <c r="G424" s="358">
        <f>SF!I237</f>
        <v>0</v>
      </c>
      <c r="H424" s="221" t="s">
        <v>102</v>
      </c>
      <c r="I424" s="355">
        <f>SF!K237</f>
        <v>362.63</v>
      </c>
      <c r="J424" s="353">
        <f t="shared" si="39"/>
        <v>0</v>
      </c>
      <c r="K424" s="1681"/>
      <c r="L424" s="1681"/>
      <c r="M424" s="633" t="s">
        <v>2313</v>
      </c>
      <c r="N424" s="223"/>
      <c r="O424" s="631">
        <f t="shared" si="40"/>
        <v>0</v>
      </c>
    </row>
    <row r="425" spans="1:15" s="360" customFormat="1" ht="15" hidden="1">
      <c r="A425" s="356" t="s">
        <v>520</v>
      </c>
      <c r="B425" s="632" t="s">
        <v>1479</v>
      </c>
      <c r="C425" s="611">
        <f t="shared" si="38"/>
        <v>0</v>
      </c>
      <c r="D425" s="221"/>
      <c r="E425" s="15">
        <f t="shared" si="37"/>
        <v>382.24</v>
      </c>
      <c r="F425" s="792">
        <f t="shared" si="36"/>
        <v>0</v>
      </c>
      <c r="G425" s="358">
        <f>SF!I243</f>
        <v>0</v>
      </c>
      <c r="H425" s="221" t="s">
        <v>102</v>
      </c>
      <c r="I425" s="355">
        <f>SF!K243</f>
        <v>382.24</v>
      </c>
      <c r="J425" s="353">
        <f t="shared" si="39"/>
        <v>0</v>
      </c>
      <c r="K425" s="1679">
        <f>IF((J425+J426+J427+J428)&gt;(F425+F426+F427+F428),(J425+J426+J427+J428)-(F425+F426+F427+F428),0)</f>
        <v>0</v>
      </c>
      <c r="L425" s="1679">
        <f>IF((J425+J426+J427+J428)&lt;(F425+F426+F427+F428),(F425+F426+F427+F428)-(J425+J426+J427+J428),0)</f>
        <v>0</v>
      </c>
      <c r="M425" s="633" t="s">
        <v>2217</v>
      </c>
      <c r="N425" s="223"/>
      <c r="O425" s="631">
        <f t="shared" si="40"/>
        <v>0</v>
      </c>
    </row>
    <row r="426" spans="1:15" s="360" customFormat="1" ht="15" hidden="1">
      <c r="A426" s="356" t="s">
        <v>520</v>
      </c>
      <c r="B426" s="632" t="s">
        <v>1479</v>
      </c>
      <c r="C426" s="611">
        <f t="shared" si="38"/>
        <v>0</v>
      </c>
      <c r="D426" s="221"/>
      <c r="E426" s="15">
        <f t="shared" si="37"/>
        <v>414.32</v>
      </c>
      <c r="F426" s="792">
        <f t="shared" si="36"/>
        <v>0</v>
      </c>
      <c r="G426" s="358">
        <f>SF!I249</f>
        <v>0</v>
      </c>
      <c r="H426" s="221" t="s">
        <v>102</v>
      </c>
      <c r="I426" s="355">
        <f>SF!K249</f>
        <v>414.32</v>
      </c>
      <c r="J426" s="353">
        <f t="shared" si="39"/>
        <v>0</v>
      </c>
      <c r="K426" s="1680"/>
      <c r="L426" s="1680"/>
      <c r="M426" s="633" t="s">
        <v>2299</v>
      </c>
      <c r="N426" s="223"/>
      <c r="O426" s="631">
        <f t="shared" si="40"/>
        <v>0</v>
      </c>
    </row>
    <row r="427" spans="1:15" s="360" customFormat="1" ht="15" hidden="1">
      <c r="A427" s="356" t="s">
        <v>520</v>
      </c>
      <c r="B427" s="632" t="s">
        <v>1479</v>
      </c>
      <c r="C427" s="611">
        <f t="shared" si="38"/>
        <v>0</v>
      </c>
      <c r="D427" s="221"/>
      <c r="E427" s="15">
        <f t="shared" si="37"/>
        <v>440.9</v>
      </c>
      <c r="F427" s="792">
        <f t="shared" si="36"/>
        <v>0</v>
      </c>
      <c r="G427" s="358">
        <f>SF!I255</f>
        <v>0</v>
      </c>
      <c r="H427" s="221" t="s">
        <v>102</v>
      </c>
      <c r="I427" s="355">
        <f>SF!K255</f>
        <v>440.9</v>
      </c>
      <c r="J427" s="353">
        <f t="shared" si="39"/>
        <v>0</v>
      </c>
      <c r="K427" s="1680"/>
      <c r="L427" s="1680"/>
      <c r="M427" s="633" t="s">
        <v>2312</v>
      </c>
      <c r="N427" s="223"/>
      <c r="O427" s="631">
        <f t="shared" si="40"/>
        <v>0</v>
      </c>
    </row>
    <row r="428" spans="1:15" s="360" customFormat="1" ht="15" hidden="1">
      <c r="A428" s="356" t="s">
        <v>520</v>
      </c>
      <c r="B428" s="632" t="s">
        <v>1479</v>
      </c>
      <c r="C428" s="611">
        <f t="shared" si="38"/>
        <v>0</v>
      </c>
      <c r="D428" s="221"/>
      <c r="E428" s="15">
        <f t="shared" si="37"/>
        <v>470.34</v>
      </c>
      <c r="F428" s="792">
        <f t="shared" si="36"/>
        <v>0</v>
      </c>
      <c r="G428" s="358">
        <f>SF!I261</f>
        <v>0</v>
      </c>
      <c r="H428" s="221" t="s">
        <v>102</v>
      </c>
      <c r="I428" s="355">
        <f>SF!K261</f>
        <v>470.34</v>
      </c>
      <c r="J428" s="353">
        <f t="shared" si="39"/>
        <v>0</v>
      </c>
      <c r="K428" s="1681"/>
      <c r="L428" s="1681"/>
      <c r="M428" s="633" t="s">
        <v>2313</v>
      </c>
      <c r="N428" s="223"/>
      <c r="O428" s="631">
        <f t="shared" si="40"/>
        <v>0</v>
      </c>
    </row>
    <row r="429" spans="1:15" s="360" customFormat="1" ht="63.75" hidden="1">
      <c r="A429" s="356" t="s">
        <v>508</v>
      </c>
      <c r="B429" s="632" t="s">
        <v>3192</v>
      </c>
      <c r="C429" s="611">
        <f t="shared" si="38"/>
        <v>0</v>
      </c>
      <c r="D429" s="354" t="s">
        <v>5</v>
      </c>
      <c r="E429" s="10">
        <f t="shared" si="37"/>
        <v>6307.0100000000011</v>
      </c>
      <c r="F429" s="792">
        <f t="shared" si="36"/>
        <v>0</v>
      </c>
      <c r="G429" s="358">
        <f>SF!I298</f>
        <v>0</v>
      </c>
      <c r="H429" s="354" t="s">
        <v>5</v>
      </c>
      <c r="I429" s="355">
        <f>SF!K298</f>
        <v>6307.0100000000011</v>
      </c>
      <c r="J429" s="353">
        <f t="shared" si="39"/>
        <v>0</v>
      </c>
      <c r="K429" s="1698">
        <f>IF((J429+J430+J431+J432)&gt;(F429+F430+F431+F432),(J429+J430+J431+J432)-(F429+F430+F431+F432),0)</f>
        <v>0</v>
      </c>
      <c r="L429" s="1698">
        <f>IF((J429+J430+J431+J432)&lt;(F429+F430+F431+F432),(F429+F430+F431+F432)-(J429+J430+J431+J432),0)</f>
        <v>0</v>
      </c>
      <c r="M429" s="851" t="s">
        <v>2217</v>
      </c>
      <c r="N429" s="223"/>
      <c r="O429" s="850">
        <f t="shared" si="40"/>
        <v>0</v>
      </c>
    </row>
    <row r="430" spans="1:15" s="360" customFormat="1" ht="15" hidden="1">
      <c r="A430" s="356" t="s">
        <v>1588</v>
      </c>
      <c r="B430" s="632" t="s">
        <v>829</v>
      </c>
      <c r="C430" s="611">
        <f t="shared" si="38"/>
        <v>0</v>
      </c>
      <c r="D430" s="354"/>
      <c r="E430" s="15">
        <f t="shared" si="37"/>
        <v>6491.829999999999</v>
      </c>
      <c r="F430" s="792">
        <f t="shared" si="36"/>
        <v>0</v>
      </c>
      <c r="G430" s="358">
        <f>SF!I307</f>
        <v>0</v>
      </c>
      <c r="H430" s="354" t="s">
        <v>5</v>
      </c>
      <c r="I430" s="355">
        <f>SF!K307</f>
        <v>6491.829999999999</v>
      </c>
      <c r="J430" s="353">
        <f t="shared" si="39"/>
        <v>0</v>
      </c>
      <c r="K430" s="1680"/>
      <c r="L430" s="1680"/>
      <c r="M430" s="633" t="s">
        <v>2299</v>
      </c>
      <c r="N430" s="223"/>
      <c r="O430" s="631">
        <f t="shared" si="40"/>
        <v>0</v>
      </c>
    </row>
    <row r="431" spans="1:15" s="360" customFormat="1" ht="15" hidden="1">
      <c r="A431" s="356" t="s">
        <v>1585</v>
      </c>
      <c r="B431" s="632" t="s">
        <v>829</v>
      </c>
      <c r="C431" s="611">
        <f t="shared" si="38"/>
        <v>0</v>
      </c>
      <c r="D431" s="354"/>
      <c r="E431" s="15">
        <f t="shared" si="37"/>
        <v>6937.8099999999995</v>
      </c>
      <c r="F431" s="792">
        <f t="shared" si="36"/>
        <v>0</v>
      </c>
      <c r="G431" s="358">
        <f>SF!I312</f>
        <v>0</v>
      </c>
      <c r="H431" s="354" t="s">
        <v>5</v>
      </c>
      <c r="I431" s="355">
        <f>SF!K312</f>
        <v>6937.8099999999995</v>
      </c>
      <c r="J431" s="353">
        <f t="shared" si="39"/>
        <v>0</v>
      </c>
      <c r="K431" s="1680"/>
      <c r="L431" s="1680"/>
      <c r="M431" s="633" t="s">
        <v>2312</v>
      </c>
      <c r="N431" s="223"/>
      <c r="O431" s="631">
        <f t="shared" si="40"/>
        <v>0</v>
      </c>
    </row>
    <row r="432" spans="1:15" s="360" customFormat="1" ht="15" hidden="1">
      <c r="A432" s="356" t="s">
        <v>1585</v>
      </c>
      <c r="B432" s="632" t="s">
        <v>829</v>
      </c>
      <c r="C432" s="611">
        <f t="shared" si="38"/>
        <v>0</v>
      </c>
      <c r="D432" s="354"/>
      <c r="E432" s="15">
        <f t="shared" si="37"/>
        <v>7673.4</v>
      </c>
      <c r="F432" s="792">
        <f t="shared" ref="F432:F495" si="41">ROUND(C432*E432,0)</f>
        <v>0</v>
      </c>
      <c r="G432" s="358">
        <f>SF!I320</f>
        <v>0</v>
      </c>
      <c r="H432" s="354" t="s">
        <v>5</v>
      </c>
      <c r="I432" s="355">
        <f>SF!K320</f>
        <v>7673.4</v>
      </c>
      <c r="J432" s="353">
        <f t="shared" si="39"/>
        <v>0</v>
      </c>
      <c r="K432" s="1681"/>
      <c r="L432" s="1681"/>
      <c r="M432" s="633" t="s">
        <v>2313</v>
      </c>
      <c r="N432" s="223"/>
      <c r="O432" s="631">
        <f t="shared" si="40"/>
        <v>0</v>
      </c>
    </row>
    <row r="433" spans="1:15" s="360" customFormat="1" ht="15" hidden="1">
      <c r="A433" s="356" t="s">
        <v>491</v>
      </c>
      <c r="B433" s="632" t="s">
        <v>828</v>
      </c>
      <c r="C433" s="611">
        <f t="shared" si="38"/>
        <v>0</v>
      </c>
      <c r="D433" s="354"/>
      <c r="E433" s="15">
        <f t="shared" ref="E433:E496" si="42">I433</f>
        <v>6250.6100000000015</v>
      </c>
      <c r="F433" s="792">
        <f t="shared" si="41"/>
        <v>0</v>
      </c>
      <c r="G433" s="358">
        <f>SF!I269</f>
        <v>0</v>
      </c>
      <c r="H433" s="354" t="s">
        <v>5</v>
      </c>
      <c r="I433" s="355">
        <f>SF!K269</f>
        <v>6250.6100000000015</v>
      </c>
      <c r="J433" s="353">
        <f t="shared" si="39"/>
        <v>0</v>
      </c>
      <c r="K433" s="1679">
        <f>IF((J433+J434+J435+J436)&gt;(F433+F434+F435+F436),(J433+J434+J435+J436)-(F433+F434+F435+F436),0)</f>
        <v>0</v>
      </c>
      <c r="L433" s="1679">
        <f>IF((J433+J434+J435+J436)&lt;(F433+F434+F435+F436),(F433+F434+F435+F436)-(J433+J434+J435+J436),0)</f>
        <v>0</v>
      </c>
      <c r="M433" s="633" t="s">
        <v>2217</v>
      </c>
      <c r="N433" s="223"/>
      <c r="O433" s="631">
        <f t="shared" si="40"/>
        <v>0</v>
      </c>
    </row>
    <row r="434" spans="1:15" s="360" customFormat="1" ht="15" hidden="1">
      <c r="A434" s="356" t="s">
        <v>647</v>
      </c>
      <c r="B434" s="632" t="s">
        <v>828</v>
      </c>
      <c r="C434" s="611">
        <f t="shared" si="38"/>
        <v>0</v>
      </c>
      <c r="D434" s="354"/>
      <c r="E434" s="15">
        <f t="shared" si="42"/>
        <v>6435.4299999999994</v>
      </c>
      <c r="F434" s="792">
        <f t="shared" si="41"/>
        <v>0</v>
      </c>
      <c r="G434" s="358">
        <f>SF!I274</f>
        <v>0</v>
      </c>
      <c r="H434" s="354" t="s">
        <v>5</v>
      </c>
      <c r="I434" s="355">
        <f>SF!K274</f>
        <v>6435.4299999999994</v>
      </c>
      <c r="J434" s="353">
        <f t="shared" si="39"/>
        <v>0</v>
      </c>
      <c r="K434" s="1680"/>
      <c r="L434" s="1680"/>
      <c r="M434" s="633" t="s">
        <v>2299</v>
      </c>
      <c r="N434" s="223"/>
      <c r="O434" s="631">
        <f t="shared" si="40"/>
        <v>0</v>
      </c>
    </row>
    <row r="435" spans="1:15" s="360" customFormat="1" ht="15" hidden="1">
      <c r="A435" s="356" t="s">
        <v>491</v>
      </c>
      <c r="B435" s="632" t="s">
        <v>828</v>
      </c>
      <c r="C435" s="611">
        <f t="shared" si="38"/>
        <v>0</v>
      </c>
      <c r="D435" s="354"/>
      <c r="E435" s="15">
        <f t="shared" si="42"/>
        <v>6881.41</v>
      </c>
      <c r="F435" s="792">
        <f t="shared" si="41"/>
        <v>0</v>
      </c>
      <c r="G435" s="358">
        <f>SF!I282</f>
        <v>0</v>
      </c>
      <c r="H435" s="354" t="s">
        <v>5</v>
      </c>
      <c r="I435" s="355">
        <f>SF!K282</f>
        <v>6881.41</v>
      </c>
      <c r="J435" s="353">
        <f t="shared" si="39"/>
        <v>0</v>
      </c>
      <c r="K435" s="1680"/>
      <c r="L435" s="1680"/>
      <c r="M435" s="633" t="s">
        <v>2312</v>
      </c>
      <c r="N435" s="223"/>
      <c r="O435" s="631">
        <f t="shared" si="40"/>
        <v>0</v>
      </c>
    </row>
    <row r="436" spans="1:15" s="360" customFormat="1" ht="15" hidden="1">
      <c r="A436" s="356" t="s">
        <v>491</v>
      </c>
      <c r="B436" s="632" t="s">
        <v>828</v>
      </c>
      <c r="C436" s="611">
        <f t="shared" si="38"/>
        <v>0</v>
      </c>
      <c r="D436" s="354"/>
      <c r="E436" s="15">
        <f t="shared" si="42"/>
        <v>7616.9999999999991</v>
      </c>
      <c r="F436" s="792">
        <f t="shared" si="41"/>
        <v>0</v>
      </c>
      <c r="G436" s="358">
        <f>SF!I290</f>
        <v>0</v>
      </c>
      <c r="H436" s="354" t="s">
        <v>5</v>
      </c>
      <c r="I436" s="355">
        <f>SF!K290</f>
        <v>7616.9999999999991</v>
      </c>
      <c r="J436" s="353">
        <f t="shared" si="39"/>
        <v>0</v>
      </c>
      <c r="K436" s="1681"/>
      <c r="L436" s="1681"/>
      <c r="M436" s="633" t="s">
        <v>2313</v>
      </c>
      <c r="N436" s="223"/>
      <c r="O436" s="631">
        <f t="shared" si="40"/>
        <v>0</v>
      </c>
    </row>
    <row r="437" spans="1:15" s="360" customFormat="1" ht="51" hidden="1">
      <c r="A437" s="356" t="s">
        <v>510</v>
      </c>
      <c r="B437" s="632" t="s">
        <v>3193</v>
      </c>
      <c r="C437" s="611">
        <f t="shared" si="38"/>
        <v>0</v>
      </c>
      <c r="D437" s="354" t="s">
        <v>102</v>
      </c>
      <c r="E437" s="10">
        <f t="shared" si="42"/>
        <v>830.76</v>
      </c>
      <c r="F437" s="792">
        <f t="shared" si="41"/>
        <v>0</v>
      </c>
      <c r="G437" s="358">
        <f>SF!I328</f>
        <v>0</v>
      </c>
      <c r="H437" s="354" t="s">
        <v>102</v>
      </c>
      <c r="I437" s="355">
        <f>SF!K328</f>
        <v>830.76</v>
      </c>
      <c r="J437" s="353">
        <f t="shared" si="39"/>
        <v>0</v>
      </c>
      <c r="K437" s="1698">
        <f>IF((J437+J438+J439+J440)&gt;(F437+F438+F439+F440),(J437+J438+J439+J440)-(F437+F438+F439+F440),0)</f>
        <v>0</v>
      </c>
      <c r="L437" s="1698">
        <f>IF((J437+J438+J439+J440)&lt;(F437+F438+F439+F440),(F437+F438+F439+F440)-(J437+J438+J439+J440),0)</f>
        <v>0</v>
      </c>
      <c r="M437" s="851" t="s">
        <v>2217</v>
      </c>
      <c r="N437" s="223"/>
      <c r="O437" s="850">
        <f t="shared" si="40"/>
        <v>0</v>
      </c>
    </row>
    <row r="438" spans="1:15" s="360" customFormat="1" ht="25.5" hidden="1">
      <c r="A438" s="356" t="s">
        <v>1589</v>
      </c>
      <c r="B438" s="632" t="s">
        <v>705</v>
      </c>
      <c r="C438" s="611">
        <f t="shared" si="38"/>
        <v>0</v>
      </c>
      <c r="D438" s="354"/>
      <c r="E438" s="15">
        <f t="shared" si="42"/>
        <v>856.26</v>
      </c>
      <c r="F438" s="792">
        <f t="shared" si="41"/>
        <v>0</v>
      </c>
      <c r="G438" s="358">
        <f>SF!I333</f>
        <v>0</v>
      </c>
      <c r="H438" s="354" t="s">
        <v>102</v>
      </c>
      <c r="I438" s="355">
        <f>SF!K333</f>
        <v>856.26</v>
      </c>
      <c r="J438" s="353">
        <f t="shared" si="39"/>
        <v>0</v>
      </c>
      <c r="K438" s="1680"/>
      <c r="L438" s="1680"/>
      <c r="M438" s="633" t="s">
        <v>2299</v>
      </c>
      <c r="N438" s="223"/>
      <c r="O438" s="631">
        <f t="shared" si="40"/>
        <v>0</v>
      </c>
    </row>
    <row r="439" spans="1:15" s="360" customFormat="1" ht="25.5" hidden="1">
      <c r="A439" s="356" t="s">
        <v>646</v>
      </c>
      <c r="B439" s="632" t="s">
        <v>705</v>
      </c>
      <c r="C439" s="611">
        <f t="shared" si="38"/>
        <v>0</v>
      </c>
      <c r="D439" s="354"/>
      <c r="E439" s="15">
        <f t="shared" si="42"/>
        <v>913.89</v>
      </c>
      <c r="F439" s="792">
        <f t="shared" si="41"/>
        <v>0</v>
      </c>
      <c r="G439" s="358">
        <f>SF!I339</f>
        <v>0</v>
      </c>
      <c r="H439" s="354" t="s">
        <v>102</v>
      </c>
      <c r="I439" s="355">
        <f>SF!K339</f>
        <v>913.89</v>
      </c>
      <c r="J439" s="353">
        <f t="shared" si="39"/>
        <v>0</v>
      </c>
      <c r="K439" s="1680"/>
      <c r="L439" s="1680"/>
      <c r="M439" s="633" t="s">
        <v>2312</v>
      </c>
      <c r="N439" s="223"/>
      <c r="O439" s="631">
        <f t="shared" si="40"/>
        <v>0</v>
      </c>
    </row>
    <row r="440" spans="1:15" s="360" customFormat="1" ht="25.5" hidden="1">
      <c r="A440" s="356" t="s">
        <v>646</v>
      </c>
      <c r="B440" s="632" t="s">
        <v>705</v>
      </c>
      <c r="C440" s="611">
        <f t="shared" si="38"/>
        <v>0</v>
      </c>
      <c r="D440" s="354"/>
      <c r="E440" s="15">
        <f t="shared" si="42"/>
        <v>999.57</v>
      </c>
      <c r="F440" s="792">
        <f t="shared" si="41"/>
        <v>0</v>
      </c>
      <c r="G440" s="358">
        <f>SF!I347</f>
        <v>0</v>
      </c>
      <c r="H440" s="354" t="s">
        <v>102</v>
      </c>
      <c r="I440" s="355">
        <f>SF!K347</f>
        <v>999.57</v>
      </c>
      <c r="J440" s="353">
        <f t="shared" si="39"/>
        <v>0</v>
      </c>
      <c r="K440" s="1681"/>
      <c r="L440" s="1681"/>
      <c r="M440" s="633" t="s">
        <v>2313</v>
      </c>
      <c r="N440" s="223"/>
      <c r="O440" s="631">
        <f t="shared" si="40"/>
        <v>0</v>
      </c>
    </row>
    <row r="441" spans="1:15" s="360" customFormat="1" ht="15" hidden="1">
      <c r="A441" s="356" t="s">
        <v>483</v>
      </c>
      <c r="B441" s="632" t="s">
        <v>1221</v>
      </c>
      <c r="C441" s="611">
        <f t="shared" si="38"/>
        <v>0</v>
      </c>
      <c r="D441" s="354"/>
      <c r="E441" s="15">
        <f t="shared" si="42"/>
        <v>6013.9600000000009</v>
      </c>
      <c r="F441" s="792">
        <f t="shared" si="41"/>
        <v>0</v>
      </c>
      <c r="G441" s="358">
        <f>SF!I354</f>
        <v>0</v>
      </c>
      <c r="H441" s="354" t="s">
        <v>102</v>
      </c>
      <c r="I441" s="355">
        <f>SF!K354</f>
        <v>6013.9600000000009</v>
      </c>
      <c r="J441" s="353">
        <f t="shared" si="39"/>
        <v>0</v>
      </c>
      <c r="K441" s="1679">
        <f>IF((J441+J442+J443+J444)&gt;(F441+F442+F443+F444),(J441+J442+J443+J444)-(F441+F442+F443+F444),0)</f>
        <v>0</v>
      </c>
      <c r="L441" s="1679">
        <f>IF((J441+J442+J443+J444)&lt;(F441+F442+F443+F444),(F441+F442+F443+F444)-(J441+J442+J443+J444),0)</f>
        <v>0</v>
      </c>
      <c r="M441" s="633" t="s">
        <v>2217</v>
      </c>
      <c r="N441" s="223"/>
      <c r="O441" s="631">
        <f t="shared" si="40"/>
        <v>0</v>
      </c>
    </row>
    <row r="442" spans="1:15" s="360" customFormat="1" ht="15" hidden="1">
      <c r="A442" s="356" t="s">
        <v>483</v>
      </c>
      <c r="B442" s="632" t="s">
        <v>1221</v>
      </c>
      <c r="C442" s="611">
        <f t="shared" si="38"/>
        <v>0</v>
      </c>
      <c r="D442" s="354"/>
      <c r="E442" s="15">
        <f t="shared" si="42"/>
        <v>6227.11</v>
      </c>
      <c r="F442" s="792">
        <f t="shared" si="41"/>
        <v>0</v>
      </c>
      <c r="G442" s="358">
        <f>SF!I361</f>
        <v>0</v>
      </c>
      <c r="H442" s="354" t="s">
        <v>102</v>
      </c>
      <c r="I442" s="355">
        <f>SF!K361</f>
        <v>6227.11</v>
      </c>
      <c r="J442" s="353">
        <f t="shared" si="39"/>
        <v>0</v>
      </c>
      <c r="K442" s="1680"/>
      <c r="L442" s="1680"/>
      <c r="M442" s="633" t="s">
        <v>2299</v>
      </c>
      <c r="N442" s="223"/>
      <c r="O442" s="631">
        <f t="shared" si="40"/>
        <v>0</v>
      </c>
    </row>
    <row r="443" spans="1:15" s="360" customFormat="1" ht="15" hidden="1">
      <c r="A443" s="356" t="s">
        <v>483</v>
      </c>
      <c r="B443" s="632" t="s">
        <v>1221</v>
      </c>
      <c r="C443" s="611">
        <f t="shared" si="38"/>
        <v>0</v>
      </c>
      <c r="D443" s="354"/>
      <c r="E443" s="15">
        <f t="shared" si="42"/>
        <v>6774.69</v>
      </c>
      <c r="F443" s="792">
        <f t="shared" si="41"/>
        <v>0</v>
      </c>
      <c r="G443" s="358">
        <f>SF!I368</f>
        <v>0</v>
      </c>
      <c r="H443" s="354" t="s">
        <v>102</v>
      </c>
      <c r="I443" s="355">
        <f>SF!K368</f>
        <v>6774.69</v>
      </c>
      <c r="J443" s="353">
        <f t="shared" si="39"/>
        <v>0</v>
      </c>
      <c r="K443" s="1680"/>
      <c r="L443" s="1680"/>
      <c r="M443" s="633" t="s">
        <v>2312</v>
      </c>
      <c r="N443" s="223"/>
      <c r="O443" s="631">
        <f t="shared" si="40"/>
        <v>0</v>
      </c>
    </row>
    <row r="444" spans="1:15" s="360" customFormat="1" ht="15" hidden="1">
      <c r="A444" s="356" t="s">
        <v>483</v>
      </c>
      <c r="B444" s="632" t="s">
        <v>1221</v>
      </c>
      <c r="C444" s="611">
        <f t="shared" si="38"/>
        <v>0</v>
      </c>
      <c r="D444" s="354"/>
      <c r="E444" s="15">
        <f t="shared" si="42"/>
        <v>7187.4500000000007</v>
      </c>
      <c r="F444" s="792">
        <f t="shared" si="41"/>
        <v>0</v>
      </c>
      <c r="G444" s="358">
        <f>SF!I375</f>
        <v>0</v>
      </c>
      <c r="H444" s="354" t="s">
        <v>102</v>
      </c>
      <c r="I444" s="355">
        <f>SF!K375</f>
        <v>7187.4500000000007</v>
      </c>
      <c r="J444" s="353">
        <f t="shared" si="39"/>
        <v>0</v>
      </c>
      <c r="K444" s="1681"/>
      <c r="L444" s="1681"/>
      <c r="M444" s="633" t="s">
        <v>2313</v>
      </c>
      <c r="N444" s="223"/>
      <c r="O444" s="631">
        <f t="shared" si="40"/>
        <v>0</v>
      </c>
    </row>
    <row r="445" spans="1:15" s="360" customFormat="1" ht="63.75" hidden="1">
      <c r="A445" s="356" t="s">
        <v>1520</v>
      </c>
      <c r="B445" s="632" t="s">
        <v>3194</v>
      </c>
      <c r="C445" s="611">
        <f t="shared" si="38"/>
        <v>0</v>
      </c>
      <c r="D445" s="354" t="s">
        <v>102</v>
      </c>
      <c r="E445" s="10">
        <f t="shared" si="42"/>
        <v>321.79000000000002</v>
      </c>
      <c r="F445" s="792">
        <f t="shared" si="41"/>
        <v>0</v>
      </c>
      <c r="G445" s="358">
        <f>SF!I382</f>
        <v>0</v>
      </c>
      <c r="H445" s="354" t="s">
        <v>102</v>
      </c>
      <c r="I445" s="355">
        <f>SF!K382</f>
        <v>321.79000000000002</v>
      </c>
      <c r="J445" s="353">
        <f t="shared" si="39"/>
        <v>0</v>
      </c>
      <c r="K445" s="1698">
        <f>IF((J445+J446+J447+J448)&gt;(F445+F446+F447+F448),(J445+J446+J447+J448)-(F445+F446+F447+F448),0)</f>
        <v>0</v>
      </c>
      <c r="L445" s="1698">
        <f>IF((J445+J446+J447+J448)&lt;(F445+F446+F447+F448),(F445+F446+F447+F448)-(J445+J446+J447+J448),0)</f>
        <v>0</v>
      </c>
      <c r="M445" s="851" t="s">
        <v>2217</v>
      </c>
      <c r="N445" s="223"/>
      <c r="O445" s="850">
        <f t="shared" si="40"/>
        <v>0</v>
      </c>
    </row>
    <row r="446" spans="1:15" s="360" customFormat="1" ht="15" hidden="1">
      <c r="A446" s="356" t="s">
        <v>1575</v>
      </c>
      <c r="B446" s="632" t="s">
        <v>481</v>
      </c>
      <c r="C446" s="611">
        <f t="shared" si="38"/>
        <v>0</v>
      </c>
      <c r="D446" s="354"/>
      <c r="E446" s="15">
        <f t="shared" si="42"/>
        <v>344.38</v>
      </c>
      <c r="F446" s="792">
        <f t="shared" si="41"/>
        <v>0</v>
      </c>
      <c r="G446" s="358">
        <f>SF!I390</f>
        <v>0</v>
      </c>
      <c r="H446" s="354" t="s">
        <v>102</v>
      </c>
      <c r="I446" s="355">
        <f>SF!K390</f>
        <v>344.38</v>
      </c>
      <c r="J446" s="353">
        <f t="shared" si="39"/>
        <v>0</v>
      </c>
      <c r="K446" s="1680"/>
      <c r="L446" s="1680"/>
      <c r="M446" s="633" t="s">
        <v>2299</v>
      </c>
      <c r="N446" s="223"/>
      <c r="O446" s="631">
        <f t="shared" si="40"/>
        <v>0</v>
      </c>
    </row>
    <row r="447" spans="1:15" s="360" customFormat="1" ht="15" hidden="1">
      <c r="A447" s="356" t="s">
        <v>1582</v>
      </c>
      <c r="B447" s="632" t="s">
        <v>481</v>
      </c>
      <c r="C447" s="611">
        <f t="shared" si="38"/>
        <v>0</v>
      </c>
      <c r="D447" s="354"/>
      <c r="E447" s="15">
        <f t="shared" si="42"/>
        <v>365.08</v>
      </c>
      <c r="F447" s="792">
        <f t="shared" si="41"/>
        <v>0</v>
      </c>
      <c r="G447" s="358">
        <f>SF!I397</f>
        <v>0</v>
      </c>
      <c r="H447" s="354" t="s">
        <v>102</v>
      </c>
      <c r="I447" s="355">
        <f>SF!K397</f>
        <v>365.08</v>
      </c>
      <c r="J447" s="353">
        <f t="shared" si="39"/>
        <v>0</v>
      </c>
      <c r="K447" s="1680"/>
      <c r="L447" s="1680"/>
      <c r="M447" s="633" t="s">
        <v>2312</v>
      </c>
      <c r="N447" s="223"/>
      <c r="O447" s="631">
        <f t="shared" si="40"/>
        <v>0</v>
      </c>
    </row>
    <row r="448" spans="1:15" s="360" customFormat="1" ht="15" hidden="1">
      <c r="A448" s="356" t="s">
        <v>1582</v>
      </c>
      <c r="B448" s="632" t="s">
        <v>481</v>
      </c>
      <c r="C448" s="611">
        <f t="shared" si="38"/>
        <v>0</v>
      </c>
      <c r="D448" s="354"/>
      <c r="E448" s="15">
        <f t="shared" si="42"/>
        <v>385.55</v>
      </c>
      <c r="F448" s="792">
        <f t="shared" si="41"/>
        <v>0</v>
      </c>
      <c r="G448" s="358">
        <f>SF!I404</f>
        <v>0</v>
      </c>
      <c r="H448" s="354" t="s">
        <v>102</v>
      </c>
      <c r="I448" s="355">
        <f>SF!K404</f>
        <v>385.55</v>
      </c>
      <c r="J448" s="353">
        <f t="shared" si="39"/>
        <v>0</v>
      </c>
      <c r="K448" s="1681"/>
      <c r="L448" s="1681"/>
      <c r="M448" s="633" t="s">
        <v>2313</v>
      </c>
      <c r="N448" s="223"/>
      <c r="O448" s="631">
        <f t="shared" si="40"/>
        <v>0</v>
      </c>
    </row>
    <row r="449" spans="1:15" s="360" customFormat="1" ht="15" hidden="1">
      <c r="A449" s="356" t="s">
        <v>1581</v>
      </c>
      <c r="B449" s="632" t="s">
        <v>505</v>
      </c>
      <c r="C449" s="611">
        <f t="shared" si="38"/>
        <v>0</v>
      </c>
      <c r="D449" s="354"/>
      <c r="E449" s="15">
        <f t="shared" si="42"/>
        <v>289.52</v>
      </c>
      <c r="F449" s="792">
        <f t="shared" si="41"/>
        <v>0</v>
      </c>
      <c r="G449" s="358">
        <f>SF!I412</f>
        <v>0</v>
      </c>
      <c r="H449" s="354" t="s">
        <v>102</v>
      </c>
      <c r="I449" s="355">
        <f>SF!K412</f>
        <v>289.52</v>
      </c>
      <c r="J449" s="353">
        <f t="shared" si="39"/>
        <v>0</v>
      </c>
      <c r="K449" s="1679">
        <f>IF((J449+J450+J451+J452)&gt;(F449+F450+F451+F452),(J449+J450+J451+J452)-(F449+F450+F451+F452),0)</f>
        <v>0</v>
      </c>
      <c r="L449" s="1679">
        <f>IF((J449+J450+J451+J452)&lt;(F449+F450+F451+F452),(F449+F450+F451+F452)-(J449+J450+J451+J452),0)</f>
        <v>0</v>
      </c>
      <c r="M449" s="633" t="s">
        <v>2217</v>
      </c>
      <c r="N449" s="223"/>
      <c r="O449" s="631">
        <f t="shared" si="40"/>
        <v>0</v>
      </c>
    </row>
    <row r="450" spans="1:15" s="360" customFormat="1" ht="15" hidden="1">
      <c r="A450" s="356" t="s">
        <v>1581</v>
      </c>
      <c r="B450" s="632" t="s">
        <v>505</v>
      </c>
      <c r="C450" s="611">
        <f t="shared" si="38"/>
        <v>0</v>
      </c>
      <c r="D450" s="354"/>
      <c r="E450" s="15">
        <f t="shared" si="42"/>
        <v>312.11</v>
      </c>
      <c r="F450" s="792">
        <f t="shared" si="41"/>
        <v>0</v>
      </c>
      <c r="G450" s="358">
        <f>SF!I420</f>
        <v>0</v>
      </c>
      <c r="H450" s="354" t="s">
        <v>102</v>
      </c>
      <c r="I450" s="355">
        <f>SF!K420</f>
        <v>312.11</v>
      </c>
      <c r="J450" s="353">
        <f t="shared" si="39"/>
        <v>0</v>
      </c>
      <c r="K450" s="1680"/>
      <c r="L450" s="1680"/>
      <c r="M450" s="633" t="s">
        <v>2299</v>
      </c>
      <c r="N450" s="223"/>
      <c r="O450" s="631">
        <f t="shared" si="40"/>
        <v>0</v>
      </c>
    </row>
    <row r="451" spans="1:15" s="360" customFormat="1" ht="15" hidden="1">
      <c r="A451" s="356" t="s">
        <v>1581</v>
      </c>
      <c r="B451" s="632" t="s">
        <v>505</v>
      </c>
      <c r="C451" s="611">
        <f t="shared" si="38"/>
        <v>0</v>
      </c>
      <c r="D451" s="354"/>
      <c r="E451" s="15">
        <f t="shared" si="42"/>
        <v>331.62</v>
      </c>
      <c r="F451" s="792">
        <f t="shared" si="41"/>
        <v>0</v>
      </c>
      <c r="G451" s="358">
        <f>SF!I428</f>
        <v>0</v>
      </c>
      <c r="H451" s="354" t="s">
        <v>102</v>
      </c>
      <c r="I451" s="355">
        <f>SF!K428</f>
        <v>331.62</v>
      </c>
      <c r="J451" s="353">
        <f t="shared" si="39"/>
        <v>0</v>
      </c>
      <c r="K451" s="1680"/>
      <c r="L451" s="1680"/>
      <c r="M451" s="633" t="s">
        <v>2312</v>
      </c>
      <c r="N451" s="223"/>
      <c r="O451" s="631">
        <f t="shared" si="40"/>
        <v>0</v>
      </c>
    </row>
    <row r="452" spans="1:15" s="360" customFormat="1" ht="15" hidden="1">
      <c r="A452" s="356" t="s">
        <v>1581</v>
      </c>
      <c r="B452" s="632" t="s">
        <v>505</v>
      </c>
      <c r="C452" s="611">
        <f t="shared" si="38"/>
        <v>0</v>
      </c>
      <c r="D452" s="354"/>
      <c r="E452" s="15">
        <f t="shared" si="42"/>
        <v>352.1</v>
      </c>
      <c r="F452" s="792">
        <f t="shared" si="41"/>
        <v>0</v>
      </c>
      <c r="G452" s="358">
        <f>SF!I436</f>
        <v>0</v>
      </c>
      <c r="H452" s="354" t="s">
        <v>102</v>
      </c>
      <c r="I452" s="355">
        <f>SF!K436</f>
        <v>352.1</v>
      </c>
      <c r="J452" s="353">
        <f t="shared" si="39"/>
        <v>0</v>
      </c>
      <c r="K452" s="1681"/>
      <c r="L452" s="1681"/>
      <c r="M452" s="633" t="s">
        <v>2313</v>
      </c>
      <c r="N452" s="223"/>
      <c r="O452" s="631">
        <f t="shared" si="40"/>
        <v>0</v>
      </c>
    </row>
    <row r="453" spans="1:15" s="360" customFormat="1" ht="15" hidden="1">
      <c r="A453" s="356" t="s">
        <v>1582</v>
      </c>
      <c r="B453" s="632" t="s">
        <v>805</v>
      </c>
      <c r="C453" s="611">
        <f t="shared" si="38"/>
        <v>0</v>
      </c>
      <c r="D453" s="354"/>
      <c r="E453" s="15">
        <f t="shared" si="42"/>
        <v>307.37</v>
      </c>
      <c r="F453" s="792">
        <f t="shared" si="41"/>
        <v>0</v>
      </c>
      <c r="G453" s="358">
        <f>SF!I444</f>
        <v>0</v>
      </c>
      <c r="H453" s="354" t="s">
        <v>102</v>
      </c>
      <c r="I453" s="355">
        <f>SF!K444</f>
        <v>307.37</v>
      </c>
      <c r="J453" s="353">
        <f t="shared" si="39"/>
        <v>0</v>
      </c>
      <c r="K453" s="1679">
        <f>IF((J453+J454+J455+J456)&gt;(F453+F454+F455+F456),(J453+J454+J455+J456)-(F453+F454+F455+F456),0)</f>
        <v>0</v>
      </c>
      <c r="L453" s="1679">
        <f>IF((J453+J454+J455+J456)&lt;(F453+F454+F455+F456),(F453+F454+F455+F456)-(J453+J454+J455+J456),0)</f>
        <v>0</v>
      </c>
      <c r="M453" s="633" t="s">
        <v>2217</v>
      </c>
      <c r="N453" s="223"/>
      <c r="O453" s="631">
        <f t="shared" si="40"/>
        <v>0</v>
      </c>
    </row>
    <row r="454" spans="1:15" s="360" customFormat="1" ht="15" hidden="1">
      <c r="A454" s="356" t="s">
        <v>1582</v>
      </c>
      <c r="B454" s="632" t="s">
        <v>805</v>
      </c>
      <c r="C454" s="611">
        <f t="shared" si="38"/>
        <v>0</v>
      </c>
      <c r="D454" s="354"/>
      <c r="E454" s="15">
        <f t="shared" si="42"/>
        <v>330.52</v>
      </c>
      <c r="F454" s="792">
        <f t="shared" si="41"/>
        <v>0</v>
      </c>
      <c r="G454" s="358">
        <f>SF!I452</f>
        <v>0</v>
      </c>
      <c r="H454" s="354" t="s">
        <v>102</v>
      </c>
      <c r="I454" s="355">
        <f>SF!K452</f>
        <v>330.52</v>
      </c>
      <c r="J454" s="353">
        <f t="shared" si="39"/>
        <v>0</v>
      </c>
      <c r="K454" s="1680"/>
      <c r="L454" s="1680"/>
      <c r="M454" s="633" t="s">
        <v>2299</v>
      </c>
      <c r="N454" s="223"/>
      <c r="O454" s="631">
        <f t="shared" si="40"/>
        <v>0</v>
      </c>
    </row>
    <row r="455" spans="1:15" s="360" customFormat="1" ht="15" hidden="1">
      <c r="A455" s="356" t="s">
        <v>1582</v>
      </c>
      <c r="B455" s="632" t="s">
        <v>805</v>
      </c>
      <c r="C455" s="611">
        <f t="shared" si="38"/>
        <v>0</v>
      </c>
      <c r="D455" s="354"/>
      <c r="E455" s="15">
        <f t="shared" si="42"/>
        <v>351.31</v>
      </c>
      <c r="F455" s="792">
        <f t="shared" si="41"/>
        <v>0</v>
      </c>
      <c r="G455" s="358">
        <f>SF!I460</f>
        <v>0</v>
      </c>
      <c r="H455" s="354" t="s">
        <v>102</v>
      </c>
      <c r="I455" s="355">
        <f>SF!K460</f>
        <v>351.31</v>
      </c>
      <c r="J455" s="353">
        <f t="shared" si="39"/>
        <v>0</v>
      </c>
      <c r="K455" s="1680"/>
      <c r="L455" s="1680"/>
      <c r="M455" s="633" t="s">
        <v>2312</v>
      </c>
      <c r="N455" s="223"/>
      <c r="O455" s="631">
        <f t="shared" si="40"/>
        <v>0</v>
      </c>
    </row>
    <row r="456" spans="1:15" s="360" customFormat="1" ht="15" hidden="1">
      <c r="A456" s="356" t="s">
        <v>1582</v>
      </c>
      <c r="B456" s="632" t="s">
        <v>805</v>
      </c>
      <c r="C456" s="611">
        <f t="shared" si="38"/>
        <v>0</v>
      </c>
      <c r="D456" s="354"/>
      <c r="E456" s="15">
        <f t="shared" si="42"/>
        <v>372.29</v>
      </c>
      <c r="F456" s="792">
        <f t="shared" si="41"/>
        <v>0</v>
      </c>
      <c r="G456" s="358">
        <f>SF!I468</f>
        <v>0</v>
      </c>
      <c r="H456" s="354" t="s">
        <v>102</v>
      </c>
      <c r="I456" s="355">
        <f>SF!K468</f>
        <v>372.29</v>
      </c>
      <c r="J456" s="353">
        <f t="shared" si="39"/>
        <v>0</v>
      </c>
      <c r="K456" s="1681"/>
      <c r="L456" s="1681"/>
      <c r="M456" s="633" t="s">
        <v>2313</v>
      </c>
      <c r="N456" s="223"/>
      <c r="O456" s="631">
        <f t="shared" si="40"/>
        <v>0</v>
      </c>
    </row>
    <row r="457" spans="1:15" s="360" customFormat="1" ht="51" hidden="1">
      <c r="A457" s="356" t="s">
        <v>512</v>
      </c>
      <c r="B457" s="632" t="s">
        <v>3196</v>
      </c>
      <c r="C457" s="611">
        <f t="shared" si="38"/>
        <v>0</v>
      </c>
      <c r="D457" s="354" t="s">
        <v>102</v>
      </c>
      <c r="E457" s="10">
        <f t="shared" si="42"/>
        <v>380.2</v>
      </c>
      <c r="F457" s="792">
        <f t="shared" si="41"/>
        <v>0</v>
      </c>
      <c r="G457" s="358">
        <f>SF!I480</f>
        <v>0</v>
      </c>
      <c r="H457" s="354" t="s">
        <v>102</v>
      </c>
      <c r="I457" s="355">
        <f>SF!K480</f>
        <v>380.2</v>
      </c>
      <c r="J457" s="353">
        <f t="shared" si="39"/>
        <v>0</v>
      </c>
      <c r="K457" s="1698">
        <f>IF((J457+J458+J459+J460)&gt;(F457+F458+F459+F460),(J457+J458+J459+J460)-(F457+F458+F459+F460),0)</f>
        <v>0</v>
      </c>
      <c r="L457" s="1698">
        <f>IF((J457+J458+J459+J460)&lt;(F457+F458+F459+F460),(F457+F458+F459+F460)-(J457+J458+J459+J460),0)</f>
        <v>0</v>
      </c>
      <c r="M457" s="851" t="s">
        <v>2217</v>
      </c>
      <c r="N457" s="223"/>
      <c r="O457" s="850">
        <f t="shared" si="40"/>
        <v>0</v>
      </c>
    </row>
    <row r="458" spans="1:15" s="360" customFormat="1" ht="15" hidden="1">
      <c r="A458" s="356" t="s">
        <v>1590</v>
      </c>
      <c r="B458" s="632" t="s">
        <v>830</v>
      </c>
      <c r="C458" s="611">
        <f t="shared" ref="C458:C521" si="43">G458</f>
        <v>0</v>
      </c>
      <c r="D458" s="354"/>
      <c r="E458" s="15">
        <f t="shared" si="42"/>
        <v>410.98</v>
      </c>
      <c r="F458" s="792">
        <f t="shared" si="41"/>
        <v>0</v>
      </c>
      <c r="G458" s="358">
        <f>SF!I489</f>
        <v>0</v>
      </c>
      <c r="H458" s="354" t="s">
        <v>102</v>
      </c>
      <c r="I458" s="355">
        <f>SF!K489</f>
        <v>410.98</v>
      </c>
      <c r="J458" s="353">
        <f t="shared" ref="J458:J521" si="44">ROUND(G458*I458,2)</f>
        <v>0</v>
      </c>
      <c r="K458" s="1680"/>
      <c r="L458" s="1680"/>
      <c r="M458" s="633" t="s">
        <v>2299</v>
      </c>
      <c r="N458" s="223"/>
      <c r="O458" s="631">
        <f t="shared" si="40"/>
        <v>0</v>
      </c>
    </row>
    <row r="459" spans="1:15" s="360" customFormat="1" ht="15" hidden="1">
      <c r="A459" s="356" t="s">
        <v>1143</v>
      </c>
      <c r="B459" s="632" t="s">
        <v>830</v>
      </c>
      <c r="C459" s="611">
        <f t="shared" si="43"/>
        <v>0</v>
      </c>
      <c r="D459" s="354"/>
      <c r="E459" s="15">
        <f t="shared" si="42"/>
        <v>436.23</v>
      </c>
      <c r="F459" s="792">
        <f t="shared" si="41"/>
        <v>0</v>
      </c>
      <c r="G459" s="358">
        <f>SF!I496</f>
        <v>0</v>
      </c>
      <c r="H459" s="354" t="s">
        <v>102</v>
      </c>
      <c r="I459" s="355">
        <f>SF!K496</f>
        <v>436.23</v>
      </c>
      <c r="J459" s="353">
        <f t="shared" si="44"/>
        <v>0</v>
      </c>
      <c r="K459" s="1680"/>
      <c r="L459" s="1680"/>
      <c r="M459" s="633" t="s">
        <v>2312</v>
      </c>
      <c r="N459" s="223"/>
      <c r="O459" s="631">
        <f t="shared" si="40"/>
        <v>0</v>
      </c>
    </row>
    <row r="460" spans="1:15" s="360" customFormat="1" ht="15" hidden="1">
      <c r="A460" s="356" t="s">
        <v>1143</v>
      </c>
      <c r="B460" s="632" t="s">
        <v>830</v>
      </c>
      <c r="C460" s="611">
        <f t="shared" si="43"/>
        <v>0</v>
      </c>
      <c r="D460" s="354"/>
      <c r="E460" s="15">
        <f t="shared" si="42"/>
        <v>464.16</v>
      </c>
      <c r="F460" s="792">
        <f t="shared" si="41"/>
        <v>0</v>
      </c>
      <c r="G460" s="358">
        <f>SF!I508</f>
        <v>0</v>
      </c>
      <c r="H460" s="354" t="s">
        <v>102</v>
      </c>
      <c r="I460" s="355">
        <f>SF!K508</f>
        <v>464.16</v>
      </c>
      <c r="J460" s="353">
        <f t="shared" si="44"/>
        <v>0</v>
      </c>
      <c r="K460" s="1681"/>
      <c r="L460" s="1681"/>
      <c r="M460" s="633" t="s">
        <v>2313</v>
      </c>
      <c r="N460" s="223"/>
      <c r="O460" s="631">
        <f t="shared" ref="O460:O523" si="45">F460-J460</f>
        <v>0</v>
      </c>
    </row>
    <row r="461" spans="1:15" s="360" customFormat="1" ht="15" hidden="1">
      <c r="A461" s="356" t="s">
        <v>513</v>
      </c>
      <c r="B461" s="632" t="s">
        <v>541</v>
      </c>
      <c r="C461" s="611">
        <f t="shared" si="43"/>
        <v>0</v>
      </c>
      <c r="D461" s="354" t="s">
        <v>102</v>
      </c>
      <c r="E461" s="10">
        <f t="shared" si="42"/>
        <v>393.56</v>
      </c>
      <c r="F461" s="792">
        <f t="shared" si="41"/>
        <v>0</v>
      </c>
      <c r="G461" s="358">
        <f>SF!I515</f>
        <v>0</v>
      </c>
      <c r="H461" s="354" t="s">
        <v>102</v>
      </c>
      <c r="I461" s="355">
        <f>SF!K515</f>
        <v>393.56</v>
      </c>
      <c r="J461" s="353">
        <f t="shared" si="44"/>
        <v>0</v>
      </c>
      <c r="K461" s="1679">
        <f>IF((J461+J462+J463+J464)&gt;(F461+F462+F463+F464),(J461+J462+J463+J464)-(F461+F462+F463+F464),0)</f>
        <v>0</v>
      </c>
      <c r="L461" s="1679">
        <f>IF((J461+J462+J463+J464)&lt;(F461+F462+F463+F464),(F461+F462+F463+F464)-(J461+J462+J463+J464),0)</f>
        <v>0</v>
      </c>
      <c r="M461" s="851" t="s">
        <v>2217</v>
      </c>
      <c r="N461" s="223"/>
      <c r="O461" s="850">
        <f t="shared" si="45"/>
        <v>0</v>
      </c>
    </row>
    <row r="462" spans="1:15" s="360" customFormat="1" ht="15" hidden="1">
      <c r="A462" s="356" t="s">
        <v>1576</v>
      </c>
      <c r="B462" s="632" t="s">
        <v>541</v>
      </c>
      <c r="C462" s="611">
        <f t="shared" si="43"/>
        <v>0</v>
      </c>
      <c r="D462" s="354"/>
      <c r="E462" s="15">
        <f t="shared" si="42"/>
        <v>424.91</v>
      </c>
      <c r="F462" s="792">
        <f t="shared" si="41"/>
        <v>0</v>
      </c>
      <c r="G462" s="358">
        <f>SF!I525</f>
        <v>0</v>
      </c>
      <c r="H462" s="354" t="s">
        <v>102</v>
      </c>
      <c r="I462" s="355">
        <f>SF!K525</f>
        <v>424.91</v>
      </c>
      <c r="J462" s="353">
        <f t="shared" si="44"/>
        <v>0</v>
      </c>
      <c r="K462" s="1680"/>
      <c r="L462" s="1680"/>
      <c r="M462" s="633" t="s">
        <v>2299</v>
      </c>
      <c r="N462" s="223"/>
      <c r="O462" s="631">
        <f t="shared" si="45"/>
        <v>0</v>
      </c>
    </row>
    <row r="463" spans="1:15" s="360" customFormat="1" ht="19.5" hidden="1" customHeight="1">
      <c r="A463" s="356" t="s">
        <v>1583</v>
      </c>
      <c r="B463" s="632" t="s">
        <v>541</v>
      </c>
      <c r="C463" s="611">
        <f t="shared" si="43"/>
        <v>0</v>
      </c>
      <c r="D463" s="354"/>
      <c r="E463" s="15">
        <f t="shared" si="42"/>
        <v>451.54</v>
      </c>
      <c r="F463" s="792">
        <f t="shared" si="41"/>
        <v>0</v>
      </c>
      <c r="G463" s="358">
        <f>SF!I532</f>
        <v>0</v>
      </c>
      <c r="H463" s="354" t="s">
        <v>102</v>
      </c>
      <c r="I463" s="355">
        <f>SF!K532</f>
        <v>451.54</v>
      </c>
      <c r="J463" s="353">
        <f t="shared" si="44"/>
        <v>0</v>
      </c>
      <c r="K463" s="1680"/>
      <c r="L463" s="1680"/>
      <c r="M463" s="633" t="s">
        <v>2312</v>
      </c>
      <c r="N463" s="223"/>
      <c r="O463" s="631">
        <f t="shared" si="45"/>
        <v>0</v>
      </c>
    </row>
    <row r="464" spans="1:15" s="360" customFormat="1" ht="51" hidden="1">
      <c r="A464" s="356" t="s">
        <v>512</v>
      </c>
      <c r="B464" s="632" t="s">
        <v>3197</v>
      </c>
      <c r="C464" s="611">
        <f t="shared" si="43"/>
        <v>0</v>
      </c>
      <c r="D464" s="354"/>
      <c r="E464" s="10">
        <f t="shared" si="42"/>
        <v>479.98</v>
      </c>
      <c r="F464" s="792">
        <f t="shared" si="41"/>
        <v>0</v>
      </c>
      <c r="G464" s="358">
        <f>SF!I539</f>
        <v>0</v>
      </c>
      <c r="H464" s="354" t="s">
        <v>102</v>
      </c>
      <c r="I464" s="355">
        <f>SF!K539</f>
        <v>479.98</v>
      </c>
      <c r="J464" s="353">
        <f t="shared" si="44"/>
        <v>0</v>
      </c>
      <c r="K464" s="1695"/>
      <c r="L464" s="1695"/>
      <c r="M464" s="851" t="s">
        <v>2313</v>
      </c>
      <c r="N464" s="223"/>
      <c r="O464" s="850">
        <f t="shared" si="45"/>
        <v>0</v>
      </c>
    </row>
    <row r="465" spans="1:15" s="360" customFormat="1" ht="15" hidden="1">
      <c r="A465" s="356" t="s">
        <v>473</v>
      </c>
      <c r="B465" s="632" t="s">
        <v>2071</v>
      </c>
      <c r="C465" s="611">
        <f t="shared" si="43"/>
        <v>0</v>
      </c>
      <c r="D465" s="354"/>
      <c r="E465" s="15">
        <f t="shared" si="42"/>
        <v>5152.2499999999991</v>
      </c>
      <c r="F465" s="792">
        <f t="shared" si="41"/>
        <v>0</v>
      </c>
      <c r="G465" s="358">
        <f>SF!I544</f>
        <v>0</v>
      </c>
      <c r="H465" s="354" t="s">
        <v>5</v>
      </c>
      <c r="I465" s="355">
        <f>SF!K544</f>
        <v>5152.2499999999991</v>
      </c>
      <c r="J465" s="353">
        <f t="shared" si="44"/>
        <v>0</v>
      </c>
      <c r="K465" s="1679">
        <f>IF((J465+J466+J467+J468)&gt;(F465+F466+F467+F468),(J465+J466+J467+J468)-(F465+F466+F467+F468),0)</f>
        <v>0</v>
      </c>
      <c r="L465" s="1679">
        <f>IF((J465+J466+J467+J468)&lt;(F465+F466+F467+F468),(F465+F466+F467+F468)-(J465+J466+J467+J468),0)</f>
        <v>0</v>
      </c>
      <c r="M465" s="633" t="s">
        <v>2217</v>
      </c>
      <c r="N465" s="223"/>
      <c r="O465" s="631">
        <f t="shared" si="45"/>
        <v>0</v>
      </c>
    </row>
    <row r="466" spans="1:15" s="360" customFormat="1" ht="15" hidden="1">
      <c r="A466" s="356" t="s">
        <v>473</v>
      </c>
      <c r="B466" s="632" t="s">
        <v>2071</v>
      </c>
      <c r="C466" s="611">
        <f t="shared" si="43"/>
        <v>0</v>
      </c>
      <c r="D466" s="354"/>
      <c r="E466" s="15">
        <f t="shared" si="42"/>
        <v>5333.72</v>
      </c>
      <c r="F466" s="792">
        <f t="shared" si="41"/>
        <v>0</v>
      </c>
      <c r="G466" s="358">
        <f>SF!I549</f>
        <v>0</v>
      </c>
      <c r="H466" s="354" t="s">
        <v>5</v>
      </c>
      <c r="I466" s="355">
        <f>SF!K549</f>
        <v>5333.72</v>
      </c>
      <c r="J466" s="353">
        <f t="shared" si="44"/>
        <v>0</v>
      </c>
      <c r="K466" s="1680"/>
      <c r="L466" s="1680"/>
      <c r="M466" s="633" t="s">
        <v>2299</v>
      </c>
      <c r="N466" s="223"/>
      <c r="O466" s="631">
        <f t="shared" si="45"/>
        <v>0</v>
      </c>
    </row>
    <row r="467" spans="1:15" s="360" customFormat="1" ht="15" hidden="1">
      <c r="A467" s="356" t="s">
        <v>473</v>
      </c>
      <c r="B467" s="632" t="s">
        <v>2071</v>
      </c>
      <c r="C467" s="611">
        <f t="shared" si="43"/>
        <v>0</v>
      </c>
      <c r="D467" s="354"/>
      <c r="E467" s="15">
        <f t="shared" si="42"/>
        <v>5579.3200000000006</v>
      </c>
      <c r="F467" s="792">
        <f t="shared" si="41"/>
        <v>0</v>
      </c>
      <c r="G467" s="358">
        <f>SF!I554</f>
        <v>0</v>
      </c>
      <c r="H467" s="354" t="s">
        <v>5</v>
      </c>
      <c r="I467" s="355">
        <f>SF!K554</f>
        <v>5579.3200000000006</v>
      </c>
      <c r="J467" s="353">
        <f t="shared" si="44"/>
        <v>0</v>
      </c>
      <c r="K467" s="1680"/>
      <c r="L467" s="1680"/>
      <c r="M467" s="633" t="s">
        <v>2312</v>
      </c>
      <c r="N467" s="223"/>
      <c r="O467" s="631">
        <f t="shared" si="45"/>
        <v>0</v>
      </c>
    </row>
    <row r="468" spans="1:15" s="360" customFormat="1" ht="15" hidden="1">
      <c r="A468" s="356" t="s">
        <v>473</v>
      </c>
      <c r="B468" s="632" t="s">
        <v>2071</v>
      </c>
      <c r="C468" s="611">
        <f t="shared" si="43"/>
        <v>0</v>
      </c>
      <c r="D468" s="354"/>
      <c r="E468" s="15">
        <f t="shared" si="42"/>
        <v>5843.9400000000005</v>
      </c>
      <c r="F468" s="792">
        <f t="shared" si="41"/>
        <v>0</v>
      </c>
      <c r="G468" s="358">
        <f>SF!I559</f>
        <v>0</v>
      </c>
      <c r="H468" s="354" t="s">
        <v>5</v>
      </c>
      <c r="I468" s="355">
        <f>SF!K559</f>
        <v>5843.9400000000005</v>
      </c>
      <c r="J468" s="353">
        <f t="shared" si="44"/>
        <v>0</v>
      </c>
      <c r="K468" s="1681"/>
      <c r="L468" s="1681"/>
      <c r="M468" s="633" t="s">
        <v>2313</v>
      </c>
      <c r="N468" s="223"/>
      <c r="O468" s="631">
        <f t="shared" si="45"/>
        <v>0</v>
      </c>
    </row>
    <row r="469" spans="1:15" s="360" customFormat="1" ht="15" hidden="1">
      <c r="A469" s="356" t="s">
        <v>525</v>
      </c>
      <c r="B469" s="632" t="s">
        <v>507</v>
      </c>
      <c r="C469" s="611">
        <f t="shared" si="43"/>
        <v>0</v>
      </c>
      <c r="D469" s="354"/>
      <c r="E469" s="15">
        <f t="shared" si="42"/>
        <v>1048.97</v>
      </c>
      <c r="F469" s="792">
        <f t="shared" si="41"/>
        <v>0</v>
      </c>
      <c r="G469" s="358">
        <f>SF!I565</f>
        <v>0</v>
      </c>
      <c r="H469" s="354" t="s">
        <v>102</v>
      </c>
      <c r="I469" s="355">
        <f>SF!K565</f>
        <v>1048.97</v>
      </c>
      <c r="J469" s="353">
        <f t="shared" si="44"/>
        <v>0</v>
      </c>
      <c r="K469" s="1679">
        <f>IF((J469+J470+J471+J472)&gt;(F469+F470+F471+F472),(J469+J470+J471+J472)-(F469+F470+F471+F472),0)</f>
        <v>0</v>
      </c>
      <c r="L469" s="1679">
        <f>IF((J469+J470+J471+J472)&lt;(F469+F470+F471+F472),(F469+F470+F471+F472)-(J469+J470+J471+J472),0)</f>
        <v>0</v>
      </c>
      <c r="M469" s="633" t="s">
        <v>2217</v>
      </c>
      <c r="N469" s="223"/>
      <c r="O469" s="631">
        <f t="shared" si="45"/>
        <v>0</v>
      </c>
    </row>
    <row r="470" spans="1:15" s="360" customFormat="1" ht="15" hidden="1">
      <c r="A470" s="356" t="s">
        <v>525</v>
      </c>
      <c r="B470" s="632" t="s">
        <v>507</v>
      </c>
      <c r="C470" s="611">
        <f t="shared" si="43"/>
        <v>0</v>
      </c>
      <c r="D470" s="354"/>
      <c r="E470" s="15">
        <f t="shared" si="42"/>
        <v>1082.75</v>
      </c>
      <c r="F470" s="792">
        <f t="shared" si="41"/>
        <v>0</v>
      </c>
      <c r="G470" s="358">
        <f>SF!I571</f>
        <v>0</v>
      </c>
      <c r="H470" s="354" t="s">
        <v>102</v>
      </c>
      <c r="I470" s="355">
        <f>SF!K571</f>
        <v>1082.75</v>
      </c>
      <c r="J470" s="353">
        <f t="shared" si="44"/>
        <v>0</v>
      </c>
      <c r="K470" s="1680"/>
      <c r="L470" s="1680"/>
      <c r="M470" s="633" t="s">
        <v>2299</v>
      </c>
      <c r="N470" s="223"/>
      <c r="O470" s="631">
        <f t="shared" si="45"/>
        <v>0</v>
      </c>
    </row>
    <row r="471" spans="1:15" s="360" customFormat="1" ht="15" hidden="1">
      <c r="A471" s="356" t="s">
        <v>525</v>
      </c>
      <c r="B471" s="632" t="s">
        <v>507</v>
      </c>
      <c r="C471" s="611">
        <f t="shared" si="43"/>
        <v>0</v>
      </c>
      <c r="D471" s="354"/>
      <c r="E471" s="15">
        <f t="shared" si="42"/>
        <v>1108.3499999999999</v>
      </c>
      <c r="F471" s="792">
        <f t="shared" si="41"/>
        <v>0</v>
      </c>
      <c r="G471" s="358">
        <f>SF!I577</f>
        <v>0</v>
      </c>
      <c r="H471" s="354" t="s">
        <v>102</v>
      </c>
      <c r="I471" s="355">
        <f>SF!K577</f>
        <v>1108.3499999999999</v>
      </c>
      <c r="J471" s="353">
        <f t="shared" si="44"/>
        <v>0</v>
      </c>
      <c r="K471" s="1680"/>
      <c r="L471" s="1680"/>
      <c r="M471" s="633" t="s">
        <v>2312</v>
      </c>
      <c r="N471" s="223"/>
      <c r="O471" s="631">
        <f t="shared" si="45"/>
        <v>0</v>
      </c>
    </row>
    <row r="472" spans="1:15" s="360" customFormat="1" ht="15" hidden="1">
      <c r="A472" s="356" t="s">
        <v>525</v>
      </c>
      <c r="B472" s="632" t="s">
        <v>507</v>
      </c>
      <c r="C472" s="611">
        <f t="shared" si="43"/>
        <v>0</v>
      </c>
      <c r="D472" s="354"/>
      <c r="E472" s="15">
        <f t="shared" si="42"/>
        <v>1139.42</v>
      </c>
      <c r="F472" s="792">
        <f t="shared" si="41"/>
        <v>0</v>
      </c>
      <c r="G472" s="358">
        <f>SF!I583</f>
        <v>0</v>
      </c>
      <c r="H472" s="354" t="s">
        <v>102</v>
      </c>
      <c r="I472" s="355">
        <f>SF!K583</f>
        <v>1139.42</v>
      </c>
      <c r="J472" s="353">
        <f t="shared" si="44"/>
        <v>0</v>
      </c>
      <c r="K472" s="1681"/>
      <c r="L472" s="1681"/>
      <c r="M472" s="633" t="s">
        <v>2313</v>
      </c>
      <c r="N472" s="223"/>
      <c r="O472" s="631">
        <f t="shared" si="45"/>
        <v>0</v>
      </c>
    </row>
    <row r="473" spans="1:15" s="360" customFormat="1" ht="15" hidden="1">
      <c r="A473" s="356" t="s">
        <v>528</v>
      </c>
      <c r="B473" s="632" t="s">
        <v>509</v>
      </c>
      <c r="C473" s="611">
        <f t="shared" si="43"/>
        <v>0</v>
      </c>
      <c r="D473" s="354"/>
      <c r="E473" s="15">
        <f t="shared" si="42"/>
        <v>1044.9000000000001</v>
      </c>
      <c r="F473" s="792">
        <f t="shared" si="41"/>
        <v>0</v>
      </c>
      <c r="G473" s="358">
        <f>SF!I590</f>
        <v>0</v>
      </c>
      <c r="H473" s="354" t="s">
        <v>102</v>
      </c>
      <c r="I473" s="355">
        <f>SF!K590</f>
        <v>1044.9000000000001</v>
      </c>
      <c r="J473" s="353">
        <f t="shared" si="44"/>
        <v>0</v>
      </c>
      <c r="K473" s="1679">
        <f>IF((J473+J474+J475+J476)&gt;(F473+F474+F475+F476),(J473+J474+J475+J476)-(F473+F474+F475+F476),0)</f>
        <v>0</v>
      </c>
      <c r="L473" s="1679">
        <f>IF((J473+J474+J475+J476)&lt;(F473+F474+F475+F476),(F473+F474+F475+F476)-(J473+J474+J475+J476),0)</f>
        <v>0</v>
      </c>
      <c r="M473" s="633" t="s">
        <v>2217</v>
      </c>
      <c r="N473" s="223"/>
      <c r="O473" s="631">
        <f t="shared" si="45"/>
        <v>0</v>
      </c>
    </row>
    <row r="474" spans="1:15" s="360" customFormat="1" ht="15" hidden="1">
      <c r="A474" s="356" t="s">
        <v>528</v>
      </c>
      <c r="B474" s="632" t="s">
        <v>509</v>
      </c>
      <c r="C474" s="611">
        <f t="shared" si="43"/>
        <v>0</v>
      </c>
      <c r="D474" s="354"/>
      <c r="E474" s="15">
        <f t="shared" si="42"/>
        <v>1078.42</v>
      </c>
      <c r="F474" s="792">
        <f t="shared" si="41"/>
        <v>0</v>
      </c>
      <c r="G474" s="358">
        <f>SF!I597</f>
        <v>0</v>
      </c>
      <c r="H474" s="354" t="s">
        <v>102</v>
      </c>
      <c r="I474" s="355">
        <f>SF!K597</f>
        <v>1078.42</v>
      </c>
      <c r="J474" s="353">
        <f t="shared" si="44"/>
        <v>0</v>
      </c>
      <c r="K474" s="1680"/>
      <c r="L474" s="1680"/>
      <c r="M474" s="633" t="s">
        <v>2299</v>
      </c>
      <c r="N474" s="223"/>
      <c r="O474" s="631">
        <f t="shared" si="45"/>
        <v>0</v>
      </c>
    </row>
    <row r="475" spans="1:15" s="360" customFormat="1" ht="15" hidden="1">
      <c r="A475" s="356" t="s">
        <v>528</v>
      </c>
      <c r="B475" s="632" t="s">
        <v>509</v>
      </c>
      <c r="C475" s="611">
        <f t="shared" si="43"/>
        <v>0</v>
      </c>
      <c r="D475" s="354"/>
      <c r="E475" s="15">
        <f t="shared" si="42"/>
        <v>1103.42</v>
      </c>
      <c r="F475" s="792">
        <f t="shared" si="41"/>
        <v>0</v>
      </c>
      <c r="G475" s="358">
        <f>SF!I604</f>
        <v>0</v>
      </c>
      <c r="H475" s="354" t="s">
        <v>102</v>
      </c>
      <c r="I475" s="355">
        <f>SF!K604</f>
        <v>1103.42</v>
      </c>
      <c r="J475" s="353">
        <f t="shared" si="44"/>
        <v>0</v>
      </c>
      <c r="K475" s="1680"/>
      <c r="L475" s="1680"/>
      <c r="M475" s="633" t="s">
        <v>2312</v>
      </c>
      <c r="N475" s="223"/>
      <c r="O475" s="631">
        <f t="shared" si="45"/>
        <v>0</v>
      </c>
    </row>
    <row r="476" spans="1:15" s="360" customFormat="1" ht="15" hidden="1">
      <c r="A476" s="356" t="s">
        <v>528</v>
      </c>
      <c r="B476" s="632" t="s">
        <v>509</v>
      </c>
      <c r="C476" s="611">
        <f t="shared" si="43"/>
        <v>0</v>
      </c>
      <c r="D476" s="354"/>
      <c r="E476" s="15">
        <f t="shared" si="42"/>
        <v>1134.08</v>
      </c>
      <c r="F476" s="792">
        <f t="shared" si="41"/>
        <v>0</v>
      </c>
      <c r="G476" s="358">
        <f>SF!I611</f>
        <v>0</v>
      </c>
      <c r="H476" s="354" t="s">
        <v>102</v>
      </c>
      <c r="I476" s="355">
        <f>SF!K611</f>
        <v>1134.08</v>
      </c>
      <c r="J476" s="353">
        <f t="shared" si="44"/>
        <v>0</v>
      </c>
      <c r="K476" s="1681"/>
      <c r="L476" s="1681"/>
      <c r="M476" s="633" t="s">
        <v>2313</v>
      </c>
      <c r="N476" s="223"/>
      <c r="O476" s="631">
        <f t="shared" si="45"/>
        <v>0</v>
      </c>
    </row>
    <row r="477" spans="1:15" s="360" customFormat="1" ht="15" hidden="1">
      <c r="A477" s="356" t="s">
        <v>508</v>
      </c>
      <c r="B477" s="632" t="s">
        <v>708</v>
      </c>
      <c r="C477" s="611">
        <f t="shared" si="43"/>
        <v>0</v>
      </c>
      <c r="D477" s="354"/>
      <c r="E477" s="15">
        <f t="shared" si="42"/>
        <v>2934.5</v>
      </c>
      <c r="F477" s="792">
        <f t="shared" si="41"/>
        <v>0</v>
      </c>
      <c r="G477" s="358">
        <f>SF!I618</f>
        <v>0</v>
      </c>
      <c r="H477" s="354" t="s">
        <v>77</v>
      </c>
      <c r="I477" s="355">
        <f>SF!K618</f>
        <v>2934.5</v>
      </c>
      <c r="J477" s="353">
        <f t="shared" si="44"/>
        <v>0</v>
      </c>
      <c r="K477" s="1679">
        <f>IF((J477+J478+J479+J480)&gt;(F477+F478+F479+F480),(J477+J478+J479+J480)-(F477+F478+F479+F480),0)</f>
        <v>0</v>
      </c>
      <c r="L477" s="1679">
        <f>IF((J477+J478+J479+J480)&lt;(F477+F478+F479+F480),(F477+F478+F479+F480)-(J477+J478+J479+J480),0)</f>
        <v>0</v>
      </c>
      <c r="M477" s="633" t="s">
        <v>2217</v>
      </c>
      <c r="N477" s="223"/>
      <c r="O477" s="631">
        <f t="shared" si="45"/>
        <v>0</v>
      </c>
    </row>
    <row r="478" spans="1:15" s="360" customFormat="1" ht="15" hidden="1">
      <c r="A478" s="356" t="s">
        <v>508</v>
      </c>
      <c r="B478" s="632" t="s">
        <v>708</v>
      </c>
      <c r="C478" s="611">
        <f t="shared" si="43"/>
        <v>0</v>
      </c>
      <c r="D478" s="354"/>
      <c r="E478" s="15">
        <f t="shared" si="42"/>
        <v>3003.21</v>
      </c>
      <c r="F478" s="792">
        <f t="shared" si="41"/>
        <v>0</v>
      </c>
      <c r="G478" s="358">
        <f>SF!I625</f>
        <v>0</v>
      </c>
      <c r="H478" s="354" t="s">
        <v>77</v>
      </c>
      <c r="I478" s="355">
        <f>SF!K625</f>
        <v>3003.21</v>
      </c>
      <c r="J478" s="353">
        <f t="shared" si="44"/>
        <v>0</v>
      </c>
      <c r="K478" s="1680"/>
      <c r="L478" s="1680"/>
      <c r="M478" s="633" t="s">
        <v>2299</v>
      </c>
      <c r="N478" s="223"/>
      <c r="O478" s="631">
        <f t="shared" si="45"/>
        <v>0</v>
      </c>
    </row>
    <row r="479" spans="1:15" s="360" customFormat="1" ht="15" hidden="1">
      <c r="A479" s="356" t="s">
        <v>508</v>
      </c>
      <c r="B479" s="632" t="s">
        <v>708</v>
      </c>
      <c r="C479" s="611">
        <f t="shared" si="43"/>
        <v>0</v>
      </c>
      <c r="D479" s="354"/>
      <c r="E479" s="15">
        <f t="shared" si="42"/>
        <v>3066.62</v>
      </c>
      <c r="F479" s="792">
        <f t="shared" si="41"/>
        <v>0</v>
      </c>
      <c r="G479" s="358">
        <f>SF!I632</f>
        <v>0</v>
      </c>
      <c r="H479" s="354" t="s">
        <v>77</v>
      </c>
      <c r="I479" s="355">
        <f>SF!K632</f>
        <v>3066.62</v>
      </c>
      <c r="J479" s="353">
        <f t="shared" si="44"/>
        <v>0</v>
      </c>
      <c r="K479" s="1680"/>
      <c r="L479" s="1680"/>
      <c r="M479" s="633" t="s">
        <v>2312</v>
      </c>
      <c r="N479" s="223"/>
      <c r="O479" s="631">
        <f t="shared" si="45"/>
        <v>0</v>
      </c>
    </row>
    <row r="480" spans="1:15" s="360" customFormat="1" ht="15" hidden="1">
      <c r="A480" s="356" t="s">
        <v>508</v>
      </c>
      <c r="B480" s="632" t="s">
        <v>708</v>
      </c>
      <c r="C480" s="611">
        <f t="shared" si="43"/>
        <v>0</v>
      </c>
      <c r="D480" s="354"/>
      <c r="E480" s="15">
        <f t="shared" si="42"/>
        <v>3248.17</v>
      </c>
      <c r="F480" s="792">
        <f t="shared" si="41"/>
        <v>0</v>
      </c>
      <c r="G480" s="358">
        <f>SF!I639</f>
        <v>0</v>
      </c>
      <c r="H480" s="354" t="s">
        <v>77</v>
      </c>
      <c r="I480" s="355">
        <f>SF!K639</f>
        <v>3248.17</v>
      </c>
      <c r="J480" s="353">
        <f t="shared" si="44"/>
        <v>0</v>
      </c>
      <c r="K480" s="1681"/>
      <c r="L480" s="1681"/>
      <c r="M480" s="633" t="s">
        <v>2313</v>
      </c>
      <c r="N480" s="223"/>
      <c r="O480" s="631">
        <f t="shared" si="45"/>
        <v>0</v>
      </c>
    </row>
    <row r="481" spans="1:15" s="360" customFormat="1" ht="15" hidden="1">
      <c r="A481" s="356" t="s">
        <v>510</v>
      </c>
      <c r="B481" s="632" t="s">
        <v>877</v>
      </c>
      <c r="C481" s="611">
        <f t="shared" si="43"/>
        <v>0</v>
      </c>
      <c r="D481" s="354"/>
      <c r="E481" s="15">
        <f t="shared" si="42"/>
        <v>2740.43</v>
      </c>
      <c r="F481" s="792">
        <f t="shared" si="41"/>
        <v>0</v>
      </c>
      <c r="G481" s="358">
        <f>SF!I646</f>
        <v>0</v>
      </c>
      <c r="H481" s="354" t="s">
        <v>102</v>
      </c>
      <c r="I481" s="355">
        <f>SF!K646</f>
        <v>2740.43</v>
      </c>
      <c r="J481" s="353">
        <f t="shared" si="44"/>
        <v>0</v>
      </c>
      <c r="K481" s="1679">
        <f>IF((J481+J482+J483+J484)&gt;(F481+F482+F483+F484),(J481+J482+J483+J484)-(F481+F482+F483+F484),0)</f>
        <v>0</v>
      </c>
      <c r="L481" s="1679">
        <f>IF((J481+J482+J483+J484)&lt;(F481+F482+F483+F484),(F481+F482+F483+F484)-(J481+J482+J483+J484),0)</f>
        <v>0</v>
      </c>
      <c r="M481" s="633" t="s">
        <v>2217</v>
      </c>
      <c r="N481" s="223"/>
      <c r="O481" s="631">
        <f t="shared" si="45"/>
        <v>0</v>
      </c>
    </row>
    <row r="482" spans="1:15" s="360" customFormat="1" ht="15" hidden="1">
      <c r="A482" s="356" t="s">
        <v>510</v>
      </c>
      <c r="B482" s="632" t="s">
        <v>877</v>
      </c>
      <c r="C482" s="611">
        <f t="shared" si="43"/>
        <v>0</v>
      </c>
      <c r="D482" s="354"/>
      <c r="E482" s="15">
        <f t="shared" si="42"/>
        <v>2787.53</v>
      </c>
      <c r="F482" s="792">
        <f t="shared" si="41"/>
        <v>0</v>
      </c>
      <c r="G482" s="358">
        <f>SF!I653</f>
        <v>0</v>
      </c>
      <c r="H482" s="354" t="s">
        <v>102</v>
      </c>
      <c r="I482" s="355">
        <f>SF!K653</f>
        <v>2787.53</v>
      </c>
      <c r="J482" s="353">
        <f t="shared" si="44"/>
        <v>0</v>
      </c>
      <c r="K482" s="1680"/>
      <c r="L482" s="1680"/>
      <c r="M482" s="633" t="s">
        <v>2299</v>
      </c>
      <c r="N482" s="223"/>
      <c r="O482" s="631">
        <f t="shared" si="45"/>
        <v>0</v>
      </c>
    </row>
    <row r="483" spans="1:15" s="360" customFormat="1" ht="15" hidden="1">
      <c r="A483" s="356" t="s">
        <v>510</v>
      </c>
      <c r="B483" s="632" t="s">
        <v>877</v>
      </c>
      <c r="C483" s="611">
        <f t="shared" si="43"/>
        <v>0</v>
      </c>
      <c r="D483" s="354"/>
      <c r="E483" s="15">
        <f t="shared" si="42"/>
        <v>2831.2</v>
      </c>
      <c r="F483" s="792">
        <f t="shared" si="41"/>
        <v>0</v>
      </c>
      <c r="G483" s="358">
        <f>SF!I660</f>
        <v>0</v>
      </c>
      <c r="H483" s="354" t="s">
        <v>102</v>
      </c>
      <c r="I483" s="355">
        <f>SF!K660</f>
        <v>2831.2</v>
      </c>
      <c r="J483" s="353">
        <f t="shared" si="44"/>
        <v>0</v>
      </c>
      <c r="K483" s="1680"/>
      <c r="L483" s="1680"/>
      <c r="M483" s="633" t="s">
        <v>2312</v>
      </c>
      <c r="N483" s="223"/>
      <c r="O483" s="631">
        <f t="shared" si="45"/>
        <v>0</v>
      </c>
    </row>
    <row r="484" spans="1:15" s="360" customFormat="1" ht="15" hidden="1">
      <c r="A484" s="356" t="s">
        <v>510</v>
      </c>
      <c r="B484" s="632" t="s">
        <v>877</v>
      </c>
      <c r="C484" s="611">
        <f t="shared" si="43"/>
        <v>0</v>
      </c>
      <c r="D484" s="354"/>
      <c r="E484" s="15">
        <f t="shared" si="42"/>
        <v>2995.66</v>
      </c>
      <c r="F484" s="792">
        <f t="shared" si="41"/>
        <v>0</v>
      </c>
      <c r="G484" s="358">
        <f>SF!I667</f>
        <v>0</v>
      </c>
      <c r="H484" s="354" t="s">
        <v>102</v>
      </c>
      <c r="I484" s="355">
        <f>SF!K667</f>
        <v>2995.66</v>
      </c>
      <c r="J484" s="353">
        <f t="shared" si="44"/>
        <v>0</v>
      </c>
      <c r="K484" s="1681"/>
      <c r="L484" s="1681"/>
      <c r="M484" s="633" t="s">
        <v>2313</v>
      </c>
      <c r="N484" s="223"/>
      <c r="O484" s="631">
        <f t="shared" si="45"/>
        <v>0</v>
      </c>
    </row>
    <row r="485" spans="1:15" s="360" customFormat="1" ht="15" hidden="1">
      <c r="A485" s="356" t="s">
        <v>529</v>
      </c>
      <c r="B485" s="632" t="s">
        <v>710</v>
      </c>
      <c r="C485" s="611">
        <f t="shared" si="43"/>
        <v>0</v>
      </c>
      <c r="D485" s="354"/>
      <c r="E485" s="15">
        <f t="shared" si="42"/>
        <v>660.95</v>
      </c>
      <c r="F485" s="792">
        <f t="shared" si="41"/>
        <v>0</v>
      </c>
      <c r="G485" s="358">
        <f>SF!I674</f>
        <v>0</v>
      </c>
      <c r="H485" s="354" t="s">
        <v>102</v>
      </c>
      <c r="I485" s="355">
        <f>SF!K674</f>
        <v>660.95</v>
      </c>
      <c r="J485" s="353">
        <f t="shared" si="44"/>
        <v>0</v>
      </c>
      <c r="K485" s="1679">
        <f>IF((J485+J486+J487+J488)&gt;(F485+F486+F487+F488),(J485+J486+J487+J488)-(F485+F486+F487+F488),0)</f>
        <v>0</v>
      </c>
      <c r="L485" s="1679">
        <f>IF((J485+J486+J487+J488)&lt;(F485+F486+F487+F488),(F485+F486+F487+F488)-(J485+J486+J487+J488),0)</f>
        <v>0</v>
      </c>
      <c r="M485" s="633" t="s">
        <v>2217</v>
      </c>
      <c r="N485" s="223"/>
      <c r="O485" s="631">
        <f t="shared" si="45"/>
        <v>0</v>
      </c>
    </row>
    <row r="486" spans="1:15" s="360" customFormat="1" ht="15" hidden="1">
      <c r="A486" s="356" t="s">
        <v>529</v>
      </c>
      <c r="B486" s="632" t="s">
        <v>710</v>
      </c>
      <c r="C486" s="611">
        <f t="shared" si="43"/>
        <v>0</v>
      </c>
      <c r="D486" s="354"/>
      <c r="E486" s="15">
        <f t="shared" si="42"/>
        <v>709.65</v>
      </c>
      <c r="F486" s="792">
        <f t="shared" si="41"/>
        <v>0</v>
      </c>
      <c r="G486" s="358">
        <f>SF!I681</f>
        <v>0</v>
      </c>
      <c r="H486" s="354" t="s">
        <v>102</v>
      </c>
      <c r="I486" s="355">
        <f>SF!K681</f>
        <v>709.65</v>
      </c>
      <c r="J486" s="353">
        <f t="shared" si="44"/>
        <v>0</v>
      </c>
      <c r="K486" s="1680"/>
      <c r="L486" s="1680"/>
      <c r="M486" s="633" t="s">
        <v>2299</v>
      </c>
      <c r="N486" s="223"/>
      <c r="O486" s="631">
        <f t="shared" si="45"/>
        <v>0</v>
      </c>
    </row>
    <row r="487" spans="1:15" s="360" customFormat="1" ht="15" hidden="1">
      <c r="A487" s="356" t="s">
        <v>529</v>
      </c>
      <c r="B487" s="632" t="s">
        <v>710</v>
      </c>
      <c r="C487" s="611">
        <f t="shared" si="43"/>
        <v>0</v>
      </c>
      <c r="D487" s="354"/>
      <c r="E487" s="15">
        <f t="shared" si="42"/>
        <v>718.32</v>
      </c>
      <c r="F487" s="792">
        <f t="shared" si="41"/>
        <v>0</v>
      </c>
      <c r="G487" s="358">
        <f>SF!I688</f>
        <v>0</v>
      </c>
      <c r="H487" s="354" t="s">
        <v>102</v>
      </c>
      <c r="I487" s="355">
        <f>SF!K688</f>
        <v>718.32</v>
      </c>
      <c r="J487" s="353">
        <f t="shared" si="44"/>
        <v>0</v>
      </c>
      <c r="K487" s="1680"/>
      <c r="L487" s="1680"/>
      <c r="M487" s="633" t="s">
        <v>2312</v>
      </c>
      <c r="N487" s="223"/>
      <c r="O487" s="631">
        <f t="shared" si="45"/>
        <v>0</v>
      </c>
    </row>
    <row r="488" spans="1:15" s="360" customFormat="1" ht="15" hidden="1">
      <c r="A488" s="356" t="s">
        <v>529</v>
      </c>
      <c r="B488" s="632" t="s">
        <v>710</v>
      </c>
      <c r="C488" s="611">
        <f t="shared" si="43"/>
        <v>0</v>
      </c>
      <c r="D488" s="354"/>
      <c r="E488" s="15">
        <f t="shared" si="42"/>
        <v>816.76</v>
      </c>
      <c r="F488" s="792">
        <f t="shared" si="41"/>
        <v>0</v>
      </c>
      <c r="G488" s="358">
        <f>SF!I695</f>
        <v>0</v>
      </c>
      <c r="H488" s="354" t="s">
        <v>102</v>
      </c>
      <c r="I488" s="355">
        <f>SF!K695</f>
        <v>816.76</v>
      </c>
      <c r="J488" s="353">
        <f t="shared" si="44"/>
        <v>0</v>
      </c>
      <c r="K488" s="1681"/>
      <c r="L488" s="1681"/>
      <c r="M488" s="633" t="s">
        <v>2313</v>
      </c>
      <c r="N488" s="223"/>
      <c r="O488" s="631">
        <f t="shared" si="45"/>
        <v>0</v>
      </c>
    </row>
    <row r="489" spans="1:15" s="360" customFormat="1" ht="15" hidden="1">
      <c r="A489" s="356" t="s">
        <v>530</v>
      </c>
      <c r="B489" s="632" t="s">
        <v>711</v>
      </c>
      <c r="C489" s="611">
        <f t="shared" si="43"/>
        <v>0</v>
      </c>
      <c r="D489" s="354"/>
      <c r="E489" s="15">
        <f t="shared" si="42"/>
        <v>681.6</v>
      </c>
      <c r="F489" s="792">
        <f t="shared" si="41"/>
        <v>0</v>
      </c>
      <c r="G489" s="358">
        <f>SF!I702</f>
        <v>0</v>
      </c>
      <c r="H489" s="354" t="s">
        <v>102</v>
      </c>
      <c r="I489" s="355">
        <f>SF!K702</f>
        <v>681.6</v>
      </c>
      <c r="J489" s="353">
        <f t="shared" si="44"/>
        <v>0</v>
      </c>
      <c r="K489" s="1679">
        <f>IF((J489+J490+J491+J492)&gt;(F489+F490+F491+F492),(J489+J490+J491+J492)-(F489+F490+F491+F492),0)</f>
        <v>0</v>
      </c>
      <c r="L489" s="1679">
        <f>IF((J489+J490+J491+J492)&lt;(F489+F490+F491+F492),(F489+F490+F491+F492)-(J489+J490+J491+J492),0)</f>
        <v>0</v>
      </c>
      <c r="M489" s="633" t="s">
        <v>2217</v>
      </c>
      <c r="N489" s="223"/>
      <c r="O489" s="631">
        <f t="shared" si="45"/>
        <v>0</v>
      </c>
    </row>
    <row r="490" spans="1:15" s="360" customFormat="1" ht="15" hidden="1">
      <c r="A490" s="356" t="s">
        <v>530</v>
      </c>
      <c r="B490" s="632" t="s">
        <v>711</v>
      </c>
      <c r="C490" s="611">
        <f t="shared" si="43"/>
        <v>0</v>
      </c>
      <c r="D490" s="354"/>
      <c r="E490" s="15">
        <f t="shared" si="42"/>
        <v>715.12</v>
      </c>
      <c r="F490" s="792">
        <f t="shared" si="41"/>
        <v>0</v>
      </c>
      <c r="G490" s="358">
        <f>SF!I709</f>
        <v>0</v>
      </c>
      <c r="H490" s="354" t="s">
        <v>102</v>
      </c>
      <c r="I490" s="355">
        <f>SF!K709</f>
        <v>715.12</v>
      </c>
      <c r="J490" s="353">
        <f t="shared" si="44"/>
        <v>0</v>
      </c>
      <c r="K490" s="1680"/>
      <c r="L490" s="1680"/>
      <c r="M490" s="633" t="s">
        <v>2299</v>
      </c>
      <c r="N490" s="223"/>
      <c r="O490" s="631">
        <f t="shared" si="45"/>
        <v>0</v>
      </c>
    </row>
    <row r="491" spans="1:15" s="360" customFormat="1" ht="15" hidden="1">
      <c r="A491" s="356" t="s">
        <v>530</v>
      </c>
      <c r="B491" s="632" t="s">
        <v>711</v>
      </c>
      <c r="C491" s="611">
        <f t="shared" si="43"/>
        <v>0</v>
      </c>
      <c r="D491" s="354"/>
      <c r="E491" s="15">
        <f t="shared" si="42"/>
        <v>740.12</v>
      </c>
      <c r="F491" s="792">
        <f t="shared" si="41"/>
        <v>0</v>
      </c>
      <c r="G491" s="358">
        <f>SF!I716</f>
        <v>0</v>
      </c>
      <c r="H491" s="354" t="s">
        <v>102</v>
      </c>
      <c r="I491" s="355">
        <f>SF!K716</f>
        <v>740.12</v>
      </c>
      <c r="J491" s="353">
        <f t="shared" si="44"/>
        <v>0</v>
      </c>
      <c r="K491" s="1680"/>
      <c r="L491" s="1680"/>
      <c r="M491" s="633" t="s">
        <v>2312</v>
      </c>
      <c r="N491" s="223"/>
      <c r="O491" s="631">
        <f t="shared" si="45"/>
        <v>0</v>
      </c>
    </row>
    <row r="492" spans="1:15" s="360" customFormat="1" ht="15" hidden="1">
      <c r="A492" s="356" t="s">
        <v>530</v>
      </c>
      <c r="B492" s="632" t="s">
        <v>711</v>
      </c>
      <c r="C492" s="611">
        <f t="shared" si="43"/>
        <v>0</v>
      </c>
      <c r="D492" s="354"/>
      <c r="E492" s="15">
        <f t="shared" si="42"/>
        <v>822.23</v>
      </c>
      <c r="F492" s="792">
        <f t="shared" si="41"/>
        <v>0</v>
      </c>
      <c r="G492" s="358">
        <f>SF!I723</f>
        <v>0</v>
      </c>
      <c r="H492" s="354" t="s">
        <v>102</v>
      </c>
      <c r="I492" s="355">
        <f>SF!K723</f>
        <v>822.23</v>
      </c>
      <c r="J492" s="353">
        <f t="shared" si="44"/>
        <v>0</v>
      </c>
      <c r="K492" s="1681"/>
      <c r="L492" s="1681"/>
      <c r="M492" s="633" t="s">
        <v>2313</v>
      </c>
      <c r="N492" s="223"/>
      <c r="O492" s="631">
        <f t="shared" si="45"/>
        <v>0</v>
      </c>
    </row>
    <row r="493" spans="1:15" s="360" customFormat="1" ht="15" hidden="1">
      <c r="A493" s="356" t="s">
        <v>531</v>
      </c>
      <c r="B493" s="632" t="s">
        <v>511</v>
      </c>
      <c r="C493" s="611">
        <f t="shared" si="43"/>
        <v>0</v>
      </c>
      <c r="D493" s="354"/>
      <c r="E493" s="15">
        <f t="shared" si="42"/>
        <v>784.71</v>
      </c>
      <c r="F493" s="792">
        <f t="shared" si="41"/>
        <v>0</v>
      </c>
      <c r="G493" s="358">
        <f>SF!I730</f>
        <v>0</v>
      </c>
      <c r="H493" s="354" t="s">
        <v>102</v>
      </c>
      <c r="I493" s="355">
        <f>SF!K730</f>
        <v>784.71</v>
      </c>
      <c r="J493" s="353">
        <f t="shared" si="44"/>
        <v>0</v>
      </c>
      <c r="K493" s="1679">
        <f>IF((J493+J494+J495+J496)&gt;(F493+F494+F495+F496),(J493+J494+J495+J496)-(F493+F494+F495+F496),0)</f>
        <v>0</v>
      </c>
      <c r="L493" s="1679">
        <f>IF((J493+J494+J495+J496)&lt;(F493+F494+F495+F496),(F493+F494+F495+F496)-(J493+J494+J495+J496),0)</f>
        <v>0</v>
      </c>
      <c r="M493" s="633" t="s">
        <v>2217</v>
      </c>
      <c r="N493" s="223"/>
      <c r="O493" s="631">
        <f t="shared" si="45"/>
        <v>0</v>
      </c>
    </row>
    <row r="494" spans="1:15" s="360" customFormat="1" ht="15" hidden="1">
      <c r="A494" s="356" t="s">
        <v>531</v>
      </c>
      <c r="B494" s="632" t="s">
        <v>511</v>
      </c>
      <c r="C494" s="611">
        <f t="shared" si="43"/>
        <v>0</v>
      </c>
      <c r="D494" s="354"/>
      <c r="E494" s="15">
        <f t="shared" si="42"/>
        <v>818.23</v>
      </c>
      <c r="F494" s="792">
        <f t="shared" si="41"/>
        <v>0</v>
      </c>
      <c r="G494" s="358">
        <f>SF!I737</f>
        <v>0</v>
      </c>
      <c r="H494" s="354" t="s">
        <v>102</v>
      </c>
      <c r="I494" s="355">
        <f>SF!K737</f>
        <v>818.23</v>
      </c>
      <c r="J494" s="353">
        <f t="shared" si="44"/>
        <v>0</v>
      </c>
      <c r="K494" s="1680"/>
      <c r="L494" s="1680"/>
      <c r="M494" s="633" t="s">
        <v>2299</v>
      </c>
      <c r="N494" s="223"/>
      <c r="O494" s="631">
        <f t="shared" si="45"/>
        <v>0</v>
      </c>
    </row>
    <row r="495" spans="1:15" s="360" customFormat="1" ht="15" hidden="1">
      <c r="A495" s="356" t="s">
        <v>531</v>
      </c>
      <c r="B495" s="632" t="s">
        <v>511</v>
      </c>
      <c r="C495" s="611">
        <f t="shared" si="43"/>
        <v>0</v>
      </c>
      <c r="D495" s="354"/>
      <c r="E495" s="15">
        <f t="shared" si="42"/>
        <v>843.23</v>
      </c>
      <c r="F495" s="792">
        <f t="shared" si="41"/>
        <v>0</v>
      </c>
      <c r="G495" s="358">
        <f>SF!I744</f>
        <v>0</v>
      </c>
      <c r="H495" s="354" t="s">
        <v>102</v>
      </c>
      <c r="I495" s="355">
        <f>SF!K744</f>
        <v>843.23</v>
      </c>
      <c r="J495" s="353">
        <f t="shared" si="44"/>
        <v>0</v>
      </c>
      <c r="K495" s="1680"/>
      <c r="L495" s="1680"/>
      <c r="M495" s="633" t="s">
        <v>2312</v>
      </c>
      <c r="N495" s="223"/>
      <c r="O495" s="631">
        <f t="shared" si="45"/>
        <v>0</v>
      </c>
    </row>
    <row r="496" spans="1:15" s="360" customFormat="1" ht="15" hidden="1">
      <c r="A496" s="356" t="s">
        <v>531</v>
      </c>
      <c r="B496" s="632" t="s">
        <v>511</v>
      </c>
      <c r="C496" s="611">
        <f t="shared" si="43"/>
        <v>0</v>
      </c>
      <c r="D496" s="354"/>
      <c r="E496" s="15">
        <f t="shared" si="42"/>
        <v>873.89</v>
      </c>
      <c r="F496" s="792">
        <f t="shared" ref="F496:F559" si="46">ROUND(C496*E496,0)</f>
        <v>0</v>
      </c>
      <c r="G496" s="358">
        <f>SF!I751</f>
        <v>0</v>
      </c>
      <c r="H496" s="354" t="s">
        <v>102</v>
      </c>
      <c r="I496" s="355">
        <f>SF!K751</f>
        <v>873.89</v>
      </c>
      <c r="J496" s="353">
        <f t="shared" si="44"/>
        <v>0</v>
      </c>
      <c r="K496" s="1681"/>
      <c r="L496" s="1681"/>
      <c r="M496" s="633" t="s">
        <v>2313</v>
      </c>
      <c r="N496" s="223"/>
      <c r="O496" s="631">
        <f t="shared" si="45"/>
        <v>0</v>
      </c>
    </row>
    <row r="497" spans="1:15" s="360" customFormat="1" ht="15" hidden="1">
      <c r="A497" s="356" t="s">
        <v>532</v>
      </c>
      <c r="B497" s="632" t="s">
        <v>570</v>
      </c>
      <c r="C497" s="611">
        <f t="shared" si="43"/>
        <v>0</v>
      </c>
      <c r="D497" s="354"/>
      <c r="E497" s="15">
        <f t="shared" ref="E497:E560" si="47">I497</f>
        <v>502.03</v>
      </c>
      <c r="F497" s="792">
        <f t="shared" si="46"/>
        <v>0</v>
      </c>
      <c r="G497" s="358">
        <f>SF!I757</f>
        <v>0</v>
      </c>
      <c r="H497" s="354" t="s">
        <v>102</v>
      </c>
      <c r="I497" s="355">
        <f>SF!K757</f>
        <v>502.03</v>
      </c>
      <c r="J497" s="353">
        <f t="shared" si="44"/>
        <v>0</v>
      </c>
      <c r="K497" s="1679">
        <f>IF((J497+J498+J499+J500)&gt;(F497+F498+F499+F500),(J497+J498+J499+J500)-(F497+F498+F499+F500),0)</f>
        <v>0</v>
      </c>
      <c r="L497" s="1679">
        <f>IF((J497+J498+J499+J500)&lt;(F497+F498+F499+F500),(F497+F498+F499+F500)-(J497+J498+J499+J500),0)</f>
        <v>0</v>
      </c>
      <c r="M497" s="633" t="s">
        <v>2217</v>
      </c>
      <c r="N497" s="223"/>
      <c r="O497" s="631">
        <f t="shared" si="45"/>
        <v>0</v>
      </c>
    </row>
    <row r="498" spans="1:15" s="360" customFormat="1" ht="15" hidden="1">
      <c r="A498" s="356" t="s">
        <v>532</v>
      </c>
      <c r="B498" s="632" t="s">
        <v>570</v>
      </c>
      <c r="C498" s="611">
        <f t="shared" si="43"/>
        <v>0</v>
      </c>
      <c r="D498" s="354"/>
      <c r="E498" s="15">
        <f t="shared" si="47"/>
        <v>512.04</v>
      </c>
      <c r="F498" s="792">
        <f t="shared" si="46"/>
        <v>0</v>
      </c>
      <c r="G498" s="358">
        <f>SF!I763</f>
        <v>0</v>
      </c>
      <c r="H498" s="354" t="s">
        <v>102</v>
      </c>
      <c r="I498" s="355">
        <f>SF!K763</f>
        <v>512.04</v>
      </c>
      <c r="J498" s="353">
        <f t="shared" si="44"/>
        <v>0</v>
      </c>
      <c r="K498" s="1680"/>
      <c r="L498" s="1680"/>
      <c r="M498" s="633" t="s">
        <v>2299</v>
      </c>
      <c r="N498" s="223"/>
      <c r="O498" s="631">
        <f t="shared" si="45"/>
        <v>0</v>
      </c>
    </row>
    <row r="499" spans="1:15" s="360" customFormat="1" ht="15" hidden="1">
      <c r="A499" s="356" t="s">
        <v>532</v>
      </c>
      <c r="B499" s="632" t="s">
        <v>570</v>
      </c>
      <c r="C499" s="611">
        <f t="shared" si="43"/>
        <v>0</v>
      </c>
      <c r="D499" s="354"/>
      <c r="E499" s="15">
        <f t="shared" si="47"/>
        <v>520.52</v>
      </c>
      <c r="F499" s="792">
        <f t="shared" si="46"/>
        <v>0</v>
      </c>
      <c r="G499" s="358">
        <f>SF!I769</f>
        <v>0</v>
      </c>
      <c r="H499" s="354" t="s">
        <v>102</v>
      </c>
      <c r="I499" s="355">
        <f>SF!K769</f>
        <v>520.52</v>
      </c>
      <c r="J499" s="353">
        <f t="shared" si="44"/>
        <v>0</v>
      </c>
      <c r="K499" s="1680"/>
      <c r="L499" s="1680"/>
      <c r="M499" s="633" t="s">
        <v>2312</v>
      </c>
      <c r="N499" s="223"/>
      <c r="O499" s="631">
        <f t="shared" si="45"/>
        <v>0</v>
      </c>
    </row>
    <row r="500" spans="1:15" s="360" customFormat="1" ht="15" hidden="1">
      <c r="A500" s="356" t="s">
        <v>532</v>
      </c>
      <c r="B500" s="632" t="s">
        <v>570</v>
      </c>
      <c r="C500" s="611">
        <f t="shared" si="43"/>
        <v>0</v>
      </c>
      <c r="D500" s="354"/>
      <c r="E500" s="15">
        <f t="shared" si="47"/>
        <v>536.26</v>
      </c>
      <c r="F500" s="792">
        <f t="shared" si="46"/>
        <v>0</v>
      </c>
      <c r="G500" s="358">
        <f>SF!I775</f>
        <v>0</v>
      </c>
      <c r="H500" s="354" t="s">
        <v>102</v>
      </c>
      <c r="I500" s="355">
        <f>SF!K775</f>
        <v>536.26</v>
      </c>
      <c r="J500" s="353">
        <f t="shared" si="44"/>
        <v>0</v>
      </c>
      <c r="K500" s="1681"/>
      <c r="L500" s="1681"/>
      <c r="M500" s="633" t="s">
        <v>2313</v>
      </c>
      <c r="N500" s="223"/>
      <c r="O500" s="631">
        <f t="shared" si="45"/>
        <v>0</v>
      </c>
    </row>
    <row r="501" spans="1:15" s="360" customFormat="1" ht="15" hidden="1">
      <c r="A501" s="356" t="s">
        <v>492</v>
      </c>
      <c r="B501" s="632" t="s">
        <v>1222</v>
      </c>
      <c r="C501" s="611">
        <f t="shared" si="43"/>
        <v>0</v>
      </c>
      <c r="D501" s="354"/>
      <c r="E501" s="15">
        <f t="shared" si="47"/>
        <v>977.96</v>
      </c>
      <c r="F501" s="792">
        <f t="shared" si="46"/>
        <v>0</v>
      </c>
      <c r="G501" s="358">
        <f>SF!I781</f>
        <v>0</v>
      </c>
      <c r="H501" s="354" t="s">
        <v>102</v>
      </c>
      <c r="I501" s="355">
        <f>SF!K781</f>
        <v>977.96</v>
      </c>
      <c r="J501" s="353">
        <f t="shared" si="44"/>
        <v>0</v>
      </c>
      <c r="K501" s="1679">
        <f>IF((J501+J502+J503+J504)&gt;(F501+F502+F503+F504),(J501+J502+J503+J504)-(F501+F502+F503+F504),0)</f>
        <v>0</v>
      </c>
      <c r="L501" s="1679">
        <f>IF((J501+J502+J503+J504)&lt;(F501+F502+F503+F504),(F501+F502+F503+F504)-(J501+J502+J503+J504),0)</f>
        <v>0</v>
      </c>
      <c r="M501" s="633" t="s">
        <v>2217</v>
      </c>
      <c r="N501" s="223"/>
      <c r="O501" s="631">
        <f t="shared" si="45"/>
        <v>0</v>
      </c>
    </row>
    <row r="502" spans="1:15" s="360" customFormat="1" ht="15" hidden="1">
      <c r="A502" s="356" t="s">
        <v>492</v>
      </c>
      <c r="B502" s="632" t="s">
        <v>1222</v>
      </c>
      <c r="C502" s="611">
        <f t="shared" si="43"/>
        <v>0</v>
      </c>
      <c r="D502" s="354"/>
      <c r="E502" s="15">
        <f t="shared" si="47"/>
        <v>1023.19</v>
      </c>
      <c r="F502" s="792">
        <f t="shared" si="46"/>
        <v>0</v>
      </c>
      <c r="G502" s="358">
        <f>SF!I787</f>
        <v>0</v>
      </c>
      <c r="H502" s="354" t="s">
        <v>102</v>
      </c>
      <c r="I502" s="355">
        <f>SF!K787</f>
        <v>1023.19</v>
      </c>
      <c r="J502" s="353">
        <f t="shared" si="44"/>
        <v>0</v>
      </c>
      <c r="K502" s="1680"/>
      <c r="L502" s="1680"/>
      <c r="M502" s="633" t="s">
        <v>2299</v>
      </c>
      <c r="N502" s="223"/>
      <c r="O502" s="631">
        <f t="shared" si="45"/>
        <v>0</v>
      </c>
    </row>
    <row r="503" spans="1:15" s="360" customFormat="1" ht="15" hidden="1">
      <c r="A503" s="356" t="s">
        <v>492</v>
      </c>
      <c r="B503" s="632" t="s">
        <v>1222</v>
      </c>
      <c r="C503" s="611">
        <f t="shared" si="43"/>
        <v>0</v>
      </c>
      <c r="D503" s="354"/>
      <c r="E503" s="15">
        <f t="shared" si="47"/>
        <v>1058.68</v>
      </c>
      <c r="F503" s="792">
        <f t="shared" si="46"/>
        <v>0</v>
      </c>
      <c r="G503" s="358">
        <f>SF!I793</f>
        <v>0</v>
      </c>
      <c r="H503" s="354" t="s">
        <v>102</v>
      </c>
      <c r="I503" s="355">
        <f>SF!K793</f>
        <v>1058.68</v>
      </c>
      <c r="J503" s="353">
        <f t="shared" si="44"/>
        <v>0</v>
      </c>
      <c r="K503" s="1680"/>
      <c r="L503" s="1680"/>
      <c r="M503" s="633" t="s">
        <v>2312</v>
      </c>
      <c r="N503" s="223"/>
      <c r="O503" s="631">
        <f t="shared" si="45"/>
        <v>0</v>
      </c>
    </row>
    <row r="504" spans="1:15" s="360" customFormat="1" ht="15" hidden="1">
      <c r="A504" s="356" t="s">
        <v>492</v>
      </c>
      <c r="B504" s="632" t="s">
        <v>1222</v>
      </c>
      <c r="C504" s="611">
        <f t="shared" si="43"/>
        <v>0</v>
      </c>
      <c r="D504" s="354"/>
      <c r="E504" s="15">
        <f t="shared" si="47"/>
        <v>1100.49</v>
      </c>
      <c r="F504" s="792">
        <f t="shared" si="46"/>
        <v>0</v>
      </c>
      <c r="G504" s="358">
        <f>SF!I799</f>
        <v>0</v>
      </c>
      <c r="H504" s="354" t="s">
        <v>102</v>
      </c>
      <c r="I504" s="355">
        <f>SF!K799</f>
        <v>1100.49</v>
      </c>
      <c r="J504" s="353">
        <f t="shared" si="44"/>
        <v>0</v>
      </c>
      <c r="K504" s="1681"/>
      <c r="L504" s="1681"/>
      <c r="M504" s="633" t="s">
        <v>2313</v>
      </c>
      <c r="N504" s="223"/>
      <c r="O504" s="631">
        <f t="shared" si="45"/>
        <v>0</v>
      </c>
    </row>
    <row r="505" spans="1:15" s="360" customFormat="1" ht="15" hidden="1">
      <c r="A505" s="356" t="s">
        <v>533</v>
      </c>
      <c r="B505" s="632" t="s">
        <v>707</v>
      </c>
      <c r="C505" s="611">
        <f t="shared" si="43"/>
        <v>0</v>
      </c>
      <c r="D505" s="354"/>
      <c r="E505" s="15">
        <f t="shared" si="47"/>
        <v>21.43</v>
      </c>
      <c r="F505" s="792">
        <f t="shared" si="46"/>
        <v>0</v>
      </c>
      <c r="G505" s="358">
        <f>SF!I807</f>
        <v>0</v>
      </c>
      <c r="H505" s="354" t="s">
        <v>102</v>
      </c>
      <c r="I505" s="355">
        <f>SF!K807</f>
        <v>21.43</v>
      </c>
      <c r="J505" s="353">
        <f t="shared" si="44"/>
        <v>0</v>
      </c>
      <c r="K505" s="1679">
        <f>IF((J505+J506+J507+J508)&gt;(F505+F506+F507+F508),(J505+J506+J507+J508)-(F505+F506+F507+F508),0)</f>
        <v>0</v>
      </c>
      <c r="L505" s="1679">
        <f>IF((J505+J506+J507+J508)&lt;(F505+F506+F507+F508),(F505+F506+F507+F508)-(J505+J506+J507+J508),0)</f>
        <v>0</v>
      </c>
      <c r="M505" s="633" t="s">
        <v>2217</v>
      </c>
      <c r="N505" s="223"/>
      <c r="O505" s="631">
        <f t="shared" si="45"/>
        <v>0</v>
      </c>
    </row>
    <row r="506" spans="1:15" s="360" customFormat="1" ht="15" hidden="1">
      <c r="A506" s="356" t="s">
        <v>533</v>
      </c>
      <c r="B506" s="632" t="s">
        <v>707</v>
      </c>
      <c r="C506" s="611">
        <f t="shared" si="43"/>
        <v>0</v>
      </c>
      <c r="D506" s="354"/>
      <c r="E506" s="15">
        <f t="shared" si="47"/>
        <v>22.88</v>
      </c>
      <c r="F506" s="792">
        <f t="shared" si="46"/>
        <v>0</v>
      </c>
      <c r="G506" s="358">
        <f>SF!I815</f>
        <v>0</v>
      </c>
      <c r="H506" s="354" t="s">
        <v>102</v>
      </c>
      <c r="I506" s="355">
        <f>SF!K815</f>
        <v>22.88</v>
      </c>
      <c r="J506" s="353">
        <f t="shared" si="44"/>
        <v>0</v>
      </c>
      <c r="K506" s="1680"/>
      <c r="L506" s="1680"/>
      <c r="M506" s="633" t="s">
        <v>2299</v>
      </c>
      <c r="N506" s="223"/>
      <c r="O506" s="631">
        <f t="shared" si="45"/>
        <v>0</v>
      </c>
    </row>
    <row r="507" spans="1:15" s="360" customFormat="1" ht="15" hidden="1">
      <c r="A507" s="356" t="s">
        <v>533</v>
      </c>
      <c r="B507" s="632" t="s">
        <v>707</v>
      </c>
      <c r="C507" s="611">
        <f t="shared" si="43"/>
        <v>0</v>
      </c>
      <c r="D507" s="354"/>
      <c r="E507" s="15">
        <f t="shared" si="47"/>
        <v>25.95</v>
      </c>
      <c r="F507" s="792">
        <f t="shared" si="46"/>
        <v>0</v>
      </c>
      <c r="G507" s="358">
        <f>SF!I823</f>
        <v>0</v>
      </c>
      <c r="H507" s="354" t="s">
        <v>102</v>
      </c>
      <c r="I507" s="355">
        <f>SF!K823</f>
        <v>25.95</v>
      </c>
      <c r="J507" s="353">
        <f t="shared" si="44"/>
        <v>0</v>
      </c>
      <c r="K507" s="1680"/>
      <c r="L507" s="1680"/>
      <c r="M507" s="633" t="s">
        <v>2312</v>
      </c>
      <c r="N507" s="223"/>
      <c r="O507" s="631">
        <f t="shared" si="45"/>
        <v>0</v>
      </c>
    </row>
    <row r="508" spans="1:15" s="360" customFormat="1" ht="15" hidden="1">
      <c r="A508" s="356" t="s">
        <v>533</v>
      </c>
      <c r="B508" s="632" t="s">
        <v>707</v>
      </c>
      <c r="C508" s="611">
        <f t="shared" si="43"/>
        <v>0</v>
      </c>
      <c r="D508" s="354"/>
      <c r="E508" s="15">
        <f t="shared" si="47"/>
        <v>27.91</v>
      </c>
      <c r="F508" s="792">
        <f t="shared" si="46"/>
        <v>0</v>
      </c>
      <c r="G508" s="358">
        <f>SF!I831</f>
        <v>0</v>
      </c>
      <c r="H508" s="354" t="s">
        <v>102</v>
      </c>
      <c r="I508" s="355">
        <f>SF!K831</f>
        <v>27.91</v>
      </c>
      <c r="J508" s="353">
        <f t="shared" si="44"/>
        <v>0</v>
      </c>
      <c r="K508" s="1681"/>
      <c r="L508" s="1681"/>
      <c r="M508" s="633" t="s">
        <v>2313</v>
      </c>
      <c r="N508" s="223"/>
      <c r="O508" s="631">
        <f t="shared" si="45"/>
        <v>0</v>
      </c>
    </row>
    <row r="509" spans="1:15" s="360" customFormat="1" ht="15" hidden="1">
      <c r="A509" s="356" t="s">
        <v>514</v>
      </c>
      <c r="B509" s="632" t="s">
        <v>888</v>
      </c>
      <c r="C509" s="611">
        <f t="shared" si="43"/>
        <v>0</v>
      </c>
      <c r="D509" s="354" t="s">
        <v>102</v>
      </c>
      <c r="E509" s="10">
        <f t="shared" si="47"/>
        <v>164.74</v>
      </c>
      <c r="F509" s="792">
        <f t="shared" si="46"/>
        <v>0</v>
      </c>
      <c r="G509" s="358">
        <f>SF!I839</f>
        <v>0</v>
      </c>
      <c r="H509" s="354" t="s">
        <v>102</v>
      </c>
      <c r="I509" s="355">
        <f>SF!K839</f>
        <v>164.74</v>
      </c>
      <c r="J509" s="353">
        <f t="shared" si="44"/>
        <v>0</v>
      </c>
      <c r="K509" s="1679">
        <f>IF((J509+J510+J511+J512)&gt;(F509+F510+F511+F512),(J509+J510+J511+J512)-(F509+F510+F511+F512),0)</f>
        <v>0</v>
      </c>
      <c r="L509" s="1679">
        <f>IF((J509+J510+J511+J512)&lt;(F509+F510+F511+F512),(F509+F510+F511+F512)-(J509+J510+J511+J512),0)</f>
        <v>0</v>
      </c>
      <c r="M509" s="851" t="s">
        <v>2217</v>
      </c>
      <c r="N509" s="223"/>
      <c r="O509" s="850">
        <f t="shared" si="45"/>
        <v>0</v>
      </c>
    </row>
    <row r="510" spans="1:15" s="360" customFormat="1" ht="15" hidden="1">
      <c r="A510" s="356" t="s">
        <v>1143</v>
      </c>
      <c r="B510" s="632" t="s">
        <v>888</v>
      </c>
      <c r="C510" s="611">
        <f t="shared" si="43"/>
        <v>0</v>
      </c>
      <c r="D510" s="354"/>
      <c r="E510" s="15">
        <f t="shared" si="47"/>
        <v>173.39</v>
      </c>
      <c r="F510" s="792">
        <f t="shared" si="46"/>
        <v>0</v>
      </c>
      <c r="G510" s="358">
        <f>SF!I847</f>
        <v>0</v>
      </c>
      <c r="H510" s="354" t="s">
        <v>102</v>
      </c>
      <c r="I510" s="355">
        <f>SF!K847</f>
        <v>173.39</v>
      </c>
      <c r="J510" s="353">
        <f t="shared" si="44"/>
        <v>0</v>
      </c>
      <c r="K510" s="1680"/>
      <c r="L510" s="1680"/>
      <c r="M510" s="633" t="s">
        <v>2299</v>
      </c>
      <c r="N510" s="223"/>
      <c r="O510" s="631">
        <f t="shared" si="45"/>
        <v>0</v>
      </c>
    </row>
    <row r="511" spans="1:15" s="360" customFormat="1" ht="15" hidden="1">
      <c r="A511" s="356" t="s">
        <v>1143</v>
      </c>
      <c r="B511" s="632" t="s">
        <v>888</v>
      </c>
      <c r="C511" s="611">
        <f t="shared" si="43"/>
        <v>0</v>
      </c>
      <c r="D511" s="354"/>
      <c r="E511" s="15">
        <f t="shared" si="47"/>
        <v>179.94</v>
      </c>
      <c r="F511" s="792">
        <f t="shared" si="46"/>
        <v>0</v>
      </c>
      <c r="G511" s="358">
        <f>SF!I855</f>
        <v>0</v>
      </c>
      <c r="H511" s="354" t="s">
        <v>102</v>
      </c>
      <c r="I511" s="355">
        <f>SF!K855</f>
        <v>179.94</v>
      </c>
      <c r="J511" s="353">
        <f t="shared" si="44"/>
        <v>0</v>
      </c>
      <c r="K511" s="1680"/>
      <c r="L511" s="1680"/>
      <c r="M511" s="633" t="s">
        <v>2312</v>
      </c>
      <c r="N511" s="223"/>
      <c r="O511" s="631">
        <f t="shared" si="45"/>
        <v>0</v>
      </c>
    </row>
    <row r="512" spans="1:15" s="360" customFormat="1" ht="51" hidden="1">
      <c r="A512" s="356" t="s">
        <v>513</v>
      </c>
      <c r="B512" s="632" t="s">
        <v>3203</v>
      </c>
      <c r="C512" s="611">
        <f t="shared" si="43"/>
        <v>0</v>
      </c>
      <c r="D512" s="354"/>
      <c r="E512" s="10">
        <f t="shared" si="47"/>
        <v>194.34</v>
      </c>
      <c r="F512" s="792">
        <f t="shared" si="46"/>
        <v>0</v>
      </c>
      <c r="G512" s="358">
        <f>SF!I863</f>
        <v>0</v>
      </c>
      <c r="H512" s="354" t="s">
        <v>102</v>
      </c>
      <c r="I512" s="355">
        <f>SF!K863</f>
        <v>194.34</v>
      </c>
      <c r="J512" s="353">
        <f t="shared" si="44"/>
        <v>0</v>
      </c>
      <c r="K512" s="1695"/>
      <c r="L512" s="1695"/>
      <c r="M512" s="851" t="s">
        <v>2313</v>
      </c>
      <c r="N512" s="223"/>
      <c r="O512" s="850">
        <f t="shared" si="45"/>
        <v>0</v>
      </c>
    </row>
    <row r="513" spans="1:15" s="360" customFormat="1" ht="15" hidden="1">
      <c r="A513" s="356" t="s">
        <v>645</v>
      </c>
      <c r="B513" s="632" t="s">
        <v>571</v>
      </c>
      <c r="C513" s="611">
        <f t="shared" si="43"/>
        <v>0</v>
      </c>
      <c r="D513" s="354"/>
      <c r="E513" s="15">
        <f t="shared" si="47"/>
        <v>140.87</v>
      </c>
      <c r="F513" s="792">
        <f t="shared" si="46"/>
        <v>0</v>
      </c>
      <c r="G513" s="358">
        <f>SF!I871</f>
        <v>0</v>
      </c>
      <c r="H513" s="354" t="s">
        <v>102</v>
      </c>
      <c r="I513" s="355">
        <f>SF!K871</f>
        <v>140.87</v>
      </c>
      <c r="J513" s="353">
        <f t="shared" si="44"/>
        <v>0</v>
      </c>
      <c r="K513" s="1679">
        <f>IF((J513+J514+J515+J516)&gt;(F513+F514+F515+F516),(J513+J514+J515+J516)-(F513+F514+F515+F516),0)</f>
        <v>0</v>
      </c>
      <c r="L513" s="1679">
        <f>IF((J513+J514+J515+J516)&lt;(F513+F514+F515+F516),(F513+F514+F515+F516)-(J513+J514+J515+J516),0)</f>
        <v>0</v>
      </c>
      <c r="M513" s="633" t="s">
        <v>2217</v>
      </c>
      <c r="N513" s="223"/>
      <c r="O513" s="631">
        <f t="shared" si="45"/>
        <v>0</v>
      </c>
    </row>
    <row r="514" spans="1:15" s="360" customFormat="1" ht="15" hidden="1">
      <c r="A514" s="356" t="s">
        <v>1577</v>
      </c>
      <c r="B514" s="632" t="s">
        <v>571</v>
      </c>
      <c r="C514" s="611">
        <f t="shared" si="43"/>
        <v>0</v>
      </c>
      <c r="D514" s="354"/>
      <c r="E514" s="15">
        <f t="shared" si="47"/>
        <v>149.66</v>
      </c>
      <c r="F514" s="792">
        <f t="shared" si="46"/>
        <v>0</v>
      </c>
      <c r="G514" s="358">
        <f>SF!I883</f>
        <v>0</v>
      </c>
      <c r="H514" s="354" t="s">
        <v>102</v>
      </c>
      <c r="I514" s="355">
        <f>SF!K883</f>
        <v>149.66</v>
      </c>
      <c r="J514" s="353">
        <f t="shared" si="44"/>
        <v>0</v>
      </c>
      <c r="K514" s="1680"/>
      <c r="L514" s="1680"/>
      <c r="M514" s="633" t="s">
        <v>2299</v>
      </c>
      <c r="N514" s="223"/>
      <c r="O514" s="631">
        <f t="shared" si="45"/>
        <v>0</v>
      </c>
    </row>
    <row r="515" spans="1:15" s="360" customFormat="1" ht="15" hidden="1">
      <c r="A515" s="356" t="s">
        <v>645</v>
      </c>
      <c r="B515" s="632" t="s">
        <v>571</v>
      </c>
      <c r="C515" s="611">
        <f t="shared" si="43"/>
        <v>0</v>
      </c>
      <c r="D515" s="354"/>
      <c r="E515" s="15">
        <f t="shared" si="47"/>
        <v>156.4</v>
      </c>
      <c r="F515" s="792">
        <f t="shared" si="46"/>
        <v>0</v>
      </c>
      <c r="G515" s="358">
        <f>SF!I891</f>
        <v>0</v>
      </c>
      <c r="H515" s="354" t="s">
        <v>102</v>
      </c>
      <c r="I515" s="355">
        <f>SF!K891</f>
        <v>156.4</v>
      </c>
      <c r="J515" s="353">
        <f t="shared" si="44"/>
        <v>0</v>
      </c>
      <c r="K515" s="1680"/>
      <c r="L515" s="1680"/>
      <c r="M515" s="633" t="s">
        <v>2312</v>
      </c>
      <c r="N515" s="223"/>
      <c r="O515" s="631">
        <f t="shared" si="45"/>
        <v>0</v>
      </c>
    </row>
    <row r="516" spans="1:15" s="360" customFormat="1" ht="51" hidden="1">
      <c r="A516" s="356" t="s">
        <v>515</v>
      </c>
      <c r="B516" s="632" t="s">
        <v>3204</v>
      </c>
      <c r="C516" s="611">
        <f t="shared" si="43"/>
        <v>0</v>
      </c>
      <c r="D516" s="354" t="s">
        <v>102</v>
      </c>
      <c r="E516" s="10">
        <f t="shared" si="47"/>
        <v>169.89</v>
      </c>
      <c r="F516" s="792">
        <f t="shared" si="46"/>
        <v>0</v>
      </c>
      <c r="G516" s="358">
        <f>SF!I899</f>
        <v>0</v>
      </c>
      <c r="H516" s="354" t="s">
        <v>102</v>
      </c>
      <c r="I516" s="355">
        <f>SF!K899</f>
        <v>169.89</v>
      </c>
      <c r="J516" s="353">
        <f t="shared" si="44"/>
        <v>0</v>
      </c>
      <c r="K516" s="1695"/>
      <c r="L516" s="1695"/>
      <c r="M516" s="851" t="s">
        <v>2313</v>
      </c>
      <c r="N516" s="223"/>
      <c r="O516" s="850">
        <f t="shared" si="45"/>
        <v>0</v>
      </c>
    </row>
    <row r="517" spans="1:15" s="360" customFormat="1" ht="15" hidden="1">
      <c r="A517" s="356" t="s">
        <v>1584</v>
      </c>
      <c r="B517" s="632" t="s">
        <v>1226</v>
      </c>
      <c r="C517" s="611">
        <f t="shared" si="43"/>
        <v>0</v>
      </c>
      <c r="D517" s="354"/>
      <c r="E517" s="15">
        <f t="shared" si="47"/>
        <v>192.71</v>
      </c>
      <c r="F517" s="792">
        <f t="shared" si="46"/>
        <v>0</v>
      </c>
      <c r="G517" s="358">
        <f>SF!I906</f>
        <v>0</v>
      </c>
      <c r="H517" s="354" t="s">
        <v>102</v>
      </c>
      <c r="I517" s="355">
        <f>SF!K906</f>
        <v>192.71</v>
      </c>
      <c r="J517" s="353">
        <f t="shared" si="44"/>
        <v>0</v>
      </c>
      <c r="K517" s="1679">
        <f>IF((J517+J518+J519+J520)&gt;(F517+F518+F519+F520),(J517+J518+J519+J520)-(F517+F518+F519+F520),0)</f>
        <v>0</v>
      </c>
      <c r="L517" s="1679">
        <f>IF((J517+J518+J519+J520)&lt;(F517+F518+F519+F520),(F517+F518+F519+F520)-(J517+J518+J519+J520),0)</f>
        <v>0</v>
      </c>
      <c r="M517" s="633" t="s">
        <v>2217</v>
      </c>
      <c r="N517" s="223"/>
      <c r="O517" s="631">
        <f t="shared" si="45"/>
        <v>0</v>
      </c>
    </row>
    <row r="518" spans="1:15" s="360" customFormat="1" ht="15" hidden="1">
      <c r="A518" s="356" t="s">
        <v>1145</v>
      </c>
      <c r="B518" s="632" t="s">
        <v>1226</v>
      </c>
      <c r="C518" s="611">
        <f t="shared" si="43"/>
        <v>0</v>
      </c>
      <c r="D518" s="354"/>
      <c r="E518" s="15">
        <f t="shared" si="47"/>
        <v>206.39</v>
      </c>
      <c r="F518" s="792">
        <f t="shared" si="46"/>
        <v>0</v>
      </c>
      <c r="G518" s="358">
        <f>SF!I914</f>
        <v>0</v>
      </c>
      <c r="H518" s="354" t="s">
        <v>102</v>
      </c>
      <c r="I518" s="355">
        <f>SF!K914</f>
        <v>206.39</v>
      </c>
      <c r="J518" s="353">
        <f t="shared" si="44"/>
        <v>0</v>
      </c>
      <c r="K518" s="1680"/>
      <c r="L518" s="1680"/>
      <c r="M518" s="633" t="s">
        <v>2299</v>
      </c>
      <c r="N518" s="223"/>
      <c r="O518" s="631">
        <f t="shared" si="45"/>
        <v>0</v>
      </c>
    </row>
    <row r="519" spans="1:15" s="360" customFormat="1" ht="15" hidden="1">
      <c r="A519" s="356" t="s">
        <v>1584</v>
      </c>
      <c r="B519" s="632" t="s">
        <v>1226</v>
      </c>
      <c r="C519" s="611">
        <f t="shared" si="43"/>
        <v>0</v>
      </c>
      <c r="D519" s="354"/>
      <c r="E519" s="15">
        <f t="shared" si="47"/>
        <v>216.76</v>
      </c>
      <c r="F519" s="792">
        <f t="shared" si="46"/>
        <v>0</v>
      </c>
      <c r="G519" s="358">
        <f>SF!I921</f>
        <v>0</v>
      </c>
      <c r="H519" s="354" t="s">
        <v>102</v>
      </c>
      <c r="I519" s="355">
        <f>SF!K921</f>
        <v>216.76</v>
      </c>
      <c r="J519" s="353">
        <f t="shared" si="44"/>
        <v>0</v>
      </c>
      <c r="K519" s="1680"/>
      <c r="L519" s="1680"/>
      <c r="M519" s="633" t="s">
        <v>2312</v>
      </c>
      <c r="N519" s="223"/>
      <c r="O519" s="631">
        <f t="shared" si="45"/>
        <v>0</v>
      </c>
    </row>
    <row r="520" spans="1:15" s="360" customFormat="1" ht="51" hidden="1">
      <c r="A520" s="356" t="s">
        <v>516</v>
      </c>
      <c r="B520" s="632" t="s">
        <v>3205</v>
      </c>
      <c r="C520" s="611">
        <f t="shared" si="43"/>
        <v>0</v>
      </c>
      <c r="D520" s="354" t="s">
        <v>102</v>
      </c>
      <c r="E520" s="10">
        <f t="shared" si="47"/>
        <v>233.59</v>
      </c>
      <c r="F520" s="792">
        <f t="shared" si="46"/>
        <v>0</v>
      </c>
      <c r="G520" s="358">
        <f>SF!I937</f>
        <v>0</v>
      </c>
      <c r="H520" s="354" t="s">
        <v>102</v>
      </c>
      <c r="I520" s="355">
        <f>SF!K937</f>
        <v>233.59</v>
      </c>
      <c r="J520" s="353">
        <f t="shared" si="44"/>
        <v>0</v>
      </c>
      <c r="K520" s="1695"/>
      <c r="L520" s="1695"/>
      <c r="M520" s="851" t="s">
        <v>2313</v>
      </c>
      <c r="N520" s="223"/>
      <c r="O520" s="850">
        <f t="shared" si="45"/>
        <v>0</v>
      </c>
    </row>
    <row r="521" spans="1:15" s="360" customFormat="1" ht="38.25" hidden="1">
      <c r="A521" s="356" t="s">
        <v>517</v>
      </c>
      <c r="B521" s="632" t="s">
        <v>3208</v>
      </c>
      <c r="C521" s="611">
        <f t="shared" si="43"/>
        <v>0</v>
      </c>
      <c r="D521" s="221" t="s">
        <v>29</v>
      </c>
      <c r="E521" s="10">
        <f t="shared" si="47"/>
        <v>64288.5</v>
      </c>
      <c r="F521" s="792">
        <f t="shared" si="46"/>
        <v>0</v>
      </c>
      <c r="G521" s="429">
        <f>SF!I943</f>
        <v>0</v>
      </c>
      <c r="H521" s="221" t="s">
        <v>29</v>
      </c>
      <c r="I521" s="430">
        <f>SF!K943</f>
        <v>64288.5</v>
      </c>
      <c r="J521" s="353">
        <f t="shared" si="44"/>
        <v>0</v>
      </c>
      <c r="K521" s="1698">
        <f>IF((J521+J522+J523+J524)&gt;(F521+F522+F523+F524),(J521+J522+J523+J524)-(F521+F522+F523+F524),0)</f>
        <v>0</v>
      </c>
      <c r="L521" s="1698">
        <f>IF((J521+J522+J523+J524)&lt;(F521+F522+F523+F524),(F521+F522+F523+F524)-(J521+J522+J523+J524),0)</f>
        <v>0</v>
      </c>
      <c r="M521" s="851" t="s">
        <v>2217</v>
      </c>
      <c r="N521" s="223"/>
      <c r="O521" s="850">
        <f t="shared" si="45"/>
        <v>0</v>
      </c>
    </row>
    <row r="522" spans="1:15" s="360" customFormat="1" ht="15" hidden="1">
      <c r="A522" s="356" t="s">
        <v>1591</v>
      </c>
      <c r="B522" s="632" t="s">
        <v>477</v>
      </c>
      <c r="C522" s="611">
        <f t="shared" ref="C522:C585" si="48">G522</f>
        <v>0</v>
      </c>
      <c r="D522" s="221"/>
      <c r="E522" s="15">
        <f t="shared" si="47"/>
        <v>64635</v>
      </c>
      <c r="F522" s="792">
        <f t="shared" si="46"/>
        <v>0</v>
      </c>
      <c r="G522" s="429">
        <f>SF!I948</f>
        <v>0</v>
      </c>
      <c r="H522" s="221" t="s">
        <v>29</v>
      </c>
      <c r="I522" s="430">
        <f>SF!K948</f>
        <v>64635</v>
      </c>
      <c r="J522" s="353">
        <f t="shared" ref="J522:J585" si="49">ROUND(G522*I522,2)</f>
        <v>0</v>
      </c>
      <c r="K522" s="1680"/>
      <c r="L522" s="1680"/>
      <c r="M522" s="633" t="s">
        <v>2299</v>
      </c>
      <c r="N522" s="223"/>
      <c r="O522" s="631">
        <f t="shared" si="45"/>
        <v>0</v>
      </c>
    </row>
    <row r="523" spans="1:15" s="360" customFormat="1" ht="15" hidden="1">
      <c r="A523" s="356" t="s">
        <v>1575</v>
      </c>
      <c r="B523" s="632" t="s">
        <v>477</v>
      </c>
      <c r="C523" s="611">
        <f t="shared" si="48"/>
        <v>0</v>
      </c>
      <c r="D523" s="221"/>
      <c r="E523" s="15">
        <f t="shared" si="47"/>
        <v>82189.5</v>
      </c>
      <c r="F523" s="792">
        <f t="shared" si="46"/>
        <v>0</v>
      </c>
      <c r="G523" s="429">
        <f>SF!I954</f>
        <v>0</v>
      </c>
      <c r="H523" s="221" t="s">
        <v>29</v>
      </c>
      <c r="I523" s="430">
        <f>SF!K954</f>
        <v>82189.5</v>
      </c>
      <c r="J523" s="353">
        <f t="shared" si="49"/>
        <v>0</v>
      </c>
      <c r="K523" s="1680"/>
      <c r="L523" s="1680"/>
      <c r="M523" s="633" t="s">
        <v>2312</v>
      </c>
      <c r="N523" s="223"/>
      <c r="O523" s="631">
        <f t="shared" si="45"/>
        <v>0</v>
      </c>
    </row>
    <row r="524" spans="1:15" s="360" customFormat="1" ht="15" hidden="1">
      <c r="A524" s="356" t="s">
        <v>1575</v>
      </c>
      <c r="B524" s="632" t="s">
        <v>477</v>
      </c>
      <c r="C524" s="611">
        <f t="shared" si="48"/>
        <v>0</v>
      </c>
      <c r="D524" s="221"/>
      <c r="E524" s="15">
        <f t="shared" si="47"/>
        <v>95016</v>
      </c>
      <c r="F524" s="792">
        <f t="shared" si="46"/>
        <v>0</v>
      </c>
      <c r="G524" s="429">
        <f>SF!I960</f>
        <v>0</v>
      </c>
      <c r="H524" s="221" t="s">
        <v>29</v>
      </c>
      <c r="I524" s="430">
        <f>SF!K960</f>
        <v>95016</v>
      </c>
      <c r="J524" s="353">
        <f t="shared" si="49"/>
        <v>0</v>
      </c>
      <c r="K524" s="1681"/>
      <c r="L524" s="1681"/>
      <c r="M524" s="633" t="s">
        <v>2313</v>
      </c>
      <c r="N524" s="223"/>
      <c r="O524" s="631">
        <f t="shared" ref="O524:O588" si="50">F524-J524</f>
        <v>0</v>
      </c>
    </row>
    <row r="525" spans="1:15" ht="15" hidden="1">
      <c r="A525" s="23"/>
      <c r="B525" s="627" t="s">
        <v>890</v>
      </c>
      <c r="C525" s="611">
        <f t="shared" si="48"/>
        <v>0</v>
      </c>
      <c r="D525" s="646"/>
      <c r="E525" s="10">
        <f t="shared" si="47"/>
        <v>0</v>
      </c>
      <c r="F525" s="764"/>
      <c r="G525" s="648"/>
      <c r="H525" s="649"/>
      <c r="I525" s="650"/>
      <c r="J525" s="353">
        <f t="shared" si="49"/>
        <v>0</v>
      </c>
      <c r="K525" s="25"/>
      <c r="L525" s="25"/>
      <c r="M525" s="851" t="s">
        <v>2217</v>
      </c>
      <c r="N525" s="223"/>
      <c r="O525" s="850"/>
    </row>
    <row r="526" spans="1:15" s="360" customFormat="1" ht="51" hidden="1">
      <c r="A526" s="356" t="s">
        <v>1580</v>
      </c>
      <c r="B526" s="632" t="s">
        <v>3214</v>
      </c>
      <c r="C526" s="611">
        <f t="shared" si="48"/>
        <v>0</v>
      </c>
      <c r="D526" s="791" t="s">
        <v>115</v>
      </c>
      <c r="E526" s="15">
        <f t="shared" si="47"/>
        <v>20396.340000000004</v>
      </c>
      <c r="F526" s="792">
        <f t="shared" si="46"/>
        <v>0</v>
      </c>
      <c r="G526" s="358">
        <f>'PART-A'!I2499</f>
        <v>0</v>
      </c>
      <c r="H526" s="354" t="s">
        <v>115</v>
      </c>
      <c r="I526" s="355">
        <f>'PART-A'!K2499</f>
        <v>20396.340000000004</v>
      </c>
      <c r="J526" s="353">
        <f t="shared" si="49"/>
        <v>0</v>
      </c>
      <c r="K526" s="1679">
        <f>IF((J526+J527+J528+J529)&gt;(F526+F527+F528+F529),(J526+J527+J528+J529)-(F526+F527+F528+F529),0)</f>
        <v>0</v>
      </c>
      <c r="L526" s="1679">
        <f>IF((J526+J527+J528+J529)&lt;(F526+F527+F528+F529),(F526+F527+F528+F529)-(J526+J527+J528+J529),0)</f>
        <v>0</v>
      </c>
      <c r="M526" s="633" t="s">
        <v>2217</v>
      </c>
      <c r="N526" s="223"/>
      <c r="O526" s="631">
        <f t="shared" si="50"/>
        <v>0</v>
      </c>
    </row>
    <row r="527" spans="1:15" s="360" customFormat="1" ht="15" hidden="1">
      <c r="A527" s="356" t="s">
        <v>1593</v>
      </c>
      <c r="B527" s="632" t="s">
        <v>1228</v>
      </c>
      <c r="C527" s="611">
        <f t="shared" si="48"/>
        <v>0</v>
      </c>
      <c r="D527" s="354"/>
      <c r="E527" s="15">
        <f t="shared" si="47"/>
        <v>20396.340000000004</v>
      </c>
      <c r="F527" s="792">
        <f t="shared" si="46"/>
        <v>0</v>
      </c>
      <c r="G527" s="358">
        <f>'PART-A'!I2632</f>
        <v>0</v>
      </c>
      <c r="H527" s="354" t="s">
        <v>115</v>
      </c>
      <c r="I527" s="355">
        <f>'PART-A'!K2632</f>
        <v>20396.340000000004</v>
      </c>
      <c r="J527" s="353">
        <f t="shared" si="49"/>
        <v>0</v>
      </c>
      <c r="K527" s="1680"/>
      <c r="L527" s="1680"/>
      <c r="M527" s="633" t="s">
        <v>2299</v>
      </c>
      <c r="N527" s="223"/>
      <c r="O527" s="631">
        <f t="shared" si="50"/>
        <v>0</v>
      </c>
    </row>
    <row r="528" spans="1:15" s="360" customFormat="1" ht="15" hidden="1">
      <c r="A528" s="356" t="s">
        <v>1515</v>
      </c>
      <c r="B528" s="632" t="s">
        <v>1228</v>
      </c>
      <c r="C528" s="611">
        <f t="shared" si="48"/>
        <v>0</v>
      </c>
      <c r="D528" s="354" t="s">
        <v>115</v>
      </c>
      <c r="E528" s="15">
        <f t="shared" si="47"/>
        <v>18903.09</v>
      </c>
      <c r="F528" s="792">
        <f t="shared" si="46"/>
        <v>0</v>
      </c>
      <c r="G528" s="358">
        <f>'PART-A'!I2770</f>
        <v>0</v>
      </c>
      <c r="H528" s="354" t="s">
        <v>115</v>
      </c>
      <c r="I528" s="355">
        <f>'PART-A'!K2770</f>
        <v>18903.09</v>
      </c>
      <c r="J528" s="353">
        <f t="shared" si="49"/>
        <v>0</v>
      </c>
      <c r="K528" s="1680"/>
      <c r="L528" s="1680"/>
      <c r="M528" s="633" t="s">
        <v>2312</v>
      </c>
      <c r="N528" s="223"/>
      <c r="O528" s="631">
        <f t="shared" si="50"/>
        <v>0</v>
      </c>
    </row>
    <row r="529" spans="1:15" s="360" customFormat="1" ht="51" hidden="1">
      <c r="A529" s="356" t="s">
        <v>489</v>
      </c>
      <c r="B529" s="632" t="s">
        <v>3214</v>
      </c>
      <c r="C529" s="611">
        <f t="shared" si="48"/>
        <v>0</v>
      </c>
      <c r="D529" s="354" t="s">
        <v>115</v>
      </c>
      <c r="E529" s="10">
        <f t="shared" si="47"/>
        <v>22903.660000000003</v>
      </c>
      <c r="F529" s="792">
        <f t="shared" si="46"/>
        <v>0</v>
      </c>
      <c r="G529" s="358">
        <f>'PART-A'!I2903</f>
        <v>0</v>
      </c>
      <c r="H529" s="354" t="s">
        <v>115</v>
      </c>
      <c r="I529" s="355">
        <f>'PART-A'!K2903</f>
        <v>22903.660000000003</v>
      </c>
      <c r="J529" s="353">
        <f t="shared" si="49"/>
        <v>0</v>
      </c>
      <c r="K529" s="1695"/>
      <c r="L529" s="1695"/>
      <c r="M529" s="851" t="s">
        <v>2313</v>
      </c>
      <c r="N529" s="223"/>
      <c r="O529" s="850">
        <f t="shared" si="50"/>
        <v>0</v>
      </c>
    </row>
    <row r="530" spans="1:15" s="360" customFormat="1" ht="15" hidden="1">
      <c r="A530" s="356" t="s">
        <v>508</v>
      </c>
      <c r="B530" s="632" t="s">
        <v>1998</v>
      </c>
      <c r="C530" s="611">
        <f t="shared" si="48"/>
        <v>0</v>
      </c>
      <c r="D530" s="745"/>
      <c r="E530" s="15">
        <f t="shared" si="47"/>
        <v>14099.53</v>
      </c>
      <c r="F530" s="792">
        <f t="shared" si="46"/>
        <v>0</v>
      </c>
      <c r="G530" s="358">
        <f>'PART-A'!I2514</f>
        <v>0</v>
      </c>
      <c r="H530" s="354" t="s">
        <v>115</v>
      </c>
      <c r="I530" s="355">
        <f>'PART-A'!K2514</f>
        <v>14099.53</v>
      </c>
      <c r="J530" s="353">
        <f t="shared" si="49"/>
        <v>0</v>
      </c>
      <c r="K530" s="1679">
        <f>IF((J530+J531+J532+J533)&gt;(F530+F531+F532+F533),(J530+J531+J532+J533)-(F530+F531+F532+F533),0)</f>
        <v>0</v>
      </c>
      <c r="L530" s="1679">
        <f>IF((J530+J531+J532+J533)&lt;(F530+F531+F532+F533),(F530+F531+F532+F533)-(J530+J531+J532+J533),0)</f>
        <v>0</v>
      </c>
      <c r="M530" s="633" t="s">
        <v>2217</v>
      </c>
      <c r="N530" s="223"/>
      <c r="O530" s="631">
        <f t="shared" si="50"/>
        <v>0</v>
      </c>
    </row>
    <row r="531" spans="1:15" s="360" customFormat="1" ht="15" hidden="1">
      <c r="A531" s="356" t="s">
        <v>485</v>
      </c>
      <c r="B531" s="632" t="s">
        <v>1998</v>
      </c>
      <c r="C531" s="611">
        <f t="shared" si="48"/>
        <v>0</v>
      </c>
      <c r="D531" s="354"/>
      <c r="E531" s="15">
        <f t="shared" si="47"/>
        <v>14099.53</v>
      </c>
      <c r="F531" s="792">
        <f t="shared" si="46"/>
        <v>0</v>
      </c>
      <c r="G531" s="358">
        <f>'PART-A'!I2647</f>
        <v>0</v>
      </c>
      <c r="H531" s="354" t="s">
        <v>115</v>
      </c>
      <c r="I531" s="355">
        <f>'PART-A'!K2647</f>
        <v>14099.53</v>
      </c>
      <c r="J531" s="353">
        <f t="shared" si="49"/>
        <v>0</v>
      </c>
      <c r="K531" s="1680"/>
      <c r="L531" s="1680"/>
      <c r="M531" s="633" t="s">
        <v>2299</v>
      </c>
      <c r="N531" s="223"/>
      <c r="O531" s="631">
        <f t="shared" si="50"/>
        <v>0</v>
      </c>
    </row>
    <row r="532" spans="1:15" s="360" customFormat="1" ht="15" hidden="1">
      <c r="A532" s="356" t="s">
        <v>1516</v>
      </c>
      <c r="B532" s="632" t="s">
        <v>1998</v>
      </c>
      <c r="C532" s="611">
        <f t="shared" si="48"/>
        <v>0</v>
      </c>
      <c r="D532" s="354" t="s">
        <v>115</v>
      </c>
      <c r="E532" s="15">
        <f t="shared" si="47"/>
        <v>12770.460000000001</v>
      </c>
      <c r="F532" s="792">
        <f t="shared" si="46"/>
        <v>0</v>
      </c>
      <c r="G532" s="358">
        <f>'PART-A'!I2785</f>
        <v>0</v>
      </c>
      <c r="H532" s="354" t="s">
        <v>115</v>
      </c>
      <c r="I532" s="355">
        <f>'PART-A'!K2785</f>
        <v>12770.460000000001</v>
      </c>
      <c r="J532" s="353">
        <f t="shared" si="49"/>
        <v>0</v>
      </c>
      <c r="K532" s="1680"/>
      <c r="L532" s="1680"/>
      <c r="M532" s="633" t="s">
        <v>2312</v>
      </c>
      <c r="N532" s="223"/>
      <c r="O532" s="631">
        <f t="shared" si="50"/>
        <v>0</v>
      </c>
    </row>
    <row r="533" spans="1:15" s="360" customFormat="1" ht="15" hidden="1">
      <c r="A533" s="356" t="s">
        <v>485</v>
      </c>
      <c r="B533" s="632" t="s">
        <v>1998</v>
      </c>
      <c r="C533" s="611">
        <f t="shared" si="48"/>
        <v>0</v>
      </c>
      <c r="D533" s="354"/>
      <c r="E533" s="15">
        <f t="shared" si="47"/>
        <v>15875.19</v>
      </c>
      <c r="F533" s="792">
        <f t="shared" si="46"/>
        <v>0</v>
      </c>
      <c r="G533" s="358">
        <f>'PART-A'!I2918</f>
        <v>0</v>
      </c>
      <c r="H533" s="354" t="s">
        <v>115</v>
      </c>
      <c r="I533" s="355">
        <f>'PART-A'!K2918</f>
        <v>15875.19</v>
      </c>
      <c r="J533" s="353">
        <f t="shared" si="49"/>
        <v>0</v>
      </c>
      <c r="K533" s="1681"/>
      <c r="L533" s="1681"/>
      <c r="M533" s="633" t="s">
        <v>2313</v>
      </c>
      <c r="N533" s="223"/>
      <c r="O533" s="631">
        <f t="shared" si="50"/>
        <v>0</v>
      </c>
    </row>
    <row r="534" spans="1:15" s="360" customFormat="1" ht="15" hidden="1">
      <c r="A534" s="356"/>
      <c r="B534" s="632" t="s">
        <v>1999</v>
      </c>
      <c r="C534" s="611">
        <f t="shared" si="48"/>
        <v>0</v>
      </c>
      <c r="D534" s="354"/>
      <c r="E534" s="15">
        <f t="shared" si="47"/>
        <v>13359.1</v>
      </c>
      <c r="F534" s="792">
        <f t="shared" si="46"/>
        <v>0</v>
      </c>
      <c r="G534" s="358">
        <f>'PART-A'!I2519</f>
        <v>0</v>
      </c>
      <c r="H534" s="354" t="s">
        <v>115</v>
      </c>
      <c r="I534" s="355">
        <f>'PART-A'!K2519</f>
        <v>13359.1</v>
      </c>
      <c r="J534" s="353">
        <f t="shared" si="49"/>
        <v>0</v>
      </c>
      <c r="K534" s="1679">
        <f>IF((J534+J535+J536+J537)&gt;(F534+F535+F536+F537),(J534+J535+J536+J537)-(F534+F535+F536+F537),0)</f>
        <v>0</v>
      </c>
      <c r="L534" s="1679">
        <f>IF((J534+J535+J536+J537)&lt;(F534+F535+F536+F537),(F534+F535+F536+F537)-(J534+J535+J536+J537),0)</f>
        <v>0</v>
      </c>
      <c r="M534" s="633" t="s">
        <v>2217</v>
      </c>
      <c r="N534" s="223"/>
      <c r="O534" s="631">
        <f t="shared" si="50"/>
        <v>0</v>
      </c>
    </row>
    <row r="535" spans="1:15" s="360" customFormat="1" ht="15" hidden="1">
      <c r="A535" s="356"/>
      <c r="B535" s="632" t="s">
        <v>1999</v>
      </c>
      <c r="C535" s="611">
        <f t="shared" si="48"/>
        <v>0</v>
      </c>
      <c r="D535" s="354"/>
      <c r="E535" s="15">
        <f t="shared" si="47"/>
        <v>13359.1</v>
      </c>
      <c r="F535" s="792">
        <f t="shared" si="46"/>
        <v>0</v>
      </c>
      <c r="G535" s="358">
        <f>'PART-A'!I2652</f>
        <v>0</v>
      </c>
      <c r="H535" s="354" t="s">
        <v>115</v>
      </c>
      <c r="I535" s="355">
        <f>'PART-A'!K2652</f>
        <v>13359.1</v>
      </c>
      <c r="J535" s="353">
        <f t="shared" si="49"/>
        <v>0</v>
      </c>
      <c r="K535" s="1680"/>
      <c r="L535" s="1680"/>
      <c r="M535" s="633" t="s">
        <v>2299</v>
      </c>
      <c r="N535" s="223"/>
      <c r="O535" s="631">
        <f t="shared" si="50"/>
        <v>0</v>
      </c>
    </row>
    <row r="536" spans="1:15" s="360" customFormat="1" ht="15" hidden="1">
      <c r="A536" s="356" t="s">
        <v>1517</v>
      </c>
      <c r="B536" s="632" t="s">
        <v>1999</v>
      </c>
      <c r="C536" s="611">
        <f t="shared" si="48"/>
        <v>0</v>
      </c>
      <c r="D536" s="354" t="s">
        <v>115</v>
      </c>
      <c r="E536" s="15">
        <f t="shared" si="47"/>
        <v>10756.689999999999</v>
      </c>
      <c r="F536" s="792">
        <f t="shared" si="46"/>
        <v>0</v>
      </c>
      <c r="G536" s="358">
        <f>'PART-A'!I2790</f>
        <v>0</v>
      </c>
      <c r="H536" s="354" t="s">
        <v>115</v>
      </c>
      <c r="I536" s="355">
        <f>'PART-A'!K2790</f>
        <v>10756.689999999999</v>
      </c>
      <c r="J536" s="353">
        <f t="shared" si="49"/>
        <v>0</v>
      </c>
      <c r="K536" s="1680"/>
      <c r="L536" s="1680"/>
      <c r="M536" s="633" t="s">
        <v>2312</v>
      </c>
      <c r="N536" s="223"/>
      <c r="O536" s="631">
        <f t="shared" si="50"/>
        <v>0</v>
      </c>
    </row>
    <row r="537" spans="1:15" s="360" customFormat="1" ht="15" hidden="1">
      <c r="A537" s="356"/>
      <c r="B537" s="632" t="s">
        <v>1999</v>
      </c>
      <c r="C537" s="611">
        <f t="shared" si="48"/>
        <v>0</v>
      </c>
      <c r="D537" s="354"/>
      <c r="E537" s="15">
        <f t="shared" si="47"/>
        <v>15037.220000000001</v>
      </c>
      <c r="F537" s="792">
        <f t="shared" si="46"/>
        <v>0</v>
      </c>
      <c r="G537" s="358">
        <f>'PART-A'!I2923</f>
        <v>0</v>
      </c>
      <c r="H537" s="354" t="s">
        <v>115</v>
      </c>
      <c r="I537" s="355">
        <f>'PART-A'!K2923</f>
        <v>15037.220000000001</v>
      </c>
      <c r="J537" s="353">
        <f t="shared" si="49"/>
        <v>0</v>
      </c>
      <c r="K537" s="1681"/>
      <c r="L537" s="1681"/>
      <c r="M537" s="633" t="s">
        <v>2313</v>
      </c>
      <c r="N537" s="223"/>
      <c r="O537" s="631">
        <f t="shared" si="50"/>
        <v>0</v>
      </c>
    </row>
    <row r="538" spans="1:15" s="360" customFormat="1" ht="15" hidden="1">
      <c r="A538" s="356" t="s">
        <v>1144</v>
      </c>
      <c r="B538" s="632" t="s">
        <v>1998</v>
      </c>
      <c r="C538" s="611">
        <f t="shared" si="48"/>
        <v>0</v>
      </c>
      <c r="D538" s="354"/>
      <c r="E538" s="15">
        <f t="shared" si="47"/>
        <v>8905.99</v>
      </c>
      <c r="F538" s="792">
        <f t="shared" si="46"/>
        <v>0</v>
      </c>
      <c r="G538" s="358">
        <f>'PART-A'!I2524</f>
        <v>0</v>
      </c>
      <c r="H538" s="354" t="s">
        <v>115</v>
      </c>
      <c r="I538" s="355">
        <f>'PART-A'!K2524</f>
        <v>8905.99</v>
      </c>
      <c r="J538" s="353">
        <f t="shared" si="49"/>
        <v>0</v>
      </c>
      <c r="K538" s="1679">
        <f>IF((J538+J539+J540+J541)&gt;(F538+F539+F540+F541),(J538+J539+J540+J541)-(F538+F539+F540+F541),0)</f>
        <v>0</v>
      </c>
      <c r="L538" s="1679">
        <f>IF((J538+J539+J540+J541)&lt;(F538+F539+F540+F541),(F538+F539+F540+F541)-(J538+J539+J540+J541),0)</f>
        <v>0</v>
      </c>
      <c r="M538" s="633" t="s">
        <v>2217</v>
      </c>
      <c r="N538" s="223"/>
      <c r="O538" s="631">
        <f t="shared" si="50"/>
        <v>0</v>
      </c>
    </row>
    <row r="539" spans="1:15" s="360" customFormat="1" ht="15" hidden="1">
      <c r="A539" s="356" t="s">
        <v>1144</v>
      </c>
      <c r="B539" s="632" t="s">
        <v>1998</v>
      </c>
      <c r="C539" s="611">
        <f t="shared" si="48"/>
        <v>0</v>
      </c>
      <c r="D539" s="354"/>
      <c r="E539" s="15">
        <f t="shared" si="47"/>
        <v>8905.99</v>
      </c>
      <c r="F539" s="792">
        <f t="shared" si="46"/>
        <v>0</v>
      </c>
      <c r="G539" s="358">
        <f>'PART-A'!I2657</f>
        <v>0</v>
      </c>
      <c r="H539" s="354" t="s">
        <v>115</v>
      </c>
      <c r="I539" s="355">
        <f>'PART-A'!K2657</f>
        <v>8905.99</v>
      </c>
      <c r="J539" s="353">
        <f t="shared" si="49"/>
        <v>0</v>
      </c>
      <c r="K539" s="1680"/>
      <c r="L539" s="1680"/>
      <c r="M539" s="633" t="s">
        <v>2299</v>
      </c>
      <c r="N539" s="223"/>
      <c r="O539" s="631">
        <f t="shared" si="50"/>
        <v>0</v>
      </c>
    </row>
    <row r="540" spans="1:15" s="360" customFormat="1" ht="15" hidden="1">
      <c r="A540" s="356" t="s">
        <v>1144</v>
      </c>
      <c r="B540" s="632" t="s">
        <v>1998</v>
      </c>
      <c r="C540" s="611">
        <f t="shared" si="48"/>
        <v>0</v>
      </c>
      <c r="D540" s="354"/>
      <c r="E540" s="15">
        <f t="shared" si="47"/>
        <v>9185.3799999999992</v>
      </c>
      <c r="F540" s="792">
        <f t="shared" si="46"/>
        <v>0</v>
      </c>
      <c r="G540" s="358">
        <f>'PART-A'!I2795</f>
        <v>0</v>
      </c>
      <c r="H540" s="354" t="s">
        <v>115</v>
      </c>
      <c r="I540" s="355">
        <f>'PART-A'!K2795</f>
        <v>9185.3799999999992</v>
      </c>
      <c r="J540" s="353">
        <f t="shared" si="49"/>
        <v>0</v>
      </c>
      <c r="K540" s="1680"/>
      <c r="L540" s="1680"/>
      <c r="M540" s="633" t="s">
        <v>2312</v>
      </c>
      <c r="N540" s="223"/>
      <c r="O540" s="631">
        <f t="shared" si="50"/>
        <v>0</v>
      </c>
    </row>
    <row r="541" spans="1:15" s="360" customFormat="1" ht="15" hidden="1">
      <c r="A541" s="356" t="s">
        <v>1144</v>
      </c>
      <c r="B541" s="632" t="s">
        <v>1998</v>
      </c>
      <c r="C541" s="611">
        <f t="shared" si="48"/>
        <v>0</v>
      </c>
      <c r="D541" s="354"/>
      <c r="E541" s="15">
        <f t="shared" si="47"/>
        <v>10330.61</v>
      </c>
      <c r="F541" s="792">
        <f t="shared" si="46"/>
        <v>0</v>
      </c>
      <c r="G541" s="358">
        <f>'PART-A'!I2928</f>
        <v>0</v>
      </c>
      <c r="H541" s="354" t="s">
        <v>115</v>
      </c>
      <c r="I541" s="355">
        <f>'PART-A'!K2928</f>
        <v>10330.61</v>
      </c>
      <c r="J541" s="353">
        <f t="shared" si="49"/>
        <v>0</v>
      </c>
      <c r="K541" s="1681"/>
      <c r="L541" s="1681"/>
      <c r="M541" s="633" t="s">
        <v>2313</v>
      </c>
      <c r="N541" s="223"/>
      <c r="O541" s="631">
        <f t="shared" si="50"/>
        <v>0</v>
      </c>
    </row>
    <row r="542" spans="1:15" s="360" customFormat="1" ht="15" hidden="1">
      <c r="A542" s="356" t="s">
        <v>1579</v>
      </c>
      <c r="B542" s="632" t="s">
        <v>2000</v>
      </c>
      <c r="C542" s="611">
        <f t="shared" si="48"/>
        <v>0</v>
      </c>
      <c r="D542" s="354"/>
      <c r="E542" s="15">
        <f t="shared" si="47"/>
        <v>6334.76</v>
      </c>
      <c r="F542" s="792">
        <f t="shared" si="46"/>
        <v>0</v>
      </c>
      <c r="G542" s="358">
        <f>'PART-A'!I2529</f>
        <v>0</v>
      </c>
      <c r="H542" s="354" t="s">
        <v>115</v>
      </c>
      <c r="I542" s="355">
        <f>'PART-A'!K2529</f>
        <v>6334.76</v>
      </c>
      <c r="J542" s="353">
        <f t="shared" si="49"/>
        <v>0</v>
      </c>
      <c r="K542" s="1679">
        <f>IF((J542+J543+J544+J545)&gt;(F542+F543+F544+F545),(J542+J543+J544+J545)-(F542+F543+F544+F545),0)</f>
        <v>0</v>
      </c>
      <c r="L542" s="1679">
        <f>IF((J542+J543+J544+J545)&lt;(F542+F543+F544+F545),(F542+F543+F544+F545)-(J542+J543+J544+J545),0)</f>
        <v>0</v>
      </c>
      <c r="M542" s="633" t="s">
        <v>2217</v>
      </c>
      <c r="N542" s="223"/>
      <c r="O542" s="631">
        <f t="shared" si="50"/>
        <v>0</v>
      </c>
    </row>
    <row r="543" spans="1:15" s="360" customFormat="1" ht="15" hidden="1">
      <c r="A543" s="356" t="s">
        <v>1579</v>
      </c>
      <c r="B543" s="632" t="s">
        <v>2000</v>
      </c>
      <c r="C543" s="611">
        <f t="shared" si="48"/>
        <v>0</v>
      </c>
      <c r="D543" s="354"/>
      <c r="E543" s="15">
        <f t="shared" si="47"/>
        <v>6334.76</v>
      </c>
      <c r="F543" s="792">
        <f t="shared" si="46"/>
        <v>0</v>
      </c>
      <c r="G543" s="358">
        <f>'PART-A'!I2662</f>
        <v>0</v>
      </c>
      <c r="H543" s="354" t="s">
        <v>115</v>
      </c>
      <c r="I543" s="355">
        <f>'PART-A'!K2662</f>
        <v>6334.76</v>
      </c>
      <c r="J543" s="353">
        <f t="shared" si="49"/>
        <v>0</v>
      </c>
      <c r="K543" s="1680"/>
      <c r="L543" s="1680"/>
      <c r="M543" s="633" t="s">
        <v>2299</v>
      </c>
      <c r="N543" s="223"/>
      <c r="O543" s="631">
        <f t="shared" si="50"/>
        <v>0</v>
      </c>
    </row>
    <row r="544" spans="1:15" s="360" customFormat="1" ht="15" hidden="1">
      <c r="A544" s="356" t="s">
        <v>1579</v>
      </c>
      <c r="B544" s="632" t="s">
        <v>2000</v>
      </c>
      <c r="C544" s="611">
        <f t="shared" si="48"/>
        <v>0</v>
      </c>
      <c r="D544" s="354"/>
      <c r="E544" s="15">
        <f t="shared" si="47"/>
        <v>6584.41</v>
      </c>
      <c r="F544" s="792">
        <f t="shared" si="46"/>
        <v>0</v>
      </c>
      <c r="G544" s="358">
        <f>'PART-A'!I2800</f>
        <v>0</v>
      </c>
      <c r="H544" s="354" t="s">
        <v>115</v>
      </c>
      <c r="I544" s="355">
        <f>'PART-A'!K2800</f>
        <v>6584.41</v>
      </c>
      <c r="J544" s="353">
        <f t="shared" si="49"/>
        <v>0</v>
      </c>
      <c r="K544" s="1680"/>
      <c r="L544" s="1680"/>
      <c r="M544" s="633" t="s">
        <v>2312</v>
      </c>
      <c r="N544" s="223"/>
      <c r="O544" s="631">
        <f t="shared" si="50"/>
        <v>0</v>
      </c>
    </row>
    <row r="545" spans="1:15" s="360" customFormat="1" ht="15" hidden="1">
      <c r="A545" s="356" t="s">
        <v>1579</v>
      </c>
      <c r="B545" s="632" t="s">
        <v>2000</v>
      </c>
      <c r="C545" s="611">
        <f t="shared" si="48"/>
        <v>0</v>
      </c>
      <c r="D545" s="354"/>
      <c r="E545" s="15">
        <f t="shared" si="47"/>
        <v>7015.49</v>
      </c>
      <c r="F545" s="792">
        <f t="shared" si="46"/>
        <v>0</v>
      </c>
      <c r="G545" s="358">
        <f>'PART-A'!I2933</f>
        <v>0</v>
      </c>
      <c r="H545" s="354" t="s">
        <v>115</v>
      </c>
      <c r="I545" s="355">
        <f>'PART-A'!K2933</f>
        <v>7015.49</v>
      </c>
      <c r="J545" s="353">
        <f t="shared" si="49"/>
        <v>0</v>
      </c>
      <c r="K545" s="1681"/>
      <c r="L545" s="1681"/>
      <c r="M545" s="633" t="s">
        <v>2313</v>
      </c>
      <c r="N545" s="223"/>
      <c r="O545" s="631">
        <f t="shared" si="50"/>
        <v>0</v>
      </c>
    </row>
    <row r="546" spans="1:15" s="360" customFormat="1" ht="15" hidden="1" customHeight="1">
      <c r="A546" s="356" t="s">
        <v>1586</v>
      </c>
      <c r="B546" s="632" t="s">
        <v>1227</v>
      </c>
      <c r="C546" s="611">
        <f t="shared" si="48"/>
        <v>0</v>
      </c>
      <c r="D546" s="354"/>
      <c r="E546" s="15">
        <f t="shared" si="47"/>
        <v>10891.57</v>
      </c>
      <c r="F546" s="792">
        <f t="shared" si="46"/>
        <v>0</v>
      </c>
      <c r="G546" s="358">
        <f>'PART-A'!I2504</f>
        <v>0</v>
      </c>
      <c r="H546" s="354" t="s">
        <v>115</v>
      </c>
      <c r="I546" s="355">
        <f>'PART-A'!K2504</f>
        <v>10891.57</v>
      </c>
      <c r="J546" s="353">
        <f t="shared" si="49"/>
        <v>0</v>
      </c>
      <c r="K546" s="1679">
        <f>IF((J546+J547+J548+J549)&gt;(F546+F547+F548+F549),(J546+J547+J548+J549)-(F546+F547+F548+F549),0)</f>
        <v>0</v>
      </c>
      <c r="L546" s="1679">
        <f>IF((J546+J547+J548+J549)&lt;(F546+F547+F548+F549),(F546+F547+F548+F549)-(J546+J547+J548+J549),0)</f>
        <v>0</v>
      </c>
      <c r="M546" s="633" t="s">
        <v>2217</v>
      </c>
      <c r="N546" s="223"/>
      <c r="O546" s="631">
        <f t="shared" si="50"/>
        <v>0</v>
      </c>
    </row>
    <row r="547" spans="1:15" s="360" customFormat="1" ht="15" hidden="1" customHeight="1">
      <c r="A547" s="356" t="s">
        <v>1594</v>
      </c>
      <c r="B547" s="632" t="s">
        <v>1227</v>
      </c>
      <c r="C547" s="611">
        <f t="shared" si="48"/>
        <v>0</v>
      </c>
      <c r="D547" s="354"/>
      <c r="E547" s="15">
        <f t="shared" si="47"/>
        <v>4180.6099999999997</v>
      </c>
      <c r="F547" s="792">
        <f t="shared" si="46"/>
        <v>0</v>
      </c>
      <c r="G547" s="358">
        <f>'PART-A'!I2637</f>
        <v>0</v>
      </c>
      <c r="H547" s="354" t="s">
        <v>115</v>
      </c>
      <c r="I547" s="355">
        <f>'PART-A'!K2637</f>
        <v>4180.6099999999997</v>
      </c>
      <c r="J547" s="353">
        <f t="shared" si="49"/>
        <v>0</v>
      </c>
      <c r="K547" s="1680"/>
      <c r="L547" s="1680"/>
      <c r="M547" s="633" t="s">
        <v>2299</v>
      </c>
      <c r="N547" s="223"/>
      <c r="O547" s="631">
        <f t="shared" si="50"/>
        <v>0</v>
      </c>
    </row>
    <row r="548" spans="1:15" s="360" customFormat="1" ht="15" hidden="1" customHeight="1">
      <c r="A548" s="356" t="s">
        <v>1586</v>
      </c>
      <c r="B548" s="632" t="s">
        <v>1227</v>
      </c>
      <c r="C548" s="611">
        <f t="shared" si="48"/>
        <v>0</v>
      </c>
      <c r="D548" s="354"/>
      <c r="E548" s="15">
        <f t="shared" si="47"/>
        <v>11215.33</v>
      </c>
      <c r="F548" s="792">
        <f t="shared" si="46"/>
        <v>0</v>
      </c>
      <c r="G548" s="358">
        <f>'PART-A'!I2775</f>
        <v>0</v>
      </c>
      <c r="H548" s="354" t="s">
        <v>115</v>
      </c>
      <c r="I548" s="355">
        <f>'PART-A'!K2775</f>
        <v>11215.33</v>
      </c>
      <c r="J548" s="353">
        <f t="shared" si="49"/>
        <v>0</v>
      </c>
      <c r="K548" s="1680"/>
      <c r="L548" s="1680"/>
      <c r="M548" s="633" t="s">
        <v>2312</v>
      </c>
      <c r="N548" s="223"/>
      <c r="O548" s="631">
        <f t="shared" si="50"/>
        <v>0</v>
      </c>
    </row>
    <row r="549" spans="1:15" s="360" customFormat="1" ht="15" hidden="1" customHeight="1">
      <c r="A549" s="356" t="s">
        <v>519</v>
      </c>
      <c r="B549" s="632" t="s">
        <v>3214</v>
      </c>
      <c r="C549" s="611">
        <f t="shared" si="48"/>
        <v>0</v>
      </c>
      <c r="D549" s="354" t="s">
        <v>115</v>
      </c>
      <c r="E549" s="10">
        <f t="shared" si="47"/>
        <v>11464.42</v>
      </c>
      <c r="F549" s="792">
        <f t="shared" si="46"/>
        <v>0</v>
      </c>
      <c r="G549" s="358">
        <f>'PART-A'!I2908</f>
        <v>0</v>
      </c>
      <c r="H549" s="354" t="s">
        <v>115</v>
      </c>
      <c r="I549" s="355">
        <f>'PART-A'!K2908</f>
        <v>11464.42</v>
      </c>
      <c r="J549" s="353">
        <f t="shared" si="49"/>
        <v>0</v>
      </c>
      <c r="K549" s="1695"/>
      <c r="L549" s="1695"/>
      <c r="M549" s="851" t="s">
        <v>2313</v>
      </c>
      <c r="N549" s="223"/>
      <c r="O549" s="850">
        <f t="shared" si="50"/>
        <v>0</v>
      </c>
    </row>
    <row r="550" spans="1:15" s="360" customFormat="1" ht="15" hidden="1" customHeight="1">
      <c r="A550" s="356" t="s">
        <v>1587</v>
      </c>
      <c r="B550" s="632" t="s">
        <v>1227</v>
      </c>
      <c r="C550" s="611">
        <f t="shared" si="48"/>
        <v>0</v>
      </c>
      <c r="D550" s="354"/>
      <c r="E550" s="15">
        <f t="shared" si="47"/>
        <v>9855.7799999999988</v>
      </c>
      <c r="F550" s="792">
        <f t="shared" si="46"/>
        <v>0</v>
      </c>
      <c r="G550" s="358">
        <f>'PART-A'!I2509</f>
        <v>0</v>
      </c>
      <c r="H550" s="354" t="s">
        <v>115</v>
      </c>
      <c r="I550" s="355">
        <f>'PART-A'!K2509</f>
        <v>9855.7799999999988</v>
      </c>
      <c r="J550" s="353">
        <f t="shared" si="49"/>
        <v>0</v>
      </c>
      <c r="K550" s="1679">
        <f>IF((J550+J551+J552+J553)&gt;(F550+F551+F552+F553),(J550+J551+J552+J553)-(F550+F551+F552+F553),0)</f>
        <v>0</v>
      </c>
      <c r="L550" s="1679">
        <f>IF((J550+J551+J552+J553)&lt;(F550+F551+F552+F553),(F550+F551+F552+F553)-(J550+J551+J552+J553),0)</f>
        <v>0</v>
      </c>
      <c r="M550" s="633" t="s">
        <v>2217</v>
      </c>
      <c r="N550" s="223"/>
      <c r="O550" s="631">
        <f t="shared" si="50"/>
        <v>0</v>
      </c>
    </row>
    <row r="551" spans="1:15" s="360" customFormat="1" ht="15" hidden="1" customHeight="1">
      <c r="A551" s="356" t="s">
        <v>1590</v>
      </c>
      <c r="B551" s="632" t="s">
        <v>1227</v>
      </c>
      <c r="C551" s="611">
        <f t="shared" si="48"/>
        <v>0</v>
      </c>
      <c r="D551" s="354"/>
      <c r="E551" s="15">
        <f t="shared" si="47"/>
        <v>9855.7799999999988</v>
      </c>
      <c r="F551" s="792">
        <f t="shared" si="46"/>
        <v>0</v>
      </c>
      <c r="G551" s="358">
        <f>'PART-A'!I2642</f>
        <v>0</v>
      </c>
      <c r="H551" s="354" t="s">
        <v>115</v>
      </c>
      <c r="I551" s="355">
        <f>'PART-A'!K2642</f>
        <v>9855.7799999999988</v>
      </c>
      <c r="J551" s="353">
        <f t="shared" si="49"/>
        <v>0</v>
      </c>
      <c r="K551" s="1680"/>
      <c r="L551" s="1680"/>
      <c r="M551" s="633" t="s">
        <v>2299</v>
      </c>
      <c r="N551" s="223"/>
      <c r="O551" s="631">
        <f t="shared" si="50"/>
        <v>0</v>
      </c>
    </row>
    <row r="552" spans="1:15" s="360" customFormat="1" ht="15" hidden="1" customHeight="1">
      <c r="A552" s="356" t="s">
        <v>1587</v>
      </c>
      <c r="B552" s="632" t="s">
        <v>1227</v>
      </c>
      <c r="C552" s="611">
        <f t="shared" si="48"/>
        <v>0</v>
      </c>
      <c r="D552" s="354"/>
      <c r="E552" s="15">
        <f t="shared" si="47"/>
        <v>10134.49</v>
      </c>
      <c r="F552" s="792">
        <f t="shared" si="46"/>
        <v>0</v>
      </c>
      <c r="G552" s="358">
        <f>'PART-A'!I2780</f>
        <v>0</v>
      </c>
      <c r="H552" s="354" t="s">
        <v>115</v>
      </c>
      <c r="I552" s="355">
        <f>'PART-A'!K2780</f>
        <v>10134.49</v>
      </c>
      <c r="J552" s="353">
        <f t="shared" si="49"/>
        <v>0</v>
      </c>
      <c r="K552" s="1680"/>
      <c r="L552" s="1680"/>
      <c r="M552" s="633" t="s">
        <v>2312</v>
      </c>
      <c r="N552" s="223"/>
      <c r="O552" s="631">
        <f t="shared" si="50"/>
        <v>0</v>
      </c>
    </row>
    <row r="553" spans="1:15" s="360" customFormat="1" ht="15" hidden="1" customHeight="1">
      <c r="A553" s="356" t="s">
        <v>1587</v>
      </c>
      <c r="B553" s="632" t="s">
        <v>1227</v>
      </c>
      <c r="C553" s="611">
        <f t="shared" si="48"/>
        <v>0</v>
      </c>
      <c r="D553" s="354"/>
      <c r="E553" s="15">
        <f t="shared" si="47"/>
        <v>11442.58</v>
      </c>
      <c r="F553" s="792">
        <f t="shared" si="46"/>
        <v>0</v>
      </c>
      <c r="G553" s="358">
        <f>'PART-A'!I2913</f>
        <v>0</v>
      </c>
      <c r="H553" s="354" t="s">
        <v>115</v>
      </c>
      <c r="I553" s="355">
        <f>'PART-A'!K2913</f>
        <v>11442.58</v>
      </c>
      <c r="J553" s="353">
        <f t="shared" si="49"/>
        <v>0</v>
      </c>
      <c r="K553" s="1681"/>
      <c r="L553" s="1681"/>
      <c r="M553" s="633" t="s">
        <v>2313</v>
      </c>
      <c r="N553" s="223"/>
      <c r="O553" s="631">
        <f t="shared" si="50"/>
        <v>0</v>
      </c>
    </row>
    <row r="554" spans="1:15" s="360" customFormat="1" ht="51" hidden="1">
      <c r="A554" s="356" t="s">
        <v>642</v>
      </c>
      <c r="B554" s="632" t="s">
        <v>3215</v>
      </c>
      <c r="C554" s="611">
        <f t="shared" si="48"/>
        <v>0</v>
      </c>
      <c r="D554" s="791" t="s">
        <v>115</v>
      </c>
      <c r="E554" s="15">
        <f t="shared" si="47"/>
        <v>15555.64</v>
      </c>
      <c r="F554" s="792">
        <f t="shared" si="46"/>
        <v>0</v>
      </c>
      <c r="G554" s="358">
        <f>'PART-A'!I2536</f>
        <v>0</v>
      </c>
      <c r="H554" s="354" t="s">
        <v>115</v>
      </c>
      <c r="I554" s="355">
        <f>'PART-A'!K2536</f>
        <v>15555.64</v>
      </c>
      <c r="J554" s="353">
        <f t="shared" si="49"/>
        <v>0</v>
      </c>
      <c r="K554" s="1679">
        <f>IF((J554+J555+J556+J557)&gt;(F554+F555+F556+F557),(J554+J555+J556+J557)-(F554+F555+F556+F557),0)</f>
        <v>0</v>
      </c>
      <c r="L554" s="1679">
        <f>IF((J554+J555+J556+J557)&lt;(F554+F555+F556+F557),(F554+F555+F556+F557)-(J554+J555+J556+J557),0)</f>
        <v>0</v>
      </c>
      <c r="M554" s="633" t="s">
        <v>2217</v>
      </c>
      <c r="N554" s="223"/>
      <c r="O554" s="631">
        <f t="shared" si="50"/>
        <v>0</v>
      </c>
    </row>
    <row r="555" spans="1:15" s="360" customFormat="1" ht="15" hidden="1">
      <c r="A555" s="356" t="s">
        <v>529</v>
      </c>
      <c r="B555" s="632" t="s">
        <v>963</v>
      </c>
      <c r="C555" s="611">
        <f t="shared" si="48"/>
        <v>0</v>
      </c>
      <c r="D555" s="354"/>
      <c r="E555" s="15">
        <f t="shared" si="47"/>
        <v>15555.64</v>
      </c>
      <c r="F555" s="792">
        <f t="shared" si="46"/>
        <v>0</v>
      </c>
      <c r="G555" s="358">
        <f>'PART-A'!I2670</f>
        <v>0</v>
      </c>
      <c r="H555" s="354" t="s">
        <v>115</v>
      </c>
      <c r="I555" s="355">
        <f>'PART-A'!K2670</f>
        <v>15555.64</v>
      </c>
      <c r="J555" s="353">
        <f t="shared" si="49"/>
        <v>0</v>
      </c>
      <c r="K555" s="1680"/>
      <c r="L555" s="1680"/>
      <c r="M555" s="633" t="s">
        <v>2299</v>
      </c>
      <c r="N555" s="223"/>
      <c r="O555" s="631">
        <f t="shared" si="50"/>
        <v>0</v>
      </c>
    </row>
    <row r="556" spans="1:15" s="360" customFormat="1" ht="15" hidden="1">
      <c r="A556" s="356" t="s">
        <v>529</v>
      </c>
      <c r="B556" s="632" t="s">
        <v>963</v>
      </c>
      <c r="C556" s="611">
        <f t="shared" si="48"/>
        <v>0</v>
      </c>
      <c r="D556" s="354"/>
      <c r="E556" s="15">
        <f t="shared" si="47"/>
        <v>13789.809999999998</v>
      </c>
      <c r="F556" s="792">
        <f t="shared" si="46"/>
        <v>0</v>
      </c>
      <c r="G556" s="358">
        <f>'PART-A'!I2807</f>
        <v>0</v>
      </c>
      <c r="H556" s="354" t="s">
        <v>115</v>
      </c>
      <c r="I556" s="355">
        <f>'PART-A'!K2807</f>
        <v>13789.809999999998</v>
      </c>
      <c r="J556" s="353">
        <f t="shared" si="49"/>
        <v>0</v>
      </c>
      <c r="K556" s="1680"/>
      <c r="L556" s="1680"/>
      <c r="M556" s="633" t="s">
        <v>2312</v>
      </c>
      <c r="N556" s="223"/>
      <c r="O556" s="631">
        <f t="shared" si="50"/>
        <v>0</v>
      </c>
    </row>
    <row r="557" spans="1:15" s="360" customFormat="1" ht="15" hidden="1">
      <c r="A557" s="356" t="s">
        <v>529</v>
      </c>
      <c r="B557" s="632" t="s">
        <v>963</v>
      </c>
      <c r="C557" s="611">
        <f t="shared" si="48"/>
        <v>0</v>
      </c>
      <c r="D557" s="354"/>
      <c r="E557" s="15">
        <f t="shared" si="47"/>
        <v>17517.36</v>
      </c>
      <c r="F557" s="792">
        <f t="shared" si="46"/>
        <v>0</v>
      </c>
      <c r="G557" s="358">
        <f>'PART-A'!I2940</f>
        <v>0</v>
      </c>
      <c r="H557" s="354" t="s">
        <v>115</v>
      </c>
      <c r="I557" s="355">
        <f>'PART-A'!K2940</f>
        <v>17517.36</v>
      </c>
      <c r="J557" s="353">
        <f t="shared" si="49"/>
        <v>0</v>
      </c>
      <c r="K557" s="1681"/>
      <c r="L557" s="1681"/>
      <c r="M557" s="633" t="s">
        <v>2313</v>
      </c>
      <c r="N557" s="223"/>
      <c r="O557" s="631">
        <f t="shared" si="50"/>
        <v>0</v>
      </c>
    </row>
    <row r="558" spans="1:15" s="360" customFormat="1" ht="51" hidden="1">
      <c r="A558" s="356" t="s">
        <v>643</v>
      </c>
      <c r="B558" s="632" t="s">
        <v>3215</v>
      </c>
      <c r="C558" s="611">
        <f t="shared" si="48"/>
        <v>0</v>
      </c>
      <c r="D558" s="791" t="s">
        <v>115</v>
      </c>
      <c r="E558" s="15">
        <f t="shared" si="47"/>
        <v>9631.65</v>
      </c>
      <c r="F558" s="792">
        <f t="shared" si="46"/>
        <v>0</v>
      </c>
      <c r="G558" s="358">
        <f>'PART-A'!I2543</f>
        <v>0</v>
      </c>
      <c r="H558" s="354" t="s">
        <v>115</v>
      </c>
      <c r="I558" s="355">
        <f>'PART-A'!K2543</f>
        <v>9631.65</v>
      </c>
      <c r="J558" s="353">
        <f t="shared" si="49"/>
        <v>0</v>
      </c>
      <c r="K558" s="1679">
        <f>IF((J558+J559+J560+J561)&gt;(F558+F559+F560+F561),(J558+J559+J560+J561)-(F558+F559+F560+F561),0)</f>
        <v>0</v>
      </c>
      <c r="L558" s="1679">
        <f>IF((J558+J559+J560+J561)&lt;(F558+F559+F560+F561),(F558+F559+F560+F561)-(J558+J559+J560+J561),0)</f>
        <v>0</v>
      </c>
      <c r="M558" s="633" t="s">
        <v>2217</v>
      </c>
      <c r="N558" s="223"/>
      <c r="O558" s="631">
        <f t="shared" si="50"/>
        <v>0</v>
      </c>
    </row>
    <row r="559" spans="1:15" s="360" customFormat="1" ht="15" hidden="1">
      <c r="A559" s="356" t="s">
        <v>1148</v>
      </c>
      <c r="B559" s="632" t="s">
        <v>964</v>
      </c>
      <c r="C559" s="611">
        <f t="shared" si="48"/>
        <v>0</v>
      </c>
      <c r="D559" s="354"/>
      <c r="E559" s="15">
        <f t="shared" si="47"/>
        <v>4472.53</v>
      </c>
      <c r="F559" s="792">
        <f t="shared" si="46"/>
        <v>0</v>
      </c>
      <c r="G559" s="358">
        <f>'PART-A'!I2678</f>
        <v>0</v>
      </c>
      <c r="H559" s="354" t="s">
        <v>115</v>
      </c>
      <c r="I559" s="355">
        <f>'PART-A'!K2678</f>
        <v>4472.53</v>
      </c>
      <c r="J559" s="353">
        <f t="shared" si="49"/>
        <v>0</v>
      </c>
      <c r="K559" s="1680"/>
      <c r="L559" s="1680"/>
      <c r="M559" s="633" t="s">
        <v>2299</v>
      </c>
      <c r="N559" s="223"/>
      <c r="O559" s="631">
        <f t="shared" si="50"/>
        <v>0</v>
      </c>
    </row>
    <row r="560" spans="1:15" s="360" customFormat="1" ht="15" hidden="1">
      <c r="A560" s="356" t="s">
        <v>1589</v>
      </c>
      <c r="B560" s="632" t="s">
        <v>964</v>
      </c>
      <c r="C560" s="611">
        <f t="shared" si="48"/>
        <v>0</v>
      </c>
      <c r="D560" s="354"/>
      <c r="E560" s="15">
        <f t="shared" si="47"/>
        <v>9936.0399999999991</v>
      </c>
      <c r="F560" s="792">
        <f t="shared" ref="F560:F622" si="51">ROUND(C560*E560,0)</f>
        <v>0</v>
      </c>
      <c r="G560" s="358">
        <f>'PART-A'!I2814</f>
        <v>0</v>
      </c>
      <c r="H560" s="354" t="s">
        <v>115</v>
      </c>
      <c r="I560" s="355">
        <f>'PART-A'!K2814</f>
        <v>9936.0399999999991</v>
      </c>
      <c r="J560" s="353">
        <f t="shared" si="49"/>
        <v>0</v>
      </c>
      <c r="K560" s="1680"/>
      <c r="L560" s="1680"/>
      <c r="M560" s="633" t="s">
        <v>2312</v>
      </c>
      <c r="N560" s="223"/>
      <c r="O560" s="631">
        <f t="shared" si="50"/>
        <v>0</v>
      </c>
    </row>
    <row r="561" spans="1:15" s="360" customFormat="1" ht="15" hidden="1">
      <c r="A561" s="356" t="s">
        <v>1589</v>
      </c>
      <c r="B561" s="632" t="s">
        <v>964</v>
      </c>
      <c r="C561" s="611">
        <f t="shared" si="48"/>
        <v>0</v>
      </c>
      <c r="D561" s="354"/>
      <c r="E561" s="15">
        <f t="shared" ref="E561:E624" si="52">I561</f>
        <v>11186.3</v>
      </c>
      <c r="F561" s="792">
        <f t="shared" si="51"/>
        <v>0</v>
      </c>
      <c r="G561" s="358">
        <f>'PART-A'!I2947</f>
        <v>0</v>
      </c>
      <c r="H561" s="354" t="s">
        <v>115</v>
      </c>
      <c r="I561" s="355">
        <f>'PART-A'!K2947</f>
        <v>11186.3</v>
      </c>
      <c r="J561" s="353">
        <f t="shared" si="49"/>
        <v>0</v>
      </c>
      <c r="K561" s="1681"/>
      <c r="L561" s="1681"/>
      <c r="M561" s="633" t="s">
        <v>2313</v>
      </c>
      <c r="N561" s="223"/>
      <c r="O561" s="631">
        <f t="shared" si="50"/>
        <v>0</v>
      </c>
    </row>
    <row r="562" spans="1:15" s="360" customFormat="1" ht="38.25" hidden="1">
      <c r="A562" s="356" t="s">
        <v>644</v>
      </c>
      <c r="B562" s="632" t="s">
        <v>3216</v>
      </c>
      <c r="C562" s="611">
        <f t="shared" si="48"/>
        <v>0</v>
      </c>
      <c r="D562" s="791" t="s">
        <v>102</v>
      </c>
      <c r="E562" s="15">
        <f t="shared" si="52"/>
        <v>6011.2</v>
      </c>
      <c r="F562" s="792">
        <f t="shared" si="51"/>
        <v>0</v>
      </c>
      <c r="G562" s="358">
        <f>'PART-A'!I2548</f>
        <v>0</v>
      </c>
      <c r="H562" s="354" t="s">
        <v>102</v>
      </c>
      <c r="I562" s="355">
        <f>'PART-A'!K2548</f>
        <v>6011.2</v>
      </c>
      <c r="J562" s="353">
        <f t="shared" si="49"/>
        <v>0</v>
      </c>
      <c r="K562" s="1679">
        <f>IF((J562+J563+J564+J565)&gt;(F562+F563+F564+F565),(J562+J563+J564+J565)-(F562+F563+F564+F565),0)</f>
        <v>0</v>
      </c>
      <c r="L562" s="1679">
        <f>IF((J562+J563+J564+J565)&lt;(F562+F563+F564+F565),(F562+F563+F564+F565)-(J562+J563+J564+J565),0)</f>
        <v>0</v>
      </c>
      <c r="M562" s="633" t="s">
        <v>2217</v>
      </c>
      <c r="N562" s="223"/>
      <c r="O562" s="631">
        <f t="shared" si="50"/>
        <v>0</v>
      </c>
    </row>
    <row r="563" spans="1:15" s="360" customFormat="1" ht="15" hidden="1">
      <c r="A563" s="356" t="s">
        <v>1575</v>
      </c>
      <c r="B563" s="632" t="s">
        <v>2030</v>
      </c>
      <c r="C563" s="611">
        <f t="shared" si="48"/>
        <v>0</v>
      </c>
      <c r="D563" s="354"/>
      <c r="E563" s="15">
        <f t="shared" si="52"/>
        <v>6011.2</v>
      </c>
      <c r="F563" s="792">
        <f t="shared" si="51"/>
        <v>0</v>
      </c>
      <c r="G563" s="358">
        <f>'PART-A'!I2683</f>
        <v>0</v>
      </c>
      <c r="H563" s="354" t="s">
        <v>102</v>
      </c>
      <c r="I563" s="355">
        <f>'PART-A'!K2683</f>
        <v>6011.2</v>
      </c>
      <c r="J563" s="353">
        <f t="shared" si="49"/>
        <v>0</v>
      </c>
      <c r="K563" s="1680"/>
      <c r="L563" s="1680"/>
      <c r="M563" s="633" t="s">
        <v>2299</v>
      </c>
      <c r="N563" s="223"/>
      <c r="O563" s="631">
        <f t="shared" si="50"/>
        <v>0</v>
      </c>
    </row>
    <row r="564" spans="1:15" s="360" customFormat="1" ht="15" hidden="1">
      <c r="A564" s="356" t="s">
        <v>1575</v>
      </c>
      <c r="B564" s="632" t="s">
        <v>2030</v>
      </c>
      <c r="C564" s="611">
        <f t="shared" si="48"/>
        <v>0</v>
      </c>
      <c r="D564" s="354"/>
      <c r="E564" s="15">
        <f t="shared" si="52"/>
        <v>6057.2</v>
      </c>
      <c r="F564" s="792">
        <f t="shared" si="51"/>
        <v>0</v>
      </c>
      <c r="G564" s="358">
        <f>'PART-A'!I2819</f>
        <v>0</v>
      </c>
      <c r="H564" s="354" t="s">
        <v>102</v>
      </c>
      <c r="I564" s="355">
        <f>'PART-A'!K2819</f>
        <v>6057.2</v>
      </c>
      <c r="J564" s="353">
        <f t="shared" si="49"/>
        <v>0</v>
      </c>
      <c r="K564" s="1680"/>
      <c r="L564" s="1680"/>
      <c r="M564" s="633" t="s">
        <v>2312</v>
      </c>
      <c r="N564" s="223"/>
      <c r="O564" s="631">
        <f t="shared" si="50"/>
        <v>0</v>
      </c>
    </row>
    <row r="565" spans="1:15" s="360" customFormat="1" ht="15" hidden="1">
      <c r="A565" s="356" t="s">
        <v>1575</v>
      </c>
      <c r="B565" s="632" t="s">
        <v>2030</v>
      </c>
      <c r="C565" s="611">
        <f t="shared" si="48"/>
        <v>0</v>
      </c>
      <c r="D565" s="354"/>
      <c r="E565" s="15">
        <f t="shared" si="52"/>
        <v>6958.78</v>
      </c>
      <c r="F565" s="792">
        <f t="shared" si="51"/>
        <v>0</v>
      </c>
      <c r="G565" s="358">
        <f>'PART-A'!I2954</f>
        <v>0</v>
      </c>
      <c r="H565" s="354" t="s">
        <v>102</v>
      </c>
      <c r="I565" s="355">
        <f>'PART-A'!K2954</f>
        <v>6958.78</v>
      </c>
      <c r="J565" s="353">
        <f t="shared" si="49"/>
        <v>0</v>
      </c>
      <c r="K565" s="1681"/>
      <c r="L565" s="1681"/>
      <c r="M565" s="633" t="s">
        <v>2313</v>
      </c>
      <c r="N565" s="223"/>
      <c r="O565" s="631">
        <f t="shared" si="50"/>
        <v>0</v>
      </c>
    </row>
    <row r="566" spans="1:15" s="360" customFormat="1" ht="15" hidden="1">
      <c r="A566" s="356" t="s">
        <v>1147</v>
      </c>
      <c r="B566" s="632" t="s">
        <v>2031</v>
      </c>
      <c r="C566" s="611">
        <f t="shared" si="48"/>
        <v>0</v>
      </c>
      <c r="D566" s="354"/>
      <c r="E566" s="15">
        <f t="shared" si="52"/>
        <v>5617.52</v>
      </c>
      <c r="F566" s="792">
        <f t="shared" si="51"/>
        <v>0</v>
      </c>
      <c r="G566" s="358">
        <f>'PART-A'!I2555</f>
        <v>0</v>
      </c>
      <c r="H566" s="354" t="s">
        <v>102</v>
      </c>
      <c r="I566" s="355">
        <f>'PART-A'!K2555</f>
        <v>5617.52</v>
      </c>
      <c r="J566" s="353">
        <f t="shared" si="49"/>
        <v>0</v>
      </c>
      <c r="K566" s="1679">
        <f>IF((J566+J567+J568+J569)&gt;(F566+F567+F568+F569),(J566+J567+J568+J569)-(F566+F567+F568+F569),0)</f>
        <v>0</v>
      </c>
      <c r="L566" s="1679">
        <f>IF((J566+J567+J568+J569)&lt;(F566+F567+F568+F569),(F566+F567+F568+F569)-(J566+J567+J568+J569),0)</f>
        <v>0</v>
      </c>
      <c r="M566" s="633" t="s">
        <v>2217</v>
      </c>
      <c r="N566" s="223"/>
      <c r="O566" s="631">
        <f t="shared" si="50"/>
        <v>0</v>
      </c>
    </row>
    <row r="567" spans="1:15" s="360" customFormat="1" ht="15" hidden="1">
      <c r="A567" s="356" t="s">
        <v>1147</v>
      </c>
      <c r="B567" s="632" t="s">
        <v>2031</v>
      </c>
      <c r="C567" s="611">
        <f t="shared" si="48"/>
        <v>0</v>
      </c>
      <c r="D567" s="354"/>
      <c r="E567" s="15">
        <f t="shared" si="52"/>
        <v>5617.52</v>
      </c>
      <c r="F567" s="792">
        <f t="shared" si="51"/>
        <v>0</v>
      </c>
      <c r="G567" s="358">
        <f>'PART-A'!I2690</f>
        <v>0</v>
      </c>
      <c r="H567" s="354" t="s">
        <v>102</v>
      </c>
      <c r="I567" s="355">
        <f>'PART-A'!K2690</f>
        <v>5617.52</v>
      </c>
      <c r="J567" s="353">
        <f t="shared" si="49"/>
        <v>0</v>
      </c>
      <c r="K567" s="1680"/>
      <c r="L567" s="1680"/>
      <c r="M567" s="633" t="s">
        <v>2299</v>
      </c>
      <c r="N567" s="223"/>
      <c r="O567" s="631">
        <f t="shared" si="50"/>
        <v>0</v>
      </c>
    </row>
    <row r="568" spans="1:15" s="360" customFormat="1" ht="15" hidden="1">
      <c r="A568" s="356" t="s">
        <v>1147</v>
      </c>
      <c r="B568" s="632" t="s">
        <v>2031</v>
      </c>
      <c r="C568" s="611">
        <f t="shared" si="48"/>
        <v>0</v>
      </c>
      <c r="D568" s="354"/>
      <c r="E568" s="15">
        <f t="shared" si="52"/>
        <v>5663.52</v>
      </c>
      <c r="F568" s="792">
        <f t="shared" si="51"/>
        <v>0</v>
      </c>
      <c r="G568" s="358">
        <f>'PART-A'!I2826</f>
        <v>0</v>
      </c>
      <c r="H568" s="354" t="s">
        <v>102</v>
      </c>
      <c r="I568" s="355">
        <f>'PART-A'!K2826</f>
        <v>5663.52</v>
      </c>
      <c r="J568" s="353">
        <f t="shared" si="49"/>
        <v>0</v>
      </c>
      <c r="K568" s="1680"/>
      <c r="L568" s="1680"/>
      <c r="M568" s="633" t="s">
        <v>2312</v>
      </c>
      <c r="N568" s="223"/>
      <c r="O568" s="631">
        <f t="shared" si="50"/>
        <v>0</v>
      </c>
    </row>
    <row r="569" spans="1:15" s="360" customFormat="1" ht="15" hidden="1">
      <c r="A569" s="356" t="s">
        <v>1147</v>
      </c>
      <c r="B569" s="632" t="s">
        <v>2031</v>
      </c>
      <c r="C569" s="611">
        <f t="shared" si="48"/>
        <v>0</v>
      </c>
      <c r="D569" s="354"/>
      <c r="E569" s="15">
        <f t="shared" si="52"/>
        <v>6508.85</v>
      </c>
      <c r="F569" s="792">
        <f t="shared" si="51"/>
        <v>0</v>
      </c>
      <c r="G569" s="358">
        <f>'PART-A'!I2961</f>
        <v>0</v>
      </c>
      <c r="H569" s="354" t="s">
        <v>102</v>
      </c>
      <c r="I569" s="355">
        <f>'PART-A'!K2961</f>
        <v>6508.85</v>
      </c>
      <c r="J569" s="353">
        <f t="shared" si="49"/>
        <v>0</v>
      </c>
      <c r="K569" s="1681"/>
      <c r="L569" s="1681"/>
      <c r="M569" s="633" t="s">
        <v>2313</v>
      </c>
      <c r="N569" s="223"/>
      <c r="O569" s="631">
        <f t="shared" si="50"/>
        <v>0</v>
      </c>
    </row>
    <row r="570" spans="1:15" s="360" customFormat="1" ht="51" hidden="1">
      <c r="A570" s="356" t="s">
        <v>1574</v>
      </c>
      <c r="B570" s="632" t="s">
        <v>3217</v>
      </c>
      <c r="C570" s="611">
        <f t="shared" si="48"/>
        <v>0</v>
      </c>
      <c r="D570" s="791" t="s">
        <v>277</v>
      </c>
      <c r="E570" s="15">
        <f t="shared" si="52"/>
        <v>0</v>
      </c>
      <c r="F570" s="792">
        <f t="shared" si="51"/>
        <v>0</v>
      </c>
      <c r="G570" s="358"/>
      <c r="H570" s="354"/>
      <c r="I570" s="355"/>
      <c r="J570" s="353">
        <f t="shared" si="49"/>
        <v>0</v>
      </c>
      <c r="K570" s="669">
        <f t="shared" ref="K570" si="53">IF(J570&gt;F570,J570-F570,0)</f>
        <v>0</v>
      </c>
      <c r="L570" s="368">
        <f t="shared" ref="L570" si="54">IF(J570&lt;F570,F570-J570,0)</f>
        <v>0</v>
      </c>
      <c r="M570" s="633" t="s">
        <v>2217</v>
      </c>
      <c r="N570" s="223"/>
      <c r="O570" s="631">
        <f t="shared" si="50"/>
        <v>0</v>
      </c>
    </row>
    <row r="571" spans="1:15" s="360" customFormat="1" ht="38.25" hidden="1">
      <c r="A571" s="356" t="s">
        <v>1581</v>
      </c>
      <c r="B571" s="632" t="s">
        <v>3218</v>
      </c>
      <c r="C571" s="611">
        <f t="shared" si="48"/>
        <v>0</v>
      </c>
      <c r="D571" s="791" t="s">
        <v>102</v>
      </c>
      <c r="E571" s="15">
        <f t="shared" si="52"/>
        <v>8058</v>
      </c>
      <c r="F571" s="792">
        <f t="shared" si="51"/>
        <v>0</v>
      </c>
      <c r="G571" s="358">
        <f>'PART-A'!I2560</f>
        <v>0</v>
      </c>
      <c r="H571" s="354" t="s">
        <v>102</v>
      </c>
      <c r="I571" s="355">
        <f>'PART-A'!K2560</f>
        <v>8058</v>
      </c>
      <c r="J571" s="353">
        <f t="shared" si="49"/>
        <v>0</v>
      </c>
      <c r="K571" s="1679">
        <f>IF((J571+J572+J573+J574)&gt;(F571+F572+F573+F574),(J571+J572+J573+J574)-(F571+F572+F573+F574),0)</f>
        <v>0</v>
      </c>
      <c r="L571" s="1679">
        <f>IF((J571+J572+J573+J574)&lt;(F571+F572+F573+F574),(F571+F572+F573+F574)-(J571+J572+J573+J574),0)</f>
        <v>0</v>
      </c>
      <c r="M571" s="633" t="s">
        <v>2217</v>
      </c>
      <c r="N571" s="223"/>
      <c r="O571" s="631">
        <f t="shared" si="50"/>
        <v>0</v>
      </c>
    </row>
    <row r="572" spans="1:15" s="360" customFormat="1" ht="25.5" hidden="1">
      <c r="A572" s="356" t="s">
        <v>1594</v>
      </c>
      <c r="B572" s="632" t="s">
        <v>965</v>
      </c>
      <c r="C572" s="611">
        <f t="shared" si="48"/>
        <v>0</v>
      </c>
      <c r="D572" s="354"/>
      <c r="E572" s="15">
        <f t="shared" si="52"/>
        <v>8058</v>
      </c>
      <c r="F572" s="792">
        <f t="shared" si="51"/>
        <v>0</v>
      </c>
      <c r="G572" s="358">
        <f>'PART-A'!I2696</f>
        <v>0</v>
      </c>
      <c r="H572" s="354" t="s">
        <v>102</v>
      </c>
      <c r="I572" s="355">
        <f>'PART-A'!K2696</f>
        <v>8058</v>
      </c>
      <c r="J572" s="353">
        <f t="shared" si="49"/>
        <v>0</v>
      </c>
      <c r="K572" s="1680"/>
      <c r="L572" s="1680"/>
      <c r="M572" s="633" t="s">
        <v>2299</v>
      </c>
      <c r="N572" s="223"/>
      <c r="O572" s="631">
        <f t="shared" si="50"/>
        <v>0</v>
      </c>
    </row>
    <row r="573" spans="1:15" s="360" customFormat="1" ht="25.5" hidden="1">
      <c r="A573" s="356" t="s">
        <v>1518</v>
      </c>
      <c r="B573" s="632" t="s">
        <v>965</v>
      </c>
      <c r="C573" s="611">
        <f t="shared" si="48"/>
        <v>0</v>
      </c>
      <c r="D573" s="354" t="s">
        <v>102</v>
      </c>
      <c r="E573" s="15">
        <f t="shared" si="52"/>
        <v>8058</v>
      </c>
      <c r="F573" s="792">
        <f t="shared" si="51"/>
        <v>0</v>
      </c>
      <c r="G573" s="358">
        <f>'PART-A'!I2832</f>
        <v>0</v>
      </c>
      <c r="H573" s="354" t="s">
        <v>102</v>
      </c>
      <c r="I573" s="355">
        <f>'PART-A'!K2832</f>
        <v>8058</v>
      </c>
      <c r="J573" s="353">
        <f t="shared" si="49"/>
        <v>0</v>
      </c>
      <c r="K573" s="1680"/>
      <c r="L573" s="1680"/>
      <c r="M573" s="633" t="s">
        <v>2312</v>
      </c>
      <c r="N573" s="223"/>
      <c r="O573" s="631">
        <f t="shared" si="50"/>
        <v>0</v>
      </c>
    </row>
    <row r="574" spans="1:15" s="360" customFormat="1" ht="38.25" hidden="1">
      <c r="A574" s="356" t="s">
        <v>490</v>
      </c>
      <c r="B574" s="632" t="s">
        <v>3218</v>
      </c>
      <c r="C574" s="611">
        <f t="shared" si="48"/>
        <v>0</v>
      </c>
      <c r="D574" s="354" t="s">
        <v>102</v>
      </c>
      <c r="E574" s="10">
        <f t="shared" si="52"/>
        <v>8622</v>
      </c>
      <c r="F574" s="792">
        <f t="shared" si="51"/>
        <v>0</v>
      </c>
      <c r="G574" s="358">
        <f>'PART-A'!I2966</f>
        <v>0</v>
      </c>
      <c r="H574" s="354" t="s">
        <v>102</v>
      </c>
      <c r="I574" s="355">
        <f>'PART-A'!K2966</f>
        <v>8622</v>
      </c>
      <c r="J574" s="353">
        <f t="shared" si="49"/>
        <v>0</v>
      </c>
      <c r="K574" s="1695"/>
      <c r="L574" s="1695"/>
      <c r="M574" s="851" t="s">
        <v>2313</v>
      </c>
      <c r="N574" s="223"/>
      <c r="O574" s="850">
        <f t="shared" si="50"/>
        <v>0</v>
      </c>
    </row>
    <row r="575" spans="1:15" s="360" customFormat="1" ht="25.5" hidden="1">
      <c r="A575" s="356" t="s">
        <v>1145</v>
      </c>
      <c r="B575" s="632" t="s">
        <v>965</v>
      </c>
      <c r="C575" s="611">
        <f t="shared" si="48"/>
        <v>0</v>
      </c>
      <c r="D575" s="354"/>
      <c r="E575" s="15">
        <f t="shared" si="52"/>
        <v>6038</v>
      </c>
      <c r="F575" s="792">
        <f t="shared" si="51"/>
        <v>0</v>
      </c>
      <c r="G575" s="358">
        <f>'PART-A'!I2564</f>
        <v>0</v>
      </c>
      <c r="H575" s="354" t="s">
        <v>102</v>
      </c>
      <c r="I575" s="355">
        <f>'PART-A'!K2564</f>
        <v>6038</v>
      </c>
      <c r="J575" s="353">
        <f t="shared" si="49"/>
        <v>0</v>
      </c>
      <c r="K575" s="1679">
        <f>IF((J575+J576+J577+J578)&gt;(F575+F576+F577+F578),(J575+J576+J577+J578)-(F575+F576+F577+F578),0)</f>
        <v>0</v>
      </c>
      <c r="L575" s="1679">
        <f>IF((J575+J576+J577+J578)&lt;(F575+F576+F577+F578),(F575+F576+F577+F578)-(J575+J576+J577+J578),0)</f>
        <v>0</v>
      </c>
      <c r="M575" s="633" t="s">
        <v>2217</v>
      </c>
      <c r="N575" s="223"/>
      <c r="O575" s="631">
        <f t="shared" si="50"/>
        <v>0</v>
      </c>
    </row>
    <row r="576" spans="1:15" s="360" customFormat="1" ht="25.5" hidden="1">
      <c r="A576" s="356" t="s">
        <v>1146</v>
      </c>
      <c r="B576" s="632" t="s">
        <v>965</v>
      </c>
      <c r="C576" s="611">
        <f t="shared" si="48"/>
        <v>0</v>
      </c>
      <c r="D576" s="354"/>
      <c r="E576" s="15">
        <f t="shared" si="52"/>
        <v>6038</v>
      </c>
      <c r="F576" s="792">
        <f t="shared" si="51"/>
        <v>0</v>
      </c>
      <c r="G576" s="358">
        <f>'PART-A'!I2700</f>
        <v>0</v>
      </c>
      <c r="H576" s="354" t="s">
        <v>102</v>
      </c>
      <c r="I576" s="355">
        <f>'PART-A'!K2700</f>
        <v>6038</v>
      </c>
      <c r="J576" s="353">
        <f t="shared" si="49"/>
        <v>0</v>
      </c>
      <c r="K576" s="1680"/>
      <c r="L576" s="1680"/>
      <c r="M576" s="633" t="s">
        <v>2299</v>
      </c>
      <c r="N576" s="223"/>
      <c r="O576" s="631">
        <f t="shared" si="50"/>
        <v>0</v>
      </c>
    </row>
    <row r="577" spans="1:15" s="360" customFormat="1" ht="25.5" hidden="1">
      <c r="A577" s="356" t="s">
        <v>1145</v>
      </c>
      <c r="B577" s="632" t="s">
        <v>965</v>
      </c>
      <c r="C577" s="611">
        <f t="shared" si="48"/>
        <v>0</v>
      </c>
      <c r="D577" s="354"/>
      <c r="E577" s="15">
        <f t="shared" si="52"/>
        <v>6038</v>
      </c>
      <c r="F577" s="792">
        <f t="shared" si="51"/>
        <v>0</v>
      </c>
      <c r="G577" s="358">
        <f>'PART-A'!I2836</f>
        <v>0</v>
      </c>
      <c r="H577" s="354" t="s">
        <v>102</v>
      </c>
      <c r="I577" s="355">
        <f>'PART-A'!K2836</f>
        <v>6038</v>
      </c>
      <c r="J577" s="353">
        <f t="shared" si="49"/>
        <v>0</v>
      </c>
      <c r="K577" s="1680"/>
      <c r="L577" s="1680"/>
      <c r="M577" s="633" t="s">
        <v>2312</v>
      </c>
      <c r="N577" s="223"/>
      <c r="O577" s="631">
        <f t="shared" si="50"/>
        <v>0</v>
      </c>
    </row>
    <row r="578" spans="1:15" s="360" customFormat="1" ht="25.5" hidden="1">
      <c r="A578" s="356" t="s">
        <v>1145</v>
      </c>
      <c r="B578" s="632" t="s">
        <v>965</v>
      </c>
      <c r="C578" s="611">
        <f t="shared" si="48"/>
        <v>0</v>
      </c>
      <c r="D578" s="354"/>
      <c r="E578" s="15">
        <f t="shared" si="52"/>
        <v>6460</v>
      </c>
      <c r="F578" s="792">
        <f t="shared" si="51"/>
        <v>0</v>
      </c>
      <c r="G578" s="358">
        <f>'PART-A'!I2970</f>
        <v>0</v>
      </c>
      <c r="H578" s="354" t="s">
        <v>102</v>
      </c>
      <c r="I578" s="355">
        <f>'PART-A'!K2970</f>
        <v>6460</v>
      </c>
      <c r="J578" s="353">
        <f t="shared" si="49"/>
        <v>0</v>
      </c>
      <c r="K578" s="1681"/>
      <c r="L578" s="1681"/>
      <c r="M578" s="633" t="s">
        <v>2313</v>
      </c>
      <c r="N578" s="223"/>
      <c r="O578" s="631">
        <f t="shared" si="50"/>
        <v>0</v>
      </c>
    </row>
    <row r="579" spans="1:15" s="360" customFormat="1" ht="25.5" hidden="1">
      <c r="A579" s="356" t="s">
        <v>1576</v>
      </c>
      <c r="B579" s="632" t="s">
        <v>966</v>
      </c>
      <c r="C579" s="611">
        <f t="shared" si="48"/>
        <v>0</v>
      </c>
      <c r="D579" s="354"/>
      <c r="E579" s="15">
        <f t="shared" si="52"/>
        <v>5830</v>
      </c>
      <c r="F579" s="792">
        <f t="shared" si="51"/>
        <v>0</v>
      </c>
      <c r="G579" s="358">
        <f>'PART-A'!I2568</f>
        <v>0</v>
      </c>
      <c r="H579" s="354" t="s">
        <v>102</v>
      </c>
      <c r="I579" s="355">
        <f>'PART-A'!K2568</f>
        <v>5830</v>
      </c>
      <c r="J579" s="353">
        <f t="shared" si="49"/>
        <v>0</v>
      </c>
      <c r="K579" s="1679">
        <f>IF((J579+J580+J581+J582)&gt;(F579+F580+F581+F582),(J579+J580+J581+J582)-(F579+F580+F581+F582),0)</f>
        <v>0</v>
      </c>
      <c r="L579" s="1679">
        <f>IF((J579+J580+J581+J582)&lt;(F579+F580+F581+F582),(F579+F580+F581+F582)-(J579+J580+J581+J582),0)</f>
        <v>0</v>
      </c>
      <c r="M579" s="633" t="s">
        <v>2217</v>
      </c>
      <c r="N579" s="223"/>
      <c r="O579" s="631">
        <f t="shared" si="50"/>
        <v>0</v>
      </c>
    </row>
    <row r="580" spans="1:15" s="360" customFormat="1" ht="25.5" hidden="1">
      <c r="A580" s="356" t="s">
        <v>1576</v>
      </c>
      <c r="B580" s="632" t="s">
        <v>966</v>
      </c>
      <c r="C580" s="611">
        <f t="shared" si="48"/>
        <v>0</v>
      </c>
      <c r="D580" s="354"/>
      <c r="E580" s="15">
        <f t="shared" si="52"/>
        <v>5830</v>
      </c>
      <c r="F580" s="792">
        <f t="shared" si="51"/>
        <v>0</v>
      </c>
      <c r="G580" s="358">
        <f>'PART-A'!I2706</f>
        <v>0</v>
      </c>
      <c r="H580" s="354" t="s">
        <v>102</v>
      </c>
      <c r="I580" s="355">
        <f>'PART-A'!K2706</f>
        <v>5830</v>
      </c>
      <c r="J580" s="353">
        <f t="shared" si="49"/>
        <v>0</v>
      </c>
      <c r="K580" s="1680"/>
      <c r="L580" s="1680"/>
      <c r="M580" s="633" t="s">
        <v>2299</v>
      </c>
      <c r="N580" s="223"/>
      <c r="O580" s="631">
        <f t="shared" si="50"/>
        <v>0</v>
      </c>
    </row>
    <row r="581" spans="1:15" s="360" customFormat="1" ht="25.5" hidden="1">
      <c r="A581" s="356" t="s">
        <v>1576</v>
      </c>
      <c r="B581" s="632" t="s">
        <v>966</v>
      </c>
      <c r="C581" s="611">
        <f t="shared" si="48"/>
        <v>0</v>
      </c>
      <c r="D581" s="354"/>
      <c r="E581" s="15">
        <f t="shared" si="52"/>
        <v>5830</v>
      </c>
      <c r="F581" s="792">
        <f t="shared" si="51"/>
        <v>0</v>
      </c>
      <c r="G581" s="358">
        <f>'PART-A'!I2840</f>
        <v>0</v>
      </c>
      <c r="H581" s="354" t="s">
        <v>102</v>
      </c>
      <c r="I581" s="355">
        <f>'PART-A'!K2840</f>
        <v>5830</v>
      </c>
      <c r="J581" s="353">
        <f t="shared" si="49"/>
        <v>0</v>
      </c>
      <c r="K581" s="1680"/>
      <c r="L581" s="1680"/>
      <c r="M581" s="633" t="s">
        <v>2312</v>
      </c>
      <c r="N581" s="223"/>
      <c r="O581" s="631">
        <f t="shared" si="50"/>
        <v>0</v>
      </c>
    </row>
    <row r="582" spans="1:15" s="360" customFormat="1" ht="25.5" hidden="1">
      <c r="A582" s="356" t="s">
        <v>1576</v>
      </c>
      <c r="B582" s="632" t="s">
        <v>966</v>
      </c>
      <c r="C582" s="611">
        <f t="shared" si="48"/>
        <v>0</v>
      </c>
      <c r="D582" s="354"/>
      <c r="E582" s="15">
        <f t="shared" si="52"/>
        <v>6238</v>
      </c>
      <c r="F582" s="792">
        <f t="shared" si="51"/>
        <v>0</v>
      </c>
      <c r="G582" s="358">
        <f>'PART-A'!I2974</f>
        <v>0</v>
      </c>
      <c r="H582" s="354" t="s">
        <v>102</v>
      </c>
      <c r="I582" s="355">
        <f>'PART-A'!K2974</f>
        <v>6238</v>
      </c>
      <c r="J582" s="353">
        <f t="shared" si="49"/>
        <v>0</v>
      </c>
      <c r="K582" s="1681"/>
      <c r="L582" s="1681"/>
      <c r="M582" s="633" t="s">
        <v>2313</v>
      </c>
      <c r="N582" s="223"/>
      <c r="O582" s="631">
        <f t="shared" si="50"/>
        <v>0</v>
      </c>
    </row>
    <row r="583" spans="1:15" s="360" customFormat="1" ht="15" hidden="1">
      <c r="A583" s="356"/>
      <c r="B583" s="632" t="s">
        <v>2285</v>
      </c>
      <c r="C583" s="611">
        <f t="shared" si="48"/>
        <v>0</v>
      </c>
      <c r="D583" s="354"/>
      <c r="E583" s="15">
        <f t="shared" si="52"/>
        <v>3797</v>
      </c>
      <c r="F583" s="792">
        <f t="shared" si="51"/>
        <v>0</v>
      </c>
      <c r="G583" s="358">
        <f>'PART-A'!I2573</f>
        <v>0</v>
      </c>
      <c r="H583" s="354" t="s">
        <v>102</v>
      </c>
      <c r="I583" s="355">
        <f>'PART-A'!K2573</f>
        <v>3797</v>
      </c>
      <c r="J583" s="353">
        <f t="shared" si="49"/>
        <v>0</v>
      </c>
      <c r="K583" s="1679">
        <f>IF((J583+J584+J585+J586)&gt;(F583+F584+F585+F586),(J583+J584+J585+J586)-(F583+F584+F585+F586),0)</f>
        <v>0</v>
      </c>
      <c r="L583" s="1679">
        <f>IF((J583+J584+J585+J586)&lt;(F583+F584+F585+F586),(F583+F584+F585+F586)-(J583+J584+J585+J586),0)</f>
        <v>0</v>
      </c>
      <c r="M583" s="633" t="s">
        <v>2217</v>
      </c>
      <c r="N583" s="223"/>
      <c r="O583" s="631">
        <f t="shared" si="50"/>
        <v>0</v>
      </c>
    </row>
    <row r="584" spans="1:15" s="360" customFormat="1" ht="15" hidden="1">
      <c r="A584" s="356"/>
      <c r="B584" s="632" t="s">
        <v>2285</v>
      </c>
      <c r="C584" s="611">
        <f t="shared" si="48"/>
        <v>0</v>
      </c>
      <c r="D584" s="354"/>
      <c r="E584" s="15">
        <f t="shared" si="52"/>
        <v>3797</v>
      </c>
      <c r="F584" s="792">
        <f t="shared" si="51"/>
        <v>0</v>
      </c>
      <c r="G584" s="358">
        <f>'PART-A'!I2711</f>
        <v>0</v>
      </c>
      <c r="H584" s="354" t="s">
        <v>102</v>
      </c>
      <c r="I584" s="355">
        <f>'PART-A'!K2711</f>
        <v>3797</v>
      </c>
      <c r="J584" s="353">
        <f t="shared" si="49"/>
        <v>0</v>
      </c>
      <c r="K584" s="1680"/>
      <c r="L584" s="1680"/>
      <c r="M584" s="633" t="s">
        <v>2299</v>
      </c>
      <c r="N584" s="223"/>
      <c r="O584" s="631">
        <f t="shared" si="50"/>
        <v>0</v>
      </c>
    </row>
    <row r="585" spans="1:15" s="360" customFormat="1" ht="15" hidden="1">
      <c r="A585" s="356"/>
      <c r="B585" s="632" t="s">
        <v>2285</v>
      </c>
      <c r="C585" s="611">
        <f t="shared" si="48"/>
        <v>0</v>
      </c>
      <c r="D585" s="354"/>
      <c r="E585" s="15">
        <f t="shared" si="52"/>
        <v>3797</v>
      </c>
      <c r="F585" s="792">
        <f t="shared" si="51"/>
        <v>0</v>
      </c>
      <c r="G585" s="358">
        <f>'PART-A'!I2845</f>
        <v>0</v>
      </c>
      <c r="H585" s="354" t="s">
        <v>102</v>
      </c>
      <c r="I585" s="355">
        <f>'PART-A'!K2845</f>
        <v>3797</v>
      </c>
      <c r="J585" s="353">
        <f t="shared" si="49"/>
        <v>0</v>
      </c>
      <c r="K585" s="1680"/>
      <c r="L585" s="1680"/>
      <c r="M585" s="633" t="s">
        <v>2312</v>
      </c>
      <c r="N585" s="223"/>
      <c r="O585" s="631">
        <f t="shared" si="50"/>
        <v>0</v>
      </c>
    </row>
    <row r="586" spans="1:15" s="360" customFormat="1" ht="15" hidden="1">
      <c r="A586" s="356"/>
      <c r="B586" s="632" t="s">
        <v>2285</v>
      </c>
      <c r="C586" s="611">
        <f t="shared" ref="C586:C649" si="55">G586</f>
        <v>0</v>
      </c>
      <c r="D586" s="354"/>
      <c r="E586" s="15">
        <f t="shared" si="52"/>
        <v>4062</v>
      </c>
      <c r="F586" s="792">
        <f t="shared" si="51"/>
        <v>0</v>
      </c>
      <c r="G586" s="358">
        <f>'PART-A'!I2979</f>
        <v>0</v>
      </c>
      <c r="H586" s="354" t="s">
        <v>102</v>
      </c>
      <c r="I586" s="355">
        <f>'PART-A'!K2979</f>
        <v>4062</v>
      </c>
      <c r="J586" s="353">
        <f t="shared" ref="J586:J649" si="56">ROUND(G586*I586,2)</f>
        <v>0</v>
      </c>
      <c r="K586" s="1681"/>
      <c r="L586" s="1681"/>
      <c r="M586" s="633" t="s">
        <v>2313</v>
      </c>
      <c r="N586" s="223"/>
      <c r="O586" s="631">
        <f t="shared" si="50"/>
        <v>0</v>
      </c>
    </row>
    <row r="587" spans="1:15" s="360" customFormat="1" ht="15" hidden="1">
      <c r="A587" s="356" t="s">
        <v>1147</v>
      </c>
      <c r="B587" s="632" t="s">
        <v>712</v>
      </c>
      <c r="C587" s="611">
        <f t="shared" si="55"/>
        <v>0</v>
      </c>
      <c r="D587" s="354"/>
      <c r="E587" s="15">
        <f t="shared" si="52"/>
        <v>494.94</v>
      </c>
      <c r="F587" s="792">
        <f t="shared" si="51"/>
        <v>0</v>
      </c>
      <c r="G587" s="358">
        <f>'PART-A'!I2578</f>
        <v>0</v>
      </c>
      <c r="H587" s="354" t="s">
        <v>115</v>
      </c>
      <c r="I587" s="355">
        <f>'PART-A'!K2578</f>
        <v>494.94</v>
      </c>
      <c r="J587" s="353">
        <f t="shared" si="56"/>
        <v>0</v>
      </c>
      <c r="K587" s="1679">
        <f>IF((J587+J588+J589+J590)&gt;(F587+F588+F589+F590),(J587+J588+J589+J590)-(F587+F588+F589+F590),0)</f>
        <v>0</v>
      </c>
      <c r="L587" s="1679">
        <f>IF((J587+J588+J589+J590)&lt;(F587+F588+F589+F590),(F587+F588+F589+F590)-(J587+J588+J589+J590),0)</f>
        <v>0</v>
      </c>
      <c r="M587" s="633" t="s">
        <v>2217</v>
      </c>
      <c r="N587" s="223"/>
      <c r="O587" s="631">
        <f t="shared" si="50"/>
        <v>0</v>
      </c>
    </row>
    <row r="588" spans="1:15" s="360" customFormat="1" ht="15" hidden="1">
      <c r="A588" s="356" t="s">
        <v>1147</v>
      </c>
      <c r="B588" s="632" t="s">
        <v>712</v>
      </c>
      <c r="C588" s="611">
        <f t="shared" si="55"/>
        <v>0</v>
      </c>
      <c r="D588" s="354"/>
      <c r="E588" s="15">
        <f t="shared" si="52"/>
        <v>494.64</v>
      </c>
      <c r="F588" s="792">
        <f t="shared" si="51"/>
        <v>0</v>
      </c>
      <c r="G588" s="358">
        <f>'PART-A'!I2716</f>
        <v>0</v>
      </c>
      <c r="H588" s="354" t="s">
        <v>115</v>
      </c>
      <c r="I588" s="355">
        <f>'PART-A'!K2716</f>
        <v>494.64</v>
      </c>
      <c r="J588" s="353">
        <f t="shared" si="56"/>
        <v>0</v>
      </c>
      <c r="K588" s="1680"/>
      <c r="L588" s="1680"/>
      <c r="M588" s="633" t="s">
        <v>2299</v>
      </c>
      <c r="N588" s="223"/>
      <c r="O588" s="631">
        <f t="shared" si="50"/>
        <v>0</v>
      </c>
    </row>
    <row r="589" spans="1:15" s="360" customFormat="1" ht="15" hidden="1">
      <c r="A589" s="356" t="s">
        <v>1147</v>
      </c>
      <c r="B589" s="632" t="s">
        <v>712</v>
      </c>
      <c r="C589" s="611">
        <f t="shared" si="55"/>
        <v>0</v>
      </c>
      <c r="D589" s="354"/>
      <c r="E589" s="15">
        <f t="shared" si="52"/>
        <v>520.87</v>
      </c>
      <c r="F589" s="792">
        <f t="shared" si="51"/>
        <v>0</v>
      </c>
      <c r="G589" s="358">
        <f>'PART-A'!I2850</f>
        <v>0</v>
      </c>
      <c r="H589" s="354" t="s">
        <v>115</v>
      </c>
      <c r="I589" s="355">
        <f>'PART-A'!K2850</f>
        <v>520.87</v>
      </c>
      <c r="J589" s="353">
        <f t="shared" si="56"/>
        <v>0</v>
      </c>
      <c r="K589" s="1680"/>
      <c r="L589" s="1680"/>
      <c r="M589" s="633" t="s">
        <v>2312</v>
      </c>
      <c r="N589" s="223"/>
      <c r="O589" s="631">
        <f t="shared" ref="O589:O653" si="57">F589-J589</f>
        <v>0</v>
      </c>
    </row>
    <row r="590" spans="1:15" s="360" customFormat="1" ht="15" hidden="1">
      <c r="A590" s="356" t="s">
        <v>1147</v>
      </c>
      <c r="B590" s="632" t="s">
        <v>712</v>
      </c>
      <c r="C590" s="611">
        <f t="shared" si="55"/>
        <v>0</v>
      </c>
      <c r="D590" s="354"/>
      <c r="E590" s="15">
        <f t="shared" si="52"/>
        <v>576.98</v>
      </c>
      <c r="F590" s="792">
        <f t="shared" si="51"/>
        <v>0</v>
      </c>
      <c r="G590" s="358">
        <f>'PART-A'!I2984</f>
        <v>0</v>
      </c>
      <c r="H590" s="354" t="s">
        <v>115</v>
      </c>
      <c r="I590" s="355">
        <f>'PART-A'!K2984</f>
        <v>576.98</v>
      </c>
      <c r="J590" s="353">
        <f t="shared" si="56"/>
        <v>0</v>
      </c>
      <c r="K590" s="1681"/>
      <c r="L590" s="1681"/>
      <c r="M590" s="633" t="s">
        <v>2313</v>
      </c>
      <c r="N590" s="223"/>
      <c r="O590" s="631">
        <f t="shared" si="57"/>
        <v>0</v>
      </c>
    </row>
    <row r="591" spans="1:15" s="360" customFormat="1" ht="15" hidden="1">
      <c r="A591" s="356" t="s">
        <v>1577</v>
      </c>
      <c r="B591" s="632" t="s">
        <v>932</v>
      </c>
      <c r="C591" s="611">
        <f t="shared" si="55"/>
        <v>0</v>
      </c>
      <c r="D591" s="354"/>
      <c r="E591" s="15">
        <f t="shared" si="52"/>
        <v>513.1</v>
      </c>
      <c r="F591" s="792">
        <f t="shared" si="51"/>
        <v>0</v>
      </c>
      <c r="G591" s="358">
        <f>'PART-A'!I2583</f>
        <v>0</v>
      </c>
      <c r="H591" s="354" t="s">
        <v>102</v>
      </c>
      <c r="I591" s="355">
        <f>'PART-A'!K2583</f>
        <v>513.1</v>
      </c>
      <c r="J591" s="353">
        <f t="shared" si="56"/>
        <v>0</v>
      </c>
      <c r="K591" s="1679">
        <f>IF((J591+J592+J593+J594)&gt;(F591+F592+F593+F594),(J591+J592+J593+J594)-(F591+F592+F593+F594),0)</f>
        <v>0</v>
      </c>
      <c r="L591" s="1679">
        <f>IF((J591+J592+J593+J594)&lt;(F591+F592+F593+F594),(F591+F592+F593+F594)-(J591+J592+J593+J594),0)</f>
        <v>0</v>
      </c>
      <c r="M591" s="633" t="s">
        <v>2217</v>
      </c>
      <c r="N591" s="223"/>
      <c r="O591" s="631">
        <f t="shared" si="57"/>
        <v>0</v>
      </c>
    </row>
    <row r="592" spans="1:15" s="360" customFormat="1" ht="15" hidden="1">
      <c r="A592" s="356" t="s">
        <v>1577</v>
      </c>
      <c r="B592" s="632" t="s">
        <v>932</v>
      </c>
      <c r="C592" s="611">
        <f t="shared" si="55"/>
        <v>0</v>
      </c>
      <c r="D592" s="354"/>
      <c r="E592" s="15">
        <f t="shared" si="52"/>
        <v>529.5</v>
      </c>
      <c r="F592" s="792">
        <f t="shared" si="51"/>
        <v>0</v>
      </c>
      <c r="G592" s="358">
        <f>'PART-A'!I2721</f>
        <v>0</v>
      </c>
      <c r="H592" s="354" t="s">
        <v>102</v>
      </c>
      <c r="I592" s="355">
        <f>'PART-A'!K2721</f>
        <v>529.5</v>
      </c>
      <c r="J592" s="353">
        <f t="shared" si="56"/>
        <v>0</v>
      </c>
      <c r="K592" s="1680"/>
      <c r="L592" s="1680"/>
      <c r="M592" s="633" t="s">
        <v>2299</v>
      </c>
      <c r="N592" s="223"/>
      <c r="O592" s="631">
        <f t="shared" si="57"/>
        <v>0</v>
      </c>
    </row>
    <row r="593" spans="1:15" s="360" customFormat="1" ht="15" hidden="1">
      <c r="A593" s="356" t="s">
        <v>1577</v>
      </c>
      <c r="B593" s="632" t="s">
        <v>932</v>
      </c>
      <c r="C593" s="611">
        <f t="shared" si="55"/>
        <v>0</v>
      </c>
      <c r="D593" s="354"/>
      <c r="E593" s="15">
        <f t="shared" si="52"/>
        <v>554.35</v>
      </c>
      <c r="F593" s="792">
        <f t="shared" si="51"/>
        <v>0</v>
      </c>
      <c r="G593" s="358">
        <f>'PART-A'!I2855</f>
        <v>0</v>
      </c>
      <c r="H593" s="354" t="s">
        <v>102</v>
      </c>
      <c r="I593" s="355">
        <f>'PART-A'!K2855</f>
        <v>554.35</v>
      </c>
      <c r="J593" s="353">
        <f t="shared" si="56"/>
        <v>0</v>
      </c>
      <c r="K593" s="1680"/>
      <c r="L593" s="1680"/>
      <c r="M593" s="633" t="s">
        <v>2312</v>
      </c>
      <c r="N593" s="223"/>
      <c r="O593" s="631">
        <f t="shared" si="57"/>
        <v>0</v>
      </c>
    </row>
    <row r="594" spans="1:15" s="360" customFormat="1" ht="15" hidden="1">
      <c r="A594" s="356" t="s">
        <v>1514</v>
      </c>
      <c r="B594" s="632" t="s">
        <v>932</v>
      </c>
      <c r="C594" s="611">
        <f t="shared" si="55"/>
        <v>0</v>
      </c>
      <c r="D594" s="354" t="s">
        <v>102</v>
      </c>
      <c r="E594" s="15">
        <f t="shared" si="52"/>
        <v>604.07999999999993</v>
      </c>
      <c r="F594" s="792">
        <f t="shared" si="51"/>
        <v>0</v>
      </c>
      <c r="G594" s="358">
        <f>'PART-A'!I2990</f>
        <v>0</v>
      </c>
      <c r="H594" s="354" t="s">
        <v>102</v>
      </c>
      <c r="I594" s="355">
        <f>'PART-A'!K2990</f>
        <v>604.07999999999993</v>
      </c>
      <c r="J594" s="353">
        <f t="shared" si="56"/>
        <v>0</v>
      </c>
      <c r="K594" s="1681"/>
      <c r="L594" s="1681"/>
      <c r="M594" s="633" t="s">
        <v>2313</v>
      </c>
      <c r="N594" s="223"/>
      <c r="O594" s="631">
        <f t="shared" si="57"/>
        <v>0</v>
      </c>
    </row>
    <row r="595" spans="1:15" s="360" customFormat="1" ht="51">
      <c r="A595" s="356" t="s">
        <v>488</v>
      </c>
      <c r="B595" s="632" t="s">
        <v>3219</v>
      </c>
      <c r="C595" s="611">
        <f t="shared" si="55"/>
        <v>320</v>
      </c>
      <c r="D595" s="354" t="s">
        <v>872</v>
      </c>
      <c r="E595" s="10">
        <f t="shared" si="52"/>
        <v>84.009999999999991</v>
      </c>
      <c r="F595" s="792">
        <f t="shared" si="51"/>
        <v>26883</v>
      </c>
      <c r="G595" s="358">
        <f>'PART-A'!I2588</f>
        <v>320</v>
      </c>
      <c r="H595" s="354" t="s">
        <v>872</v>
      </c>
      <c r="I595" s="355">
        <f>'PART-A'!K2588</f>
        <v>84.009999999999991</v>
      </c>
      <c r="J595" s="353">
        <f t="shared" si="56"/>
        <v>26883.200000000001</v>
      </c>
      <c r="K595" s="1698">
        <f>IF((J595+J596+J597+J598)&gt;(F595+F596+F597+F598),(J595+J596+J597+J598)-(F595+F596+F597+F598),0)</f>
        <v>0.2000000000007276</v>
      </c>
      <c r="L595" s="1698">
        <f>IF((J595+J596+J597+J598)&lt;(F595+F596+F597+F598),(F595+F596+F597+F598)-(J595+J596+J597+J598),0)</f>
        <v>0</v>
      </c>
      <c r="M595" s="851" t="s">
        <v>2217</v>
      </c>
      <c r="N595" s="223"/>
      <c r="O595" s="850">
        <f t="shared" si="57"/>
        <v>-0.2000000000007276</v>
      </c>
    </row>
    <row r="596" spans="1:15" s="360" customFormat="1" ht="15" hidden="1">
      <c r="A596" s="356" t="s">
        <v>1519</v>
      </c>
      <c r="B596" s="632" t="s">
        <v>542</v>
      </c>
      <c r="C596" s="611">
        <f t="shared" si="55"/>
        <v>0</v>
      </c>
      <c r="D596" s="354" t="s">
        <v>872</v>
      </c>
      <c r="E596" s="15">
        <f t="shared" si="52"/>
        <v>82.8</v>
      </c>
      <c r="F596" s="792">
        <f t="shared" si="51"/>
        <v>0</v>
      </c>
      <c r="G596" s="358">
        <f>'PART-A'!I2726</f>
        <v>0</v>
      </c>
      <c r="H596" s="354" t="s">
        <v>872</v>
      </c>
      <c r="I596" s="355">
        <f>'PART-A'!K2726</f>
        <v>82.8</v>
      </c>
      <c r="J596" s="353">
        <f t="shared" si="56"/>
        <v>0</v>
      </c>
      <c r="K596" s="1680"/>
      <c r="L596" s="1680"/>
      <c r="M596" s="633" t="s">
        <v>2299</v>
      </c>
      <c r="N596" s="223"/>
      <c r="O596" s="631">
        <f t="shared" si="57"/>
        <v>0</v>
      </c>
    </row>
    <row r="597" spans="1:15" s="360" customFormat="1" ht="15" hidden="1">
      <c r="A597" s="356" t="s">
        <v>533</v>
      </c>
      <c r="B597" s="632" t="s">
        <v>542</v>
      </c>
      <c r="C597" s="611">
        <f t="shared" si="55"/>
        <v>0</v>
      </c>
      <c r="D597" s="354"/>
      <c r="E597" s="15">
        <f t="shared" si="52"/>
        <v>95.89</v>
      </c>
      <c r="F597" s="792">
        <f t="shared" si="51"/>
        <v>0</v>
      </c>
      <c r="G597" s="358">
        <f>'PART-A'!I2861</f>
        <v>0</v>
      </c>
      <c r="H597" s="354" t="s">
        <v>872</v>
      </c>
      <c r="I597" s="355">
        <f>'PART-A'!K2861</f>
        <v>95.89</v>
      </c>
      <c r="J597" s="353">
        <f t="shared" si="56"/>
        <v>0</v>
      </c>
      <c r="K597" s="1680"/>
      <c r="L597" s="1680"/>
      <c r="M597" s="633" t="s">
        <v>2312</v>
      </c>
      <c r="N597" s="223"/>
      <c r="O597" s="631">
        <f t="shared" si="57"/>
        <v>0</v>
      </c>
    </row>
    <row r="598" spans="1:15" s="360" customFormat="1" ht="51" hidden="1">
      <c r="A598" s="356" t="s">
        <v>485</v>
      </c>
      <c r="B598" s="632" t="s">
        <v>3219</v>
      </c>
      <c r="C598" s="611">
        <f t="shared" si="55"/>
        <v>0</v>
      </c>
      <c r="D598" s="354" t="s">
        <v>872</v>
      </c>
      <c r="E598" s="10">
        <f t="shared" si="52"/>
        <v>110.99</v>
      </c>
      <c r="F598" s="792">
        <f t="shared" si="51"/>
        <v>0</v>
      </c>
      <c r="G598" s="358">
        <f>'PART-A'!I2995</f>
        <v>0</v>
      </c>
      <c r="H598" s="354" t="s">
        <v>872</v>
      </c>
      <c r="I598" s="355">
        <f>'PART-A'!K2995</f>
        <v>110.99</v>
      </c>
      <c r="J598" s="353">
        <f t="shared" si="56"/>
        <v>0</v>
      </c>
      <c r="K598" s="1695"/>
      <c r="L598" s="1695"/>
      <c r="M598" s="851" t="s">
        <v>2313</v>
      </c>
      <c r="N598" s="223"/>
      <c r="O598" s="850">
        <f t="shared" si="57"/>
        <v>0</v>
      </c>
    </row>
    <row r="599" spans="1:15" s="360" customFormat="1" ht="15" hidden="1">
      <c r="A599" s="356" t="s">
        <v>1591</v>
      </c>
      <c r="B599" s="632" t="s">
        <v>542</v>
      </c>
      <c r="C599" s="611">
        <f t="shared" si="55"/>
        <v>0</v>
      </c>
      <c r="D599" s="354"/>
      <c r="E599" s="15">
        <f t="shared" si="52"/>
        <v>2353.58</v>
      </c>
      <c r="F599" s="792">
        <f t="shared" si="51"/>
        <v>0</v>
      </c>
      <c r="G599" s="358">
        <f>'PART-A'!I2595</f>
        <v>0</v>
      </c>
      <c r="H599" s="354" t="s">
        <v>102</v>
      </c>
      <c r="I599" s="355">
        <f>'PART-A'!K2595</f>
        <v>2353.58</v>
      </c>
      <c r="J599" s="353">
        <f t="shared" si="56"/>
        <v>0</v>
      </c>
      <c r="K599" s="1679">
        <f>IF((J599+J600+J601+J602)&gt;(F599+F600+F601+F602),(J599+J600+J601+J602)-(F599+F600+F601+F602),0)</f>
        <v>0</v>
      </c>
      <c r="L599" s="1679">
        <f>IF((J599+J600+J601+J602)&lt;(F599+F600+F601+F602),(F599+F600+F601+F602)-(J599+J600+J601+J602),0)</f>
        <v>0</v>
      </c>
      <c r="M599" s="633" t="s">
        <v>2217</v>
      </c>
      <c r="N599" s="223"/>
      <c r="O599" s="631">
        <f t="shared" si="57"/>
        <v>0</v>
      </c>
    </row>
    <row r="600" spans="1:15" s="360" customFormat="1" ht="15" hidden="1">
      <c r="A600" s="356" t="s">
        <v>492</v>
      </c>
      <c r="B600" s="632" t="s">
        <v>542</v>
      </c>
      <c r="C600" s="611">
        <f t="shared" si="55"/>
        <v>0</v>
      </c>
      <c r="D600" s="354"/>
      <c r="E600" s="15">
        <f t="shared" si="52"/>
        <v>2324.02</v>
      </c>
      <c r="F600" s="792">
        <f t="shared" si="51"/>
        <v>0</v>
      </c>
      <c r="G600" s="358">
        <f>'PART-A'!I2731</f>
        <v>0</v>
      </c>
      <c r="H600" s="354" t="s">
        <v>102</v>
      </c>
      <c r="I600" s="355">
        <f>'PART-A'!K2731</f>
        <v>2324.02</v>
      </c>
      <c r="J600" s="353">
        <f t="shared" si="56"/>
        <v>0</v>
      </c>
      <c r="K600" s="1680"/>
      <c r="L600" s="1680"/>
      <c r="M600" s="633" t="s">
        <v>2299</v>
      </c>
      <c r="N600" s="223"/>
      <c r="O600" s="631">
        <f t="shared" si="57"/>
        <v>0</v>
      </c>
    </row>
    <row r="601" spans="1:15" s="360" customFormat="1" ht="15" hidden="1">
      <c r="A601" s="356" t="s">
        <v>1520</v>
      </c>
      <c r="B601" s="632" t="s">
        <v>542</v>
      </c>
      <c r="C601" s="611">
        <f t="shared" si="55"/>
        <v>0</v>
      </c>
      <c r="D601" s="354"/>
      <c r="E601" s="15">
        <f t="shared" si="52"/>
        <v>2719.44</v>
      </c>
      <c r="F601" s="792">
        <f t="shared" si="51"/>
        <v>0</v>
      </c>
      <c r="G601" s="358">
        <f>'PART-A'!I2866</f>
        <v>0</v>
      </c>
      <c r="H601" s="354" t="s">
        <v>102</v>
      </c>
      <c r="I601" s="355">
        <f>'PART-A'!K2866</f>
        <v>2719.44</v>
      </c>
      <c r="J601" s="353">
        <f t="shared" si="56"/>
        <v>0</v>
      </c>
      <c r="K601" s="1680"/>
      <c r="L601" s="1680"/>
      <c r="M601" s="633" t="s">
        <v>2312</v>
      </c>
      <c r="N601" s="223"/>
      <c r="O601" s="631">
        <f t="shared" si="57"/>
        <v>0</v>
      </c>
    </row>
    <row r="602" spans="1:15" s="360" customFormat="1" ht="15" hidden="1">
      <c r="A602" s="356" t="s">
        <v>1591</v>
      </c>
      <c r="B602" s="632" t="s">
        <v>542</v>
      </c>
      <c r="C602" s="611">
        <f t="shared" si="55"/>
        <v>0</v>
      </c>
      <c r="D602" s="354"/>
      <c r="E602" s="15">
        <f t="shared" si="52"/>
        <v>3138.49</v>
      </c>
      <c r="F602" s="792">
        <f t="shared" si="51"/>
        <v>0</v>
      </c>
      <c r="G602" s="358">
        <f>'PART-A'!I3002</f>
        <v>0</v>
      </c>
      <c r="H602" s="354" t="s">
        <v>102</v>
      </c>
      <c r="I602" s="355">
        <f>'PART-A'!K3002</f>
        <v>3138.49</v>
      </c>
      <c r="J602" s="353">
        <f t="shared" si="56"/>
        <v>0</v>
      </c>
      <c r="K602" s="1681"/>
      <c r="L602" s="1681"/>
      <c r="M602" s="633" t="s">
        <v>2313</v>
      </c>
      <c r="N602" s="223"/>
      <c r="O602" s="631">
        <f t="shared" si="57"/>
        <v>0</v>
      </c>
    </row>
    <row r="603" spans="1:15" s="360" customFormat="1" ht="15" hidden="1">
      <c r="A603" s="356" t="s">
        <v>518</v>
      </c>
      <c r="B603" s="632" t="s">
        <v>632</v>
      </c>
      <c r="C603" s="611">
        <f t="shared" si="55"/>
        <v>0</v>
      </c>
      <c r="D603" s="354"/>
      <c r="E603" s="15">
        <f t="shared" si="52"/>
        <v>106.5</v>
      </c>
      <c r="F603" s="792">
        <f t="shared" si="51"/>
        <v>0</v>
      </c>
      <c r="G603" s="358">
        <f>'PART-A'!I2600</f>
        <v>0</v>
      </c>
      <c r="H603" s="354"/>
      <c r="I603" s="355">
        <f>'PART-A'!K2600</f>
        <v>106.5</v>
      </c>
      <c r="J603" s="353">
        <f t="shared" si="56"/>
        <v>0</v>
      </c>
      <c r="K603" s="1679">
        <f>IF((J603+J604+J605+J606)&gt;(F603+F604+F605+F606),(J603+J604+J605+J606)-(F603+F604+F605+F606),0)</f>
        <v>0</v>
      </c>
      <c r="L603" s="1679">
        <f>IF((J603+J604+J605+J606)&lt;(F603+F604+F605+F606),(F603+F604+F605+F606)-(J603+J604+J605+J606),0)</f>
        <v>0</v>
      </c>
      <c r="M603" s="633" t="s">
        <v>2217</v>
      </c>
      <c r="N603" s="223"/>
      <c r="O603" s="631">
        <f t="shared" si="57"/>
        <v>0</v>
      </c>
    </row>
    <row r="604" spans="1:15" s="360" customFormat="1" ht="15" hidden="1">
      <c r="A604" s="356" t="s">
        <v>518</v>
      </c>
      <c r="B604" s="632" t="s">
        <v>632</v>
      </c>
      <c r="C604" s="611">
        <f t="shared" si="55"/>
        <v>0</v>
      </c>
      <c r="D604" s="354"/>
      <c r="E604" s="15">
        <f t="shared" si="52"/>
        <v>106.5</v>
      </c>
      <c r="F604" s="792">
        <f t="shared" si="51"/>
        <v>0</v>
      </c>
      <c r="G604" s="358">
        <f>'PART-A'!I2736</f>
        <v>0</v>
      </c>
      <c r="H604" s="354"/>
      <c r="I604" s="355">
        <f>'PART-A'!K2736</f>
        <v>106.5</v>
      </c>
      <c r="J604" s="353">
        <f t="shared" si="56"/>
        <v>0</v>
      </c>
      <c r="K604" s="1680"/>
      <c r="L604" s="1680"/>
      <c r="M604" s="633" t="s">
        <v>2299</v>
      </c>
      <c r="N604" s="223"/>
      <c r="O604" s="631">
        <f t="shared" si="57"/>
        <v>0</v>
      </c>
    </row>
    <row r="605" spans="1:15" s="360" customFormat="1" ht="15" hidden="1">
      <c r="A605" s="356" t="s">
        <v>518</v>
      </c>
      <c r="B605" s="632" t="s">
        <v>632</v>
      </c>
      <c r="C605" s="611">
        <f t="shared" si="55"/>
        <v>0</v>
      </c>
      <c r="D605" s="354"/>
      <c r="E605" s="15">
        <f t="shared" si="52"/>
        <v>114.65</v>
      </c>
      <c r="F605" s="792">
        <f t="shared" si="51"/>
        <v>0</v>
      </c>
      <c r="G605" s="358">
        <f>'PART-A'!I2871</f>
        <v>0</v>
      </c>
      <c r="H605" s="354"/>
      <c r="I605" s="355">
        <f>'PART-A'!K2871</f>
        <v>114.65</v>
      </c>
      <c r="J605" s="353">
        <f t="shared" si="56"/>
        <v>0</v>
      </c>
      <c r="K605" s="1680"/>
      <c r="L605" s="1680"/>
      <c r="M605" s="633" t="s">
        <v>2312</v>
      </c>
      <c r="N605" s="223"/>
      <c r="O605" s="631">
        <f t="shared" si="57"/>
        <v>0</v>
      </c>
    </row>
    <row r="606" spans="1:15" s="360" customFormat="1" ht="15" hidden="1">
      <c r="A606" s="356" t="s">
        <v>518</v>
      </c>
      <c r="B606" s="632" t="s">
        <v>632</v>
      </c>
      <c r="C606" s="611">
        <f t="shared" si="55"/>
        <v>0</v>
      </c>
      <c r="D606" s="354"/>
      <c r="E606" s="15">
        <f t="shared" si="52"/>
        <v>126.9</v>
      </c>
      <c r="F606" s="792">
        <f t="shared" si="51"/>
        <v>0</v>
      </c>
      <c r="G606" s="358">
        <f>'PART-A'!I3007</f>
        <v>0</v>
      </c>
      <c r="H606" s="354"/>
      <c r="I606" s="355">
        <f>'PART-A'!K3007</f>
        <v>126.9</v>
      </c>
      <c r="J606" s="353">
        <f t="shared" si="56"/>
        <v>0</v>
      </c>
      <c r="K606" s="1681"/>
      <c r="L606" s="1681"/>
      <c r="M606" s="633" t="s">
        <v>2313</v>
      </c>
      <c r="N606" s="223"/>
      <c r="O606" s="631">
        <f t="shared" si="57"/>
        <v>0</v>
      </c>
    </row>
    <row r="607" spans="1:15" s="360" customFormat="1" ht="15" hidden="1">
      <c r="A607" s="356" t="s">
        <v>1592</v>
      </c>
      <c r="B607" s="632" t="s">
        <v>2001</v>
      </c>
      <c r="C607" s="611">
        <f t="shared" si="55"/>
        <v>0</v>
      </c>
      <c r="D607" s="354"/>
      <c r="E607" s="15">
        <f t="shared" si="52"/>
        <v>2839.34</v>
      </c>
      <c r="F607" s="792">
        <f t="shared" si="51"/>
        <v>0</v>
      </c>
      <c r="G607" s="358">
        <f>'PART-A'!I2605</f>
        <v>0</v>
      </c>
      <c r="H607" s="354" t="s">
        <v>102</v>
      </c>
      <c r="I607" s="355">
        <f>'PART-A'!K2605</f>
        <v>2839.34</v>
      </c>
      <c r="J607" s="353">
        <f t="shared" si="56"/>
        <v>0</v>
      </c>
      <c r="K607" s="1679">
        <f>IF((J607+J608+J609+J610)&gt;(F607+F608+F609+F610),(J607+J608+J609+J610)-(F607+F608+F609+F610),0)</f>
        <v>0</v>
      </c>
      <c r="L607" s="1679">
        <f>IF((J607+J608+J609+J610)&lt;(F607+F608+F609+F610),(F607+F608+F609+F610)-(J607+J608+J609+J610),0)</f>
        <v>0</v>
      </c>
      <c r="M607" s="633" t="s">
        <v>2217</v>
      </c>
      <c r="N607" s="223"/>
      <c r="O607" s="631">
        <f t="shared" si="57"/>
        <v>0</v>
      </c>
    </row>
    <row r="608" spans="1:15" s="360" customFormat="1" ht="15" hidden="1">
      <c r="A608" s="356" t="s">
        <v>1153</v>
      </c>
      <c r="B608" s="632" t="s">
        <v>2001</v>
      </c>
      <c r="C608" s="611">
        <f t="shared" si="55"/>
        <v>0</v>
      </c>
      <c r="D608" s="354"/>
      <c r="E608" s="15">
        <f t="shared" si="52"/>
        <v>2839.34</v>
      </c>
      <c r="F608" s="792">
        <f t="shared" si="51"/>
        <v>0</v>
      </c>
      <c r="G608" s="358">
        <f>'PART-A'!I2743</f>
        <v>0</v>
      </c>
      <c r="H608" s="354" t="s">
        <v>102</v>
      </c>
      <c r="I608" s="355">
        <f>'PART-A'!K2743</f>
        <v>2839.34</v>
      </c>
      <c r="J608" s="353">
        <f t="shared" si="56"/>
        <v>0</v>
      </c>
      <c r="K608" s="1680"/>
      <c r="L608" s="1680"/>
      <c r="M608" s="633" t="s">
        <v>2299</v>
      </c>
      <c r="N608" s="223"/>
      <c r="O608" s="631">
        <f t="shared" si="57"/>
        <v>0</v>
      </c>
    </row>
    <row r="609" spans="1:15" s="360" customFormat="1" ht="15" hidden="1">
      <c r="A609" s="356" t="s">
        <v>1592</v>
      </c>
      <c r="B609" s="632" t="s">
        <v>2001</v>
      </c>
      <c r="C609" s="611">
        <f t="shared" si="55"/>
        <v>0</v>
      </c>
      <c r="D609" s="354"/>
      <c r="E609" s="15">
        <f t="shared" si="52"/>
        <v>3034.69</v>
      </c>
      <c r="F609" s="792">
        <f t="shared" si="51"/>
        <v>0</v>
      </c>
      <c r="G609" s="358">
        <f>'PART-A'!I2876</f>
        <v>0</v>
      </c>
      <c r="H609" s="354" t="s">
        <v>102</v>
      </c>
      <c r="I609" s="355">
        <f>'PART-A'!K2876</f>
        <v>3034.69</v>
      </c>
      <c r="J609" s="353">
        <f t="shared" si="56"/>
        <v>0</v>
      </c>
      <c r="K609" s="1680"/>
      <c r="L609" s="1680"/>
      <c r="M609" s="633" t="s">
        <v>2312</v>
      </c>
      <c r="N609" s="223"/>
      <c r="O609" s="631">
        <f t="shared" si="57"/>
        <v>0</v>
      </c>
    </row>
    <row r="610" spans="1:15" s="360" customFormat="1" ht="38.25" hidden="1">
      <c r="A610" s="356" t="s">
        <v>524</v>
      </c>
      <c r="B610" s="632" t="s">
        <v>3220</v>
      </c>
      <c r="C610" s="611">
        <f t="shared" si="55"/>
        <v>0</v>
      </c>
      <c r="D610" s="354"/>
      <c r="E610" s="10">
        <f t="shared" si="52"/>
        <v>3345.94</v>
      </c>
      <c r="F610" s="792">
        <f t="shared" si="51"/>
        <v>0</v>
      </c>
      <c r="G610" s="358">
        <f>'PART-A'!I3017</f>
        <v>0</v>
      </c>
      <c r="H610" s="354" t="s">
        <v>102</v>
      </c>
      <c r="I610" s="355">
        <f>'PART-A'!K3017</f>
        <v>3345.94</v>
      </c>
      <c r="J610" s="353">
        <f t="shared" si="56"/>
        <v>0</v>
      </c>
      <c r="K610" s="1695"/>
      <c r="L610" s="1695"/>
      <c r="M610" s="851" t="s">
        <v>2313</v>
      </c>
      <c r="N610" s="223"/>
      <c r="O610" s="850">
        <f t="shared" si="57"/>
        <v>0</v>
      </c>
    </row>
    <row r="611" spans="1:15" s="360" customFormat="1" ht="15" hidden="1">
      <c r="A611" s="356" t="s">
        <v>642</v>
      </c>
      <c r="B611" s="632" t="s">
        <v>2076</v>
      </c>
      <c r="C611" s="611">
        <f t="shared" si="55"/>
        <v>0</v>
      </c>
      <c r="D611" s="354"/>
      <c r="E611" s="15">
        <f t="shared" si="52"/>
        <v>1258.8900000000001</v>
      </c>
      <c r="F611" s="792">
        <f t="shared" si="51"/>
        <v>0</v>
      </c>
      <c r="G611" s="358">
        <f>'PART-A'!I2613</f>
        <v>0</v>
      </c>
      <c r="H611" s="354" t="s">
        <v>102</v>
      </c>
      <c r="I611" s="355">
        <f>'PART-A'!K2613</f>
        <v>1258.8900000000001</v>
      </c>
      <c r="J611" s="353">
        <f t="shared" si="56"/>
        <v>0</v>
      </c>
      <c r="K611" s="1679">
        <f>IF((J611+J612+J613+J614)&gt;(F611+F612+F613+F614),(J611+J612+J613+J614)-(F611+F612+F613+F614),0)</f>
        <v>0</v>
      </c>
      <c r="L611" s="1679">
        <f>IF((J611+J612+J613+J614)&lt;(F611+F612+F613+F614),(F611+F612+F613+F614)-(J611+J612+J613+J614),0)</f>
        <v>0</v>
      </c>
      <c r="M611" s="633" t="s">
        <v>2217</v>
      </c>
      <c r="N611" s="223"/>
      <c r="O611" s="631">
        <f t="shared" si="57"/>
        <v>0</v>
      </c>
    </row>
    <row r="612" spans="1:15" s="360" customFormat="1" ht="15" hidden="1">
      <c r="A612" s="356" t="s">
        <v>642</v>
      </c>
      <c r="B612" s="632" t="s">
        <v>2076</v>
      </c>
      <c r="C612" s="611">
        <f t="shared" si="55"/>
        <v>0</v>
      </c>
      <c r="D612" s="354"/>
      <c r="E612" s="15">
        <f t="shared" si="52"/>
        <v>1258.8900000000001</v>
      </c>
      <c r="F612" s="792">
        <f t="shared" si="51"/>
        <v>0</v>
      </c>
      <c r="G612" s="358">
        <f>'PART-A'!I2751</f>
        <v>0</v>
      </c>
      <c r="H612" s="354" t="s">
        <v>102</v>
      </c>
      <c r="I612" s="355">
        <f>'PART-A'!K2751</f>
        <v>1258.8900000000001</v>
      </c>
      <c r="J612" s="353">
        <f t="shared" si="56"/>
        <v>0</v>
      </c>
      <c r="K612" s="1680"/>
      <c r="L612" s="1680"/>
      <c r="M612" s="633" t="s">
        <v>2299</v>
      </c>
      <c r="N612" s="223"/>
      <c r="O612" s="631">
        <f t="shared" si="57"/>
        <v>0</v>
      </c>
    </row>
    <row r="613" spans="1:15" s="360" customFormat="1" ht="15" hidden="1">
      <c r="A613" s="356" t="s">
        <v>642</v>
      </c>
      <c r="B613" s="632" t="s">
        <v>2076</v>
      </c>
      <c r="C613" s="611">
        <f t="shared" si="55"/>
        <v>0</v>
      </c>
      <c r="D613" s="354"/>
      <c r="E613" s="15">
        <f t="shared" si="52"/>
        <v>1357.37</v>
      </c>
      <c r="F613" s="792">
        <f t="shared" si="51"/>
        <v>0</v>
      </c>
      <c r="G613" s="358">
        <f>'PART-A'!I2884</f>
        <v>0</v>
      </c>
      <c r="H613" s="354" t="s">
        <v>102</v>
      </c>
      <c r="I613" s="355">
        <f>'PART-A'!K2884</f>
        <v>1357.37</v>
      </c>
      <c r="J613" s="353">
        <f t="shared" si="56"/>
        <v>0</v>
      </c>
      <c r="K613" s="1680"/>
      <c r="L613" s="1680"/>
      <c r="M613" s="633" t="s">
        <v>2312</v>
      </c>
      <c r="N613" s="223"/>
      <c r="O613" s="631">
        <f t="shared" si="57"/>
        <v>0</v>
      </c>
    </row>
    <row r="614" spans="1:15" s="360" customFormat="1" ht="15" hidden="1">
      <c r="A614" s="356" t="s">
        <v>642</v>
      </c>
      <c r="B614" s="632" t="s">
        <v>2076</v>
      </c>
      <c r="C614" s="611">
        <f t="shared" si="55"/>
        <v>0</v>
      </c>
      <c r="D614" s="354"/>
      <c r="E614" s="15">
        <f t="shared" si="52"/>
        <v>1514.34</v>
      </c>
      <c r="F614" s="792">
        <f t="shared" si="51"/>
        <v>0</v>
      </c>
      <c r="G614" s="358">
        <f>'PART-A'!I3025</f>
        <v>0</v>
      </c>
      <c r="H614" s="354" t="s">
        <v>102</v>
      </c>
      <c r="I614" s="355">
        <f>'PART-A'!K3025</f>
        <v>1514.34</v>
      </c>
      <c r="J614" s="353">
        <f t="shared" si="56"/>
        <v>0</v>
      </c>
      <c r="K614" s="1681"/>
      <c r="L614" s="1681"/>
      <c r="M614" s="633" t="s">
        <v>2313</v>
      </c>
      <c r="N614" s="223"/>
      <c r="O614" s="631">
        <f t="shared" si="57"/>
        <v>0</v>
      </c>
    </row>
    <row r="615" spans="1:15" s="360" customFormat="1" ht="15" hidden="1">
      <c r="A615" s="356" t="s">
        <v>642</v>
      </c>
      <c r="B615" s="632" t="s">
        <v>2288</v>
      </c>
      <c r="C615" s="611">
        <f t="shared" si="55"/>
        <v>0</v>
      </c>
      <c r="D615" s="354"/>
      <c r="E615" s="15">
        <f t="shared" si="52"/>
        <v>470.28</v>
      </c>
      <c r="F615" s="792">
        <f t="shared" si="51"/>
        <v>0</v>
      </c>
      <c r="G615" s="358">
        <f>'PART-A'!I2618</f>
        <v>0</v>
      </c>
      <c r="H615" s="354" t="s">
        <v>872</v>
      </c>
      <c r="I615" s="355">
        <f>'PART-A'!K2618</f>
        <v>470.28</v>
      </c>
      <c r="J615" s="353">
        <f t="shared" si="56"/>
        <v>0</v>
      </c>
      <c r="K615" s="1679">
        <f>IF((J615+J616+J617+J618)&gt;(F615+F616+F617+F618),(J615+J616+J617+J618)-(F615+F616+F617+F618),0)</f>
        <v>0</v>
      </c>
      <c r="L615" s="1679">
        <f>IF((J615+J616+J617+J618)&lt;(F615+F616+F617+F618),(F615+F616+F617+F618)-(J615+J616+J617+J618),0)</f>
        <v>0</v>
      </c>
      <c r="M615" s="633" t="s">
        <v>2217</v>
      </c>
      <c r="N615" s="223"/>
      <c r="O615" s="631">
        <f t="shared" si="57"/>
        <v>0</v>
      </c>
    </row>
    <row r="616" spans="1:15" s="360" customFormat="1" ht="15" hidden="1">
      <c r="A616" s="356" t="s">
        <v>642</v>
      </c>
      <c r="B616" s="632" t="s">
        <v>2288</v>
      </c>
      <c r="C616" s="611">
        <f t="shared" si="55"/>
        <v>0</v>
      </c>
      <c r="D616" s="354"/>
      <c r="E616" s="15">
        <f t="shared" si="52"/>
        <v>470.28</v>
      </c>
      <c r="F616" s="792">
        <f t="shared" si="51"/>
        <v>0</v>
      </c>
      <c r="G616" s="358">
        <f>'PART-A'!I2756</f>
        <v>0</v>
      </c>
      <c r="H616" s="354" t="s">
        <v>872</v>
      </c>
      <c r="I616" s="355">
        <f>'PART-A'!K2756</f>
        <v>470.28</v>
      </c>
      <c r="J616" s="353">
        <f t="shared" si="56"/>
        <v>0</v>
      </c>
      <c r="K616" s="1680"/>
      <c r="L616" s="1680"/>
      <c r="M616" s="633" t="s">
        <v>2299</v>
      </c>
      <c r="N616" s="223"/>
      <c r="O616" s="631">
        <f t="shared" si="57"/>
        <v>0</v>
      </c>
    </row>
    <row r="617" spans="1:15" s="360" customFormat="1" ht="15" hidden="1">
      <c r="A617" s="356" t="s">
        <v>642</v>
      </c>
      <c r="B617" s="632" t="s">
        <v>2288</v>
      </c>
      <c r="C617" s="611">
        <f t="shared" si="55"/>
        <v>0</v>
      </c>
      <c r="D617" s="354"/>
      <c r="E617" s="15">
        <f t="shared" si="52"/>
        <v>508</v>
      </c>
      <c r="F617" s="792">
        <f t="shared" si="51"/>
        <v>0</v>
      </c>
      <c r="G617" s="358">
        <f>'PART-A'!I2889</f>
        <v>0</v>
      </c>
      <c r="H617" s="354" t="s">
        <v>872</v>
      </c>
      <c r="I617" s="355">
        <f>'PART-A'!K2889</f>
        <v>508</v>
      </c>
      <c r="J617" s="353">
        <f t="shared" si="56"/>
        <v>0</v>
      </c>
      <c r="K617" s="1680"/>
      <c r="L617" s="1680"/>
      <c r="M617" s="633" t="s">
        <v>2312</v>
      </c>
      <c r="N617" s="223"/>
      <c r="O617" s="631">
        <f t="shared" si="57"/>
        <v>0</v>
      </c>
    </row>
    <row r="618" spans="1:15" s="360" customFormat="1" ht="15" hidden="1">
      <c r="A618" s="356" t="s">
        <v>642</v>
      </c>
      <c r="B618" s="632" t="s">
        <v>2288</v>
      </c>
      <c r="C618" s="611">
        <f t="shared" si="55"/>
        <v>0</v>
      </c>
      <c r="D618" s="354"/>
      <c r="E618" s="15">
        <f t="shared" si="52"/>
        <v>568.35</v>
      </c>
      <c r="F618" s="792">
        <f t="shared" si="51"/>
        <v>0</v>
      </c>
      <c r="G618" s="358">
        <f>'PART-A'!I3030</f>
        <v>0</v>
      </c>
      <c r="H618" s="354" t="s">
        <v>872</v>
      </c>
      <c r="I618" s="355">
        <f>'PART-A'!K3030</f>
        <v>568.35</v>
      </c>
      <c r="J618" s="353">
        <f t="shared" si="56"/>
        <v>0</v>
      </c>
      <c r="K618" s="1681"/>
      <c r="L618" s="1681"/>
      <c r="M618" s="633" t="s">
        <v>2313</v>
      </c>
      <c r="N618" s="223"/>
      <c r="O618" s="631">
        <f t="shared" si="57"/>
        <v>0</v>
      </c>
    </row>
    <row r="619" spans="1:15" s="360" customFormat="1" ht="15" hidden="1">
      <c r="A619" s="356" t="s">
        <v>1151</v>
      </c>
      <c r="B619" s="632" t="s">
        <v>962</v>
      </c>
      <c r="C619" s="611">
        <f t="shared" si="55"/>
        <v>0</v>
      </c>
      <c r="D619" s="221"/>
      <c r="E619" s="15">
        <f t="shared" si="52"/>
        <v>412</v>
      </c>
      <c r="F619" s="792">
        <f t="shared" si="51"/>
        <v>0</v>
      </c>
      <c r="G619" s="429">
        <f>'PART-A'!I2626</f>
        <v>0</v>
      </c>
      <c r="H619" s="221" t="s">
        <v>277</v>
      </c>
      <c r="I619" s="430">
        <f>'PART-A'!K2626</f>
        <v>412</v>
      </c>
      <c r="J619" s="353">
        <f t="shared" si="56"/>
        <v>0</v>
      </c>
      <c r="K619" s="1679">
        <f>IF((J619+J620+J621+J622)&gt;(F619+F620+F621+F622),(J619+J620+J621+J622)-(F619+F620+F621+F622),0)</f>
        <v>0</v>
      </c>
      <c r="L619" s="1679">
        <f>IF((J619+J620+J621+J622)&lt;(F619+F620+F621+F622),(F619+F620+F621+F622)-(J619+J620+J621+J622),0)</f>
        <v>0</v>
      </c>
      <c r="M619" s="633" t="s">
        <v>2217</v>
      </c>
      <c r="N619" s="223"/>
      <c r="O619" s="631">
        <f t="shared" si="57"/>
        <v>0</v>
      </c>
    </row>
    <row r="620" spans="1:15" s="360" customFormat="1" ht="15" hidden="1">
      <c r="A620" s="356" t="s">
        <v>1151</v>
      </c>
      <c r="B620" s="632" t="s">
        <v>962</v>
      </c>
      <c r="C620" s="611">
        <f t="shared" si="55"/>
        <v>0</v>
      </c>
      <c r="D620" s="221"/>
      <c r="E620" s="15">
        <f t="shared" si="52"/>
        <v>412</v>
      </c>
      <c r="F620" s="792">
        <f t="shared" si="51"/>
        <v>0</v>
      </c>
      <c r="G620" s="429">
        <f>'PART-A'!I2764</f>
        <v>0</v>
      </c>
      <c r="H620" s="221" t="s">
        <v>277</v>
      </c>
      <c r="I620" s="430">
        <f>'PART-A'!K2764</f>
        <v>412</v>
      </c>
      <c r="J620" s="353">
        <f t="shared" si="56"/>
        <v>0</v>
      </c>
      <c r="K620" s="1680"/>
      <c r="L620" s="1680"/>
      <c r="M620" s="633" t="s">
        <v>2299</v>
      </c>
      <c r="N620" s="223"/>
      <c r="O620" s="631">
        <f t="shared" si="57"/>
        <v>0</v>
      </c>
    </row>
    <row r="621" spans="1:15" s="360" customFormat="1" ht="15" hidden="1">
      <c r="A621" s="356" t="s">
        <v>1151</v>
      </c>
      <c r="B621" s="632" t="s">
        <v>962</v>
      </c>
      <c r="C621" s="611">
        <f t="shared" si="55"/>
        <v>0</v>
      </c>
      <c r="D621" s="221"/>
      <c r="E621" s="15">
        <f t="shared" si="52"/>
        <v>438</v>
      </c>
      <c r="F621" s="792">
        <f t="shared" si="51"/>
        <v>0</v>
      </c>
      <c r="G621" s="429">
        <f>'PART-A'!I2897</f>
        <v>0</v>
      </c>
      <c r="H621" s="221" t="s">
        <v>277</v>
      </c>
      <c r="I621" s="430">
        <f>'PART-A'!K2897</f>
        <v>438</v>
      </c>
      <c r="J621" s="353">
        <f t="shared" si="56"/>
        <v>0</v>
      </c>
      <c r="K621" s="1680"/>
      <c r="L621" s="1680"/>
      <c r="M621" s="633" t="s">
        <v>2312</v>
      </c>
      <c r="N621" s="223"/>
      <c r="O621" s="631">
        <f t="shared" si="57"/>
        <v>0</v>
      </c>
    </row>
    <row r="622" spans="1:15" s="360" customFormat="1" ht="15" hidden="1">
      <c r="A622" s="356" t="s">
        <v>1151</v>
      </c>
      <c r="B622" s="632" t="s">
        <v>962</v>
      </c>
      <c r="C622" s="611">
        <f t="shared" si="55"/>
        <v>0</v>
      </c>
      <c r="D622" s="221"/>
      <c r="E622" s="15">
        <f t="shared" si="52"/>
        <v>453</v>
      </c>
      <c r="F622" s="792">
        <f t="shared" si="51"/>
        <v>0</v>
      </c>
      <c r="G622" s="429">
        <f>'PART-A'!I3038</f>
        <v>0</v>
      </c>
      <c r="H622" s="221" t="s">
        <v>277</v>
      </c>
      <c r="I622" s="430">
        <f>'PART-A'!K3038</f>
        <v>453</v>
      </c>
      <c r="J622" s="353">
        <f t="shared" si="56"/>
        <v>0</v>
      </c>
      <c r="K622" s="1681"/>
      <c r="L622" s="1681"/>
      <c r="M622" s="633" t="s">
        <v>2313</v>
      </c>
      <c r="N622" s="223"/>
      <c r="O622" s="631">
        <f t="shared" si="57"/>
        <v>0</v>
      </c>
    </row>
    <row r="623" spans="1:15" ht="25.5" hidden="1">
      <c r="A623" s="23"/>
      <c r="B623" s="627" t="s">
        <v>523</v>
      </c>
      <c r="C623" s="611">
        <f t="shared" si="55"/>
        <v>0</v>
      </c>
      <c r="D623" s="639"/>
      <c r="E623" s="10">
        <f t="shared" si="52"/>
        <v>0</v>
      </c>
      <c r="F623" s="764"/>
      <c r="G623" s="652"/>
      <c r="H623" s="653"/>
      <c r="I623" s="654"/>
      <c r="J623" s="353">
        <f t="shared" si="56"/>
        <v>0</v>
      </c>
      <c r="K623" s="25"/>
      <c r="L623" s="25"/>
      <c r="M623" s="851" t="s">
        <v>2217</v>
      </c>
      <c r="N623" s="223"/>
      <c r="O623" s="850"/>
    </row>
    <row r="624" spans="1:15" s="360" customFormat="1" ht="38.25" hidden="1">
      <c r="A624" s="356" t="s">
        <v>645</v>
      </c>
      <c r="B624" s="632" t="s">
        <v>3221</v>
      </c>
      <c r="C624" s="611">
        <f t="shared" si="55"/>
        <v>0</v>
      </c>
      <c r="D624" s="791" t="s">
        <v>277</v>
      </c>
      <c r="E624" s="15">
        <f t="shared" si="52"/>
        <v>193</v>
      </c>
      <c r="F624" s="792">
        <f t="shared" ref="F624:F687" si="58">ROUND(C624*E624,0)</f>
        <v>0</v>
      </c>
      <c r="G624" s="358">
        <f>'PART-A'!I3044</f>
        <v>0</v>
      </c>
      <c r="H624" s="354" t="s">
        <v>277</v>
      </c>
      <c r="I624" s="355">
        <f>'PART-A'!K3044</f>
        <v>193</v>
      </c>
      <c r="J624" s="353">
        <f t="shared" si="56"/>
        <v>0</v>
      </c>
      <c r="K624" s="1679">
        <f>IF((J624+J625+J626+J627)&gt;(F624+F625+F626+F627),(J624+J625+J626+J627)-(F624+F625+F626+F627),0)</f>
        <v>0</v>
      </c>
      <c r="L624" s="1679">
        <f>IF((J624+J625+J626+J627)&lt;(F624+F625+F626+F627),(F624+F625+F626+F627)-(J624+J625+J626+J627),0)</f>
        <v>0</v>
      </c>
      <c r="M624" s="633" t="s">
        <v>2217</v>
      </c>
      <c r="N624" s="223"/>
      <c r="O624" s="631">
        <f t="shared" si="57"/>
        <v>0</v>
      </c>
    </row>
    <row r="625" spans="1:15" s="360" customFormat="1" ht="15" hidden="1">
      <c r="A625" s="356" t="s">
        <v>1516</v>
      </c>
      <c r="B625" s="632" t="s">
        <v>543</v>
      </c>
      <c r="C625" s="611">
        <f t="shared" si="55"/>
        <v>0</v>
      </c>
      <c r="D625" s="354"/>
      <c r="E625" s="15">
        <f t="shared" ref="E625:E688" si="59">I625</f>
        <v>193</v>
      </c>
      <c r="F625" s="792">
        <f t="shared" si="58"/>
        <v>0</v>
      </c>
      <c r="G625" s="358">
        <f>'PART-A'!I3182</f>
        <v>0</v>
      </c>
      <c r="H625" s="354" t="s">
        <v>277</v>
      </c>
      <c r="I625" s="355">
        <f>'PART-A'!K3182</f>
        <v>193</v>
      </c>
      <c r="J625" s="353">
        <f t="shared" si="56"/>
        <v>0</v>
      </c>
      <c r="K625" s="1680"/>
      <c r="L625" s="1680"/>
      <c r="M625" s="633" t="s">
        <v>2299</v>
      </c>
      <c r="N625" s="223"/>
      <c r="O625" s="631">
        <f t="shared" si="57"/>
        <v>0</v>
      </c>
    </row>
    <row r="626" spans="1:15" s="360" customFormat="1" ht="15" hidden="1">
      <c r="A626" s="356" t="s">
        <v>1516</v>
      </c>
      <c r="B626" s="632" t="s">
        <v>543</v>
      </c>
      <c r="C626" s="611">
        <f t="shared" si="55"/>
        <v>0</v>
      </c>
      <c r="D626" s="354"/>
      <c r="E626" s="15">
        <f t="shared" si="59"/>
        <v>202</v>
      </c>
      <c r="F626" s="792">
        <f t="shared" si="58"/>
        <v>0</v>
      </c>
      <c r="G626" s="358">
        <f>'PART-A'!I3320</f>
        <v>0</v>
      </c>
      <c r="H626" s="354" t="s">
        <v>277</v>
      </c>
      <c r="I626" s="355">
        <f>'PART-A'!K3320</f>
        <v>202</v>
      </c>
      <c r="J626" s="353">
        <f t="shared" si="56"/>
        <v>0</v>
      </c>
      <c r="K626" s="1680"/>
      <c r="L626" s="1680"/>
      <c r="M626" s="633" t="s">
        <v>2312</v>
      </c>
      <c r="N626" s="223"/>
      <c r="O626" s="631">
        <f t="shared" si="57"/>
        <v>0</v>
      </c>
    </row>
    <row r="627" spans="1:15" s="360" customFormat="1" ht="38.25" hidden="1">
      <c r="A627" s="356" t="s">
        <v>526</v>
      </c>
      <c r="B627" s="632" t="s">
        <v>3221</v>
      </c>
      <c r="C627" s="611">
        <f t="shared" si="55"/>
        <v>0</v>
      </c>
      <c r="D627" s="354"/>
      <c r="E627" s="10">
        <f t="shared" si="59"/>
        <v>214</v>
      </c>
      <c r="F627" s="792">
        <f t="shared" si="58"/>
        <v>0</v>
      </c>
      <c r="G627" s="358">
        <f>'PART-A'!I3462</f>
        <v>0</v>
      </c>
      <c r="H627" s="354" t="s">
        <v>277</v>
      </c>
      <c r="I627" s="355">
        <f>'PART-A'!K3462</f>
        <v>214</v>
      </c>
      <c r="J627" s="353">
        <f t="shared" si="56"/>
        <v>0</v>
      </c>
      <c r="K627" s="1695"/>
      <c r="L627" s="1695"/>
      <c r="M627" s="851" t="s">
        <v>2313</v>
      </c>
      <c r="N627" s="223"/>
      <c r="O627" s="850">
        <f t="shared" si="57"/>
        <v>0</v>
      </c>
    </row>
    <row r="628" spans="1:15" s="360" customFormat="1" ht="38.25" hidden="1">
      <c r="A628" s="356" t="s">
        <v>1584</v>
      </c>
      <c r="B628" s="632" t="s">
        <v>3222</v>
      </c>
      <c r="C628" s="611">
        <f t="shared" si="55"/>
        <v>0</v>
      </c>
      <c r="D628" s="791" t="s">
        <v>277</v>
      </c>
      <c r="E628" s="15">
        <f t="shared" si="59"/>
        <v>123</v>
      </c>
      <c r="F628" s="792">
        <f t="shared" si="58"/>
        <v>0</v>
      </c>
      <c r="G628" s="358">
        <f>'PART-A'!I3049</f>
        <v>0</v>
      </c>
      <c r="H628" s="354" t="s">
        <v>277</v>
      </c>
      <c r="I628" s="355">
        <f>'PART-A'!K3049</f>
        <v>123</v>
      </c>
      <c r="J628" s="353">
        <f t="shared" si="56"/>
        <v>0</v>
      </c>
      <c r="K628" s="1679">
        <f>IF((J628+J629+J630+J631)&gt;(F628+F629+F630+F631),(J628+J629+J630+J631)-(F628+F629+F630+F631),0)</f>
        <v>0</v>
      </c>
      <c r="L628" s="1679">
        <f>IF((J628+J629+J630+J631)&lt;(F628+F629+F630+F631),(F628+F629+F630+F631)-(J628+J629+J630+J631),0)</f>
        <v>0</v>
      </c>
      <c r="M628" s="633" t="s">
        <v>2217</v>
      </c>
      <c r="N628" s="223"/>
      <c r="O628" s="631">
        <f t="shared" si="57"/>
        <v>0</v>
      </c>
    </row>
    <row r="629" spans="1:15" s="360" customFormat="1" ht="15" hidden="1">
      <c r="A629" s="356" t="s">
        <v>1152</v>
      </c>
      <c r="B629" s="632" t="s">
        <v>544</v>
      </c>
      <c r="C629" s="611">
        <f t="shared" si="55"/>
        <v>0</v>
      </c>
      <c r="D629" s="354"/>
      <c r="E629" s="15">
        <f t="shared" si="59"/>
        <v>123</v>
      </c>
      <c r="F629" s="792">
        <f t="shared" si="58"/>
        <v>0</v>
      </c>
      <c r="G629" s="358">
        <f>'PART-A'!I3187</f>
        <v>0</v>
      </c>
      <c r="H629" s="354" t="s">
        <v>277</v>
      </c>
      <c r="I629" s="355">
        <f>'PART-A'!K3187</f>
        <v>123</v>
      </c>
      <c r="J629" s="353">
        <f t="shared" si="56"/>
        <v>0</v>
      </c>
      <c r="K629" s="1680"/>
      <c r="L629" s="1680"/>
      <c r="M629" s="633" t="s">
        <v>2299</v>
      </c>
      <c r="N629" s="223"/>
      <c r="O629" s="631">
        <f t="shared" si="57"/>
        <v>0</v>
      </c>
    </row>
    <row r="630" spans="1:15" s="360" customFormat="1" ht="15" hidden="1">
      <c r="A630" s="356" t="s">
        <v>1146</v>
      </c>
      <c r="B630" s="632" t="s">
        <v>544</v>
      </c>
      <c r="C630" s="611">
        <f t="shared" si="55"/>
        <v>0</v>
      </c>
      <c r="D630" s="354"/>
      <c r="E630" s="15">
        <f t="shared" si="59"/>
        <v>129</v>
      </c>
      <c r="F630" s="792">
        <f t="shared" si="58"/>
        <v>0</v>
      </c>
      <c r="G630" s="358">
        <f>'PART-A'!I3325</f>
        <v>0</v>
      </c>
      <c r="H630" s="354" t="s">
        <v>277</v>
      </c>
      <c r="I630" s="355">
        <f>'PART-A'!K3325</f>
        <v>129</v>
      </c>
      <c r="J630" s="353">
        <f t="shared" si="56"/>
        <v>0</v>
      </c>
      <c r="K630" s="1680"/>
      <c r="L630" s="1680"/>
      <c r="M630" s="633" t="s">
        <v>2312</v>
      </c>
      <c r="N630" s="223"/>
      <c r="O630" s="631">
        <f t="shared" si="57"/>
        <v>0</v>
      </c>
    </row>
    <row r="631" spans="1:15" s="360" customFormat="1" ht="38.25" hidden="1">
      <c r="A631" s="356" t="s">
        <v>527</v>
      </c>
      <c r="B631" s="632" t="s">
        <v>3222</v>
      </c>
      <c r="C631" s="611">
        <f t="shared" si="55"/>
        <v>0</v>
      </c>
      <c r="D631" s="354"/>
      <c r="E631" s="10">
        <f t="shared" si="59"/>
        <v>136</v>
      </c>
      <c r="F631" s="792">
        <f t="shared" si="58"/>
        <v>0</v>
      </c>
      <c r="G631" s="358">
        <f>'PART-A'!I3467</f>
        <v>0</v>
      </c>
      <c r="H631" s="354" t="s">
        <v>277</v>
      </c>
      <c r="I631" s="355">
        <f>'PART-A'!K3467</f>
        <v>136</v>
      </c>
      <c r="J631" s="353">
        <f t="shared" si="56"/>
        <v>0</v>
      </c>
      <c r="K631" s="1695"/>
      <c r="L631" s="1695"/>
      <c r="M631" s="851" t="s">
        <v>2313</v>
      </c>
      <c r="N631" s="223"/>
      <c r="O631" s="850">
        <f t="shared" si="57"/>
        <v>0</v>
      </c>
    </row>
    <row r="632" spans="1:15" s="360" customFormat="1" ht="15" hidden="1">
      <c r="A632" s="356" t="s">
        <v>514</v>
      </c>
      <c r="B632" s="632" t="s">
        <v>2002</v>
      </c>
      <c r="C632" s="611">
        <f t="shared" si="55"/>
        <v>0</v>
      </c>
      <c r="D632" s="354"/>
      <c r="E632" s="15">
        <f t="shared" si="59"/>
        <v>85</v>
      </c>
      <c r="F632" s="792">
        <f t="shared" si="58"/>
        <v>0</v>
      </c>
      <c r="G632" s="358">
        <f>'PART-A'!I3054</f>
        <v>0</v>
      </c>
      <c r="H632" s="354" t="s">
        <v>277</v>
      </c>
      <c r="I632" s="355">
        <f>'PART-A'!K3054</f>
        <v>85</v>
      </c>
      <c r="J632" s="353">
        <f t="shared" si="56"/>
        <v>0</v>
      </c>
      <c r="K632" s="1679">
        <f>IF((J632+J633+J634+J635)&gt;(F632+F633+F634+F635),(J632+J633+J634+J635)-(F632+F633+F634+F635),0)</f>
        <v>0</v>
      </c>
      <c r="L632" s="1679">
        <f>IF((J632+J633+J634+J635)&lt;(F632+F633+F634+F635),(F632+F633+F634+F635)-(J632+J633+J634+J635),0)</f>
        <v>0</v>
      </c>
      <c r="M632" s="633" t="s">
        <v>2217</v>
      </c>
      <c r="N632" s="223"/>
      <c r="O632" s="631">
        <f t="shared" si="57"/>
        <v>0</v>
      </c>
    </row>
    <row r="633" spans="1:15" s="360" customFormat="1" ht="15" hidden="1">
      <c r="A633" s="356" t="s">
        <v>1155</v>
      </c>
      <c r="B633" s="632" t="s">
        <v>2002</v>
      </c>
      <c r="C633" s="611">
        <f t="shared" si="55"/>
        <v>0</v>
      </c>
      <c r="D633" s="354"/>
      <c r="E633" s="15">
        <f t="shared" si="59"/>
        <v>85</v>
      </c>
      <c r="F633" s="792">
        <f t="shared" si="58"/>
        <v>0</v>
      </c>
      <c r="G633" s="358">
        <f>'PART-A'!I3192</f>
        <v>0</v>
      </c>
      <c r="H633" s="354" t="s">
        <v>277</v>
      </c>
      <c r="I633" s="355">
        <f>'PART-A'!K3192</f>
        <v>85</v>
      </c>
      <c r="J633" s="353">
        <f t="shared" si="56"/>
        <v>0</v>
      </c>
      <c r="K633" s="1680"/>
      <c r="L633" s="1680"/>
      <c r="M633" s="633" t="s">
        <v>2299</v>
      </c>
      <c r="N633" s="223"/>
      <c r="O633" s="631">
        <f t="shared" si="57"/>
        <v>0</v>
      </c>
    </row>
    <row r="634" spans="1:15" s="360" customFormat="1" ht="15" hidden="1">
      <c r="A634" s="356" t="s">
        <v>515</v>
      </c>
      <c r="B634" s="632" t="s">
        <v>2002</v>
      </c>
      <c r="C634" s="611">
        <f t="shared" si="55"/>
        <v>0</v>
      </c>
      <c r="D634" s="354"/>
      <c r="E634" s="15">
        <f t="shared" si="59"/>
        <v>89</v>
      </c>
      <c r="F634" s="792">
        <f t="shared" si="58"/>
        <v>0</v>
      </c>
      <c r="G634" s="358">
        <f>'PART-A'!I3331</f>
        <v>0</v>
      </c>
      <c r="H634" s="354" t="s">
        <v>277</v>
      </c>
      <c r="I634" s="355">
        <f>'PART-A'!K3331</f>
        <v>89</v>
      </c>
      <c r="J634" s="353">
        <f t="shared" si="56"/>
        <v>0</v>
      </c>
      <c r="K634" s="1680"/>
      <c r="L634" s="1680"/>
      <c r="M634" s="633" t="s">
        <v>2312</v>
      </c>
      <c r="N634" s="223"/>
      <c r="O634" s="631">
        <f t="shared" si="57"/>
        <v>0</v>
      </c>
    </row>
    <row r="635" spans="1:15" s="360" customFormat="1" ht="15" hidden="1">
      <c r="A635" s="356" t="s">
        <v>1594</v>
      </c>
      <c r="B635" s="632" t="s">
        <v>2002</v>
      </c>
      <c r="C635" s="611">
        <f t="shared" si="55"/>
        <v>0</v>
      </c>
      <c r="D635" s="354"/>
      <c r="E635" s="15">
        <f t="shared" si="59"/>
        <v>94</v>
      </c>
      <c r="F635" s="792">
        <f t="shared" si="58"/>
        <v>0</v>
      </c>
      <c r="G635" s="358">
        <f>'PART-A'!I3472</f>
        <v>0</v>
      </c>
      <c r="H635" s="354" t="s">
        <v>277</v>
      </c>
      <c r="I635" s="355">
        <f>'PART-A'!K3472</f>
        <v>94</v>
      </c>
      <c r="J635" s="353">
        <f t="shared" si="56"/>
        <v>0</v>
      </c>
      <c r="K635" s="1681"/>
      <c r="L635" s="1681"/>
      <c r="M635" s="633" t="s">
        <v>2313</v>
      </c>
      <c r="N635" s="223"/>
      <c r="O635" s="631">
        <f t="shared" si="57"/>
        <v>0</v>
      </c>
    </row>
    <row r="636" spans="1:15" s="360" customFormat="1" ht="38.25" hidden="1">
      <c r="A636" s="356" t="s">
        <v>1585</v>
      </c>
      <c r="B636" s="632" t="s">
        <v>3223</v>
      </c>
      <c r="C636" s="611">
        <f t="shared" si="55"/>
        <v>0</v>
      </c>
      <c r="D636" s="791" t="s">
        <v>277</v>
      </c>
      <c r="E636" s="15">
        <f t="shared" si="59"/>
        <v>24</v>
      </c>
      <c r="F636" s="792">
        <f t="shared" si="58"/>
        <v>0</v>
      </c>
      <c r="G636" s="358">
        <f>'PART-A'!I3059</f>
        <v>0</v>
      </c>
      <c r="H636" s="354" t="s">
        <v>277</v>
      </c>
      <c r="I636" s="355">
        <f>'PART-A'!K3059</f>
        <v>24</v>
      </c>
      <c r="J636" s="353">
        <f t="shared" si="56"/>
        <v>0</v>
      </c>
      <c r="K636" s="1679">
        <f>IF((J636+J637+J638+J639)&gt;(F636+F637+F638+F639),(J636+J637+J638+J639)-(F636+F637+F638+F639),0)</f>
        <v>0</v>
      </c>
      <c r="L636" s="1679">
        <f>IF((J636+J637+J638+J639)&lt;(F636+F637+F638+F639),(F636+F637+F638+F639)-(J636+J637+J638+J639),0)</f>
        <v>0</v>
      </c>
      <c r="M636" s="633" t="s">
        <v>2217</v>
      </c>
      <c r="N636" s="223"/>
      <c r="O636" s="631">
        <f t="shared" si="57"/>
        <v>0</v>
      </c>
    </row>
    <row r="637" spans="1:15" s="360" customFormat="1" ht="15" hidden="1">
      <c r="A637" s="356" t="s">
        <v>1153</v>
      </c>
      <c r="B637" s="632" t="s">
        <v>1255</v>
      </c>
      <c r="C637" s="611">
        <f t="shared" si="55"/>
        <v>0</v>
      </c>
      <c r="D637" s="354"/>
      <c r="E637" s="15">
        <f t="shared" si="59"/>
        <v>24</v>
      </c>
      <c r="F637" s="792">
        <f t="shared" si="58"/>
        <v>0</v>
      </c>
      <c r="G637" s="358">
        <f>'PART-A'!I3197</f>
        <v>0</v>
      </c>
      <c r="H637" s="354" t="s">
        <v>277</v>
      </c>
      <c r="I637" s="355">
        <f>'PART-A'!K3197</f>
        <v>24</v>
      </c>
      <c r="J637" s="353">
        <f t="shared" si="56"/>
        <v>0</v>
      </c>
      <c r="K637" s="1680"/>
      <c r="L637" s="1680"/>
      <c r="M637" s="633" t="s">
        <v>2299</v>
      </c>
      <c r="N637" s="223"/>
      <c r="O637" s="631">
        <f t="shared" si="57"/>
        <v>0</v>
      </c>
    </row>
    <row r="638" spans="1:15" s="360" customFormat="1" ht="15" hidden="1">
      <c r="A638" s="356" t="s">
        <v>1153</v>
      </c>
      <c r="B638" s="632" t="s">
        <v>1255</v>
      </c>
      <c r="C638" s="611">
        <f t="shared" si="55"/>
        <v>0</v>
      </c>
      <c r="D638" s="354"/>
      <c r="E638" s="15">
        <f t="shared" si="59"/>
        <v>33</v>
      </c>
      <c r="F638" s="792">
        <f t="shared" si="58"/>
        <v>0</v>
      </c>
      <c r="G638" s="358">
        <f>'PART-A'!I3336</f>
        <v>0</v>
      </c>
      <c r="H638" s="354" t="s">
        <v>277</v>
      </c>
      <c r="I638" s="355">
        <f>'PART-A'!K3336</f>
        <v>33</v>
      </c>
      <c r="J638" s="353">
        <f t="shared" si="56"/>
        <v>0</v>
      </c>
      <c r="K638" s="1680"/>
      <c r="L638" s="1680"/>
      <c r="M638" s="633" t="s">
        <v>2312</v>
      </c>
      <c r="N638" s="223"/>
      <c r="O638" s="631">
        <f t="shared" si="57"/>
        <v>0</v>
      </c>
    </row>
    <row r="639" spans="1:15" s="360" customFormat="1" ht="15" hidden="1">
      <c r="A639" s="356" t="s">
        <v>1153</v>
      </c>
      <c r="B639" s="632" t="s">
        <v>1255</v>
      </c>
      <c r="C639" s="611">
        <f t="shared" si="55"/>
        <v>0</v>
      </c>
      <c r="D639" s="354"/>
      <c r="E639" s="15">
        <f t="shared" si="59"/>
        <v>35</v>
      </c>
      <c r="F639" s="792">
        <f t="shared" si="58"/>
        <v>0</v>
      </c>
      <c r="G639" s="358">
        <f>'PART-A'!I3477</f>
        <v>0</v>
      </c>
      <c r="H639" s="354" t="s">
        <v>277</v>
      </c>
      <c r="I639" s="355">
        <f>'PART-A'!K3477</f>
        <v>35</v>
      </c>
      <c r="J639" s="353">
        <f t="shared" si="56"/>
        <v>0</v>
      </c>
      <c r="K639" s="1681"/>
      <c r="L639" s="1681"/>
      <c r="M639" s="633" t="s">
        <v>2313</v>
      </c>
      <c r="N639" s="223"/>
      <c r="O639" s="631">
        <f t="shared" si="57"/>
        <v>0</v>
      </c>
    </row>
    <row r="640" spans="1:15" s="360" customFormat="1" ht="38.25" hidden="1">
      <c r="A640" s="356" t="s">
        <v>646</v>
      </c>
      <c r="B640" s="632" t="s">
        <v>3224</v>
      </c>
      <c r="C640" s="611">
        <f t="shared" si="55"/>
        <v>0</v>
      </c>
      <c r="D640" s="791" t="s">
        <v>277</v>
      </c>
      <c r="E640" s="15">
        <f t="shared" si="59"/>
        <v>0</v>
      </c>
      <c r="F640" s="792">
        <f t="shared" si="58"/>
        <v>0</v>
      </c>
      <c r="G640" s="358"/>
      <c r="H640" s="354"/>
      <c r="I640" s="355"/>
      <c r="J640" s="353">
        <f t="shared" si="56"/>
        <v>0</v>
      </c>
      <c r="K640" s="669">
        <f t="shared" ref="K640" si="60">IF(J640&gt;F640,J640-F640,0)</f>
        <v>0</v>
      </c>
      <c r="L640" s="368">
        <f t="shared" ref="L640" si="61">IF(J640&lt;F640,F640-J640,0)</f>
        <v>0</v>
      </c>
      <c r="M640" s="633" t="s">
        <v>2217</v>
      </c>
      <c r="N640" s="223"/>
      <c r="O640" s="631">
        <f t="shared" si="57"/>
        <v>0</v>
      </c>
    </row>
    <row r="641" spans="1:15" s="360" customFormat="1" ht="25.5" hidden="1">
      <c r="A641" s="356" t="s">
        <v>1144</v>
      </c>
      <c r="B641" s="632" t="s">
        <v>3225</v>
      </c>
      <c r="C641" s="611">
        <f t="shared" si="55"/>
        <v>0</v>
      </c>
      <c r="D641" s="791" t="s">
        <v>277</v>
      </c>
      <c r="E641" s="15">
        <f t="shared" si="59"/>
        <v>31</v>
      </c>
      <c r="F641" s="792">
        <f t="shared" si="58"/>
        <v>0</v>
      </c>
      <c r="G641" s="358">
        <f>'PART-A'!I3064</f>
        <v>0</v>
      </c>
      <c r="H641" s="354" t="s">
        <v>277</v>
      </c>
      <c r="I641" s="355">
        <f>'PART-A'!K3064</f>
        <v>31</v>
      </c>
      <c r="J641" s="353">
        <f t="shared" si="56"/>
        <v>0</v>
      </c>
      <c r="K641" s="1679">
        <f>IF((J641+J642+J643+J644)&gt;(F641+F642+F643+F644),(J641+J642+J643+J644)-(F641+F642+F643+F644),0)</f>
        <v>0</v>
      </c>
      <c r="L641" s="1679">
        <f>IF((J641+J642+J643+J644)&lt;(F641+F642+F643+F644),(F641+F642+F643+F644)-(J641+J642+J643+J644),0)</f>
        <v>0</v>
      </c>
      <c r="M641" s="633" t="s">
        <v>2217</v>
      </c>
      <c r="N641" s="223"/>
      <c r="O641" s="631">
        <f t="shared" si="57"/>
        <v>0</v>
      </c>
    </row>
    <row r="642" spans="1:15" s="360" customFormat="1" ht="15" hidden="1">
      <c r="A642" s="356" t="s">
        <v>2683</v>
      </c>
      <c r="B642" s="632" t="s">
        <v>545</v>
      </c>
      <c r="C642" s="611">
        <f t="shared" si="55"/>
        <v>0</v>
      </c>
      <c r="D642" s="354"/>
      <c r="E642" s="15">
        <f t="shared" si="59"/>
        <v>31</v>
      </c>
      <c r="F642" s="792">
        <f t="shared" si="58"/>
        <v>0</v>
      </c>
      <c r="G642" s="358">
        <f>'PART-A'!I3202</f>
        <v>0</v>
      </c>
      <c r="H642" s="354" t="s">
        <v>277</v>
      </c>
      <c r="I642" s="355">
        <f>'PART-A'!K3202</f>
        <v>31</v>
      </c>
      <c r="J642" s="353">
        <f t="shared" si="56"/>
        <v>0</v>
      </c>
      <c r="K642" s="1680"/>
      <c r="L642" s="1680"/>
      <c r="M642" s="633" t="s">
        <v>2299</v>
      </c>
      <c r="N642" s="223"/>
      <c r="O642" s="631">
        <f t="shared" si="57"/>
        <v>0</v>
      </c>
    </row>
    <row r="643" spans="1:15" s="360" customFormat="1" ht="15" hidden="1">
      <c r="A643" s="356" t="s">
        <v>518</v>
      </c>
      <c r="B643" s="632" t="s">
        <v>545</v>
      </c>
      <c r="C643" s="611">
        <f t="shared" si="55"/>
        <v>0</v>
      </c>
      <c r="D643" s="354"/>
      <c r="E643" s="15">
        <f t="shared" si="59"/>
        <v>33</v>
      </c>
      <c r="F643" s="792">
        <f t="shared" si="58"/>
        <v>0</v>
      </c>
      <c r="G643" s="358">
        <f>'PART-A'!I3342</f>
        <v>0</v>
      </c>
      <c r="H643" s="354" t="s">
        <v>277</v>
      </c>
      <c r="I643" s="355">
        <f>'PART-A'!K3342</f>
        <v>33</v>
      </c>
      <c r="J643" s="353">
        <f t="shared" si="56"/>
        <v>0</v>
      </c>
      <c r="K643" s="1680"/>
      <c r="L643" s="1680"/>
      <c r="M643" s="633" t="s">
        <v>2312</v>
      </c>
      <c r="N643" s="223"/>
      <c r="O643" s="631">
        <f t="shared" si="57"/>
        <v>0</v>
      </c>
    </row>
    <row r="644" spans="1:15" s="360" customFormat="1" ht="25.5" hidden="1">
      <c r="A644" s="356" t="s">
        <v>1578</v>
      </c>
      <c r="B644" s="632" t="s">
        <v>3225</v>
      </c>
      <c r="C644" s="611">
        <f t="shared" si="55"/>
        <v>0</v>
      </c>
      <c r="D644" s="354"/>
      <c r="E644" s="10">
        <f t="shared" si="59"/>
        <v>33</v>
      </c>
      <c r="F644" s="792">
        <f t="shared" si="58"/>
        <v>0</v>
      </c>
      <c r="G644" s="358">
        <f>'PART-A'!I3482</f>
        <v>0</v>
      </c>
      <c r="H644" s="354" t="s">
        <v>277</v>
      </c>
      <c r="I644" s="355">
        <f>'PART-A'!K3482</f>
        <v>33</v>
      </c>
      <c r="J644" s="353">
        <f t="shared" si="56"/>
        <v>0</v>
      </c>
      <c r="K644" s="1695"/>
      <c r="L644" s="1695"/>
      <c r="M644" s="851" t="s">
        <v>2313</v>
      </c>
      <c r="N644" s="223"/>
      <c r="O644" s="850">
        <f t="shared" si="57"/>
        <v>0</v>
      </c>
    </row>
    <row r="645" spans="1:15" s="360" customFormat="1" ht="25.5" hidden="1">
      <c r="A645" s="356" t="s">
        <v>1586</v>
      </c>
      <c r="B645" s="632" t="s">
        <v>3226</v>
      </c>
      <c r="C645" s="611">
        <f t="shared" si="55"/>
        <v>0</v>
      </c>
      <c r="D645" s="791" t="s">
        <v>115</v>
      </c>
      <c r="E645" s="15">
        <f t="shared" si="59"/>
        <v>349</v>
      </c>
      <c r="F645" s="792">
        <f t="shared" si="58"/>
        <v>0</v>
      </c>
      <c r="G645" s="358">
        <f>'PART-A'!I3069</f>
        <v>0</v>
      </c>
      <c r="H645" s="354" t="s">
        <v>115</v>
      </c>
      <c r="I645" s="355">
        <f>'PART-A'!K3069</f>
        <v>349</v>
      </c>
      <c r="J645" s="353">
        <f t="shared" si="56"/>
        <v>0</v>
      </c>
      <c r="K645" s="1679">
        <f>IF((J645+J646+J647+J648)&gt;(F645+F646+F647+F648),(J645+J646+J647+J648)-(F645+F646+F647+F648),0)</f>
        <v>0</v>
      </c>
      <c r="L645" s="1679">
        <f>IF((J645+J646+J647+J648)&lt;(F645+F646+F647+F648),(F645+F646+F647+F648)-(J645+J646+J647+J648),0)</f>
        <v>0</v>
      </c>
      <c r="M645" s="633" t="s">
        <v>2217</v>
      </c>
      <c r="N645" s="223"/>
      <c r="O645" s="631">
        <f t="shared" si="57"/>
        <v>0</v>
      </c>
    </row>
    <row r="646" spans="1:15" s="360" customFormat="1" ht="15" hidden="1">
      <c r="A646" s="356" t="s">
        <v>1158</v>
      </c>
      <c r="B646" s="632" t="s">
        <v>546</v>
      </c>
      <c r="C646" s="611">
        <f t="shared" si="55"/>
        <v>0</v>
      </c>
      <c r="D646" s="354"/>
      <c r="E646" s="15">
        <f t="shared" si="59"/>
        <v>349</v>
      </c>
      <c r="F646" s="792">
        <f t="shared" si="58"/>
        <v>0</v>
      </c>
      <c r="G646" s="358">
        <f>'PART-A'!I3207</f>
        <v>0</v>
      </c>
      <c r="H646" s="354" t="s">
        <v>115</v>
      </c>
      <c r="I646" s="355">
        <f>'PART-A'!K3207</f>
        <v>349</v>
      </c>
      <c r="J646" s="353">
        <f t="shared" si="56"/>
        <v>0</v>
      </c>
      <c r="K646" s="1680"/>
      <c r="L646" s="1680"/>
      <c r="M646" s="633" t="s">
        <v>2299</v>
      </c>
      <c r="N646" s="223"/>
      <c r="O646" s="631">
        <f t="shared" si="57"/>
        <v>0</v>
      </c>
    </row>
    <row r="647" spans="1:15" s="360" customFormat="1" ht="15" hidden="1">
      <c r="A647" s="356" t="s">
        <v>1152</v>
      </c>
      <c r="B647" s="632" t="s">
        <v>546</v>
      </c>
      <c r="C647" s="611">
        <f t="shared" si="55"/>
        <v>0</v>
      </c>
      <c r="D647" s="354"/>
      <c r="E647" s="15">
        <f t="shared" si="59"/>
        <v>366</v>
      </c>
      <c r="F647" s="792">
        <f t="shared" si="58"/>
        <v>0</v>
      </c>
      <c r="G647" s="358">
        <f>'PART-A'!I3347</f>
        <v>0</v>
      </c>
      <c r="H647" s="354" t="s">
        <v>115</v>
      </c>
      <c r="I647" s="355">
        <f>'PART-A'!K3347</f>
        <v>366</v>
      </c>
      <c r="J647" s="353">
        <f t="shared" si="56"/>
        <v>0</v>
      </c>
      <c r="K647" s="1680"/>
      <c r="L647" s="1680"/>
      <c r="M647" s="633" t="s">
        <v>2312</v>
      </c>
      <c r="N647" s="223"/>
      <c r="O647" s="631">
        <f t="shared" si="57"/>
        <v>0</v>
      </c>
    </row>
    <row r="648" spans="1:15" s="360" customFormat="1" ht="15" hidden="1">
      <c r="A648" s="356" t="s">
        <v>1152</v>
      </c>
      <c r="B648" s="632" t="s">
        <v>546</v>
      </c>
      <c r="C648" s="611">
        <f t="shared" si="55"/>
        <v>0</v>
      </c>
      <c r="D648" s="354"/>
      <c r="E648" s="15">
        <f t="shared" si="59"/>
        <v>387</v>
      </c>
      <c r="F648" s="792">
        <f t="shared" si="58"/>
        <v>0</v>
      </c>
      <c r="G648" s="358">
        <f>'PART-A'!I3487</f>
        <v>0</v>
      </c>
      <c r="H648" s="354" t="s">
        <v>115</v>
      </c>
      <c r="I648" s="355">
        <f>'PART-A'!K3487</f>
        <v>387</v>
      </c>
      <c r="J648" s="353">
        <f t="shared" si="56"/>
        <v>0</v>
      </c>
      <c r="K648" s="1681"/>
      <c r="L648" s="1681"/>
      <c r="M648" s="633" t="s">
        <v>2313</v>
      </c>
      <c r="N648" s="223"/>
      <c r="O648" s="631">
        <f t="shared" si="57"/>
        <v>0</v>
      </c>
    </row>
    <row r="649" spans="1:15" s="360" customFormat="1" ht="25.5" hidden="1">
      <c r="A649" s="356" t="s">
        <v>1587</v>
      </c>
      <c r="B649" s="632" t="s">
        <v>685</v>
      </c>
      <c r="C649" s="611">
        <f t="shared" si="55"/>
        <v>0</v>
      </c>
      <c r="D649" s="791" t="s">
        <v>115</v>
      </c>
      <c r="E649" s="15">
        <f t="shared" si="59"/>
        <v>1483</v>
      </c>
      <c r="F649" s="792">
        <f t="shared" si="58"/>
        <v>0</v>
      </c>
      <c r="G649" s="358">
        <f>'PART-A'!I3074</f>
        <v>0</v>
      </c>
      <c r="H649" s="354" t="s">
        <v>115</v>
      </c>
      <c r="I649" s="355">
        <f>'PART-A'!K3074</f>
        <v>1483</v>
      </c>
      <c r="J649" s="353">
        <f t="shared" si="56"/>
        <v>0</v>
      </c>
      <c r="K649" s="1679">
        <f>IF((J649+J650+J651+J652)&gt;(F649+F650+F651+F652),(J649+J650+J651+J652)-(F649+F650+F651+F652),0)</f>
        <v>0</v>
      </c>
      <c r="L649" s="1679">
        <f>IF((J649+J650+J651+J652)&lt;(F649+F650+F651+F652),(F649+F650+F651+F652)-(J649+J650+J651+J652),0)</f>
        <v>0</v>
      </c>
      <c r="M649" s="633" t="s">
        <v>2217</v>
      </c>
      <c r="N649" s="223"/>
      <c r="O649" s="631">
        <f t="shared" si="57"/>
        <v>0</v>
      </c>
    </row>
    <row r="650" spans="1:15" s="360" customFormat="1" ht="25.5" hidden="1">
      <c r="A650" s="356" t="s">
        <v>1157</v>
      </c>
      <c r="B650" s="632" t="s">
        <v>713</v>
      </c>
      <c r="C650" s="611">
        <f t="shared" ref="C650:C713" si="62">G650</f>
        <v>0</v>
      </c>
      <c r="D650" s="354"/>
      <c r="E650" s="15">
        <f t="shared" si="59"/>
        <v>2769</v>
      </c>
      <c r="F650" s="792">
        <f t="shared" si="58"/>
        <v>0</v>
      </c>
      <c r="G650" s="358">
        <f>'PART-A'!I3212</f>
        <v>0</v>
      </c>
      <c r="H650" s="354" t="s">
        <v>115</v>
      </c>
      <c r="I650" s="355">
        <f>'PART-A'!K3212</f>
        <v>2769</v>
      </c>
      <c r="J650" s="353">
        <f t="shared" ref="J650:J713" si="63">ROUND(G650*I650,2)</f>
        <v>0</v>
      </c>
      <c r="K650" s="1680"/>
      <c r="L650" s="1680"/>
      <c r="M650" s="633" t="s">
        <v>2299</v>
      </c>
      <c r="N650" s="223"/>
      <c r="O650" s="631">
        <f t="shared" si="57"/>
        <v>0</v>
      </c>
    </row>
    <row r="651" spans="1:15" s="360" customFormat="1" ht="25.5" hidden="1">
      <c r="A651" s="356" t="s">
        <v>499</v>
      </c>
      <c r="B651" s="632" t="s">
        <v>713</v>
      </c>
      <c r="C651" s="611">
        <f t="shared" si="62"/>
        <v>0</v>
      </c>
      <c r="D651" s="354"/>
      <c r="E651" s="15">
        <f t="shared" si="59"/>
        <v>1554</v>
      </c>
      <c r="F651" s="792">
        <f t="shared" si="58"/>
        <v>0</v>
      </c>
      <c r="G651" s="358">
        <f>'PART-A'!I3352</f>
        <v>0</v>
      </c>
      <c r="H651" s="354" t="s">
        <v>115</v>
      </c>
      <c r="I651" s="355">
        <f>'PART-A'!K3352</f>
        <v>1554</v>
      </c>
      <c r="J651" s="353">
        <f t="shared" si="63"/>
        <v>0</v>
      </c>
      <c r="K651" s="1680"/>
      <c r="L651" s="1680"/>
      <c r="M651" s="633" t="s">
        <v>2312</v>
      </c>
      <c r="N651" s="223"/>
      <c r="O651" s="631">
        <f t="shared" si="57"/>
        <v>0</v>
      </c>
    </row>
    <row r="652" spans="1:15" s="360" customFormat="1" ht="25.5" hidden="1">
      <c r="A652" s="356" t="s">
        <v>499</v>
      </c>
      <c r="B652" s="632" t="s">
        <v>713</v>
      </c>
      <c r="C652" s="611">
        <f t="shared" si="62"/>
        <v>0</v>
      </c>
      <c r="D652" s="354"/>
      <c r="E652" s="15">
        <f t="shared" si="59"/>
        <v>1644</v>
      </c>
      <c r="F652" s="792">
        <f t="shared" si="58"/>
        <v>0</v>
      </c>
      <c r="G652" s="358">
        <f>'PART-A'!I3492</f>
        <v>0</v>
      </c>
      <c r="H652" s="354" t="s">
        <v>115</v>
      </c>
      <c r="I652" s="355">
        <f>'PART-A'!K3492</f>
        <v>1644</v>
      </c>
      <c r="J652" s="353">
        <f t="shared" si="63"/>
        <v>0</v>
      </c>
      <c r="K652" s="1681"/>
      <c r="L652" s="1681"/>
      <c r="M652" s="633" t="s">
        <v>2313</v>
      </c>
      <c r="N652" s="223"/>
      <c r="O652" s="631">
        <f t="shared" si="57"/>
        <v>0</v>
      </c>
    </row>
    <row r="653" spans="1:15" s="360" customFormat="1" ht="38.25" hidden="1">
      <c r="A653" s="356" t="s">
        <v>1588</v>
      </c>
      <c r="B653" s="632" t="s">
        <v>3227</v>
      </c>
      <c r="C653" s="611">
        <f t="shared" si="62"/>
        <v>0</v>
      </c>
      <c r="D653" s="791" t="s">
        <v>277</v>
      </c>
      <c r="E653" s="15">
        <f t="shared" si="59"/>
        <v>136.66666666666666</v>
      </c>
      <c r="F653" s="792">
        <f t="shared" si="58"/>
        <v>0</v>
      </c>
      <c r="G653" s="358">
        <f>'PART-A'!I3079</f>
        <v>0</v>
      </c>
      <c r="H653" s="354" t="s">
        <v>277</v>
      </c>
      <c r="I653" s="355">
        <f>'PART-A'!K3079</f>
        <v>136.66666666666666</v>
      </c>
      <c r="J653" s="353">
        <f t="shared" si="63"/>
        <v>0</v>
      </c>
      <c r="K653" s="1679">
        <f>IF((J653+J654+J655+J656)&gt;(F653+F654+F655+F656),(J653+J654+J655+J656)-(F653+F654+F655+F656),0)</f>
        <v>0</v>
      </c>
      <c r="L653" s="1679">
        <f>IF((J653+J654+J655+J656)&lt;(F653+F654+F655+F656),(F653+F654+F655+F656)-(J653+J654+J655+J656),0)</f>
        <v>0</v>
      </c>
      <c r="M653" s="633" t="s">
        <v>2217</v>
      </c>
      <c r="N653" s="223"/>
      <c r="O653" s="631">
        <f t="shared" si="57"/>
        <v>0</v>
      </c>
    </row>
    <row r="654" spans="1:15" s="360" customFormat="1" ht="15" hidden="1">
      <c r="A654" s="356" t="s">
        <v>2685</v>
      </c>
      <c r="B654" s="632" t="s">
        <v>547</v>
      </c>
      <c r="C654" s="611">
        <f t="shared" si="62"/>
        <v>0</v>
      </c>
      <c r="D654" s="354"/>
      <c r="E654" s="15">
        <f t="shared" si="59"/>
        <v>136.66666666666666</v>
      </c>
      <c r="F654" s="792">
        <f t="shared" si="58"/>
        <v>0</v>
      </c>
      <c r="G654" s="358">
        <f>'PART-A'!I3217</f>
        <v>0</v>
      </c>
      <c r="H654" s="354" t="s">
        <v>277</v>
      </c>
      <c r="I654" s="355">
        <f>'PART-A'!K3217</f>
        <v>136.66666666666666</v>
      </c>
      <c r="J654" s="353">
        <f t="shared" si="63"/>
        <v>0</v>
      </c>
      <c r="K654" s="1680"/>
      <c r="L654" s="1680"/>
      <c r="M654" s="633" t="s">
        <v>2299</v>
      </c>
      <c r="N654" s="223"/>
      <c r="O654" s="631">
        <f t="shared" ref="O654:O720" si="64">F654-J654</f>
        <v>0</v>
      </c>
    </row>
    <row r="655" spans="1:15" s="360" customFormat="1" ht="15" hidden="1">
      <c r="A655" s="356" t="s">
        <v>522</v>
      </c>
      <c r="B655" s="632" t="s">
        <v>547</v>
      </c>
      <c r="C655" s="611">
        <f t="shared" si="62"/>
        <v>0</v>
      </c>
      <c r="D655" s="354"/>
      <c r="E655" s="15">
        <f t="shared" si="59"/>
        <v>142</v>
      </c>
      <c r="F655" s="792">
        <f t="shared" si="58"/>
        <v>0</v>
      </c>
      <c r="G655" s="358">
        <f>'PART-A'!I3358</f>
        <v>0</v>
      </c>
      <c r="H655" s="354" t="s">
        <v>277</v>
      </c>
      <c r="I655" s="355">
        <f>'PART-A'!K3358</f>
        <v>142</v>
      </c>
      <c r="J655" s="353">
        <f t="shared" si="63"/>
        <v>0</v>
      </c>
      <c r="K655" s="1680"/>
      <c r="L655" s="1680"/>
      <c r="M655" s="633" t="s">
        <v>2312</v>
      </c>
      <c r="N655" s="223"/>
      <c r="O655" s="631">
        <f t="shared" si="64"/>
        <v>0</v>
      </c>
    </row>
    <row r="656" spans="1:15" s="360" customFormat="1" ht="38.25" hidden="1">
      <c r="A656" s="356" t="s">
        <v>528</v>
      </c>
      <c r="B656" s="632" t="s">
        <v>3227</v>
      </c>
      <c r="C656" s="611">
        <f t="shared" si="62"/>
        <v>0</v>
      </c>
      <c r="D656" s="354"/>
      <c r="E656" s="10">
        <f t="shared" si="59"/>
        <v>149</v>
      </c>
      <c r="F656" s="792">
        <f t="shared" si="58"/>
        <v>0</v>
      </c>
      <c r="G656" s="358">
        <f>'PART-A'!I3497</f>
        <v>0</v>
      </c>
      <c r="H656" s="354" t="s">
        <v>277</v>
      </c>
      <c r="I656" s="355">
        <f>'PART-A'!K3497</f>
        <v>149</v>
      </c>
      <c r="J656" s="353">
        <f t="shared" si="63"/>
        <v>0</v>
      </c>
      <c r="K656" s="1695"/>
      <c r="L656" s="1695"/>
      <c r="M656" s="851" t="s">
        <v>2313</v>
      </c>
      <c r="N656" s="223"/>
      <c r="O656" s="850">
        <f t="shared" si="64"/>
        <v>0</v>
      </c>
    </row>
    <row r="657" spans="1:15" s="360" customFormat="1" ht="38.25" hidden="1">
      <c r="A657" s="356" t="s">
        <v>647</v>
      </c>
      <c r="B657" s="632" t="s">
        <v>3228</v>
      </c>
      <c r="C657" s="611">
        <f t="shared" si="62"/>
        <v>0</v>
      </c>
      <c r="D657" s="791" t="s">
        <v>277</v>
      </c>
      <c r="E657" s="15">
        <f t="shared" si="59"/>
        <v>129.66666666666666</v>
      </c>
      <c r="F657" s="792">
        <f t="shared" si="58"/>
        <v>0</v>
      </c>
      <c r="G657" s="358">
        <f>'PART-A'!I3084</f>
        <v>0</v>
      </c>
      <c r="H657" s="354" t="s">
        <v>277</v>
      </c>
      <c r="I657" s="355">
        <f>'PART-A'!K3084</f>
        <v>129.66666666666666</v>
      </c>
      <c r="J657" s="353">
        <f t="shared" si="63"/>
        <v>0</v>
      </c>
      <c r="K657" s="1679">
        <f>IF((J657+J658+J659+J660)&gt;(F657+F658+F659+F660),(J657+J658+J659+J660)-(F657+F658+F659+F660),0)</f>
        <v>0</v>
      </c>
      <c r="L657" s="1679">
        <f>IF((J657+J658+J659+J660)&lt;(F657+F658+F659+F660),(F657+F658+F659+F660)-(J657+J658+J659+J660),0)</f>
        <v>0</v>
      </c>
      <c r="M657" s="633" t="s">
        <v>2217</v>
      </c>
      <c r="N657" s="223"/>
      <c r="O657" s="631">
        <f t="shared" si="64"/>
        <v>0</v>
      </c>
    </row>
    <row r="658" spans="1:15" s="360" customFormat="1" ht="15" hidden="1">
      <c r="A658" s="356" t="s">
        <v>1258</v>
      </c>
      <c r="B658" s="632" t="s">
        <v>548</v>
      </c>
      <c r="C658" s="611">
        <f t="shared" si="62"/>
        <v>0</v>
      </c>
      <c r="D658" s="354"/>
      <c r="E658" s="15">
        <f t="shared" si="59"/>
        <v>129.66666666666666</v>
      </c>
      <c r="F658" s="792">
        <f t="shared" si="58"/>
        <v>0</v>
      </c>
      <c r="G658" s="358">
        <f>'PART-A'!I3222</f>
        <v>0</v>
      </c>
      <c r="H658" s="354" t="s">
        <v>277</v>
      </c>
      <c r="I658" s="355">
        <f>'PART-A'!K3222</f>
        <v>129.66666666666666</v>
      </c>
      <c r="J658" s="353">
        <f t="shared" si="63"/>
        <v>0</v>
      </c>
      <c r="K658" s="1680"/>
      <c r="L658" s="1680"/>
      <c r="M658" s="633" t="s">
        <v>2299</v>
      </c>
      <c r="N658" s="223"/>
      <c r="O658" s="631">
        <f t="shared" si="64"/>
        <v>0</v>
      </c>
    </row>
    <row r="659" spans="1:15" s="360" customFormat="1" ht="15" hidden="1">
      <c r="A659" s="356" t="s">
        <v>1258</v>
      </c>
      <c r="B659" s="632" t="s">
        <v>548</v>
      </c>
      <c r="C659" s="611">
        <f t="shared" si="62"/>
        <v>0</v>
      </c>
      <c r="D659" s="354"/>
      <c r="E659" s="15">
        <f t="shared" si="59"/>
        <v>135</v>
      </c>
      <c r="F659" s="792">
        <f t="shared" si="58"/>
        <v>0</v>
      </c>
      <c r="G659" s="358">
        <f>'PART-A'!I3363</f>
        <v>0</v>
      </c>
      <c r="H659" s="354" t="s">
        <v>277</v>
      </c>
      <c r="I659" s="355">
        <f>'PART-A'!K3363</f>
        <v>135</v>
      </c>
      <c r="J659" s="353">
        <f t="shared" si="63"/>
        <v>0</v>
      </c>
      <c r="K659" s="1680"/>
      <c r="L659" s="1680"/>
      <c r="M659" s="633" t="s">
        <v>2312</v>
      </c>
      <c r="N659" s="223"/>
      <c r="O659" s="631">
        <f t="shared" si="64"/>
        <v>0</v>
      </c>
    </row>
    <row r="660" spans="1:15" s="360" customFormat="1" ht="15" hidden="1">
      <c r="A660" s="356" t="s">
        <v>1258</v>
      </c>
      <c r="B660" s="632" t="s">
        <v>548</v>
      </c>
      <c r="C660" s="611">
        <f t="shared" si="62"/>
        <v>0</v>
      </c>
      <c r="D660" s="354"/>
      <c r="E660" s="15">
        <f t="shared" si="59"/>
        <v>141.66666666666666</v>
      </c>
      <c r="F660" s="792">
        <f t="shared" si="58"/>
        <v>0</v>
      </c>
      <c r="G660" s="358">
        <f>'PART-A'!I3502</f>
        <v>0</v>
      </c>
      <c r="H660" s="354" t="s">
        <v>277</v>
      </c>
      <c r="I660" s="355">
        <f>'PART-A'!K3502</f>
        <v>141.66666666666666</v>
      </c>
      <c r="J660" s="353">
        <f t="shared" si="63"/>
        <v>0</v>
      </c>
      <c r="K660" s="1681"/>
      <c r="L660" s="1681"/>
      <c r="M660" s="633" t="s">
        <v>2313</v>
      </c>
      <c r="N660" s="223"/>
      <c r="O660" s="631">
        <f t="shared" si="64"/>
        <v>0</v>
      </c>
    </row>
    <row r="661" spans="1:15" s="360" customFormat="1" ht="38.25" hidden="1">
      <c r="A661" s="356" t="s">
        <v>1589</v>
      </c>
      <c r="B661" s="632" t="s">
        <v>3229</v>
      </c>
      <c r="C661" s="611">
        <f t="shared" si="62"/>
        <v>0</v>
      </c>
      <c r="D661" s="791" t="s">
        <v>277</v>
      </c>
      <c r="E661" s="15">
        <f t="shared" si="59"/>
        <v>81.333333333333329</v>
      </c>
      <c r="F661" s="792">
        <f t="shared" si="58"/>
        <v>0</v>
      </c>
      <c r="G661" s="358">
        <f>'PART-A'!I3089</f>
        <v>0</v>
      </c>
      <c r="H661" s="354" t="s">
        <v>277</v>
      </c>
      <c r="I661" s="355">
        <f>'PART-A'!K3089</f>
        <v>81.333333333333329</v>
      </c>
      <c r="J661" s="353">
        <f t="shared" si="63"/>
        <v>0</v>
      </c>
      <c r="K661" s="1679">
        <f>IF((J661+J662+J663+J664)&gt;(F661+F662+F663+F664),(J661+J662+J663+J664)-(F661+F662+F663+F664),0)</f>
        <v>0</v>
      </c>
      <c r="L661" s="1679">
        <f>IF((J661+J662+J663+J664)&lt;(F661+F662+F663+F664),(F661+F662+F663+F664)-(J661+J662+J663+J664),0)</f>
        <v>0</v>
      </c>
      <c r="M661" s="633" t="s">
        <v>2217</v>
      </c>
      <c r="N661" s="223"/>
      <c r="O661" s="631">
        <f t="shared" si="64"/>
        <v>0</v>
      </c>
    </row>
    <row r="662" spans="1:15" s="360" customFormat="1" ht="15" hidden="1">
      <c r="A662" s="356" t="s">
        <v>2687</v>
      </c>
      <c r="B662" s="632" t="s">
        <v>549</v>
      </c>
      <c r="C662" s="611">
        <f t="shared" si="62"/>
        <v>0</v>
      </c>
      <c r="D662" s="354"/>
      <c r="E662" s="15">
        <f t="shared" si="59"/>
        <v>81.333333333333329</v>
      </c>
      <c r="F662" s="792">
        <f t="shared" si="58"/>
        <v>0</v>
      </c>
      <c r="G662" s="358">
        <f>'PART-A'!I3227</f>
        <v>0</v>
      </c>
      <c r="H662" s="354" t="s">
        <v>277</v>
      </c>
      <c r="I662" s="355">
        <f>'PART-A'!K3227</f>
        <v>81.333333333333329</v>
      </c>
      <c r="J662" s="353">
        <f t="shared" si="63"/>
        <v>0</v>
      </c>
      <c r="K662" s="1680"/>
      <c r="L662" s="1680"/>
      <c r="M662" s="633" t="s">
        <v>2299</v>
      </c>
      <c r="N662" s="223"/>
      <c r="O662" s="631">
        <f t="shared" si="64"/>
        <v>0</v>
      </c>
    </row>
    <row r="663" spans="1:15" s="360" customFormat="1" ht="15" hidden="1">
      <c r="A663" s="356" t="s">
        <v>526</v>
      </c>
      <c r="B663" s="632" t="s">
        <v>549</v>
      </c>
      <c r="C663" s="611">
        <f t="shared" si="62"/>
        <v>0</v>
      </c>
      <c r="D663" s="354"/>
      <c r="E663" s="15">
        <f t="shared" si="59"/>
        <v>84.666666666666671</v>
      </c>
      <c r="F663" s="792">
        <f t="shared" si="58"/>
        <v>0</v>
      </c>
      <c r="G663" s="358">
        <f>'PART-A'!I3369</f>
        <v>0</v>
      </c>
      <c r="H663" s="354" t="s">
        <v>277</v>
      </c>
      <c r="I663" s="355">
        <f>'PART-A'!K3369</f>
        <v>84.666666666666671</v>
      </c>
      <c r="J663" s="353">
        <f t="shared" si="63"/>
        <v>0</v>
      </c>
      <c r="K663" s="1680"/>
      <c r="L663" s="1680"/>
      <c r="M663" s="633" t="s">
        <v>2312</v>
      </c>
      <c r="N663" s="223"/>
      <c r="O663" s="631">
        <f t="shared" si="64"/>
        <v>0</v>
      </c>
    </row>
    <row r="664" spans="1:15" s="360" customFormat="1" ht="38.25" hidden="1">
      <c r="A664" s="356" t="s">
        <v>1579</v>
      </c>
      <c r="B664" s="632" t="s">
        <v>3229</v>
      </c>
      <c r="C664" s="611">
        <f t="shared" si="62"/>
        <v>0</v>
      </c>
      <c r="D664" s="354"/>
      <c r="E664" s="10">
        <f t="shared" si="59"/>
        <v>89</v>
      </c>
      <c r="F664" s="792">
        <f t="shared" si="58"/>
        <v>0</v>
      </c>
      <c r="G664" s="358">
        <f>'PART-A'!I3507</f>
        <v>0</v>
      </c>
      <c r="H664" s="354" t="s">
        <v>277</v>
      </c>
      <c r="I664" s="355">
        <f>'PART-A'!K3507</f>
        <v>89</v>
      </c>
      <c r="J664" s="353">
        <f t="shared" si="63"/>
        <v>0</v>
      </c>
      <c r="K664" s="1695"/>
      <c r="L664" s="1695"/>
      <c r="M664" s="851" t="s">
        <v>2313</v>
      </c>
      <c r="N664" s="223"/>
      <c r="O664" s="850">
        <f t="shared" si="64"/>
        <v>0</v>
      </c>
    </row>
    <row r="665" spans="1:15" s="360" customFormat="1" ht="25.5" hidden="1">
      <c r="A665" s="356" t="s">
        <v>1575</v>
      </c>
      <c r="B665" s="632" t="s">
        <v>3230</v>
      </c>
      <c r="C665" s="611">
        <f t="shared" si="62"/>
        <v>0</v>
      </c>
      <c r="D665" s="791" t="s">
        <v>277</v>
      </c>
      <c r="E665" s="15">
        <f t="shared" si="59"/>
        <v>70</v>
      </c>
      <c r="F665" s="792">
        <f t="shared" si="58"/>
        <v>0</v>
      </c>
      <c r="G665" s="358">
        <f>'PART-A'!I3095</f>
        <v>0</v>
      </c>
      <c r="H665" s="354" t="s">
        <v>277</v>
      </c>
      <c r="I665" s="355">
        <f>'PART-A'!K3095</f>
        <v>70</v>
      </c>
      <c r="J665" s="353">
        <f t="shared" si="63"/>
        <v>0</v>
      </c>
      <c r="K665" s="1679">
        <f>IF((J665+J666+J667+J668)&gt;(F665+F666+F667+F668),(J665+J666+J667+J668)-(F665+F666+F667+F668),0)</f>
        <v>0</v>
      </c>
      <c r="L665" s="1679">
        <f>IF((J665+J666+J667+J668)&lt;(F665+F666+F667+F668),(F665+F666+F667+F668)-(J665+J666+J667+J668),0)</f>
        <v>0</v>
      </c>
      <c r="M665" s="633" t="s">
        <v>2217</v>
      </c>
      <c r="N665" s="223"/>
      <c r="O665" s="631">
        <f t="shared" si="64"/>
        <v>0</v>
      </c>
    </row>
    <row r="666" spans="1:15" s="360" customFormat="1" ht="15" hidden="1">
      <c r="A666" s="356" t="s">
        <v>2689</v>
      </c>
      <c r="B666" s="632" t="s">
        <v>550</v>
      </c>
      <c r="C666" s="611">
        <f t="shared" si="62"/>
        <v>0</v>
      </c>
      <c r="D666" s="354"/>
      <c r="E666" s="15">
        <f t="shared" si="59"/>
        <v>70</v>
      </c>
      <c r="F666" s="792">
        <f t="shared" si="58"/>
        <v>0</v>
      </c>
      <c r="G666" s="358">
        <f>'PART-A'!I3233</f>
        <v>0</v>
      </c>
      <c r="H666" s="354" t="s">
        <v>277</v>
      </c>
      <c r="I666" s="355">
        <f>'PART-A'!K3233</f>
        <v>70</v>
      </c>
      <c r="J666" s="353">
        <f t="shared" si="63"/>
        <v>0</v>
      </c>
      <c r="K666" s="1680"/>
      <c r="L666" s="1680"/>
      <c r="M666" s="633" t="s">
        <v>2299</v>
      </c>
      <c r="N666" s="223"/>
      <c r="O666" s="631">
        <f t="shared" si="64"/>
        <v>0</v>
      </c>
    </row>
    <row r="667" spans="1:15" s="360" customFormat="1" ht="15" hidden="1">
      <c r="A667" s="356" t="s">
        <v>1578</v>
      </c>
      <c r="B667" s="632" t="s">
        <v>550</v>
      </c>
      <c r="C667" s="611">
        <f t="shared" si="62"/>
        <v>0</v>
      </c>
      <c r="D667" s="354"/>
      <c r="E667" s="15">
        <f t="shared" si="59"/>
        <v>74</v>
      </c>
      <c r="F667" s="792">
        <f t="shared" si="58"/>
        <v>0</v>
      </c>
      <c r="G667" s="358">
        <f>'PART-A'!I3375</f>
        <v>0</v>
      </c>
      <c r="H667" s="354" t="s">
        <v>277</v>
      </c>
      <c r="I667" s="355">
        <f>'PART-A'!K3375</f>
        <v>74</v>
      </c>
      <c r="J667" s="353">
        <f t="shared" si="63"/>
        <v>0</v>
      </c>
      <c r="K667" s="1680"/>
      <c r="L667" s="1680"/>
      <c r="M667" s="633" t="s">
        <v>2312</v>
      </c>
      <c r="N667" s="223"/>
      <c r="O667" s="631">
        <f t="shared" si="64"/>
        <v>0</v>
      </c>
    </row>
    <row r="668" spans="1:15" s="360" customFormat="1" ht="25.5" hidden="1">
      <c r="A668" s="356" t="s">
        <v>529</v>
      </c>
      <c r="B668" s="632" t="s">
        <v>3230</v>
      </c>
      <c r="C668" s="611">
        <f t="shared" si="62"/>
        <v>0</v>
      </c>
      <c r="D668" s="354"/>
      <c r="E668" s="10">
        <f t="shared" si="59"/>
        <v>79</v>
      </c>
      <c r="F668" s="792">
        <f t="shared" si="58"/>
        <v>0</v>
      </c>
      <c r="G668" s="358">
        <f>'PART-A'!I3513</f>
        <v>0</v>
      </c>
      <c r="H668" s="354" t="s">
        <v>277</v>
      </c>
      <c r="I668" s="355">
        <f>'PART-A'!K3513</f>
        <v>79</v>
      </c>
      <c r="J668" s="353">
        <f t="shared" si="63"/>
        <v>0</v>
      </c>
      <c r="K668" s="1695"/>
      <c r="L668" s="1695"/>
      <c r="M668" s="851" t="s">
        <v>2313</v>
      </c>
      <c r="N668" s="223"/>
      <c r="O668" s="850">
        <f t="shared" si="64"/>
        <v>0</v>
      </c>
    </row>
    <row r="669" spans="1:15" s="360" customFormat="1" ht="15" hidden="1">
      <c r="A669" s="356" t="s">
        <v>1590</v>
      </c>
      <c r="B669" s="357" t="s">
        <v>2436</v>
      </c>
      <c r="C669" s="611">
        <f t="shared" si="62"/>
        <v>0</v>
      </c>
      <c r="D669" s="791" t="s">
        <v>115</v>
      </c>
      <c r="E669" s="15">
        <f t="shared" si="59"/>
        <v>0</v>
      </c>
      <c r="F669" s="792">
        <f t="shared" si="58"/>
        <v>0</v>
      </c>
      <c r="G669" s="358"/>
      <c r="H669" s="354"/>
      <c r="I669" s="355"/>
      <c r="J669" s="353">
        <f t="shared" si="63"/>
        <v>0</v>
      </c>
      <c r="K669" s="669">
        <f t="shared" ref="K669" si="65">IF(J669&gt;F669,J669-F669,0)</f>
        <v>0</v>
      </c>
      <c r="L669" s="368">
        <f t="shared" ref="L669" si="66">IF(J669&lt;F669,F669-J669,0)</f>
        <v>0</v>
      </c>
      <c r="M669" s="633" t="s">
        <v>2217</v>
      </c>
      <c r="N669" s="223"/>
      <c r="O669" s="631">
        <f t="shared" si="64"/>
        <v>0</v>
      </c>
    </row>
    <row r="670" spans="1:15" s="360" customFormat="1" ht="38.25" hidden="1">
      <c r="A670" s="356" t="s">
        <v>1576</v>
      </c>
      <c r="B670" s="632" t="s">
        <v>3231</v>
      </c>
      <c r="C670" s="611">
        <f t="shared" si="62"/>
        <v>0</v>
      </c>
      <c r="D670" s="791" t="s">
        <v>115</v>
      </c>
      <c r="E670" s="15">
        <f t="shared" si="59"/>
        <v>4776</v>
      </c>
      <c r="F670" s="792">
        <f t="shared" si="58"/>
        <v>0</v>
      </c>
      <c r="G670" s="358">
        <f>'PART-A'!I3100</f>
        <v>0</v>
      </c>
      <c r="H670" s="354" t="s">
        <v>115</v>
      </c>
      <c r="I670" s="355">
        <f>'PART-A'!K3100</f>
        <v>4776</v>
      </c>
      <c r="J670" s="353">
        <f t="shared" si="63"/>
        <v>0</v>
      </c>
      <c r="K670" s="1679">
        <f>IF((J670+J671+J672+J673)&gt;(F670+F671+F672+F673),(J670+J671+J672+J673)-(F670+F671+F672+F673),0)</f>
        <v>0</v>
      </c>
      <c r="L670" s="1679">
        <f>IF((J670+J671+J672+J673)&lt;(F670+F671+F672+F673),(F670+F671+F672+F673)-(J670+J671+J672+J673),0)</f>
        <v>0</v>
      </c>
      <c r="M670" s="633" t="s">
        <v>2217</v>
      </c>
      <c r="N670" s="223"/>
      <c r="O670" s="631">
        <f t="shared" si="64"/>
        <v>0</v>
      </c>
    </row>
    <row r="671" spans="1:15" s="360" customFormat="1" ht="15" hidden="1">
      <c r="A671" s="356" t="s">
        <v>2692</v>
      </c>
      <c r="B671" s="632" t="s">
        <v>551</v>
      </c>
      <c r="C671" s="611">
        <f t="shared" si="62"/>
        <v>0</v>
      </c>
      <c r="D671" s="354"/>
      <c r="E671" s="15">
        <f t="shared" si="59"/>
        <v>4776</v>
      </c>
      <c r="F671" s="792">
        <f t="shared" si="58"/>
        <v>0</v>
      </c>
      <c r="G671" s="358">
        <f>'PART-A'!I3238</f>
        <v>0</v>
      </c>
      <c r="H671" s="354" t="s">
        <v>115</v>
      </c>
      <c r="I671" s="355">
        <f>'PART-A'!K3238</f>
        <v>4776</v>
      </c>
      <c r="J671" s="353">
        <f t="shared" si="63"/>
        <v>0</v>
      </c>
      <c r="K671" s="1680"/>
      <c r="L671" s="1680"/>
      <c r="M671" s="633" t="s">
        <v>2299</v>
      </c>
      <c r="N671" s="223"/>
      <c r="O671" s="631">
        <f t="shared" si="64"/>
        <v>0</v>
      </c>
    </row>
    <row r="672" spans="1:15" s="360" customFormat="1" ht="15" hidden="1">
      <c r="A672" s="356" t="s">
        <v>1158</v>
      </c>
      <c r="B672" s="632" t="s">
        <v>551</v>
      </c>
      <c r="C672" s="611">
        <f t="shared" si="62"/>
        <v>0</v>
      </c>
      <c r="D672" s="354"/>
      <c r="E672" s="15">
        <f t="shared" si="59"/>
        <v>5006</v>
      </c>
      <c r="F672" s="792">
        <f t="shared" si="58"/>
        <v>0</v>
      </c>
      <c r="G672" s="358">
        <f>'PART-A'!I3380</f>
        <v>0</v>
      </c>
      <c r="H672" s="354" t="s">
        <v>115</v>
      </c>
      <c r="I672" s="355">
        <f>'PART-A'!K3380</f>
        <v>5006</v>
      </c>
      <c r="J672" s="353">
        <f t="shared" si="63"/>
        <v>0</v>
      </c>
      <c r="K672" s="1680"/>
      <c r="L672" s="1680"/>
      <c r="M672" s="633" t="s">
        <v>2312</v>
      </c>
      <c r="N672" s="223"/>
      <c r="O672" s="631">
        <f t="shared" si="64"/>
        <v>0</v>
      </c>
    </row>
    <row r="673" spans="1:15" s="360" customFormat="1" ht="38.25" hidden="1">
      <c r="A673" s="356" t="s">
        <v>530</v>
      </c>
      <c r="B673" s="632" t="s">
        <v>3231</v>
      </c>
      <c r="C673" s="611">
        <f t="shared" si="62"/>
        <v>0</v>
      </c>
      <c r="D673" s="354"/>
      <c r="E673" s="10">
        <f t="shared" si="59"/>
        <v>5297</v>
      </c>
      <c r="F673" s="792">
        <f t="shared" si="58"/>
        <v>0</v>
      </c>
      <c r="G673" s="358">
        <f>'PART-A'!I3518</f>
        <v>0</v>
      </c>
      <c r="H673" s="354" t="s">
        <v>115</v>
      </c>
      <c r="I673" s="355">
        <f>'PART-A'!K3518</f>
        <v>5297</v>
      </c>
      <c r="J673" s="353">
        <f t="shared" si="63"/>
        <v>0</v>
      </c>
      <c r="K673" s="1695"/>
      <c r="L673" s="1695"/>
      <c r="M673" s="851" t="s">
        <v>2313</v>
      </c>
      <c r="N673" s="223"/>
      <c r="O673" s="850">
        <f t="shared" si="64"/>
        <v>0</v>
      </c>
    </row>
    <row r="674" spans="1:15" s="360" customFormat="1" ht="15" hidden="1">
      <c r="A674" s="356" t="s">
        <v>644</v>
      </c>
      <c r="B674" s="632" t="s">
        <v>633</v>
      </c>
      <c r="C674" s="611">
        <f t="shared" si="62"/>
        <v>0</v>
      </c>
      <c r="D674" s="354"/>
      <c r="E674" s="15">
        <f t="shared" si="59"/>
        <v>934</v>
      </c>
      <c r="F674" s="792">
        <f t="shared" si="58"/>
        <v>0</v>
      </c>
      <c r="G674" s="358">
        <f>'PART-A'!I3105</f>
        <v>0</v>
      </c>
      <c r="H674" s="354" t="s">
        <v>115</v>
      </c>
      <c r="I674" s="355">
        <f>'PART-A'!K3105</f>
        <v>934</v>
      </c>
      <c r="J674" s="353">
        <f t="shared" si="63"/>
        <v>0</v>
      </c>
      <c r="K674" s="1679">
        <f>IF((J674+J675+J676+J677)&gt;(F674+F675+F676+F677),(J674+J675+J676+J677)-(F674+F675+F676+F677),0)</f>
        <v>0</v>
      </c>
      <c r="L674" s="1679">
        <f>IF((J674+J675+J676+J677)&lt;(F674+F675+F676+F677),(F674+F675+F676+F677)-(J674+J675+J676+J677),0)</f>
        <v>0</v>
      </c>
      <c r="M674" s="633" t="s">
        <v>2217</v>
      </c>
      <c r="N674" s="223"/>
      <c r="O674" s="631">
        <f t="shared" si="64"/>
        <v>0</v>
      </c>
    </row>
    <row r="675" spans="1:15" s="360" customFormat="1" ht="15" hidden="1">
      <c r="A675" s="356" t="s">
        <v>644</v>
      </c>
      <c r="B675" s="632" t="s">
        <v>633</v>
      </c>
      <c r="C675" s="611">
        <f t="shared" si="62"/>
        <v>0</v>
      </c>
      <c r="D675" s="354"/>
      <c r="E675" s="15">
        <f t="shared" si="59"/>
        <v>934</v>
      </c>
      <c r="F675" s="792">
        <f t="shared" si="58"/>
        <v>0</v>
      </c>
      <c r="G675" s="358">
        <f>'PART-A'!I3243</f>
        <v>0</v>
      </c>
      <c r="H675" s="354" t="s">
        <v>115</v>
      </c>
      <c r="I675" s="355">
        <f>'PART-A'!K3243</f>
        <v>934</v>
      </c>
      <c r="J675" s="353">
        <f t="shared" si="63"/>
        <v>0</v>
      </c>
      <c r="K675" s="1680"/>
      <c r="L675" s="1680"/>
      <c r="M675" s="633" t="s">
        <v>2299</v>
      </c>
      <c r="N675" s="223"/>
      <c r="O675" s="631">
        <f t="shared" si="64"/>
        <v>0</v>
      </c>
    </row>
    <row r="676" spans="1:15" s="360" customFormat="1" ht="15" hidden="1">
      <c r="A676" s="356" t="s">
        <v>644</v>
      </c>
      <c r="B676" s="632" t="s">
        <v>633</v>
      </c>
      <c r="C676" s="611">
        <f t="shared" si="62"/>
        <v>0</v>
      </c>
      <c r="D676" s="354"/>
      <c r="E676" s="15">
        <f t="shared" si="59"/>
        <v>979</v>
      </c>
      <c r="F676" s="792">
        <f t="shared" si="58"/>
        <v>0</v>
      </c>
      <c r="G676" s="358">
        <f>'PART-A'!I3385</f>
        <v>0</v>
      </c>
      <c r="H676" s="354" t="s">
        <v>115</v>
      </c>
      <c r="I676" s="355">
        <f>'PART-A'!K3385</f>
        <v>979</v>
      </c>
      <c r="J676" s="353">
        <f t="shared" si="63"/>
        <v>0</v>
      </c>
      <c r="K676" s="1680"/>
      <c r="L676" s="1680"/>
      <c r="M676" s="633" t="s">
        <v>2312</v>
      </c>
      <c r="N676" s="223"/>
      <c r="O676" s="631">
        <f t="shared" si="64"/>
        <v>0</v>
      </c>
    </row>
    <row r="677" spans="1:15" s="360" customFormat="1" ht="15" hidden="1">
      <c r="A677" s="356" t="s">
        <v>644</v>
      </c>
      <c r="B677" s="632" t="s">
        <v>633</v>
      </c>
      <c r="C677" s="611">
        <f t="shared" si="62"/>
        <v>0</v>
      </c>
      <c r="D677" s="354"/>
      <c r="E677" s="15">
        <f t="shared" si="59"/>
        <v>1036</v>
      </c>
      <c r="F677" s="792">
        <f t="shared" si="58"/>
        <v>0</v>
      </c>
      <c r="G677" s="358">
        <f>'PART-A'!I3523</f>
        <v>0</v>
      </c>
      <c r="H677" s="354" t="s">
        <v>115</v>
      </c>
      <c r="I677" s="355">
        <f>'PART-A'!K3523</f>
        <v>1036</v>
      </c>
      <c r="J677" s="353">
        <f t="shared" si="63"/>
        <v>0</v>
      </c>
      <c r="K677" s="1681"/>
      <c r="L677" s="1681"/>
      <c r="M677" s="633" t="s">
        <v>2313</v>
      </c>
      <c r="N677" s="223"/>
      <c r="O677" s="631">
        <f t="shared" si="64"/>
        <v>0</v>
      </c>
    </row>
    <row r="678" spans="1:15" s="360" customFormat="1" ht="38.25" hidden="1">
      <c r="A678" s="356" t="s">
        <v>1577</v>
      </c>
      <c r="B678" s="632" t="s">
        <v>3232</v>
      </c>
      <c r="C678" s="611">
        <f t="shared" si="62"/>
        <v>0</v>
      </c>
      <c r="D678" s="791" t="s">
        <v>115</v>
      </c>
      <c r="E678" s="15">
        <f t="shared" si="59"/>
        <v>1827</v>
      </c>
      <c r="F678" s="792">
        <f t="shared" si="58"/>
        <v>0</v>
      </c>
      <c r="G678" s="358">
        <f>'PART-A'!I3115</f>
        <v>0</v>
      </c>
      <c r="H678" s="354" t="s">
        <v>115</v>
      </c>
      <c r="I678" s="355">
        <f>'PART-A'!K3115</f>
        <v>1827</v>
      </c>
      <c r="J678" s="353">
        <f t="shared" si="63"/>
        <v>0</v>
      </c>
      <c r="K678" s="1679">
        <f>IF((J678+J679+J680+J681)&gt;(F678+F679+F680+F681),(J678+J679+J680+J681)-(F678+F679+F680+F681),0)</f>
        <v>0</v>
      </c>
      <c r="L678" s="1679">
        <f>IF((J678+J679+J680+J681)&lt;(F678+F679+F680+F681),(F678+F679+F680+F681)-(J678+J679+J680+J681),0)</f>
        <v>0</v>
      </c>
      <c r="M678" s="633" t="s">
        <v>2217</v>
      </c>
      <c r="N678" s="223"/>
      <c r="O678" s="631">
        <f t="shared" si="64"/>
        <v>0</v>
      </c>
    </row>
    <row r="679" spans="1:15" s="360" customFormat="1" ht="15" hidden="1">
      <c r="A679" s="356" t="s">
        <v>2694</v>
      </c>
      <c r="B679" s="632" t="s">
        <v>634</v>
      </c>
      <c r="C679" s="611">
        <f t="shared" si="62"/>
        <v>0</v>
      </c>
      <c r="D679" s="354"/>
      <c r="E679" s="15">
        <f t="shared" si="59"/>
        <v>1827</v>
      </c>
      <c r="F679" s="792">
        <f t="shared" si="58"/>
        <v>0</v>
      </c>
      <c r="G679" s="358">
        <f>'PART-A'!I3253</f>
        <v>0</v>
      </c>
      <c r="H679" s="354" t="s">
        <v>115</v>
      </c>
      <c r="I679" s="355">
        <f>'PART-A'!K3253</f>
        <v>1827</v>
      </c>
      <c r="J679" s="353">
        <f t="shared" si="63"/>
        <v>0</v>
      </c>
      <c r="K679" s="1680"/>
      <c r="L679" s="1680"/>
      <c r="M679" s="633" t="s">
        <v>2299</v>
      </c>
      <c r="N679" s="223"/>
      <c r="O679" s="631">
        <f t="shared" si="64"/>
        <v>0</v>
      </c>
    </row>
    <row r="680" spans="1:15" s="360" customFormat="1" ht="15" hidden="1">
      <c r="A680" s="356" t="s">
        <v>1158</v>
      </c>
      <c r="B680" s="632" t="s">
        <v>634</v>
      </c>
      <c r="C680" s="611">
        <f t="shared" si="62"/>
        <v>0</v>
      </c>
      <c r="D680" s="354"/>
      <c r="E680" s="15">
        <f t="shared" si="59"/>
        <v>1915</v>
      </c>
      <c r="F680" s="792">
        <f t="shared" si="58"/>
        <v>0</v>
      </c>
      <c r="G680" s="358">
        <f>'PART-A'!I3395</f>
        <v>0</v>
      </c>
      <c r="H680" s="354" t="s">
        <v>115</v>
      </c>
      <c r="I680" s="355">
        <f>'PART-A'!K3395</f>
        <v>1915</v>
      </c>
      <c r="J680" s="353">
        <f t="shared" si="63"/>
        <v>0</v>
      </c>
      <c r="K680" s="1680"/>
      <c r="L680" s="1680"/>
      <c r="M680" s="633" t="s">
        <v>2312</v>
      </c>
      <c r="N680" s="223"/>
      <c r="O680" s="631">
        <f t="shared" si="64"/>
        <v>0</v>
      </c>
    </row>
    <row r="681" spans="1:15" s="360" customFormat="1" ht="15" hidden="1">
      <c r="A681" s="356" t="s">
        <v>1158</v>
      </c>
      <c r="B681" s="632" t="s">
        <v>634</v>
      </c>
      <c r="C681" s="611">
        <f t="shared" si="62"/>
        <v>0</v>
      </c>
      <c r="D681" s="354"/>
      <c r="E681" s="15">
        <f t="shared" si="59"/>
        <v>2025</v>
      </c>
      <c r="F681" s="792">
        <f t="shared" si="58"/>
        <v>0</v>
      </c>
      <c r="G681" s="358">
        <f>'PART-A'!I3533</f>
        <v>0</v>
      </c>
      <c r="H681" s="354" t="s">
        <v>115</v>
      </c>
      <c r="I681" s="355">
        <f>'PART-A'!K3533</f>
        <v>2025</v>
      </c>
      <c r="J681" s="353">
        <f t="shared" si="63"/>
        <v>0</v>
      </c>
      <c r="K681" s="1681"/>
      <c r="L681" s="1681"/>
      <c r="M681" s="633" t="s">
        <v>2313</v>
      </c>
      <c r="N681" s="223"/>
      <c r="O681" s="631">
        <f t="shared" si="64"/>
        <v>0</v>
      </c>
    </row>
    <row r="682" spans="1:15" s="360" customFormat="1" ht="15" hidden="1">
      <c r="A682" s="356" t="s">
        <v>1595</v>
      </c>
      <c r="B682" s="632" t="s">
        <v>1256</v>
      </c>
      <c r="C682" s="611">
        <f t="shared" si="62"/>
        <v>0</v>
      </c>
      <c r="D682" s="354"/>
      <c r="E682" s="15">
        <f t="shared" si="59"/>
        <v>2385</v>
      </c>
      <c r="F682" s="792">
        <f t="shared" si="58"/>
        <v>0</v>
      </c>
      <c r="G682" s="358">
        <f>'PART-A'!I3110</f>
        <v>0</v>
      </c>
      <c r="H682" s="354" t="s">
        <v>115</v>
      </c>
      <c r="I682" s="355">
        <f>'PART-A'!K3110</f>
        <v>2385</v>
      </c>
      <c r="J682" s="353">
        <f t="shared" si="63"/>
        <v>0</v>
      </c>
      <c r="K682" s="1679">
        <f>IF((J682+J683+J684+J685)&gt;(F682+F683+F684+F685),(J682+J683+J684+J685)-(F682+F683+F684+F685),0)</f>
        <v>0</v>
      </c>
      <c r="L682" s="1679">
        <f>IF((J682+J683+J684+J685)&lt;(F682+F683+F684+F685),(F682+F683+F684+F685)-(J682+J683+J684+J685),0)</f>
        <v>0</v>
      </c>
      <c r="M682" s="633" t="s">
        <v>2217</v>
      </c>
      <c r="N682" s="223"/>
      <c r="O682" s="631">
        <f t="shared" si="64"/>
        <v>0</v>
      </c>
    </row>
    <row r="683" spans="1:15" s="360" customFormat="1" ht="15" hidden="1">
      <c r="A683" s="356" t="s">
        <v>2690</v>
      </c>
      <c r="B683" s="632" t="s">
        <v>1256</v>
      </c>
      <c r="C683" s="611">
        <f t="shared" si="62"/>
        <v>0</v>
      </c>
      <c r="D683" s="354"/>
      <c r="E683" s="15">
        <f t="shared" si="59"/>
        <v>2385</v>
      </c>
      <c r="F683" s="792">
        <f t="shared" si="58"/>
        <v>0</v>
      </c>
      <c r="G683" s="358">
        <f>'PART-A'!I3248</f>
        <v>0</v>
      </c>
      <c r="H683" s="354" t="s">
        <v>115</v>
      </c>
      <c r="I683" s="355">
        <f>'PART-A'!K3248</f>
        <v>2385</v>
      </c>
      <c r="J683" s="353">
        <f t="shared" si="63"/>
        <v>0</v>
      </c>
      <c r="K683" s="1680"/>
      <c r="L683" s="1680"/>
      <c r="M683" s="633" t="s">
        <v>2299</v>
      </c>
      <c r="N683" s="223"/>
      <c r="O683" s="631">
        <f t="shared" si="64"/>
        <v>0</v>
      </c>
    </row>
    <row r="684" spans="1:15" s="360" customFormat="1" ht="15" hidden="1">
      <c r="A684" s="356" t="s">
        <v>1595</v>
      </c>
      <c r="B684" s="632" t="s">
        <v>1256</v>
      </c>
      <c r="C684" s="611">
        <f t="shared" si="62"/>
        <v>0</v>
      </c>
      <c r="D684" s="354"/>
      <c r="E684" s="15">
        <f t="shared" si="59"/>
        <v>2499</v>
      </c>
      <c r="F684" s="792">
        <f t="shared" si="58"/>
        <v>0</v>
      </c>
      <c r="G684" s="358">
        <f>'PART-A'!I3390</f>
        <v>0</v>
      </c>
      <c r="H684" s="354" t="s">
        <v>115</v>
      </c>
      <c r="I684" s="355">
        <f>'PART-A'!K3390</f>
        <v>2499</v>
      </c>
      <c r="J684" s="353">
        <f t="shared" si="63"/>
        <v>0</v>
      </c>
      <c r="K684" s="1680"/>
      <c r="L684" s="1680"/>
      <c r="M684" s="633" t="s">
        <v>2312</v>
      </c>
      <c r="N684" s="223"/>
      <c r="O684" s="631">
        <f t="shared" si="64"/>
        <v>0</v>
      </c>
    </row>
    <row r="685" spans="1:15" s="360" customFormat="1" ht="15" hidden="1">
      <c r="A685" s="356" t="s">
        <v>1595</v>
      </c>
      <c r="B685" s="632" t="s">
        <v>1256</v>
      </c>
      <c r="C685" s="611">
        <f t="shared" si="62"/>
        <v>0</v>
      </c>
      <c r="D685" s="354"/>
      <c r="E685" s="15">
        <f t="shared" si="59"/>
        <v>2644</v>
      </c>
      <c r="F685" s="792">
        <f t="shared" si="58"/>
        <v>0</v>
      </c>
      <c r="G685" s="358">
        <f>'PART-A'!I3528</f>
        <v>0</v>
      </c>
      <c r="H685" s="354" t="s">
        <v>115</v>
      </c>
      <c r="I685" s="355">
        <f>'PART-A'!K3528</f>
        <v>2644</v>
      </c>
      <c r="J685" s="353">
        <f t="shared" si="63"/>
        <v>0</v>
      </c>
      <c r="K685" s="1681"/>
      <c r="L685" s="1681"/>
      <c r="M685" s="633" t="s">
        <v>2313</v>
      </c>
      <c r="N685" s="223"/>
      <c r="O685" s="631">
        <f t="shared" si="64"/>
        <v>0</v>
      </c>
    </row>
    <row r="686" spans="1:15" s="360" customFormat="1" ht="25.5" hidden="1">
      <c r="A686" s="356" t="s">
        <v>1145</v>
      </c>
      <c r="B686" s="632" t="s">
        <v>3233</v>
      </c>
      <c r="C686" s="611">
        <f t="shared" si="62"/>
        <v>0</v>
      </c>
      <c r="D686" s="791" t="s">
        <v>115</v>
      </c>
      <c r="E686" s="15">
        <f t="shared" si="59"/>
        <v>122</v>
      </c>
      <c r="F686" s="792">
        <f t="shared" si="58"/>
        <v>0</v>
      </c>
      <c r="G686" s="358">
        <f>'PART-A'!I3120</f>
        <v>0</v>
      </c>
      <c r="H686" s="354" t="s">
        <v>115</v>
      </c>
      <c r="I686" s="355">
        <f>'PART-A'!K3120</f>
        <v>122</v>
      </c>
      <c r="J686" s="353">
        <f t="shared" si="63"/>
        <v>0</v>
      </c>
      <c r="K686" s="1679">
        <f>IF((J686+J687+J688+J689)&gt;(F686+F687+F688+F689),(J686+J687+J688+J689)-(F686+F687+F688+F689),0)</f>
        <v>0</v>
      </c>
      <c r="L686" s="1679">
        <f>IF((J686+J687+J688+J689)&lt;(F686+F687+F688+F689),(F686+F687+F688+F689)-(J686+J687+J688+J689),0)</f>
        <v>0</v>
      </c>
      <c r="M686" s="633" t="s">
        <v>2217</v>
      </c>
      <c r="N686" s="223"/>
      <c r="O686" s="631">
        <f t="shared" si="64"/>
        <v>0</v>
      </c>
    </row>
    <row r="687" spans="1:15" s="360" customFormat="1" ht="15" hidden="1">
      <c r="A687" s="356" t="s">
        <v>1159</v>
      </c>
      <c r="B687" s="632" t="s">
        <v>719</v>
      </c>
      <c r="C687" s="611">
        <f t="shared" si="62"/>
        <v>0</v>
      </c>
      <c r="D687" s="354"/>
      <c r="E687" s="15">
        <f t="shared" si="59"/>
        <v>86</v>
      </c>
      <c r="F687" s="792">
        <f t="shared" si="58"/>
        <v>0</v>
      </c>
      <c r="G687" s="358">
        <f>'PART-A'!I3258</f>
        <v>0</v>
      </c>
      <c r="H687" s="354" t="s">
        <v>115</v>
      </c>
      <c r="I687" s="355">
        <f>'PART-A'!K3258</f>
        <v>86</v>
      </c>
      <c r="J687" s="353">
        <f t="shared" si="63"/>
        <v>0</v>
      </c>
      <c r="K687" s="1680"/>
      <c r="L687" s="1680"/>
      <c r="M687" s="633" t="s">
        <v>2299</v>
      </c>
      <c r="N687" s="223"/>
      <c r="O687" s="631">
        <f t="shared" si="64"/>
        <v>0</v>
      </c>
    </row>
    <row r="688" spans="1:15" s="360" customFormat="1" ht="15" hidden="1">
      <c r="A688" s="356" t="s">
        <v>1259</v>
      </c>
      <c r="B688" s="632" t="s">
        <v>719</v>
      </c>
      <c r="C688" s="611">
        <f t="shared" si="62"/>
        <v>0</v>
      </c>
      <c r="D688" s="354"/>
      <c r="E688" s="15">
        <f t="shared" si="59"/>
        <v>89</v>
      </c>
      <c r="F688" s="792">
        <f t="shared" ref="F688:F751" si="67">ROUND(C688*E688,0)</f>
        <v>0</v>
      </c>
      <c r="G688" s="358">
        <f>'PART-A'!I3400</f>
        <v>0</v>
      </c>
      <c r="H688" s="354" t="s">
        <v>115</v>
      </c>
      <c r="I688" s="355">
        <f>'PART-A'!K3400</f>
        <v>89</v>
      </c>
      <c r="J688" s="353">
        <f t="shared" si="63"/>
        <v>0</v>
      </c>
      <c r="K688" s="1680"/>
      <c r="L688" s="1680"/>
      <c r="M688" s="633" t="s">
        <v>2312</v>
      </c>
      <c r="N688" s="223"/>
      <c r="O688" s="631">
        <f t="shared" si="64"/>
        <v>0</v>
      </c>
    </row>
    <row r="689" spans="1:15" s="360" customFormat="1" ht="25.5" hidden="1">
      <c r="A689" s="356" t="s">
        <v>531</v>
      </c>
      <c r="B689" s="632" t="s">
        <v>3233</v>
      </c>
      <c r="C689" s="611">
        <f t="shared" si="62"/>
        <v>0</v>
      </c>
      <c r="D689" s="354"/>
      <c r="E689" s="10">
        <f t="shared" ref="E689:E752" si="68">I689</f>
        <v>93</v>
      </c>
      <c r="F689" s="792">
        <f t="shared" si="67"/>
        <v>0</v>
      </c>
      <c r="G689" s="358">
        <f>'PART-A'!I3538</f>
        <v>0</v>
      </c>
      <c r="H689" s="354" t="s">
        <v>115</v>
      </c>
      <c r="I689" s="355">
        <f>'PART-A'!K3538</f>
        <v>93</v>
      </c>
      <c r="J689" s="353">
        <f t="shared" si="63"/>
        <v>0</v>
      </c>
      <c r="K689" s="1695"/>
      <c r="L689" s="1695"/>
      <c r="M689" s="851" t="s">
        <v>2313</v>
      </c>
      <c r="N689" s="223"/>
      <c r="O689" s="850">
        <f t="shared" si="64"/>
        <v>0</v>
      </c>
    </row>
    <row r="690" spans="1:15" s="360" customFormat="1" ht="15" hidden="1">
      <c r="A690" s="356" t="s">
        <v>1591</v>
      </c>
      <c r="B690" s="357" t="s">
        <v>2437</v>
      </c>
      <c r="C690" s="611">
        <f t="shared" si="62"/>
        <v>0</v>
      </c>
      <c r="D690" s="791" t="s">
        <v>115</v>
      </c>
      <c r="E690" s="15">
        <f t="shared" si="68"/>
        <v>0</v>
      </c>
      <c r="F690" s="792">
        <f t="shared" si="67"/>
        <v>0</v>
      </c>
      <c r="G690" s="358"/>
      <c r="H690" s="354"/>
      <c r="I690" s="355"/>
      <c r="J690" s="353">
        <f t="shared" si="63"/>
        <v>0</v>
      </c>
      <c r="K690" s="669">
        <f t="shared" ref="K690" si="69">IF(J690&gt;F690,J690-F690,0)</f>
        <v>0</v>
      </c>
      <c r="L690" s="368">
        <f t="shared" ref="L690" si="70">IF(J690&lt;F690,F690-J690,0)</f>
        <v>0</v>
      </c>
      <c r="M690" s="633" t="s">
        <v>2217</v>
      </c>
      <c r="N690" s="223"/>
      <c r="O690" s="631">
        <f t="shared" si="64"/>
        <v>0</v>
      </c>
    </row>
    <row r="691" spans="1:15" s="360" customFormat="1" ht="25.5" hidden="1">
      <c r="A691" s="356" t="s">
        <v>1592</v>
      </c>
      <c r="B691" s="632" t="s">
        <v>3234</v>
      </c>
      <c r="C691" s="611">
        <f t="shared" si="62"/>
        <v>0</v>
      </c>
      <c r="D691" s="791" t="s">
        <v>574</v>
      </c>
      <c r="E691" s="15">
        <f t="shared" si="68"/>
        <v>6</v>
      </c>
      <c r="F691" s="792">
        <f t="shared" si="67"/>
        <v>0</v>
      </c>
      <c r="G691" s="358">
        <f>'PART-A'!I3125</f>
        <v>0</v>
      </c>
      <c r="H691" s="354" t="s">
        <v>574</v>
      </c>
      <c r="I691" s="355">
        <f>'PART-A'!K3125</f>
        <v>6</v>
      </c>
      <c r="J691" s="353">
        <f t="shared" si="63"/>
        <v>0</v>
      </c>
      <c r="K691" s="1679">
        <f>IF((J691+J692+J693+J694)&gt;(F691+F692+F693+F694),(J691+J692+J693+J694)-(F691+F692+F693+F694),0)</f>
        <v>0</v>
      </c>
      <c r="L691" s="1679">
        <f>IF((J691+J692+J693+J694)&lt;(F691+F692+F693+F694),(F691+F692+F693+F694)-(J691+J692+J693+J694),0)</f>
        <v>0</v>
      </c>
      <c r="M691" s="633" t="s">
        <v>2217</v>
      </c>
      <c r="N691" s="223"/>
      <c r="O691" s="631">
        <f t="shared" si="64"/>
        <v>0</v>
      </c>
    </row>
    <row r="692" spans="1:15" s="360" customFormat="1" ht="15" hidden="1">
      <c r="A692" s="356" t="s">
        <v>1160</v>
      </c>
      <c r="B692" s="632" t="s">
        <v>552</v>
      </c>
      <c r="C692" s="611">
        <f t="shared" si="62"/>
        <v>0</v>
      </c>
      <c r="D692" s="354"/>
      <c r="E692" s="15">
        <f t="shared" si="68"/>
        <v>6</v>
      </c>
      <c r="F692" s="792">
        <f t="shared" si="67"/>
        <v>0</v>
      </c>
      <c r="G692" s="358">
        <f>'PART-A'!I3263</f>
        <v>0</v>
      </c>
      <c r="H692" s="354" t="s">
        <v>574</v>
      </c>
      <c r="I692" s="355">
        <f>'PART-A'!K3263</f>
        <v>6</v>
      </c>
      <c r="J692" s="353">
        <f t="shared" si="63"/>
        <v>0</v>
      </c>
      <c r="K692" s="1680"/>
      <c r="L692" s="1680"/>
      <c r="M692" s="633" t="s">
        <v>2299</v>
      </c>
      <c r="N692" s="223"/>
      <c r="O692" s="631">
        <f t="shared" si="64"/>
        <v>0</v>
      </c>
    </row>
    <row r="693" spans="1:15" s="360" customFormat="1" ht="15" hidden="1">
      <c r="A693" s="356" t="s">
        <v>1259</v>
      </c>
      <c r="B693" s="632" t="s">
        <v>552</v>
      </c>
      <c r="C693" s="611">
        <f t="shared" si="62"/>
        <v>0</v>
      </c>
      <c r="D693" s="354"/>
      <c r="E693" s="15">
        <f t="shared" si="68"/>
        <v>6</v>
      </c>
      <c r="F693" s="792">
        <f t="shared" si="67"/>
        <v>0</v>
      </c>
      <c r="G693" s="358">
        <f>'PART-A'!I3405</f>
        <v>0</v>
      </c>
      <c r="H693" s="354" t="s">
        <v>574</v>
      </c>
      <c r="I693" s="355">
        <f>'PART-A'!K3405</f>
        <v>6</v>
      </c>
      <c r="J693" s="353">
        <f t="shared" si="63"/>
        <v>0</v>
      </c>
      <c r="K693" s="1680"/>
      <c r="L693" s="1680"/>
      <c r="M693" s="633" t="s">
        <v>2312</v>
      </c>
      <c r="N693" s="223"/>
      <c r="O693" s="631">
        <f t="shared" si="64"/>
        <v>0</v>
      </c>
    </row>
    <row r="694" spans="1:15" s="360" customFormat="1" ht="25.5" hidden="1">
      <c r="A694" s="356" t="s">
        <v>532</v>
      </c>
      <c r="B694" s="632" t="s">
        <v>3234</v>
      </c>
      <c r="C694" s="611">
        <f t="shared" si="62"/>
        <v>0</v>
      </c>
      <c r="D694" s="354"/>
      <c r="E694" s="10">
        <f t="shared" si="68"/>
        <v>9.5</v>
      </c>
      <c r="F694" s="792">
        <f t="shared" si="67"/>
        <v>0</v>
      </c>
      <c r="G694" s="358">
        <f>'PART-A'!I3543</f>
        <v>0</v>
      </c>
      <c r="H694" s="354" t="s">
        <v>574</v>
      </c>
      <c r="I694" s="355">
        <f>'PART-A'!K3543</f>
        <v>9.5</v>
      </c>
      <c r="J694" s="353">
        <f t="shared" si="63"/>
        <v>0</v>
      </c>
      <c r="K694" s="1695"/>
      <c r="L694" s="1695"/>
      <c r="M694" s="851" t="s">
        <v>2313</v>
      </c>
      <c r="N694" s="223"/>
      <c r="O694" s="850">
        <f t="shared" si="64"/>
        <v>0</v>
      </c>
    </row>
    <row r="695" spans="1:15" s="360" customFormat="1" ht="15" hidden="1">
      <c r="A695" s="356" t="s">
        <v>1593</v>
      </c>
      <c r="B695" s="357" t="s">
        <v>2438</v>
      </c>
      <c r="C695" s="611">
        <f t="shared" si="62"/>
        <v>0</v>
      </c>
      <c r="D695" s="791" t="s">
        <v>115</v>
      </c>
      <c r="E695" s="15">
        <f t="shared" si="68"/>
        <v>0</v>
      </c>
      <c r="F695" s="792">
        <f t="shared" si="67"/>
        <v>0</v>
      </c>
      <c r="G695" s="358"/>
      <c r="H695" s="354"/>
      <c r="I695" s="355"/>
      <c r="J695" s="353">
        <f t="shared" si="63"/>
        <v>0</v>
      </c>
      <c r="K695" s="669">
        <f t="shared" ref="K695:K696" si="71">IF(J695&gt;F695,J695-F695,0)</f>
        <v>0</v>
      </c>
      <c r="L695" s="368">
        <f t="shared" ref="L695:L696" si="72">IF(J695&lt;F695,F695-J695,0)</f>
        <v>0</v>
      </c>
      <c r="M695" s="633" t="s">
        <v>2217</v>
      </c>
      <c r="N695" s="223"/>
      <c r="O695" s="631">
        <f t="shared" si="64"/>
        <v>0</v>
      </c>
    </row>
    <row r="696" spans="1:15" s="360" customFormat="1" ht="15" hidden="1">
      <c r="A696" s="356" t="s">
        <v>1594</v>
      </c>
      <c r="B696" s="357" t="s">
        <v>2439</v>
      </c>
      <c r="C696" s="611">
        <f t="shared" si="62"/>
        <v>0</v>
      </c>
      <c r="D696" s="791" t="s">
        <v>277</v>
      </c>
      <c r="E696" s="15">
        <f t="shared" si="68"/>
        <v>0</v>
      </c>
      <c r="F696" s="792">
        <f t="shared" si="67"/>
        <v>0</v>
      </c>
      <c r="G696" s="358"/>
      <c r="H696" s="354"/>
      <c r="I696" s="355"/>
      <c r="J696" s="353">
        <f t="shared" si="63"/>
        <v>0</v>
      </c>
      <c r="K696" s="669">
        <f t="shared" si="71"/>
        <v>0</v>
      </c>
      <c r="L696" s="368">
        <f t="shared" si="72"/>
        <v>0</v>
      </c>
      <c r="M696" s="633" t="s">
        <v>2217</v>
      </c>
      <c r="N696" s="223"/>
      <c r="O696" s="631">
        <f t="shared" si="64"/>
        <v>0</v>
      </c>
    </row>
    <row r="697" spans="1:15" s="360" customFormat="1" ht="25.5" hidden="1">
      <c r="A697" s="356" t="s">
        <v>1580</v>
      </c>
      <c r="B697" s="632" t="s">
        <v>3235</v>
      </c>
      <c r="C697" s="611">
        <f t="shared" si="62"/>
        <v>0</v>
      </c>
      <c r="D697" s="791" t="s">
        <v>277</v>
      </c>
      <c r="E697" s="10">
        <f t="shared" si="68"/>
        <v>446.4</v>
      </c>
      <c r="F697" s="792">
        <f t="shared" si="67"/>
        <v>0</v>
      </c>
      <c r="G697" s="358">
        <f>'PART-A'!I3128</f>
        <v>0</v>
      </c>
      <c r="H697" s="354" t="s">
        <v>277</v>
      </c>
      <c r="I697" s="355">
        <f>'PART-A'!K3128</f>
        <v>446.4</v>
      </c>
      <c r="J697" s="353">
        <f t="shared" si="63"/>
        <v>0</v>
      </c>
      <c r="K697" s="1698">
        <f>IF((J697+J698+J699+J700)&gt;(F697+F698+F699+F700),(J697+J698+J699+J700)-(F697+F698+F699+F700),0)</f>
        <v>0</v>
      </c>
      <c r="L697" s="1698">
        <f>IF((J697+J698+J699+J700)&lt;(F697+F698+F699+F700),(F697+F698+F699+F700)-(J697+J698+J699+J700),0)</f>
        <v>0</v>
      </c>
      <c r="M697" s="851" t="s">
        <v>2217</v>
      </c>
      <c r="N697" s="223"/>
      <c r="O697" s="850">
        <f t="shared" si="64"/>
        <v>0</v>
      </c>
    </row>
    <row r="698" spans="1:15" s="360" customFormat="1" ht="15" hidden="1">
      <c r="A698" s="356" t="s">
        <v>1161</v>
      </c>
      <c r="B698" s="632" t="s">
        <v>553</v>
      </c>
      <c r="C698" s="611">
        <f t="shared" si="62"/>
        <v>0</v>
      </c>
      <c r="D698" s="354"/>
      <c r="E698" s="15">
        <f t="shared" si="68"/>
        <v>446.4</v>
      </c>
      <c r="F698" s="792">
        <f t="shared" si="67"/>
        <v>0</v>
      </c>
      <c r="G698" s="358">
        <f>'PART-A'!I3266</f>
        <v>0</v>
      </c>
      <c r="H698" s="354" t="s">
        <v>277</v>
      </c>
      <c r="I698" s="355">
        <f>'PART-A'!K3266</f>
        <v>446.4</v>
      </c>
      <c r="J698" s="353">
        <f t="shared" si="63"/>
        <v>0</v>
      </c>
      <c r="K698" s="1680"/>
      <c r="L698" s="1680"/>
      <c r="M698" s="633" t="s">
        <v>2299</v>
      </c>
      <c r="N698" s="223"/>
      <c r="O698" s="631">
        <f t="shared" si="64"/>
        <v>0</v>
      </c>
    </row>
    <row r="699" spans="1:15" s="360" customFormat="1" ht="15" hidden="1">
      <c r="A699" s="356" t="s">
        <v>1160</v>
      </c>
      <c r="B699" s="632" t="s">
        <v>553</v>
      </c>
      <c r="C699" s="611">
        <f t="shared" si="62"/>
        <v>0</v>
      </c>
      <c r="D699" s="354"/>
      <c r="E699" s="15">
        <f t="shared" si="68"/>
        <v>470</v>
      </c>
      <c r="F699" s="792">
        <f t="shared" si="67"/>
        <v>0</v>
      </c>
      <c r="G699" s="358">
        <f>'PART-A'!I3408</f>
        <v>0</v>
      </c>
      <c r="H699" s="354" t="s">
        <v>277</v>
      </c>
      <c r="I699" s="355">
        <f>'PART-A'!K3408</f>
        <v>470</v>
      </c>
      <c r="J699" s="353">
        <f t="shared" si="63"/>
        <v>0</v>
      </c>
      <c r="K699" s="1680"/>
      <c r="L699" s="1680"/>
      <c r="M699" s="633" t="s">
        <v>2312</v>
      </c>
      <c r="N699" s="223"/>
      <c r="O699" s="631">
        <f t="shared" si="64"/>
        <v>0</v>
      </c>
    </row>
    <row r="700" spans="1:15" s="360" customFormat="1" ht="15" hidden="1">
      <c r="A700" s="356" t="s">
        <v>1160</v>
      </c>
      <c r="B700" s="632" t="s">
        <v>553</v>
      </c>
      <c r="C700" s="611">
        <f t="shared" si="62"/>
        <v>0</v>
      </c>
      <c r="D700" s="354"/>
      <c r="E700" s="15">
        <f t="shared" si="68"/>
        <v>446.4</v>
      </c>
      <c r="F700" s="792">
        <f t="shared" si="67"/>
        <v>0</v>
      </c>
      <c r="G700" s="358">
        <f>'PART-A'!I3546</f>
        <v>0</v>
      </c>
      <c r="H700" s="354" t="s">
        <v>277</v>
      </c>
      <c r="I700" s="355">
        <f>'PART-A'!K3546</f>
        <v>446.4</v>
      </c>
      <c r="J700" s="353">
        <f t="shared" si="63"/>
        <v>0</v>
      </c>
      <c r="K700" s="1681"/>
      <c r="L700" s="1681"/>
      <c r="M700" s="633" t="s">
        <v>2313</v>
      </c>
      <c r="N700" s="223"/>
      <c r="O700" s="631">
        <f t="shared" si="64"/>
        <v>0</v>
      </c>
    </row>
    <row r="701" spans="1:15" s="360" customFormat="1" ht="25.5" hidden="1">
      <c r="A701" s="356" t="s">
        <v>533</v>
      </c>
      <c r="B701" s="632" t="s">
        <v>3235</v>
      </c>
      <c r="C701" s="611">
        <f t="shared" si="62"/>
        <v>0</v>
      </c>
      <c r="D701" s="791" t="s">
        <v>277</v>
      </c>
      <c r="E701" s="10">
        <f t="shared" si="68"/>
        <v>477.6</v>
      </c>
      <c r="F701" s="792">
        <f t="shared" si="67"/>
        <v>0</v>
      </c>
      <c r="G701" s="358">
        <f>'PART-A'!I3129</f>
        <v>0</v>
      </c>
      <c r="H701" s="354" t="s">
        <v>277</v>
      </c>
      <c r="I701" s="355">
        <f>'PART-A'!K3129</f>
        <v>477.6</v>
      </c>
      <c r="J701" s="353">
        <f t="shared" si="63"/>
        <v>0</v>
      </c>
      <c r="K701" s="1698">
        <f>IF((J701+J702+J703+J704)&gt;(F701+F702+F703+F704),(J701+J702+J703+J704)-(F701+F702+F703+F704),0)</f>
        <v>0</v>
      </c>
      <c r="L701" s="1698">
        <f>IF((J701+J702+J703+J704)&lt;(F701+F702+F703+F704),(F701+F702+F703+F704)-(J701+J702+J703+J704),0)</f>
        <v>0</v>
      </c>
      <c r="M701" s="851" t="s">
        <v>2217</v>
      </c>
      <c r="N701" s="223"/>
      <c r="O701" s="850">
        <f t="shared" si="64"/>
        <v>0</v>
      </c>
    </row>
    <row r="702" spans="1:15" s="360" customFormat="1" ht="15" hidden="1">
      <c r="A702" s="356" t="s">
        <v>524</v>
      </c>
      <c r="B702" s="632" t="s">
        <v>553</v>
      </c>
      <c r="C702" s="611">
        <f t="shared" si="62"/>
        <v>0</v>
      </c>
      <c r="D702" s="354"/>
      <c r="E702" s="15">
        <f t="shared" si="68"/>
        <v>477.6</v>
      </c>
      <c r="F702" s="792">
        <f t="shared" si="67"/>
        <v>0</v>
      </c>
      <c r="G702" s="358">
        <f>'PART-A'!I3267</f>
        <v>0</v>
      </c>
      <c r="H702" s="354" t="s">
        <v>277</v>
      </c>
      <c r="I702" s="355">
        <f>'PART-A'!K3267</f>
        <v>477.6</v>
      </c>
      <c r="J702" s="353">
        <f t="shared" si="63"/>
        <v>0</v>
      </c>
      <c r="K702" s="1680"/>
      <c r="L702" s="1680"/>
      <c r="M702" s="633" t="s">
        <v>2299</v>
      </c>
      <c r="N702" s="223"/>
      <c r="O702" s="631">
        <f t="shared" si="64"/>
        <v>0</v>
      </c>
    </row>
    <row r="703" spans="1:15" s="360" customFormat="1" ht="15" hidden="1">
      <c r="A703" s="356" t="s">
        <v>524</v>
      </c>
      <c r="B703" s="632" t="s">
        <v>553</v>
      </c>
      <c r="C703" s="611">
        <f t="shared" si="62"/>
        <v>0</v>
      </c>
      <c r="D703" s="354"/>
      <c r="E703" s="15">
        <f t="shared" si="68"/>
        <v>502</v>
      </c>
      <c r="F703" s="792">
        <f t="shared" si="67"/>
        <v>0</v>
      </c>
      <c r="G703" s="358">
        <f>'PART-A'!I3409</f>
        <v>0</v>
      </c>
      <c r="H703" s="354" t="s">
        <v>277</v>
      </c>
      <c r="I703" s="355">
        <f>'PART-A'!K3409</f>
        <v>502</v>
      </c>
      <c r="J703" s="353">
        <f t="shared" si="63"/>
        <v>0</v>
      </c>
      <c r="K703" s="1680"/>
      <c r="L703" s="1680"/>
      <c r="M703" s="633" t="s">
        <v>2312</v>
      </c>
      <c r="N703" s="223"/>
      <c r="O703" s="631">
        <f t="shared" si="64"/>
        <v>0</v>
      </c>
    </row>
    <row r="704" spans="1:15" s="360" customFormat="1" ht="15" hidden="1">
      <c r="A704" s="356" t="s">
        <v>524</v>
      </c>
      <c r="B704" s="632" t="s">
        <v>553</v>
      </c>
      <c r="C704" s="611">
        <f t="shared" si="62"/>
        <v>0</v>
      </c>
      <c r="D704" s="354"/>
      <c r="E704" s="15">
        <f t="shared" si="68"/>
        <v>477.6</v>
      </c>
      <c r="F704" s="792">
        <f t="shared" si="67"/>
        <v>0</v>
      </c>
      <c r="G704" s="358">
        <f>'PART-A'!I3547</f>
        <v>0</v>
      </c>
      <c r="H704" s="354" t="s">
        <v>277</v>
      </c>
      <c r="I704" s="355">
        <f>'PART-A'!K3547</f>
        <v>477.6</v>
      </c>
      <c r="J704" s="353">
        <f t="shared" si="63"/>
        <v>0</v>
      </c>
      <c r="K704" s="1681"/>
      <c r="L704" s="1681"/>
      <c r="M704" s="633" t="s">
        <v>2313</v>
      </c>
      <c r="N704" s="223"/>
      <c r="O704" s="631">
        <f t="shared" si="64"/>
        <v>0</v>
      </c>
    </row>
    <row r="705" spans="1:15" s="360" customFormat="1" ht="15" hidden="1">
      <c r="A705" s="356" t="s">
        <v>525</v>
      </c>
      <c r="B705" s="632" t="s">
        <v>553</v>
      </c>
      <c r="C705" s="611">
        <f t="shared" si="62"/>
        <v>0</v>
      </c>
      <c r="D705" s="354"/>
      <c r="E705" s="15">
        <f t="shared" si="68"/>
        <v>600</v>
      </c>
      <c r="F705" s="792">
        <f t="shared" si="67"/>
        <v>0</v>
      </c>
      <c r="G705" s="358">
        <f>'PART-A'!I3130</f>
        <v>0</v>
      </c>
      <c r="H705" s="354" t="s">
        <v>277</v>
      </c>
      <c r="I705" s="355">
        <f>'PART-A'!K3130</f>
        <v>600</v>
      </c>
      <c r="J705" s="353">
        <f t="shared" si="63"/>
        <v>0</v>
      </c>
      <c r="K705" s="1679">
        <f>IF((J705+J706+J707+J708)&gt;(F705+F706+F707+F708),(J705+J706+J707+J708)-(F705+F706+F707+F708),0)</f>
        <v>0</v>
      </c>
      <c r="L705" s="1679">
        <f>IF((J705+J706+J707+J708)&lt;(F705+F706+F707+F708),(F705+F706+F707+F708)-(J705+J706+J707+J708),0)</f>
        <v>0</v>
      </c>
      <c r="M705" s="633" t="s">
        <v>2217</v>
      </c>
      <c r="N705" s="223"/>
      <c r="O705" s="631">
        <f t="shared" si="64"/>
        <v>0</v>
      </c>
    </row>
    <row r="706" spans="1:15" s="360" customFormat="1" ht="15" hidden="1">
      <c r="A706" s="356" t="s">
        <v>525</v>
      </c>
      <c r="B706" s="632" t="s">
        <v>553</v>
      </c>
      <c r="C706" s="611">
        <f t="shared" si="62"/>
        <v>0</v>
      </c>
      <c r="D706" s="354"/>
      <c r="E706" s="15">
        <f t="shared" si="68"/>
        <v>535.70000000000005</v>
      </c>
      <c r="F706" s="792">
        <f t="shared" si="67"/>
        <v>0</v>
      </c>
      <c r="G706" s="358">
        <f>'PART-A'!I3268</f>
        <v>0</v>
      </c>
      <c r="H706" s="354" t="s">
        <v>277</v>
      </c>
      <c r="I706" s="355">
        <f>'PART-A'!K3268</f>
        <v>535.70000000000005</v>
      </c>
      <c r="J706" s="353">
        <f t="shared" si="63"/>
        <v>0</v>
      </c>
      <c r="K706" s="1680"/>
      <c r="L706" s="1680"/>
      <c r="M706" s="633" t="s">
        <v>2299</v>
      </c>
      <c r="N706" s="223"/>
      <c r="O706" s="631">
        <f t="shared" si="64"/>
        <v>0</v>
      </c>
    </row>
    <row r="707" spans="1:15" s="360" customFormat="1" ht="15" hidden="1">
      <c r="A707" s="356" t="s">
        <v>525</v>
      </c>
      <c r="B707" s="632" t="s">
        <v>553</v>
      </c>
      <c r="C707" s="611">
        <f t="shared" si="62"/>
        <v>0</v>
      </c>
      <c r="D707" s="354"/>
      <c r="E707" s="15">
        <f t="shared" si="68"/>
        <v>563</v>
      </c>
      <c r="F707" s="792">
        <f t="shared" si="67"/>
        <v>0</v>
      </c>
      <c r="G707" s="358">
        <f>'PART-A'!I3410</f>
        <v>0</v>
      </c>
      <c r="H707" s="354" t="s">
        <v>277</v>
      </c>
      <c r="I707" s="355">
        <f>'PART-A'!K3410</f>
        <v>563</v>
      </c>
      <c r="J707" s="353">
        <f t="shared" si="63"/>
        <v>0</v>
      </c>
      <c r="K707" s="1680"/>
      <c r="L707" s="1680"/>
      <c r="M707" s="633" t="s">
        <v>2312</v>
      </c>
      <c r="N707" s="223"/>
      <c r="O707" s="631">
        <f t="shared" si="64"/>
        <v>0</v>
      </c>
    </row>
    <row r="708" spans="1:15" s="360" customFormat="1" ht="15" hidden="1">
      <c r="A708" s="356" t="s">
        <v>525</v>
      </c>
      <c r="B708" s="632" t="s">
        <v>553</v>
      </c>
      <c r="C708" s="611">
        <f t="shared" si="62"/>
        <v>0</v>
      </c>
      <c r="D708" s="354"/>
      <c r="E708" s="15">
        <f t="shared" si="68"/>
        <v>535.70000000000005</v>
      </c>
      <c r="F708" s="792">
        <f t="shared" si="67"/>
        <v>0</v>
      </c>
      <c r="G708" s="358">
        <f>'PART-A'!I3548</f>
        <v>0</v>
      </c>
      <c r="H708" s="354" t="s">
        <v>277</v>
      </c>
      <c r="I708" s="355">
        <f>'PART-A'!K3548</f>
        <v>535.70000000000005</v>
      </c>
      <c r="J708" s="353">
        <f t="shared" si="63"/>
        <v>0</v>
      </c>
      <c r="K708" s="1681"/>
      <c r="L708" s="1681"/>
      <c r="M708" s="633" t="s">
        <v>2313</v>
      </c>
      <c r="N708" s="223"/>
      <c r="O708" s="631">
        <f t="shared" si="64"/>
        <v>0</v>
      </c>
    </row>
    <row r="709" spans="1:15" s="360" customFormat="1" ht="25.5" hidden="1">
      <c r="A709" s="356" t="s">
        <v>534</v>
      </c>
      <c r="B709" s="632" t="s">
        <v>3236</v>
      </c>
      <c r="C709" s="611">
        <f t="shared" si="62"/>
        <v>0</v>
      </c>
      <c r="D709" s="791" t="s">
        <v>277</v>
      </c>
      <c r="E709" s="10">
        <f t="shared" si="68"/>
        <v>325</v>
      </c>
      <c r="F709" s="792">
        <f t="shared" si="67"/>
        <v>0</v>
      </c>
      <c r="G709" s="358">
        <f>'PART-A'!I3136</f>
        <v>0</v>
      </c>
      <c r="H709" s="354" t="s">
        <v>277</v>
      </c>
      <c r="I709" s="355">
        <f>'PART-A'!K3136</f>
        <v>325</v>
      </c>
      <c r="J709" s="353">
        <f t="shared" si="63"/>
        <v>0</v>
      </c>
      <c r="K709" s="1698">
        <f>IF((J709+J710+J711+J712)&gt;(F709+F710+F711+F712),(J709+J710+J711+J712)-(F709+F710+F711+F712),0)</f>
        <v>0</v>
      </c>
      <c r="L709" s="1698">
        <f>IF((J709+J710+J711+J712)&lt;(F709+F710+F711+F712),(F709+F710+F711+F712)-(J709+J710+J711+J712),0)</f>
        <v>0</v>
      </c>
      <c r="M709" s="851" t="s">
        <v>2217</v>
      </c>
      <c r="N709" s="223"/>
      <c r="O709" s="850">
        <f t="shared" si="64"/>
        <v>0</v>
      </c>
    </row>
    <row r="710" spans="1:15" s="360" customFormat="1" ht="15" hidden="1">
      <c r="A710" s="356" t="s">
        <v>1596</v>
      </c>
      <c r="B710" s="632" t="s">
        <v>554</v>
      </c>
      <c r="C710" s="611">
        <f t="shared" si="62"/>
        <v>0</v>
      </c>
      <c r="D710" s="354"/>
      <c r="E710" s="15">
        <f t="shared" si="68"/>
        <v>325</v>
      </c>
      <c r="F710" s="792">
        <f t="shared" si="67"/>
        <v>0</v>
      </c>
      <c r="G710" s="358">
        <f>'PART-A'!I3274</f>
        <v>0</v>
      </c>
      <c r="H710" s="354" t="s">
        <v>277</v>
      </c>
      <c r="I710" s="355">
        <f>'PART-A'!K3274</f>
        <v>325</v>
      </c>
      <c r="J710" s="353">
        <f t="shared" si="63"/>
        <v>0</v>
      </c>
      <c r="K710" s="1680"/>
      <c r="L710" s="1680"/>
      <c r="M710" s="633" t="s">
        <v>2299</v>
      </c>
      <c r="N710" s="223"/>
      <c r="O710" s="631">
        <f t="shared" si="64"/>
        <v>0</v>
      </c>
    </row>
    <row r="711" spans="1:15" s="360" customFormat="1" ht="15" hidden="1">
      <c r="A711" s="356" t="s">
        <v>1260</v>
      </c>
      <c r="B711" s="632" t="s">
        <v>554</v>
      </c>
      <c r="C711" s="611">
        <f t="shared" si="62"/>
        <v>0</v>
      </c>
      <c r="D711" s="354"/>
      <c r="E711" s="15">
        <f t="shared" si="68"/>
        <v>342</v>
      </c>
      <c r="F711" s="792">
        <f t="shared" si="67"/>
        <v>0</v>
      </c>
      <c r="G711" s="358">
        <f>'PART-A'!I3416</f>
        <v>0</v>
      </c>
      <c r="H711" s="354" t="s">
        <v>277</v>
      </c>
      <c r="I711" s="355">
        <f>'PART-A'!K3416</f>
        <v>342</v>
      </c>
      <c r="J711" s="353">
        <f t="shared" si="63"/>
        <v>0</v>
      </c>
      <c r="K711" s="1680"/>
      <c r="L711" s="1680"/>
      <c r="M711" s="633" t="s">
        <v>2312</v>
      </c>
      <c r="N711" s="223"/>
      <c r="O711" s="631">
        <f t="shared" si="64"/>
        <v>0</v>
      </c>
    </row>
    <row r="712" spans="1:15" s="360" customFormat="1" ht="15" hidden="1">
      <c r="A712" s="356" t="s">
        <v>1260</v>
      </c>
      <c r="B712" s="632" t="s">
        <v>554</v>
      </c>
      <c r="C712" s="611">
        <f t="shared" si="62"/>
        <v>0</v>
      </c>
      <c r="D712" s="354"/>
      <c r="E712" s="15">
        <f t="shared" si="68"/>
        <v>325</v>
      </c>
      <c r="F712" s="792">
        <f t="shared" si="67"/>
        <v>0</v>
      </c>
      <c r="G712" s="358">
        <f>'PART-A'!I3554</f>
        <v>0</v>
      </c>
      <c r="H712" s="354" t="s">
        <v>277</v>
      </c>
      <c r="I712" s="355">
        <f>'PART-A'!K3554</f>
        <v>325</v>
      </c>
      <c r="J712" s="353">
        <f t="shared" si="63"/>
        <v>0</v>
      </c>
      <c r="K712" s="1681"/>
      <c r="L712" s="1681"/>
      <c r="M712" s="633" t="s">
        <v>2313</v>
      </c>
      <c r="N712" s="223"/>
      <c r="O712" s="631">
        <f t="shared" si="64"/>
        <v>0</v>
      </c>
    </row>
    <row r="713" spans="1:15" s="360" customFormat="1" ht="51" hidden="1">
      <c r="A713" s="356" t="s">
        <v>642</v>
      </c>
      <c r="B713" s="632" t="s">
        <v>3237</v>
      </c>
      <c r="C713" s="611">
        <f t="shared" si="62"/>
        <v>0</v>
      </c>
      <c r="D713" s="791" t="s">
        <v>115</v>
      </c>
      <c r="E713" s="10">
        <f t="shared" si="68"/>
        <v>18409</v>
      </c>
      <c r="F713" s="792">
        <f t="shared" si="67"/>
        <v>0</v>
      </c>
      <c r="G713" s="358">
        <f>'PART-A'!I3141</f>
        <v>0</v>
      </c>
      <c r="H713" s="354" t="s">
        <v>115</v>
      </c>
      <c r="I713" s="355">
        <f>'PART-A'!K3141</f>
        <v>18409</v>
      </c>
      <c r="J713" s="353">
        <f t="shared" si="63"/>
        <v>0</v>
      </c>
      <c r="K713" s="1698">
        <f>IF((J713+J714+J715+J716)&gt;(F713+F714+F715+F716),(J713+J714+J715+J716)-(F713+F714+F715+F716),0)</f>
        <v>0</v>
      </c>
      <c r="L713" s="1698">
        <f>IF((J713+J714+J715+J716)&lt;(F713+F714+F715+F716),(F713+F714+F715+F716)-(J713+J714+J715+J716),0)</f>
        <v>0</v>
      </c>
      <c r="M713" s="851" t="s">
        <v>2217</v>
      </c>
      <c r="N713" s="223"/>
      <c r="O713" s="850">
        <f t="shared" si="64"/>
        <v>0</v>
      </c>
    </row>
    <row r="714" spans="1:15" s="360" customFormat="1" ht="15" hidden="1">
      <c r="A714" s="356" t="s">
        <v>1597</v>
      </c>
      <c r="B714" s="632" t="s">
        <v>635</v>
      </c>
      <c r="C714" s="611">
        <f t="shared" ref="C714:C777" si="73">G714</f>
        <v>0</v>
      </c>
      <c r="D714" s="354"/>
      <c r="E714" s="15">
        <f t="shared" si="68"/>
        <v>18526</v>
      </c>
      <c r="F714" s="792">
        <f t="shared" si="67"/>
        <v>0</v>
      </c>
      <c r="G714" s="358">
        <f>'PART-A'!I3279</f>
        <v>0</v>
      </c>
      <c r="H714" s="354" t="s">
        <v>115</v>
      </c>
      <c r="I714" s="355">
        <f>'PART-A'!K3279</f>
        <v>18526</v>
      </c>
      <c r="J714" s="353">
        <f t="shared" ref="J714:J777" si="74">ROUND(G714*I714,2)</f>
        <v>0</v>
      </c>
      <c r="K714" s="1680"/>
      <c r="L714" s="1680"/>
      <c r="M714" s="633" t="s">
        <v>2299</v>
      </c>
      <c r="N714" s="223"/>
      <c r="O714" s="631">
        <f t="shared" si="64"/>
        <v>0</v>
      </c>
    </row>
    <row r="715" spans="1:15" s="360" customFormat="1" ht="15" hidden="1">
      <c r="A715" s="356" t="s">
        <v>1161</v>
      </c>
      <c r="B715" s="632" t="s">
        <v>635</v>
      </c>
      <c r="C715" s="611">
        <f t="shared" si="73"/>
        <v>0</v>
      </c>
      <c r="D715" s="354"/>
      <c r="E715" s="15">
        <f t="shared" si="68"/>
        <v>18370</v>
      </c>
      <c r="F715" s="792">
        <f t="shared" si="67"/>
        <v>0</v>
      </c>
      <c r="G715" s="358">
        <f>'PART-A'!I3421</f>
        <v>0</v>
      </c>
      <c r="H715" s="354" t="s">
        <v>115</v>
      </c>
      <c r="I715" s="355">
        <f>'PART-A'!K3421</f>
        <v>18370</v>
      </c>
      <c r="J715" s="353">
        <f t="shared" si="74"/>
        <v>0</v>
      </c>
      <c r="K715" s="1680"/>
      <c r="L715" s="1680"/>
      <c r="M715" s="633" t="s">
        <v>2312</v>
      </c>
      <c r="N715" s="223"/>
      <c r="O715" s="631">
        <f t="shared" si="64"/>
        <v>0</v>
      </c>
    </row>
    <row r="716" spans="1:15" s="360" customFormat="1" ht="15" hidden="1">
      <c r="A716" s="356" t="s">
        <v>1161</v>
      </c>
      <c r="B716" s="632" t="s">
        <v>635</v>
      </c>
      <c r="C716" s="611">
        <f t="shared" si="73"/>
        <v>0</v>
      </c>
      <c r="D716" s="354"/>
      <c r="E716" s="15">
        <f t="shared" si="68"/>
        <v>18370</v>
      </c>
      <c r="F716" s="792">
        <f t="shared" si="67"/>
        <v>0</v>
      </c>
      <c r="G716" s="358">
        <f>'PART-A'!I3559</f>
        <v>0</v>
      </c>
      <c r="H716" s="354" t="s">
        <v>115</v>
      </c>
      <c r="I716" s="355">
        <f>'PART-A'!K3559</f>
        <v>18370</v>
      </c>
      <c r="J716" s="353">
        <f t="shared" si="74"/>
        <v>0</v>
      </c>
      <c r="K716" s="1681"/>
      <c r="L716" s="1681"/>
      <c r="M716" s="633" t="s">
        <v>2313</v>
      </c>
      <c r="N716" s="223"/>
      <c r="O716" s="631">
        <f t="shared" si="64"/>
        <v>0</v>
      </c>
    </row>
    <row r="717" spans="1:15" s="360" customFormat="1" ht="38.25" hidden="1">
      <c r="A717" s="356" t="s">
        <v>643</v>
      </c>
      <c r="B717" s="632" t="s">
        <v>591</v>
      </c>
      <c r="C717" s="611">
        <f t="shared" si="73"/>
        <v>0</v>
      </c>
      <c r="D717" s="791" t="s">
        <v>277</v>
      </c>
      <c r="E717" s="10">
        <f t="shared" si="68"/>
        <v>64</v>
      </c>
      <c r="F717" s="792">
        <f t="shared" si="67"/>
        <v>0</v>
      </c>
      <c r="G717" s="358">
        <f>'PART-A'!I3146</f>
        <v>0</v>
      </c>
      <c r="H717" s="354" t="s">
        <v>277</v>
      </c>
      <c r="I717" s="355">
        <f>'PART-A'!K3146</f>
        <v>64</v>
      </c>
      <c r="J717" s="353">
        <f t="shared" si="74"/>
        <v>0</v>
      </c>
      <c r="K717" s="1698">
        <f>IF((J717+J718+J719+J720)&gt;(F717+F718+F719+F720),(J717+J718+J719+J720)-(F717+F718+F719+F720),0)</f>
        <v>0</v>
      </c>
      <c r="L717" s="1698">
        <f>IF((J717+J718+J719+J720)&lt;(F717+F718+F719+F720),(F717+F718+F719+F720)-(J717+J718+J719+J720),0)</f>
        <v>0</v>
      </c>
      <c r="M717" s="851" t="s">
        <v>2217</v>
      </c>
      <c r="N717" s="223"/>
      <c r="O717" s="850">
        <f t="shared" si="64"/>
        <v>0</v>
      </c>
    </row>
    <row r="718" spans="1:15" s="360" customFormat="1" ht="15" hidden="1">
      <c r="A718" s="356" t="s">
        <v>2032</v>
      </c>
      <c r="B718" s="632" t="s">
        <v>636</v>
      </c>
      <c r="C718" s="611">
        <f t="shared" si="73"/>
        <v>0</v>
      </c>
      <c r="D718" s="354"/>
      <c r="E718" s="15">
        <f t="shared" si="68"/>
        <v>59</v>
      </c>
      <c r="F718" s="792">
        <f t="shared" si="67"/>
        <v>0</v>
      </c>
      <c r="G718" s="358">
        <f>'PART-A'!I3284</f>
        <v>0</v>
      </c>
      <c r="H718" s="354" t="s">
        <v>277</v>
      </c>
      <c r="I718" s="355">
        <f>'PART-A'!K3284</f>
        <v>59</v>
      </c>
      <c r="J718" s="353">
        <f t="shared" si="74"/>
        <v>0</v>
      </c>
      <c r="K718" s="1680"/>
      <c r="L718" s="1680"/>
      <c r="M718" s="633" t="s">
        <v>2299</v>
      </c>
      <c r="N718" s="223"/>
      <c r="O718" s="631">
        <f t="shared" si="64"/>
        <v>0</v>
      </c>
    </row>
    <row r="719" spans="1:15" s="360" customFormat="1" ht="15" hidden="1">
      <c r="A719" s="356" t="s">
        <v>1596</v>
      </c>
      <c r="B719" s="632" t="s">
        <v>636</v>
      </c>
      <c r="C719" s="611">
        <f t="shared" si="73"/>
        <v>0</v>
      </c>
      <c r="D719" s="354"/>
      <c r="E719" s="15">
        <f t="shared" si="68"/>
        <v>73</v>
      </c>
      <c r="F719" s="792">
        <f t="shared" si="67"/>
        <v>0</v>
      </c>
      <c r="G719" s="358">
        <f>'PART-A'!I3426</f>
        <v>0</v>
      </c>
      <c r="H719" s="354" t="s">
        <v>277</v>
      </c>
      <c r="I719" s="355">
        <f>'PART-A'!K3426</f>
        <v>73</v>
      </c>
      <c r="J719" s="353">
        <f t="shared" si="74"/>
        <v>0</v>
      </c>
      <c r="K719" s="1680"/>
      <c r="L719" s="1680"/>
      <c r="M719" s="633" t="s">
        <v>2312</v>
      </c>
      <c r="N719" s="223"/>
      <c r="O719" s="631">
        <f t="shared" si="64"/>
        <v>0</v>
      </c>
    </row>
    <row r="720" spans="1:15" s="360" customFormat="1" ht="15" hidden="1">
      <c r="A720" s="356" t="s">
        <v>1596</v>
      </c>
      <c r="B720" s="632" t="s">
        <v>636</v>
      </c>
      <c r="C720" s="611">
        <f t="shared" si="73"/>
        <v>0</v>
      </c>
      <c r="D720" s="354"/>
      <c r="E720" s="15">
        <f t="shared" si="68"/>
        <v>85</v>
      </c>
      <c r="F720" s="792">
        <f t="shared" si="67"/>
        <v>0</v>
      </c>
      <c r="G720" s="358">
        <f>'PART-A'!I3564</f>
        <v>0</v>
      </c>
      <c r="H720" s="354" t="s">
        <v>277</v>
      </c>
      <c r="I720" s="355">
        <f>'PART-A'!K3564</f>
        <v>85</v>
      </c>
      <c r="J720" s="353">
        <f t="shared" si="74"/>
        <v>0</v>
      </c>
      <c r="K720" s="1681"/>
      <c r="L720" s="1681"/>
      <c r="M720" s="633" t="s">
        <v>2313</v>
      </c>
      <c r="N720" s="223"/>
      <c r="O720" s="631">
        <f t="shared" si="64"/>
        <v>0</v>
      </c>
    </row>
    <row r="721" spans="1:15" s="360" customFormat="1" ht="15" hidden="1">
      <c r="A721" s="356" t="s">
        <v>644</v>
      </c>
      <c r="B721" s="632" t="s">
        <v>284</v>
      </c>
      <c r="C721" s="611">
        <f t="shared" si="73"/>
        <v>0</v>
      </c>
      <c r="D721" s="791" t="s">
        <v>115</v>
      </c>
      <c r="E721" s="10">
        <f t="shared" si="68"/>
        <v>109</v>
      </c>
      <c r="F721" s="792">
        <f t="shared" si="67"/>
        <v>0</v>
      </c>
      <c r="G721" s="358">
        <f>'PART-A'!I3151</f>
        <v>0</v>
      </c>
      <c r="H721" s="354" t="s">
        <v>115</v>
      </c>
      <c r="I721" s="355">
        <f>'PART-A'!K3151</f>
        <v>109</v>
      </c>
      <c r="J721" s="353">
        <f t="shared" si="74"/>
        <v>0</v>
      </c>
      <c r="K721" s="1698">
        <f>IF((J721+J722+J723+J724)&gt;(F721+F722+F723+F724),(J721+J722+J723+J724)-(F721+F722+F723+F724),0)</f>
        <v>0</v>
      </c>
      <c r="L721" s="1698">
        <f>IF((J721+J722+J723+J724)&lt;(F721+F722+F723+F724),(F721+F722+F723+F724)-(J721+J722+J723+J724),0)</f>
        <v>0</v>
      </c>
      <c r="M721" s="851" t="s">
        <v>2217</v>
      </c>
      <c r="N721" s="223"/>
      <c r="O721" s="850">
        <v>1</v>
      </c>
    </row>
    <row r="722" spans="1:15" s="360" customFormat="1" ht="15" hidden="1">
      <c r="A722" s="356" t="s">
        <v>2033</v>
      </c>
      <c r="B722" s="632" t="s">
        <v>284</v>
      </c>
      <c r="C722" s="611">
        <f t="shared" si="73"/>
        <v>0</v>
      </c>
      <c r="D722" s="354"/>
      <c r="E722" s="15">
        <f t="shared" si="68"/>
        <v>300</v>
      </c>
      <c r="F722" s="792">
        <f t="shared" si="67"/>
        <v>0</v>
      </c>
      <c r="G722" s="358">
        <f>'PART-A'!I3289</f>
        <v>0</v>
      </c>
      <c r="H722" s="354" t="s">
        <v>115</v>
      </c>
      <c r="I722" s="355">
        <f>'PART-A'!K3289</f>
        <v>300</v>
      </c>
      <c r="J722" s="353">
        <f t="shared" si="74"/>
        <v>0</v>
      </c>
      <c r="K722" s="1680"/>
      <c r="L722" s="1680"/>
      <c r="M722" s="633" t="s">
        <v>2299</v>
      </c>
      <c r="N722" s="223"/>
      <c r="O722" s="631">
        <f t="shared" ref="O722:O786" si="75">F722-J722</f>
        <v>0</v>
      </c>
    </row>
    <row r="723" spans="1:15" s="360" customFormat="1" ht="15" hidden="1">
      <c r="A723" s="356" t="s">
        <v>1597</v>
      </c>
      <c r="B723" s="632" t="s">
        <v>284</v>
      </c>
      <c r="C723" s="611">
        <f t="shared" si="73"/>
        <v>0</v>
      </c>
      <c r="D723" s="354"/>
      <c r="E723" s="15">
        <f t="shared" si="68"/>
        <v>315</v>
      </c>
      <c r="F723" s="792">
        <f t="shared" si="67"/>
        <v>0</v>
      </c>
      <c r="G723" s="358">
        <f>'PART-A'!I3431</f>
        <v>0</v>
      </c>
      <c r="H723" s="354" t="s">
        <v>115</v>
      </c>
      <c r="I723" s="355">
        <f>'PART-A'!K3431</f>
        <v>315</v>
      </c>
      <c r="J723" s="353">
        <f t="shared" si="74"/>
        <v>0</v>
      </c>
      <c r="K723" s="1680"/>
      <c r="L723" s="1680"/>
      <c r="M723" s="633" t="s">
        <v>2312</v>
      </c>
      <c r="N723" s="223"/>
      <c r="O723" s="631">
        <f t="shared" si="75"/>
        <v>0</v>
      </c>
    </row>
    <row r="724" spans="1:15" s="360" customFormat="1" ht="15" hidden="1">
      <c r="A724" s="356" t="s">
        <v>1597</v>
      </c>
      <c r="B724" s="632" t="s">
        <v>284</v>
      </c>
      <c r="C724" s="611">
        <f t="shared" si="73"/>
        <v>0</v>
      </c>
      <c r="D724" s="354"/>
      <c r="E724" s="15">
        <f t="shared" si="68"/>
        <v>300</v>
      </c>
      <c r="F724" s="792">
        <f t="shared" si="67"/>
        <v>0</v>
      </c>
      <c r="G724" s="358">
        <f>'PART-A'!I3569</f>
        <v>0</v>
      </c>
      <c r="H724" s="354" t="s">
        <v>115</v>
      </c>
      <c r="I724" s="355">
        <f>'PART-A'!K3569</f>
        <v>300</v>
      </c>
      <c r="J724" s="353">
        <f t="shared" si="74"/>
        <v>0</v>
      </c>
      <c r="K724" s="1681"/>
      <c r="L724" s="1681"/>
      <c r="M724" s="633" t="s">
        <v>2313</v>
      </c>
      <c r="N724" s="223"/>
      <c r="O724" s="631">
        <f t="shared" si="75"/>
        <v>0</v>
      </c>
    </row>
    <row r="725" spans="1:15" s="360" customFormat="1" ht="15" hidden="1">
      <c r="A725" s="356" t="s">
        <v>1574</v>
      </c>
      <c r="B725" s="632" t="s">
        <v>285</v>
      </c>
      <c r="C725" s="611">
        <f t="shared" si="73"/>
        <v>0</v>
      </c>
      <c r="D725" s="791" t="s">
        <v>115</v>
      </c>
      <c r="E725" s="10">
        <f t="shared" si="68"/>
        <v>198</v>
      </c>
      <c r="F725" s="792">
        <f t="shared" si="67"/>
        <v>0</v>
      </c>
      <c r="G725" s="358">
        <f>'PART-A'!I3156</f>
        <v>0</v>
      </c>
      <c r="H725" s="354" t="s">
        <v>115</v>
      </c>
      <c r="I725" s="355">
        <f>'PART-A'!K3156</f>
        <v>198</v>
      </c>
      <c r="J725" s="353">
        <f t="shared" si="74"/>
        <v>0</v>
      </c>
      <c r="K725" s="1698">
        <f>IF((J725+J726+J727+J728)&gt;(F725+F726+F727+F728),(J725+J726+J727+J728)-(F725+F726+F727+F728),0)</f>
        <v>0</v>
      </c>
      <c r="L725" s="1698">
        <f>IF((J725+J726+J727+J728)&lt;(F725+F726+F727+F728),(F725+F726+F727+F728)-(J725+J726+J727+J728),0)</f>
        <v>0</v>
      </c>
      <c r="M725" s="851" t="s">
        <v>2217</v>
      </c>
      <c r="N725" s="223"/>
      <c r="O725" s="850">
        <v>1</v>
      </c>
    </row>
    <row r="726" spans="1:15" s="360" customFormat="1" ht="15" hidden="1">
      <c r="A726" s="356" t="s">
        <v>1163</v>
      </c>
      <c r="B726" s="632" t="s">
        <v>285</v>
      </c>
      <c r="C726" s="611">
        <f t="shared" si="73"/>
        <v>0</v>
      </c>
      <c r="D726" s="354"/>
      <c r="E726" s="15">
        <f t="shared" si="68"/>
        <v>400</v>
      </c>
      <c r="F726" s="792">
        <f t="shared" si="67"/>
        <v>0</v>
      </c>
      <c r="G726" s="358">
        <f>'PART-A'!I3294</f>
        <v>0</v>
      </c>
      <c r="H726" s="354" t="s">
        <v>115</v>
      </c>
      <c r="I726" s="355">
        <f>'PART-A'!K3294</f>
        <v>400</v>
      </c>
      <c r="J726" s="353">
        <f t="shared" si="74"/>
        <v>0</v>
      </c>
      <c r="K726" s="1680"/>
      <c r="L726" s="1680"/>
      <c r="M726" s="633" t="s">
        <v>2299</v>
      </c>
      <c r="N726" s="223"/>
      <c r="O726" s="631">
        <f t="shared" si="75"/>
        <v>0</v>
      </c>
    </row>
    <row r="727" spans="1:15" s="360" customFormat="1" ht="15" hidden="1">
      <c r="A727" s="356" t="s">
        <v>2032</v>
      </c>
      <c r="B727" s="632" t="s">
        <v>285</v>
      </c>
      <c r="C727" s="611">
        <f t="shared" si="73"/>
        <v>0</v>
      </c>
      <c r="D727" s="354"/>
      <c r="E727" s="15">
        <f t="shared" si="68"/>
        <v>420</v>
      </c>
      <c r="F727" s="792">
        <f t="shared" si="67"/>
        <v>0</v>
      </c>
      <c r="G727" s="358">
        <f>'PART-A'!I3436</f>
        <v>0</v>
      </c>
      <c r="H727" s="354" t="s">
        <v>115</v>
      </c>
      <c r="I727" s="355">
        <f>'PART-A'!K3436</f>
        <v>420</v>
      </c>
      <c r="J727" s="353">
        <f t="shared" si="74"/>
        <v>0</v>
      </c>
      <c r="K727" s="1680"/>
      <c r="L727" s="1680"/>
      <c r="M727" s="633" t="s">
        <v>2312</v>
      </c>
      <c r="N727" s="223"/>
      <c r="O727" s="631">
        <f t="shared" si="75"/>
        <v>0</v>
      </c>
    </row>
    <row r="728" spans="1:15" s="360" customFormat="1" ht="15" hidden="1">
      <c r="A728" s="356" t="s">
        <v>2032</v>
      </c>
      <c r="B728" s="632" t="s">
        <v>285</v>
      </c>
      <c r="C728" s="611">
        <f t="shared" si="73"/>
        <v>0</v>
      </c>
      <c r="D728" s="354"/>
      <c r="E728" s="15">
        <f t="shared" si="68"/>
        <v>400</v>
      </c>
      <c r="F728" s="792">
        <f t="shared" si="67"/>
        <v>0</v>
      </c>
      <c r="G728" s="358">
        <f>'PART-A'!I3574</f>
        <v>0</v>
      </c>
      <c r="H728" s="354" t="s">
        <v>115</v>
      </c>
      <c r="I728" s="355">
        <f>'PART-A'!K3574</f>
        <v>400</v>
      </c>
      <c r="J728" s="353">
        <f t="shared" si="74"/>
        <v>0</v>
      </c>
      <c r="K728" s="1681"/>
      <c r="L728" s="1681"/>
      <c r="M728" s="633" t="s">
        <v>2313</v>
      </c>
      <c r="N728" s="223"/>
      <c r="O728" s="631">
        <f t="shared" si="75"/>
        <v>0</v>
      </c>
    </row>
    <row r="729" spans="1:15" s="360" customFormat="1" ht="15" hidden="1">
      <c r="A729" s="356" t="s">
        <v>1581</v>
      </c>
      <c r="B729" s="632" t="s">
        <v>286</v>
      </c>
      <c r="C729" s="611">
        <f t="shared" si="73"/>
        <v>0</v>
      </c>
      <c r="D729" s="791" t="s">
        <v>115</v>
      </c>
      <c r="E729" s="10">
        <f t="shared" si="68"/>
        <v>22</v>
      </c>
      <c r="F729" s="792">
        <f t="shared" si="67"/>
        <v>0</v>
      </c>
      <c r="G729" s="358">
        <f>'PART-A'!I3161</f>
        <v>0</v>
      </c>
      <c r="H729" s="354" t="s">
        <v>115</v>
      </c>
      <c r="I729" s="355">
        <f>'PART-A'!K3161</f>
        <v>22</v>
      </c>
      <c r="J729" s="353">
        <f t="shared" si="74"/>
        <v>0</v>
      </c>
      <c r="K729" s="1698">
        <f>IF((J729+J730+J731+J732)&gt;(F729+F730+F731+F732),(J729+J730+J731+J732)-(F729+F730+F731+F732),0)</f>
        <v>0</v>
      </c>
      <c r="L729" s="1698">
        <f>IF((J729+J730+J731+J732)&lt;(F729+F730+F731+F732),(F729+F730+F731+F732)-(J729+J730+J731+J732),0)</f>
        <v>0</v>
      </c>
      <c r="M729" s="851" t="s">
        <v>2217</v>
      </c>
      <c r="N729" s="223"/>
      <c r="O729" s="850">
        <v>1</v>
      </c>
    </row>
    <row r="730" spans="1:15" s="360" customFormat="1" ht="15" hidden="1">
      <c r="A730" s="356" t="s">
        <v>2035</v>
      </c>
      <c r="B730" s="632" t="s">
        <v>286</v>
      </c>
      <c r="C730" s="611">
        <f t="shared" si="73"/>
        <v>0</v>
      </c>
      <c r="D730" s="354"/>
      <c r="E730" s="15">
        <f t="shared" si="68"/>
        <v>70</v>
      </c>
      <c r="F730" s="792">
        <f t="shared" si="67"/>
        <v>0</v>
      </c>
      <c r="G730" s="358">
        <f>'PART-A'!I3299</f>
        <v>0</v>
      </c>
      <c r="H730" s="354" t="s">
        <v>115</v>
      </c>
      <c r="I730" s="355">
        <f>'PART-A'!K3299</f>
        <v>70</v>
      </c>
      <c r="J730" s="353">
        <f t="shared" si="74"/>
        <v>0</v>
      </c>
      <c r="K730" s="1680"/>
      <c r="L730" s="1680"/>
      <c r="M730" s="633" t="s">
        <v>2299</v>
      </c>
      <c r="N730" s="223"/>
      <c r="O730" s="631">
        <f t="shared" si="75"/>
        <v>0</v>
      </c>
    </row>
    <row r="731" spans="1:15" s="360" customFormat="1" ht="15" hidden="1">
      <c r="A731" s="356" t="s">
        <v>1163</v>
      </c>
      <c r="B731" s="632" t="s">
        <v>286</v>
      </c>
      <c r="C731" s="611">
        <f t="shared" si="73"/>
        <v>0</v>
      </c>
      <c r="D731" s="354"/>
      <c r="E731" s="15">
        <f t="shared" si="68"/>
        <v>73</v>
      </c>
      <c r="F731" s="792">
        <f t="shared" si="67"/>
        <v>0</v>
      </c>
      <c r="G731" s="358">
        <f>'PART-A'!I3441</f>
        <v>0</v>
      </c>
      <c r="H731" s="354" t="s">
        <v>115</v>
      </c>
      <c r="I731" s="355">
        <f>'PART-A'!K3441</f>
        <v>73</v>
      </c>
      <c r="J731" s="353">
        <f t="shared" si="74"/>
        <v>0</v>
      </c>
      <c r="K731" s="1680"/>
      <c r="L731" s="1680"/>
      <c r="M731" s="633" t="s">
        <v>2312</v>
      </c>
      <c r="N731" s="223"/>
      <c r="O731" s="631">
        <f t="shared" si="75"/>
        <v>0</v>
      </c>
    </row>
    <row r="732" spans="1:15" s="360" customFormat="1" ht="15" hidden="1">
      <c r="A732" s="356" t="s">
        <v>1163</v>
      </c>
      <c r="B732" s="632" t="s">
        <v>286</v>
      </c>
      <c r="C732" s="611">
        <f t="shared" si="73"/>
        <v>0</v>
      </c>
      <c r="D732" s="354"/>
      <c r="E732" s="15">
        <f t="shared" si="68"/>
        <v>77</v>
      </c>
      <c r="F732" s="792">
        <f t="shared" si="67"/>
        <v>0</v>
      </c>
      <c r="G732" s="358">
        <f>'PART-A'!I3579</f>
        <v>0</v>
      </c>
      <c r="H732" s="354" t="s">
        <v>115</v>
      </c>
      <c r="I732" s="355">
        <f>'PART-A'!K3579</f>
        <v>77</v>
      </c>
      <c r="J732" s="353">
        <f t="shared" si="74"/>
        <v>0</v>
      </c>
      <c r="K732" s="1681"/>
      <c r="L732" s="1681"/>
      <c r="M732" s="633" t="s">
        <v>2313</v>
      </c>
      <c r="N732" s="223"/>
      <c r="O732" s="631">
        <f t="shared" si="75"/>
        <v>0</v>
      </c>
    </row>
    <row r="733" spans="1:15" s="360" customFormat="1" ht="15" hidden="1">
      <c r="A733" s="356" t="s">
        <v>1582</v>
      </c>
      <c r="B733" s="632" t="s">
        <v>287</v>
      </c>
      <c r="C733" s="611">
        <f t="shared" si="73"/>
        <v>0</v>
      </c>
      <c r="D733" s="791" t="s">
        <v>115</v>
      </c>
      <c r="E733" s="10">
        <f t="shared" si="68"/>
        <v>145.19999999999999</v>
      </c>
      <c r="F733" s="792">
        <f t="shared" si="67"/>
        <v>0</v>
      </c>
      <c r="G733" s="358">
        <f>'PART-A'!I3166</f>
        <v>0</v>
      </c>
      <c r="H733" s="354" t="s">
        <v>115</v>
      </c>
      <c r="I733" s="355">
        <f>'PART-A'!K3166</f>
        <v>145.19999999999999</v>
      </c>
      <c r="J733" s="353">
        <f t="shared" si="74"/>
        <v>0</v>
      </c>
      <c r="K733" s="1698">
        <f>IF((J733+J734+J735+J736)&gt;(F733+F734+F735+F736),(J733+J734+J735+J736)-(F733+F734+F735+F736),0)</f>
        <v>0</v>
      </c>
      <c r="L733" s="1698">
        <f>IF((J733+J734+J735+J736)&lt;(F733+F734+F735+F736),(F733+F734+F735+F736)-(J733+J734+J735+J736),0)</f>
        <v>0</v>
      </c>
      <c r="M733" s="851" t="s">
        <v>2217</v>
      </c>
      <c r="N733" s="223"/>
      <c r="O733" s="850">
        <v>1</v>
      </c>
    </row>
    <row r="734" spans="1:15" s="360" customFormat="1" ht="15" hidden="1">
      <c r="A734" s="356" t="s">
        <v>2036</v>
      </c>
      <c r="B734" s="632" t="s">
        <v>287</v>
      </c>
      <c r="C734" s="611">
        <f t="shared" si="73"/>
        <v>0</v>
      </c>
      <c r="D734" s="354"/>
      <c r="E734" s="15">
        <f t="shared" si="68"/>
        <v>175</v>
      </c>
      <c r="F734" s="792">
        <f t="shared" si="67"/>
        <v>0</v>
      </c>
      <c r="G734" s="358">
        <f>'PART-A'!I3304</f>
        <v>0</v>
      </c>
      <c r="H734" s="354" t="s">
        <v>115</v>
      </c>
      <c r="I734" s="355">
        <f>'PART-A'!K3304</f>
        <v>175</v>
      </c>
      <c r="J734" s="353">
        <f t="shared" si="74"/>
        <v>0</v>
      </c>
      <c r="K734" s="1680"/>
      <c r="L734" s="1680"/>
      <c r="M734" s="633" t="s">
        <v>2299</v>
      </c>
      <c r="N734" s="223"/>
      <c r="O734" s="631">
        <f t="shared" si="75"/>
        <v>0</v>
      </c>
    </row>
    <row r="735" spans="1:15" s="360" customFormat="1" ht="15" hidden="1">
      <c r="A735" s="356" t="s">
        <v>2035</v>
      </c>
      <c r="B735" s="632" t="s">
        <v>287</v>
      </c>
      <c r="C735" s="611">
        <f t="shared" si="73"/>
        <v>0</v>
      </c>
      <c r="D735" s="354"/>
      <c r="E735" s="15">
        <f t="shared" si="68"/>
        <v>177</v>
      </c>
      <c r="F735" s="792">
        <f t="shared" si="67"/>
        <v>0</v>
      </c>
      <c r="G735" s="358">
        <f>'PART-A'!I3446</f>
        <v>0</v>
      </c>
      <c r="H735" s="354" t="s">
        <v>115</v>
      </c>
      <c r="I735" s="355">
        <f>'PART-A'!K3446</f>
        <v>177</v>
      </c>
      <c r="J735" s="353">
        <f t="shared" si="74"/>
        <v>0</v>
      </c>
      <c r="K735" s="1680"/>
      <c r="L735" s="1680"/>
      <c r="M735" s="633" t="s">
        <v>2312</v>
      </c>
      <c r="N735" s="223"/>
      <c r="O735" s="631">
        <f t="shared" si="75"/>
        <v>0</v>
      </c>
    </row>
    <row r="736" spans="1:15" s="360" customFormat="1" ht="15" hidden="1">
      <c r="A736" s="356" t="s">
        <v>2035</v>
      </c>
      <c r="B736" s="632" t="s">
        <v>287</v>
      </c>
      <c r="C736" s="611">
        <f t="shared" si="73"/>
        <v>0</v>
      </c>
      <c r="D736" s="354"/>
      <c r="E736" s="15">
        <f t="shared" si="68"/>
        <v>194</v>
      </c>
      <c r="F736" s="792">
        <f t="shared" si="67"/>
        <v>0</v>
      </c>
      <c r="G736" s="358">
        <f>'PART-A'!I3584</f>
        <v>0</v>
      </c>
      <c r="H736" s="354" t="s">
        <v>115</v>
      </c>
      <c r="I736" s="355">
        <f>'PART-A'!K3584</f>
        <v>194</v>
      </c>
      <c r="J736" s="353">
        <f t="shared" si="74"/>
        <v>0</v>
      </c>
      <c r="K736" s="1681"/>
      <c r="L736" s="1681"/>
      <c r="M736" s="633" t="s">
        <v>2313</v>
      </c>
      <c r="N736" s="223"/>
      <c r="O736" s="631">
        <f t="shared" si="75"/>
        <v>0</v>
      </c>
    </row>
    <row r="737" spans="1:15" s="360" customFormat="1" ht="51" hidden="1">
      <c r="A737" s="356" t="s">
        <v>1143</v>
      </c>
      <c r="B737" s="632" t="s">
        <v>288</v>
      </c>
      <c r="C737" s="611">
        <f t="shared" si="73"/>
        <v>0</v>
      </c>
      <c r="D737" s="791" t="s">
        <v>277</v>
      </c>
      <c r="E737" s="10">
        <f t="shared" si="68"/>
        <v>80</v>
      </c>
      <c r="F737" s="792">
        <f t="shared" si="67"/>
        <v>0</v>
      </c>
      <c r="G737" s="358">
        <f>'PART-A'!I3171</f>
        <v>0</v>
      </c>
      <c r="H737" s="354" t="s">
        <v>277</v>
      </c>
      <c r="I737" s="355">
        <f>'PART-A'!K3171</f>
        <v>80</v>
      </c>
      <c r="J737" s="353">
        <f t="shared" si="74"/>
        <v>0</v>
      </c>
      <c r="K737" s="1698">
        <f>IF((J737+J738+J739+J740)&gt;(F737+F738+F739+F740),(J737+J738+J739+J740)-(F737+F738+F739+F740),0)</f>
        <v>0</v>
      </c>
      <c r="L737" s="1698">
        <f>IF((J737+J738+J739+J740)&lt;(F737+F738+F739+F740),(F737+F738+F739+F740)-(J737+J738+J739+J740),0)</f>
        <v>0</v>
      </c>
      <c r="M737" s="851" t="s">
        <v>2217</v>
      </c>
      <c r="N737" s="223"/>
      <c r="O737" s="850">
        <f t="shared" si="75"/>
        <v>0</v>
      </c>
    </row>
    <row r="738" spans="1:15" s="360" customFormat="1" ht="15" hidden="1">
      <c r="A738" s="356" t="s">
        <v>2038</v>
      </c>
      <c r="B738" s="632" t="s">
        <v>637</v>
      </c>
      <c r="C738" s="611">
        <f t="shared" si="73"/>
        <v>0</v>
      </c>
      <c r="D738" s="354"/>
      <c r="E738" s="15">
        <f t="shared" si="68"/>
        <v>80</v>
      </c>
      <c r="F738" s="792">
        <f t="shared" si="67"/>
        <v>0</v>
      </c>
      <c r="G738" s="358">
        <f>'PART-A'!I3309</f>
        <v>0</v>
      </c>
      <c r="H738" s="354" t="s">
        <v>277</v>
      </c>
      <c r="I738" s="355">
        <f>'PART-A'!K3309</f>
        <v>80</v>
      </c>
      <c r="J738" s="353">
        <f t="shared" si="74"/>
        <v>0</v>
      </c>
      <c r="K738" s="1680"/>
      <c r="L738" s="1680"/>
      <c r="M738" s="633" t="s">
        <v>2299</v>
      </c>
      <c r="N738" s="223"/>
      <c r="O738" s="631">
        <f t="shared" si="75"/>
        <v>0</v>
      </c>
    </row>
    <row r="739" spans="1:15" s="360" customFormat="1" ht="15" hidden="1">
      <c r="A739" s="356" t="s">
        <v>1163</v>
      </c>
      <c r="B739" s="632" t="s">
        <v>637</v>
      </c>
      <c r="C739" s="611">
        <f t="shared" si="73"/>
        <v>0</v>
      </c>
      <c r="D739" s="354"/>
      <c r="E739" s="15">
        <f t="shared" si="68"/>
        <v>92</v>
      </c>
      <c r="F739" s="792">
        <f t="shared" si="67"/>
        <v>0</v>
      </c>
      <c r="G739" s="358">
        <f>'PART-A'!I3451</f>
        <v>0</v>
      </c>
      <c r="H739" s="354" t="s">
        <v>277</v>
      </c>
      <c r="I739" s="355">
        <f>'PART-A'!K3451</f>
        <v>92</v>
      </c>
      <c r="J739" s="353">
        <f t="shared" si="74"/>
        <v>0</v>
      </c>
      <c r="K739" s="1680"/>
      <c r="L739" s="1680"/>
      <c r="M739" s="633" t="s">
        <v>2312</v>
      </c>
      <c r="N739" s="223"/>
      <c r="O739" s="631">
        <f t="shared" si="75"/>
        <v>0</v>
      </c>
    </row>
    <row r="740" spans="1:15" s="360" customFormat="1" ht="15" hidden="1">
      <c r="A740" s="356" t="s">
        <v>1163</v>
      </c>
      <c r="B740" s="632" t="s">
        <v>637</v>
      </c>
      <c r="C740" s="611">
        <f t="shared" si="73"/>
        <v>0</v>
      </c>
      <c r="D740" s="354"/>
      <c r="E740" s="15">
        <f t="shared" si="68"/>
        <v>105</v>
      </c>
      <c r="F740" s="792">
        <f t="shared" si="67"/>
        <v>0</v>
      </c>
      <c r="G740" s="358">
        <f>'PART-A'!I3589</f>
        <v>0</v>
      </c>
      <c r="H740" s="354" t="s">
        <v>277</v>
      </c>
      <c r="I740" s="355">
        <f>'PART-A'!K3589</f>
        <v>105</v>
      </c>
      <c r="J740" s="353">
        <f t="shared" si="74"/>
        <v>0</v>
      </c>
      <c r="K740" s="1681"/>
      <c r="L740" s="1681"/>
      <c r="M740" s="633" t="s">
        <v>2313</v>
      </c>
      <c r="N740" s="223"/>
      <c r="O740" s="631">
        <f t="shared" si="75"/>
        <v>0</v>
      </c>
    </row>
    <row r="741" spans="1:15" s="360" customFormat="1" ht="25.5" hidden="1">
      <c r="A741" s="356" t="s">
        <v>1583</v>
      </c>
      <c r="B741" s="632" t="s">
        <v>3238</v>
      </c>
      <c r="C741" s="611">
        <f t="shared" si="73"/>
        <v>0</v>
      </c>
      <c r="D741" s="791" t="s">
        <v>115</v>
      </c>
      <c r="E741" s="10">
        <f t="shared" si="68"/>
        <v>4500</v>
      </c>
      <c r="F741" s="792">
        <f t="shared" si="67"/>
        <v>0</v>
      </c>
      <c r="G741" s="358">
        <f>'PART-A'!I3176</f>
        <v>0</v>
      </c>
      <c r="H741" s="354" t="s">
        <v>115</v>
      </c>
      <c r="I741" s="355">
        <f>'PART-A'!K3176</f>
        <v>4500</v>
      </c>
      <c r="J741" s="353">
        <f t="shared" si="74"/>
        <v>0</v>
      </c>
      <c r="K741" s="1698">
        <f>IF((J741+J742+J743+J744)&gt;(F741+F742+F743+F744),(J741+J742+J743+J744)-(F741+F742+F743+F744),0)</f>
        <v>0</v>
      </c>
      <c r="L741" s="1698">
        <f>IF((J741+J742+J743+J744)&lt;(F741+F742+F743+F744),(F741+F742+F743+F744)-(J741+J742+J743+J744),0)</f>
        <v>0</v>
      </c>
      <c r="M741" s="851" t="s">
        <v>2217</v>
      </c>
      <c r="N741" s="223"/>
      <c r="O741" s="850">
        <v>1</v>
      </c>
    </row>
    <row r="742" spans="1:15" s="360" customFormat="1" ht="15" hidden="1">
      <c r="A742" s="356" t="s">
        <v>2039</v>
      </c>
      <c r="B742" s="632" t="s">
        <v>638</v>
      </c>
      <c r="C742" s="611">
        <f t="shared" si="73"/>
        <v>0</v>
      </c>
      <c r="D742" s="354"/>
      <c r="E742" s="15">
        <f t="shared" si="68"/>
        <v>4500</v>
      </c>
      <c r="F742" s="792">
        <f t="shared" si="67"/>
        <v>0</v>
      </c>
      <c r="G742" s="358">
        <f>'PART-A'!I3314</f>
        <v>0</v>
      </c>
      <c r="H742" s="354" t="s">
        <v>115</v>
      </c>
      <c r="I742" s="355">
        <f>'PART-A'!K3314</f>
        <v>4500</v>
      </c>
      <c r="J742" s="353">
        <f t="shared" si="74"/>
        <v>0</v>
      </c>
      <c r="K742" s="1680"/>
      <c r="L742" s="1680"/>
      <c r="M742" s="633" t="s">
        <v>2299</v>
      </c>
      <c r="N742" s="223"/>
      <c r="O742" s="631">
        <f t="shared" si="75"/>
        <v>0</v>
      </c>
    </row>
    <row r="743" spans="1:15" s="360" customFormat="1" ht="15" hidden="1">
      <c r="A743" s="356" t="s">
        <v>2035</v>
      </c>
      <c r="B743" s="632" t="s">
        <v>638</v>
      </c>
      <c r="C743" s="611">
        <f t="shared" si="73"/>
        <v>0</v>
      </c>
      <c r="D743" s="354"/>
      <c r="E743" s="15">
        <f t="shared" si="68"/>
        <v>4950</v>
      </c>
      <c r="F743" s="792">
        <f t="shared" si="67"/>
        <v>0</v>
      </c>
      <c r="G743" s="358">
        <f>'PART-A'!I3456</f>
        <v>0</v>
      </c>
      <c r="H743" s="354" t="s">
        <v>115</v>
      </c>
      <c r="I743" s="355">
        <f>'PART-A'!K3456</f>
        <v>4950</v>
      </c>
      <c r="J743" s="353">
        <f t="shared" si="74"/>
        <v>0</v>
      </c>
      <c r="K743" s="1680"/>
      <c r="L743" s="1680"/>
      <c r="M743" s="633" t="s">
        <v>2312</v>
      </c>
      <c r="N743" s="223"/>
      <c r="O743" s="631">
        <f t="shared" si="75"/>
        <v>0</v>
      </c>
    </row>
    <row r="744" spans="1:15" s="360" customFormat="1" ht="15" hidden="1">
      <c r="A744" s="356" t="s">
        <v>2035</v>
      </c>
      <c r="B744" s="632" t="s">
        <v>638</v>
      </c>
      <c r="C744" s="611">
        <f t="shared" si="73"/>
        <v>0</v>
      </c>
      <c r="D744" s="354"/>
      <c r="E744" s="15">
        <f t="shared" si="68"/>
        <v>5445</v>
      </c>
      <c r="F744" s="792">
        <f t="shared" si="67"/>
        <v>0</v>
      </c>
      <c r="G744" s="358">
        <f>'PART-A'!I3594</f>
        <v>0</v>
      </c>
      <c r="H744" s="354" t="s">
        <v>115</v>
      </c>
      <c r="I744" s="355">
        <f>'PART-A'!K3594</f>
        <v>5445</v>
      </c>
      <c r="J744" s="353">
        <f t="shared" si="74"/>
        <v>0</v>
      </c>
      <c r="K744" s="1681"/>
      <c r="L744" s="1681"/>
      <c r="M744" s="633" t="s">
        <v>2313</v>
      </c>
      <c r="N744" s="223"/>
      <c r="O744" s="631">
        <f t="shared" si="75"/>
        <v>0</v>
      </c>
    </row>
    <row r="745" spans="1:15" s="360" customFormat="1" ht="25.5" hidden="1">
      <c r="A745" s="356" t="s">
        <v>1155</v>
      </c>
      <c r="B745" s="632" t="s">
        <v>3226</v>
      </c>
      <c r="C745" s="611">
        <f t="shared" si="73"/>
        <v>0</v>
      </c>
      <c r="D745" s="791" t="s">
        <v>115</v>
      </c>
      <c r="E745" s="15">
        <f t="shared" si="68"/>
        <v>0</v>
      </c>
      <c r="F745" s="792">
        <f t="shared" si="67"/>
        <v>0</v>
      </c>
      <c r="G745" s="358"/>
      <c r="H745" s="354"/>
      <c r="I745" s="355"/>
      <c r="J745" s="353">
        <f t="shared" si="74"/>
        <v>0</v>
      </c>
      <c r="K745" s="669">
        <f t="shared" ref="K745" si="76">IF(J745&gt;F745,J745-F745,0)</f>
        <v>0</v>
      </c>
      <c r="L745" s="368">
        <f t="shared" ref="L745" si="77">IF(J745&lt;F745,F745-J745,0)</f>
        <v>0</v>
      </c>
      <c r="M745" s="633" t="s">
        <v>2217</v>
      </c>
      <c r="N745" s="223"/>
      <c r="O745" s="631">
        <f t="shared" si="75"/>
        <v>0</v>
      </c>
    </row>
    <row r="746" spans="1:15" ht="15" hidden="1">
      <c r="A746" s="23"/>
      <c r="B746" s="627" t="s">
        <v>426</v>
      </c>
      <c r="C746" s="611">
        <f t="shared" si="73"/>
        <v>0</v>
      </c>
      <c r="D746" s="657"/>
      <c r="E746" s="10">
        <f t="shared" si="68"/>
        <v>0</v>
      </c>
      <c r="F746" s="764"/>
      <c r="G746" s="652"/>
      <c r="H746" s="658"/>
      <c r="I746" s="654"/>
      <c r="J746" s="353">
        <f t="shared" si="74"/>
        <v>0</v>
      </c>
      <c r="K746" s="25"/>
      <c r="L746" s="25"/>
      <c r="M746" s="851" t="s">
        <v>2217</v>
      </c>
      <c r="N746" s="223"/>
      <c r="O746" s="850"/>
    </row>
    <row r="747" spans="1:15" s="360" customFormat="1" ht="38.25">
      <c r="A747" s="356" t="s">
        <v>489</v>
      </c>
      <c r="B747" s="632" t="s">
        <v>3239</v>
      </c>
      <c r="C747" s="611">
        <f t="shared" si="73"/>
        <v>70</v>
      </c>
      <c r="D747" s="827" t="s">
        <v>277</v>
      </c>
      <c r="E747" s="10">
        <f t="shared" si="68"/>
        <v>71.040000000000006</v>
      </c>
      <c r="F747" s="792">
        <f t="shared" si="67"/>
        <v>4973</v>
      </c>
      <c r="G747" s="358">
        <f>'PART-A'!I3602</f>
        <v>70</v>
      </c>
      <c r="H747" s="354" t="s">
        <v>277</v>
      </c>
      <c r="I747" s="355">
        <f>'PART-A'!K3602</f>
        <v>71.040000000000006</v>
      </c>
      <c r="J747" s="353">
        <f t="shared" si="74"/>
        <v>4972.8</v>
      </c>
      <c r="K747" s="1698">
        <f>IF((J747+J748+J749+J750)&gt;(F747+F748+F749+F750),(J747+J748+J749+J750)-(F747+F748+F749+F750),0)</f>
        <v>0</v>
      </c>
      <c r="L747" s="1698">
        <f>IF((J747+J748+J749+J750)&lt;(F747+F748+F749+F750),(F747+F748+F749+F750)-(J747+J748+J749+J750),0)</f>
        <v>0.1999999999998181</v>
      </c>
      <c r="M747" s="851" t="s">
        <v>2217</v>
      </c>
      <c r="N747" s="223"/>
      <c r="O747" s="850">
        <f t="shared" si="75"/>
        <v>0.1999999999998181</v>
      </c>
    </row>
    <row r="748" spans="1:15" s="360" customFormat="1" ht="38.25" hidden="1">
      <c r="A748" s="356" t="s">
        <v>497</v>
      </c>
      <c r="B748" s="632" t="s">
        <v>3239</v>
      </c>
      <c r="C748" s="611">
        <f t="shared" si="73"/>
        <v>0</v>
      </c>
      <c r="D748" s="354" t="s">
        <v>277</v>
      </c>
      <c r="E748" s="15">
        <f t="shared" si="68"/>
        <v>64.86</v>
      </c>
      <c r="F748" s="792">
        <f t="shared" si="67"/>
        <v>0</v>
      </c>
      <c r="G748" s="358">
        <f>'PART-A'!I3825</f>
        <v>0</v>
      </c>
      <c r="H748" s="354" t="s">
        <v>277</v>
      </c>
      <c r="I748" s="355">
        <f>'PART-A'!K3825</f>
        <v>64.86</v>
      </c>
      <c r="J748" s="353">
        <f t="shared" si="74"/>
        <v>0</v>
      </c>
      <c r="K748" s="1680"/>
      <c r="L748" s="1680"/>
      <c r="M748" s="633" t="s">
        <v>2299</v>
      </c>
      <c r="N748" s="223"/>
      <c r="O748" s="631">
        <f t="shared" si="75"/>
        <v>0</v>
      </c>
    </row>
    <row r="749" spans="1:15" s="360" customFormat="1" ht="15" hidden="1">
      <c r="A749" s="356" t="s">
        <v>1260</v>
      </c>
      <c r="B749" s="632" t="s">
        <v>555</v>
      </c>
      <c r="C749" s="611">
        <f t="shared" si="73"/>
        <v>0</v>
      </c>
      <c r="D749" s="354"/>
      <c r="E749" s="15">
        <f t="shared" si="68"/>
        <v>69.88</v>
      </c>
      <c r="F749" s="792">
        <f t="shared" si="67"/>
        <v>0</v>
      </c>
      <c r="G749" s="358">
        <f>'PART-A'!I4044</f>
        <v>0</v>
      </c>
      <c r="H749" s="354" t="s">
        <v>277</v>
      </c>
      <c r="I749" s="355">
        <f>'PART-A'!K4044</f>
        <v>69.88</v>
      </c>
      <c r="J749" s="353">
        <f t="shared" si="74"/>
        <v>0</v>
      </c>
      <c r="K749" s="1680"/>
      <c r="L749" s="1680"/>
      <c r="M749" s="633" t="s">
        <v>2312</v>
      </c>
      <c r="N749" s="223"/>
      <c r="O749" s="631">
        <f t="shared" si="75"/>
        <v>0</v>
      </c>
    </row>
    <row r="750" spans="1:15" s="360" customFormat="1" ht="15" hidden="1">
      <c r="A750" s="356" t="s">
        <v>1260</v>
      </c>
      <c r="B750" s="632" t="s">
        <v>555</v>
      </c>
      <c r="C750" s="611">
        <f t="shared" si="73"/>
        <v>0</v>
      </c>
      <c r="D750" s="354"/>
      <c r="E750" s="15">
        <f t="shared" si="68"/>
        <v>80.180000000000007</v>
      </c>
      <c r="F750" s="792">
        <f t="shared" si="67"/>
        <v>0</v>
      </c>
      <c r="G750" s="358">
        <f>'PART-A'!I4265</f>
        <v>0</v>
      </c>
      <c r="H750" s="354" t="s">
        <v>277</v>
      </c>
      <c r="I750" s="355">
        <f>'PART-A'!K4265</f>
        <v>80.180000000000007</v>
      </c>
      <c r="J750" s="353">
        <f t="shared" si="74"/>
        <v>0</v>
      </c>
      <c r="K750" s="1681"/>
      <c r="L750" s="1681"/>
      <c r="M750" s="633" t="s">
        <v>2313</v>
      </c>
      <c r="N750" s="223"/>
      <c r="O750" s="631">
        <f t="shared" si="75"/>
        <v>0</v>
      </c>
    </row>
    <row r="751" spans="1:15" s="360" customFormat="1" ht="38.25" hidden="1">
      <c r="A751" s="356" t="s">
        <v>2682</v>
      </c>
      <c r="B751" s="632" t="s">
        <v>3239</v>
      </c>
      <c r="C751" s="611">
        <f t="shared" si="73"/>
        <v>0</v>
      </c>
      <c r="D751" s="827" t="s">
        <v>277</v>
      </c>
      <c r="E751" s="15">
        <f t="shared" si="68"/>
        <v>79.19</v>
      </c>
      <c r="F751" s="792">
        <f t="shared" si="67"/>
        <v>0</v>
      </c>
      <c r="G751" s="358">
        <f>'PART-A'!I3607</f>
        <v>0</v>
      </c>
      <c r="H751" s="354" t="s">
        <v>277</v>
      </c>
      <c r="I751" s="355">
        <f>'PART-A'!K3607</f>
        <v>79.19</v>
      </c>
      <c r="J751" s="353">
        <f t="shared" si="74"/>
        <v>0</v>
      </c>
      <c r="K751" s="1679">
        <f>IF((J751+J752+J753+J754)&gt;(F751+F752+F753+F754),(J751+J752+J753+J754)-(F751+F752+F753+F754),0)</f>
        <v>0</v>
      </c>
      <c r="L751" s="1679">
        <f>IF((J751+J752+J753+J754)&lt;(F751+F752+F753+F754),(F751+F752+F753+F754)-(J751+J752+J753+J754),0)</f>
        <v>0</v>
      </c>
      <c r="M751" s="633" t="s">
        <v>2217</v>
      </c>
      <c r="N751" s="223"/>
      <c r="O751" s="631">
        <f t="shared" si="75"/>
        <v>0</v>
      </c>
    </row>
    <row r="752" spans="1:15" s="360" customFormat="1" ht="15" hidden="1">
      <c r="A752" s="356" t="s">
        <v>2043</v>
      </c>
      <c r="B752" s="632" t="s">
        <v>555</v>
      </c>
      <c r="C752" s="611">
        <f t="shared" si="73"/>
        <v>0</v>
      </c>
      <c r="D752" s="354"/>
      <c r="E752" s="15">
        <f t="shared" si="68"/>
        <v>73.41</v>
      </c>
      <c r="F752" s="792">
        <f t="shared" ref="F752:F815" si="78">ROUND(C752*E752,0)</f>
        <v>0</v>
      </c>
      <c r="G752" s="358">
        <f>'PART-A'!I3831</f>
        <v>0</v>
      </c>
      <c r="H752" s="354" t="s">
        <v>277</v>
      </c>
      <c r="I752" s="355">
        <f>'PART-A'!K3831</f>
        <v>73.41</v>
      </c>
      <c r="J752" s="353">
        <f t="shared" si="74"/>
        <v>0</v>
      </c>
      <c r="K752" s="1680"/>
      <c r="L752" s="1680"/>
      <c r="M752" s="633" t="s">
        <v>2299</v>
      </c>
      <c r="N752" s="223"/>
      <c r="O752" s="631">
        <f t="shared" si="75"/>
        <v>0</v>
      </c>
    </row>
    <row r="753" spans="1:15" s="360" customFormat="1" ht="15" hidden="1">
      <c r="A753" s="356" t="s">
        <v>498</v>
      </c>
      <c r="B753" s="632" t="s">
        <v>555</v>
      </c>
      <c r="C753" s="611">
        <f t="shared" si="73"/>
        <v>0</v>
      </c>
      <c r="D753" s="354" t="s">
        <v>277</v>
      </c>
      <c r="E753" s="15">
        <f t="shared" ref="E753:E816" si="79">I753</f>
        <v>79.430000000000007</v>
      </c>
      <c r="F753" s="792">
        <f t="shared" si="78"/>
        <v>0</v>
      </c>
      <c r="G753" s="358">
        <f>'PART-A'!I4049</f>
        <v>0</v>
      </c>
      <c r="H753" s="354" t="s">
        <v>277</v>
      </c>
      <c r="I753" s="355">
        <f>'PART-A'!K4049</f>
        <v>79.430000000000007</v>
      </c>
      <c r="J753" s="353">
        <f t="shared" si="74"/>
        <v>0</v>
      </c>
      <c r="K753" s="1680"/>
      <c r="L753" s="1680"/>
      <c r="M753" s="633" t="s">
        <v>2312</v>
      </c>
      <c r="N753" s="223"/>
      <c r="O753" s="631">
        <f t="shared" si="75"/>
        <v>0</v>
      </c>
    </row>
    <row r="754" spans="1:15" s="360" customFormat="1" ht="38.25" hidden="1">
      <c r="A754" s="356" t="s">
        <v>487</v>
      </c>
      <c r="B754" s="632" t="s">
        <v>3239</v>
      </c>
      <c r="C754" s="611">
        <f t="shared" si="73"/>
        <v>0</v>
      </c>
      <c r="D754" s="354" t="s">
        <v>277</v>
      </c>
      <c r="E754" s="10">
        <f t="shared" si="79"/>
        <v>89.61</v>
      </c>
      <c r="F754" s="792">
        <f t="shared" si="78"/>
        <v>0</v>
      </c>
      <c r="G754" s="358">
        <f>'PART-A'!I4270</f>
        <v>0</v>
      </c>
      <c r="H754" s="354" t="s">
        <v>277</v>
      </c>
      <c r="I754" s="355">
        <f>'PART-A'!K4270</f>
        <v>89.61</v>
      </c>
      <c r="J754" s="353">
        <f t="shared" si="74"/>
        <v>0</v>
      </c>
      <c r="K754" s="1695"/>
      <c r="L754" s="1695"/>
      <c r="M754" s="851" t="s">
        <v>2313</v>
      </c>
      <c r="N754" s="223"/>
      <c r="O754" s="850">
        <f t="shared" si="75"/>
        <v>0</v>
      </c>
    </row>
    <row r="755" spans="1:15" s="360" customFormat="1" ht="15" hidden="1">
      <c r="A755" s="356" t="s">
        <v>1157</v>
      </c>
      <c r="B755" s="632" t="s">
        <v>572</v>
      </c>
      <c r="C755" s="611">
        <f t="shared" si="73"/>
        <v>0</v>
      </c>
      <c r="D755" s="354" t="s">
        <v>115</v>
      </c>
      <c r="E755" s="15">
        <f t="shared" si="79"/>
        <v>55</v>
      </c>
      <c r="F755" s="792">
        <f t="shared" si="78"/>
        <v>0</v>
      </c>
      <c r="G755" s="358">
        <f>'PART-A'!I3615</f>
        <v>0</v>
      </c>
      <c r="H755" s="354" t="s">
        <v>277</v>
      </c>
      <c r="I755" s="355">
        <f>'PART-A'!K3615</f>
        <v>55</v>
      </c>
      <c r="J755" s="353">
        <f t="shared" si="74"/>
        <v>0</v>
      </c>
      <c r="K755" s="1679">
        <f>IF((J755+J756+J757+J758)&gt;(F755+F756+F757+F758),(J755+J756+J757+J758)-(F755+F756+F757+F758),0)</f>
        <v>0</v>
      </c>
      <c r="L755" s="1679">
        <f>IF((J755+J756+J757+J758)&lt;(F755+F756+F757+F758),(F755+F756+F757+F758)-(J755+J756+J757+J758),0)</f>
        <v>0</v>
      </c>
      <c r="M755" s="633" t="s">
        <v>2217</v>
      </c>
      <c r="N755" s="223"/>
      <c r="O755" s="631">
        <f t="shared" si="75"/>
        <v>0</v>
      </c>
    </row>
    <row r="756" spans="1:15" s="360" customFormat="1" ht="15" hidden="1">
      <c r="A756" s="356" t="s">
        <v>517</v>
      </c>
      <c r="B756" s="632" t="s">
        <v>572</v>
      </c>
      <c r="C756" s="611">
        <f t="shared" si="73"/>
        <v>0</v>
      </c>
      <c r="D756" s="354" t="s">
        <v>115</v>
      </c>
      <c r="E756" s="15">
        <f t="shared" si="79"/>
        <v>55</v>
      </c>
      <c r="F756" s="792">
        <f t="shared" si="78"/>
        <v>0</v>
      </c>
      <c r="G756" s="358">
        <f>'PART-A'!I3839</f>
        <v>0</v>
      </c>
      <c r="H756" s="354" t="s">
        <v>277</v>
      </c>
      <c r="I756" s="355">
        <f>'PART-A'!K3839</f>
        <v>55</v>
      </c>
      <c r="J756" s="353">
        <f t="shared" si="74"/>
        <v>0</v>
      </c>
      <c r="K756" s="1680"/>
      <c r="L756" s="1680"/>
      <c r="M756" s="633" t="s">
        <v>2299</v>
      </c>
      <c r="N756" s="223"/>
      <c r="O756" s="631">
        <f t="shared" si="75"/>
        <v>0</v>
      </c>
    </row>
    <row r="757" spans="1:15" s="360" customFormat="1" ht="15" hidden="1">
      <c r="A757" s="356" t="s">
        <v>517</v>
      </c>
      <c r="B757" s="632" t="s">
        <v>572</v>
      </c>
      <c r="C757" s="611">
        <f t="shared" si="73"/>
        <v>0</v>
      </c>
      <c r="D757" s="354" t="s">
        <v>568</v>
      </c>
      <c r="E757" s="15">
        <f t="shared" si="79"/>
        <v>58</v>
      </c>
      <c r="F757" s="792">
        <f t="shared" si="78"/>
        <v>0</v>
      </c>
      <c r="G757" s="358">
        <f>'PART-A'!I4057</f>
        <v>0</v>
      </c>
      <c r="H757" s="354" t="s">
        <v>277</v>
      </c>
      <c r="I757" s="355">
        <f>'PART-A'!K4057</f>
        <v>58</v>
      </c>
      <c r="J757" s="353">
        <f t="shared" si="74"/>
        <v>0</v>
      </c>
      <c r="K757" s="1680"/>
      <c r="L757" s="1680"/>
      <c r="M757" s="633" t="s">
        <v>2312</v>
      </c>
      <c r="N757" s="223"/>
      <c r="O757" s="631">
        <f t="shared" si="75"/>
        <v>0</v>
      </c>
    </row>
    <row r="758" spans="1:15" s="360" customFormat="1" ht="15" hidden="1">
      <c r="A758" s="356" t="s">
        <v>517</v>
      </c>
      <c r="B758" s="632" t="s">
        <v>572</v>
      </c>
      <c r="C758" s="611">
        <f t="shared" si="73"/>
        <v>0</v>
      </c>
      <c r="D758" s="354" t="s">
        <v>568</v>
      </c>
      <c r="E758" s="15">
        <f t="shared" si="79"/>
        <v>64</v>
      </c>
      <c r="F758" s="792">
        <f t="shared" si="78"/>
        <v>0</v>
      </c>
      <c r="G758" s="358">
        <f>'PART-A'!I4278</f>
        <v>0</v>
      </c>
      <c r="H758" s="354" t="s">
        <v>277</v>
      </c>
      <c r="I758" s="355">
        <f>'PART-A'!K4278</f>
        <v>64</v>
      </c>
      <c r="J758" s="353">
        <f t="shared" si="74"/>
        <v>0</v>
      </c>
      <c r="K758" s="1681"/>
      <c r="L758" s="1681"/>
      <c r="M758" s="633" t="s">
        <v>2313</v>
      </c>
      <c r="N758" s="223"/>
      <c r="O758" s="631">
        <f t="shared" si="75"/>
        <v>0</v>
      </c>
    </row>
    <row r="759" spans="1:15" s="360" customFormat="1" ht="15" hidden="1">
      <c r="A759" s="356" t="s">
        <v>1162</v>
      </c>
      <c r="B759" s="632" t="s">
        <v>556</v>
      </c>
      <c r="C759" s="611">
        <f t="shared" si="73"/>
        <v>0</v>
      </c>
      <c r="D759" s="354" t="s">
        <v>277</v>
      </c>
      <c r="E759" s="15">
        <f t="shared" si="79"/>
        <v>205</v>
      </c>
      <c r="F759" s="792">
        <f t="shared" si="78"/>
        <v>0</v>
      </c>
      <c r="G759" s="358">
        <f>'PART-A'!I3620</f>
        <v>0</v>
      </c>
      <c r="H759" s="354" t="s">
        <v>115</v>
      </c>
      <c r="I759" s="355">
        <f>'PART-A'!K3620</f>
        <v>205</v>
      </c>
      <c r="J759" s="353">
        <f t="shared" si="74"/>
        <v>0</v>
      </c>
      <c r="K759" s="1679">
        <f>IF((J759+J760+J761+J762)&gt;(F759+F760+F761+F762),(J759+J760+J761+J762)-(F759+F760+F761+F762),0)</f>
        <v>0</v>
      </c>
      <c r="L759" s="1679">
        <f>IF((J759+J760+J761+J762)&lt;(F759+F760+F761+F762),(F759+F760+F761+F762)-(J759+J760+J761+J762),0)</f>
        <v>0</v>
      </c>
      <c r="M759" s="633" t="s">
        <v>2217</v>
      </c>
      <c r="N759" s="223"/>
      <c r="O759" s="631">
        <f t="shared" si="75"/>
        <v>0</v>
      </c>
    </row>
    <row r="760" spans="1:15" s="360" customFormat="1" ht="15" hidden="1">
      <c r="A760" s="356" t="s">
        <v>2045</v>
      </c>
      <c r="B760" s="632" t="s">
        <v>556</v>
      </c>
      <c r="C760" s="611">
        <f t="shared" si="73"/>
        <v>0</v>
      </c>
      <c r="D760" s="354" t="s">
        <v>115</v>
      </c>
      <c r="E760" s="15">
        <f t="shared" si="79"/>
        <v>205</v>
      </c>
      <c r="F760" s="792">
        <f t="shared" si="78"/>
        <v>0</v>
      </c>
      <c r="G760" s="358">
        <f>'PART-A'!I3844</f>
        <v>0</v>
      </c>
      <c r="H760" s="354" t="s">
        <v>115</v>
      </c>
      <c r="I760" s="355">
        <f>'PART-A'!K3844</f>
        <v>205</v>
      </c>
      <c r="J760" s="353">
        <f t="shared" si="74"/>
        <v>0</v>
      </c>
      <c r="K760" s="1680"/>
      <c r="L760" s="1680"/>
      <c r="M760" s="633" t="s">
        <v>2299</v>
      </c>
      <c r="N760" s="223"/>
      <c r="O760" s="631">
        <f t="shared" si="75"/>
        <v>0</v>
      </c>
    </row>
    <row r="761" spans="1:15" s="360" customFormat="1" ht="15" hidden="1">
      <c r="A761" s="356" t="s">
        <v>499</v>
      </c>
      <c r="B761" s="632" t="s">
        <v>556</v>
      </c>
      <c r="C761" s="611">
        <f t="shared" si="73"/>
        <v>0</v>
      </c>
      <c r="D761" s="354" t="s">
        <v>115</v>
      </c>
      <c r="E761" s="15">
        <f t="shared" si="79"/>
        <v>226</v>
      </c>
      <c r="F761" s="792">
        <f t="shared" si="78"/>
        <v>0</v>
      </c>
      <c r="G761" s="358">
        <f>'PART-A'!I4062</f>
        <v>0</v>
      </c>
      <c r="H761" s="354" t="s">
        <v>115</v>
      </c>
      <c r="I761" s="355">
        <f>'PART-A'!K4062</f>
        <v>226</v>
      </c>
      <c r="J761" s="353">
        <f t="shared" si="74"/>
        <v>0</v>
      </c>
      <c r="K761" s="1680"/>
      <c r="L761" s="1680"/>
      <c r="M761" s="633" t="s">
        <v>2312</v>
      </c>
      <c r="N761" s="223"/>
      <c r="O761" s="631">
        <f t="shared" si="75"/>
        <v>0</v>
      </c>
    </row>
    <row r="762" spans="1:15" s="360" customFormat="1" ht="15" hidden="1">
      <c r="A762" s="356" t="s">
        <v>493</v>
      </c>
      <c r="B762" s="632" t="s">
        <v>556</v>
      </c>
      <c r="C762" s="611">
        <f t="shared" si="73"/>
        <v>0</v>
      </c>
      <c r="D762" s="354" t="s">
        <v>115</v>
      </c>
      <c r="E762" s="10">
        <f t="shared" si="79"/>
        <v>245</v>
      </c>
      <c r="F762" s="792">
        <f t="shared" si="78"/>
        <v>0</v>
      </c>
      <c r="G762" s="358">
        <f>'PART-A'!I4283</f>
        <v>0</v>
      </c>
      <c r="H762" s="354" t="s">
        <v>115</v>
      </c>
      <c r="I762" s="355">
        <f>'PART-A'!K4283</f>
        <v>245</v>
      </c>
      <c r="J762" s="353">
        <f t="shared" si="74"/>
        <v>0</v>
      </c>
      <c r="K762" s="1695"/>
      <c r="L762" s="1695"/>
      <c r="M762" s="851" t="s">
        <v>2313</v>
      </c>
      <c r="N762" s="223"/>
      <c r="O762" s="850">
        <f t="shared" si="75"/>
        <v>0</v>
      </c>
    </row>
    <row r="763" spans="1:15" s="360" customFormat="1" ht="15" hidden="1">
      <c r="A763" s="356" t="s">
        <v>1596</v>
      </c>
      <c r="B763" s="632" t="s">
        <v>639</v>
      </c>
      <c r="C763" s="611">
        <f t="shared" si="73"/>
        <v>0</v>
      </c>
      <c r="D763" s="354" t="s">
        <v>115</v>
      </c>
      <c r="E763" s="15">
        <f t="shared" si="79"/>
        <v>170</v>
      </c>
      <c r="F763" s="792">
        <f t="shared" si="78"/>
        <v>0</v>
      </c>
      <c r="G763" s="358">
        <f>'PART-A'!I3625</f>
        <v>0</v>
      </c>
      <c r="H763" s="354" t="s">
        <v>115</v>
      </c>
      <c r="I763" s="355">
        <f>'PART-A'!K3625</f>
        <v>170</v>
      </c>
      <c r="J763" s="353">
        <f t="shared" si="74"/>
        <v>0</v>
      </c>
      <c r="K763" s="1679">
        <f>IF((J763+J764+J765+J766)&gt;(F763+F764+F765+F766),(J763+J764+J765+J766)-(F763+F764+F765+F766),0)</f>
        <v>0</v>
      </c>
      <c r="L763" s="1679">
        <f>IF((J763+J764+J765+J766)&lt;(F763+F764+F765+F766),(F763+F764+F765+F766)-(J763+J764+J765+J766),0)</f>
        <v>0</v>
      </c>
      <c r="M763" s="633" t="s">
        <v>2217</v>
      </c>
      <c r="N763" s="223"/>
      <c r="O763" s="631">
        <f t="shared" si="75"/>
        <v>0</v>
      </c>
    </row>
    <row r="764" spans="1:15" s="360" customFormat="1" ht="15" hidden="1">
      <c r="A764" s="356" t="s">
        <v>2699</v>
      </c>
      <c r="B764" s="632" t="s">
        <v>639</v>
      </c>
      <c r="C764" s="611">
        <f t="shared" si="73"/>
        <v>0</v>
      </c>
      <c r="D764" s="354" t="s">
        <v>115</v>
      </c>
      <c r="E764" s="15">
        <f t="shared" si="79"/>
        <v>170</v>
      </c>
      <c r="F764" s="792">
        <f t="shared" si="78"/>
        <v>0</v>
      </c>
      <c r="G764" s="358">
        <f>'PART-A'!I3849</f>
        <v>0</v>
      </c>
      <c r="H764" s="354" t="s">
        <v>115</v>
      </c>
      <c r="I764" s="355">
        <f>'PART-A'!K3849</f>
        <v>170</v>
      </c>
      <c r="J764" s="353">
        <f t="shared" si="74"/>
        <v>0</v>
      </c>
      <c r="K764" s="1680"/>
      <c r="L764" s="1680"/>
      <c r="M764" s="633" t="s">
        <v>2299</v>
      </c>
      <c r="N764" s="223"/>
      <c r="O764" s="631">
        <f t="shared" si="75"/>
        <v>0</v>
      </c>
    </row>
    <row r="765" spans="1:15" s="360" customFormat="1" ht="15" hidden="1">
      <c r="A765" s="356" t="s">
        <v>1596</v>
      </c>
      <c r="B765" s="632" t="s">
        <v>639</v>
      </c>
      <c r="C765" s="611">
        <f t="shared" si="73"/>
        <v>0</v>
      </c>
      <c r="D765" s="354" t="s">
        <v>115</v>
      </c>
      <c r="E765" s="15">
        <f t="shared" si="79"/>
        <v>187</v>
      </c>
      <c r="F765" s="792">
        <f t="shared" si="78"/>
        <v>0</v>
      </c>
      <c r="G765" s="358">
        <f>'PART-A'!I4067</f>
        <v>0</v>
      </c>
      <c r="H765" s="354" t="s">
        <v>115</v>
      </c>
      <c r="I765" s="355">
        <f>'PART-A'!K4067</f>
        <v>187</v>
      </c>
      <c r="J765" s="353">
        <f t="shared" si="74"/>
        <v>0</v>
      </c>
      <c r="K765" s="1680"/>
      <c r="L765" s="1680"/>
      <c r="M765" s="633" t="s">
        <v>2312</v>
      </c>
      <c r="N765" s="223"/>
      <c r="O765" s="631">
        <f t="shared" si="75"/>
        <v>0</v>
      </c>
    </row>
    <row r="766" spans="1:15" s="360" customFormat="1" ht="15" hidden="1">
      <c r="A766" s="356" t="s">
        <v>494</v>
      </c>
      <c r="B766" s="632" t="s">
        <v>639</v>
      </c>
      <c r="C766" s="611">
        <f t="shared" si="73"/>
        <v>0</v>
      </c>
      <c r="D766" s="354" t="s">
        <v>115</v>
      </c>
      <c r="E766" s="10">
        <f t="shared" si="79"/>
        <v>203</v>
      </c>
      <c r="F766" s="792">
        <f t="shared" si="78"/>
        <v>0</v>
      </c>
      <c r="G766" s="358">
        <f>'PART-A'!I4288</f>
        <v>0</v>
      </c>
      <c r="H766" s="354" t="s">
        <v>115</v>
      </c>
      <c r="I766" s="355">
        <f>'PART-A'!K4288</f>
        <v>203</v>
      </c>
      <c r="J766" s="353">
        <f t="shared" si="74"/>
        <v>0</v>
      </c>
      <c r="K766" s="1695"/>
      <c r="L766" s="1695"/>
      <c r="M766" s="851" t="s">
        <v>2313</v>
      </c>
      <c r="N766" s="223"/>
      <c r="O766" s="850">
        <f t="shared" si="75"/>
        <v>0</v>
      </c>
    </row>
    <row r="767" spans="1:15" s="360" customFormat="1" ht="15" hidden="1">
      <c r="A767" s="356" t="s">
        <v>2077</v>
      </c>
      <c r="B767" s="632" t="s">
        <v>714</v>
      </c>
      <c r="C767" s="611">
        <f t="shared" si="73"/>
        <v>0</v>
      </c>
      <c r="D767" s="354" t="s">
        <v>115</v>
      </c>
      <c r="E767" s="15">
        <f t="shared" si="79"/>
        <v>130</v>
      </c>
      <c r="F767" s="792">
        <f t="shared" si="78"/>
        <v>0</v>
      </c>
      <c r="G767" s="358">
        <f>'PART-A'!I3630</f>
        <v>0</v>
      </c>
      <c r="H767" s="354" t="s">
        <v>115</v>
      </c>
      <c r="I767" s="355">
        <f>'PART-A'!K3630</f>
        <v>130</v>
      </c>
      <c r="J767" s="353">
        <f t="shared" si="74"/>
        <v>0</v>
      </c>
      <c r="K767" s="1679">
        <f>IF((J767+J768+J769+J770)&gt;(F767+F768+F769+F770),(J767+J768+J769+J770)-(F767+F768+F769+F770),0)</f>
        <v>0</v>
      </c>
      <c r="L767" s="1679">
        <f>IF((J767+J768+J769+J770)&lt;(F767+F768+F769+F770),(F767+F768+F769+F770)-(J767+J768+J769+J770),0)</f>
        <v>0</v>
      </c>
      <c r="M767" s="633" t="s">
        <v>2217</v>
      </c>
      <c r="N767" s="223"/>
      <c r="O767" s="631">
        <f t="shared" si="75"/>
        <v>0</v>
      </c>
    </row>
    <row r="768" spans="1:15" s="360" customFormat="1" ht="15" hidden="1">
      <c r="A768" s="356" t="s">
        <v>2046</v>
      </c>
      <c r="B768" s="632" t="s">
        <v>714</v>
      </c>
      <c r="C768" s="611">
        <f t="shared" si="73"/>
        <v>0</v>
      </c>
      <c r="D768" s="354" t="s">
        <v>115</v>
      </c>
      <c r="E768" s="15">
        <f t="shared" si="79"/>
        <v>130</v>
      </c>
      <c r="F768" s="792">
        <f t="shared" si="78"/>
        <v>0</v>
      </c>
      <c r="G768" s="358">
        <f>'PART-A'!I3854</f>
        <v>0</v>
      </c>
      <c r="H768" s="354" t="s">
        <v>115</v>
      </c>
      <c r="I768" s="355">
        <f>'PART-A'!K3854</f>
        <v>130</v>
      </c>
      <c r="J768" s="353">
        <f t="shared" si="74"/>
        <v>0</v>
      </c>
      <c r="K768" s="1680"/>
      <c r="L768" s="1680"/>
      <c r="M768" s="633" t="s">
        <v>2299</v>
      </c>
      <c r="N768" s="223"/>
      <c r="O768" s="631">
        <f t="shared" si="75"/>
        <v>0</v>
      </c>
    </row>
    <row r="769" spans="1:15" s="360" customFormat="1" ht="15" hidden="1">
      <c r="A769" s="356" t="s">
        <v>2077</v>
      </c>
      <c r="B769" s="632" t="s">
        <v>714</v>
      </c>
      <c r="C769" s="611">
        <f t="shared" si="73"/>
        <v>0</v>
      </c>
      <c r="D769" s="354"/>
      <c r="E769" s="15">
        <f t="shared" si="79"/>
        <v>143</v>
      </c>
      <c r="F769" s="792">
        <f t="shared" si="78"/>
        <v>0</v>
      </c>
      <c r="G769" s="358">
        <f>'PART-A'!I4072</f>
        <v>0</v>
      </c>
      <c r="H769" s="354" t="s">
        <v>115</v>
      </c>
      <c r="I769" s="355">
        <f>'PART-A'!K4072</f>
        <v>143</v>
      </c>
      <c r="J769" s="353">
        <f t="shared" si="74"/>
        <v>0</v>
      </c>
      <c r="K769" s="1680"/>
      <c r="L769" s="1680"/>
      <c r="M769" s="633" t="s">
        <v>2312</v>
      </c>
      <c r="N769" s="223"/>
      <c r="O769" s="631">
        <f t="shared" si="75"/>
        <v>0</v>
      </c>
    </row>
    <row r="770" spans="1:15" s="360" customFormat="1" ht="15" hidden="1">
      <c r="A770" s="356" t="s">
        <v>2077</v>
      </c>
      <c r="B770" s="632" t="s">
        <v>714</v>
      </c>
      <c r="C770" s="611">
        <f t="shared" si="73"/>
        <v>0</v>
      </c>
      <c r="D770" s="354"/>
      <c r="E770" s="15">
        <f t="shared" si="79"/>
        <v>155</v>
      </c>
      <c r="F770" s="792">
        <f t="shared" si="78"/>
        <v>0</v>
      </c>
      <c r="G770" s="358">
        <f>'PART-A'!I4293</f>
        <v>0</v>
      </c>
      <c r="H770" s="354" t="s">
        <v>115</v>
      </c>
      <c r="I770" s="355">
        <f>'PART-A'!K4293</f>
        <v>155</v>
      </c>
      <c r="J770" s="353">
        <f t="shared" si="74"/>
        <v>0</v>
      </c>
      <c r="K770" s="1681"/>
      <c r="L770" s="1681"/>
      <c r="M770" s="633" t="s">
        <v>2313</v>
      </c>
      <c r="N770" s="223"/>
      <c r="O770" s="631">
        <f t="shared" si="75"/>
        <v>0</v>
      </c>
    </row>
    <row r="771" spans="1:15" s="360" customFormat="1" ht="15" hidden="1">
      <c r="A771" s="356" t="s">
        <v>1597</v>
      </c>
      <c r="B771" s="632" t="s">
        <v>796</v>
      </c>
      <c r="C771" s="611">
        <f t="shared" si="73"/>
        <v>0</v>
      </c>
      <c r="D771" s="354"/>
      <c r="E771" s="15">
        <f t="shared" si="79"/>
        <v>95</v>
      </c>
      <c r="F771" s="792">
        <f t="shared" si="78"/>
        <v>0</v>
      </c>
      <c r="G771" s="358">
        <f>'PART-A'!I3648</f>
        <v>0</v>
      </c>
      <c r="H771" s="354" t="s">
        <v>115</v>
      </c>
      <c r="I771" s="355">
        <f>'PART-A'!K3648</f>
        <v>95</v>
      </c>
      <c r="J771" s="353">
        <f t="shared" si="74"/>
        <v>0</v>
      </c>
      <c r="K771" s="1679">
        <f>IF((J771+J772+J773+J774)&gt;(F771+F772+F773+F774),(J771+J772+J773+J774)-(F771+F772+F773+F774),0)</f>
        <v>0</v>
      </c>
      <c r="L771" s="1679">
        <f>IF((J771+J772+J773+J774)&lt;(F771+F772+F773+F774),(F771+F772+F773+F774)-(J771+J772+J773+J774),0)</f>
        <v>0</v>
      </c>
      <c r="M771" s="633" t="s">
        <v>2217</v>
      </c>
      <c r="N771" s="223"/>
      <c r="O771" s="631">
        <f t="shared" si="75"/>
        <v>0</v>
      </c>
    </row>
    <row r="772" spans="1:15" s="360" customFormat="1" ht="15" hidden="1">
      <c r="A772" s="356" t="s">
        <v>2698</v>
      </c>
      <c r="B772" s="632" t="s">
        <v>796</v>
      </c>
      <c r="C772" s="611">
        <f t="shared" si="73"/>
        <v>0</v>
      </c>
      <c r="D772" s="354"/>
      <c r="E772" s="15">
        <f t="shared" si="79"/>
        <v>95</v>
      </c>
      <c r="F772" s="792">
        <f t="shared" si="78"/>
        <v>0</v>
      </c>
      <c r="G772" s="358">
        <f>'PART-A'!I3872</f>
        <v>0</v>
      </c>
      <c r="H772" s="354" t="s">
        <v>115</v>
      </c>
      <c r="I772" s="355">
        <f>'PART-A'!K3872</f>
        <v>95</v>
      </c>
      <c r="J772" s="353">
        <f t="shared" si="74"/>
        <v>0</v>
      </c>
      <c r="K772" s="1680"/>
      <c r="L772" s="1680"/>
      <c r="M772" s="633" t="s">
        <v>2299</v>
      </c>
      <c r="N772" s="223"/>
      <c r="O772" s="631">
        <f t="shared" si="75"/>
        <v>0</v>
      </c>
    </row>
    <row r="773" spans="1:15" s="360" customFormat="1" ht="15" hidden="1">
      <c r="A773" s="356" t="s">
        <v>500</v>
      </c>
      <c r="B773" s="632" t="s">
        <v>796</v>
      </c>
      <c r="C773" s="611">
        <f t="shared" si="73"/>
        <v>0</v>
      </c>
      <c r="D773" s="354" t="s">
        <v>115</v>
      </c>
      <c r="E773" s="15">
        <f t="shared" si="79"/>
        <v>105</v>
      </c>
      <c r="F773" s="792">
        <f t="shared" si="78"/>
        <v>0</v>
      </c>
      <c r="G773" s="358">
        <f>'PART-A'!I4090</f>
        <v>0</v>
      </c>
      <c r="H773" s="354" t="s">
        <v>115</v>
      </c>
      <c r="I773" s="355">
        <f>'PART-A'!K4090</f>
        <v>105</v>
      </c>
      <c r="J773" s="353">
        <f t="shared" si="74"/>
        <v>0</v>
      </c>
      <c r="K773" s="1680"/>
      <c r="L773" s="1680"/>
      <c r="M773" s="633" t="s">
        <v>2312</v>
      </c>
      <c r="N773" s="223"/>
      <c r="O773" s="631">
        <f t="shared" si="75"/>
        <v>0</v>
      </c>
    </row>
    <row r="774" spans="1:15" s="360" customFormat="1" ht="15" hidden="1">
      <c r="A774" s="356" t="s">
        <v>1597</v>
      </c>
      <c r="B774" s="632" t="s">
        <v>796</v>
      </c>
      <c r="C774" s="611">
        <f t="shared" si="73"/>
        <v>0</v>
      </c>
      <c r="D774" s="354"/>
      <c r="E774" s="15">
        <f t="shared" si="79"/>
        <v>114</v>
      </c>
      <c r="F774" s="792">
        <f t="shared" si="78"/>
        <v>0</v>
      </c>
      <c r="G774" s="358">
        <f>'PART-A'!I4311</f>
        <v>0</v>
      </c>
      <c r="H774" s="354" t="s">
        <v>115</v>
      </c>
      <c r="I774" s="355">
        <f>'PART-A'!K4311</f>
        <v>114</v>
      </c>
      <c r="J774" s="353">
        <f t="shared" si="74"/>
        <v>0</v>
      </c>
      <c r="K774" s="1681"/>
      <c r="L774" s="1681"/>
      <c r="M774" s="633" t="s">
        <v>2313</v>
      </c>
      <c r="N774" s="223"/>
      <c r="O774" s="631">
        <f t="shared" si="75"/>
        <v>0</v>
      </c>
    </row>
    <row r="775" spans="1:15" s="360" customFormat="1" ht="15" hidden="1">
      <c r="A775" s="356" t="s">
        <v>2043</v>
      </c>
      <c r="B775" s="632" t="s">
        <v>640</v>
      </c>
      <c r="C775" s="611">
        <f t="shared" si="73"/>
        <v>0</v>
      </c>
      <c r="D775" s="354"/>
      <c r="E775" s="15">
        <f t="shared" si="79"/>
        <v>335</v>
      </c>
      <c r="F775" s="792">
        <f t="shared" si="78"/>
        <v>0</v>
      </c>
      <c r="G775" s="358">
        <f>'PART-A'!I3643</f>
        <v>0</v>
      </c>
      <c r="H775" s="354" t="s">
        <v>115</v>
      </c>
      <c r="I775" s="355">
        <f>'PART-A'!K3643</f>
        <v>335</v>
      </c>
      <c r="J775" s="353">
        <f t="shared" si="74"/>
        <v>0</v>
      </c>
      <c r="K775" s="1679">
        <f>IF((J775+J776+J777+J778)&gt;(F775+F776+F777+F778),(J775+J776+J777+J778)-(F775+F776+F777+F778),0)</f>
        <v>0</v>
      </c>
      <c r="L775" s="1679">
        <f>IF((J775+J776+J777+J778)&lt;(F775+F776+F777+F778),(F775+F776+F777+F778)-(J775+J776+J777+J778),0)</f>
        <v>0</v>
      </c>
      <c r="M775" s="633" t="s">
        <v>2217</v>
      </c>
      <c r="N775" s="223"/>
      <c r="O775" s="631">
        <f t="shared" si="75"/>
        <v>0</v>
      </c>
    </row>
    <row r="776" spans="1:15" s="360" customFormat="1" ht="15" hidden="1">
      <c r="A776" s="356" t="s">
        <v>2043</v>
      </c>
      <c r="B776" s="632" t="s">
        <v>640</v>
      </c>
      <c r="C776" s="611">
        <f t="shared" si="73"/>
        <v>0</v>
      </c>
      <c r="D776" s="354"/>
      <c r="E776" s="15">
        <f t="shared" si="79"/>
        <v>335</v>
      </c>
      <c r="F776" s="792">
        <f t="shared" si="78"/>
        <v>0</v>
      </c>
      <c r="G776" s="358">
        <f>'PART-A'!I3867</f>
        <v>0</v>
      </c>
      <c r="H776" s="354" t="s">
        <v>115</v>
      </c>
      <c r="I776" s="355">
        <f>'PART-A'!K3867</f>
        <v>335</v>
      </c>
      <c r="J776" s="353">
        <f t="shared" si="74"/>
        <v>0</v>
      </c>
      <c r="K776" s="1680"/>
      <c r="L776" s="1680"/>
      <c r="M776" s="633" t="s">
        <v>2299</v>
      </c>
      <c r="N776" s="223"/>
      <c r="O776" s="631">
        <f t="shared" si="75"/>
        <v>0</v>
      </c>
    </row>
    <row r="777" spans="1:15" s="360" customFormat="1" ht="15" hidden="1">
      <c r="A777" s="356" t="s">
        <v>2043</v>
      </c>
      <c r="B777" s="632" t="s">
        <v>640</v>
      </c>
      <c r="C777" s="611">
        <f t="shared" si="73"/>
        <v>0</v>
      </c>
      <c r="D777" s="354"/>
      <c r="E777" s="15">
        <f t="shared" si="79"/>
        <v>369</v>
      </c>
      <c r="F777" s="792">
        <f t="shared" si="78"/>
        <v>0</v>
      </c>
      <c r="G777" s="358">
        <f>'PART-A'!I4085</f>
        <v>0</v>
      </c>
      <c r="H777" s="354" t="s">
        <v>115</v>
      </c>
      <c r="I777" s="355">
        <f>'PART-A'!K4085</f>
        <v>369</v>
      </c>
      <c r="J777" s="353">
        <f t="shared" si="74"/>
        <v>0</v>
      </c>
      <c r="K777" s="1680"/>
      <c r="L777" s="1680"/>
      <c r="M777" s="633" t="s">
        <v>2312</v>
      </c>
      <c r="N777" s="223"/>
      <c r="O777" s="631">
        <f t="shared" si="75"/>
        <v>0</v>
      </c>
    </row>
    <row r="778" spans="1:15" s="360" customFormat="1" ht="15" hidden="1">
      <c r="A778" s="356" t="s">
        <v>2043</v>
      </c>
      <c r="B778" s="632" t="s">
        <v>640</v>
      </c>
      <c r="C778" s="611">
        <f t="shared" ref="C778:C841" si="80">G778</f>
        <v>0</v>
      </c>
      <c r="D778" s="354"/>
      <c r="E778" s="15">
        <f t="shared" si="79"/>
        <v>400</v>
      </c>
      <c r="F778" s="792">
        <f t="shared" si="78"/>
        <v>0</v>
      </c>
      <c r="G778" s="358">
        <f>'PART-A'!I4306</f>
        <v>0</v>
      </c>
      <c r="H778" s="354" t="s">
        <v>115</v>
      </c>
      <c r="I778" s="355">
        <f>'PART-A'!K4306</f>
        <v>400</v>
      </c>
      <c r="J778" s="353">
        <f t="shared" ref="J778:J841" si="81">ROUND(G778*I778,2)</f>
        <v>0</v>
      </c>
      <c r="K778" s="1681"/>
      <c r="L778" s="1681"/>
      <c r="M778" s="633" t="s">
        <v>2313</v>
      </c>
      <c r="N778" s="223"/>
      <c r="O778" s="631">
        <f t="shared" si="75"/>
        <v>0</v>
      </c>
    </row>
    <row r="779" spans="1:15" s="360" customFormat="1" ht="15" hidden="1">
      <c r="A779" s="356" t="s">
        <v>2044</v>
      </c>
      <c r="B779" s="632" t="s">
        <v>1512</v>
      </c>
      <c r="C779" s="611">
        <f t="shared" si="80"/>
        <v>0</v>
      </c>
      <c r="D779" s="354"/>
      <c r="E779" s="15">
        <f t="shared" si="79"/>
        <v>300</v>
      </c>
      <c r="F779" s="792">
        <f t="shared" si="78"/>
        <v>0</v>
      </c>
      <c r="G779" s="358">
        <f>'PART-A'!I3638</f>
        <v>0</v>
      </c>
      <c r="H779" s="354" t="s">
        <v>115</v>
      </c>
      <c r="I779" s="355">
        <f>'PART-A'!K3638</f>
        <v>300</v>
      </c>
      <c r="J779" s="353">
        <f t="shared" si="81"/>
        <v>0</v>
      </c>
      <c r="K779" s="1679">
        <f>IF((J779+J780+J781+J782)&gt;(F779+F780+F781+F782),(J779+J780+J781+J782)-(F779+F780+F781+F782),0)</f>
        <v>0</v>
      </c>
      <c r="L779" s="1679">
        <f>IF((J779+J780+J781+J782)&lt;(F779+F780+F781+F782),(F779+F780+F781+F782)-(J779+J780+J781+J782),0)</f>
        <v>0</v>
      </c>
      <c r="M779" s="633" t="s">
        <v>2217</v>
      </c>
      <c r="N779" s="223"/>
      <c r="O779" s="631">
        <f t="shared" si="75"/>
        <v>0</v>
      </c>
    </row>
    <row r="780" spans="1:15" s="360" customFormat="1" ht="15" hidden="1">
      <c r="A780" s="356" t="s">
        <v>2044</v>
      </c>
      <c r="B780" s="632" t="s">
        <v>1512</v>
      </c>
      <c r="C780" s="611">
        <f t="shared" si="80"/>
        <v>0</v>
      </c>
      <c r="D780" s="354"/>
      <c r="E780" s="15">
        <f t="shared" si="79"/>
        <v>300</v>
      </c>
      <c r="F780" s="792">
        <f t="shared" si="78"/>
        <v>0</v>
      </c>
      <c r="G780" s="358">
        <f>'PART-A'!I3862</f>
        <v>0</v>
      </c>
      <c r="H780" s="354" t="s">
        <v>115</v>
      </c>
      <c r="I780" s="355">
        <f>'PART-A'!K3862</f>
        <v>300</v>
      </c>
      <c r="J780" s="353">
        <f t="shared" si="81"/>
        <v>0</v>
      </c>
      <c r="K780" s="1680"/>
      <c r="L780" s="1680"/>
      <c r="M780" s="633" t="s">
        <v>2299</v>
      </c>
      <c r="N780" s="223"/>
      <c r="O780" s="631">
        <f t="shared" si="75"/>
        <v>0</v>
      </c>
    </row>
    <row r="781" spans="1:15" s="360" customFormat="1" ht="15" hidden="1">
      <c r="A781" s="356" t="s">
        <v>2044</v>
      </c>
      <c r="B781" s="632" t="s">
        <v>1512</v>
      </c>
      <c r="C781" s="611">
        <f t="shared" si="80"/>
        <v>0</v>
      </c>
      <c r="D781" s="354"/>
      <c r="E781" s="15">
        <f t="shared" si="79"/>
        <v>331</v>
      </c>
      <c r="F781" s="792">
        <f t="shared" si="78"/>
        <v>0</v>
      </c>
      <c r="G781" s="358">
        <f>'PART-A'!I4080</f>
        <v>0</v>
      </c>
      <c r="H781" s="354" t="s">
        <v>115</v>
      </c>
      <c r="I781" s="355">
        <f>'PART-A'!K4080</f>
        <v>331</v>
      </c>
      <c r="J781" s="353">
        <f t="shared" si="81"/>
        <v>0</v>
      </c>
      <c r="K781" s="1680"/>
      <c r="L781" s="1680"/>
      <c r="M781" s="633" t="s">
        <v>2312</v>
      </c>
      <c r="N781" s="223"/>
      <c r="O781" s="631">
        <f t="shared" si="75"/>
        <v>0</v>
      </c>
    </row>
    <row r="782" spans="1:15" s="360" customFormat="1" ht="15" hidden="1">
      <c r="A782" s="356" t="s">
        <v>2044</v>
      </c>
      <c r="B782" s="632" t="s">
        <v>1512</v>
      </c>
      <c r="C782" s="611">
        <f t="shared" si="80"/>
        <v>0</v>
      </c>
      <c r="D782" s="354"/>
      <c r="E782" s="15">
        <f t="shared" si="79"/>
        <v>359</v>
      </c>
      <c r="F782" s="792">
        <f t="shared" si="78"/>
        <v>0</v>
      </c>
      <c r="G782" s="358">
        <f>'PART-A'!I4301</f>
        <v>0</v>
      </c>
      <c r="H782" s="354" t="s">
        <v>115</v>
      </c>
      <c r="I782" s="355">
        <f>'PART-A'!K4301</f>
        <v>359</v>
      </c>
      <c r="J782" s="353">
        <f t="shared" si="81"/>
        <v>0</v>
      </c>
      <c r="K782" s="1681"/>
      <c r="L782" s="1681"/>
      <c r="M782" s="633" t="s">
        <v>2313</v>
      </c>
      <c r="N782" s="223"/>
      <c r="O782" s="631">
        <f t="shared" si="75"/>
        <v>0</v>
      </c>
    </row>
    <row r="783" spans="1:15" s="360" customFormat="1" ht="15" hidden="1">
      <c r="A783" s="356" t="s">
        <v>2077</v>
      </c>
      <c r="B783" s="632" t="s">
        <v>557</v>
      </c>
      <c r="C783" s="611">
        <f t="shared" si="80"/>
        <v>0</v>
      </c>
      <c r="D783" s="354"/>
      <c r="E783" s="15">
        <f t="shared" si="79"/>
        <v>57</v>
      </c>
      <c r="F783" s="792">
        <f t="shared" si="78"/>
        <v>0</v>
      </c>
      <c r="G783" s="358">
        <f>'PART-A'!I3653</f>
        <v>0</v>
      </c>
      <c r="H783" s="354" t="s">
        <v>115</v>
      </c>
      <c r="I783" s="355">
        <f>'PART-A'!K3653</f>
        <v>57</v>
      </c>
      <c r="J783" s="353">
        <f t="shared" si="81"/>
        <v>0</v>
      </c>
      <c r="K783" s="1679">
        <f>IF((J783+J784+J785+J786)&gt;(F783+F784+F785+F786),(J783+J784+J785+J786)-(F783+F784+F785+F786),0)</f>
        <v>0</v>
      </c>
      <c r="L783" s="1679">
        <f>IF((J783+J784+J785+J786)&lt;(F783+F784+F785+F786),(F783+F784+F785+F786)-(J783+J784+J785+J786),0)</f>
        <v>0</v>
      </c>
      <c r="M783" s="633" t="s">
        <v>2217</v>
      </c>
      <c r="N783" s="223"/>
      <c r="O783" s="631">
        <f t="shared" si="75"/>
        <v>0</v>
      </c>
    </row>
    <row r="784" spans="1:15" s="360" customFormat="1" ht="15" hidden="1">
      <c r="A784" s="356" t="s">
        <v>2700</v>
      </c>
      <c r="B784" s="632" t="s">
        <v>557</v>
      </c>
      <c r="C784" s="611">
        <f t="shared" si="80"/>
        <v>0</v>
      </c>
      <c r="D784" s="354"/>
      <c r="E784" s="15">
        <f t="shared" si="79"/>
        <v>57</v>
      </c>
      <c r="F784" s="792">
        <f t="shared" si="78"/>
        <v>0</v>
      </c>
      <c r="G784" s="358">
        <f>'PART-A'!I3877</f>
        <v>0</v>
      </c>
      <c r="H784" s="354" t="s">
        <v>115</v>
      </c>
      <c r="I784" s="355">
        <f>'PART-A'!K3877</f>
        <v>57</v>
      </c>
      <c r="J784" s="353">
        <f t="shared" si="81"/>
        <v>0</v>
      </c>
      <c r="K784" s="1680"/>
      <c r="L784" s="1680"/>
      <c r="M784" s="633" t="s">
        <v>2299</v>
      </c>
      <c r="N784" s="223"/>
      <c r="O784" s="631">
        <f t="shared" si="75"/>
        <v>0</v>
      </c>
    </row>
    <row r="785" spans="1:15" s="360" customFormat="1" ht="15" hidden="1">
      <c r="A785" s="356" t="s">
        <v>2077</v>
      </c>
      <c r="B785" s="632" t="s">
        <v>557</v>
      </c>
      <c r="C785" s="611">
        <f t="shared" si="80"/>
        <v>0</v>
      </c>
      <c r="D785" s="354"/>
      <c r="E785" s="15">
        <f t="shared" si="79"/>
        <v>63</v>
      </c>
      <c r="F785" s="792">
        <f t="shared" si="78"/>
        <v>0</v>
      </c>
      <c r="G785" s="358">
        <f>'PART-A'!I4095</f>
        <v>0</v>
      </c>
      <c r="H785" s="354" t="s">
        <v>115</v>
      </c>
      <c r="I785" s="355">
        <f>'PART-A'!K4095</f>
        <v>63</v>
      </c>
      <c r="J785" s="353">
        <f t="shared" si="81"/>
        <v>0</v>
      </c>
      <c r="K785" s="1680"/>
      <c r="L785" s="1680"/>
      <c r="M785" s="633" t="s">
        <v>2312</v>
      </c>
      <c r="N785" s="223"/>
      <c r="O785" s="631">
        <f t="shared" si="75"/>
        <v>0</v>
      </c>
    </row>
    <row r="786" spans="1:15" s="360" customFormat="1" ht="15" hidden="1">
      <c r="A786" s="356" t="s">
        <v>2077</v>
      </c>
      <c r="B786" s="632" t="s">
        <v>557</v>
      </c>
      <c r="C786" s="611">
        <f t="shared" si="80"/>
        <v>0</v>
      </c>
      <c r="D786" s="354"/>
      <c r="E786" s="15">
        <f t="shared" si="79"/>
        <v>68</v>
      </c>
      <c r="F786" s="792">
        <f t="shared" si="78"/>
        <v>0</v>
      </c>
      <c r="G786" s="358">
        <f>'PART-A'!I4316</f>
        <v>0</v>
      </c>
      <c r="H786" s="354" t="s">
        <v>115</v>
      </c>
      <c r="I786" s="355">
        <f>'PART-A'!K4316</f>
        <v>68</v>
      </c>
      <c r="J786" s="353">
        <f t="shared" si="81"/>
        <v>0</v>
      </c>
      <c r="K786" s="1681"/>
      <c r="L786" s="1681"/>
      <c r="M786" s="633" t="s">
        <v>2313</v>
      </c>
      <c r="N786" s="223"/>
      <c r="O786" s="631">
        <f t="shared" si="75"/>
        <v>0</v>
      </c>
    </row>
    <row r="787" spans="1:15" s="360" customFormat="1" ht="38.25" hidden="1">
      <c r="A787" s="356" t="s">
        <v>2683</v>
      </c>
      <c r="B787" s="632" t="s">
        <v>3240</v>
      </c>
      <c r="C787" s="611">
        <f t="shared" si="80"/>
        <v>0</v>
      </c>
      <c r="D787" s="827" t="s">
        <v>568</v>
      </c>
      <c r="E787" s="15">
        <f t="shared" si="79"/>
        <v>383.5</v>
      </c>
      <c r="F787" s="792">
        <f t="shared" si="78"/>
        <v>0</v>
      </c>
      <c r="G787" s="358">
        <f>'PART-A'!I3660</f>
        <v>0</v>
      </c>
      <c r="H787" s="354" t="s">
        <v>568</v>
      </c>
      <c r="I787" s="355">
        <f>'PART-A'!K3660</f>
        <v>383.5</v>
      </c>
      <c r="J787" s="353">
        <f t="shared" si="81"/>
        <v>0</v>
      </c>
      <c r="K787" s="1679">
        <f>IF((J787+J788+J789+J790)&gt;(F787+F788+F789+F790),(J787+J788+J789+J790)-(F787+F788+F789+F790),0)</f>
        <v>0</v>
      </c>
      <c r="L787" s="1679">
        <f>IF((J787+J788+J789+J790)&lt;(F787+F788+F789+F790),(F787+F788+F789+F790)-(J787+J788+J789+J790),0)</f>
        <v>0</v>
      </c>
      <c r="M787" s="633" t="s">
        <v>2217</v>
      </c>
      <c r="N787" s="223"/>
      <c r="O787" s="631">
        <f t="shared" ref="O787:O850" si="82">F787-J787</f>
        <v>0</v>
      </c>
    </row>
    <row r="788" spans="1:15" s="360" customFormat="1" ht="15" hidden="1">
      <c r="A788" s="356" t="s">
        <v>2701</v>
      </c>
      <c r="B788" s="632" t="s">
        <v>558</v>
      </c>
      <c r="C788" s="611">
        <f t="shared" si="80"/>
        <v>0</v>
      </c>
      <c r="D788" s="354"/>
      <c r="E788" s="15">
        <f t="shared" si="79"/>
        <v>395.5</v>
      </c>
      <c r="F788" s="792">
        <f t="shared" si="78"/>
        <v>0</v>
      </c>
      <c r="G788" s="358">
        <f>'PART-A'!I3882</f>
        <v>0</v>
      </c>
      <c r="H788" s="354" t="s">
        <v>568</v>
      </c>
      <c r="I788" s="355">
        <f>'PART-A'!K3882</f>
        <v>395.5</v>
      </c>
      <c r="J788" s="353">
        <f t="shared" si="81"/>
        <v>0</v>
      </c>
      <c r="K788" s="1680"/>
      <c r="L788" s="1680"/>
      <c r="M788" s="633" t="s">
        <v>2299</v>
      </c>
      <c r="N788" s="223"/>
      <c r="O788" s="631">
        <f t="shared" si="82"/>
        <v>0</v>
      </c>
    </row>
    <row r="789" spans="1:15" s="360" customFormat="1" ht="15" hidden="1">
      <c r="A789" s="356" t="s">
        <v>2032</v>
      </c>
      <c r="B789" s="632" t="s">
        <v>558</v>
      </c>
      <c r="C789" s="611">
        <f t="shared" si="80"/>
        <v>0</v>
      </c>
      <c r="D789" s="354"/>
      <c r="E789" s="15">
        <f t="shared" si="79"/>
        <v>436.33</v>
      </c>
      <c r="F789" s="792">
        <f t="shared" si="78"/>
        <v>0</v>
      </c>
      <c r="G789" s="358">
        <f>'PART-A'!I4102</f>
        <v>0</v>
      </c>
      <c r="H789" s="354" t="s">
        <v>568</v>
      </c>
      <c r="I789" s="355">
        <f>'PART-A'!K4102</f>
        <v>436.33</v>
      </c>
      <c r="J789" s="353">
        <f t="shared" si="81"/>
        <v>0</v>
      </c>
      <c r="K789" s="1680"/>
      <c r="L789" s="1680"/>
      <c r="M789" s="633" t="s">
        <v>2312</v>
      </c>
      <c r="N789" s="223"/>
      <c r="O789" s="631">
        <f t="shared" si="82"/>
        <v>0</v>
      </c>
    </row>
    <row r="790" spans="1:15" s="360" customFormat="1" ht="38.25" hidden="1">
      <c r="A790" s="356" t="s">
        <v>495</v>
      </c>
      <c r="B790" s="632" t="s">
        <v>3240</v>
      </c>
      <c r="C790" s="611">
        <f t="shared" si="80"/>
        <v>0</v>
      </c>
      <c r="D790" s="354" t="s">
        <v>568</v>
      </c>
      <c r="E790" s="10">
        <f t="shared" si="79"/>
        <v>481.67</v>
      </c>
      <c r="F790" s="792">
        <f t="shared" si="78"/>
        <v>0</v>
      </c>
      <c r="G790" s="358">
        <f>'PART-A'!I4322</f>
        <v>0</v>
      </c>
      <c r="H790" s="354" t="s">
        <v>568</v>
      </c>
      <c r="I790" s="355">
        <f>'PART-A'!K4322</f>
        <v>481.67</v>
      </c>
      <c r="J790" s="353">
        <f t="shared" si="81"/>
        <v>0</v>
      </c>
      <c r="K790" s="1695"/>
      <c r="L790" s="1695"/>
      <c r="M790" s="851" t="s">
        <v>2313</v>
      </c>
      <c r="N790" s="223"/>
      <c r="O790" s="850">
        <f t="shared" si="82"/>
        <v>0</v>
      </c>
    </row>
    <row r="791" spans="1:15" s="360" customFormat="1" ht="38.25" hidden="1">
      <c r="A791" s="356" t="s">
        <v>2684</v>
      </c>
      <c r="B791" s="632" t="s">
        <v>3241</v>
      </c>
      <c r="C791" s="611">
        <f t="shared" si="80"/>
        <v>0</v>
      </c>
      <c r="D791" s="827" t="s">
        <v>568</v>
      </c>
      <c r="E791" s="15">
        <f t="shared" si="79"/>
        <v>402.5</v>
      </c>
      <c r="F791" s="792">
        <f t="shared" si="78"/>
        <v>0</v>
      </c>
      <c r="G791" s="358">
        <f>'PART-A'!I3667</f>
        <v>0</v>
      </c>
      <c r="H791" s="354" t="s">
        <v>568</v>
      </c>
      <c r="I791" s="355">
        <f>'PART-A'!K3667</f>
        <v>402.5</v>
      </c>
      <c r="J791" s="353">
        <f t="shared" si="81"/>
        <v>0</v>
      </c>
      <c r="K791" s="1679">
        <f>IF((J791+J792+J793+J794)&gt;(F791+F792+F793+F794),(J791+J792+J793+J794)-(F791+F792+F793+F794),0)</f>
        <v>0</v>
      </c>
      <c r="L791" s="1679">
        <f>IF((J791+J792+J793+J794)&lt;(F791+F792+F793+F794),(F791+F792+F793+F794)-(J791+J792+J793+J794),0)</f>
        <v>0</v>
      </c>
      <c r="M791" s="633" t="s">
        <v>2217</v>
      </c>
      <c r="N791" s="223"/>
      <c r="O791" s="631">
        <f t="shared" si="82"/>
        <v>0</v>
      </c>
    </row>
    <row r="792" spans="1:15" s="360" customFormat="1" ht="15" hidden="1">
      <c r="A792" s="356" t="s">
        <v>522</v>
      </c>
      <c r="B792" s="632" t="s">
        <v>558</v>
      </c>
      <c r="C792" s="611">
        <f t="shared" si="80"/>
        <v>0</v>
      </c>
      <c r="D792" s="354"/>
      <c r="E792" s="15">
        <f t="shared" si="79"/>
        <v>414.5</v>
      </c>
      <c r="F792" s="792">
        <f t="shared" si="78"/>
        <v>0</v>
      </c>
      <c r="G792" s="358">
        <f>'PART-A'!I3889</f>
        <v>0</v>
      </c>
      <c r="H792" s="354" t="s">
        <v>568</v>
      </c>
      <c r="I792" s="355">
        <f>'PART-A'!K3889</f>
        <v>414.5</v>
      </c>
      <c r="J792" s="353">
        <f t="shared" si="81"/>
        <v>0</v>
      </c>
      <c r="K792" s="1680"/>
      <c r="L792" s="1680"/>
      <c r="M792" s="633" t="s">
        <v>2299</v>
      </c>
      <c r="N792" s="223"/>
      <c r="O792" s="631">
        <f t="shared" si="82"/>
        <v>0</v>
      </c>
    </row>
    <row r="793" spans="1:15" s="360" customFormat="1" ht="15" hidden="1">
      <c r="A793" s="356" t="s">
        <v>522</v>
      </c>
      <c r="B793" s="632" t="s">
        <v>558</v>
      </c>
      <c r="C793" s="611">
        <f t="shared" si="80"/>
        <v>0</v>
      </c>
      <c r="D793" s="354"/>
      <c r="E793" s="15">
        <f t="shared" si="79"/>
        <v>457.33</v>
      </c>
      <c r="F793" s="792">
        <f t="shared" si="78"/>
        <v>0</v>
      </c>
      <c r="G793" s="358">
        <f>'PART-A'!I4109</f>
        <v>0</v>
      </c>
      <c r="H793" s="354" t="s">
        <v>568</v>
      </c>
      <c r="I793" s="355">
        <f>'PART-A'!K4109</f>
        <v>457.33</v>
      </c>
      <c r="J793" s="353">
        <f t="shared" si="81"/>
        <v>0</v>
      </c>
      <c r="K793" s="1680"/>
      <c r="L793" s="1680"/>
      <c r="M793" s="633" t="s">
        <v>2312</v>
      </c>
      <c r="N793" s="223"/>
      <c r="O793" s="631">
        <f t="shared" si="82"/>
        <v>0</v>
      </c>
    </row>
    <row r="794" spans="1:15" s="360" customFormat="1" ht="38.25" hidden="1">
      <c r="A794" s="356" t="s">
        <v>494</v>
      </c>
      <c r="B794" s="632" t="s">
        <v>3241</v>
      </c>
      <c r="C794" s="611">
        <f t="shared" si="80"/>
        <v>0</v>
      </c>
      <c r="D794" s="354" t="s">
        <v>568</v>
      </c>
      <c r="E794" s="10">
        <f t="shared" si="79"/>
        <v>503.67</v>
      </c>
      <c r="F794" s="792">
        <f t="shared" si="78"/>
        <v>0</v>
      </c>
      <c r="G794" s="358">
        <f>'PART-A'!I4327</f>
        <v>0</v>
      </c>
      <c r="H794" s="354" t="s">
        <v>568</v>
      </c>
      <c r="I794" s="355">
        <f>'PART-A'!K4327</f>
        <v>503.67</v>
      </c>
      <c r="J794" s="353">
        <f t="shared" si="81"/>
        <v>0</v>
      </c>
      <c r="K794" s="1695"/>
      <c r="L794" s="1695"/>
      <c r="M794" s="851" t="s">
        <v>2313</v>
      </c>
      <c r="N794" s="223"/>
      <c r="O794" s="850">
        <f t="shared" si="82"/>
        <v>0</v>
      </c>
    </row>
    <row r="795" spans="1:15" s="360" customFormat="1" ht="15" hidden="1">
      <c r="A795" s="356" t="s">
        <v>2033</v>
      </c>
      <c r="B795" s="632" t="s">
        <v>2264</v>
      </c>
      <c r="C795" s="611">
        <f t="shared" si="80"/>
        <v>0</v>
      </c>
      <c r="D795" s="354"/>
      <c r="E795" s="15">
        <f t="shared" si="79"/>
        <v>18.59</v>
      </c>
      <c r="F795" s="792">
        <f t="shared" si="78"/>
        <v>0</v>
      </c>
      <c r="G795" s="358">
        <f>'PART-A'!I3673</f>
        <v>0</v>
      </c>
      <c r="H795" s="354" t="s">
        <v>277</v>
      </c>
      <c r="I795" s="355">
        <f>'PART-A'!K3673</f>
        <v>18.59</v>
      </c>
      <c r="J795" s="353">
        <f t="shared" si="81"/>
        <v>0</v>
      </c>
      <c r="K795" s="1679">
        <f>IF((J795+J796+J797+J798)&gt;(F795+F796+F797+F798),(J795+J796+J797+J798)-(F795+F796+F797+F798),0)</f>
        <v>0</v>
      </c>
      <c r="L795" s="1679">
        <f>IF((J795+J796+J797+J798)&lt;(F795+F796+F797+F798),(F795+F796+F797+F798)-(J795+J796+J797+J798),0)</f>
        <v>0</v>
      </c>
      <c r="M795" s="633" t="s">
        <v>2217</v>
      </c>
      <c r="N795" s="223"/>
      <c r="O795" s="631">
        <f t="shared" si="82"/>
        <v>0</v>
      </c>
    </row>
    <row r="796" spans="1:15" s="360" customFormat="1" ht="15" hidden="1">
      <c r="A796" s="356" t="s">
        <v>2702</v>
      </c>
      <c r="B796" s="632" t="s">
        <v>2264</v>
      </c>
      <c r="C796" s="611">
        <f t="shared" si="80"/>
        <v>0</v>
      </c>
      <c r="D796" s="354"/>
      <c r="E796" s="15">
        <f t="shared" si="79"/>
        <v>19.09</v>
      </c>
      <c r="F796" s="792">
        <f t="shared" si="78"/>
        <v>0</v>
      </c>
      <c r="G796" s="358">
        <f>'PART-A'!I3895</f>
        <v>0</v>
      </c>
      <c r="H796" s="354" t="s">
        <v>277</v>
      </c>
      <c r="I796" s="355">
        <f>'PART-A'!K3895</f>
        <v>19.09</v>
      </c>
      <c r="J796" s="353">
        <f t="shared" si="81"/>
        <v>0</v>
      </c>
      <c r="K796" s="1680"/>
      <c r="L796" s="1680"/>
      <c r="M796" s="633" t="s">
        <v>2299</v>
      </c>
      <c r="N796" s="223"/>
      <c r="O796" s="631">
        <f t="shared" si="82"/>
        <v>0</v>
      </c>
    </row>
    <row r="797" spans="1:15" s="360" customFormat="1" ht="15" hidden="1">
      <c r="A797" s="356" t="s">
        <v>2033</v>
      </c>
      <c r="B797" s="632" t="s">
        <v>2264</v>
      </c>
      <c r="C797" s="611">
        <f t="shared" si="80"/>
        <v>0</v>
      </c>
      <c r="D797" s="354"/>
      <c r="E797" s="15">
        <f t="shared" si="79"/>
        <v>21.19</v>
      </c>
      <c r="F797" s="792">
        <f t="shared" si="78"/>
        <v>0</v>
      </c>
      <c r="G797" s="358">
        <f>'PART-A'!I4115</f>
        <v>0</v>
      </c>
      <c r="H797" s="354" t="s">
        <v>277</v>
      </c>
      <c r="I797" s="355">
        <f>'PART-A'!K4115</f>
        <v>21.19</v>
      </c>
      <c r="J797" s="353">
        <f t="shared" si="81"/>
        <v>0</v>
      </c>
      <c r="K797" s="1680"/>
      <c r="L797" s="1680"/>
      <c r="M797" s="633" t="s">
        <v>2312</v>
      </c>
      <c r="N797" s="223"/>
      <c r="O797" s="631">
        <f t="shared" si="82"/>
        <v>0</v>
      </c>
    </row>
    <row r="798" spans="1:15" s="360" customFormat="1" ht="38.25" hidden="1">
      <c r="A798" s="356" t="s">
        <v>495</v>
      </c>
      <c r="B798" s="632" t="s">
        <v>3636</v>
      </c>
      <c r="C798" s="611">
        <f t="shared" si="80"/>
        <v>0</v>
      </c>
      <c r="D798" s="354"/>
      <c r="E798" s="15">
        <f t="shared" si="79"/>
        <v>23.55</v>
      </c>
      <c r="F798" s="792">
        <f t="shared" si="78"/>
        <v>0</v>
      </c>
      <c r="G798" s="358">
        <f>'PART-A'!I4332</f>
        <v>0</v>
      </c>
      <c r="H798" s="354" t="s">
        <v>277</v>
      </c>
      <c r="I798" s="355">
        <f>'PART-A'!K4332</f>
        <v>23.55</v>
      </c>
      <c r="J798" s="353">
        <f t="shared" si="81"/>
        <v>0</v>
      </c>
      <c r="K798" s="1681"/>
      <c r="L798" s="1681"/>
      <c r="M798" s="633" t="s">
        <v>2313</v>
      </c>
      <c r="N798" s="223"/>
      <c r="O798" s="631">
        <f t="shared" si="82"/>
        <v>0</v>
      </c>
    </row>
    <row r="799" spans="1:15" s="360" customFormat="1" ht="63.75" hidden="1">
      <c r="A799" s="356" t="s">
        <v>1158</v>
      </c>
      <c r="B799" s="632" t="s">
        <v>2255</v>
      </c>
      <c r="C799" s="611">
        <f t="shared" si="80"/>
        <v>0</v>
      </c>
      <c r="D799" s="827" t="s">
        <v>277</v>
      </c>
      <c r="E799" s="15">
        <f t="shared" si="79"/>
        <v>60.7</v>
      </c>
      <c r="F799" s="792">
        <f t="shared" si="78"/>
        <v>0</v>
      </c>
      <c r="G799" s="358">
        <f>'PART-A'!I3678</f>
        <v>0</v>
      </c>
      <c r="H799" s="354" t="s">
        <v>277</v>
      </c>
      <c r="I799" s="355">
        <f>'PART-A'!K3678</f>
        <v>60.7</v>
      </c>
      <c r="J799" s="353">
        <f t="shared" si="81"/>
        <v>0</v>
      </c>
      <c r="K799" s="1679">
        <f>IF((J799+J800+J801+J802)&gt;(F799+F800+F801+F802),(J799+J800+J801+J802)-(F799+F800+F801+F802),0)</f>
        <v>0</v>
      </c>
      <c r="L799" s="1679">
        <f>IF((J799+J800+J801+J802)&lt;(F799+F800+F801+F802),(F799+F800+F801+F802)-(J799+J800+J801+J802),0)</f>
        <v>0</v>
      </c>
      <c r="M799" s="633" t="s">
        <v>2217</v>
      </c>
      <c r="N799" s="223"/>
      <c r="O799" s="631">
        <f t="shared" si="82"/>
        <v>0</v>
      </c>
    </row>
    <row r="800" spans="1:15" s="360" customFormat="1" ht="15" hidden="1">
      <c r="A800" s="356" t="s">
        <v>2034</v>
      </c>
      <c r="B800" s="632" t="s">
        <v>2265</v>
      </c>
      <c r="C800" s="611">
        <f t="shared" si="80"/>
        <v>0</v>
      </c>
      <c r="D800" s="354"/>
      <c r="E800" s="15">
        <f t="shared" si="79"/>
        <v>60.7</v>
      </c>
      <c r="F800" s="792">
        <f t="shared" si="78"/>
        <v>0</v>
      </c>
      <c r="G800" s="358">
        <f>'PART-A'!I3900</f>
        <v>0</v>
      </c>
      <c r="H800" s="354" t="s">
        <v>277</v>
      </c>
      <c r="I800" s="355">
        <f>'PART-A'!K3900</f>
        <v>60.7</v>
      </c>
      <c r="J800" s="353">
        <f t="shared" si="81"/>
        <v>0</v>
      </c>
      <c r="K800" s="1680"/>
      <c r="L800" s="1680"/>
      <c r="M800" s="633" t="s">
        <v>2299</v>
      </c>
      <c r="N800" s="223"/>
      <c r="O800" s="631">
        <f t="shared" si="82"/>
        <v>0</v>
      </c>
    </row>
    <row r="801" spans="1:15" s="360" customFormat="1" ht="15" hidden="1">
      <c r="A801" s="356" t="s">
        <v>2034</v>
      </c>
      <c r="B801" s="632" t="s">
        <v>2265</v>
      </c>
      <c r="C801" s="611">
        <f t="shared" si="80"/>
        <v>0</v>
      </c>
      <c r="D801" s="354"/>
      <c r="E801" s="15">
        <f t="shared" si="79"/>
        <v>69.83</v>
      </c>
      <c r="F801" s="792">
        <f t="shared" si="78"/>
        <v>0</v>
      </c>
      <c r="G801" s="358">
        <f>'PART-A'!I4120</f>
        <v>0</v>
      </c>
      <c r="H801" s="354" t="s">
        <v>277</v>
      </c>
      <c r="I801" s="355">
        <f>'PART-A'!K4120</f>
        <v>69.83</v>
      </c>
      <c r="J801" s="353">
        <f t="shared" si="81"/>
        <v>0</v>
      </c>
      <c r="K801" s="1680"/>
      <c r="L801" s="1680"/>
      <c r="M801" s="633" t="s">
        <v>2312</v>
      </c>
      <c r="N801" s="223"/>
      <c r="O801" s="631">
        <f t="shared" si="82"/>
        <v>0</v>
      </c>
    </row>
    <row r="802" spans="1:15" s="360" customFormat="1" ht="38.25" hidden="1">
      <c r="A802" s="356" t="s">
        <v>1515</v>
      </c>
      <c r="B802" s="632" t="s">
        <v>3299</v>
      </c>
      <c r="C802" s="611">
        <f t="shared" si="80"/>
        <v>0</v>
      </c>
      <c r="D802" s="354"/>
      <c r="E802" s="15">
        <f t="shared" si="79"/>
        <v>79.48</v>
      </c>
      <c r="F802" s="792">
        <f t="shared" si="78"/>
        <v>0</v>
      </c>
      <c r="G802" s="358">
        <f>'PART-A'!I4341</f>
        <v>0</v>
      </c>
      <c r="H802" s="354" t="s">
        <v>277</v>
      </c>
      <c r="I802" s="355">
        <f>'PART-A'!K4341</f>
        <v>79.48</v>
      </c>
      <c r="J802" s="353">
        <f t="shared" si="81"/>
        <v>0</v>
      </c>
      <c r="K802" s="1681"/>
      <c r="L802" s="1681"/>
      <c r="M802" s="633" t="s">
        <v>2313</v>
      </c>
      <c r="N802" s="223"/>
      <c r="O802" s="631">
        <f t="shared" si="82"/>
        <v>0</v>
      </c>
    </row>
    <row r="803" spans="1:15" s="360" customFormat="1" ht="63.75" hidden="1">
      <c r="A803" s="356" t="s">
        <v>1258</v>
      </c>
      <c r="B803" s="632" t="s">
        <v>429</v>
      </c>
      <c r="C803" s="611">
        <f t="shared" si="80"/>
        <v>0</v>
      </c>
      <c r="D803" s="827" t="s">
        <v>277</v>
      </c>
      <c r="E803" s="15">
        <f t="shared" si="79"/>
        <v>64.873099999999994</v>
      </c>
      <c r="F803" s="792">
        <f t="shared" si="78"/>
        <v>0</v>
      </c>
      <c r="G803" s="358">
        <f>'PART-A'!I3683</f>
        <v>0</v>
      </c>
      <c r="H803" s="354" t="s">
        <v>277</v>
      </c>
      <c r="I803" s="355">
        <f>'PART-A'!K3683</f>
        <v>64.873099999999994</v>
      </c>
      <c r="J803" s="353">
        <f t="shared" si="81"/>
        <v>0</v>
      </c>
      <c r="K803" s="1679">
        <f>IF((J803+J804+J805+J806)&gt;(F803+F804+F805+F806),(J803+J804+J805+J806)-(F803+F804+F805+F806),0)</f>
        <v>0</v>
      </c>
      <c r="L803" s="1679">
        <f>IF((J803+J804+J805+J806)&lt;(F803+F804+F805+F806),(F803+F804+F805+F806)-(J803+J804+J805+J806),0)</f>
        <v>0</v>
      </c>
      <c r="M803" s="633" t="s">
        <v>2217</v>
      </c>
      <c r="N803" s="223"/>
      <c r="O803" s="631">
        <f t="shared" si="82"/>
        <v>0</v>
      </c>
    </row>
    <row r="804" spans="1:15" s="360" customFormat="1" ht="15" hidden="1">
      <c r="A804" s="356" t="s">
        <v>2703</v>
      </c>
      <c r="B804" s="632" t="s">
        <v>559</v>
      </c>
      <c r="C804" s="611">
        <f t="shared" si="80"/>
        <v>0</v>
      </c>
      <c r="D804" s="354"/>
      <c r="E804" s="15">
        <f t="shared" si="79"/>
        <v>65.868499999999997</v>
      </c>
      <c r="F804" s="792">
        <f t="shared" si="78"/>
        <v>0</v>
      </c>
      <c r="G804" s="358">
        <f>'PART-A'!I3905</f>
        <v>0</v>
      </c>
      <c r="H804" s="354" t="s">
        <v>277</v>
      </c>
      <c r="I804" s="355">
        <f>'PART-A'!K3905</f>
        <v>65.868499999999997</v>
      </c>
      <c r="J804" s="353">
        <f t="shared" si="81"/>
        <v>0</v>
      </c>
      <c r="K804" s="1680"/>
      <c r="L804" s="1680"/>
      <c r="M804" s="633" t="s">
        <v>2299</v>
      </c>
      <c r="N804" s="223"/>
      <c r="O804" s="631">
        <f t="shared" si="82"/>
        <v>0</v>
      </c>
    </row>
    <row r="805" spans="1:15" s="360" customFormat="1" ht="15" hidden="1">
      <c r="A805" s="356" t="s">
        <v>2034</v>
      </c>
      <c r="B805" s="632" t="s">
        <v>559</v>
      </c>
      <c r="C805" s="611">
        <f t="shared" si="80"/>
        <v>0</v>
      </c>
      <c r="D805" s="354"/>
      <c r="E805" s="15">
        <f t="shared" si="79"/>
        <v>74.22399999999999</v>
      </c>
      <c r="F805" s="792">
        <f t="shared" si="78"/>
        <v>0</v>
      </c>
      <c r="G805" s="358">
        <f>'PART-A'!I4125</f>
        <v>0</v>
      </c>
      <c r="H805" s="354" t="s">
        <v>277</v>
      </c>
      <c r="I805" s="355">
        <f>'PART-A'!K4125</f>
        <v>74.22399999999999</v>
      </c>
      <c r="J805" s="353">
        <f t="shared" si="81"/>
        <v>0</v>
      </c>
      <c r="K805" s="1680"/>
      <c r="L805" s="1680"/>
      <c r="M805" s="633" t="s">
        <v>2312</v>
      </c>
      <c r="N805" s="223"/>
      <c r="O805" s="631">
        <f t="shared" si="82"/>
        <v>0</v>
      </c>
    </row>
    <row r="806" spans="1:15" s="360" customFormat="1" ht="63.75" hidden="1">
      <c r="A806" s="356" t="s">
        <v>1587</v>
      </c>
      <c r="B806" s="632" t="s">
        <v>429</v>
      </c>
      <c r="C806" s="611">
        <f t="shared" si="80"/>
        <v>0</v>
      </c>
      <c r="D806" s="354" t="s">
        <v>277</v>
      </c>
      <c r="E806" s="10">
        <f t="shared" si="79"/>
        <v>83.333500000000001</v>
      </c>
      <c r="F806" s="792">
        <f t="shared" si="78"/>
        <v>0</v>
      </c>
      <c r="G806" s="358">
        <f>'PART-A'!I4347</f>
        <v>0</v>
      </c>
      <c r="H806" s="354" t="s">
        <v>277</v>
      </c>
      <c r="I806" s="355">
        <f>'PART-A'!K4347</f>
        <v>83.333500000000001</v>
      </c>
      <c r="J806" s="353">
        <f t="shared" si="81"/>
        <v>0</v>
      </c>
      <c r="K806" s="1695"/>
      <c r="L806" s="1695"/>
      <c r="M806" s="851" t="s">
        <v>2313</v>
      </c>
      <c r="N806" s="223"/>
      <c r="O806" s="850">
        <f t="shared" si="82"/>
        <v>0</v>
      </c>
    </row>
    <row r="807" spans="1:15" s="360" customFormat="1" ht="63.75" hidden="1">
      <c r="A807" s="356" t="s">
        <v>1595</v>
      </c>
      <c r="B807" s="632" t="s">
        <v>430</v>
      </c>
      <c r="C807" s="611">
        <f t="shared" si="80"/>
        <v>0</v>
      </c>
      <c r="D807" s="827" t="s">
        <v>277</v>
      </c>
      <c r="E807" s="15">
        <f t="shared" si="79"/>
        <v>98.56</v>
      </c>
      <c r="F807" s="792">
        <f t="shared" si="78"/>
        <v>0</v>
      </c>
      <c r="G807" s="358">
        <f>'PART-A'!I3688</f>
        <v>0</v>
      </c>
      <c r="H807" s="354" t="s">
        <v>277</v>
      </c>
      <c r="I807" s="355">
        <f>'PART-A'!K3688</f>
        <v>98.56</v>
      </c>
      <c r="J807" s="353">
        <f t="shared" si="81"/>
        <v>0</v>
      </c>
      <c r="K807" s="1679">
        <f>IF((J807+J808+J809+J810)&gt;(F807+F808+F809+F810),(J807+J808+J809+J810)-(F807+F808+F809+F810),0)</f>
        <v>0</v>
      </c>
      <c r="L807" s="1679">
        <f>IF((J807+J808+J809+J810)&lt;(F807+F808+F809+F810),(F807+F808+F809+F810)-(J807+J808+J809+J810),0)</f>
        <v>0</v>
      </c>
      <c r="M807" s="633" t="s">
        <v>2217</v>
      </c>
      <c r="N807" s="223"/>
      <c r="O807" s="631">
        <f t="shared" si="82"/>
        <v>0</v>
      </c>
    </row>
    <row r="808" spans="1:15" s="360" customFormat="1" ht="15" hidden="1">
      <c r="A808" s="356" t="s">
        <v>2051</v>
      </c>
      <c r="B808" s="632" t="s">
        <v>560</v>
      </c>
      <c r="C808" s="611">
        <f t="shared" si="80"/>
        <v>0</v>
      </c>
      <c r="D808" s="354"/>
      <c r="E808" s="15">
        <f t="shared" si="79"/>
        <v>100.05</v>
      </c>
      <c r="F808" s="792">
        <f t="shared" si="78"/>
        <v>0</v>
      </c>
      <c r="G808" s="358">
        <f>'PART-A'!I3910</f>
        <v>0</v>
      </c>
      <c r="H808" s="354" t="s">
        <v>277</v>
      </c>
      <c r="I808" s="355">
        <f>'PART-A'!K3910</f>
        <v>100.05</v>
      </c>
      <c r="J808" s="353">
        <f t="shared" si="81"/>
        <v>0</v>
      </c>
      <c r="K808" s="1680"/>
      <c r="L808" s="1680"/>
      <c r="M808" s="633" t="s">
        <v>2299</v>
      </c>
      <c r="N808" s="223"/>
      <c r="O808" s="631">
        <f t="shared" si="82"/>
        <v>0</v>
      </c>
    </row>
    <row r="809" spans="1:15" s="360" customFormat="1" ht="15" hidden="1">
      <c r="A809" s="356" t="s">
        <v>2034</v>
      </c>
      <c r="B809" s="632" t="s">
        <v>560</v>
      </c>
      <c r="C809" s="611">
        <f t="shared" si="80"/>
        <v>0</v>
      </c>
      <c r="D809" s="354"/>
      <c r="E809" s="15">
        <f t="shared" si="79"/>
        <v>112.78</v>
      </c>
      <c r="F809" s="792">
        <f t="shared" si="78"/>
        <v>0</v>
      </c>
      <c r="G809" s="358">
        <f>'PART-A'!I4130</f>
        <v>0</v>
      </c>
      <c r="H809" s="354" t="s">
        <v>277</v>
      </c>
      <c r="I809" s="355">
        <f>'PART-A'!K4130</f>
        <v>112.78</v>
      </c>
      <c r="J809" s="353">
        <f t="shared" si="81"/>
        <v>0</v>
      </c>
      <c r="K809" s="1680"/>
      <c r="L809" s="1680"/>
      <c r="M809" s="633" t="s">
        <v>2312</v>
      </c>
      <c r="N809" s="223"/>
      <c r="O809" s="631">
        <f t="shared" si="82"/>
        <v>0</v>
      </c>
    </row>
    <row r="810" spans="1:15" s="360" customFormat="1" ht="15" hidden="1">
      <c r="A810" s="356" t="s">
        <v>2034</v>
      </c>
      <c r="B810" s="632" t="s">
        <v>560</v>
      </c>
      <c r="C810" s="611">
        <f t="shared" si="80"/>
        <v>0</v>
      </c>
      <c r="D810" s="354"/>
      <c r="E810" s="15">
        <f t="shared" si="79"/>
        <v>126.65</v>
      </c>
      <c r="F810" s="792">
        <f t="shared" si="78"/>
        <v>0</v>
      </c>
      <c r="G810" s="358">
        <f>'PART-A'!I4352</f>
        <v>0</v>
      </c>
      <c r="H810" s="354" t="s">
        <v>277</v>
      </c>
      <c r="I810" s="355">
        <f>'PART-A'!K4352</f>
        <v>126.65</v>
      </c>
      <c r="J810" s="353">
        <f t="shared" si="81"/>
        <v>0</v>
      </c>
      <c r="K810" s="1681"/>
      <c r="L810" s="1681"/>
      <c r="M810" s="633" t="s">
        <v>2313</v>
      </c>
      <c r="N810" s="223"/>
      <c r="O810" s="631">
        <f t="shared" si="82"/>
        <v>0</v>
      </c>
    </row>
    <row r="811" spans="1:15" s="360" customFormat="1" ht="51" hidden="1">
      <c r="A811" s="356" t="s">
        <v>2685</v>
      </c>
      <c r="B811" s="632" t="s">
        <v>882</v>
      </c>
      <c r="C811" s="611">
        <f t="shared" si="80"/>
        <v>0</v>
      </c>
      <c r="D811" s="827" t="s">
        <v>277</v>
      </c>
      <c r="E811" s="15">
        <f t="shared" si="79"/>
        <v>50.795000000000002</v>
      </c>
      <c r="F811" s="792">
        <f t="shared" si="78"/>
        <v>0</v>
      </c>
      <c r="G811" s="358">
        <f>'PART-A'!I3693</f>
        <v>0</v>
      </c>
      <c r="H811" s="354" t="s">
        <v>277</v>
      </c>
      <c r="I811" s="355">
        <f>'PART-A'!K3693</f>
        <v>50.795000000000002</v>
      </c>
      <c r="J811" s="353">
        <f t="shared" si="81"/>
        <v>0</v>
      </c>
      <c r="K811" s="1679">
        <f>IF((J811+J812+J813+J814)&gt;(F811+F812+F813+F814),(J811+J812+J813+J814)-(F811+F812+F813+F814),0)</f>
        <v>0</v>
      </c>
      <c r="L811" s="1679">
        <f>IF((J811+J812+J813+J814)&lt;(F811+F812+F813+F814),(F811+F812+F813+F814)-(J811+J812+J813+J814),0)</f>
        <v>0</v>
      </c>
      <c r="M811" s="633" t="s">
        <v>2217</v>
      </c>
      <c r="N811" s="223"/>
      <c r="O811" s="631">
        <f t="shared" si="82"/>
        <v>0</v>
      </c>
    </row>
    <row r="812" spans="1:15" s="360" customFormat="1" ht="15" hidden="1">
      <c r="A812" s="356" t="s">
        <v>2704</v>
      </c>
      <c r="B812" s="632" t="s">
        <v>833</v>
      </c>
      <c r="C812" s="611">
        <f t="shared" si="80"/>
        <v>0</v>
      </c>
      <c r="D812" s="354"/>
      <c r="E812" s="15">
        <f t="shared" si="79"/>
        <v>54.465000000000003</v>
      </c>
      <c r="F812" s="792">
        <f t="shared" si="78"/>
        <v>0</v>
      </c>
      <c r="G812" s="358">
        <f>'PART-A'!I3915</f>
        <v>0</v>
      </c>
      <c r="H812" s="354" t="s">
        <v>277</v>
      </c>
      <c r="I812" s="355">
        <f>'PART-A'!K3915</f>
        <v>54.465000000000003</v>
      </c>
      <c r="J812" s="353">
        <f t="shared" si="81"/>
        <v>0</v>
      </c>
      <c r="K812" s="1680"/>
      <c r="L812" s="1680"/>
      <c r="M812" s="633" t="s">
        <v>2299</v>
      </c>
      <c r="N812" s="223"/>
      <c r="O812" s="631">
        <f t="shared" si="82"/>
        <v>0</v>
      </c>
    </row>
    <row r="813" spans="1:15" s="360" customFormat="1" ht="15" hidden="1">
      <c r="A813" s="356" t="s">
        <v>2036</v>
      </c>
      <c r="B813" s="632" t="s">
        <v>833</v>
      </c>
      <c r="C813" s="611">
        <f t="shared" si="80"/>
        <v>0</v>
      </c>
      <c r="D813" s="354"/>
      <c r="E813" s="15">
        <f t="shared" si="79"/>
        <v>56.313999999999993</v>
      </c>
      <c r="F813" s="792">
        <f t="shared" si="78"/>
        <v>0</v>
      </c>
      <c r="G813" s="358">
        <f>'PART-A'!I4135</f>
        <v>0</v>
      </c>
      <c r="H813" s="354" t="s">
        <v>277</v>
      </c>
      <c r="I813" s="355">
        <f>'PART-A'!K4135</f>
        <v>56.313999999999993</v>
      </c>
      <c r="J813" s="353">
        <f t="shared" si="81"/>
        <v>0</v>
      </c>
      <c r="K813" s="1680"/>
      <c r="L813" s="1680"/>
      <c r="M813" s="633" t="s">
        <v>2312</v>
      </c>
      <c r="N813" s="223"/>
      <c r="O813" s="631">
        <f t="shared" si="82"/>
        <v>0</v>
      </c>
    </row>
    <row r="814" spans="1:15" s="360" customFormat="1" ht="15" hidden="1">
      <c r="A814" s="356" t="s">
        <v>1515</v>
      </c>
      <c r="B814" s="632" t="s">
        <v>833</v>
      </c>
      <c r="C814" s="611">
        <f t="shared" si="80"/>
        <v>0</v>
      </c>
      <c r="D814" s="354"/>
      <c r="E814" s="15">
        <f t="shared" si="79"/>
        <v>64.563000000000002</v>
      </c>
      <c r="F814" s="792">
        <f t="shared" si="78"/>
        <v>0</v>
      </c>
      <c r="G814" s="358">
        <f>'PART-A'!I4357</f>
        <v>0</v>
      </c>
      <c r="H814" s="354" t="s">
        <v>277</v>
      </c>
      <c r="I814" s="355">
        <f>'PART-A'!K4357</f>
        <v>64.563000000000002</v>
      </c>
      <c r="J814" s="353">
        <f t="shared" si="81"/>
        <v>0</v>
      </c>
      <c r="K814" s="1681"/>
      <c r="L814" s="1681"/>
      <c r="M814" s="633" t="s">
        <v>2313</v>
      </c>
      <c r="N814" s="223"/>
      <c r="O814" s="631">
        <f t="shared" si="82"/>
        <v>0</v>
      </c>
    </row>
    <row r="815" spans="1:15" s="360" customFormat="1" ht="15" hidden="1">
      <c r="A815" s="356" t="s">
        <v>2037</v>
      </c>
      <c r="B815" s="632" t="s">
        <v>437</v>
      </c>
      <c r="C815" s="611">
        <f t="shared" si="80"/>
        <v>0</v>
      </c>
      <c r="D815" s="354"/>
      <c r="E815" s="15">
        <f t="shared" si="79"/>
        <v>190</v>
      </c>
      <c r="F815" s="792">
        <f t="shared" si="78"/>
        <v>0</v>
      </c>
      <c r="G815" s="358">
        <f>'PART-A'!I3698</f>
        <v>0</v>
      </c>
      <c r="H815" s="354" t="s">
        <v>115</v>
      </c>
      <c r="I815" s="355">
        <f>'PART-A'!K3698</f>
        <v>190</v>
      </c>
      <c r="J815" s="353">
        <f t="shared" si="81"/>
        <v>0</v>
      </c>
      <c r="K815" s="1679">
        <f>IF((J815+J816+J817+J818)&gt;(F815+F816+F817+F818),(J815+J816+J817+J818)-(F815+F816+F817+F818),0)</f>
        <v>0</v>
      </c>
      <c r="L815" s="1679">
        <f>IF((J815+J816+J817+J818)&lt;(F815+F816+F817+F818),(F815+F816+F817+F818)-(J815+J816+J817+J818),0)</f>
        <v>0</v>
      </c>
      <c r="M815" s="633" t="s">
        <v>2217</v>
      </c>
      <c r="N815" s="223"/>
      <c r="O815" s="631">
        <f t="shared" si="82"/>
        <v>0</v>
      </c>
    </row>
    <row r="816" spans="1:15" s="360" customFormat="1" ht="15" hidden="1">
      <c r="A816" s="356" t="s">
        <v>2188</v>
      </c>
      <c r="B816" s="632" t="s">
        <v>437</v>
      </c>
      <c r="C816" s="611">
        <f t="shared" si="80"/>
        <v>0</v>
      </c>
      <c r="D816" s="354"/>
      <c r="E816" s="15">
        <f t="shared" si="79"/>
        <v>190</v>
      </c>
      <c r="F816" s="792">
        <f t="shared" ref="F816:F879" si="83">ROUND(C816*E816,0)</f>
        <v>0</v>
      </c>
      <c r="G816" s="358">
        <f>'PART-A'!I3920</f>
        <v>0</v>
      </c>
      <c r="H816" s="354" t="s">
        <v>115</v>
      </c>
      <c r="I816" s="355">
        <f>'PART-A'!K3920</f>
        <v>190</v>
      </c>
      <c r="J816" s="353">
        <f t="shared" si="81"/>
        <v>0</v>
      </c>
      <c r="K816" s="1680"/>
      <c r="L816" s="1680"/>
      <c r="M816" s="633" t="s">
        <v>2299</v>
      </c>
      <c r="N816" s="223"/>
      <c r="O816" s="631">
        <f t="shared" si="82"/>
        <v>0</v>
      </c>
    </row>
    <row r="817" spans="1:15" s="360" customFormat="1" ht="15" hidden="1">
      <c r="A817" s="356" t="s">
        <v>2037</v>
      </c>
      <c r="B817" s="632" t="s">
        <v>437</v>
      </c>
      <c r="C817" s="611">
        <f t="shared" si="80"/>
        <v>0</v>
      </c>
      <c r="D817" s="354"/>
      <c r="E817" s="15">
        <f t="shared" ref="E817:E880" si="84">I817</f>
        <v>209</v>
      </c>
      <c r="F817" s="792">
        <f t="shared" si="83"/>
        <v>0</v>
      </c>
      <c r="G817" s="358">
        <f>'PART-A'!I4140</f>
        <v>0</v>
      </c>
      <c r="H817" s="354" t="s">
        <v>115</v>
      </c>
      <c r="I817" s="355">
        <f>'PART-A'!K4140</f>
        <v>209</v>
      </c>
      <c r="J817" s="353">
        <f t="shared" si="81"/>
        <v>0</v>
      </c>
      <c r="K817" s="1680"/>
      <c r="L817" s="1680"/>
      <c r="M817" s="633" t="s">
        <v>2312</v>
      </c>
      <c r="N817" s="223"/>
      <c r="O817" s="631">
        <f t="shared" si="82"/>
        <v>0</v>
      </c>
    </row>
    <row r="818" spans="1:15" s="360" customFormat="1" ht="15" hidden="1">
      <c r="A818" s="356" t="s">
        <v>1516</v>
      </c>
      <c r="B818" s="632" t="s">
        <v>437</v>
      </c>
      <c r="C818" s="611">
        <f t="shared" si="80"/>
        <v>0</v>
      </c>
      <c r="D818" s="354" t="s">
        <v>115</v>
      </c>
      <c r="E818" s="10">
        <f t="shared" si="84"/>
        <v>209</v>
      </c>
      <c r="F818" s="792">
        <f t="shared" si="83"/>
        <v>0</v>
      </c>
      <c r="G818" s="358">
        <f>'PART-A'!I4362</f>
        <v>0</v>
      </c>
      <c r="H818" s="354" t="s">
        <v>115</v>
      </c>
      <c r="I818" s="355">
        <f>'PART-A'!K4362</f>
        <v>209</v>
      </c>
      <c r="J818" s="353">
        <f t="shared" si="81"/>
        <v>0</v>
      </c>
      <c r="K818" s="1695"/>
      <c r="L818" s="1695"/>
      <c r="M818" s="851" t="s">
        <v>2313</v>
      </c>
      <c r="N818" s="223"/>
      <c r="O818" s="850">
        <f t="shared" si="82"/>
        <v>0</v>
      </c>
    </row>
    <row r="819" spans="1:15" s="360" customFormat="1" ht="15" hidden="1">
      <c r="A819" s="356" t="s">
        <v>2038</v>
      </c>
      <c r="B819" s="632" t="s">
        <v>615</v>
      </c>
      <c r="C819" s="611">
        <f t="shared" si="80"/>
        <v>0</v>
      </c>
      <c r="D819" s="354"/>
      <c r="E819" s="15">
        <f t="shared" si="84"/>
        <v>155</v>
      </c>
      <c r="F819" s="792">
        <f t="shared" si="83"/>
        <v>0</v>
      </c>
      <c r="G819" s="358">
        <f>'PART-A'!I3703</f>
        <v>0</v>
      </c>
      <c r="H819" s="354" t="s">
        <v>115</v>
      </c>
      <c r="I819" s="355">
        <f>'PART-A'!K3703</f>
        <v>155</v>
      </c>
      <c r="J819" s="353">
        <f t="shared" si="81"/>
        <v>0</v>
      </c>
      <c r="K819" s="1679">
        <f>IF((J819+J820+J821+J822)&gt;(F819+F820+F821+F822),(J819+J820+J821+J822)-(F819+F820+F821+F822),0)</f>
        <v>0</v>
      </c>
      <c r="L819" s="1679">
        <f>IF((J819+J820+J821+J822)&lt;(F819+F820+F821+F822),(F819+F820+F821+F822)-(J819+J820+J821+J822),0)</f>
        <v>0</v>
      </c>
      <c r="M819" s="633" t="s">
        <v>2217</v>
      </c>
      <c r="N819" s="223"/>
      <c r="O819" s="631">
        <f t="shared" si="82"/>
        <v>0</v>
      </c>
    </row>
    <row r="820" spans="1:15" s="360" customFormat="1" ht="15" hidden="1">
      <c r="A820" s="356" t="s">
        <v>2705</v>
      </c>
      <c r="B820" s="632" t="s">
        <v>615</v>
      </c>
      <c r="C820" s="611">
        <f t="shared" si="80"/>
        <v>0</v>
      </c>
      <c r="D820" s="354"/>
      <c r="E820" s="15">
        <f t="shared" si="84"/>
        <v>155</v>
      </c>
      <c r="F820" s="792">
        <f t="shared" si="83"/>
        <v>0</v>
      </c>
      <c r="G820" s="358">
        <f>'PART-A'!I3925</f>
        <v>0</v>
      </c>
      <c r="H820" s="354" t="s">
        <v>115</v>
      </c>
      <c r="I820" s="355">
        <f>'PART-A'!K3925</f>
        <v>155</v>
      </c>
      <c r="J820" s="353">
        <f t="shared" si="81"/>
        <v>0</v>
      </c>
      <c r="K820" s="1680"/>
      <c r="L820" s="1680"/>
      <c r="M820" s="633" t="s">
        <v>2299</v>
      </c>
      <c r="N820" s="223"/>
      <c r="O820" s="631">
        <f t="shared" si="82"/>
        <v>0</v>
      </c>
    </row>
    <row r="821" spans="1:15" s="360" customFormat="1" ht="15" hidden="1">
      <c r="A821" s="356" t="s">
        <v>2038</v>
      </c>
      <c r="B821" s="632" t="s">
        <v>615</v>
      </c>
      <c r="C821" s="611">
        <f t="shared" si="80"/>
        <v>0</v>
      </c>
      <c r="D821" s="354"/>
      <c r="E821" s="15">
        <f t="shared" si="84"/>
        <v>171</v>
      </c>
      <c r="F821" s="792">
        <f t="shared" si="83"/>
        <v>0</v>
      </c>
      <c r="G821" s="358">
        <f>'PART-A'!I4145</f>
        <v>0</v>
      </c>
      <c r="H821" s="354" t="s">
        <v>115</v>
      </c>
      <c r="I821" s="355">
        <f>'PART-A'!K4145</f>
        <v>171</v>
      </c>
      <c r="J821" s="353">
        <f t="shared" si="81"/>
        <v>0</v>
      </c>
      <c r="K821" s="1680"/>
      <c r="L821" s="1680"/>
      <c r="M821" s="633" t="s">
        <v>2312</v>
      </c>
      <c r="N821" s="223"/>
      <c r="O821" s="631">
        <f t="shared" si="82"/>
        <v>0</v>
      </c>
    </row>
    <row r="822" spans="1:15" s="360" customFormat="1" ht="15" hidden="1">
      <c r="A822" s="356" t="s">
        <v>1517</v>
      </c>
      <c r="B822" s="632" t="s">
        <v>615</v>
      </c>
      <c r="C822" s="611">
        <f t="shared" si="80"/>
        <v>0</v>
      </c>
      <c r="D822" s="354" t="s">
        <v>115</v>
      </c>
      <c r="E822" s="10">
        <f t="shared" si="84"/>
        <v>171</v>
      </c>
      <c r="F822" s="792">
        <f t="shared" si="83"/>
        <v>0</v>
      </c>
      <c r="G822" s="358">
        <f>'PART-A'!I4367</f>
        <v>0</v>
      </c>
      <c r="H822" s="354" t="s">
        <v>115</v>
      </c>
      <c r="I822" s="355">
        <f>'PART-A'!K4367</f>
        <v>171</v>
      </c>
      <c r="J822" s="353">
        <f t="shared" si="81"/>
        <v>0</v>
      </c>
      <c r="K822" s="1695"/>
      <c r="L822" s="1695"/>
      <c r="M822" s="851" t="s">
        <v>2313</v>
      </c>
      <c r="N822" s="223"/>
      <c r="O822" s="850">
        <f t="shared" si="82"/>
        <v>0</v>
      </c>
    </row>
    <row r="823" spans="1:15" s="360" customFormat="1" ht="15" hidden="1">
      <c r="A823" s="356" t="s">
        <v>2078</v>
      </c>
      <c r="B823" s="632" t="s">
        <v>694</v>
      </c>
      <c r="C823" s="611">
        <f t="shared" si="80"/>
        <v>0</v>
      </c>
      <c r="D823" s="354"/>
      <c r="E823" s="15">
        <f t="shared" si="84"/>
        <v>120</v>
      </c>
      <c r="F823" s="792">
        <f t="shared" si="83"/>
        <v>0</v>
      </c>
      <c r="G823" s="358">
        <f>'PART-A'!I3708</f>
        <v>0</v>
      </c>
      <c r="H823" s="354" t="s">
        <v>115</v>
      </c>
      <c r="I823" s="355">
        <f>'PART-A'!K3708</f>
        <v>120</v>
      </c>
      <c r="J823" s="353">
        <f t="shared" si="81"/>
        <v>0</v>
      </c>
      <c r="K823" s="1679">
        <f>IF((J823+J824+J825+J826)&gt;(F823+F824+F825+F826),(J823+J824+J825+J826)-(F823+F824+F825+F826),0)</f>
        <v>0</v>
      </c>
      <c r="L823" s="1679">
        <f>IF((J823+J824+J825+J826)&lt;(F823+F824+F825+F826),(F823+F824+F825+F826)-(J823+J824+J825+J826),0)</f>
        <v>0</v>
      </c>
      <c r="M823" s="633" t="s">
        <v>2217</v>
      </c>
      <c r="N823" s="223"/>
      <c r="O823" s="631">
        <f t="shared" si="82"/>
        <v>0</v>
      </c>
    </row>
    <row r="824" spans="1:15" s="360" customFormat="1" ht="15" hidden="1">
      <c r="A824" s="356" t="s">
        <v>2706</v>
      </c>
      <c r="B824" s="632" t="s">
        <v>694</v>
      </c>
      <c r="C824" s="611">
        <f t="shared" si="80"/>
        <v>0</v>
      </c>
      <c r="D824" s="354"/>
      <c r="E824" s="15">
        <f t="shared" si="84"/>
        <v>120</v>
      </c>
      <c r="F824" s="792">
        <f t="shared" si="83"/>
        <v>0</v>
      </c>
      <c r="G824" s="358">
        <f>'PART-A'!I3930</f>
        <v>0</v>
      </c>
      <c r="H824" s="354" t="s">
        <v>115</v>
      </c>
      <c r="I824" s="355">
        <f>'PART-A'!K3930</f>
        <v>120</v>
      </c>
      <c r="J824" s="353">
        <f t="shared" si="81"/>
        <v>0</v>
      </c>
      <c r="K824" s="1680"/>
      <c r="L824" s="1680"/>
      <c r="M824" s="633" t="s">
        <v>2299</v>
      </c>
      <c r="N824" s="223"/>
      <c r="O824" s="631">
        <f t="shared" si="82"/>
        <v>0</v>
      </c>
    </row>
    <row r="825" spans="1:15" s="360" customFormat="1" ht="15" hidden="1">
      <c r="A825" s="356" t="s">
        <v>2078</v>
      </c>
      <c r="B825" s="632" t="s">
        <v>694</v>
      </c>
      <c r="C825" s="611">
        <f t="shared" si="80"/>
        <v>0</v>
      </c>
      <c r="D825" s="354"/>
      <c r="E825" s="15">
        <f t="shared" si="84"/>
        <v>132</v>
      </c>
      <c r="F825" s="792">
        <f t="shared" si="83"/>
        <v>0</v>
      </c>
      <c r="G825" s="358">
        <f>'PART-A'!I4150</f>
        <v>0</v>
      </c>
      <c r="H825" s="354" t="s">
        <v>115</v>
      </c>
      <c r="I825" s="355">
        <f>'PART-A'!K4150</f>
        <v>132</v>
      </c>
      <c r="J825" s="353">
        <f t="shared" si="81"/>
        <v>0</v>
      </c>
      <c r="K825" s="1680"/>
      <c r="L825" s="1680"/>
      <c r="M825" s="633" t="s">
        <v>2312</v>
      </c>
      <c r="N825" s="223"/>
      <c r="O825" s="631">
        <f t="shared" si="82"/>
        <v>0</v>
      </c>
    </row>
    <row r="826" spans="1:15" s="360" customFormat="1" ht="15" hidden="1">
      <c r="A826" s="356" t="s">
        <v>2078</v>
      </c>
      <c r="B826" s="632" t="s">
        <v>694</v>
      </c>
      <c r="C826" s="611">
        <f t="shared" si="80"/>
        <v>0</v>
      </c>
      <c r="D826" s="354"/>
      <c r="E826" s="15">
        <f t="shared" si="84"/>
        <v>132</v>
      </c>
      <c r="F826" s="792">
        <f t="shared" si="83"/>
        <v>0</v>
      </c>
      <c r="G826" s="358">
        <f>'PART-A'!I4372</f>
        <v>0</v>
      </c>
      <c r="H826" s="354" t="s">
        <v>115</v>
      </c>
      <c r="I826" s="355">
        <f>'PART-A'!K4372</f>
        <v>132</v>
      </c>
      <c r="J826" s="353">
        <f t="shared" si="81"/>
        <v>0</v>
      </c>
      <c r="K826" s="1681"/>
      <c r="L826" s="1681"/>
      <c r="M826" s="633" t="s">
        <v>2313</v>
      </c>
      <c r="N826" s="223"/>
      <c r="O826" s="631">
        <f t="shared" si="82"/>
        <v>0</v>
      </c>
    </row>
    <row r="827" spans="1:15" s="360" customFormat="1" ht="15" hidden="1">
      <c r="A827" s="356" t="s">
        <v>2039</v>
      </c>
      <c r="B827" s="632" t="s">
        <v>792</v>
      </c>
      <c r="C827" s="611">
        <f t="shared" si="80"/>
        <v>0</v>
      </c>
      <c r="D827" s="354"/>
      <c r="E827" s="15">
        <f t="shared" si="84"/>
        <v>80</v>
      </c>
      <c r="F827" s="792">
        <f t="shared" si="83"/>
        <v>0</v>
      </c>
      <c r="G827" s="358">
        <f>'PART-A'!I3718</f>
        <v>0</v>
      </c>
      <c r="H827" s="354" t="s">
        <v>115</v>
      </c>
      <c r="I827" s="355">
        <f>'PART-A'!K3718</f>
        <v>80</v>
      </c>
      <c r="J827" s="353">
        <f t="shared" si="81"/>
        <v>0</v>
      </c>
      <c r="K827" s="1679">
        <f>IF((J827+J828+J829+J830)&gt;(F827+F828+F829+F830),(J827+J828+J829+J830)-(F827+F828+F829+F830),0)</f>
        <v>0</v>
      </c>
      <c r="L827" s="1679">
        <f>IF((J827+J828+J829+J830)&lt;(F827+F828+F829+F830),(F827+F828+F829+F830)-(J827+J828+J829+J830),0)</f>
        <v>0</v>
      </c>
      <c r="M827" s="633" t="s">
        <v>2217</v>
      </c>
      <c r="N827" s="223"/>
      <c r="O827" s="631">
        <f t="shared" si="82"/>
        <v>0</v>
      </c>
    </row>
    <row r="828" spans="1:15" s="360" customFormat="1" ht="15" hidden="1">
      <c r="A828" s="356" t="s">
        <v>2046</v>
      </c>
      <c r="B828" s="632" t="s">
        <v>792</v>
      </c>
      <c r="C828" s="611">
        <f t="shared" si="80"/>
        <v>0</v>
      </c>
      <c r="D828" s="354"/>
      <c r="E828" s="15">
        <f t="shared" si="84"/>
        <v>80</v>
      </c>
      <c r="F828" s="792">
        <f t="shared" si="83"/>
        <v>0</v>
      </c>
      <c r="G828" s="358">
        <f>'PART-A'!I3940</f>
        <v>0</v>
      </c>
      <c r="H828" s="354" t="s">
        <v>115</v>
      </c>
      <c r="I828" s="355">
        <f>'PART-A'!K3940</f>
        <v>80</v>
      </c>
      <c r="J828" s="353">
        <f t="shared" si="81"/>
        <v>0</v>
      </c>
      <c r="K828" s="1680"/>
      <c r="L828" s="1680"/>
      <c r="M828" s="633" t="s">
        <v>2299</v>
      </c>
      <c r="N828" s="223"/>
      <c r="O828" s="631">
        <f t="shared" si="82"/>
        <v>0</v>
      </c>
    </row>
    <row r="829" spans="1:15" s="360" customFormat="1" ht="15" hidden="1">
      <c r="A829" s="356" t="s">
        <v>2039</v>
      </c>
      <c r="B829" s="632" t="s">
        <v>792</v>
      </c>
      <c r="C829" s="611">
        <f t="shared" si="80"/>
        <v>0</v>
      </c>
      <c r="D829" s="354"/>
      <c r="E829" s="15">
        <f t="shared" si="84"/>
        <v>88</v>
      </c>
      <c r="F829" s="792">
        <f t="shared" si="83"/>
        <v>0</v>
      </c>
      <c r="G829" s="358">
        <f>'PART-A'!I4160</f>
        <v>0</v>
      </c>
      <c r="H829" s="354" t="s">
        <v>115</v>
      </c>
      <c r="I829" s="355">
        <f>'PART-A'!K4160</f>
        <v>88</v>
      </c>
      <c r="J829" s="353">
        <f t="shared" si="81"/>
        <v>0</v>
      </c>
      <c r="K829" s="1680"/>
      <c r="L829" s="1680"/>
      <c r="M829" s="633" t="s">
        <v>2312</v>
      </c>
      <c r="N829" s="223"/>
      <c r="O829" s="631">
        <f t="shared" si="82"/>
        <v>0</v>
      </c>
    </row>
    <row r="830" spans="1:15" s="360" customFormat="1" ht="15" hidden="1">
      <c r="A830" s="356" t="s">
        <v>2039</v>
      </c>
      <c r="B830" s="632" t="s">
        <v>792</v>
      </c>
      <c r="C830" s="611">
        <f t="shared" si="80"/>
        <v>0</v>
      </c>
      <c r="D830" s="354"/>
      <c r="E830" s="15">
        <f t="shared" si="84"/>
        <v>88</v>
      </c>
      <c r="F830" s="792">
        <f t="shared" si="83"/>
        <v>0</v>
      </c>
      <c r="G830" s="358">
        <f>'PART-A'!I4382</f>
        <v>0</v>
      </c>
      <c r="H830" s="354" t="s">
        <v>115</v>
      </c>
      <c r="I830" s="355">
        <f>'PART-A'!K4382</f>
        <v>88</v>
      </c>
      <c r="J830" s="353">
        <f t="shared" si="81"/>
        <v>0</v>
      </c>
      <c r="K830" s="1681"/>
      <c r="L830" s="1681"/>
      <c r="M830" s="633" t="s">
        <v>2313</v>
      </c>
      <c r="N830" s="223"/>
      <c r="O830" s="631">
        <f t="shared" si="82"/>
        <v>0</v>
      </c>
    </row>
    <row r="831" spans="1:15" s="360" customFormat="1" ht="15" hidden="1">
      <c r="A831" s="356" t="s">
        <v>525</v>
      </c>
      <c r="B831" s="632" t="s">
        <v>617</v>
      </c>
      <c r="C831" s="611">
        <f t="shared" si="80"/>
        <v>0</v>
      </c>
      <c r="D831" s="354"/>
      <c r="E831" s="15">
        <f t="shared" si="84"/>
        <v>310</v>
      </c>
      <c r="F831" s="792">
        <f t="shared" si="83"/>
        <v>0</v>
      </c>
      <c r="G831" s="358">
        <f>'PART-A'!I3713</f>
        <v>0</v>
      </c>
      <c r="H831" s="354" t="s">
        <v>115</v>
      </c>
      <c r="I831" s="355">
        <f>'PART-A'!K3713</f>
        <v>310</v>
      </c>
      <c r="J831" s="353">
        <f t="shared" si="81"/>
        <v>0</v>
      </c>
      <c r="K831" s="1679">
        <f>IF((J831+J832+J833+J834)&gt;(F831+F832+F833+F834),(J831+J832+J833+J834)-(F831+F832+F833+F834),0)</f>
        <v>0</v>
      </c>
      <c r="L831" s="1679">
        <f>IF((J831+J832+J833+J834)&lt;(F831+F832+F833+F834),(F831+F832+F833+F834)-(J831+J832+J833+J834),0)</f>
        <v>0</v>
      </c>
      <c r="M831" s="633" t="s">
        <v>2217</v>
      </c>
      <c r="N831" s="223"/>
      <c r="O831" s="631">
        <f t="shared" si="82"/>
        <v>0</v>
      </c>
    </row>
    <row r="832" spans="1:15" s="360" customFormat="1" ht="15" hidden="1">
      <c r="A832" s="356" t="s">
        <v>525</v>
      </c>
      <c r="B832" s="632" t="s">
        <v>617</v>
      </c>
      <c r="C832" s="611">
        <f t="shared" si="80"/>
        <v>0</v>
      </c>
      <c r="D832" s="354"/>
      <c r="E832" s="15">
        <f t="shared" si="84"/>
        <v>310</v>
      </c>
      <c r="F832" s="792">
        <f t="shared" si="83"/>
        <v>0</v>
      </c>
      <c r="G832" s="358">
        <f>'PART-A'!I3935</f>
        <v>0</v>
      </c>
      <c r="H832" s="354" t="s">
        <v>115</v>
      </c>
      <c r="I832" s="355">
        <f>'PART-A'!K3935</f>
        <v>310</v>
      </c>
      <c r="J832" s="353">
        <f t="shared" si="81"/>
        <v>0</v>
      </c>
      <c r="K832" s="1680"/>
      <c r="L832" s="1680"/>
      <c r="M832" s="633" t="s">
        <v>2299</v>
      </c>
      <c r="N832" s="223"/>
      <c r="O832" s="631">
        <f t="shared" si="82"/>
        <v>0</v>
      </c>
    </row>
    <row r="833" spans="1:15" s="360" customFormat="1" ht="15" hidden="1">
      <c r="A833" s="356" t="s">
        <v>525</v>
      </c>
      <c r="B833" s="632" t="s">
        <v>617</v>
      </c>
      <c r="C833" s="611">
        <f t="shared" si="80"/>
        <v>0</v>
      </c>
      <c r="D833" s="354"/>
      <c r="E833" s="15">
        <f t="shared" si="84"/>
        <v>341</v>
      </c>
      <c r="F833" s="792">
        <f t="shared" si="83"/>
        <v>0</v>
      </c>
      <c r="G833" s="358">
        <f>'PART-A'!I4155</f>
        <v>0</v>
      </c>
      <c r="H833" s="354" t="s">
        <v>115</v>
      </c>
      <c r="I833" s="355">
        <f>'PART-A'!K4155</f>
        <v>341</v>
      </c>
      <c r="J833" s="353">
        <f t="shared" si="81"/>
        <v>0</v>
      </c>
      <c r="K833" s="1680"/>
      <c r="L833" s="1680"/>
      <c r="M833" s="633" t="s">
        <v>2312</v>
      </c>
      <c r="N833" s="223"/>
      <c r="O833" s="631">
        <f t="shared" si="82"/>
        <v>0</v>
      </c>
    </row>
    <row r="834" spans="1:15" s="360" customFormat="1" ht="15" hidden="1">
      <c r="A834" s="356" t="s">
        <v>525</v>
      </c>
      <c r="B834" s="632" t="s">
        <v>617</v>
      </c>
      <c r="C834" s="611">
        <f t="shared" si="80"/>
        <v>0</v>
      </c>
      <c r="D834" s="354"/>
      <c r="E834" s="15">
        <f t="shared" si="84"/>
        <v>341</v>
      </c>
      <c r="F834" s="792">
        <f t="shared" si="83"/>
        <v>0</v>
      </c>
      <c r="G834" s="358">
        <f>'PART-A'!I4377</f>
        <v>0</v>
      </c>
      <c r="H834" s="354" t="s">
        <v>115</v>
      </c>
      <c r="I834" s="355">
        <f>'PART-A'!K4377</f>
        <v>341</v>
      </c>
      <c r="J834" s="353">
        <f t="shared" si="81"/>
        <v>0</v>
      </c>
      <c r="K834" s="1681"/>
      <c r="L834" s="1681"/>
      <c r="M834" s="633" t="s">
        <v>2313</v>
      </c>
      <c r="N834" s="223"/>
      <c r="O834" s="631">
        <f t="shared" si="82"/>
        <v>0</v>
      </c>
    </row>
    <row r="835" spans="1:15" s="360" customFormat="1" ht="15" hidden="1">
      <c r="A835" s="356" t="s">
        <v>2039</v>
      </c>
      <c r="B835" s="632" t="s">
        <v>439</v>
      </c>
      <c r="C835" s="611">
        <f t="shared" si="80"/>
        <v>0</v>
      </c>
      <c r="D835" s="354"/>
      <c r="E835" s="15">
        <f t="shared" si="84"/>
        <v>60</v>
      </c>
      <c r="F835" s="792">
        <f t="shared" si="83"/>
        <v>0</v>
      </c>
      <c r="G835" s="358">
        <f>'PART-A'!I3723</f>
        <v>0</v>
      </c>
      <c r="H835" s="354" t="s">
        <v>115</v>
      </c>
      <c r="I835" s="355">
        <f>'PART-A'!K3723</f>
        <v>60</v>
      </c>
      <c r="J835" s="353">
        <f t="shared" si="81"/>
        <v>0</v>
      </c>
      <c r="K835" s="1679">
        <f>IF((J835+J836+J837+J838)&gt;(F835+F836+F837+F838),(J835+J836+J837+J838)-(F835+F836+F837+F838),0)</f>
        <v>0</v>
      </c>
      <c r="L835" s="1679">
        <f>IF((J835+J836+J837+J838)&lt;(F835+F836+F837+F838),(F835+F836+F837+F838)-(J835+J836+J837+J838),0)</f>
        <v>0</v>
      </c>
      <c r="M835" s="633" t="s">
        <v>2217</v>
      </c>
      <c r="N835" s="223"/>
      <c r="O835" s="631">
        <f t="shared" si="82"/>
        <v>0</v>
      </c>
    </row>
    <row r="836" spans="1:15" s="360" customFormat="1" ht="15" hidden="1">
      <c r="A836" s="356" t="s">
        <v>2707</v>
      </c>
      <c r="B836" s="632" t="s">
        <v>439</v>
      </c>
      <c r="C836" s="611">
        <f t="shared" si="80"/>
        <v>0</v>
      </c>
      <c r="D836" s="354"/>
      <c r="E836" s="15">
        <f t="shared" si="84"/>
        <v>60</v>
      </c>
      <c r="F836" s="792">
        <f t="shared" si="83"/>
        <v>0</v>
      </c>
      <c r="G836" s="358">
        <f>'PART-A'!I3945</f>
        <v>0</v>
      </c>
      <c r="H836" s="354" t="s">
        <v>115</v>
      </c>
      <c r="I836" s="355">
        <f>'PART-A'!K3945</f>
        <v>60</v>
      </c>
      <c r="J836" s="353">
        <f t="shared" si="81"/>
        <v>0</v>
      </c>
      <c r="K836" s="1680"/>
      <c r="L836" s="1680"/>
      <c r="M836" s="633" t="s">
        <v>2299</v>
      </c>
      <c r="N836" s="223"/>
      <c r="O836" s="631">
        <f t="shared" si="82"/>
        <v>0</v>
      </c>
    </row>
    <row r="837" spans="1:15" s="360" customFormat="1" ht="15" hidden="1">
      <c r="A837" s="356" t="s">
        <v>2039</v>
      </c>
      <c r="B837" s="632" t="s">
        <v>439</v>
      </c>
      <c r="C837" s="611">
        <f t="shared" si="80"/>
        <v>0</v>
      </c>
      <c r="D837" s="354"/>
      <c r="E837" s="15">
        <f t="shared" si="84"/>
        <v>66</v>
      </c>
      <c r="F837" s="792">
        <f t="shared" si="83"/>
        <v>0</v>
      </c>
      <c r="G837" s="358">
        <f>'PART-A'!I4165</f>
        <v>0</v>
      </c>
      <c r="H837" s="354" t="s">
        <v>115</v>
      </c>
      <c r="I837" s="355">
        <f>'PART-A'!K4165</f>
        <v>66</v>
      </c>
      <c r="J837" s="353">
        <f t="shared" si="81"/>
        <v>0</v>
      </c>
      <c r="K837" s="1680"/>
      <c r="L837" s="1680"/>
      <c r="M837" s="633" t="s">
        <v>2312</v>
      </c>
      <c r="N837" s="223"/>
      <c r="O837" s="631">
        <f t="shared" si="82"/>
        <v>0</v>
      </c>
    </row>
    <row r="838" spans="1:15" s="360" customFormat="1" ht="15" hidden="1">
      <c r="A838" s="356" t="s">
        <v>2039</v>
      </c>
      <c r="B838" s="632" t="s">
        <v>439</v>
      </c>
      <c r="C838" s="611">
        <f t="shared" si="80"/>
        <v>0</v>
      </c>
      <c r="D838" s="354"/>
      <c r="E838" s="15">
        <f t="shared" si="84"/>
        <v>66</v>
      </c>
      <c r="F838" s="792">
        <f t="shared" si="83"/>
        <v>0</v>
      </c>
      <c r="G838" s="358">
        <f>'PART-A'!I4387</f>
        <v>0</v>
      </c>
      <c r="H838" s="354" t="s">
        <v>115</v>
      </c>
      <c r="I838" s="355">
        <f>'PART-A'!K4387</f>
        <v>66</v>
      </c>
      <c r="J838" s="353">
        <f t="shared" si="81"/>
        <v>0</v>
      </c>
      <c r="K838" s="1681"/>
      <c r="L838" s="1681"/>
      <c r="M838" s="633" t="s">
        <v>2313</v>
      </c>
      <c r="N838" s="223"/>
      <c r="O838" s="631">
        <f t="shared" si="82"/>
        <v>0</v>
      </c>
    </row>
    <row r="839" spans="1:15" s="360" customFormat="1" ht="25.5" hidden="1">
      <c r="A839" s="356" t="s">
        <v>1259</v>
      </c>
      <c r="B839" s="632" t="s">
        <v>3242</v>
      </c>
      <c r="C839" s="611">
        <f t="shared" si="80"/>
        <v>0</v>
      </c>
      <c r="D839" s="827" t="s">
        <v>115</v>
      </c>
      <c r="E839" s="15">
        <f t="shared" si="84"/>
        <v>105.53100000000001</v>
      </c>
      <c r="F839" s="792">
        <f t="shared" si="83"/>
        <v>0</v>
      </c>
      <c r="G839" s="358">
        <f>'PART-A'!I3734</f>
        <v>0</v>
      </c>
      <c r="H839" s="354" t="s">
        <v>115</v>
      </c>
      <c r="I839" s="355">
        <f>'PART-A'!K3734</f>
        <v>105.53100000000001</v>
      </c>
      <c r="J839" s="353">
        <f t="shared" si="81"/>
        <v>0</v>
      </c>
      <c r="K839" s="1679">
        <f>IF((J839+J840+J841+J842)&gt;(F839+F840+F841+F842),(J839+J840+J841+J842)-(F839+F840+F841+F842),0)</f>
        <v>0</v>
      </c>
      <c r="L839" s="1679">
        <f>IF((J839+J840+J841+J842)&lt;(F839+F840+F841+F842),(F839+F840+F841+F842)-(J839+J840+J841+J842),0)</f>
        <v>0</v>
      </c>
      <c r="M839" s="633" t="s">
        <v>2217</v>
      </c>
      <c r="N839" s="223"/>
      <c r="O839" s="631">
        <f t="shared" si="82"/>
        <v>0</v>
      </c>
    </row>
    <row r="840" spans="1:15" s="360" customFormat="1" ht="15" hidden="1">
      <c r="A840" s="356" t="s">
        <v>2708</v>
      </c>
      <c r="B840" s="632" t="s">
        <v>561</v>
      </c>
      <c r="C840" s="611">
        <f t="shared" si="80"/>
        <v>0</v>
      </c>
      <c r="D840" s="354"/>
      <c r="E840" s="15">
        <f t="shared" si="84"/>
        <v>109.685</v>
      </c>
      <c r="F840" s="792">
        <f t="shared" si="83"/>
        <v>0</v>
      </c>
      <c r="G840" s="358">
        <f>'PART-A'!I3955</f>
        <v>0</v>
      </c>
      <c r="H840" s="354" t="s">
        <v>115</v>
      </c>
      <c r="I840" s="355">
        <f>'PART-A'!K3955</f>
        <v>109.685</v>
      </c>
      <c r="J840" s="353">
        <f t="shared" si="81"/>
        <v>0</v>
      </c>
      <c r="K840" s="1680"/>
      <c r="L840" s="1680"/>
      <c r="M840" s="633" t="s">
        <v>2299</v>
      </c>
      <c r="N840" s="223"/>
      <c r="O840" s="631">
        <f t="shared" si="82"/>
        <v>0</v>
      </c>
    </row>
    <row r="841" spans="1:15" s="360" customFormat="1" ht="15" hidden="1">
      <c r="A841" s="356" t="s">
        <v>2040</v>
      </c>
      <c r="B841" s="632" t="s">
        <v>561</v>
      </c>
      <c r="C841" s="611">
        <f t="shared" si="80"/>
        <v>0</v>
      </c>
      <c r="D841" s="354"/>
      <c r="E841" s="15">
        <f t="shared" si="84"/>
        <v>118.04</v>
      </c>
      <c r="F841" s="792">
        <f t="shared" si="83"/>
        <v>0</v>
      </c>
      <c r="G841" s="358">
        <f>'PART-A'!I4176</f>
        <v>0</v>
      </c>
      <c r="H841" s="354" t="s">
        <v>115</v>
      </c>
      <c r="I841" s="355">
        <f>'PART-A'!K4176</f>
        <v>118.04</v>
      </c>
      <c r="J841" s="353">
        <f t="shared" si="81"/>
        <v>0</v>
      </c>
      <c r="K841" s="1680"/>
      <c r="L841" s="1680"/>
      <c r="M841" s="633" t="s">
        <v>2312</v>
      </c>
      <c r="N841" s="223"/>
      <c r="O841" s="631">
        <f t="shared" si="82"/>
        <v>0</v>
      </c>
    </row>
    <row r="842" spans="1:15" s="360" customFormat="1" ht="25.5" hidden="1">
      <c r="A842" s="356" t="s">
        <v>1518</v>
      </c>
      <c r="B842" s="632" t="s">
        <v>3242</v>
      </c>
      <c r="C842" s="611">
        <f t="shared" ref="C842:C905" si="85">G842</f>
        <v>0</v>
      </c>
      <c r="D842" s="354" t="s">
        <v>115</v>
      </c>
      <c r="E842" s="10">
        <f t="shared" si="84"/>
        <v>125.73500000000001</v>
      </c>
      <c r="F842" s="792">
        <f t="shared" si="83"/>
        <v>0</v>
      </c>
      <c r="G842" s="358">
        <f>'PART-A'!I4397</f>
        <v>0</v>
      </c>
      <c r="H842" s="354" t="s">
        <v>115</v>
      </c>
      <c r="I842" s="355">
        <f>'PART-A'!K4397</f>
        <v>125.73500000000001</v>
      </c>
      <c r="J842" s="353">
        <f t="shared" ref="J842:J905" si="86">ROUND(G842*I842,2)</f>
        <v>0</v>
      </c>
      <c r="K842" s="1695"/>
      <c r="L842" s="1695"/>
      <c r="M842" s="851" t="s">
        <v>2313</v>
      </c>
      <c r="N842" s="223"/>
      <c r="O842" s="850">
        <f t="shared" si="82"/>
        <v>0</v>
      </c>
    </row>
    <row r="843" spans="1:15" s="360" customFormat="1" ht="15" hidden="1">
      <c r="A843" s="356" t="s">
        <v>2041</v>
      </c>
      <c r="B843" s="632" t="s">
        <v>1257</v>
      </c>
      <c r="C843" s="611">
        <f t="shared" si="85"/>
        <v>0</v>
      </c>
      <c r="D843" s="354"/>
      <c r="E843" s="15">
        <f t="shared" si="84"/>
        <v>344.3</v>
      </c>
      <c r="F843" s="792">
        <f t="shared" si="83"/>
        <v>0</v>
      </c>
      <c r="G843" s="358">
        <f>'PART-A'!I3728</f>
        <v>0</v>
      </c>
      <c r="H843" s="354" t="s">
        <v>115</v>
      </c>
      <c r="I843" s="355">
        <f>'PART-A'!K3728</f>
        <v>344.3</v>
      </c>
      <c r="J843" s="353">
        <f t="shared" si="86"/>
        <v>0</v>
      </c>
      <c r="K843" s="1679">
        <f>IF((J843+J844+J845+J846)&gt;(F843+F844+F845+F846),(J843+J844+J845+J846)-(F843+F844+F845+F846),0)</f>
        <v>0</v>
      </c>
      <c r="L843" s="1679">
        <f>IF((J843+J844+J845+J846)&lt;(F843+F844+F845+F846),(F843+F844+F845+F846)-(J843+J844+J845+J846),0)</f>
        <v>0</v>
      </c>
      <c r="M843" s="633" t="s">
        <v>2217</v>
      </c>
      <c r="N843" s="223"/>
      <c r="O843" s="631">
        <f t="shared" si="82"/>
        <v>0</v>
      </c>
    </row>
    <row r="844" spans="1:15" s="360" customFormat="1" ht="15" hidden="1">
      <c r="A844" s="356" t="s">
        <v>2709</v>
      </c>
      <c r="B844" s="632" t="s">
        <v>1257</v>
      </c>
      <c r="C844" s="611">
        <f t="shared" si="85"/>
        <v>0</v>
      </c>
      <c r="D844" s="354"/>
      <c r="E844" s="15">
        <f t="shared" si="84"/>
        <v>375.5</v>
      </c>
      <c r="F844" s="792">
        <f t="shared" si="83"/>
        <v>0</v>
      </c>
      <c r="G844" s="358">
        <f>'PART-A'!I3950</f>
        <v>0</v>
      </c>
      <c r="H844" s="354" t="s">
        <v>115</v>
      </c>
      <c r="I844" s="355">
        <f>'PART-A'!K3950</f>
        <v>375.5</v>
      </c>
      <c r="J844" s="353">
        <f t="shared" si="86"/>
        <v>0</v>
      </c>
      <c r="K844" s="1680"/>
      <c r="L844" s="1680"/>
      <c r="M844" s="633" t="s">
        <v>2299</v>
      </c>
      <c r="N844" s="223"/>
      <c r="O844" s="631">
        <f t="shared" si="82"/>
        <v>0</v>
      </c>
    </row>
    <row r="845" spans="1:15" s="360" customFormat="1" ht="15" hidden="1">
      <c r="A845" s="356" t="s">
        <v>2041</v>
      </c>
      <c r="B845" s="632" t="s">
        <v>1257</v>
      </c>
      <c r="C845" s="611">
        <f t="shared" si="85"/>
        <v>0</v>
      </c>
      <c r="D845" s="354"/>
      <c r="E845" s="15">
        <f t="shared" si="84"/>
        <v>410</v>
      </c>
      <c r="F845" s="792">
        <f t="shared" si="83"/>
        <v>0</v>
      </c>
      <c r="G845" s="358">
        <f>'PART-A'!I4170</f>
        <v>0</v>
      </c>
      <c r="H845" s="354" t="s">
        <v>115</v>
      </c>
      <c r="I845" s="355">
        <f>'PART-A'!K4170</f>
        <v>410</v>
      </c>
      <c r="J845" s="353">
        <f t="shared" si="86"/>
        <v>0</v>
      </c>
      <c r="K845" s="1680"/>
      <c r="L845" s="1680"/>
      <c r="M845" s="633" t="s">
        <v>2312</v>
      </c>
      <c r="N845" s="223"/>
      <c r="O845" s="631">
        <f t="shared" si="82"/>
        <v>0</v>
      </c>
    </row>
    <row r="846" spans="1:15" s="360" customFormat="1" ht="15" hidden="1">
      <c r="A846" s="356" t="s">
        <v>2041</v>
      </c>
      <c r="B846" s="632" t="s">
        <v>1257</v>
      </c>
      <c r="C846" s="611">
        <f t="shared" si="85"/>
        <v>0</v>
      </c>
      <c r="D846" s="354"/>
      <c r="E846" s="15">
        <f t="shared" si="84"/>
        <v>422.5</v>
      </c>
      <c r="F846" s="792">
        <f t="shared" si="83"/>
        <v>0</v>
      </c>
      <c r="G846" s="358">
        <f>'PART-A'!I4392</f>
        <v>0</v>
      </c>
      <c r="H846" s="354" t="s">
        <v>115</v>
      </c>
      <c r="I846" s="355">
        <f>'PART-A'!K4392</f>
        <v>422.5</v>
      </c>
      <c r="J846" s="353">
        <f t="shared" si="86"/>
        <v>0</v>
      </c>
      <c r="K846" s="1681"/>
      <c r="L846" s="1681"/>
      <c r="M846" s="633" t="s">
        <v>2313</v>
      </c>
      <c r="N846" s="223"/>
      <c r="O846" s="631">
        <f t="shared" si="82"/>
        <v>0</v>
      </c>
    </row>
    <row r="847" spans="1:15" s="360" customFormat="1" ht="15" hidden="1">
      <c r="A847" s="356" t="s">
        <v>646</v>
      </c>
      <c r="B847" s="632" t="s">
        <v>641</v>
      </c>
      <c r="C847" s="611">
        <f t="shared" si="85"/>
        <v>0</v>
      </c>
      <c r="D847" s="354"/>
      <c r="E847" s="15">
        <f t="shared" si="84"/>
        <v>99.531000000000006</v>
      </c>
      <c r="F847" s="792">
        <f t="shared" si="83"/>
        <v>0</v>
      </c>
      <c r="G847" s="358">
        <f>'PART-A'!I3739</f>
        <v>0</v>
      </c>
      <c r="H847" s="354" t="s">
        <v>115</v>
      </c>
      <c r="I847" s="355">
        <f>'PART-A'!K3739</f>
        <v>99.531000000000006</v>
      </c>
      <c r="J847" s="353">
        <f t="shared" si="86"/>
        <v>0</v>
      </c>
      <c r="K847" s="1679">
        <f>IF((J847+J848+J849+J850)&gt;(F847+F848+F849+F850),(J847+J848+J849+J850)-(F847+F848+F849+F850),0)</f>
        <v>0</v>
      </c>
      <c r="L847" s="1679">
        <f>IF((J847+J848+J849+J850)&lt;(F847+F848+F849+F850),(F847+F848+F849+F850)-(J847+J848+J849+J850),0)</f>
        <v>0</v>
      </c>
      <c r="M847" s="633" t="s">
        <v>2217</v>
      </c>
      <c r="N847" s="223"/>
      <c r="O847" s="631">
        <f t="shared" si="82"/>
        <v>0</v>
      </c>
    </row>
    <row r="848" spans="1:15" s="360" customFormat="1" ht="15" hidden="1">
      <c r="A848" s="356" t="s">
        <v>646</v>
      </c>
      <c r="B848" s="632" t="s">
        <v>641</v>
      </c>
      <c r="C848" s="611">
        <f t="shared" si="85"/>
        <v>0</v>
      </c>
      <c r="D848" s="354"/>
      <c r="E848" s="15">
        <f t="shared" si="84"/>
        <v>103.685</v>
      </c>
      <c r="F848" s="792">
        <f t="shared" si="83"/>
        <v>0</v>
      </c>
      <c r="G848" s="358">
        <f>'PART-A'!I3960</f>
        <v>0</v>
      </c>
      <c r="H848" s="354" t="s">
        <v>115</v>
      </c>
      <c r="I848" s="355">
        <f>'PART-A'!K3960</f>
        <v>103.685</v>
      </c>
      <c r="J848" s="353">
        <f t="shared" si="86"/>
        <v>0</v>
      </c>
      <c r="K848" s="1680"/>
      <c r="L848" s="1680"/>
      <c r="M848" s="633" t="s">
        <v>2299</v>
      </c>
      <c r="N848" s="223"/>
      <c r="O848" s="631">
        <f t="shared" si="82"/>
        <v>0</v>
      </c>
    </row>
    <row r="849" spans="1:15" s="360" customFormat="1" ht="15" hidden="1">
      <c r="A849" s="356" t="s">
        <v>646</v>
      </c>
      <c r="B849" s="632" t="s">
        <v>641</v>
      </c>
      <c r="C849" s="611">
        <f t="shared" si="85"/>
        <v>0</v>
      </c>
      <c r="D849" s="354"/>
      <c r="E849" s="15">
        <f t="shared" si="84"/>
        <v>112.04</v>
      </c>
      <c r="F849" s="792">
        <f t="shared" si="83"/>
        <v>0</v>
      </c>
      <c r="G849" s="358">
        <f>'PART-A'!I4181</f>
        <v>0</v>
      </c>
      <c r="H849" s="354" t="s">
        <v>115</v>
      </c>
      <c r="I849" s="355">
        <f>'PART-A'!K4181</f>
        <v>112.04</v>
      </c>
      <c r="J849" s="353">
        <f t="shared" si="86"/>
        <v>0</v>
      </c>
      <c r="K849" s="1680"/>
      <c r="L849" s="1680"/>
      <c r="M849" s="633" t="s">
        <v>2312</v>
      </c>
      <c r="N849" s="223"/>
      <c r="O849" s="631">
        <f t="shared" si="82"/>
        <v>0</v>
      </c>
    </row>
    <row r="850" spans="1:15" s="360" customFormat="1" ht="15" hidden="1">
      <c r="A850" s="356" t="s">
        <v>646</v>
      </c>
      <c r="B850" s="632" t="s">
        <v>641</v>
      </c>
      <c r="C850" s="611">
        <f t="shared" si="85"/>
        <v>0</v>
      </c>
      <c r="D850" s="354"/>
      <c r="E850" s="15">
        <f t="shared" si="84"/>
        <v>119.73500000000001</v>
      </c>
      <c r="F850" s="792">
        <f t="shared" si="83"/>
        <v>0</v>
      </c>
      <c r="G850" s="358">
        <f>'PART-A'!I4402</f>
        <v>0</v>
      </c>
      <c r="H850" s="354" t="s">
        <v>115</v>
      </c>
      <c r="I850" s="355">
        <f>'PART-A'!K4402</f>
        <v>119.73500000000001</v>
      </c>
      <c r="J850" s="353">
        <f t="shared" si="86"/>
        <v>0</v>
      </c>
      <c r="K850" s="1681"/>
      <c r="L850" s="1681"/>
      <c r="M850" s="633" t="s">
        <v>2313</v>
      </c>
      <c r="N850" s="223"/>
      <c r="O850" s="631">
        <f t="shared" si="82"/>
        <v>0</v>
      </c>
    </row>
    <row r="851" spans="1:15" s="360" customFormat="1" ht="15" hidden="1">
      <c r="A851" s="356" t="s">
        <v>2042</v>
      </c>
      <c r="B851" s="632" t="s">
        <v>624</v>
      </c>
      <c r="C851" s="611">
        <f t="shared" si="85"/>
        <v>0</v>
      </c>
      <c r="D851" s="354"/>
      <c r="E851" s="15">
        <f t="shared" si="84"/>
        <v>18</v>
      </c>
      <c r="F851" s="792">
        <f t="shared" si="83"/>
        <v>0</v>
      </c>
      <c r="G851" s="358">
        <f>'PART-A'!I3744</f>
        <v>0</v>
      </c>
      <c r="H851" s="354" t="s">
        <v>115</v>
      </c>
      <c r="I851" s="355">
        <f>'PART-A'!K3744</f>
        <v>18</v>
      </c>
      <c r="J851" s="353">
        <f t="shared" si="86"/>
        <v>0</v>
      </c>
      <c r="K851" s="1679">
        <f>IF((J851+J852+J853+J854)&gt;(F851+F852+F853+F854),(J851+J852+J853+J854)-(F851+F852+F853+F854),0)</f>
        <v>0</v>
      </c>
      <c r="L851" s="1679">
        <f>IF((J851+J852+J853+J854)&lt;(F851+F852+F853+F854),(F851+F852+F853+F854)-(J851+J852+J853+J854),0)</f>
        <v>0</v>
      </c>
      <c r="M851" s="633" t="s">
        <v>2217</v>
      </c>
      <c r="N851" s="223"/>
      <c r="O851" s="631">
        <f t="shared" ref="O851:O915" si="87">F851-J851</f>
        <v>0</v>
      </c>
    </row>
    <row r="852" spans="1:15" s="360" customFormat="1" ht="15" hidden="1">
      <c r="A852" s="356" t="s">
        <v>2710</v>
      </c>
      <c r="B852" s="632" t="s">
        <v>624</v>
      </c>
      <c r="C852" s="611">
        <f t="shared" si="85"/>
        <v>0</v>
      </c>
      <c r="D852" s="354"/>
      <c r="E852" s="15">
        <f t="shared" si="84"/>
        <v>18</v>
      </c>
      <c r="F852" s="792">
        <f t="shared" si="83"/>
        <v>0</v>
      </c>
      <c r="G852" s="358">
        <f>'PART-A'!I3965</f>
        <v>0</v>
      </c>
      <c r="H852" s="354" t="s">
        <v>115</v>
      </c>
      <c r="I852" s="355">
        <f>'PART-A'!K3965</f>
        <v>18</v>
      </c>
      <c r="J852" s="353">
        <f t="shared" si="86"/>
        <v>0</v>
      </c>
      <c r="K852" s="1680"/>
      <c r="L852" s="1680"/>
      <c r="M852" s="633" t="s">
        <v>2299</v>
      </c>
      <c r="N852" s="223"/>
      <c r="O852" s="631">
        <f t="shared" si="87"/>
        <v>0</v>
      </c>
    </row>
    <row r="853" spans="1:15" s="360" customFormat="1" ht="15" hidden="1">
      <c r="A853" s="356" t="s">
        <v>2042</v>
      </c>
      <c r="B853" s="632" t="s">
        <v>624</v>
      </c>
      <c r="C853" s="611">
        <f t="shared" si="85"/>
        <v>0</v>
      </c>
      <c r="D853" s="354"/>
      <c r="E853" s="15">
        <f t="shared" si="84"/>
        <v>20</v>
      </c>
      <c r="F853" s="792">
        <f t="shared" si="83"/>
        <v>0</v>
      </c>
      <c r="G853" s="358">
        <f>'PART-A'!I4186</f>
        <v>0</v>
      </c>
      <c r="H853" s="354" t="s">
        <v>115</v>
      </c>
      <c r="I853" s="355">
        <f>'PART-A'!K4186</f>
        <v>20</v>
      </c>
      <c r="J853" s="353">
        <f t="shared" si="86"/>
        <v>0</v>
      </c>
      <c r="K853" s="1680"/>
      <c r="L853" s="1680"/>
      <c r="M853" s="633" t="s">
        <v>2312</v>
      </c>
      <c r="N853" s="223"/>
      <c r="O853" s="631">
        <f t="shared" si="87"/>
        <v>0</v>
      </c>
    </row>
    <row r="854" spans="1:15" s="360" customFormat="1" ht="15" hidden="1">
      <c r="A854" s="356" t="s">
        <v>2042</v>
      </c>
      <c r="B854" s="632" t="s">
        <v>624</v>
      </c>
      <c r="C854" s="611">
        <f t="shared" si="85"/>
        <v>0</v>
      </c>
      <c r="D854" s="354"/>
      <c r="E854" s="15">
        <f t="shared" si="84"/>
        <v>21</v>
      </c>
      <c r="F854" s="792">
        <f t="shared" si="83"/>
        <v>0</v>
      </c>
      <c r="G854" s="358">
        <f>'PART-A'!I4407</f>
        <v>0</v>
      </c>
      <c r="H854" s="354" t="s">
        <v>115</v>
      </c>
      <c r="I854" s="355">
        <f>'PART-A'!K4407</f>
        <v>21</v>
      </c>
      <c r="J854" s="353">
        <f t="shared" si="86"/>
        <v>0</v>
      </c>
      <c r="K854" s="1681"/>
      <c r="L854" s="1681"/>
      <c r="M854" s="633" t="s">
        <v>2313</v>
      </c>
      <c r="N854" s="223"/>
      <c r="O854" s="631">
        <f t="shared" si="87"/>
        <v>0</v>
      </c>
    </row>
    <row r="855" spans="1:15" s="360" customFormat="1" ht="25.5" hidden="1">
      <c r="A855" s="356" t="s">
        <v>2686</v>
      </c>
      <c r="B855" s="632" t="s">
        <v>3242</v>
      </c>
      <c r="C855" s="611">
        <f t="shared" si="85"/>
        <v>0</v>
      </c>
      <c r="D855" s="827" t="s">
        <v>115</v>
      </c>
      <c r="E855" s="15">
        <f t="shared" si="84"/>
        <v>177.65</v>
      </c>
      <c r="F855" s="792">
        <f t="shared" si="83"/>
        <v>0</v>
      </c>
      <c r="G855" s="358">
        <f>'PART-A'!I3749</f>
        <v>0</v>
      </c>
      <c r="H855" s="354" t="s">
        <v>115</v>
      </c>
      <c r="I855" s="355">
        <f>'PART-A'!K3749</f>
        <v>177.65</v>
      </c>
      <c r="J855" s="353">
        <f t="shared" si="86"/>
        <v>0</v>
      </c>
      <c r="K855" s="1679">
        <f>IF((J855+J856+J857+J858)&gt;(F855+F856+F857+F858),(J855+J856+J857+J858)-(F855+F856+F857+F858),0)</f>
        <v>0</v>
      </c>
      <c r="L855" s="1679">
        <f>IF((J855+J856+J857+J858)&lt;(F855+F856+F857+F858),(F855+F856+F857+F858)-(J855+J856+J857+J858),0)</f>
        <v>0</v>
      </c>
      <c r="M855" s="633" t="s">
        <v>2217</v>
      </c>
      <c r="N855" s="223"/>
      <c r="O855" s="631">
        <f t="shared" si="87"/>
        <v>0</v>
      </c>
    </row>
    <row r="856" spans="1:15" s="360" customFormat="1" ht="15" hidden="1">
      <c r="A856" s="356" t="s">
        <v>2711</v>
      </c>
      <c r="B856" s="632" t="s">
        <v>562</v>
      </c>
      <c r="C856" s="611">
        <f t="shared" si="85"/>
        <v>0</v>
      </c>
      <c r="D856" s="354"/>
      <c r="E856" s="15">
        <f t="shared" si="84"/>
        <v>120.75</v>
      </c>
      <c r="F856" s="792">
        <f t="shared" si="83"/>
        <v>0</v>
      </c>
      <c r="G856" s="358">
        <f>'PART-A'!I3970</f>
        <v>0</v>
      </c>
      <c r="H856" s="354" t="s">
        <v>115</v>
      </c>
      <c r="I856" s="355">
        <f>'PART-A'!K3970</f>
        <v>120.75</v>
      </c>
      <c r="J856" s="353">
        <f t="shared" si="86"/>
        <v>0</v>
      </c>
      <c r="K856" s="1680"/>
      <c r="L856" s="1680"/>
      <c r="M856" s="633" t="s">
        <v>2299</v>
      </c>
      <c r="N856" s="223"/>
      <c r="O856" s="631">
        <f t="shared" si="87"/>
        <v>0</v>
      </c>
    </row>
    <row r="857" spans="1:15" s="360" customFormat="1" ht="15" hidden="1">
      <c r="A857" s="356" t="s">
        <v>2043</v>
      </c>
      <c r="B857" s="632" t="s">
        <v>562</v>
      </c>
      <c r="C857" s="611">
        <f t="shared" si="85"/>
        <v>0</v>
      </c>
      <c r="D857" s="354"/>
      <c r="E857" s="15">
        <f t="shared" si="84"/>
        <v>122</v>
      </c>
      <c r="F857" s="792">
        <f t="shared" si="83"/>
        <v>0</v>
      </c>
      <c r="G857" s="358">
        <f>'PART-A'!I4191</f>
        <v>0</v>
      </c>
      <c r="H857" s="354" t="s">
        <v>115</v>
      </c>
      <c r="I857" s="355">
        <f>'PART-A'!K4191</f>
        <v>122</v>
      </c>
      <c r="J857" s="353">
        <f t="shared" si="86"/>
        <v>0</v>
      </c>
      <c r="K857" s="1680"/>
      <c r="L857" s="1680"/>
      <c r="M857" s="633" t="s">
        <v>2312</v>
      </c>
      <c r="N857" s="223"/>
      <c r="O857" s="631">
        <f t="shared" si="87"/>
        <v>0</v>
      </c>
    </row>
    <row r="858" spans="1:15" s="360" customFormat="1" ht="38.25" hidden="1">
      <c r="A858" s="356" t="s">
        <v>1519</v>
      </c>
      <c r="B858" s="632" t="s">
        <v>1267</v>
      </c>
      <c r="C858" s="611">
        <f t="shared" si="85"/>
        <v>0</v>
      </c>
      <c r="D858" s="354" t="s">
        <v>115</v>
      </c>
      <c r="E858" s="10">
        <f t="shared" si="84"/>
        <v>127.25</v>
      </c>
      <c r="F858" s="792">
        <f t="shared" si="83"/>
        <v>0</v>
      </c>
      <c r="G858" s="358">
        <f>'PART-A'!I4412</f>
        <v>0</v>
      </c>
      <c r="H858" s="354" t="s">
        <v>115</v>
      </c>
      <c r="I858" s="355">
        <f>'PART-A'!K4412</f>
        <v>127.25</v>
      </c>
      <c r="J858" s="353">
        <f t="shared" si="86"/>
        <v>0</v>
      </c>
      <c r="K858" s="1695"/>
      <c r="L858" s="1695"/>
      <c r="M858" s="851" t="s">
        <v>2313</v>
      </c>
      <c r="N858" s="223"/>
      <c r="O858" s="850">
        <f t="shared" si="87"/>
        <v>0</v>
      </c>
    </row>
    <row r="859" spans="1:15" s="360" customFormat="1" ht="38.25" hidden="1">
      <c r="A859" s="356" t="s">
        <v>2687</v>
      </c>
      <c r="B859" s="632" t="s">
        <v>3243</v>
      </c>
      <c r="C859" s="611">
        <f t="shared" si="85"/>
        <v>0</v>
      </c>
      <c r="D859" s="827" t="s">
        <v>115</v>
      </c>
      <c r="E859" s="15">
        <f t="shared" si="84"/>
        <v>2636.625</v>
      </c>
      <c r="F859" s="792">
        <f t="shared" si="83"/>
        <v>0</v>
      </c>
      <c r="G859" s="358">
        <f>'PART-A'!I3754</f>
        <v>0</v>
      </c>
      <c r="H859" s="354" t="s">
        <v>115</v>
      </c>
      <c r="I859" s="355">
        <f>'PART-A'!K3754</f>
        <v>2636.625</v>
      </c>
      <c r="J859" s="353">
        <f t="shared" si="86"/>
        <v>0</v>
      </c>
      <c r="K859" s="1679">
        <f t="shared" ref="K859" si="88">IF((J859+J860+J861+J862)&gt;(F859+F860+F861+F862),(J859+J860+J861+J862)-(F859+F860+F861+F862),0)</f>
        <v>0</v>
      </c>
      <c r="L859" s="1679">
        <f t="shared" ref="L859" si="89">IF((J859+J860+J861+J862)&lt;(F859+F860+F861+F862),(F859+F860+F861+F862)-(J859+F860+J861+J862),0)</f>
        <v>0</v>
      </c>
      <c r="M859" s="633" t="s">
        <v>2217</v>
      </c>
      <c r="N859" s="223"/>
      <c r="O859" s="631">
        <f t="shared" si="87"/>
        <v>0</v>
      </c>
    </row>
    <row r="860" spans="1:15" s="360" customFormat="1" ht="15" hidden="1">
      <c r="A860" s="356" t="s">
        <v>2051</v>
      </c>
      <c r="B860" s="632" t="s">
        <v>563</v>
      </c>
      <c r="C860" s="611">
        <f t="shared" si="85"/>
        <v>0</v>
      </c>
      <c r="D860" s="354"/>
      <c r="E860" s="15">
        <f t="shared" si="84"/>
        <v>2644.375</v>
      </c>
      <c r="F860" s="792">
        <f t="shared" si="83"/>
        <v>0</v>
      </c>
      <c r="G860" s="358">
        <f>'PART-A'!I3976</f>
        <v>0</v>
      </c>
      <c r="H860" s="354" t="s">
        <v>115</v>
      </c>
      <c r="I860" s="355">
        <f>'PART-A'!K3976</f>
        <v>2644.375</v>
      </c>
      <c r="J860" s="353">
        <f t="shared" si="86"/>
        <v>0</v>
      </c>
      <c r="K860" s="1680"/>
      <c r="L860" s="1680"/>
      <c r="M860" s="633" t="s">
        <v>2299</v>
      </c>
      <c r="N860" s="223"/>
      <c r="O860" s="631">
        <f t="shared" si="87"/>
        <v>0</v>
      </c>
    </row>
    <row r="861" spans="1:15" s="360" customFormat="1" ht="15" hidden="1">
      <c r="A861" s="356" t="s">
        <v>2051</v>
      </c>
      <c r="B861" s="632" t="s">
        <v>563</v>
      </c>
      <c r="C861" s="611">
        <f t="shared" si="85"/>
        <v>0</v>
      </c>
      <c r="D861" s="354"/>
      <c r="E861" s="15">
        <f t="shared" si="84"/>
        <v>3020.3799999999997</v>
      </c>
      <c r="F861" s="792">
        <f t="shared" si="83"/>
        <v>0</v>
      </c>
      <c r="G861" s="358">
        <f>'PART-A'!I4196</f>
        <v>0</v>
      </c>
      <c r="H861" s="354" t="s">
        <v>115</v>
      </c>
      <c r="I861" s="355">
        <f>'PART-A'!K4196</f>
        <v>3020.3799999999997</v>
      </c>
      <c r="J861" s="353">
        <f t="shared" si="86"/>
        <v>0</v>
      </c>
      <c r="K861" s="1680"/>
      <c r="L861" s="1680"/>
      <c r="M861" s="633" t="s">
        <v>2312</v>
      </c>
      <c r="N861" s="223"/>
      <c r="O861" s="631">
        <f t="shared" si="87"/>
        <v>0</v>
      </c>
    </row>
    <row r="862" spans="1:15" s="360" customFormat="1" ht="38.25" hidden="1">
      <c r="A862" s="356" t="s">
        <v>1590</v>
      </c>
      <c r="B862" s="632" t="s">
        <v>3243</v>
      </c>
      <c r="C862" s="611">
        <f t="shared" si="85"/>
        <v>0</v>
      </c>
      <c r="D862" s="354" t="s">
        <v>115</v>
      </c>
      <c r="E862" s="10">
        <f t="shared" si="84"/>
        <v>3312.1849999999999</v>
      </c>
      <c r="F862" s="792">
        <f t="shared" si="83"/>
        <v>0</v>
      </c>
      <c r="G862" s="358">
        <f>'PART-A'!I4418</f>
        <v>0</v>
      </c>
      <c r="H862" s="354" t="s">
        <v>115</v>
      </c>
      <c r="I862" s="355">
        <f>'PART-A'!K4418</f>
        <v>3312.1849999999999</v>
      </c>
      <c r="J862" s="353">
        <f t="shared" si="86"/>
        <v>0</v>
      </c>
      <c r="K862" s="1695"/>
      <c r="L862" s="1695"/>
      <c r="M862" s="851" t="s">
        <v>2313</v>
      </c>
      <c r="N862" s="223"/>
      <c r="O862" s="850">
        <f t="shared" si="87"/>
        <v>0</v>
      </c>
    </row>
    <row r="863" spans="1:15" s="360" customFormat="1" ht="15" hidden="1">
      <c r="A863" s="356" t="s">
        <v>646</v>
      </c>
      <c r="B863" s="632" t="s">
        <v>563</v>
      </c>
      <c r="C863" s="611">
        <f t="shared" si="85"/>
        <v>0</v>
      </c>
      <c r="D863" s="354"/>
      <c r="E863" s="15">
        <f t="shared" si="84"/>
        <v>2323</v>
      </c>
      <c r="F863" s="792">
        <f t="shared" si="83"/>
        <v>0</v>
      </c>
      <c r="G863" s="358">
        <f>'PART-A'!I3764</f>
        <v>0</v>
      </c>
      <c r="H863" s="354" t="s">
        <v>115</v>
      </c>
      <c r="I863" s="355">
        <f>'PART-A'!K3764</f>
        <v>2323</v>
      </c>
      <c r="J863" s="353">
        <f t="shared" si="86"/>
        <v>0</v>
      </c>
      <c r="K863" s="1679">
        <f>IF((J863+J864+J865+J866)&gt;(F863+F864+F865+F866),(J863+J864+J865+J866)-(F863+F864+F865+F866),0)</f>
        <v>0</v>
      </c>
      <c r="L863" s="1679">
        <f>IF((J863+J864+J865+J866)&lt;(F863+F864+F865+F866),(F863+F864+F865+F866)-(J863+J864+J865+J866),0)</f>
        <v>0</v>
      </c>
      <c r="M863" s="633" t="s">
        <v>2217</v>
      </c>
      <c r="N863" s="223"/>
      <c r="O863" s="631">
        <f t="shared" si="87"/>
        <v>0</v>
      </c>
    </row>
    <row r="864" spans="1:15" s="360" customFormat="1" ht="15" hidden="1">
      <c r="A864" s="356" t="s">
        <v>2712</v>
      </c>
      <c r="B864" s="632" t="s">
        <v>563</v>
      </c>
      <c r="C864" s="611">
        <f t="shared" si="85"/>
        <v>0</v>
      </c>
      <c r="D864" s="354"/>
      <c r="E864" s="15">
        <f t="shared" si="84"/>
        <v>2323</v>
      </c>
      <c r="F864" s="792">
        <f t="shared" si="83"/>
        <v>0</v>
      </c>
      <c r="G864" s="358">
        <f>'PART-A'!I3986</f>
        <v>0</v>
      </c>
      <c r="H864" s="354" t="s">
        <v>115</v>
      </c>
      <c r="I864" s="355">
        <f>'PART-A'!K3986</f>
        <v>2323</v>
      </c>
      <c r="J864" s="353">
        <f t="shared" si="86"/>
        <v>0</v>
      </c>
      <c r="K864" s="1680"/>
      <c r="L864" s="1680"/>
      <c r="M864" s="633" t="s">
        <v>2299</v>
      </c>
      <c r="N864" s="223"/>
      <c r="O864" s="631">
        <f t="shared" si="87"/>
        <v>0</v>
      </c>
    </row>
    <row r="865" spans="1:15" s="360" customFormat="1" ht="15" hidden="1">
      <c r="A865" s="356" t="s">
        <v>2045</v>
      </c>
      <c r="B865" s="632" t="s">
        <v>563</v>
      </c>
      <c r="C865" s="611">
        <f t="shared" si="85"/>
        <v>0</v>
      </c>
      <c r="D865" s="354"/>
      <c r="E865" s="15">
        <f t="shared" si="84"/>
        <v>2671.45</v>
      </c>
      <c r="F865" s="792">
        <f t="shared" si="83"/>
        <v>0</v>
      </c>
      <c r="G865" s="358">
        <f>'PART-A'!I4206</f>
        <v>0</v>
      </c>
      <c r="H865" s="354" t="s">
        <v>115</v>
      </c>
      <c r="I865" s="355">
        <f>'PART-A'!K4206</f>
        <v>2671.45</v>
      </c>
      <c r="J865" s="353">
        <f t="shared" si="86"/>
        <v>0</v>
      </c>
      <c r="K865" s="1680"/>
      <c r="L865" s="1680"/>
      <c r="M865" s="633" t="s">
        <v>2312</v>
      </c>
      <c r="N865" s="223"/>
      <c r="O865" s="631">
        <f t="shared" si="87"/>
        <v>0</v>
      </c>
    </row>
    <row r="866" spans="1:15" s="360" customFormat="1" ht="15" hidden="1">
      <c r="A866" s="356" t="s">
        <v>2045</v>
      </c>
      <c r="B866" s="632" t="s">
        <v>563</v>
      </c>
      <c r="C866" s="611">
        <f t="shared" si="85"/>
        <v>0</v>
      </c>
      <c r="D866" s="354"/>
      <c r="E866" s="15">
        <f t="shared" si="84"/>
        <v>2941.12</v>
      </c>
      <c r="F866" s="792">
        <f t="shared" si="83"/>
        <v>0</v>
      </c>
      <c r="G866" s="358">
        <f>'PART-A'!I4435</f>
        <v>0</v>
      </c>
      <c r="H866" s="354" t="s">
        <v>115</v>
      </c>
      <c r="I866" s="355">
        <f>'PART-A'!K4435</f>
        <v>2941.12</v>
      </c>
      <c r="J866" s="353">
        <f t="shared" si="86"/>
        <v>0</v>
      </c>
      <c r="K866" s="1681"/>
      <c r="L866" s="1681"/>
      <c r="M866" s="633" t="s">
        <v>2313</v>
      </c>
      <c r="N866" s="223"/>
      <c r="O866" s="631">
        <f t="shared" si="87"/>
        <v>0</v>
      </c>
    </row>
    <row r="867" spans="1:15" s="360" customFormat="1" ht="38.25" hidden="1">
      <c r="A867" s="356" t="s">
        <v>2688</v>
      </c>
      <c r="B867" s="632" t="s">
        <v>947</v>
      </c>
      <c r="C867" s="611">
        <f t="shared" si="85"/>
        <v>0</v>
      </c>
      <c r="D867" s="827" t="s">
        <v>115</v>
      </c>
      <c r="E867" s="15">
        <f t="shared" si="84"/>
        <v>237.5</v>
      </c>
      <c r="F867" s="792">
        <f t="shared" si="83"/>
        <v>0</v>
      </c>
      <c r="G867" s="358">
        <f>'PART-A'!I3769</f>
        <v>0</v>
      </c>
      <c r="H867" s="354" t="s">
        <v>115</v>
      </c>
      <c r="I867" s="355">
        <f>'PART-A'!K3769</f>
        <v>237.5</v>
      </c>
      <c r="J867" s="353">
        <f t="shared" si="86"/>
        <v>0</v>
      </c>
      <c r="K867" s="1679">
        <f>IF((J867+J868+J869+J870)&gt;(F867+F868+F869+F870),(J867+J868+J869+J870)-(F867+F868+F869+F870),0)</f>
        <v>0</v>
      </c>
      <c r="L867" s="1679">
        <f>IF((J867+J868+J869+J870)&lt;(F867+F868+F869+F870),(F867+F868+F869+F870)-(J867+J868+J869+J870),0)</f>
        <v>0</v>
      </c>
      <c r="M867" s="633" t="s">
        <v>2217</v>
      </c>
      <c r="N867" s="223"/>
      <c r="O867" s="631">
        <f t="shared" si="87"/>
        <v>0</v>
      </c>
    </row>
    <row r="868" spans="1:15" s="360" customFormat="1" ht="15" hidden="1">
      <c r="A868" s="356" t="s">
        <v>2713</v>
      </c>
      <c r="B868" s="632" t="s">
        <v>831</v>
      </c>
      <c r="C868" s="611">
        <f t="shared" si="85"/>
        <v>0</v>
      </c>
      <c r="D868" s="354"/>
      <c r="E868" s="15">
        <f t="shared" si="84"/>
        <v>241</v>
      </c>
      <c r="F868" s="792">
        <f t="shared" si="83"/>
        <v>0</v>
      </c>
      <c r="G868" s="358">
        <f>'PART-A'!I3991</f>
        <v>0</v>
      </c>
      <c r="H868" s="354" t="s">
        <v>115</v>
      </c>
      <c r="I868" s="355">
        <f>'PART-A'!K3991</f>
        <v>241</v>
      </c>
      <c r="J868" s="353">
        <f t="shared" si="86"/>
        <v>0</v>
      </c>
      <c r="K868" s="1680"/>
      <c r="L868" s="1680"/>
      <c r="M868" s="633" t="s">
        <v>2299</v>
      </c>
      <c r="N868" s="223"/>
      <c r="O868" s="631">
        <f t="shared" si="87"/>
        <v>0</v>
      </c>
    </row>
    <row r="869" spans="1:15" s="360" customFormat="1" ht="15" hidden="1">
      <c r="A869" s="356" t="s">
        <v>2046</v>
      </c>
      <c r="B869" s="632" t="s">
        <v>831</v>
      </c>
      <c r="C869" s="611">
        <f t="shared" si="85"/>
        <v>0</v>
      </c>
      <c r="D869" s="354"/>
      <c r="E869" s="15">
        <f t="shared" si="84"/>
        <v>263</v>
      </c>
      <c r="F869" s="792">
        <f t="shared" si="83"/>
        <v>0</v>
      </c>
      <c r="G869" s="358">
        <f>'PART-A'!I4211</f>
        <v>0</v>
      </c>
      <c r="H869" s="354" t="s">
        <v>115</v>
      </c>
      <c r="I869" s="355">
        <f>'PART-A'!K4211</f>
        <v>263</v>
      </c>
      <c r="J869" s="353">
        <f t="shared" si="86"/>
        <v>0</v>
      </c>
      <c r="K869" s="1680"/>
      <c r="L869" s="1680"/>
      <c r="M869" s="633" t="s">
        <v>2312</v>
      </c>
      <c r="N869" s="223"/>
      <c r="O869" s="631">
        <f t="shared" si="87"/>
        <v>0</v>
      </c>
    </row>
    <row r="870" spans="1:15" s="360" customFormat="1" ht="15" hidden="1">
      <c r="A870" s="356" t="s">
        <v>2046</v>
      </c>
      <c r="B870" s="632" t="s">
        <v>831</v>
      </c>
      <c r="C870" s="611">
        <f t="shared" si="85"/>
        <v>0</v>
      </c>
      <c r="D870" s="354"/>
      <c r="E870" s="15">
        <f t="shared" si="84"/>
        <v>278</v>
      </c>
      <c r="F870" s="792">
        <f t="shared" si="83"/>
        <v>0</v>
      </c>
      <c r="G870" s="358">
        <f>'PART-A'!I4447</f>
        <v>0</v>
      </c>
      <c r="H870" s="354" t="s">
        <v>115</v>
      </c>
      <c r="I870" s="355">
        <f>'PART-A'!K4447</f>
        <v>278</v>
      </c>
      <c r="J870" s="353">
        <f t="shared" si="86"/>
        <v>0</v>
      </c>
      <c r="K870" s="1681"/>
      <c r="L870" s="1681"/>
      <c r="M870" s="633" t="s">
        <v>2313</v>
      </c>
      <c r="N870" s="223"/>
      <c r="O870" s="631">
        <f t="shared" si="87"/>
        <v>0</v>
      </c>
    </row>
    <row r="871" spans="1:15" s="360" customFormat="1" ht="38.25" hidden="1">
      <c r="A871" s="356" t="s">
        <v>2689</v>
      </c>
      <c r="B871" s="632" t="s">
        <v>948</v>
      </c>
      <c r="C871" s="611">
        <f t="shared" si="85"/>
        <v>0</v>
      </c>
      <c r="D871" s="827" t="s">
        <v>115</v>
      </c>
      <c r="E871" s="15">
        <f t="shared" si="84"/>
        <v>133.625</v>
      </c>
      <c r="F871" s="792">
        <f t="shared" si="83"/>
        <v>0</v>
      </c>
      <c r="G871" s="358">
        <f>'PART-A'!I3774</f>
        <v>0</v>
      </c>
      <c r="H871" s="354" t="s">
        <v>115</v>
      </c>
      <c r="I871" s="355">
        <f>'PART-A'!K3774</f>
        <v>133.625</v>
      </c>
      <c r="J871" s="353">
        <f t="shared" si="86"/>
        <v>0</v>
      </c>
      <c r="K871" s="1679">
        <f>IF((J871+J872+J873+J874)&gt;(F871+F872+F873+F874),(J871+J872+J873+J874)-(F871+F872+F873+F874),0)</f>
        <v>0</v>
      </c>
      <c r="L871" s="1679">
        <f>IF((J871+J872+J873+J874)&lt;(F871+F872+F873+F874),(F871+F872+F873+F874)-(J871+J872+J873+J874),0)</f>
        <v>0</v>
      </c>
      <c r="M871" s="633" t="s">
        <v>2217</v>
      </c>
      <c r="N871" s="223"/>
      <c r="O871" s="631">
        <f t="shared" si="87"/>
        <v>0</v>
      </c>
    </row>
    <row r="872" spans="1:15" s="360" customFormat="1" ht="15" hidden="1">
      <c r="A872" s="356" t="s">
        <v>2053</v>
      </c>
      <c r="B872" s="632" t="s">
        <v>967</v>
      </c>
      <c r="C872" s="611">
        <f t="shared" si="85"/>
        <v>0</v>
      </c>
      <c r="D872" s="354"/>
      <c r="E872" s="15">
        <f t="shared" si="84"/>
        <v>141.375</v>
      </c>
      <c r="F872" s="792">
        <f t="shared" si="83"/>
        <v>0</v>
      </c>
      <c r="G872" s="358">
        <f>'PART-A'!I3996</f>
        <v>0</v>
      </c>
      <c r="H872" s="354" t="s">
        <v>115</v>
      </c>
      <c r="I872" s="355">
        <f>'PART-A'!K3996</f>
        <v>141.375</v>
      </c>
      <c r="J872" s="353">
        <f t="shared" si="86"/>
        <v>0</v>
      </c>
      <c r="K872" s="1680"/>
      <c r="L872" s="1680"/>
      <c r="M872" s="633" t="s">
        <v>2299</v>
      </c>
      <c r="N872" s="223"/>
      <c r="O872" s="631">
        <f t="shared" si="87"/>
        <v>0</v>
      </c>
    </row>
    <row r="873" spans="1:15" s="360" customFormat="1" ht="15" hidden="1">
      <c r="A873" s="356" t="s">
        <v>2047</v>
      </c>
      <c r="B873" s="632" t="s">
        <v>967</v>
      </c>
      <c r="C873" s="611">
        <f t="shared" si="85"/>
        <v>0</v>
      </c>
      <c r="D873" s="354"/>
      <c r="E873" s="15">
        <f t="shared" si="84"/>
        <v>158.43</v>
      </c>
      <c r="F873" s="792">
        <f t="shared" si="83"/>
        <v>0</v>
      </c>
      <c r="G873" s="358">
        <f>'PART-A'!I4216</f>
        <v>0</v>
      </c>
      <c r="H873" s="354" t="s">
        <v>115</v>
      </c>
      <c r="I873" s="355">
        <f>'PART-A'!K4216</f>
        <v>158.43</v>
      </c>
      <c r="J873" s="353">
        <f t="shared" si="86"/>
        <v>0</v>
      </c>
      <c r="K873" s="1680"/>
      <c r="L873" s="1680"/>
      <c r="M873" s="633" t="s">
        <v>2312</v>
      </c>
      <c r="N873" s="223"/>
      <c r="O873" s="631">
        <f t="shared" si="87"/>
        <v>0</v>
      </c>
    </row>
    <row r="874" spans="1:15" s="360" customFormat="1" ht="15" hidden="1">
      <c r="A874" s="356" t="s">
        <v>2047</v>
      </c>
      <c r="B874" s="632" t="s">
        <v>967</v>
      </c>
      <c r="C874" s="611">
        <f t="shared" si="85"/>
        <v>0</v>
      </c>
      <c r="D874" s="354"/>
      <c r="E874" s="15">
        <f t="shared" si="84"/>
        <v>163.065</v>
      </c>
      <c r="F874" s="792">
        <f t="shared" si="83"/>
        <v>0</v>
      </c>
      <c r="G874" s="358">
        <f>'PART-A'!I4459</f>
        <v>0</v>
      </c>
      <c r="H874" s="354" t="s">
        <v>115</v>
      </c>
      <c r="I874" s="355">
        <f>'PART-A'!K4459</f>
        <v>163.065</v>
      </c>
      <c r="J874" s="353">
        <f t="shared" si="86"/>
        <v>0</v>
      </c>
      <c r="K874" s="1681"/>
      <c r="L874" s="1681"/>
      <c r="M874" s="633" t="s">
        <v>2313</v>
      </c>
      <c r="N874" s="223"/>
      <c r="O874" s="631">
        <f t="shared" si="87"/>
        <v>0</v>
      </c>
    </row>
    <row r="875" spans="1:15" s="360" customFormat="1" ht="38.25" hidden="1">
      <c r="A875" s="356" t="s">
        <v>2690</v>
      </c>
      <c r="B875" s="632" t="s">
        <v>950</v>
      </c>
      <c r="C875" s="611">
        <f t="shared" si="85"/>
        <v>0</v>
      </c>
      <c r="D875" s="827" t="s">
        <v>115</v>
      </c>
      <c r="E875" s="15">
        <f t="shared" si="84"/>
        <v>126.80000000000001</v>
      </c>
      <c r="F875" s="792">
        <f t="shared" si="83"/>
        <v>0</v>
      </c>
      <c r="G875" s="358">
        <f>'PART-A'!I3781</f>
        <v>0</v>
      </c>
      <c r="H875" s="354" t="s">
        <v>115</v>
      </c>
      <c r="I875" s="355">
        <f>'PART-A'!K3781</f>
        <v>126.80000000000001</v>
      </c>
      <c r="J875" s="353">
        <f t="shared" si="86"/>
        <v>0</v>
      </c>
      <c r="K875" s="1679">
        <f>IF((J875+J876+J877+J878)&gt;(F875+F876+F877+F878),(J875+J876+J877+J878)-(F875+F876+F877+F878),0)</f>
        <v>0</v>
      </c>
      <c r="L875" s="1679">
        <f>IF((J875+J876+J877+J878)&lt;(F875+F876+F877+F878),(F875+F876+F877+F878)-(J875+J876+J877+J878),0)</f>
        <v>0</v>
      </c>
      <c r="M875" s="633" t="s">
        <v>2217</v>
      </c>
      <c r="N875" s="223"/>
      <c r="O875" s="631">
        <f t="shared" si="87"/>
        <v>0</v>
      </c>
    </row>
    <row r="876" spans="1:15" s="360" customFormat="1" ht="15" hidden="1">
      <c r="A876" s="356" t="s">
        <v>642</v>
      </c>
      <c r="B876" s="632" t="s">
        <v>832</v>
      </c>
      <c r="C876" s="611">
        <f t="shared" si="85"/>
        <v>0</v>
      </c>
      <c r="D876" s="354"/>
      <c r="E876" s="15">
        <f t="shared" si="84"/>
        <v>129.5</v>
      </c>
      <c r="F876" s="792">
        <f t="shared" si="83"/>
        <v>0</v>
      </c>
      <c r="G876" s="358">
        <f>'PART-A'!I4003</f>
        <v>0</v>
      </c>
      <c r="H876" s="354" t="s">
        <v>115</v>
      </c>
      <c r="I876" s="355">
        <f>'PART-A'!K4003</f>
        <v>129.5</v>
      </c>
      <c r="J876" s="353">
        <f t="shared" si="86"/>
        <v>0</v>
      </c>
      <c r="K876" s="1680"/>
      <c r="L876" s="1680"/>
      <c r="M876" s="633" t="s">
        <v>2299</v>
      </c>
      <c r="N876" s="223"/>
      <c r="O876" s="631">
        <f t="shared" si="87"/>
        <v>0</v>
      </c>
    </row>
    <row r="877" spans="1:15" s="360" customFormat="1" ht="15" hidden="1">
      <c r="A877" s="356" t="s">
        <v>642</v>
      </c>
      <c r="B877" s="632" t="s">
        <v>832</v>
      </c>
      <c r="C877" s="611">
        <f t="shared" si="85"/>
        <v>0</v>
      </c>
      <c r="D877" s="354"/>
      <c r="E877" s="15">
        <f t="shared" si="84"/>
        <v>147</v>
      </c>
      <c r="F877" s="792">
        <f t="shared" si="83"/>
        <v>0</v>
      </c>
      <c r="G877" s="358">
        <f>'PART-A'!I4223</f>
        <v>0</v>
      </c>
      <c r="H877" s="354" t="s">
        <v>115</v>
      </c>
      <c r="I877" s="355">
        <f>'PART-A'!K4223</f>
        <v>147</v>
      </c>
      <c r="J877" s="353">
        <f t="shared" si="86"/>
        <v>0</v>
      </c>
      <c r="K877" s="1680"/>
      <c r="L877" s="1680"/>
      <c r="M877" s="633" t="s">
        <v>2312</v>
      </c>
      <c r="N877" s="223"/>
      <c r="O877" s="631">
        <f t="shared" si="87"/>
        <v>0</v>
      </c>
    </row>
    <row r="878" spans="1:15" s="360" customFormat="1" ht="15" hidden="1">
      <c r="A878" s="356" t="s">
        <v>642</v>
      </c>
      <c r="B878" s="632" t="s">
        <v>832</v>
      </c>
      <c r="C878" s="611">
        <f t="shared" si="85"/>
        <v>0</v>
      </c>
      <c r="D878" s="354"/>
      <c r="E878" s="15">
        <f t="shared" si="84"/>
        <v>161.5</v>
      </c>
      <c r="F878" s="792">
        <f t="shared" si="83"/>
        <v>0</v>
      </c>
      <c r="G878" s="358">
        <f>'PART-A'!I4466</f>
        <v>0</v>
      </c>
      <c r="H878" s="354" t="s">
        <v>115</v>
      </c>
      <c r="I878" s="355">
        <f>'PART-A'!K4466</f>
        <v>161.5</v>
      </c>
      <c r="J878" s="353">
        <f t="shared" si="86"/>
        <v>0</v>
      </c>
      <c r="K878" s="1681"/>
      <c r="L878" s="1681"/>
      <c r="M878" s="633" t="s">
        <v>2313</v>
      </c>
      <c r="N878" s="223"/>
      <c r="O878" s="631">
        <f t="shared" si="87"/>
        <v>0</v>
      </c>
    </row>
    <row r="879" spans="1:15" s="360" customFormat="1" ht="15" hidden="1">
      <c r="A879" s="356" t="s">
        <v>2048</v>
      </c>
      <c r="B879" s="632" t="s">
        <v>1573</v>
      </c>
      <c r="C879" s="611">
        <f t="shared" si="85"/>
        <v>0</v>
      </c>
      <c r="D879" s="354"/>
      <c r="E879" s="15">
        <f t="shared" si="84"/>
        <v>252.38800000000001</v>
      </c>
      <c r="F879" s="792">
        <f t="shared" si="83"/>
        <v>0</v>
      </c>
      <c r="G879" s="358">
        <f>'PART-A'!I3759</f>
        <v>0</v>
      </c>
      <c r="H879" s="354" t="s">
        <v>115</v>
      </c>
      <c r="I879" s="355">
        <f>'PART-A'!K3759</f>
        <v>252.38800000000001</v>
      </c>
      <c r="J879" s="353">
        <f t="shared" si="86"/>
        <v>0</v>
      </c>
      <c r="K879" s="1679">
        <f>IF((J879+J880+J881+J882)&gt;(F879+F880+F881+F882),(J879+J880+J881+J882)-(F879+F880+F881+F882),0)</f>
        <v>0</v>
      </c>
      <c r="L879" s="1679">
        <f>IF((J879+J880+J881+J882)&lt;(F879+F880+F881+F882),(F879+F880+F881+F882)-(J879+J880+J881+J882),0)</f>
        <v>0</v>
      </c>
      <c r="M879" s="633" t="s">
        <v>2217</v>
      </c>
      <c r="N879" s="223"/>
      <c r="O879" s="631">
        <f t="shared" si="87"/>
        <v>0</v>
      </c>
    </row>
    <row r="880" spans="1:15" s="360" customFormat="1" ht="15" hidden="1">
      <c r="A880" s="356" t="s">
        <v>2714</v>
      </c>
      <c r="B880" s="632" t="s">
        <v>1573</v>
      </c>
      <c r="C880" s="611">
        <f t="shared" si="85"/>
        <v>0</v>
      </c>
      <c r="D880" s="354"/>
      <c r="E880" s="15">
        <f t="shared" si="84"/>
        <v>195.17000000000002</v>
      </c>
      <c r="F880" s="792">
        <f t="shared" ref="F880:F952" si="90">ROUND(C880*E880,0)</f>
        <v>0</v>
      </c>
      <c r="G880" s="358">
        <f>'PART-A'!I3981</f>
        <v>0</v>
      </c>
      <c r="H880" s="354" t="s">
        <v>115</v>
      </c>
      <c r="I880" s="355">
        <f>'PART-A'!K3981</f>
        <v>195.17000000000002</v>
      </c>
      <c r="J880" s="353">
        <f t="shared" si="86"/>
        <v>0</v>
      </c>
      <c r="K880" s="1680"/>
      <c r="L880" s="1680"/>
      <c r="M880" s="633" t="s">
        <v>2299</v>
      </c>
      <c r="N880" s="223"/>
      <c r="O880" s="631">
        <f t="shared" si="87"/>
        <v>0</v>
      </c>
    </row>
    <row r="881" spans="1:15" s="360" customFormat="1" ht="15" hidden="1">
      <c r="A881" s="356" t="s">
        <v>2048</v>
      </c>
      <c r="B881" s="632" t="s">
        <v>1573</v>
      </c>
      <c r="C881" s="611">
        <f t="shared" si="85"/>
        <v>0</v>
      </c>
      <c r="D881" s="354"/>
      <c r="E881" s="15">
        <f t="shared" ref="E881:E915" si="91">I881</f>
        <v>208.13000000000002</v>
      </c>
      <c r="F881" s="792">
        <f t="shared" si="90"/>
        <v>0</v>
      </c>
      <c r="G881" s="358">
        <f>'PART-A'!I4201</f>
        <v>0</v>
      </c>
      <c r="H881" s="354" t="s">
        <v>115</v>
      </c>
      <c r="I881" s="355">
        <f>'PART-A'!K4201</f>
        <v>208.13000000000002</v>
      </c>
      <c r="J881" s="353">
        <f t="shared" si="86"/>
        <v>0</v>
      </c>
      <c r="K881" s="1680"/>
      <c r="L881" s="1680"/>
      <c r="M881" s="633" t="s">
        <v>2312</v>
      </c>
      <c r="N881" s="223"/>
      <c r="O881" s="631">
        <f t="shared" si="87"/>
        <v>0</v>
      </c>
    </row>
    <row r="882" spans="1:15" s="360" customFormat="1" ht="15" hidden="1">
      <c r="A882" s="356" t="s">
        <v>2048</v>
      </c>
      <c r="B882" s="632" t="s">
        <v>1573</v>
      </c>
      <c r="C882" s="611">
        <f t="shared" si="85"/>
        <v>0</v>
      </c>
      <c r="D882" s="354"/>
      <c r="E882" s="15">
        <f t="shared" si="91"/>
        <v>230.73000000000002</v>
      </c>
      <c r="F882" s="792">
        <f t="shared" si="90"/>
        <v>0</v>
      </c>
      <c r="G882" s="358">
        <f>'PART-A'!I4423</f>
        <v>0</v>
      </c>
      <c r="H882" s="354" t="s">
        <v>115</v>
      </c>
      <c r="I882" s="355">
        <f>'PART-A'!K4423</f>
        <v>230.73000000000002</v>
      </c>
      <c r="J882" s="353">
        <f t="shared" si="86"/>
        <v>0</v>
      </c>
      <c r="K882" s="1681"/>
      <c r="L882" s="1681"/>
      <c r="M882" s="633" t="s">
        <v>2313</v>
      </c>
      <c r="N882" s="223"/>
      <c r="O882" s="631">
        <f t="shared" si="87"/>
        <v>0</v>
      </c>
    </row>
    <row r="883" spans="1:15" s="360" customFormat="1" ht="51" hidden="1">
      <c r="A883" s="356" t="s">
        <v>2691</v>
      </c>
      <c r="B883" s="632" t="s">
        <v>442</v>
      </c>
      <c r="C883" s="611">
        <f t="shared" si="85"/>
        <v>0</v>
      </c>
      <c r="D883" s="827" t="s">
        <v>115</v>
      </c>
      <c r="E883" s="15">
        <f t="shared" si="91"/>
        <v>404.1</v>
      </c>
      <c r="F883" s="792">
        <f t="shared" si="90"/>
        <v>0</v>
      </c>
      <c r="G883" s="358">
        <f>'PART-A'!I3786</f>
        <v>0</v>
      </c>
      <c r="H883" s="354" t="s">
        <v>115</v>
      </c>
      <c r="I883" s="355">
        <f>'PART-A'!K3786</f>
        <v>404.1</v>
      </c>
      <c r="J883" s="353">
        <f t="shared" si="86"/>
        <v>0</v>
      </c>
      <c r="K883" s="1679">
        <f>IF((J883+J884+J885+J886)&gt;(F883+F884+F885+F886),(J883+J884+J885+J886)-(F883+F884+F885+F886),0)</f>
        <v>0</v>
      </c>
      <c r="L883" s="1679">
        <f>IF((J883+J884+J885+J886)&lt;(F883+F884+F885+F886),(F883+F884+F885+F886)-(J883+J884+J885+J886),0)</f>
        <v>0</v>
      </c>
      <c r="M883" s="633" t="s">
        <v>2217</v>
      </c>
      <c r="N883" s="223"/>
      <c r="O883" s="631">
        <f t="shared" si="87"/>
        <v>0</v>
      </c>
    </row>
    <row r="884" spans="1:15" s="360" customFormat="1" ht="15" hidden="1">
      <c r="A884" s="356" t="s">
        <v>2715</v>
      </c>
      <c r="B884" s="632" t="s">
        <v>564</v>
      </c>
      <c r="C884" s="611">
        <f t="shared" si="85"/>
        <v>0</v>
      </c>
      <c r="D884" s="354"/>
      <c r="E884" s="15">
        <f t="shared" si="91"/>
        <v>410.5</v>
      </c>
      <c r="F884" s="792">
        <f t="shared" si="90"/>
        <v>0</v>
      </c>
      <c r="G884" s="358">
        <f>'PART-A'!I4008</f>
        <v>0</v>
      </c>
      <c r="H884" s="354" t="s">
        <v>115</v>
      </c>
      <c r="I884" s="355">
        <f>'PART-A'!K4008</f>
        <v>410.5</v>
      </c>
      <c r="J884" s="353">
        <f t="shared" si="86"/>
        <v>0</v>
      </c>
      <c r="K884" s="1680"/>
      <c r="L884" s="1680"/>
      <c r="M884" s="633" t="s">
        <v>2299</v>
      </c>
      <c r="N884" s="223"/>
      <c r="O884" s="631">
        <f t="shared" si="87"/>
        <v>0</v>
      </c>
    </row>
    <row r="885" spans="1:15" s="360" customFormat="1" ht="15" hidden="1">
      <c r="A885" s="356" t="s">
        <v>2049</v>
      </c>
      <c r="B885" s="632" t="s">
        <v>564</v>
      </c>
      <c r="C885" s="611">
        <f t="shared" si="85"/>
        <v>0</v>
      </c>
      <c r="D885" s="354"/>
      <c r="E885" s="15">
        <f t="shared" si="91"/>
        <v>395.93</v>
      </c>
      <c r="F885" s="792">
        <f t="shared" si="90"/>
        <v>0</v>
      </c>
      <c r="G885" s="358">
        <f>'PART-A'!I4228</f>
        <v>0</v>
      </c>
      <c r="H885" s="354" t="s">
        <v>115</v>
      </c>
      <c r="I885" s="355">
        <f>'PART-A'!K4228</f>
        <v>395.93</v>
      </c>
      <c r="J885" s="353">
        <f t="shared" si="86"/>
        <v>0</v>
      </c>
      <c r="K885" s="1680"/>
      <c r="L885" s="1680"/>
      <c r="M885" s="633" t="s">
        <v>2312</v>
      </c>
      <c r="N885" s="223"/>
      <c r="O885" s="631">
        <f t="shared" si="87"/>
        <v>0</v>
      </c>
    </row>
    <row r="886" spans="1:15" s="360" customFormat="1" ht="51" hidden="1">
      <c r="A886" s="356" t="s">
        <v>497</v>
      </c>
      <c r="B886" s="632" t="s">
        <v>442</v>
      </c>
      <c r="C886" s="611">
        <f t="shared" si="85"/>
        <v>0</v>
      </c>
      <c r="D886" s="354" t="s">
        <v>115</v>
      </c>
      <c r="E886" s="10">
        <f t="shared" si="91"/>
        <v>406.44</v>
      </c>
      <c r="F886" s="792">
        <f t="shared" si="90"/>
        <v>0</v>
      </c>
      <c r="G886" s="358">
        <f>'PART-A'!I4471</f>
        <v>0</v>
      </c>
      <c r="H886" s="354" t="s">
        <v>115</v>
      </c>
      <c r="I886" s="355">
        <f>'PART-A'!K4471</f>
        <v>406.44</v>
      </c>
      <c r="J886" s="353">
        <f t="shared" si="86"/>
        <v>0</v>
      </c>
      <c r="K886" s="1695"/>
      <c r="L886" s="1695"/>
      <c r="M886" s="851" t="s">
        <v>2313</v>
      </c>
      <c r="N886" s="223"/>
      <c r="O886" s="850">
        <f t="shared" si="87"/>
        <v>0</v>
      </c>
    </row>
    <row r="887" spans="1:15" s="360" customFormat="1" ht="15" hidden="1">
      <c r="A887" s="356" t="s">
        <v>2053</v>
      </c>
      <c r="B887" s="632" t="s">
        <v>2266</v>
      </c>
      <c r="C887" s="611">
        <f t="shared" si="85"/>
        <v>0</v>
      </c>
      <c r="D887" s="354"/>
      <c r="E887" s="15">
        <f t="shared" si="91"/>
        <v>1980</v>
      </c>
      <c r="F887" s="792">
        <f t="shared" si="90"/>
        <v>0</v>
      </c>
      <c r="G887" s="358">
        <f>'PART-A'!I3791</f>
        <v>0</v>
      </c>
      <c r="H887" s="354" t="s">
        <v>115</v>
      </c>
      <c r="I887" s="355">
        <f>'PART-A'!K3791</f>
        <v>1980</v>
      </c>
      <c r="J887" s="353">
        <f t="shared" si="86"/>
        <v>0</v>
      </c>
      <c r="K887" s="1679">
        <f>IF((J887+J888+J889+J890)&gt;(F887+F888+F889+F890),(J887+J888+J889+J890)-(F887+F888+F889+F890),0)</f>
        <v>0</v>
      </c>
      <c r="L887" s="1679">
        <f>IF((J887+J888+J889+J890)&lt;(F887+F888+F889+F890),(F887+F888+F889+F890)-(J887+J888+J889+J890),0)</f>
        <v>0</v>
      </c>
      <c r="M887" s="633" t="s">
        <v>2217</v>
      </c>
      <c r="N887" s="223"/>
      <c r="O887" s="631">
        <f t="shared" si="87"/>
        <v>0</v>
      </c>
    </row>
    <row r="888" spans="1:15" s="360" customFormat="1" ht="15" hidden="1">
      <c r="A888" s="356" t="s">
        <v>2053</v>
      </c>
      <c r="B888" s="632" t="s">
        <v>2266</v>
      </c>
      <c r="C888" s="611">
        <f t="shared" si="85"/>
        <v>0</v>
      </c>
      <c r="D888" s="354"/>
      <c r="E888" s="15">
        <f t="shared" si="91"/>
        <v>1980</v>
      </c>
      <c r="F888" s="792">
        <f t="shared" si="90"/>
        <v>0</v>
      </c>
      <c r="G888" s="358">
        <f>'PART-A'!I4013</f>
        <v>0</v>
      </c>
      <c r="H888" s="354" t="s">
        <v>115</v>
      </c>
      <c r="I888" s="355">
        <f>'PART-A'!K4013</f>
        <v>1980</v>
      </c>
      <c r="J888" s="353">
        <f t="shared" si="86"/>
        <v>0</v>
      </c>
      <c r="K888" s="1680"/>
      <c r="L888" s="1680"/>
      <c r="M888" s="633" t="s">
        <v>2299</v>
      </c>
      <c r="N888" s="223"/>
      <c r="O888" s="631">
        <f t="shared" si="87"/>
        <v>0</v>
      </c>
    </row>
    <row r="889" spans="1:15" s="360" customFormat="1" ht="15" hidden="1">
      <c r="A889" s="356" t="s">
        <v>2053</v>
      </c>
      <c r="B889" s="632" t="s">
        <v>2266</v>
      </c>
      <c r="C889" s="611">
        <f t="shared" si="85"/>
        <v>0</v>
      </c>
      <c r="D889" s="354"/>
      <c r="E889" s="15">
        <f t="shared" si="91"/>
        <v>1822</v>
      </c>
      <c r="F889" s="792">
        <f t="shared" si="90"/>
        <v>0</v>
      </c>
      <c r="G889" s="358">
        <f>'PART-A'!I4233</f>
        <v>0</v>
      </c>
      <c r="H889" s="354" t="s">
        <v>115</v>
      </c>
      <c r="I889" s="355">
        <f>'PART-A'!K4233</f>
        <v>1822</v>
      </c>
      <c r="J889" s="353">
        <f t="shared" si="86"/>
        <v>0</v>
      </c>
      <c r="K889" s="1680"/>
      <c r="L889" s="1680"/>
      <c r="M889" s="633" t="s">
        <v>2312</v>
      </c>
      <c r="N889" s="223"/>
      <c r="O889" s="631">
        <f t="shared" si="87"/>
        <v>0</v>
      </c>
    </row>
    <row r="890" spans="1:15" s="360" customFormat="1" ht="15" hidden="1">
      <c r="A890" s="356" t="s">
        <v>2053</v>
      </c>
      <c r="B890" s="632" t="s">
        <v>2266</v>
      </c>
      <c r="C890" s="611">
        <f t="shared" si="85"/>
        <v>0</v>
      </c>
      <c r="D890" s="354"/>
      <c r="E890" s="15">
        <f t="shared" si="91"/>
        <v>1822</v>
      </c>
      <c r="F890" s="792">
        <f t="shared" si="90"/>
        <v>0</v>
      </c>
      <c r="G890" s="358">
        <f>'PART-A'!I4476</f>
        <v>0</v>
      </c>
      <c r="H890" s="354" t="s">
        <v>115</v>
      </c>
      <c r="I890" s="355">
        <f>'PART-A'!K4476</f>
        <v>1822</v>
      </c>
      <c r="J890" s="353">
        <f t="shared" si="86"/>
        <v>0</v>
      </c>
      <c r="K890" s="1681"/>
      <c r="L890" s="1681"/>
      <c r="M890" s="633" t="s">
        <v>2313</v>
      </c>
      <c r="N890" s="223"/>
      <c r="O890" s="631">
        <f t="shared" si="87"/>
        <v>0</v>
      </c>
    </row>
    <row r="891" spans="1:15" s="360" customFormat="1" ht="15" hidden="1">
      <c r="A891" s="356" t="s">
        <v>2053</v>
      </c>
      <c r="B891" s="632" t="s">
        <v>2267</v>
      </c>
      <c r="C891" s="611">
        <f t="shared" si="85"/>
        <v>0</v>
      </c>
      <c r="D891" s="354"/>
      <c r="E891" s="15">
        <f t="shared" si="91"/>
        <v>5900</v>
      </c>
      <c r="F891" s="792">
        <f t="shared" si="90"/>
        <v>0</v>
      </c>
      <c r="G891" s="358">
        <f>'PART-A'!I3796</f>
        <v>0</v>
      </c>
      <c r="H891" s="354" t="s">
        <v>115</v>
      </c>
      <c r="I891" s="355">
        <f>'PART-A'!K3796</f>
        <v>5900</v>
      </c>
      <c r="J891" s="353">
        <f t="shared" si="86"/>
        <v>0</v>
      </c>
      <c r="K891" s="1679">
        <f>IF((J891+J892+J893+J894)&gt;(F891+F892+F893+F894),(J891+J892+J893+J894)-(F891+F892+F893+F894),0)</f>
        <v>0</v>
      </c>
      <c r="L891" s="1679">
        <f>IF((J891+J892+J893+J894)&lt;(F891+F892+F893+F894),(F891+F892+F893+F894)-(J891+J892+J893+J894),0)</f>
        <v>0</v>
      </c>
      <c r="M891" s="633" t="s">
        <v>2217</v>
      </c>
      <c r="N891" s="223"/>
      <c r="O891" s="631">
        <f t="shared" si="87"/>
        <v>0</v>
      </c>
    </row>
    <row r="892" spans="1:15" s="360" customFormat="1" ht="15" hidden="1">
      <c r="A892" s="356" t="s">
        <v>2053</v>
      </c>
      <c r="B892" s="632" t="s">
        <v>2267</v>
      </c>
      <c r="C892" s="611">
        <f t="shared" si="85"/>
        <v>0</v>
      </c>
      <c r="D892" s="354"/>
      <c r="E892" s="15">
        <f t="shared" si="91"/>
        <v>5900</v>
      </c>
      <c r="F892" s="792">
        <f t="shared" si="90"/>
        <v>0</v>
      </c>
      <c r="G892" s="358">
        <f>'PART-A'!I4018</f>
        <v>0</v>
      </c>
      <c r="H892" s="354" t="s">
        <v>115</v>
      </c>
      <c r="I892" s="355">
        <f>'PART-A'!K4018</f>
        <v>5900</v>
      </c>
      <c r="J892" s="353">
        <f t="shared" si="86"/>
        <v>0</v>
      </c>
      <c r="K892" s="1680"/>
      <c r="L892" s="1680"/>
      <c r="M892" s="633" t="s">
        <v>2299</v>
      </c>
      <c r="N892" s="223"/>
      <c r="O892" s="631">
        <f t="shared" si="87"/>
        <v>0</v>
      </c>
    </row>
    <row r="893" spans="1:15" s="360" customFormat="1" ht="15" hidden="1">
      <c r="A893" s="356" t="s">
        <v>2053</v>
      </c>
      <c r="B893" s="632" t="s">
        <v>2267</v>
      </c>
      <c r="C893" s="611">
        <f t="shared" si="85"/>
        <v>0</v>
      </c>
      <c r="D893" s="354"/>
      <c r="E893" s="15">
        <f t="shared" si="91"/>
        <v>5428</v>
      </c>
      <c r="F893" s="792">
        <f t="shared" si="90"/>
        <v>0</v>
      </c>
      <c r="G893" s="358">
        <f>'PART-A'!I4238</f>
        <v>0</v>
      </c>
      <c r="H893" s="354" t="s">
        <v>115</v>
      </c>
      <c r="I893" s="355">
        <f>'PART-A'!K4238</f>
        <v>5428</v>
      </c>
      <c r="J893" s="353">
        <f t="shared" si="86"/>
        <v>0</v>
      </c>
      <c r="K893" s="1680"/>
      <c r="L893" s="1680"/>
      <c r="M893" s="633" t="s">
        <v>2312</v>
      </c>
      <c r="N893" s="223"/>
      <c r="O893" s="631">
        <f t="shared" si="87"/>
        <v>0</v>
      </c>
    </row>
    <row r="894" spans="1:15" s="360" customFormat="1" ht="15" hidden="1">
      <c r="A894" s="356" t="s">
        <v>2053</v>
      </c>
      <c r="B894" s="632" t="s">
        <v>2267</v>
      </c>
      <c r="C894" s="611">
        <f t="shared" si="85"/>
        <v>0</v>
      </c>
      <c r="D894" s="354"/>
      <c r="E894" s="15">
        <f t="shared" si="91"/>
        <v>5428</v>
      </c>
      <c r="F894" s="792">
        <f t="shared" si="90"/>
        <v>0</v>
      </c>
      <c r="G894" s="358">
        <f>'PART-A'!I4481</f>
        <v>0</v>
      </c>
      <c r="H894" s="354" t="s">
        <v>115</v>
      </c>
      <c r="I894" s="355">
        <f>'PART-A'!K4481</f>
        <v>5428</v>
      </c>
      <c r="J894" s="353">
        <f t="shared" si="86"/>
        <v>0</v>
      </c>
      <c r="K894" s="1681"/>
      <c r="L894" s="1681"/>
      <c r="M894" s="633" t="s">
        <v>2313</v>
      </c>
      <c r="N894" s="223"/>
      <c r="O894" s="631">
        <f t="shared" si="87"/>
        <v>0</v>
      </c>
    </row>
    <row r="895" spans="1:15" s="360" customFormat="1" ht="15" hidden="1">
      <c r="A895" s="356" t="s">
        <v>647</v>
      </c>
      <c r="B895" s="632" t="s">
        <v>715</v>
      </c>
      <c r="C895" s="611">
        <f t="shared" si="85"/>
        <v>0</v>
      </c>
      <c r="D895" s="354"/>
      <c r="E895" s="15">
        <f t="shared" si="91"/>
        <v>2936</v>
      </c>
      <c r="F895" s="792">
        <f t="shared" si="90"/>
        <v>0</v>
      </c>
      <c r="G895" s="358">
        <f>'PART-A'!I3807</f>
        <v>0</v>
      </c>
      <c r="H895" s="354" t="s">
        <v>115</v>
      </c>
      <c r="I895" s="355">
        <f>'PART-A'!K3807</f>
        <v>2936</v>
      </c>
      <c r="J895" s="353">
        <f t="shared" si="86"/>
        <v>0</v>
      </c>
      <c r="K895" s="1679">
        <f>IF((J895+J896+J897+J898)&gt;(F895+F896+F897+F898),(J895+J896+J897+J898)-(F895+F896+F897+F898),0)</f>
        <v>0</v>
      </c>
      <c r="L895" s="1679">
        <f>IF((J895+J896+J897+J898)&lt;(F895+F896+F897+F898),(F895+F896+F897+F898)-(J895+J896+J897+J898),0)</f>
        <v>0</v>
      </c>
      <c r="M895" s="633" t="s">
        <v>2217</v>
      </c>
      <c r="N895" s="223"/>
      <c r="O895" s="631">
        <f t="shared" si="87"/>
        <v>0</v>
      </c>
    </row>
    <row r="896" spans="1:15" s="360" customFormat="1" ht="15" hidden="1">
      <c r="A896" s="356" t="s">
        <v>2716</v>
      </c>
      <c r="B896" s="632" t="s">
        <v>715</v>
      </c>
      <c r="C896" s="611">
        <f t="shared" si="85"/>
        <v>0</v>
      </c>
      <c r="D896" s="354"/>
      <c r="E896" s="15">
        <f t="shared" si="91"/>
        <v>2995</v>
      </c>
      <c r="F896" s="792">
        <f t="shared" si="90"/>
        <v>0</v>
      </c>
      <c r="G896" s="358">
        <f>'PART-A'!I4028</f>
        <v>0</v>
      </c>
      <c r="H896" s="354" t="s">
        <v>115</v>
      </c>
      <c r="I896" s="355">
        <f>'PART-A'!K4028</f>
        <v>2995</v>
      </c>
      <c r="J896" s="353">
        <f t="shared" si="86"/>
        <v>0</v>
      </c>
      <c r="K896" s="1680"/>
      <c r="L896" s="1680"/>
      <c r="M896" s="633" t="s">
        <v>2299</v>
      </c>
      <c r="N896" s="223"/>
      <c r="O896" s="631">
        <f t="shared" si="87"/>
        <v>0</v>
      </c>
    </row>
    <row r="897" spans="1:15" s="360" customFormat="1" ht="15" hidden="1">
      <c r="A897" s="356" t="s">
        <v>2050</v>
      </c>
      <c r="B897" s="632" t="s">
        <v>715</v>
      </c>
      <c r="C897" s="611">
        <f t="shared" si="85"/>
        <v>0</v>
      </c>
      <c r="D897" s="354"/>
      <c r="E897" s="15">
        <f t="shared" si="91"/>
        <v>3255</v>
      </c>
      <c r="F897" s="792">
        <f t="shared" si="90"/>
        <v>0</v>
      </c>
      <c r="G897" s="358">
        <f>'PART-A'!I4249</f>
        <v>0</v>
      </c>
      <c r="H897" s="354" t="s">
        <v>115</v>
      </c>
      <c r="I897" s="355">
        <f>'PART-A'!K4249</f>
        <v>3255</v>
      </c>
      <c r="J897" s="353">
        <f t="shared" si="86"/>
        <v>0</v>
      </c>
      <c r="K897" s="1680"/>
      <c r="L897" s="1680"/>
      <c r="M897" s="633" t="s">
        <v>2312</v>
      </c>
      <c r="N897" s="223"/>
      <c r="O897" s="631">
        <f t="shared" si="87"/>
        <v>0</v>
      </c>
    </row>
    <row r="898" spans="1:15" s="360" customFormat="1" ht="38.25" hidden="1">
      <c r="A898" s="356" t="s">
        <v>498</v>
      </c>
      <c r="B898" s="632" t="s">
        <v>3244</v>
      </c>
      <c r="C898" s="611">
        <f t="shared" si="85"/>
        <v>0</v>
      </c>
      <c r="D898" s="354" t="s">
        <v>115</v>
      </c>
      <c r="E898" s="10">
        <f t="shared" si="91"/>
        <v>3662</v>
      </c>
      <c r="F898" s="792">
        <f t="shared" si="90"/>
        <v>0</v>
      </c>
      <c r="G898" s="358">
        <f>'PART-A'!I4491</f>
        <v>0</v>
      </c>
      <c r="H898" s="354" t="s">
        <v>115</v>
      </c>
      <c r="I898" s="355">
        <f>'PART-A'!K4491</f>
        <v>3662</v>
      </c>
      <c r="J898" s="353">
        <f t="shared" si="86"/>
        <v>0</v>
      </c>
      <c r="K898" s="1695"/>
      <c r="L898" s="1695"/>
      <c r="M898" s="851" t="s">
        <v>2313</v>
      </c>
      <c r="N898" s="223"/>
      <c r="O898" s="850">
        <f t="shared" si="87"/>
        <v>0</v>
      </c>
    </row>
    <row r="899" spans="1:15" s="360" customFormat="1" ht="25.5" hidden="1">
      <c r="A899" s="356" t="s">
        <v>2692</v>
      </c>
      <c r="B899" s="632" t="s">
        <v>794</v>
      </c>
      <c r="C899" s="611">
        <f t="shared" si="85"/>
        <v>0</v>
      </c>
      <c r="D899" s="827" t="s">
        <v>115</v>
      </c>
      <c r="E899" s="15">
        <f t="shared" si="91"/>
        <v>1290</v>
      </c>
      <c r="F899" s="792">
        <f t="shared" si="90"/>
        <v>0</v>
      </c>
      <c r="G899" s="358">
        <f>'PART-A'!I3801</f>
        <v>0</v>
      </c>
      <c r="H899" s="354" t="s">
        <v>115</v>
      </c>
      <c r="I899" s="355">
        <f>'PART-A'!K3801</f>
        <v>1290</v>
      </c>
      <c r="J899" s="353">
        <f t="shared" si="86"/>
        <v>0</v>
      </c>
      <c r="K899" s="1679">
        <f>IF((J899+J900+J901+J902)&gt;(F899+F900+F901+F902),(J899+J900+J901+J902)-(F899+F900+F901+F902),0)</f>
        <v>0</v>
      </c>
      <c r="L899" s="1679">
        <f>IF((J899+J900+J901+J902)&lt;(F899+F900+F901+F902),(F899+F900+F901+F902)-(J899+J900+J901+J902),0)</f>
        <v>0</v>
      </c>
      <c r="M899" s="633" t="s">
        <v>2217</v>
      </c>
      <c r="N899" s="223"/>
      <c r="O899" s="631">
        <f t="shared" si="87"/>
        <v>0</v>
      </c>
    </row>
    <row r="900" spans="1:15" s="360" customFormat="1" ht="15" hidden="1">
      <c r="A900" s="356" t="s">
        <v>1574</v>
      </c>
      <c r="B900" s="632" t="s">
        <v>797</v>
      </c>
      <c r="C900" s="611">
        <f t="shared" si="85"/>
        <v>0</v>
      </c>
      <c r="D900" s="354"/>
      <c r="E900" s="15">
        <f t="shared" si="91"/>
        <v>1290</v>
      </c>
      <c r="F900" s="792">
        <f t="shared" si="90"/>
        <v>0</v>
      </c>
      <c r="G900" s="358">
        <f>'PART-A'!I4023</f>
        <v>0</v>
      </c>
      <c r="H900" s="354" t="s">
        <v>115</v>
      </c>
      <c r="I900" s="355">
        <f>'PART-A'!K4023</f>
        <v>1290</v>
      </c>
      <c r="J900" s="353">
        <f t="shared" si="86"/>
        <v>0</v>
      </c>
      <c r="K900" s="1680"/>
      <c r="L900" s="1680"/>
      <c r="M900" s="633" t="s">
        <v>2299</v>
      </c>
      <c r="N900" s="223"/>
      <c r="O900" s="631">
        <f t="shared" si="87"/>
        <v>0</v>
      </c>
    </row>
    <row r="901" spans="1:15" s="360" customFormat="1" ht="15" hidden="1">
      <c r="A901" s="356" t="s">
        <v>1574</v>
      </c>
      <c r="B901" s="632" t="s">
        <v>797</v>
      </c>
      <c r="C901" s="611">
        <f t="shared" si="85"/>
        <v>0</v>
      </c>
      <c r="D901" s="354"/>
      <c r="E901" s="15">
        <f t="shared" si="91"/>
        <v>1484</v>
      </c>
      <c r="F901" s="792">
        <f t="shared" si="90"/>
        <v>0</v>
      </c>
      <c r="G901" s="358">
        <f>'PART-A'!I4243</f>
        <v>0</v>
      </c>
      <c r="H901" s="354" t="s">
        <v>115</v>
      </c>
      <c r="I901" s="355">
        <f>'PART-A'!K4243</f>
        <v>1484</v>
      </c>
      <c r="J901" s="353">
        <f t="shared" si="86"/>
        <v>0</v>
      </c>
      <c r="K901" s="1680"/>
      <c r="L901" s="1680"/>
      <c r="M901" s="633" t="s">
        <v>2312</v>
      </c>
      <c r="N901" s="223"/>
      <c r="O901" s="631">
        <f t="shared" si="87"/>
        <v>0</v>
      </c>
    </row>
    <row r="902" spans="1:15" s="360" customFormat="1" ht="15" hidden="1">
      <c r="A902" s="356" t="s">
        <v>1574</v>
      </c>
      <c r="B902" s="632" t="s">
        <v>797</v>
      </c>
      <c r="C902" s="611">
        <f t="shared" si="85"/>
        <v>0</v>
      </c>
      <c r="D902" s="354"/>
      <c r="E902" s="15">
        <f t="shared" si="91"/>
        <v>1634</v>
      </c>
      <c r="F902" s="792">
        <f t="shared" si="90"/>
        <v>0</v>
      </c>
      <c r="G902" s="358">
        <f>'PART-A'!I4486</f>
        <v>0</v>
      </c>
      <c r="H902" s="354" t="s">
        <v>115</v>
      </c>
      <c r="I902" s="355">
        <f>'PART-A'!K4486</f>
        <v>1634</v>
      </c>
      <c r="J902" s="353">
        <f t="shared" si="86"/>
        <v>0</v>
      </c>
      <c r="K902" s="1681"/>
      <c r="L902" s="1681"/>
      <c r="M902" s="633" t="s">
        <v>2313</v>
      </c>
      <c r="N902" s="223"/>
      <c r="O902" s="631">
        <f t="shared" si="87"/>
        <v>0</v>
      </c>
    </row>
    <row r="903" spans="1:15" s="360" customFormat="1" ht="15" hidden="1" customHeight="1">
      <c r="A903" s="356" t="s">
        <v>2052</v>
      </c>
      <c r="B903" s="632" t="s">
        <v>2446</v>
      </c>
      <c r="C903" s="611">
        <f t="shared" si="85"/>
        <v>0</v>
      </c>
      <c r="D903" s="354"/>
      <c r="E903" s="15">
        <f t="shared" si="91"/>
        <v>886.80000000000007</v>
      </c>
      <c r="F903" s="792">
        <f t="shared" si="90"/>
        <v>0</v>
      </c>
      <c r="G903" s="358">
        <f>'PART-A'!I3812</f>
        <v>0</v>
      </c>
      <c r="H903" s="354" t="s">
        <v>115</v>
      </c>
      <c r="I903" s="355">
        <f>'PART-A'!K3812</f>
        <v>886.80000000000007</v>
      </c>
      <c r="J903" s="353">
        <f t="shared" si="86"/>
        <v>0</v>
      </c>
      <c r="K903" s="1679">
        <f>IF((J903+J904+J905+J906)&gt;(F903+F904+F905+F906),(J903+J904+J905+J906)-(F903+F904+F905+F906),0)</f>
        <v>0</v>
      </c>
      <c r="L903" s="1698">
        <f>IF((J903+J904+J905+J906)&lt;(F903+F904+F905+F906),(F903+F904+F905+F906)-(J903+J904+J905+J906),0)</f>
        <v>0</v>
      </c>
      <c r="M903" s="633" t="s">
        <v>2217</v>
      </c>
      <c r="N903" s="223"/>
      <c r="O903" s="631">
        <f t="shared" si="87"/>
        <v>0</v>
      </c>
    </row>
    <row r="904" spans="1:15" s="360" customFormat="1" ht="15" hidden="1" customHeight="1">
      <c r="A904" s="356" t="s">
        <v>2775</v>
      </c>
      <c r="B904" s="632" t="s">
        <v>2446</v>
      </c>
      <c r="C904" s="611">
        <f t="shared" si="85"/>
        <v>0</v>
      </c>
      <c r="D904" s="354"/>
      <c r="E904" s="15">
        <f t="shared" si="91"/>
        <v>905</v>
      </c>
      <c r="F904" s="792">
        <f t="shared" si="90"/>
        <v>0</v>
      </c>
      <c r="G904" s="358">
        <f>'PART-A'!I4033</f>
        <v>0</v>
      </c>
      <c r="H904" s="354" t="s">
        <v>115</v>
      </c>
      <c r="I904" s="355">
        <f>'PART-A'!K4033</f>
        <v>905</v>
      </c>
      <c r="J904" s="353">
        <f t="shared" si="86"/>
        <v>0</v>
      </c>
      <c r="K904" s="1680"/>
      <c r="L904" s="1699"/>
      <c r="M904" s="633" t="s">
        <v>2299</v>
      </c>
      <c r="N904" s="223"/>
      <c r="O904" s="631">
        <f t="shared" si="87"/>
        <v>0</v>
      </c>
    </row>
    <row r="905" spans="1:15" s="360" customFormat="1" ht="15" hidden="1" customHeight="1">
      <c r="A905" s="356" t="s">
        <v>2052</v>
      </c>
      <c r="B905" s="632" t="s">
        <v>2446</v>
      </c>
      <c r="C905" s="611">
        <f t="shared" si="85"/>
        <v>0</v>
      </c>
      <c r="D905" s="354"/>
      <c r="E905" s="15">
        <f t="shared" si="91"/>
        <v>1005.6</v>
      </c>
      <c r="F905" s="792">
        <f t="shared" si="90"/>
        <v>0</v>
      </c>
      <c r="G905" s="358">
        <f>'PART-A'!I4254</f>
        <v>0</v>
      </c>
      <c r="H905" s="354" t="s">
        <v>115</v>
      </c>
      <c r="I905" s="355">
        <f>'PART-A'!K4254</f>
        <v>1005.6</v>
      </c>
      <c r="J905" s="353">
        <f t="shared" si="86"/>
        <v>0</v>
      </c>
      <c r="K905" s="1680"/>
      <c r="L905" s="1699"/>
      <c r="M905" s="633" t="s">
        <v>2312</v>
      </c>
      <c r="N905" s="223"/>
      <c r="O905" s="631">
        <f t="shared" si="87"/>
        <v>0</v>
      </c>
    </row>
    <row r="906" spans="1:15" s="360" customFormat="1" ht="63.75" hidden="1">
      <c r="A906" s="356" t="s">
        <v>499</v>
      </c>
      <c r="B906" s="632" t="s">
        <v>941</v>
      </c>
      <c r="C906" s="611">
        <f t="shared" ref="C906:C978" si="92">G906</f>
        <v>0</v>
      </c>
      <c r="D906" s="354" t="s">
        <v>115</v>
      </c>
      <c r="E906" s="10">
        <f t="shared" si="91"/>
        <v>1089.96</v>
      </c>
      <c r="F906" s="792">
        <f t="shared" si="90"/>
        <v>0</v>
      </c>
      <c r="G906" s="358">
        <f>'PART-A'!I4496</f>
        <v>0</v>
      </c>
      <c r="H906" s="354" t="s">
        <v>115</v>
      </c>
      <c r="I906" s="355">
        <f>'PART-A'!K4496</f>
        <v>1089.96</v>
      </c>
      <c r="J906" s="353">
        <f t="shared" ref="J906:J978" si="93">ROUND(G906*I906,2)</f>
        <v>0</v>
      </c>
      <c r="K906" s="1695"/>
      <c r="L906" s="1695"/>
      <c r="M906" s="851" t="s">
        <v>2313</v>
      </c>
      <c r="N906" s="223"/>
      <c r="O906" s="850">
        <f t="shared" si="87"/>
        <v>0</v>
      </c>
    </row>
    <row r="907" spans="1:15" s="360" customFormat="1" ht="38.25" hidden="1">
      <c r="A907" s="356" t="s">
        <v>2693</v>
      </c>
      <c r="B907" s="632" t="s">
        <v>3245</v>
      </c>
      <c r="C907" s="611">
        <f t="shared" si="92"/>
        <v>0</v>
      </c>
      <c r="D907" s="827" t="s">
        <v>115</v>
      </c>
      <c r="E907" s="15">
        <f t="shared" si="91"/>
        <v>3404.82</v>
      </c>
      <c r="F907" s="792">
        <f t="shared" si="90"/>
        <v>0</v>
      </c>
      <c r="G907" s="358">
        <f>'PART-A'!I3817</f>
        <v>0</v>
      </c>
      <c r="H907" s="354" t="s">
        <v>115</v>
      </c>
      <c r="I907" s="355">
        <f>'PART-A'!K3817</f>
        <v>3404.82</v>
      </c>
      <c r="J907" s="353">
        <f t="shared" si="93"/>
        <v>0</v>
      </c>
      <c r="K907" s="1679">
        <f>IF((J907+J908+J909+J910)&gt;(F907+F908+F909+F910),(J907+J908+J909+J910)-(F907+F908+F909+F910),0)</f>
        <v>0</v>
      </c>
      <c r="L907" s="1679">
        <f>IF((J907+J908+J909+J910)&lt;(F907+F908+F909+F910),(F907+F908+F909+F910)-(J907+J908+J909+J910),0)</f>
        <v>0</v>
      </c>
      <c r="M907" s="633" t="s">
        <v>2217</v>
      </c>
      <c r="N907" s="223"/>
      <c r="O907" s="631">
        <f t="shared" si="87"/>
        <v>0</v>
      </c>
    </row>
    <row r="908" spans="1:15" s="360" customFormat="1" ht="15" hidden="1">
      <c r="A908" s="356" t="s">
        <v>2776</v>
      </c>
      <c r="B908" s="632" t="s">
        <v>565</v>
      </c>
      <c r="C908" s="611">
        <f t="shared" si="92"/>
        <v>0</v>
      </c>
      <c r="D908" s="354"/>
      <c r="E908" s="15">
        <f t="shared" si="91"/>
        <v>3432.82</v>
      </c>
      <c r="F908" s="792">
        <f t="shared" si="90"/>
        <v>0</v>
      </c>
      <c r="G908" s="358">
        <f>'PART-A'!I4038</f>
        <v>0</v>
      </c>
      <c r="H908" s="354" t="s">
        <v>115</v>
      </c>
      <c r="I908" s="355">
        <f>'PART-A'!K4038</f>
        <v>3432.82</v>
      </c>
      <c r="J908" s="353">
        <f t="shared" si="93"/>
        <v>0</v>
      </c>
      <c r="K908" s="1680"/>
      <c r="L908" s="1680"/>
      <c r="M908" s="633" t="s">
        <v>2299</v>
      </c>
      <c r="N908" s="223"/>
      <c r="O908" s="631">
        <f t="shared" si="87"/>
        <v>0</v>
      </c>
    </row>
    <row r="909" spans="1:15" s="360" customFormat="1" ht="15" hidden="1">
      <c r="A909" s="356" t="s">
        <v>2188</v>
      </c>
      <c r="B909" s="632" t="s">
        <v>565</v>
      </c>
      <c r="C909" s="611">
        <f t="shared" si="92"/>
        <v>0</v>
      </c>
      <c r="D909" s="354"/>
      <c r="E909" s="15">
        <f t="shared" si="91"/>
        <v>3771.9349999999999</v>
      </c>
      <c r="F909" s="792">
        <f t="shared" si="90"/>
        <v>0</v>
      </c>
      <c r="G909" s="358">
        <f>'PART-A'!I4259</f>
        <v>0</v>
      </c>
      <c r="H909" s="354" t="s">
        <v>115</v>
      </c>
      <c r="I909" s="355">
        <f>'PART-A'!K4259</f>
        <v>3771.9349999999999</v>
      </c>
      <c r="J909" s="353">
        <f t="shared" si="93"/>
        <v>0</v>
      </c>
      <c r="K909" s="1680"/>
      <c r="L909" s="1680"/>
      <c r="M909" s="633" t="s">
        <v>2312</v>
      </c>
      <c r="N909" s="223"/>
      <c r="O909" s="631">
        <f t="shared" si="87"/>
        <v>0</v>
      </c>
    </row>
    <row r="910" spans="1:15" s="360" customFormat="1" ht="38.25" hidden="1">
      <c r="A910" s="356" t="s">
        <v>1591</v>
      </c>
      <c r="B910" s="632" t="s">
        <v>3245</v>
      </c>
      <c r="C910" s="611">
        <f t="shared" si="92"/>
        <v>0</v>
      </c>
      <c r="D910" s="354" t="s">
        <v>115</v>
      </c>
      <c r="E910" s="10">
        <f t="shared" si="91"/>
        <v>4142.4250000000002</v>
      </c>
      <c r="F910" s="792">
        <f t="shared" si="90"/>
        <v>0</v>
      </c>
      <c r="G910" s="358">
        <f>'PART-A'!I4501</f>
        <v>0</v>
      </c>
      <c r="H910" s="354" t="s">
        <v>115</v>
      </c>
      <c r="I910" s="355">
        <f>'PART-A'!K4501</f>
        <v>4142.4250000000002</v>
      </c>
      <c r="J910" s="353">
        <f t="shared" si="93"/>
        <v>0</v>
      </c>
      <c r="K910" s="1695"/>
      <c r="L910" s="1695"/>
      <c r="M910" s="851" t="s">
        <v>2313</v>
      </c>
      <c r="N910" s="223"/>
      <c r="O910" s="850">
        <f t="shared" si="87"/>
        <v>0</v>
      </c>
    </row>
    <row r="911" spans="1:15" s="360" customFormat="1" ht="15" hidden="1">
      <c r="A911" s="356" t="s">
        <v>2694</v>
      </c>
      <c r="B911" s="357" t="s">
        <v>2440</v>
      </c>
      <c r="C911" s="611">
        <f t="shared" si="92"/>
        <v>0</v>
      </c>
      <c r="D911" s="827" t="s">
        <v>115</v>
      </c>
      <c r="E911" s="15">
        <f t="shared" si="91"/>
        <v>0</v>
      </c>
      <c r="F911" s="792">
        <f t="shared" si="90"/>
        <v>0</v>
      </c>
      <c r="G911" s="358"/>
      <c r="H911" s="354"/>
      <c r="I911" s="355"/>
      <c r="J911" s="353">
        <f t="shared" si="93"/>
        <v>0</v>
      </c>
      <c r="K911" s="669">
        <f t="shared" ref="K911:K916" si="94">IF(J911&gt;F911,J911-F911,0)</f>
        <v>0</v>
      </c>
      <c r="L911" s="368">
        <f t="shared" ref="L911:L916" si="95">IF(J911&lt;F911,F911-J911,0)</f>
        <v>0</v>
      </c>
      <c r="M911" s="633" t="s">
        <v>2217</v>
      </c>
      <c r="N911" s="223"/>
      <c r="O911" s="631">
        <f t="shared" si="87"/>
        <v>0</v>
      </c>
    </row>
    <row r="912" spans="1:15" s="360" customFormat="1" ht="15" hidden="1">
      <c r="A912" s="356" t="s">
        <v>2695</v>
      </c>
      <c r="B912" s="357" t="s">
        <v>2567</v>
      </c>
      <c r="C912" s="611">
        <f t="shared" si="92"/>
        <v>0</v>
      </c>
      <c r="D912" s="827" t="s">
        <v>115</v>
      </c>
      <c r="E912" s="15">
        <f t="shared" si="91"/>
        <v>0</v>
      </c>
      <c r="F912" s="792">
        <f t="shared" si="90"/>
        <v>0</v>
      </c>
      <c r="G912" s="358"/>
      <c r="H912" s="354"/>
      <c r="I912" s="355"/>
      <c r="J912" s="353">
        <f t="shared" si="93"/>
        <v>0</v>
      </c>
      <c r="K912" s="669">
        <f t="shared" si="94"/>
        <v>0</v>
      </c>
      <c r="L912" s="368">
        <f t="shared" si="95"/>
        <v>0</v>
      </c>
      <c r="M912" s="633" t="s">
        <v>2217</v>
      </c>
      <c r="N912" s="223"/>
      <c r="O912" s="631">
        <f t="shared" si="87"/>
        <v>0</v>
      </c>
    </row>
    <row r="913" spans="1:15" s="360" customFormat="1" ht="15" hidden="1">
      <c r="A913" s="356" t="s">
        <v>1159</v>
      </c>
      <c r="B913" s="357" t="s">
        <v>2441</v>
      </c>
      <c r="C913" s="611">
        <f t="shared" si="92"/>
        <v>0</v>
      </c>
      <c r="D913" s="827" t="s">
        <v>115</v>
      </c>
      <c r="E913" s="15">
        <f t="shared" si="91"/>
        <v>0</v>
      </c>
      <c r="F913" s="792">
        <f t="shared" si="90"/>
        <v>0</v>
      </c>
      <c r="G913" s="358"/>
      <c r="H913" s="354"/>
      <c r="I913" s="355"/>
      <c r="J913" s="353">
        <f t="shared" si="93"/>
        <v>0</v>
      </c>
      <c r="K913" s="669">
        <f t="shared" si="94"/>
        <v>0</v>
      </c>
      <c r="L913" s="368">
        <f t="shared" si="95"/>
        <v>0</v>
      </c>
      <c r="M913" s="633" t="s">
        <v>2217</v>
      </c>
      <c r="N913" s="223"/>
      <c r="O913" s="631">
        <f t="shared" si="87"/>
        <v>0</v>
      </c>
    </row>
    <row r="914" spans="1:15" s="360" customFormat="1" ht="15" hidden="1">
      <c r="A914" s="356" t="s">
        <v>2696</v>
      </c>
      <c r="B914" s="357" t="s">
        <v>2442</v>
      </c>
      <c r="C914" s="611">
        <f t="shared" si="92"/>
        <v>0</v>
      </c>
      <c r="D914" s="827" t="s">
        <v>115</v>
      </c>
      <c r="E914" s="15">
        <f t="shared" si="91"/>
        <v>0</v>
      </c>
      <c r="F914" s="792">
        <f t="shared" si="90"/>
        <v>0</v>
      </c>
      <c r="G914" s="358"/>
      <c r="H914" s="354"/>
      <c r="I914" s="355"/>
      <c r="J914" s="353">
        <f t="shared" si="93"/>
        <v>0</v>
      </c>
      <c r="K914" s="669">
        <f t="shared" si="94"/>
        <v>0</v>
      </c>
      <c r="L914" s="368">
        <f t="shared" si="95"/>
        <v>0</v>
      </c>
      <c r="M914" s="633" t="s">
        <v>2217</v>
      </c>
      <c r="N914" s="223"/>
      <c r="O914" s="631">
        <f t="shared" si="87"/>
        <v>0</v>
      </c>
    </row>
    <row r="915" spans="1:15" s="360" customFormat="1" ht="15" hidden="1">
      <c r="A915" s="356" t="s">
        <v>2697</v>
      </c>
      <c r="B915" s="357" t="s">
        <v>2443</v>
      </c>
      <c r="C915" s="611">
        <f t="shared" si="92"/>
        <v>0</v>
      </c>
      <c r="D915" s="827" t="s">
        <v>115</v>
      </c>
      <c r="E915" s="15">
        <f t="shared" si="91"/>
        <v>0</v>
      </c>
      <c r="F915" s="792">
        <f t="shared" si="90"/>
        <v>0</v>
      </c>
      <c r="G915" s="358"/>
      <c r="H915" s="354"/>
      <c r="I915" s="355"/>
      <c r="J915" s="353">
        <f t="shared" si="93"/>
        <v>0</v>
      </c>
      <c r="K915" s="669">
        <f t="shared" si="94"/>
        <v>0</v>
      </c>
      <c r="L915" s="368">
        <f t="shared" si="95"/>
        <v>0</v>
      </c>
      <c r="M915" s="633" t="s">
        <v>2217</v>
      </c>
      <c r="N915" s="223"/>
      <c r="O915" s="631">
        <f t="shared" si="87"/>
        <v>0</v>
      </c>
    </row>
    <row r="916" spans="1:15" s="360" customFormat="1" ht="15" hidden="1">
      <c r="A916" s="356" t="s">
        <v>1160</v>
      </c>
      <c r="B916" s="632" t="s">
        <v>3115</v>
      </c>
      <c r="C916" s="611">
        <f t="shared" si="92"/>
        <v>0</v>
      </c>
      <c r="D916" s="354"/>
      <c r="E916" s="607"/>
      <c r="F916" s="792">
        <f t="shared" si="90"/>
        <v>0</v>
      </c>
      <c r="G916" s="358"/>
      <c r="H916" s="354"/>
      <c r="I916" s="355"/>
      <c r="J916" s="353">
        <f t="shared" si="93"/>
        <v>0</v>
      </c>
      <c r="K916" s="669">
        <f t="shared" si="94"/>
        <v>0</v>
      </c>
      <c r="L916" s="368">
        <f t="shared" si="95"/>
        <v>0</v>
      </c>
      <c r="M916" s="633" t="s">
        <v>2217</v>
      </c>
      <c r="N916" s="223"/>
      <c r="O916" s="631">
        <f t="shared" ref="O916:O922" si="96">F916-J916</f>
        <v>0</v>
      </c>
    </row>
    <row r="917" spans="1:15" ht="15">
      <c r="A917" s="23" t="s">
        <v>490</v>
      </c>
      <c r="B917" s="54" t="s">
        <v>2202</v>
      </c>
      <c r="C917" s="611">
        <f>G917</f>
        <v>0</v>
      </c>
      <c r="D917" s="791"/>
      <c r="E917" s="567"/>
      <c r="F917" s="792">
        <f>CS!J917</f>
        <v>-53531</v>
      </c>
      <c r="G917" s="28"/>
      <c r="H917" s="24"/>
      <c r="I917" s="37"/>
      <c r="J917" s="11">
        <f>'PART-A'!M4503</f>
        <v>-53531</v>
      </c>
      <c r="K917" s="669">
        <f>IF(J917&gt;F917,J917-F917,0)</f>
        <v>0</v>
      </c>
      <c r="L917" s="368">
        <f t="shared" ref="L917:L925" si="97">IF(J917&lt;F917,F917-J917,0)</f>
        <v>0</v>
      </c>
      <c r="M917" s="23" t="s">
        <v>15</v>
      </c>
      <c r="N917" s="223"/>
      <c r="O917" s="850">
        <f t="shared" si="96"/>
        <v>0</v>
      </c>
    </row>
    <row r="918" spans="1:15" ht="15">
      <c r="A918" s="23" t="s">
        <v>491</v>
      </c>
      <c r="B918" s="54" t="s">
        <v>1454</v>
      </c>
      <c r="C918" s="611">
        <f>G918</f>
        <v>0</v>
      </c>
      <c r="D918" s="657"/>
      <c r="E918" s="647"/>
      <c r="F918" s="792">
        <f>CS!J918</f>
        <v>64528</v>
      </c>
      <c r="G918" s="28"/>
      <c r="H918" s="24"/>
      <c r="I918" s="37"/>
      <c r="J918" s="11">
        <f>'PART-A'!M4502</f>
        <v>64528</v>
      </c>
      <c r="K918" s="669">
        <f>IF(J918&gt;F918,J918-F918,0)</f>
        <v>0</v>
      </c>
      <c r="L918" s="368">
        <f t="shared" si="97"/>
        <v>0</v>
      </c>
      <c r="M918" s="23" t="s">
        <v>15</v>
      </c>
      <c r="N918" s="223"/>
      <c r="O918" s="850">
        <f t="shared" si="96"/>
        <v>0</v>
      </c>
    </row>
    <row r="919" spans="1:15" ht="15" hidden="1">
      <c r="A919" s="23" t="s">
        <v>2779</v>
      </c>
      <c r="B919" s="54" t="s">
        <v>2528</v>
      </c>
      <c r="C919" s="611">
        <f>G919</f>
        <v>0</v>
      </c>
      <c r="D919" s="657"/>
      <c r="E919" s="647"/>
      <c r="F919" s="792">
        <f>CS!J919</f>
        <v>0</v>
      </c>
      <c r="G919" s="28"/>
      <c r="H919" s="24"/>
      <c r="I919" s="37"/>
      <c r="J919" s="11">
        <f>'PART-A'!M4504</f>
        <v>0</v>
      </c>
      <c r="K919" s="669">
        <f>IF(J919&gt;F919,J919-F919,0)</f>
        <v>0</v>
      </c>
      <c r="L919" s="368">
        <f t="shared" si="97"/>
        <v>0</v>
      </c>
      <c r="M919" s="23" t="s">
        <v>15</v>
      </c>
      <c r="N919" s="223"/>
      <c r="O919" s="631">
        <f t="shared" si="96"/>
        <v>0</v>
      </c>
    </row>
    <row r="920" spans="1:15" ht="15" hidden="1">
      <c r="A920" s="23" t="s">
        <v>2045</v>
      </c>
      <c r="B920" s="54" t="s">
        <v>2444</v>
      </c>
      <c r="C920" s="660"/>
      <c r="D920" s="657"/>
      <c r="E920" s="647"/>
      <c r="F920" s="792">
        <f>CS!J920</f>
        <v>0</v>
      </c>
      <c r="G920" s="28"/>
      <c r="H920" s="24"/>
      <c r="I920" s="37"/>
      <c r="J920" s="11">
        <v>0</v>
      </c>
      <c r="K920" s="669">
        <f t="shared" ref="K920:K925" si="98">IF(J920&gt;F920,J920-F920,0)</f>
        <v>0</v>
      </c>
      <c r="L920" s="368">
        <f t="shared" si="97"/>
        <v>0</v>
      </c>
      <c r="M920" s="23" t="s">
        <v>15</v>
      </c>
      <c r="N920" s="223"/>
      <c r="O920" s="631">
        <f t="shared" si="96"/>
        <v>0</v>
      </c>
    </row>
    <row r="921" spans="1:15" ht="15">
      <c r="A921" s="23" t="s">
        <v>1514</v>
      </c>
      <c r="B921" s="27" t="s">
        <v>566</v>
      </c>
      <c r="C921" s="661"/>
      <c r="D921" s="639"/>
      <c r="E921" s="662"/>
      <c r="F921" s="792">
        <f>CS!J921</f>
        <v>8548</v>
      </c>
      <c r="G921" s="28"/>
      <c r="H921" s="224"/>
      <c r="I921" s="29"/>
      <c r="J921" s="223">
        <f>'PART-A'!M4507</f>
        <v>8548</v>
      </c>
      <c r="K921" s="669">
        <f t="shared" si="98"/>
        <v>0</v>
      </c>
      <c r="L921" s="368">
        <f t="shared" si="97"/>
        <v>0</v>
      </c>
      <c r="M921" s="23" t="s">
        <v>15</v>
      </c>
      <c r="N921" s="223"/>
      <c r="O921" s="850">
        <f t="shared" si="96"/>
        <v>0</v>
      </c>
    </row>
    <row r="922" spans="1:15" ht="15">
      <c r="A922" s="23" t="s">
        <v>492</v>
      </c>
      <c r="B922" s="27" t="s">
        <v>444</v>
      </c>
      <c r="C922" s="663"/>
      <c r="D922" s="224"/>
      <c r="E922" s="664"/>
      <c r="F922" s="792">
        <f>CS!J922</f>
        <v>21507</v>
      </c>
      <c r="G922" s="28"/>
      <c r="H922" s="224"/>
      <c r="I922" s="29"/>
      <c r="J922" s="223">
        <f>'PART-A'!M4508</f>
        <v>21507</v>
      </c>
      <c r="K922" s="669">
        <f t="shared" si="98"/>
        <v>0</v>
      </c>
      <c r="L922" s="368">
        <f t="shared" si="97"/>
        <v>0</v>
      </c>
      <c r="M922" s="23" t="s">
        <v>15</v>
      </c>
      <c r="N922" s="223"/>
      <c r="O922" s="850">
        <f t="shared" si="96"/>
        <v>0</v>
      </c>
    </row>
    <row r="923" spans="1:15" ht="15" hidden="1">
      <c r="A923" s="23" t="s">
        <v>2700</v>
      </c>
      <c r="B923" s="27" t="s">
        <v>445</v>
      </c>
      <c r="C923" s="665"/>
      <c r="D923" s="224"/>
      <c r="E923" s="29"/>
      <c r="F923" s="792">
        <f>CS!J923</f>
        <v>0</v>
      </c>
      <c r="G923" s="28"/>
      <c r="H923" s="224"/>
      <c r="I923" s="29"/>
      <c r="J923" s="223">
        <f>'PART-A'!M4509</f>
        <v>0</v>
      </c>
      <c r="K923" s="669">
        <f t="shared" si="98"/>
        <v>0</v>
      </c>
      <c r="L923" s="368">
        <f t="shared" si="97"/>
        <v>0</v>
      </c>
      <c r="M923" s="23" t="s">
        <v>15</v>
      </c>
      <c r="N923" s="223"/>
      <c r="O923" s="631">
        <v>1</v>
      </c>
    </row>
    <row r="924" spans="1:15" ht="15" hidden="1">
      <c r="A924" s="23" t="s">
        <v>1147</v>
      </c>
      <c r="B924" s="27" t="s">
        <v>567</v>
      </c>
      <c r="C924" s="665"/>
      <c r="D924" s="224"/>
      <c r="E924" s="29"/>
      <c r="F924" s="792">
        <f>CS!J924</f>
        <v>0</v>
      </c>
      <c r="G924" s="28"/>
      <c r="H924" s="224"/>
      <c r="I924" s="29"/>
      <c r="J924" s="223">
        <f>'PART-A'!M4510</f>
        <v>0</v>
      </c>
      <c r="K924" s="669">
        <f t="shared" si="98"/>
        <v>0</v>
      </c>
      <c r="L924" s="368">
        <f t="shared" si="97"/>
        <v>0</v>
      </c>
      <c r="M924" s="23" t="s">
        <v>15</v>
      </c>
      <c r="N924" s="223"/>
      <c r="O924" s="850">
        <v>1</v>
      </c>
    </row>
    <row r="925" spans="1:15" ht="15">
      <c r="A925" s="23" t="s">
        <v>493</v>
      </c>
      <c r="B925" s="27" t="s">
        <v>292</v>
      </c>
      <c r="C925" s="665"/>
      <c r="D925" s="224"/>
      <c r="E925" s="29"/>
      <c r="F925" s="792">
        <f>CS!J925</f>
        <v>1429</v>
      </c>
      <c r="G925" s="28"/>
      <c r="H925" s="224"/>
      <c r="I925" s="29"/>
      <c r="J925" s="223"/>
      <c r="K925" s="669">
        <f t="shared" si="98"/>
        <v>0</v>
      </c>
      <c r="L925" s="368">
        <f t="shared" si="97"/>
        <v>1429</v>
      </c>
      <c r="M925" s="23" t="s">
        <v>15</v>
      </c>
      <c r="N925" s="223"/>
      <c r="O925" s="850">
        <f t="shared" ref="O925" si="99">F925-J925</f>
        <v>1429</v>
      </c>
    </row>
    <row r="926" spans="1:15" ht="15">
      <c r="A926" s="23"/>
      <c r="B926" s="763" t="s">
        <v>2456</v>
      </c>
      <c r="C926" s="665"/>
      <c r="D926" s="224"/>
      <c r="E926" s="29"/>
      <c r="F926" s="875">
        <v>1.0000000000000001E-5</v>
      </c>
      <c r="G926" s="28"/>
      <c r="H926" s="224"/>
      <c r="I926" s="37"/>
      <c r="J926" s="353">
        <f t="shared" si="93"/>
        <v>0</v>
      </c>
      <c r="K926" s="757"/>
      <c r="L926" s="758"/>
      <c r="M926" s="759"/>
      <c r="N926" s="223"/>
      <c r="O926" s="631"/>
    </row>
    <row r="927" spans="1:15" s="360" customFormat="1" ht="15" hidden="1">
      <c r="A927" s="356" t="s">
        <v>460</v>
      </c>
      <c r="B927" s="632" t="s">
        <v>537</v>
      </c>
      <c r="C927" s="611">
        <f t="shared" si="92"/>
        <v>0</v>
      </c>
      <c r="D927" s="354" t="s">
        <v>102</v>
      </c>
      <c r="E927" s="607">
        <f>I927</f>
        <v>6.06</v>
      </c>
      <c r="F927" s="792">
        <f t="shared" si="90"/>
        <v>0</v>
      </c>
      <c r="G927" s="358">
        <f>'PART-B'!I14</f>
        <v>0</v>
      </c>
      <c r="H927" s="354" t="s">
        <v>102</v>
      </c>
      <c r="I927" s="355">
        <f>'PART-B'!K14</f>
        <v>6.06</v>
      </c>
      <c r="J927" s="353">
        <f t="shared" si="93"/>
        <v>0</v>
      </c>
      <c r="K927" s="669">
        <f t="shared" ref="K927:K990" si="100">IF(J927&gt;F927,J927-F927,0)</f>
        <v>0</v>
      </c>
      <c r="L927" s="368">
        <f t="shared" ref="L927:L990" si="101">IF(J927&lt;F927,F927-J927,0)</f>
        <v>0</v>
      </c>
      <c r="M927" s="633" t="s">
        <v>2313</v>
      </c>
      <c r="N927" s="223"/>
      <c r="O927" s="631">
        <f>F927-J927</f>
        <v>0</v>
      </c>
    </row>
    <row r="928" spans="1:15" s="360" customFormat="1" ht="51" hidden="1">
      <c r="A928" s="356" t="s">
        <v>1515</v>
      </c>
      <c r="B928" s="632" t="s">
        <v>3175</v>
      </c>
      <c r="C928" s="611">
        <f t="shared" si="92"/>
        <v>0</v>
      </c>
      <c r="D928" s="354" t="s">
        <v>5</v>
      </c>
      <c r="E928" s="607">
        <f t="shared" ref="E928:E991" si="102">I928</f>
        <v>144.26</v>
      </c>
      <c r="F928" s="792">
        <f t="shared" si="90"/>
        <v>0</v>
      </c>
      <c r="G928" s="358">
        <f>'PART-B'!I19</f>
        <v>0</v>
      </c>
      <c r="H928" s="354" t="s">
        <v>5</v>
      </c>
      <c r="I928" s="355">
        <f>'PART-B'!K19</f>
        <v>144.26</v>
      </c>
      <c r="J928" s="353">
        <f t="shared" si="93"/>
        <v>0</v>
      </c>
      <c r="K928" s="669">
        <f t="shared" si="100"/>
        <v>0</v>
      </c>
      <c r="L928" s="368">
        <f t="shared" si="101"/>
        <v>0</v>
      </c>
      <c r="M928" s="633" t="s">
        <v>2313</v>
      </c>
      <c r="N928" s="223"/>
      <c r="O928" s="631">
        <f t="shared" ref="O928:O991" si="103">F928-J928</f>
        <v>0</v>
      </c>
    </row>
    <row r="929" spans="1:16" s="360" customFormat="1" ht="51" hidden="1">
      <c r="A929" s="356" t="s">
        <v>1516</v>
      </c>
      <c r="B929" s="632" t="s">
        <v>3176</v>
      </c>
      <c r="C929" s="611">
        <f t="shared" si="92"/>
        <v>0</v>
      </c>
      <c r="D929" s="354" t="s">
        <v>5</v>
      </c>
      <c r="E929" s="607">
        <f t="shared" si="102"/>
        <v>4583.3100000000004</v>
      </c>
      <c r="F929" s="792">
        <f t="shared" si="90"/>
        <v>0</v>
      </c>
      <c r="G929" s="358">
        <f>'PART-B'!I24</f>
        <v>0</v>
      </c>
      <c r="H929" s="354" t="s">
        <v>5</v>
      </c>
      <c r="I929" s="355">
        <f>'PART-B'!K24</f>
        <v>4583.3100000000004</v>
      </c>
      <c r="J929" s="353">
        <f t="shared" si="93"/>
        <v>0</v>
      </c>
      <c r="K929" s="669">
        <f t="shared" si="100"/>
        <v>0</v>
      </c>
      <c r="L929" s="368">
        <f t="shared" si="101"/>
        <v>0</v>
      </c>
      <c r="M929" s="633" t="s">
        <v>2313</v>
      </c>
      <c r="N929" s="223"/>
      <c r="O929" s="631">
        <f t="shared" si="103"/>
        <v>0</v>
      </c>
    </row>
    <row r="930" spans="1:16" s="360" customFormat="1" ht="15" hidden="1">
      <c r="A930" s="356" t="s">
        <v>463</v>
      </c>
      <c r="B930" s="632" t="s">
        <v>539</v>
      </c>
      <c r="C930" s="611">
        <f t="shared" si="92"/>
        <v>0</v>
      </c>
      <c r="D930" s="354" t="s">
        <v>5</v>
      </c>
      <c r="E930" s="607">
        <f t="shared" si="102"/>
        <v>4431.03</v>
      </c>
      <c r="F930" s="792">
        <f t="shared" si="90"/>
        <v>0</v>
      </c>
      <c r="G930" s="358">
        <f>'PART-B'!I33</f>
        <v>0</v>
      </c>
      <c r="H930" s="354" t="s">
        <v>5</v>
      </c>
      <c r="I930" s="355">
        <f>'PART-B'!K33</f>
        <v>4431.03</v>
      </c>
      <c r="J930" s="353">
        <f t="shared" si="93"/>
        <v>0</v>
      </c>
      <c r="K930" s="669">
        <f t="shared" si="100"/>
        <v>0</v>
      </c>
      <c r="L930" s="368">
        <f t="shared" si="101"/>
        <v>0</v>
      </c>
      <c r="M930" s="633" t="s">
        <v>2313</v>
      </c>
      <c r="N930" s="223"/>
      <c r="O930" s="631">
        <f t="shared" si="103"/>
        <v>0</v>
      </c>
    </row>
    <row r="931" spans="1:16" s="360" customFormat="1" ht="15" hidden="1">
      <c r="A931" s="356" t="s">
        <v>462</v>
      </c>
      <c r="B931" s="632" t="s">
        <v>1218</v>
      </c>
      <c r="C931" s="611">
        <f t="shared" si="92"/>
        <v>0</v>
      </c>
      <c r="D931" s="354" t="s">
        <v>5</v>
      </c>
      <c r="E931" s="607">
        <f t="shared" si="102"/>
        <v>216.13</v>
      </c>
      <c r="F931" s="792">
        <f t="shared" si="90"/>
        <v>0</v>
      </c>
      <c r="G931" s="358">
        <f>'PART-B'!I39</f>
        <v>0</v>
      </c>
      <c r="H931" s="354" t="s">
        <v>5</v>
      </c>
      <c r="I931" s="355">
        <f>'PART-B'!K39</f>
        <v>216.13</v>
      </c>
      <c r="J931" s="353">
        <f t="shared" si="93"/>
        <v>0</v>
      </c>
      <c r="K931" s="669">
        <f t="shared" si="100"/>
        <v>0</v>
      </c>
      <c r="L931" s="368">
        <f t="shared" si="101"/>
        <v>0</v>
      </c>
      <c r="M931" s="633" t="s">
        <v>2313</v>
      </c>
      <c r="N931" s="223"/>
      <c r="O931" s="631">
        <f t="shared" si="103"/>
        <v>0</v>
      </c>
    </row>
    <row r="932" spans="1:16" s="360" customFormat="1" ht="15" hidden="1">
      <c r="A932" s="356" t="s">
        <v>464</v>
      </c>
      <c r="B932" s="632" t="s">
        <v>716</v>
      </c>
      <c r="C932" s="611">
        <f t="shared" si="92"/>
        <v>0</v>
      </c>
      <c r="D932" s="354" t="s">
        <v>5</v>
      </c>
      <c r="E932" s="607">
        <f t="shared" si="102"/>
        <v>272.13</v>
      </c>
      <c r="F932" s="792">
        <f t="shared" si="90"/>
        <v>0</v>
      </c>
      <c r="G932" s="358">
        <f>'PART-B'!I45</f>
        <v>0</v>
      </c>
      <c r="H932" s="354" t="s">
        <v>5</v>
      </c>
      <c r="I932" s="355">
        <f>'PART-B'!K45</f>
        <v>272.13</v>
      </c>
      <c r="J932" s="353">
        <f t="shared" si="93"/>
        <v>0</v>
      </c>
      <c r="K932" s="669">
        <f t="shared" si="100"/>
        <v>0</v>
      </c>
      <c r="L932" s="368">
        <f t="shared" si="101"/>
        <v>0</v>
      </c>
      <c r="M932" s="633" t="s">
        <v>2313</v>
      </c>
      <c r="N932" s="223"/>
      <c r="O932" s="631">
        <f t="shared" si="103"/>
        <v>0</v>
      </c>
    </row>
    <row r="933" spans="1:16" s="360" customFormat="1" ht="15" hidden="1">
      <c r="A933" s="356" t="s">
        <v>466</v>
      </c>
      <c r="B933" s="632" t="s">
        <v>704</v>
      </c>
      <c r="C933" s="611">
        <f t="shared" si="92"/>
        <v>0</v>
      </c>
      <c r="D933" s="354" t="s">
        <v>5</v>
      </c>
      <c r="E933" s="607">
        <f t="shared" si="102"/>
        <v>1603.13</v>
      </c>
      <c r="F933" s="792">
        <f t="shared" si="90"/>
        <v>0</v>
      </c>
      <c r="G933" s="358">
        <f>'PART-B'!I51</f>
        <v>0</v>
      </c>
      <c r="H933" s="354" t="s">
        <v>5</v>
      </c>
      <c r="I933" s="355">
        <f>'PART-B'!K51</f>
        <v>1603.13</v>
      </c>
      <c r="J933" s="353">
        <f t="shared" si="93"/>
        <v>0</v>
      </c>
      <c r="K933" s="669">
        <f t="shared" si="100"/>
        <v>0</v>
      </c>
      <c r="L933" s="368">
        <f t="shared" si="101"/>
        <v>0</v>
      </c>
      <c r="M933" s="633" t="s">
        <v>2313</v>
      </c>
      <c r="N933" s="223"/>
      <c r="O933" s="631">
        <f t="shared" si="103"/>
        <v>0</v>
      </c>
    </row>
    <row r="934" spans="1:16" s="360" customFormat="1" ht="15" hidden="1">
      <c r="A934" s="356" t="s">
        <v>326</v>
      </c>
      <c r="B934" s="632" t="s">
        <v>540</v>
      </c>
      <c r="C934" s="611">
        <f t="shared" si="92"/>
        <v>0</v>
      </c>
      <c r="D934" s="354" t="s">
        <v>5</v>
      </c>
      <c r="E934" s="607">
        <f t="shared" si="102"/>
        <v>284.39999999999998</v>
      </c>
      <c r="F934" s="792">
        <f t="shared" si="90"/>
        <v>0</v>
      </c>
      <c r="G934" s="358">
        <f>'PART-B'!I58</f>
        <v>0</v>
      </c>
      <c r="H934" s="354" t="s">
        <v>5</v>
      </c>
      <c r="I934" s="355">
        <f>'PART-B'!K58</f>
        <v>284.39999999999998</v>
      </c>
      <c r="J934" s="353">
        <f t="shared" si="93"/>
        <v>0</v>
      </c>
      <c r="K934" s="669">
        <f t="shared" si="100"/>
        <v>0</v>
      </c>
      <c r="L934" s="368">
        <f t="shared" si="101"/>
        <v>0</v>
      </c>
      <c r="M934" s="633" t="s">
        <v>2313</v>
      </c>
      <c r="N934" s="223"/>
      <c r="O934" s="631">
        <f t="shared" si="103"/>
        <v>0</v>
      </c>
    </row>
    <row r="935" spans="1:16" s="360" customFormat="1" ht="25.5" hidden="1">
      <c r="A935" s="356" t="s">
        <v>465</v>
      </c>
      <c r="B935" s="632" t="s">
        <v>2059</v>
      </c>
      <c r="C935" s="611">
        <f t="shared" si="92"/>
        <v>0</v>
      </c>
      <c r="D935" s="354" t="s">
        <v>5</v>
      </c>
      <c r="E935" s="607">
        <f t="shared" si="102"/>
        <v>8062.18</v>
      </c>
      <c r="F935" s="792">
        <f t="shared" si="90"/>
        <v>0</v>
      </c>
      <c r="G935" s="358">
        <f>'PART-B'!I63</f>
        <v>0</v>
      </c>
      <c r="H935" s="354" t="s">
        <v>5</v>
      </c>
      <c r="I935" s="355">
        <f>'PART-B'!K63</f>
        <v>8062.18</v>
      </c>
      <c r="J935" s="353">
        <f t="shared" si="93"/>
        <v>0</v>
      </c>
      <c r="K935" s="669">
        <f t="shared" si="100"/>
        <v>0</v>
      </c>
      <c r="L935" s="368">
        <f t="shared" si="101"/>
        <v>0</v>
      </c>
      <c r="M935" s="633" t="s">
        <v>2313</v>
      </c>
      <c r="N935" s="223"/>
      <c r="O935" s="631">
        <f t="shared" si="103"/>
        <v>0</v>
      </c>
    </row>
    <row r="936" spans="1:16" s="360" customFormat="1" ht="15" hidden="1">
      <c r="A936" s="356" t="s">
        <v>466</v>
      </c>
      <c r="B936" s="632" t="s">
        <v>2060</v>
      </c>
      <c r="C936" s="611">
        <f t="shared" si="92"/>
        <v>0</v>
      </c>
      <c r="D936" s="354" t="s">
        <v>5</v>
      </c>
      <c r="E936" s="607">
        <f t="shared" si="102"/>
        <v>8501.18</v>
      </c>
      <c r="F936" s="792">
        <f t="shared" si="90"/>
        <v>0</v>
      </c>
      <c r="G936" s="358">
        <f>'PART-B'!I68</f>
        <v>0</v>
      </c>
      <c r="H936" s="354" t="s">
        <v>5</v>
      </c>
      <c r="I936" s="355">
        <f>'PART-B'!K68</f>
        <v>8501.18</v>
      </c>
      <c r="J936" s="353">
        <f t="shared" si="93"/>
        <v>0</v>
      </c>
      <c r="K936" s="669">
        <f t="shared" si="100"/>
        <v>0</v>
      </c>
      <c r="L936" s="368">
        <f t="shared" si="101"/>
        <v>0</v>
      </c>
      <c r="M936" s="633" t="s">
        <v>2313</v>
      </c>
      <c r="N936" s="223"/>
      <c r="O936" s="631">
        <f t="shared" si="103"/>
        <v>0</v>
      </c>
    </row>
    <row r="937" spans="1:16" s="360" customFormat="1" ht="15" hidden="1">
      <c r="A937" s="356" t="s">
        <v>467</v>
      </c>
      <c r="B937" s="632" t="s">
        <v>2061</v>
      </c>
      <c r="C937" s="611">
        <f t="shared" si="92"/>
        <v>0</v>
      </c>
      <c r="D937" s="354" t="s">
        <v>5</v>
      </c>
      <c r="E937" s="607">
        <f t="shared" si="102"/>
        <v>10417.6</v>
      </c>
      <c r="F937" s="792">
        <f t="shared" si="90"/>
        <v>0</v>
      </c>
      <c r="G937" s="358">
        <f>'PART-B'!I80</f>
        <v>0</v>
      </c>
      <c r="H937" s="354" t="s">
        <v>5</v>
      </c>
      <c r="I937" s="355">
        <f>'PART-B'!K80</f>
        <v>10417.6</v>
      </c>
      <c r="J937" s="353">
        <f t="shared" si="93"/>
        <v>0</v>
      </c>
      <c r="K937" s="669">
        <f t="shared" si="100"/>
        <v>0</v>
      </c>
      <c r="L937" s="368">
        <f t="shared" si="101"/>
        <v>0</v>
      </c>
      <c r="M937" s="633" t="s">
        <v>2313</v>
      </c>
      <c r="N937" s="223"/>
      <c r="O937" s="631">
        <f t="shared" si="103"/>
        <v>0</v>
      </c>
    </row>
    <row r="938" spans="1:16" s="360" customFormat="1" ht="15" hidden="1">
      <c r="A938" s="356" t="s">
        <v>468</v>
      </c>
      <c r="B938" s="632" t="s">
        <v>2062</v>
      </c>
      <c r="C938" s="611">
        <f t="shared" si="92"/>
        <v>0</v>
      </c>
      <c r="D938" s="354" t="s">
        <v>5</v>
      </c>
      <c r="E938" s="607">
        <f t="shared" si="102"/>
        <v>10162.18</v>
      </c>
      <c r="F938" s="792">
        <f t="shared" si="90"/>
        <v>0</v>
      </c>
      <c r="G938" s="358">
        <f>'PART-B'!I88</f>
        <v>0</v>
      </c>
      <c r="H938" s="354" t="s">
        <v>5</v>
      </c>
      <c r="I938" s="355">
        <f>'PART-B'!K88</f>
        <v>10162.18</v>
      </c>
      <c r="J938" s="353">
        <f t="shared" si="93"/>
        <v>0</v>
      </c>
      <c r="K938" s="669">
        <f t="shared" si="100"/>
        <v>0</v>
      </c>
      <c r="L938" s="368">
        <f t="shared" si="101"/>
        <v>0</v>
      </c>
      <c r="M938" s="633" t="s">
        <v>2313</v>
      </c>
      <c r="N938" s="223"/>
      <c r="O938" s="631">
        <f t="shared" si="103"/>
        <v>0</v>
      </c>
    </row>
    <row r="939" spans="1:16" s="360" customFormat="1" ht="15" hidden="1">
      <c r="A939" s="356" t="s">
        <v>326</v>
      </c>
      <c r="B939" s="632" t="s">
        <v>2063</v>
      </c>
      <c r="C939" s="611">
        <f t="shared" si="92"/>
        <v>0</v>
      </c>
      <c r="D939" s="428" t="s">
        <v>5</v>
      </c>
      <c r="E939" s="607">
        <f t="shared" si="102"/>
        <v>9921.19</v>
      </c>
      <c r="F939" s="792">
        <f t="shared" si="90"/>
        <v>0</v>
      </c>
      <c r="G939" s="358">
        <f>'PART-B'!I96</f>
        <v>0</v>
      </c>
      <c r="H939" s="428" t="s">
        <v>5</v>
      </c>
      <c r="I939" s="355">
        <f>'PART-B'!K96</f>
        <v>9921.19</v>
      </c>
      <c r="J939" s="353">
        <f t="shared" si="93"/>
        <v>0</v>
      </c>
      <c r="K939" s="669">
        <f t="shared" si="100"/>
        <v>0</v>
      </c>
      <c r="L939" s="368">
        <f t="shared" si="101"/>
        <v>0</v>
      </c>
      <c r="M939" s="633" t="s">
        <v>2313</v>
      </c>
      <c r="N939" s="223"/>
      <c r="O939" s="631">
        <f t="shared" si="103"/>
        <v>0</v>
      </c>
      <c r="P939" s="637"/>
    </row>
    <row r="940" spans="1:16" s="360" customFormat="1" ht="15" hidden="1">
      <c r="A940" s="356" t="s">
        <v>469</v>
      </c>
      <c r="B940" s="632" t="s">
        <v>2064</v>
      </c>
      <c r="C940" s="611">
        <f t="shared" si="92"/>
        <v>0</v>
      </c>
      <c r="D940" s="354" t="s">
        <v>102</v>
      </c>
      <c r="E940" s="607">
        <f t="shared" si="102"/>
        <v>1202.4000000000001</v>
      </c>
      <c r="F940" s="792">
        <f t="shared" si="90"/>
        <v>0</v>
      </c>
      <c r="G940" s="358">
        <f>'PART-B'!I108</f>
        <v>0</v>
      </c>
      <c r="H940" s="354" t="s">
        <v>102</v>
      </c>
      <c r="I940" s="355">
        <f>'PART-B'!K108</f>
        <v>1202.4000000000001</v>
      </c>
      <c r="J940" s="353">
        <f t="shared" si="93"/>
        <v>0</v>
      </c>
      <c r="K940" s="669">
        <f t="shared" si="100"/>
        <v>0</v>
      </c>
      <c r="L940" s="368">
        <f t="shared" si="101"/>
        <v>0</v>
      </c>
      <c r="M940" s="633" t="s">
        <v>2313</v>
      </c>
      <c r="N940" s="223"/>
      <c r="O940" s="631">
        <f t="shared" si="103"/>
        <v>0</v>
      </c>
    </row>
    <row r="941" spans="1:16" s="360" customFormat="1" ht="15" hidden="1">
      <c r="A941" s="356" t="s">
        <v>472</v>
      </c>
      <c r="B941" s="632" t="s">
        <v>2065</v>
      </c>
      <c r="C941" s="611">
        <f t="shared" si="92"/>
        <v>0</v>
      </c>
      <c r="D941" s="354" t="s">
        <v>102</v>
      </c>
      <c r="E941" s="607">
        <f t="shared" si="102"/>
        <v>1345.28</v>
      </c>
      <c r="F941" s="792">
        <f t="shared" si="90"/>
        <v>0</v>
      </c>
      <c r="G941" s="358">
        <f>'PART-B'!I102</f>
        <v>0</v>
      </c>
      <c r="H941" s="354" t="s">
        <v>102</v>
      </c>
      <c r="I941" s="355">
        <f>'PART-B'!K102</f>
        <v>1345.28</v>
      </c>
      <c r="J941" s="353">
        <f t="shared" si="93"/>
        <v>0</v>
      </c>
      <c r="K941" s="669">
        <f t="shared" si="100"/>
        <v>0</v>
      </c>
      <c r="L941" s="368">
        <f t="shared" si="101"/>
        <v>0</v>
      </c>
      <c r="M941" s="633" t="s">
        <v>2313</v>
      </c>
      <c r="N941" s="223"/>
      <c r="O941" s="631">
        <f t="shared" si="103"/>
        <v>0</v>
      </c>
    </row>
    <row r="942" spans="1:16" s="360" customFormat="1" ht="15" hidden="1">
      <c r="A942" s="356" t="s">
        <v>469</v>
      </c>
      <c r="B942" s="632" t="s">
        <v>2066</v>
      </c>
      <c r="C942" s="611">
        <f t="shared" si="92"/>
        <v>0</v>
      </c>
      <c r="D942" s="354" t="s">
        <v>102</v>
      </c>
      <c r="E942" s="607">
        <f t="shared" si="102"/>
        <v>1059.52</v>
      </c>
      <c r="F942" s="792">
        <f t="shared" si="90"/>
        <v>0</v>
      </c>
      <c r="G942" s="358">
        <f>'PART-B'!I114</f>
        <v>0</v>
      </c>
      <c r="H942" s="354" t="s">
        <v>102</v>
      </c>
      <c r="I942" s="355">
        <f>'PART-B'!K114</f>
        <v>1059.52</v>
      </c>
      <c r="J942" s="353">
        <f t="shared" si="93"/>
        <v>0</v>
      </c>
      <c r="K942" s="669">
        <f t="shared" si="100"/>
        <v>0</v>
      </c>
      <c r="L942" s="368">
        <f t="shared" si="101"/>
        <v>0</v>
      </c>
      <c r="M942" s="633" t="s">
        <v>2313</v>
      </c>
      <c r="N942" s="223"/>
      <c r="O942" s="631">
        <f t="shared" si="103"/>
        <v>0</v>
      </c>
    </row>
    <row r="943" spans="1:16" s="360" customFormat="1" ht="15" hidden="1">
      <c r="A943" s="356" t="s">
        <v>469</v>
      </c>
      <c r="B943" s="632" t="s">
        <v>2067</v>
      </c>
      <c r="C943" s="611">
        <f t="shared" si="92"/>
        <v>0</v>
      </c>
      <c r="D943" s="354" t="s">
        <v>102</v>
      </c>
      <c r="E943" s="607">
        <f t="shared" si="102"/>
        <v>526.29999999999995</v>
      </c>
      <c r="F943" s="792">
        <f t="shared" si="90"/>
        <v>0</v>
      </c>
      <c r="G943" s="358">
        <f>'PART-B'!I120</f>
        <v>0</v>
      </c>
      <c r="H943" s="354" t="s">
        <v>102</v>
      </c>
      <c r="I943" s="355">
        <f>'PART-B'!K120</f>
        <v>526.29999999999995</v>
      </c>
      <c r="J943" s="353">
        <f t="shared" si="93"/>
        <v>0</v>
      </c>
      <c r="K943" s="669">
        <f t="shared" si="100"/>
        <v>0</v>
      </c>
      <c r="L943" s="368">
        <f t="shared" si="101"/>
        <v>0</v>
      </c>
      <c r="M943" s="633" t="s">
        <v>2313</v>
      </c>
      <c r="N943" s="223"/>
      <c r="O943" s="631">
        <f t="shared" si="103"/>
        <v>0</v>
      </c>
    </row>
    <row r="944" spans="1:16" s="360" customFormat="1" ht="15" hidden="1">
      <c r="A944" s="356" t="s">
        <v>475</v>
      </c>
      <c r="B944" s="632" t="s">
        <v>2068</v>
      </c>
      <c r="C944" s="611">
        <f t="shared" si="92"/>
        <v>0</v>
      </c>
      <c r="D944" s="354" t="s">
        <v>102</v>
      </c>
      <c r="E944" s="607">
        <f t="shared" si="102"/>
        <v>385.15</v>
      </c>
      <c r="F944" s="792">
        <f t="shared" si="90"/>
        <v>0</v>
      </c>
      <c r="G944" s="358">
        <f>'PART-B'!I127</f>
        <v>0</v>
      </c>
      <c r="H944" s="354" t="s">
        <v>102</v>
      </c>
      <c r="I944" s="355">
        <f>'PART-B'!K127</f>
        <v>385.15</v>
      </c>
      <c r="J944" s="353">
        <f t="shared" si="93"/>
        <v>0</v>
      </c>
      <c r="K944" s="669">
        <f t="shared" si="100"/>
        <v>0</v>
      </c>
      <c r="L944" s="368">
        <f t="shared" si="101"/>
        <v>0</v>
      </c>
      <c r="M944" s="633" t="s">
        <v>2313</v>
      </c>
      <c r="N944" s="223"/>
      <c r="O944" s="631">
        <f t="shared" si="103"/>
        <v>0</v>
      </c>
    </row>
    <row r="945" spans="1:15" s="360" customFormat="1" ht="15" hidden="1">
      <c r="A945" s="356" t="s">
        <v>475</v>
      </c>
      <c r="B945" s="632" t="s">
        <v>2069</v>
      </c>
      <c r="C945" s="611">
        <f t="shared" si="92"/>
        <v>0</v>
      </c>
      <c r="D945" s="354" t="s">
        <v>5</v>
      </c>
      <c r="E945" s="607">
        <f t="shared" si="102"/>
        <v>10584.6</v>
      </c>
      <c r="F945" s="792">
        <f t="shared" si="90"/>
        <v>0</v>
      </c>
      <c r="G945" s="358">
        <f>'PART-B'!I136</f>
        <v>0</v>
      </c>
      <c r="H945" s="354" t="s">
        <v>5</v>
      </c>
      <c r="I945" s="355">
        <f>'PART-B'!K136</f>
        <v>10584.6</v>
      </c>
      <c r="J945" s="353">
        <f t="shared" si="93"/>
        <v>0</v>
      </c>
      <c r="K945" s="669">
        <f t="shared" si="100"/>
        <v>0</v>
      </c>
      <c r="L945" s="368">
        <f t="shared" si="101"/>
        <v>0</v>
      </c>
      <c r="M945" s="633" t="s">
        <v>2313</v>
      </c>
      <c r="N945" s="223"/>
      <c r="O945" s="631">
        <f t="shared" si="103"/>
        <v>0</v>
      </c>
    </row>
    <row r="946" spans="1:15" s="360" customFormat="1" ht="15" hidden="1">
      <c r="A946" s="356" t="s">
        <v>478</v>
      </c>
      <c r="B946" s="632" t="s">
        <v>2070</v>
      </c>
      <c r="C946" s="611">
        <f t="shared" si="92"/>
        <v>0</v>
      </c>
      <c r="D946" s="354" t="s">
        <v>277</v>
      </c>
      <c r="E946" s="607">
        <f t="shared" si="102"/>
        <v>518.52</v>
      </c>
      <c r="F946" s="792">
        <f t="shared" si="90"/>
        <v>0</v>
      </c>
      <c r="G946" s="358">
        <f>'PART-B'!I142</f>
        <v>0</v>
      </c>
      <c r="H946" s="354" t="s">
        <v>277</v>
      </c>
      <c r="I946" s="355">
        <f>'PART-B'!K142</f>
        <v>518.52</v>
      </c>
      <c r="J946" s="353">
        <f t="shared" si="93"/>
        <v>0</v>
      </c>
      <c r="K946" s="669">
        <f t="shared" si="100"/>
        <v>0</v>
      </c>
      <c r="L946" s="368">
        <f t="shared" si="101"/>
        <v>0</v>
      </c>
      <c r="M946" s="633" t="s">
        <v>2313</v>
      </c>
      <c r="N946" s="223"/>
      <c r="O946" s="631">
        <f t="shared" si="103"/>
        <v>0</v>
      </c>
    </row>
    <row r="947" spans="1:15" s="360" customFormat="1" ht="15" hidden="1">
      <c r="A947" s="356" t="s">
        <v>480</v>
      </c>
      <c r="B947" s="632" t="s">
        <v>1478</v>
      </c>
      <c r="C947" s="611">
        <f t="shared" si="92"/>
        <v>0</v>
      </c>
      <c r="D947" s="221" t="s">
        <v>102</v>
      </c>
      <c r="E947" s="607">
        <f t="shared" si="102"/>
        <v>315.69</v>
      </c>
      <c r="F947" s="792">
        <f t="shared" si="90"/>
        <v>0</v>
      </c>
      <c r="G947" s="358">
        <f>'PART-B'!I148</f>
        <v>0</v>
      </c>
      <c r="H947" s="221" t="s">
        <v>102</v>
      </c>
      <c r="I947" s="355">
        <f>'PART-B'!K148</f>
        <v>315.69</v>
      </c>
      <c r="J947" s="353">
        <f t="shared" si="93"/>
        <v>0</v>
      </c>
      <c r="K947" s="669">
        <f t="shared" si="100"/>
        <v>0</v>
      </c>
      <c r="L947" s="368">
        <f t="shared" si="101"/>
        <v>0</v>
      </c>
      <c r="M947" s="633" t="s">
        <v>2313</v>
      </c>
      <c r="N947" s="223"/>
      <c r="O947" s="631">
        <f t="shared" si="103"/>
        <v>0</v>
      </c>
    </row>
    <row r="948" spans="1:15" s="360" customFormat="1" ht="15" hidden="1">
      <c r="A948" s="356" t="s">
        <v>476</v>
      </c>
      <c r="B948" s="632" t="s">
        <v>1479</v>
      </c>
      <c r="C948" s="611">
        <f t="shared" si="92"/>
        <v>0</v>
      </c>
      <c r="D948" s="221" t="s">
        <v>102</v>
      </c>
      <c r="E948" s="607">
        <f t="shared" si="102"/>
        <v>405.78</v>
      </c>
      <c r="F948" s="792">
        <f t="shared" si="90"/>
        <v>0</v>
      </c>
      <c r="G948" s="358">
        <f>'PART-B'!I154</f>
        <v>0</v>
      </c>
      <c r="H948" s="221" t="s">
        <v>102</v>
      </c>
      <c r="I948" s="355">
        <f>'PART-B'!K154</f>
        <v>405.78</v>
      </c>
      <c r="J948" s="353">
        <f t="shared" si="93"/>
        <v>0</v>
      </c>
      <c r="K948" s="669">
        <f t="shared" si="100"/>
        <v>0</v>
      </c>
      <c r="L948" s="368">
        <f t="shared" si="101"/>
        <v>0</v>
      </c>
      <c r="M948" s="633" t="s">
        <v>2313</v>
      </c>
      <c r="N948" s="223"/>
      <c r="O948" s="631">
        <f t="shared" si="103"/>
        <v>0</v>
      </c>
    </row>
    <row r="949" spans="1:15" s="360" customFormat="1" ht="51" hidden="1">
      <c r="A949" s="356" t="s">
        <v>460</v>
      </c>
      <c r="B949" s="632" t="s">
        <v>3330</v>
      </c>
      <c r="C949" s="611">
        <f t="shared" si="92"/>
        <v>0</v>
      </c>
      <c r="D949" s="354" t="s">
        <v>5</v>
      </c>
      <c r="E949" s="607">
        <f t="shared" si="102"/>
        <v>5601.67</v>
      </c>
      <c r="F949" s="792">
        <f t="shared" si="90"/>
        <v>0</v>
      </c>
      <c r="G949" s="358">
        <f>'PART-B'!I322</f>
        <v>0</v>
      </c>
      <c r="H949" s="354" t="s">
        <v>5</v>
      </c>
      <c r="I949" s="355">
        <f>'PART-B'!K322</f>
        <v>5601.67</v>
      </c>
      <c r="J949" s="353">
        <f t="shared" si="93"/>
        <v>0</v>
      </c>
      <c r="K949" s="669">
        <f t="shared" si="100"/>
        <v>0</v>
      </c>
      <c r="L949" s="368">
        <f t="shared" si="101"/>
        <v>0</v>
      </c>
      <c r="M949" s="633" t="s">
        <v>2313</v>
      </c>
      <c r="N949" s="223"/>
      <c r="O949" s="631">
        <f t="shared" si="103"/>
        <v>0</v>
      </c>
    </row>
    <row r="950" spans="1:15" s="360" customFormat="1" ht="15" hidden="1">
      <c r="A950" s="356" t="s">
        <v>476</v>
      </c>
      <c r="B950" s="632" t="s">
        <v>1219</v>
      </c>
      <c r="C950" s="611">
        <f t="shared" si="92"/>
        <v>0</v>
      </c>
      <c r="D950" s="354" t="s">
        <v>5</v>
      </c>
      <c r="E950" s="607">
        <f t="shared" si="102"/>
        <v>3828.3500000000004</v>
      </c>
      <c r="F950" s="792">
        <f t="shared" si="90"/>
        <v>0</v>
      </c>
      <c r="G950" s="358">
        <f>'PART-B'!I161</f>
        <v>0</v>
      </c>
      <c r="H950" s="354" t="s">
        <v>5</v>
      </c>
      <c r="I950" s="355">
        <f>'PART-B'!K161</f>
        <v>3828.3500000000004</v>
      </c>
      <c r="J950" s="353">
        <f t="shared" si="93"/>
        <v>0</v>
      </c>
      <c r="K950" s="669">
        <f t="shared" si="100"/>
        <v>0</v>
      </c>
      <c r="L950" s="368">
        <f t="shared" si="101"/>
        <v>0</v>
      </c>
      <c r="M950" s="633" t="s">
        <v>2313</v>
      </c>
      <c r="N950" s="223"/>
      <c r="O950" s="631">
        <f t="shared" si="103"/>
        <v>0</v>
      </c>
    </row>
    <row r="951" spans="1:15" s="360" customFormat="1" ht="15" hidden="1">
      <c r="A951" s="356" t="s">
        <v>479</v>
      </c>
      <c r="B951" s="632" t="s">
        <v>828</v>
      </c>
      <c r="C951" s="611">
        <f t="shared" si="92"/>
        <v>0</v>
      </c>
      <c r="D951" s="354" t="s">
        <v>5</v>
      </c>
      <c r="E951" s="607">
        <f t="shared" si="102"/>
        <v>6869.83</v>
      </c>
      <c r="F951" s="792">
        <f t="shared" si="90"/>
        <v>0</v>
      </c>
      <c r="G951" s="358">
        <f>'PART-B'!I169</f>
        <v>0</v>
      </c>
      <c r="H951" s="354" t="s">
        <v>5</v>
      </c>
      <c r="I951" s="355">
        <f>'PART-B'!K169</f>
        <v>6869.83</v>
      </c>
      <c r="J951" s="353">
        <f t="shared" si="93"/>
        <v>0</v>
      </c>
      <c r="K951" s="669">
        <f t="shared" si="100"/>
        <v>0</v>
      </c>
      <c r="L951" s="368">
        <f t="shared" si="101"/>
        <v>0</v>
      </c>
      <c r="M951" s="633" t="s">
        <v>2313</v>
      </c>
      <c r="N951" s="223"/>
      <c r="O951" s="631">
        <f t="shared" si="103"/>
        <v>0</v>
      </c>
    </row>
    <row r="952" spans="1:15" s="360" customFormat="1" ht="15" hidden="1">
      <c r="A952" s="356" t="s">
        <v>480</v>
      </c>
      <c r="B952" s="632" t="s">
        <v>829</v>
      </c>
      <c r="C952" s="611">
        <f t="shared" si="92"/>
        <v>0</v>
      </c>
      <c r="D952" s="354" t="s">
        <v>5</v>
      </c>
      <c r="E952" s="607">
        <f t="shared" si="102"/>
        <v>6926.2300000000005</v>
      </c>
      <c r="F952" s="792">
        <f t="shared" si="90"/>
        <v>0</v>
      </c>
      <c r="G952" s="358">
        <f>'PART-B'!I177</f>
        <v>0</v>
      </c>
      <c r="H952" s="354" t="s">
        <v>5</v>
      </c>
      <c r="I952" s="355">
        <f>'PART-B'!K177</f>
        <v>6926.2300000000005</v>
      </c>
      <c r="J952" s="353">
        <f t="shared" si="93"/>
        <v>0</v>
      </c>
      <c r="K952" s="669">
        <f t="shared" si="100"/>
        <v>0</v>
      </c>
      <c r="L952" s="368">
        <f t="shared" si="101"/>
        <v>0</v>
      </c>
      <c r="M952" s="633" t="s">
        <v>2313</v>
      </c>
      <c r="N952" s="223"/>
      <c r="O952" s="631">
        <f t="shared" si="103"/>
        <v>0</v>
      </c>
    </row>
    <row r="953" spans="1:15" s="360" customFormat="1" ht="25.5" hidden="1">
      <c r="A953" s="356" t="s">
        <v>484</v>
      </c>
      <c r="B953" s="632" t="s">
        <v>705</v>
      </c>
      <c r="C953" s="611">
        <f t="shared" si="92"/>
        <v>0</v>
      </c>
      <c r="D953" s="354" t="s">
        <v>102</v>
      </c>
      <c r="E953" s="607">
        <f t="shared" si="102"/>
        <v>865.32</v>
      </c>
      <c r="F953" s="792">
        <f t="shared" ref="F953:F1016" si="104">ROUND(C953*E953,0)</f>
        <v>0</v>
      </c>
      <c r="G953" s="358">
        <f>'PART-B'!I184</f>
        <v>0</v>
      </c>
      <c r="H953" s="354" t="s">
        <v>102</v>
      </c>
      <c r="I953" s="355">
        <f>'PART-B'!K184</f>
        <v>865.32</v>
      </c>
      <c r="J953" s="353">
        <f t="shared" si="93"/>
        <v>0</v>
      </c>
      <c r="K953" s="669">
        <f t="shared" si="100"/>
        <v>0</v>
      </c>
      <c r="L953" s="368">
        <f t="shared" si="101"/>
        <v>0</v>
      </c>
      <c r="M953" s="633" t="s">
        <v>2313</v>
      </c>
      <c r="N953" s="223"/>
      <c r="O953" s="631">
        <f t="shared" si="103"/>
        <v>0</v>
      </c>
    </row>
    <row r="954" spans="1:15" s="360" customFormat="1" ht="15" hidden="1">
      <c r="A954" s="356" t="s">
        <v>482</v>
      </c>
      <c r="B954" s="632" t="s">
        <v>1221</v>
      </c>
      <c r="C954" s="611">
        <f t="shared" si="92"/>
        <v>0</v>
      </c>
      <c r="D954" s="354" t="s">
        <v>102</v>
      </c>
      <c r="E954" s="607">
        <f t="shared" si="102"/>
        <v>6281.3700000000008</v>
      </c>
      <c r="F954" s="792">
        <f t="shared" si="104"/>
        <v>0</v>
      </c>
      <c r="G954" s="358">
        <f>'PART-B'!I192</f>
        <v>0</v>
      </c>
      <c r="H954" s="354" t="s">
        <v>102</v>
      </c>
      <c r="I954" s="355">
        <f>'PART-B'!K192</f>
        <v>6281.3700000000008</v>
      </c>
      <c r="J954" s="353">
        <f t="shared" si="93"/>
        <v>0</v>
      </c>
      <c r="K954" s="669">
        <f t="shared" si="100"/>
        <v>0</v>
      </c>
      <c r="L954" s="368">
        <f t="shared" si="101"/>
        <v>0</v>
      </c>
      <c r="M954" s="633" t="s">
        <v>2313</v>
      </c>
      <c r="N954" s="223"/>
      <c r="O954" s="631">
        <f t="shared" si="103"/>
        <v>0</v>
      </c>
    </row>
    <row r="955" spans="1:15" s="360" customFormat="1" ht="15" hidden="1">
      <c r="A955" s="356" t="s">
        <v>479</v>
      </c>
      <c r="B955" s="632" t="s">
        <v>1214</v>
      </c>
      <c r="C955" s="611">
        <f t="shared" si="92"/>
        <v>0</v>
      </c>
      <c r="D955" s="354" t="s">
        <v>102</v>
      </c>
      <c r="E955" s="607">
        <f t="shared" si="102"/>
        <v>2232.9699999999998</v>
      </c>
      <c r="F955" s="792">
        <f t="shared" si="104"/>
        <v>0</v>
      </c>
      <c r="G955" s="358">
        <f>'PART-B'!I199</f>
        <v>0</v>
      </c>
      <c r="H955" s="354" t="s">
        <v>102</v>
      </c>
      <c r="I955" s="355">
        <f>'PART-B'!K199</f>
        <v>2232.9699999999998</v>
      </c>
      <c r="J955" s="353">
        <f t="shared" si="93"/>
        <v>0</v>
      </c>
      <c r="K955" s="669">
        <f t="shared" si="100"/>
        <v>0</v>
      </c>
      <c r="L955" s="368">
        <f t="shared" si="101"/>
        <v>0</v>
      </c>
      <c r="M955" s="633" t="s">
        <v>2313</v>
      </c>
      <c r="N955" s="223"/>
      <c r="O955" s="631">
        <f t="shared" si="103"/>
        <v>0</v>
      </c>
    </row>
    <row r="956" spans="1:15" s="360" customFormat="1" ht="63.75" hidden="1">
      <c r="A956" s="356" t="s">
        <v>462</v>
      </c>
      <c r="B956" s="632" t="s">
        <v>3194</v>
      </c>
      <c r="C956" s="611">
        <f t="shared" si="92"/>
        <v>0</v>
      </c>
      <c r="D956" s="354" t="s">
        <v>102</v>
      </c>
      <c r="E956" s="607">
        <f t="shared" si="102"/>
        <v>318.2</v>
      </c>
      <c r="F956" s="792">
        <f t="shared" si="104"/>
        <v>0</v>
      </c>
      <c r="G956" s="358">
        <f>'PART-B'!I223</f>
        <v>0</v>
      </c>
      <c r="H956" s="354" t="s">
        <v>102</v>
      </c>
      <c r="I956" s="355">
        <f>'PART-B'!K223</f>
        <v>318.2</v>
      </c>
      <c r="J956" s="353">
        <f t="shared" si="93"/>
        <v>0</v>
      </c>
      <c r="K956" s="669">
        <f t="shared" si="100"/>
        <v>0</v>
      </c>
      <c r="L956" s="368">
        <f t="shared" si="101"/>
        <v>0</v>
      </c>
      <c r="M956" s="633" t="s">
        <v>2313</v>
      </c>
      <c r="N956" s="223"/>
      <c r="O956" s="631">
        <f t="shared" si="103"/>
        <v>0</v>
      </c>
    </row>
    <row r="957" spans="1:15" s="360" customFormat="1" ht="15" hidden="1">
      <c r="A957" s="356" t="s">
        <v>483</v>
      </c>
      <c r="B957" s="632" t="s">
        <v>505</v>
      </c>
      <c r="C957" s="611">
        <f t="shared" si="92"/>
        <v>0</v>
      </c>
      <c r="D957" s="354" t="s">
        <v>102</v>
      </c>
      <c r="E957" s="607">
        <f t="shared" si="102"/>
        <v>294.70999999999998</v>
      </c>
      <c r="F957" s="792">
        <f t="shared" si="104"/>
        <v>0</v>
      </c>
      <c r="G957" s="358">
        <f>'PART-B'!I233</f>
        <v>0</v>
      </c>
      <c r="H957" s="354" t="s">
        <v>102</v>
      </c>
      <c r="I957" s="355">
        <f>'PART-B'!K233</f>
        <v>294.70999999999998</v>
      </c>
      <c r="J957" s="353">
        <f t="shared" si="93"/>
        <v>0</v>
      </c>
      <c r="K957" s="669">
        <f t="shared" si="100"/>
        <v>0</v>
      </c>
      <c r="L957" s="368">
        <f t="shared" si="101"/>
        <v>0</v>
      </c>
      <c r="M957" s="633" t="s">
        <v>2313</v>
      </c>
      <c r="N957" s="223"/>
      <c r="O957" s="631">
        <f t="shared" si="103"/>
        <v>0</v>
      </c>
    </row>
    <row r="958" spans="1:15" s="360" customFormat="1" ht="63.75" hidden="1">
      <c r="A958" s="356" t="s">
        <v>461</v>
      </c>
      <c r="B958" s="632" t="s">
        <v>593</v>
      </c>
      <c r="C958" s="611">
        <f t="shared" si="92"/>
        <v>0</v>
      </c>
      <c r="D958" s="354" t="s">
        <v>102</v>
      </c>
      <c r="E958" s="607">
        <f t="shared" si="102"/>
        <v>314.89999999999998</v>
      </c>
      <c r="F958" s="792">
        <f t="shared" si="104"/>
        <v>0</v>
      </c>
      <c r="G958" s="358">
        <f>'PART-B'!I251</f>
        <v>0</v>
      </c>
      <c r="H958" s="354" t="s">
        <v>102</v>
      </c>
      <c r="I958" s="355">
        <f>'PART-B'!K251</f>
        <v>314.89999999999998</v>
      </c>
      <c r="J958" s="353">
        <f t="shared" si="93"/>
        <v>0</v>
      </c>
      <c r="K958" s="669">
        <f t="shared" si="100"/>
        <v>0</v>
      </c>
      <c r="L958" s="368">
        <f t="shared" si="101"/>
        <v>0</v>
      </c>
      <c r="M958" s="633" t="s">
        <v>2313</v>
      </c>
      <c r="N958" s="223"/>
      <c r="O958" s="631">
        <f t="shared" si="103"/>
        <v>0</v>
      </c>
    </row>
    <row r="959" spans="1:15" s="360" customFormat="1" ht="51" hidden="1">
      <c r="A959" s="356" t="s">
        <v>463</v>
      </c>
      <c r="B959" s="632" t="s">
        <v>3196</v>
      </c>
      <c r="C959" s="611">
        <f t="shared" si="92"/>
        <v>0</v>
      </c>
      <c r="D959" s="354" t="s">
        <v>102</v>
      </c>
      <c r="E959" s="607">
        <f t="shared" si="102"/>
        <v>388.21</v>
      </c>
      <c r="F959" s="792">
        <f t="shared" si="104"/>
        <v>0</v>
      </c>
      <c r="G959" s="358">
        <f>'PART-B'!I297</f>
        <v>0</v>
      </c>
      <c r="H959" s="354" t="s">
        <v>102</v>
      </c>
      <c r="I959" s="355">
        <f>'PART-B'!K297</f>
        <v>388.21</v>
      </c>
      <c r="J959" s="353">
        <f t="shared" si="93"/>
        <v>0</v>
      </c>
      <c r="K959" s="669">
        <f t="shared" si="100"/>
        <v>0</v>
      </c>
      <c r="L959" s="368">
        <f t="shared" si="101"/>
        <v>0</v>
      </c>
      <c r="M959" s="633" t="s">
        <v>2313</v>
      </c>
      <c r="N959" s="223"/>
      <c r="O959" s="631">
        <f t="shared" si="103"/>
        <v>0</v>
      </c>
    </row>
    <row r="960" spans="1:15" s="360" customFormat="1" ht="15" hidden="1">
      <c r="A960" s="356" t="s">
        <v>488</v>
      </c>
      <c r="B960" s="632" t="s">
        <v>541</v>
      </c>
      <c r="C960" s="611">
        <f t="shared" si="92"/>
        <v>0</v>
      </c>
      <c r="D960" s="354" t="s">
        <v>102</v>
      </c>
      <c r="E960" s="607">
        <f t="shared" si="102"/>
        <v>404.02</v>
      </c>
      <c r="F960" s="792">
        <f t="shared" si="104"/>
        <v>0</v>
      </c>
      <c r="G960" s="358">
        <f>'PART-B'!I304</f>
        <v>0</v>
      </c>
      <c r="H960" s="354" t="s">
        <v>102</v>
      </c>
      <c r="I960" s="355">
        <f>'PART-B'!K304</f>
        <v>404.02</v>
      </c>
      <c r="J960" s="353">
        <f t="shared" si="93"/>
        <v>0</v>
      </c>
      <c r="K960" s="669">
        <f t="shared" si="100"/>
        <v>0</v>
      </c>
      <c r="L960" s="368">
        <f t="shared" si="101"/>
        <v>0</v>
      </c>
      <c r="M960" s="633" t="s">
        <v>2313</v>
      </c>
      <c r="N960" s="223"/>
      <c r="O960" s="631">
        <f t="shared" si="103"/>
        <v>0</v>
      </c>
    </row>
    <row r="961" spans="1:15" s="360" customFormat="1" ht="15" hidden="1">
      <c r="A961" s="356" t="s">
        <v>510</v>
      </c>
      <c r="B961" s="632" t="s">
        <v>507</v>
      </c>
      <c r="C961" s="611">
        <f t="shared" si="92"/>
        <v>0</v>
      </c>
      <c r="D961" s="354" t="s">
        <v>102</v>
      </c>
      <c r="E961" s="607">
        <f t="shared" si="102"/>
        <v>1067.3599999999999</v>
      </c>
      <c r="F961" s="792">
        <f t="shared" si="104"/>
        <v>0</v>
      </c>
      <c r="G961" s="358">
        <f>'PART-B'!I338</f>
        <v>0</v>
      </c>
      <c r="H961" s="354" t="s">
        <v>102</v>
      </c>
      <c r="I961" s="355">
        <f>'PART-B'!K338</f>
        <v>1067.3599999999999</v>
      </c>
      <c r="J961" s="353">
        <f t="shared" si="93"/>
        <v>0</v>
      </c>
      <c r="K961" s="669">
        <f t="shared" si="100"/>
        <v>0</v>
      </c>
      <c r="L961" s="368">
        <f t="shared" si="101"/>
        <v>0</v>
      </c>
      <c r="M961" s="633" t="s">
        <v>2313</v>
      </c>
      <c r="N961" s="223"/>
      <c r="O961" s="631">
        <f t="shared" si="103"/>
        <v>0</v>
      </c>
    </row>
    <row r="962" spans="1:15" s="360" customFormat="1" ht="15" hidden="1">
      <c r="A962" s="356" t="s">
        <v>1520</v>
      </c>
      <c r="B962" s="632" t="s">
        <v>1480</v>
      </c>
      <c r="C962" s="611">
        <f t="shared" si="92"/>
        <v>0</v>
      </c>
      <c r="D962" s="354" t="s">
        <v>102</v>
      </c>
      <c r="E962" s="607">
        <f t="shared" si="102"/>
        <v>1062.03</v>
      </c>
      <c r="F962" s="792">
        <f t="shared" si="104"/>
        <v>0</v>
      </c>
      <c r="G962" s="358">
        <f>'PART-B'!I354</f>
        <v>0</v>
      </c>
      <c r="H962" s="354" t="s">
        <v>102</v>
      </c>
      <c r="I962" s="355">
        <f>'PART-B'!K354</f>
        <v>1062.03</v>
      </c>
      <c r="J962" s="353">
        <f t="shared" si="93"/>
        <v>0</v>
      </c>
      <c r="K962" s="669">
        <f t="shared" si="100"/>
        <v>0</v>
      </c>
      <c r="L962" s="368">
        <f t="shared" si="101"/>
        <v>0</v>
      </c>
      <c r="M962" s="633" t="s">
        <v>2313</v>
      </c>
      <c r="N962" s="223"/>
      <c r="O962" s="631">
        <f t="shared" si="103"/>
        <v>0</v>
      </c>
    </row>
    <row r="963" spans="1:15" s="360" customFormat="1" ht="15" hidden="1">
      <c r="A963" s="356" t="s">
        <v>492</v>
      </c>
      <c r="B963" s="632" t="s">
        <v>708</v>
      </c>
      <c r="C963" s="611">
        <f t="shared" si="92"/>
        <v>0</v>
      </c>
      <c r="D963" s="354" t="s">
        <v>77</v>
      </c>
      <c r="E963" s="607">
        <f t="shared" si="102"/>
        <v>3115.07</v>
      </c>
      <c r="F963" s="792">
        <f t="shared" si="104"/>
        <v>0</v>
      </c>
      <c r="G963" s="358">
        <f>'PART-B'!I361</f>
        <v>0</v>
      </c>
      <c r="H963" s="354" t="s">
        <v>77</v>
      </c>
      <c r="I963" s="355">
        <f>'PART-B'!K361</f>
        <v>3115.07</v>
      </c>
      <c r="J963" s="353">
        <f t="shared" si="93"/>
        <v>0</v>
      </c>
      <c r="K963" s="669">
        <f t="shared" si="100"/>
        <v>0</v>
      </c>
      <c r="L963" s="368">
        <f t="shared" si="101"/>
        <v>0</v>
      </c>
      <c r="M963" s="633" t="s">
        <v>2313</v>
      </c>
      <c r="N963" s="223"/>
      <c r="O963" s="631">
        <f t="shared" si="103"/>
        <v>0</v>
      </c>
    </row>
    <row r="964" spans="1:15" s="360" customFormat="1" ht="15" hidden="1">
      <c r="A964" s="356" t="s">
        <v>493</v>
      </c>
      <c r="B964" s="632" t="s">
        <v>709</v>
      </c>
      <c r="C964" s="611">
        <f t="shared" si="92"/>
        <v>0</v>
      </c>
      <c r="D964" s="354" t="s">
        <v>102</v>
      </c>
      <c r="E964" s="607">
        <f t="shared" si="102"/>
        <v>2905.43</v>
      </c>
      <c r="F964" s="792">
        <f t="shared" si="104"/>
        <v>0</v>
      </c>
      <c r="G964" s="358">
        <f>'PART-B'!I369</f>
        <v>0</v>
      </c>
      <c r="H964" s="354" t="s">
        <v>102</v>
      </c>
      <c r="I964" s="355">
        <f>'PART-B'!K369</f>
        <v>2905.43</v>
      </c>
      <c r="J964" s="353">
        <f t="shared" si="93"/>
        <v>0</v>
      </c>
      <c r="K964" s="669">
        <f t="shared" si="100"/>
        <v>0</v>
      </c>
      <c r="L964" s="368">
        <f t="shared" si="101"/>
        <v>0</v>
      </c>
      <c r="M964" s="633" t="s">
        <v>2313</v>
      </c>
      <c r="N964" s="223"/>
      <c r="O964" s="631">
        <f t="shared" si="103"/>
        <v>0</v>
      </c>
    </row>
    <row r="965" spans="1:15" s="360" customFormat="1" ht="15" hidden="1">
      <c r="A965" s="356" t="s">
        <v>498</v>
      </c>
      <c r="B965" s="632" t="s">
        <v>710</v>
      </c>
      <c r="C965" s="611">
        <f t="shared" si="92"/>
        <v>0</v>
      </c>
      <c r="D965" s="354" t="s">
        <v>102</v>
      </c>
      <c r="E965" s="607">
        <f t="shared" si="102"/>
        <v>744.7</v>
      </c>
      <c r="F965" s="792">
        <f t="shared" si="104"/>
        <v>0</v>
      </c>
      <c r="G965" s="358">
        <f>'PART-B'!I376</f>
        <v>0</v>
      </c>
      <c r="H965" s="354" t="s">
        <v>102</v>
      </c>
      <c r="I965" s="355">
        <f>'PART-B'!K376</f>
        <v>744.7</v>
      </c>
      <c r="J965" s="353">
        <f t="shared" si="93"/>
        <v>0</v>
      </c>
      <c r="K965" s="669">
        <f t="shared" si="100"/>
        <v>0</v>
      </c>
      <c r="L965" s="368">
        <f t="shared" si="101"/>
        <v>0</v>
      </c>
      <c r="M965" s="633" t="s">
        <v>2313</v>
      </c>
      <c r="N965" s="223"/>
      <c r="O965" s="631">
        <f t="shared" si="103"/>
        <v>0</v>
      </c>
    </row>
    <row r="966" spans="1:15" s="360" customFormat="1" ht="15" hidden="1">
      <c r="A966" s="356" t="s">
        <v>499</v>
      </c>
      <c r="B966" s="632" t="s">
        <v>711</v>
      </c>
      <c r="C966" s="611">
        <f t="shared" si="92"/>
        <v>0</v>
      </c>
      <c r="D966" s="354" t="s">
        <v>102</v>
      </c>
      <c r="E966" s="607">
        <f t="shared" si="102"/>
        <v>750.18</v>
      </c>
      <c r="F966" s="792">
        <f t="shared" si="104"/>
        <v>0</v>
      </c>
      <c r="G966" s="358">
        <f>'PART-B'!I383</f>
        <v>0</v>
      </c>
      <c r="H966" s="354" t="s">
        <v>102</v>
      </c>
      <c r="I966" s="355">
        <f>'PART-B'!K383</f>
        <v>750.18</v>
      </c>
      <c r="J966" s="353">
        <f t="shared" si="93"/>
        <v>0</v>
      </c>
      <c r="K966" s="669">
        <f t="shared" si="100"/>
        <v>0</v>
      </c>
      <c r="L966" s="368">
        <f t="shared" si="101"/>
        <v>0</v>
      </c>
      <c r="M966" s="633" t="s">
        <v>2313</v>
      </c>
      <c r="N966" s="223"/>
      <c r="O966" s="631">
        <f t="shared" si="103"/>
        <v>0</v>
      </c>
    </row>
    <row r="967" spans="1:15" s="360" customFormat="1" ht="51" hidden="1">
      <c r="A967" s="356" t="s">
        <v>512</v>
      </c>
      <c r="B967" s="632" t="s">
        <v>3211</v>
      </c>
      <c r="C967" s="611">
        <f t="shared" si="92"/>
        <v>0</v>
      </c>
      <c r="D967" s="354" t="s">
        <v>102</v>
      </c>
      <c r="E967" s="607">
        <f t="shared" si="102"/>
        <v>801.83</v>
      </c>
      <c r="F967" s="792">
        <f t="shared" si="104"/>
        <v>0</v>
      </c>
      <c r="G967" s="358">
        <f>'PART-B'!I395</f>
        <v>0</v>
      </c>
      <c r="H967" s="354" t="s">
        <v>102</v>
      </c>
      <c r="I967" s="355">
        <f>'PART-B'!K395</f>
        <v>801.83</v>
      </c>
      <c r="J967" s="353">
        <f t="shared" si="93"/>
        <v>0</v>
      </c>
      <c r="K967" s="669">
        <f t="shared" si="100"/>
        <v>0</v>
      </c>
      <c r="L967" s="368">
        <f t="shared" si="101"/>
        <v>0</v>
      </c>
      <c r="M967" s="633" t="s">
        <v>2313</v>
      </c>
      <c r="N967" s="223"/>
      <c r="O967" s="631">
        <f t="shared" si="103"/>
        <v>0</v>
      </c>
    </row>
    <row r="968" spans="1:15" s="360" customFormat="1" ht="63.75" hidden="1">
      <c r="A968" s="356" t="s">
        <v>513</v>
      </c>
      <c r="B968" s="632" t="s">
        <v>3212</v>
      </c>
      <c r="C968" s="611">
        <f t="shared" si="92"/>
        <v>0</v>
      </c>
      <c r="D968" s="354" t="s">
        <v>102</v>
      </c>
      <c r="E968" s="607">
        <f t="shared" si="102"/>
        <v>518.15</v>
      </c>
      <c r="F968" s="792">
        <f t="shared" si="104"/>
        <v>0</v>
      </c>
      <c r="G968" s="358">
        <f>'PART-B'!I410</f>
        <v>0</v>
      </c>
      <c r="H968" s="354" t="s">
        <v>102</v>
      </c>
      <c r="I968" s="355">
        <f>'PART-B'!K410</f>
        <v>518.15</v>
      </c>
      <c r="J968" s="353">
        <f t="shared" si="93"/>
        <v>0</v>
      </c>
      <c r="K968" s="669">
        <f t="shared" si="100"/>
        <v>0</v>
      </c>
      <c r="L968" s="368">
        <f t="shared" si="101"/>
        <v>0</v>
      </c>
      <c r="M968" s="633" t="s">
        <v>2313</v>
      </c>
      <c r="N968" s="223"/>
      <c r="O968" s="631">
        <f t="shared" si="103"/>
        <v>0</v>
      </c>
    </row>
    <row r="969" spans="1:15" s="360" customFormat="1" ht="38.25">
      <c r="A969" s="356" t="s">
        <v>494</v>
      </c>
      <c r="B969" s="632" t="s">
        <v>3331</v>
      </c>
      <c r="C969" s="611">
        <f t="shared" si="92"/>
        <v>22.14</v>
      </c>
      <c r="D969" s="354" t="s">
        <v>102</v>
      </c>
      <c r="E969" s="607">
        <f t="shared" si="102"/>
        <v>1017.93</v>
      </c>
      <c r="F969" s="792">
        <f t="shared" si="104"/>
        <v>22537</v>
      </c>
      <c r="G969" s="358">
        <f>'PART-B'!I416</f>
        <v>22.14</v>
      </c>
      <c r="H969" s="354" t="s">
        <v>102</v>
      </c>
      <c r="I969" s="355">
        <f>'PART-B'!K416</f>
        <v>1017.93</v>
      </c>
      <c r="J969" s="353">
        <f t="shared" si="93"/>
        <v>22536.97</v>
      </c>
      <c r="K969" s="669">
        <f t="shared" si="100"/>
        <v>0</v>
      </c>
      <c r="L969" s="368">
        <f t="shared" si="101"/>
        <v>2.9999999998835847E-2</v>
      </c>
      <c r="M969" s="633" t="s">
        <v>2313</v>
      </c>
      <c r="N969" s="223"/>
      <c r="O969" s="631">
        <f t="shared" si="103"/>
        <v>2.9999999998835847E-2</v>
      </c>
    </row>
    <row r="970" spans="1:15" s="360" customFormat="1" ht="15" hidden="1">
      <c r="A970" s="356"/>
      <c r="B970" s="632" t="s">
        <v>2262</v>
      </c>
      <c r="C970" s="611">
        <f t="shared" si="92"/>
        <v>0</v>
      </c>
      <c r="D970" s="354" t="s">
        <v>102</v>
      </c>
      <c r="E970" s="607">
        <f t="shared" si="102"/>
        <v>610</v>
      </c>
      <c r="F970" s="792">
        <f t="shared" si="104"/>
        <v>0</v>
      </c>
      <c r="G970" s="358">
        <f>'PART-B'!I423</f>
        <v>0</v>
      </c>
      <c r="H970" s="354" t="s">
        <v>102</v>
      </c>
      <c r="I970" s="355">
        <f>'PART-B'!K423</f>
        <v>610</v>
      </c>
      <c r="J970" s="353">
        <f t="shared" si="93"/>
        <v>0</v>
      </c>
      <c r="K970" s="669">
        <f t="shared" si="100"/>
        <v>0</v>
      </c>
      <c r="L970" s="368">
        <f t="shared" si="101"/>
        <v>0</v>
      </c>
      <c r="M970" s="633" t="s">
        <v>2313</v>
      </c>
      <c r="N970" s="223"/>
      <c r="O970" s="631">
        <f t="shared" si="103"/>
        <v>0</v>
      </c>
    </row>
    <row r="971" spans="1:15" s="360" customFormat="1" ht="15" hidden="1">
      <c r="A971" s="356"/>
      <c r="B971" s="632" t="s">
        <v>2263</v>
      </c>
      <c r="C971" s="611">
        <f t="shared" si="92"/>
        <v>0</v>
      </c>
      <c r="D971" s="354" t="s">
        <v>102</v>
      </c>
      <c r="E971" s="607">
        <f t="shared" si="102"/>
        <v>345.47</v>
      </c>
      <c r="F971" s="792">
        <f t="shared" si="104"/>
        <v>0</v>
      </c>
      <c r="G971" s="358">
        <f>'PART-B'!I430</f>
        <v>0</v>
      </c>
      <c r="H971" s="354" t="s">
        <v>102</v>
      </c>
      <c r="I971" s="355">
        <f>'PART-B'!K430</f>
        <v>345.47</v>
      </c>
      <c r="J971" s="353">
        <f t="shared" si="93"/>
        <v>0</v>
      </c>
      <c r="K971" s="669">
        <f t="shared" si="100"/>
        <v>0</v>
      </c>
      <c r="L971" s="368">
        <f t="shared" si="101"/>
        <v>0</v>
      </c>
      <c r="M971" s="633" t="s">
        <v>2313</v>
      </c>
      <c r="N971" s="223"/>
      <c r="O971" s="631">
        <f t="shared" si="103"/>
        <v>0</v>
      </c>
    </row>
    <row r="972" spans="1:15" s="360" customFormat="1" ht="15" hidden="1">
      <c r="A972" s="356" t="s">
        <v>491</v>
      </c>
      <c r="B972" s="632" t="s">
        <v>959</v>
      </c>
      <c r="C972" s="611">
        <f t="shared" si="92"/>
        <v>0</v>
      </c>
      <c r="D972" s="354" t="s">
        <v>102</v>
      </c>
      <c r="E972" s="607">
        <f t="shared" si="102"/>
        <v>24.05</v>
      </c>
      <c r="F972" s="792">
        <f t="shared" si="104"/>
        <v>0</v>
      </c>
      <c r="G972" s="358">
        <f>'PART-B'!I437</f>
        <v>0</v>
      </c>
      <c r="H972" s="354" t="s">
        <v>102</v>
      </c>
      <c r="I972" s="355">
        <f>'PART-B'!K437</f>
        <v>24.05</v>
      </c>
      <c r="J972" s="353">
        <f t="shared" si="93"/>
        <v>0</v>
      </c>
      <c r="K972" s="669">
        <f t="shared" si="100"/>
        <v>0</v>
      </c>
      <c r="L972" s="368">
        <f t="shared" si="101"/>
        <v>0</v>
      </c>
      <c r="M972" s="633" t="s">
        <v>2313</v>
      </c>
      <c r="N972" s="223"/>
      <c r="O972" s="631">
        <f t="shared" si="103"/>
        <v>0</v>
      </c>
    </row>
    <row r="973" spans="1:15" s="360" customFormat="1" ht="51" hidden="1">
      <c r="A973" s="356" t="s">
        <v>463</v>
      </c>
      <c r="B973" s="632" t="s">
        <v>3332</v>
      </c>
      <c r="C973" s="611">
        <f t="shared" si="92"/>
        <v>0</v>
      </c>
      <c r="D973" s="354" t="s">
        <v>102</v>
      </c>
      <c r="E973" s="607">
        <f t="shared" si="102"/>
        <v>173.73</v>
      </c>
      <c r="F973" s="792">
        <f t="shared" si="104"/>
        <v>0</v>
      </c>
      <c r="G973" s="358">
        <f>'PART-B'!I485</f>
        <v>0</v>
      </c>
      <c r="H973" s="354" t="s">
        <v>102</v>
      </c>
      <c r="I973" s="355">
        <f>'PART-B'!K485</f>
        <v>173.73</v>
      </c>
      <c r="J973" s="353">
        <f t="shared" si="93"/>
        <v>0</v>
      </c>
      <c r="K973" s="669">
        <f t="shared" si="100"/>
        <v>0</v>
      </c>
      <c r="L973" s="368">
        <f t="shared" si="101"/>
        <v>0</v>
      </c>
      <c r="M973" s="633" t="s">
        <v>2313</v>
      </c>
      <c r="N973" s="223"/>
      <c r="O973" s="631">
        <f t="shared" si="103"/>
        <v>0</v>
      </c>
    </row>
    <row r="974" spans="1:15" s="360" customFormat="1" ht="51">
      <c r="A974" s="356" t="s">
        <v>495</v>
      </c>
      <c r="B974" s="632" t="s">
        <v>3204</v>
      </c>
      <c r="C974" s="611">
        <f t="shared" si="92"/>
        <v>268.64000000000004</v>
      </c>
      <c r="D974" s="354" t="s">
        <v>102</v>
      </c>
      <c r="E974" s="607">
        <f t="shared" si="102"/>
        <v>146.82</v>
      </c>
      <c r="F974" s="792">
        <f t="shared" si="104"/>
        <v>39442</v>
      </c>
      <c r="G974" s="358">
        <f>'PART-B'!I516</f>
        <v>268.64000000000004</v>
      </c>
      <c r="H974" s="354" t="s">
        <v>102</v>
      </c>
      <c r="I974" s="355">
        <f>'PART-B'!K516</f>
        <v>146.82</v>
      </c>
      <c r="J974" s="353">
        <f t="shared" si="93"/>
        <v>39441.72</v>
      </c>
      <c r="K974" s="669">
        <f t="shared" si="100"/>
        <v>0</v>
      </c>
      <c r="L974" s="368">
        <f t="shared" si="101"/>
        <v>0.27999999999883585</v>
      </c>
      <c r="M974" s="633" t="s">
        <v>2313</v>
      </c>
      <c r="N974" s="223"/>
      <c r="O974" s="631">
        <f t="shared" si="103"/>
        <v>0.27999999999883585</v>
      </c>
    </row>
    <row r="975" spans="1:15" s="360" customFormat="1" ht="51">
      <c r="A975" s="356" t="s">
        <v>1515</v>
      </c>
      <c r="B975" s="632" t="s">
        <v>3205</v>
      </c>
      <c r="C975" s="611">
        <f t="shared" si="92"/>
        <v>223.53</v>
      </c>
      <c r="D975" s="354" t="s">
        <v>102</v>
      </c>
      <c r="E975" s="607">
        <f t="shared" si="102"/>
        <v>200.84</v>
      </c>
      <c r="F975" s="792">
        <f t="shared" si="104"/>
        <v>44894</v>
      </c>
      <c r="G975" s="358">
        <f>'PART-B'!I537</f>
        <v>223.53</v>
      </c>
      <c r="H975" s="354" t="s">
        <v>102</v>
      </c>
      <c r="I975" s="355">
        <f>'PART-B'!K537</f>
        <v>200.84</v>
      </c>
      <c r="J975" s="353">
        <f t="shared" si="93"/>
        <v>44893.77</v>
      </c>
      <c r="K975" s="669">
        <f t="shared" si="100"/>
        <v>0</v>
      </c>
      <c r="L975" s="368">
        <f t="shared" si="101"/>
        <v>0.23000000000320142</v>
      </c>
      <c r="M975" s="633" t="s">
        <v>2313</v>
      </c>
      <c r="N975" s="223"/>
      <c r="O975" s="631">
        <f t="shared" si="103"/>
        <v>0.23000000000320142</v>
      </c>
    </row>
    <row r="976" spans="1:15" s="360" customFormat="1" ht="38.25">
      <c r="A976" s="356" t="s">
        <v>1516</v>
      </c>
      <c r="B976" s="632" t="s">
        <v>3333</v>
      </c>
      <c r="C976" s="611">
        <f t="shared" si="92"/>
        <v>14.879999999999999</v>
      </c>
      <c r="D976" s="354" t="s">
        <v>102</v>
      </c>
      <c r="E976" s="607">
        <f t="shared" si="102"/>
        <v>968.78</v>
      </c>
      <c r="F976" s="792">
        <f t="shared" si="104"/>
        <v>14415</v>
      </c>
      <c r="G976" s="358">
        <f>'PART-B'!I551</f>
        <v>14.879999999999999</v>
      </c>
      <c r="H976" s="354" t="s">
        <v>102</v>
      </c>
      <c r="I976" s="355">
        <f>'PART-B'!K551</f>
        <v>968.78</v>
      </c>
      <c r="J976" s="353">
        <f t="shared" si="93"/>
        <v>14415.45</v>
      </c>
      <c r="K976" s="669">
        <f t="shared" si="100"/>
        <v>0.4500000000007276</v>
      </c>
      <c r="L976" s="368">
        <f t="shared" si="101"/>
        <v>0</v>
      </c>
      <c r="M976" s="633" t="s">
        <v>2313</v>
      </c>
      <c r="N976" s="223"/>
      <c r="O976" s="631">
        <f t="shared" si="103"/>
        <v>-0.4500000000007276</v>
      </c>
    </row>
    <row r="977" spans="1:15" s="360" customFormat="1" ht="25.5" hidden="1">
      <c r="A977" s="356" t="s">
        <v>497</v>
      </c>
      <c r="B977" s="632" t="s">
        <v>706</v>
      </c>
      <c r="C977" s="611">
        <f t="shared" si="92"/>
        <v>0</v>
      </c>
      <c r="D977" s="221" t="s">
        <v>102</v>
      </c>
      <c r="E977" s="607">
        <f t="shared" si="102"/>
        <v>4025</v>
      </c>
      <c r="F977" s="792">
        <f t="shared" si="104"/>
        <v>0</v>
      </c>
      <c r="G977" s="429">
        <f>'PART-B'!I556</f>
        <v>0</v>
      </c>
      <c r="H977" s="221" t="s">
        <v>102</v>
      </c>
      <c r="I977" s="430">
        <f>'PART-B'!K556</f>
        <v>4025</v>
      </c>
      <c r="J977" s="353">
        <f t="shared" si="93"/>
        <v>0</v>
      </c>
      <c r="K977" s="669">
        <f t="shared" si="100"/>
        <v>0</v>
      </c>
      <c r="L977" s="368">
        <f t="shared" si="101"/>
        <v>0</v>
      </c>
      <c r="M977" s="633" t="s">
        <v>2313</v>
      </c>
      <c r="N977" s="223"/>
      <c r="O977" s="631">
        <f t="shared" si="103"/>
        <v>0</v>
      </c>
    </row>
    <row r="978" spans="1:15" s="360" customFormat="1" ht="38.25" hidden="1">
      <c r="A978" s="356" t="s">
        <v>515</v>
      </c>
      <c r="B978" s="632" t="s">
        <v>3334</v>
      </c>
      <c r="C978" s="611">
        <f t="shared" si="92"/>
        <v>0</v>
      </c>
      <c r="D978" s="354" t="s">
        <v>102</v>
      </c>
      <c r="E978" s="607">
        <f t="shared" si="102"/>
        <v>149.86000000000001</v>
      </c>
      <c r="F978" s="792">
        <f t="shared" si="104"/>
        <v>0</v>
      </c>
      <c r="G978" s="358">
        <f>'PART-B'!I544</f>
        <v>0</v>
      </c>
      <c r="H978" s="354" t="s">
        <v>102</v>
      </c>
      <c r="I978" s="355">
        <f>'PART-B'!K544</f>
        <v>149.86000000000001</v>
      </c>
      <c r="J978" s="353">
        <f t="shared" si="93"/>
        <v>0</v>
      </c>
      <c r="K978" s="669">
        <f t="shared" si="100"/>
        <v>0</v>
      </c>
      <c r="L978" s="368">
        <f t="shared" si="101"/>
        <v>0</v>
      </c>
      <c r="M978" s="633" t="s">
        <v>2313</v>
      </c>
      <c r="N978" s="223"/>
      <c r="O978" s="631">
        <f t="shared" si="103"/>
        <v>0</v>
      </c>
    </row>
    <row r="979" spans="1:15" s="360" customFormat="1" ht="15" hidden="1">
      <c r="A979" s="356" t="s">
        <v>497</v>
      </c>
      <c r="B979" s="632" t="s">
        <v>1481</v>
      </c>
      <c r="C979" s="611">
        <f t="shared" ref="C979:C1042" si="105">G979</f>
        <v>0</v>
      </c>
      <c r="D979" s="354" t="s">
        <v>115</v>
      </c>
      <c r="E979" s="607">
        <f t="shared" si="102"/>
        <v>808</v>
      </c>
      <c r="F979" s="792">
        <f t="shared" si="104"/>
        <v>0</v>
      </c>
      <c r="G979" s="358">
        <f>'PART-B'!I561</f>
        <v>0</v>
      </c>
      <c r="H979" s="354" t="s">
        <v>115</v>
      </c>
      <c r="I979" s="355">
        <f>'PART-B'!K561</f>
        <v>808</v>
      </c>
      <c r="J979" s="353">
        <f t="shared" ref="J979:J1042" si="106">ROUND(G979*I979,2)</f>
        <v>0</v>
      </c>
      <c r="K979" s="669">
        <f t="shared" si="100"/>
        <v>0</v>
      </c>
      <c r="L979" s="368">
        <f t="shared" si="101"/>
        <v>0</v>
      </c>
      <c r="M979" s="633" t="s">
        <v>2313</v>
      </c>
      <c r="N979" s="223"/>
      <c r="O979" s="631">
        <f t="shared" si="103"/>
        <v>0</v>
      </c>
    </row>
    <row r="980" spans="1:15" s="360" customFormat="1" ht="15" hidden="1">
      <c r="A980" s="356" t="s">
        <v>467</v>
      </c>
      <c r="B980" s="632" t="s">
        <v>1482</v>
      </c>
      <c r="C980" s="611">
        <f t="shared" si="105"/>
        <v>0</v>
      </c>
      <c r="D980" s="354" t="s">
        <v>115</v>
      </c>
      <c r="E980" s="607">
        <f t="shared" si="102"/>
        <v>500</v>
      </c>
      <c r="F980" s="792">
        <f t="shared" si="104"/>
        <v>0</v>
      </c>
      <c r="G980" s="358">
        <f>'PART-B'!I566</f>
        <v>0</v>
      </c>
      <c r="H980" s="354" t="s">
        <v>115</v>
      </c>
      <c r="I980" s="355">
        <f>'PART-B'!K566</f>
        <v>500</v>
      </c>
      <c r="J980" s="353">
        <f t="shared" si="106"/>
        <v>0</v>
      </c>
      <c r="K980" s="669">
        <f t="shared" si="100"/>
        <v>0</v>
      </c>
      <c r="L980" s="368">
        <f t="shared" si="101"/>
        <v>0</v>
      </c>
      <c r="M980" s="633" t="s">
        <v>2313</v>
      </c>
      <c r="N980" s="223"/>
      <c r="O980" s="631">
        <f t="shared" si="103"/>
        <v>0</v>
      </c>
    </row>
    <row r="981" spans="1:15" s="360" customFormat="1" ht="15" hidden="1">
      <c r="A981" s="356" t="s">
        <v>498</v>
      </c>
      <c r="B981" s="632" t="s">
        <v>1483</v>
      </c>
      <c r="C981" s="611">
        <f t="shared" si="105"/>
        <v>0</v>
      </c>
      <c r="D981" s="354" t="s">
        <v>115</v>
      </c>
      <c r="E981" s="607">
        <f t="shared" si="102"/>
        <v>130</v>
      </c>
      <c r="F981" s="792">
        <f t="shared" si="104"/>
        <v>0</v>
      </c>
      <c r="G981" s="358">
        <f>'PART-B'!I571</f>
        <v>0</v>
      </c>
      <c r="H981" s="354" t="s">
        <v>115</v>
      </c>
      <c r="I981" s="355">
        <f>'PART-B'!K571</f>
        <v>130</v>
      </c>
      <c r="J981" s="353">
        <f t="shared" si="106"/>
        <v>0</v>
      </c>
      <c r="K981" s="669">
        <f t="shared" si="100"/>
        <v>0</v>
      </c>
      <c r="L981" s="368">
        <f t="shared" si="101"/>
        <v>0</v>
      </c>
      <c r="M981" s="633" t="s">
        <v>2313</v>
      </c>
      <c r="N981" s="223"/>
      <c r="O981" s="631">
        <f t="shared" si="103"/>
        <v>0</v>
      </c>
    </row>
    <row r="982" spans="1:15" s="360" customFormat="1" ht="15" hidden="1">
      <c r="A982" s="356" t="s">
        <v>503</v>
      </c>
      <c r="B982" s="632" t="s">
        <v>477</v>
      </c>
      <c r="C982" s="611">
        <f t="shared" si="105"/>
        <v>0</v>
      </c>
      <c r="D982" s="221" t="s">
        <v>29</v>
      </c>
      <c r="E982" s="607">
        <f t="shared" si="102"/>
        <v>89280</v>
      </c>
      <c r="F982" s="792">
        <f t="shared" si="104"/>
        <v>0</v>
      </c>
      <c r="G982" s="429">
        <f>'PART-B'!I578</f>
        <v>0</v>
      </c>
      <c r="H982" s="221" t="s">
        <v>29</v>
      </c>
      <c r="I982" s="430">
        <f>'PART-B'!K578</f>
        <v>89280</v>
      </c>
      <c r="J982" s="353">
        <f t="shared" si="106"/>
        <v>0</v>
      </c>
      <c r="K982" s="669">
        <f t="shared" si="100"/>
        <v>0</v>
      </c>
      <c r="L982" s="368">
        <f t="shared" si="101"/>
        <v>0</v>
      </c>
      <c r="M982" s="633" t="s">
        <v>2313</v>
      </c>
      <c r="N982" s="223"/>
      <c r="O982" s="631">
        <f t="shared" si="103"/>
        <v>0</v>
      </c>
    </row>
    <row r="983" spans="1:15" s="360" customFormat="1" ht="15" hidden="1">
      <c r="A983" s="356" t="s">
        <v>495</v>
      </c>
      <c r="B983" s="632" t="s">
        <v>2061</v>
      </c>
      <c r="C983" s="611">
        <f t="shared" si="105"/>
        <v>0</v>
      </c>
      <c r="D983" s="354" t="s">
        <v>5</v>
      </c>
      <c r="E983" s="607">
        <f t="shared" si="102"/>
        <v>11192.01</v>
      </c>
      <c r="F983" s="792">
        <f t="shared" si="104"/>
        <v>0</v>
      </c>
      <c r="G983" s="358">
        <f>'PART-B'!I584</f>
        <v>0</v>
      </c>
      <c r="H983" s="354" t="s">
        <v>5</v>
      </c>
      <c r="I983" s="355">
        <f>'PART-B'!K584</f>
        <v>11192.01</v>
      </c>
      <c r="J983" s="353">
        <f t="shared" si="106"/>
        <v>0</v>
      </c>
      <c r="K983" s="669">
        <f t="shared" si="100"/>
        <v>0</v>
      </c>
      <c r="L983" s="368">
        <f t="shared" si="101"/>
        <v>0</v>
      </c>
      <c r="M983" s="633" t="s">
        <v>2313</v>
      </c>
      <c r="N983" s="223"/>
      <c r="O983" s="631">
        <f t="shared" si="103"/>
        <v>0</v>
      </c>
    </row>
    <row r="984" spans="1:15" s="360" customFormat="1" ht="15" hidden="1">
      <c r="A984" s="356" t="s">
        <v>1515</v>
      </c>
      <c r="B984" s="632" t="s">
        <v>2063</v>
      </c>
      <c r="C984" s="611">
        <f t="shared" si="105"/>
        <v>0</v>
      </c>
      <c r="D984" s="354" t="s">
        <v>5</v>
      </c>
      <c r="E984" s="607">
        <f t="shared" si="102"/>
        <v>10490.18</v>
      </c>
      <c r="F984" s="792">
        <f t="shared" si="104"/>
        <v>0</v>
      </c>
      <c r="G984" s="358">
        <f>'PART-B'!I590</f>
        <v>0</v>
      </c>
      <c r="H984" s="354" t="s">
        <v>5</v>
      </c>
      <c r="I984" s="355">
        <f>'PART-B'!K590</f>
        <v>10490.18</v>
      </c>
      <c r="J984" s="353">
        <f t="shared" si="106"/>
        <v>0</v>
      </c>
      <c r="K984" s="669">
        <f t="shared" si="100"/>
        <v>0</v>
      </c>
      <c r="L984" s="368">
        <f t="shared" si="101"/>
        <v>0</v>
      </c>
      <c r="M984" s="633" t="s">
        <v>2313</v>
      </c>
      <c r="N984" s="223"/>
      <c r="O984" s="631">
        <f t="shared" si="103"/>
        <v>0</v>
      </c>
    </row>
    <row r="985" spans="1:15" s="360" customFormat="1" ht="15" hidden="1">
      <c r="A985" s="356" t="s">
        <v>1516</v>
      </c>
      <c r="B985" s="632" t="s">
        <v>2064</v>
      </c>
      <c r="C985" s="611">
        <f t="shared" si="105"/>
        <v>0</v>
      </c>
      <c r="D985" s="354" t="s">
        <v>102</v>
      </c>
      <c r="E985" s="607">
        <f t="shared" si="102"/>
        <v>1395.89</v>
      </c>
      <c r="F985" s="792">
        <f t="shared" si="104"/>
        <v>0</v>
      </c>
      <c r="G985" s="358">
        <f>'PART-B'!I601</f>
        <v>0</v>
      </c>
      <c r="H985" s="354" t="s">
        <v>102</v>
      </c>
      <c r="I985" s="355">
        <f>'PART-B'!K601</f>
        <v>1395.89</v>
      </c>
      <c r="J985" s="353">
        <f t="shared" si="106"/>
        <v>0</v>
      </c>
      <c r="K985" s="669">
        <f t="shared" si="100"/>
        <v>0</v>
      </c>
      <c r="L985" s="368">
        <f t="shared" si="101"/>
        <v>0</v>
      </c>
      <c r="M985" s="633" t="s">
        <v>2313</v>
      </c>
      <c r="N985" s="223"/>
      <c r="O985" s="631">
        <f t="shared" si="103"/>
        <v>0</v>
      </c>
    </row>
    <row r="986" spans="1:15" s="360" customFormat="1" ht="15" hidden="1">
      <c r="A986" s="356" t="s">
        <v>487</v>
      </c>
      <c r="B986" s="632" t="s">
        <v>2066</v>
      </c>
      <c r="C986" s="611">
        <f t="shared" si="105"/>
        <v>0</v>
      </c>
      <c r="D986" s="354" t="s">
        <v>102</v>
      </c>
      <c r="E986" s="607">
        <f t="shared" si="102"/>
        <v>1253.01</v>
      </c>
      <c r="F986" s="792">
        <f t="shared" si="104"/>
        <v>0</v>
      </c>
      <c r="G986" s="358">
        <f>'PART-B'!I606</f>
        <v>0</v>
      </c>
      <c r="H986" s="354" t="s">
        <v>102</v>
      </c>
      <c r="I986" s="355">
        <f>'PART-B'!K606</f>
        <v>1253.01</v>
      </c>
      <c r="J986" s="353">
        <f t="shared" si="106"/>
        <v>0</v>
      </c>
      <c r="K986" s="669">
        <f t="shared" si="100"/>
        <v>0</v>
      </c>
      <c r="L986" s="368">
        <f t="shared" si="101"/>
        <v>0</v>
      </c>
      <c r="M986" s="633" t="s">
        <v>2313</v>
      </c>
      <c r="N986" s="223"/>
      <c r="O986" s="631">
        <f t="shared" si="103"/>
        <v>0</v>
      </c>
    </row>
    <row r="987" spans="1:15" s="360" customFormat="1" ht="15" hidden="1">
      <c r="A987" s="356" t="s">
        <v>1517</v>
      </c>
      <c r="B987" s="632" t="s">
        <v>2065</v>
      </c>
      <c r="C987" s="611">
        <f t="shared" si="105"/>
        <v>0</v>
      </c>
      <c r="D987" s="221" t="s">
        <v>102</v>
      </c>
      <c r="E987" s="607">
        <f t="shared" si="102"/>
        <v>1538.77</v>
      </c>
      <c r="F987" s="792">
        <f t="shared" si="104"/>
        <v>0</v>
      </c>
      <c r="G987" s="358">
        <f>'PART-B'!I595</f>
        <v>0</v>
      </c>
      <c r="H987" s="221" t="s">
        <v>102</v>
      </c>
      <c r="I987" s="355">
        <f>'PART-B'!K595</f>
        <v>1538.77</v>
      </c>
      <c r="J987" s="353">
        <f t="shared" si="106"/>
        <v>0</v>
      </c>
      <c r="K987" s="669">
        <f t="shared" si="100"/>
        <v>0</v>
      </c>
      <c r="L987" s="368">
        <f t="shared" si="101"/>
        <v>0</v>
      </c>
      <c r="M987" s="633" t="s">
        <v>2313</v>
      </c>
      <c r="N987" s="223"/>
      <c r="O987" s="631">
        <f t="shared" si="103"/>
        <v>0</v>
      </c>
    </row>
    <row r="988" spans="1:15" s="360" customFormat="1" ht="15" hidden="1">
      <c r="A988" s="356" t="s">
        <v>517</v>
      </c>
      <c r="B988" s="632" t="s">
        <v>2072</v>
      </c>
      <c r="C988" s="611">
        <f t="shared" si="105"/>
        <v>0</v>
      </c>
      <c r="D988" s="221" t="s">
        <v>102</v>
      </c>
      <c r="E988" s="607">
        <f t="shared" si="102"/>
        <v>694.54</v>
      </c>
      <c r="F988" s="792">
        <f t="shared" si="104"/>
        <v>0</v>
      </c>
      <c r="G988" s="358">
        <f>'PART-B'!I612</f>
        <v>0</v>
      </c>
      <c r="H988" s="221" t="s">
        <v>102</v>
      </c>
      <c r="I988" s="355">
        <f>'PART-B'!K612</f>
        <v>694.54</v>
      </c>
      <c r="J988" s="353">
        <f t="shared" si="106"/>
        <v>0</v>
      </c>
      <c r="K988" s="669">
        <f t="shared" si="100"/>
        <v>0</v>
      </c>
      <c r="L988" s="368">
        <f t="shared" si="101"/>
        <v>0</v>
      </c>
      <c r="M988" s="633" t="s">
        <v>2313</v>
      </c>
      <c r="N988" s="223"/>
      <c r="O988" s="631">
        <f t="shared" si="103"/>
        <v>0</v>
      </c>
    </row>
    <row r="989" spans="1:15" s="360" customFormat="1" ht="15" hidden="1">
      <c r="A989" s="356" t="s">
        <v>517</v>
      </c>
      <c r="B989" s="632" t="s">
        <v>2073</v>
      </c>
      <c r="C989" s="611">
        <f t="shared" si="105"/>
        <v>0</v>
      </c>
      <c r="D989" s="221" t="s">
        <v>102</v>
      </c>
      <c r="E989" s="607">
        <f t="shared" si="102"/>
        <v>553.39</v>
      </c>
      <c r="F989" s="792">
        <f t="shared" si="104"/>
        <v>0</v>
      </c>
      <c r="G989" s="358">
        <f>'PART-B'!I618</f>
        <v>0</v>
      </c>
      <c r="H989" s="221" t="s">
        <v>102</v>
      </c>
      <c r="I989" s="355">
        <f>'PART-B'!K618</f>
        <v>553.39</v>
      </c>
      <c r="J989" s="353">
        <f t="shared" si="106"/>
        <v>0</v>
      </c>
      <c r="K989" s="669">
        <f t="shared" si="100"/>
        <v>0</v>
      </c>
      <c r="L989" s="368">
        <f t="shared" si="101"/>
        <v>0</v>
      </c>
      <c r="M989" s="633" t="s">
        <v>2313</v>
      </c>
      <c r="N989" s="223"/>
      <c r="O989" s="631">
        <f t="shared" si="103"/>
        <v>0</v>
      </c>
    </row>
    <row r="990" spans="1:15" s="360" customFormat="1" ht="15" hidden="1">
      <c r="A990" s="356" t="s">
        <v>513</v>
      </c>
      <c r="B990" s="632" t="s">
        <v>2069</v>
      </c>
      <c r="C990" s="611">
        <f t="shared" si="105"/>
        <v>0</v>
      </c>
      <c r="D990" s="354" t="s">
        <v>5</v>
      </c>
      <c r="E990" s="607">
        <f t="shared" si="102"/>
        <v>11212.51</v>
      </c>
      <c r="F990" s="792">
        <f t="shared" si="104"/>
        <v>0</v>
      </c>
      <c r="G990" s="358">
        <f>'PART-B'!I624</f>
        <v>0</v>
      </c>
      <c r="H990" s="354" t="s">
        <v>5</v>
      </c>
      <c r="I990" s="355">
        <f>'PART-B'!K624</f>
        <v>11212.51</v>
      </c>
      <c r="J990" s="353">
        <f t="shared" si="106"/>
        <v>0</v>
      </c>
      <c r="K990" s="669">
        <f t="shared" si="100"/>
        <v>0</v>
      </c>
      <c r="L990" s="368">
        <f t="shared" si="101"/>
        <v>0</v>
      </c>
      <c r="M990" s="633" t="s">
        <v>2313</v>
      </c>
      <c r="N990" s="223"/>
      <c r="O990" s="631">
        <f t="shared" si="103"/>
        <v>0</v>
      </c>
    </row>
    <row r="991" spans="1:15" s="360" customFormat="1" ht="15" hidden="1">
      <c r="A991" s="356" t="s">
        <v>515</v>
      </c>
      <c r="B991" s="632" t="s">
        <v>2070</v>
      </c>
      <c r="C991" s="611">
        <f t="shared" si="105"/>
        <v>0</v>
      </c>
      <c r="D991" s="221" t="s">
        <v>277</v>
      </c>
      <c r="E991" s="607">
        <f t="shared" si="102"/>
        <v>630.35</v>
      </c>
      <c r="F991" s="792">
        <f t="shared" si="104"/>
        <v>0</v>
      </c>
      <c r="G991" s="358">
        <f>'PART-B'!I630</f>
        <v>0</v>
      </c>
      <c r="H991" s="221" t="s">
        <v>277</v>
      </c>
      <c r="I991" s="355">
        <f>'PART-B'!K630</f>
        <v>630.35</v>
      </c>
      <c r="J991" s="353">
        <f t="shared" si="106"/>
        <v>0</v>
      </c>
      <c r="K991" s="669">
        <f t="shared" ref="K991:K1054" si="107">IF(J991&gt;F991,J991-F991,0)</f>
        <v>0</v>
      </c>
      <c r="L991" s="368">
        <f t="shared" ref="L991:L1054" si="108">IF(J991&lt;F991,F991-J991,0)</f>
        <v>0</v>
      </c>
      <c r="M991" s="633" t="s">
        <v>2313</v>
      </c>
      <c r="N991" s="223"/>
      <c r="O991" s="631">
        <f t="shared" si="103"/>
        <v>0</v>
      </c>
    </row>
    <row r="992" spans="1:15" s="360" customFormat="1" ht="15" hidden="1">
      <c r="A992" s="356" t="s">
        <v>497</v>
      </c>
      <c r="B992" s="632" t="s">
        <v>1478</v>
      </c>
      <c r="C992" s="611">
        <f t="shared" si="105"/>
        <v>0</v>
      </c>
      <c r="D992" s="221" t="s">
        <v>102</v>
      </c>
      <c r="E992" s="607">
        <f t="shared" ref="E992:E1055" si="109">I992</f>
        <v>339.16</v>
      </c>
      <c r="F992" s="792">
        <f t="shared" si="104"/>
        <v>0</v>
      </c>
      <c r="G992" s="358">
        <f>'PART-B'!I636</f>
        <v>0</v>
      </c>
      <c r="H992" s="221" t="s">
        <v>102</v>
      </c>
      <c r="I992" s="355">
        <f>'PART-B'!K636</f>
        <v>339.16</v>
      </c>
      <c r="J992" s="353">
        <f t="shared" si="106"/>
        <v>0</v>
      </c>
      <c r="K992" s="669">
        <f t="shared" si="107"/>
        <v>0</v>
      </c>
      <c r="L992" s="368">
        <f t="shared" si="108"/>
        <v>0</v>
      </c>
      <c r="M992" s="633" t="s">
        <v>2313</v>
      </c>
      <c r="N992" s="223"/>
      <c r="O992" s="631">
        <f t="shared" ref="O992:O1055" si="110">F992-J992</f>
        <v>0</v>
      </c>
    </row>
    <row r="993" spans="1:15" s="360" customFormat="1" ht="15" hidden="1">
      <c r="A993" s="356" t="s">
        <v>520</v>
      </c>
      <c r="B993" s="632" t="s">
        <v>1479</v>
      </c>
      <c r="C993" s="611">
        <f t="shared" si="105"/>
        <v>0</v>
      </c>
      <c r="D993" s="221" t="s">
        <v>102</v>
      </c>
      <c r="E993" s="607">
        <f t="shared" si="109"/>
        <v>438.06</v>
      </c>
      <c r="F993" s="792">
        <f t="shared" si="104"/>
        <v>0</v>
      </c>
      <c r="G993" s="358">
        <f>'PART-B'!I642</f>
        <v>0</v>
      </c>
      <c r="H993" s="221" t="s">
        <v>102</v>
      </c>
      <c r="I993" s="355">
        <f>'PART-B'!K642</f>
        <v>438.06</v>
      </c>
      <c r="J993" s="353">
        <f t="shared" si="106"/>
        <v>0</v>
      </c>
      <c r="K993" s="669">
        <f t="shared" si="107"/>
        <v>0</v>
      </c>
      <c r="L993" s="368">
        <f t="shared" si="108"/>
        <v>0</v>
      </c>
      <c r="M993" s="633" t="s">
        <v>2313</v>
      </c>
      <c r="N993" s="223"/>
      <c r="O993" s="631">
        <f t="shared" si="110"/>
        <v>0</v>
      </c>
    </row>
    <row r="994" spans="1:15" s="360" customFormat="1" ht="15" hidden="1">
      <c r="A994" s="356" t="s">
        <v>519</v>
      </c>
      <c r="B994" s="632" t="s">
        <v>829</v>
      </c>
      <c r="C994" s="611">
        <f t="shared" si="105"/>
        <v>0</v>
      </c>
      <c r="D994" s="354" t="s">
        <v>5</v>
      </c>
      <c r="E994" s="607">
        <f t="shared" si="109"/>
        <v>7283.96</v>
      </c>
      <c r="F994" s="792">
        <f t="shared" si="104"/>
        <v>0</v>
      </c>
      <c r="G994" s="358">
        <f>'PART-B'!I654</f>
        <v>0</v>
      </c>
      <c r="H994" s="354" t="s">
        <v>5</v>
      </c>
      <c r="I994" s="355">
        <f>'PART-B'!K654</f>
        <v>7283.96</v>
      </c>
      <c r="J994" s="353">
        <f t="shared" si="106"/>
        <v>0</v>
      </c>
      <c r="K994" s="669">
        <f t="shared" si="107"/>
        <v>0</v>
      </c>
      <c r="L994" s="368">
        <f t="shared" si="108"/>
        <v>0</v>
      </c>
      <c r="M994" s="633" t="s">
        <v>2313</v>
      </c>
      <c r="N994" s="223"/>
      <c r="O994" s="631">
        <f t="shared" si="110"/>
        <v>0</v>
      </c>
    </row>
    <row r="995" spans="1:15" s="360" customFormat="1" ht="15" hidden="1">
      <c r="A995" s="356" t="s">
        <v>491</v>
      </c>
      <c r="B995" s="632" t="s">
        <v>828</v>
      </c>
      <c r="C995" s="611">
        <f t="shared" si="105"/>
        <v>0</v>
      </c>
      <c r="D995" s="354" t="s">
        <v>5</v>
      </c>
      <c r="E995" s="607">
        <f t="shared" si="109"/>
        <v>7227.5599999999995</v>
      </c>
      <c r="F995" s="792">
        <f t="shared" si="104"/>
        <v>0</v>
      </c>
      <c r="G995" s="358">
        <f>'PART-B'!I648</f>
        <v>0</v>
      </c>
      <c r="H995" s="354" t="s">
        <v>5</v>
      </c>
      <c r="I995" s="355">
        <f>'PART-B'!K648</f>
        <v>7227.5599999999995</v>
      </c>
      <c r="J995" s="353">
        <f t="shared" si="106"/>
        <v>0</v>
      </c>
      <c r="K995" s="669">
        <f t="shared" si="107"/>
        <v>0</v>
      </c>
      <c r="L995" s="368">
        <f t="shared" si="108"/>
        <v>0</v>
      </c>
      <c r="M995" s="633" t="s">
        <v>2313</v>
      </c>
      <c r="N995" s="223"/>
      <c r="O995" s="631">
        <f t="shared" si="110"/>
        <v>0</v>
      </c>
    </row>
    <row r="996" spans="1:15" s="360" customFormat="1" ht="25.5" hidden="1">
      <c r="A996" s="356" t="s">
        <v>521</v>
      </c>
      <c r="B996" s="632" t="s">
        <v>705</v>
      </c>
      <c r="C996" s="611">
        <f t="shared" si="105"/>
        <v>0</v>
      </c>
      <c r="D996" s="354" t="s">
        <v>102</v>
      </c>
      <c r="E996" s="607">
        <f t="shared" si="109"/>
        <v>929.28</v>
      </c>
      <c r="F996" s="792">
        <f t="shared" si="104"/>
        <v>0</v>
      </c>
      <c r="G996" s="358">
        <f>'PART-B'!I661</f>
        <v>0</v>
      </c>
      <c r="H996" s="354" t="s">
        <v>102</v>
      </c>
      <c r="I996" s="355">
        <f>'PART-B'!K661</f>
        <v>929.28</v>
      </c>
      <c r="J996" s="353">
        <f t="shared" si="106"/>
        <v>0</v>
      </c>
      <c r="K996" s="669">
        <f t="shared" si="107"/>
        <v>0</v>
      </c>
      <c r="L996" s="368">
        <f t="shared" si="108"/>
        <v>0</v>
      </c>
      <c r="M996" s="633" t="s">
        <v>2313</v>
      </c>
      <c r="N996" s="223"/>
      <c r="O996" s="631">
        <f t="shared" si="110"/>
        <v>0</v>
      </c>
    </row>
    <row r="997" spans="1:15" s="360" customFormat="1" ht="15" hidden="1">
      <c r="A997" s="356" t="s">
        <v>483</v>
      </c>
      <c r="B997" s="632" t="s">
        <v>1221</v>
      </c>
      <c r="C997" s="611">
        <f t="shared" si="105"/>
        <v>0</v>
      </c>
      <c r="D997" s="354" t="s">
        <v>102</v>
      </c>
      <c r="E997" s="607">
        <f t="shared" si="109"/>
        <v>6718.55</v>
      </c>
      <c r="F997" s="792">
        <f t="shared" si="104"/>
        <v>0</v>
      </c>
      <c r="G997" s="358">
        <f>'PART-B'!I668</f>
        <v>0</v>
      </c>
      <c r="H997" s="354" t="s">
        <v>102</v>
      </c>
      <c r="I997" s="355">
        <f>'PART-B'!K668</f>
        <v>6718.55</v>
      </c>
      <c r="J997" s="353">
        <f t="shared" si="106"/>
        <v>0</v>
      </c>
      <c r="K997" s="669">
        <f t="shared" si="107"/>
        <v>0</v>
      </c>
      <c r="L997" s="368">
        <f t="shared" si="108"/>
        <v>0</v>
      </c>
      <c r="M997" s="633" t="s">
        <v>2313</v>
      </c>
      <c r="N997" s="223"/>
      <c r="O997" s="631">
        <f t="shared" si="110"/>
        <v>0</v>
      </c>
    </row>
    <row r="998" spans="1:15" s="360" customFormat="1" ht="15" hidden="1">
      <c r="A998" s="356" t="s">
        <v>484</v>
      </c>
      <c r="B998" s="632" t="s">
        <v>1214</v>
      </c>
      <c r="C998" s="611">
        <f t="shared" si="105"/>
        <v>0</v>
      </c>
      <c r="D998" s="354" t="s">
        <v>102</v>
      </c>
      <c r="E998" s="607">
        <f t="shared" si="109"/>
        <v>2346.34</v>
      </c>
      <c r="F998" s="792">
        <f t="shared" si="104"/>
        <v>0</v>
      </c>
      <c r="G998" s="358">
        <f>'PART-B'!I674</f>
        <v>0</v>
      </c>
      <c r="H998" s="354" t="s">
        <v>102</v>
      </c>
      <c r="I998" s="355">
        <f>'PART-B'!K674</f>
        <v>2346.34</v>
      </c>
      <c r="J998" s="353">
        <f t="shared" si="106"/>
        <v>0</v>
      </c>
      <c r="K998" s="669">
        <f t="shared" si="107"/>
        <v>0</v>
      </c>
      <c r="L998" s="368">
        <f t="shared" si="108"/>
        <v>0</v>
      </c>
      <c r="M998" s="633" t="s">
        <v>2313</v>
      </c>
      <c r="N998" s="223"/>
      <c r="O998" s="631">
        <f t="shared" si="110"/>
        <v>0</v>
      </c>
    </row>
    <row r="999" spans="1:15" s="360" customFormat="1" ht="15" hidden="1">
      <c r="A999" s="356" t="s">
        <v>516</v>
      </c>
      <c r="B999" s="632" t="s">
        <v>481</v>
      </c>
      <c r="C999" s="611">
        <f t="shared" si="105"/>
        <v>0</v>
      </c>
      <c r="D999" s="354" t="s">
        <v>102</v>
      </c>
      <c r="E999" s="607">
        <f t="shared" si="109"/>
        <v>351.17</v>
      </c>
      <c r="F999" s="792">
        <f t="shared" si="104"/>
        <v>0</v>
      </c>
      <c r="G999" s="358">
        <f>'PART-B'!I681</f>
        <v>0</v>
      </c>
      <c r="H999" s="354" t="s">
        <v>102</v>
      </c>
      <c r="I999" s="355">
        <f>'PART-B'!K681</f>
        <v>351.17</v>
      </c>
      <c r="J999" s="353">
        <f t="shared" si="106"/>
        <v>0</v>
      </c>
      <c r="K999" s="669">
        <f t="shared" si="107"/>
        <v>0</v>
      </c>
      <c r="L999" s="368">
        <f t="shared" si="108"/>
        <v>0</v>
      </c>
      <c r="M999" s="633" t="s">
        <v>2313</v>
      </c>
      <c r="N999" s="223"/>
      <c r="O999" s="631">
        <f t="shared" si="110"/>
        <v>0</v>
      </c>
    </row>
    <row r="1000" spans="1:15" s="360" customFormat="1" ht="15" hidden="1">
      <c r="A1000" s="356" t="s">
        <v>516</v>
      </c>
      <c r="B1000" s="632" t="s">
        <v>505</v>
      </c>
      <c r="C1000" s="611">
        <f t="shared" si="105"/>
        <v>0</v>
      </c>
      <c r="D1000" s="354" t="s">
        <v>102</v>
      </c>
      <c r="E1000" s="607">
        <f t="shared" si="109"/>
        <v>323.04000000000002</v>
      </c>
      <c r="F1000" s="792">
        <f t="shared" si="104"/>
        <v>0</v>
      </c>
      <c r="G1000" s="358">
        <f>'PART-B'!I689</f>
        <v>0</v>
      </c>
      <c r="H1000" s="354" t="s">
        <v>102</v>
      </c>
      <c r="I1000" s="355">
        <f>'PART-B'!K689</f>
        <v>323.04000000000002</v>
      </c>
      <c r="J1000" s="353">
        <f t="shared" si="106"/>
        <v>0</v>
      </c>
      <c r="K1000" s="669">
        <f t="shared" si="107"/>
        <v>0</v>
      </c>
      <c r="L1000" s="368">
        <f t="shared" si="108"/>
        <v>0</v>
      </c>
      <c r="M1000" s="633" t="s">
        <v>2313</v>
      </c>
      <c r="N1000" s="223"/>
      <c r="O1000" s="631">
        <f t="shared" si="110"/>
        <v>0</v>
      </c>
    </row>
    <row r="1001" spans="1:15" s="360" customFormat="1" ht="15" hidden="1">
      <c r="A1001" s="356" t="s">
        <v>517</v>
      </c>
      <c r="B1001" s="632" t="s">
        <v>805</v>
      </c>
      <c r="C1001" s="611">
        <f t="shared" si="105"/>
        <v>0</v>
      </c>
      <c r="D1001" s="354" t="s">
        <v>102</v>
      </c>
      <c r="E1001" s="607">
        <f t="shared" si="109"/>
        <v>343.23</v>
      </c>
      <c r="F1001" s="792">
        <f t="shared" si="104"/>
        <v>0</v>
      </c>
      <c r="G1001" s="358">
        <f>'PART-B'!I697</f>
        <v>0</v>
      </c>
      <c r="H1001" s="354" t="s">
        <v>102</v>
      </c>
      <c r="I1001" s="355">
        <f>'PART-B'!K697</f>
        <v>343.23</v>
      </c>
      <c r="J1001" s="353">
        <f t="shared" si="106"/>
        <v>0</v>
      </c>
      <c r="K1001" s="669">
        <f t="shared" si="107"/>
        <v>0</v>
      </c>
      <c r="L1001" s="368">
        <f t="shared" si="108"/>
        <v>0</v>
      </c>
      <c r="M1001" s="633" t="s">
        <v>2313</v>
      </c>
      <c r="N1001" s="223"/>
      <c r="O1001" s="631">
        <f t="shared" si="110"/>
        <v>0</v>
      </c>
    </row>
    <row r="1002" spans="1:15" s="360" customFormat="1" ht="15" hidden="1">
      <c r="A1002" s="356" t="s">
        <v>518</v>
      </c>
      <c r="B1002" s="632" t="s">
        <v>830</v>
      </c>
      <c r="C1002" s="611">
        <f t="shared" si="105"/>
        <v>0</v>
      </c>
      <c r="D1002" s="354" t="s">
        <v>102</v>
      </c>
      <c r="E1002" s="607">
        <f t="shared" si="109"/>
        <v>425.82</v>
      </c>
      <c r="F1002" s="792">
        <f t="shared" si="104"/>
        <v>0</v>
      </c>
      <c r="G1002" s="358">
        <f>'PART-B'!I704</f>
        <v>0</v>
      </c>
      <c r="H1002" s="354" t="s">
        <v>102</v>
      </c>
      <c r="I1002" s="355">
        <f>'PART-B'!K704</f>
        <v>425.82</v>
      </c>
      <c r="J1002" s="353">
        <f t="shared" si="106"/>
        <v>0</v>
      </c>
      <c r="K1002" s="669">
        <f t="shared" si="107"/>
        <v>0</v>
      </c>
      <c r="L1002" s="368">
        <f t="shared" si="108"/>
        <v>0</v>
      </c>
      <c r="M1002" s="633" t="s">
        <v>2313</v>
      </c>
      <c r="N1002" s="223"/>
      <c r="O1002" s="631">
        <f t="shared" si="110"/>
        <v>0</v>
      </c>
    </row>
    <row r="1003" spans="1:15" s="360" customFormat="1" ht="15" hidden="1">
      <c r="A1003" s="356" t="s">
        <v>520</v>
      </c>
      <c r="B1003" s="632" t="s">
        <v>541</v>
      </c>
      <c r="C1003" s="611">
        <f t="shared" si="105"/>
        <v>0</v>
      </c>
      <c r="D1003" s="354" t="s">
        <v>102</v>
      </c>
      <c r="E1003" s="607">
        <f t="shared" si="109"/>
        <v>441.63</v>
      </c>
      <c r="F1003" s="792">
        <f t="shared" si="104"/>
        <v>0</v>
      </c>
      <c r="G1003" s="358">
        <f>'PART-B'!I711</f>
        <v>0</v>
      </c>
      <c r="H1003" s="354" t="s">
        <v>102</v>
      </c>
      <c r="I1003" s="355">
        <f>'PART-B'!K711</f>
        <v>441.63</v>
      </c>
      <c r="J1003" s="353">
        <f t="shared" si="106"/>
        <v>0</v>
      </c>
      <c r="K1003" s="669">
        <f t="shared" si="107"/>
        <v>0</v>
      </c>
      <c r="L1003" s="368">
        <f t="shared" si="108"/>
        <v>0</v>
      </c>
      <c r="M1003" s="633" t="s">
        <v>2313</v>
      </c>
      <c r="N1003" s="223"/>
      <c r="O1003" s="631">
        <f t="shared" si="110"/>
        <v>0</v>
      </c>
    </row>
    <row r="1004" spans="1:15" s="360" customFormat="1" ht="15" hidden="1">
      <c r="A1004" s="356" t="s">
        <v>503</v>
      </c>
      <c r="B1004" s="632" t="s">
        <v>2071</v>
      </c>
      <c r="C1004" s="611">
        <f t="shared" si="105"/>
        <v>0</v>
      </c>
      <c r="D1004" s="354" t="s">
        <v>5</v>
      </c>
      <c r="E1004" s="607">
        <f t="shared" si="109"/>
        <v>5722.81</v>
      </c>
      <c r="F1004" s="792">
        <f t="shared" si="104"/>
        <v>0</v>
      </c>
      <c r="G1004" s="358">
        <f>'PART-B'!I718</f>
        <v>0</v>
      </c>
      <c r="H1004" s="354" t="s">
        <v>5</v>
      </c>
      <c r="I1004" s="355">
        <f>'PART-B'!K718</f>
        <v>5722.81</v>
      </c>
      <c r="J1004" s="353">
        <f t="shared" si="106"/>
        <v>0</v>
      </c>
      <c r="K1004" s="669">
        <f t="shared" si="107"/>
        <v>0</v>
      </c>
      <c r="L1004" s="368">
        <f t="shared" si="108"/>
        <v>0</v>
      </c>
      <c r="M1004" s="633" t="s">
        <v>2313</v>
      </c>
      <c r="N1004" s="223"/>
      <c r="O1004" s="631">
        <f t="shared" si="110"/>
        <v>0</v>
      </c>
    </row>
    <row r="1005" spans="1:15" s="360" customFormat="1" ht="15" hidden="1">
      <c r="A1005" s="356" t="s">
        <v>522</v>
      </c>
      <c r="B1005" s="632" t="s">
        <v>507</v>
      </c>
      <c r="C1005" s="611">
        <f t="shared" si="105"/>
        <v>0</v>
      </c>
      <c r="D1005" s="354" t="s">
        <v>102</v>
      </c>
      <c r="E1005" s="607">
        <f t="shared" si="109"/>
        <v>1103.3900000000001</v>
      </c>
      <c r="F1005" s="792">
        <f t="shared" si="104"/>
        <v>0</v>
      </c>
      <c r="G1005" s="358">
        <f>'PART-B'!I725</f>
        <v>0</v>
      </c>
      <c r="H1005" s="354" t="s">
        <v>102</v>
      </c>
      <c r="I1005" s="355">
        <f>'PART-B'!K725</f>
        <v>1103.3900000000001</v>
      </c>
      <c r="J1005" s="353">
        <f t="shared" si="106"/>
        <v>0</v>
      </c>
      <c r="K1005" s="669">
        <f t="shared" si="107"/>
        <v>0</v>
      </c>
      <c r="L1005" s="368">
        <f t="shared" si="108"/>
        <v>0</v>
      </c>
      <c r="M1005" s="633" t="s">
        <v>2313</v>
      </c>
      <c r="N1005" s="223"/>
      <c r="O1005" s="631">
        <f t="shared" si="110"/>
        <v>0</v>
      </c>
    </row>
    <row r="1006" spans="1:15" s="360" customFormat="1" ht="15" hidden="1">
      <c r="A1006" s="356" t="s">
        <v>525</v>
      </c>
      <c r="B1006" s="632" t="s">
        <v>509</v>
      </c>
      <c r="C1006" s="611">
        <f t="shared" si="105"/>
        <v>0</v>
      </c>
      <c r="D1006" s="354" t="s">
        <v>102</v>
      </c>
      <c r="E1006" s="607">
        <f t="shared" si="109"/>
        <v>1098.05</v>
      </c>
      <c r="F1006" s="792">
        <f t="shared" si="104"/>
        <v>0</v>
      </c>
      <c r="G1006" s="358">
        <f>'PART-B'!I732</f>
        <v>0</v>
      </c>
      <c r="H1006" s="354" t="s">
        <v>102</v>
      </c>
      <c r="I1006" s="355">
        <f>'PART-B'!K732</f>
        <v>1098.05</v>
      </c>
      <c r="J1006" s="353">
        <f t="shared" si="106"/>
        <v>0</v>
      </c>
      <c r="K1006" s="669">
        <f t="shared" si="107"/>
        <v>0</v>
      </c>
      <c r="L1006" s="368">
        <f t="shared" si="108"/>
        <v>0</v>
      </c>
      <c r="M1006" s="633" t="s">
        <v>2313</v>
      </c>
      <c r="N1006" s="223"/>
      <c r="O1006" s="631">
        <f t="shared" si="110"/>
        <v>0</v>
      </c>
    </row>
    <row r="1007" spans="1:15" s="360" customFormat="1" ht="15" hidden="1">
      <c r="A1007" s="356" t="s">
        <v>526</v>
      </c>
      <c r="B1007" s="632" t="s">
        <v>708</v>
      </c>
      <c r="C1007" s="611">
        <f t="shared" si="105"/>
        <v>0</v>
      </c>
      <c r="D1007" s="354" t="s">
        <v>77</v>
      </c>
      <c r="E1007" s="607">
        <f t="shared" si="109"/>
        <v>3181.62</v>
      </c>
      <c r="F1007" s="792">
        <f t="shared" si="104"/>
        <v>0</v>
      </c>
      <c r="G1007" s="358">
        <f>'PART-B'!I739</f>
        <v>0</v>
      </c>
      <c r="H1007" s="354" t="s">
        <v>77</v>
      </c>
      <c r="I1007" s="355">
        <f>'PART-B'!K739</f>
        <v>3181.62</v>
      </c>
      <c r="J1007" s="353">
        <f t="shared" si="106"/>
        <v>0</v>
      </c>
      <c r="K1007" s="669">
        <f t="shared" si="107"/>
        <v>0</v>
      </c>
      <c r="L1007" s="368">
        <f t="shared" si="108"/>
        <v>0</v>
      </c>
      <c r="M1007" s="633" t="s">
        <v>2313</v>
      </c>
      <c r="N1007" s="223"/>
      <c r="O1007" s="631">
        <f t="shared" si="110"/>
        <v>0</v>
      </c>
    </row>
    <row r="1008" spans="1:15" s="360" customFormat="1" ht="15" hidden="1">
      <c r="A1008" s="356" t="s">
        <v>527</v>
      </c>
      <c r="B1008" s="632" t="s">
        <v>877</v>
      </c>
      <c r="C1008" s="611">
        <f t="shared" si="105"/>
        <v>0</v>
      </c>
      <c r="D1008" s="354" t="s">
        <v>102</v>
      </c>
      <c r="E1008" s="607">
        <f t="shared" si="109"/>
        <v>2950.54</v>
      </c>
      <c r="F1008" s="792">
        <f t="shared" si="104"/>
        <v>0</v>
      </c>
      <c r="G1008" s="358">
        <f>'PART-B'!I746</f>
        <v>0</v>
      </c>
      <c r="H1008" s="354" t="s">
        <v>102</v>
      </c>
      <c r="I1008" s="355">
        <f>'PART-B'!K746</f>
        <v>2950.54</v>
      </c>
      <c r="J1008" s="353">
        <f t="shared" si="106"/>
        <v>0</v>
      </c>
      <c r="K1008" s="669">
        <f t="shared" si="107"/>
        <v>0</v>
      </c>
      <c r="L1008" s="368">
        <f t="shared" si="108"/>
        <v>0</v>
      </c>
      <c r="M1008" s="633" t="s">
        <v>2313</v>
      </c>
      <c r="N1008" s="223"/>
      <c r="O1008" s="631">
        <f t="shared" si="110"/>
        <v>0</v>
      </c>
    </row>
    <row r="1009" spans="1:15" s="360" customFormat="1" ht="15" hidden="1">
      <c r="A1009" s="356" t="s">
        <v>529</v>
      </c>
      <c r="B1009" s="632" t="s">
        <v>710</v>
      </c>
      <c r="C1009" s="611">
        <f t="shared" si="105"/>
        <v>0</v>
      </c>
      <c r="D1009" s="354" t="s">
        <v>102</v>
      </c>
      <c r="E1009" s="607">
        <f t="shared" si="109"/>
        <v>780.73</v>
      </c>
      <c r="F1009" s="792">
        <f t="shared" si="104"/>
        <v>0</v>
      </c>
      <c r="G1009" s="358">
        <f>'PART-B'!I754</f>
        <v>0</v>
      </c>
      <c r="H1009" s="354" t="s">
        <v>102</v>
      </c>
      <c r="I1009" s="355">
        <f>'PART-B'!K754</f>
        <v>780.73</v>
      </c>
      <c r="J1009" s="353">
        <f t="shared" si="106"/>
        <v>0</v>
      </c>
      <c r="K1009" s="669">
        <f t="shared" si="107"/>
        <v>0</v>
      </c>
      <c r="L1009" s="368">
        <f t="shared" si="108"/>
        <v>0</v>
      </c>
      <c r="M1009" s="633" t="s">
        <v>2313</v>
      </c>
      <c r="N1009" s="223"/>
      <c r="O1009" s="631">
        <f t="shared" si="110"/>
        <v>0</v>
      </c>
    </row>
    <row r="1010" spans="1:15" s="360" customFormat="1" ht="15" hidden="1">
      <c r="A1010" s="356" t="s">
        <v>530</v>
      </c>
      <c r="B1010" s="632" t="s">
        <v>711</v>
      </c>
      <c r="C1010" s="611">
        <f t="shared" si="105"/>
        <v>0</v>
      </c>
      <c r="D1010" s="354" t="s">
        <v>102</v>
      </c>
      <c r="E1010" s="607">
        <f t="shared" si="109"/>
        <v>786.2</v>
      </c>
      <c r="F1010" s="792">
        <f t="shared" si="104"/>
        <v>0</v>
      </c>
      <c r="G1010" s="358">
        <f>'PART-B'!I761</f>
        <v>0</v>
      </c>
      <c r="H1010" s="354" t="s">
        <v>102</v>
      </c>
      <c r="I1010" s="355">
        <f>'PART-B'!K761</f>
        <v>786.2</v>
      </c>
      <c r="J1010" s="353">
        <f t="shared" si="106"/>
        <v>0</v>
      </c>
      <c r="K1010" s="669">
        <f t="shared" si="107"/>
        <v>0</v>
      </c>
      <c r="L1010" s="368">
        <f t="shared" si="108"/>
        <v>0</v>
      </c>
      <c r="M1010" s="633" t="s">
        <v>2313</v>
      </c>
      <c r="N1010" s="223"/>
      <c r="O1010" s="631">
        <f t="shared" si="110"/>
        <v>0</v>
      </c>
    </row>
    <row r="1011" spans="1:15" s="360" customFormat="1" ht="15" hidden="1">
      <c r="A1011" s="356" t="s">
        <v>528</v>
      </c>
      <c r="B1011" s="632" t="s">
        <v>511</v>
      </c>
      <c r="C1011" s="611">
        <f t="shared" si="105"/>
        <v>0</v>
      </c>
      <c r="D1011" s="354" t="s">
        <v>102</v>
      </c>
      <c r="E1011" s="607">
        <f t="shared" si="109"/>
        <v>837.86</v>
      </c>
      <c r="F1011" s="792">
        <f t="shared" si="104"/>
        <v>0</v>
      </c>
      <c r="G1011" s="358">
        <f>'PART-B'!I768</f>
        <v>0</v>
      </c>
      <c r="H1011" s="354" t="s">
        <v>102</v>
      </c>
      <c r="I1011" s="355">
        <f>'PART-B'!K768</f>
        <v>837.86</v>
      </c>
      <c r="J1011" s="353">
        <f t="shared" si="106"/>
        <v>0</v>
      </c>
      <c r="K1011" s="669">
        <f t="shared" si="107"/>
        <v>0</v>
      </c>
      <c r="L1011" s="368">
        <f t="shared" si="108"/>
        <v>0</v>
      </c>
      <c r="M1011" s="633" t="s">
        <v>2313</v>
      </c>
      <c r="N1011" s="223"/>
      <c r="O1011" s="631">
        <f t="shared" si="110"/>
        <v>0</v>
      </c>
    </row>
    <row r="1012" spans="1:15" s="360" customFormat="1" ht="15" hidden="1">
      <c r="A1012" s="356" t="s">
        <v>529</v>
      </c>
      <c r="B1012" s="632" t="s">
        <v>570</v>
      </c>
      <c r="C1012" s="611">
        <f t="shared" si="105"/>
        <v>0</v>
      </c>
      <c r="D1012" s="354" t="s">
        <v>102</v>
      </c>
      <c r="E1012" s="607">
        <f t="shared" si="109"/>
        <v>527.21</v>
      </c>
      <c r="F1012" s="792">
        <f t="shared" si="104"/>
        <v>0</v>
      </c>
      <c r="G1012" s="358">
        <f>'PART-B'!I775</f>
        <v>0</v>
      </c>
      <c r="H1012" s="354" t="s">
        <v>102</v>
      </c>
      <c r="I1012" s="355">
        <f>'PART-B'!K775</f>
        <v>527.21</v>
      </c>
      <c r="J1012" s="353">
        <f t="shared" si="106"/>
        <v>0</v>
      </c>
      <c r="K1012" s="669">
        <f t="shared" si="107"/>
        <v>0</v>
      </c>
      <c r="L1012" s="368">
        <f t="shared" si="108"/>
        <v>0</v>
      </c>
      <c r="M1012" s="633" t="s">
        <v>2313</v>
      </c>
      <c r="N1012" s="223"/>
      <c r="O1012" s="631">
        <f t="shared" si="110"/>
        <v>0</v>
      </c>
    </row>
    <row r="1013" spans="1:15" s="360" customFormat="1" ht="15" hidden="1">
      <c r="A1013" s="356" t="s">
        <v>492</v>
      </c>
      <c r="B1013" s="632" t="s">
        <v>1222</v>
      </c>
      <c r="C1013" s="611">
        <f t="shared" si="105"/>
        <v>0</v>
      </c>
      <c r="D1013" s="354" t="s">
        <v>102</v>
      </c>
      <c r="E1013" s="607">
        <f t="shared" si="109"/>
        <v>1059.21</v>
      </c>
      <c r="F1013" s="792">
        <f t="shared" si="104"/>
        <v>0</v>
      </c>
      <c r="G1013" s="358">
        <f>'PART-B'!I783</f>
        <v>0</v>
      </c>
      <c r="H1013" s="354" t="s">
        <v>102</v>
      </c>
      <c r="I1013" s="355">
        <f>'PART-B'!K783</f>
        <v>1059.21</v>
      </c>
      <c r="J1013" s="353">
        <f t="shared" si="106"/>
        <v>0</v>
      </c>
      <c r="K1013" s="669">
        <f t="shared" si="107"/>
        <v>0</v>
      </c>
      <c r="L1013" s="368">
        <f t="shared" si="108"/>
        <v>0</v>
      </c>
      <c r="M1013" s="633" t="s">
        <v>2313</v>
      </c>
      <c r="N1013" s="223"/>
      <c r="O1013" s="631">
        <f t="shared" si="110"/>
        <v>0</v>
      </c>
    </row>
    <row r="1014" spans="1:15" s="360" customFormat="1" ht="15" hidden="1">
      <c r="A1014" s="356" t="s">
        <v>533</v>
      </c>
      <c r="B1014" s="632" t="s">
        <v>707</v>
      </c>
      <c r="C1014" s="611">
        <f t="shared" si="105"/>
        <v>0</v>
      </c>
      <c r="D1014" s="354" t="s">
        <v>102</v>
      </c>
      <c r="E1014" s="607">
        <f t="shared" si="109"/>
        <v>25.98</v>
      </c>
      <c r="F1014" s="792">
        <f t="shared" si="104"/>
        <v>0</v>
      </c>
      <c r="G1014" s="358">
        <f>'PART-B'!I792</f>
        <v>0</v>
      </c>
      <c r="H1014" s="354" t="s">
        <v>102</v>
      </c>
      <c r="I1014" s="355">
        <f>'PART-B'!K792</f>
        <v>25.98</v>
      </c>
      <c r="J1014" s="353">
        <f t="shared" si="106"/>
        <v>0</v>
      </c>
      <c r="K1014" s="669">
        <f t="shared" si="107"/>
        <v>0</v>
      </c>
      <c r="L1014" s="368">
        <f t="shared" si="108"/>
        <v>0</v>
      </c>
      <c r="M1014" s="633" t="s">
        <v>2313</v>
      </c>
      <c r="N1014" s="223"/>
      <c r="O1014" s="631">
        <f t="shared" si="110"/>
        <v>0</v>
      </c>
    </row>
    <row r="1015" spans="1:15" s="360" customFormat="1" ht="15" hidden="1">
      <c r="A1015" s="356" t="s">
        <v>530</v>
      </c>
      <c r="B1015" s="632" t="s">
        <v>888</v>
      </c>
      <c r="C1015" s="611">
        <f t="shared" si="105"/>
        <v>0</v>
      </c>
      <c r="D1015" s="354" t="s">
        <v>102</v>
      </c>
      <c r="E1015" s="607">
        <f t="shared" si="109"/>
        <v>184.03</v>
      </c>
      <c r="F1015" s="792">
        <f t="shared" si="104"/>
        <v>0</v>
      </c>
      <c r="G1015" s="358">
        <f>'PART-B'!I802</f>
        <v>0</v>
      </c>
      <c r="H1015" s="354" t="s">
        <v>102</v>
      </c>
      <c r="I1015" s="355">
        <f>'PART-B'!K802</f>
        <v>184.03</v>
      </c>
      <c r="J1015" s="353">
        <f t="shared" si="106"/>
        <v>0</v>
      </c>
      <c r="K1015" s="669">
        <f t="shared" si="107"/>
        <v>0</v>
      </c>
      <c r="L1015" s="368">
        <f t="shared" si="108"/>
        <v>0</v>
      </c>
      <c r="M1015" s="633" t="s">
        <v>2313</v>
      </c>
      <c r="N1015" s="223"/>
      <c r="O1015" s="631">
        <f t="shared" si="110"/>
        <v>0</v>
      </c>
    </row>
    <row r="1016" spans="1:15" s="360" customFormat="1" ht="15" hidden="1">
      <c r="A1016" s="356" t="s">
        <v>532</v>
      </c>
      <c r="B1016" s="632" t="s">
        <v>571</v>
      </c>
      <c r="C1016" s="611">
        <f t="shared" si="105"/>
        <v>0</v>
      </c>
      <c r="D1016" s="354" t="s">
        <v>102</v>
      </c>
      <c r="E1016" s="607">
        <f t="shared" si="109"/>
        <v>158.36000000000001</v>
      </c>
      <c r="F1016" s="792">
        <f t="shared" si="104"/>
        <v>0</v>
      </c>
      <c r="G1016" s="358">
        <f>'PART-B'!I811</f>
        <v>0</v>
      </c>
      <c r="H1016" s="354" t="s">
        <v>102</v>
      </c>
      <c r="I1016" s="355">
        <f>'PART-B'!K811</f>
        <v>158.36000000000001</v>
      </c>
      <c r="J1016" s="353">
        <f t="shared" si="106"/>
        <v>0</v>
      </c>
      <c r="K1016" s="669">
        <f t="shared" si="107"/>
        <v>0</v>
      </c>
      <c r="L1016" s="368">
        <f t="shared" si="108"/>
        <v>0</v>
      </c>
      <c r="M1016" s="633" t="s">
        <v>2313</v>
      </c>
      <c r="N1016" s="223"/>
      <c r="O1016" s="631">
        <f t="shared" si="110"/>
        <v>0</v>
      </c>
    </row>
    <row r="1017" spans="1:15" s="360" customFormat="1" ht="15" hidden="1">
      <c r="A1017" s="356" t="s">
        <v>533</v>
      </c>
      <c r="B1017" s="632" t="s">
        <v>1226</v>
      </c>
      <c r="C1017" s="611">
        <f t="shared" si="105"/>
        <v>0</v>
      </c>
      <c r="D1017" s="354" t="s">
        <v>102</v>
      </c>
      <c r="E1017" s="607">
        <f t="shared" si="109"/>
        <v>217.22</v>
      </c>
      <c r="F1017" s="792">
        <f t="shared" ref="F1017:F1080" si="111">ROUND(C1017*E1017,0)</f>
        <v>0</v>
      </c>
      <c r="G1017" s="358">
        <f>'PART-B'!I818</f>
        <v>0</v>
      </c>
      <c r="H1017" s="354" t="s">
        <v>102</v>
      </c>
      <c r="I1017" s="355">
        <f>'PART-B'!K818</f>
        <v>217.22</v>
      </c>
      <c r="J1017" s="353">
        <f t="shared" si="106"/>
        <v>0</v>
      </c>
      <c r="K1017" s="669">
        <f t="shared" si="107"/>
        <v>0</v>
      </c>
      <c r="L1017" s="368">
        <f t="shared" si="108"/>
        <v>0</v>
      </c>
      <c r="M1017" s="633" t="s">
        <v>2313</v>
      </c>
      <c r="N1017" s="223"/>
      <c r="O1017" s="631">
        <f t="shared" si="110"/>
        <v>0</v>
      </c>
    </row>
    <row r="1018" spans="1:15" s="360" customFormat="1" ht="15" hidden="1">
      <c r="A1018" s="356" t="s">
        <v>1143</v>
      </c>
      <c r="B1018" s="632" t="s">
        <v>477</v>
      </c>
      <c r="C1018" s="611">
        <f t="shared" si="105"/>
        <v>0</v>
      </c>
      <c r="D1018" s="221" t="s">
        <v>29</v>
      </c>
      <c r="E1018" s="607">
        <f t="shared" si="109"/>
        <v>90555</v>
      </c>
      <c r="F1018" s="792">
        <f t="shared" si="111"/>
        <v>0</v>
      </c>
      <c r="G1018" s="429">
        <f>'PART-B'!I825</f>
        <v>0</v>
      </c>
      <c r="H1018" s="221" t="s">
        <v>29</v>
      </c>
      <c r="I1018" s="430">
        <f>'PART-B'!K825</f>
        <v>90555</v>
      </c>
      <c r="J1018" s="353">
        <f t="shared" si="106"/>
        <v>0</v>
      </c>
      <c r="K1018" s="669">
        <f t="shared" si="107"/>
        <v>0</v>
      </c>
      <c r="L1018" s="368">
        <f t="shared" si="108"/>
        <v>0</v>
      </c>
      <c r="M1018" s="633" t="s">
        <v>2313</v>
      </c>
      <c r="N1018" s="223"/>
      <c r="O1018" s="631">
        <f t="shared" si="110"/>
        <v>0</v>
      </c>
    </row>
    <row r="1019" spans="1:15" s="360" customFormat="1" ht="15" hidden="1">
      <c r="A1019" s="356" t="s">
        <v>1583</v>
      </c>
      <c r="B1019" s="632" t="s">
        <v>2061</v>
      </c>
      <c r="C1019" s="611">
        <f t="shared" si="105"/>
        <v>0</v>
      </c>
      <c r="D1019" s="354" t="s">
        <v>5</v>
      </c>
      <c r="E1019" s="607">
        <f t="shared" si="109"/>
        <v>12013.61</v>
      </c>
      <c r="F1019" s="792">
        <f t="shared" si="111"/>
        <v>0</v>
      </c>
      <c r="G1019" s="358">
        <f>'PART-B'!I831</f>
        <v>0</v>
      </c>
      <c r="H1019" s="354" t="s">
        <v>5</v>
      </c>
      <c r="I1019" s="355">
        <f>'PART-B'!K831</f>
        <v>12013.61</v>
      </c>
      <c r="J1019" s="353">
        <f t="shared" si="106"/>
        <v>0</v>
      </c>
      <c r="K1019" s="669">
        <f t="shared" si="107"/>
        <v>0</v>
      </c>
      <c r="L1019" s="368">
        <f t="shared" si="108"/>
        <v>0</v>
      </c>
      <c r="M1019" s="633" t="s">
        <v>2313</v>
      </c>
      <c r="N1019" s="223"/>
      <c r="O1019" s="631">
        <f t="shared" si="110"/>
        <v>0</v>
      </c>
    </row>
    <row r="1020" spans="1:15" s="360" customFormat="1" ht="15" hidden="1">
      <c r="A1020" s="356" t="s">
        <v>645</v>
      </c>
      <c r="B1020" s="632" t="s">
        <v>2063</v>
      </c>
      <c r="C1020" s="611">
        <f t="shared" si="105"/>
        <v>0</v>
      </c>
      <c r="D1020" s="354" t="s">
        <v>5</v>
      </c>
      <c r="E1020" s="607">
        <f t="shared" si="109"/>
        <v>11098.560000000001</v>
      </c>
      <c r="F1020" s="792">
        <f t="shared" si="111"/>
        <v>0</v>
      </c>
      <c r="G1020" s="358">
        <f>'PART-B'!I837</f>
        <v>0</v>
      </c>
      <c r="H1020" s="354" t="s">
        <v>5</v>
      </c>
      <c r="I1020" s="355">
        <f>'PART-B'!K837</f>
        <v>11098.560000000001</v>
      </c>
      <c r="J1020" s="353">
        <f t="shared" si="106"/>
        <v>0</v>
      </c>
      <c r="K1020" s="669">
        <f t="shared" si="107"/>
        <v>0</v>
      </c>
      <c r="L1020" s="368">
        <f t="shared" si="108"/>
        <v>0</v>
      </c>
      <c r="M1020" s="633" t="s">
        <v>2313</v>
      </c>
      <c r="N1020" s="223"/>
      <c r="O1020" s="631">
        <f t="shared" si="110"/>
        <v>0</v>
      </c>
    </row>
    <row r="1021" spans="1:15" s="360" customFormat="1" ht="15" hidden="1">
      <c r="A1021" s="356" t="s">
        <v>1584</v>
      </c>
      <c r="B1021" s="632" t="s">
        <v>2064</v>
      </c>
      <c r="C1021" s="611">
        <f t="shared" si="105"/>
        <v>0</v>
      </c>
      <c r="D1021" s="354" t="s">
        <v>102</v>
      </c>
      <c r="E1021" s="607">
        <f t="shared" si="109"/>
        <v>1594.17</v>
      </c>
      <c r="F1021" s="792">
        <f t="shared" si="111"/>
        <v>0</v>
      </c>
      <c r="G1021" s="358">
        <f>'PART-B'!I848</f>
        <v>0</v>
      </c>
      <c r="H1021" s="354" t="s">
        <v>102</v>
      </c>
      <c r="I1021" s="355">
        <f>'PART-B'!K848</f>
        <v>1594.17</v>
      </c>
      <c r="J1021" s="353">
        <f t="shared" si="106"/>
        <v>0</v>
      </c>
      <c r="K1021" s="669">
        <f t="shared" si="107"/>
        <v>0</v>
      </c>
      <c r="L1021" s="368">
        <f t="shared" si="108"/>
        <v>0</v>
      </c>
      <c r="M1021" s="633" t="s">
        <v>2313</v>
      </c>
      <c r="N1021" s="223"/>
      <c r="O1021" s="631">
        <f t="shared" si="110"/>
        <v>0</v>
      </c>
    </row>
    <row r="1022" spans="1:15" s="360" customFormat="1" ht="15" hidden="1">
      <c r="A1022" s="356" t="s">
        <v>487</v>
      </c>
      <c r="B1022" s="632" t="s">
        <v>2066</v>
      </c>
      <c r="C1022" s="611">
        <f t="shared" si="105"/>
        <v>0</v>
      </c>
      <c r="D1022" s="354" t="s">
        <v>102</v>
      </c>
      <c r="E1022" s="607">
        <f t="shared" si="109"/>
        <v>1451.29</v>
      </c>
      <c r="F1022" s="792">
        <f t="shared" si="111"/>
        <v>0</v>
      </c>
      <c r="G1022" s="358">
        <f>'PART-B'!I853</f>
        <v>0</v>
      </c>
      <c r="H1022" s="354" t="s">
        <v>102</v>
      </c>
      <c r="I1022" s="355">
        <f>'PART-B'!K853</f>
        <v>1451.29</v>
      </c>
      <c r="J1022" s="353">
        <f t="shared" si="106"/>
        <v>0</v>
      </c>
      <c r="K1022" s="669">
        <f t="shared" si="107"/>
        <v>0</v>
      </c>
      <c r="L1022" s="368">
        <f t="shared" si="108"/>
        <v>0</v>
      </c>
      <c r="M1022" s="633" t="s">
        <v>2313</v>
      </c>
      <c r="N1022" s="223"/>
      <c r="O1022" s="631">
        <f t="shared" si="110"/>
        <v>0</v>
      </c>
    </row>
    <row r="1023" spans="1:15" s="360" customFormat="1" ht="15" hidden="1">
      <c r="A1023" s="356" t="s">
        <v>516</v>
      </c>
      <c r="B1023" s="632" t="s">
        <v>2065</v>
      </c>
      <c r="C1023" s="611">
        <f t="shared" si="105"/>
        <v>0</v>
      </c>
      <c r="D1023" s="221" t="s">
        <v>102</v>
      </c>
      <c r="E1023" s="607">
        <f t="shared" si="109"/>
        <v>1737.05</v>
      </c>
      <c r="F1023" s="792">
        <f t="shared" si="111"/>
        <v>0</v>
      </c>
      <c r="G1023" s="358">
        <f>'PART-B'!I843</f>
        <v>0</v>
      </c>
      <c r="H1023" s="221" t="s">
        <v>102</v>
      </c>
      <c r="I1023" s="355">
        <f>'PART-B'!K843</f>
        <v>1737.05</v>
      </c>
      <c r="J1023" s="353">
        <f t="shared" si="106"/>
        <v>0</v>
      </c>
      <c r="K1023" s="669">
        <f t="shared" si="107"/>
        <v>0</v>
      </c>
      <c r="L1023" s="368">
        <f t="shared" si="108"/>
        <v>0</v>
      </c>
      <c r="M1023" s="633" t="s">
        <v>2313</v>
      </c>
      <c r="N1023" s="223"/>
      <c r="O1023" s="631">
        <f t="shared" si="110"/>
        <v>0</v>
      </c>
    </row>
    <row r="1024" spans="1:15" s="360" customFormat="1" ht="15" hidden="1">
      <c r="A1024" s="356" t="s">
        <v>517</v>
      </c>
      <c r="B1024" s="632" t="s">
        <v>2072</v>
      </c>
      <c r="C1024" s="611">
        <f t="shared" si="105"/>
        <v>0</v>
      </c>
      <c r="D1024" s="221" t="s">
        <v>102</v>
      </c>
      <c r="E1024" s="607">
        <f t="shared" si="109"/>
        <v>865.17</v>
      </c>
      <c r="F1024" s="792">
        <f t="shared" si="111"/>
        <v>0</v>
      </c>
      <c r="G1024" s="358">
        <f>'PART-B'!I859</f>
        <v>0</v>
      </c>
      <c r="H1024" s="221" t="s">
        <v>102</v>
      </c>
      <c r="I1024" s="355">
        <f>'PART-B'!K859</f>
        <v>865.17</v>
      </c>
      <c r="J1024" s="353">
        <f t="shared" si="106"/>
        <v>0</v>
      </c>
      <c r="K1024" s="669">
        <f t="shared" si="107"/>
        <v>0</v>
      </c>
      <c r="L1024" s="368">
        <f t="shared" si="108"/>
        <v>0</v>
      </c>
      <c r="M1024" s="633" t="s">
        <v>2313</v>
      </c>
      <c r="N1024" s="223"/>
      <c r="O1024" s="631">
        <f t="shared" si="110"/>
        <v>0</v>
      </c>
    </row>
    <row r="1025" spans="1:15" s="360" customFormat="1" ht="15" hidden="1">
      <c r="A1025" s="356" t="s">
        <v>517</v>
      </c>
      <c r="B1025" s="632" t="s">
        <v>2073</v>
      </c>
      <c r="C1025" s="611">
        <f t="shared" si="105"/>
        <v>0</v>
      </c>
      <c r="D1025" s="221" t="s">
        <v>102</v>
      </c>
      <c r="E1025" s="607">
        <f t="shared" si="109"/>
        <v>724.02</v>
      </c>
      <c r="F1025" s="792">
        <f t="shared" si="111"/>
        <v>0</v>
      </c>
      <c r="G1025" s="358">
        <f>'PART-B'!I865</f>
        <v>0</v>
      </c>
      <c r="H1025" s="221" t="s">
        <v>102</v>
      </c>
      <c r="I1025" s="355">
        <f>'PART-B'!K865</f>
        <v>724.02</v>
      </c>
      <c r="J1025" s="353">
        <f t="shared" si="106"/>
        <v>0</v>
      </c>
      <c r="K1025" s="669">
        <f t="shared" si="107"/>
        <v>0</v>
      </c>
      <c r="L1025" s="368">
        <f t="shared" si="108"/>
        <v>0</v>
      </c>
      <c r="M1025" s="633" t="s">
        <v>2313</v>
      </c>
      <c r="N1025" s="223"/>
      <c r="O1025" s="631">
        <f t="shared" si="110"/>
        <v>0</v>
      </c>
    </row>
    <row r="1026" spans="1:15" s="360" customFormat="1" ht="15" hidden="1">
      <c r="A1026" s="356" t="s">
        <v>518</v>
      </c>
      <c r="B1026" s="632" t="s">
        <v>2069</v>
      </c>
      <c r="C1026" s="611">
        <f t="shared" si="105"/>
        <v>0</v>
      </c>
      <c r="D1026" s="354" t="s">
        <v>5</v>
      </c>
      <c r="E1026" s="607">
        <f t="shared" si="109"/>
        <v>11874.810000000001</v>
      </c>
      <c r="F1026" s="792">
        <f t="shared" si="111"/>
        <v>0</v>
      </c>
      <c r="G1026" s="358">
        <f>'PART-B'!I872</f>
        <v>0</v>
      </c>
      <c r="H1026" s="354" t="s">
        <v>5</v>
      </c>
      <c r="I1026" s="355">
        <f>'PART-B'!K872</f>
        <v>11874.810000000001</v>
      </c>
      <c r="J1026" s="353">
        <f t="shared" si="106"/>
        <v>0</v>
      </c>
      <c r="K1026" s="669">
        <f t="shared" si="107"/>
        <v>0</v>
      </c>
      <c r="L1026" s="368">
        <f t="shared" si="108"/>
        <v>0</v>
      </c>
      <c r="M1026" s="633" t="s">
        <v>2313</v>
      </c>
      <c r="N1026" s="223"/>
      <c r="O1026" s="631">
        <f t="shared" si="110"/>
        <v>0</v>
      </c>
    </row>
    <row r="1027" spans="1:15" s="360" customFormat="1" ht="15" hidden="1">
      <c r="A1027" s="356" t="s">
        <v>519</v>
      </c>
      <c r="B1027" s="632" t="s">
        <v>2070</v>
      </c>
      <c r="C1027" s="611">
        <f t="shared" si="105"/>
        <v>0</v>
      </c>
      <c r="D1027" s="221" t="s">
        <v>277</v>
      </c>
      <c r="E1027" s="607">
        <f t="shared" si="109"/>
        <v>744.7299999999999</v>
      </c>
      <c r="F1027" s="792">
        <f t="shared" si="111"/>
        <v>0</v>
      </c>
      <c r="G1027" s="358">
        <f>'PART-B'!I877</f>
        <v>0</v>
      </c>
      <c r="H1027" s="221" t="s">
        <v>277</v>
      </c>
      <c r="I1027" s="355">
        <f>'PART-B'!K877</f>
        <v>744.7299999999999</v>
      </c>
      <c r="J1027" s="353">
        <f t="shared" si="106"/>
        <v>0</v>
      </c>
      <c r="K1027" s="669">
        <f t="shared" si="107"/>
        <v>0</v>
      </c>
      <c r="L1027" s="368">
        <f t="shared" si="108"/>
        <v>0</v>
      </c>
      <c r="M1027" s="633" t="s">
        <v>2313</v>
      </c>
      <c r="N1027" s="223"/>
      <c r="O1027" s="631">
        <f t="shared" si="110"/>
        <v>0</v>
      </c>
    </row>
    <row r="1028" spans="1:15" s="360" customFormat="1" ht="15" hidden="1">
      <c r="A1028" s="356" t="s">
        <v>519</v>
      </c>
      <c r="B1028" s="632" t="s">
        <v>1478</v>
      </c>
      <c r="C1028" s="611">
        <f t="shared" si="105"/>
        <v>0</v>
      </c>
      <c r="D1028" s="221" t="s">
        <v>102</v>
      </c>
      <c r="E1028" s="607">
        <f t="shared" si="109"/>
        <v>362.63</v>
      </c>
      <c r="F1028" s="792">
        <f t="shared" si="111"/>
        <v>0</v>
      </c>
      <c r="G1028" s="358">
        <f>'PART-B'!I882</f>
        <v>0</v>
      </c>
      <c r="H1028" s="221" t="s">
        <v>102</v>
      </c>
      <c r="I1028" s="355">
        <f>'PART-B'!K882</f>
        <v>362.63</v>
      </c>
      <c r="J1028" s="353">
        <f t="shared" si="106"/>
        <v>0</v>
      </c>
      <c r="K1028" s="669">
        <f t="shared" si="107"/>
        <v>0</v>
      </c>
      <c r="L1028" s="368">
        <f t="shared" si="108"/>
        <v>0</v>
      </c>
      <c r="M1028" s="633" t="s">
        <v>2313</v>
      </c>
      <c r="N1028" s="223"/>
      <c r="O1028" s="631">
        <f t="shared" si="110"/>
        <v>0</v>
      </c>
    </row>
    <row r="1029" spans="1:15" s="360" customFormat="1" ht="15" hidden="1">
      <c r="A1029" s="356" t="s">
        <v>520</v>
      </c>
      <c r="B1029" s="632" t="s">
        <v>1479</v>
      </c>
      <c r="C1029" s="611">
        <f t="shared" si="105"/>
        <v>0</v>
      </c>
      <c r="D1029" s="221" t="s">
        <v>102</v>
      </c>
      <c r="E1029" s="607">
        <f t="shared" si="109"/>
        <v>470.34</v>
      </c>
      <c r="F1029" s="792">
        <f t="shared" si="111"/>
        <v>0</v>
      </c>
      <c r="G1029" s="358">
        <f>'PART-B'!I888</f>
        <v>0</v>
      </c>
      <c r="H1029" s="221" t="s">
        <v>102</v>
      </c>
      <c r="I1029" s="355">
        <f>'PART-B'!K888</f>
        <v>470.34</v>
      </c>
      <c r="J1029" s="353">
        <f t="shared" si="106"/>
        <v>0</v>
      </c>
      <c r="K1029" s="669">
        <f t="shared" si="107"/>
        <v>0</v>
      </c>
      <c r="L1029" s="368">
        <f t="shared" si="108"/>
        <v>0</v>
      </c>
      <c r="M1029" s="633" t="s">
        <v>2313</v>
      </c>
      <c r="N1029" s="223"/>
      <c r="O1029" s="631">
        <f t="shared" si="110"/>
        <v>0</v>
      </c>
    </row>
    <row r="1030" spans="1:15" s="360" customFormat="1" ht="15" hidden="1">
      <c r="A1030" s="356" t="s">
        <v>1585</v>
      </c>
      <c r="B1030" s="632" t="s">
        <v>829</v>
      </c>
      <c r="C1030" s="611">
        <f t="shared" si="105"/>
        <v>0</v>
      </c>
      <c r="D1030" s="354" t="s">
        <v>5</v>
      </c>
      <c r="E1030" s="607">
        <f t="shared" si="109"/>
        <v>7673.4</v>
      </c>
      <c r="F1030" s="792">
        <f t="shared" si="111"/>
        <v>0</v>
      </c>
      <c r="G1030" s="358">
        <f>'PART-B'!I901</f>
        <v>0</v>
      </c>
      <c r="H1030" s="354" t="s">
        <v>5</v>
      </c>
      <c r="I1030" s="355">
        <f>'PART-B'!K901</f>
        <v>7673.4</v>
      </c>
      <c r="J1030" s="353">
        <f t="shared" si="106"/>
        <v>0</v>
      </c>
      <c r="K1030" s="669">
        <f t="shared" si="107"/>
        <v>0</v>
      </c>
      <c r="L1030" s="368">
        <f t="shared" si="108"/>
        <v>0</v>
      </c>
      <c r="M1030" s="633" t="s">
        <v>2313</v>
      </c>
      <c r="N1030" s="223"/>
      <c r="O1030" s="631">
        <f t="shared" si="110"/>
        <v>0</v>
      </c>
    </row>
    <row r="1031" spans="1:15" s="360" customFormat="1" ht="15" hidden="1">
      <c r="A1031" s="356" t="s">
        <v>491</v>
      </c>
      <c r="B1031" s="632" t="s">
        <v>828</v>
      </c>
      <c r="C1031" s="611">
        <f t="shared" si="105"/>
        <v>0</v>
      </c>
      <c r="D1031" s="354" t="s">
        <v>5</v>
      </c>
      <c r="E1031" s="607">
        <f t="shared" si="109"/>
        <v>7616.9999999999991</v>
      </c>
      <c r="F1031" s="792">
        <f t="shared" si="111"/>
        <v>0</v>
      </c>
      <c r="G1031" s="358">
        <f>'PART-B'!I896</f>
        <v>0</v>
      </c>
      <c r="H1031" s="354" t="s">
        <v>5</v>
      </c>
      <c r="I1031" s="355">
        <f>'PART-B'!K896</f>
        <v>7616.9999999999991</v>
      </c>
      <c r="J1031" s="353">
        <f t="shared" si="106"/>
        <v>0</v>
      </c>
      <c r="K1031" s="669">
        <f t="shared" si="107"/>
        <v>0</v>
      </c>
      <c r="L1031" s="368">
        <f t="shared" si="108"/>
        <v>0</v>
      </c>
      <c r="M1031" s="633" t="s">
        <v>2313</v>
      </c>
      <c r="N1031" s="223"/>
      <c r="O1031" s="631">
        <f t="shared" si="110"/>
        <v>0</v>
      </c>
    </row>
    <row r="1032" spans="1:15" s="360" customFormat="1" ht="25.5" hidden="1">
      <c r="A1032" s="356" t="s">
        <v>646</v>
      </c>
      <c r="B1032" s="632" t="s">
        <v>705</v>
      </c>
      <c r="C1032" s="611">
        <f t="shared" si="105"/>
        <v>0</v>
      </c>
      <c r="D1032" s="354" t="s">
        <v>102</v>
      </c>
      <c r="E1032" s="607">
        <f t="shared" si="109"/>
        <v>999.57</v>
      </c>
      <c r="F1032" s="792">
        <f t="shared" si="111"/>
        <v>0</v>
      </c>
      <c r="G1032" s="358">
        <f>'PART-B'!I907</f>
        <v>0</v>
      </c>
      <c r="H1032" s="354" t="s">
        <v>102</v>
      </c>
      <c r="I1032" s="355">
        <f>'PART-B'!K907</f>
        <v>999.57</v>
      </c>
      <c r="J1032" s="353">
        <f t="shared" si="106"/>
        <v>0</v>
      </c>
      <c r="K1032" s="669">
        <f t="shared" si="107"/>
        <v>0</v>
      </c>
      <c r="L1032" s="368">
        <f t="shared" si="108"/>
        <v>0</v>
      </c>
      <c r="M1032" s="633" t="s">
        <v>2313</v>
      </c>
      <c r="N1032" s="223"/>
      <c r="O1032" s="631">
        <f t="shared" si="110"/>
        <v>0</v>
      </c>
    </row>
    <row r="1033" spans="1:15" s="360" customFormat="1" ht="15" hidden="1">
      <c r="A1033" s="356" t="s">
        <v>483</v>
      </c>
      <c r="B1033" s="632" t="s">
        <v>1221</v>
      </c>
      <c r="C1033" s="611">
        <f t="shared" si="105"/>
        <v>0</v>
      </c>
      <c r="D1033" s="354" t="s">
        <v>102</v>
      </c>
      <c r="E1033" s="607">
        <f t="shared" si="109"/>
        <v>7187.4500000000007</v>
      </c>
      <c r="F1033" s="792">
        <f t="shared" si="111"/>
        <v>0</v>
      </c>
      <c r="G1033" s="358">
        <f>'PART-B'!I914</f>
        <v>0</v>
      </c>
      <c r="H1033" s="354" t="s">
        <v>102</v>
      </c>
      <c r="I1033" s="355">
        <f>'PART-B'!K914</f>
        <v>7187.4500000000007</v>
      </c>
      <c r="J1033" s="353">
        <f t="shared" si="106"/>
        <v>0</v>
      </c>
      <c r="K1033" s="669">
        <f t="shared" si="107"/>
        <v>0</v>
      </c>
      <c r="L1033" s="368">
        <f t="shared" si="108"/>
        <v>0</v>
      </c>
      <c r="M1033" s="633" t="s">
        <v>2313</v>
      </c>
      <c r="N1033" s="223"/>
      <c r="O1033" s="631">
        <f t="shared" si="110"/>
        <v>0</v>
      </c>
    </row>
    <row r="1034" spans="1:15" s="360" customFormat="1" ht="15" hidden="1">
      <c r="A1034" s="356" t="s">
        <v>1582</v>
      </c>
      <c r="B1034" s="632" t="s">
        <v>481</v>
      </c>
      <c r="C1034" s="611">
        <f t="shared" si="105"/>
        <v>0</v>
      </c>
      <c r="D1034" s="354" t="s">
        <v>102</v>
      </c>
      <c r="E1034" s="607">
        <f t="shared" si="109"/>
        <v>385.55</v>
      </c>
      <c r="F1034" s="792">
        <f t="shared" si="111"/>
        <v>0</v>
      </c>
      <c r="G1034" s="358">
        <f>'PART-B'!I921</f>
        <v>0</v>
      </c>
      <c r="H1034" s="354" t="s">
        <v>102</v>
      </c>
      <c r="I1034" s="355">
        <f>'PART-B'!K921</f>
        <v>385.55</v>
      </c>
      <c r="J1034" s="353">
        <f t="shared" si="106"/>
        <v>0</v>
      </c>
      <c r="K1034" s="669">
        <f t="shared" si="107"/>
        <v>0</v>
      </c>
      <c r="L1034" s="368">
        <f t="shared" si="108"/>
        <v>0</v>
      </c>
      <c r="M1034" s="633" t="s">
        <v>2313</v>
      </c>
      <c r="N1034" s="223"/>
      <c r="O1034" s="631">
        <f t="shared" si="110"/>
        <v>0</v>
      </c>
    </row>
    <row r="1035" spans="1:15" s="360" customFormat="1" ht="15" hidden="1">
      <c r="A1035" s="356" t="s">
        <v>1581</v>
      </c>
      <c r="B1035" s="632" t="s">
        <v>505</v>
      </c>
      <c r="C1035" s="611">
        <f t="shared" si="105"/>
        <v>0</v>
      </c>
      <c r="D1035" s="354" t="s">
        <v>102</v>
      </c>
      <c r="E1035" s="607">
        <f t="shared" si="109"/>
        <v>352.1</v>
      </c>
      <c r="F1035" s="792">
        <f t="shared" si="111"/>
        <v>0</v>
      </c>
      <c r="G1035" s="358">
        <f>'PART-B'!I929</f>
        <v>0</v>
      </c>
      <c r="H1035" s="354" t="s">
        <v>102</v>
      </c>
      <c r="I1035" s="355">
        <f>'PART-B'!K929</f>
        <v>352.1</v>
      </c>
      <c r="J1035" s="353">
        <f t="shared" si="106"/>
        <v>0</v>
      </c>
      <c r="K1035" s="669">
        <f t="shared" si="107"/>
        <v>0</v>
      </c>
      <c r="L1035" s="368">
        <f t="shared" si="108"/>
        <v>0</v>
      </c>
      <c r="M1035" s="633" t="s">
        <v>2313</v>
      </c>
      <c r="N1035" s="223"/>
      <c r="O1035" s="631">
        <f t="shared" si="110"/>
        <v>0</v>
      </c>
    </row>
    <row r="1036" spans="1:15" s="360" customFormat="1" ht="15" hidden="1">
      <c r="A1036" s="356" t="s">
        <v>1582</v>
      </c>
      <c r="B1036" s="632" t="s">
        <v>805</v>
      </c>
      <c r="C1036" s="611">
        <f t="shared" si="105"/>
        <v>0</v>
      </c>
      <c r="D1036" s="354" t="s">
        <v>102</v>
      </c>
      <c r="E1036" s="607">
        <f t="shared" si="109"/>
        <v>372.29</v>
      </c>
      <c r="F1036" s="792">
        <f t="shared" si="111"/>
        <v>0</v>
      </c>
      <c r="G1036" s="358">
        <f>'PART-B'!I937</f>
        <v>0</v>
      </c>
      <c r="H1036" s="354" t="s">
        <v>102</v>
      </c>
      <c r="I1036" s="355">
        <f>'PART-B'!K937</f>
        <v>372.29</v>
      </c>
      <c r="J1036" s="353">
        <f t="shared" si="106"/>
        <v>0</v>
      </c>
      <c r="K1036" s="669">
        <f t="shared" si="107"/>
        <v>0</v>
      </c>
      <c r="L1036" s="368">
        <f t="shared" si="108"/>
        <v>0</v>
      </c>
      <c r="M1036" s="633" t="s">
        <v>2313</v>
      </c>
      <c r="N1036" s="223"/>
      <c r="O1036" s="631">
        <f t="shared" si="110"/>
        <v>0</v>
      </c>
    </row>
    <row r="1037" spans="1:15" s="360" customFormat="1" ht="15" hidden="1">
      <c r="A1037" s="356" t="s">
        <v>1143</v>
      </c>
      <c r="B1037" s="632" t="s">
        <v>830</v>
      </c>
      <c r="C1037" s="611">
        <f t="shared" si="105"/>
        <v>0</v>
      </c>
      <c r="D1037" s="354" t="s">
        <v>102</v>
      </c>
      <c r="E1037" s="607">
        <f t="shared" si="109"/>
        <v>464.16</v>
      </c>
      <c r="F1037" s="792">
        <f t="shared" si="111"/>
        <v>0</v>
      </c>
      <c r="G1037" s="358">
        <f>'PART-B'!I944</f>
        <v>0</v>
      </c>
      <c r="H1037" s="354" t="s">
        <v>102</v>
      </c>
      <c r="I1037" s="355">
        <f>'PART-B'!K944</f>
        <v>464.16</v>
      </c>
      <c r="J1037" s="353">
        <f t="shared" si="106"/>
        <v>0</v>
      </c>
      <c r="K1037" s="669">
        <f t="shared" si="107"/>
        <v>0</v>
      </c>
      <c r="L1037" s="368">
        <f t="shared" si="108"/>
        <v>0</v>
      </c>
      <c r="M1037" s="633" t="s">
        <v>2313</v>
      </c>
      <c r="N1037" s="223"/>
      <c r="O1037" s="631">
        <f t="shared" si="110"/>
        <v>0</v>
      </c>
    </row>
    <row r="1038" spans="1:15" s="360" customFormat="1" ht="15" hidden="1">
      <c r="A1038" s="356" t="s">
        <v>1583</v>
      </c>
      <c r="B1038" s="632" t="s">
        <v>541</v>
      </c>
      <c r="C1038" s="611">
        <f t="shared" si="105"/>
        <v>0</v>
      </c>
      <c r="D1038" s="354" t="s">
        <v>102</v>
      </c>
      <c r="E1038" s="607">
        <f t="shared" si="109"/>
        <v>479.98</v>
      </c>
      <c r="F1038" s="792">
        <f t="shared" si="111"/>
        <v>0</v>
      </c>
      <c r="G1038" s="358">
        <f>'PART-B'!I951</f>
        <v>0</v>
      </c>
      <c r="H1038" s="354" t="s">
        <v>102</v>
      </c>
      <c r="I1038" s="355">
        <f>'PART-B'!K951</f>
        <v>479.98</v>
      </c>
      <c r="J1038" s="353">
        <f t="shared" si="106"/>
        <v>0</v>
      </c>
      <c r="K1038" s="669">
        <f t="shared" si="107"/>
        <v>0</v>
      </c>
      <c r="L1038" s="368">
        <f t="shared" si="108"/>
        <v>0</v>
      </c>
      <c r="M1038" s="633" t="s">
        <v>2313</v>
      </c>
      <c r="N1038" s="223"/>
      <c r="O1038" s="631">
        <f t="shared" si="110"/>
        <v>0</v>
      </c>
    </row>
    <row r="1039" spans="1:15" s="360" customFormat="1" ht="15" hidden="1">
      <c r="A1039" s="356" t="s">
        <v>473</v>
      </c>
      <c r="B1039" s="632" t="s">
        <v>2071</v>
      </c>
      <c r="C1039" s="611">
        <f t="shared" si="105"/>
        <v>0</v>
      </c>
      <c r="D1039" s="354" t="s">
        <v>5</v>
      </c>
      <c r="E1039" s="607">
        <f t="shared" si="109"/>
        <v>5843.9400000000005</v>
      </c>
      <c r="F1039" s="792">
        <f t="shared" si="111"/>
        <v>0</v>
      </c>
      <c r="G1039" s="358">
        <f>'PART-B'!I956</f>
        <v>0</v>
      </c>
      <c r="H1039" s="354" t="s">
        <v>5</v>
      </c>
      <c r="I1039" s="355">
        <f>'PART-B'!K956</f>
        <v>5843.9400000000005</v>
      </c>
      <c r="J1039" s="353">
        <f t="shared" si="106"/>
        <v>0</v>
      </c>
      <c r="K1039" s="669">
        <f t="shared" si="107"/>
        <v>0</v>
      </c>
      <c r="L1039" s="368">
        <f t="shared" si="108"/>
        <v>0</v>
      </c>
      <c r="M1039" s="633" t="s">
        <v>2313</v>
      </c>
      <c r="N1039" s="223"/>
      <c r="O1039" s="631">
        <f t="shared" si="110"/>
        <v>0</v>
      </c>
    </row>
    <row r="1040" spans="1:15" s="360" customFormat="1" ht="15" hidden="1">
      <c r="A1040" s="356" t="s">
        <v>525</v>
      </c>
      <c r="B1040" s="632" t="s">
        <v>507</v>
      </c>
      <c r="C1040" s="611">
        <f t="shared" si="105"/>
        <v>0</v>
      </c>
      <c r="D1040" s="354" t="s">
        <v>102</v>
      </c>
      <c r="E1040" s="607">
        <f t="shared" si="109"/>
        <v>1139.42</v>
      </c>
      <c r="F1040" s="792">
        <f t="shared" si="111"/>
        <v>0</v>
      </c>
      <c r="G1040" s="358">
        <f>'PART-B'!I962</f>
        <v>0</v>
      </c>
      <c r="H1040" s="354" t="s">
        <v>102</v>
      </c>
      <c r="I1040" s="355">
        <f>'PART-B'!K962</f>
        <v>1139.42</v>
      </c>
      <c r="J1040" s="353">
        <f t="shared" si="106"/>
        <v>0</v>
      </c>
      <c r="K1040" s="669">
        <f t="shared" si="107"/>
        <v>0</v>
      </c>
      <c r="L1040" s="368">
        <f t="shared" si="108"/>
        <v>0</v>
      </c>
      <c r="M1040" s="633" t="s">
        <v>2313</v>
      </c>
      <c r="N1040" s="223"/>
      <c r="O1040" s="631">
        <f t="shared" si="110"/>
        <v>0</v>
      </c>
    </row>
    <row r="1041" spans="1:15" s="360" customFormat="1" ht="15" hidden="1">
      <c r="A1041" s="356" t="s">
        <v>528</v>
      </c>
      <c r="B1041" s="632" t="s">
        <v>509</v>
      </c>
      <c r="C1041" s="611">
        <f t="shared" si="105"/>
        <v>0</v>
      </c>
      <c r="D1041" s="354" t="s">
        <v>102</v>
      </c>
      <c r="E1041" s="607">
        <f t="shared" si="109"/>
        <v>1134.08</v>
      </c>
      <c r="F1041" s="792">
        <f t="shared" si="111"/>
        <v>0</v>
      </c>
      <c r="G1041" s="358">
        <f>'PART-B'!I969</f>
        <v>0</v>
      </c>
      <c r="H1041" s="354" t="s">
        <v>102</v>
      </c>
      <c r="I1041" s="355">
        <f>'PART-B'!K969</f>
        <v>1134.08</v>
      </c>
      <c r="J1041" s="353">
        <f t="shared" si="106"/>
        <v>0</v>
      </c>
      <c r="K1041" s="669">
        <f t="shared" si="107"/>
        <v>0</v>
      </c>
      <c r="L1041" s="368">
        <f t="shared" si="108"/>
        <v>0</v>
      </c>
      <c r="M1041" s="633" t="s">
        <v>2313</v>
      </c>
      <c r="N1041" s="223"/>
      <c r="O1041" s="631">
        <f t="shared" si="110"/>
        <v>0</v>
      </c>
    </row>
    <row r="1042" spans="1:15" s="360" customFormat="1" ht="15" hidden="1">
      <c r="A1042" s="356" t="s">
        <v>508</v>
      </c>
      <c r="B1042" s="632" t="s">
        <v>708</v>
      </c>
      <c r="C1042" s="611">
        <f t="shared" si="105"/>
        <v>0</v>
      </c>
      <c r="D1042" s="354" t="s">
        <v>77</v>
      </c>
      <c r="E1042" s="607">
        <f t="shared" si="109"/>
        <v>3248.17</v>
      </c>
      <c r="F1042" s="792">
        <f t="shared" si="111"/>
        <v>0</v>
      </c>
      <c r="G1042" s="358">
        <f>'PART-B'!I976</f>
        <v>0</v>
      </c>
      <c r="H1042" s="354" t="s">
        <v>77</v>
      </c>
      <c r="I1042" s="355">
        <f>'PART-B'!K976</f>
        <v>3248.17</v>
      </c>
      <c r="J1042" s="353">
        <f t="shared" si="106"/>
        <v>0</v>
      </c>
      <c r="K1042" s="669">
        <f t="shared" si="107"/>
        <v>0</v>
      </c>
      <c r="L1042" s="368">
        <f t="shared" si="108"/>
        <v>0</v>
      </c>
      <c r="M1042" s="633" t="s">
        <v>2313</v>
      </c>
      <c r="N1042" s="223"/>
      <c r="O1042" s="631">
        <f t="shared" si="110"/>
        <v>0</v>
      </c>
    </row>
    <row r="1043" spans="1:15" s="360" customFormat="1" ht="15" hidden="1">
      <c r="A1043" s="356" t="s">
        <v>510</v>
      </c>
      <c r="B1043" s="632" t="s">
        <v>877</v>
      </c>
      <c r="C1043" s="611">
        <f t="shared" ref="C1043:C1106" si="112">G1043</f>
        <v>0</v>
      </c>
      <c r="D1043" s="354" t="s">
        <v>102</v>
      </c>
      <c r="E1043" s="607">
        <f t="shared" si="109"/>
        <v>2995.66</v>
      </c>
      <c r="F1043" s="792">
        <f t="shared" si="111"/>
        <v>0</v>
      </c>
      <c r="G1043" s="358">
        <f>'PART-B'!I983</f>
        <v>0</v>
      </c>
      <c r="H1043" s="354" t="s">
        <v>102</v>
      </c>
      <c r="I1043" s="355">
        <f>'PART-B'!K983</f>
        <v>2995.66</v>
      </c>
      <c r="J1043" s="353">
        <f t="shared" ref="J1043:J1106" si="113">ROUND(G1043*I1043,2)</f>
        <v>0</v>
      </c>
      <c r="K1043" s="669">
        <f t="shared" si="107"/>
        <v>0</v>
      </c>
      <c r="L1043" s="368">
        <f t="shared" si="108"/>
        <v>0</v>
      </c>
      <c r="M1043" s="633" t="s">
        <v>2313</v>
      </c>
      <c r="N1043" s="223"/>
      <c r="O1043" s="631">
        <f t="shared" si="110"/>
        <v>0</v>
      </c>
    </row>
    <row r="1044" spans="1:15" s="360" customFormat="1" ht="15" hidden="1">
      <c r="A1044" s="356" t="s">
        <v>529</v>
      </c>
      <c r="B1044" s="632" t="s">
        <v>710</v>
      </c>
      <c r="C1044" s="611">
        <f t="shared" si="112"/>
        <v>0</v>
      </c>
      <c r="D1044" s="354" t="s">
        <v>102</v>
      </c>
      <c r="E1044" s="607">
        <f t="shared" si="109"/>
        <v>816.76</v>
      </c>
      <c r="F1044" s="792">
        <f t="shared" si="111"/>
        <v>0</v>
      </c>
      <c r="G1044" s="358">
        <f>'PART-B'!I990</f>
        <v>0</v>
      </c>
      <c r="H1044" s="354" t="s">
        <v>102</v>
      </c>
      <c r="I1044" s="355">
        <f>'PART-B'!K990</f>
        <v>816.76</v>
      </c>
      <c r="J1044" s="353">
        <f t="shared" si="113"/>
        <v>0</v>
      </c>
      <c r="K1044" s="669">
        <f t="shared" si="107"/>
        <v>0</v>
      </c>
      <c r="L1044" s="368">
        <f t="shared" si="108"/>
        <v>0</v>
      </c>
      <c r="M1044" s="633" t="s">
        <v>2313</v>
      </c>
      <c r="N1044" s="223"/>
      <c r="O1044" s="631">
        <f t="shared" si="110"/>
        <v>0</v>
      </c>
    </row>
    <row r="1045" spans="1:15" s="360" customFormat="1" ht="15" hidden="1">
      <c r="A1045" s="356" t="s">
        <v>530</v>
      </c>
      <c r="B1045" s="632" t="s">
        <v>711</v>
      </c>
      <c r="C1045" s="611">
        <f t="shared" si="112"/>
        <v>0</v>
      </c>
      <c r="D1045" s="354" t="s">
        <v>102</v>
      </c>
      <c r="E1045" s="607">
        <f t="shared" si="109"/>
        <v>822.23</v>
      </c>
      <c r="F1045" s="792">
        <f t="shared" si="111"/>
        <v>0</v>
      </c>
      <c r="G1045" s="358">
        <f>'PART-B'!I997</f>
        <v>0</v>
      </c>
      <c r="H1045" s="354" t="s">
        <v>102</v>
      </c>
      <c r="I1045" s="355">
        <f>'PART-B'!K997</f>
        <v>822.23</v>
      </c>
      <c r="J1045" s="353">
        <f t="shared" si="113"/>
        <v>0</v>
      </c>
      <c r="K1045" s="669">
        <f t="shared" si="107"/>
        <v>0</v>
      </c>
      <c r="L1045" s="368">
        <f t="shared" si="108"/>
        <v>0</v>
      </c>
      <c r="M1045" s="633" t="s">
        <v>2313</v>
      </c>
      <c r="N1045" s="223"/>
      <c r="O1045" s="631">
        <f t="shared" si="110"/>
        <v>0</v>
      </c>
    </row>
    <row r="1046" spans="1:15" s="360" customFormat="1" ht="15" hidden="1">
      <c r="A1046" s="356" t="s">
        <v>531</v>
      </c>
      <c r="B1046" s="632" t="s">
        <v>511</v>
      </c>
      <c r="C1046" s="611">
        <f t="shared" si="112"/>
        <v>0</v>
      </c>
      <c r="D1046" s="354" t="s">
        <v>102</v>
      </c>
      <c r="E1046" s="607">
        <f t="shared" si="109"/>
        <v>873.89</v>
      </c>
      <c r="F1046" s="792">
        <f t="shared" si="111"/>
        <v>0</v>
      </c>
      <c r="G1046" s="358">
        <f>'PART-B'!I1004</f>
        <v>0</v>
      </c>
      <c r="H1046" s="354" t="s">
        <v>102</v>
      </c>
      <c r="I1046" s="355">
        <f>'PART-B'!K1004</f>
        <v>873.89</v>
      </c>
      <c r="J1046" s="353">
        <f t="shared" si="113"/>
        <v>0</v>
      </c>
      <c r="K1046" s="669">
        <f t="shared" si="107"/>
        <v>0</v>
      </c>
      <c r="L1046" s="368">
        <f t="shared" si="108"/>
        <v>0</v>
      </c>
      <c r="M1046" s="633" t="s">
        <v>2313</v>
      </c>
      <c r="N1046" s="223"/>
      <c r="O1046" s="631">
        <f t="shared" si="110"/>
        <v>0</v>
      </c>
    </row>
    <row r="1047" spans="1:15" s="360" customFormat="1" ht="15" hidden="1">
      <c r="A1047" s="356" t="s">
        <v>532</v>
      </c>
      <c r="B1047" s="632" t="s">
        <v>570</v>
      </c>
      <c r="C1047" s="611">
        <f t="shared" si="112"/>
        <v>0</v>
      </c>
      <c r="D1047" s="354" t="s">
        <v>102</v>
      </c>
      <c r="E1047" s="607">
        <f t="shared" si="109"/>
        <v>536.26</v>
      </c>
      <c r="F1047" s="792">
        <f t="shared" si="111"/>
        <v>0</v>
      </c>
      <c r="G1047" s="358">
        <f>'PART-B'!I1010</f>
        <v>0</v>
      </c>
      <c r="H1047" s="354" t="s">
        <v>102</v>
      </c>
      <c r="I1047" s="355">
        <f>'PART-B'!K1010</f>
        <v>536.26</v>
      </c>
      <c r="J1047" s="353">
        <f t="shared" si="113"/>
        <v>0</v>
      </c>
      <c r="K1047" s="669">
        <f t="shared" si="107"/>
        <v>0</v>
      </c>
      <c r="L1047" s="368">
        <f t="shared" si="108"/>
        <v>0</v>
      </c>
      <c r="M1047" s="633" t="s">
        <v>2313</v>
      </c>
      <c r="N1047" s="223"/>
      <c r="O1047" s="631">
        <f t="shared" si="110"/>
        <v>0</v>
      </c>
    </row>
    <row r="1048" spans="1:15" s="360" customFormat="1" ht="15" hidden="1">
      <c r="A1048" s="356" t="s">
        <v>492</v>
      </c>
      <c r="B1048" s="632" t="s">
        <v>1222</v>
      </c>
      <c r="C1048" s="611">
        <f t="shared" si="112"/>
        <v>0</v>
      </c>
      <c r="D1048" s="354" t="s">
        <v>102</v>
      </c>
      <c r="E1048" s="607">
        <f t="shared" si="109"/>
        <v>1100.49</v>
      </c>
      <c r="F1048" s="792">
        <f t="shared" si="111"/>
        <v>0</v>
      </c>
      <c r="G1048" s="358">
        <f>'PART-B'!I1016</f>
        <v>0</v>
      </c>
      <c r="H1048" s="354" t="s">
        <v>102</v>
      </c>
      <c r="I1048" s="355">
        <f>'PART-B'!K1016</f>
        <v>1100.49</v>
      </c>
      <c r="J1048" s="353">
        <f t="shared" si="113"/>
        <v>0</v>
      </c>
      <c r="K1048" s="669">
        <f t="shared" si="107"/>
        <v>0</v>
      </c>
      <c r="L1048" s="368">
        <f t="shared" si="108"/>
        <v>0</v>
      </c>
      <c r="M1048" s="633" t="s">
        <v>2313</v>
      </c>
      <c r="N1048" s="223"/>
      <c r="O1048" s="631">
        <f t="shared" si="110"/>
        <v>0</v>
      </c>
    </row>
    <row r="1049" spans="1:15" s="360" customFormat="1" ht="15" hidden="1">
      <c r="A1049" s="356" t="s">
        <v>533</v>
      </c>
      <c r="B1049" s="632" t="s">
        <v>707</v>
      </c>
      <c r="C1049" s="611">
        <f t="shared" si="112"/>
        <v>0</v>
      </c>
      <c r="D1049" s="354" t="s">
        <v>102</v>
      </c>
      <c r="E1049" s="607">
        <f t="shared" si="109"/>
        <v>27.91</v>
      </c>
      <c r="F1049" s="792">
        <f t="shared" si="111"/>
        <v>0</v>
      </c>
      <c r="G1049" s="358">
        <f>'PART-B'!I1024</f>
        <v>0</v>
      </c>
      <c r="H1049" s="354" t="s">
        <v>102</v>
      </c>
      <c r="I1049" s="355">
        <f>'PART-B'!K1024</f>
        <v>27.91</v>
      </c>
      <c r="J1049" s="353">
        <f t="shared" si="113"/>
        <v>0</v>
      </c>
      <c r="K1049" s="669">
        <f t="shared" si="107"/>
        <v>0</v>
      </c>
      <c r="L1049" s="368">
        <f t="shared" si="108"/>
        <v>0</v>
      </c>
      <c r="M1049" s="633" t="s">
        <v>2313</v>
      </c>
      <c r="N1049" s="223"/>
      <c r="O1049" s="631">
        <f t="shared" si="110"/>
        <v>0</v>
      </c>
    </row>
    <row r="1050" spans="1:15" s="360" customFormat="1" ht="15" hidden="1">
      <c r="A1050" s="356" t="s">
        <v>1143</v>
      </c>
      <c r="B1050" s="632" t="s">
        <v>888</v>
      </c>
      <c r="C1050" s="611">
        <f t="shared" si="112"/>
        <v>0</v>
      </c>
      <c r="D1050" s="354" t="s">
        <v>102</v>
      </c>
      <c r="E1050" s="607">
        <f t="shared" si="109"/>
        <v>194.34</v>
      </c>
      <c r="F1050" s="792">
        <f t="shared" si="111"/>
        <v>0</v>
      </c>
      <c r="G1050" s="358">
        <f>'PART-B'!I1032</f>
        <v>0</v>
      </c>
      <c r="H1050" s="354" t="s">
        <v>102</v>
      </c>
      <c r="I1050" s="355">
        <f>'PART-B'!K1032</f>
        <v>194.34</v>
      </c>
      <c r="J1050" s="353">
        <f t="shared" si="113"/>
        <v>0</v>
      </c>
      <c r="K1050" s="669">
        <f t="shared" si="107"/>
        <v>0</v>
      </c>
      <c r="L1050" s="368">
        <f t="shared" si="108"/>
        <v>0</v>
      </c>
      <c r="M1050" s="633" t="s">
        <v>2313</v>
      </c>
      <c r="N1050" s="223"/>
      <c r="O1050" s="631">
        <f t="shared" si="110"/>
        <v>0</v>
      </c>
    </row>
    <row r="1051" spans="1:15" s="360" customFormat="1" ht="15" hidden="1">
      <c r="A1051" s="356" t="s">
        <v>645</v>
      </c>
      <c r="B1051" s="632" t="s">
        <v>571</v>
      </c>
      <c r="C1051" s="611">
        <f t="shared" si="112"/>
        <v>0</v>
      </c>
      <c r="D1051" s="354" t="s">
        <v>102</v>
      </c>
      <c r="E1051" s="607">
        <f t="shared" si="109"/>
        <v>169.89</v>
      </c>
      <c r="F1051" s="792">
        <f t="shared" si="111"/>
        <v>0</v>
      </c>
      <c r="G1051" s="358">
        <f>'PART-B'!I1040</f>
        <v>0</v>
      </c>
      <c r="H1051" s="354" t="s">
        <v>102</v>
      </c>
      <c r="I1051" s="355">
        <f>'PART-B'!K1040</f>
        <v>169.89</v>
      </c>
      <c r="J1051" s="353">
        <f t="shared" si="113"/>
        <v>0</v>
      </c>
      <c r="K1051" s="669">
        <f t="shared" si="107"/>
        <v>0</v>
      </c>
      <c r="L1051" s="368">
        <f t="shared" si="108"/>
        <v>0</v>
      </c>
      <c r="M1051" s="633" t="s">
        <v>2313</v>
      </c>
      <c r="N1051" s="223"/>
      <c r="O1051" s="631">
        <f t="shared" si="110"/>
        <v>0</v>
      </c>
    </row>
    <row r="1052" spans="1:15" s="360" customFormat="1" ht="15" hidden="1">
      <c r="A1052" s="356" t="s">
        <v>1584</v>
      </c>
      <c r="B1052" s="632" t="s">
        <v>1226</v>
      </c>
      <c r="C1052" s="611">
        <f t="shared" si="112"/>
        <v>0</v>
      </c>
      <c r="D1052" s="354" t="s">
        <v>102</v>
      </c>
      <c r="E1052" s="607">
        <f t="shared" si="109"/>
        <v>233.59</v>
      </c>
      <c r="F1052" s="792">
        <f t="shared" si="111"/>
        <v>0</v>
      </c>
      <c r="G1052" s="358">
        <f>'PART-B'!I1047</f>
        <v>0</v>
      </c>
      <c r="H1052" s="354" t="s">
        <v>102</v>
      </c>
      <c r="I1052" s="355">
        <f>'PART-B'!K1047</f>
        <v>233.59</v>
      </c>
      <c r="J1052" s="353">
        <f t="shared" si="113"/>
        <v>0</v>
      </c>
      <c r="K1052" s="669">
        <f t="shared" si="107"/>
        <v>0</v>
      </c>
      <c r="L1052" s="368">
        <f t="shared" si="108"/>
        <v>0</v>
      </c>
      <c r="M1052" s="633" t="s">
        <v>2313</v>
      </c>
      <c r="N1052" s="223"/>
      <c r="O1052" s="631">
        <f t="shared" si="110"/>
        <v>0</v>
      </c>
    </row>
    <row r="1053" spans="1:15" s="360" customFormat="1" ht="15" hidden="1">
      <c r="A1053" s="356" t="s">
        <v>1575</v>
      </c>
      <c r="B1053" s="632" t="s">
        <v>477</v>
      </c>
      <c r="C1053" s="611">
        <f t="shared" si="112"/>
        <v>0</v>
      </c>
      <c r="D1053" s="221" t="s">
        <v>29</v>
      </c>
      <c r="E1053" s="607">
        <f t="shared" si="109"/>
        <v>91830</v>
      </c>
      <c r="F1053" s="792">
        <f t="shared" si="111"/>
        <v>0</v>
      </c>
      <c r="G1053" s="429">
        <f>'PART-B'!I1053</f>
        <v>0</v>
      </c>
      <c r="H1053" s="221" t="s">
        <v>29</v>
      </c>
      <c r="I1053" s="430">
        <f>'PART-B'!K1053</f>
        <v>91830</v>
      </c>
      <c r="J1053" s="353">
        <f t="shared" si="113"/>
        <v>0</v>
      </c>
      <c r="K1053" s="669">
        <f t="shared" si="107"/>
        <v>0</v>
      </c>
      <c r="L1053" s="368">
        <f t="shared" si="108"/>
        <v>0</v>
      </c>
      <c r="M1053" s="633" t="s">
        <v>2313</v>
      </c>
      <c r="N1053" s="223"/>
      <c r="O1053" s="631">
        <f t="shared" si="110"/>
        <v>0</v>
      </c>
    </row>
    <row r="1054" spans="1:15" s="360" customFormat="1" ht="51">
      <c r="A1054" s="356" t="s">
        <v>1517</v>
      </c>
      <c r="B1054" s="632" t="s">
        <v>3335</v>
      </c>
      <c r="C1054" s="611">
        <f t="shared" si="112"/>
        <v>1</v>
      </c>
      <c r="D1054" s="354" t="s">
        <v>115</v>
      </c>
      <c r="E1054" s="607">
        <f t="shared" si="109"/>
        <v>22903.660000000003</v>
      </c>
      <c r="F1054" s="792">
        <f t="shared" si="111"/>
        <v>22904</v>
      </c>
      <c r="G1054" s="358">
        <f>'PART-B'!I1059</f>
        <v>1</v>
      </c>
      <c r="H1054" s="354" t="s">
        <v>115</v>
      </c>
      <c r="I1054" s="355">
        <f>'PART-B'!K1059</f>
        <v>22903.660000000003</v>
      </c>
      <c r="J1054" s="353">
        <f t="shared" si="113"/>
        <v>22903.66</v>
      </c>
      <c r="K1054" s="669">
        <f t="shared" si="107"/>
        <v>0</v>
      </c>
      <c r="L1054" s="368">
        <f t="shared" si="108"/>
        <v>0.34000000000014552</v>
      </c>
      <c r="M1054" s="633" t="s">
        <v>2313</v>
      </c>
      <c r="N1054" s="223"/>
      <c r="O1054" s="631">
        <f t="shared" si="110"/>
        <v>0.34000000000014552</v>
      </c>
    </row>
    <row r="1055" spans="1:15" s="360" customFormat="1" ht="15" hidden="1">
      <c r="A1055" s="356" t="s">
        <v>485</v>
      </c>
      <c r="B1055" s="632" t="s">
        <v>1998</v>
      </c>
      <c r="C1055" s="611">
        <f t="shared" si="112"/>
        <v>0</v>
      </c>
      <c r="D1055" s="354" t="s">
        <v>115</v>
      </c>
      <c r="E1055" s="607">
        <f t="shared" si="109"/>
        <v>15875.19</v>
      </c>
      <c r="F1055" s="792">
        <f t="shared" si="111"/>
        <v>0</v>
      </c>
      <c r="G1055" s="358">
        <f>'PART-B'!I1074</f>
        <v>0</v>
      </c>
      <c r="H1055" s="354" t="s">
        <v>115</v>
      </c>
      <c r="I1055" s="355">
        <f>'PART-B'!K1074</f>
        <v>15875.19</v>
      </c>
      <c r="J1055" s="353">
        <f t="shared" si="113"/>
        <v>0</v>
      </c>
      <c r="K1055" s="669">
        <f t="shared" ref="K1055:K1118" si="114">IF(J1055&gt;F1055,J1055-F1055,0)</f>
        <v>0</v>
      </c>
      <c r="L1055" s="368">
        <f t="shared" ref="L1055:L1118" si="115">IF(J1055&lt;F1055,F1055-J1055,0)</f>
        <v>0</v>
      </c>
      <c r="M1055" s="633" t="s">
        <v>2313</v>
      </c>
      <c r="N1055" s="223"/>
      <c r="O1055" s="631">
        <f t="shared" si="110"/>
        <v>0</v>
      </c>
    </row>
    <row r="1056" spans="1:15" s="360" customFormat="1" ht="15" hidden="1">
      <c r="A1056" s="356"/>
      <c r="B1056" s="632" t="s">
        <v>1999</v>
      </c>
      <c r="C1056" s="611">
        <f t="shared" si="112"/>
        <v>0</v>
      </c>
      <c r="D1056" s="354" t="s">
        <v>115</v>
      </c>
      <c r="E1056" s="607">
        <f t="shared" ref="E1056:E1119" si="116">I1056</f>
        <v>15037.220000000001</v>
      </c>
      <c r="F1056" s="792">
        <f t="shared" si="111"/>
        <v>0</v>
      </c>
      <c r="G1056" s="358">
        <f>'PART-B'!I1079</f>
        <v>0</v>
      </c>
      <c r="H1056" s="354" t="s">
        <v>115</v>
      </c>
      <c r="I1056" s="355">
        <f>'PART-B'!K1079</f>
        <v>15037.220000000001</v>
      </c>
      <c r="J1056" s="353">
        <f t="shared" si="113"/>
        <v>0</v>
      </c>
      <c r="K1056" s="669">
        <f t="shared" si="114"/>
        <v>0</v>
      </c>
      <c r="L1056" s="368">
        <f t="shared" si="115"/>
        <v>0</v>
      </c>
      <c r="M1056" s="633" t="s">
        <v>2313</v>
      </c>
      <c r="N1056" s="223"/>
      <c r="O1056" s="631">
        <f t="shared" ref="O1056:O1119" si="117">F1056-J1056</f>
        <v>0</v>
      </c>
    </row>
    <row r="1057" spans="1:15" s="360" customFormat="1" ht="15" hidden="1">
      <c r="A1057" s="356" t="s">
        <v>500</v>
      </c>
      <c r="B1057" s="632" t="s">
        <v>1998</v>
      </c>
      <c r="C1057" s="611">
        <f t="shared" si="112"/>
        <v>0</v>
      </c>
      <c r="D1057" s="354" t="s">
        <v>115</v>
      </c>
      <c r="E1057" s="607">
        <f t="shared" si="116"/>
        <v>11732.029999999999</v>
      </c>
      <c r="F1057" s="792">
        <f t="shared" si="111"/>
        <v>0</v>
      </c>
      <c r="G1057" s="358">
        <f>'PART-B'!I1084</f>
        <v>0</v>
      </c>
      <c r="H1057" s="354" t="s">
        <v>115</v>
      </c>
      <c r="I1057" s="355">
        <f>'PART-B'!K1084</f>
        <v>11732.029999999999</v>
      </c>
      <c r="J1057" s="353">
        <f t="shared" si="113"/>
        <v>0</v>
      </c>
      <c r="K1057" s="669">
        <f t="shared" si="114"/>
        <v>0</v>
      </c>
      <c r="L1057" s="368">
        <f t="shared" si="115"/>
        <v>0</v>
      </c>
      <c r="M1057" s="633" t="s">
        <v>2313</v>
      </c>
      <c r="N1057" s="223"/>
      <c r="O1057" s="631">
        <f t="shared" si="117"/>
        <v>0</v>
      </c>
    </row>
    <row r="1058" spans="1:15" s="360" customFormat="1" ht="51">
      <c r="A1058" s="356" t="s">
        <v>1518</v>
      </c>
      <c r="B1058" s="632" t="s">
        <v>3336</v>
      </c>
      <c r="C1058" s="611">
        <f t="shared" si="112"/>
        <v>1</v>
      </c>
      <c r="D1058" s="354" t="s">
        <v>115</v>
      </c>
      <c r="E1058" s="607">
        <f t="shared" si="116"/>
        <v>7651.36</v>
      </c>
      <c r="F1058" s="792">
        <f t="shared" si="111"/>
        <v>7651</v>
      </c>
      <c r="G1058" s="358">
        <f>'PART-B'!I1089</f>
        <v>1</v>
      </c>
      <c r="H1058" s="354" t="s">
        <v>115</v>
      </c>
      <c r="I1058" s="355">
        <f>'PART-B'!K1089</f>
        <v>7651.36</v>
      </c>
      <c r="J1058" s="353">
        <f t="shared" si="113"/>
        <v>7651.36</v>
      </c>
      <c r="K1058" s="669">
        <f t="shared" si="114"/>
        <v>0.35999999999967258</v>
      </c>
      <c r="L1058" s="368">
        <f t="shared" si="115"/>
        <v>0</v>
      </c>
      <c r="M1058" s="633" t="s">
        <v>2313</v>
      </c>
      <c r="N1058" s="223"/>
      <c r="O1058" s="631">
        <f t="shared" si="117"/>
        <v>-0.35999999999967258</v>
      </c>
    </row>
    <row r="1059" spans="1:15" s="360" customFormat="1" ht="15" hidden="1" customHeight="1">
      <c r="A1059" s="356" t="s">
        <v>2777</v>
      </c>
      <c r="B1059" s="632" t="s">
        <v>1227</v>
      </c>
      <c r="C1059" s="611">
        <f t="shared" si="112"/>
        <v>0</v>
      </c>
      <c r="D1059" s="354" t="s">
        <v>115</v>
      </c>
      <c r="E1059" s="607">
        <f t="shared" si="116"/>
        <v>7927.96</v>
      </c>
      <c r="F1059" s="792">
        <f t="shared" si="111"/>
        <v>0</v>
      </c>
      <c r="G1059" s="358">
        <f>'PART-B'!I1064</f>
        <v>0</v>
      </c>
      <c r="H1059" s="354" t="s">
        <v>115</v>
      </c>
      <c r="I1059" s="355">
        <f>'PART-B'!K1064</f>
        <v>7927.96</v>
      </c>
      <c r="J1059" s="353">
        <f t="shared" si="113"/>
        <v>0</v>
      </c>
      <c r="K1059" s="669">
        <f t="shared" si="114"/>
        <v>0</v>
      </c>
      <c r="L1059" s="368">
        <f t="shared" si="115"/>
        <v>0</v>
      </c>
      <c r="M1059" s="633" t="s">
        <v>2313</v>
      </c>
      <c r="N1059" s="223"/>
      <c r="O1059" s="631">
        <f t="shared" si="117"/>
        <v>0</v>
      </c>
    </row>
    <row r="1060" spans="1:15" s="360" customFormat="1" ht="15" hidden="1" customHeight="1">
      <c r="A1060" s="356" t="s">
        <v>1587</v>
      </c>
      <c r="B1060" s="632" t="s">
        <v>1227</v>
      </c>
      <c r="C1060" s="611">
        <f t="shared" si="112"/>
        <v>0</v>
      </c>
      <c r="D1060" s="354" t="s">
        <v>115</v>
      </c>
      <c r="E1060" s="607">
        <f t="shared" si="116"/>
        <v>11442.58</v>
      </c>
      <c r="F1060" s="792">
        <f t="shared" si="111"/>
        <v>0</v>
      </c>
      <c r="G1060" s="358">
        <f>'PART-B'!I1069</f>
        <v>0</v>
      </c>
      <c r="H1060" s="354" t="s">
        <v>115</v>
      </c>
      <c r="I1060" s="355">
        <f>'PART-B'!K1069</f>
        <v>11442.58</v>
      </c>
      <c r="J1060" s="353">
        <f t="shared" si="113"/>
        <v>0</v>
      </c>
      <c r="K1060" s="669">
        <f t="shared" si="114"/>
        <v>0</v>
      </c>
      <c r="L1060" s="368">
        <f t="shared" si="115"/>
        <v>0</v>
      </c>
      <c r="M1060" s="633" t="s">
        <v>2313</v>
      </c>
      <c r="N1060" s="223"/>
      <c r="O1060" s="631">
        <f t="shared" si="117"/>
        <v>0</v>
      </c>
    </row>
    <row r="1061" spans="1:15" s="360" customFormat="1" ht="15">
      <c r="A1061" s="356" t="s">
        <v>1519</v>
      </c>
      <c r="B1061" s="632" t="s">
        <v>963</v>
      </c>
      <c r="C1061" s="611">
        <f t="shared" si="112"/>
        <v>1</v>
      </c>
      <c r="D1061" s="354" t="s">
        <v>115</v>
      </c>
      <c r="E1061" s="607">
        <f t="shared" si="116"/>
        <v>8519.25</v>
      </c>
      <c r="F1061" s="792">
        <f t="shared" si="111"/>
        <v>8519</v>
      </c>
      <c r="G1061" s="358">
        <f>'PART-B'!I1094</f>
        <v>1</v>
      </c>
      <c r="H1061" s="354" t="s">
        <v>115</v>
      </c>
      <c r="I1061" s="355">
        <f>'PART-B'!K1094</f>
        <v>8519.25</v>
      </c>
      <c r="J1061" s="353">
        <f t="shared" si="113"/>
        <v>8519.25</v>
      </c>
      <c r="K1061" s="669">
        <f t="shared" si="114"/>
        <v>0.25</v>
      </c>
      <c r="L1061" s="368">
        <f t="shared" si="115"/>
        <v>0</v>
      </c>
      <c r="M1061" s="633" t="s">
        <v>2313</v>
      </c>
      <c r="N1061" s="223"/>
      <c r="O1061" s="631">
        <f t="shared" si="117"/>
        <v>-0.25</v>
      </c>
    </row>
    <row r="1062" spans="1:15" s="360" customFormat="1" ht="15" hidden="1">
      <c r="A1062" s="356" t="s">
        <v>2778</v>
      </c>
      <c r="B1062" s="632" t="s">
        <v>964</v>
      </c>
      <c r="C1062" s="611">
        <f t="shared" si="112"/>
        <v>0</v>
      </c>
      <c r="D1062" s="354" t="s">
        <v>115</v>
      </c>
      <c r="E1062" s="607">
        <f t="shared" si="116"/>
        <v>7005.16</v>
      </c>
      <c r="F1062" s="792">
        <f t="shared" si="111"/>
        <v>0</v>
      </c>
      <c r="G1062" s="358">
        <f>'PART-B'!I1099</f>
        <v>0</v>
      </c>
      <c r="H1062" s="354" t="s">
        <v>115</v>
      </c>
      <c r="I1062" s="355">
        <f>'PART-B'!K1099</f>
        <v>7005.16</v>
      </c>
      <c r="J1062" s="353">
        <f t="shared" si="113"/>
        <v>0</v>
      </c>
      <c r="K1062" s="669">
        <f t="shared" si="114"/>
        <v>0</v>
      </c>
      <c r="L1062" s="368">
        <f t="shared" si="115"/>
        <v>0</v>
      </c>
      <c r="M1062" s="633" t="s">
        <v>2313</v>
      </c>
      <c r="N1062" s="223"/>
      <c r="O1062" s="631">
        <f t="shared" si="117"/>
        <v>0</v>
      </c>
    </row>
    <row r="1063" spans="1:15" s="360" customFormat="1" ht="15" hidden="1">
      <c r="A1063" s="356" t="s">
        <v>502</v>
      </c>
      <c r="B1063" s="632" t="s">
        <v>3632</v>
      </c>
      <c r="C1063" s="611">
        <f t="shared" si="112"/>
        <v>0</v>
      </c>
      <c r="D1063" s="354" t="s">
        <v>102</v>
      </c>
      <c r="E1063" s="607">
        <f t="shared" si="116"/>
        <v>6846.88</v>
      </c>
      <c r="F1063" s="792">
        <f t="shared" si="111"/>
        <v>0</v>
      </c>
      <c r="G1063" s="358">
        <f>'PART-B'!I1106</f>
        <v>0</v>
      </c>
      <c r="H1063" s="354" t="s">
        <v>102</v>
      </c>
      <c r="I1063" s="355">
        <f>'PART-B'!K1106</f>
        <v>6846.88</v>
      </c>
      <c r="J1063" s="353">
        <f t="shared" si="113"/>
        <v>0</v>
      </c>
      <c r="K1063" s="669">
        <f t="shared" si="114"/>
        <v>0</v>
      </c>
      <c r="L1063" s="368">
        <f t="shared" si="115"/>
        <v>0</v>
      </c>
      <c r="M1063" s="633" t="s">
        <v>2313</v>
      </c>
      <c r="N1063" s="223"/>
      <c r="O1063" s="631">
        <f t="shared" si="117"/>
        <v>0</v>
      </c>
    </row>
    <row r="1064" spans="1:15" s="360" customFormat="1" ht="15" hidden="1">
      <c r="A1064" s="356" t="s">
        <v>1147</v>
      </c>
      <c r="B1064" s="632" t="s">
        <v>2031</v>
      </c>
      <c r="C1064" s="611">
        <f t="shared" si="112"/>
        <v>0</v>
      </c>
      <c r="D1064" s="354" t="s">
        <v>102</v>
      </c>
      <c r="E1064" s="607">
        <f t="shared" si="116"/>
        <v>6132.48</v>
      </c>
      <c r="F1064" s="792">
        <f t="shared" si="111"/>
        <v>0</v>
      </c>
      <c r="G1064" s="358">
        <f>'PART-B'!I1112</f>
        <v>0</v>
      </c>
      <c r="H1064" s="354" t="s">
        <v>102</v>
      </c>
      <c r="I1064" s="355">
        <f>'PART-B'!K1112</f>
        <v>6132.48</v>
      </c>
      <c r="J1064" s="353">
        <f t="shared" si="113"/>
        <v>0</v>
      </c>
      <c r="K1064" s="669">
        <f t="shared" si="114"/>
        <v>0</v>
      </c>
      <c r="L1064" s="368">
        <f t="shared" si="115"/>
        <v>0</v>
      </c>
      <c r="M1064" s="633" t="s">
        <v>2313</v>
      </c>
      <c r="N1064" s="223"/>
      <c r="O1064" s="631">
        <f t="shared" si="117"/>
        <v>0</v>
      </c>
    </row>
    <row r="1065" spans="1:15" s="360" customFormat="1" ht="51">
      <c r="A1065" s="356" t="s">
        <v>497</v>
      </c>
      <c r="B1065" s="632" t="s">
        <v>3337</v>
      </c>
      <c r="C1065" s="611">
        <f t="shared" si="112"/>
        <v>5.76</v>
      </c>
      <c r="D1065" s="354" t="s">
        <v>102</v>
      </c>
      <c r="E1065" s="607">
        <f t="shared" si="116"/>
        <v>8622</v>
      </c>
      <c r="F1065" s="792">
        <f t="shared" si="111"/>
        <v>49663</v>
      </c>
      <c r="G1065" s="358">
        <f>'PART-B'!I1123</f>
        <v>5.76</v>
      </c>
      <c r="H1065" s="354" t="s">
        <v>102</v>
      </c>
      <c r="I1065" s="355">
        <f>'PART-B'!K1123</f>
        <v>8622</v>
      </c>
      <c r="J1065" s="353">
        <f t="shared" si="113"/>
        <v>49662.720000000001</v>
      </c>
      <c r="K1065" s="669">
        <f t="shared" si="114"/>
        <v>0</v>
      </c>
      <c r="L1065" s="368">
        <f t="shared" si="115"/>
        <v>0.27999999999883585</v>
      </c>
      <c r="M1065" s="633" t="s">
        <v>2313</v>
      </c>
      <c r="N1065" s="223"/>
      <c r="O1065" s="631">
        <f t="shared" si="117"/>
        <v>0.27999999999883585</v>
      </c>
    </row>
    <row r="1066" spans="1:15" s="360" customFormat="1" ht="25.5" hidden="1">
      <c r="A1066" s="356" t="s">
        <v>1145</v>
      </c>
      <c r="B1066" s="632" t="s">
        <v>965</v>
      </c>
      <c r="C1066" s="611">
        <f t="shared" si="112"/>
        <v>0</v>
      </c>
      <c r="D1066" s="354" t="s">
        <v>102</v>
      </c>
      <c r="E1066" s="607">
        <f t="shared" si="116"/>
        <v>6460</v>
      </c>
      <c r="F1066" s="792">
        <f t="shared" si="111"/>
        <v>0</v>
      </c>
      <c r="G1066" s="358">
        <f>'PART-B'!I1127</f>
        <v>0</v>
      </c>
      <c r="H1066" s="354" t="s">
        <v>102</v>
      </c>
      <c r="I1066" s="355">
        <f>'PART-B'!K1127</f>
        <v>6460</v>
      </c>
      <c r="J1066" s="353">
        <f t="shared" si="113"/>
        <v>0</v>
      </c>
      <c r="K1066" s="669">
        <f t="shared" si="114"/>
        <v>0</v>
      </c>
      <c r="L1066" s="368">
        <f t="shared" si="115"/>
        <v>0</v>
      </c>
      <c r="M1066" s="633" t="s">
        <v>2313</v>
      </c>
      <c r="N1066" s="223"/>
      <c r="O1066" s="631">
        <f t="shared" si="117"/>
        <v>0</v>
      </c>
    </row>
    <row r="1067" spans="1:15" s="360" customFormat="1" ht="25.5" hidden="1">
      <c r="A1067" s="356" t="s">
        <v>1576</v>
      </c>
      <c r="B1067" s="632" t="s">
        <v>966</v>
      </c>
      <c r="C1067" s="611">
        <f t="shared" si="112"/>
        <v>0</v>
      </c>
      <c r="D1067" s="354" t="s">
        <v>102</v>
      </c>
      <c r="E1067" s="607">
        <f t="shared" si="116"/>
        <v>6238</v>
      </c>
      <c r="F1067" s="792">
        <f t="shared" si="111"/>
        <v>0</v>
      </c>
      <c r="G1067" s="358">
        <f>'PART-B'!I1131</f>
        <v>0</v>
      </c>
      <c r="H1067" s="354" t="s">
        <v>102</v>
      </c>
      <c r="I1067" s="355">
        <f>'PART-B'!K1131</f>
        <v>6238</v>
      </c>
      <c r="J1067" s="353">
        <f t="shared" si="113"/>
        <v>0</v>
      </c>
      <c r="K1067" s="669">
        <f t="shared" si="114"/>
        <v>0</v>
      </c>
      <c r="L1067" s="368">
        <f t="shared" si="115"/>
        <v>0</v>
      </c>
      <c r="M1067" s="633" t="s">
        <v>2313</v>
      </c>
      <c r="N1067" s="223"/>
      <c r="O1067" s="631">
        <f t="shared" si="117"/>
        <v>0</v>
      </c>
    </row>
    <row r="1068" spans="1:15" s="360" customFormat="1" ht="15" hidden="1">
      <c r="A1068" s="356"/>
      <c r="B1068" s="632" t="s">
        <v>2285</v>
      </c>
      <c r="C1068" s="611">
        <f t="shared" si="112"/>
        <v>0</v>
      </c>
      <c r="D1068" s="354" t="s">
        <v>102</v>
      </c>
      <c r="E1068" s="607">
        <f t="shared" si="116"/>
        <v>4062</v>
      </c>
      <c r="F1068" s="792">
        <f t="shared" si="111"/>
        <v>0</v>
      </c>
      <c r="G1068" s="358">
        <f>'PART-B'!I1136</f>
        <v>0</v>
      </c>
      <c r="H1068" s="354" t="s">
        <v>102</v>
      </c>
      <c r="I1068" s="355">
        <f>'PART-B'!K1136</f>
        <v>4062</v>
      </c>
      <c r="J1068" s="353">
        <f t="shared" si="113"/>
        <v>0</v>
      </c>
      <c r="K1068" s="669">
        <f t="shared" si="114"/>
        <v>0</v>
      </c>
      <c r="L1068" s="368">
        <f t="shared" si="115"/>
        <v>0</v>
      </c>
      <c r="M1068" s="633" t="s">
        <v>2313</v>
      </c>
      <c r="N1068" s="223"/>
      <c r="O1068" s="631">
        <f t="shared" si="117"/>
        <v>0</v>
      </c>
    </row>
    <row r="1069" spans="1:15" s="360" customFormat="1" ht="15" hidden="1">
      <c r="A1069" s="356" t="s">
        <v>1147</v>
      </c>
      <c r="B1069" s="632" t="s">
        <v>712</v>
      </c>
      <c r="C1069" s="611">
        <f t="shared" si="112"/>
        <v>0</v>
      </c>
      <c r="D1069" s="354" t="s">
        <v>115</v>
      </c>
      <c r="E1069" s="607">
        <f t="shared" si="116"/>
        <v>577.28</v>
      </c>
      <c r="F1069" s="792">
        <f t="shared" si="111"/>
        <v>0</v>
      </c>
      <c r="G1069" s="358">
        <f>'PART-B'!I1141</f>
        <v>0</v>
      </c>
      <c r="H1069" s="354" t="s">
        <v>115</v>
      </c>
      <c r="I1069" s="355">
        <f>'PART-B'!K1141</f>
        <v>577.28</v>
      </c>
      <c r="J1069" s="353">
        <f t="shared" si="113"/>
        <v>0</v>
      </c>
      <c r="K1069" s="669">
        <f t="shared" si="114"/>
        <v>0</v>
      </c>
      <c r="L1069" s="368">
        <f t="shared" si="115"/>
        <v>0</v>
      </c>
      <c r="M1069" s="633" t="s">
        <v>2313</v>
      </c>
      <c r="N1069" s="223"/>
      <c r="O1069" s="631">
        <f t="shared" si="117"/>
        <v>0</v>
      </c>
    </row>
    <row r="1070" spans="1:15" s="360" customFormat="1" ht="15" hidden="1">
      <c r="A1070" s="356" t="s">
        <v>1577</v>
      </c>
      <c r="B1070" s="632" t="s">
        <v>932</v>
      </c>
      <c r="C1070" s="611">
        <f t="shared" si="112"/>
        <v>0</v>
      </c>
      <c r="D1070" s="354" t="s">
        <v>102</v>
      </c>
      <c r="E1070" s="607">
        <f t="shared" si="116"/>
        <v>604.07999999999993</v>
      </c>
      <c r="F1070" s="792">
        <f t="shared" si="111"/>
        <v>0</v>
      </c>
      <c r="G1070" s="358">
        <f>'PART-B'!I1146</f>
        <v>0</v>
      </c>
      <c r="H1070" s="354" t="s">
        <v>102</v>
      </c>
      <c r="I1070" s="355">
        <f>'PART-B'!K1146</f>
        <v>604.07999999999993</v>
      </c>
      <c r="J1070" s="353">
        <f t="shared" si="113"/>
        <v>0</v>
      </c>
      <c r="K1070" s="669">
        <f t="shared" si="114"/>
        <v>0</v>
      </c>
      <c r="L1070" s="368">
        <f t="shared" si="115"/>
        <v>0</v>
      </c>
      <c r="M1070" s="633" t="s">
        <v>2313</v>
      </c>
      <c r="N1070" s="223"/>
      <c r="O1070" s="631">
        <f t="shared" si="117"/>
        <v>0</v>
      </c>
    </row>
    <row r="1071" spans="1:15" s="360" customFormat="1" ht="51" hidden="1">
      <c r="A1071" s="356" t="s">
        <v>326</v>
      </c>
      <c r="B1071" s="632" t="s">
        <v>3219</v>
      </c>
      <c r="C1071" s="611">
        <f t="shared" si="112"/>
        <v>0</v>
      </c>
      <c r="D1071" s="354" t="s">
        <v>872</v>
      </c>
      <c r="E1071" s="607">
        <f t="shared" si="116"/>
        <v>110.38</v>
      </c>
      <c r="F1071" s="792">
        <f t="shared" si="111"/>
        <v>0</v>
      </c>
      <c r="G1071" s="358">
        <f>'PART-B'!I1151</f>
        <v>0</v>
      </c>
      <c r="H1071" s="354" t="s">
        <v>872</v>
      </c>
      <c r="I1071" s="355">
        <f>'PART-B'!K1151</f>
        <v>110.38</v>
      </c>
      <c r="J1071" s="353">
        <f t="shared" si="113"/>
        <v>0</v>
      </c>
      <c r="K1071" s="669">
        <f t="shared" si="114"/>
        <v>0</v>
      </c>
      <c r="L1071" s="368">
        <f t="shared" si="115"/>
        <v>0</v>
      </c>
      <c r="M1071" s="633" t="s">
        <v>2313</v>
      </c>
      <c r="N1071" s="223"/>
      <c r="O1071" s="631">
        <f t="shared" si="117"/>
        <v>0</v>
      </c>
    </row>
    <row r="1072" spans="1:15" s="360" customFormat="1" ht="15" hidden="1">
      <c r="A1072" s="356" t="s">
        <v>1591</v>
      </c>
      <c r="B1072" s="632" t="s">
        <v>542</v>
      </c>
      <c r="C1072" s="611">
        <f t="shared" si="112"/>
        <v>0</v>
      </c>
      <c r="D1072" s="354" t="s">
        <v>102</v>
      </c>
      <c r="E1072" s="607">
        <f t="shared" si="116"/>
        <v>3130</v>
      </c>
      <c r="F1072" s="792">
        <f t="shared" si="111"/>
        <v>0</v>
      </c>
      <c r="G1072" s="358">
        <f>'PART-B'!I1158</f>
        <v>0</v>
      </c>
      <c r="H1072" s="354" t="s">
        <v>102</v>
      </c>
      <c r="I1072" s="355">
        <f>'PART-B'!K1158</f>
        <v>3130</v>
      </c>
      <c r="J1072" s="353">
        <f t="shared" si="113"/>
        <v>0</v>
      </c>
      <c r="K1072" s="669">
        <f t="shared" si="114"/>
        <v>0</v>
      </c>
      <c r="L1072" s="368">
        <f t="shared" si="115"/>
        <v>0</v>
      </c>
      <c r="M1072" s="633" t="s">
        <v>2313</v>
      </c>
      <c r="N1072" s="223"/>
      <c r="O1072" s="631">
        <f t="shared" si="117"/>
        <v>0</v>
      </c>
    </row>
    <row r="1073" spans="1:15" s="360" customFormat="1" ht="15" hidden="1">
      <c r="A1073" s="356" t="s">
        <v>518</v>
      </c>
      <c r="B1073" s="632" t="s">
        <v>632</v>
      </c>
      <c r="C1073" s="611">
        <f t="shared" si="112"/>
        <v>0</v>
      </c>
      <c r="D1073" s="354"/>
      <c r="E1073" s="607">
        <f t="shared" si="116"/>
        <v>126.9</v>
      </c>
      <c r="F1073" s="792">
        <f t="shared" si="111"/>
        <v>0</v>
      </c>
      <c r="G1073" s="358">
        <f>'PART-B'!I1163</f>
        <v>0</v>
      </c>
      <c r="H1073" s="354"/>
      <c r="I1073" s="355">
        <f>'PART-B'!K1163</f>
        <v>126.9</v>
      </c>
      <c r="J1073" s="353">
        <f t="shared" si="113"/>
        <v>0</v>
      </c>
      <c r="K1073" s="669">
        <f t="shared" si="114"/>
        <v>0</v>
      </c>
      <c r="L1073" s="368">
        <f t="shared" si="115"/>
        <v>0</v>
      </c>
      <c r="M1073" s="633" t="s">
        <v>2313</v>
      </c>
      <c r="N1073" s="223"/>
      <c r="O1073" s="631">
        <f t="shared" si="117"/>
        <v>0</v>
      </c>
    </row>
    <row r="1074" spans="1:15" s="360" customFormat="1" ht="15" hidden="1">
      <c r="A1074" s="356" t="s">
        <v>517</v>
      </c>
      <c r="B1074" s="632" t="s">
        <v>2001</v>
      </c>
      <c r="C1074" s="611">
        <f t="shared" si="112"/>
        <v>0</v>
      </c>
      <c r="D1074" s="354" t="s">
        <v>102</v>
      </c>
      <c r="E1074" s="607">
        <f t="shared" si="116"/>
        <v>3345.94</v>
      </c>
      <c r="F1074" s="792">
        <f t="shared" si="111"/>
        <v>0</v>
      </c>
      <c r="G1074" s="358">
        <f>'PART-B'!I1172</f>
        <v>0</v>
      </c>
      <c r="H1074" s="354" t="s">
        <v>102</v>
      </c>
      <c r="I1074" s="355">
        <f>'PART-B'!K1172</f>
        <v>3345.94</v>
      </c>
      <c r="J1074" s="353">
        <f t="shared" si="113"/>
        <v>0</v>
      </c>
      <c r="K1074" s="669">
        <f t="shared" si="114"/>
        <v>0</v>
      </c>
      <c r="L1074" s="368">
        <f t="shared" si="115"/>
        <v>0</v>
      </c>
      <c r="M1074" s="633" t="s">
        <v>2313</v>
      </c>
      <c r="N1074" s="223"/>
      <c r="O1074" s="631">
        <f t="shared" si="117"/>
        <v>0</v>
      </c>
    </row>
    <row r="1075" spans="1:15" s="360" customFormat="1" ht="15" hidden="1">
      <c r="A1075" s="356" t="s">
        <v>642</v>
      </c>
      <c r="B1075" s="632" t="s">
        <v>2076</v>
      </c>
      <c r="C1075" s="611">
        <f t="shared" si="112"/>
        <v>0</v>
      </c>
      <c r="D1075" s="354" t="s">
        <v>102</v>
      </c>
      <c r="E1075" s="607">
        <f t="shared" si="116"/>
        <v>1514.34</v>
      </c>
      <c r="F1075" s="792">
        <f t="shared" si="111"/>
        <v>0</v>
      </c>
      <c r="G1075" s="358">
        <f>'PART-B'!I1180</f>
        <v>0</v>
      </c>
      <c r="H1075" s="354" t="s">
        <v>102</v>
      </c>
      <c r="I1075" s="355">
        <f>'PART-B'!K1180</f>
        <v>1514.34</v>
      </c>
      <c r="J1075" s="353">
        <f t="shared" si="113"/>
        <v>0</v>
      </c>
      <c r="K1075" s="669">
        <f t="shared" si="114"/>
        <v>0</v>
      </c>
      <c r="L1075" s="368">
        <f t="shared" si="115"/>
        <v>0</v>
      </c>
      <c r="M1075" s="633" t="s">
        <v>2313</v>
      </c>
      <c r="N1075" s="223"/>
      <c r="O1075" s="631">
        <f t="shared" si="117"/>
        <v>0</v>
      </c>
    </row>
    <row r="1076" spans="1:15" s="360" customFormat="1" ht="15" hidden="1">
      <c r="A1076" s="356" t="s">
        <v>642</v>
      </c>
      <c r="B1076" s="632" t="s">
        <v>2288</v>
      </c>
      <c r="C1076" s="611">
        <f t="shared" si="112"/>
        <v>0</v>
      </c>
      <c r="D1076" s="354" t="s">
        <v>872</v>
      </c>
      <c r="E1076" s="607">
        <f t="shared" si="116"/>
        <v>568.35</v>
      </c>
      <c r="F1076" s="792">
        <f t="shared" si="111"/>
        <v>0</v>
      </c>
      <c r="G1076" s="358">
        <f>'PART-B'!I1185</f>
        <v>0</v>
      </c>
      <c r="H1076" s="354" t="s">
        <v>872</v>
      </c>
      <c r="I1076" s="355">
        <f>'PART-B'!K1185</f>
        <v>568.35</v>
      </c>
      <c r="J1076" s="353">
        <f t="shared" si="113"/>
        <v>0</v>
      </c>
      <c r="K1076" s="669">
        <f t="shared" si="114"/>
        <v>0</v>
      </c>
      <c r="L1076" s="368">
        <f t="shared" si="115"/>
        <v>0</v>
      </c>
      <c r="M1076" s="633" t="s">
        <v>2313</v>
      </c>
      <c r="N1076" s="223"/>
      <c r="O1076" s="631">
        <f t="shared" si="117"/>
        <v>0</v>
      </c>
    </row>
    <row r="1077" spans="1:15" s="360" customFormat="1" ht="15" hidden="1">
      <c r="A1077" s="356" t="s">
        <v>1151</v>
      </c>
      <c r="B1077" s="632" t="s">
        <v>962</v>
      </c>
      <c r="C1077" s="611">
        <f t="shared" si="112"/>
        <v>0</v>
      </c>
      <c r="D1077" s="221" t="s">
        <v>277</v>
      </c>
      <c r="E1077" s="607">
        <f t="shared" si="116"/>
        <v>453</v>
      </c>
      <c r="F1077" s="792">
        <f t="shared" si="111"/>
        <v>0</v>
      </c>
      <c r="G1077" s="429">
        <f>'PART-B'!I1193</f>
        <v>0</v>
      </c>
      <c r="H1077" s="221" t="s">
        <v>277</v>
      </c>
      <c r="I1077" s="430">
        <f>'PART-B'!K1193</f>
        <v>453</v>
      </c>
      <c r="J1077" s="353">
        <f t="shared" si="113"/>
        <v>0</v>
      </c>
      <c r="K1077" s="669">
        <f t="shared" si="114"/>
        <v>0</v>
      </c>
      <c r="L1077" s="368">
        <f t="shared" si="115"/>
        <v>0</v>
      </c>
      <c r="M1077" s="633" t="s">
        <v>2313</v>
      </c>
      <c r="N1077" s="223"/>
      <c r="O1077" s="631">
        <f t="shared" si="117"/>
        <v>0</v>
      </c>
    </row>
    <row r="1078" spans="1:15" s="360" customFormat="1" ht="15" hidden="1">
      <c r="A1078" s="356" t="s">
        <v>518</v>
      </c>
      <c r="B1078" s="632" t="s">
        <v>543</v>
      </c>
      <c r="C1078" s="611">
        <f t="shared" si="112"/>
        <v>0</v>
      </c>
      <c r="D1078" s="354" t="s">
        <v>277</v>
      </c>
      <c r="E1078" s="607">
        <f t="shared" si="116"/>
        <v>214</v>
      </c>
      <c r="F1078" s="792">
        <f t="shared" si="111"/>
        <v>0</v>
      </c>
      <c r="G1078" s="358">
        <f>'PART-B'!I1199</f>
        <v>0</v>
      </c>
      <c r="H1078" s="354" t="s">
        <v>277</v>
      </c>
      <c r="I1078" s="355">
        <f>'PART-B'!K1199</f>
        <v>214</v>
      </c>
      <c r="J1078" s="353">
        <f t="shared" si="113"/>
        <v>0</v>
      </c>
      <c r="K1078" s="669">
        <f t="shared" si="114"/>
        <v>0</v>
      </c>
      <c r="L1078" s="368">
        <f t="shared" si="115"/>
        <v>0</v>
      </c>
      <c r="M1078" s="633" t="s">
        <v>2313</v>
      </c>
      <c r="N1078" s="223"/>
      <c r="O1078" s="631">
        <f t="shared" si="117"/>
        <v>0</v>
      </c>
    </row>
    <row r="1079" spans="1:15" s="360" customFormat="1" ht="38.25">
      <c r="A1079" s="356" t="s">
        <v>498</v>
      </c>
      <c r="B1079" s="632" t="s">
        <v>3222</v>
      </c>
      <c r="C1079" s="611">
        <f t="shared" si="112"/>
        <v>40</v>
      </c>
      <c r="D1079" s="354" t="s">
        <v>277</v>
      </c>
      <c r="E1079" s="607">
        <f t="shared" si="116"/>
        <v>136</v>
      </c>
      <c r="F1079" s="792">
        <f t="shared" si="111"/>
        <v>5440</v>
      </c>
      <c r="G1079" s="358">
        <f>'PART-B'!I1205</f>
        <v>40</v>
      </c>
      <c r="H1079" s="354" t="s">
        <v>277</v>
      </c>
      <c r="I1079" s="355">
        <f>'PART-B'!K1205</f>
        <v>136</v>
      </c>
      <c r="J1079" s="353">
        <f t="shared" si="113"/>
        <v>5440</v>
      </c>
      <c r="K1079" s="669">
        <f t="shared" si="114"/>
        <v>0</v>
      </c>
      <c r="L1079" s="368">
        <f t="shared" si="115"/>
        <v>0</v>
      </c>
      <c r="M1079" s="633" t="s">
        <v>2313</v>
      </c>
      <c r="N1079" s="223"/>
      <c r="O1079" s="631">
        <f t="shared" si="117"/>
        <v>0</v>
      </c>
    </row>
    <row r="1080" spans="1:15" s="360" customFormat="1" ht="15" hidden="1">
      <c r="A1080" s="356" t="s">
        <v>1594</v>
      </c>
      <c r="B1080" s="632" t="s">
        <v>2002</v>
      </c>
      <c r="C1080" s="611">
        <f t="shared" si="112"/>
        <v>0</v>
      </c>
      <c r="D1080" s="354" t="s">
        <v>277</v>
      </c>
      <c r="E1080" s="607">
        <f t="shared" si="116"/>
        <v>94</v>
      </c>
      <c r="F1080" s="792">
        <f t="shared" si="111"/>
        <v>0</v>
      </c>
      <c r="G1080" s="358">
        <f>'PART-B'!I1210</f>
        <v>0</v>
      </c>
      <c r="H1080" s="354" t="s">
        <v>277</v>
      </c>
      <c r="I1080" s="355">
        <f>'PART-B'!K1210</f>
        <v>94</v>
      </c>
      <c r="J1080" s="353">
        <f t="shared" si="113"/>
        <v>0</v>
      </c>
      <c r="K1080" s="669">
        <f t="shared" si="114"/>
        <v>0</v>
      </c>
      <c r="L1080" s="368">
        <f t="shared" si="115"/>
        <v>0</v>
      </c>
      <c r="M1080" s="633" t="s">
        <v>2313</v>
      </c>
      <c r="N1080" s="223"/>
      <c r="O1080" s="631">
        <f t="shared" si="117"/>
        <v>0</v>
      </c>
    </row>
    <row r="1081" spans="1:15" s="360" customFormat="1" ht="15" hidden="1">
      <c r="A1081" s="356" t="s">
        <v>1153</v>
      </c>
      <c r="B1081" s="632" t="s">
        <v>1255</v>
      </c>
      <c r="C1081" s="611">
        <f t="shared" si="112"/>
        <v>0</v>
      </c>
      <c r="D1081" s="354" t="s">
        <v>277</v>
      </c>
      <c r="E1081" s="607">
        <f t="shared" si="116"/>
        <v>35</v>
      </c>
      <c r="F1081" s="792">
        <f t="shared" ref="F1081:F1144" si="118">ROUND(C1081*E1081,0)</f>
        <v>0</v>
      </c>
      <c r="G1081" s="358">
        <f>'PART-B'!I1220</f>
        <v>0</v>
      </c>
      <c r="H1081" s="354" t="s">
        <v>277</v>
      </c>
      <c r="I1081" s="355">
        <f>'PART-B'!K1220</f>
        <v>35</v>
      </c>
      <c r="J1081" s="353">
        <f t="shared" si="113"/>
        <v>0</v>
      </c>
      <c r="K1081" s="669">
        <f t="shared" si="114"/>
        <v>0</v>
      </c>
      <c r="L1081" s="368">
        <f t="shared" si="115"/>
        <v>0</v>
      </c>
      <c r="M1081" s="633" t="s">
        <v>2313</v>
      </c>
      <c r="N1081" s="223"/>
      <c r="O1081" s="631">
        <f t="shared" si="117"/>
        <v>0</v>
      </c>
    </row>
    <row r="1082" spans="1:15" s="360" customFormat="1" ht="25.5">
      <c r="A1082" s="356" t="s">
        <v>499</v>
      </c>
      <c r="B1082" s="632" t="s">
        <v>3225</v>
      </c>
      <c r="C1082" s="611">
        <f t="shared" si="112"/>
        <v>40</v>
      </c>
      <c r="D1082" s="354" t="s">
        <v>277</v>
      </c>
      <c r="E1082" s="607">
        <f t="shared" si="116"/>
        <v>33</v>
      </c>
      <c r="F1082" s="792">
        <f t="shared" si="118"/>
        <v>1320</v>
      </c>
      <c r="G1082" s="358">
        <f>'PART-B'!I1226</f>
        <v>40</v>
      </c>
      <c r="H1082" s="354" t="s">
        <v>277</v>
      </c>
      <c r="I1082" s="355">
        <f>'PART-B'!K1226</f>
        <v>33</v>
      </c>
      <c r="J1082" s="353">
        <f t="shared" si="113"/>
        <v>1320</v>
      </c>
      <c r="K1082" s="669">
        <f t="shared" si="114"/>
        <v>0</v>
      </c>
      <c r="L1082" s="368">
        <f t="shared" si="115"/>
        <v>0</v>
      </c>
      <c r="M1082" s="633" t="s">
        <v>2313</v>
      </c>
      <c r="N1082" s="223"/>
      <c r="O1082" s="631">
        <f t="shared" si="117"/>
        <v>0</v>
      </c>
    </row>
    <row r="1083" spans="1:15" s="360" customFormat="1" ht="15" hidden="1">
      <c r="A1083" s="356" t="s">
        <v>504</v>
      </c>
      <c r="B1083" s="632" t="s">
        <v>546</v>
      </c>
      <c r="C1083" s="611">
        <f t="shared" si="112"/>
        <v>0</v>
      </c>
      <c r="D1083" s="354" t="s">
        <v>115</v>
      </c>
      <c r="E1083" s="607">
        <f t="shared" si="116"/>
        <v>387</v>
      </c>
      <c r="F1083" s="792">
        <f t="shared" si="118"/>
        <v>0</v>
      </c>
      <c r="G1083" s="358">
        <f>'PART-B'!I1231</f>
        <v>0</v>
      </c>
      <c r="H1083" s="354" t="s">
        <v>115</v>
      </c>
      <c r="I1083" s="355">
        <f>'PART-B'!K1231</f>
        <v>387</v>
      </c>
      <c r="J1083" s="353">
        <f t="shared" si="113"/>
        <v>0</v>
      </c>
      <c r="K1083" s="669">
        <f t="shared" si="114"/>
        <v>0</v>
      </c>
      <c r="L1083" s="368">
        <f t="shared" si="115"/>
        <v>0</v>
      </c>
      <c r="M1083" s="633" t="s">
        <v>2313</v>
      </c>
      <c r="N1083" s="223"/>
      <c r="O1083" s="631">
        <f t="shared" si="117"/>
        <v>0</v>
      </c>
    </row>
    <row r="1084" spans="1:15" s="360" customFormat="1" ht="25.5" hidden="1">
      <c r="A1084" s="356" t="s">
        <v>499</v>
      </c>
      <c r="B1084" s="632" t="s">
        <v>713</v>
      </c>
      <c r="C1084" s="611">
        <f t="shared" si="112"/>
        <v>0</v>
      </c>
      <c r="D1084" s="354" t="s">
        <v>115</v>
      </c>
      <c r="E1084" s="607">
        <f t="shared" si="116"/>
        <v>1644</v>
      </c>
      <c r="F1084" s="792">
        <f t="shared" si="118"/>
        <v>0</v>
      </c>
      <c r="G1084" s="358">
        <f>'PART-B'!I1236</f>
        <v>0</v>
      </c>
      <c r="H1084" s="354" t="s">
        <v>115</v>
      </c>
      <c r="I1084" s="355">
        <f>'PART-B'!K1236</f>
        <v>1644</v>
      </c>
      <c r="J1084" s="353">
        <f t="shared" si="113"/>
        <v>0</v>
      </c>
      <c r="K1084" s="669">
        <f t="shared" si="114"/>
        <v>0</v>
      </c>
      <c r="L1084" s="368">
        <f t="shared" si="115"/>
        <v>0</v>
      </c>
      <c r="M1084" s="633" t="s">
        <v>2313</v>
      </c>
      <c r="N1084" s="223"/>
      <c r="O1084" s="631">
        <f t="shared" si="117"/>
        <v>0</v>
      </c>
    </row>
    <row r="1085" spans="1:15" s="360" customFormat="1" ht="38.25">
      <c r="A1085" s="356" t="s">
        <v>500</v>
      </c>
      <c r="B1085" s="632" t="s">
        <v>3227</v>
      </c>
      <c r="C1085" s="611">
        <f t="shared" si="112"/>
        <v>10</v>
      </c>
      <c r="D1085" s="354" t="s">
        <v>277</v>
      </c>
      <c r="E1085" s="607">
        <f t="shared" si="116"/>
        <v>149</v>
      </c>
      <c r="F1085" s="792">
        <f t="shared" si="118"/>
        <v>1490</v>
      </c>
      <c r="G1085" s="358">
        <f>'PART-B'!I1241</f>
        <v>10</v>
      </c>
      <c r="H1085" s="354" t="s">
        <v>277</v>
      </c>
      <c r="I1085" s="355">
        <f>'PART-B'!K1241</f>
        <v>149</v>
      </c>
      <c r="J1085" s="353">
        <f t="shared" si="113"/>
        <v>1490</v>
      </c>
      <c r="K1085" s="669">
        <f t="shared" si="114"/>
        <v>0</v>
      </c>
      <c r="L1085" s="368">
        <f t="shared" si="115"/>
        <v>0</v>
      </c>
      <c r="M1085" s="633" t="s">
        <v>2313</v>
      </c>
      <c r="N1085" s="223"/>
      <c r="O1085" s="631">
        <f t="shared" si="117"/>
        <v>0</v>
      </c>
    </row>
    <row r="1086" spans="1:15" s="360" customFormat="1" ht="15" hidden="1">
      <c r="A1086" s="356" t="s">
        <v>1258</v>
      </c>
      <c r="B1086" s="632" t="s">
        <v>548</v>
      </c>
      <c r="C1086" s="611">
        <f t="shared" si="112"/>
        <v>0</v>
      </c>
      <c r="D1086" s="354" t="s">
        <v>277</v>
      </c>
      <c r="E1086" s="607">
        <f t="shared" si="116"/>
        <v>141.66666666666666</v>
      </c>
      <c r="F1086" s="792">
        <f t="shared" si="118"/>
        <v>0</v>
      </c>
      <c r="G1086" s="358">
        <f>'PART-B'!I1246</f>
        <v>0</v>
      </c>
      <c r="H1086" s="354" t="s">
        <v>277</v>
      </c>
      <c r="I1086" s="355">
        <f>'PART-B'!K1246</f>
        <v>141.66666666666666</v>
      </c>
      <c r="J1086" s="353">
        <f t="shared" si="113"/>
        <v>0</v>
      </c>
      <c r="K1086" s="669">
        <f t="shared" si="114"/>
        <v>0</v>
      </c>
      <c r="L1086" s="368">
        <f t="shared" si="115"/>
        <v>0</v>
      </c>
      <c r="M1086" s="633" t="s">
        <v>2313</v>
      </c>
      <c r="N1086" s="223"/>
      <c r="O1086" s="631">
        <f t="shared" si="117"/>
        <v>0</v>
      </c>
    </row>
    <row r="1087" spans="1:15" s="360" customFormat="1" ht="38.25">
      <c r="A1087" s="356" t="s">
        <v>501</v>
      </c>
      <c r="B1087" s="632" t="s">
        <v>3507</v>
      </c>
      <c r="C1087" s="611">
        <f t="shared" si="112"/>
        <v>10</v>
      </c>
      <c r="D1087" s="354" t="s">
        <v>277</v>
      </c>
      <c r="E1087" s="607">
        <f t="shared" si="116"/>
        <v>89</v>
      </c>
      <c r="F1087" s="792">
        <f t="shared" si="118"/>
        <v>890</v>
      </c>
      <c r="G1087" s="358">
        <f>'PART-B'!I1251</f>
        <v>10</v>
      </c>
      <c r="H1087" s="354" t="s">
        <v>277</v>
      </c>
      <c r="I1087" s="355">
        <f>'PART-B'!K1251</f>
        <v>89</v>
      </c>
      <c r="J1087" s="353">
        <f t="shared" si="113"/>
        <v>890</v>
      </c>
      <c r="K1087" s="669">
        <f t="shared" si="114"/>
        <v>0</v>
      </c>
      <c r="L1087" s="368">
        <f t="shared" si="115"/>
        <v>0</v>
      </c>
      <c r="M1087" s="633" t="s">
        <v>2313</v>
      </c>
      <c r="N1087" s="223"/>
      <c r="O1087" s="631">
        <f t="shared" si="117"/>
        <v>0</v>
      </c>
    </row>
    <row r="1088" spans="1:15" s="360" customFormat="1" ht="25.5">
      <c r="A1088" s="356" t="s">
        <v>502</v>
      </c>
      <c r="B1088" s="632" t="s">
        <v>3230</v>
      </c>
      <c r="C1088" s="611">
        <f t="shared" si="112"/>
        <v>20</v>
      </c>
      <c r="D1088" s="354" t="s">
        <v>277</v>
      </c>
      <c r="E1088" s="607">
        <f t="shared" si="116"/>
        <v>79</v>
      </c>
      <c r="F1088" s="792">
        <f t="shared" si="118"/>
        <v>1580</v>
      </c>
      <c r="G1088" s="358">
        <f>'PART-B'!I1257</f>
        <v>20</v>
      </c>
      <c r="H1088" s="354" t="s">
        <v>277</v>
      </c>
      <c r="I1088" s="355">
        <f>'PART-B'!K1257</f>
        <v>79</v>
      </c>
      <c r="J1088" s="353">
        <f t="shared" si="113"/>
        <v>1580</v>
      </c>
      <c r="K1088" s="669">
        <f t="shared" si="114"/>
        <v>0</v>
      </c>
      <c r="L1088" s="368">
        <f t="shared" si="115"/>
        <v>0</v>
      </c>
      <c r="M1088" s="633" t="s">
        <v>2313</v>
      </c>
      <c r="N1088" s="223"/>
      <c r="O1088" s="631">
        <f t="shared" si="117"/>
        <v>0</v>
      </c>
    </row>
    <row r="1089" spans="1:15" s="360" customFormat="1" ht="38.25">
      <c r="A1089" s="356" t="s">
        <v>503</v>
      </c>
      <c r="B1089" s="632" t="s">
        <v>3231</v>
      </c>
      <c r="C1089" s="611">
        <f t="shared" si="112"/>
        <v>2</v>
      </c>
      <c r="D1089" s="354" t="s">
        <v>115</v>
      </c>
      <c r="E1089" s="607">
        <f t="shared" si="116"/>
        <v>5297</v>
      </c>
      <c r="F1089" s="792">
        <f t="shared" si="118"/>
        <v>10594</v>
      </c>
      <c r="G1089" s="358">
        <f>'PART-B'!I1262</f>
        <v>2</v>
      </c>
      <c r="H1089" s="354" t="s">
        <v>115</v>
      </c>
      <c r="I1089" s="355">
        <f>'PART-B'!K1262</f>
        <v>5297</v>
      </c>
      <c r="J1089" s="353">
        <f t="shared" si="113"/>
        <v>10594</v>
      </c>
      <c r="K1089" s="669">
        <f t="shared" si="114"/>
        <v>0</v>
      </c>
      <c r="L1089" s="368">
        <f t="shared" si="115"/>
        <v>0</v>
      </c>
      <c r="M1089" s="633" t="s">
        <v>2313</v>
      </c>
      <c r="N1089" s="223"/>
      <c r="O1089" s="631">
        <f t="shared" si="117"/>
        <v>0</v>
      </c>
    </row>
    <row r="1090" spans="1:15" s="360" customFormat="1" ht="15" hidden="1">
      <c r="A1090" s="356" t="s">
        <v>644</v>
      </c>
      <c r="B1090" s="632" t="s">
        <v>633</v>
      </c>
      <c r="C1090" s="611">
        <f t="shared" si="112"/>
        <v>0</v>
      </c>
      <c r="D1090" s="354" t="s">
        <v>115</v>
      </c>
      <c r="E1090" s="607">
        <f t="shared" si="116"/>
        <v>1036</v>
      </c>
      <c r="F1090" s="792">
        <f t="shared" si="118"/>
        <v>0</v>
      </c>
      <c r="G1090" s="358">
        <f>'PART-B'!I1267</f>
        <v>0</v>
      </c>
      <c r="H1090" s="354" t="s">
        <v>115</v>
      </c>
      <c r="I1090" s="355">
        <f>'PART-B'!K1267</f>
        <v>1036</v>
      </c>
      <c r="J1090" s="353">
        <f t="shared" si="113"/>
        <v>0</v>
      </c>
      <c r="K1090" s="669">
        <f t="shared" si="114"/>
        <v>0</v>
      </c>
      <c r="L1090" s="368">
        <f t="shared" si="115"/>
        <v>0</v>
      </c>
      <c r="M1090" s="633" t="s">
        <v>2313</v>
      </c>
      <c r="N1090" s="223"/>
      <c r="O1090" s="631">
        <f t="shared" si="117"/>
        <v>0</v>
      </c>
    </row>
    <row r="1091" spans="1:15" s="360" customFormat="1" ht="38.25">
      <c r="A1091" s="356" t="s">
        <v>504</v>
      </c>
      <c r="B1091" s="632" t="s">
        <v>3232</v>
      </c>
      <c r="C1091" s="611">
        <f t="shared" si="112"/>
        <v>2</v>
      </c>
      <c r="D1091" s="354" t="s">
        <v>115</v>
      </c>
      <c r="E1091" s="607">
        <f t="shared" si="116"/>
        <v>2025</v>
      </c>
      <c r="F1091" s="792">
        <f t="shared" si="118"/>
        <v>4050</v>
      </c>
      <c r="G1091" s="358">
        <f>'PART-B'!I1277</f>
        <v>2</v>
      </c>
      <c r="H1091" s="354" t="s">
        <v>115</v>
      </c>
      <c r="I1091" s="355">
        <f>'PART-B'!K1277</f>
        <v>2025</v>
      </c>
      <c r="J1091" s="353">
        <f t="shared" si="113"/>
        <v>4050</v>
      </c>
      <c r="K1091" s="669">
        <f t="shared" si="114"/>
        <v>0</v>
      </c>
      <c r="L1091" s="368">
        <f t="shared" si="115"/>
        <v>0</v>
      </c>
      <c r="M1091" s="633" t="s">
        <v>2313</v>
      </c>
      <c r="N1091" s="223"/>
      <c r="O1091" s="631">
        <f t="shared" si="117"/>
        <v>0</v>
      </c>
    </row>
    <row r="1092" spans="1:15" s="360" customFormat="1" ht="15" hidden="1">
      <c r="A1092" s="356" t="s">
        <v>1595</v>
      </c>
      <c r="B1092" s="632" t="s">
        <v>1256</v>
      </c>
      <c r="C1092" s="611">
        <f t="shared" si="112"/>
        <v>0</v>
      </c>
      <c r="D1092" s="354" t="s">
        <v>115</v>
      </c>
      <c r="E1092" s="607">
        <f t="shared" si="116"/>
        <v>2644</v>
      </c>
      <c r="F1092" s="792">
        <f t="shared" si="118"/>
        <v>0</v>
      </c>
      <c r="G1092" s="358">
        <f>'PART-B'!I1272</f>
        <v>0</v>
      </c>
      <c r="H1092" s="354" t="s">
        <v>115</v>
      </c>
      <c r="I1092" s="355">
        <f>'PART-B'!K1272</f>
        <v>2644</v>
      </c>
      <c r="J1092" s="353">
        <f t="shared" si="113"/>
        <v>0</v>
      </c>
      <c r="K1092" s="669">
        <f t="shared" si="114"/>
        <v>0</v>
      </c>
      <c r="L1092" s="368">
        <f t="shared" si="115"/>
        <v>0</v>
      </c>
      <c r="M1092" s="633" t="s">
        <v>2313</v>
      </c>
      <c r="N1092" s="223"/>
      <c r="O1092" s="631">
        <f t="shared" si="117"/>
        <v>0</v>
      </c>
    </row>
    <row r="1093" spans="1:15" s="360" customFormat="1" ht="15" hidden="1">
      <c r="A1093" s="356" t="s">
        <v>513</v>
      </c>
      <c r="B1093" s="632" t="s">
        <v>719</v>
      </c>
      <c r="C1093" s="611">
        <f t="shared" si="112"/>
        <v>0</v>
      </c>
      <c r="D1093" s="354" t="s">
        <v>115</v>
      </c>
      <c r="E1093" s="607">
        <f t="shared" si="116"/>
        <v>93</v>
      </c>
      <c r="F1093" s="792">
        <f t="shared" si="118"/>
        <v>0</v>
      </c>
      <c r="G1093" s="358">
        <f>'PART-B'!I1282</f>
        <v>0</v>
      </c>
      <c r="H1093" s="354" t="s">
        <v>115</v>
      </c>
      <c r="I1093" s="355">
        <f>'PART-B'!K1282</f>
        <v>93</v>
      </c>
      <c r="J1093" s="353">
        <f t="shared" si="113"/>
        <v>0</v>
      </c>
      <c r="K1093" s="669">
        <f t="shared" si="114"/>
        <v>0</v>
      </c>
      <c r="L1093" s="368">
        <f t="shared" si="115"/>
        <v>0</v>
      </c>
      <c r="M1093" s="633" t="s">
        <v>2313</v>
      </c>
      <c r="N1093" s="223"/>
      <c r="O1093" s="631">
        <f t="shared" si="117"/>
        <v>0</v>
      </c>
    </row>
    <row r="1094" spans="1:15" s="360" customFormat="1" ht="25.5">
      <c r="A1094" s="356" t="s">
        <v>506</v>
      </c>
      <c r="B1094" s="632" t="s">
        <v>3234</v>
      </c>
      <c r="C1094" s="611">
        <f t="shared" si="112"/>
        <v>500</v>
      </c>
      <c r="D1094" s="354" t="s">
        <v>574</v>
      </c>
      <c r="E1094" s="607">
        <f t="shared" si="116"/>
        <v>9.5</v>
      </c>
      <c r="F1094" s="792">
        <f t="shared" si="118"/>
        <v>4750</v>
      </c>
      <c r="G1094" s="358">
        <f>'PART-B'!I1287</f>
        <v>500</v>
      </c>
      <c r="H1094" s="354" t="s">
        <v>574</v>
      </c>
      <c r="I1094" s="355">
        <f>'PART-B'!K1287</f>
        <v>9.5</v>
      </c>
      <c r="J1094" s="353">
        <f t="shared" si="113"/>
        <v>4750</v>
      </c>
      <c r="K1094" s="669">
        <f t="shared" si="114"/>
        <v>0</v>
      </c>
      <c r="L1094" s="368">
        <f t="shared" si="115"/>
        <v>0</v>
      </c>
      <c r="M1094" s="633" t="s">
        <v>2313</v>
      </c>
      <c r="N1094" s="223"/>
      <c r="O1094" s="631">
        <f t="shared" si="117"/>
        <v>0</v>
      </c>
    </row>
    <row r="1095" spans="1:15" s="360" customFormat="1" ht="15" hidden="1">
      <c r="A1095" s="356" t="s">
        <v>1160</v>
      </c>
      <c r="B1095" s="632" t="s">
        <v>553</v>
      </c>
      <c r="C1095" s="611">
        <f t="shared" si="112"/>
        <v>0</v>
      </c>
      <c r="D1095" s="354" t="s">
        <v>277</v>
      </c>
      <c r="E1095" s="607">
        <f t="shared" si="116"/>
        <v>446.4</v>
      </c>
      <c r="F1095" s="792">
        <f t="shared" si="118"/>
        <v>0</v>
      </c>
      <c r="G1095" s="358">
        <f>'PART-B'!I1290</f>
        <v>0</v>
      </c>
      <c r="H1095" s="354" t="s">
        <v>277</v>
      </c>
      <c r="I1095" s="355">
        <f>'PART-B'!K1290</f>
        <v>446.4</v>
      </c>
      <c r="J1095" s="353">
        <f t="shared" si="113"/>
        <v>0</v>
      </c>
      <c r="K1095" s="669">
        <f t="shared" si="114"/>
        <v>0</v>
      </c>
      <c r="L1095" s="368">
        <f t="shared" si="115"/>
        <v>0</v>
      </c>
      <c r="M1095" s="633" t="s">
        <v>2313</v>
      </c>
      <c r="N1095" s="223"/>
      <c r="O1095" s="631">
        <f t="shared" si="117"/>
        <v>0</v>
      </c>
    </row>
    <row r="1096" spans="1:15" s="360" customFormat="1" ht="15" hidden="1">
      <c r="A1096" s="356" t="s">
        <v>524</v>
      </c>
      <c r="B1096" s="632" t="s">
        <v>553</v>
      </c>
      <c r="C1096" s="611">
        <f t="shared" si="112"/>
        <v>0</v>
      </c>
      <c r="D1096" s="354" t="s">
        <v>277</v>
      </c>
      <c r="E1096" s="607">
        <f t="shared" si="116"/>
        <v>477.6</v>
      </c>
      <c r="F1096" s="792">
        <f t="shared" si="118"/>
        <v>0</v>
      </c>
      <c r="G1096" s="358">
        <f>'PART-B'!I1291</f>
        <v>0</v>
      </c>
      <c r="H1096" s="354" t="s">
        <v>277</v>
      </c>
      <c r="I1096" s="355">
        <f>'PART-B'!K1291</f>
        <v>477.6</v>
      </c>
      <c r="J1096" s="353">
        <f t="shared" si="113"/>
        <v>0</v>
      </c>
      <c r="K1096" s="669">
        <f t="shared" si="114"/>
        <v>0</v>
      </c>
      <c r="L1096" s="368">
        <f t="shared" si="115"/>
        <v>0</v>
      </c>
      <c r="M1096" s="633" t="s">
        <v>2313</v>
      </c>
      <c r="N1096" s="223"/>
      <c r="O1096" s="631">
        <f t="shared" si="117"/>
        <v>0</v>
      </c>
    </row>
    <row r="1097" spans="1:15" s="360" customFormat="1" ht="15" hidden="1">
      <c r="A1097" s="356" t="s">
        <v>525</v>
      </c>
      <c r="B1097" s="632" t="s">
        <v>553</v>
      </c>
      <c r="C1097" s="611">
        <f t="shared" si="112"/>
        <v>0</v>
      </c>
      <c r="D1097" s="354" t="s">
        <v>277</v>
      </c>
      <c r="E1097" s="607">
        <f t="shared" si="116"/>
        <v>535.70000000000005</v>
      </c>
      <c r="F1097" s="792">
        <f t="shared" si="118"/>
        <v>0</v>
      </c>
      <c r="G1097" s="358">
        <f>'PART-B'!I1292</f>
        <v>0</v>
      </c>
      <c r="H1097" s="354" t="s">
        <v>277</v>
      </c>
      <c r="I1097" s="355">
        <f>'PART-B'!K1292</f>
        <v>535.70000000000005</v>
      </c>
      <c r="J1097" s="353">
        <f t="shared" si="113"/>
        <v>0</v>
      </c>
      <c r="K1097" s="669">
        <f t="shared" si="114"/>
        <v>0</v>
      </c>
      <c r="L1097" s="368">
        <f t="shared" si="115"/>
        <v>0</v>
      </c>
      <c r="M1097" s="633" t="s">
        <v>2313</v>
      </c>
      <c r="N1097" s="223"/>
      <c r="O1097" s="631">
        <f t="shared" si="117"/>
        <v>0</v>
      </c>
    </row>
    <row r="1098" spans="1:15" s="360" customFormat="1" ht="15" hidden="1">
      <c r="A1098" s="356" t="s">
        <v>1260</v>
      </c>
      <c r="B1098" s="632" t="s">
        <v>554</v>
      </c>
      <c r="C1098" s="611">
        <f t="shared" si="112"/>
        <v>0</v>
      </c>
      <c r="D1098" s="354" t="s">
        <v>277</v>
      </c>
      <c r="E1098" s="607">
        <f t="shared" si="116"/>
        <v>325</v>
      </c>
      <c r="F1098" s="792">
        <f t="shared" si="118"/>
        <v>0</v>
      </c>
      <c r="G1098" s="358">
        <f>'PART-B'!I1298</f>
        <v>0</v>
      </c>
      <c r="H1098" s="354" t="s">
        <v>277</v>
      </c>
      <c r="I1098" s="355">
        <f>'PART-B'!K1298</f>
        <v>325</v>
      </c>
      <c r="J1098" s="353">
        <f t="shared" si="113"/>
        <v>0</v>
      </c>
      <c r="K1098" s="669">
        <f t="shared" si="114"/>
        <v>0</v>
      </c>
      <c r="L1098" s="368">
        <f t="shared" si="115"/>
        <v>0</v>
      </c>
      <c r="M1098" s="633" t="s">
        <v>2313</v>
      </c>
      <c r="N1098" s="223"/>
      <c r="O1098" s="631">
        <f t="shared" si="117"/>
        <v>0</v>
      </c>
    </row>
    <row r="1099" spans="1:15" s="360" customFormat="1" ht="15" hidden="1">
      <c r="A1099" s="356" t="s">
        <v>1161</v>
      </c>
      <c r="B1099" s="632" t="s">
        <v>635</v>
      </c>
      <c r="C1099" s="611">
        <f t="shared" si="112"/>
        <v>0</v>
      </c>
      <c r="D1099" s="354" t="s">
        <v>115</v>
      </c>
      <c r="E1099" s="607">
        <f t="shared" si="116"/>
        <v>18370</v>
      </c>
      <c r="F1099" s="792">
        <f t="shared" si="118"/>
        <v>0</v>
      </c>
      <c r="G1099" s="358">
        <f>'PART-B'!I1303</f>
        <v>0</v>
      </c>
      <c r="H1099" s="354" t="s">
        <v>115</v>
      </c>
      <c r="I1099" s="355">
        <f>'PART-B'!K1303</f>
        <v>18370</v>
      </c>
      <c r="J1099" s="353">
        <f t="shared" si="113"/>
        <v>0</v>
      </c>
      <c r="K1099" s="669">
        <f t="shared" si="114"/>
        <v>0</v>
      </c>
      <c r="L1099" s="368">
        <f t="shared" si="115"/>
        <v>0</v>
      </c>
      <c r="M1099" s="633" t="s">
        <v>2313</v>
      </c>
      <c r="N1099" s="223"/>
      <c r="O1099" s="631">
        <f t="shared" si="117"/>
        <v>0</v>
      </c>
    </row>
    <row r="1100" spans="1:15" s="360" customFormat="1" ht="15" hidden="1">
      <c r="A1100" s="356" t="s">
        <v>1596</v>
      </c>
      <c r="B1100" s="632" t="s">
        <v>636</v>
      </c>
      <c r="C1100" s="611">
        <f t="shared" si="112"/>
        <v>0</v>
      </c>
      <c r="D1100" s="354" t="s">
        <v>277</v>
      </c>
      <c r="E1100" s="607">
        <f t="shared" si="116"/>
        <v>85</v>
      </c>
      <c r="F1100" s="792">
        <f t="shared" si="118"/>
        <v>0</v>
      </c>
      <c r="G1100" s="358">
        <f>'PART-B'!I1308</f>
        <v>0</v>
      </c>
      <c r="H1100" s="354" t="s">
        <v>277</v>
      </c>
      <c r="I1100" s="355">
        <f>'PART-B'!K1308</f>
        <v>85</v>
      </c>
      <c r="J1100" s="353">
        <f t="shared" si="113"/>
        <v>0</v>
      </c>
      <c r="K1100" s="669">
        <f t="shared" si="114"/>
        <v>0</v>
      </c>
      <c r="L1100" s="368">
        <f t="shared" si="115"/>
        <v>0</v>
      </c>
      <c r="M1100" s="633" t="s">
        <v>2313</v>
      </c>
      <c r="N1100" s="223"/>
      <c r="O1100" s="631">
        <f t="shared" si="117"/>
        <v>0</v>
      </c>
    </row>
    <row r="1101" spans="1:15" s="360" customFormat="1" ht="15" hidden="1">
      <c r="A1101" s="356" t="s">
        <v>1597</v>
      </c>
      <c r="B1101" s="632" t="s">
        <v>284</v>
      </c>
      <c r="C1101" s="611">
        <f t="shared" si="112"/>
        <v>0</v>
      </c>
      <c r="D1101" s="354" t="s">
        <v>115</v>
      </c>
      <c r="E1101" s="607">
        <f t="shared" si="116"/>
        <v>300</v>
      </c>
      <c r="F1101" s="792">
        <f t="shared" si="118"/>
        <v>0</v>
      </c>
      <c r="G1101" s="358">
        <f>'PART-B'!I1313</f>
        <v>0</v>
      </c>
      <c r="H1101" s="354" t="s">
        <v>115</v>
      </c>
      <c r="I1101" s="355">
        <f>'PART-B'!K1313</f>
        <v>300</v>
      </c>
      <c r="J1101" s="353">
        <f t="shared" si="113"/>
        <v>0</v>
      </c>
      <c r="K1101" s="669">
        <f t="shared" si="114"/>
        <v>0</v>
      </c>
      <c r="L1101" s="368">
        <f t="shared" si="115"/>
        <v>0</v>
      </c>
      <c r="M1101" s="633" t="s">
        <v>2313</v>
      </c>
      <c r="N1101" s="223"/>
      <c r="O1101" s="631">
        <f t="shared" si="117"/>
        <v>0</v>
      </c>
    </row>
    <row r="1102" spans="1:15" s="360" customFormat="1" ht="15" hidden="1">
      <c r="A1102" s="356" t="s">
        <v>2032</v>
      </c>
      <c r="B1102" s="632" t="s">
        <v>285</v>
      </c>
      <c r="C1102" s="611">
        <f t="shared" si="112"/>
        <v>0</v>
      </c>
      <c r="D1102" s="354" t="s">
        <v>115</v>
      </c>
      <c r="E1102" s="607">
        <f t="shared" si="116"/>
        <v>400</v>
      </c>
      <c r="F1102" s="792">
        <f t="shared" si="118"/>
        <v>0</v>
      </c>
      <c r="G1102" s="358">
        <f>'PART-B'!I1318</f>
        <v>0</v>
      </c>
      <c r="H1102" s="354" t="s">
        <v>115</v>
      </c>
      <c r="I1102" s="355">
        <f>'PART-B'!K1318</f>
        <v>400</v>
      </c>
      <c r="J1102" s="353">
        <f t="shared" si="113"/>
        <v>0</v>
      </c>
      <c r="K1102" s="669">
        <f t="shared" si="114"/>
        <v>0</v>
      </c>
      <c r="L1102" s="368">
        <f t="shared" si="115"/>
        <v>0</v>
      </c>
      <c r="M1102" s="633" t="s">
        <v>2313</v>
      </c>
      <c r="N1102" s="223"/>
      <c r="O1102" s="631">
        <f t="shared" si="117"/>
        <v>0</v>
      </c>
    </row>
    <row r="1103" spans="1:15" s="360" customFormat="1" ht="15" hidden="1">
      <c r="A1103" s="356" t="s">
        <v>1163</v>
      </c>
      <c r="B1103" s="632" t="s">
        <v>286</v>
      </c>
      <c r="C1103" s="611">
        <f t="shared" si="112"/>
        <v>0</v>
      </c>
      <c r="D1103" s="354" t="s">
        <v>115</v>
      </c>
      <c r="E1103" s="607">
        <f t="shared" si="116"/>
        <v>77</v>
      </c>
      <c r="F1103" s="792">
        <f t="shared" si="118"/>
        <v>0</v>
      </c>
      <c r="G1103" s="358">
        <f>'PART-B'!I1323</f>
        <v>0</v>
      </c>
      <c r="H1103" s="354" t="s">
        <v>115</v>
      </c>
      <c r="I1103" s="355">
        <f>'PART-B'!K1323</f>
        <v>77</v>
      </c>
      <c r="J1103" s="353">
        <f t="shared" si="113"/>
        <v>0</v>
      </c>
      <c r="K1103" s="669">
        <f t="shared" si="114"/>
        <v>0</v>
      </c>
      <c r="L1103" s="368">
        <f t="shared" si="115"/>
        <v>0</v>
      </c>
      <c r="M1103" s="633" t="s">
        <v>2313</v>
      </c>
      <c r="N1103" s="223"/>
      <c r="O1103" s="631">
        <f t="shared" si="117"/>
        <v>0</v>
      </c>
    </row>
    <row r="1104" spans="1:15" s="360" customFormat="1" ht="15" hidden="1">
      <c r="A1104" s="356" t="s">
        <v>2035</v>
      </c>
      <c r="B1104" s="632" t="s">
        <v>287</v>
      </c>
      <c r="C1104" s="611">
        <f t="shared" si="112"/>
        <v>0</v>
      </c>
      <c r="D1104" s="354" t="s">
        <v>115</v>
      </c>
      <c r="E1104" s="607">
        <f t="shared" si="116"/>
        <v>194</v>
      </c>
      <c r="F1104" s="792">
        <f t="shared" si="118"/>
        <v>0</v>
      </c>
      <c r="G1104" s="358">
        <f>'PART-B'!I1328</f>
        <v>0</v>
      </c>
      <c r="H1104" s="354" t="s">
        <v>115</v>
      </c>
      <c r="I1104" s="355">
        <f>'PART-B'!K1328</f>
        <v>194</v>
      </c>
      <c r="J1104" s="353">
        <f t="shared" si="113"/>
        <v>0</v>
      </c>
      <c r="K1104" s="669">
        <f t="shared" si="114"/>
        <v>0</v>
      </c>
      <c r="L1104" s="368">
        <f t="shared" si="115"/>
        <v>0</v>
      </c>
      <c r="M1104" s="633" t="s">
        <v>2313</v>
      </c>
      <c r="N1104" s="223"/>
      <c r="O1104" s="631">
        <f t="shared" si="117"/>
        <v>0</v>
      </c>
    </row>
    <row r="1105" spans="1:15" s="360" customFormat="1" ht="15" hidden="1">
      <c r="A1105" s="356" t="s">
        <v>1163</v>
      </c>
      <c r="B1105" s="632" t="s">
        <v>637</v>
      </c>
      <c r="C1105" s="611">
        <f t="shared" si="112"/>
        <v>0</v>
      </c>
      <c r="D1105" s="354" t="s">
        <v>277</v>
      </c>
      <c r="E1105" s="607">
        <f t="shared" si="116"/>
        <v>105</v>
      </c>
      <c r="F1105" s="792">
        <f t="shared" si="118"/>
        <v>0</v>
      </c>
      <c r="G1105" s="358">
        <f>'PART-B'!I1333</f>
        <v>0</v>
      </c>
      <c r="H1105" s="354" t="s">
        <v>277</v>
      </c>
      <c r="I1105" s="355">
        <f>'PART-B'!K1333</f>
        <v>105</v>
      </c>
      <c r="J1105" s="353">
        <f t="shared" si="113"/>
        <v>0</v>
      </c>
      <c r="K1105" s="669">
        <f t="shared" si="114"/>
        <v>0</v>
      </c>
      <c r="L1105" s="368">
        <f t="shared" si="115"/>
        <v>0</v>
      </c>
      <c r="M1105" s="633" t="s">
        <v>2313</v>
      </c>
      <c r="N1105" s="223"/>
      <c r="O1105" s="631">
        <f t="shared" si="117"/>
        <v>0</v>
      </c>
    </row>
    <row r="1106" spans="1:15" s="360" customFormat="1" ht="15" hidden="1">
      <c r="A1106" s="356" t="s">
        <v>2035</v>
      </c>
      <c r="B1106" s="632" t="s">
        <v>638</v>
      </c>
      <c r="C1106" s="611">
        <f t="shared" si="112"/>
        <v>0</v>
      </c>
      <c r="D1106" s="354" t="s">
        <v>115</v>
      </c>
      <c r="E1106" s="607">
        <f t="shared" si="116"/>
        <v>5445</v>
      </c>
      <c r="F1106" s="792">
        <f t="shared" si="118"/>
        <v>0</v>
      </c>
      <c r="G1106" s="358">
        <f>'PART-B'!I1338</f>
        <v>0</v>
      </c>
      <c r="H1106" s="354" t="s">
        <v>115</v>
      </c>
      <c r="I1106" s="355">
        <f>'PART-B'!K1338</f>
        <v>5445</v>
      </c>
      <c r="J1106" s="353">
        <f t="shared" si="113"/>
        <v>0</v>
      </c>
      <c r="K1106" s="669">
        <f t="shared" si="114"/>
        <v>0</v>
      </c>
      <c r="L1106" s="368">
        <f t="shared" si="115"/>
        <v>0</v>
      </c>
      <c r="M1106" s="633" t="s">
        <v>2313</v>
      </c>
      <c r="N1106" s="223"/>
      <c r="O1106" s="631">
        <f t="shared" si="117"/>
        <v>0</v>
      </c>
    </row>
    <row r="1107" spans="1:15" s="360" customFormat="1" ht="15" hidden="1">
      <c r="A1107" s="356" t="s">
        <v>1260</v>
      </c>
      <c r="B1107" s="632" t="s">
        <v>555</v>
      </c>
      <c r="C1107" s="611">
        <f t="shared" ref="C1107:C1149" si="119">G1107</f>
        <v>0</v>
      </c>
      <c r="D1107" s="354" t="s">
        <v>277</v>
      </c>
      <c r="E1107" s="607">
        <f t="shared" si="116"/>
        <v>73.94</v>
      </c>
      <c r="F1107" s="792">
        <f t="shared" si="118"/>
        <v>0</v>
      </c>
      <c r="G1107" s="358">
        <f>'PART-B'!I1344</f>
        <v>0</v>
      </c>
      <c r="H1107" s="354" t="s">
        <v>277</v>
      </c>
      <c r="I1107" s="355">
        <f>'PART-B'!K1344</f>
        <v>73.94</v>
      </c>
      <c r="J1107" s="353">
        <f t="shared" ref="J1107:J1148" si="120">ROUND(G1107*I1107,2)</f>
        <v>0</v>
      </c>
      <c r="K1107" s="669">
        <f t="shared" si="114"/>
        <v>0</v>
      </c>
      <c r="L1107" s="368">
        <f t="shared" si="115"/>
        <v>0</v>
      </c>
      <c r="M1107" s="633" t="s">
        <v>2313</v>
      </c>
      <c r="N1107" s="223"/>
      <c r="O1107" s="631">
        <f t="shared" si="117"/>
        <v>0</v>
      </c>
    </row>
    <row r="1108" spans="1:15" s="360" customFormat="1" ht="38.25">
      <c r="A1108" s="356" t="s">
        <v>508</v>
      </c>
      <c r="B1108" s="632" t="s">
        <v>3239</v>
      </c>
      <c r="C1108" s="611">
        <f t="shared" si="119"/>
        <v>40</v>
      </c>
      <c r="D1108" s="354" t="s">
        <v>277</v>
      </c>
      <c r="E1108" s="607">
        <f t="shared" si="116"/>
        <v>89.61</v>
      </c>
      <c r="F1108" s="792">
        <f t="shared" si="118"/>
        <v>3584</v>
      </c>
      <c r="G1108" s="358">
        <f>'PART-B'!I1354</f>
        <v>40</v>
      </c>
      <c r="H1108" s="354" t="s">
        <v>277</v>
      </c>
      <c r="I1108" s="355">
        <f>'PART-B'!K1354</f>
        <v>89.61</v>
      </c>
      <c r="J1108" s="353">
        <f t="shared" si="120"/>
        <v>3584.4</v>
      </c>
      <c r="K1108" s="669">
        <f t="shared" si="114"/>
        <v>0.40000000000009095</v>
      </c>
      <c r="L1108" s="368">
        <f t="shared" si="115"/>
        <v>0</v>
      </c>
      <c r="M1108" s="633" t="s">
        <v>2313</v>
      </c>
      <c r="N1108" s="223"/>
      <c r="O1108" s="631">
        <f t="shared" si="117"/>
        <v>-0.40000000000009095</v>
      </c>
    </row>
    <row r="1109" spans="1:15" s="360" customFormat="1" ht="15" hidden="1">
      <c r="A1109" s="356" t="s">
        <v>517</v>
      </c>
      <c r="B1109" s="632" t="s">
        <v>572</v>
      </c>
      <c r="C1109" s="611">
        <f t="shared" si="119"/>
        <v>0</v>
      </c>
      <c r="D1109" s="354" t="s">
        <v>277</v>
      </c>
      <c r="E1109" s="607">
        <f t="shared" si="116"/>
        <v>64</v>
      </c>
      <c r="F1109" s="792">
        <f t="shared" si="118"/>
        <v>0</v>
      </c>
      <c r="G1109" s="358">
        <f>'PART-B'!I1362</f>
        <v>0</v>
      </c>
      <c r="H1109" s="354" t="s">
        <v>277</v>
      </c>
      <c r="I1109" s="355">
        <f>'PART-B'!K1362</f>
        <v>64</v>
      </c>
      <c r="J1109" s="353">
        <f t="shared" si="120"/>
        <v>0</v>
      </c>
      <c r="K1109" s="669">
        <f t="shared" si="114"/>
        <v>0</v>
      </c>
      <c r="L1109" s="368">
        <f t="shared" si="115"/>
        <v>0</v>
      </c>
      <c r="M1109" s="633" t="s">
        <v>2313</v>
      </c>
      <c r="N1109" s="223"/>
      <c r="O1109" s="631">
        <f t="shared" si="117"/>
        <v>0</v>
      </c>
    </row>
    <row r="1110" spans="1:15" s="360" customFormat="1" ht="15">
      <c r="A1110" s="356" t="s">
        <v>510</v>
      </c>
      <c r="B1110" s="632" t="s">
        <v>556</v>
      </c>
      <c r="C1110" s="611">
        <f t="shared" si="119"/>
        <v>3</v>
      </c>
      <c r="D1110" s="354" t="s">
        <v>115</v>
      </c>
      <c r="E1110" s="607">
        <f t="shared" si="116"/>
        <v>245</v>
      </c>
      <c r="F1110" s="792">
        <f t="shared" si="118"/>
        <v>735</v>
      </c>
      <c r="G1110" s="358">
        <f>'PART-B'!I1367</f>
        <v>3</v>
      </c>
      <c r="H1110" s="354" t="s">
        <v>115</v>
      </c>
      <c r="I1110" s="355">
        <f>'PART-B'!K1367</f>
        <v>245</v>
      </c>
      <c r="J1110" s="353">
        <f t="shared" si="120"/>
        <v>735</v>
      </c>
      <c r="K1110" s="669">
        <f t="shared" si="114"/>
        <v>0</v>
      </c>
      <c r="L1110" s="368">
        <f t="shared" si="115"/>
        <v>0</v>
      </c>
      <c r="M1110" s="633" t="s">
        <v>2313</v>
      </c>
      <c r="N1110" s="223"/>
      <c r="O1110" s="631">
        <f t="shared" si="117"/>
        <v>0</v>
      </c>
    </row>
    <row r="1111" spans="1:15" s="360" customFormat="1" ht="15">
      <c r="A1111" s="356" t="s">
        <v>1520</v>
      </c>
      <c r="B1111" s="632" t="s">
        <v>639</v>
      </c>
      <c r="C1111" s="611">
        <f t="shared" si="119"/>
        <v>2</v>
      </c>
      <c r="D1111" s="354" t="s">
        <v>115</v>
      </c>
      <c r="E1111" s="607">
        <f t="shared" si="116"/>
        <v>203</v>
      </c>
      <c r="F1111" s="792">
        <f t="shared" si="118"/>
        <v>406</v>
      </c>
      <c r="G1111" s="358">
        <f>'PART-B'!I1372</f>
        <v>2</v>
      </c>
      <c r="H1111" s="354" t="s">
        <v>115</v>
      </c>
      <c r="I1111" s="355">
        <f>'PART-B'!K1372</f>
        <v>203</v>
      </c>
      <c r="J1111" s="353">
        <f t="shared" si="120"/>
        <v>406</v>
      </c>
      <c r="K1111" s="669">
        <f t="shared" si="114"/>
        <v>0</v>
      </c>
      <c r="L1111" s="368">
        <f t="shared" si="115"/>
        <v>0</v>
      </c>
      <c r="M1111" s="633" t="s">
        <v>2313</v>
      </c>
      <c r="N1111" s="223"/>
      <c r="O1111" s="631">
        <f t="shared" si="117"/>
        <v>0</v>
      </c>
    </row>
    <row r="1112" spans="1:15" s="360" customFormat="1" ht="15" hidden="1">
      <c r="A1112" s="356" t="s">
        <v>518</v>
      </c>
      <c r="B1112" s="632" t="s">
        <v>714</v>
      </c>
      <c r="C1112" s="611">
        <f t="shared" si="119"/>
        <v>0</v>
      </c>
      <c r="D1112" s="354" t="s">
        <v>115</v>
      </c>
      <c r="E1112" s="607">
        <f t="shared" si="116"/>
        <v>155</v>
      </c>
      <c r="F1112" s="792">
        <f t="shared" si="118"/>
        <v>0</v>
      </c>
      <c r="G1112" s="358">
        <f>'PART-B'!I1377</f>
        <v>0</v>
      </c>
      <c r="H1112" s="354" t="s">
        <v>115</v>
      </c>
      <c r="I1112" s="355">
        <f>'PART-B'!K1377</f>
        <v>155</v>
      </c>
      <c r="J1112" s="353">
        <f t="shared" si="120"/>
        <v>0</v>
      </c>
      <c r="K1112" s="669">
        <f t="shared" si="114"/>
        <v>0</v>
      </c>
      <c r="L1112" s="368">
        <f t="shared" si="115"/>
        <v>0</v>
      </c>
      <c r="M1112" s="633" t="s">
        <v>2313</v>
      </c>
      <c r="N1112" s="223"/>
      <c r="O1112" s="631">
        <f t="shared" si="117"/>
        <v>0</v>
      </c>
    </row>
    <row r="1113" spans="1:15" s="360" customFormat="1" ht="15" hidden="1">
      <c r="A1113" s="356" t="s">
        <v>519</v>
      </c>
      <c r="B1113" s="632" t="s">
        <v>796</v>
      </c>
      <c r="C1113" s="611">
        <f t="shared" si="119"/>
        <v>0</v>
      </c>
      <c r="D1113" s="354" t="s">
        <v>115</v>
      </c>
      <c r="E1113" s="607">
        <f t="shared" si="116"/>
        <v>114</v>
      </c>
      <c r="F1113" s="792">
        <f t="shared" si="118"/>
        <v>0</v>
      </c>
      <c r="G1113" s="358">
        <f>'PART-B'!I1392</f>
        <v>0</v>
      </c>
      <c r="H1113" s="354" t="s">
        <v>115</v>
      </c>
      <c r="I1113" s="355">
        <f>'PART-B'!K1392</f>
        <v>114</v>
      </c>
      <c r="J1113" s="353">
        <f t="shared" si="120"/>
        <v>0</v>
      </c>
      <c r="K1113" s="669">
        <f t="shared" si="114"/>
        <v>0</v>
      </c>
      <c r="L1113" s="368">
        <f t="shared" si="115"/>
        <v>0</v>
      </c>
      <c r="M1113" s="633" t="s">
        <v>2313</v>
      </c>
      <c r="N1113" s="223"/>
      <c r="O1113" s="631">
        <f t="shared" si="117"/>
        <v>0</v>
      </c>
    </row>
    <row r="1114" spans="1:15" s="360" customFormat="1" ht="15" hidden="1">
      <c r="A1114" s="356" t="s">
        <v>2043</v>
      </c>
      <c r="B1114" s="632" t="s">
        <v>640</v>
      </c>
      <c r="C1114" s="611">
        <f t="shared" si="119"/>
        <v>0</v>
      </c>
      <c r="D1114" s="354" t="s">
        <v>115</v>
      </c>
      <c r="E1114" s="607">
        <f t="shared" si="116"/>
        <v>400</v>
      </c>
      <c r="F1114" s="792">
        <f t="shared" si="118"/>
        <v>0</v>
      </c>
      <c r="G1114" s="358">
        <f>'PART-B'!I1387</f>
        <v>0</v>
      </c>
      <c r="H1114" s="354" t="s">
        <v>115</v>
      </c>
      <c r="I1114" s="355">
        <f>'PART-B'!K1387</f>
        <v>400</v>
      </c>
      <c r="J1114" s="353">
        <f t="shared" si="120"/>
        <v>0</v>
      </c>
      <c r="K1114" s="669">
        <f t="shared" si="114"/>
        <v>0</v>
      </c>
      <c r="L1114" s="368">
        <f t="shared" si="115"/>
        <v>0</v>
      </c>
      <c r="M1114" s="633" t="s">
        <v>2313</v>
      </c>
      <c r="N1114" s="223"/>
      <c r="O1114" s="631">
        <f t="shared" si="117"/>
        <v>0</v>
      </c>
    </row>
    <row r="1115" spans="1:15" s="360" customFormat="1" ht="15">
      <c r="A1115" s="356" t="s">
        <v>512</v>
      </c>
      <c r="B1115" s="632" t="s">
        <v>1512</v>
      </c>
      <c r="C1115" s="611">
        <f t="shared" si="119"/>
        <v>3</v>
      </c>
      <c r="D1115" s="354" t="s">
        <v>115</v>
      </c>
      <c r="E1115" s="607">
        <f t="shared" si="116"/>
        <v>359</v>
      </c>
      <c r="F1115" s="792">
        <f t="shared" si="118"/>
        <v>1077</v>
      </c>
      <c r="G1115" s="358">
        <f>'PART-B'!I1382</f>
        <v>3</v>
      </c>
      <c r="H1115" s="354" t="s">
        <v>115</v>
      </c>
      <c r="I1115" s="355">
        <f>'PART-B'!K1382</f>
        <v>359</v>
      </c>
      <c r="J1115" s="353">
        <f t="shared" si="120"/>
        <v>1077</v>
      </c>
      <c r="K1115" s="669">
        <f t="shared" si="114"/>
        <v>0</v>
      </c>
      <c r="L1115" s="368">
        <f t="shared" si="115"/>
        <v>0</v>
      </c>
      <c r="M1115" s="633" t="s">
        <v>2313</v>
      </c>
      <c r="N1115" s="223"/>
      <c r="O1115" s="631">
        <f t="shared" si="117"/>
        <v>0</v>
      </c>
    </row>
    <row r="1116" spans="1:15" s="360" customFormat="1" ht="15" hidden="1">
      <c r="A1116" s="356" t="s">
        <v>480</v>
      </c>
      <c r="B1116" s="632" t="s">
        <v>557</v>
      </c>
      <c r="C1116" s="611">
        <f t="shared" si="119"/>
        <v>0</v>
      </c>
      <c r="D1116" s="354" t="s">
        <v>115</v>
      </c>
      <c r="E1116" s="607">
        <f t="shared" si="116"/>
        <v>68</v>
      </c>
      <c r="F1116" s="792">
        <f t="shared" si="118"/>
        <v>0</v>
      </c>
      <c r="G1116" s="358">
        <f>'PART-B'!I1397</f>
        <v>0</v>
      </c>
      <c r="H1116" s="354" t="s">
        <v>115</v>
      </c>
      <c r="I1116" s="355">
        <f>'PART-B'!K1397</f>
        <v>68</v>
      </c>
      <c r="J1116" s="353">
        <f t="shared" si="120"/>
        <v>0</v>
      </c>
      <c r="K1116" s="669">
        <f t="shared" si="114"/>
        <v>0</v>
      </c>
      <c r="L1116" s="368">
        <f t="shared" si="115"/>
        <v>0</v>
      </c>
      <c r="M1116" s="633" t="s">
        <v>2313</v>
      </c>
      <c r="N1116" s="223"/>
      <c r="O1116" s="631">
        <f t="shared" si="117"/>
        <v>0</v>
      </c>
    </row>
    <row r="1117" spans="1:15" s="360" customFormat="1" ht="38.25">
      <c r="A1117" s="356" t="s">
        <v>513</v>
      </c>
      <c r="B1117" s="632" t="s">
        <v>3240</v>
      </c>
      <c r="C1117" s="611">
        <f t="shared" si="119"/>
        <v>22</v>
      </c>
      <c r="D1117" s="354" t="s">
        <v>568</v>
      </c>
      <c r="E1117" s="607">
        <f t="shared" si="116"/>
        <v>481.67</v>
      </c>
      <c r="F1117" s="792">
        <f t="shared" si="118"/>
        <v>10597</v>
      </c>
      <c r="G1117" s="358">
        <f>'PART-B'!I1403</f>
        <v>22</v>
      </c>
      <c r="H1117" s="354" t="s">
        <v>568</v>
      </c>
      <c r="I1117" s="355">
        <f>'PART-B'!K1403</f>
        <v>481.67</v>
      </c>
      <c r="J1117" s="353">
        <f t="shared" si="120"/>
        <v>10596.74</v>
      </c>
      <c r="K1117" s="669">
        <f t="shared" si="114"/>
        <v>0</v>
      </c>
      <c r="L1117" s="368">
        <f t="shared" si="115"/>
        <v>0.26000000000021828</v>
      </c>
      <c r="M1117" s="633" t="s">
        <v>2313</v>
      </c>
      <c r="N1117" s="223"/>
      <c r="O1117" s="631">
        <f t="shared" si="117"/>
        <v>0.26000000000021828</v>
      </c>
    </row>
    <row r="1118" spans="1:15" s="360" customFormat="1" ht="15">
      <c r="A1118" s="356" t="s">
        <v>514</v>
      </c>
      <c r="B1118" s="632" t="s">
        <v>558</v>
      </c>
      <c r="C1118" s="611">
        <f t="shared" si="119"/>
        <v>6</v>
      </c>
      <c r="D1118" s="354" t="s">
        <v>568</v>
      </c>
      <c r="E1118" s="607">
        <f t="shared" si="116"/>
        <v>503.67</v>
      </c>
      <c r="F1118" s="792">
        <f t="shared" si="118"/>
        <v>3022</v>
      </c>
      <c r="G1118" s="358">
        <f>'PART-B'!I1408</f>
        <v>6</v>
      </c>
      <c r="H1118" s="354" t="s">
        <v>568</v>
      </c>
      <c r="I1118" s="355">
        <f>'PART-B'!K1408</f>
        <v>503.67</v>
      </c>
      <c r="J1118" s="353">
        <f t="shared" si="120"/>
        <v>3022.02</v>
      </c>
      <c r="K1118" s="669">
        <f t="shared" si="114"/>
        <v>1.999999999998181E-2</v>
      </c>
      <c r="L1118" s="368">
        <f t="shared" si="115"/>
        <v>0</v>
      </c>
      <c r="M1118" s="633" t="s">
        <v>2313</v>
      </c>
      <c r="N1118" s="223"/>
      <c r="O1118" s="631">
        <f t="shared" si="117"/>
        <v>-1.999999999998181E-2</v>
      </c>
    </row>
    <row r="1119" spans="1:15" s="360" customFormat="1" ht="15" hidden="1">
      <c r="A1119" s="356" t="s">
        <v>2033</v>
      </c>
      <c r="B1119" s="632" t="s">
        <v>2264</v>
      </c>
      <c r="C1119" s="611">
        <f t="shared" si="119"/>
        <v>0</v>
      </c>
      <c r="D1119" s="354" t="s">
        <v>277</v>
      </c>
      <c r="E1119" s="607">
        <f t="shared" si="116"/>
        <v>23.55</v>
      </c>
      <c r="F1119" s="792">
        <f t="shared" si="118"/>
        <v>0</v>
      </c>
      <c r="G1119" s="358">
        <f>'PART-B'!I1414</f>
        <v>0</v>
      </c>
      <c r="H1119" s="354" t="s">
        <v>277</v>
      </c>
      <c r="I1119" s="355">
        <f>'PART-B'!K1414</f>
        <v>23.55</v>
      </c>
      <c r="J1119" s="353">
        <f t="shared" si="120"/>
        <v>0</v>
      </c>
      <c r="K1119" s="669">
        <f t="shared" ref="K1119:K1152" si="121">IF(J1119&gt;F1119,J1119-F1119,0)</f>
        <v>0</v>
      </c>
      <c r="L1119" s="368">
        <f t="shared" ref="L1119:L1149" si="122">IF(J1119&lt;F1119,F1119-J1119,0)</f>
        <v>0</v>
      </c>
      <c r="M1119" s="633" t="s">
        <v>2313</v>
      </c>
      <c r="N1119" s="223"/>
      <c r="O1119" s="631">
        <f t="shared" si="117"/>
        <v>0</v>
      </c>
    </row>
    <row r="1120" spans="1:15" s="360" customFormat="1" ht="15" hidden="1">
      <c r="A1120" s="356" t="s">
        <v>2034</v>
      </c>
      <c r="B1120" s="632" t="s">
        <v>2265</v>
      </c>
      <c r="C1120" s="611">
        <f t="shared" si="119"/>
        <v>0</v>
      </c>
      <c r="D1120" s="354" t="s">
        <v>277</v>
      </c>
      <c r="E1120" s="607">
        <f t="shared" ref="E1120:E1147" si="123">I1120</f>
        <v>79.48</v>
      </c>
      <c r="F1120" s="792">
        <f t="shared" si="118"/>
        <v>0</v>
      </c>
      <c r="G1120" s="358">
        <f>'PART-B'!I1419</f>
        <v>0</v>
      </c>
      <c r="H1120" s="354" t="s">
        <v>277</v>
      </c>
      <c r="I1120" s="355">
        <f>'PART-B'!K1419</f>
        <v>79.48</v>
      </c>
      <c r="J1120" s="353">
        <f t="shared" si="120"/>
        <v>0</v>
      </c>
      <c r="K1120" s="669">
        <f t="shared" si="121"/>
        <v>0</v>
      </c>
      <c r="L1120" s="368">
        <f t="shared" si="122"/>
        <v>0</v>
      </c>
      <c r="M1120" s="633" t="s">
        <v>2313</v>
      </c>
      <c r="N1120" s="223"/>
      <c r="O1120" s="631">
        <f t="shared" ref="O1120:O1149" si="124">F1120-J1120</f>
        <v>0</v>
      </c>
    </row>
    <row r="1121" spans="1:15" s="360" customFormat="1" ht="63.75">
      <c r="A1121" s="356" t="s">
        <v>515</v>
      </c>
      <c r="B1121" s="632" t="s">
        <v>429</v>
      </c>
      <c r="C1121" s="611">
        <f t="shared" si="119"/>
        <v>40</v>
      </c>
      <c r="D1121" s="354" t="s">
        <v>277</v>
      </c>
      <c r="E1121" s="607">
        <f t="shared" si="123"/>
        <v>83.333500000000001</v>
      </c>
      <c r="F1121" s="792">
        <f t="shared" si="118"/>
        <v>3333</v>
      </c>
      <c r="G1121" s="358">
        <f>'PART-B'!I1429</f>
        <v>40</v>
      </c>
      <c r="H1121" s="354" t="s">
        <v>277</v>
      </c>
      <c r="I1121" s="355">
        <f>'PART-B'!K1429</f>
        <v>83.333500000000001</v>
      </c>
      <c r="J1121" s="353">
        <f t="shared" si="120"/>
        <v>3333.34</v>
      </c>
      <c r="K1121" s="669">
        <f t="shared" si="121"/>
        <v>0.34000000000014552</v>
      </c>
      <c r="L1121" s="368">
        <f t="shared" si="122"/>
        <v>0</v>
      </c>
      <c r="M1121" s="633" t="s">
        <v>2313</v>
      </c>
      <c r="N1121" s="223"/>
      <c r="O1121" s="631">
        <f t="shared" si="124"/>
        <v>-0.34000000000014552</v>
      </c>
    </row>
    <row r="1122" spans="1:15" s="360" customFormat="1" ht="15" hidden="1">
      <c r="A1122" s="356" t="s">
        <v>2034</v>
      </c>
      <c r="B1122" s="632" t="s">
        <v>560</v>
      </c>
      <c r="C1122" s="611">
        <f t="shared" si="119"/>
        <v>0</v>
      </c>
      <c r="D1122" s="354" t="s">
        <v>277</v>
      </c>
      <c r="E1122" s="607">
        <f t="shared" si="123"/>
        <v>126.65</v>
      </c>
      <c r="F1122" s="792">
        <f t="shared" si="118"/>
        <v>0</v>
      </c>
      <c r="G1122" s="358">
        <f>'PART-B'!I1434</f>
        <v>0</v>
      </c>
      <c r="H1122" s="354" t="s">
        <v>277</v>
      </c>
      <c r="I1122" s="355">
        <f>'PART-B'!K1434</f>
        <v>126.65</v>
      </c>
      <c r="J1122" s="353">
        <f t="shared" si="120"/>
        <v>0</v>
      </c>
      <c r="K1122" s="669">
        <f t="shared" si="121"/>
        <v>0</v>
      </c>
      <c r="L1122" s="368">
        <f t="shared" si="122"/>
        <v>0</v>
      </c>
      <c r="M1122" s="633" t="s">
        <v>2313</v>
      </c>
      <c r="N1122" s="223"/>
      <c r="O1122" s="631">
        <f t="shared" si="124"/>
        <v>0</v>
      </c>
    </row>
    <row r="1123" spans="1:15" s="360" customFormat="1" ht="15" hidden="1">
      <c r="A1123" s="356" t="s">
        <v>2036</v>
      </c>
      <c r="B1123" s="632" t="s">
        <v>833</v>
      </c>
      <c r="C1123" s="611">
        <f t="shared" si="119"/>
        <v>0</v>
      </c>
      <c r="D1123" s="354" t="s">
        <v>277</v>
      </c>
      <c r="E1123" s="607">
        <f t="shared" si="123"/>
        <v>64.563000000000002</v>
      </c>
      <c r="F1123" s="792">
        <f t="shared" si="118"/>
        <v>0</v>
      </c>
      <c r="G1123" s="358">
        <f>'PART-B'!I1439</f>
        <v>0</v>
      </c>
      <c r="H1123" s="354" t="s">
        <v>277</v>
      </c>
      <c r="I1123" s="355">
        <f>'PART-B'!K1439</f>
        <v>64.563000000000002</v>
      </c>
      <c r="J1123" s="353">
        <f t="shared" si="120"/>
        <v>0</v>
      </c>
      <c r="K1123" s="669">
        <f t="shared" si="121"/>
        <v>0</v>
      </c>
      <c r="L1123" s="368">
        <f t="shared" si="122"/>
        <v>0</v>
      </c>
      <c r="M1123" s="633" t="s">
        <v>2313</v>
      </c>
      <c r="N1123" s="223"/>
      <c r="O1123" s="631">
        <f t="shared" si="124"/>
        <v>0</v>
      </c>
    </row>
    <row r="1124" spans="1:15" s="360" customFormat="1" ht="15">
      <c r="A1124" s="356" t="s">
        <v>516</v>
      </c>
      <c r="B1124" s="632" t="s">
        <v>437</v>
      </c>
      <c r="C1124" s="611">
        <f t="shared" si="119"/>
        <v>3</v>
      </c>
      <c r="D1124" s="354" t="s">
        <v>115</v>
      </c>
      <c r="E1124" s="607">
        <f t="shared" si="123"/>
        <v>209</v>
      </c>
      <c r="F1124" s="792">
        <f t="shared" si="118"/>
        <v>627</v>
      </c>
      <c r="G1124" s="358">
        <f>'PART-B'!I1444</f>
        <v>3</v>
      </c>
      <c r="H1124" s="354" t="s">
        <v>115</v>
      </c>
      <c r="I1124" s="355">
        <f>'PART-B'!K1444</f>
        <v>209</v>
      </c>
      <c r="J1124" s="353">
        <f t="shared" si="120"/>
        <v>627</v>
      </c>
      <c r="K1124" s="669">
        <f t="shared" si="121"/>
        <v>0</v>
      </c>
      <c r="L1124" s="368">
        <f t="shared" si="122"/>
        <v>0</v>
      </c>
      <c r="M1124" s="633" t="s">
        <v>2313</v>
      </c>
      <c r="N1124" s="223"/>
      <c r="O1124" s="631">
        <f t="shared" si="124"/>
        <v>0</v>
      </c>
    </row>
    <row r="1125" spans="1:15" s="360" customFormat="1" ht="15">
      <c r="A1125" s="356" t="s">
        <v>517</v>
      </c>
      <c r="B1125" s="632" t="s">
        <v>615</v>
      </c>
      <c r="C1125" s="611">
        <f t="shared" si="119"/>
        <v>2</v>
      </c>
      <c r="D1125" s="354" t="s">
        <v>115</v>
      </c>
      <c r="E1125" s="607">
        <f t="shared" si="123"/>
        <v>171</v>
      </c>
      <c r="F1125" s="792">
        <f t="shared" si="118"/>
        <v>342</v>
      </c>
      <c r="G1125" s="358">
        <f>'PART-B'!I1449</f>
        <v>2</v>
      </c>
      <c r="H1125" s="354" t="s">
        <v>115</v>
      </c>
      <c r="I1125" s="355">
        <f>'PART-B'!K1449</f>
        <v>171</v>
      </c>
      <c r="J1125" s="353">
        <f t="shared" si="120"/>
        <v>342</v>
      </c>
      <c r="K1125" s="669">
        <f t="shared" si="121"/>
        <v>0</v>
      </c>
      <c r="L1125" s="368">
        <f t="shared" si="122"/>
        <v>0</v>
      </c>
      <c r="M1125" s="633" t="s">
        <v>2313</v>
      </c>
      <c r="N1125" s="223"/>
      <c r="O1125" s="631">
        <f t="shared" si="124"/>
        <v>0</v>
      </c>
    </row>
    <row r="1126" spans="1:15" s="360" customFormat="1" ht="15" hidden="1">
      <c r="A1126" s="356" t="s">
        <v>526</v>
      </c>
      <c r="B1126" s="632" t="s">
        <v>694</v>
      </c>
      <c r="C1126" s="611">
        <f t="shared" si="119"/>
        <v>0</v>
      </c>
      <c r="D1126" s="354" t="s">
        <v>115</v>
      </c>
      <c r="E1126" s="607">
        <f t="shared" si="123"/>
        <v>132</v>
      </c>
      <c r="F1126" s="792">
        <f t="shared" si="118"/>
        <v>0</v>
      </c>
      <c r="G1126" s="358">
        <f>'PART-B'!I1454</f>
        <v>0</v>
      </c>
      <c r="H1126" s="354" t="s">
        <v>115</v>
      </c>
      <c r="I1126" s="355">
        <f>'PART-B'!K1454</f>
        <v>132</v>
      </c>
      <c r="J1126" s="353">
        <f t="shared" si="120"/>
        <v>0</v>
      </c>
      <c r="K1126" s="669">
        <f t="shared" si="121"/>
        <v>0</v>
      </c>
      <c r="L1126" s="368">
        <f t="shared" si="122"/>
        <v>0</v>
      </c>
      <c r="M1126" s="633" t="s">
        <v>2313</v>
      </c>
      <c r="N1126" s="223"/>
      <c r="O1126" s="631">
        <f t="shared" si="124"/>
        <v>0</v>
      </c>
    </row>
    <row r="1127" spans="1:15" s="360" customFormat="1" ht="15" hidden="1">
      <c r="A1127" s="356" t="s">
        <v>527</v>
      </c>
      <c r="B1127" s="632" t="s">
        <v>792</v>
      </c>
      <c r="C1127" s="611">
        <f t="shared" si="119"/>
        <v>0</v>
      </c>
      <c r="D1127" s="354" t="s">
        <v>115</v>
      </c>
      <c r="E1127" s="607">
        <f t="shared" si="123"/>
        <v>88</v>
      </c>
      <c r="F1127" s="792">
        <f t="shared" si="118"/>
        <v>0</v>
      </c>
      <c r="G1127" s="358">
        <f>'PART-B'!I1464</f>
        <v>0</v>
      </c>
      <c r="H1127" s="354" t="s">
        <v>115</v>
      </c>
      <c r="I1127" s="355">
        <f>'PART-B'!K1464</f>
        <v>88</v>
      </c>
      <c r="J1127" s="353">
        <f t="shared" si="120"/>
        <v>0</v>
      </c>
      <c r="K1127" s="669">
        <f t="shared" si="121"/>
        <v>0</v>
      </c>
      <c r="L1127" s="368">
        <f t="shared" si="122"/>
        <v>0</v>
      </c>
      <c r="M1127" s="633" t="s">
        <v>2313</v>
      </c>
      <c r="N1127" s="223"/>
      <c r="O1127" s="631">
        <f t="shared" si="124"/>
        <v>0</v>
      </c>
    </row>
    <row r="1128" spans="1:15" s="360" customFormat="1" ht="15">
      <c r="A1128" s="356" t="s">
        <v>518</v>
      </c>
      <c r="B1128" s="632" t="s">
        <v>617</v>
      </c>
      <c r="C1128" s="611">
        <f t="shared" si="119"/>
        <v>3</v>
      </c>
      <c r="D1128" s="354" t="s">
        <v>115</v>
      </c>
      <c r="E1128" s="607">
        <f t="shared" si="123"/>
        <v>297</v>
      </c>
      <c r="F1128" s="792">
        <f t="shared" si="118"/>
        <v>891</v>
      </c>
      <c r="G1128" s="358">
        <f>'PART-B'!I1459</f>
        <v>3</v>
      </c>
      <c r="H1128" s="354" t="s">
        <v>115</v>
      </c>
      <c r="I1128" s="355">
        <f>'PART-B'!K1459</f>
        <v>297</v>
      </c>
      <c r="J1128" s="353">
        <f t="shared" si="120"/>
        <v>891</v>
      </c>
      <c r="K1128" s="669">
        <f t="shared" si="121"/>
        <v>0</v>
      </c>
      <c r="L1128" s="368">
        <f t="shared" si="122"/>
        <v>0</v>
      </c>
      <c r="M1128" s="633" t="s">
        <v>2313</v>
      </c>
      <c r="N1128" s="223"/>
      <c r="O1128" s="631">
        <f t="shared" si="124"/>
        <v>0</v>
      </c>
    </row>
    <row r="1129" spans="1:15" s="360" customFormat="1" ht="15" hidden="1">
      <c r="A1129" s="356" t="s">
        <v>485</v>
      </c>
      <c r="B1129" s="632" t="s">
        <v>439</v>
      </c>
      <c r="C1129" s="611">
        <f t="shared" si="119"/>
        <v>0</v>
      </c>
      <c r="D1129" s="354" t="s">
        <v>115</v>
      </c>
      <c r="E1129" s="607">
        <f t="shared" si="123"/>
        <v>66</v>
      </c>
      <c r="F1129" s="792">
        <f t="shared" si="118"/>
        <v>0</v>
      </c>
      <c r="G1129" s="358">
        <f>'PART-B'!I1469</f>
        <v>0</v>
      </c>
      <c r="H1129" s="354" t="s">
        <v>115</v>
      </c>
      <c r="I1129" s="355">
        <f>'PART-B'!K1469</f>
        <v>66</v>
      </c>
      <c r="J1129" s="353">
        <f t="shared" si="120"/>
        <v>0</v>
      </c>
      <c r="K1129" s="669">
        <f t="shared" si="121"/>
        <v>0</v>
      </c>
      <c r="L1129" s="368">
        <f t="shared" si="122"/>
        <v>0</v>
      </c>
      <c r="M1129" s="633" t="s">
        <v>2313</v>
      </c>
      <c r="N1129" s="223"/>
      <c r="O1129" s="631">
        <f t="shared" si="124"/>
        <v>0</v>
      </c>
    </row>
    <row r="1130" spans="1:15" s="360" customFormat="1" ht="25.5">
      <c r="A1130" s="356" t="s">
        <v>519</v>
      </c>
      <c r="B1130" s="632" t="s">
        <v>3242</v>
      </c>
      <c r="C1130" s="611">
        <f t="shared" si="119"/>
        <v>11</v>
      </c>
      <c r="D1130" s="354" t="s">
        <v>115</v>
      </c>
      <c r="E1130" s="607">
        <f t="shared" si="123"/>
        <v>125.73500000000001</v>
      </c>
      <c r="F1130" s="792">
        <f t="shared" si="118"/>
        <v>1383</v>
      </c>
      <c r="G1130" s="358">
        <f>'PART-B'!I1479</f>
        <v>11</v>
      </c>
      <c r="H1130" s="354" t="s">
        <v>115</v>
      </c>
      <c r="I1130" s="355">
        <f>'PART-B'!K1479</f>
        <v>125.73500000000001</v>
      </c>
      <c r="J1130" s="353">
        <f t="shared" si="120"/>
        <v>1383.09</v>
      </c>
      <c r="K1130" s="669">
        <f t="shared" si="121"/>
        <v>8.9999999999918145E-2</v>
      </c>
      <c r="L1130" s="368">
        <f t="shared" si="122"/>
        <v>0</v>
      </c>
      <c r="M1130" s="633" t="s">
        <v>2313</v>
      </c>
      <c r="N1130" s="223"/>
      <c r="O1130" s="631">
        <f t="shared" si="124"/>
        <v>-8.9999999999918145E-2</v>
      </c>
    </row>
    <row r="1131" spans="1:15" s="360" customFormat="1" ht="15" hidden="1">
      <c r="A1131" s="356" t="s">
        <v>2041</v>
      </c>
      <c r="B1131" s="632" t="s">
        <v>1257</v>
      </c>
      <c r="C1131" s="611">
        <f t="shared" si="119"/>
        <v>0</v>
      </c>
      <c r="D1131" s="354" t="s">
        <v>115</v>
      </c>
      <c r="E1131" s="607">
        <f t="shared" si="123"/>
        <v>422.5</v>
      </c>
      <c r="F1131" s="792">
        <f t="shared" si="118"/>
        <v>0</v>
      </c>
      <c r="G1131" s="358">
        <f>'PART-B'!I1474</f>
        <v>0</v>
      </c>
      <c r="H1131" s="354" t="s">
        <v>115</v>
      </c>
      <c r="I1131" s="355">
        <f>'PART-B'!K1474</f>
        <v>422.5</v>
      </c>
      <c r="J1131" s="353">
        <f t="shared" si="120"/>
        <v>0</v>
      </c>
      <c r="K1131" s="669">
        <f t="shared" si="121"/>
        <v>0</v>
      </c>
      <c r="L1131" s="368">
        <f t="shared" si="122"/>
        <v>0</v>
      </c>
      <c r="M1131" s="633" t="s">
        <v>2313</v>
      </c>
      <c r="N1131" s="223"/>
      <c r="O1131" s="631">
        <f t="shared" si="124"/>
        <v>0</v>
      </c>
    </row>
    <row r="1132" spans="1:15" s="360" customFormat="1" ht="15">
      <c r="A1132" s="356" t="s">
        <v>520</v>
      </c>
      <c r="B1132" s="632" t="s">
        <v>641</v>
      </c>
      <c r="C1132" s="611">
        <f t="shared" si="119"/>
        <v>3</v>
      </c>
      <c r="D1132" s="354" t="s">
        <v>115</v>
      </c>
      <c r="E1132" s="607">
        <f t="shared" si="123"/>
        <v>119.73500000000001</v>
      </c>
      <c r="F1132" s="792">
        <f t="shared" si="118"/>
        <v>359</v>
      </c>
      <c r="G1132" s="358">
        <f>'PART-B'!I1484</f>
        <v>3</v>
      </c>
      <c r="H1132" s="354" t="s">
        <v>115</v>
      </c>
      <c r="I1132" s="355">
        <f>'PART-B'!K1484</f>
        <v>119.73500000000001</v>
      </c>
      <c r="J1132" s="353">
        <f t="shared" si="120"/>
        <v>359.21</v>
      </c>
      <c r="K1132" s="669">
        <f t="shared" si="121"/>
        <v>0.20999999999997954</v>
      </c>
      <c r="L1132" s="368">
        <f t="shared" si="122"/>
        <v>0</v>
      </c>
      <c r="M1132" s="633" t="s">
        <v>2313</v>
      </c>
      <c r="N1132" s="223"/>
      <c r="O1132" s="631">
        <f t="shared" si="124"/>
        <v>-0.20999999999997954</v>
      </c>
    </row>
    <row r="1133" spans="1:15" s="360" customFormat="1" ht="15" hidden="1">
      <c r="A1133" s="356" t="s">
        <v>2042</v>
      </c>
      <c r="B1133" s="632" t="s">
        <v>624</v>
      </c>
      <c r="C1133" s="611">
        <f t="shared" si="119"/>
        <v>0</v>
      </c>
      <c r="D1133" s="354" t="s">
        <v>115</v>
      </c>
      <c r="E1133" s="607">
        <f t="shared" si="123"/>
        <v>21</v>
      </c>
      <c r="F1133" s="792">
        <f t="shared" si="118"/>
        <v>0</v>
      </c>
      <c r="G1133" s="358">
        <f>'PART-B'!I1489</f>
        <v>0</v>
      </c>
      <c r="H1133" s="354" t="s">
        <v>115</v>
      </c>
      <c r="I1133" s="355">
        <f>'PART-B'!K1489</f>
        <v>21</v>
      </c>
      <c r="J1133" s="353">
        <f t="shared" si="120"/>
        <v>0</v>
      </c>
      <c r="K1133" s="669">
        <f t="shared" si="121"/>
        <v>0</v>
      </c>
      <c r="L1133" s="368">
        <f t="shared" si="122"/>
        <v>0</v>
      </c>
      <c r="M1133" s="633" t="s">
        <v>2313</v>
      </c>
      <c r="N1133" s="223"/>
      <c r="O1133" s="631">
        <f t="shared" si="124"/>
        <v>0</v>
      </c>
    </row>
    <row r="1134" spans="1:15" s="360" customFormat="1" ht="38.25">
      <c r="A1134" s="356" t="s">
        <v>521</v>
      </c>
      <c r="B1134" s="632" t="s">
        <v>1267</v>
      </c>
      <c r="C1134" s="611">
        <f t="shared" si="119"/>
        <v>14</v>
      </c>
      <c r="D1134" s="354" t="s">
        <v>115</v>
      </c>
      <c r="E1134" s="607">
        <f t="shared" si="123"/>
        <v>127.25</v>
      </c>
      <c r="F1134" s="792">
        <f t="shared" si="118"/>
        <v>1782</v>
      </c>
      <c r="G1134" s="358">
        <f>'PART-B'!I1494</f>
        <v>14</v>
      </c>
      <c r="H1134" s="354" t="s">
        <v>115</v>
      </c>
      <c r="I1134" s="355">
        <f>'PART-B'!K1494</f>
        <v>127.25</v>
      </c>
      <c r="J1134" s="353">
        <f t="shared" si="120"/>
        <v>1781.5</v>
      </c>
      <c r="K1134" s="669">
        <f t="shared" si="121"/>
        <v>0</v>
      </c>
      <c r="L1134" s="368">
        <f t="shared" si="122"/>
        <v>0.5</v>
      </c>
      <c r="M1134" s="633" t="s">
        <v>2313</v>
      </c>
      <c r="N1134" s="223"/>
      <c r="O1134" s="631">
        <f t="shared" si="124"/>
        <v>0.5</v>
      </c>
    </row>
    <row r="1135" spans="1:15" s="360" customFormat="1" ht="38.25">
      <c r="A1135" s="356" t="s">
        <v>522</v>
      </c>
      <c r="B1135" s="632" t="s">
        <v>3243</v>
      </c>
      <c r="C1135" s="611">
        <f t="shared" si="119"/>
        <v>6</v>
      </c>
      <c r="D1135" s="354" t="s">
        <v>115</v>
      </c>
      <c r="E1135" s="607">
        <f t="shared" si="123"/>
        <v>3312.1849999999999</v>
      </c>
      <c r="F1135" s="792">
        <f t="shared" si="118"/>
        <v>19873</v>
      </c>
      <c r="G1135" s="358">
        <f>'PART-B'!I1499</f>
        <v>6</v>
      </c>
      <c r="H1135" s="354" t="s">
        <v>115</v>
      </c>
      <c r="I1135" s="355">
        <f>'PART-B'!K1499</f>
        <v>3312.1849999999999</v>
      </c>
      <c r="J1135" s="353">
        <f t="shared" si="120"/>
        <v>19873.11</v>
      </c>
      <c r="K1135" s="669">
        <f t="shared" si="121"/>
        <v>0.11000000000058208</v>
      </c>
      <c r="L1135" s="368">
        <f t="shared" si="122"/>
        <v>0</v>
      </c>
      <c r="M1135" s="633" t="s">
        <v>2313</v>
      </c>
      <c r="N1135" s="223"/>
      <c r="O1135" s="631">
        <f t="shared" si="124"/>
        <v>-0.11000000000058208</v>
      </c>
    </row>
    <row r="1136" spans="1:15" s="360" customFormat="1" ht="15" hidden="1">
      <c r="A1136" s="356" t="s">
        <v>2045</v>
      </c>
      <c r="B1136" s="632" t="s">
        <v>563</v>
      </c>
      <c r="C1136" s="611">
        <f t="shared" si="119"/>
        <v>0</v>
      </c>
      <c r="D1136" s="354" t="s">
        <v>115</v>
      </c>
      <c r="E1136" s="607">
        <f t="shared" si="123"/>
        <v>2941.12</v>
      </c>
      <c r="F1136" s="792">
        <f t="shared" si="118"/>
        <v>0</v>
      </c>
      <c r="G1136" s="358">
        <f>'PART-B'!I1509</f>
        <v>0</v>
      </c>
      <c r="H1136" s="354" t="s">
        <v>115</v>
      </c>
      <c r="I1136" s="355">
        <f>'PART-B'!K1509</f>
        <v>2941.12</v>
      </c>
      <c r="J1136" s="353">
        <f t="shared" si="120"/>
        <v>0</v>
      </c>
      <c r="K1136" s="669">
        <f t="shared" si="121"/>
        <v>0</v>
      </c>
      <c r="L1136" s="368">
        <f t="shared" si="122"/>
        <v>0</v>
      </c>
      <c r="M1136" s="633" t="s">
        <v>2313</v>
      </c>
      <c r="N1136" s="223"/>
      <c r="O1136" s="631">
        <f t="shared" si="124"/>
        <v>0</v>
      </c>
    </row>
    <row r="1137" spans="1:15" s="360" customFormat="1" ht="15" hidden="1">
      <c r="A1137" s="356" t="s">
        <v>2046</v>
      </c>
      <c r="B1137" s="632" t="s">
        <v>831</v>
      </c>
      <c r="C1137" s="611">
        <f t="shared" si="119"/>
        <v>0</v>
      </c>
      <c r="D1137" s="354" t="s">
        <v>115</v>
      </c>
      <c r="E1137" s="607">
        <f t="shared" si="123"/>
        <v>278</v>
      </c>
      <c r="F1137" s="792">
        <f t="shared" si="118"/>
        <v>0</v>
      </c>
      <c r="G1137" s="358">
        <f>'PART-B'!I1514</f>
        <v>0</v>
      </c>
      <c r="H1137" s="354" t="s">
        <v>115</v>
      </c>
      <c r="I1137" s="355">
        <f>'PART-B'!K1514</f>
        <v>278</v>
      </c>
      <c r="J1137" s="353">
        <f t="shared" si="120"/>
        <v>0</v>
      </c>
      <c r="K1137" s="669">
        <f t="shared" si="121"/>
        <v>0</v>
      </c>
      <c r="L1137" s="368">
        <f t="shared" si="122"/>
        <v>0</v>
      </c>
      <c r="M1137" s="633" t="s">
        <v>2313</v>
      </c>
      <c r="N1137" s="223"/>
      <c r="O1137" s="631">
        <f t="shared" si="124"/>
        <v>0</v>
      </c>
    </row>
    <row r="1138" spans="1:15" s="360" customFormat="1" ht="15" hidden="1">
      <c r="A1138" s="356" t="s">
        <v>2047</v>
      </c>
      <c r="B1138" s="632" t="s">
        <v>967</v>
      </c>
      <c r="C1138" s="611">
        <f t="shared" si="119"/>
        <v>0</v>
      </c>
      <c r="D1138" s="354" t="s">
        <v>115</v>
      </c>
      <c r="E1138" s="607">
        <f t="shared" si="123"/>
        <v>163.065</v>
      </c>
      <c r="F1138" s="792">
        <f t="shared" si="118"/>
        <v>0</v>
      </c>
      <c r="G1138" s="358">
        <f>'PART-B'!I1519</f>
        <v>0</v>
      </c>
      <c r="H1138" s="354" t="s">
        <v>115</v>
      </c>
      <c r="I1138" s="355">
        <f>'PART-B'!K1519</f>
        <v>163.065</v>
      </c>
      <c r="J1138" s="353">
        <f t="shared" si="120"/>
        <v>0</v>
      </c>
      <c r="K1138" s="669">
        <f t="shared" si="121"/>
        <v>0</v>
      </c>
      <c r="L1138" s="368">
        <f t="shared" si="122"/>
        <v>0</v>
      </c>
      <c r="M1138" s="633" t="s">
        <v>2313</v>
      </c>
      <c r="N1138" s="223"/>
      <c r="O1138" s="631">
        <f t="shared" si="124"/>
        <v>0</v>
      </c>
    </row>
    <row r="1139" spans="1:15" s="360" customFormat="1" ht="15" hidden="1">
      <c r="A1139" s="356" t="s">
        <v>642</v>
      </c>
      <c r="B1139" s="632" t="s">
        <v>832</v>
      </c>
      <c r="C1139" s="611">
        <f t="shared" si="119"/>
        <v>0</v>
      </c>
      <c r="D1139" s="354" t="s">
        <v>115</v>
      </c>
      <c r="E1139" s="607">
        <f t="shared" si="123"/>
        <v>161.5</v>
      </c>
      <c r="F1139" s="792">
        <f t="shared" si="118"/>
        <v>0</v>
      </c>
      <c r="G1139" s="358">
        <f>'PART-B'!I1526</f>
        <v>0</v>
      </c>
      <c r="H1139" s="354" t="s">
        <v>115</v>
      </c>
      <c r="I1139" s="355">
        <f>'PART-B'!K1526</f>
        <v>161.5</v>
      </c>
      <c r="J1139" s="353">
        <f t="shared" si="120"/>
        <v>0</v>
      </c>
      <c r="K1139" s="669">
        <f t="shared" si="121"/>
        <v>0</v>
      </c>
      <c r="L1139" s="368">
        <f t="shared" si="122"/>
        <v>0</v>
      </c>
      <c r="M1139" s="633" t="s">
        <v>2313</v>
      </c>
      <c r="N1139" s="223"/>
      <c r="O1139" s="631">
        <f t="shared" si="124"/>
        <v>0</v>
      </c>
    </row>
    <row r="1140" spans="1:15" s="360" customFormat="1" ht="15" hidden="1">
      <c r="A1140" s="356" t="s">
        <v>524</v>
      </c>
      <c r="B1140" s="632" t="s">
        <v>1573</v>
      </c>
      <c r="C1140" s="611">
        <f t="shared" si="119"/>
        <v>0</v>
      </c>
      <c r="D1140" s="354" t="s">
        <v>115</v>
      </c>
      <c r="E1140" s="607">
        <f t="shared" si="123"/>
        <v>227.41000000000003</v>
      </c>
      <c r="F1140" s="792">
        <f t="shared" si="118"/>
        <v>0</v>
      </c>
      <c r="G1140" s="358">
        <f>'PART-B'!I1504</f>
        <v>0</v>
      </c>
      <c r="H1140" s="354" t="s">
        <v>115</v>
      </c>
      <c r="I1140" s="355">
        <f>'PART-B'!K1504</f>
        <v>227.41000000000003</v>
      </c>
      <c r="J1140" s="353">
        <f t="shared" si="120"/>
        <v>0</v>
      </c>
      <c r="K1140" s="669">
        <f t="shared" si="121"/>
        <v>0</v>
      </c>
      <c r="L1140" s="368">
        <f t="shared" si="122"/>
        <v>0</v>
      </c>
      <c r="M1140" s="633" t="s">
        <v>2313</v>
      </c>
      <c r="N1140" s="223"/>
      <c r="O1140" s="631">
        <f t="shared" si="124"/>
        <v>0</v>
      </c>
    </row>
    <row r="1141" spans="1:15" s="360" customFormat="1" ht="51">
      <c r="A1141" s="356" t="s">
        <v>524</v>
      </c>
      <c r="B1141" s="632" t="s">
        <v>442</v>
      </c>
      <c r="C1141" s="611">
        <f t="shared" si="119"/>
        <v>8</v>
      </c>
      <c r="D1141" s="354" t="s">
        <v>115</v>
      </c>
      <c r="E1141" s="607">
        <f t="shared" si="123"/>
        <v>399.94</v>
      </c>
      <c r="F1141" s="792">
        <f t="shared" si="118"/>
        <v>3200</v>
      </c>
      <c r="G1141" s="358">
        <f>'PART-B'!I1531</f>
        <v>8</v>
      </c>
      <c r="H1141" s="354" t="s">
        <v>115</v>
      </c>
      <c r="I1141" s="355">
        <f>'PART-B'!K1531</f>
        <v>399.94</v>
      </c>
      <c r="J1141" s="353">
        <f t="shared" si="120"/>
        <v>3199.52</v>
      </c>
      <c r="K1141" s="669">
        <f t="shared" si="121"/>
        <v>0</v>
      </c>
      <c r="L1141" s="368">
        <f t="shared" si="122"/>
        <v>0.48000000000001819</v>
      </c>
      <c r="M1141" s="633" t="s">
        <v>2313</v>
      </c>
      <c r="N1141" s="223"/>
      <c r="O1141" s="631">
        <f t="shared" si="124"/>
        <v>0.48000000000001819</v>
      </c>
    </row>
    <row r="1142" spans="1:15" s="360" customFormat="1" ht="15" hidden="1">
      <c r="A1142" s="356" t="s">
        <v>2053</v>
      </c>
      <c r="B1142" s="632" t="s">
        <v>2266</v>
      </c>
      <c r="C1142" s="611">
        <f t="shared" si="119"/>
        <v>0</v>
      </c>
      <c r="D1142" s="354" t="s">
        <v>115</v>
      </c>
      <c r="E1142" s="607">
        <f t="shared" si="123"/>
        <v>1822</v>
      </c>
      <c r="F1142" s="792">
        <f t="shared" si="118"/>
        <v>0</v>
      </c>
      <c r="G1142" s="358">
        <f>'PART-B'!I1536</f>
        <v>0</v>
      </c>
      <c r="H1142" s="354" t="s">
        <v>115</v>
      </c>
      <c r="I1142" s="355">
        <f>'PART-B'!K1536</f>
        <v>1822</v>
      </c>
      <c r="J1142" s="353">
        <f t="shared" si="120"/>
        <v>0</v>
      </c>
      <c r="K1142" s="669">
        <f t="shared" si="121"/>
        <v>0</v>
      </c>
      <c r="L1142" s="368">
        <f t="shared" si="122"/>
        <v>0</v>
      </c>
      <c r="M1142" s="633" t="s">
        <v>2313</v>
      </c>
      <c r="N1142" s="223"/>
      <c r="O1142" s="631">
        <f t="shared" si="124"/>
        <v>0</v>
      </c>
    </row>
    <row r="1143" spans="1:15" s="360" customFormat="1" ht="25.5" hidden="1">
      <c r="A1143" s="356" t="s">
        <v>642</v>
      </c>
      <c r="B1143" s="632" t="s">
        <v>3633</v>
      </c>
      <c r="C1143" s="611">
        <f t="shared" si="119"/>
        <v>0</v>
      </c>
      <c r="D1143" s="354" t="s">
        <v>115</v>
      </c>
      <c r="E1143" s="607">
        <f t="shared" si="123"/>
        <v>5428</v>
      </c>
      <c r="F1143" s="792">
        <f t="shared" si="118"/>
        <v>0</v>
      </c>
      <c r="G1143" s="358">
        <f>'PART-B'!I1541</f>
        <v>0</v>
      </c>
      <c r="H1143" s="354" t="s">
        <v>115</v>
      </c>
      <c r="I1143" s="355">
        <f>'PART-B'!K1541</f>
        <v>5428</v>
      </c>
      <c r="J1143" s="353">
        <f t="shared" si="120"/>
        <v>0</v>
      </c>
      <c r="K1143" s="669">
        <f t="shared" si="121"/>
        <v>0</v>
      </c>
      <c r="L1143" s="368">
        <f t="shared" si="122"/>
        <v>0</v>
      </c>
      <c r="M1143" s="633" t="s">
        <v>2313</v>
      </c>
      <c r="N1143" s="223"/>
      <c r="O1143" s="631">
        <f t="shared" si="124"/>
        <v>0</v>
      </c>
    </row>
    <row r="1144" spans="1:15" s="360" customFormat="1" ht="38.25">
      <c r="A1144" s="356" t="s">
        <v>525</v>
      </c>
      <c r="B1144" s="632" t="s">
        <v>3244</v>
      </c>
      <c r="C1144" s="611">
        <f t="shared" si="119"/>
        <v>1</v>
      </c>
      <c r="D1144" s="354" t="s">
        <v>115</v>
      </c>
      <c r="E1144" s="607">
        <f t="shared" si="123"/>
        <v>3662</v>
      </c>
      <c r="F1144" s="792">
        <f t="shared" si="118"/>
        <v>3662</v>
      </c>
      <c r="G1144" s="358">
        <f>'PART-B'!I1551</f>
        <v>1</v>
      </c>
      <c r="H1144" s="354" t="s">
        <v>115</v>
      </c>
      <c r="I1144" s="355">
        <f>'PART-B'!K1551</f>
        <v>3662</v>
      </c>
      <c r="J1144" s="353">
        <f t="shared" si="120"/>
        <v>3662</v>
      </c>
      <c r="K1144" s="669">
        <f t="shared" si="121"/>
        <v>0</v>
      </c>
      <c r="L1144" s="368">
        <f t="shared" si="122"/>
        <v>0</v>
      </c>
      <c r="M1144" s="633" t="s">
        <v>2313</v>
      </c>
      <c r="N1144" s="223"/>
      <c r="O1144" s="631">
        <f t="shared" si="124"/>
        <v>0</v>
      </c>
    </row>
    <row r="1145" spans="1:15" s="360" customFormat="1" ht="15" hidden="1">
      <c r="A1145" s="356" t="s">
        <v>1574</v>
      </c>
      <c r="B1145" s="632" t="s">
        <v>797</v>
      </c>
      <c r="C1145" s="611">
        <f t="shared" si="119"/>
        <v>0</v>
      </c>
      <c r="D1145" s="354" t="s">
        <v>115</v>
      </c>
      <c r="E1145" s="607">
        <f t="shared" si="123"/>
        <v>1634</v>
      </c>
      <c r="F1145" s="792">
        <f t="shared" ref="F1145:F1148" si="125">ROUND(C1145*E1145,0)</f>
        <v>0</v>
      </c>
      <c r="G1145" s="358">
        <f>'PART-B'!I1546</f>
        <v>0</v>
      </c>
      <c r="H1145" s="354" t="s">
        <v>115</v>
      </c>
      <c r="I1145" s="355">
        <f>'PART-B'!K1546</f>
        <v>1634</v>
      </c>
      <c r="J1145" s="353">
        <f t="shared" si="120"/>
        <v>0</v>
      </c>
      <c r="K1145" s="669">
        <f t="shared" si="121"/>
        <v>0</v>
      </c>
      <c r="L1145" s="368">
        <f t="shared" si="122"/>
        <v>0</v>
      </c>
      <c r="M1145" s="633" t="s">
        <v>2313</v>
      </c>
      <c r="N1145" s="223"/>
      <c r="O1145" s="631">
        <f t="shared" si="124"/>
        <v>0</v>
      </c>
    </row>
    <row r="1146" spans="1:15" s="360" customFormat="1" ht="25.5">
      <c r="A1146" s="356" t="s">
        <v>526</v>
      </c>
      <c r="B1146" s="632" t="s">
        <v>968</v>
      </c>
      <c r="C1146" s="611">
        <f t="shared" si="119"/>
        <v>1</v>
      </c>
      <c r="D1146" s="354" t="s">
        <v>115</v>
      </c>
      <c r="E1146" s="607">
        <f t="shared" si="123"/>
        <v>1089.96</v>
      </c>
      <c r="F1146" s="792">
        <f t="shared" si="125"/>
        <v>1090</v>
      </c>
      <c r="G1146" s="358">
        <f>'PART-B'!I1556</f>
        <v>1</v>
      </c>
      <c r="H1146" s="354" t="s">
        <v>115</v>
      </c>
      <c r="I1146" s="355">
        <f>'PART-B'!K1556</f>
        <v>1089.96</v>
      </c>
      <c r="J1146" s="353">
        <f t="shared" si="120"/>
        <v>1089.96</v>
      </c>
      <c r="K1146" s="669">
        <f t="shared" si="121"/>
        <v>0</v>
      </c>
      <c r="L1146" s="368">
        <f t="shared" si="122"/>
        <v>3.999999999996362E-2</v>
      </c>
      <c r="M1146" s="633" t="s">
        <v>2313</v>
      </c>
      <c r="N1146" s="223"/>
      <c r="O1146" s="631">
        <f t="shared" si="124"/>
        <v>3.999999999996362E-2</v>
      </c>
    </row>
    <row r="1147" spans="1:15" s="360" customFormat="1" ht="38.25" hidden="1">
      <c r="A1147" s="356" t="s">
        <v>1574</v>
      </c>
      <c r="B1147" s="632" t="s">
        <v>3245</v>
      </c>
      <c r="C1147" s="611">
        <f t="shared" si="119"/>
        <v>0</v>
      </c>
      <c r="D1147" s="354" t="s">
        <v>115</v>
      </c>
      <c r="E1147" s="607">
        <f t="shared" si="123"/>
        <v>4142.4250000000002</v>
      </c>
      <c r="F1147" s="792">
        <f t="shared" si="125"/>
        <v>0</v>
      </c>
      <c r="G1147" s="358">
        <f>'PART-B'!I1561</f>
        <v>0</v>
      </c>
      <c r="H1147" s="354" t="s">
        <v>115</v>
      </c>
      <c r="I1147" s="355">
        <f>'PART-B'!K1561</f>
        <v>4142.4250000000002</v>
      </c>
      <c r="J1147" s="353">
        <f t="shared" si="120"/>
        <v>0</v>
      </c>
      <c r="K1147" s="669">
        <f t="shared" si="121"/>
        <v>0</v>
      </c>
      <c r="L1147" s="368">
        <f t="shared" si="122"/>
        <v>0</v>
      </c>
      <c r="M1147" s="633" t="s">
        <v>2313</v>
      </c>
      <c r="N1147" s="223"/>
      <c r="O1147" s="631">
        <f t="shared" si="124"/>
        <v>0</v>
      </c>
    </row>
    <row r="1148" spans="1:15" s="360" customFormat="1" ht="15">
      <c r="A1148" s="356" t="s">
        <v>527</v>
      </c>
      <c r="B1148" s="632" t="s">
        <v>2268</v>
      </c>
      <c r="C1148" s="611">
        <f t="shared" si="119"/>
        <v>31.745999999999999</v>
      </c>
      <c r="D1148" s="354" t="s">
        <v>102</v>
      </c>
      <c r="E1148" s="10">
        <f>I1148</f>
        <v>630</v>
      </c>
      <c r="F1148" s="792">
        <f t="shared" si="125"/>
        <v>20000</v>
      </c>
      <c r="G1148" s="358">
        <f>'PART-B'!I1567</f>
        <v>31.745999999999999</v>
      </c>
      <c r="H1148" s="354" t="s">
        <v>102</v>
      </c>
      <c r="I1148" s="355">
        <f>'PART-B'!K1567</f>
        <v>630</v>
      </c>
      <c r="J1148" s="353">
        <f t="shared" si="120"/>
        <v>19999.98</v>
      </c>
      <c r="K1148" s="669">
        <f t="shared" si="121"/>
        <v>0</v>
      </c>
      <c r="L1148" s="368">
        <f t="shared" si="122"/>
        <v>2.0000000000436557E-2</v>
      </c>
      <c r="M1148" s="633" t="s">
        <v>2313</v>
      </c>
      <c r="N1148" s="223"/>
      <c r="O1148" s="631">
        <f t="shared" si="124"/>
        <v>2.0000000000436557E-2</v>
      </c>
    </row>
    <row r="1149" spans="1:15" s="360" customFormat="1" ht="15" hidden="1">
      <c r="A1149" s="356" t="s">
        <v>483</v>
      </c>
      <c r="B1149" s="632" t="s">
        <v>2453</v>
      </c>
      <c r="C1149" s="611">
        <f t="shared" si="119"/>
        <v>0</v>
      </c>
      <c r="D1149" s="354"/>
      <c r="E1149" s="756"/>
      <c r="F1149" s="353">
        <f>J1149</f>
        <v>0</v>
      </c>
      <c r="G1149" s="358"/>
      <c r="H1149" s="354"/>
      <c r="I1149" s="355"/>
      <c r="J1149" s="353">
        <f>'PART-B'!M1569</f>
        <v>0</v>
      </c>
      <c r="K1149" s="669">
        <f t="shared" si="121"/>
        <v>0</v>
      </c>
      <c r="L1149" s="368">
        <f t="shared" si="122"/>
        <v>0</v>
      </c>
      <c r="M1149" s="633"/>
      <c r="N1149" s="223"/>
      <c r="O1149" s="631">
        <f t="shared" si="124"/>
        <v>0</v>
      </c>
    </row>
    <row r="1150" spans="1:15" ht="15">
      <c r="A1150" s="23" t="s">
        <v>1578</v>
      </c>
      <c r="B1150" s="27" t="s">
        <v>566</v>
      </c>
      <c r="C1150" s="661"/>
      <c r="D1150" s="639"/>
      <c r="E1150" s="662"/>
      <c r="F1150" s="792">
        <f>'PART-B'!M1574</f>
        <v>1581</v>
      </c>
      <c r="G1150" s="28"/>
      <c r="H1150" s="224"/>
      <c r="I1150" s="29"/>
      <c r="J1150" s="223">
        <f>F1150</f>
        <v>1581</v>
      </c>
      <c r="K1150" s="669">
        <f t="shared" ref="K1150:K1151" si="126">IF(J1150&gt;F1150,J1150-F1150,0)</f>
        <v>0</v>
      </c>
      <c r="L1150" s="368">
        <f t="shared" ref="L1150:L1151" si="127">IF(J1150&lt;F1150,F1150-J1150,0)</f>
        <v>0</v>
      </c>
      <c r="M1150" s="633"/>
      <c r="N1150" s="223"/>
      <c r="O1150" s="631">
        <f t="shared" ref="O1150:O1151" si="128">F1150-J1150</f>
        <v>0</v>
      </c>
    </row>
    <row r="1151" spans="1:15" ht="15">
      <c r="A1151" s="23" t="s">
        <v>528</v>
      </c>
      <c r="B1151" s="27" t="s">
        <v>444</v>
      </c>
      <c r="C1151" s="663"/>
      <c r="D1151" s="224"/>
      <c r="E1151" s="664"/>
      <c r="F1151" s="792">
        <f>'PART-B'!M1572</f>
        <v>18</v>
      </c>
      <c r="G1151" s="28"/>
      <c r="H1151" s="224"/>
      <c r="I1151" s="29"/>
      <c r="J1151" s="223">
        <f>F1151</f>
        <v>18</v>
      </c>
      <c r="K1151" s="669">
        <f t="shared" si="126"/>
        <v>0</v>
      </c>
      <c r="L1151" s="368">
        <f t="shared" si="127"/>
        <v>0</v>
      </c>
      <c r="M1151" s="633"/>
      <c r="N1151" s="223"/>
      <c r="O1151" s="631">
        <f t="shared" si="128"/>
        <v>0</v>
      </c>
    </row>
    <row r="1152" spans="1:15" ht="15">
      <c r="A1152" s="23" t="s">
        <v>1579</v>
      </c>
      <c r="B1152" s="27" t="s">
        <v>292</v>
      </c>
      <c r="C1152" s="665"/>
      <c r="D1152" s="224"/>
      <c r="E1152" s="29"/>
      <c r="F1152" s="792">
        <f>'PART-B'!M1575</f>
        <v>12299</v>
      </c>
      <c r="G1152" s="28"/>
      <c r="H1152" s="224"/>
      <c r="I1152" s="29"/>
      <c r="J1152" s="223"/>
      <c r="K1152" s="669">
        <f t="shared" si="121"/>
        <v>0</v>
      </c>
      <c r="L1152" s="368">
        <f>IF(J1152&lt;F1152,F1152-J1152,0)</f>
        <v>12299</v>
      </c>
      <c r="M1152" s="23" t="s">
        <v>15</v>
      </c>
      <c r="N1152" s="223"/>
      <c r="O1152" s="850">
        <f t="shared" ref="O1152" si="129">F1152-J1152</f>
        <v>12299</v>
      </c>
    </row>
    <row r="1153" spans="1:15" ht="15">
      <c r="A1153" s="23"/>
      <c r="B1153" s="27"/>
      <c r="C1153" s="665"/>
      <c r="D1153" s="224"/>
      <c r="E1153" s="29"/>
      <c r="F1153" s="359"/>
      <c r="G1153" s="28"/>
      <c r="H1153" s="224"/>
      <c r="I1153" s="29"/>
      <c r="J1153" s="223"/>
      <c r="K1153" s="25"/>
      <c r="L1153" s="25"/>
      <c r="M1153" s="23"/>
      <c r="N1153" s="666"/>
      <c r="O1153" s="850"/>
    </row>
    <row r="1154" spans="1:15" ht="15">
      <c r="A1154" s="23"/>
      <c r="B1154" s="27"/>
      <c r="C1154" s="665"/>
      <c r="D1154" s="224"/>
      <c r="E1154" s="29"/>
      <c r="F1154" s="359"/>
      <c r="G1154" s="28"/>
      <c r="H1154" s="224"/>
      <c r="I1154" s="29"/>
      <c r="J1154" s="223"/>
      <c r="K1154" s="25"/>
      <c r="L1154" s="25"/>
      <c r="M1154" s="23"/>
      <c r="N1154" s="666"/>
      <c r="O1154" s="850"/>
    </row>
    <row r="1155" spans="1:15" ht="12.75" customHeight="1">
      <c r="A1155" s="23"/>
      <c r="B1155" s="30"/>
      <c r="C1155" s="1696" t="s">
        <v>569</v>
      </c>
      <c r="D1155" s="1696"/>
      <c r="E1155" s="1697"/>
      <c r="F1155" s="31">
        <f>SUM(F8:F1154)</f>
        <v>2080000.0000100001</v>
      </c>
      <c r="G1155" s="28"/>
      <c r="H1155" s="225"/>
      <c r="I1155" s="23"/>
      <c r="J1155" s="31">
        <f>SUM(J8:J1154)</f>
        <v>2066270.06</v>
      </c>
      <c r="K1155" s="31">
        <f>SUM(K8:K1154)</f>
        <v>4.7699999999842362</v>
      </c>
      <c r="L1155" s="31">
        <f>SUM(L8:L1154)</f>
        <v>13734.709999999981</v>
      </c>
      <c r="M1155" s="23"/>
    </row>
    <row r="1156" spans="1:15" ht="20.25" customHeight="1">
      <c r="A1156" s="23"/>
      <c r="B1156" s="30"/>
      <c r="C1156" s="1696" t="s">
        <v>3138</v>
      </c>
      <c r="D1156" s="1696"/>
      <c r="E1156" s="1697"/>
      <c r="F1156" s="31">
        <f>J1155</f>
        <v>2066270.06</v>
      </c>
      <c r="G1156" s="28"/>
      <c r="H1156" s="225"/>
      <c r="I1156" s="23"/>
      <c r="J1156" s="223"/>
      <c r="K1156" s="31"/>
      <c r="L1156" s="223">
        <f>K1155</f>
        <v>4.7699999999842362</v>
      </c>
      <c r="M1156" s="23"/>
    </row>
    <row r="1157" spans="1:15" ht="20.25" customHeight="1">
      <c r="A1157" s="23"/>
      <c r="B1157" s="852" t="s">
        <v>535</v>
      </c>
      <c r="C1157" s="1696" t="s">
        <v>536</v>
      </c>
      <c r="D1157" s="1696"/>
      <c r="E1157" s="1697"/>
      <c r="F1157" s="31">
        <f>F1155-F1156</f>
        <v>13729.94001000002</v>
      </c>
      <c r="G1157" s="28"/>
      <c r="H1157" s="224"/>
      <c r="I1157" s="29"/>
      <c r="J1157" s="31"/>
      <c r="K1157" s="223"/>
      <c r="L1157" s="31">
        <f>L1155-L1156</f>
        <v>13729.939999999997</v>
      </c>
      <c r="M1157" s="29"/>
    </row>
    <row r="1158" spans="1:15" ht="24.75" customHeight="1">
      <c r="B1158" s="853"/>
    </row>
    <row r="1159" spans="1:15" ht="17.25" customHeight="1">
      <c r="B1159" s="853"/>
    </row>
    <row r="1160" spans="1:15">
      <c r="B1160" s="853"/>
      <c r="H1160" s="55" t="str">
        <f>'lead 19-20'!$H$31</f>
        <v>Deputy Executive Engineer</v>
      </c>
      <c r="K1160" s="749" t="str">
        <f>'lead 19-20'!$K$31</f>
        <v>Assistant  Engineer</v>
      </c>
      <c r="L1160" s="855"/>
    </row>
    <row r="1161" spans="1:15">
      <c r="B1161" s="853"/>
      <c r="H1161" s="55" t="str">
        <f>'lead 19-20'!$H$32</f>
        <v>PRI Sub Division</v>
      </c>
      <c r="K1161" s="749" t="str">
        <f>'lead 19-20'!$K$32</f>
        <v>Mandal Praja parishad</v>
      </c>
    </row>
    <row r="1162" spans="1:15">
      <c r="B1162" s="853"/>
      <c r="H1162" s="55" t="str">
        <f>'lead 19-20'!$H$33</f>
        <v>Kanigiri</v>
      </c>
      <c r="K1162" s="749" t="str">
        <f>'lead 19-20'!$K$33</f>
        <v>Kanigiri</v>
      </c>
    </row>
    <row r="1163" spans="1:15">
      <c r="B1163" s="853"/>
    </row>
    <row r="1164" spans="1:15" s="666" customFormat="1">
      <c r="A1164" s="26"/>
      <c r="B1164" s="853"/>
      <c r="C1164" s="667"/>
      <c r="D1164" s="668"/>
      <c r="E1164" s="26"/>
      <c r="F1164" s="26"/>
      <c r="H1164" s="668"/>
      <c r="I1164" s="26"/>
      <c r="J1164" s="26"/>
      <c r="L1164" s="854"/>
      <c r="M1164" s="26"/>
      <c r="N1164" s="26"/>
    </row>
    <row r="1165" spans="1:15" s="666" customFormat="1">
      <c r="A1165" s="26"/>
      <c r="B1165" s="853"/>
      <c r="C1165" s="667"/>
      <c r="D1165" s="668"/>
      <c r="E1165" s="26"/>
      <c r="F1165" s="26"/>
      <c r="H1165" s="668"/>
      <c r="I1165" s="26"/>
      <c r="J1165" s="26"/>
      <c r="L1165" s="854"/>
      <c r="M1165" s="26"/>
      <c r="N1165" s="26"/>
    </row>
    <row r="1166" spans="1:15" s="666" customFormat="1">
      <c r="A1166" s="26"/>
      <c r="B1166" s="853"/>
      <c r="C1166" s="667"/>
      <c r="D1166" s="668"/>
      <c r="E1166" s="26"/>
      <c r="F1166" s="26"/>
      <c r="H1166" s="668"/>
      <c r="I1166" s="26"/>
      <c r="J1166" s="26"/>
      <c r="L1166" s="854"/>
      <c r="M1166" s="26"/>
      <c r="N1166" s="26"/>
    </row>
    <row r="1167" spans="1:15" s="666" customFormat="1">
      <c r="A1167" s="26"/>
      <c r="B1167" s="853"/>
      <c r="C1167" s="667"/>
      <c r="D1167" s="668"/>
      <c r="E1167" s="26"/>
      <c r="F1167" s="26"/>
      <c r="H1167" s="668"/>
      <c r="I1167" s="26"/>
      <c r="J1167" s="26"/>
      <c r="L1167" s="854"/>
      <c r="M1167" s="26"/>
      <c r="N1167" s="26"/>
    </row>
    <row r="1168" spans="1:15" s="666" customFormat="1">
      <c r="A1168" s="26"/>
      <c r="B1168" s="26"/>
      <c r="C1168" s="667"/>
      <c r="D1168" s="668"/>
      <c r="E1168" s="26"/>
      <c r="F1168" s="26"/>
      <c r="H1168" s="668"/>
      <c r="I1168" s="26"/>
      <c r="J1168" s="26"/>
      <c r="L1168" s="854"/>
      <c r="M1168" s="26"/>
      <c r="N1168" s="26"/>
    </row>
    <row r="1169" spans="1:14" s="666" customFormat="1">
      <c r="A1169" s="26"/>
      <c r="B1169" s="26"/>
      <c r="C1169" s="667"/>
      <c r="D1169" s="668"/>
      <c r="E1169" s="26"/>
      <c r="F1169" s="26"/>
      <c r="H1169" s="668"/>
      <c r="I1169" s="26"/>
      <c r="J1169" s="26"/>
      <c r="L1169" s="854"/>
      <c r="M1169" s="26"/>
      <c r="N1169" s="26"/>
    </row>
    <row r="1170" spans="1:14" s="666" customFormat="1">
      <c r="A1170" s="26"/>
      <c r="B1170" s="26"/>
      <c r="C1170" s="667"/>
      <c r="D1170" s="668"/>
      <c r="E1170" s="26"/>
      <c r="F1170" s="26"/>
      <c r="H1170" s="668"/>
      <c r="I1170" s="26"/>
      <c r="J1170" s="26"/>
      <c r="L1170" s="854"/>
      <c r="M1170" s="26"/>
      <c r="N1170" s="26"/>
    </row>
    <row r="1171" spans="1:14" s="666" customFormat="1">
      <c r="A1171" s="26"/>
      <c r="B1171" s="26"/>
      <c r="C1171" s="667"/>
      <c r="D1171" s="668"/>
      <c r="E1171" s="26"/>
      <c r="F1171" s="26"/>
      <c r="H1171" s="668"/>
      <c r="I1171" s="26"/>
      <c r="J1171" s="26"/>
      <c r="L1171" s="854"/>
      <c r="M1171" s="26"/>
      <c r="N1171" s="26"/>
    </row>
    <row r="1172" spans="1:14" s="666" customFormat="1">
      <c r="A1172" s="26"/>
      <c r="B1172" s="26"/>
      <c r="C1172" s="667"/>
      <c r="D1172" s="668"/>
      <c r="E1172" s="26"/>
      <c r="F1172" s="26"/>
      <c r="H1172" s="668"/>
      <c r="I1172" s="26"/>
      <c r="J1172" s="26"/>
      <c r="L1172" s="854"/>
      <c r="M1172" s="26"/>
      <c r="N1172" s="26"/>
    </row>
    <row r="1173" spans="1:14" s="666" customFormat="1">
      <c r="A1173" s="26"/>
      <c r="B1173" s="26"/>
      <c r="C1173" s="667"/>
      <c r="D1173" s="668"/>
      <c r="E1173" s="26"/>
      <c r="F1173" s="26"/>
      <c r="H1173" s="668"/>
      <c r="I1173" s="26"/>
      <c r="J1173" s="26"/>
      <c r="L1173" s="854"/>
      <c r="M1173" s="26"/>
      <c r="N1173" s="26"/>
    </row>
    <row r="1174" spans="1:14" s="666" customFormat="1">
      <c r="A1174" s="26"/>
      <c r="B1174" s="26"/>
      <c r="C1174" s="667"/>
      <c r="D1174" s="668"/>
      <c r="E1174" s="26"/>
      <c r="F1174" s="26"/>
      <c r="H1174" s="668"/>
      <c r="I1174" s="26"/>
      <c r="J1174" s="26"/>
      <c r="L1174" s="854"/>
      <c r="M1174" s="26"/>
      <c r="N1174" s="26"/>
    </row>
    <row r="1175" spans="1:14" s="666" customFormat="1">
      <c r="A1175" s="26"/>
      <c r="B1175" s="26"/>
      <c r="C1175" s="667"/>
      <c r="D1175" s="668"/>
      <c r="E1175" s="26"/>
      <c r="F1175" s="26"/>
      <c r="H1175" s="668"/>
      <c r="I1175" s="26"/>
      <c r="J1175" s="26"/>
      <c r="L1175" s="854"/>
      <c r="M1175" s="26"/>
      <c r="N1175" s="26"/>
    </row>
    <row r="1176" spans="1:14" s="666" customFormat="1">
      <c r="A1176" s="26"/>
      <c r="B1176" s="26"/>
      <c r="C1176" s="667"/>
      <c r="D1176" s="668"/>
      <c r="E1176" s="26"/>
      <c r="F1176" s="26"/>
      <c r="H1176" s="668"/>
      <c r="I1176" s="26"/>
      <c r="J1176" s="26"/>
      <c r="L1176" s="854"/>
      <c r="M1176" s="26"/>
      <c r="N1176" s="26"/>
    </row>
    <row r="1177" spans="1:14" s="666" customFormat="1">
      <c r="A1177" s="26"/>
      <c r="B1177" s="26"/>
      <c r="C1177" s="667"/>
      <c r="D1177" s="668"/>
      <c r="E1177" s="26"/>
      <c r="F1177" s="26"/>
      <c r="H1177" s="668"/>
      <c r="I1177" s="26"/>
      <c r="J1177" s="26"/>
      <c r="L1177" s="854"/>
      <c r="M1177" s="26"/>
      <c r="N1177" s="26"/>
    </row>
    <row r="1178" spans="1:14" s="666" customFormat="1">
      <c r="A1178" s="26"/>
      <c r="B1178" s="26"/>
      <c r="C1178" s="667"/>
      <c r="D1178" s="668"/>
      <c r="E1178" s="26"/>
      <c r="F1178" s="26"/>
      <c r="H1178" s="668"/>
      <c r="I1178" s="26"/>
      <c r="J1178" s="26"/>
      <c r="L1178" s="854"/>
      <c r="M1178" s="26"/>
      <c r="N1178" s="26"/>
    </row>
    <row r="1179" spans="1:14" s="666" customFormat="1">
      <c r="A1179" s="26"/>
      <c r="B1179" s="26"/>
      <c r="C1179" s="667"/>
      <c r="D1179" s="668"/>
      <c r="E1179" s="26"/>
      <c r="F1179" s="26"/>
      <c r="H1179" s="668"/>
      <c r="I1179" s="26"/>
      <c r="J1179" s="26"/>
      <c r="L1179" s="854"/>
      <c r="M1179" s="26"/>
      <c r="N1179" s="26"/>
    </row>
    <row r="1188" spans="3:12">
      <c r="C1188" s="668"/>
      <c r="G1188" s="26"/>
      <c r="H1188" s="26"/>
      <c r="K1188" s="856"/>
      <c r="L1188" s="26"/>
    </row>
    <row r="1189" spans="3:12">
      <c r="C1189" s="668"/>
      <c r="G1189" s="26"/>
      <c r="H1189" s="26"/>
      <c r="K1189" s="856"/>
      <c r="L1189" s="26"/>
    </row>
    <row r="1190" spans="3:12">
      <c r="C1190" s="668"/>
      <c r="G1190" s="26"/>
      <c r="H1190" s="26"/>
      <c r="K1190" s="856"/>
      <c r="L1190" s="26"/>
    </row>
    <row r="1191" spans="3:12">
      <c r="C1191" s="668"/>
      <c r="G1191" s="26"/>
      <c r="H1191" s="26"/>
      <c r="K1191" s="856"/>
      <c r="L1191" s="26"/>
    </row>
    <row r="1192" spans="3:12">
      <c r="C1192" s="668"/>
      <c r="G1192" s="26"/>
      <c r="H1192" s="26"/>
      <c r="K1192" s="856"/>
      <c r="L1192" s="26"/>
    </row>
    <row r="1193" spans="3:12">
      <c r="C1193" s="668"/>
      <c r="G1193" s="26"/>
      <c r="H1193" s="26"/>
      <c r="K1193" s="856"/>
      <c r="L1193" s="26"/>
    </row>
    <row r="1194" spans="3:12">
      <c r="C1194" s="668"/>
      <c r="G1194" s="26"/>
      <c r="H1194" s="26"/>
      <c r="K1194" s="856"/>
      <c r="L1194" s="26"/>
    </row>
    <row r="1195" spans="3:12">
      <c r="C1195" s="668"/>
      <c r="G1195" s="26"/>
      <c r="H1195" s="26"/>
      <c r="K1195" s="856"/>
      <c r="L1195" s="26"/>
    </row>
    <row r="1196" spans="3:12">
      <c r="C1196" s="668"/>
      <c r="G1196" s="26"/>
      <c r="H1196" s="26"/>
      <c r="K1196" s="856"/>
      <c r="L1196" s="26"/>
    </row>
    <row r="1197" spans="3:12">
      <c r="C1197" s="668"/>
      <c r="G1197" s="26"/>
      <c r="H1197" s="26"/>
      <c r="K1197" s="856"/>
      <c r="L1197" s="26"/>
    </row>
    <row r="1198" spans="3:12">
      <c r="C1198" s="668"/>
      <c r="G1198" s="26"/>
      <c r="H1198" s="26"/>
      <c r="K1198" s="856"/>
      <c r="L1198" s="26"/>
    </row>
    <row r="1199" spans="3:12">
      <c r="C1199" s="668"/>
      <c r="G1199" s="26"/>
      <c r="H1199" s="26"/>
      <c r="K1199" s="856"/>
      <c r="L1199" s="26"/>
    </row>
    <row r="1200" spans="3:12">
      <c r="C1200" s="668"/>
      <c r="G1200" s="26"/>
      <c r="H1200" s="26"/>
      <c r="K1200" s="856"/>
      <c r="L1200" s="26"/>
    </row>
    <row r="1201" spans="3:12">
      <c r="C1201" s="668"/>
      <c r="G1201" s="26"/>
      <c r="H1201" s="26"/>
      <c r="K1201" s="856"/>
      <c r="L1201" s="26"/>
    </row>
    <row r="1202" spans="3:12">
      <c r="C1202" s="668"/>
      <c r="G1202" s="26"/>
      <c r="H1202" s="26"/>
      <c r="K1202" s="856"/>
      <c r="L1202" s="26"/>
    </row>
    <row r="1203" spans="3:12">
      <c r="C1203" s="668"/>
      <c r="G1203" s="26"/>
      <c r="H1203" s="26"/>
      <c r="K1203" s="856"/>
      <c r="L1203" s="26"/>
    </row>
    <row r="1204" spans="3:12">
      <c r="C1204" s="668"/>
      <c r="G1204" s="26"/>
      <c r="H1204" s="26"/>
      <c r="K1204" s="856"/>
      <c r="L1204" s="26"/>
    </row>
    <row r="1205" spans="3:12">
      <c r="C1205" s="668"/>
      <c r="G1205" s="26"/>
      <c r="H1205" s="26"/>
      <c r="K1205" s="856"/>
      <c r="L1205" s="26"/>
    </row>
    <row r="1206" spans="3:12">
      <c r="C1206" s="668"/>
      <c r="G1206" s="26"/>
      <c r="H1206" s="26"/>
      <c r="K1206" s="856"/>
      <c r="L1206" s="26"/>
    </row>
    <row r="1207" spans="3:12">
      <c r="C1207" s="668"/>
      <c r="G1207" s="26"/>
      <c r="H1207" s="26"/>
      <c r="K1207" s="856"/>
      <c r="L1207" s="26"/>
    </row>
    <row r="1208" spans="3:12">
      <c r="C1208" s="668"/>
      <c r="G1208" s="26"/>
      <c r="H1208" s="26"/>
      <c r="K1208" s="856"/>
      <c r="L1208" s="26"/>
    </row>
    <row r="1209" spans="3:12">
      <c r="C1209" s="668"/>
      <c r="G1209" s="26"/>
      <c r="H1209" s="26"/>
      <c r="K1209" s="856"/>
      <c r="L1209" s="26"/>
    </row>
    <row r="1210" spans="3:12">
      <c r="C1210" s="668"/>
      <c r="G1210" s="26"/>
      <c r="H1210" s="26"/>
      <c r="K1210" s="856"/>
      <c r="L1210" s="26"/>
    </row>
    <row r="1211" spans="3:12">
      <c r="C1211" s="668"/>
      <c r="G1211" s="26"/>
      <c r="H1211" s="26"/>
      <c r="K1211" s="856"/>
      <c r="L1211" s="26"/>
    </row>
    <row r="1212" spans="3:12">
      <c r="C1212" s="668"/>
      <c r="G1212" s="26"/>
      <c r="H1212" s="26"/>
      <c r="K1212" s="856"/>
      <c r="L1212" s="26"/>
    </row>
    <row r="1213" spans="3:12">
      <c r="C1213" s="668"/>
      <c r="G1213" s="26"/>
      <c r="H1213" s="26"/>
      <c r="K1213" s="856"/>
      <c r="L1213" s="26"/>
    </row>
    <row r="1214" spans="3:12">
      <c r="C1214" s="668"/>
      <c r="G1214" s="26"/>
      <c r="H1214" s="26"/>
      <c r="K1214" s="856"/>
      <c r="L1214" s="26"/>
    </row>
    <row r="1215" spans="3:12">
      <c r="C1215" s="668"/>
      <c r="G1215" s="26"/>
      <c r="H1215" s="26"/>
      <c r="K1215" s="856"/>
      <c r="L1215" s="26"/>
    </row>
    <row r="1216" spans="3:12">
      <c r="C1216" s="668"/>
      <c r="G1216" s="26"/>
      <c r="H1216" s="26"/>
      <c r="K1216" s="856"/>
      <c r="L1216" s="26"/>
    </row>
    <row r="1217" spans="3:12">
      <c r="C1217" s="668"/>
      <c r="G1217" s="26"/>
      <c r="H1217" s="26"/>
      <c r="K1217" s="856"/>
      <c r="L1217" s="26"/>
    </row>
    <row r="1218" spans="3:12">
      <c r="C1218" s="668"/>
      <c r="G1218" s="26"/>
      <c r="H1218" s="26"/>
      <c r="K1218" s="856"/>
      <c r="L1218" s="26"/>
    </row>
    <row r="1219" spans="3:12">
      <c r="C1219" s="668"/>
      <c r="G1219" s="26"/>
      <c r="H1219" s="26"/>
      <c r="K1219" s="856"/>
      <c r="L1219" s="26"/>
    </row>
    <row r="1220" spans="3:12">
      <c r="C1220" s="668"/>
      <c r="G1220" s="26"/>
      <c r="H1220" s="26"/>
      <c r="K1220" s="856"/>
      <c r="L1220" s="26"/>
    </row>
    <row r="1221" spans="3:12">
      <c r="C1221" s="668"/>
      <c r="G1221" s="26"/>
      <c r="H1221" s="26"/>
      <c r="K1221" s="856"/>
      <c r="L1221" s="26"/>
    </row>
    <row r="1222" spans="3:12">
      <c r="C1222" s="668"/>
      <c r="G1222" s="26"/>
      <c r="H1222" s="26"/>
      <c r="K1222" s="856"/>
      <c r="L1222" s="26"/>
    </row>
    <row r="1223" spans="3:12">
      <c r="C1223" s="668"/>
      <c r="G1223" s="26"/>
      <c r="H1223" s="26"/>
      <c r="K1223" s="856"/>
      <c r="L1223" s="26"/>
    </row>
    <row r="1224" spans="3:12">
      <c r="C1224" s="668"/>
      <c r="G1224" s="26"/>
      <c r="H1224" s="26"/>
      <c r="K1224" s="856"/>
      <c r="L1224" s="26"/>
    </row>
    <row r="1225" spans="3:12">
      <c r="C1225" s="668"/>
      <c r="G1225" s="26"/>
      <c r="H1225" s="26"/>
      <c r="K1225" s="856"/>
      <c r="L1225" s="26"/>
    </row>
    <row r="1226" spans="3:12">
      <c r="C1226" s="668"/>
      <c r="G1226" s="26"/>
      <c r="H1226" s="26"/>
      <c r="K1226" s="856"/>
      <c r="L1226" s="26"/>
    </row>
    <row r="1227" spans="3:12">
      <c r="C1227" s="668"/>
      <c r="G1227" s="26"/>
      <c r="H1227" s="26"/>
      <c r="K1227" s="856"/>
      <c r="L1227" s="26"/>
    </row>
    <row r="1228" spans="3:12">
      <c r="C1228" s="668"/>
      <c r="G1228" s="26"/>
      <c r="H1228" s="26"/>
      <c r="K1228" s="856"/>
      <c r="L1228" s="26"/>
    </row>
    <row r="1229" spans="3:12">
      <c r="C1229" s="668"/>
      <c r="G1229" s="26"/>
      <c r="H1229" s="26"/>
      <c r="K1229" s="856"/>
      <c r="L1229" s="26"/>
    </row>
    <row r="1230" spans="3:12">
      <c r="C1230" s="668"/>
      <c r="G1230" s="26"/>
      <c r="H1230" s="26"/>
      <c r="K1230" s="856"/>
      <c r="L1230" s="26"/>
    </row>
    <row r="1231" spans="3:12">
      <c r="C1231" s="668"/>
      <c r="G1231" s="26"/>
      <c r="H1231" s="26"/>
      <c r="K1231" s="856"/>
      <c r="L1231" s="26"/>
    </row>
    <row r="1232" spans="3:12">
      <c r="C1232" s="668"/>
      <c r="G1232" s="26"/>
      <c r="H1232" s="26"/>
      <c r="K1232" s="856"/>
      <c r="L1232" s="26"/>
    </row>
    <row r="1233" spans="3:12">
      <c r="C1233" s="668"/>
      <c r="G1233" s="26"/>
      <c r="H1233" s="26"/>
      <c r="K1233" s="856"/>
      <c r="L1233" s="26"/>
    </row>
    <row r="1234" spans="3:12">
      <c r="C1234" s="668"/>
      <c r="G1234" s="26"/>
      <c r="H1234" s="26"/>
      <c r="K1234" s="856"/>
      <c r="L1234" s="26"/>
    </row>
    <row r="1235" spans="3:12">
      <c r="C1235" s="668"/>
      <c r="G1235" s="26"/>
      <c r="H1235" s="26"/>
      <c r="K1235" s="856"/>
      <c r="L1235" s="26"/>
    </row>
    <row r="1236" spans="3:12">
      <c r="C1236" s="668"/>
      <c r="G1236" s="26"/>
      <c r="H1236" s="26"/>
      <c r="K1236" s="856"/>
      <c r="L1236" s="26"/>
    </row>
    <row r="1237" spans="3:12">
      <c r="C1237" s="668"/>
      <c r="G1237" s="26"/>
      <c r="H1237" s="26"/>
      <c r="K1237" s="856"/>
      <c r="L1237" s="26"/>
    </row>
    <row r="1238" spans="3:12">
      <c r="C1238" s="668"/>
      <c r="G1238" s="26"/>
      <c r="H1238" s="26"/>
      <c r="K1238" s="856"/>
      <c r="L1238" s="26"/>
    </row>
    <row r="1239" spans="3:12">
      <c r="C1239" s="668"/>
      <c r="G1239" s="26"/>
      <c r="H1239" s="26"/>
      <c r="K1239" s="856"/>
      <c r="L1239" s="26"/>
    </row>
    <row r="1240" spans="3:12">
      <c r="C1240" s="668"/>
      <c r="G1240" s="26"/>
      <c r="H1240" s="26"/>
      <c r="K1240" s="856"/>
      <c r="L1240" s="26"/>
    </row>
    <row r="1241" spans="3:12">
      <c r="C1241" s="668"/>
      <c r="G1241" s="26"/>
      <c r="H1241" s="26"/>
      <c r="K1241" s="856"/>
      <c r="L1241" s="26"/>
    </row>
    <row r="1242" spans="3:12">
      <c r="C1242" s="668"/>
      <c r="G1242" s="26"/>
      <c r="H1242" s="26"/>
      <c r="K1242" s="856"/>
      <c r="L1242" s="26"/>
    </row>
    <row r="1243" spans="3:12">
      <c r="C1243" s="668"/>
      <c r="G1243" s="26"/>
      <c r="H1243" s="26"/>
      <c r="K1243" s="856"/>
      <c r="L1243" s="26"/>
    </row>
    <row r="1244" spans="3:12">
      <c r="C1244" s="668"/>
      <c r="G1244" s="26"/>
      <c r="H1244" s="26"/>
      <c r="K1244" s="856"/>
      <c r="L1244" s="26"/>
    </row>
    <row r="1245" spans="3:12">
      <c r="C1245" s="668"/>
      <c r="G1245" s="26"/>
      <c r="H1245" s="26"/>
      <c r="K1245" s="856"/>
      <c r="L1245" s="26"/>
    </row>
    <row r="1246" spans="3:12">
      <c r="C1246" s="668"/>
      <c r="G1246" s="26"/>
      <c r="H1246" s="26"/>
      <c r="K1246" s="856"/>
      <c r="L1246" s="26"/>
    </row>
    <row r="1247" spans="3:12">
      <c r="C1247" s="668"/>
      <c r="G1247" s="26"/>
      <c r="H1247" s="26"/>
      <c r="K1247" s="856"/>
      <c r="L1247" s="26"/>
    </row>
    <row r="1248" spans="3:12">
      <c r="C1248" s="668"/>
      <c r="G1248" s="26"/>
      <c r="H1248" s="26"/>
      <c r="K1248" s="856"/>
      <c r="L1248" s="26"/>
    </row>
    <row r="1249" spans="3:12">
      <c r="C1249" s="668"/>
      <c r="G1249" s="26"/>
      <c r="H1249" s="26"/>
      <c r="K1249" s="856"/>
      <c r="L1249" s="26"/>
    </row>
    <row r="1250" spans="3:12">
      <c r="C1250" s="668"/>
      <c r="G1250" s="26"/>
      <c r="H1250" s="26"/>
      <c r="K1250" s="856"/>
      <c r="L1250" s="26"/>
    </row>
    <row r="1251" spans="3:12">
      <c r="C1251" s="668"/>
      <c r="G1251" s="26"/>
      <c r="H1251" s="26"/>
      <c r="K1251" s="856"/>
      <c r="L1251" s="26"/>
    </row>
    <row r="1252" spans="3:12">
      <c r="C1252" s="668"/>
      <c r="G1252" s="26"/>
      <c r="H1252" s="26"/>
      <c r="K1252" s="856"/>
      <c r="L1252" s="26"/>
    </row>
    <row r="1253" spans="3:12">
      <c r="C1253" s="668"/>
      <c r="G1253" s="26"/>
      <c r="H1253" s="26"/>
      <c r="K1253" s="856"/>
      <c r="L1253" s="26"/>
    </row>
    <row r="1254" spans="3:12">
      <c r="C1254" s="668"/>
      <c r="G1254" s="26"/>
      <c r="H1254" s="26"/>
      <c r="K1254" s="856"/>
      <c r="L1254" s="26"/>
    </row>
    <row r="1255" spans="3:12">
      <c r="C1255" s="668"/>
      <c r="G1255" s="26"/>
      <c r="H1255" s="26"/>
      <c r="K1255" s="856"/>
      <c r="L1255" s="26"/>
    </row>
    <row r="1256" spans="3:12">
      <c r="C1256" s="668"/>
      <c r="G1256" s="26"/>
      <c r="H1256" s="26"/>
      <c r="K1256" s="856"/>
      <c r="L1256" s="26"/>
    </row>
    <row r="1257" spans="3:12">
      <c r="C1257" s="668"/>
      <c r="G1257" s="26"/>
      <c r="H1257" s="26"/>
      <c r="K1257" s="856"/>
      <c r="L1257" s="26"/>
    </row>
    <row r="1258" spans="3:12">
      <c r="C1258" s="668"/>
      <c r="G1258" s="26"/>
      <c r="H1258" s="26"/>
      <c r="K1258" s="856"/>
      <c r="L1258" s="26"/>
    </row>
    <row r="1259" spans="3:12">
      <c r="C1259" s="668"/>
      <c r="G1259" s="26"/>
      <c r="H1259" s="26"/>
      <c r="K1259" s="856"/>
      <c r="L1259" s="26"/>
    </row>
    <row r="1260" spans="3:12">
      <c r="C1260" s="668"/>
      <c r="G1260" s="26"/>
      <c r="H1260" s="26"/>
      <c r="K1260" s="856"/>
      <c r="L1260" s="26"/>
    </row>
    <row r="1261" spans="3:12">
      <c r="C1261" s="668"/>
      <c r="G1261" s="26"/>
      <c r="H1261" s="26"/>
      <c r="K1261" s="856"/>
      <c r="L1261" s="26"/>
    </row>
    <row r="1262" spans="3:12">
      <c r="C1262" s="668"/>
      <c r="G1262" s="26"/>
      <c r="H1262" s="26"/>
      <c r="K1262" s="856"/>
      <c r="L1262" s="26"/>
    </row>
    <row r="1263" spans="3:12">
      <c r="C1263" s="668"/>
      <c r="G1263" s="26"/>
      <c r="H1263" s="26"/>
      <c r="K1263" s="856"/>
      <c r="L1263" s="26"/>
    </row>
    <row r="1264" spans="3:12">
      <c r="C1264" s="668"/>
      <c r="G1264" s="26"/>
      <c r="H1264" s="26"/>
      <c r="K1264" s="856"/>
      <c r="L1264" s="26"/>
    </row>
    <row r="1265" spans="3:12">
      <c r="C1265" s="668"/>
      <c r="G1265" s="26"/>
      <c r="H1265" s="26"/>
      <c r="K1265" s="856"/>
      <c r="L1265" s="26"/>
    </row>
    <row r="1266" spans="3:12">
      <c r="C1266" s="668"/>
      <c r="G1266" s="26"/>
      <c r="H1266" s="26"/>
      <c r="K1266" s="856"/>
      <c r="L1266" s="26"/>
    </row>
    <row r="1267" spans="3:12">
      <c r="C1267" s="668"/>
      <c r="G1267" s="26"/>
      <c r="H1267" s="26"/>
      <c r="K1267" s="856"/>
      <c r="L1267" s="26"/>
    </row>
    <row r="1268" spans="3:12">
      <c r="C1268" s="668"/>
      <c r="G1268" s="26"/>
      <c r="H1268" s="26"/>
      <c r="K1268" s="856"/>
      <c r="L1268" s="26"/>
    </row>
    <row r="1269" spans="3:12">
      <c r="C1269" s="668"/>
      <c r="G1269" s="26"/>
      <c r="H1269" s="26"/>
      <c r="K1269" s="856"/>
      <c r="L1269" s="26"/>
    </row>
    <row r="1270" spans="3:12">
      <c r="C1270" s="668"/>
      <c r="G1270" s="26"/>
      <c r="H1270" s="26"/>
      <c r="K1270" s="856"/>
      <c r="L1270" s="26"/>
    </row>
  </sheetData>
  <autoFilter ref="A6:O1152">
    <filterColumn colId="2" showButton="0"/>
    <filterColumn colId="5">
      <customFilters>
        <customFilter operator="notEqual" val=" "/>
      </customFilters>
    </filterColumn>
    <filterColumn colId="6" showButton="0"/>
  </autoFilter>
  <mergeCells count="460">
    <mergeCell ref="G5:H5"/>
    <mergeCell ref="C6:D6"/>
    <mergeCell ref="G6:H6"/>
    <mergeCell ref="K9:K12"/>
    <mergeCell ref="L9:L12"/>
    <mergeCell ref="K13:K16"/>
    <mergeCell ref="L13:L16"/>
    <mergeCell ref="A1:M1"/>
    <mergeCell ref="A2:M2"/>
    <mergeCell ref="K3:M3"/>
    <mergeCell ref="A4:A5"/>
    <mergeCell ref="B4:B5"/>
    <mergeCell ref="C4:F4"/>
    <mergeCell ref="G4:J4"/>
    <mergeCell ref="K4:L4"/>
    <mergeCell ref="M4:M5"/>
    <mergeCell ref="C5:D5"/>
    <mergeCell ref="K29:K32"/>
    <mergeCell ref="L29:L32"/>
    <mergeCell ref="K33:K36"/>
    <mergeCell ref="L33:L36"/>
    <mergeCell ref="K38:K41"/>
    <mergeCell ref="L38:L41"/>
    <mergeCell ref="K17:K20"/>
    <mergeCell ref="L17:L20"/>
    <mergeCell ref="K21:K24"/>
    <mergeCell ref="L21:L24"/>
    <mergeCell ref="K25:K28"/>
    <mergeCell ref="L25:L28"/>
    <mergeCell ref="K54:K57"/>
    <mergeCell ref="L54:L57"/>
    <mergeCell ref="K58:K61"/>
    <mergeCell ref="L58:L61"/>
    <mergeCell ref="K62:K65"/>
    <mergeCell ref="L62:L65"/>
    <mergeCell ref="K42:K45"/>
    <mergeCell ref="L42:L45"/>
    <mergeCell ref="K46:K49"/>
    <mergeCell ref="L46:L49"/>
    <mergeCell ref="K50:K53"/>
    <mergeCell ref="L50:L53"/>
    <mergeCell ref="K78:K81"/>
    <mergeCell ref="L78:L81"/>
    <mergeCell ref="K82:K85"/>
    <mergeCell ref="L82:L85"/>
    <mergeCell ref="K86:K89"/>
    <mergeCell ref="L86:L89"/>
    <mergeCell ref="K66:K69"/>
    <mergeCell ref="L66:L69"/>
    <mergeCell ref="K70:K73"/>
    <mergeCell ref="L70:L73"/>
    <mergeCell ref="K74:K77"/>
    <mergeCell ref="L74:L77"/>
    <mergeCell ref="K102:K105"/>
    <mergeCell ref="L102:L105"/>
    <mergeCell ref="K106:K109"/>
    <mergeCell ref="L106:L109"/>
    <mergeCell ref="K110:K113"/>
    <mergeCell ref="L110:L113"/>
    <mergeCell ref="K90:K93"/>
    <mergeCell ref="L90:L93"/>
    <mergeCell ref="K94:K97"/>
    <mergeCell ref="L94:L97"/>
    <mergeCell ref="K98:K101"/>
    <mergeCell ref="L98:L101"/>
    <mergeCell ref="K126:K129"/>
    <mergeCell ref="L126:L129"/>
    <mergeCell ref="K130:K133"/>
    <mergeCell ref="L130:L133"/>
    <mergeCell ref="K134:K137"/>
    <mergeCell ref="L134:L137"/>
    <mergeCell ref="K114:K117"/>
    <mergeCell ref="L114:L117"/>
    <mergeCell ref="K118:K121"/>
    <mergeCell ref="L118:L121"/>
    <mergeCell ref="K122:K125"/>
    <mergeCell ref="L122:L125"/>
    <mergeCell ref="K150:K153"/>
    <mergeCell ref="L150:L153"/>
    <mergeCell ref="K154:K157"/>
    <mergeCell ref="L154:L157"/>
    <mergeCell ref="K158:K161"/>
    <mergeCell ref="L158:L161"/>
    <mergeCell ref="K138:K141"/>
    <mergeCell ref="L138:L141"/>
    <mergeCell ref="K142:K145"/>
    <mergeCell ref="L142:L145"/>
    <mergeCell ref="K146:K149"/>
    <mergeCell ref="L146:L149"/>
    <mergeCell ref="K174:K177"/>
    <mergeCell ref="L174:L177"/>
    <mergeCell ref="K178:K181"/>
    <mergeCell ref="L178:L181"/>
    <mergeCell ref="K182:K185"/>
    <mergeCell ref="L182:L185"/>
    <mergeCell ref="K162:K165"/>
    <mergeCell ref="L162:L165"/>
    <mergeCell ref="K166:K169"/>
    <mergeCell ref="L166:L169"/>
    <mergeCell ref="K170:K173"/>
    <mergeCell ref="L170:L173"/>
    <mergeCell ref="K198:K201"/>
    <mergeCell ref="L198:L201"/>
    <mergeCell ref="K202:K205"/>
    <mergeCell ref="L202:L205"/>
    <mergeCell ref="K206:K209"/>
    <mergeCell ref="L206:L209"/>
    <mergeCell ref="K186:K189"/>
    <mergeCell ref="L186:L189"/>
    <mergeCell ref="K190:K193"/>
    <mergeCell ref="L190:L193"/>
    <mergeCell ref="K194:K197"/>
    <mergeCell ref="L194:L197"/>
    <mergeCell ref="K222:K225"/>
    <mergeCell ref="L222:L225"/>
    <mergeCell ref="K226:K229"/>
    <mergeCell ref="L226:L229"/>
    <mergeCell ref="K230:K233"/>
    <mergeCell ref="L230:L233"/>
    <mergeCell ref="K210:K213"/>
    <mergeCell ref="L210:L213"/>
    <mergeCell ref="K214:K217"/>
    <mergeCell ref="L214:L217"/>
    <mergeCell ref="K218:K221"/>
    <mergeCell ref="L218:L221"/>
    <mergeCell ref="K248:K251"/>
    <mergeCell ref="L248:L251"/>
    <mergeCell ref="K252:K255"/>
    <mergeCell ref="L252:L255"/>
    <mergeCell ref="K256:K259"/>
    <mergeCell ref="L256:L259"/>
    <mergeCell ref="K234:K237"/>
    <mergeCell ref="L234:L237"/>
    <mergeCell ref="K240:K243"/>
    <mergeCell ref="L240:L243"/>
    <mergeCell ref="K244:K247"/>
    <mergeCell ref="L244:L247"/>
    <mergeCell ref="K272:K275"/>
    <mergeCell ref="L272:L275"/>
    <mergeCell ref="K276:K279"/>
    <mergeCell ref="L276:L279"/>
    <mergeCell ref="K280:K283"/>
    <mergeCell ref="L280:L283"/>
    <mergeCell ref="K260:K263"/>
    <mergeCell ref="L260:L263"/>
    <mergeCell ref="K264:K267"/>
    <mergeCell ref="L264:L267"/>
    <mergeCell ref="K268:K271"/>
    <mergeCell ref="L268:L271"/>
    <mergeCell ref="K296:K299"/>
    <mergeCell ref="L296:L299"/>
    <mergeCell ref="K300:K303"/>
    <mergeCell ref="L300:L303"/>
    <mergeCell ref="K304:K307"/>
    <mergeCell ref="L304:L307"/>
    <mergeCell ref="K284:K287"/>
    <mergeCell ref="L284:L287"/>
    <mergeCell ref="K288:K291"/>
    <mergeCell ref="L288:L291"/>
    <mergeCell ref="K292:K295"/>
    <mergeCell ref="L292:L295"/>
    <mergeCell ref="K320:K323"/>
    <mergeCell ref="L320:L323"/>
    <mergeCell ref="K324:K327"/>
    <mergeCell ref="L324:L327"/>
    <mergeCell ref="K328:K331"/>
    <mergeCell ref="L328:L331"/>
    <mergeCell ref="K308:K311"/>
    <mergeCell ref="L308:L311"/>
    <mergeCell ref="K312:K315"/>
    <mergeCell ref="L312:L315"/>
    <mergeCell ref="K316:K319"/>
    <mergeCell ref="L316:L319"/>
    <mergeCell ref="K344:K347"/>
    <mergeCell ref="L344:L347"/>
    <mergeCell ref="K348:K351"/>
    <mergeCell ref="L348:L351"/>
    <mergeCell ref="K352:K355"/>
    <mergeCell ref="L352:L355"/>
    <mergeCell ref="K332:K335"/>
    <mergeCell ref="L332:L335"/>
    <mergeCell ref="K336:K339"/>
    <mergeCell ref="L336:L339"/>
    <mergeCell ref="K340:K343"/>
    <mergeCell ref="L340:L343"/>
    <mergeCell ref="K368:K371"/>
    <mergeCell ref="L368:L371"/>
    <mergeCell ref="K372:K375"/>
    <mergeCell ref="L372:L375"/>
    <mergeCell ref="K376:K379"/>
    <mergeCell ref="L376:L379"/>
    <mergeCell ref="K356:K359"/>
    <mergeCell ref="L356:L359"/>
    <mergeCell ref="K360:K363"/>
    <mergeCell ref="L360:L363"/>
    <mergeCell ref="K364:K367"/>
    <mergeCell ref="L364:L367"/>
    <mergeCell ref="K393:K396"/>
    <mergeCell ref="L393:L396"/>
    <mergeCell ref="K397:K400"/>
    <mergeCell ref="L397:L400"/>
    <mergeCell ref="K401:K404"/>
    <mergeCell ref="L401:L404"/>
    <mergeCell ref="K380:K383"/>
    <mergeCell ref="L380:L383"/>
    <mergeCell ref="K385:K388"/>
    <mergeCell ref="L385:L388"/>
    <mergeCell ref="K389:K392"/>
    <mergeCell ref="L389:L392"/>
    <mergeCell ref="K417:K420"/>
    <mergeCell ref="L417:L420"/>
    <mergeCell ref="K421:K424"/>
    <mergeCell ref="L421:L424"/>
    <mergeCell ref="K425:K428"/>
    <mergeCell ref="L425:L428"/>
    <mergeCell ref="K405:K408"/>
    <mergeCell ref="L405:L408"/>
    <mergeCell ref="K409:K412"/>
    <mergeCell ref="L409:L412"/>
    <mergeCell ref="K413:K416"/>
    <mergeCell ref="L413:L416"/>
    <mergeCell ref="K441:K444"/>
    <mergeCell ref="L441:L444"/>
    <mergeCell ref="K445:K448"/>
    <mergeCell ref="L445:L448"/>
    <mergeCell ref="K449:K452"/>
    <mergeCell ref="L449:L452"/>
    <mergeCell ref="K429:K432"/>
    <mergeCell ref="L429:L432"/>
    <mergeCell ref="K433:K436"/>
    <mergeCell ref="L433:L436"/>
    <mergeCell ref="K437:K440"/>
    <mergeCell ref="L437:L440"/>
    <mergeCell ref="K465:K468"/>
    <mergeCell ref="L465:L468"/>
    <mergeCell ref="K469:K472"/>
    <mergeCell ref="L469:L472"/>
    <mergeCell ref="K473:K476"/>
    <mergeCell ref="L473:L476"/>
    <mergeCell ref="K453:K456"/>
    <mergeCell ref="L453:L456"/>
    <mergeCell ref="K457:K460"/>
    <mergeCell ref="L457:L460"/>
    <mergeCell ref="K461:K464"/>
    <mergeCell ref="L461:L464"/>
    <mergeCell ref="K489:K492"/>
    <mergeCell ref="L489:L492"/>
    <mergeCell ref="K493:K496"/>
    <mergeCell ref="L493:L496"/>
    <mergeCell ref="K497:K500"/>
    <mergeCell ref="L497:L500"/>
    <mergeCell ref="K477:K480"/>
    <mergeCell ref="L477:L480"/>
    <mergeCell ref="K481:K484"/>
    <mergeCell ref="L481:L484"/>
    <mergeCell ref="K485:K488"/>
    <mergeCell ref="L485:L488"/>
    <mergeCell ref="K513:K516"/>
    <mergeCell ref="L513:L516"/>
    <mergeCell ref="K517:K520"/>
    <mergeCell ref="L517:L520"/>
    <mergeCell ref="K521:K524"/>
    <mergeCell ref="L521:L524"/>
    <mergeCell ref="K501:K504"/>
    <mergeCell ref="L501:L504"/>
    <mergeCell ref="K505:K508"/>
    <mergeCell ref="L505:L508"/>
    <mergeCell ref="K509:K512"/>
    <mergeCell ref="L509:L512"/>
    <mergeCell ref="K538:K541"/>
    <mergeCell ref="L538:L541"/>
    <mergeCell ref="K542:K545"/>
    <mergeCell ref="L542:L545"/>
    <mergeCell ref="K546:K549"/>
    <mergeCell ref="L546:L549"/>
    <mergeCell ref="K526:K529"/>
    <mergeCell ref="L526:L529"/>
    <mergeCell ref="K530:K533"/>
    <mergeCell ref="L530:L533"/>
    <mergeCell ref="K534:K537"/>
    <mergeCell ref="L534:L537"/>
    <mergeCell ref="K562:K565"/>
    <mergeCell ref="L562:L565"/>
    <mergeCell ref="K566:K569"/>
    <mergeCell ref="L566:L569"/>
    <mergeCell ref="K571:K574"/>
    <mergeCell ref="L571:L574"/>
    <mergeCell ref="K550:K553"/>
    <mergeCell ref="L550:L553"/>
    <mergeCell ref="K554:K557"/>
    <mergeCell ref="L554:L557"/>
    <mergeCell ref="K558:K561"/>
    <mergeCell ref="L558:L561"/>
    <mergeCell ref="K587:K590"/>
    <mergeCell ref="L587:L590"/>
    <mergeCell ref="K591:K594"/>
    <mergeCell ref="L591:L594"/>
    <mergeCell ref="K595:K598"/>
    <mergeCell ref="L595:L598"/>
    <mergeCell ref="K575:K578"/>
    <mergeCell ref="L575:L578"/>
    <mergeCell ref="K579:K582"/>
    <mergeCell ref="L579:L582"/>
    <mergeCell ref="K583:K586"/>
    <mergeCell ref="L583:L586"/>
    <mergeCell ref="K611:K614"/>
    <mergeCell ref="L611:L614"/>
    <mergeCell ref="K615:K618"/>
    <mergeCell ref="L615:L618"/>
    <mergeCell ref="K619:K622"/>
    <mergeCell ref="L619:L622"/>
    <mergeCell ref="K599:K602"/>
    <mergeCell ref="L599:L602"/>
    <mergeCell ref="K603:K606"/>
    <mergeCell ref="L603:L606"/>
    <mergeCell ref="K607:K610"/>
    <mergeCell ref="L607:L610"/>
    <mergeCell ref="K636:K639"/>
    <mergeCell ref="L636:L639"/>
    <mergeCell ref="K641:K644"/>
    <mergeCell ref="L641:L644"/>
    <mergeCell ref="K645:K648"/>
    <mergeCell ref="L645:L648"/>
    <mergeCell ref="K624:K627"/>
    <mergeCell ref="L624:L627"/>
    <mergeCell ref="K628:K631"/>
    <mergeCell ref="L628:L631"/>
    <mergeCell ref="K632:K635"/>
    <mergeCell ref="L632:L635"/>
    <mergeCell ref="K661:K664"/>
    <mergeCell ref="L661:L664"/>
    <mergeCell ref="K665:K668"/>
    <mergeCell ref="L665:L668"/>
    <mergeCell ref="K670:K673"/>
    <mergeCell ref="L670:L673"/>
    <mergeCell ref="K649:K652"/>
    <mergeCell ref="L649:L652"/>
    <mergeCell ref="K653:K656"/>
    <mergeCell ref="L653:L656"/>
    <mergeCell ref="K657:K660"/>
    <mergeCell ref="L657:L660"/>
    <mergeCell ref="K686:K689"/>
    <mergeCell ref="L686:L689"/>
    <mergeCell ref="K691:K694"/>
    <mergeCell ref="L691:L694"/>
    <mergeCell ref="K697:K700"/>
    <mergeCell ref="L697:L700"/>
    <mergeCell ref="K674:K677"/>
    <mergeCell ref="L674:L677"/>
    <mergeCell ref="K678:K681"/>
    <mergeCell ref="L678:L681"/>
    <mergeCell ref="K682:K685"/>
    <mergeCell ref="L682:L685"/>
    <mergeCell ref="K713:K716"/>
    <mergeCell ref="L713:L716"/>
    <mergeCell ref="K717:K720"/>
    <mergeCell ref="L717:L720"/>
    <mergeCell ref="K721:K724"/>
    <mergeCell ref="L721:L724"/>
    <mergeCell ref="K701:K704"/>
    <mergeCell ref="L701:L704"/>
    <mergeCell ref="K705:K708"/>
    <mergeCell ref="L705:L708"/>
    <mergeCell ref="K709:K712"/>
    <mergeCell ref="L709:L712"/>
    <mergeCell ref="K737:K740"/>
    <mergeCell ref="L737:L740"/>
    <mergeCell ref="K741:K744"/>
    <mergeCell ref="L741:L744"/>
    <mergeCell ref="K747:K750"/>
    <mergeCell ref="L747:L750"/>
    <mergeCell ref="K725:K728"/>
    <mergeCell ref="L725:L728"/>
    <mergeCell ref="K729:K732"/>
    <mergeCell ref="L729:L732"/>
    <mergeCell ref="K733:K736"/>
    <mergeCell ref="L733:L736"/>
    <mergeCell ref="K763:K766"/>
    <mergeCell ref="L763:L766"/>
    <mergeCell ref="K767:K770"/>
    <mergeCell ref="L767:L770"/>
    <mergeCell ref="K771:K774"/>
    <mergeCell ref="L771:L774"/>
    <mergeCell ref="K751:K754"/>
    <mergeCell ref="L751:L754"/>
    <mergeCell ref="K755:K758"/>
    <mergeCell ref="L755:L758"/>
    <mergeCell ref="K759:K762"/>
    <mergeCell ref="L759:L762"/>
    <mergeCell ref="K787:K790"/>
    <mergeCell ref="L787:L790"/>
    <mergeCell ref="K791:K794"/>
    <mergeCell ref="L791:L794"/>
    <mergeCell ref="K795:K798"/>
    <mergeCell ref="L795:L798"/>
    <mergeCell ref="K775:K778"/>
    <mergeCell ref="L775:L778"/>
    <mergeCell ref="K779:K782"/>
    <mergeCell ref="L779:L782"/>
    <mergeCell ref="K783:K786"/>
    <mergeCell ref="L783:L786"/>
    <mergeCell ref="K811:K814"/>
    <mergeCell ref="L811:L814"/>
    <mergeCell ref="K815:K818"/>
    <mergeCell ref="L815:L818"/>
    <mergeCell ref="K819:K822"/>
    <mergeCell ref="L819:L822"/>
    <mergeCell ref="K799:K802"/>
    <mergeCell ref="L799:L802"/>
    <mergeCell ref="K803:K806"/>
    <mergeCell ref="L803:L806"/>
    <mergeCell ref="K807:K810"/>
    <mergeCell ref="L807:L810"/>
    <mergeCell ref="K835:K838"/>
    <mergeCell ref="L835:L838"/>
    <mergeCell ref="K839:K842"/>
    <mergeCell ref="L839:L842"/>
    <mergeCell ref="K843:K846"/>
    <mergeCell ref="L843:L846"/>
    <mergeCell ref="K823:K826"/>
    <mergeCell ref="L823:L826"/>
    <mergeCell ref="K827:K830"/>
    <mergeCell ref="L827:L830"/>
    <mergeCell ref="K831:K834"/>
    <mergeCell ref="L831:L834"/>
    <mergeCell ref="K859:K862"/>
    <mergeCell ref="L859:L862"/>
    <mergeCell ref="K863:K866"/>
    <mergeCell ref="L863:L866"/>
    <mergeCell ref="K867:K870"/>
    <mergeCell ref="L867:L870"/>
    <mergeCell ref="K847:K850"/>
    <mergeCell ref="L847:L850"/>
    <mergeCell ref="K851:K854"/>
    <mergeCell ref="L851:L854"/>
    <mergeCell ref="K855:K858"/>
    <mergeCell ref="L855:L858"/>
    <mergeCell ref="K883:K886"/>
    <mergeCell ref="L883:L886"/>
    <mergeCell ref="K887:K890"/>
    <mergeCell ref="L887:L890"/>
    <mergeCell ref="K891:K894"/>
    <mergeCell ref="L891:L894"/>
    <mergeCell ref="K871:K874"/>
    <mergeCell ref="L871:L874"/>
    <mergeCell ref="K875:K878"/>
    <mergeCell ref="L875:L878"/>
    <mergeCell ref="K879:K882"/>
    <mergeCell ref="L879:L882"/>
    <mergeCell ref="K907:K910"/>
    <mergeCell ref="L907:L910"/>
    <mergeCell ref="C1155:E1155"/>
    <mergeCell ref="C1156:E1156"/>
    <mergeCell ref="C1157:E1157"/>
    <mergeCell ref="K895:K898"/>
    <mergeCell ref="L895:L898"/>
    <mergeCell ref="K899:K902"/>
    <mergeCell ref="L899:L902"/>
    <mergeCell ref="K903:K906"/>
    <mergeCell ref="L903:L906"/>
  </mergeCells>
  <printOptions horizontalCentered="1"/>
  <pageMargins left="0.23622047244094499" right="0.15748031496063" top="0.25" bottom="0.34" header="0.22" footer="0.23622047244094499"/>
  <pageSetup paperSize="9" orientation="landscape" errors="blank" r:id="rId1"/>
  <headerFooter alignWithMargins="0"/>
</worksheet>
</file>

<file path=xl/worksheets/sheet38.xml><?xml version="1.0" encoding="utf-8"?>
<worksheet xmlns="http://schemas.openxmlformats.org/spreadsheetml/2006/main" xmlns:r="http://schemas.openxmlformats.org/officeDocument/2006/relationships">
  <sheetPr filterMode="1">
    <tabColor rgb="FF00B050"/>
  </sheetPr>
  <dimension ref="A1:K1239"/>
  <sheetViews>
    <sheetView showZeros="0" view="pageBreakPreview" topLeftCell="A112" zoomScale="115" zoomScaleSheetLayoutView="115" workbookViewId="0">
      <selection activeCell="D1041" sqref="D1041"/>
    </sheetView>
  </sheetViews>
  <sheetFormatPr defaultColWidth="9.140625" defaultRowHeight="12.75"/>
  <cols>
    <col min="1" max="1" width="5.140625" style="17" customWidth="1"/>
    <col min="2" max="2" width="42.42578125" style="17" customWidth="1"/>
    <col min="3" max="3" width="8.140625" style="33" customWidth="1"/>
    <col min="4" max="4" width="4.7109375" style="34" customWidth="1"/>
    <col min="5" max="5" width="9.42578125" style="17" bestFit="1" customWidth="1"/>
    <col min="6" max="6" width="10.42578125" style="17" customWidth="1"/>
    <col min="7" max="9" width="11" style="35" customWidth="1"/>
    <col min="10" max="10" width="12.5703125" style="17" customWidth="1"/>
    <col min="11" max="16384" width="9.140625" style="17"/>
  </cols>
  <sheetData>
    <row r="1" spans="1:11" ht="15.75" customHeight="1">
      <c r="A1" s="1598" t="s">
        <v>974</v>
      </c>
      <c r="B1" s="1712"/>
      <c r="C1" s="1712"/>
      <c r="D1" s="1712"/>
      <c r="E1" s="1712"/>
      <c r="F1" s="1712"/>
      <c r="G1" s="1712"/>
      <c r="H1" s="1713"/>
      <c r="I1" s="1713"/>
      <c r="J1" s="1713"/>
    </row>
    <row r="2" spans="1:11" s="18" customFormat="1" ht="36.75" customHeight="1">
      <c r="A2" s="1597" t="str">
        <f>'lead 19-20'!B2&amp;'lead 19-20'!C2</f>
        <v>Name of the Work: Providing Additional Space for Health Staff in Grama Sachivalayam of Baduguleru GP of Kanigiri Mandal</v>
      </c>
      <c r="B2" s="1597"/>
      <c r="C2" s="1597"/>
      <c r="D2" s="1597"/>
      <c r="E2" s="1597"/>
      <c r="F2" s="1597"/>
      <c r="G2" s="1597"/>
      <c r="H2" s="1597"/>
      <c r="I2" s="1597"/>
      <c r="J2" s="1597"/>
    </row>
    <row r="3" spans="1:11" s="18" customFormat="1" ht="15">
      <c r="A3" s="19"/>
      <c r="B3" s="20"/>
      <c r="C3" s="21"/>
      <c r="D3" s="22"/>
      <c r="E3" s="36"/>
      <c r="F3" s="20" t="s">
        <v>452</v>
      </c>
      <c r="G3" s="1714" t="str">
        <f>'lead 19-20'!K4</f>
        <v>20.80 Lakhs</v>
      </c>
      <c r="H3" s="1715"/>
      <c r="I3" s="1715"/>
      <c r="J3" s="1715"/>
    </row>
    <row r="4" spans="1:11" s="18" customFormat="1" ht="15.75" customHeight="1">
      <c r="A4" s="618"/>
      <c r="B4" s="618"/>
      <c r="C4" s="1711" t="s">
        <v>456</v>
      </c>
      <c r="D4" s="1711"/>
      <c r="E4" s="618" t="s">
        <v>457</v>
      </c>
      <c r="F4" s="618" t="s">
        <v>10</v>
      </c>
      <c r="G4" s="230" t="s">
        <v>456</v>
      </c>
      <c r="H4" s="618" t="s">
        <v>10</v>
      </c>
      <c r="I4" s="230" t="s">
        <v>456</v>
      </c>
      <c r="J4" s="618" t="s">
        <v>10</v>
      </c>
    </row>
    <row r="5" spans="1:11" s="18" customFormat="1" ht="16.5" customHeight="1">
      <c r="A5" s="618" t="s">
        <v>460</v>
      </c>
      <c r="B5" s="618" t="s">
        <v>461</v>
      </c>
      <c r="C5" s="1711" t="s">
        <v>462</v>
      </c>
      <c r="D5" s="1711"/>
      <c r="E5" s="618" t="s">
        <v>463</v>
      </c>
      <c r="F5" s="618" t="s">
        <v>464</v>
      </c>
      <c r="G5" s="618" t="s">
        <v>465</v>
      </c>
      <c r="H5" s="618" t="s">
        <v>466</v>
      </c>
      <c r="I5" s="618" t="s">
        <v>467</v>
      </c>
      <c r="J5" s="618" t="s">
        <v>468</v>
      </c>
    </row>
    <row r="6" spans="1:11" s="18" customFormat="1" ht="16.5" customHeight="1">
      <c r="A6" s="618"/>
      <c r="B6" s="618" t="s">
        <v>2425</v>
      </c>
      <c r="C6" s="761"/>
      <c r="D6" s="762"/>
      <c r="E6" s="618"/>
      <c r="F6" s="765" t="s">
        <v>3338</v>
      </c>
      <c r="G6" s="618"/>
      <c r="H6" s="618"/>
      <c r="I6" s="618"/>
      <c r="J6" s="618"/>
    </row>
    <row r="7" spans="1:11" s="360" customFormat="1" ht="20.25" hidden="1" customHeight="1">
      <c r="A7" s="356"/>
      <c r="B7" s="431" t="s">
        <v>470</v>
      </c>
      <c r="C7" s="358"/>
      <c r="D7" s="361"/>
      <c r="E7" s="362"/>
      <c r="F7" s="359"/>
      <c r="G7" s="368"/>
      <c r="H7" s="368"/>
      <c r="I7" s="368"/>
      <c r="J7" s="356" t="s">
        <v>15</v>
      </c>
      <c r="K7" s="360" t="s">
        <v>2217</v>
      </c>
    </row>
    <row r="8" spans="1:11" s="360" customFormat="1" ht="20.25" hidden="1" customHeight="1">
      <c r="A8" s="356" t="s">
        <v>460</v>
      </c>
      <c r="B8" s="357" t="s">
        <v>537</v>
      </c>
      <c r="C8" s="358">
        <f>'PART-A'!I14</f>
        <v>0</v>
      </c>
      <c r="D8" s="354" t="s">
        <v>102</v>
      </c>
      <c r="E8" s="355">
        <f>'PART-A'!K14</f>
        <v>5.22</v>
      </c>
      <c r="F8" s="353">
        <f t="shared" ref="F8:F108" si="0">ROUND(C8*E8,0)</f>
        <v>0</v>
      </c>
      <c r="G8" s="353"/>
      <c r="H8" s="353"/>
      <c r="I8" s="368">
        <f t="shared" ref="I8:I15" si="1">C8-G8</f>
        <v>0</v>
      </c>
      <c r="J8" s="368">
        <f t="shared" ref="J8:J15" si="2">F8-H8</f>
        <v>0</v>
      </c>
      <c r="K8" s="360" t="s">
        <v>2217</v>
      </c>
    </row>
    <row r="9" spans="1:11" s="360" customFormat="1" ht="20.25" hidden="1" customHeight="1">
      <c r="A9" s="356" t="s">
        <v>460</v>
      </c>
      <c r="B9" s="357" t="s">
        <v>537</v>
      </c>
      <c r="C9" s="358">
        <f>'PART-A'!I20</f>
        <v>0</v>
      </c>
      <c r="D9" s="354" t="s">
        <v>102</v>
      </c>
      <c r="E9" s="355">
        <f>'PART-A'!K20</f>
        <v>5.86</v>
      </c>
      <c r="F9" s="353">
        <f>ROUND(C9*E9,0)</f>
        <v>0</v>
      </c>
      <c r="G9" s="353"/>
      <c r="H9" s="353"/>
      <c r="I9" s="368">
        <f t="shared" si="1"/>
        <v>0</v>
      </c>
      <c r="J9" s="368">
        <f t="shared" si="2"/>
        <v>0</v>
      </c>
      <c r="K9" s="360" t="s">
        <v>2299</v>
      </c>
    </row>
    <row r="10" spans="1:11" s="360" customFormat="1" ht="20.25" hidden="1" customHeight="1">
      <c r="A10" s="356" t="s">
        <v>460</v>
      </c>
      <c r="B10" s="357" t="s">
        <v>537</v>
      </c>
      <c r="C10" s="358">
        <f>'PART-A'!I26</f>
        <v>0</v>
      </c>
      <c r="D10" s="354" t="s">
        <v>102</v>
      </c>
      <c r="E10" s="355">
        <f>'PART-A'!K26</f>
        <v>6.06</v>
      </c>
      <c r="F10" s="353">
        <f t="shared" ref="F10:F11" si="3">ROUND(C10*E10,0)</f>
        <v>0</v>
      </c>
      <c r="G10" s="353"/>
      <c r="H10" s="353"/>
      <c r="I10" s="368">
        <f t="shared" si="1"/>
        <v>0</v>
      </c>
      <c r="J10" s="368">
        <f t="shared" si="2"/>
        <v>0</v>
      </c>
      <c r="K10" s="360" t="s">
        <v>2312</v>
      </c>
    </row>
    <row r="11" spans="1:11" s="360" customFormat="1" ht="0.75" hidden="1" customHeight="1">
      <c r="A11" s="356" t="s">
        <v>460</v>
      </c>
      <c r="B11" s="357" t="s">
        <v>537</v>
      </c>
      <c r="C11" s="358">
        <f>'PART-A'!I32</f>
        <v>0</v>
      </c>
      <c r="D11" s="354" t="s">
        <v>102</v>
      </c>
      <c r="E11" s="355">
        <f>'PART-A'!K32</f>
        <v>6.06</v>
      </c>
      <c r="F11" s="353">
        <f t="shared" si="3"/>
        <v>0</v>
      </c>
      <c r="G11" s="353"/>
      <c r="H11" s="353"/>
      <c r="I11" s="368">
        <f t="shared" si="1"/>
        <v>0</v>
      </c>
      <c r="J11" s="368">
        <f t="shared" si="2"/>
        <v>0</v>
      </c>
      <c r="K11" s="360" t="s">
        <v>2313</v>
      </c>
    </row>
    <row r="12" spans="1:11" s="360" customFormat="1" ht="20.25" customHeight="1">
      <c r="A12" s="356" t="s">
        <v>460</v>
      </c>
      <c r="B12" s="357" t="s">
        <v>2101</v>
      </c>
      <c r="C12" s="358">
        <f>'PART-A'!I49</f>
        <v>71.969999999999985</v>
      </c>
      <c r="D12" s="354" t="s">
        <v>5</v>
      </c>
      <c r="E12" s="355">
        <f>'PART-A'!K49</f>
        <v>124.24</v>
      </c>
      <c r="F12" s="353">
        <f t="shared" si="0"/>
        <v>8942</v>
      </c>
      <c r="G12" s="353"/>
      <c r="H12" s="353"/>
      <c r="I12" s="368">
        <f t="shared" si="1"/>
        <v>71.969999999999985</v>
      </c>
      <c r="J12" s="368">
        <f t="shared" si="2"/>
        <v>8942</v>
      </c>
      <c r="K12" s="360" t="s">
        <v>2217</v>
      </c>
    </row>
    <row r="13" spans="1:11" s="360" customFormat="1" ht="20.25" hidden="1" customHeight="1">
      <c r="A13" s="356" t="s">
        <v>461</v>
      </c>
      <c r="B13" s="357" t="s">
        <v>2101</v>
      </c>
      <c r="C13" s="358">
        <f>'PART-A'!I56</f>
        <v>0</v>
      </c>
      <c r="D13" s="354" t="s">
        <v>5</v>
      </c>
      <c r="E13" s="355">
        <f>'PART-A'!K56</f>
        <v>139.55000000000001</v>
      </c>
      <c r="F13" s="353">
        <f>ROUND(C13*E13,0)</f>
        <v>0</v>
      </c>
      <c r="G13" s="353"/>
      <c r="H13" s="353"/>
      <c r="I13" s="368">
        <f t="shared" si="1"/>
        <v>0</v>
      </c>
      <c r="J13" s="368">
        <f t="shared" si="2"/>
        <v>0</v>
      </c>
      <c r="K13" s="360" t="s">
        <v>2299</v>
      </c>
    </row>
    <row r="14" spans="1:11" s="360" customFormat="1" ht="20.25" hidden="1" customHeight="1">
      <c r="A14" s="356" t="s">
        <v>462</v>
      </c>
      <c r="B14" s="357" t="s">
        <v>2101</v>
      </c>
      <c r="C14" s="358">
        <f>'PART-A'!I62</f>
        <v>0</v>
      </c>
      <c r="D14" s="354" t="s">
        <v>5</v>
      </c>
      <c r="E14" s="355">
        <f>'PART-A'!K62</f>
        <v>144.26</v>
      </c>
      <c r="F14" s="353">
        <f>ROUND(C14*E14,0)</f>
        <v>0</v>
      </c>
      <c r="G14" s="353"/>
      <c r="H14" s="353"/>
      <c r="I14" s="368">
        <f t="shared" si="1"/>
        <v>0</v>
      </c>
      <c r="J14" s="368">
        <f t="shared" si="2"/>
        <v>0</v>
      </c>
      <c r="K14" s="360" t="s">
        <v>2312</v>
      </c>
    </row>
    <row r="15" spans="1:11" s="360" customFormat="1" ht="20.25" hidden="1" customHeight="1">
      <c r="A15" s="356" t="s">
        <v>495</v>
      </c>
      <c r="B15" s="357" t="s">
        <v>2101</v>
      </c>
      <c r="C15" s="358">
        <f>'PART-A'!I72</f>
        <v>0</v>
      </c>
      <c r="D15" s="354" t="s">
        <v>5</v>
      </c>
      <c r="E15" s="355">
        <f>'PART-A'!K72</f>
        <v>144.26</v>
      </c>
      <c r="F15" s="353">
        <f>ROUND(C15*E15,0)</f>
        <v>0</v>
      </c>
      <c r="G15" s="353"/>
      <c r="H15" s="353"/>
      <c r="I15" s="368">
        <f t="shared" si="1"/>
        <v>0</v>
      </c>
      <c r="J15" s="368">
        <f t="shared" si="2"/>
        <v>0</v>
      </c>
      <c r="K15" s="360" t="s">
        <v>2313</v>
      </c>
    </row>
    <row r="16" spans="1:11" s="360" customFormat="1" ht="20.25" customHeight="1">
      <c r="A16" s="356" t="s">
        <v>461</v>
      </c>
      <c r="B16" s="357" t="s">
        <v>538</v>
      </c>
      <c r="C16" s="358">
        <f>'PART-A'!I108</f>
        <v>20.59</v>
      </c>
      <c r="D16" s="354" t="s">
        <v>5</v>
      </c>
      <c r="E16" s="355">
        <f>'PART-A'!K108</f>
        <v>3877.2799999999997</v>
      </c>
      <c r="F16" s="353">
        <f t="shared" si="0"/>
        <v>79833</v>
      </c>
      <c r="G16" s="353"/>
      <c r="H16" s="353"/>
      <c r="I16" s="368">
        <f t="shared" ref="I16:I56" si="4">C16-G16</f>
        <v>20.59</v>
      </c>
      <c r="J16" s="368">
        <f t="shared" ref="J16:J56" si="5">F16-H16</f>
        <v>79833</v>
      </c>
      <c r="K16" s="360" t="s">
        <v>2217</v>
      </c>
    </row>
    <row r="17" spans="1:11" s="360" customFormat="1" ht="20.25" hidden="1" customHeight="1">
      <c r="A17" s="356" t="s">
        <v>464</v>
      </c>
      <c r="B17" s="357" t="s">
        <v>538</v>
      </c>
      <c r="C17" s="358">
        <f>'PART-A'!I127</f>
        <v>0</v>
      </c>
      <c r="D17" s="354" t="s">
        <v>5</v>
      </c>
      <c r="E17" s="355">
        <f>'PART-A'!K127</f>
        <v>4067.8399999999997</v>
      </c>
      <c r="F17" s="353">
        <f>ROUND(C17*E17,0)</f>
        <v>0</v>
      </c>
      <c r="G17" s="353"/>
      <c r="H17" s="353"/>
      <c r="I17" s="368">
        <f>C17-G17</f>
        <v>0</v>
      </c>
      <c r="J17" s="368">
        <f>F17-H17</f>
        <v>0</v>
      </c>
      <c r="K17" s="360" t="s">
        <v>2299</v>
      </c>
    </row>
    <row r="18" spans="1:11" s="360" customFormat="1" ht="20.25" hidden="1" customHeight="1">
      <c r="A18" s="356" t="s">
        <v>465</v>
      </c>
      <c r="B18" s="357" t="s">
        <v>538</v>
      </c>
      <c r="C18" s="358">
        <f>'PART-A'!I133</f>
        <v>0</v>
      </c>
      <c r="D18" s="354" t="s">
        <v>5</v>
      </c>
      <c r="E18" s="355">
        <f>'PART-A'!K133</f>
        <v>4332.55</v>
      </c>
      <c r="F18" s="353">
        <f>ROUND(C18*E18,0)</f>
        <v>0</v>
      </c>
      <c r="G18" s="353"/>
      <c r="H18" s="353"/>
      <c r="I18" s="368">
        <f>C18-G18</f>
        <v>0</v>
      </c>
      <c r="J18" s="368">
        <f>F18-H18</f>
        <v>0</v>
      </c>
      <c r="K18" s="360" t="s">
        <v>2312</v>
      </c>
    </row>
    <row r="19" spans="1:11" s="360" customFormat="1" ht="20.25" hidden="1" customHeight="1">
      <c r="A19" s="356" t="s">
        <v>1515</v>
      </c>
      <c r="B19" s="357" t="s">
        <v>538</v>
      </c>
      <c r="C19" s="358">
        <f>'PART-A'!I146</f>
        <v>0</v>
      </c>
      <c r="D19" s="354" t="s">
        <v>5</v>
      </c>
      <c r="E19" s="355">
        <f>'PART-A'!K146</f>
        <v>4583.3100000000004</v>
      </c>
      <c r="F19" s="353">
        <f>ROUND(C19*E19,0)</f>
        <v>0</v>
      </c>
      <c r="G19" s="353"/>
      <c r="H19" s="353"/>
      <c r="I19" s="368">
        <f>C19-G19</f>
        <v>0</v>
      </c>
      <c r="J19" s="368">
        <f>F19-H19</f>
        <v>0</v>
      </c>
      <c r="K19" s="360" t="s">
        <v>2313</v>
      </c>
    </row>
    <row r="20" spans="1:11" s="360" customFormat="1" ht="20.25" hidden="1" customHeight="1">
      <c r="A20" s="356" t="s">
        <v>463</v>
      </c>
      <c r="B20" s="357" t="s">
        <v>539</v>
      </c>
      <c r="C20" s="358">
        <f>'PART-A'!I155</f>
        <v>0</v>
      </c>
      <c r="D20" s="354" t="s">
        <v>5</v>
      </c>
      <c r="E20" s="355">
        <f>'PART-A'!K155</f>
        <v>3725</v>
      </c>
      <c r="F20" s="353">
        <f t="shared" si="0"/>
        <v>0</v>
      </c>
      <c r="G20" s="368"/>
      <c r="H20" s="368"/>
      <c r="I20" s="368">
        <f t="shared" si="4"/>
        <v>0</v>
      </c>
      <c r="J20" s="368">
        <f t="shared" si="5"/>
        <v>0</v>
      </c>
      <c r="K20" s="360" t="s">
        <v>2217</v>
      </c>
    </row>
    <row r="21" spans="1:11" s="360" customFormat="1" ht="20.25" hidden="1" customHeight="1">
      <c r="A21" s="356" t="s">
        <v>463</v>
      </c>
      <c r="B21" s="357" t="s">
        <v>539</v>
      </c>
      <c r="C21" s="358">
        <f>'PART-A'!I164</f>
        <v>0</v>
      </c>
      <c r="D21" s="354" t="s">
        <v>5</v>
      </c>
      <c r="E21" s="355">
        <f>'PART-A'!K164</f>
        <v>3915.56</v>
      </c>
      <c r="F21" s="353">
        <f>ROUND(C21*E21,0)</f>
        <v>0</v>
      </c>
      <c r="G21" s="368"/>
      <c r="H21" s="368"/>
      <c r="I21" s="368">
        <f>C21-G21</f>
        <v>0</v>
      </c>
      <c r="J21" s="368">
        <f>F21-H21</f>
        <v>0</v>
      </c>
      <c r="K21" s="360" t="s">
        <v>2299</v>
      </c>
    </row>
    <row r="22" spans="1:11" s="360" customFormat="1" ht="20.25" hidden="1" customHeight="1">
      <c r="A22" s="356" t="s">
        <v>463</v>
      </c>
      <c r="B22" s="357" t="s">
        <v>539</v>
      </c>
      <c r="C22" s="358">
        <f>'PART-A'!I173</f>
        <v>0</v>
      </c>
      <c r="D22" s="354" t="s">
        <v>5</v>
      </c>
      <c r="E22" s="355">
        <f>'PART-A'!K173</f>
        <v>4180.2700000000004</v>
      </c>
      <c r="F22" s="353">
        <f>ROUND(C22*E22,0)</f>
        <v>0</v>
      </c>
      <c r="G22" s="368"/>
      <c r="H22" s="368"/>
      <c r="I22" s="368">
        <f>C22-G22</f>
        <v>0</v>
      </c>
      <c r="J22" s="368">
        <f>F22-H22</f>
        <v>0</v>
      </c>
      <c r="K22" s="360" t="s">
        <v>2312</v>
      </c>
    </row>
    <row r="23" spans="1:11" s="360" customFormat="1" ht="20.25" hidden="1" customHeight="1">
      <c r="A23" s="356" t="s">
        <v>463</v>
      </c>
      <c r="B23" s="357" t="s">
        <v>539</v>
      </c>
      <c r="C23" s="358">
        <f>'PART-A'!I182</f>
        <v>0</v>
      </c>
      <c r="D23" s="354" t="s">
        <v>5</v>
      </c>
      <c r="E23" s="355">
        <f>'PART-A'!K182</f>
        <v>4431.03</v>
      </c>
      <c r="F23" s="353">
        <f>ROUND(C23*E23,0)</f>
        <v>0</v>
      </c>
      <c r="G23" s="368"/>
      <c r="H23" s="368"/>
      <c r="I23" s="368">
        <f>C23-G23</f>
        <v>0</v>
      </c>
      <c r="J23" s="368">
        <f>F23-H23</f>
        <v>0</v>
      </c>
      <c r="K23" s="360" t="s">
        <v>2313</v>
      </c>
    </row>
    <row r="24" spans="1:11" s="360" customFormat="1" ht="20.25" customHeight="1">
      <c r="A24" s="356" t="s">
        <v>462</v>
      </c>
      <c r="B24" s="357" t="s">
        <v>1431</v>
      </c>
      <c r="C24" s="358">
        <f>'PART-A'!I189</f>
        <v>17.93</v>
      </c>
      <c r="D24" s="354" t="s">
        <v>5</v>
      </c>
      <c r="E24" s="355">
        <f>'PART-A'!K189</f>
        <v>183</v>
      </c>
      <c r="F24" s="353">
        <f t="shared" si="0"/>
        <v>3281</v>
      </c>
      <c r="G24" s="353"/>
      <c r="H24" s="353"/>
      <c r="I24" s="368">
        <f t="shared" si="4"/>
        <v>17.93</v>
      </c>
      <c r="J24" s="368">
        <f t="shared" si="5"/>
        <v>3281</v>
      </c>
      <c r="K24" s="360" t="s">
        <v>2217</v>
      </c>
    </row>
    <row r="25" spans="1:11" s="360" customFormat="1" ht="20.25" hidden="1" customHeight="1">
      <c r="A25" s="356" t="s">
        <v>466</v>
      </c>
      <c r="B25" s="357" t="s">
        <v>1431</v>
      </c>
      <c r="C25" s="358">
        <f>'PART-A'!I195</f>
        <v>0</v>
      </c>
      <c r="D25" s="354" t="s">
        <v>5</v>
      </c>
      <c r="E25" s="355">
        <f>'PART-A'!K195</f>
        <v>205.87</v>
      </c>
      <c r="F25" s="353">
        <f>ROUND(C25*E25,0)</f>
        <v>0</v>
      </c>
      <c r="G25" s="353"/>
      <c r="H25" s="353"/>
      <c r="I25" s="368">
        <f>C25-G25</f>
        <v>0</v>
      </c>
      <c r="J25" s="368">
        <f>F25-H25</f>
        <v>0</v>
      </c>
      <c r="K25" s="360" t="s">
        <v>2299</v>
      </c>
    </row>
    <row r="26" spans="1:11" s="360" customFormat="1" ht="20.25" hidden="1" customHeight="1">
      <c r="A26" s="356" t="s">
        <v>462</v>
      </c>
      <c r="B26" s="357" t="s">
        <v>1431</v>
      </c>
      <c r="C26" s="358">
        <f>'PART-A'!I201</f>
        <v>0</v>
      </c>
      <c r="D26" s="354" t="s">
        <v>5</v>
      </c>
      <c r="E26" s="355">
        <f>'PART-A'!K201</f>
        <v>199.97</v>
      </c>
      <c r="F26" s="353">
        <f>ROUND(C26*E26,0)</f>
        <v>0</v>
      </c>
      <c r="G26" s="353"/>
      <c r="H26" s="353"/>
      <c r="I26" s="368">
        <f>C26-G26</f>
        <v>0</v>
      </c>
      <c r="J26" s="368">
        <f>F26-H26</f>
        <v>0</v>
      </c>
      <c r="K26" s="360" t="s">
        <v>2312</v>
      </c>
    </row>
    <row r="27" spans="1:11" s="360" customFormat="1" ht="20.25" hidden="1" customHeight="1">
      <c r="A27" s="356" t="s">
        <v>462</v>
      </c>
      <c r="B27" s="357" t="s">
        <v>1431</v>
      </c>
      <c r="C27" s="358">
        <f>'PART-A'!I207</f>
        <v>0</v>
      </c>
      <c r="D27" s="354" t="s">
        <v>5</v>
      </c>
      <c r="E27" s="355">
        <f>'PART-A'!K207</f>
        <v>216.13</v>
      </c>
      <c r="F27" s="353">
        <f>ROUND(C27*E27,0)</f>
        <v>0</v>
      </c>
      <c r="G27" s="353"/>
      <c r="H27" s="353"/>
      <c r="I27" s="368">
        <f>C27-G27</f>
        <v>0</v>
      </c>
      <c r="J27" s="368">
        <f>F27-H27</f>
        <v>0</v>
      </c>
      <c r="K27" s="360" t="s">
        <v>2313</v>
      </c>
    </row>
    <row r="28" spans="1:11" s="360" customFormat="1" ht="20.25" hidden="1" customHeight="1">
      <c r="A28" s="356" t="s">
        <v>464</v>
      </c>
      <c r="B28" s="357" t="s">
        <v>716</v>
      </c>
      <c r="C28" s="358">
        <f>'PART-A'!I213</f>
        <v>0</v>
      </c>
      <c r="D28" s="354" t="s">
        <v>5</v>
      </c>
      <c r="E28" s="355">
        <f>'PART-A'!K213</f>
        <v>210</v>
      </c>
      <c r="F28" s="353">
        <f t="shared" si="0"/>
        <v>0</v>
      </c>
      <c r="G28" s="368"/>
      <c r="H28" s="368"/>
      <c r="I28" s="368">
        <f t="shared" si="4"/>
        <v>0</v>
      </c>
      <c r="J28" s="368">
        <f t="shared" si="5"/>
        <v>0</v>
      </c>
      <c r="K28" s="360" t="s">
        <v>2217</v>
      </c>
    </row>
    <row r="29" spans="1:11" s="360" customFormat="1" ht="20.25" hidden="1" customHeight="1">
      <c r="A29" s="356" t="s">
        <v>464</v>
      </c>
      <c r="B29" s="357" t="s">
        <v>716</v>
      </c>
      <c r="C29" s="358">
        <f>'PART-A'!I219</f>
        <v>0</v>
      </c>
      <c r="D29" s="354" t="s">
        <v>5</v>
      </c>
      <c r="E29" s="355">
        <f>'PART-A'!K219</f>
        <v>234.87</v>
      </c>
      <c r="F29" s="353">
        <f>ROUND(C29*E29,0)</f>
        <v>0</v>
      </c>
      <c r="G29" s="368"/>
      <c r="H29" s="368"/>
      <c r="I29" s="368">
        <f>C29-G29</f>
        <v>0</v>
      </c>
      <c r="J29" s="368">
        <f>F29-H29</f>
        <v>0</v>
      </c>
      <c r="K29" s="360" t="s">
        <v>2299</v>
      </c>
    </row>
    <row r="30" spans="1:11" s="360" customFormat="1" ht="20.25" hidden="1" customHeight="1">
      <c r="A30" s="356" t="s">
        <v>464</v>
      </c>
      <c r="B30" s="357" t="s">
        <v>716</v>
      </c>
      <c r="C30" s="358">
        <f>'PART-A'!I225</f>
        <v>0</v>
      </c>
      <c r="D30" s="354" t="s">
        <v>5</v>
      </c>
      <c r="E30" s="355">
        <f>'PART-A'!K225</f>
        <v>253.22</v>
      </c>
      <c r="F30" s="353">
        <f>ROUND(C30*E30,0)</f>
        <v>0</v>
      </c>
      <c r="G30" s="368"/>
      <c r="H30" s="368"/>
      <c r="I30" s="368">
        <f>C30-G30</f>
        <v>0</v>
      </c>
      <c r="J30" s="368">
        <f>F30-H30</f>
        <v>0</v>
      </c>
      <c r="K30" s="360" t="s">
        <v>2312</v>
      </c>
    </row>
    <row r="31" spans="1:11" s="360" customFormat="1" ht="20.25" hidden="1" customHeight="1">
      <c r="A31" s="356" t="s">
        <v>464</v>
      </c>
      <c r="B31" s="357" t="s">
        <v>716</v>
      </c>
      <c r="C31" s="358">
        <f>'PART-A'!I231</f>
        <v>0</v>
      </c>
      <c r="D31" s="354" t="s">
        <v>5</v>
      </c>
      <c r="E31" s="355">
        <f>'PART-A'!K231</f>
        <v>272.13</v>
      </c>
      <c r="F31" s="353">
        <f>ROUND(C31*E31,0)</f>
        <v>0</v>
      </c>
      <c r="G31" s="368"/>
      <c r="H31" s="368"/>
      <c r="I31" s="368">
        <f>C31-G31</f>
        <v>0</v>
      </c>
      <c r="J31" s="368">
        <f>F31-H31</f>
        <v>0</v>
      </c>
      <c r="K31" s="360" t="s">
        <v>2313</v>
      </c>
    </row>
    <row r="32" spans="1:11" s="360" customFormat="1" ht="20.25" customHeight="1">
      <c r="A32" s="356" t="s">
        <v>463</v>
      </c>
      <c r="B32" s="357" t="s">
        <v>1432</v>
      </c>
      <c r="C32" s="358">
        <f>'PART-A'!I248</f>
        <v>87.509999999999991</v>
      </c>
      <c r="D32" s="354" t="s">
        <v>5</v>
      </c>
      <c r="E32" s="355">
        <f>'PART-A'!K248</f>
        <v>1271.5</v>
      </c>
      <c r="F32" s="353">
        <f t="shared" si="0"/>
        <v>111269</v>
      </c>
      <c r="G32" s="368"/>
      <c r="H32" s="368"/>
      <c r="I32" s="368">
        <f t="shared" si="4"/>
        <v>87.509999999999991</v>
      </c>
      <c r="J32" s="368">
        <f t="shared" si="5"/>
        <v>111269</v>
      </c>
      <c r="K32" s="360" t="s">
        <v>2217</v>
      </c>
    </row>
    <row r="33" spans="1:11" s="360" customFormat="1" ht="20.25" hidden="1" customHeight="1">
      <c r="A33" s="356" t="s">
        <v>463</v>
      </c>
      <c r="B33" s="357" t="s">
        <v>1432</v>
      </c>
      <c r="C33" s="358">
        <f>'PART-A'!I264</f>
        <v>0</v>
      </c>
      <c r="D33" s="354" t="s">
        <v>5</v>
      </c>
      <c r="E33" s="355">
        <f>'PART-A'!K264</f>
        <v>1340.37</v>
      </c>
      <c r="F33" s="353">
        <f>ROUND(C33*E33,0)</f>
        <v>0</v>
      </c>
      <c r="G33" s="368"/>
      <c r="H33" s="368"/>
      <c r="I33" s="368">
        <f>C33-G33</f>
        <v>0</v>
      </c>
      <c r="J33" s="368">
        <f>F33-H33</f>
        <v>0</v>
      </c>
      <c r="K33" s="360" t="s">
        <v>2299</v>
      </c>
    </row>
    <row r="34" spans="1:11" s="360" customFormat="1" ht="20.25" hidden="1" customHeight="1">
      <c r="A34" s="356" t="s">
        <v>463</v>
      </c>
      <c r="B34" s="357" t="s">
        <v>1432</v>
      </c>
      <c r="C34" s="358">
        <f>'PART-A'!I270</f>
        <v>0</v>
      </c>
      <c r="D34" s="354" t="s">
        <v>5</v>
      </c>
      <c r="E34" s="355">
        <f>'PART-A'!K270</f>
        <v>1528.72</v>
      </c>
      <c r="F34" s="353">
        <f>ROUND(C34*E34,0)</f>
        <v>0</v>
      </c>
      <c r="G34" s="368"/>
      <c r="H34" s="368"/>
      <c r="I34" s="368">
        <f>C34-G34</f>
        <v>0</v>
      </c>
      <c r="J34" s="368">
        <f>F34-H34</f>
        <v>0</v>
      </c>
      <c r="K34" s="360" t="s">
        <v>2312</v>
      </c>
    </row>
    <row r="35" spans="1:11" s="360" customFormat="1" ht="20.25" hidden="1" customHeight="1">
      <c r="A35" s="356" t="s">
        <v>463</v>
      </c>
      <c r="B35" s="357" t="s">
        <v>1432</v>
      </c>
      <c r="C35" s="358">
        <f>'PART-A'!I276</f>
        <v>0</v>
      </c>
      <c r="D35" s="354" t="s">
        <v>5</v>
      </c>
      <c r="E35" s="355">
        <f>'PART-A'!K276</f>
        <v>1603.13</v>
      </c>
      <c r="F35" s="353">
        <f>ROUND(C35*E35,0)</f>
        <v>0</v>
      </c>
      <c r="G35" s="368"/>
      <c r="H35" s="368"/>
      <c r="I35" s="368">
        <f>C35-G35</f>
        <v>0</v>
      </c>
      <c r="J35" s="368">
        <f>F35-H35</f>
        <v>0</v>
      </c>
      <c r="K35" s="360" t="s">
        <v>2313</v>
      </c>
    </row>
    <row r="36" spans="1:11" s="360" customFormat="1" ht="20.25" customHeight="1">
      <c r="A36" s="356" t="s">
        <v>464</v>
      </c>
      <c r="B36" s="357" t="s">
        <v>540</v>
      </c>
      <c r="C36" s="358">
        <f>'PART-A'!I293</f>
        <v>47.300000000000004</v>
      </c>
      <c r="D36" s="354" t="s">
        <v>5</v>
      </c>
      <c r="E36" s="355">
        <f>'PART-A'!K293</f>
        <v>228</v>
      </c>
      <c r="F36" s="353">
        <f t="shared" si="0"/>
        <v>10784</v>
      </c>
      <c r="G36" s="368"/>
      <c r="H36" s="368"/>
      <c r="I36" s="368">
        <f t="shared" si="4"/>
        <v>47.300000000000004</v>
      </c>
      <c r="J36" s="368">
        <f t="shared" si="5"/>
        <v>10784</v>
      </c>
      <c r="K36" s="360" t="s">
        <v>2217</v>
      </c>
    </row>
    <row r="37" spans="1:11" s="360" customFormat="1" ht="20.25" hidden="1" customHeight="1">
      <c r="A37" s="356" t="s">
        <v>463</v>
      </c>
      <c r="B37" s="357" t="s">
        <v>540</v>
      </c>
      <c r="C37" s="358">
        <f>'PART-A'!I304</f>
        <v>0</v>
      </c>
      <c r="D37" s="354" t="s">
        <v>5</v>
      </c>
      <c r="E37" s="355">
        <f>'PART-A'!K304</f>
        <v>249.16</v>
      </c>
      <c r="F37" s="353">
        <f>ROUND(C37*E37,0)</f>
        <v>0</v>
      </c>
      <c r="G37" s="368"/>
      <c r="H37" s="368"/>
      <c r="I37" s="368">
        <f>C37-G37</f>
        <v>0</v>
      </c>
      <c r="J37" s="368">
        <f>F37-H37</f>
        <v>0</v>
      </c>
      <c r="K37" s="360" t="s">
        <v>2299</v>
      </c>
    </row>
    <row r="38" spans="1:11" s="360" customFormat="1" ht="20.25" hidden="1" customHeight="1">
      <c r="A38" s="356" t="s">
        <v>463</v>
      </c>
      <c r="B38" s="357" t="s">
        <v>540</v>
      </c>
      <c r="C38" s="358">
        <f>'PART-A'!I311</f>
        <v>0</v>
      </c>
      <c r="D38" s="354" t="s">
        <v>5</v>
      </c>
      <c r="E38" s="355">
        <f>'PART-A'!K311</f>
        <v>265.36</v>
      </c>
      <c r="F38" s="353">
        <f>ROUND(C38*E38,0)</f>
        <v>0</v>
      </c>
      <c r="G38" s="368"/>
      <c r="H38" s="368"/>
      <c r="I38" s="368">
        <f>C38-G38</f>
        <v>0</v>
      </c>
      <c r="J38" s="368">
        <f>F38-H38</f>
        <v>0</v>
      </c>
      <c r="K38" s="360" t="s">
        <v>2312</v>
      </c>
    </row>
    <row r="39" spans="1:11" s="360" customFormat="1" ht="20.25" hidden="1" customHeight="1">
      <c r="A39" s="356" t="s">
        <v>463</v>
      </c>
      <c r="B39" s="357" t="s">
        <v>540</v>
      </c>
      <c r="C39" s="358">
        <f>'PART-A'!I318</f>
        <v>0</v>
      </c>
      <c r="D39" s="354" t="s">
        <v>5</v>
      </c>
      <c r="E39" s="355">
        <f>'PART-A'!K318</f>
        <v>284.39999999999998</v>
      </c>
      <c r="F39" s="353">
        <f>ROUND(C39*E39,0)</f>
        <v>0</v>
      </c>
      <c r="G39" s="368"/>
      <c r="H39" s="368"/>
      <c r="I39" s="368">
        <f>C39-G39</f>
        <v>0</v>
      </c>
      <c r="J39" s="368">
        <f>F39-H39</f>
        <v>0</v>
      </c>
      <c r="K39" s="360" t="s">
        <v>2313</v>
      </c>
    </row>
    <row r="40" spans="1:11" s="360" customFormat="1" ht="20.25" customHeight="1">
      <c r="A40" s="356" t="s">
        <v>465</v>
      </c>
      <c r="B40" s="357" t="s">
        <v>2223</v>
      </c>
      <c r="C40" s="358">
        <f>'PART-A'!I325</f>
        <v>9.44</v>
      </c>
      <c r="D40" s="354" t="s">
        <v>5</v>
      </c>
      <c r="E40" s="355">
        <f>'PART-A'!K325</f>
        <v>6979.88</v>
      </c>
      <c r="F40" s="353">
        <f t="shared" si="0"/>
        <v>65890</v>
      </c>
      <c r="G40" s="353"/>
      <c r="H40" s="353"/>
      <c r="I40" s="368">
        <f t="shared" si="4"/>
        <v>9.44</v>
      </c>
      <c r="J40" s="368">
        <f t="shared" si="5"/>
        <v>65890</v>
      </c>
      <c r="K40" s="360" t="s">
        <v>2217</v>
      </c>
    </row>
    <row r="41" spans="1:11" s="360" customFormat="1" ht="20.25" hidden="1" customHeight="1">
      <c r="A41" s="356" t="s">
        <v>464</v>
      </c>
      <c r="B41" s="357" t="s">
        <v>2223</v>
      </c>
      <c r="C41" s="358">
        <f>'PART-A'!I332</f>
        <v>0</v>
      </c>
      <c r="D41" s="354" t="s">
        <v>5</v>
      </c>
      <c r="E41" s="355">
        <f>'PART-A'!K332</f>
        <v>7288.23</v>
      </c>
      <c r="F41" s="353">
        <f>ROUND(C41*E41,0)</f>
        <v>0</v>
      </c>
      <c r="G41" s="353"/>
      <c r="H41" s="353"/>
      <c r="I41" s="368">
        <f>C41-G41</f>
        <v>0</v>
      </c>
      <c r="J41" s="368">
        <f>F41-H41</f>
        <v>0</v>
      </c>
      <c r="K41" s="360" t="s">
        <v>2299</v>
      </c>
    </row>
    <row r="42" spans="1:11" s="360" customFormat="1" ht="20.25" hidden="1" customHeight="1">
      <c r="A42" s="356" t="s">
        <v>469</v>
      </c>
      <c r="B42" s="357" t="s">
        <v>2223</v>
      </c>
      <c r="C42" s="358">
        <f>'PART-A'!I338</f>
        <v>0</v>
      </c>
      <c r="D42" s="354" t="s">
        <v>5</v>
      </c>
      <c r="E42" s="355">
        <f>'PART-A'!K338</f>
        <v>7685.43</v>
      </c>
      <c r="F42" s="353">
        <f>ROUND(C42*E42,0)</f>
        <v>0</v>
      </c>
      <c r="G42" s="353"/>
      <c r="H42" s="353"/>
      <c r="I42" s="368">
        <f>C42-G42</f>
        <v>0</v>
      </c>
      <c r="J42" s="368">
        <f>F42-H42</f>
        <v>0</v>
      </c>
      <c r="K42" s="360" t="s">
        <v>2312</v>
      </c>
    </row>
    <row r="43" spans="1:11" s="360" customFormat="1" ht="20.25" hidden="1" customHeight="1">
      <c r="A43" s="356" t="s">
        <v>464</v>
      </c>
      <c r="B43" s="357" t="s">
        <v>2223</v>
      </c>
      <c r="C43" s="358">
        <f>'PART-A'!I343</f>
        <v>0</v>
      </c>
      <c r="D43" s="354" t="s">
        <v>5</v>
      </c>
      <c r="E43" s="355">
        <f>'PART-A'!K343</f>
        <v>8062.18</v>
      </c>
      <c r="F43" s="353">
        <f>ROUND(C43*E43,0)</f>
        <v>0</v>
      </c>
      <c r="G43" s="353"/>
      <c r="H43" s="353"/>
      <c r="I43" s="368">
        <f>C43-G43</f>
        <v>0</v>
      </c>
      <c r="J43" s="368">
        <f>F43-H43</f>
        <v>0</v>
      </c>
      <c r="K43" s="360" t="s">
        <v>2313</v>
      </c>
    </row>
    <row r="44" spans="1:11" s="360" customFormat="1" ht="20.25" customHeight="1">
      <c r="A44" s="356" t="s">
        <v>466</v>
      </c>
      <c r="B44" s="357" t="s">
        <v>2003</v>
      </c>
      <c r="C44" s="358">
        <f>'PART-A'!I348</f>
        <v>1.37</v>
      </c>
      <c r="D44" s="354" t="s">
        <v>5</v>
      </c>
      <c r="E44" s="355">
        <f>'PART-A'!K348</f>
        <v>7392.88</v>
      </c>
      <c r="F44" s="353">
        <f t="shared" si="0"/>
        <v>10128</v>
      </c>
      <c r="G44" s="353"/>
      <c r="H44" s="353"/>
      <c r="I44" s="368">
        <f t="shared" si="4"/>
        <v>1.37</v>
      </c>
      <c r="J44" s="368">
        <f t="shared" si="5"/>
        <v>10128</v>
      </c>
      <c r="K44" s="360" t="s">
        <v>2217</v>
      </c>
    </row>
    <row r="45" spans="1:11" s="360" customFormat="1" ht="20.25" hidden="1" customHeight="1">
      <c r="A45" s="356" t="s">
        <v>465</v>
      </c>
      <c r="B45" s="357" t="s">
        <v>2003</v>
      </c>
      <c r="C45" s="358">
        <f>'PART-A'!I353</f>
        <v>0</v>
      </c>
      <c r="D45" s="354" t="s">
        <v>5</v>
      </c>
      <c r="E45" s="355">
        <f>'PART-A'!K353</f>
        <v>7701.23</v>
      </c>
      <c r="F45" s="353">
        <f>ROUND(C45*E45,0)</f>
        <v>0</v>
      </c>
      <c r="G45" s="353"/>
      <c r="H45" s="353"/>
      <c r="I45" s="368">
        <f>C45-G45</f>
        <v>0</v>
      </c>
      <c r="J45" s="368">
        <f>F45-H45</f>
        <v>0</v>
      </c>
      <c r="K45" s="360" t="s">
        <v>2299</v>
      </c>
    </row>
    <row r="46" spans="1:11" s="360" customFormat="1" ht="20.25" hidden="1" customHeight="1">
      <c r="A46" s="356" t="s">
        <v>465</v>
      </c>
      <c r="B46" s="357" t="s">
        <v>2003</v>
      </c>
      <c r="C46" s="358">
        <f>'PART-A'!I358</f>
        <v>0</v>
      </c>
      <c r="D46" s="354" t="s">
        <v>5</v>
      </c>
      <c r="E46" s="355">
        <f>'PART-A'!K358</f>
        <v>8124.43</v>
      </c>
      <c r="F46" s="353">
        <f>ROUND(C46*E46,0)</f>
        <v>0</v>
      </c>
      <c r="G46" s="353"/>
      <c r="H46" s="353"/>
      <c r="I46" s="368">
        <f>C46-G46</f>
        <v>0</v>
      </c>
      <c r="J46" s="368">
        <f>F46-H46</f>
        <v>0</v>
      </c>
      <c r="K46" s="360" t="s">
        <v>2312</v>
      </c>
    </row>
    <row r="47" spans="1:11" s="360" customFormat="1" ht="20.25" hidden="1" customHeight="1">
      <c r="A47" s="356" t="s">
        <v>465</v>
      </c>
      <c r="B47" s="357" t="s">
        <v>2003</v>
      </c>
      <c r="C47" s="358">
        <f>'PART-A'!I363</f>
        <v>0</v>
      </c>
      <c r="D47" s="354" t="s">
        <v>5</v>
      </c>
      <c r="E47" s="355">
        <f>'PART-A'!K363</f>
        <v>8501.18</v>
      </c>
      <c r="F47" s="353">
        <f>ROUND(C47*E47,0)</f>
        <v>0</v>
      </c>
      <c r="G47" s="353"/>
      <c r="H47" s="353"/>
      <c r="I47" s="368">
        <f>C47-G47</f>
        <v>0</v>
      </c>
      <c r="J47" s="368">
        <f>F47-H47</f>
        <v>0</v>
      </c>
      <c r="K47" s="360" t="s">
        <v>2313</v>
      </c>
    </row>
    <row r="48" spans="1:11" s="360" customFormat="1" ht="20.25" customHeight="1">
      <c r="A48" s="356" t="s">
        <v>467</v>
      </c>
      <c r="B48" s="357" t="s">
        <v>2004</v>
      </c>
      <c r="C48" s="358">
        <f>'PART-A'!I376</f>
        <v>5.64</v>
      </c>
      <c r="D48" s="354" t="s">
        <v>5</v>
      </c>
      <c r="E48" s="355">
        <f>'PART-A'!K376</f>
        <v>9116.880000000001</v>
      </c>
      <c r="F48" s="353">
        <f t="shared" si="0"/>
        <v>51419</v>
      </c>
      <c r="G48" s="353"/>
      <c r="H48" s="353"/>
      <c r="I48" s="368">
        <f t="shared" si="4"/>
        <v>5.64</v>
      </c>
      <c r="J48" s="368">
        <f t="shared" si="5"/>
        <v>51419</v>
      </c>
      <c r="K48" s="360" t="s">
        <v>2217</v>
      </c>
    </row>
    <row r="49" spans="1:11" s="360" customFormat="1" ht="20.25" hidden="1" customHeight="1">
      <c r="A49" s="356" t="s">
        <v>466</v>
      </c>
      <c r="B49" s="357" t="s">
        <v>2004</v>
      </c>
      <c r="C49" s="358">
        <f>'PART-A'!I387</f>
        <v>0</v>
      </c>
      <c r="D49" s="354" t="s">
        <v>5</v>
      </c>
      <c r="E49" s="355">
        <f>'PART-A'!K387</f>
        <v>9466.93</v>
      </c>
      <c r="F49" s="353">
        <f>ROUND(C49*E49,0)</f>
        <v>0</v>
      </c>
      <c r="G49" s="353"/>
      <c r="H49" s="353"/>
      <c r="I49" s="368">
        <f>C49-G49</f>
        <v>0</v>
      </c>
      <c r="J49" s="368">
        <f>F49-H49</f>
        <v>0</v>
      </c>
      <c r="K49" s="360" t="s">
        <v>2299</v>
      </c>
    </row>
    <row r="50" spans="1:11" s="360" customFormat="1" ht="20.25" hidden="1" customHeight="1">
      <c r="A50" s="356" t="s">
        <v>466</v>
      </c>
      <c r="B50" s="357" t="s">
        <v>2004</v>
      </c>
      <c r="C50" s="358">
        <f>'PART-A'!I399</f>
        <v>0</v>
      </c>
      <c r="D50" s="354" t="s">
        <v>5</v>
      </c>
      <c r="E50" s="355">
        <f>'PART-A'!K399</f>
        <v>10004.82</v>
      </c>
      <c r="F50" s="353">
        <f>ROUND(C50*E50,0)</f>
        <v>0</v>
      </c>
      <c r="G50" s="353"/>
      <c r="H50" s="353"/>
      <c r="I50" s="368">
        <f>C50-G50</f>
        <v>0</v>
      </c>
      <c r="J50" s="368">
        <f>F50-H50</f>
        <v>0</v>
      </c>
      <c r="K50" s="360" t="s">
        <v>2312</v>
      </c>
    </row>
    <row r="51" spans="1:11" s="360" customFormat="1" ht="20.25" hidden="1" customHeight="1">
      <c r="A51" s="356" t="s">
        <v>466</v>
      </c>
      <c r="B51" s="357" t="s">
        <v>2004</v>
      </c>
      <c r="C51" s="358">
        <f>'PART-A'!I411</f>
        <v>0</v>
      </c>
      <c r="D51" s="354" t="s">
        <v>5</v>
      </c>
      <c r="E51" s="355">
        <f>'PART-A'!K411</f>
        <v>10417.6</v>
      </c>
      <c r="F51" s="353">
        <f>ROUND(C51*E51,0)</f>
        <v>0</v>
      </c>
      <c r="G51" s="353"/>
      <c r="H51" s="353"/>
      <c r="I51" s="368">
        <f>C51-G51</f>
        <v>0</v>
      </c>
      <c r="J51" s="368">
        <f>F51-H51</f>
        <v>0</v>
      </c>
      <c r="K51" s="360" t="s">
        <v>2313</v>
      </c>
    </row>
    <row r="52" spans="1:11" s="360" customFormat="1" ht="20.25" customHeight="1">
      <c r="A52" s="356" t="s">
        <v>468</v>
      </c>
      <c r="B52" s="357" t="s">
        <v>2005</v>
      </c>
      <c r="C52" s="358">
        <f>'PART-A'!I430</f>
        <v>6.1499999999999995</v>
      </c>
      <c r="D52" s="354" t="s">
        <v>5</v>
      </c>
      <c r="E52" s="355">
        <f>'PART-A'!K430</f>
        <v>8971.880000000001</v>
      </c>
      <c r="F52" s="353">
        <f t="shared" si="0"/>
        <v>55177</v>
      </c>
      <c r="G52" s="353"/>
      <c r="H52" s="353"/>
      <c r="I52" s="368">
        <f t="shared" si="4"/>
        <v>6.1499999999999995</v>
      </c>
      <c r="J52" s="368">
        <f t="shared" si="5"/>
        <v>55177</v>
      </c>
      <c r="K52" s="360" t="s">
        <v>2217</v>
      </c>
    </row>
    <row r="53" spans="1:11" s="360" customFormat="1" ht="20.25" hidden="1" customHeight="1">
      <c r="A53" s="356" t="s">
        <v>467</v>
      </c>
      <c r="B53" s="357" t="s">
        <v>2005</v>
      </c>
      <c r="C53" s="358">
        <f>'PART-A'!I441</f>
        <v>0</v>
      </c>
      <c r="D53" s="354" t="s">
        <v>5</v>
      </c>
      <c r="E53" s="355">
        <f>'PART-A'!K441</f>
        <v>9280.23</v>
      </c>
      <c r="F53" s="353">
        <f>ROUND(C53*E53,0)</f>
        <v>0</v>
      </c>
      <c r="G53" s="353"/>
      <c r="H53" s="353"/>
      <c r="I53" s="368">
        <f>C53-G53</f>
        <v>0</v>
      </c>
      <c r="J53" s="368">
        <f>F53-H53</f>
        <v>0</v>
      </c>
      <c r="K53" s="360" t="s">
        <v>2299</v>
      </c>
    </row>
    <row r="54" spans="1:11" s="360" customFormat="1" ht="20.25" hidden="1" customHeight="1">
      <c r="A54" s="356" t="s">
        <v>467</v>
      </c>
      <c r="B54" s="357" t="s">
        <v>2005</v>
      </c>
      <c r="C54" s="358">
        <f>'PART-A'!I447</f>
        <v>0</v>
      </c>
      <c r="D54" s="354" t="s">
        <v>5</v>
      </c>
      <c r="E54" s="355">
        <f>'PART-A'!K447</f>
        <v>9785.43</v>
      </c>
      <c r="F54" s="353">
        <f>ROUND(C54*E54,0)</f>
        <v>0</v>
      </c>
      <c r="G54" s="353"/>
      <c r="H54" s="353"/>
      <c r="I54" s="368">
        <f>C54-G54</f>
        <v>0</v>
      </c>
      <c r="J54" s="368">
        <f>F54-H54</f>
        <v>0</v>
      </c>
      <c r="K54" s="360" t="s">
        <v>2312</v>
      </c>
    </row>
    <row r="55" spans="1:11" s="360" customFormat="1" ht="20.25" hidden="1" customHeight="1">
      <c r="A55" s="356" t="s">
        <v>467</v>
      </c>
      <c r="B55" s="357" t="s">
        <v>2005</v>
      </c>
      <c r="C55" s="358">
        <f>'PART-A'!I453</f>
        <v>0</v>
      </c>
      <c r="D55" s="354" t="s">
        <v>5</v>
      </c>
      <c r="E55" s="355">
        <f>'PART-A'!K453</f>
        <v>10162.18</v>
      </c>
      <c r="F55" s="353">
        <f>ROUND(C55*E55,0)</f>
        <v>0</v>
      </c>
      <c r="G55" s="353"/>
      <c r="H55" s="353"/>
      <c r="I55" s="368">
        <f>C55-G55</f>
        <v>0</v>
      </c>
      <c r="J55" s="368">
        <f>F55-H55</f>
        <v>0</v>
      </c>
      <c r="K55" s="360" t="s">
        <v>2313</v>
      </c>
    </row>
    <row r="56" spans="1:11" s="360" customFormat="1" ht="20.25" customHeight="1">
      <c r="A56" s="356" t="s">
        <v>326</v>
      </c>
      <c r="B56" s="357" t="s">
        <v>2006</v>
      </c>
      <c r="C56" s="358">
        <f>'PART-A'!I477</f>
        <v>6.9400000000000022</v>
      </c>
      <c r="D56" s="428" t="s">
        <v>5</v>
      </c>
      <c r="E56" s="355">
        <f>'PART-A'!K477</f>
        <v>8954.36</v>
      </c>
      <c r="F56" s="353">
        <f t="shared" si="0"/>
        <v>62143</v>
      </c>
      <c r="G56" s="353"/>
      <c r="H56" s="353"/>
      <c r="I56" s="368">
        <f t="shared" si="4"/>
        <v>6.9400000000000022</v>
      </c>
      <c r="J56" s="368">
        <f t="shared" si="5"/>
        <v>62143</v>
      </c>
      <c r="K56" s="360" t="s">
        <v>2217</v>
      </c>
    </row>
    <row r="57" spans="1:11" s="360" customFormat="1" ht="20.25" hidden="1" customHeight="1">
      <c r="A57" s="356" t="s">
        <v>475</v>
      </c>
      <c r="B57" s="357" t="s">
        <v>2006</v>
      </c>
      <c r="C57" s="358">
        <f>'PART-A'!I501</f>
        <v>0</v>
      </c>
      <c r="D57" s="428" t="s">
        <v>5</v>
      </c>
      <c r="E57" s="355">
        <f>'PART-A'!K501</f>
        <v>9169.52</v>
      </c>
      <c r="F57" s="353">
        <f>ROUND(C57*E57,0)</f>
        <v>0</v>
      </c>
      <c r="G57" s="353"/>
      <c r="H57" s="353"/>
      <c r="I57" s="368">
        <f>C57-G57</f>
        <v>0</v>
      </c>
      <c r="J57" s="368">
        <f>F57-H57</f>
        <v>0</v>
      </c>
      <c r="K57" s="360" t="s">
        <v>2299</v>
      </c>
    </row>
    <row r="58" spans="1:11" s="360" customFormat="1" ht="20.25" hidden="1" customHeight="1">
      <c r="A58" s="356" t="s">
        <v>468</v>
      </c>
      <c r="B58" s="357" t="s">
        <v>2006</v>
      </c>
      <c r="C58" s="358">
        <f>'PART-A'!I528</f>
        <v>0</v>
      </c>
      <c r="D58" s="428" t="s">
        <v>5</v>
      </c>
      <c r="E58" s="355">
        <f>'PART-A'!K528</f>
        <v>9635.33</v>
      </c>
      <c r="F58" s="353">
        <f>ROUND(C58*E58,0)</f>
        <v>0</v>
      </c>
      <c r="G58" s="353"/>
      <c r="H58" s="353"/>
      <c r="I58" s="368">
        <f>C58-G58</f>
        <v>0</v>
      </c>
      <c r="J58" s="368">
        <f>F58-H58</f>
        <v>0</v>
      </c>
      <c r="K58" s="360" t="s">
        <v>2312</v>
      </c>
    </row>
    <row r="59" spans="1:11" s="360" customFormat="1" ht="20.25" hidden="1" customHeight="1">
      <c r="A59" s="356" t="s">
        <v>468</v>
      </c>
      <c r="B59" s="357" t="s">
        <v>2006</v>
      </c>
      <c r="C59" s="358">
        <f>'PART-A'!I536</f>
        <v>0</v>
      </c>
      <c r="D59" s="428" t="s">
        <v>5</v>
      </c>
      <c r="E59" s="355">
        <f>'PART-A'!K536</f>
        <v>9921.19</v>
      </c>
      <c r="F59" s="353">
        <f>ROUND(C59*E59,0)</f>
        <v>0</v>
      </c>
      <c r="G59" s="353"/>
      <c r="H59" s="353"/>
      <c r="I59" s="368">
        <f>C59-G59</f>
        <v>0</v>
      </c>
      <c r="J59" s="368">
        <f>F59-H59</f>
        <v>0</v>
      </c>
      <c r="K59" s="360" t="s">
        <v>2313</v>
      </c>
    </row>
    <row r="60" spans="1:11" s="360" customFormat="1" ht="20.25" customHeight="1">
      <c r="A60" s="356" t="s">
        <v>469</v>
      </c>
      <c r="B60" s="357" t="s">
        <v>2007</v>
      </c>
      <c r="C60" s="358">
        <f>'PART-A'!I567</f>
        <v>118.08999999999999</v>
      </c>
      <c r="D60" s="354" t="s">
        <v>102</v>
      </c>
      <c r="E60" s="355">
        <f>'PART-A'!K567</f>
        <v>1071.8</v>
      </c>
      <c r="F60" s="353">
        <f t="shared" si="0"/>
        <v>126569</v>
      </c>
      <c r="G60" s="353"/>
      <c r="H60" s="353"/>
      <c r="I60" s="368">
        <f t="shared" ref="I60:I321" si="6">C60-G60</f>
        <v>118.08999999999999</v>
      </c>
      <c r="J60" s="368">
        <f t="shared" ref="J60:J321" si="7">F60-H60</f>
        <v>126569</v>
      </c>
      <c r="K60" s="360" t="s">
        <v>2217</v>
      </c>
    </row>
    <row r="61" spans="1:11" s="360" customFormat="1" ht="20.25" hidden="1" customHeight="1">
      <c r="A61" s="356" t="s">
        <v>476</v>
      </c>
      <c r="B61" s="357" t="s">
        <v>2007</v>
      </c>
      <c r="C61" s="358">
        <f>'PART-A'!I573</f>
        <v>0</v>
      </c>
      <c r="D61" s="354" t="s">
        <v>102</v>
      </c>
      <c r="E61" s="355">
        <f>'PART-A'!K573</f>
        <v>1109.69</v>
      </c>
      <c r="F61" s="353">
        <f>ROUND(C61*E61,0)</f>
        <v>0</v>
      </c>
      <c r="G61" s="353"/>
      <c r="H61" s="353"/>
      <c r="I61" s="368">
        <f>C61-G61</f>
        <v>0</v>
      </c>
      <c r="J61" s="368">
        <f>F61-H61</f>
        <v>0</v>
      </c>
      <c r="K61" s="360" t="s">
        <v>2299</v>
      </c>
    </row>
    <row r="62" spans="1:11" s="360" customFormat="1" ht="20.25" hidden="1" customHeight="1">
      <c r="A62" s="356" t="s">
        <v>326</v>
      </c>
      <c r="B62" s="357" t="s">
        <v>2007</v>
      </c>
      <c r="C62" s="358">
        <f>'PART-A'!I580</f>
        <v>0</v>
      </c>
      <c r="D62" s="354" t="s">
        <v>102</v>
      </c>
      <c r="E62" s="355">
        <f>'PART-A'!K580</f>
        <v>1166.67</v>
      </c>
      <c r="F62" s="353">
        <f>ROUND(C62*E62,0)</f>
        <v>0</v>
      </c>
      <c r="G62" s="353"/>
      <c r="H62" s="353"/>
      <c r="I62" s="368">
        <f>C62-G62</f>
        <v>0</v>
      </c>
      <c r="J62" s="368">
        <f>F62-H62</f>
        <v>0</v>
      </c>
      <c r="K62" s="360" t="s">
        <v>2312</v>
      </c>
    </row>
    <row r="63" spans="1:11" s="360" customFormat="1" ht="20.25" hidden="1" customHeight="1">
      <c r="A63" s="356" t="s">
        <v>326</v>
      </c>
      <c r="B63" s="357" t="s">
        <v>2007</v>
      </c>
      <c r="C63" s="358">
        <f>'PART-A'!I586</f>
        <v>0</v>
      </c>
      <c r="D63" s="354" t="s">
        <v>102</v>
      </c>
      <c r="E63" s="355">
        <f>'PART-A'!K586</f>
        <v>1202.4000000000001</v>
      </c>
      <c r="F63" s="353">
        <f>ROUND(C63*E63,0)</f>
        <v>0</v>
      </c>
      <c r="G63" s="353"/>
      <c r="H63" s="353"/>
      <c r="I63" s="368">
        <f>C63-G63</f>
        <v>0</v>
      </c>
      <c r="J63" s="368">
        <f>F63-H63</f>
        <v>0</v>
      </c>
      <c r="K63" s="360" t="s">
        <v>2313</v>
      </c>
    </row>
    <row r="64" spans="1:11" s="360" customFormat="1" ht="20.25" hidden="1" customHeight="1">
      <c r="A64" s="356" t="s">
        <v>472</v>
      </c>
      <c r="B64" s="357" t="s">
        <v>2008</v>
      </c>
      <c r="C64" s="358">
        <f>'PART-A'!I544</f>
        <v>0</v>
      </c>
      <c r="D64" s="354" t="s">
        <v>102</v>
      </c>
      <c r="E64" s="355">
        <f>'PART-A'!K544</f>
        <v>1195.95</v>
      </c>
      <c r="F64" s="353">
        <f t="shared" si="0"/>
        <v>0</v>
      </c>
      <c r="G64" s="368"/>
      <c r="H64" s="368"/>
      <c r="I64" s="368">
        <f t="shared" si="6"/>
        <v>0</v>
      </c>
      <c r="J64" s="368">
        <f t="shared" si="7"/>
        <v>0</v>
      </c>
      <c r="K64" s="360" t="s">
        <v>2217</v>
      </c>
    </row>
    <row r="65" spans="1:11" s="360" customFormat="1" ht="20.25" hidden="1" customHeight="1">
      <c r="A65" s="356" t="s">
        <v>469</v>
      </c>
      <c r="B65" s="357" t="s">
        <v>2008</v>
      </c>
      <c r="C65" s="358">
        <f>'PART-A'!I550</f>
        <v>0</v>
      </c>
      <c r="D65" s="354" t="s">
        <v>102</v>
      </c>
      <c r="E65" s="355">
        <f>'PART-A'!K550</f>
        <v>1239.23</v>
      </c>
      <c r="F65" s="353">
        <f>ROUND(C65*E65,0)</f>
        <v>0</v>
      </c>
      <c r="G65" s="368"/>
      <c r="H65" s="368"/>
      <c r="I65" s="368">
        <f>C65-G65</f>
        <v>0</v>
      </c>
      <c r="J65" s="368">
        <f>F65-H65</f>
        <v>0</v>
      </c>
      <c r="K65" s="360" t="s">
        <v>2299</v>
      </c>
    </row>
    <row r="66" spans="1:11" s="360" customFormat="1" ht="20.25" hidden="1" customHeight="1">
      <c r="A66" s="356" t="s">
        <v>469</v>
      </c>
      <c r="B66" s="357" t="s">
        <v>2008</v>
      </c>
      <c r="C66" s="358">
        <f>'PART-A'!I555</f>
        <v>0</v>
      </c>
      <c r="D66" s="354" t="s">
        <v>102</v>
      </c>
      <c r="E66" s="355">
        <f>'PART-A'!K555</f>
        <v>1302.4000000000001</v>
      </c>
      <c r="F66" s="353">
        <f>ROUND(C66*E66,0)</f>
        <v>0</v>
      </c>
      <c r="G66" s="368"/>
      <c r="H66" s="368"/>
      <c r="I66" s="368">
        <f>C66-G66</f>
        <v>0</v>
      </c>
      <c r="J66" s="368">
        <f>F66-H66</f>
        <v>0</v>
      </c>
      <c r="K66" s="360" t="s">
        <v>2312</v>
      </c>
    </row>
    <row r="67" spans="1:11" s="360" customFormat="1" ht="20.25" hidden="1" customHeight="1">
      <c r="A67" s="356" t="s">
        <v>469</v>
      </c>
      <c r="B67" s="357" t="s">
        <v>2008</v>
      </c>
      <c r="C67" s="358">
        <f>'PART-A'!I561</f>
        <v>0</v>
      </c>
      <c r="D67" s="354" t="s">
        <v>102</v>
      </c>
      <c r="E67" s="355">
        <f>'PART-A'!K561</f>
        <v>1345.28</v>
      </c>
      <c r="F67" s="353">
        <f>ROUND(C67*E67,0)</f>
        <v>0</v>
      </c>
      <c r="G67" s="368"/>
      <c r="H67" s="368"/>
      <c r="I67" s="368">
        <f>C67-G67</f>
        <v>0</v>
      </c>
      <c r="J67" s="368">
        <f>F67-H67</f>
        <v>0</v>
      </c>
      <c r="K67" s="360" t="s">
        <v>2313</v>
      </c>
    </row>
    <row r="68" spans="1:11" s="360" customFormat="1" ht="20.25" customHeight="1">
      <c r="A68" s="356" t="s">
        <v>472</v>
      </c>
      <c r="B68" s="357" t="s">
        <v>2218</v>
      </c>
      <c r="C68" s="358">
        <f>'PART-A'!I592</f>
        <v>22.14</v>
      </c>
      <c r="D68" s="354" t="s">
        <v>102</v>
      </c>
      <c r="E68" s="355">
        <f>'PART-A'!K592</f>
        <v>947.64</v>
      </c>
      <c r="F68" s="353">
        <f t="shared" si="0"/>
        <v>20981</v>
      </c>
      <c r="G68" s="368"/>
      <c r="H68" s="368"/>
      <c r="I68" s="368">
        <f t="shared" si="6"/>
        <v>22.14</v>
      </c>
      <c r="J68" s="368">
        <f t="shared" si="7"/>
        <v>20981</v>
      </c>
      <c r="K68" s="360" t="s">
        <v>2217</v>
      </c>
    </row>
    <row r="69" spans="1:11" s="360" customFormat="1" ht="20.25" hidden="1" customHeight="1">
      <c r="A69" s="356" t="s">
        <v>478</v>
      </c>
      <c r="B69" s="357" t="s">
        <v>2218</v>
      </c>
      <c r="C69" s="358">
        <f>'PART-A'!I598</f>
        <v>0</v>
      </c>
      <c r="D69" s="354" t="s">
        <v>102</v>
      </c>
      <c r="E69" s="355">
        <f>'PART-A'!K598</f>
        <v>980.15</v>
      </c>
      <c r="F69" s="353">
        <f>ROUND(C69*E69,0)</f>
        <v>0</v>
      </c>
      <c r="G69" s="368"/>
      <c r="H69" s="368"/>
      <c r="I69" s="368">
        <f>C69-G69</f>
        <v>0</v>
      </c>
      <c r="J69" s="368">
        <f>F69-H69</f>
        <v>0</v>
      </c>
      <c r="K69" s="360" t="s">
        <v>2299</v>
      </c>
    </row>
    <row r="70" spans="1:11" s="360" customFormat="1" ht="20.25" hidden="1" customHeight="1">
      <c r="A70" s="356" t="s">
        <v>469</v>
      </c>
      <c r="B70" s="357" t="s">
        <v>2218</v>
      </c>
      <c r="C70" s="358">
        <f>'PART-A'!I604</f>
        <v>0</v>
      </c>
      <c r="D70" s="354" t="s">
        <v>102</v>
      </c>
      <c r="E70" s="355">
        <f>'PART-A'!K604</f>
        <v>1030.9299999999998</v>
      </c>
      <c r="F70" s="353">
        <f>ROUND(C70*E70,0)</f>
        <v>0</v>
      </c>
      <c r="G70" s="368"/>
      <c r="H70" s="368"/>
      <c r="I70" s="368">
        <f>C70-G70</f>
        <v>0</v>
      </c>
      <c r="J70" s="368">
        <f>F70-H70</f>
        <v>0</v>
      </c>
      <c r="K70" s="360" t="s">
        <v>2312</v>
      </c>
    </row>
    <row r="71" spans="1:11" s="360" customFormat="1" ht="20.25" hidden="1" customHeight="1">
      <c r="A71" s="356" t="s">
        <v>469</v>
      </c>
      <c r="B71" s="357" t="s">
        <v>2218</v>
      </c>
      <c r="C71" s="358">
        <f>'PART-A'!I610</f>
        <v>0</v>
      </c>
      <c r="D71" s="354" t="s">
        <v>102</v>
      </c>
      <c r="E71" s="355">
        <f>'PART-A'!K610</f>
        <v>1059.52</v>
      </c>
      <c r="F71" s="353">
        <f>ROUND(C71*E71,0)</f>
        <v>0</v>
      </c>
      <c r="G71" s="368"/>
      <c r="H71" s="368"/>
      <c r="I71" s="368">
        <f>C71-G71</f>
        <v>0</v>
      </c>
      <c r="J71" s="368">
        <f>F71-H71</f>
        <v>0</v>
      </c>
      <c r="K71" s="360" t="s">
        <v>2313</v>
      </c>
    </row>
    <row r="72" spans="1:11" s="360" customFormat="1" ht="20.25" hidden="1" customHeight="1">
      <c r="A72" s="356" t="s">
        <v>469</v>
      </c>
      <c r="B72" s="357" t="s">
        <v>2219</v>
      </c>
      <c r="C72" s="358">
        <f>'PART-A'!I616</f>
        <v>0</v>
      </c>
      <c r="D72" s="354" t="s">
        <v>102</v>
      </c>
      <c r="E72" s="355">
        <f>'PART-A'!K616</f>
        <v>471.03</v>
      </c>
      <c r="F72" s="353">
        <f t="shared" si="0"/>
        <v>0</v>
      </c>
      <c r="G72" s="353"/>
      <c r="H72" s="353"/>
      <c r="I72" s="368">
        <f t="shared" si="6"/>
        <v>0</v>
      </c>
      <c r="J72" s="368">
        <f t="shared" si="7"/>
        <v>0</v>
      </c>
      <c r="K72" s="360" t="s">
        <v>2217</v>
      </c>
    </row>
    <row r="73" spans="1:11" s="360" customFormat="1" ht="20.25" hidden="1" customHeight="1">
      <c r="A73" s="356" t="s">
        <v>469</v>
      </c>
      <c r="B73" s="357" t="s">
        <v>2219</v>
      </c>
      <c r="C73" s="358">
        <f>'PART-A'!I622</f>
        <v>0</v>
      </c>
      <c r="D73" s="354" t="s">
        <v>102</v>
      </c>
      <c r="E73" s="355">
        <f>'PART-A'!K622</f>
        <v>487.1</v>
      </c>
      <c r="F73" s="353">
        <f>ROUND(C73*E73,0)</f>
        <v>0</v>
      </c>
      <c r="G73" s="353"/>
      <c r="H73" s="353"/>
      <c r="I73" s="368">
        <f>C73-G73</f>
        <v>0</v>
      </c>
      <c r="J73" s="368">
        <f>F73-H73</f>
        <v>0</v>
      </c>
      <c r="K73" s="360" t="s">
        <v>2299</v>
      </c>
    </row>
    <row r="74" spans="1:11" s="360" customFormat="1" ht="20.25" hidden="1" customHeight="1">
      <c r="A74" s="356" t="s">
        <v>469</v>
      </c>
      <c r="B74" s="357" t="s">
        <v>2219</v>
      </c>
      <c r="C74" s="358">
        <f>'PART-A'!I628</f>
        <v>0</v>
      </c>
      <c r="D74" s="354" t="s">
        <v>102</v>
      </c>
      <c r="E74" s="355">
        <f>'PART-A'!K628</f>
        <v>512.26</v>
      </c>
      <c r="F74" s="353">
        <f>ROUND(C74*E74,0)</f>
        <v>0</v>
      </c>
      <c r="G74" s="353"/>
      <c r="H74" s="353"/>
      <c r="I74" s="368">
        <f>C74-G74</f>
        <v>0</v>
      </c>
      <c r="J74" s="368">
        <f>F74-H74</f>
        <v>0</v>
      </c>
      <c r="K74" s="360" t="s">
        <v>2312</v>
      </c>
    </row>
    <row r="75" spans="1:11" s="360" customFormat="1" ht="20.25" hidden="1" customHeight="1">
      <c r="A75" s="356" t="s">
        <v>469</v>
      </c>
      <c r="B75" s="357" t="s">
        <v>2219</v>
      </c>
      <c r="C75" s="358">
        <f>'PART-A'!I634</f>
        <v>0</v>
      </c>
      <c r="D75" s="354" t="s">
        <v>102</v>
      </c>
      <c r="E75" s="355">
        <f>'PART-A'!K634</f>
        <v>526.29999999999995</v>
      </c>
      <c r="F75" s="353">
        <f>ROUND(C75*E75,0)</f>
        <v>0</v>
      </c>
      <c r="G75" s="353"/>
      <c r="H75" s="353"/>
      <c r="I75" s="368">
        <f>C75-G75</f>
        <v>0</v>
      </c>
      <c r="J75" s="368">
        <f>F75-H75</f>
        <v>0</v>
      </c>
      <c r="K75" s="360" t="s">
        <v>2313</v>
      </c>
    </row>
    <row r="76" spans="1:11" s="360" customFormat="1" ht="20.25" hidden="1" customHeight="1">
      <c r="A76" s="356" t="s">
        <v>475</v>
      </c>
      <c r="B76" s="357" t="s">
        <v>2220</v>
      </c>
      <c r="C76" s="358">
        <f>'PART-A'!I641</f>
        <v>0</v>
      </c>
      <c r="D76" s="354" t="s">
        <v>102</v>
      </c>
      <c r="E76" s="355">
        <f>'PART-A'!K641</f>
        <v>348.26</v>
      </c>
      <c r="F76" s="353">
        <f t="shared" si="0"/>
        <v>0</v>
      </c>
      <c r="G76" s="368"/>
      <c r="H76" s="368"/>
      <c r="I76" s="368">
        <f t="shared" si="6"/>
        <v>0</v>
      </c>
      <c r="J76" s="368">
        <f t="shared" si="7"/>
        <v>0</v>
      </c>
      <c r="K76" s="360" t="s">
        <v>2217</v>
      </c>
    </row>
    <row r="77" spans="1:11" s="360" customFormat="1" ht="20.25" hidden="1" customHeight="1">
      <c r="A77" s="356" t="s">
        <v>475</v>
      </c>
      <c r="B77" s="357" t="s">
        <v>2220</v>
      </c>
      <c r="C77" s="358">
        <f>'PART-A'!I648</f>
        <v>0</v>
      </c>
      <c r="D77" s="354" t="s">
        <v>102</v>
      </c>
      <c r="E77" s="355">
        <f>'PART-A'!K648</f>
        <v>359.05</v>
      </c>
      <c r="F77" s="353">
        <f>ROUND(C77*E77,0)</f>
        <v>0</v>
      </c>
      <c r="G77" s="368"/>
      <c r="H77" s="368"/>
      <c r="I77" s="368">
        <f>C77-G77</f>
        <v>0</v>
      </c>
      <c r="J77" s="368">
        <f>F77-H77</f>
        <v>0</v>
      </c>
      <c r="K77" s="360" t="s">
        <v>2299</v>
      </c>
    </row>
    <row r="78" spans="1:11" s="360" customFormat="1" ht="20.25" hidden="1" customHeight="1">
      <c r="A78" s="356" t="s">
        <v>475</v>
      </c>
      <c r="B78" s="357" t="s">
        <v>2220</v>
      </c>
      <c r="C78" s="358">
        <f>'PART-A'!I655</f>
        <v>0</v>
      </c>
      <c r="D78" s="354" t="s">
        <v>102</v>
      </c>
      <c r="E78" s="355">
        <f>'PART-A'!K655</f>
        <v>378.13</v>
      </c>
      <c r="F78" s="353">
        <f t="shared" ref="F78:F79" si="8">ROUND(C78*E78,0)</f>
        <v>0</v>
      </c>
      <c r="G78" s="368"/>
      <c r="H78" s="368"/>
      <c r="I78" s="368">
        <f>C78-G78</f>
        <v>0</v>
      </c>
      <c r="J78" s="368">
        <f>F78-H78</f>
        <v>0</v>
      </c>
      <c r="K78" s="360" t="s">
        <v>2312</v>
      </c>
    </row>
    <row r="79" spans="1:11" s="360" customFormat="1" ht="20.25" hidden="1" customHeight="1">
      <c r="A79" s="356" t="s">
        <v>475</v>
      </c>
      <c r="B79" s="357" t="s">
        <v>2220</v>
      </c>
      <c r="C79" s="358">
        <f>'PART-A'!I662</f>
        <v>0</v>
      </c>
      <c r="D79" s="354" t="s">
        <v>102</v>
      </c>
      <c r="E79" s="355">
        <f>'PART-A'!K662</f>
        <v>385.15</v>
      </c>
      <c r="F79" s="353">
        <f t="shared" si="8"/>
        <v>0</v>
      </c>
      <c r="G79" s="368"/>
      <c r="H79" s="368"/>
      <c r="I79" s="368">
        <f>C79-G79</f>
        <v>0</v>
      </c>
      <c r="J79" s="368">
        <f>F79-H79</f>
        <v>0</v>
      </c>
      <c r="K79" s="360" t="s">
        <v>2313</v>
      </c>
    </row>
    <row r="80" spans="1:11" s="360" customFormat="1" ht="20.25" customHeight="1">
      <c r="A80" s="356" t="s">
        <v>473</v>
      </c>
      <c r="B80" s="357" t="s">
        <v>2009</v>
      </c>
      <c r="C80" s="358">
        <f>'PART-A'!I672</f>
        <v>1.21</v>
      </c>
      <c r="D80" s="354" t="s">
        <v>5</v>
      </c>
      <c r="E80" s="355">
        <f>'PART-A'!K672</f>
        <v>9288.880000000001</v>
      </c>
      <c r="F80" s="353">
        <f t="shared" si="0"/>
        <v>11240</v>
      </c>
      <c r="G80" s="353"/>
      <c r="H80" s="353"/>
      <c r="I80" s="368">
        <f t="shared" si="6"/>
        <v>1.21</v>
      </c>
      <c r="J80" s="368">
        <f t="shared" si="7"/>
        <v>11240</v>
      </c>
      <c r="K80" s="360" t="s">
        <v>2217</v>
      </c>
    </row>
    <row r="81" spans="1:11" s="360" customFormat="1" ht="20.25" hidden="1" customHeight="1">
      <c r="A81" s="356" t="s">
        <v>479</v>
      </c>
      <c r="B81" s="357" t="s">
        <v>2009</v>
      </c>
      <c r="C81" s="358">
        <f>'PART-A'!I684</f>
        <v>0</v>
      </c>
      <c r="D81" s="354" t="s">
        <v>5</v>
      </c>
      <c r="E81" s="355">
        <f>'PART-A'!K684</f>
        <v>9638.93</v>
      </c>
      <c r="F81" s="353">
        <f>ROUND(C81*E81,0)</f>
        <v>0</v>
      </c>
      <c r="G81" s="353"/>
      <c r="H81" s="353"/>
      <c r="I81" s="368">
        <f>C81-G81</f>
        <v>0</v>
      </c>
      <c r="J81" s="368">
        <f>F81-H81</f>
        <v>0</v>
      </c>
      <c r="K81" s="360" t="s">
        <v>2299</v>
      </c>
    </row>
    <row r="82" spans="1:11" s="360" customFormat="1" ht="20.25" hidden="1" customHeight="1">
      <c r="A82" s="356" t="s">
        <v>483</v>
      </c>
      <c r="B82" s="357" t="s">
        <v>2009</v>
      </c>
      <c r="C82" s="358">
        <f>'PART-A'!I693</f>
        <v>0</v>
      </c>
      <c r="D82" s="354" t="s">
        <v>5</v>
      </c>
      <c r="E82" s="355">
        <f>'PART-A'!K693</f>
        <v>10171.82</v>
      </c>
      <c r="F82" s="353">
        <f>ROUND(C82*E82,0)</f>
        <v>0</v>
      </c>
      <c r="G82" s="353"/>
      <c r="H82" s="353"/>
      <c r="I82" s="368">
        <f>C82-G82</f>
        <v>0</v>
      </c>
      <c r="J82" s="368">
        <f>F82-H82</f>
        <v>0</v>
      </c>
      <c r="K82" s="360" t="s">
        <v>2312</v>
      </c>
    </row>
    <row r="83" spans="1:11" s="360" customFormat="1" ht="20.25" hidden="1" customHeight="1">
      <c r="A83" s="356" t="s">
        <v>473</v>
      </c>
      <c r="B83" s="357" t="s">
        <v>2009</v>
      </c>
      <c r="C83" s="358">
        <f>'PART-A'!I762</f>
        <v>0</v>
      </c>
      <c r="D83" s="354" t="s">
        <v>5</v>
      </c>
      <c r="E83" s="355">
        <f>'PART-A'!K762</f>
        <v>10584.6</v>
      </c>
      <c r="F83" s="353">
        <f>ROUND(C83*E83,0)</f>
        <v>0</v>
      </c>
      <c r="G83" s="353"/>
      <c r="H83" s="353"/>
      <c r="I83" s="368">
        <f>C83-G83</f>
        <v>0</v>
      </c>
      <c r="J83" s="368">
        <f>F83-H83</f>
        <v>0</v>
      </c>
      <c r="K83" s="360" t="s">
        <v>2313</v>
      </c>
    </row>
    <row r="84" spans="1:11" s="360" customFormat="1" ht="20.25" customHeight="1">
      <c r="A84" s="356" t="s">
        <v>474</v>
      </c>
      <c r="B84" s="357" t="s">
        <v>2010</v>
      </c>
      <c r="C84" s="358">
        <f>'PART-A'!I767</f>
        <v>7.5</v>
      </c>
      <c r="D84" s="354" t="s">
        <v>277</v>
      </c>
      <c r="E84" s="355">
        <f>'PART-A'!K767</f>
        <v>474.83999999999992</v>
      </c>
      <c r="F84" s="353">
        <f t="shared" si="0"/>
        <v>3561</v>
      </c>
      <c r="G84" s="353"/>
      <c r="H84" s="353"/>
      <c r="I84" s="368">
        <f t="shared" si="6"/>
        <v>7.5</v>
      </c>
      <c r="J84" s="368">
        <f t="shared" si="7"/>
        <v>3561</v>
      </c>
      <c r="K84" s="360" t="s">
        <v>2217</v>
      </c>
    </row>
    <row r="85" spans="1:11" s="360" customFormat="1" ht="20.25" hidden="1" customHeight="1">
      <c r="A85" s="356" t="s">
        <v>2455</v>
      </c>
      <c r="B85" s="357" t="s">
        <v>2010</v>
      </c>
      <c r="C85" s="358">
        <f>'PART-A'!I772</f>
        <v>0</v>
      </c>
      <c r="D85" s="354" t="s">
        <v>277</v>
      </c>
      <c r="E85" s="355">
        <f>'PART-A'!K772</f>
        <v>482.90999999999997</v>
      </c>
      <c r="F85" s="353">
        <f>ROUND(C85*E85,0)</f>
        <v>0</v>
      </c>
      <c r="G85" s="353"/>
      <c r="H85" s="353"/>
      <c r="I85" s="368">
        <f>C85-G85</f>
        <v>0</v>
      </c>
      <c r="J85" s="368">
        <f>F85-H85</f>
        <v>0</v>
      </c>
      <c r="K85" s="360" t="s">
        <v>2299</v>
      </c>
    </row>
    <row r="86" spans="1:11" s="360" customFormat="1" ht="20.25" hidden="1" customHeight="1">
      <c r="A86" s="356" t="s">
        <v>484</v>
      </c>
      <c r="B86" s="357" t="s">
        <v>2010</v>
      </c>
      <c r="C86" s="358">
        <f>'PART-A'!I778</f>
        <v>0</v>
      </c>
      <c r="D86" s="354" t="s">
        <v>277</v>
      </c>
      <c r="E86" s="355">
        <f>'PART-A'!K778</f>
        <v>507.79999999999995</v>
      </c>
      <c r="F86" s="353">
        <f>ROUND(C86*E86,0)</f>
        <v>0</v>
      </c>
      <c r="G86" s="353"/>
      <c r="H86" s="353"/>
      <c r="I86" s="368">
        <f>C86-G86</f>
        <v>0</v>
      </c>
      <c r="J86" s="368">
        <f>F86-H86</f>
        <v>0</v>
      </c>
      <c r="K86" s="360" t="s">
        <v>2312</v>
      </c>
    </row>
    <row r="87" spans="1:11" s="360" customFormat="1" ht="20.25" hidden="1" customHeight="1">
      <c r="A87" s="356" t="s">
        <v>474</v>
      </c>
      <c r="B87" s="357" t="s">
        <v>2010</v>
      </c>
      <c r="C87" s="358">
        <f>'PART-A'!I783</f>
        <v>0</v>
      </c>
      <c r="D87" s="354" t="s">
        <v>277</v>
      </c>
      <c r="E87" s="355">
        <f>'PART-A'!K783</f>
        <v>518.52</v>
      </c>
      <c r="F87" s="353">
        <f>ROUND(C87*E87,0)</f>
        <v>0</v>
      </c>
      <c r="G87" s="353"/>
      <c r="H87" s="353"/>
      <c r="I87" s="368">
        <f>C87-G87</f>
        <v>0</v>
      </c>
      <c r="J87" s="368">
        <f>F87-H87</f>
        <v>0</v>
      </c>
      <c r="K87" s="360" t="s">
        <v>2313</v>
      </c>
    </row>
    <row r="88" spans="1:11" s="360" customFormat="1" ht="20.25" hidden="1" customHeight="1">
      <c r="A88" s="356" t="s">
        <v>475</v>
      </c>
      <c r="B88" s="357" t="s">
        <v>2221</v>
      </c>
      <c r="C88" s="358">
        <f>'PART-A'!I790</f>
        <v>0</v>
      </c>
      <c r="D88" s="221" t="s">
        <v>102</v>
      </c>
      <c r="E88" s="355">
        <f>'PART-A'!K790</f>
        <v>259.97000000000003</v>
      </c>
      <c r="F88" s="353">
        <f t="shared" si="0"/>
        <v>0</v>
      </c>
      <c r="G88" s="353"/>
      <c r="H88" s="353"/>
      <c r="I88" s="368">
        <f t="shared" si="6"/>
        <v>0</v>
      </c>
      <c r="J88" s="368">
        <f t="shared" si="7"/>
        <v>0</v>
      </c>
      <c r="K88" s="360" t="s">
        <v>2217</v>
      </c>
    </row>
    <row r="89" spans="1:11" s="360" customFormat="1" ht="20.25" hidden="1" customHeight="1">
      <c r="A89" s="356" t="s">
        <v>480</v>
      </c>
      <c r="B89" s="357" t="s">
        <v>2221</v>
      </c>
      <c r="C89" s="358">
        <f>'PART-A'!I797</f>
        <v>0</v>
      </c>
      <c r="D89" s="221" t="s">
        <v>102</v>
      </c>
      <c r="E89" s="355">
        <f>'PART-A'!K797</f>
        <v>280.02999999999997</v>
      </c>
      <c r="F89" s="353">
        <f>ROUND(C89*E89,0)</f>
        <v>0</v>
      </c>
      <c r="G89" s="353"/>
      <c r="H89" s="353"/>
      <c r="I89" s="368">
        <f>C89-G89</f>
        <v>0</v>
      </c>
      <c r="J89" s="368">
        <f>F89-H89</f>
        <v>0</v>
      </c>
      <c r="K89" s="360" t="s">
        <v>2299</v>
      </c>
    </row>
    <row r="90" spans="1:11" s="360" customFormat="1" ht="20.25" hidden="1" customHeight="1">
      <c r="A90" s="356" t="s">
        <v>493</v>
      </c>
      <c r="B90" s="357" t="s">
        <v>2221</v>
      </c>
      <c r="C90" s="358">
        <f>'PART-A'!I803</f>
        <v>0</v>
      </c>
      <c r="D90" s="221" t="s">
        <v>102</v>
      </c>
      <c r="E90" s="355">
        <f>'PART-A'!K803</f>
        <v>297.22000000000003</v>
      </c>
      <c r="F90" s="353">
        <f>ROUND(C90*E90,0)</f>
        <v>0</v>
      </c>
      <c r="G90" s="353"/>
      <c r="H90" s="353"/>
      <c r="I90" s="368">
        <f>C90-G90</f>
        <v>0</v>
      </c>
      <c r="J90" s="368">
        <f>F90-H90</f>
        <v>0</v>
      </c>
      <c r="K90" s="360" t="s">
        <v>2312</v>
      </c>
    </row>
    <row r="91" spans="1:11" s="360" customFormat="1" ht="20.25" hidden="1" customHeight="1">
      <c r="A91" s="356" t="s">
        <v>493</v>
      </c>
      <c r="B91" s="357" t="s">
        <v>2221</v>
      </c>
      <c r="C91" s="358">
        <f>'PART-A'!I809</f>
        <v>0</v>
      </c>
      <c r="D91" s="221" t="s">
        <v>102</v>
      </c>
      <c r="E91" s="355">
        <f>'PART-A'!K809</f>
        <v>315.69</v>
      </c>
      <c r="F91" s="353">
        <f>ROUND(C91*E91,0)</f>
        <v>0</v>
      </c>
      <c r="G91" s="353"/>
      <c r="H91" s="353"/>
      <c r="I91" s="368">
        <f>C91-G91</f>
        <v>0</v>
      </c>
      <c r="J91" s="368">
        <f>F91-H91</f>
        <v>0</v>
      </c>
      <c r="K91" s="360" t="s">
        <v>2313</v>
      </c>
    </row>
    <row r="92" spans="1:11" s="360" customFormat="1" ht="20.25" hidden="1" customHeight="1">
      <c r="A92" s="356" t="s">
        <v>474</v>
      </c>
      <c r="B92" s="357" t="s">
        <v>2222</v>
      </c>
      <c r="C92" s="358">
        <f>'PART-A'!I815</f>
        <v>0</v>
      </c>
      <c r="D92" s="221" t="s">
        <v>102</v>
      </c>
      <c r="E92" s="355">
        <f>'PART-A'!K815</f>
        <v>330.39</v>
      </c>
      <c r="F92" s="353">
        <f t="shared" si="0"/>
        <v>0</v>
      </c>
      <c r="G92" s="368"/>
      <c r="H92" s="368"/>
      <c r="I92" s="368">
        <f t="shared" si="6"/>
        <v>0</v>
      </c>
      <c r="J92" s="368">
        <f t="shared" si="7"/>
        <v>0</v>
      </c>
      <c r="K92" s="360" t="s">
        <v>2217</v>
      </c>
    </row>
    <row r="93" spans="1:11" s="360" customFormat="1" ht="20.25" hidden="1" customHeight="1">
      <c r="A93" s="356" t="s">
        <v>474</v>
      </c>
      <c r="B93" s="357" t="s">
        <v>2222</v>
      </c>
      <c r="C93" s="358">
        <f>'PART-A'!I822</f>
        <v>0</v>
      </c>
      <c r="D93" s="221" t="s">
        <v>102</v>
      </c>
      <c r="E93" s="355">
        <f>'PART-A'!K822</f>
        <v>357.62</v>
      </c>
      <c r="F93" s="353">
        <f>ROUND(C93*E93,0)</f>
        <v>0</v>
      </c>
      <c r="G93" s="368"/>
      <c r="H93" s="368"/>
      <c r="I93" s="368">
        <f>C93-G93</f>
        <v>0</v>
      </c>
      <c r="J93" s="368">
        <f>F93-H93</f>
        <v>0</v>
      </c>
      <c r="K93" s="360" t="s">
        <v>2299</v>
      </c>
    </row>
    <row r="94" spans="1:11" s="360" customFormat="1" ht="20.25" hidden="1" customHeight="1">
      <c r="A94" s="356" t="s">
        <v>474</v>
      </c>
      <c r="B94" s="357" t="s">
        <v>2222</v>
      </c>
      <c r="C94" s="358">
        <f>'PART-A'!I828</f>
        <v>0</v>
      </c>
      <c r="D94" s="221" t="s">
        <v>102</v>
      </c>
      <c r="E94" s="355">
        <f>'PART-A'!K828</f>
        <v>380.75</v>
      </c>
      <c r="F94" s="353">
        <f>ROUND(C94*E94,0)</f>
        <v>0</v>
      </c>
      <c r="G94" s="368"/>
      <c r="H94" s="368"/>
      <c r="I94" s="368">
        <f>C94-G94</f>
        <v>0</v>
      </c>
      <c r="J94" s="368">
        <f>F94-H94</f>
        <v>0</v>
      </c>
      <c r="K94" s="360" t="s">
        <v>2312</v>
      </c>
    </row>
    <row r="95" spans="1:11" s="360" customFormat="1" ht="20.25" hidden="1" customHeight="1">
      <c r="A95" s="356" t="s">
        <v>474</v>
      </c>
      <c r="B95" s="357" t="s">
        <v>2222</v>
      </c>
      <c r="C95" s="358">
        <f>'PART-A'!I834</f>
        <v>0</v>
      </c>
      <c r="D95" s="221" t="s">
        <v>102</v>
      </c>
      <c r="E95" s="355">
        <f>'PART-A'!K834</f>
        <v>405.78</v>
      </c>
      <c r="F95" s="353">
        <f>ROUND(C95*E95,0)</f>
        <v>0</v>
      </c>
      <c r="G95" s="368"/>
      <c r="H95" s="368"/>
      <c r="I95" s="368">
        <f>C95-G95</f>
        <v>0</v>
      </c>
      <c r="J95" s="368">
        <f>F95-H95</f>
        <v>0</v>
      </c>
      <c r="K95" s="360" t="s">
        <v>2313</v>
      </c>
    </row>
    <row r="96" spans="1:11" s="360" customFormat="1" ht="20.25" hidden="1" customHeight="1">
      <c r="A96" s="356" t="s">
        <v>475</v>
      </c>
      <c r="B96" s="357" t="s">
        <v>2071</v>
      </c>
      <c r="C96" s="358">
        <f>'PART-A'!I1509</f>
        <v>0</v>
      </c>
      <c r="D96" s="354" t="s">
        <v>5</v>
      </c>
      <c r="E96" s="355">
        <f>'PART-A'!K1509</f>
        <v>4946.1699999999992</v>
      </c>
      <c r="F96" s="353">
        <f t="shared" si="0"/>
        <v>0</v>
      </c>
      <c r="G96" s="368"/>
      <c r="H96" s="368"/>
      <c r="I96" s="368">
        <f t="shared" si="6"/>
        <v>0</v>
      </c>
      <c r="J96" s="368">
        <f t="shared" si="7"/>
        <v>0</v>
      </c>
      <c r="K96" s="360" t="s">
        <v>2217</v>
      </c>
    </row>
    <row r="97" spans="1:11" s="360" customFormat="1" ht="20.25" hidden="1" customHeight="1">
      <c r="A97" s="356" t="s">
        <v>474</v>
      </c>
      <c r="B97" s="357" t="s">
        <v>2071</v>
      </c>
      <c r="C97" s="358">
        <f>'PART-A'!I1516</f>
        <v>0</v>
      </c>
      <c r="D97" s="354" t="s">
        <v>5</v>
      </c>
      <c r="E97" s="355">
        <f>'PART-A'!K1516</f>
        <v>5115.5200000000004</v>
      </c>
      <c r="F97" s="353">
        <f>ROUND(C97*E97,0)</f>
        <v>0</v>
      </c>
      <c r="G97" s="368"/>
      <c r="H97" s="368"/>
      <c r="I97" s="368">
        <f>C97-G97</f>
        <v>0</v>
      </c>
      <c r="J97" s="368">
        <f>F97-H97</f>
        <v>0</v>
      </c>
      <c r="K97" s="360" t="s">
        <v>2299</v>
      </c>
    </row>
    <row r="98" spans="1:11" s="360" customFormat="1" ht="20.25" hidden="1" customHeight="1">
      <c r="A98" s="356" t="s">
        <v>474</v>
      </c>
      <c r="B98" s="357" t="s">
        <v>2071</v>
      </c>
      <c r="C98" s="358">
        <f>'PART-A'!I1523</f>
        <v>0</v>
      </c>
      <c r="D98" s="354" t="s">
        <v>5</v>
      </c>
      <c r="E98" s="355">
        <f>'PART-A'!K1523</f>
        <v>5349.0700000000006</v>
      </c>
      <c r="F98" s="353">
        <f>ROUND(C98*E98,0)</f>
        <v>0</v>
      </c>
      <c r="G98" s="368"/>
      <c r="H98" s="368"/>
      <c r="I98" s="368">
        <f>C98-G98</f>
        <v>0</v>
      </c>
      <c r="J98" s="368">
        <f>F98-H98</f>
        <v>0</v>
      </c>
      <c r="K98" s="360" t="s">
        <v>2312</v>
      </c>
    </row>
    <row r="99" spans="1:11" s="360" customFormat="1" ht="20.25" hidden="1" customHeight="1">
      <c r="A99" s="356" t="s">
        <v>474</v>
      </c>
      <c r="B99" s="357" t="s">
        <v>2071</v>
      </c>
      <c r="C99" s="358">
        <f>'PART-A'!I1528</f>
        <v>0</v>
      </c>
      <c r="D99" s="354" t="s">
        <v>5</v>
      </c>
      <c r="E99" s="355">
        <f>'PART-A'!K1528</f>
        <v>5601.67</v>
      </c>
      <c r="F99" s="353">
        <f>ROUND(C99*E99,0)</f>
        <v>0</v>
      </c>
      <c r="G99" s="368"/>
      <c r="H99" s="368"/>
      <c r="I99" s="368">
        <f>C99-G99</f>
        <v>0</v>
      </c>
      <c r="J99" s="368">
        <f>F99-H99</f>
        <v>0</v>
      </c>
      <c r="K99" s="360" t="s">
        <v>2313</v>
      </c>
    </row>
    <row r="100" spans="1:11" s="360" customFormat="1" ht="20.25" hidden="1" customHeight="1">
      <c r="A100" s="356" t="s">
        <v>475</v>
      </c>
      <c r="B100" s="357" t="s">
        <v>2224</v>
      </c>
      <c r="C100" s="358">
        <f>'PART-A'!I841</f>
        <v>0</v>
      </c>
      <c r="D100" s="354" t="s">
        <v>5</v>
      </c>
      <c r="E100" s="355">
        <f>'PART-A'!K841</f>
        <v>3154.94</v>
      </c>
      <c r="F100" s="353">
        <f t="shared" si="0"/>
        <v>0</v>
      </c>
      <c r="G100" s="353"/>
      <c r="H100" s="353"/>
      <c r="I100" s="368">
        <f t="shared" si="6"/>
        <v>0</v>
      </c>
      <c r="J100" s="368">
        <f t="shared" si="7"/>
        <v>0</v>
      </c>
      <c r="K100" s="360" t="s">
        <v>2217</v>
      </c>
    </row>
    <row r="101" spans="1:11" s="360" customFormat="1" ht="20.25" hidden="1" customHeight="1">
      <c r="A101" s="356" t="s">
        <v>475</v>
      </c>
      <c r="B101" s="357" t="s">
        <v>2224</v>
      </c>
      <c r="C101" s="358">
        <f>'PART-A'!I848</f>
        <v>0</v>
      </c>
      <c r="D101" s="354" t="s">
        <v>5</v>
      </c>
      <c r="E101" s="355">
        <f>'PART-A'!K848</f>
        <v>3350.54</v>
      </c>
      <c r="F101" s="353">
        <f>ROUND(C101*E101,0)</f>
        <v>0</v>
      </c>
      <c r="G101" s="353"/>
      <c r="H101" s="353"/>
      <c r="I101" s="368">
        <f>C101-G101</f>
        <v>0</v>
      </c>
      <c r="J101" s="368">
        <f>F101-H101</f>
        <v>0</v>
      </c>
      <c r="K101" s="360" t="s">
        <v>2299</v>
      </c>
    </row>
    <row r="102" spans="1:11" s="360" customFormat="1" ht="20.25" hidden="1" customHeight="1">
      <c r="A102" s="356" t="s">
        <v>475</v>
      </c>
      <c r="B102" s="357" t="s">
        <v>2224</v>
      </c>
      <c r="C102" s="358">
        <f>'PART-A'!I855</f>
        <v>0</v>
      </c>
      <c r="D102" s="354" t="s">
        <v>5</v>
      </c>
      <c r="E102" s="355">
        <f>'PART-A'!K855</f>
        <v>3615.1600000000003</v>
      </c>
      <c r="F102" s="353">
        <f>ROUND(C102*E102,0)</f>
        <v>0</v>
      </c>
      <c r="G102" s="353"/>
      <c r="H102" s="353"/>
      <c r="I102" s="368">
        <f>C102-G102</f>
        <v>0</v>
      </c>
      <c r="J102" s="368">
        <f>F102-H102</f>
        <v>0</v>
      </c>
      <c r="K102" s="360" t="s">
        <v>2312</v>
      </c>
    </row>
    <row r="103" spans="1:11" s="360" customFormat="1" ht="20.25" hidden="1" customHeight="1">
      <c r="A103" s="356" t="s">
        <v>475</v>
      </c>
      <c r="B103" s="357" t="s">
        <v>2224</v>
      </c>
      <c r="C103" s="358">
        <f>'PART-A'!I862</f>
        <v>0</v>
      </c>
      <c r="D103" s="354" t="s">
        <v>5</v>
      </c>
      <c r="E103" s="355">
        <f>'PART-A'!K862</f>
        <v>3828.3500000000004</v>
      </c>
      <c r="F103" s="353">
        <f>ROUND(C103*E103,0)</f>
        <v>0</v>
      </c>
      <c r="G103" s="353"/>
      <c r="H103" s="353"/>
      <c r="I103" s="368">
        <f>C103-G103</f>
        <v>0</v>
      </c>
      <c r="J103" s="368">
        <f>F103-H103</f>
        <v>0</v>
      </c>
      <c r="K103" s="360" t="s">
        <v>2313</v>
      </c>
    </row>
    <row r="104" spans="1:11" s="360" customFormat="1" ht="20.25" customHeight="1">
      <c r="A104" s="356" t="s">
        <v>475</v>
      </c>
      <c r="B104" s="357" t="s">
        <v>2105</v>
      </c>
      <c r="C104" s="358">
        <f>'PART-A'!I876</f>
        <v>22.569999999999997</v>
      </c>
      <c r="D104" s="354" t="s">
        <v>5</v>
      </c>
      <c r="E104" s="355">
        <f>'PART-A'!K876</f>
        <v>5588.9500000000007</v>
      </c>
      <c r="F104" s="353">
        <f t="shared" si="0"/>
        <v>126143</v>
      </c>
      <c r="G104" s="368"/>
      <c r="H104" s="368"/>
      <c r="I104" s="368">
        <f t="shared" si="6"/>
        <v>22.569999999999997</v>
      </c>
      <c r="J104" s="368">
        <f t="shared" si="7"/>
        <v>126143</v>
      </c>
      <c r="K104" s="360" t="s">
        <v>2217</v>
      </c>
    </row>
    <row r="105" spans="1:11" s="360" customFormat="1" ht="20.25" hidden="1" customHeight="1">
      <c r="A105" s="356" t="s">
        <v>483</v>
      </c>
      <c r="B105" s="357" t="s">
        <v>2105</v>
      </c>
      <c r="C105" s="358">
        <f>'PART-A'!I885</f>
        <v>0</v>
      </c>
      <c r="D105" s="354" t="s">
        <v>5</v>
      </c>
      <c r="E105" s="355">
        <f>'PART-A'!K885</f>
        <v>5751.7699999999995</v>
      </c>
      <c r="F105" s="353">
        <f t="shared" ref="F105" si="9">ROUND(C105*E105,0)</f>
        <v>0</v>
      </c>
      <c r="G105" s="368"/>
      <c r="H105" s="368"/>
      <c r="I105" s="368">
        <f>C105-G105</f>
        <v>0</v>
      </c>
      <c r="J105" s="368">
        <f>F105-H105</f>
        <v>0</v>
      </c>
      <c r="K105" s="360" t="s">
        <v>2299</v>
      </c>
    </row>
    <row r="106" spans="1:11" s="360" customFormat="1" ht="20.25" hidden="1" customHeight="1">
      <c r="A106" s="356" t="s">
        <v>484</v>
      </c>
      <c r="B106" s="357" t="s">
        <v>2105</v>
      </c>
      <c r="C106" s="358">
        <f>'PART-A'!I896</f>
        <v>0</v>
      </c>
      <c r="D106" s="354" t="s">
        <v>5</v>
      </c>
      <c r="E106" s="355">
        <f>'PART-A'!K896</f>
        <v>6154.1100000000006</v>
      </c>
      <c r="F106" s="353">
        <f>ROUND(C106*E106,0)</f>
        <v>0</v>
      </c>
      <c r="G106" s="368"/>
      <c r="H106" s="368"/>
      <c r="I106" s="368">
        <f>C106-G106</f>
        <v>0</v>
      </c>
      <c r="J106" s="368">
        <f>F106-H106</f>
        <v>0</v>
      </c>
      <c r="K106" s="360" t="s">
        <v>2312</v>
      </c>
    </row>
    <row r="107" spans="1:11" s="360" customFormat="1" ht="20.25" hidden="1" customHeight="1">
      <c r="A107" s="356" t="s">
        <v>1516</v>
      </c>
      <c r="B107" s="357" t="s">
        <v>2105</v>
      </c>
      <c r="C107" s="358">
        <f>'PART-A'!I914</f>
        <v>0</v>
      </c>
      <c r="D107" s="354" t="s">
        <v>5</v>
      </c>
      <c r="E107" s="355">
        <f>'PART-A'!K914</f>
        <v>6869.83</v>
      </c>
      <c r="F107" s="353">
        <f>ROUND(C107*E107,0)</f>
        <v>0</v>
      </c>
      <c r="G107" s="368"/>
      <c r="H107" s="368"/>
      <c r="I107" s="368">
        <f>C107-G107</f>
        <v>0</v>
      </c>
      <c r="J107" s="368">
        <f>F107-H107</f>
        <v>0</v>
      </c>
      <c r="K107" s="360" t="s">
        <v>2313</v>
      </c>
    </row>
    <row r="108" spans="1:11" s="360" customFormat="1" ht="20.25" customHeight="1">
      <c r="A108" s="356" t="s">
        <v>476</v>
      </c>
      <c r="B108" s="357" t="s">
        <v>2139</v>
      </c>
      <c r="C108" s="358">
        <f>'PART-A'!I934</f>
        <v>17.52</v>
      </c>
      <c r="D108" s="354" t="s">
        <v>5</v>
      </c>
      <c r="E108" s="355">
        <f>'PART-A'!K934</f>
        <v>5645.35</v>
      </c>
      <c r="F108" s="353">
        <f t="shared" si="0"/>
        <v>98907</v>
      </c>
      <c r="G108" s="353"/>
      <c r="H108" s="353"/>
      <c r="I108" s="368">
        <f t="shared" si="6"/>
        <v>17.52</v>
      </c>
      <c r="J108" s="368">
        <f t="shared" si="7"/>
        <v>98907</v>
      </c>
      <c r="K108" s="360" t="s">
        <v>2217</v>
      </c>
    </row>
    <row r="109" spans="1:11" s="360" customFormat="1" ht="20.25" hidden="1" customHeight="1">
      <c r="A109" s="356" t="s">
        <v>485</v>
      </c>
      <c r="B109" s="357" t="s">
        <v>2139</v>
      </c>
      <c r="C109" s="358">
        <f>'PART-A'!I950</f>
        <v>0</v>
      </c>
      <c r="D109" s="354" t="s">
        <v>5</v>
      </c>
      <c r="E109" s="355">
        <f>'PART-A'!K950</f>
        <v>5808.1699999999992</v>
      </c>
      <c r="F109" s="353">
        <f>ROUND(C109*E109,0)</f>
        <v>0</v>
      </c>
      <c r="G109" s="353"/>
      <c r="H109" s="353"/>
      <c r="I109" s="368">
        <f>C109-G109</f>
        <v>0</v>
      </c>
      <c r="J109" s="368">
        <f>F109-H109</f>
        <v>0</v>
      </c>
      <c r="K109" s="360" t="s">
        <v>2299</v>
      </c>
    </row>
    <row r="110" spans="1:11" s="360" customFormat="1" ht="20.25" hidden="1" customHeight="1">
      <c r="A110" s="356" t="s">
        <v>483</v>
      </c>
      <c r="B110" s="357" t="s">
        <v>2139</v>
      </c>
      <c r="C110" s="358">
        <f>'PART-A'!I956</f>
        <v>0</v>
      </c>
      <c r="D110" s="354" t="s">
        <v>5</v>
      </c>
      <c r="E110" s="355">
        <f>'PART-A'!K956</f>
        <v>6210.51</v>
      </c>
      <c r="F110" s="353">
        <f>ROUND(C110*E110,0)</f>
        <v>0</v>
      </c>
      <c r="G110" s="353"/>
      <c r="H110" s="353"/>
      <c r="I110" s="368">
        <f>C110-G110</f>
        <v>0</v>
      </c>
      <c r="J110" s="368">
        <f>F110-H110</f>
        <v>0</v>
      </c>
      <c r="K110" s="360" t="s">
        <v>2312</v>
      </c>
    </row>
    <row r="111" spans="1:11" s="360" customFormat="1" ht="20.25" hidden="1" customHeight="1">
      <c r="A111" s="356" t="s">
        <v>478</v>
      </c>
      <c r="B111" s="357" t="s">
        <v>2139</v>
      </c>
      <c r="C111" s="358">
        <f>'PART-A'!I1010</f>
        <v>0</v>
      </c>
      <c r="D111" s="354" t="s">
        <v>5</v>
      </c>
      <c r="E111" s="355">
        <f>'PART-A'!K1010</f>
        <v>6926.2300000000005</v>
      </c>
      <c r="F111" s="353">
        <f>ROUND(C111*E111,0)</f>
        <v>0</v>
      </c>
      <c r="G111" s="353"/>
      <c r="H111" s="353"/>
      <c r="I111" s="368">
        <f>C111-G111</f>
        <v>0</v>
      </c>
      <c r="J111" s="368">
        <f>F111-H111</f>
        <v>0</v>
      </c>
      <c r="K111" s="360" t="s">
        <v>2313</v>
      </c>
    </row>
    <row r="112" spans="1:11" s="360" customFormat="1">
      <c r="A112" s="356" t="s">
        <v>478</v>
      </c>
      <c r="B112" s="357" t="s">
        <v>3687</v>
      </c>
      <c r="C112" s="358">
        <f>'PART-A'!I1037</f>
        <v>78.33</v>
      </c>
      <c r="D112" s="354" t="s">
        <v>102</v>
      </c>
      <c r="E112" s="355">
        <f>'PART-A'!K1037</f>
        <v>710.66</v>
      </c>
      <c r="F112" s="353">
        <f t="shared" ref="F112:F121" si="10">ROUND(C112*E112/1,0)</f>
        <v>55666</v>
      </c>
      <c r="G112" s="353"/>
      <c r="H112" s="353"/>
      <c r="I112" s="368">
        <f t="shared" si="6"/>
        <v>78.33</v>
      </c>
      <c r="J112" s="368">
        <f t="shared" si="7"/>
        <v>55666</v>
      </c>
      <c r="K112" s="360" t="s">
        <v>2217</v>
      </c>
    </row>
    <row r="113" spans="1:11" s="360" customFormat="1" hidden="1">
      <c r="A113" s="356" t="s">
        <v>486</v>
      </c>
      <c r="B113" s="357" t="s">
        <v>3687</v>
      </c>
      <c r="C113" s="358">
        <f>'PART-A'!I1060</f>
        <v>0</v>
      </c>
      <c r="D113" s="354" t="s">
        <v>102</v>
      </c>
      <c r="E113" s="355">
        <f>'PART-A'!K1060</f>
        <v>732.88</v>
      </c>
      <c r="F113" s="353">
        <f t="shared" si="10"/>
        <v>0</v>
      </c>
      <c r="G113" s="353"/>
      <c r="H113" s="353"/>
      <c r="I113" s="368">
        <f>C113-G113</f>
        <v>0</v>
      </c>
      <c r="J113" s="368">
        <f>F113-H113</f>
        <v>0</v>
      </c>
      <c r="K113" s="360" t="s">
        <v>2299</v>
      </c>
    </row>
    <row r="114" spans="1:11" s="360" customFormat="1" hidden="1">
      <c r="A114" s="356" t="s">
        <v>487</v>
      </c>
      <c r="B114" s="357" t="s">
        <v>3687</v>
      </c>
      <c r="C114" s="358">
        <f>'PART-A'!I1067</f>
        <v>0</v>
      </c>
      <c r="D114" s="354" t="s">
        <v>102</v>
      </c>
      <c r="E114" s="355">
        <f>'PART-A'!K1067</f>
        <v>782.58</v>
      </c>
      <c r="F114" s="353">
        <f>ROUND(C114*E114/1,0)</f>
        <v>0</v>
      </c>
      <c r="G114" s="353"/>
      <c r="H114" s="353"/>
      <c r="I114" s="368">
        <f>C114-G114</f>
        <v>0</v>
      </c>
      <c r="J114" s="368">
        <f>F114-H114</f>
        <v>0</v>
      </c>
      <c r="K114" s="360" t="s">
        <v>2312</v>
      </c>
    </row>
    <row r="115" spans="1:11" s="360" customFormat="1" hidden="1">
      <c r="A115" s="356" t="s">
        <v>479</v>
      </c>
      <c r="B115" s="357" t="s">
        <v>3687</v>
      </c>
      <c r="C115" s="358">
        <f>'PART-A'!I1121</f>
        <v>0</v>
      </c>
      <c r="D115" s="354" t="s">
        <v>102</v>
      </c>
      <c r="E115" s="355">
        <f>'PART-A'!K1121</f>
        <v>865.32</v>
      </c>
      <c r="F115" s="353">
        <f>ROUND(C115*E115/1,0)</f>
        <v>0</v>
      </c>
      <c r="G115" s="353"/>
      <c r="H115" s="353"/>
      <c r="I115" s="368">
        <f>C115-G115</f>
        <v>0</v>
      </c>
      <c r="J115" s="368">
        <f>F115-H115</f>
        <v>0</v>
      </c>
      <c r="K115" s="360" t="s">
        <v>2313</v>
      </c>
    </row>
    <row r="116" spans="1:11" s="360" customFormat="1" hidden="1">
      <c r="A116" s="356" t="s">
        <v>479</v>
      </c>
      <c r="B116" s="357" t="s">
        <v>1221</v>
      </c>
      <c r="C116" s="358">
        <f>'PART-A'!I1129</f>
        <v>0</v>
      </c>
      <c r="D116" s="354" t="s">
        <v>102</v>
      </c>
      <c r="E116" s="355">
        <f>'PART-A'!K1129</f>
        <v>5224.74</v>
      </c>
      <c r="F116" s="353">
        <f t="shared" si="10"/>
        <v>0</v>
      </c>
      <c r="G116" s="368"/>
      <c r="H116" s="368"/>
      <c r="I116" s="368">
        <f t="shared" si="6"/>
        <v>0</v>
      </c>
      <c r="J116" s="368">
        <f t="shared" si="7"/>
        <v>0</v>
      </c>
      <c r="K116" s="360" t="s">
        <v>2217</v>
      </c>
    </row>
    <row r="117" spans="1:11" s="360" customFormat="1" hidden="1">
      <c r="A117" s="356" t="s">
        <v>479</v>
      </c>
      <c r="B117" s="357" t="s">
        <v>1221</v>
      </c>
      <c r="C117" s="358">
        <f>'PART-A'!I1137</f>
        <v>0</v>
      </c>
      <c r="D117" s="354" t="s">
        <v>102</v>
      </c>
      <c r="E117" s="355">
        <f>'PART-A'!K1137</f>
        <v>5403.9299999999994</v>
      </c>
      <c r="F117" s="353">
        <f t="shared" si="10"/>
        <v>0</v>
      </c>
      <c r="G117" s="368"/>
      <c r="H117" s="368"/>
      <c r="I117" s="368">
        <f>C117-G117</f>
        <v>0</v>
      </c>
      <c r="J117" s="368">
        <f>F117-H117</f>
        <v>0</v>
      </c>
      <c r="K117" s="360" t="s">
        <v>2299</v>
      </c>
    </row>
    <row r="118" spans="1:11" s="360" customFormat="1" hidden="1">
      <c r="A118" s="356" t="s">
        <v>479</v>
      </c>
      <c r="B118" s="357" t="s">
        <v>1221</v>
      </c>
      <c r="C118" s="358">
        <f>'PART-A'!I1145</f>
        <v>0</v>
      </c>
      <c r="D118" s="354" t="s">
        <v>102</v>
      </c>
      <c r="E118" s="355">
        <f>'PART-A'!K1145</f>
        <v>5899.35</v>
      </c>
      <c r="F118" s="353">
        <f t="shared" ref="F118:F119" si="11">ROUND(C118*E118/1,0)</f>
        <v>0</v>
      </c>
      <c r="G118" s="368"/>
      <c r="H118" s="368"/>
      <c r="I118" s="368">
        <f>C118-G118</f>
        <v>0</v>
      </c>
      <c r="J118" s="368">
        <f>F118-H118</f>
        <v>0</v>
      </c>
      <c r="K118" s="360" t="s">
        <v>2312</v>
      </c>
    </row>
    <row r="119" spans="1:11" s="360" customFormat="1" hidden="1">
      <c r="A119" s="356" t="s">
        <v>479</v>
      </c>
      <c r="B119" s="357" t="s">
        <v>1221</v>
      </c>
      <c r="C119" s="358">
        <f>'PART-A'!I1153</f>
        <v>0</v>
      </c>
      <c r="D119" s="354" t="s">
        <v>102</v>
      </c>
      <c r="E119" s="355">
        <f>'PART-A'!K1153</f>
        <v>6281.3700000000008</v>
      </c>
      <c r="F119" s="353">
        <f t="shared" si="11"/>
        <v>0</v>
      </c>
      <c r="G119" s="368"/>
      <c r="H119" s="368"/>
      <c r="I119" s="368">
        <f>C119-G119</f>
        <v>0</v>
      </c>
      <c r="J119" s="368">
        <f>F119-H119</f>
        <v>0</v>
      </c>
      <c r="K119" s="360" t="s">
        <v>2313</v>
      </c>
    </row>
    <row r="120" spans="1:11" s="360" customFormat="1" hidden="1">
      <c r="A120" s="356" t="s">
        <v>478</v>
      </c>
      <c r="B120" s="357" t="s">
        <v>1214</v>
      </c>
      <c r="C120" s="358">
        <f>'PART-A'!I1159</f>
        <v>0</v>
      </c>
      <c r="D120" s="354" t="s">
        <v>102</v>
      </c>
      <c r="E120" s="355">
        <f>'PART-A'!K1159</f>
        <v>1815.79</v>
      </c>
      <c r="F120" s="353">
        <f t="shared" si="10"/>
        <v>0</v>
      </c>
      <c r="G120" s="368"/>
      <c r="H120" s="368"/>
      <c r="I120" s="368">
        <f t="shared" si="6"/>
        <v>0</v>
      </c>
      <c r="J120" s="368">
        <f t="shared" si="7"/>
        <v>0</v>
      </c>
      <c r="K120" s="360" t="s">
        <v>2217</v>
      </c>
    </row>
    <row r="121" spans="1:11" s="360" customFormat="1" hidden="1">
      <c r="A121" s="356" t="s">
        <v>476</v>
      </c>
      <c r="B121" s="357" t="s">
        <v>1214</v>
      </c>
      <c r="C121" s="358">
        <f>'PART-A'!I1166</f>
        <v>0</v>
      </c>
      <c r="D121" s="354" t="s">
        <v>102</v>
      </c>
      <c r="E121" s="355">
        <f>'PART-A'!K1166</f>
        <v>1966.77</v>
      </c>
      <c r="F121" s="353">
        <f t="shared" si="10"/>
        <v>0</v>
      </c>
      <c r="G121" s="368"/>
      <c r="H121" s="368"/>
      <c r="I121" s="368">
        <f>C121-G121</f>
        <v>0</v>
      </c>
      <c r="J121" s="368">
        <f>F121-H121</f>
        <v>0</v>
      </c>
      <c r="K121" s="360" t="s">
        <v>2299</v>
      </c>
    </row>
    <row r="122" spans="1:11" s="360" customFormat="1" hidden="1">
      <c r="A122" s="356" t="s">
        <v>485</v>
      </c>
      <c r="B122" s="357" t="s">
        <v>1214</v>
      </c>
      <c r="C122" s="358">
        <f>'PART-A'!I1171</f>
        <v>0</v>
      </c>
      <c r="D122" s="354" t="s">
        <v>102</v>
      </c>
      <c r="E122" s="355">
        <f>'PART-A'!K1171</f>
        <v>2093.16</v>
      </c>
      <c r="F122" s="353">
        <f>ROUND(C122*E122/1,0)</f>
        <v>0</v>
      </c>
      <c r="G122" s="368"/>
      <c r="H122" s="368"/>
      <c r="I122" s="368">
        <f>C122-G122</f>
        <v>0</v>
      </c>
      <c r="J122" s="368">
        <f>F122-H122</f>
        <v>0</v>
      </c>
      <c r="K122" s="360" t="s">
        <v>2312</v>
      </c>
    </row>
    <row r="123" spans="1:11" s="360" customFormat="1" hidden="1">
      <c r="A123" s="356" t="s">
        <v>476</v>
      </c>
      <c r="B123" s="357" t="s">
        <v>1214</v>
      </c>
      <c r="C123" s="358">
        <f>'PART-A'!I1178</f>
        <v>0</v>
      </c>
      <c r="D123" s="354" t="s">
        <v>102</v>
      </c>
      <c r="E123" s="355">
        <f>'PART-A'!K1178</f>
        <v>2232.9699999999998</v>
      </c>
      <c r="F123" s="353">
        <f>ROUND(C123*E123/1,0)</f>
        <v>0</v>
      </c>
      <c r="G123" s="368"/>
      <c r="H123" s="368"/>
      <c r="I123" s="368">
        <f>C123-G123</f>
        <v>0</v>
      </c>
      <c r="J123" s="368">
        <f>F123-H123</f>
        <v>0</v>
      </c>
      <c r="K123" s="360" t="s">
        <v>2313</v>
      </c>
    </row>
    <row r="124" spans="1:11" s="360" customFormat="1" ht="20.25" customHeight="1">
      <c r="A124" s="356" t="s">
        <v>479</v>
      </c>
      <c r="B124" s="357" t="s">
        <v>2106</v>
      </c>
      <c r="C124" s="358">
        <f>'PART-A'!I1200</f>
        <v>134.56000000000003</v>
      </c>
      <c r="D124" s="354" t="s">
        <v>102</v>
      </c>
      <c r="E124" s="355">
        <f>'PART-A'!K1200</f>
        <v>264.94</v>
      </c>
      <c r="F124" s="353">
        <f t="shared" ref="F124:F285" si="12">ROUND(C124*E124,0)</f>
        <v>35650</v>
      </c>
      <c r="G124" s="353"/>
      <c r="H124" s="353"/>
      <c r="I124" s="368">
        <f t="shared" si="6"/>
        <v>134.56000000000003</v>
      </c>
      <c r="J124" s="368">
        <f t="shared" si="7"/>
        <v>35650</v>
      </c>
      <c r="K124" s="360" t="s">
        <v>2217</v>
      </c>
    </row>
    <row r="125" spans="1:11" s="360" customFormat="1" ht="20.25" hidden="1" customHeight="1">
      <c r="A125" s="356" t="s">
        <v>487</v>
      </c>
      <c r="B125" s="357" t="s">
        <v>2106</v>
      </c>
      <c r="C125" s="358">
        <f>'PART-A'!I1220</f>
        <v>0</v>
      </c>
      <c r="D125" s="354" t="s">
        <v>102</v>
      </c>
      <c r="E125" s="355">
        <f>'PART-A'!K1220</f>
        <v>284</v>
      </c>
      <c r="F125" s="353">
        <f>ROUND(C125*E125,0)</f>
        <v>0</v>
      </c>
      <c r="G125" s="353"/>
      <c r="H125" s="353"/>
      <c r="I125" s="368">
        <f>C125-G125</f>
        <v>0</v>
      </c>
      <c r="J125" s="368">
        <f>F125-H125</f>
        <v>0</v>
      </c>
      <c r="K125" s="360" t="s">
        <v>2299</v>
      </c>
    </row>
    <row r="126" spans="1:11" s="360" customFormat="1" ht="20.25" hidden="1" customHeight="1">
      <c r="A126" s="356" t="s">
        <v>486</v>
      </c>
      <c r="B126" s="357" t="s">
        <v>2106</v>
      </c>
      <c r="C126" s="358">
        <f>'PART-A'!I1247</f>
        <v>0</v>
      </c>
      <c r="D126" s="354" t="s">
        <v>102</v>
      </c>
      <c r="E126" s="355">
        <f>'PART-A'!K1247</f>
        <v>300.93</v>
      </c>
      <c r="F126" s="353">
        <f>ROUND(C126*E126,0)</f>
        <v>0</v>
      </c>
      <c r="G126" s="353"/>
      <c r="H126" s="353"/>
      <c r="I126" s="368">
        <f>C126-G126</f>
        <v>0</v>
      </c>
      <c r="J126" s="368">
        <f>F126-H126</f>
        <v>0</v>
      </c>
      <c r="K126" s="360" t="s">
        <v>2312</v>
      </c>
    </row>
    <row r="127" spans="1:11" s="360" customFormat="1" ht="20.25" hidden="1" customHeight="1">
      <c r="A127" s="356" t="s">
        <v>1518</v>
      </c>
      <c r="B127" s="357" t="s">
        <v>2106</v>
      </c>
      <c r="C127" s="358">
        <f>'PART-A'!I1265</f>
        <v>0</v>
      </c>
      <c r="D127" s="354" t="s">
        <v>102</v>
      </c>
      <c r="E127" s="355">
        <f>'PART-A'!K1265</f>
        <v>318.2</v>
      </c>
      <c r="F127" s="353">
        <f>ROUND(C127*E127,0)</f>
        <v>0</v>
      </c>
      <c r="G127" s="353"/>
      <c r="H127" s="353"/>
      <c r="I127" s="368">
        <f>C127-G127</f>
        <v>0</v>
      </c>
      <c r="J127" s="368">
        <f>F127-H127</f>
        <v>0</v>
      </c>
      <c r="K127" s="360" t="s">
        <v>2313</v>
      </c>
    </row>
    <row r="128" spans="1:11" s="360" customFormat="1" ht="20.25" hidden="1" customHeight="1">
      <c r="A128" s="356" t="s">
        <v>502</v>
      </c>
      <c r="B128" s="357" t="s">
        <v>2166</v>
      </c>
      <c r="C128" s="358">
        <f>'PART-A'!I1272</f>
        <v>0</v>
      </c>
      <c r="D128" s="354" t="s">
        <v>102</v>
      </c>
      <c r="E128" s="355">
        <f>'PART-A'!K1272</f>
        <v>242.02</v>
      </c>
      <c r="F128" s="353">
        <f t="shared" si="12"/>
        <v>0</v>
      </c>
      <c r="G128" s="368"/>
      <c r="H128" s="368"/>
      <c r="I128" s="368">
        <f t="shared" si="6"/>
        <v>0</v>
      </c>
      <c r="J128" s="368">
        <f t="shared" si="7"/>
        <v>0</v>
      </c>
      <c r="K128" s="360" t="s">
        <v>2217</v>
      </c>
    </row>
    <row r="129" spans="1:11" s="360" customFormat="1" ht="20.25" hidden="1" customHeight="1">
      <c r="A129" s="356" t="s">
        <v>502</v>
      </c>
      <c r="B129" s="357" t="s">
        <v>2166</v>
      </c>
      <c r="C129" s="358">
        <f>'PART-A'!I1279</f>
        <v>0</v>
      </c>
      <c r="D129" s="354" t="s">
        <v>102</v>
      </c>
      <c r="E129" s="355">
        <f>'PART-A'!K1279</f>
        <v>261.07</v>
      </c>
      <c r="F129" s="353">
        <f>ROUND(C129*E129,0)</f>
        <v>0</v>
      </c>
      <c r="G129" s="368"/>
      <c r="H129" s="368"/>
      <c r="I129" s="368">
        <f>C129-G129</f>
        <v>0</v>
      </c>
      <c r="J129" s="368">
        <f>F129-H129</f>
        <v>0</v>
      </c>
      <c r="K129" s="360" t="s">
        <v>2299</v>
      </c>
    </row>
    <row r="130" spans="1:11" s="360" customFormat="1" ht="20.25" hidden="1" customHeight="1">
      <c r="A130" s="356" t="s">
        <v>488</v>
      </c>
      <c r="B130" s="357" t="s">
        <v>2166</v>
      </c>
      <c r="C130" s="358">
        <f>'PART-A'!I1287</f>
        <v>0</v>
      </c>
      <c r="D130" s="354" t="s">
        <v>102</v>
      </c>
      <c r="E130" s="355">
        <f>'PART-A'!K1287</f>
        <v>277.43</v>
      </c>
      <c r="F130" s="353">
        <f>ROUND(C130*E130,0)</f>
        <v>0</v>
      </c>
      <c r="G130" s="368"/>
      <c r="H130" s="368"/>
      <c r="I130" s="368">
        <f>C130-G130</f>
        <v>0</v>
      </c>
      <c r="J130" s="368">
        <f>F130-H130</f>
        <v>0</v>
      </c>
      <c r="K130" s="360" t="s">
        <v>2312</v>
      </c>
    </row>
    <row r="131" spans="1:11" s="360" customFormat="1" ht="20.25" hidden="1" customHeight="1">
      <c r="A131" s="356" t="s">
        <v>502</v>
      </c>
      <c r="B131" s="357" t="s">
        <v>2166</v>
      </c>
      <c r="C131" s="358">
        <f>'PART-A'!I1294</f>
        <v>0</v>
      </c>
      <c r="D131" s="354" t="s">
        <v>102</v>
      </c>
      <c r="E131" s="355">
        <f>'PART-A'!K1294</f>
        <v>294.70999999999998</v>
      </c>
      <c r="F131" s="353">
        <f>ROUND(C131*E131,0)</f>
        <v>0</v>
      </c>
      <c r="G131" s="368"/>
      <c r="H131" s="368"/>
      <c r="I131" s="368">
        <f>C131-G131</f>
        <v>0</v>
      </c>
      <c r="J131" s="368">
        <f>F131-H131</f>
        <v>0</v>
      </c>
      <c r="K131" s="360" t="s">
        <v>2313</v>
      </c>
    </row>
    <row r="132" spans="1:11" s="360" customFormat="1" ht="20.25" hidden="1" customHeight="1">
      <c r="A132" s="356" t="s">
        <v>480</v>
      </c>
      <c r="B132" s="357" t="s">
        <v>2189</v>
      </c>
      <c r="C132" s="358">
        <f>'PART-A'!I1299</f>
        <v>0</v>
      </c>
      <c r="D132" s="354" t="s">
        <v>102</v>
      </c>
      <c r="E132" s="355">
        <f>'PART-A'!K1299</f>
        <v>259.87</v>
      </c>
      <c r="F132" s="353">
        <f t="shared" si="12"/>
        <v>0</v>
      </c>
      <c r="G132" s="368"/>
      <c r="H132" s="368"/>
      <c r="I132" s="368">
        <f t="shared" si="6"/>
        <v>0</v>
      </c>
      <c r="J132" s="368">
        <f t="shared" si="7"/>
        <v>0</v>
      </c>
      <c r="K132" s="360" t="s">
        <v>2217</v>
      </c>
    </row>
    <row r="133" spans="1:11" s="360" customFormat="1" ht="20.25" hidden="1" customHeight="1">
      <c r="A133" s="356" t="s">
        <v>479</v>
      </c>
      <c r="B133" s="357" t="s">
        <v>2189</v>
      </c>
      <c r="C133" s="358">
        <f>'PART-A'!I1306</f>
        <v>0</v>
      </c>
      <c r="D133" s="354" t="s">
        <v>102</v>
      </c>
      <c r="E133" s="355">
        <f>'PART-A'!K1306</f>
        <v>279.49</v>
      </c>
      <c r="F133" s="353">
        <f>ROUND(C133*E133,0)</f>
        <v>0</v>
      </c>
      <c r="G133" s="368"/>
      <c r="H133" s="368"/>
      <c r="I133" s="368">
        <f>C133-G133</f>
        <v>0</v>
      </c>
      <c r="J133" s="368">
        <f>F133-H133</f>
        <v>0</v>
      </c>
      <c r="K133" s="360" t="s">
        <v>2299</v>
      </c>
    </row>
    <row r="134" spans="1:11" s="360" customFormat="1" ht="20.25" hidden="1" customHeight="1">
      <c r="A134" s="356" t="s">
        <v>479</v>
      </c>
      <c r="B134" s="357" t="s">
        <v>2189</v>
      </c>
      <c r="C134" s="358">
        <f>'PART-A'!I1313</f>
        <v>0</v>
      </c>
      <c r="D134" s="354" t="s">
        <v>102</v>
      </c>
      <c r="E134" s="355">
        <f>'PART-A'!K1313</f>
        <v>297.13</v>
      </c>
      <c r="F134" s="353">
        <f>ROUND(C134*E134,0)</f>
        <v>0</v>
      </c>
      <c r="G134" s="368"/>
      <c r="H134" s="368"/>
      <c r="I134" s="368">
        <f>C134-G134</f>
        <v>0</v>
      </c>
      <c r="J134" s="368">
        <f>F134-H134</f>
        <v>0</v>
      </c>
      <c r="K134" s="360" t="s">
        <v>2312</v>
      </c>
    </row>
    <row r="135" spans="1:11" s="360" customFormat="1" ht="20.25" hidden="1" customHeight="1">
      <c r="A135" s="356" t="s">
        <v>479</v>
      </c>
      <c r="B135" s="357" t="s">
        <v>2189</v>
      </c>
      <c r="C135" s="358">
        <f>'PART-A'!I1318</f>
        <v>0</v>
      </c>
      <c r="D135" s="354" t="s">
        <v>102</v>
      </c>
      <c r="E135" s="355">
        <f>'PART-A'!K1318</f>
        <v>314.89999999999998</v>
      </c>
      <c r="F135" s="353">
        <f>ROUND(C135*E135,0)</f>
        <v>0</v>
      </c>
      <c r="G135" s="368"/>
      <c r="H135" s="368"/>
      <c r="I135" s="368">
        <f>C135-G135</f>
        <v>0</v>
      </c>
      <c r="J135" s="368">
        <f>F135-H135</f>
        <v>0</v>
      </c>
      <c r="K135" s="360" t="s">
        <v>2313</v>
      </c>
    </row>
    <row r="136" spans="1:11" s="360" customFormat="1" ht="20.25" customHeight="1">
      <c r="A136" s="356" t="s">
        <v>2455</v>
      </c>
      <c r="B136" s="357" t="s">
        <v>2107</v>
      </c>
      <c r="C136" s="358">
        <f>'PART-A'!I1350</f>
        <v>263.17999999999995</v>
      </c>
      <c r="D136" s="354" t="s">
        <v>102</v>
      </c>
      <c r="E136" s="355">
        <f>'PART-A'!K1350</f>
        <v>317.8</v>
      </c>
      <c r="F136" s="353">
        <f t="shared" si="12"/>
        <v>83639</v>
      </c>
      <c r="G136" s="353"/>
      <c r="H136" s="353"/>
      <c r="I136" s="368">
        <f t="shared" si="6"/>
        <v>263.17999999999995</v>
      </c>
      <c r="J136" s="368">
        <f t="shared" si="7"/>
        <v>83639</v>
      </c>
      <c r="K136" s="360" t="s">
        <v>2217</v>
      </c>
    </row>
    <row r="137" spans="1:11" s="360" customFormat="1" ht="20.25" hidden="1" customHeight="1">
      <c r="A137" s="356" t="s">
        <v>489</v>
      </c>
      <c r="B137" s="357" t="s">
        <v>2107</v>
      </c>
      <c r="C137" s="358">
        <f>'PART-A'!I1379</f>
        <v>0</v>
      </c>
      <c r="D137" s="354" t="s">
        <v>102</v>
      </c>
      <c r="E137" s="355">
        <f>'PART-A'!K1379</f>
        <v>343.65</v>
      </c>
      <c r="F137" s="353">
        <f>ROUND(C137*E137,0)</f>
        <v>0</v>
      </c>
      <c r="G137" s="353"/>
      <c r="H137" s="353"/>
      <c r="I137" s="368">
        <f>C137-G137</f>
        <v>0</v>
      </c>
      <c r="J137" s="368">
        <f>F137-H137</f>
        <v>0</v>
      </c>
      <c r="K137" s="360" t="s">
        <v>2299</v>
      </c>
    </row>
    <row r="138" spans="1:11" s="360" customFormat="1" ht="20.25" hidden="1" customHeight="1">
      <c r="A138" s="356" t="s">
        <v>487</v>
      </c>
      <c r="B138" s="357" t="s">
        <v>2107</v>
      </c>
      <c r="C138" s="358">
        <f>'PART-A'!I1431</f>
        <v>0</v>
      </c>
      <c r="D138" s="354" t="s">
        <v>102</v>
      </c>
      <c r="E138" s="355">
        <f>'PART-A'!K1431</f>
        <v>364.75</v>
      </c>
      <c r="F138" s="353">
        <f>ROUND(C138*E138,0)</f>
        <v>0</v>
      </c>
      <c r="G138" s="353"/>
      <c r="H138" s="353"/>
      <c r="I138" s="368">
        <f>C138-G138</f>
        <v>0</v>
      </c>
      <c r="J138" s="368">
        <f>F138-H138</f>
        <v>0</v>
      </c>
      <c r="K138" s="360" t="s">
        <v>2312</v>
      </c>
    </row>
    <row r="139" spans="1:11" s="360" customFormat="1" ht="20.25" hidden="1" customHeight="1">
      <c r="A139" s="356" t="s">
        <v>1519</v>
      </c>
      <c r="B139" s="357" t="s">
        <v>2107</v>
      </c>
      <c r="C139" s="358">
        <f>'PART-A'!I1451</f>
        <v>0</v>
      </c>
      <c r="D139" s="354" t="s">
        <v>102</v>
      </c>
      <c r="E139" s="355">
        <f>'PART-A'!K1451</f>
        <v>388.21</v>
      </c>
      <c r="F139" s="353">
        <f>ROUND(C139*E139,0)</f>
        <v>0</v>
      </c>
      <c r="G139" s="353"/>
      <c r="H139" s="353"/>
      <c r="I139" s="368">
        <f>C139-G139</f>
        <v>0</v>
      </c>
      <c r="J139" s="368">
        <f>F139-H139</f>
        <v>0</v>
      </c>
      <c r="K139" s="360" t="s">
        <v>2313</v>
      </c>
    </row>
    <row r="140" spans="1:11" s="360" customFormat="1" ht="20.25" customHeight="1">
      <c r="A140" s="356" t="s">
        <v>480</v>
      </c>
      <c r="B140" s="357" t="s">
        <v>2108</v>
      </c>
      <c r="C140" s="358">
        <f>'PART-A'!I1457</f>
        <v>125.81</v>
      </c>
      <c r="D140" s="354" t="s">
        <v>102</v>
      </c>
      <c r="E140" s="355">
        <f>'PART-A'!K1457</f>
        <v>331.15</v>
      </c>
      <c r="F140" s="353">
        <f t="shared" si="12"/>
        <v>41662</v>
      </c>
      <c r="G140" s="353"/>
      <c r="H140" s="353"/>
      <c r="I140" s="368">
        <f t="shared" si="6"/>
        <v>125.81</v>
      </c>
      <c r="J140" s="368">
        <f t="shared" si="7"/>
        <v>41662</v>
      </c>
      <c r="K140" s="360" t="s">
        <v>2217</v>
      </c>
    </row>
    <row r="141" spans="1:11" s="360" customFormat="1" ht="20.25" hidden="1" customHeight="1">
      <c r="A141" s="356" t="s">
        <v>490</v>
      </c>
      <c r="B141" s="357" t="s">
        <v>2108</v>
      </c>
      <c r="C141" s="358">
        <f>'PART-A'!I1463</f>
        <v>0</v>
      </c>
      <c r="D141" s="354" t="s">
        <v>102</v>
      </c>
      <c r="E141" s="355">
        <f>'PART-A'!K1463</f>
        <v>357.58</v>
      </c>
      <c r="F141" s="353">
        <f>ROUND(C141*E141,0)</f>
        <v>0</v>
      </c>
      <c r="G141" s="353"/>
      <c r="H141" s="353"/>
      <c r="I141" s="368">
        <f>C141-G141</f>
        <v>0</v>
      </c>
      <c r="J141" s="368">
        <f>F141-H141</f>
        <v>0</v>
      </c>
      <c r="K141" s="360" t="s">
        <v>2299</v>
      </c>
    </row>
    <row r="142" spans="1:11" s="360" customFormat="1" ht="20.25" hidden="1" customHeight="1">
      <c r="A142" s="356" t="s">
        <v>488</v>
      </c>
      <c r="B142" s="357" t="s">
        <v>2108</v>
      </c>
      <c r="C142" s="358">
        <f>'PART-A'!I1482</f>
        <v>0</v>
      </c>
      <c r="D142" s="354" t="s">
        <v>102</v>
      </c>
      <c r="E142" s="355">
        <f>'PART-A'!K1482</f>
        <v>380.06</v>
      </c>
      <c r="F142" s="353">
        <f>ROUND(C142*E142,0)</f>
        <v>0</v>
      </c>
      <c r="G142" s="353"/>
      <c r="H142" s="353"/>
      <c r="I142" s="368">
        <f>C142-G142</f>
        <v>0</v>
      </c>
      <c r="J142" s="368">
        <f>F142-H142</f>
        <v>0</v>
      </c>
      <c r="K142" s="360" t="s">
        <v>2312</v>
      </c>
    </row>
    <row r="143" spans="1:11" s="360" customFormat="1" ht="20.25" hidden="1" customHeight="1">
      <c r="A143" s="356" t="s">
        <v>480</v>
      </c>
      <c r="B143" s="357" t="s">
        <v>2108</v>
      </c>
      <c r="C143" s="358">
        <f>'PART-A'!I1504</f>
        <v>0</v>
      </c>
      <c r="D143" s="354" t="s">
        <v>102</v>
      </c>
      <c r="E143" s="355">
        <f>'PART-A'!K1504</f>
        <v>404.02</v>
      </c>
      <c r="F143" s="353">
        <f>ROUND(C143*E143,0)</f>
        <v>0</v>
      </c>
      <c r="G143" s="353"/>
      <c r="H143" s="353"/>
      <c r="I143" s="368">
        <f>C143-G143</f>
        <v>0</v>
      </c>
      <c r="J143" s="368">
        <f>F143-H143</f>
        <v>0</v>
      </c>
      <c r="K143" s="360" t="s">
        <v>2313</v>
      </c>
    </row>
    <row r="144" spans="1:11" s="360" customFormat="1" ht="20.25" hidden="1" customHeight="1">
      <c r="A144" s="356" t="s">
        <v>498</v>
      </c>
      <c r="B144" s="357" t="s">
        <v>507</v>
      </c>
      <c r="C144" s="358">
        <f>'PART-A'!I1544</f>
        <v>0</v>
      </c>
      <c r="D144" s="354" t="s">
        <v>102</v>
      </c>
      <c r="E144" s="355">
        <f>'PART-A'!K1544</f>
        <v>991.04</v>
      </c>
      <c r="F144" s="353">
        <f t="shared" si="12"/>
        <v>0</v>
      </c>
      <c r="G144" s="368"/>
      <c r="H144" s="368"/>
      <c r="I144" s="368">
        <f t="shared" si="6"/>
        <v>0</v>
      </c>
      <c r="J144" s="368">
        <f t="shared" si="7"/>
        <v>0</v>
      </c>
      <c r="K144" s="360" t="s">
        <v>2217</v>
      </c>
    </row>
    <row r="145" spans="1:11" s="360" customFormat="1" ht="20.25" hidden="1" customHeight="1">
      <c r="A145" s="356" t="s">
        <v>482</v>
      </c>
      <c r="B145" s="357" t="s">
        <v>507</v>
      </c>
      <c r="C145" s="358">
        <f>'PART-A'!I1556</f>
        <v>0</v>
      </c>
      <c r="D145" s="354" t="s">
        <v>102</v>
      </c>
      <c r="E145" s="355">
        <f>'PART-A'!K1556</f>
        <v>1019.43</v>
      </c>
      <c r="F145" s="353">
        <f>ROUND(C145*E145,0)</f>
        <v>0</v>
      </c>
      <c r="G145" s="368"/>
      <c r="H145" s="368"/>
      <c r="I145" s="368">
        <f>C145-G145</f>
        <v>0</v>
      </c>
      <c r="J145" s="368">
        <f>F145-H145</f>
        <v>0</v>
      </c>
      <c r="K145" s="360" t="s">
        <v>2299</v>
      </c>
    </row>
    <row r="146" spans="1:11" s="360" customFormat="1" ht="20.25" hidden="1" customHeight="1">
      <c r="A146" s="356" t="s">
        <v>498</v>
      </c>
      <c r="B146" s="357" t="s">
        <v>507</v>
      </c>
      <c r="C146" s="358">
        <f>'PART-A'!I1563</f>
        <v>0</v>
      </c>
      <c r="D146" s="354" t="s">
        <v>102</v>
      </c>
      <c r="E146" s="355">
        <f>'PART-A'!K1563</f>
        <v>1041.26</v>
      </c>
      <c r="F146" s="353">
        <f>ROUND(C146*E146,0)</f>
        <v>0</v>
      </c>
      <c r="G146" s="368"/>
      <c r="H146" s="368"/>
      <c r="I146" s="368">
        <f>C146-G146</f>
        <v>0</v>
      </c>
      <c r="J146" s="368">
        <f>F146-H146</f>
        <v>0</v>
      </c>
      <c r="K146" s="360" t="s">
        <v>2312</v>
      </c>
    </row>
    <row r="147" spans="1:11" s="360" customFormat="1" ht="20.25" hidden="1" customHeight="1">
      <c r="A147" s="356" t="s">
        <v>483</v>
      </c>
      <c r="B147" s="357" t="s">
        <v>507</v>
      </c>
      <c r="C147" s="358">
        <f>'PART-A'!I1579</f>
        <v>0</v>
      </c>
      <c r="D147" s="354" t="s">
        <v>102</v>
      </c>
      <c r="E147" s="355">
        <f>'PART-A'!K1579</f>
        <v>1067.3599999999999</v>
      </c>
      <c r="F147" s="353">
        <f>ROUND(C147*E147,0)</f>
        <v>0</v>
      </c>
      <c r="G147" s="368"/>
      <c r="H147" s="368"/>
      <c r="I147" s="368">
        <f>C147-G147</f>
        <v>0</v>
      </c>
      <c r="J147" s="368">
        <f>F147-H147</f>
        <v>0</v>
      </c>
      <c r="K147" s="360" t="s">
        <v>2313</v>
      </c>
    </row>
    <row r="148" spans="1:11" s="360" customFormat="1" ht="20.25" hidden="1" customHeight="1">
      <c r="A148" s="356" t="s">
        <v>499</v>
      </c>
      <c r="B148" s="357" t="s">
        <v>2109</v>
      </c>
      <c r="C148" s="358">
        <f>'PART-A'!I1600</f>
        <v>0</v>
      </c>
      <c r="D148" s="354" t="s">
        <v>102</v>
      </c>
      <c r="E148" s="355">
        <f>'PART-A'!K1600</f>
        <v>986.97</v>
      </c>
      <c r="F148" s="353">
        <f t="shared" si="12"/>
        <v>0</v>
      </c>
      <c r="G148" s="368"/>
      <c r="H148" s="368"/>
      <c r="I148" s="368">
        <f t="shared" si="6"/>
        <v>0</v>
      </c>
      <c r="J148" s="368">
        <f t="shared" si="7"/>
        <v>0</v>
      </c>
      <c r="K148" s="360" t="s">
        <v>2217</v>
      </c>
    </row>
    <row r="149" spans="1:11" s="360" customFormat="1" ht="20.25" hidden="1" customHeight="1">
      <c r="A149" s="356" t="s">
        <v>483</v>
      </c>
      <c r="B149" s="357" t="s">
        <v>2109</v>
      </c>
      <c r="C149" s="358">
        <f>'PART-A'!I1625</f>
        <v>0</v>
      </c>
      <c r="D149" s="354" t="s">
        <v>102</v>
      </c>
      <c r="E149" s="355">
        <f>'PART-A'!K1625</f>
        <v>1015.1</v>
      </c>
      <c r="F149" s="353">
        <f>ROUND(C149*E149,0)</f>
        <v>0</v>
      </c>
      <c r="G149" s="368"/>
      <c r="H149" s="368"/>
      <c r="I149" s="368">
        <f>C149-G149</f>
        <v>0</v>
      </c>
      <c r="J149" s="368">
        <f>F149-H149</f>
        <v>0</v>
      </c>
      <c r="K149" s="360" t="s">
        <v>2299</v>
      </c>
    </row>
    <row r="150" spans="1:11" s="360" customFormat="1" ht="20.25" hidden="1" customHeight="1">
      <c r="A150" s="356" t="s">
        <v>499</v>
      </c>
      <c r="B150" s="357" t="s">
        <v>2109</v>
      </c>
      <c r="C150" s="358">
        <f>'PART-A'!I1632</f>
        <v>0</v>
      </c>
      <c r="D150" s="354" t="s">
        <v>102</v>
      </c>
      <c r="E150" s="355">
        <f>'PART-A'!K1632</f>
        <v>1036.32</v>
      </c>
      <c r="F150" s="353">
        <f>ROUND(C150*E150,0)</f>
        <v>0</v>
      </c>
      <c r="G150" s="368"/>
      <c r="H150" s="368"/>
      <c r="I150" s="368">
        <f>C150-G150</f>
        <v>0</v>
      </c>
      <c r="J150" s="368">
        <f>F150-H150</f>
        <v>0</v>
      </c>
      <c r="K150" s="360" t="s">
        <v>2312</v>
      </c>
    </row>
    <row r="151" spans="1:11" s="360" customFormat="1" ht="20.25" hidden="1" customHeight="1">
      <c r="A151" s="356" t="s">
        <v>484</v>
      </c>
      <c r="B151" s="357" t="s">
        <v>2109</v>
      </c>
      <c r="C151" s="358">
        <f>'PART-A'!I1653</f>
        <v>0</v>
      </c>
      <c r="D151" s="354" t="s">
        <v>102</v>
      </c>
      <c r="E151" s="355">
        <f>'PART-A'!K1653</f>
        <v>1062.03</v>
      </c>
      <c r="F151" s="353">
        <f>ROUND(C151*E151,0)</f>
        <v>0</v>
      </c>
      <c r="G151" s="368"/>
      <c r="H151" s="368"/>
      <c r="I151" s="368">
        <f>C151-G151</f>
        <v>0</v>
      </c>
      <c r="J151" s="368">
        <f>F151-H151</f>
        <v>0</v>
      </c>
      <c r="K151" s="360" t="s">
        <v>2313</v>
      </c>
    </row>
    <row r="152" spans="1:11" s="360" customFormat="1" ht="20.25" hidden="1" customHeight="1">
      <c r="A152" s="356" t="s">
        <v>482</v>
      </c>
      <c r="B152" s="357" t="s">
        <v>708</v>
      </c>
      <c r="C152" s="358">
        <f>'PART-A'!I1671</f>
        <v>0</v>
      </c>
      <c r="D152" s="354" t="s">
        <v>77</v>
      </c>
      <c r="E152" s="355">
        <f>'PART-A'!K1671</f>
        <v>2828.1</v>
      </c>
      <c r="F152" s="353">
        <f t="shared" si="12"/>
        <v>0</v>
      </c>
      <c r="G152" s="368"/>
      <c r="H152" s="368"/>
      <c r="I152" s="368">
        <f t="shared" si="6"/>
        <v>0</v>
      </c>
      <c r="J152" s="368">
        <f t="shared" si="7"/>
        <v>0</v>
      </c>
      <c r="K152" s="360" t="s">
        <v>2217</v>
      </c>
    </row>
    <row r="153" spans="1:11" s="360" customFormat="1" ht="20.25" hidden="1" customHeight="1">
      <c r="A153" s="356" t="s">
        <v>486</v>
      </c>
      <c r="B153" s="357" t="s">
        <v>708</v>
      </c>
      <c r="C153" s="358">
        <f>'PART-A'!I1681</f>
        <v>0</v>
      </c>
      <c r="D153" s="354" t="s">
        <v>77</v>
      </c>
      <c r="E153" s="355">
        <f>'PART-A'!K1681</f>
        <v>2886.61</v>
      </c>
      <c r="F153" s="353">
        <f>ROUND(C153*E153,0)</f>
        <v>0</v>
      </c>
      <c r="G153" s="368"/>
      <c r="H153" s="368"/>
      <c r="I153" s="368">
        <f>C153-G153</f>
        <v>0</v>
      </c>
      <c r="J153" s="368">
        <f>F153-H153</f>
        <v>0</v>
      </c>
      <c r="K153" s="360" t="s">
        <v>2299</v>
      </c>
    </row>
    <row r="154" spans="1:11" s="360" customFormat="1" ht="20.25" hidden="1" customHeight="1">
      <c r="A154" s="356" t="s">
        <v>500</v>
      </c>
      <c r="B154" s="357" t="s">
        <v>708</v>
      </c>
      <c r="C154" s="358">
        <f>'PART-A'!I1688</f>
        <v>0</v>
      </c>
      <c r="D154" s="354" t="s">
        <v>77</v>
      </c>
      <c r="E154" s="355">
        <f>'PART-A'!K1688</f>
        <v>2942.62</v>
      </c>
      <c r="F154" s="353">
        <f>ROUND(C154*E154,0)</f>
        <v>0</v>
      </c>
      <c r="G154" s="368"/>
      <c r="H154" s="368"/>
      <c r="I154" s="368">
        <f>C154-G154</f>
        <v>0</v>
      </c>
      <c r="J154" s="368">
        <f>F154-H154</f>
        <v>0</v>
      </c>
      <c r="K154" s="360" t="s">
        <v>2312</v>
      </c>
    </row>
    <row r="155" spans="1:11" s="360" customFormat="1" ht="20.25" customHeight="1">
      <c r="A155" s="356" t="s">
        <v>482</v>
      </c>
      <c r="B155" s="357" t="s">
        <v>708</v>
      </c>
      <c r="C155" s="358">
        <f>'PART-A'!I1706</f>
        <v>87.660000000000011</v>
      </c>
      <c r="D155" s="354" t="s">
        <v>77</v>
      </c>
      <c r="E155" s="355">
        <f>'PART-A'!K1706</f>
        <v>3115.07</v>
      </c>
      <c r="F155" s="353">
        <f>ROUND(C155*E155,0)</f>
        <v>273067</v>
      </c>
      <c r="G155" s="368"/>
      <c r="H155" s="368"/>
      <c r="I155" s="368">
        <f>C155-G155</f>
        <v>87.660000000000011</v>
      </c>
      <c r="J155" s="368">
        <f>F155-H155</f>
        <v>273067</v>
      </c>
      <c r="K155" s="360" t="s">
        <v>2313</v>
      </c>
    </row>
    <row r="156" spans="1:11" s="360" customFormat="1" ht="20.25" hidden="1" customHeight="1">
      <c r="A156" s="356" t="s">
        <v>483</v>
      </c>
      <c r="B156" s="357" t="s">
        <v>2109</v>
      </c>
      <c r="C156" s="358">
        <f>'PART-A'!I1724</f>
        <v>0</v>
      </c>
      <c r="D156" s="354" t="s">
        <v>102</v>
      </c>
      <c r="E156" s="355">
        <f>'PART-A'!K1724</f>
        <v>2667.63</v>
      </c>
      <c r="F156" s="353">
        <f t="shared" si="12"/>
        <v>0</v>
      </c>
      <c r="G156" s="368"/>
      <c r="H156" s="368"/>
      <c r="I156" s="368">
        <f t="shared" si="6"/>
        <v>0</v>
      </c>
      <c r="J156" s="368">
        <f t="shared" si="7"/>
        <v>0</v>
      </c>
      <c r="K156" s="360" t="s">
        <v>2217</v>
      </c>
    </row>
    <row r="157" spans="1:11" s="360" customFormat="1" ht="20.25" hidden="1" customHeight="1">
      <c r="A157" s="356" t="s">
        <v>488</v>
      </c>
      <c r="B157" s="357" t="s">
        <v>2109</v>
      </c>
      <c r="C157" s="358">
        <f>'PART-A'!I1735</f>
        <v>0</v>
      </c>
      <c r="D157" s="354" t="s">
        <v>102</v>
      </c>
      <c r="E157" s="355">
        <f>'PART-A'!K1735</f>
        <v>2708.07</v>
      </c>
      <c r="F157" s="353">
        <f>ROUND(C157*E157,0)</f>
        <v>0</v>
      </c>
      <c r="G157" s="368"/>
      <c r="H157" s="368"/>
      <c r="I157" s="368">
        <f>C157-G157</f>
        <v>0</v>
      </c>
      <c r="J157" s="368">
        <f>F157-H157</f>
        <v>0</v>
      </c>
      <c r="K157" s="360" t="s">
        <v>2299</v>
      </c>
    </row>
    <row r="158" spans="1:11" s="360" customFormat="1" ht="20.25" hidden="1" customHeight="1">
      <c r="A158" s="356" t="s">
        <v>501</v>
      </c>
      <c r="B158" s="357" t="s">
        <v>2109</v>
      </c>
      <c r="C158" s="358">
        <f>'PART-A'!I1743</f>
        <v>0</v>
      </c>
      <c r="D158" s="354" t="s">
        <v>102</v>
      </c>
      <c r="E158" s="355">
        <f>'PART-A'!K1743</f>
        <v>2747.34</v>
      </c>
      <c r="F158" s="353">
        <f>ROUND(C158*E158,0)</f>
        <v>0</v>
      </c>
      <c r="G158" s="368"/>
      <c r="H158" s="368"/>
      <c r="I158" s="368">
        <f>C158-G158</f>
        <v>0</v>
      </c>
      <c r="J158" s="368">
        <f>F158-H158</f>
        <v>0</v>
      </c>
      <c r="K158" s="360" t="s">
        <v>2312</v>
      </c>
    </row>
    <row r="159" spans="1:11" s="360" customFormat="1" ht="20.25" customHeight="1">
      <c r="A159" s="356" t="s">
        <v>483</v>
      </c>
      <c r="B159" s="357" t="s">
        <v>2109</v>
      </c>
      <c r="C159" s="358">
        <f>'PART-A'!I1761</f>
        <v>6.7299999999999995</v>
      </c>
      <c r="D159" s="354" t="s">
        <v>102</v>
      </c>
      <c r="E159" s="355">
        <f>'PART-A'!K1761</f>
        <v>2905.43</v>
      </c>
      <c r="F159" s="353">
        <f>ROUND(C159*E159,0)</f>
        <v>19554</v>
      </c>
      <c r="G159" s="368"/>
      <c r="H159" s="368"/>
      <c r="I159" s="368">
        <f>C159-G159</f>
        <v>6.7299999999999995</v>
      </c>
      <c r="J159" s="368">
        <f>F159-H159</f>
        <v>19554</v>
      </c>
      <c r="K159" s="360" t="s">
        <v>2313</v>
      </c>
    </row>
    <row r="160" spans="1:11" s="360" customFormat="1" ht="20.25" hidden="1" customHeight="1">
      <c r="A160" s="356" t="s">
        <v>498</v>
      </c>
      <c r="B160" s="357" t="s">
        <v>710</v>
      </c>
      <c r="C160" s="358">
        <f>'PART-A'!I1768</f>
        <v>0</v>
      </c>
      <c r="D160" s="354" t="s">
        <v>102</v>
      </c>
      <c r="E160" s="355">
        <f>'PART-A'!K1768</f>
        <v>605.58000000000004</v>
      </c>
      <c r="F160" s="353">
        <f t="shared" si="12"/>
        <v>0</v>
      </c>
      <c r="G160" s="368"/>
      <c r="H160" s="368"/>
      <c r="I160" s="368">
        <f t="shared" si="6"/>
        <v>0</v>
      </c>
      <c r="J160" s="368">
        <f t="shared" si="7"/>
        <v>0</v>
      </c>
      <c r="K160" s="360" t="s">
        <v>2217</v>
      </c>
    </row>
    <row r="161" spans="1:11" s="360" customFormat="1" ht="20.25" hidden="1" customHeight="1">
      <c r="A161" s="356" t="s">
        <v>484</v>
      </c>
      <c r="B161" s="357" t="s">
        <v>710</v>
      </c>
      <c r="C161" s="358">
        <f>'PART-A'!I1777</f>
        <v>0</v>
      </c>
      <c r="D161" s="354" t="s">
        <v>102</v>
      </c>
      <c r="E161" s="355">
        <f>'PART-A'!K1777</f>
        <v>646.33000000000004</v>
      </c>
      <c r="F161" s="353">
        <f>ROUND(C161*E161,0)</f>
        <v>0</v>
      </c>
      <c r="G161" s="368"/>
      <c r="H161" s="368"/>
      <c r="I161" s="368">
        <f>C161-G161</f>
        <v>0</v>
      </c>
      <c r="J161" s="368">
        <f>F161-H161</f>
        <v>0</v>
      </c>
      <c r="K161" s="360" t="s">
        <v>2299</v>
      </c>
    </row>
    <row r="162" spans="1:11" s="360" customFormat="1" ht="20.25" hidden="1" customHeight="1">
      <c r="A162" s="356" t="s">
        <v>498</v>
      </c>
      <c r="B162" s="357" t="s">
        <v>710</v>
      </c>
      <c r="C162" s="358">
        <f>'PART-A'!I1784</f>
        <v>0</v>
      </c>
      <c r="D162" s="354" t="s">
        <v>102</v>
      </c>
      <c r="E162" s="355">
        <f>'PART-A'!K1784</f>
        <v>653.95000000000005</v>
      </c>
      <c r="F162" s="353">
        <f>ROUND(C162*E162,0)</f>
        <v>0</v>
      </c>
      <c r="G162" s="368"/>
      <c r="H162" s="368"/>
      <c r="I162" s="368">
        <f>C162-G162</f>
        <v>0</v>
      </c>
      <c r="J162" s="368">
        <f>F162-H162</f>
        <v>0</v>
      </c>
      <c r="K162" s="360" t="s">
        <v>2312</v>
      </c>
    </row>
    <row r="163" spans="1:11" s="360" customFormat="1" ht="20.25" hidden="1" customHeight="1">
      <c r="A163" s="356" t="s">
        <v>498</v>
      </c>
      <c r="B163" s="357" t="s">
        <v>710</v>
      </c>
      <c r="C163" s="358">
        <f>'PART-A'!I1791</f>
        <v>0</v>
      </c>
      <c r="D163" s="354" t="s">
        <v>102</v>
      </c>
      <c r="E163" s="355">
        <f>'PART-A'!K1791</f>
        <v>744.7</v>
      </c>
      <c r="F163" s="353">
        <f>ROUND(C163*E163,0)</f>
        <v>0</v>
      </c>
      <c r="G163" s="368"/>
      <c r="H163" s="368"/>
      <c r="I163" s="368">
        <f>C163-G163</f>
        <v>0</v>
      </c>
      <c r="J163" s="368">
        <f>F163-H163</f>
        <v>0</v>
      </c>
      <c r="K163" s="360" t="s">
        <v>2313</v>
      </c>
    </row>
    <row r="164" spans="1:11" s="360" customFormat="1" ht="20.25" hidden="1" customHeight="1">
      <c r="A164" s="356" t="s">
        <v>499</v>
      </c>
      <c r="B164" s="357" t="s">
        <v>2109</v>
      </c>
      <c r="C164" s="358">
        <f>'PART-A'!I1798</f>
        <v>0</v>
      </c>
      <c r="D164" s="354" t="s">
        <v>102</v>
      </c>
      <c r="E164" s="355">
        <f>'PART-A'!K1798</f>
        <v>623.66999999999996</v>
      </c>
      <c r="F164" s="353">
        <f t="shared" si="12"/>
        <v>0</v>
      </c>
      <c r="G164" s="368"/>
      <c r="H164" s="368"/>
      <c r="I164" s="368">
        <f t="shared" si="6"/>
        <v>0</v>
      </c>
      <c r="J164" s="368">
        <f t="shared" si="7"/>
        <v>0</v>
      </c>
      <c r="K164" s="360" t="s">
        <v>2217</v>
      </c>
    </row>
    <row r="165" spans="1:11" s="360" customFormat="1" ht="20.25" hidden="1" customHeight="1">
      <c r="A165" s="356" t="s">
        <v>485</v>
      </c>
      <c r="B165" s="357" t="s">
        <v>2109</v>
      </c>
      <c r="C165" s="358">
        <f>'PART-A'!I1805</f>
        <v>0</v>
      </c>
      <c r="D165" s="354" t="s">
        <v>102</v>
      </c>
      <c r="E165" s="355">
        <f>'PART-A'!K1805</f>
        <v>651.79999999999995</v>
      </c>
      <c r="F165" s="353">
        <f>ROUND(C165*E165,0)</f>
        <v>0</v>
      </c>
      <c r="G165" s="368"/>
      <c r="H165" s="368"/>
      <c r="I165" s="368">
        <f>C165-G165</f>
        <v>0</v>
      </c>
      <c r="J165" s="368">
        <f>F165-H165</f>
        <v>0</v>
      </c>
      <c r="K165" s="360" t="s">
        <v>2299</v>
      </c>
    </row>
    <row r="166" spans="1:11" s="360" customFormat="1" ht="20.25" hidden="1" customHeight="1">
      <c r="A166" s="356" t="s">
        <v>499</v>
      </c>
      <c r="B166" s="357" t="s">
        <v>2109</v>
      </c>
      <c r="C166" s="358">
        <f>'PART-A'!I1812</f>
        <v>0</v>
      </c>
      <c r="D166" s="354" t="s">
        <v>102</v>
      </c>
      <c r="E166" s="355">
        <f>'PART-A'!K1812</f>
        <v>673.02</v>
      </c>
      <c r="F166" s="353">
        <f>ROUND(C166*E166,0)</f>
        <v>0</v>
      </c>
      <c r="G166" s="368"/>
      <c r="H166" s="368"/>
      <c r="I166" s="368">
        <f>C166-G166</f>
        <v>0</v>
      </c>
      <c r="J166" s="368">
        <f>F166-H166</f>
        <v>0</v>
      </c>
      <c r="K166" s="360" t="s">
        <v>2312</v>
      </c>
    </row>
    <row r="167" spans="1:11" s="360" customFormat="1" ht="20.25" hidden="1" customHeight="1">
      <c r="A167" s="356" t="s">
        <v>499</v>
      </c>
      <c r="B167" s="357" t="s">
        <v>2109</v>
      </c>
      <c r="C167" s="358">
        <f>'PART-A'!I1819</f>
        <v>0</v>
      </c>
      <c r="D167" s="354" t="s">
        <v>102</v>
      </c>
      <c r="E167" s="355">
        <f>'PART-A'!K1819</f>
        <v>750.18</v>
      </c>
      <c r="F167" s="353">
        <f>ROUND(C167*E167,0)</f>
        <v>0</v>
      </c>
      <c r="G167" s="368"/>
      <c r="H167" s="368"/>
      <c r="I167" s="368">
        <f>C167-G167</f>
        <v>0</v>
      </c>
      <c r="J167" s="368">
        <f>F167-H167</f>
        <v>0</v>
      </c>
      <c r="K167" s="360" t="s">
        <v>2313</v>
      </c>
    </row>
    <row r="168" spans="1:11" s="360" customFormat="1" ht="20.25" hidden="1" customHeight="1">
      <c r="A168" s="356" t="s">
        <v>512</v>
      </c>
      <c r="B168" s="357" t="s">
        <v>2110</v>
      </c>
      <c r="C168" s="358">
        <f>'PART-A'!I1825</f>
        <v>0</v>
      </c>
      <c r="D168" s="354" t="s">
        <v>102</v>
      </c>
      <c r="E168" s="355">
        <f>'PART-A'!K1825</f>
        <v>726.78</v>
      </c>
      <c r="F168" s="353">
        <f t="shared" si="12"/>
        <v>0</v>
      </c>
      <c r="G168" s="368"/>
      <c r="H168" s="368"/>
      <c r="I168" s="368">
        <f t="shared" si="6"/>
        <v>0</v>
      </c>
      <c r="J168" s="368">
        <f t="shared" si="7"/>
        <v>0</v>
      </c>
      <c r="K168" s="360" t="s">
        <v>2217</v>
      </c>
    </row>
    <row r="169" spans="1:11" s="360" customFormat="1" ht="20.25" hidden="1" customHeight="1">
      <c r="A169" s="356" t="s">
        <v>487</v>
      </c>
      <c r="B169" s="357" t="s">
        <v>2110</v>
      </c>
      <c r="C169" s="358">
        <f>'PART-A'!I1830</f>
        <v>0</v>
      </c>
      <c r="D169" s="354" t="s">
        <v>102</v>
      </c>
      <c r="E169" s="355">
        <f>'PART-A'!K1830</f>
        <v>754.91</v>
      </c>
      <c r="F169" s="353">
        <f>ROUND(C169*E169,0)</f>
        <v>0</v>
      </c>
      <c r="G169" s="368"/>
      <c r="H169" s="368"/>
      <c r="I169" s="368">
        <f>C169-G169</f>
        <v>0</v>
      </c>
      <c r="J169" s="368">
        <f>F169-H169</f>
        <v>0</v>
      </c>
      <c r="K169" s="360" t="s">
        <v>2299</v>
      </c>
    </row>
    <row r="170" spans="1:11" s="360" customFormat="1" ht="20.25" hidden="1" customHeight="1">
      <c r="A170" s="356" t="s">
        <v>512</v>
      </c>
      <c r="B170" s="357" t="s">
        <v>2110</v>
      </c>
      <c r="C170" s="358">
        <f>'PART-A'!I1836</f>
        <v>0</v>
      </c>
      <c r="D170" s="354" t="s">
        <v>102</v>
      </c>
      <c r="E170" s="355">
        <f>'PART-A'!K1836</f>
        <v>776.13</v>
      </c>
      <c r="F170" s="353">
        <f>ROUND(C170*E170,0)</f>
        <v>0</v>
      </c>
      <c r="G170" s="368"/>
      <c r="H170" s="368"/>
      <c r="I170" s="368">
        <f>C170-G170</f>
        <v>0</v>
      </c>
      <c r="J170" s="368">
        <f>F170-H170</f>
        <v>0</v>
      </c>
      <c r="K170" s="360" t="s">
        <v>2312</v>
      </c>
    </row>
    <row r="171" spans="1:11" s="360" customFormat="1" ht="20.25" customHeight="1">
      <c r="A171" s="356" t="s">
        <v>484</v>
      </c>
      <c r="B171" s="357" t="s">
        <v>2110</v>
      </c>
      <c r="C171" s="358">
        <f>'PART-A'!I1842</f>
        <v>4.2</v>
      </c>
      <c r="D171" s="354" t="s">
        <v>102</v>
      </c>
      <c r="E171" s="355">
        <f>'PART-A'!K1842</f>
        <v>801.83</v>
      </c>
      <c r="F171" s="353">
        <f>ROUND(C171*E171,0)</f>
        <v>3368</v>
      </c>
      <c r="G171" s="368"/>
      <c r="H171" s="368"/>
      <c r="I171" s="368">
        <f>C171-G171</f>
        <v>4.2</v>
      </c>
      <c r="J171" s="368">
        <f>F171-H171</f>
        <v>3368</v>
      </c>
      <c r="K171" s="360" t="s">
        <v>2313</v>
      </c>
    </row>
    <row r="172" spans="1:11" s="360" customFormat="1" ht="20.25" hidden="1" customHeight="1">
      <c r="A172" s="356" t="s">
        <v>486</v>
      </c>
      <c r="B172" s="357" t="s">
        <v>2109</v>
      </c>
      <c r="C172" s="358">
        <f>'PART-A'!I1849</f>
        <v>0</v>
      </c>
      <c r="D172" s="354" t="s">
        <v>102</v>
      </c>
      <c r="E172" s="355">
        <f>'PART-A'!K1849</f>
        <v>487.61</v>
      </c>
      <c r="F172" s="353">
        <f t="shared" si="12"/>
        <v>0</v>
      </c>
      <c r="G172" s="368"/>
      <c r="H172" s="368"/>
      <c r="I172" s="368">
        <f t="shared" si="6"/>
        <v>0</v>
      </c>
      <c r="J172" s="368">
        <f t="shared" si="7"/>
        <v>0</v>
      </c>
      <c r="K172" s="360" t="s">
        <v>2217</v>
      </c>
    </row>
    <row r="173" spans="1:11" s="360" customFormat="1" ht="20.25" hidden="1" customHeight="1">
      <c r="A173" s="356" t="s">
        <v>486</v>
      </c>
      <c r="B173" s="357" t="s">
        <v>2109</v>
      </c>
      <c r="C173" s="358">
        <f>'PART-A'!I1856</f>
        <v>0</v>
      </c>
      <c r="D173" s="354" t="s">
        <v>102</v>
      </c>
      <c r="E173" s="355">
        <f>'PART-A'!K1856</f>
        <v>496.21</v>
      </c>
      <c r="F173" s="353">
        <f>ROUND(C173*E173,0)</f>
        <v>0</v>
      </c>
      <c r="G173" s="368"/>
      <c r="H173" s="368"/>
      <c r="I173" s="368">
        <f>C173-G173</f>
        <v>0</v>
      </c>
      <c r="J173" s="368">
        <f>F173-H173</f>
        <v>0</v>
      </c>
      <c r="K173" s="360" t="s">
        <v>2299</v>
      </c>
    </row>
    <row r="174" spans="1:11" s="360" customFormat="1" ht="20.25" hidden="1" customHeight="1">
      <c r="A174" s="356" t="s">
        <v>486</v>
      </c>
      <c r="B174" s="357" t="s">
        <v>2109</v>
      </c>
      <c r="C174" s="358">
        <f>'PART-A'!I1863</f>
        <v>0</v>
      </c>
      <c r="D174" s="354" t="s">
        <v>102</v>
      </c>
      <c r="E174" s="355">
        <f>'PART-A'!K1863</f>
        <v>503.67</v>
      </c>
      <c r="F174" s="353">
        <f>ROUND(C174*E174,0)</f>
        <v>0</v>
      </c>
      <c r="G174" s="368"/>
      <c r="H174" s="368"/>
      <c r="I174" s="368">
        <f>C174-G174</f>
        <v>0</v>
      </c>
      <c r="J174" s="368">
        <f>F174-H174</f>
        <v>0</v>
      </c>
      <c r="K174" s="360" t="s">
        <v>2312</v>
      </c>
    </row>
    <row r="175" spans="1:11" s="360" customFormat="1" ht="20.25" customHeight="1">
      <c r="A175" s="356" t="s">
        <v>485</v>
      </c>
      <c r="B175" s="357" t="s">
        <v>2109</v>
      </c>
      <c r="C175" s="358">
        <f>'PART-A'!I1870</f>
        <v>17.670000000000002</v>
      </c>
      <c r="D175" s="354" t="s">
        <v>102</v>
      </c>
      <c r="E175" s="355">
        <f>'PART-A'!K1870</f>
        <v>518.15</v>
      </c>
      <c r="F175" s="353">
        <f>ROUND(C175*E175,0)</f>
        <v>9156</v>
      </c>
      <c r="G175" s="368"/>
      <c r="H175" s="368"/>
      <c r="I175" s="368">
        <f>C175-G175</f>
        <v>17.670000000000002</v>
      </c>
      <c r="J175" s="368">
        <f>F175-H175</f>
        <v>9156</v>
      </c>
      <c r="K175" s="360" t="s">
        <v>2313</v>
      </c>
    </row>
    <row r="176" spans="1:11" s="360" customFormat="1" ht="20.25" hidden="1" customHeight="1">
      <c r="A176" s="356" t="s">
        <v>484</v>
      </c>
      <c r="B176" s="357" t="s">
        <v>1222</v>
      </c>
      <c r="C176" s="358">
        <f>'PART-A'!I1876</f>
        <v>0</v>
      </c>
      <c r="D176" s="354" t="s">
        <v>102</v>
      </c>
      <c r="E176" s="355">
        <f>'PART-A'!K1876</f>
        <v>911.63</v>
      </c>
      <c r="F176" s="353">
        <f t="shared" si="12"/>
        <v>0</v>
      </c>
      <c r="G176" s="368"/>
      <c r="H176" s="368"/>
      <c r="I176" s="368">
        <f t="shared" si="6"/>
        <v>0</v>
      </c>
      <c r="J176" s="368">
        <f t="shared" si="7"/>
        <v>0</v>
      </c>
      <c r="K176" s="360" t="s">
        <v>2217</v>
      </c>
    </row>
    <row r="177" spans="1:11" s="360" customFormat="1" ht="20.25" hidden="1" customHeight="1">
      <c r="A177" s="356" t="s">
        <v>485</v>
      </c>
      <c r="B177" s="357" t="s">
        <v>1222</v>
      </c>
      <c r="C177" s="358">
        <f>'PART-A'!I1883</f>
        <v>0</v>
      </c>
      <c r="D177" s="354" t="s">
        <v>102</v>
      </c>
      <c r="E177" s="355">
        <f>'PART-A'!K1883</f>
        <v>950.67</v>
      </c>
      <c r="F177" s="353">
        <f>ROUND(C177*E177,0)</f>
        <v>0</v>
      </c>
      <c r="G177" s="368"/>
      <c r="H177" s="368"/>
      <c r="I177" s="368">
        <f>C177-G177</f>
        <v>0</v>
      </c>
      <c r="J177" s="368">
        <f>F177-H177</f>
        <v>0</v>
      </c>
      <c r="K177" s="360" t="s">
        <v>2299</v>
      </c>
    </row>
    <row r="178" spans="1:11" s="360" customFormat="1" ht="20.25" hidden="1" customHeight="1">
      <c r="A178" s="356" t="s">
        <v>491</v>
      </c>
      <c r="B178" s="357" t="s">
        <v>1222</v>
      </c>
      <c r="C178" s="358">
        <f>'PART-A'!I1889</f>
        <v>0</v>
      </c>
      <c r="D178" s="354" t="s">
        <v>102</v>
      </c>
      <c r="E178" s="355">
        <f>'PART-A'!K1889</f>
        <v>981.79</v>
      </c>
      <c r="F178" s="353">
        <f>ROUND(C178*E178,0)</f>
        <v>0</v>
      </c>
      <c r="G178" s="368"/>
      <c r="H178" s="368"/>
      <c r="I178" s="368">
        <f>C178-G178</f>
        <v>0</v>
      </c>
      <c r="J178" s="368">
        <f>F178-H178</f>
        <v>0</v>
      </c>
      <c r="K178" s="360" t="s">
        <v>2312</v>
      </c>
    </row>
    <row r="179" spans="1:11" s="360" customFormat="1" ht="20.25" hidden="1" customHeight="1">
      <c r="A179" s="356" t="s">
        <v>485</v>
      </c>
      <c r="B179" s="357" t="s">
        <v>1222</v>
      </c>
      <c r="C179" s="358">
        <f>'PART-A'!I1896</f>
        <v>0</v>
      </c>
      <c r="D179" s="354" t="s">
        <v>102</v>
      </c>
      <c r="E179" s="355">
        <f>'PART-A'!K1896</f>
        <v>1017.93</v>
      </c>
      <c r="F179" s="353">
        <f>ROUND(C179*E179,0)</f>
        <v>0</v>
      </c>
      <c r="G179" s="368"/>
      <c r="H179" s="368"/>
      <c r="I179" s="368">
        <f>C179-G179</f>
        <v>0</v>
      </c>
      <c r="J179" s="368">
        <f>F179-H179</f>
        <v>0</v>
      </c>
      <c r="K179" s="360" t="s">
        <v>2313</v>
      </c>
    </row>
    <row r="180" spans="1:11" s="360" customFormat="1" ht="20.25" hidden="1" customHeight="1">
      <c r="A180" s="356" t="s">
        <v>500</v>
      </c>
      <c r="B180" s="357" t="s">
        <v>2225</v>
      </c>
      <c r="C180" s="358">
        <f>'PART-A'!I1959</f>
        <v>0</v>
      </c>
      <c r="D180" s="354" t="s">
        <v>102</v>
      </c>
      <c r="E180" s="355">
        <f>'PART-A'!K1959</f>
        <v>19.87</v>
      </c>
      <c r="F180" s="353">
        <f t="shared" si="12"/>
        <v>0</v>
      </c>
      <c r="G180" s="368"/>
      <c r="H180" s="368"/>
      <c r="I180" s="368">
        <f t="shared" si="6"/>
        <v>0</v>
      </c>
      <c r="J180" s="368">
        <f t="shared" si="7"/>
        <v>0</v>
      </c>
      <c r="K180" s="360" t="s">
        <v>2217</v>
      </c>
    </row>
    <row r="181" spans="1:11" s="360" customFormat="1" ht="20.25" hidden="1" customHeight="1">
      <c r="A181" s="356" t="s">
        <v>500</v>
      </c>
      <c r="B181" s="357" t="s">
        <v>2225</v>
      </c>
      <c r="C181" s="358">
        <f>'PART-A'!I1966</f>
        <v>0</v>
      </c>
      <c r="D181" s="354" t="s">
        <v>102</v>
      </c>
      <c r="E181" s="355">
        <f>'PART-A'!K1966</f>
        <v>21.19</v>
      </c>
      <c r="F181" s="353">
        <f>ROUND(C181*E181,0)</f>
        <v>0</v>
      </c>
      <c r="G181" s="368"/>
      <c r="H181" s="368"/>
      <c r="I181" s="368">
        <f>C181-G181</f>
        <v>0</v>
      </c>
      <c r="J181" s="368">
        <f>F181-H181</f>
        <v>0</v>
      </c>
      <c r="K181" s="360" t="s">
        <v>2299</v>
      </c>
    </row>
    <row r="182" spans="1:11" s="360" customFormat="1" ht="20.25" hidden="1" customHeight="1">
      <c r="A182" s="356" t="s">
        <v>500</v>
      </c>
      <c r="B182" s="357" t="s">
        <v>2225</v>
      </c>
      <c r="C182" s="358">
        <f>'PART-A'!I1973</f>
        <v>0</v>
      </c>
      <c r="D182" s="354" t="s">
        <v>102</v>
      </c>
      <c r="E182" s="355">
        <f>'PART-A'!K1973</f>
        <v>22.35</v>
      </c>
      <c r="F182" s="353">
        <f>ROUND(C182*E182,0)</f>
        <v>0</v>
      </c>
      <c r="G182" s="368"/>
      <c r="H182" s="368"/>
      <c r="I182" s="368">
        <f>C182-G182</f>
        <v>0</v>
      </c>
      <c r="J182" s="368">
        <f>F182-H182</f>
        <v>0</v>
      </c>
      <c r="K182" s="360" t="s">
        <v>2312</v>
      </c>
    </row>
    <row r="183" spans="1:11" s="360" customFormat="1" ht="20.25" hidden="1" customHeight="1">
      <c r="A183" s="356" t="s">
        <v>500</v>
      </c>
      <c r="B183" s="357" t="s">
        <v>2225</v>
      </c>
      <c r="C183" s="358">
        <f>'PART-A'!I1980</f>
        <v>0</v>
      </c>
      <c r="D183" s="354" t="s">
        <v>102</v>
      </c>
      <c r="E183" s="355">
        <f>'PART-A'!K1980</f>
        <v>24.05</v>
      </c>
      <c r="F183" s="353">
        <f>ROUND(C183*E183,0)</f>
        <v>0</v>
      </c>
      <c r="G183" s="368"/>
      <c r="H183" s="368"/>
      <c r="I183" s="368">
        <f>C183-G183</f>
        <v>0</v>
      </c>
      <c r="J183" s="368">
        <f>F183-H183</f>
        <v>0</v>
      </c>
      <c r="K183" s="360" t="s">
        <v>2313</v>
      </c>
    </row>
    <row r="184" spans="1:11" s="360" customFormat="1" ht="20.25" hidden="1" customHeight="1">
      <c r="A184" s="356" t="s">
        <v>485</v>
      </c>
      <c r="B184" s="357" t="s">
        <v>2111</v>
      </c>
      <c r="C184" s="358">
        <f>'PART-A'!I2004</f>
        <v>0</v>
      </c>
      <c r="D184" s="354" t="s">
        <v>102</v>
      </c>
      <c r="E184" s="355">
        <f>'PART-A'!K2004</f>
        <v>148.07</v>
      </c>
      <c r="F184" s="353">
        <f t="shared" si="12"/>
        <v>0</v>
      </c>
      <c r="G184" s="368"/>
      <c r="H184" s="368"/>
      <c r="I184" s="368">
        <f t="shared" si="6"/>
        <v>0</v>
      </c>
      <c r="J184" s="368">
        <f t="shared" si="7"/>
        <v>0</v>
      </c>
      <c r="K184" s="360" t="s">
        <v>2217</v>
      </c>
    </row>
    <row r="185" spans="1:11" s="360" customFormat="1" ht="20.25" hidden="1" customHeight="1">
      <c r="A185" s="356" t="s">
        <v>1514</v>
      </c>
      <c r="B185" s="357" t="s">
        <v>2111</v>
      </c>
      <c r="C185" s="358">
        <f>'PART-A'!I2033</f>
        <v>0</v>
      </c>
      <c r="D185" s="354" t="s">
        <v>102</v>
      </c>
      <c r="E185" s="355">
        <f>'PART-A'!K2033</f>
        <v>155.29</v>
      </c>
      <c r="F185" s="353">
        <f>ROUND(C185*E185,0)</f>
        <v>0</v>
      </c>
      <c r="G185" s="368"/>
      <c r="H185" s="368"/>
      <c r="I185" s="368">
        <f>C185-G185</f>
        <v>0</v>
      </c>
      <c r="J185" s="368">
        <f>F185-H185</f>
        <v>0</v>
      </c>
      <c r="K185" s="360" t="s">
        <v>2299</v>
      </c>
    </row>
    <row r="186" spans="1:11" s="360" customFormat="1" ht="20.25" hidden="1" customHeight="1">
      <c r="A186" s="356" t="s">
        <v>490</v>
      </c>
      <c r="B186" s="357" t="s">
        <v>2111</v>
      </c>
      <c r="C186" s="358">
        <f>'PART-A'!I2054</f>
        <v>0</v>
      </c>
      <c r="D186" s="354" t="s">
        <v>102</v>
      </c>
      <c r="E186" s="355">
        <f>'PART-A'!K2054</f>
        <v>160.76</v>
      </c>
      <c r="F186" s="353">
        <f>ROUND(C186*E186,0)</f>
        <v>0</v>
      </c>
      <c r="G186" s="368"/>
      <c r="H186" s="368"/>
      <c r="I186" s="368">
        <f>C186-G186</f>
        <v>0</v>
      </c>
      <c r="J186" s="368">
        <f>F186-H186</f>
        <v>0</v>
      </c>
      <c r="K186" s="360" t="s">
        <v>2312</v>
      </c>
    </row>
    <row r="187" spans="1:11" s="360" customFormat="1" ht="20.25" customHeight="1">
      <c r="A187" s="356" t="s">
        <v>486</v>
      </c>
      <c r="B187" s="357" t="s">
        <v>2111</v>
      </c>
      <c r="C187" s="358">
        <f>'PART-A'!I2078</f>
        <v>249.18000000000006</v>
      </c>
      <c r="D187" s="354" t="s">
        <v>102</v>
      </c>
      <c r="E187" s="355">
        <f>'PART-A'!K2078</f>
        <v>173.73</v>
      </c>
      <c r="F187" s="353">
        <f>ROUND(C187*E187,0)</f>
        <v>43290</v>
      </c>
      <c r="G187" s="368"/>
      <c r="H187" s="368"/>
      <c r="I187" s="368">
        <f>C187-G187</f>
        <v>249.18000000000006</v>
      </c>
      <c r="J187" s="368">
        <f>F187-H187</f>
        <v>43290</v>
      </c>
      <c r="K187" s="360" t="s">
        <v>2313</v>
      </c>
    </row>
    <row r="188" spans="1:11" s="360" customFormat="1" ht="20.25" hidden="1" customHeight="1">
      <c r="A188" s="356" t="s">
        <v>486</v>
      </c>
      <c r="B188" s="357" t="s">
        <v>2167</v>
      </c>
      <c r="C188" s="358">
        <f>'PART-A'!I2111</f>
        <v>0</v>
      </c>
      <c r="D188" s="354" t="s">
        <v>102</v>
      </c>
      <c r="E188" s="355">
        <f>'PART-A'!K2111</f>
        <v>122.02</v>
      </c>
      <c r="F188" s="353">
        <f t="shared" si="12"/>
        <v>0</v>
      </c>
      <c r="G188" s="368"/>
      <c r="H188" s="368"/>
      <c r="I188" s="368">
        <f t="shared" si="6"/>
        <v>0</v>
      </c>
      <c r="J188" s="368">
        <f t="shared" si="7"/>
        <v>0</v>
      </c>
      <c r="K188" s="360" t="s">
        <v>2217</v>
      </c>
    </row>
    <row r="189" spans="1:11" s="360" customFormat="1" ht="20.25" hidden="1" customHeight="1">
      <c r="A189" s="356" t="s">
        <v>492</v>
      </c>
      <c r="B189" s="357" t="s">
        <v>2167</v>
      </c>
      <c r="C189" s="358">
        <f>'PART-A'!I2147</f>
        <v>0</v>
      </c>
      <c r="D189" s="354" t="s">
        <v>102</v>
      </c>
      <c r="E189" s="355">
        <f>'PART-A'!K2147</f>
        <v>129.35</v>
      </c>
      <c r="F189" s="353">
        <f>ROUND(C189*E189,0)</f>
        <v>0</v>
      </c>
      <c r="G189" s="368"/>
      <c r="H189" s="368"/>
      <c r="I189" s="368">
        <f>C189-G189</f>
        <v>0</v>
      </c>
      <c r="J189" s="368">
        <f>F189-H189</f>
        <v>0</v>
      </c>
      <c r="K189" s="360" t="s">
        <v>2299</v>
      </c>
    </row>
    <row r="190" spans="1:11" s="360" customFormat="1" ht="20.25" hidden="1" customHeight="1">
      <c r="A190" s="356" t="s">
        <v>491</v>
      </c>
      <c r="B190" s="357" t="s">
        <v>2167</v>
      </c>
      <c r="C190" s="358">
        <f>'PART-A'!I2207</f>
        <v>0</v>
      </c>
      <c r="D190" s="354" t="s">
        <v>102</v>
      </c>
      <c r="E190" s="355">
        <f>'PART-A'!K2207</f>
        <v>134.97</v>
      </c>
      <c r="F190" s="353">
        <f>ROUND(C190*E190,0)</f>
        <v>0</v>
      </c>
      <c r="G190" s="368"/>
      <c r="H190" s="368"/>
      <c r="I190" s="368">
        <f>C190-G190</f>
        <v>0</v>
      </c>
      <c r="J190" s="368">
        <f>F190-H190</f>
        <v>0</v>
      </c>
      <c r="K190" s="360" t="s">
        <v>2312</v>
      </c>
    </row>
    <row r="191" spans="1:11" s="360" customFormat="1" ht="20.25" hidden="1" customHeight="1">
      <c r="A191" s="356" t="s">
        <v>488</v>
      </c>
      <c r="B191" s="357" t="s">
        <v>2167</v>
      </c>
      <c r="C191" s="358">
        <f>'PART-A'!I2240</f>
        <v>0</v>
      </c>
      <c r="D191" s="354" t="s">
        <v>102</v>
      </c>
      <c r="E191" s="355">
        <f>'PART-A'!K2240</f>
        <v>146.82</v>
      </c>
      <c r="F191" s="353">
        <f>ROUND(C191*E191,0)</f>
        <v>0</v>
      </c>
      <c r="G191" s="368"/>
      <c r="H191" s="368"/>
      <c r="I191" s="368">
        <f>C191-G191</f>
        <v>0</v>
      </c>
      <c r="J191" s="368">
        <f>F191-H191</f>
        <v>0</v>
      </c>
      <c r="K191" s="360" t="s">
        <v>2313</v>
      </c>
    </row>
    <row r="192" spans="1:11" s="360" customFormat="1" ht="20.25" hidden="1" customHeight="1">
      <c r="A192" s="356" t="s">
        <v>487</v>
      </c>
      <c r="B192" s="357" t="s">
        <v>2168</v>
      </c>
      <c r="C192" s="358">
        <f>'PART-A'!I2251</f>
        <v>0</v>
      </c>
      <c r="D192" s="354" t="s">
        <v>102</v>
      </c>
      <c r="E192" s="355">
        <f>'PART-A'!K2251</f>
        <v>166.22</v>
      </c>
      <c r="F192" s="353">
        <f t="shared" si="12"/>
        <v>0</v>
      </c>
      <c r="G192" s="368"/>
      <c r="H192" s="368"/>
      <c r="I192" s="368">
        <f t="shared" si="6"/>
        <v>0</v>
      </c>
      <c r="J192" s="368">
        <f t="shared" si="7"/>
        <v>0</v>
      </c>
      <c r="K192" s="360" t="s">
        <v>2217</v>
      </c>
    </row>
    <row r="193" spans="1:11" s="360" customFormat="1" ht="20.25" hidden="1" customHeight="1">
      <c r="A193" s="356" t="s">
        <v>493</v>
      </c>
      <c r="B193" s="357" t="s">
        <v>2168</v>
      </c>
      <c r="C193" s="358">
        <f>'PART-A'!I2262</f>
        <v>0</v>
      </c>
      <c r="D193" s="354" t="s">
        <v>102</v>
      </c>
      <c r="E193" s="355">
        <f>'PART-A'!K2262</f>
        <v>177.63</v>
      </c>
      <c r="F193" s="353">
        <f>ROUND(C193*E193,0)</f>
        <v>0</v>
      </c>
      <c r="G193" s="368"/>
      <c r="H193" s="368"/>
      <c r="I193" s="368">
        <f>C193-G193</f>
        <v>0</v>
      </c>
      <c r="J193" s="368">
        <f>F193-H193</f>
        <v>0</v>
      </c>
      <c r="K193" s="360" t="s">
        <v>2299</v>
      </c>
    </row>
    <row r="194" spans="1:11" s="360" customFormat="1" ht="20.25" hidden="1" customHeight="1">
      <c r="A194" s="356" t="s">
        <v>1514</v>
      </c>
      <c r="B194" s="357" t="s">
        <v>2168</v>
      </c>
      <c r="C194" s="358">
        <f>'PART-A'!I2292</f>
        <v>0</v>
      </c>
      <c r="D194" s="354" t="s">
        <v>102</v>
      </c>
      <c r="E194" s="355">
        <f>'PART-A'!K2292</f>
        <v>186.27</v>
      </c>
      <c r="F194" s="353">
        <f>ROUND(C194*E194,0)</f>
        <v>0</v>
      </c>
      <c r="G194" s="368"/>
      <c r="H194" s="368"/>
      <c r="I194" s="368">
        <f>C194-G194</f>
        <v>0</v>
      </c>
      <c r="J194" s="368">
        <f>F194-H194</f>
        <v>0</v>
      </c>
      <c r="K194" s="360" t="s">
        <v>2312</v>
      </c>
    </row>
    <row r="195" spans="1:11" s="360" customFormat="1" ht="20.25" hidden="1" customHeight="1">
      <c r="A195" s="356" t="s">
        <v>487</v>
      </c>
      <c r="B195" s="357" t="s">
        <v>2168</v>
      </c>
      <c r="C195" s="358">
        <f>'PART-A'!I2317</f>
        <v>0</v>
      </c>
      <c r="D195" s="354" t="s">
        <v>102</v>
      </c>
      <c r="E195" s="355">
        <f>'PART-A'!K2317</f>
        <v>200.84</v>
      </c>
      <c r="F195" s="353">
        <f>ROUND(C195*E195,0)</f>
        <v>0</v>
      </c>
      <c r="G195" s="368"/>
      <c r="H195" s="368"/>
      <c r="I195" s="368">
        <f>C195-G195</f>
        <v>0</v>
      </c>
      <c r="J195" s="368">
        <f>F195-H195</f>
        <v>0</v>
      </c>
      <c r="K195" s="360" t="s">
        <v>2313</v>
      </c>
    </row>
    <row r="196" spans="1:11" s="360" customFormat="1" hidden="1">
      <c r="A196" s="356" t="s">
        <v>489</v>
      </c>
      <c r="B196" s="357" t="s">
        <v>1436</v>
      </c>
      <c r="C196" s="358">
        <f>'PART-A'!I2373</f>
        <v>0</v>
      </c>
      <c r="D196" s="354" t="s">
        <v>102</v>
      </c>
      <c r="E196" s="355">
        <f>'PART-A'!K2373</f>
        <v>786.87</v>
      </c>
      <c r="F196" s="353">
        <f t="shared" si="12"/>
        <v>0</v>
      </c>
      <c r="G196" s="368"/>
      <c r="H196" s="368"/>
      <c r="I196" s="368">
        <f t="shared" si="6"/>
        <v>0</v>
      </c>
      <c r="J196" s="368">
        <f t="shared" si="7"/>
        <v>0</v>
      </c>
      <c r="K196" s="360" t="s">
        <v>2217</v>
      </c>
    </row>
    <row r="197" spans="1:11" s="360" customFormat="1" hidden="1">
      <c r="A197" s="356" t="s">
        <v>489</v>
      </c>
      <c r="B197" s="357" t="s">
        <v>1436</v>
      </c>
      <c r="C197" s="358">
        <f>'PART-A'!I2378</f>
        <v>0</v>
      </c>
      <c r="D197" s="354" t="s">
        <v>102</v>
      </c>
      <c r="E197" s="355">
        <f>'PART-A'!K2378</f>
        <v>849.67000000000007</v>
      </c>
      <c r="F197" s="353">
        <f>ROUND(C197*E197,0)</f>
        <v>0</v>
      </c>
      <c r="G197" s="368"/>
      <c r="H197" s="368"/>
      <c r="I197" s="368">
        <f>C197-G197</f>
        <v>0</v>
      </c>
      <c r="J197" s="368">
        <f>F197-H197</f>
        <v>0</v>
      </c>
      <c r="K197" s="360" t="s">
        <v>2299</v>
      </c>
    </row>
    <row r="198" spans="1:11" s="360" customFormat="1" hidden="1">
      <c r="A198" s="356" t="s">
        <v>489</v>
      </c>
      <c r="B198" s="357" t="s">
        <v>1436</v>
      </c>
      <c r="C198" s="358">
        <f>'PART-A'!I2383</f>
        <v>0</v>
      </c>
      <c r="D198" s="354" t="s">
        <v>102</v>
      </c>
      <c r="E198" s="355">
        <f>'PART-A'!K2383</f>
        <v>897.27</v>
      </c>
      <c r="F198" s="353">
        <f>ROUND(C198*E198,0)</f>
        <v>0</v>
      </c>
      <c r="G198" s="368"/>
      <c r="H198" s="368"/>
      <c r="I198" s="368">
        <f>C198-G198</f>
        <v>0</v>
      </c>
      <c r="J198" s="368">
        <f>F198-H198</f>
        <v>0</v>
      </c>
      <c r="K198" s="360" t="s">
        <v>2312</v>
      </c>
    </row>
    <row r="199" spans="1:11" s="360" customFormat="1" hidden="1">
      <c r="A199" s="356" t="s">
        <v>489</v>
      </c>
      <c r="B199" s="357" t="s">
        <v>1436</v>
      </c>
      <c r="C199" s="358">
        <f>'PART-A'!I2388</f>
        <v>0</v>
      </c>
      <c r="D199" s="354" t="s">
        <v>102</v>
      </c>
      <c r="E199" s="355">
        <f>'PART-A'!K2388</f>
        <v>968.78</v>
      </c>
      <c r="F199" s="353">
        <f>ROUND(C199*E199,0)</f>
        <v>0</v>
      </c>
      <c r="G199" s="368"/>
      <c r="H199" s="368"/>
      <c r="I199" s="368">
        <f>C199-G199</f>
        <v>0</v>
      </c>
      <c r="J199" s="368">
        <f>F199-H199</f>
        <v>0</v>
      </c>
      <c r="K199" s="360" t="s">
        <v>2313</v>
      </c>
    </row>
    <row r="200" spans="1:11" s="360" customFormat="1" ht="20.25" hidden="1" customHeight="1">
      <c r="A200" s="356" t="s">
        <v>506</v>
      </c>
      <c r="B200" s="357" t="s">
        <v>2011</v>
      </c>
      <c r="C200" s="429">
        <f>'PART-A'!I2393</f>
        <v>0</v>
      </c>
      <c r="D200" s="221" t="s">
        <v>102</v>
      </c>
      <c r="E200" s="430">
        <f>'PART-A'!K2393</f>
        <v>3198</v>
      </c>
      <c r="F200" s="353">
        <f t="shared" si="12"/>
        <v>0</v>
      </c>
      <c r="G200" s="368"/>
      <c r="H200" s="368"/>
      <c r="I200" s="368">
        <f t="shared" si="6"/>
        <v>0</v>
      </c>
      <c r="J200" s="368">
        <f t="shared" si="7"/>
        <v>0</v>
      </c>
      <c r="K200" s="360" t="s">
        <v>2217</v>
      </c>
    </row>
    <row r="201" spans="1:11" s="360" customFormat="1" ht="20.25" hidden="1" customHeight="1">
      <c r="A201" s="356" t="s">
        <v>491</v>
      </c>
      <c r="B201" s="357" t="s">
        <v>2011</v>
      </c>
      <c r="C201" s="429">
        <f>'PART-A'!I2398</f>
        <v>0</v>
      </c>
      <c r="D201" s="221" t="s">
        <v>102</v>
      </c>
      <c r="E201" s="430">
        <f>'PART-A'!K2398</f>
        <v>3198</v>
      </c>
      <c r="F201" s="353">
        <f>ROUND(C201*E201,0)</f>
        <v>0</v>
      </c>
      <c r="G201" s="368"/>
      <c r="H201" s="368"/>
      <c r="I201" s="368">
        <f>C201-G201</f>
        <v>0</v>
      </c>
      <c r="J201" s="368">
        <f>F201-H201</f>
        <v>0</v>
      </c>
      <c r="K201" s="360" t="s">
        <v>2299</v>
      </c>
    </row>
    <row r="202" spans="1:11" s="360" customFormat="1" ht="20.25" hidden="1" customHeight="1">
      <c r="A202" s="356" t="s">
        <v>506</v>
      </c>
      <c r="B202" s="357" t="s">
        <v>2011</v>
      </c>
      <c r="C202" s="429">
        <f>'PART-A'!I2403</f>
        <v>0</v>
      </c>
      <c r="D202" s="221" t="s">
        <v>102</v>
      </c>
      <c r="E202" s="430">
        <f>'PART-A'!K2403</f>
        <v>3500</v>
      </c>
      <c r="F202" s="353">
        <f>ROUND(C202*E202,0)</f>
        <v>0</v>
      </c>
      <c r="G202" s="368"/>
      <c r="H202" s="368"/>
      <c r="I202" s="368">
        <f>C202-G202</f>
        <v>0</v>
      </c>
      <c r="J202" s="368">
        <f>F202-H202</f>
        <v>0</v>
      </c>
      <c r="K202" s="360" t="s">
        <v>2312</v>
      </c>
    </row>
    <row r="203" spans="1:11" s="360" customFormat="1" ht="20.25" hidden="1" customHeight="1">
      <c r="A203" s="356" t="s">
        <v>489</v>
      </c>
      <c r="B203" s="357" t="s">
        <v>2011</v>
      </c>
      <c r="C203" s="429">
        <f>'PART-A'!I2408</f>
        <v>0</v>
      </c>
      <c r="D203" s="221" t="s">
        <v>102</v>
      </c>
      <c r="E203" s="430">
        <f>'PART-A'!K2408</f>
        <v>4025</v>
      </c>
      <c r="F203" s="353">
        <f>ROUND(C203*E203,0)</f>
        <v>0</v>
      </c>
      <c r="G203" s="368"/>
      <c r="H203" s="368"/>
      <c r="I203" s="368">
        <f>C203-G203</f>
        <v>0</v>
      </c>
      <c r="J203" s="368">
        <f>F203-H203</f>
        <v>0</v>
      </c>
      <c r="K203" s="360" t="s">
        <v>2313</v>
      </c>
    </row>
    <row r="204" spans="1:11" s="360" customFormat="1" hidden="1">
      <c r="A204" s="356" t="s">
        <v>490</v>
      </c>
      <c r="B204" s="357" t="s">
        <v>2012</v>
      </c>
      <c r="C204" s="358">
        <f>'PART-A'!I2323</f>
        <v>0</v>
      </c>
      <c r="D204" s="354" t="s">
        <v>102</v>
      </c>
      <c r="E204" s="355">
        <f>'PART-A'!K2323</f>
        <v>172.75</v>
      </c>
      <c r="F204" s="353">
        <f t="shared" si="12"/>
        <v>0</v>
      </c>
      <c r="G204" s="368"/>
      <c r="H204" s="368"/>
      <c r="I204" s="368">
        <f t="shared" si="6"/>
        <v>0</v>
      </c>
      <c r="J204" s="368">
        <f t="shared" si="7"/>
        <v>0</v>
      </c>
      <c r="K204" s="360" t="s">
        <v>2217</v>
      </c>
    </row>
    <row r="205" spans="1:11" s="360" customFormat="1" hidden="1">
      <c r="A205" s="356" t="s">
        <v>490</v>
      </c>
      <c r="B205" s="357" t="s">
        <v>2012</v>
      </c>
      <c r="C205" s="358">
        <f>'PART-A'!I2333</f>
        <v>0</v>
      </c>
      <c r="D205" s="354" t="s">
        <v>102</v>
      </c>
      <c r="E205" s="355">
        <f>'PART-A'!K2333</f>
        <v>132.55000000000001</v>
      </c>
      <c r="F205" s="353">
        <f>ROUND(C205*E205,0)</f>
        <v>0</v>
      </c>
      <c r="G205" s="368"/>
      <c r="H205" s="368"/>
      <c r="I205" s="368">
        <f>C205-G205</f>
        <v>0</v>
      </c>
      <c r="J205" s="368">
        <f>F205-H205</f>
        <v>0</v>
      </c>
      <c r="K205" s="360" t="s">
        <v>2299</v>
      </c>
    </row>
    <row r="206" spans="1:11" s="360" customFormat="1" hidden="1">
      <c r="A206" s="356" t="s">
        <v>490</v>
      </c>
      <c r="B206" s="357" t="s">
        <v>2012</v>
      </c>
      <c r="C206" s="358">
        <f>'PART-A'!I2339</f>
        <v>0</v>
      </c>
      <c r="D206" s="354" t="s">
        <v>102</v>
      </c>
      <c r="E206" s="355">
        <f>'PART-A'!K2339</f>
        <v>137.6</v>
      </c>
      <c r="F206" s="353">
        <f>ROUND(C206*E206,0)</f>
        <v>0</v>
      </c>
      <c r="G206" s="368"/>
      <c r="H206" s="368"/>
      <c r="I206" s="368">
        <f>C206-G206</f>
        <v>0</v>
      </c>
      <c r="J206" s="368">
        <f>F206-H206</f>
        <v>0</v>
      </c>
      <c r="K206" s="360" t="s">
        <v>2312</v>
      </c>
    </row>
    <row r="207" spans="1:11" s="360" customFormat="1" hidden="1">
      <c r="A207" s="356" t="s">
        <v>488</v>
      </c>
      <c r="B207" s="357" t="s">
        <v>2012</v>
      </c>
      <c r="C207" s="358">
        <f>'PART-A'!I2344</f>
        <v>0</v>
      </c>
      <c r="D207" s="354" t="s">
        <v>102</v>
      </c>
      <c r="E207" s="355">
        <f>'PART-A'!K2344</f>
        <v>149.86000000000001</v>
      </c>
      <c r="F207" s="353">
        <f>ROUND(C207*E207,0)</f>
        <v>0</v>
      </c>
      <c r="G207" s="368"/>
      <c r="H207" s="368"/>
      <c r="I207" s="368">
        <f>C207-G207</f>
        <v>0</v>
      </c>
      <c r="J207" s="368">
        <f>F207-H207</f>
        <v>0</v>
      </c>
      <c r="K207" s="360" t="s">
        <v>2313</v>
      </c>
    </row>
    <row r="208" spans="1:11" s="360" customFormat="1" hidden="1">
      <c r="A208" s="356" t="s">
        <v>491</v>
      </c>
      <c r="B208" s="357" t="s">
        <v>2271</v>
      </c>
      <c r="C208" s="358">
        <f>'PART-A'!I1903</f>
        <v>0</v>
      </c>
      <c r="D208" s="354" t="s">
        <v>102</v>
      </c>
      <c r="E208" s="355">
        <f>'PART-A'!K1903</f>
        <v>489</v>
      </c>
      <c r="F208" s="353">
        <f t="shared" si="12"/>
        <v>0</v>
      </c>
      <c r="G208" s="368"/>
      <c r="H208" s="368"/>
      <c r="I208" s="368">
        <f t="shared" ref="I208:I220" si="13">C208-G208</f>
        <v>0</v>
      </c>
      <c r="J208" s="368">
        <f t="shared" ref="J208:J220" si="14">F208-H208</f>
        <v>0</v>
      </c>
      <c r="K208" s="360" t="s">
        <v>2217</v>
      </c>
    </row>
    <row r="209" spans="1:11" s="360" customFormat="1" hidden="1">
      <c r="A209" s="356" t="s">
        <v>1514</v>
      </c>
      <c r="B209" s="357" t="s">
        <v>2271</v>
      </c>
      <c r="C209" s="358">
        <f>'PART-A'!I1910</f>
        <v>0</v>
      </c>
      <c r="D209" s="354" t="s">
        <v>102</v>
      </c>
      <c r="E209" s="355">
        <f>'PART-A'!K1910</f>
        <v>489</v>
      </c>
      <c r="F209" s="353">
        <f>ROUND(C209*E209,0)</f>
        <v>0</v>
      </c>
      <c r="G209" s="368"/>
      <c r="H209" s="368"/>
      <c r="I209" s="368">
        <f>C209-G209</f>
        <v>0</v>
      </c>
      <c r="J209" s="368">
        <f>F209-H209</f>
        <v>0</v>
      </c>
      <c r="K209" s="360" t="s">
        <v>2299</v>
      </c>
    </row>
    <row r="210" spans="1:11" s="360" customFormat="1" hidden="1">
      <c r="A210" s="356" t="s">
        <v>492</v>
      </c>
      <c r="B210" s="357" t="s">
        <v>2271</v>
      </c>
      <c r="C210" s="358">
        <f>'PART-A'!I1917</f>
        <v>0</v>
      </c>
      <c r="D210" s="354" t="s">
        <v>102</v>
      </c>
      <c r="E210" s="355">
        <f>'PART-A'!K1917</f>
        <v>510</v>
      </c>
      <c r="F210" s="353">
        <f>ROUND(C210*E210,0)</f>
        <v>0</v>
      </c>
      <c r="G210" s="368"/>
      <c r="H210" s="368"/>
      <c r="I210" s="368">
        <f>C210-G210</f>
        <v>0</v>
      </c>
      <c r="J210" s="368">
        <f>F210-H210</f>
        <v>0</v>
      </c>
      <c r="K210" s="360" t="s">
        <v>2312</v>
      </c>
    </row>
    <row r="211" spans="1:11" s="360" customFormat="1" hidden="1">
      <c r="A211" s="356" t="s">
        <v>493</v>
      </c>
      <c r="B211" s="357" t="s">
        <v>2271</v>
      </c>
      <c r="C211" s="358">
        <f>'PART-A'!I1924</f>
        <v>0</v>
      </c>
      <c r="D211" s="354" t="s">
        <v>102</v>
      </c>
      <c r="E211" s="355">
        <f>'PART-A'!K1924</f>
        <v>610</v>
      </c>
      <c r="F211" s="353">
        <f>ROUND(C211*E211,0)</f>
        <v>0</v>
      </c>
      <c r="G211" s="368"/>
      <c r="H211" s="368"/>
      <c r="I211" s="368">
        <f>C211-G211</f>
        <v>0</v>
      </c>
      <c r="J211" s="368">
        <f>F211-H211</f>
        <v>0</v>
      </c>
      <c r="K211" s="360" t="s">
        <v>2313</v>
      </c>
    </row>
    <row r="212" spans="1:11" s="360" customFormat="1" hidden="1">
      <c r="A212" s="356" t="s">
        <v>494</v>
      </c>
      <c r="B212" s="357" t="s">
        <v>2272</v>
      </c>
      <c r="C212" s="358">
        <f>'PART-A'!I1931</f>
        <v>0</v>
      </c>
      <c r="D212" s="354" t="s">
        <v>102</v>
      </c>
      <c r="E212" s="355">
        <f>'PART-A'!K1931</f>
        <v>288.70999999999998</v>
      </c>
      <c r="F212" s="353">
        <f t="shared" si="12"/>
        <v>0</v>
      </c>
      <c r="G212" s="368"/>
      <c r="H212" s="368"/>
      <c r="I212" s="368">
        <f t="shared" si="13"/>
        <v>0</v>
      </c>
      <c r="J212" s="368">
        <f t="shared" si="14"/>
        <v>0</v>
      </c>
      <c r="K212" s="360" t="s">
        <v>2217</v>
      </c>
    </row>
    <row r="213" spans="1:11" s="360" customFormat="1" hidden="1">
      <c r="A213" s="356" t="s">
        <v>495</v>
      </c>
      <c r="B213" s="357" t="s">
        <v>2272</v>
      </c>
      <c r="C213" s="358">
        <f>'PART-A'!I1938</f>
        <v>0</v>
      </c>
      <c r="D213" s="354" t="s">
        <v>102</v>
      </c>
      <c r="E213" s="355">
        <f>'PART-A'!K1938</f>
        <v>309.07</v>
      </c>
      <c r="F213" s="353">
        <f>ROUND(C213*E213,0)</f>
        <v>0</v>
      </c>
      <c r="G213" s="368"/>
      <c r="H213" s="368"/>
      <c r="I213" s="368">
        <f>C213-G213</f>
        <v>0</v>
      </c>
      <c r="J213" s="368">
        <f>F213-H213</f>
        <v>0</v>
      </c>
      <c r="K213" s="360" t="s">
        <v>2299</v>
      </c>
    </row>
    <row r="214" spans="1:11" s="360" customFormat="1" hidden="1">
      <c r="A214" s="356" t="s">
        <v>526</v>
      </c>
      <c r="B214" s="357" t="s">
        <v>2272</v>
      </c>
      <c r="C214" s="358">
        <f>'PART-A'!I1945</f>
        <v>0</v>
      </c>
      <c r="D214" s="354" t="s">
        <v>102</v>
      </c>
      <c r="E214" s="355">
        <f>'PART-A'!K1945</f>
        <v>325.58</v>
      </c>
      <c r="F214" s="353">
        <f>ROUND(C214*E214,0)</f>
        <v>0</v>
      </c>
      <c r="G214" s="368"/>
      <c r="H214" s="368"/>
      <c r="I214" s="368">
        <f>C214-G214</f>
        <v>0</v>
      </c>
      <c r="J214" s="368">
        <f>F214-H214</f>
        <v>0</v>
      </c>
      <c r="K214" s="360" t="s">
        <v>2312</v>
      </c>
    </row>
    <row r="215" spans="1:11" s="360" customFormat="1" hidden="1">
      <c r="A215" s="356" t="s">
        <v>1515</v>
      </c>
      <c r="B215" s="357" t="s">
        <v>2272</v>
      </c>
      <c r="C215" s="358">
        <f>'PART-A'!I1952</f>
        <v>0</v>
      </c>
      <c r="D215" s="354" t="s">
        <v>102</v>
      </c>
      <c r="E215" s="355">
        <f>'PART-A'!K1952</f>
        <v>345.47</v>
      </c>
      <c r="F215" s="353">
        <f>ROUND(C215*E215,0)</f>
        <v>0</v>
      </c>
      <c r="G215" s="368"/>
      <c r="H215" s="368"/>
      <c r="I215" s="368">
        <f>C215-G215</f>
        <v>0</v>
      </c>
      <c r="J215" s="368">
        <f>F215-H215</f>
        <v>0</v>
      </c>
      <c r="K215" s="360" t="s">
        <v>2313</v>
      </c>
    </row>
    <row r="216" spans="1:11" s="360" customFormat="1" hidden="1">
      <c r="A216" s="356" t="s">
        <v>1516</v>
      </c>
      <c r="B216" s="357" t="s">
        <v>2274</v>
      </c>
      <c r="C216" s="358">
        <f>'PART-A'!I2350</f>
        <v>0</v>
      </c>
      <c r="D216" s="354" t="s">
        <v>102</v>
      </c>
      <c r="E216" s="355">
        <f>'PART-A'!K2350</f>
        <v>630</v>
      </c>
      <c r="F216" s="353">
        <f t="shared" si="12"/>
        <v>0</v>
      </c>
      <c r="G216" s="368"/>
      <c r="H216" s="368"/>
      <c r="I216" s="368">
        <f t="shared" si="13"/>
        <v>0</v>
      </c>
      <c r="J216" s="368">
        <f t="shared" si="14"/>
        <v>0</v>
      </c>
      <c r="K216" s="360" t="s">
        <v>2217</v>
      </c>
    </row>
    <row r="217" spans="1:11" s="360" customFormat="1" hidden="1">
      <c r="A217" s="356" t="s">
        <v>1517</v>
      </c>
      <c r="B217" s="357" t="s">
        <v>2274</v>
      </c>
      <c r="C217" s="358">
        <f>'PART-A'!I2356</f>
        <v>0</v>
      </c>
      <c r="D217" s="354" t="s">
        <v>102</v>
      </c>
      <c r="E217" s="355">
        <f>'PART-A'!K2356</f>
        <v>630</v>
      </c>
      <c r="F217" s="353">
        <f>ROUND(C217*E217,0)</f>
        <v>0</v>
      </c>
      <c r="G217" s="368"/>
      <c r="H217" s="368"/>
      <c r="I217" s="368">
        <f>C217-G217</f>
        <v>0</v>
      </c>
      <c r="J217" s="368">
        <f>F217-H217</f>
        <v>0</v>
      </c>
      <c r="K217" s="360" t="s">
        <v>2299</v>
      </c>
    </row>
    <row r="218" spans="1:11" s="360" customFormat="1" hidden="1">
      <c r="A218" s="356" t="s">
        <v>1518</v>
      </c>
      <c r="B218" s="357" t="s">
        <v>2274</v>
      </c>
      <c r="C218" s="358">
        <f>'PART-A'!I2362</f>
        <v>0</v>
      </c>
      <c r="D218" s="354" t="s">
        <v>102</v>
      </c>
      <c r="E218" s="355">
        <f>'PART-A'!K2362</f>
        <v>630</v>
      </c>
      <c r="F218" s="353">
        <f>ROUND(C218*E218,0)</f>
        <v>0</v>
      </c>
      <c r="G218" s="368"/>
      <c r="H218" s="368"/>
      <c r="I218" s="368">
        <f>C218-G218</f>
        <v>0</v>
      </c>
      <c r="J218" s="368">
        <f>F218-H218</f>
        <v>0</v>
      </c>
      <c r="K218" s="360" t="s">
        <v>2312</v>
      </c>
    </row>
    <row r="219" spans="1:11" s="360" customFormat="1" hidden="1">
      <c r="A219" s="356" t="s">
        <v>492</v>
      </c>
      <c r="B219" s="357" t="s">
        <v>2274</v>
      </c>
      <c r="C219" s="358">
        <f>'PART-A'!I2368</f>
        <v>0</v>
      </c>
      <c r="D219" s="354" t="s">
        <v>102</v>
      </c>
      <c r="E219" s="355">
        <f>'PART-A'!K2368</f>
        <v>630</v>
      </c>
      <c r="F219" s="353">
        <f>ROUND(C219*E219,0)</f>
        <v>0</v>
      </c>
      <c r="G219" s="368"/>
      <c r="H219" s="368"/>
      <c r="I219" s="368">
        <f>C219-G219</f>
        <v>0</v>
      </c>
      <c r="J219" s="368">
        <f>F219-H219</f>
        <v>0</v>
      </c>
      <c r="K219" s="360" t="s">
        <v>2313</v>
      </c>
    </row>
    <row r="220" spans="1:11" s="360" customFormat="1" ht="20.25" hidden="1" customHeight="1">
      <c r="A220" s="356" t="s">
        <v>492</v>
      </c>
      <c r="B220" s="357" t="s">
        <v>2226</v>
      </c>
      <c r="C220" s="358">
        <f>'PART-A'!I2413</f>
        <v>0</v>
      </c>
      <c r="D220" s="354" t="s">
        <v>115</v>
      </c>
      <c r="E220" s="355">
        <f>'PART-A'!K2413</f>
        <v>666.66</v>
      </c>
      <c r="F220" s="353">
        <f t="shared" si="12"/>
        <v>0</v>
      </c>
      <c r="G220" s="368"/>
      <c r="H220" s="368"/>
      <c r="I220" s="368">
        <f t="shared" si="13"/>
        <v>0</v>
      </c>
      <c r="J220" s="368">
        <f t="shared" si="14"/>
        <v>0</v>
      </c>
      <c r="K220" s="360" t="s">
        <v>2217</v>
      </c>
    </row>
    <row r="221" spans="1:11" s="360" customFormat="1" ht="20.25" hidden="1" customHeight="1">
      <c r="A221" s="356" t="s">
        <v>492</v>
      </c>
      <c r="B221" s="357" t="s">
        <v>2226</v>
      </c>
      <c r="C221" s="358">
        <f>'PART-A'!I2418</f>
        <v>0</v>
      </c>
      <c r="D221" s="354" t="s">
        <v>115</v>
      </c>
      <c r="E221" s="355">
        <f>'PART-A'!K2418</f>
        <v>666.66</v>
      </c>
      <c r="F221" s="353">
        <f>ROUND(C221*E221,0)</f>
        <v>0</v>
      </c>
      <c r="G221" s="368"/>
      <c r="H221" s="368"/>
      <c r="I221" s="368">
        <f>C221-G221</f>
        <v>0</v>
      </c>
      <c r="J221" s="368">
        <f>F221-H221</f>
        <v>0</v>
      </c>
      <c r="K221" s="360" t="s">
        <v>2299</v>
      </c>
    </row>
    <row r="222" spans="1:11" s="360" customFormat="1" ht="20.25" hidden="1" customHeight="1">
      <c r="A222" s="356" t="s">
        <v>492</v>
      </c>
      <c r="B222" s="357" t="s">
        <v>2226</v>
      </c>
      <c r="C222" s="358">
        <f>'PART-A'!I2423</f>
        <v>0</v>
      </c>
      <c r="D222" s="354" t="s">
        <v>115</v>
      </c>
      <c r="E222" s="355">
        <f>'PART-A'!K2423</f>
        <v>733.33</v>
      </c>
      <c r="F222" s="353">
        <f>ROUND(C222*E222,0)</f>
        <v>0</v>
      </c>
      <c r="G222" s="368"/>
      <c r="H222" s="368"/>
      <c r="I222" s="368">
        <f>C222-G222</f>
        <v>0</v>
      </c>
      <c r="J222" s="368">
        <f>F222-H222</f>
        <v>0</v>
      </c>
      <c r="K222" s="360" t="s">
        <v>2312</v>
      </c>
    </row>
    <row r="223" spans="1:11" s="360" customFormat="1" ht="20.25" hidden="1" customHeight="1">
      <c r="A223" s="356" t="s">
        <v>489</v>
      </c>
      <c r="B223" s="357" t="s">
        <v>2226</v>
      </c>
      <c r="C223" s="358">
        <f>'PART-A'!I2428</f>
        <v>0</v>
      </c>
      <c r="D223" s="354" t="s">
        <v>115</v>
      </c>
      <c r="E223" s="355">
        <f>'PART-A'!K2428</f>
        <v>808</v>
      </c>
      <c r="F223" s="353">
        <f>ROUND(C223*E223,0)</f>
        <v>0</v>
      </c>
      <c r="G223" s="368"/>
      <c r="H223" s="368"/>
      <c r="I223" s="368">
        <f>C223-G223</f>
        <v>0</v>
      </c>
      <c r="J223" s="368">
        <f>F223-H223</f>
        <v>0</v>
      </c>
      <c r="K223" s="360" t="s">
        <v>2313</v>
      </c>
    </row>
    <row r="224" spans="1:11" s="360" customFormat="1" ht="20.25" hidden="1" customHeight="1">
      <c r="A224" s="356" t="s">
        <v>492</v>
      </c>
      <c r="B224" s="357" t="s">
        <v>2227</v>
      </c>
      <c r="C224" s="358">
        <f>'PART-A'!I2433</f>
        <v>0</v>
      </c>
      <c r="D224" s="354" t="s">
        <v>115</v>
      </c>
      <c r="E224" s="355">
        <f>'PART-A'!K2433</f>
        <v>500</v>
      </c>
      <c r="F224" s="353">
        <f t="shared" si="12"/>
        <v>0</v>
      </c>
      <c r="G224" s="368"/>
      <c r="H224" s="368"/>
      <c r="I224" s="368">
        <f t="shared" si="6"/>
        <v>0</v>
      </c>
      <c r="J224" s="368">
        <f t="shared" si="7"/>
        <v>0</v>
      </c>
      <c r="K224" s="360" t="s">
        <v>2217</v>
      </c>
    </row>
    <row r="225" spans="1:11" s="360" customFormat="1" ht="20.25" hidden="1" customHeight="1">
      <c r="A225" s="356" t="s">
        <v>492</v>
      </c>
      <c r="B225" s="357" t="s">
        <v>2227</v>
      </c>
      <c r="C225" s="358">
        <f>'PART-A'!I2438</f>
        <v>0</v>
      </c>
      <c r="D225" s="354" t="s">
        <v>115</v>
      </c>
      <c r="E225" s="355">
        <f>'PART-A'!K2438</f>
        <v>500</v>
      </c>
      <c r="F225" s="353">
        <f>ROUND(C225*E225,0)</f>
        <v>0</v>
      </c>
      <c r="G225" s="368"/>
      <c r="H225" s="368"/>
      <c r="I225" s="368">
        <f>C225-G225</f>
        <v>0</v>
      </c>
      <c r="J225" s="368">
        <f>F225-H225</f>
        <v>0</v>
      </c>
      <c r="K225" s="360" t="s">
        <v>2299</v>
      </c>
    </row>
    <row r="226" spans="1:11" s="360" customFormat="1" ht="20.25" hidden="1" customHeight="1">
      <c r="A226" s="356" t="s">
        <v>492</v>
      </c>
      <c r="B226" s="357" t="s">
        <v>2227</v>
      </c>
      <c r="C226" s="358">
        <f>'PART-A'!I2443</f>
        <v>0</v>
      </c>
      <c r="D226" s="354" t="s">
        <v>115</v>
      </c>
      <c r="E226" s="355">
        <f>'PART-A'!K2443</f>
        <v>550</v>
      </c>
      <c r="F226" s="353">
        <f>ROUND(C226*E226,0)</f>
        <v>0</v>
      </c>
      <c r="G226" s="368"/>
      <c r="H226" s="368"/>
      <c r="I226" s="368">
        <f>C226-G226</f>
        <v>0</v>
      </c>
      <c r="J226" s="368">
        <f>F226-H226</f>
        <v>0</v>
      </c>
      <c r="K226" s="360" t="s">
        <v>2312</v>
      </c>
    </row>
    <row r="227" spans="1:11" s="360" customFormat="1" ht="20.25" hidden="1" customHeight="1">
      <c r="A227" s="356" t="s">
        <v>492</v>
      </c>
      <c r="B227" s="357" t="s">
        <v>2227</v>
      </c>
      <c r="C227" s="358">
        <f>'PART-A'!I2448</f>
        <v>0</v>
      </c>
      <c r="D227" s="354" t="s">
        <v>115</v>
      </c>
      <c r="E227" s="355">
        <f>'PART-A'!K2448</f>
        <v>606</v>
      </c>
      <c r="F227" s="353">
        <f>ROUND(C227*E227,0)</f>
        <v>0</v>
      </c>
      <c r="G227" s="368"/>
      <c r="H227" s="368"/>
      <c r="I227" s="368">
        <f>C227-G227</f>
        <v>0</v>
      </c>
      <c r="J227" s="368">
        <f>F227-H227</f>
        <v>0</v>
      </c>
      <c r="K227" s="360" t="s">
        <v>2313</v>
      </c>
    </row>
    <row r="228" spans="1:11" s="360" customFormat="1" ht="27" hidden="1" customHeight="1">
      <c r="A228" s="356" t="s">
        <v>508</v>
      </c>
      <c r="B228" s="357" t="s">
        <v>1483</v>
      </c>
      <c r="C228" s="358">
        <f>'PART-A'!I2453</f>
        <v>0</v>
      </c>
      <c r="D228" s="354" t="s">
        <v>115</v>
      </c>
      <c r="E228" s="355">
        <f>'PART-A'!K2453</f>
        <v>130</v>
      </c>
      <c r="F228" s="353">
        <f t="shared" si="12"/>
        <v>0</v>
      </c>
      <c r="G228" s="368"/>
      <c r="H228" s="368"/>
      <c r="I228" s="368">
        <f t="shared" si="6"/>
        <v>0</v>
      </c>
      <c r="J228" s="368">
        <f t="shared" si="7"/>
        <v>0</v>
      </c>
      <c r="K228" s="360" t="s">
        <v>2217</v>
      </c>
    </row>
    <row r="229" spans="1:11" s="360" customFormat="1" ht="27" hidden="1" customHeight="1">
      <c r="A229" s="356" t="s">
        <v>508</v>
      </c>
      <c r="B229" s="357" t="s">
        <v>1483</v>
      </c>
      <c r="C229" s="358">
        <f>'PART-A'!I2458</f>
        <v>0</v>
      </c>
      <c r="D229" s="354" t="s">
        <v>115</v>
      </c>
      <c r="E229" s="355">
        <f>'PART-A'!K2458</f>
        <v>130</v>
      </c>
      <c r="F229" s="353">
        <f>ROUND(C229*E229,0)</f>
        <v>0</v>
      </c>
      <c r="G229" s="368"/>
      <c r="H229" s="368"/>
      <c r="I229" s="368">
        <f>C229-G229</f>
        <v>0</v>
      </c>
      <c r="J229" s="368">
        <f>F229-H229</f>
        <v>0</v>
      </c>
      <c r="K229" s="360" t="s">
        <v>2299</v>
      </c>
    </row>
    <row r="230" spans="1:11" s="360" customFormat="1" ht="27" hidden="1" customHeight="1">
      <c r="A230" s="356" t="s">
        <v>508</v>
      </c>
      <c r="B230" s="357" t="s">
        <v>1483</v>
      </c>
      <c r="C230" s="358">
        <f>'PART-A'!I2463</f>
        <v>0</v>
      </c>
      <c r="D230" s="354" t="s">
        <v>115</v>
      </c>
      <c r="E230" s="355">
        <f>'PART-A'!K2463</f>
        <v>143</v>
      </c>
      <c r="F230" s="353">
        <f>ROUND(C230*E230,0)</f>
        <v>0</v>
      </c>
      <c r="G230" s="368"/>
      <c r="H230" s="368"/>
      <c r="I230" s="368">
        <f>C230-G230</f>
        <v>0</v>
      </c>
      <c r="J230" s="368">
        <f>F230-H230</f>
        <v>0</v>
      </c>
      <c r="K230" s="360" t="s">
        <v>2312</v>
      </c>
    </row>
    <row r="231" spans="1:11" s="360" customFormat="1" ht="27" hidden="1" customHeight="1">
      <c r="A231" s="356" t="s">
        <v>490</v>
      </c>
      <c r="B231" s="357" t="s">
        <v>1483</v>
      </c>
      <c r="C231" s="358">
        <f>'PART-A'!I2468</f>
        <v>0</v>
      </c>
      <c r="D231" s="354" t="s">
        <v>115</v>
      </c>
      <c r="E231" s="355">
        <f>'PART-A'!K2468</f>
        <v>157</v>
      </c>
      <c r="F231" s="353">
        <f>ROUND(C231*E231,0)</f>
        <v>0</v>
      </c>
      <c r="G231" s="368"/>
      <c r="H231" s="368"/>
      <c r="I231" s="368">
        <f>C231-G231</f>
        <v>0</v>
      </c>
      <c r="J231" s="368">
        <f>F231-H231</f>
        <v>0</v>
      </c>
      <c r="K231" s="360" t="s">
        <v>2313</v>
      </c>
    </row>
    <row r="232" spans="1:11" s="360" customFormat="1" ht="20.25" customHeight="1">
      <c r="A232" s="356" t="s">
        <v>487</v>
      </c>
      <c r="B232" s="357" t="s">
        <v>477</v>
      </c>
      <c r="C232" s="429">
        <f>'PART-A'!I2476</f>
        <v>4.25</v>
      </c>
      <c r="D232" s="221" t="s">
        <v>29</v>
      </c>
      <c r="E232" s="430">
        <f>'PART-A'!K2476</f>
        <v>62198.5</v>
      </c>
      <c r="F232" s="353">
        <f t="shared" si="12"/>
        <v>264344</v>
      </c>
      <c r="G232" s="353"/>
      <c r="H232" s="353"/>
      <c r="I232" s="368">
        <f t="shared" si="6"/>
        <v>4.25</v>
      </c>
      <c r="J232" s="368">
        <f t="shared" si="7"/>
        <v>264344</v>
      </c>
      <c r="K232" s="360" t="s">
        <v>2217</v>
      </c>
    </row>
    <row r="233" spans="1:11" s="360" customFormat="1" ht="20.25" hidden="1" customHeight="1">
      <c r="A233" s="356" t="s">
        <v>495</v>
      </c>
      <c r="B233" s="357" t="s">
        <v>477</v>
      </c>
      <c r="C233" s="429">
        <f>'PART-A'!I2482</f>
        <v>0</v>
      </c>
      <c r="D233" s="221" t="s">
        <v>29</v>
      </c>
      <c r="E233" s="430">
        <f>'PART-A'!K2482</f>
        <v>62385</v>
      </c>
      <c r="F233" s="353">
        <f>ROUND(C233*E233,0)</f>
        <v>0</v>
      </c>
      <c r="G233" s="353"/>
      <c r="H233" s="353"/>
      <c r="I233" s="368">
        <f>C233-G233</f>
        <v>0</v>
      </c>
      <c r="J233" s="368">
        <f>F233-H233</f>
        <v>0</v>
      </c>
      <c r="K233" s="360" t="s">
        <v>2299</v>
      </c>
    </row>
    <row r="234" spans="1:11" s="360" customFormat="1" ht="20.25" hidden="1" customHeight="1">
      <c r="A234" s="356" t="s">
        <v>1517</v>
      </c>
      <c r="B234" s="357" t="s">
        <v>477</v>
      </c>
      <c r="C234" s="429">
        <f>'PART-A'!I2487</f>
        <v>0</v>
      </c>
      <c r="D234" s="221" t="s">
        <v>29</v>
      </c>
      <c r="E234" s="430">
        <f>'PART-A'!K2487</f>
        <v>79809.5</v>
      </c>
      <c r="F234" s="353">
        <f>ROUND(C234*E234,0)</f>
        <v>0</v>
      </c>
      <c r="G234" s="353"/>
      <c r="H234" s="353"/>
      <c r="I234" s="368">
        <f>C234-G234</f>
        <v>0</v>
      </c>
      <c r="J234" s="368">
        <f>F234-H234</f>
        <v>0</v>
      </c>
      <c r="K234" s="360" t="s">
        <v>2312</v>
      </c>
    </row>
    <row r="235" spans="1:11" s="360" customFormat="1" ht="20.25" hidden="1" customHeight="1">
      <c r="A235" s="356" t="s">
        <v>483</v>
      </c>
      <c r="B235" s="357" t="s">
        <v>477</v>
      </c>
      <c r="C235" s="429">
        <f>'PART-A'!I2493</f>
        <v>0</v>
      </c>
      <c r="D235" s="221" t="s">
        <v>29</v>
      </c>
      <c r="E235" s="430">
        <f>'PART-A'!K2493</f>
        <v>92466</v>
      </c>
      <c r="F235" s="353">
        <f>ROUND(C235*E235,0)</f>
        <v>0</v>
      </c>
      <c r="G235" s="353"/>
      <c r="H235" s="353"/>
      <c r="I235" s="368">
        <f>C235-G235</f>
        <v>0</v>
      </c>
      <c r="J235" s="368">
        <f>F235-H235</f>
        <v>0</v>
      </c>
      <c r="K235" s="360" t="s">
        <v>2313</v>
      </c>
    </row>
    <row r="236" spans="1:11" s="360" customFormat="1" ht="20.25" hidden="1" customHeight="1">
      <c r="A236" s="356"/>
      <c r="B236" s="431" t="s">
        <v>496</v>
      </c>
      <c r="C236" s="358"/>
      <c r="D236" s="361"/>
      <c r="E236" s="355"/>
      <c r="F236" s="353">
        <f t="shared" si="12"/>
        <v>0</v>
      </c>
      <c r="G236" s="368"/>
      <c r="H236" s="368"/>
      <c r="I236" s="368">
        <f t="shared" si="6"/>
        <v>0</v>
      </c>
      <c r="J236" s="368">
        <f t="shared" si="7"/>
        <v>0</v>
      </c>
      <c r="K236" s="360" t="s">
        <v>2217</v>
      </c>
    </row>
    <row r="237" spans="1:11" s="360" customFormat="1" ht="20.25" hidden="1" customHeight="1">
      <c r="A237" s="356" t="s">
        <v>491</v>
      </c>
      <c r="B237" s="357" t="s">
        <v>2103</v>
      </c>
      <c r="C237" s="358">
        <f>FF!I16</f>
        <v>0</v>
      </c>
      <c r="D237" s="354" t="s">
        <v>5</v>
      </c>
      <c r="E237" s="355">
        <f>FF!K16</f>
        <v>9806.8100000000013</v>
      </c>
      <c r="F237" s="353">
        <f t="shared" si="12"/>
        <v>0</v>
      </c>
      <c r="G237" s="368"/>
      <c r="H237" s="368"/>
      <c r="I237" s="368">
        <f t="shared" si="6"/>
        <v>0</v>
      </c>
      <c r="J237" s="368">
        <f t="shared" si="7"/>
        <v>0</v>
      </c>
      <c r="K237" s="360" t="s">
        <v>2217</v>
      </c>
    </row>
    <row r="238" spans="1:11" s="360" customFormat="1" ht="20.25" hidden="1" customHeight="1">
      <c r="A238" s="356" t="s">
        <v>1514</v>
      </c>
      <c r="B238" s="357" t="s">
        <v>2103</v>
      </c>
      <c r="C238" s="358">
        <f>FF!I21</f>
        <v>0</v>
      </c>
      <c r="D238" s="354" t="s">
        <v>5</v>
      </c>
      <c r="E238" s="355">
        <f>FF!K21</f>
        <v>10177.17</v>
      </c>
      <c r="F238" s="353">
        <f>ROUND(C238*E238,0)</f>
        <v>0</v>
      </c>
      <c r="G238" s="368"/>
      <c r="H238" s="368"/>
      <c r="I238" s="368">
        <f>C238-G238</f>
        <v>0</v>
      </c>
      <c r="J238" s="368">
        <f>F238-H238</f>
        <v>0</v>
      </c>
      <c r="K238" s="360" t="s">
        <v>2299</v>
      </c>
    </row>
    <row r="239" spans="1:11" s="360" customFormat="1" ht="20.25" hidden="1" customHeight="1">
      <c r="A239" s="356" t="s">
        <v>1514</v>
      </c>
      <c r="B239" s="357" t="s">
        <v>2103</v>
      </c>
      <c r="C239" s="358">
        <f>FF!I30</f>
        <v>0</v>
      </c>
      <c r="D239" s="354" t="s">
        <v>5</v>
      </c>
      <c r="E239" s="355">
        <f>FF!K30</f>
        <v>10761.36</v>
      </c>
      <c r="F239" s="353">
        <f>ROUND(C239*E239,0)</f>
        <v>0</v>
      </c>
      <c r="G239" s="368"/>
      <c r="H239" s="368"/>
      <c r="I239" s="368">
        <f>C239-G239</f>
        <v>0</v>
      </c>
      <c r="J239" s="368">
        <f>F239-H239</f>
        <v>0</v>
      </c>
      <c r="K239" s="360" t="s">
        <v>2312</v>
      </c>
    </row>
    <row r="240" spans="1:11" s="360" customFormat="1" ht="20.25" hidden="1" customHeight="1">
      <c r="A240" s="356" t="s">
        <v>1514</v>
      </c>
      <c r="B240" s="357" t="s">
        <v>2103</v>
      </c>
      <c r="C240" s="358">
        <f>FF!I35</f>
        <v>0</v>
      </c>
      <c r="D240" s="354" t="s">
        <v>5</v>
      </c>
      <c r="E240" s="355">
        <f>FF!K35</f>
        <v>11192.01</v>
      </c>
      <c r="F240" s="353">
        <f>ROUND(C240*E240,0)</f>
        <v>0</v>
      </c>
      <c r="G240" s="368"/>
      <c r="H240" s="368"/>
      <c r="I240" s="368">
        <f>C240-G240</f>
        <v>0</v>
      </c>
      <c r="J240" s="368">
        <f>F240-H240</f>
        <v>0</v>
      </c>
      <c r="K240" s="360" t="s">
        <v>2313</v>
      </c>
    </row>
    <row r="241" spans="1:11" s="360" customFormat="1" ht="20.25" hidden="1" customHeight="1">
      <c r="A241" s="356" t="s">
        <v>1514</v>
      </c>
      <c r="B241" s="357" t="s">
        <v>2013</v>
      </c>
      <c r="C241" s="358">
        <f>FF!I59</f>
        <v>0</v>
      </c>
      <c r="D241" s="354" t="s">
        <v>5</v>
      </c>
      <c r="E241" s="355">
        <f>FF!K59</f>
        <v>9468.130000000001</v>
      </c>
      <c r="F241" s="353">
        <f t="shared" si="12"/>
        <v>0</v>
      </c>
      <c r="G241" s="368"/>
      <c r="H241" s="368"/>
      <c r="I241" s="368">
        <f t="shared" si="6"/>
        <v>0</v>
      </c>
      <c r="J241" s="368">
        <f t="shared" si="7"/>
        <v>0</v>
      </c>
      <c r="K241" s="360" t="s">
        <v>2217</v>
      </c>
    </row>
    <row r="242" spans="1:11" s="360" customFormat="1" ht="20.25" hidden="1" customHeight="1">
      <c r="A242" s="356" t="s">
        <v>494</v>
      </c>
      <c r="B242" s="357" t="s">
        <v>2013</v>
      </c>
      <c r="C242" s="358">
        <f>FF!I74</f>
        <v>0</v>
      </c>
      <c r="D242" s="354" t="s">
        <v>5</v>
      </c>
      <c r="E242" s="355">
        <f>FF!K74</f>
        <v>9694.16</v>
      </c>
      <c r="F242" s="353">
        <f>ROUND(C242*E242,0)</f>
        <v>0</v>
      </c>
      <c r="G242" s="368"/>
      <c r="H242" s="368"/>
      <c r="I242" s="368">
        <f>C242-G242</f>
        <v>0</v>
      </c>
      <c r="J242" s="368">
        <f>F242-H242</f>
        <v>0</v>
      </c>
      <c r="K242" s="360" t="s">
        <v>2299</v>
      </c>
    </row>
    <row r="243" spans="1:11" s="360" customFormat="1" ht="20.25" hidden="1" customHeight="1">
      <c r="A243" s="356" t="s">
        <v>492</v>
      </c>
      <c r="B243" s="357" t="s">
        <v>2013</v>
      </c>
      <c r="C243" s="358">
        <f>FF!I98</f>
        <v>0</v>
      </c>
      <c r="D243" s="354" t="s">
        <v>5</v>
      </c>
      <c r="E243" s="355">
        <f>FF!K98</f>
        <v>10194.73</v>
      </c>
      <c r="F243" s="353">
        <f>ROUND(C243*E243,0)</f>
        <v>0</v>
      </c>
      <c r="G243" s="368"/>
      <c r="H243" s="368"/>
      <c r="I243" s="368">
        <f>C243-G243</f>
        <v>0</v>
      </c>
      <c r="J243" s="368">
        <f>F243-H243</f>
        <v>0</v>
      </c>
      <c r="K243" s="360" t="s">
        <v>2312</v>
      </c>
    </row>
    <row r="244" spans="1:11" s="360" customFormat="1" ht="20.25" hidden="1" customHeight="1">
      <c r="A244" s="356" t="s">
        <v>492</v>
      </c>
      <c r="B244" s="357" t="s">
        <v>2013</v>
      </c>
      <c r="C244" s="358">
        <f>FF!I104</f>
        <v>0</v>
      </c>
      <c r="D244" s="354" t="s">
        <v>5</v>
      </c>
      <c r="E244" s="355">
        <f>FF!K104</f>
        <v>10490.18</v>
      </c>
      <c r="F244" s="353">
        <f>ROUND(C244*E244,0)</f>
        <v>0</v>
      </c>
      <c r="G244" s="368"/>
      <c r="H244" s="368"/>
      <c r="I244" s="368">
        <f>C244-G244</f>
        <v>0</v>
      </c>
      <c r="J244" s="368">
        <f>F244-H244</f>
        <v>0</v>
      </c>
      <c r="K244" s="360" t="s">
        <v>2313</v>
      </c>
    </row>
    <row r="245" spans="1:11" s="360" customFormat="1" ht="20.25" hidden="1" customHeight="1">
      <c r="A245" s="356" t="s">
        <v>492</v>
      </c>
      <c r="B245" s="357" t="s">
        <v>2007</v>
      </c>
      <c r="C245" s="358">
        <f>FF!I140</f>
        <v>0</v>
      </c>
      <c r="D245" s="354" t="s">
        <v>102</v>
      </c>
      <c r="E245" s="355">
        <f>FF!K140</f>
        <v>1231.97</v>
      </c>
      <c r="F245" s="353">
        <f t="shared" si="12"/>
        <v>0</v>
      </c>
      <c r="G245" s="368"/>
      <c r="H245" s="368"/>
      <c r="I245" s="368">
        <f t="shared" si="6"/>
        <v>0</v>
      </c>
      <c r="J245" s="368">
        <f t="shared" si="7"/>
        <v>0</v>
      </c>
      <c r="K245" s="360" t="s">
        <v>2217</v>
      </c>
    </row>
    <row r="246" spans="1:11" s="360" customFormat="1" ht="20.25" hidden="1" customHeight="1">
      <c r="A246" s="356" t="s">
        <v>495</v>
      </c>
      <c r="B246" s="357" t="s">
        <v>2007</v>
      </c>
      <c r="C246" s="358">
        <f>FF!I146</f>
        <v>0</v>
      </c>
      <c r="D246" s="354" t="s">
        <v>102</v>
      </c>
      <c r="E246" s="355">
        <f>FF!K146</f>
        <v>1269.73</v>
      </c>
      <c r="F246" s="353">
        <f>ROUND(C246*E246,0)</f>
        <v>0</v>
      </c>
      <c r="G246" s="368"/>
      <c r="H246" s="368"/>
      <c r="I246" s="368">
        <f>C246-G246</f>
        <v>0</v>
      </c>
      <c r="J246" s="368">
        <f>F246-H246</f>
        <v>0</v>
      </c>
      <c r="K246" s="360" t="s">
        <v>2299</v>
      </c>
    </row>
    <row r="247" spans="1:11" s="360" customFormat="1" ht="20.25" hidden="1" customHeight="1">
      <c r="A247" s="356" t="s">
        <v>493</v>
      </c>
      <c r="B247" s="357" t="s">
        <v>2007</v>
      </c>
      <c r="C247" s="358">
        <f>FF!I153</f>
        <v>0</v>
      </c>
      <c r="D247" s="354" t="s">
        <v>102</v>
      </c>
      <c r="E247" s="355">
        <f>FF!K153</f>
        <v>1350.5700000000002</v>
      </c>
      <c r="F247" s="353">
        <f>ROUND(C247*E247,0)</f>
        <v>0</v>
      </c>
      <c r="G247" s="368"/>
      <c r="H247" s="368"/>
      <c r="I247" s="368">
        <f>C247-G247</f>
        <v>0</v>
      </c>
      <c r="J247" s="368">
        <f>F247-H247</f>
        <v>0</v>
      </c>
      <c r="K247" s="360" t="s">
        <v>2312</v>
      </c>
    </row>
    <row r="248" spans="1:11" s="360" customFormat="1" ht="20.25" hidden="1" customHeight="1">
      <c r="A248" s="356" t="s">
        <v>493</v>
      </c>
      <c r="B248" s="357" t="s">
        <v>2007</v>
      </c>
      <c r="C248" s="358">
        <f>FF!I159</f>
        <v>0</v>
      </c>
      <c r="D248" s="354" t="s">
        <v>102</v>
      </c>
      <c r="E248" s="355">
        <f>FF!K159</f>
        <v>1395.89</v>
      </c>
      <c r="F248" s="353">
        <f>ROUND(C248*E248,0)</f>
        <v>0</v>
      </c>
      <c r="G248" s="368"/>
      <c r="H248" s="368"/>
      <c r="I248" s="368">
        <f>C248-G248</f>
        <v>0</v>
      </c>
      <c r="J248" s="368">
        <f>F248-H248</f>
        <v>0</v>
      </c>
      <c r="K248" s="360" t="s">
        <v>2313</v>
      </c>
    </row>
    <row r="249" spans="1:11" s="360" customFormat="1" ht="20.25" hidden="1" customHeight="1">
      <c r="A249" s="356" t="s">
        <v>487</v>
      </c>
      <c r="B249" s="357" t="s">
        <v>2218</v>
      </c>
      <c r="C249" s="358">
        <f>FF!I164</f>
        <v>0</v>
      </c>
      <c r="D249" s="354" t="s">
        <v>102</v>
      </c>
      <c r="E249" s="355">
        <f>FF!K164</f>
        <v>1107.81</v>
      </c>
      <c r="F249" s="353">
        <f t="shared" si="12"/>
        <v>0</v>
      </c>
      <c r="G249" s="368"/>
      <c r="H249" s="368"/>
      <c r="I249" s="368">
        <f t="shared" si="6"/>
        <v>0</v>
      </c>
      <c r="J249" s="368">
        <f t="shared" si="7"/>
        <v>0</v>
      </c>
      <c r="K249" s="360" t="s">
        <v>2217</v>
      </c>
    </row>
    <row r="250" spans="1:11" s="360" customFormat="1" ht="20.25" hidden="1" customHeight="1">
      <c r="A250" s="356" t="s">
        <v>487</v>
      </c>
      <c r="B250" s="357" t="s">
        <v>2218</v>
      </c>
      <c r="C250" s="358">
        <f>FF!I169</f>
        <v>0</v>
      </c>
      <c r="D250" s="354" t="s">
        <v>102</v>
      </c>
      <c r="E250" s="355">
        <f>FF!K169</f>
        <v>1140.19</v>
      </c>
      <c r="F250" s="353">
        <f>ROUND(C250*E250,0)</f>
        <v>0</v>
      </c>
      <c r="G250" s="368"/>
      <c r="H250" s="368"/>
      <c r="I250" s="368">
        <f>C250-G250</f>
        <v>0</v>
      </c>
      <c r="J250" s="368">
        <f>F250-H250</f>
        <v>0</v>
      </c>
      <c r="K250" s="360" t="s">
        <v>2299</v>
      </c>
    </row>
    <row r="251" spans="1:11" s="360" customFormat="1" ht="20.25" hidden="1" customHeight="1">
      <c r="A251" s="356" t="s">
        <v>487</v>
      </c>
      <c r="B251" s="357" t="s">
        <v>2218</v>
      </c>
      <c r="C251" s="358">
        <f>FF!I174</f>
        <v>0</v>
      </c>
      <c r="D251" s="354" t="s">
        <v>102</v>
      </c>
      <c r="E251" s="355">
        <f>FF!K174</f>
        <v>1214.83</v>
      </c>
      <c r="F251" s="353">
        <f>ROUND(C251*E251,0)</f>
        <v>0</v>
      </c>
      <c r="G251" s="368"/>
      <c r="H251" s="368"/>
      <c r="I251" s="368">
        <f>C251-G251</f>
        <v>0</v>
      </c>
      <c r="J251" s="368">
        <f>F251-H251</f>
        <v>0</v>
      </c>
      <c r="K251" s="360" t="s">
        <v>2312</v>
      </c>
    </row>
    <row r="252" spans="1:11" s="360" customFormat="1" ht="20.25" hidden="1" customHeight="1">
      <c r="A252" s="356" t="s">
        <v>487</v>
      </c>
      <c r="B252" s="357" t="s">
        <v>2218</v>
      </c>
      <c r="C252" s="358">
        <f>FF!I179</f>
        <v>0</v>
      </c>
      <c r="D252" s="354" t="s">
        <v>102</v>
      </c>
      <c r="E252" s="355">
        <f>FF!K179</f>
        <v>1253.01</v>
      </c>
      <c r="F252" s="353">
        <f>ROUND(C252*E252,0)</f>
        <v>0</v>
      </c>
      <c r="G252" s="368"/>
      <c r="H252" s="368"/>
      <c r="I252" s="368">
        <f>C252-G252</f>
        <v>0</v>
      </c>
      <c r="J252" s="368">
        <f>F252-H252</f>
        <v>0</v>
      </c>
      <c r="K252" s="360" t="s">
        <v>2313</v>
      </c>
    </row>
    <row r="253" spans="1:11" s="360" customFormat="1" ht="20.25" hidden="1" customHeight="1">
      <c r="A253" s="356" t="s">
        <v>493</v>
      </c>
      <c r="B253" s="357" t="s">
        <v>2008</v>
      </c>
      <c r="C253" s="358">
        <f>FF!I112</f>
        <v>0</v>
      </c>
      <c r="D253" s="221" t="s">
        <v>102</v>
      </c>
      <c r="E253" s="355">
        <f>FF!K112</f>
        <v>1356.1200000000001</v>
      </c>
      <c r="F253" s="353">
        <f t="shared" si="12"/>
        <v>0</v>
      </c>
      <c r="G253" s="368"/>
      <c r="H253" s="368"/>
      <c r="I253" s="368">
        <f t="shared" si="6"/>
        <v>0</v>
      </c>
      <c r="J253" s="368">
        <f t="shared" si="7"/>
        <v>0</v>
      </c>
      <c r="K253" s="360" t="s">
        <v>2217</v>
      </c>
    </row>
    <row r="254" spans="1:11" s="360" customFormat="1" ht="20.25" hidden="1" customHeight="1">
      <c r="A254" s="356" t="s">
        <v>1515</v>
      </c>
      <c r="B254" s="357" t="s">
        <v>2008</v>
      </c>
      <c r="C254" s="358">
        <f>FF!I120</f>
        <v>0</v>
      </c>
      <c r="D254" s="221" t="s">
        <v>102</v>
      </c>
      <c r="E254" s="355">
        <f>FF!K120</f>
        <v>1399.27</v>
      </c>
      <c r="F254" s="353">
        <f>ROUND(C254*E254,0)</f>
        <v>0</v>
      </c>
      <c r="G254" s="368"/>
      <c r="H254" s="368"/>
      <c r="I254" s="368">
        <f>C254-G254</f>
        <v>0</v>
      </c>
      <c r="J254" s="368">
        <f>F254-H254</f>
        <v>0</v>
      </c>
      <c r="K254" s="360" t="s">
        <v>2299</v>
      </c>
    </row>
    <row r="255" spans="1:11" s="360" customFormat="1" ht="20.25" hidden="1" customHeight="1">
      <c r="A255" s="356" t="s">
        <v>494</v>
      </c>
      <c r="B255" s="357" t="s">
        <v>2008</v>
      </c>
      <c r="C255" s="358">
        <f>FF!I128</f>
        <v>0</v>
      </c>
      <c r="D255" s="221" t="s">
        <v>102</v>
      </c>
      <c r="E255" s="355">
        <f>FF!K128</f>
        <v>1486.3000000000002</v>
      </c>
      <c r="F255" s="353">
        <f>ROUND(C255*E255,0)</f>
        <v>0</v>
      </c>
      <c r="G255" s="368"/>
      <c r="H255" s="368"/>
      <c r="I255" s="368">
        <f>C255-G255</f>
        <v>0</v>
      </c>
      <c r="J255" s="368">
        <f>F255-H255</f>
        <v>0</v>
      </c>
      <c r="K255" s="360" t="s">
        <v>2312</v>
      </c>
    </row>
    <row r="256" spans="1:11" s="360" customFormat="1" ht="20.25" hidden="1" customHeight="1">
      <c r="A256" s="356" t="s">
        <v>494</v>
      </c>
      <c r="B256" s="357" t="s">
        <v>2008</v>
      </c>
      <c r="C256" s="358">
        <f>FF!I133</f>
        <v>0</v>
      </c>
      <c r="D256" s="221" t="s">
        <v>102</v>
      </c>
      <c r="E256" s="355">
        <f>FF!K133</f>
        <v>1538.77</v>
      </c>
      <c r="F256" s="353">
        <f>ROUND(C256*E256,0)</f>
        <v>0</v>
      </c>
      <c r="G256" s="368"/>
      <c r="H256" s="368"/>
      <c r="I256" s="368">
        <f>C256-G256</f>
        <v>0</v>
      </c>
      <c r="J256" s="368">
        <f>F256-H256</f>
        <v>0</v>
      </c>
      <c r="K256" s="360" t="s">
        <v>2313</v>
      </c>
    </row>
    <row r="257" spans="1:11" s="360" customFormat="1" ht="20.25" hidden="1" customHeight="1">
      <c r="A257" s="356" t="s">
        <v>517</v>
      </c>
      <c r="B257" s="357" t="s">
        <v>2219</v>
      </c>
      <c r="C257" s="358">
        <f>FF!I185</f>
        <v>0</v>
      </c>
      <c r="D257" s="221" t="s">
        <v>102</v>
      </c>
      <c r="E257" s="355">
        <f>FF!K185</f>
        <v>608.34999999999991</v>
      </c>
      <c r="F257" s="353">
        <f t="shared" si="12"/>
        <v>0</v>
      </c>
      <c r="G257" s="368"/>
      <c r="H257" s="368"/>
      <c r="I257" s="368">
        <f t="shared" si="6"/>
        <v>0</v>
      </c>
      <c r="J257" s="368">
        <f t="shared" si="7"/>
        <v>0</v>
      </c>
      <c r="K257" s="360" t="s">
        <v>2217</v>
      </c>
    </row>
    <row r="258" spans="1:11" s="360" customFormat="1" ht="20.25" hidden="1" customHeight="1">
      <c r="A258" s="356" t="s">
        <v>517</v>
      </c>
      <c r="B258" s="357" t="s">
        <v>2219</v>
      </c>
      <c r="C258" s="358">
        <f>FF!I191</f>
        <v>0</v>
      </c>
      <c r="D258" s="221" t="s">
        <v>102</v>
      </c>
      <c r="E258" s="355">
        <f>FF!K191</f>
        <v>629.79</v>
      </c>
      <c r="F258" s="353">
        <f>ROUND(C258*E258,0)</f>
        <v>0</v>
      </c>
      <c r="G258" s="368"/>
      <c r="H258" s="368"/>
      <c r="I258" s="368">
        <f>C258-G258</f>
        <v>0</v>
      </c>
      <c r="J258" s="368">
        <f>F258-H258</f>
        <v>0</v>
      </c>
      <c r="K258" s="360" t="s">
        <v>2299</v>
      </c>
    </row>
    <row r="259" spans="1:11" s="360" customFormat="1" ht="20.25" hidden="1" customHeight="1">
      <c r="A259" s="356" t="s">
        <v>517</v>
      </c>
      <c r="B259" s="357" t="s">
        <v>2219</v>
      </c>
      <c r="C259" s="358">
        <f>FF!I197</f>
        <v>0</v>
      </c>
      <c r="D259" s="221" t="s">
        <v>102</v>
      </c>
      <c r="E259" s="355">
        <f>FF!K197</f>
        <v>670.91</v>
      </c>
      <c r="F259" s="353">
        <f>ROUND(C259*E259,0)</f>
        <v>0</v>
      </c>
      <c r="G259" s="368"/>
      <c r="H259" s="368"/>
      <c r="I259" s="368">
        <f>C259-G259</f>
        <v>0</v>
      </c>
      <c r="J259" s="368">
        <f>F259-H259</f>
        <v>0</v>
      </c>
      <c r="K259" s="360" t="s">
        <v>2312</v>
      </c>
    </row>
    <row r="260" spans="1:11" s="360" customFormat="1" ht="20.25" hidden="1" customHeight="1">
      <c r="A260" s="356" t="s">
        <v>517</v>
      </c>
      <c r="B260" s="357" t="s">
        <v>2219</v>
      </c>
      <c r="C260" s="358">
        <f>FF!I203</f>
        <v>0</v>
      </c>
      <c r="D260" s="221" t="s">
        <v>102</v>
      </c>
      <c r="E260" s="355">
        <f>FF!K203</f>
        <v>694.54</v>
      </c>
      <c r="F260" s="353">
        <f>ROUND(C260*E260,0)</f>
        <v>0</v>
      </c>
      <c r="G260" s="368"/>
      <c r="H260" s="368"/>
      <c r="I260" s="368">
        <f>C260-G260</f>
        <v>0</v>
      </c>
      <c r="J260" s="368">
        <f>F260-H260</f>
        <v>0</v>
      </c>
      <c r="K260" s="360" t="s">
        <v>2313</v>
      </c>
    </row>
    <row r="261" spans="1:11" s="360" customFormat="1" ht="20.25" hidden="1" customHeight="1">
      <c r="A261" s="356" t="s">
        <v>517</v>
      </c>
      <c r="B261" s="357" t="s">
        <v>2220</v>
      </c>
      <c r="C261" s="358">
        <f>FF!I209</f>
        <v>0</v>
      </c>
      <c r="D261" s="221" t="s">
        <v>102</v>
      </c>
      <c r="E261" s="355">
        <f>FF!K209</f>
        <v>485.58</v>
      </c>
      <c r="F261" s="353">
        <f t="shared" si="12"/>
        <v>0</v>
      </c>
      <c r="G261" s="368"/>
      <c r="H261" s="368"/>
      <c r="I261" s="368">
        <f t="shared" si="6"/>
        <v>0</v>
      </c>
      <c r="J261" s="368">
        <f t="shared" si="7"/>
        <v>0</v>
      </c>
      <c r="K261" s="360" t="s">
        <v>2217</v>
      </c>
    </row>
    <row r="262" spans="1:11" s="360" customFormat="1" ht="20.25" hidden="1" customHeight="1">
      <c r="A262" s="356" t="s">
        <v>517</v>
      </c>
      <c r="B262" s="357" t="s">
        <v>2220</v>
      </c>
      <c r="C262" s="358">
        <f>FF!I215</f>
        <v>0</v>
      </c>
      <c r="D262" s="221" t="s">
        <v>102</v>
      </c>
      <c r="E262" s="355">
        <f>FF!K215</f>
        <v>501.74</v>
      </c>
      <c r="F262" s="353">
        <f>ROUND(C262*E262,0)</f>
        <v>0</v>
      </c>
      <c r="G262" s="368"/>
      <c r="H262" s="368"/>
      <c r="I262" s="368">
        <f>C262-G262</f>
        <v>0</v>
      </c>
      <c r="J262" s="368">
        <f>F262-H262</f>
        <v>0</v>
      </c>
      <c r="K262" s="360" t="s">
        <v>2299</v>
      </c>
    </row>
    <row r="263" spans="1:11" s="360" customFormat="1" ht="20.25" hidden="1" customHeight="1">
      <c r="A263" s="356" t="s">
        <v>517</v>
      </c>
      <c r="B263" s="357" t="s">
        <v>2220</v>
      </c>
      <c r="C263" s="358">
        <f>FF!I221</f>
        <v>0</v>
      </c>
      <c r="D263" s="221" t="s">
        <v>102</v>
      </c>
      <c r="E263" s="355">
        <f>FF!K221</f>
        <v>536.78</v>
      </c>
      <c r="F263" s="353">
        <f>ROUND(C263*E263,0)</f>
        <v>0</v>
      </c>
      <c r="G263" s="368"/>
      <c r="H263" s="368"/>
      <c r="I263" s="368">
        <f>C263-G263</f>
        <v>0</v>
      </c>
      <c r="J263" s="368">
        <f>F263-H263</f>
        <v>0</v>
      </c>
      <c r="K263" s="360" t="s">
        <v>2312</v>
      </c>
    </row>
    <row r="264" spans="1:11" s="360" customFormat="1" ht="20.25" hidden="1" customHeight="1">
      <c r="A264" s="356" t="s">
        <v>517</v>
      </c>
      <c r="B264" s="357" t="s">
        <v>2220</v>
      </c>
      <c r="C264" s="358">
        <f>FF!I227</f>
        <v>0</v>
      </c>
      <c r="D264" s="221" t="s">
        <v>102</v>
      </c>
      <c r="E264" s="355">
        <f>FF!K227</f>
        <v>553.39</v>
      </c>
      <c r="F264" s="353">
        <f>ROUND(C264*E264,0)</f>
        <v>0</v>
      </c>
      <c r="G264" s="368"/>
      <c r="H264" s="368"/>
      <c r="I264" s="368">
        <f>C264-G264</f>
        <v>0</v>
      </c>
      <c r="J264" s="368">
        <f>F264-H264</f>
        <v>0</v>
      </c>
      <c r="K264" s="360" t="s">
        <v>2313</v>
      </c>
    </row>
    <row r="265" spans="1:11" s="360" customFormat="1" ht="20.25" hidden="1" customHeight="1">
      <c r="A265" s="356" t="s">
        <v>494</v>
      </c>
      <c r="B265" s="357" t="s">
        <v>2009</v>
      </c>
      <c r="C265" s="358">
        <f>FF!I238</f>
        <v>0</v>
      </c>
      <c r="D265" s="354" t="s">
        <v>5</v>
      </c>
      <c r="E265" s="355">
        <f>FF!K238</f>
        <v>9842.01</v>
      </c>
      <c r="F265" s="353">
        <f t="shared" si="12"/>
        <v>0</v>
      </c>
      <c r="G265" s="368"/>
      <c r="H265" s="368"/>
      <c r="I265" s="368">
        <f t="shared" si="6"/>
        <v>0</v>
      </c>
      <c r="J265" s="368">
        <f t="shared" si="7"/>
        <v>0</v>
      </c>
      <c r="K265" s="360" t="s">
        <v>2217</v>
      </c>
    </row>
    <row r="266" spans="1:11" s="360" customFormat="1" ht="20.25" hidden="1" customHeight="1">
      <c r="A266" s="356" t="s">
        <v>1516</v>
      </c>
      <c r="B266" s="357" t="s">
        <v>2009</v>
      </c>
      <c r="C266" s="358">
        <f>FF!I259</f>
        <v>0</v>
      </c>
      <c r="D266" s="354" t="s">
        <v>5</v>
      </c>
      <c r="E266" s="355">
        <f>FF!K259</f>
        <v>10212.370000000001</v>
      </c>
      <c r="F266" s="353">
        <f>ROUND(C266*E266,0)</f>
        <v>0</v>
      </c>
      <c r="G266" s="368"/>
      <c r="H266" s="368"/>
      <c r="I266" s="368">
        <f>C266-G266</f>
        <v>0</v>
      </c>
      <c r="J266" s="368">
        <f>F266-H266</f>
        <v>0</v>
      </c>
      <c r="K266" s="360" t="s">
        <v>2299</v>
      </c>
    </row>
    <row r="267" spans="1:11" s="360" customFormat="1" ht="20.25" hidden="1" customHeight="1">
      <c r="A267" s="356" t="s">
        <v>1518</v>
      </c>
      <c r="B267" s="357" t="s">
        <v>2009</v>
      </c>
      <c r="C267" s="358">
        <f>FF!I270</f>
        <v>0</v>
      </c>
      <c r="D267" s="354" t="s">
        <v>5</v>
      </c>
      <c r="E267" s="355">
        <f>FF!K270</f>
        <v>10781.86</v>
      </c>
      <c r="F267" s="353">
        <f>ROUND(C267*E267,0)</f>
        <v>0</v>
      </c>
      <c r="G267" s="368"/>
      <c r="H267" s="368"/>
      <c r="I267" s="368">
        <f>C267-G267</f>
        <v>0</v>
      </c>
      <c r="J267" s="368">
        <f>F267-H267</f>
        <v>0</v>
      </c>
      <c r="K267" s="360" t="s">
        <v>2312</v>
      </c>
    </row>
    <row r="268" spans="1:11" s="360" customFormat="1" ht="20.25" hidden="1" customHeight="1">
      <c r="A268" s="356" t="s">
        <v>1518</v>
      </c>
      <c r="B268" s="357" t="s">
        <v>2009</v>
      </c>
      <c r="C268" s="358">
        <f>FF!I276</f>
        <v>0</v>
      </c>
      <c r="D268" s="354" t="s">
        <v>5</v>
      </c>
      <c r="E268" s="355">
        <f>FF!K276</f>
        <v>11212.51</v>
      </c>
      <c r="F268" s="353">
        <f>ROUND(C268*E268,0)</f>
        <v>0</v>
      </c>
      <c r="G268" s="368"/>
      <c r="H268" s="368"/>
      <c r="I268" s="368">
        <f>C268-G268</f>
        <v>0</v>
      </c>
      <c r="J268" s="368">
        <f>F268-H268</f>
        <v>0</v>
      </c>
      <c r="K268" s="360" t="s">
        <v>2313</v>
      </c>
    </row>
    <row r="269" spans="1:11" s="360" customFormat="1" ht="20.25" hidden="1" customHeight="1">
      <c r="A269" s="356" t="s">
        <v>495</v>
      </c>
      <c r="B269" s="357" t="s">
        <v>2010</v>
      </c>
      <c r="C269" s="358">
        <f>FF!I282</f>
        <v>0</v>
      </c>
      <c r="D269" s="221" t="s">
        <v>277</v>
      </c>
      <c r="E269" s="355">
        <f>FF!K282</f>
        <v>568.34999999999991</v>
      </c>
      <c r="F269" s="353">
        <f t="shared" si="12"/>
        <v>0</v>
      </c>
      <c r="G269" s="368"/>
      <c r="H269" s="368"/>
      <c r="I269" s="368">
        <f t="shared" si="6"/>
        <v>0</v>
      </c>
      <c r="J269" s="368">
        <f t="shared" si="7"/>
        <v>0</v>
      </c>
      <c r="K269" s="360" t="s">
        <v>2217</v>
      </c>
    </row>
    <row r="270" spans="1:11" s="360" customFormat="1" ht="20.25" hidden="1" customHeight="1">
      <c r="A270" s="356" t="s">
        <v>1517</v>
      </c>
      <c r="B270" s="357" t="s">
        <v>2010</v>
      </c>
      <c r="C270" s="358">
        <f>FF!I288</f>
        <v>0</v>
      </c>
      <c r="D270" s="221" t="s">
        <v>277</v>
      </c>
      <c r="E270" s="355">
        <f>FF!K288</f>
        <v>582.93999999999994</v>
      </c>
      <c r="F270" s="353">
        <f>ROUND(C270*E270,0)</f>
        <v>0</v>
      </c>
      <c r="G270" s="368"/>
      <c r="H270" s="368"/>
      <c r="I270" s="368">
        <f>C270-G270</f>
        <v>0</v>
      </c>
      <c r="J270" s="368">
        <f>F270-H270</f>
        <v>0</v>
      </c>
      <c r="K270" s="360" t="s">
        <v>2299</v>
      </c>
    </row>
    <row r="271" spans="1:11" s="360" customFormat="1" ht="20.25" hidden="1" customHeight="1">
      <c r="A271" s="356" t="s">
        <v>1519</v>
      </c>
      <c r="B271" s="357" t="s">
        <v>2010</v>
      </c>
      <c r="C271" s="358">
        <f>FF!I295</f>
        <v>0</v>
      </c>
      <c r="D271" s="221" t="s">
        <v>277</v>
      </c>
      <c r="E271" s="355">
        <f>FF!K295</f>
        <v>613.88</v>
      </c>
      <c r="F271" s="353">
        <f>ROUND(C271*E271,0)</f>
        <v>0</v>
      </c>
      <c r="G271" s="368"/>
      <c r="H271" s="368"/>
      <c r="I271" s="368">
        <f>C271-G271</f>
        <v>0</v>
      </c>
      <c r="J271" s="368">
        <f>F271-H271</f>
        <v>0</v>
      </c>
      <c r="K271" s="360" t="s">
        <v>2312</v>
      </c>
    </row>
    <row r="272" spans="1:11" s="360" customFormat="1" ht="20.25" hidden="1" customHeight="1">
      <c r="A272" s="356" t="s">
        <v>1519</v>
      </c>
      <c r="B272" s="357" t="s">
        <v>2010</v>
      </c>
      <c r="C272" s="358">
        <f>FF!I301</f>
        <v>0</v>
      </c>
      <c r="D272" s="221" t="s">
        <v>277</v>
      </c>
      <c r="E272" s="355">
        <f>FF!K301</f>
        <v>630.35</v>
      </c>
      <c r="F272" s="353">
        <f>ROUND(C272*E272,0)</f>
        <v>0</v>
      </c>
      <c r="G272" s="368"/>
      <c r="H272" s="368"/>
      <c r="I272" s="368">
        <f>C272-G272</f>
        <v>0</v>
      </c>
      <c r="J272" s="368">
        <f>F272-H272</f>
        <v>0</v>
      </c>
      <c r="K272" s="360" t="s">
        <v>2313</v>
      </c>
    </row>
    <row r="273" spans="1:11" s="360" customFormat="1" ht="20.25" hidden="1" customHeight="1">
      <c r="A273" s="356" t="s">
        <v>1519</v>
      </c>
      <c r="B273" s="357" t="s">
        <v>2228</v>
      </c>
      <c r="C273" s="358">
        <f>FF!I307</f>
        <v>0</v>
      </c>
      <c r="D273" s="221" t="s">
        <v>102</v>
      </c>
      <c r="E273" s="355">
        <f>FF!K307</f>
        <v>278.81</v>
      </c>
      <c r="F273" s="353">
        <f t="shared" si="12"/>
        <v>0</v>
      </c>
      <c r="G273" s="368"/>
      <c r="H273" s="368"/>
      <c r="I273" s="368">
        <f t="shared" si="6"/>
        <v>0</v>
      </c>
      <c r="J273" s="368">
        <f t="shared" si="7"/>
        <v>0</v>
      </c>
      <c r="K273" s="360" t="s">
        <v>2217</v>
      </c>
    </row>
    <row r="274" spans="1:11" s="360" customFormat="1" ht="20.25" hidden="1" customHeight="1">
      <c r="A274" s="356" t="s">
        <v>1518</v>
      </c>
      <c r="B274" s="357" t="s">
        <v>2228</v>
      </c>
      <c r="C274" s="358">
        <f>FF!I314</f>
        <v>0</v>
      </c>
      <c r="D274" s="221" t="s">
        <v>102</v>
      </c>
      <c r="E274" s="355">
        <f>FF!K314</f>
        <v>300.63</v>
      </c>
      <c r="F274" s="353">
        <f>ROUND(C274*E274,0)</f>
        <v>0</v>
      </c>
      <c r="G274" s="368"/>
      <c r="H274" s="368"/>
      <c r="I274" s="368">
        <f>C274-G274</f>
        <v>0</v>
      </c>
      <c r="J274" s="368">
        <f>F274-H274</f>
        <v>0</v>
      </c>
      <c r="K274" s="360" t="s">
        <v>2299</v>
      </c>
    </row>
    <row r="275" spans="1:11" s="360" customFormat="1" ht="20.25" hidden="1" customHeight="1">
      <c r="A275" s="356" t="s">
        <v>1517</v>
      </c>
      <c r="B275" s="357" t="s">
        <v>2228</v>
      </c>
      <c r="C275" s="358">
        <f>FF!I320</f>
        <v>0</v>
      </c>
      <c r="D275" s="221" t="s">
        <v>102</v>
      </c>
      <c r="E275" s="355">
        <f>FF!K320</f>
        <v>319.08</v>
      </c>
      <c r="F275" s="353">
        <f>ROUND(C275*E275,0)</f>
        <v>0</v>
      </c>
      <c r="G275" s="368"/>
      <c r="H275" s="368"/>
      <c r="I275" s="368">
        <f>C275-G275</f>
        <v>0</v>
      </c>
      <c r="J275" s="368">
        <f>F275-H275</f>
        <v>0</v>
      </c>
      <c r="K275" s="360" t="s">
        <v>2312</v>
      </c>
    </row>
    <row r="276" spans="1:11" s="360" customFormat="1" ht="20.25" hidden="1" customHeight="1">
      <c r="A276" s="356" t="s">
        <v>1517</v>
      </c>
      <c r="B276" s="357" t="s">
        <v>2228</v>
      </c>
      <c r="C276" s="358">
        <f>FF!I326</f>
        <v>0</v>
      </c>
      <c r="D276" s="221" t="s">
        <v>102</v>
      </c>
      <c r="E276" s="355">
        <f>FF!K326</f>
        <v>339.16</v>
      </c>
      <c r="F276" s="353">
        <f>ROUND(C276*E276,0)</f>
        <v>0</v>
      </c>
      <c r="G276" s="368"/>
      <c r="H276" s="368"/>
      <c r="I276" s="368">
        <f>C276-G276</f>
        <v>0</v>
      </c>
      <c r="J276" s="368">
        <f>F276-H276</f>
        <v>0</v>
      </c>
      <c r="K276" s="360" t="s">
        <v>2313</v>
      </c>
    </row>
    <row r="277" spans="1:11" s="360" customFormat="1" ht="20.25" hidden="1" customHeight="1">
      <c r="A277" s="356" t="s">
        <v>520</v>
      </c>
      <c r="B277" s="357" t="s">
        <v>2229</v>
      </c>
      <c r="C277" s="358">
        <f>FF!I332</f>
        <v>0</v>
      </c>
      <c r="D277" s="221" t="s">
        <v>102</v>
      </c>
      <c r="E277" s="355">
        <f>FF!K332</f>
        <v>356.32</v>
      </c>
      <c r="F277" s="353">
        <f t="shared" si="12"/>
        <v>0</v>
      </c>
      <c r="G277" s="368"/>
      <c r="H277" s="368"/>
      <c r="I277" s="368">
        <f t="shared" si="6"/>
        <v>0</v>
      </c>
      <c r="J277" s="368">
        <f t="shared" si="7"/>
        <v>0</v>
      </c>
      <c r="K277" s="360" t="s">
        <v>2217</v>
      </c>
    </row>
    <row r="278" spans="1:11" s="360" customFormat="1" ht="20.25" hidden="1" customHeight="1">
      <c r="A278" s="356" t="s">
        <v>520</v>
      </c>
      <c r="B278" s="357" t="s">
        <v>2229</v>
      </c>
      <c r="C278" s="358">
        <f>FF!I338</f>
        <v>0</v>
      </c>
      <c r="D278" s="221" t="s">
        <v>102</v>
      </c>
      <c r="E278" s="355">
        <f>FF!K338</f>
        <v>385.97</v>
      </c>
      <c r="F278" s="353">
        <f>ROUND(C278*E278,0)</f>
        <v>0</v>
      </c>
      <c r="G278" s="368"/>
      <c r="H278" s="368"/>
      <c r="I278" s="368">
        <f>C278-G278</f>
        <v>0</v>
      </c>
      <c r="J278" s="368">
        <f>F278-H278</f>
        <v>0</v>
      </c>
      <c r="K278" s="360" t="s">
        <v>2299</v>
      </c>
    </row>
    <row r="279" spans="1:11" s="360" customFormat="1" ht="20.25" hidden="1" customHeight="1">
      <c r="A279" s="356" t="s">
        <v>520</v>
      </c>
      <c r="B279" s="357" t="s">
        <v>2229</v>
      </c>
      <c r="C279" s="358">
        <f>FF!I344</f>
        <v>0</v>
      </c>
      <c r="D279" s="221" t="s">
        <v>102</v>
      </c>
      <c r="E279" s="355">
        <f>FF!K344</f>
        <v>410.82</v>
      </c>
      <c r="F279" s="353">
        <f>ROUND(C279*E279,0)</f>
        <v>0</v>
      </c>
      <c r="G279" s="368"/>
      <c r="H279" s="368"/>
      <c r="I279" s="368">
        <f>C279-G279</f>
        <v>0</v>
      </c>
      <c r="J279" s="368">
        <f>F279-H279</f>
        <v>0</v>
      </c>
      <c r="K279" s="360" t="s">
        <v>2312</v>
      </c>
    </row>
    <row r="280" spans="1:11" s="360" customFormat="1" ht="20.25" hidden="1" customHeight="1">
      <c r="A280" s="356" t="s">
        <v>520</v>
      </c>
      <c r="B280" s="357" t="s">
        <v>2229</v>
      </c>
      <c r="C280" s="358">
        <f>FF!I350</f>
        <v>0</v>
      </c>
      <c r="D280" s="221" t="s">
        <v>102</v>
      </c>
      <c r="E280" s="355">
        <f>FF!K350</f>
        <v>438.06</v>
      </c>
      <c r="F280" s="353">
        <f>ROUND(C280*E280,0)</f>
        <v>0</v>
      </c>
      <c r="G280" s="368"/>
      <c r="H280" s="368"/>
      <c r="I280" s="368">
        <f>C280-G280</f>
        <v>0</v>
      </c>
      <c r="J280" s="368">
        <f>F280-H280</f>
        <v>0</v>
      </c>
      <c r="K280" s="360" t="s">
        <v>2313</v>
      </c>
    </row>
    <row r="281" spans="1:11" s="360" customFormat="1" ht="20.25" hidden="1" customHeight="1">
      <c r="A281" s="356" t="s">
        <v>1515</v>
      </c>
      <c r="B281" s="357" t="s">
        <v>2141</v>
      </c>
      <c r="C281" s="358">
        <f>FF!I396</f>
        <v>0</v>
      </c>
      <c r="D281" s="354" t="s">
        <v>5</v>
      </c>
      <c r="E281" s="355">
        <f>FF!K396</f>
        <v>5961.27</v>
      </c>
      <c r="F281" s="353">
        <f t="shared" si="12"/>
        <v>0</v>
      </c>
      <c r="G281" s="368"/>
      <c r="H281" s="368"/>
      <c r="I281" s="368">
        <f t="shared" si="6"/>
        <v>0</v>
      </c>
      <c r="J281" s="368">
        <f t="shared" si="7"/>
        <v>0</v>
      </c>
      <c r="K281" s="360" t="s">
        <v>2217</v>
      </c>
    </row>
    <row r="282" spans="1:11" s="360" customFormat="1" ht="20.25" hidden="1" customHeight="1">
      <c r="A282" s="356" t="s">
        <v>1519</v>
      </c>
      <c r="B282" s="357" t="s">
        <v>2141</v>
      </c>
      <c r="C282" s="358">
        <f>FF!I435</f>
        <v>0</v>
      </c>
      <c r="D282" s="354" t="s">
        <v>5</v>
      </c>
      <c r="E282" s="355">
        <f>FF!K435</f>
        <v>6135.0899999999992</v>
      </c>
      <c r="F282" s="353">
        <f>ROUND(C282*E282,0)</f>
        <v>0</v>
      </c>
      <c r="G282" s="368"/>
      <c r="H282" s="368"/>
      <c r="I282" s="368">
        <f>C282-G282</f>
        <v>0</v>
      </c>
      <c r="J282" s="368">
        <f>F282-H282</f>
        <v>0</v>
      </c>
      <c r="K282" s="360" t="s">
        <v>2299</v>
      </c>
    </row>
    <row r="283" spans="1:11" s="360" customFormat="1" ht="20.25" hidden="1" customHeight="1">
      <c r="A283" s="356" t="s">
        <v>497</v>
      </c>
      <c r="B283" s="357" t="s">
        <v>2141</v>
      </c>
      <c r="C283" s="358">
        <f>FF!I454</f>
        <v>0</v>
      </c>
      <c r="D283" s="354" t="s">
        <v>5</v>
      </c>
      <c r="E283" s="355">
        <f>FF!K454</f>
        <v>6558.3</v>
      </c>
      <c r="F283" s="353">
        <f>ROUND(C283*E283,0)</f>
        <v>0</v>
      </c>
      <c r="G283" s="368"/>
      <c r="H283" s="368"/>
      <c r="I283" s="368">
        <f>C283-G283</f>
        <v>0</v>
      </c>
      <c r="J283" s="368">
        <f>F283-H283</f>
        <v>0</v>
      </c>
      <c r="K283" s="360" t="s">
        <v>2312</v>
      </c>
    </row>
    <row r="284" spans="1:11" s="360" customFormat="1" ht="20.25" hidden="1" customHeight="1">
      <c r="A284" s="356" t="s">
        <v>497</v>
      </c>
      <c r="B284" s="357" t="s">
        <v>2141</v>
      </c>
      <c r="C284" s="358">
        <f>FF!I460</f>
        <v>0</v>
      </c>
      <c r="D284" s="354" t="s">
        <v>5</v>
      </c>
      <c r="E284" s="355">
        <f>FF!K460</f>
        <v>7283.96</v>
      </c>
      <c r="F284" s="353">
        <f>ROUND(C284*E284,0)</f>
        <v>0</v>
      </c>
      <c r="G284" s="368"/>
      <c r="H284" s="368"/>
      <c r="I284" s="368">
        <f>C284-G284</f>
        <v>0</v>
      </c>
      <c r="J284" s="368">
        <f>F284-H284</f>
        <v>0</v>
      </c>
      <c r="K284" s="360" t="s">
        <v>2313</v>
      </c>
    </row>
    <row r="285" spans="1:11" s="360" customFormat="1" ht="20.25" hidden="1" customHeight="1">
      <c r="A285" s="356" t="s">
        <v>491</v>
      </c>
      <c r="B285" s="357" t="s">
        <v>2105</v>
      </c>
      <c r="C285" s="358">
        <f>FF!I356</f>
        <v>0</v>
      </c>
      <c r="D285" s="354" t="s">
        <v>5</v>
      </c>
      <c r="E285" s="355">
        <f>FF!K356</f>
        <v>5904.8700000000008</v>
      </c>
      <c r="F285" s="353">
        <f t="shared" si="12"/>
        <v>0</v>
      </c>
      <c r="G285" s="368"/>
      <c r="H285" s="368"/>
      <c r="I285" s="368">
        <f t="shared" si="6"/>
        <v>0</v>
      </c>
      <c r="J285" s="368">
        <f t="shared" si="7"/>
        <v>0</v>
      </c>
      <c r="K285" s="360" t="s">
        <v>2217</v>
      </c>
    </row>
    <row r="286" spans="1:11" s="360" customFormat="1" ht="20.25" hidden="1" customHeight="1">
      <c r="A286" s="356" t="s">
        <v>491</v>
      </c>
      <c r="B286" s="357" t="s">
        <v>2105</v>
      </c>
      <c r="C286" s="358">
        <f>FF!I362</f>
        <v>0</v>
      </c>
      <c r="D286" s="354" t="s">
        <v>5</v>
      </c>
      <c r="E286" s="355">
        <f>FF!K362</f>
        <v>6078.69</v>
      </c>
      <c r="F286" s="353">
        <f>ROUND(C286*E286,0)</f>
        <v>0</v>
      </c>
      <c r="G286" s="368"/>
      <c r="H286" s="368"/>
      <c r="I286" s="368">
        <f>C286-G286</f>
        <v>0</v>
      </c>
      <c r="J286" s="368">
        <f>F286-H286</f>
        <v>0</v>
      </c>
      <c r="K286" s="360" t="s">
        <v>2299</v>
      </c>
    </row>
    <row r="287" spans="1:11" s="360" customFormat="1" ht="20.25" hidden="1" customHeight="1">
      <c r="A287" s="356" t="s">
        <v>491</v>
      </c>
      <c r="B287" s="357" t="s">
        <v>2105</v>
      </c>
      <c r="C287" s="358">
        <f>FF!I368</f>
        <v>0</v>
      </c>
      <c r="D287" s="354" t="s">
        <v>5</v>
      </c>
      <c r="E287" s="355">
        <f>FF!K368</f>
        <v>6501.9000000000005</v>
      </c>
      <c r="F287" s="353">
        <f>ROUND(C287*E287,0)</f>
        <v>0</v>
      </c>
      <c r="G287" s="368"/>
      <c r="H287" s="368"/>
      <c r="I287" s="368">
        <f>C287-G287</f>
        <v>0</v>
      </c>
      <c r="J287" s="368">
        <f>F287-H287</f>
        <v>0</v>
      </c>
      <c r="K287" s="360" t="s">
        <v>2312</v>
      </c>
    </row>
    <row r="288" spans="1:11" s="360" customFormat="1" ht="20.25" hidden="1" customHeight="1">
      <c r="A288" s="356" t="s">
        <v>491</v>
      </c>
      <c r="B288" s="357" t="s">
        <v>2105</v>
      </c>
      <c r="C288" s="358">
        <f>FF!I374</f>
        <v>0</v>
      </c>
      <c r="D288" s="354" t="s">
        <v>5</v>
      </c>
      <c r="E288" s="355">
        <f>FF!K374</f>
        <v>7227.5599999999995</v>
      </c>
      <c r="F288" s="353">
        <f>ROUND(C288*E288,0)</f>
        <v>0</v>
      </c>
      <c r="G288" s="368"/>
      <c r="H288" s="368"/>
      <c r="I288" s="368">
        <f>C288-G288</f>
        <v>0</v>
      </c>
      <c r="J288" s="368">
        <f>F288-H288</f>
        <v>0</v>
      </c>
      <c r="K288" s="360" t="s">
        <v>2313</v>
      </c>
    </row>
    <row r="289" spans="1:11" s="360" customFormat="1" ht="27" hidden="1" customHeight="1">
      <c r="A289" s="356" t="s">
        <v>1516</v>
      </c>
      <c r="B289" s="27" t="s">
        <v>2142</v>
      </c>
      <c r="C289" s="358">
        <f>FF!I487</f>
        <v>0</v>
      </c>
      <c r="D289" s="354" t="s">
        <v>102</v>
      </c>
      <c r="E289" s="355">
        <f>FF!K487</f>
        <v>767.73</v>
      </c>
      <c r="F289" s="353">
        <f t="shared" ref="F289:F298" si="15">ROUND(C289*E289/1,0)</f>
        <v>0</v>
      </c>
      <c r="G289" s="368"/>
      <c r="H289" s="368"/>
      <c r="I289" s="368">
        <f t="shared" si="6"/>
        <v>0</v>
      </c>
      <c r="J289" s="368">
        <f t="shared" si="7"/>
        <v>0</v>
      </c>
      <c r="K289" s="360" t="s">
        <v>2217</v>
      </c>
    </row>
    <row r="290" spans="1:11" s="360" customFormat="1" ht="27" hidden="1" customHeight="1">
      <c r="A290" s="356" t="s">
        <v>497</v>
      </c>
      <c r="B290" s="27" t="s">
        <v>2142</v>
      </c>
      <c r="C290" s="358">
        <f>FF!I520</f>
        <v>0</v>
      </c>
      <c r="D290" s="354" t="s">
        <v>102</v>
      </c>
      <c r="E290" s="355">
        <f>FF!K520</f>
        <v>791.59</v>
      </c>
      <c r="F290" s="353">
        <f t="shared" si="15"/>
        <v>0</v>
      </c>
      <c r="G290" s="368"/>
      <c r="H290" s="368"/>
      <c r="I290" s="368">
        <f>C290-G290</f>
        <v>0</v>
      </c>
      <c r="J290" s="368">
        <f>F290-H290</f>
        <v>0</v>
      </c>
      <c r="K290" s="360" t="s">
        <v>2299</v>
      </c>
    </row>
    <row r="291" spans="1:11" s="360" customFormat="1" ht="27" hidden="1" customHeight="1">
      <c r="A291" s="356" t="s">
        <v>498</v>
      </c>
      <c r="B291" s="27" t="s">
        <v>2142</v>
      </c>
      <c r="C291" s="358">
        <f>FF!I541</f>
        <v>0</v>
      </c>
      <c r="D291" s="354" t="s">
        <v>102</v>
      </c>
      <c r="E291" s="355">
        <f>FF!K541</f>
        <v>845.07</v>
      </c>
      <c r="F291" s="353">
        <f>ROUND(C291*E291/1,0)</f>
        <v>0</v>
      </c>
      <c r="G291" s="368"/>
      <c r="H291" s="368"/>
      <c r="I291" s="368">
        <f>C291-G291</f>
        <v>0</v>
      </c>
      <c r="J291" s="368">
        <f>F291-H291</f>
        <v>0</v>
      </c>
      <c r="K291" s="360" t="s">
        <v>2312</v>
      </c>
    </row>
    <row r="292" spans="1:11" s="360" customFormat="1" ht="27" hidden="1" customHeight="1">
      <c r="A292" s="356" t="s">
        <v>498</v>
      </c>
      <c r="B292" s="27" t="s">
        <v>2142</v>
      </c>
      <c r="C292" s="358">
        <f>FF!I550</f>
        <v>0</v>
      </c>
      <c r="D292" s="354" t="s">
        <v>102</v>
      </c>
      <c r="E292" s="355">
        <f>FF!K550</f>
        <v>929.28</v>
      </c>
      <c r="F292" s="353">
        <f>ROUND(C292*E292/1,0)</f>
        <v>0</v>
      </c>
      <c r="G292" s="368"/>
      <c r="H292" s="368"/>
      <c r="I292" s="368">
        <f>C292-G292</f>
        <v>0</v>
      </c>
      <c r="J292" s="368">
        <f>F292-H292</f>
        <v>0</v>
      </c>
      <c r="K292" s="360" t="s">
        <v>2313</v>
      </c>
    </row>
    <row r="293" spans="1:11" s="360" customFormat="1" hidden="1">
      <c r="A293" s="356" t="s">
        <v>483</v>
      </c>
      <c r="B293" s="357" t="s">
        <v>1221</v>
      </c>
      <c r="C293" s="358">
        <f>FF!I557</f>
        <v>0</v>
      </c>
      <c r="D293" s="354" t="s">
        <v>102</v>
      </c>
      <c r="E293" s="355">
        <f>FF!K557</f>
        <v>5604.44</v>
      </c>
      <c r="F293" s="353">
        <f t="shared" si="15"/>
        <v>0</v>
      </c>
      <c r="G293" s="368"/>
      <c r="H293" s="368"/>
      <c r="I293" s="368">
        <f t="shared" si="6"/>
        <v>0</v>
      </c>
      <c r="J293" s="368">
        <f t="shared" si="7"/>
        <v>0</v>
      </c>
      <c r="K293" s="360" t="s">
        <v>2217</v>
      </c>
    </row>
    <row r="294" spans="1:11" s="360" customFormat="1" hidden="1">
      <c r="A294" s="356" t="s">
        <v>483</v>
      </c>
      <c r="B294" s="357" t="s">
        <v>1221</v>
      </c>
      <c r="C294" s="358">
        <f>FF!I564</f>
        <v>0</v>
      </c>
      <c r="D294" s="354" t="s">
        <v>102</v>
      </c>
      <c r="E294" s="355">
        <f>FF!K564</f>
        <v>5800.61</v>
      </c>
      <c r="F294" s="353">
        <f t="shared" si="15"/>
        <v>0</v>
      </c>
      <c r="G294" s="368"/>
      <c r="H294" s="368"/>
      <c r="I294" s="368">
        <f>C294-G294</f>
        <v>0</v>
      </c>
      <c r="J294" s="368">
        <f>F294-H294</f>
        <v>0</v>
      </c>
      <c r="K294" s="360" t="s">
        <v>2299</v>
      </c>
    </row>
    <row r="295" spans="1:11" s="360" customFormat="1" hidden="1">
      <c r="A295" s="356" t="s">
        <v>483</v>
      </c>
      <c r="B295" s="357" t="s">
        <v>1221</v>
      </c>
      <c r="C295" s="358">
        <f>FF!I571</f>
        <v>0</v>
      </c>
      <c r="D295" s="354" t="s">
        <v>102</v>
      </c>
      <c r="E295" s="355">
        <f>FF!K571</f>
        <v>6321.16</v>
      </c>
      <c r="F295" s="353">
        <f>ROUND(C295*E295/1,0)</f>
        <v>0</v>
      </c>
      <c r="G295" s="368"/>
      <c r="H295" s="368"/>
      <c r="I295" s="368">
        <f>C295-G295</f>
        <v>0</v>
      </c>
      <c r="J295" s="368">
        <f>F295-H295</f>
        <v>0</v>
      </c>
      <c r="K295" s="360" t="s">
        <v>2312</v>
      </c>
    </row>
    <row r="296" spans="1:11" s="360" customFormat="1" hidden="1">
      <c r="A296" s="356" t="s">
        <v>483</v>
      </c>
      <c r="B296" s="357" t="s">
        <v>1221</v>
      </c>
      <c r="C296" s="358">
        <f>FF!I578</f>
        <v>0</v>
      </c>
      <c r="D296" s="354" t="s">
        <v>102</v>
      </c>
      <c r="E296" s="355">
        <f>FF!K578</f>
        <v>6718.55</v>
      </c>
      <c r="F296" s="353">
        <f>ROUND(C296*E296/1,0)</f>
        <v>0</v>
      </c>
      <c r="G296" s="368"/>
      <c r="H296" s="368"/>
      <c r="I296" s="368">
        <f>C296-G296</f>
        <v>0</v>
      </c>
      <c r="J296" s="368">
        <f>F296-H296</f>
        <v>0</v>
      </c>
      <c r="K296" s="360" t="s">
        <v>2313</v>
      </c>
    </row>
    <row r="297" spans="1:11" s="360" customFormat="1" hidden="1">
      <c r="A297" s="356" t="s">
        <v>484</v>
      </c>
      <c r="B297" s="357" t="s">
        <v>1214</v>
      </c>
      <c r="C297" s="358">
        <f>FF!I584</f>
        <v>0</v>
      </c>
      <c r="D297" s="354" t="s">
        <v>102</v>
      </c>
      <c r="E297" s="355">
        <f>FF!K584</f>
        <v>1906.95</v>
      </c>
      <c r="F297" s="353">
        <f t="shared" si="15"/>
        <v>0</v>
      </c>
      <c r="G297" s="368"/>
      <c r="H297" s="368"/>
      <c r="I297" s="368">
        <f t="shared" si="6"/>
        <v>0</v>
      </c>
      <c r="J297" s="368">
        <f t="shared" si="7"/>
        <v>0</v>
      </c>
      <c r="K297" s="360" t="s">
        <v>2217</v>
      </c>
    </row>
    <row r="298" spans="1:11" s="360" customFormat="1" hidden="1">
      <c r="A298" s="356" t="s">
        <v>484</v>
      </c>
      <c r="B298" s="357" t="s">
        <v>1214</v>
      </c>
      <c r="C298" s="358">
        <f>FF!I590</f>
        <v>0</v>
      </c>
      <c r="D298" s="354" t="s">
        <v>102</v>
      </c>
      <c r="E298" s="355">
        <f>FF!K590</f>
        <v>2066.33</v>
      </c>
      <c r="F298" s="353">
        <f t="shared" si="15"/>
        <v>0</v>
      </c>
      <c r="G298" s="368"/>
      <c r="H298" s="368"/>
      <c r="I298" s="368">
        <f>C298-G298</f>
        <v>0</v>
      </c>
      <c r="J298" s="368">
        <f>F298-H298</f>
        <v>0</v>
      </c>
      <c r="K298" s="360" t="s">
        <v>2299</v>
      </c>
    </row>
    <row r="299" spans="1:11" s="360" customFormat="1" hidden="1">
      <c r="A299" s="356" t="s">
        <v>484</v>
      </c>
      <c r="B299" s="357" t="s">
        <v>1214</v>
      </c>
      <c r="C299" s="358">
        <f>FF!I596</f>
        <v>0</v>
      </c>
      <c r="D299" s="354" t="s">
        <v>102</v>
      </c>
      <c r="E299" s="355">
        <f>FF!K596</f>
        <v>2199.0300000000002</v>
      </c>
      <c r="F299" s="353">
        <f>ROUND(C299*E299/1,0)</f>
        <v>0</v>
      </c>
      <c r="G299" s="368"/>
      <c r="H299" s="368"/>
      <c r="I299" s="368">
        <f>C299-G299</f>
        <v>0</v>
      </c>
      <c r="J299" s="368">
        <f>F299-H299</f>
        <v>0</v>
      </c>
      <c r="K299" s="360" t="s">
        <v>2312</v>
      </c>
    </row>
    <row r="300" spans="1:11" s="360" customFormat="1" hidden="1">
      <c r="A300" s="356" t="s">
        <v>484</v>
      </c>
      <c r="B300" s="357" t="s">
        <v>1214</v>
      </c>
      <c r="C300" s="358">
        <f>FF!I602</f>
        <v>0</v>
      </c>
      <c r="D300" s="354" t="s">
        <v>102</v>
      </c>
      <c r="E300" s="355">
        <f>FF!K602</f>
        <v>2346.34</v>
      </c>
      <c r="F300" s="353">
        <f>ROUND(C300*E300/1,0)</f>
        <v>0</v>
      </c>
      <c r="G300" s="368"/>
      <c r="H300" s="368"/>
      <c r="I300" s="368">
        <f>C300-G300</f>
        <v>0</v>
      </c>
      <c r="J300" s="368">
        <f>F300-H300</f>
        <v>0</v>
      </c>
      <c r="K300" s="360" t="s">
        <v>2313</v>
      </c>
    </row>
    <row r="301" spans="1:11" s="360" customFormat="1" ht="20.25" hidden="1" customHeight="1">
      <c r="A301" s="356" t="s">
        <v>1517</v>
      </c>
      <c r="B301" s="357" t="s">
        <v>2106</v>
      </c>
      <c r="C301" s="358">
        <f>FF!I621</f>
        <v>0</v>
      </c>
      <c r="D301" s="354" t="s">
        <v>102</v>
      </c>
      <c r="E301" s="355">
        <f>FF!K621</f>
        <v>292.7</v>
      </c>
      <c r="F301" s="353">
        <f t="shared" ref="F301:F430" si="16">ROUND(C301*E301,0)</f>
        <v>0</v>
      </c>
      <c r="G301" s="368"/>
      <c r="H301" s="368"/>
      <c r="I301" s="368">
        <f t="shared" si="6"/>
        <v>0</v>
      </c>
      <c r="J301" s="368">
        <f t="shared" si="7"/>
        <v>0</v>
      </c>
      <c r="K301" s="360" t="s">
        <v>2217</v>
      </c>
    </row>
    <row r="302" spans="1:11" s="360" customFormat="1" ht="20.25" hidden="1" customHeight="1">
      <c r="A302" s="356" t="s">
        <v>498</v>
      </c>
      <c r="B302" s="357" t="s">
        <v>2106</v>
      </c>
      <c r="C302" s="358">
        <f>FF!I652</f>
        <v>0</v>
      </c>
      <c r="D302" s="354" t="s">
        <v>102</v>
      </c>
      <c r="E302" s="355">
        <f>FF!K652</f>
        <v>313.52</v>
      </c>
      <c r="F302" s="353">
        <f>ROUND(C302*E302,0)</f>
        <v>0</v>
      </c>
      <c r="G302" s="368"/>
      <c r="H302" s="368"/>
      <c r="I302" s="368">
        <f>C302-G302</f>
        <v>0</v>
      </c>
      <c r="J302" s="368">
        <f>F302-H302</f>
        <v>0</v>
      </c>
      <c r="K302" s="360" t="s">
        <v>2299</v>
      </c>
    </row>
    <row r="303" spans="1:11" s="360" customFormat="1" ht="20.25" hidden="1" customHeight="1">
      <c r="A303" s="356" t="s">
        <v>508</v>
      </c>
      <c r="B303" s="357" t="s">
        <v>2106</v>
      </c>
      <c r="C303" s="358">
        <f>FF!I659</f>
        <v>0</v>
      </c>
      <c r="D303" s="354" t="s">
        <v>102</v>
      </c>
      <c r="E303" s="355">
        <f>FF!K659</f>
        <v>332.3</v>
      </c>
      <c r="F303" s="353">
        <f>ROUND(C303*E303,0)</f>
        <v>0</v>
      </c>
      <c r="G303" s="368"/>
      <c r="H303" s="368"/>
      <c r="I303" s="368">
        <f>C303-G303</f>
        <v>0</v>
      </c>
      <c r="J303" s="368">
        <f>F303-H303</f>
        <v>0</v>
      </c>
      <c r="K303" s="360" t="s">
        <v>2312</v>
      </c>
    </row>
    <row r="304" spans="1:11" s="360" customFormat="1" ht="20.25" hidden="1" customHeight="1">
      <c r="A304" s="356" t="s">
        <v>508</v>
      </c>
      <c r="B304" s="357" t="s">
        <v>2106</v>
      </c>
      <c r="C304" s="358">
        <f>FF!I678</f>
        <v>0</v>
      </c>
      <c r="D304" s="354" t="s">
        <v>102</v>
      </c>
      <c r="E304" s="355">
        <f>FF!K678</f>
        <v>351.17</v>
      </c>
      <c r="F304" s="353">
        <f>ROUND(C304*E304,0)</f>
        <v>0</v>
      </c>
      <c r="G304" s="368"/>
      <c r="H304" s="368"/>
      <c r="I304" s="368">
        <f>C304-G304</f>
        <v>0</v>
      </c>
      <c r="J304" s="368">
        <f>F304-H304</f>
        <v>0</v>
      </c>
      <c r="K304" s="360" t="s">
        <v>2313</v>
      </c>
    </row>
    <row r="305" spans="1:11" s="360" customFormat="1" ht="20.25" hidden="1" customHeight="1">
      <c r="A305" s="356" t="s">
        <v>493</v>
      </c>
      <c r="B305" s="357" t="s">
        <v>2166</v>
      </c>
      <c r="C305" s="358">
        <f>FF!I686</f>
        <v>0</v>
      </c>
      <c r="D305" s="354" t="s">
        <v>102</v>
      </c>
      <c r="E305" s="355">
        <f>FF!K686</f>
        <v>265.42</v>
      </c>
      <c r="F305" s="353">
        <f t="shared" si="16"/>
        <v>0</v>
      </c>
      <c r="G305" s="368"/>
      <c r="H305" s="368"/>
      <c r="I305" s="368">
        <f t="shared" si="6"/>
        <v>0</v>
      </c>
      <c r="J305" s="368">
        <f t="shared" si="7"/>
        <v>0</v>
      </c>
      <c r="K305" s="360" t="s">
        <v>2217</v>
      </c>
    </row>
    <row r="306" spans="1:11" s="360" customFormat="1" ht="20.25" hidden="1" customHeight="1">
      <c r="A306" s="356" t="s">
        <v>493</v>
      </c>
      <c r="B306" s="357" t="s">
        <v>2166</v>
      </c>
      <c r="C306" s="358">
        <f>FF!I694</f>
        <v>0</v>
      </c>
      <c r="D306" s="354" t="s">
        <v>102</v>
      </c>
      <c r="E306" s="355">
        <f>FF!K694</f>
        <v>286.25</v>
      </c>
      <c r="F306" s="353">
        <f>ROUND(C306*E306,0)</f>
        <v>0</v>
      </c>
      <c r="G306" s="368"/>
      <c r="H306" s="368"/>
      <c r="I306" s="368">
        <f>C306-G306</f>
        <v>0</v>
      </c>
      <c r="J306" s="368">
        <f>F306-H306</f>
        <v>0</v>
      </c>
      <c r="K306" s="360" t="s">
        <v>2299</v>
      </c>
    </row>
    <row r="307" spans="1:11" s="360" customFormat="1" ht="20.25" hidden="1" customHeight="1">
      <c r="A307" s="356" t="s">
        <v>493</v>
      </c>
      <c r="B307" s="357" t="s">
        <v>2166</v>
      </c>
      <c r="C307" s="358">
        <f>FF!I702</f>
        <v>0</v>
      </c>
      <c r="D307" s="354" t="s">
        <v>102</v>
      </c>
      <c r="E307" s="355">
        <f>FF!K702</f>
        <v>304.16000000000003</v>
      </c>
      <c r="F307" s="353">
        <f>ROUND(C307*E307,0)</f>
        <v>0</v>
      </c>
      <c r="G307" s="368"/>
      <c r="H307" s="368"/>
      <c r="I307" s="368">
        <f>C307-G307</f>
        <v>0</v>
      </c>
      <c r="J307" s="368">
        <f>F307-H307</f>
        <v>0</v>
      </c>
      <c r="K307" s="360" t="s">
        <v>2312</v>
      </c>
    </row>
    <row r="308" spans="1:11" s="360" customFormat="1" ht="20.25" hidden="1" customHeight="1">
      <c r="A308" s="356" t="s">
        <v>493</v>
      </c>
      <c r="B308" s="357" t="s">
        <v>2166</v>
      </c>
      <c r="C308" s="358">
        <f>FF!I710</f>
        <v>0</v>
      </c>
      <c r="D308" s="354" t="s">
        <v>102</v>
      </c>
      <c r="E308" s="355">
        <f>FF!K710</f>
        <v>323.04000000000002</v>
      </c>
      <c r="F308" s="353">
        <f>ROUND(C308*E308,0)</f>
        <v>0</v>
      </c>
      <c r="G308" s="368"/>
      <c r="H308" s="368"/>
      <c r="I308" s="368">
        <f>C308-G308</f>
        <v>0</v>
      </c>
      <c r="J308" s="368">
        <f>F308-H308</f>
        <v>0</v>
      </c>
      <c r="K308" s="360" t="s">
        <v>2313</v>
      </c>
    </row>
    <row r="309" spans="1:11" s="360" customFormat="1" ht="20.25" hidden="1" customHeight="1">
      <c r="A309" s="356" t="s">
        <v>494</v>
      </c>
      <c r="B309" s="357" t="s">
        <v>2189</v>
      </c>
      <c r="C309" s="358">
        <f>FF!I718</f>
        <v>0</v>
      </c>
      <c r="D309" s="354" t="s">
        <v>102</v>
      </c>
      <c r="E309" s="355">
        <f>FF!K718</f>
        <v>283.27999999999997</v>
      </c>
      <c r="F309" s="353">
        <f t="shared" si="16"/>
        <v>0</v>
      </c>
      <c r="G309" s="368"/>
      <c r="H309" s="368"/>
      <c r="I309" s="368">
        <f t="shared" si="6"/>
        <v>0</v>
      </c>
      <c r="J309" s="368">
        <f t="shared" si="7"/>
        <v>0</v>
      </c>
      <c r="K309" s="360" t="s">
        <v>2217</v>
      </c>
    </row>
    <row r="310" spans="1:11" s="360" customFormat="1" ht="20.25" hidden="1" customHeight="1">
      <c r="A310" s="356" t="s">
        <v>494</v>
      </c>
      <c r="B310" s="357" t="s">
        <v>2189</v>
      </c>
      <c r="C310" s="358">
        <f>FF!I726</f>
        <v>0</v>
      </c>
      <c r="D310" s="354" t="s">
        <v>102</v>
      </c>
      <c r="E310" s="355">
        <f>FF!K726</f>
        <v>304.66000000000003</v>
      </c>
      <c r="F310" s="353">
        <f>ROUND(C310*E310,0)</f>
        <v>0</v>
      </c>
      <c r="G310" s="368"/>
      <c r="H310" s="368"/>
      <c r="I310" s="368">
        <f>C310-G310</f>
        <v>0</v>
      </c>
      <c r="J310" s="368">
        <f>F310-H310</f>
        <v>0</v>
      </c>
      <c r="K310" s="360" t="s">
        <v>2299</v>
      </c>
    </row>
    <row r="311" spans="1:11" s="360" customFormat="1" ht="20.25" hidden="1" customHeight="1">
      <c r="A311" s="356" t="s">
        <v>494</v>
      </c>
      <c r="B311" s="357" t="s">
        <v>2189</v>
      </c>
      <c r="C311" s="358">
        <f>FF!I734</f>
        <v>0</v>
      </c>
      <c r="D311" s="354" t="s">
        <v>102</v>
      </c>
      <c r="E311" s="355">
        <f>FF!K734</f>
        <v>323.85000000000002</v>
      </c>
      <c r="F311" s="353">
        <f>ROUND(C311*E311,0)</f>
        <v>0</v>
      </c>
      <c r="G311" s="368"/>
      <c r="H311" s="368"/>
      <c r="I311" s="368">
        <f>C311-G311</f>
        <v>0</v>
      </c>
      <c r="J311" s="368">
        <f>F311-H311</f>
        <v>0</v>
      </c>
      <c r="K311" s="360" t="s">
        <v>2312</v>
      </c>
    </row>
    <row r="312" spans="1:11" s="360" customFormat="1" ht="20.25" hidden="1" customHeight="1">
      <c r="A312" s="356" t="s">
        <v>494</v>
      </c>
      <c r="B312" s="357" t="s">
        <v>2189</v>
      </c>
      <c r="C312" s="358">
        <f>FF!I742</f>
        <v>0</v>
      </c>
      <c r="D312" s="354" t="s">
        <v>102</v>
      </c>
      <c r="E312" s="355">
        <f>FF!K742</f>
        <v>343.23</v>
      </c>
      <c r="F312" s="353">
        <f>ROUND(C312*E312,0)</f>
        <v>0</v>
      </c>
      <c r="G312" s="368"/>
      <c r="H312" s="368"/>
      <c r="I312" s="368">
        <f>C312-G312</f>
        <v>0</v>
      </c>
      <c r="J312" s="368">
        <f>F312-H312</f>
        <v>0</v>
      </c>
      <c r="K312" s="360" t="s">
        <v>2313</v>
      </c>
    </row>
    <row r="313" spans="1:11" s="360" customFormat="1" ht="20.25" hidden="1" customHeight="1">
      <c r="A313" s="356" t="s">
        <v>1518</v>
      </c>
      <c r="B313" s="357" t="s">
        <v>2107</v>
      </c>
      <c r="C313" s="358">
        <f>FF!I770</f>
        <v>0</v>
      </c>
      <c r="D313" s="354" t="s">
        <v>102</v>
      </c>
      <c r="E313" s="355">
        <f>FF!K770</f>
        <v>348.66</v>
      </c>
      <c r="F313" s="353">
        <f t="shared" si="16"/>
        <v>0</v>
      </c>
      <c r="G313" s="368"/>
      <c r="H313" s="368"/>
      <c r="I313" s="368">
        <f t="shared" si="6"/>
        <v>0</v>
      </c>
      <c r="J313" s="368">
        <f t="shared" si="7"/>
        <v>0</v>
      </c>
      <c r="K313" s="360" t="s">
        <v>2217</v>
      </c>
    </row>
    <row r="314" spans="1:11" s="360" customFormat="1" ht="20.25" hidden="1" customHeight="1">
      <c r="A314" s="356" t="s">
        <v>499</v>
      </c>
      <c r="B314" s="357" t="s">
        <v>2107</v>
      </c>
      <c r="C314" s="358">
        <f>FF!I823</f>
        <v>0</v>
      </c>
      <c r="D314" s="354" t="s">
        <v>102</v>
      </c>
      <c r="E314" s="355">
        <f>FF!K823</f>
        <v>376.98</v>
      </c>
      <c r="F314" s="353">
        <f>ROUND(C314*E314,0)</f>
        <v>0</v>
      </c>
      <c r="G314" s="368"/>
      <c r="H314" s="368"/>
      <c r="I314" s="368">
        <f>C314-G314</f>
        <v>0</v>
      </c>
      <c r="J314" s="368">
        <f>F314-H314</f>
        <v>0</v>
      </c>
      <c r="K314" s="360" t="s">
        <v>2299</v>
      </c>
    </row>
    <row r="315" spans="1:11" s="360" customFormat="1" ht="20.25" hidden="1" customHeight="1">
      <c r="A315" s="356" t="s">
        <v>510</v>
      </c>
      <c r="B315" s="357" t="s">
        <v>2107</v>
      </c>
      <c r="C315" s="358">
        <f>FF!I830</f>
        <v>0</v>
      </c>
      <c r="D315" s="354" t="s">
        <v>102</v>
      </c>
      <c r="E315" s="355">
        <f>FF!K830</f>
        <v>400.13</v>
      </c>
      <c r="F315" s="353">
        <f>ROUND(C315*E315,0)</f>
        <v>0</v>
      </c>
      <c r="G315" s="368"/>
      <c r="H315" s="368"/>
      <c r="I315" s="368">
        <f>C315-G315</f>
        <v>0</v>
      </c>
      <c r="J315" s="368">
        <f>F315-H315</f>
        <v>0</v>
      </c>
      <c r="K315" s="360" t="s">
        <v>2312</v>
      </c>
    </row>
    <row r="316" spans="1:11" s="360" customFormat="1" ht="20.25" hidden="1" customHeight="1">
      <c r="A316" s="356" t="s">
        <v>510</v>
      </c>
      <c r="B316" s="357" t="s">
        <v>2107</v>
      </c>
      <c r="C316" s="358">
        <f>FF!I858</f>
        <v>0</v>
      </c>
      <c r="D316" s="354" t="s">
        <v>102</v>
      </c>
      <c r="E316" s="355">
        <f>FF!K858</f>
        <v>425.82</v>
      </c>
      <c r="F316" s="353">
        <f>ROUND(C316*E316,0)</f>
        <v>0</v>
      </c>
      <c r="G316" s="368"/>
      <c r="H316" s="368"/>
      <c r="I316" s="368">
        <f>C316-G316</f>
        <v>0</v>
      </c>
      <c r="J316" s="368">
        <f>F316-H316</f>
        <v>0</v>
      </c>
      <c r="K316" s="360" t="s">
        <v>2313</v>
      </c>
    </row>
    <row r="317" spans="1:11" s="360" customFormat="1" ht="20.25" hidden="1" customHeight="1">
      <c r="A317" s="356" t="s">
        <v>1519</v>
      </c>
      <c r="B317" s="357" t="s">
        <v>2108</v>
      </c>
      <c r="C317" s="358">
        <f>FF!I865</f>
        <v>0</v>
      </c>
      <c r="D317" s="354" t="s">
        <v>102</v>
      </c>
      <c r="E317" s="355">
        <f>FF!K865</f>
        <v>362.01</v>
      </c>
      <c r="F317" s="353">
        <f t="shared" si="16"/>
        <v>0</v>
      </c>
      <c r="G317" s="368"/>
      <c r="H317" s="368"/>
      <c r="I317" s="368">
        <f t="shared" si="6"/>
        <v>0</v>
      </c>
      <c r="J317" s="368">
        <f t="shared" si="7"/>
        <v>0</v>
      </c>
      <c r="K317" s="360" t="s">
        <v>2217</v>
      </c>
    </row>
    <row r="318" spans="1:11" s="360" customFormat="1" ht="20.25" hidden="1" customHeight="1">
      <c r="A318" s="356" t="s">
        <v>500</v>
      </c>
      <c r="B318" s="357" t="s">
        <v>2108</v>
      </c>
      <c r="C318" s="358">
        <f>FF!I890</f>
        <v>0</v>
      </c>
      <c r="D318" s="354" t="s">
        <v>102</v>
      </c>
      <c r="E318" s="355">
        <f>FF!K890</f>
        <v>390.9</v>
      </c>
      <c r="F318" s="353">
        <f>ROUND(C318*E318,0)</f>
        <v>0</v>
      </c>
      <c r="G318" s="368"/>
      <c r="H318" s="368"/>
      <c r="I318" s="368">
        <f>C318-G318</f>
        <v>0</v>
      </c>
      <c r="J318" s="368">
        <f>F318-H318</f>
        <v>0</v>
      </c>
      <c r="K318" s="360" t="s">
        <v>2299</v>
      </c>
    </row>
    <row r="319" spans="1:11" s="360" customFormat="1" ht="20.25" hidden="1" customHeight="1">
      <c r="A319" s="356" t="s">
        <v>1520</v>
      </c>
      <c r="B319" s="357" t="s">
        <v>2108</v>
      </c>
      <c r="C319" s="358">
        <f>FF!I897</f>
        <v>0</v>
      </c>
      <c r="D319" s="354" t="s">
        <v>102</v>
      </c>
      <c r="E319" s="355">
        <f>FF!K897</f>
        <v>415.44</v>
      </c>
      <c r="F319" s="353">
        <f>ROUND(C319*E319,0)</f>
        <v>0</v>
      </c>
      <c r="G319" s="368"/>
      <c r="H319" s="368"/>
      <c r="I319" s="368">
        <f>C319-G319</f>
        <v>0</v>
      </c>
      <c r="J319" s="368">
        <f>F319-H319</f>
        <v>0</v>
      </c>
      <c r="K319" s="360" t="s">
        <v>2312</v>
      </c>
    </row>
    <row r="320" spans="1:11" s="360" customFormat="1" ht="20.25" hidden="1" customHeight="1">
      <c r="A320" s="356" t="s">
        <v>1518</v>
      </c>
      <c r="B320" s="357" t="s">
        <v>2108</v>
      </c>
      <c r="C320" s="358">
        <f>FF!I904</f>
        <v>0</v>
      </c>
      <c r="D320" s="354" t="s">
        <v>102</v>
      </c>
      <c r="E320" s="355">
        <f>FF!K904</f>
        <v>441.63</v>
      </c>
      <c r="F320" s="353">
        <f>ROUND(C320*E320,0)</f>
        <v>0</v>
      </c>
      <c r="G320" s="368"/>
      <c r="H320" s="368"/>
      <c r="I320" s="368">
        <f>C320-G320</f>
        <v>0</v>
      </c>
      <c r="J320" s="368">
        <f>F320-H320</f>
        <v>0</v>
      </c>
      <c r="K320" s="360" t="s">
        <v>2313</v>
      </c>
    </row>
    <row r="321" spans="1:11" s="360" customFormat="1" ht="20.25" hidden="1" customHeight="1">
      <c r="A321" s="356" t="s">
        <v>498</v>
      </c>
      <c r="B321" s="357" t="s">
        <v>1224</v>
      </c>
      <c r="C321" s="358">
        <f>FF!I911</f>
        <v>0</v>
      </c>
      <c r="D321" s="354" t="s">
        <v>5</v>
      </c>
      <c r="E321" s="355">
        <f>FF!K911</f>
        <v>5049.2099999999991</v>
      </c>
      <c r="F321" s="353">
        <f t="shared" si="16"/>
        <v>0</v>
      </c>
      <c r="G321" s="368"/>
      <c r="H321" s="368"/>
      <c r="I321" s="368">
        <f t="shared" si="6"/>
        <v>0</v>
      </c>
      <c r="J321" s="368">
        <f t="shared" si="7"/>
        <v>0</v>
      </c>
      <c r="K321" s="360" t="s">
        <v>2217</v>
      </c>
    </row>
    <row r="322" spans="1:11" s="360" customFormat="1" ht="20.25" hidden="1" customHeight="1">
      <c r="A322" s="356" t="s">
        <v>498</v>
      </c>
      <c r="B322" s="357" t="s">
        <v>1224</v>
      </c>
      <c r="C322" s="358">
        <f>FF!I918</f>
        <v>0</v>
      </c>
      <c r="D322" s="354" t="s">
        <v>5</v>
      </c>
      <c r="E322" s="355">
        <f>FF!K918</f>
        <v>5224.6200000000008</v>
      </c>
      <c r="F322" s="353">
        <f>ROUND(C322*E322,0)</f>
        <v>0</v>
      </c>
      <c r="G322" s="368"/>
      <c r="H322" s="368"/>
      <c r="I322" s="368">
        <f>C322-G322</f>
        <v>0</v>
      </c>
      <c r="J322" s="368">
        <f>F322-H322</f>
        <v>0</v>
      </c>
      <c r="K322" s="360" t="s">
        <v>2299</v>
      </c>
    </row>
    <row r="323" spans="1:11" s="360" customFormat="1" ht="20.25" hidden="1" customHeight="1">
      <c r="A323" s="356" t="s">
        <v>498</v>
      </c>
      <c r="B323" s="357" t="s">
        <v>1224</v>
      </c>
      <c r="C323" s="358">
        <f>FF!I925</f>
        <v>0</v>
      </c>
      <c r="D323" s="354" t="s">
        <v>5</v>
      </c>
      <c r="E323" s="355">
        <f>FF!K925</f>
        <v>5464.2000000000007</v>
      </c>
      <c r="F323" s="353">
        <f>ROUND(C323*E323,0)</f>
        <v>0</v>
      </c>
      <c r="G323" s="368"/>
      <c r="H323" s="368"/>
      <c r="I323" s="368">
        <f>C323-G323</f>
        <v>0</v>
      </c>
      <c r="J323" s="368">
        <f>F323-H323</f>
        <v>0</v>
      </c>
      <c r="K323" s="360" t="s">
        <v>2312</v>
      </c>
    </row>
    <row r="324" spans="1:11" s="360" customFormat="1" ht="20.25" hidden="1" customHeight="1">
      <c r="A324" s="356" t="s">
        <v>498</v>
      </c>
      <c r="B324" s="357" t="s">
        <v>1224</v>
      </c>
      <c r="C324" s="358">
        <f>FF!I932</f>
        <v>0</v>
      </c>
      <c r="D324" s="354" t="s">
        <v>5</v>
      </c>
      <c r="E324" s="355">
        <f>FF!K932</f>
        <v>5722.81</v>
      </c>
      <c r="F324" s="353">
        <f>ROUND(C324*E324,0)</f>
        <v>0</v>
      </c>
      <c r="G324" s="368"/>
      <c r="H324" s="368"/>
      <c r="I324" s="368">
        <f>C324-G324</f>
        <v>0</v>
      </c>
      <c r="J324" s="368">
        <f>F324-H324</f>
        <v>0</v>
      </c>
      <c r="K324" s="360" t="s">
        <v>2313</v>
      </c>
    </row>
    <row r="325" spans="1:11" s="360" customFormat="1" ht="20.25" hidden="1" customHeight="1">
      <c r="A325" s="356" t="s">
        <v>512</v>
      </c>
      <c r="B325" s="357" t="s">
        <v>507</v>
      </c>
      <c r="C325" s="358">
        <f>FF!I939</f>
        <v>0</v>
      </c>
      <c r="D325" s="354" t="s">
        <v>102</v>
      </c>
      <c r="E325" s="355">
        <f>FF!K939</f>
        <v>1020.01</v>
      </c>
      <c r="F325" s="353">
        <f t="shared" si="16"/>
        <v>0</v>
      </c>
      <c r="G325" s="368"/>
      <c r="H325" s="368"/>
      <c r="I325" s="368">
        <f t="shared" ref="I325:I575" si="17">C325-G325</f>
        <v>0</v>
      </c>
      <c r="J325" s="368">
        <f t="shared" ref="J325:J575" si="18">F325-H325</f>
        <v>0</v>
      </c>
      <c r="K325" s="360" t="s">
        <v>2217</v>
      </c>
    </row>
    <row r="326" spans="1:11" s="360" customFormat="1" ht="20.25" hidden="1" customHeight="1">
      <c r="A326" s="356" t="s">
        <v>501</v>
      </c>
      <c r="B326" s="357" t="s">
        <v>507</v>
      </c>
      <c r="C326" s="358">
        <f>FF!I949</f>
        <v>0</v>
      </c>
      <c r="D326" s="354" t="s">
        <v>102</v>
      </c>
      <c r="E326" s="355">
        <f>FF!K949</f>
        <v>1051.0899999999999</v>
      </c>
      <c r="F326" s="353">
        <f>ROUND(C326*E326,0)</f>
        <v>0</v>
      </c>
      <c r="G326" s="368"/>
      <c r="H326" s="368"/>
      <c r="I326" s="368">
        <f>C326-G326</f>
        <v>0</v>
      </c>
      <c r="J326" s="368">
        <f>F326-H326</f>
        <v>0</v>
      </c>
      <c r="K326" s="360" t="s">
        <v>2299</v>
      </c>
    </row>
    <row r="327" spans="1:11" s="360" customFormat="1" ht="20.25" hidden="1" customHeight="1">
      <c r="A327" s="356" t="s">
        <v>512</v>
      </c>
      <c r="B327" s="357" t="s">
        <v>507</v>
      </c>
      <c r="C327" s="358">
        <f>FF!I956</f>
        <v>0</v>
      </c>
      <c r="D327" s="354" t="s">
        <v>102</v>
      </c>
      <c r="E327" s="355">
        <f>FF!K956</f>
        <v>1074.81</v>
      </c>
      <c r="F327" s="353">
        <f>ROUND(C327*E327,0)</f>
        <v>0</v>
      </c>
      <c r="G327" s="368"/>
      <c r="H327" s="368"/>
      <c r="I327" s="368">
        <f>C327-G327</f>
        <v>0</v>
      </c>
      <c r="J327" s="368">
        <f>F327-H327</f>
        <v>0</v>
      </c>
      <c r="K327" s="360" t="s">
        <v>2312</v>
      </c>
    </row>
    <row r="328" spans="1:11" s="360" customFormat="1" ht="20.25" hidden="1" customHeight="1">
      <c r="A328" s="356" t="s">
        <v>512</v>
      </c>
      <c r="B328" s="357" t="s">
        <v>507</v>
      </c>
      <c r="C328" s="358">
        <f>FF!I963</f>
        <v>0</v>
      </c>
      <c r="D328" s="354" t="s">
        <v>102</v>
      </c>
      <c r="E328" s="355">
        <f>FF!K963</f>
        <v>1103.3900000000001</v>
      </c>
      <c r="F328" s="353">
        <f>ROUND(C328*E328,0)</f>
        <v>0</v>
      </c>
      <c r="G328" s="368"/>
      <c r="H328" s="368"/>
      <c r="I328" s="368">
        <f>C328-G328</f>
        <v>0</v>
      </c>
      <c r="J328" s="368">
        <f>F328-H328</f>
        <v>0</v>
      </c>
      <c r="K328" s="360" t="s">
        <v>2313</v>
      </c>
    </row>
    <row r="329" spans="1:11" s="360" customFormat="1" ht="20.25" hidden="1" customHeight="1">
      <c r="A329" s="356" t="s">
        <v>513</v>
      </c>
      <c r="B329" s="357" t="s">
        <v>2109</v>
      </c>
      <c r="C329" s="358">
        <f>FF!I970</f>
        <v>0</v>
      </c>
      <c r="D329" s="354" t="s">
        <v>102</v>
      </c>
      <c r="E329" s="355">
        <f>FF!K970</f>
        <v>1015.94</v>
      </c>
      <c r="F329" s="353">
        <f t="shared" si="16"/>
        <v>0</v>
      </c>
      <c r="G329" s="368"/>
      <c r="H329" s="368"/>
      <c r="I329" s="368">
        <f t="shared" si="17"/>
        <v>0</v>
      </c>
      <c r="J329" s="368">
        <f t="shared" si="18"/>
        <v>0</v>
      </c>
      <c r="K329" s="360" t="s">
        <v>2217</v>
      </c>
    </row>
    <row r="330" spans="1:11" s="360" customFormat="1" ht="20.25" hidden="1" customHeight="1">
      <c r="A330" s="356" t="s">
        <v>502</v>
      </c>
      <c r="B330" s="357" t="s">
        <v>2109</v>
      </c>
      <c r="C330" s="358">
        <f>FF!I988</f>
        <v>0</v>
      </c>
      <c r="D330" s="354" t="s">
        <v>102</v>
      </c>
      <c r="E330" s="355">
        <f>FF!K988</f>
        <v>1046.76</v>
      </c>
      <c r="F330" s="353">
        <f>ROUND(C330*E330,0)</f>
        <v>0</v>
      </c>
      <c r="G330" s="368"/>
      <c r="H330" s="368"/>
      <c r="I330" s="368">
        <f>C330-G330</f>
        <v>0</v>
      </c>
      <c r="J330" s="368">
        <f>F330-H330</f>
        <v>0</v>
      </c>
      <c r="K330" s="360" t="s">
        <v>2299</v>
      </c>
    </row>
    <row r="331" spans="1:11" s="360" customFormat="1" ht="20.25" hidden="1" customHeight="1">
      <c r="A331" s="356" t="s">
        <v>513</v>
      </c>
      <c r="B331" s="357" t="s">
        <v>2109</v>
      </c>
      <c r="C331" s="358">
        <f>FF!I995</f>
        <v>0</v>
      </c>
      <c r="D331" s="354" t="s">
        <v>102</v>
      </c>
      <c r="E331" s="355">
        <f>FF!K995</f>
        <v>1069.8699999999999</v>
      </c>
      <c r="F331" s="353">
        <f>ROUND(C331*E331,0)</f>
        <v>0</v>
      </c>
      <c r="G331" s="368"/>
      <c r="H331" s="368"/>
      <c r="I331" s="368">
        <f>C331-G331</f>
        <v>0</v>
      </c>
      <c r="J331" s="368">
        <f>F331-H331</f>
        <v>0</v>
      </c>
      <c r="K331" s="360" t="s">
        <v>2312</v>
      </c>
    </row>
    <row r="332" spans="1:11" s="360" customFormat="1" ht="20.25" hidden="1" customHeight="1">
      <c r="A332" s="356" t="s">
        <v>513</v>
      </c>
      <c r="B332" s="357" t="s">
        <v>2109</v>
      </c>
      <c r="C332" s="358">
        <f>FF!I1002</f>
        <v>0</v>
      </c>
      <c r="D332" s="354" t="s">
        <v>102</v>
      </c>
      <c r="E332" s="355">
        <f>FF!K1002</f>
        <v>1098.05</v>
      </c>
      <c r="F332" s="353">
        <f>ROUND(C332*E332,0)</f>
        <v>0</v>
      </c>
      <c r="G332" s="368"/>
      <c r="H332" s="368"/>
      <c r="I332" s="368">
        <f>C332-G332</f>
        <v>0</v>
      </c>
      <c r="J332" s="368">
        <f>F332-H332</f>
        <v>0</v>
      </c>
      <c r="K332" s="360" t="s">
        <v>2313</v>
      </c>
    </row>
    <row r="333" spans="1:11" s="360" customFormat="1" ht="20.25" hidden="1" customHeight="1">
      <c r="A333" s="356" t="s">
        <v>514</v>
      </c>
      <c r="B333" s="357" t="s">
        <v>708</v>
      </c>
      <c r="C333" s="358">
        <f>FF!I1009</f>
        <v>0</v>
      </c>
      <c r="D333" s="354" t="s">
        <v>77</v>
      </c>
      <c r="E333" s="355">
        <f>FF!K1009</f>
        <v>2881.3</v>
      </c>
      <c r="F333" s="353">
        <f t="shared" si="16"/>
        <v>0</v>
      </c>
      <c r="G333" s="368"/>
      <c r="H333" s="368"/>
      <c r="I333" s="368">
        <f t="shared" si="17"/>
        <v>0</v>
      </c>
      <c r="J333" s="368">
        <f t="shared" si="18"/>
        <v>0</v>
      </c>
      <c r="K333" s="360" t="s">
        <v>2217</v>
      </c>
    </row>
    <row r="334" spans="1:11" s="360" customFormat="1" ht="20.25" hidden="1" customHeight="1">
      <c r="A334" s="356" t="s">
        <v>503</v>
      </c>
      <c r="B334" s="357" t="s">
        <v>708</v>
      </c>
      <c r="C334" s="358">
        <f>FF!I1017</f>
        <v>0</v>
      </c>
      <c r="D334" s="354" t="s">
        <v>77</v>
      </c>
      <c r="E334" s="355">
        <f>FF!K1017</f>
        <v>2944.91</v>
      </c>
      <c r="F334" s="353">
        <f>ROUND(C334*E334,0)</f>
        <v>0</v>
      </c>
      <c r="G334" s="368"/>
      <c r="H334" s="368"/>
      <c r="I334" s="368">
        <f>C334-G334</f>
        <v>0</v>
      </c>
      <c r="J334" s="368">
        <f>F334-H334</f>
        <v>0</v>
      </c>
      <c r="K334" s="360" t="s">
        <v>2299</v>
      </c>
    </row>
    <row r="335" spans="1:11" s="360" customFormat="1" ht="20.25" hidden="1" customHeight="1">
      <c r="A335" s="356" t="s">
        <v>514</v>
      </c>
      <c r="B335" s="357" t="s">
        <v>708</v>
      </c>
      <c r="C335" s="358">
        <f>FF!I1024</f>
        <v>0</v>
      </c>
      <c r="D335" s="354" t="s">
        <v>77</v>
      </c>
      <c r="E335" s="355">
        <f>FF!K1024</f>
        <v>3004.62</v>
      </c>
      <c r="F335" s="353">
        <f>ROUND(C335*E335,0)</f>
        <v>0</v>
      </c>
      <c r="G335" s="368"/>
      <c r="H335" s="368"/>
      <c r="I335" s="368">
        <f>C335-G335</f>
        <v>0</v>
      </c>
      <c r="J335" s="368">
        <f>F335-H335</f>
        <v>0</v>
      </c>
      <c r="K335" s="360" t="s">
        <v>2312</v>
      </c>
    </row>
    <row r="336" spans="1:11" s="360" customFormat="1" ht="20.25" hidden="1" customHeight="1">
      <c r="A336" s="356" t="s">
        <v>497</v>
      </c>
      <c r="B336" s="357" t="s">
        <v>708</v>
      </c>
      <c r="C336" s="358">
        <f>FF!I1041</f>
        <v>0</v>
      </c>
      <c r="D336" s="354" t="s">
        <v>77</v>
      </c>
      <c r="E336" s="355">
        <f>FF!K1041</f>
        <v>3181.62</v>
      </c>
      <c r="F336" s="353">
        <f>ROUND(C336*E336,0)</f>
        <v>0</v>
      </c>
      <c r="G336" s="368"/>
      <c r="H336" s="368"/>
      <c r="I336" s="368">
        <f>C336-G336</f>
        <v>0</v>
      </c>
      <c r="J336" s="368">
        <f>F336-H336</f>
        <v>0</v>
      </c>
      <c r="K336" s="360" t="s">
        <v>2313</v>
      </c>
    </row>
    <row r="337" spans="1:11" s="360" customFormat="1" ht="20.25" hidden="1" customHeight="1">
      <c r="A337" s="356" t="s">
        <v>515</v>
      </c>
      <c r="B337" s="357" t="s">
        <v>2109</v>
      </c>
      <c r="C337" s="358">
        <f>FF!I1048</f>
        <v>0</v>
      </c>
      <c r="D337" s="354" t="s">
        <v>102</v>
      </c>
      <c r="E337" s="355">
        <f>FF!K1048</f>
        <v>2704.03</v>
      </c>
      <c r="F337" s="353">
        <f t="shared" si="16"/>
        <v>0</v>
      </c>
      <c r="G337" s="368"/>
      <c r="H337" s="368"/>
      <c r="I337" s="368">
        <f t="shared" si="17"/>
        <v>0</v>
      </c>
      <c r="J337" s="368">
        <f t="shared" si="18"/>
        <v>0</v>
      </c>
      <c r="K337" s="360" t="s">
        <v>2217</v>
      </c>
    </row>
    <row r="338" spans="1:11" s="360" customFormat="1" ht="20.25" hidden="1" customHeight="1">
      <c r="A338" s="356" t="s">
        <v>506</v>
      </c>
      <c r="B338" s="357" t="s">
        <v>2109</v>
      </c>
      <c r="C338" s="358">
        <f>FF!I1057</f>
        <v>0</v>
      </c>
      <c r="D338" s="354" t="s">
        <v>102</v>
      </c>
      <c r="E338" s="355">
        <f>FF!K1057</f>
        <v>2747.8</v>
      </c>
      <c r="F338" s="353">
        <f>ROUND(C338*E338,0)</f>
        <v>0</v>
      </c>
      <c r="G338" s="368"/>
      <c r="H338" s="368"/>
      <c r="I338" s="368">
        <f>C338-G338</f>
        <v>0</v>
      </c>
      <c r="J338" s="368">
        <f>F338-H338</f>
        <v>0</v>
      </c>
      <c r="K338" s="360" t="s">
        <v>2299</v>
      </c>
    </row>
    <row r="339" spans="1:11" s="360" customFormat="1" ht="20.25" hidden="1" customHeight="1">
      <c r="A339" s="356" t="s">
        <v>515</v>
      </c>
      <c r="B339" s="357" t="s">
        <v>2109</v>
      </c>
      <c r="C339" s="358">
        <f>FF!I1064</f>
        <v>0</v>
      </c>
      <c r="D339" s="354" t="s">
        <v>102</v>
      </c>
      <c r="E339" s="355">
        <f>FF!K1064</f>
        <v>2789.27</v>
      </c>
      <c r="F339" s="353">
        <f>ROUND(C339*E339,0)</f>
        <v>0</v>
      </c>
      <c r="G339" s="368"/>
      <c r="H339" s="368"/>
      <c r="I339" s="368">
        <f>C339-G339</f>
        <v>0</v>
      </c>
      <c r="J339" s="368">
        <f>F339-H339</f>
        <v>0</v>
      </c>
      <c r="K339" s="360" t="s">
        <v>2312</v>
      </c>
    </row>
    <row r="340" spans="1:11" s="360" customFormat="1" ht="20.25" hidden="1" customHeight="1">
      <c r="A340" s="356" t="s">
        <v>498</v>
      </c>
      <c r="B340" s="357" t="s">
        <v>2109</v>
      </c>
      <c r="C340" s="358">
        <f>FF!I1081</f>
        <v>0</v>
      </c>
      <c r="D340" s="354" t="s">
        <v>102</v>
      </c>
      <c r="E340" s="355">
        <f>FF!K1081</f>
        <v>2950.54</v>
      </c>
      <c r="F340" s="353">
        <f>ROUND(C340*E340,0)</f>
        <v>0</v>
      </c>
      <c r="G340" s="368"/>
      <c r="H340" s="368"/>
      <c r="I340" s="368">
        <f>C340-G340</f>
        <v>0</v>
      </c>
      <c r="J340" s="368">
        <f>F340-H340</f>
        <v>0</v>
      </c>
      <c r="K340" s="360" t="s">
        <v>2313</v>
      </c>
    </row>
    <row r="341" spans="1:11" s="360" customFormat="1" ht="20.25" hidden="1" customHeight="1">
      <c r="A341" s="356" t="s">
        <v>529</v>
      </c>
      <c r="B341" s="357" t="s">
        <v>710</v>
      </c>
      <c r="C341" s="358">
        <f>FF!I1089</f>
        <v>0</v>
      </c>
      <c r="D341" s="354" t="s">
        <v>102</v>
      </c>
      <c r="E341" s="355">
        <f>FF!K1089</f>
        <v>633.27</v>
      </c>
      <c r="F341" s="353">
        <f t="shared" si="16"/>
        <v>0</v>
      </c>
      <c r="G341" s="368"/>
      <c r="H341" s="368"/>
      <c r="I341" s="368">
        <f t="shared" si="17"/>
        <v>0</v>
      </c>
      <c r="J341" s="368">
        <f t="shared" si="18"/>
        <v>0</v>
      </c>
      <c r="K341" s="360" t="s">
        <v>2217</v>
      </c>
    </row>
    <row r="342" spans="1:11" s="360" customFormat="1" ht="20.25" hidden="1" customHeight="1">
      <c r="A342" s="356" t="s">
        <v>529</v>
      </c>
      <c r="B342" s="357" t="s">
        <v>710</v>
      </c>
      <c r="C342" s="358">
        <f>FF!I1100</f>
        <v>0</v>
      </c>
      <c r="D342" s="354" t="s">
        <v>102</v>
      </c>
      <c r="E342" s="355">
        <f>FF!K1100</f>
        <v>677.99</v>
      </c>
      <c r="F342" s="353">
        <f>ROUND(C342*E342,0)</f>
        <v>0</v>
      </c>
      <c r="G342" s="368"/>
      <c r="H342" s="368"/>
      <c r="I342" s="368">
        <f>C342-G342</f>
        <v>0</v>
      </c>
      <c r="J342" s="368">
        <f>F342-H342</f>
        <v>0</v>
      </c>
      <c r="K342" s="360" t="s">
        <v>2299</v>
      </c>
    </row>
    <row r="343" spans="1:11" s="360" customFormat="1" ht="20.25" hidden="1" customHeight="1">
      <c r="A343" s="356" t="s">
        <v>529</v>
      </c>
      <c r="B343" s="357" t="s">
        <v>710</v>
      </c>
      <c r="C343" s="358">
        <f>FF!I1108</f>
        <v>0</v>
      </c>
      <c r="D343" s="354" t="s">
        <v>102</v>
      </c>
      <c r="E343" s="355">
        <f>FF!K1108</f>
        <v>686.13</v>
      </c>
      <c r="F343" s="353">
        <f>ROUND(C343*E343,0)</f>
        <v>0</v>
      </c>
      <c r="G343" s="368"/>
      <c r="H343" s="368"/>
      <c r="I343" s="368">
        <f>C343-G343</f>
        <v>0</v>
      </c>
      <c r="J343" s="368">
        <f>F343-H343</f>
        <v>0</v>
      </c>
      <c r="K343" s="360" t="s">
        <v>2312</v>
      </c>
    </row>
    <row r="344" spans="1:11" s="360" customFormat="1" ht="20.25" hidden="1" customHeight="1">
      <c r="A344" s="356" t="s">
        <v>529</v>
      </c>
      <c r="B344" s="357" t="s">
        <v>710</v>
      </c>
      <c r="C344" s="358">
        <f>FF!I1116</f>
        <v>0</v>
      </c>
      <c r="D344" s="354" t="s">
        <v>102</v>
      </c>
      <c r="E344" s="355">
        <f>FF!K1116</f>
        <v>780.73</v>
      </c>
      <c r="F344" s="353">
        <f>ROUND(C344*E344,0)</f>
        <v>0</v>
      </c>
      <c r="G344" s="368"/>
      <c r="H344" s="368"/>
      <c r="I344" s="368">
        <f>C344-G344</f>
        <v>0</v>
      </c>
      <c r="J344" s="368">
        <f>F344-H344</f>
        <v>0</v>
      </c>
      <c r="K344" s="360" t="s">
        <v>2313</v>
      </c>
    </row>
    <row r="345" spans="1:11" s="360" customFormat="1" ht="20.25" hidden="1" customHeight="1">
      <c r="A345" s="356" t="s">
        <v>530</v>
      </c>
      <c r="B345" s="357" t="s">
        <v>2109</v>
      </c>
      <c r="C345" s="358">
        <f>FF!I1123</f>
        <v>0</v>
      </c>
      <c r="D345" s="354" t="s">
        <v>102</v>
      </c>
      <c r="E345" s="355">
        <f>FF!K1123</f>
        <v>652.64</v>
      </c>
      <c r="F345" s="353">
        <f t="shared" si="16"/>
        <v>0</v>
      </c>
      <c r="G345" s="368"/>
      <c r="H345" s="368"/>
      <c r="I345" s="368">
        <f t="shared" si="17"/>
        <v>0</v>
      </c>
      <c r="J345" s="368">
        <f t="shared" si="18"/>
        <v>0</v>
      </c>
      <c r="K345" s="360" t="s">
        <v>2217</v>
      </c>
    </row>
    <row r="346" spans="1:11" s="360" customFormat="1" ht="20.25" hidden="1" customHeight="1">
      <c r="A346" s="356" t="s">
        <v>530</v>
      </c>
      <c r="B346" s="357" t="s">
        <v>2109</v>
      </c>
      <c r="C346" s="358">
        <f>FF!I1134</f>
        <v>0</v>
      </c>
      <c r="D346" s="354" t="s">
        <v>102</v>
      </c>
      <c r="E346" s="355">
        <f>FF!K1134</f>
        <v>683.46</v>
      </c>
      <c r="F346" s="353">
        <f>ROUND(C346*E346,0)</f>
        <v>0</v>
      </c>
      <c r="G346" s="368"/>
      <c r="H346" s="368"/>
      <c r="I346" s="368">
        <f>C346-G346</f>
        <v>0</v>
      </c>
      <c r="J346" s="368">
        <f>F346-H346</f>
        <v>0</v>
      </c>
      <c r="K346" s="360" t="s">
        <v>2299</v>
      </c>
    </row>
    <row r="347" spans="1:11" s="360" customFormat="1" ht="20.25" hidden="1" customHeight="1">
      <c r="A347" s="356" t="s">
        <v>530</v>
      </c>
      <c r="B347" s="357" t="s">
        <v>2109</v>
      </c>
      <c r="C347" s="358">
        <f>FF!I1141</f>
        <v>0</v>
      </c>
      <c r="D347" s="354" t="s">
        <v>102</v>
      </c>
      <c r="E347" s="355">
        <f>FF!K1141</f>
        <v>706.57</v>
      </c>
      <c r="F347" s="353">
        <f>ROUND(C347*E347,0)</f>
        <v>0</v>
      </c>
      <c r="G347" s="368"/>
      <c r="H347" s="368"/>
      <c r="I347" s="368">
        <f>C347-G347</f>
        <v>0</v>
      </c>
      <c r="J347" s="368">
        <f>F347-H347</f>
        <v>0</v>
      </c>
      <c r="K347" s="360" t="s">
        <v>2312</v>
      </c>
    </row>
    <row r="348" spans="1:11" s="360" customFormat="1" ht="20.25" hidden="1" customHeight="1">
      <c r="A348" s="356" t="s">
        <v>530</v>
      </c>
      <c r="B348" s="357" t="s">
        <v>2109</v>
      </c>
      <c r="C348" s="358">
        <f>FF!I1148</f>
        <v>0</v>
      </c>
      <c r="D348" s="354" t="s">
        <v>102</v>
      </c>
      <c r="E348" s="355">
        <f>FF!K1148</f>
        <v>786.2</v>
      </c>
      <c r="F348" s="353">
        <f>ROUND(C348*E348,0)</f>
        <v>0</v>
      </c>
      <c r="G348" s="368"/>
      <c r="H348" s="368"/>
      <c r="I348" s="368">
        <f>C348-G348</f>
        <v>0</v>
      </c>
      <c r="J348" s="368">
        <f>F348-H348</f>
        <v>0</v>
      </c>
      <c r="K348" s="360" t="s">
        <v>2313</v>
      </c>
    </row>
    <row r="349" spans="1:11" s="360" customFormat="1" ht="20.25" hidden="1" customHeight="1">
      <c r="A349" s="356" t="s">
        <v>516</v>
      </c>
      <c r="B349" s="357" t="s">
        <v>2110</v>
      </c>
      <c r="C349" s="358">
        <f>FF!I1155</f>
        <v>0</v>
      </c>
      <c r="D349" s="354" t="s">
        <v>102</v>
      </c>
      <c r="E349" s="355">
        <f>FF!K1155</f>
        <v>755.74</v>
      </c>
      <c r="F349" s="353">
        <f t="shared" si="16"/>
        <v>0</v>
      </c>
      <c r="G349" s="368"/>
      <c r="H349" s="368"/>
      <c r="I349" s="368">
        <f t="shared" si="17"/>
        <v>0</v>
      </c>
      <c r="J349" s="368">
        <f t="shared" si="18"/>
        <v>0</v>
      </c>
      <c r="K349" s="360" t="s">
        <v>2217</v>
      </c>
    </row>
    <row r="350" spans="1:11" s="360" customFormat="1" ht="20.25" hidden="1" customHeight="1">
      <c r="A350" s="356" t="s">
        <v>504</v>
      </c>
      <c r="B350" s="357" t="s">
        <v>2110</v>
      </c>
      <c r="C350" s="358">
        <f>FF!I1163</f>
        <v>0</v>
      </c>
      <c r="D350" s="354" t="s">
        <v>102</v>
      </c>
      <c r="E350" s="355">
        <f>FF!K1163</f>
        <v>786.57</v>
      </c>
      <c r="F350" s="353">
        <f>ROUND(C350*E350,0)</f>
        <v>0</v>
      </c>
      <c r="G350" s="368"/>
      <c r="H350" s="368"/>
      <c r="I350" s="368">
        <f>C350-G350</f>
        <v>0</v>
      </c>
      <c r="J350" s="368">
        <f>F350-H350</f>
        <v>0</v>
      </c>
      <c r="K350" s="360" t="s">
        <v>2299</v>
      </c>
    </row>
    <row r="351" spans="1:11" s="360" customFormat="1" ht="20.25" hidden="1" customHeight="1">
      <c r="A351" s="356" t="s">
        <v>516</v>
      </c>
      <c r="B351" s="357" t="s">
        <v>2110</v>
      </c>
      <c r="C351" s="358">
        <f>FF!I1170</f>
        <v>0</v>
      </c>
      <c r="D351" s="354" t="s">
        <v>102</v>
      </c>
      <c r="E351" s="355">
        <f>FF!K1170</f>
        <v>809.68</v>
      </c>
      <c r="F351" s="353">
        <f>ROUND(C351*E351,0)</f>
        <v>0</v>
      </c>
      <c r="G351" s="368"/>
      <c r="H351" s="368"/>
      <c r="I351" s="368">
        <f>C351-G351</f>
        <v>0</v>
      </c>
      <c r="J351" s="368">
        <f>F351-H351</f>
        <v>0</v>
      </c>
      <c r="K351" s="360" t="s">
        <v>2312</v>
      </c>
    </row>
    <row r="352" spans="1:11" s="360" customFormat="1" ht="20.25" hidden="1" customHeight="1">
      <c r="A352" s="356" t="s">
        <v>516</v>
      </c>
      <c r="B352" s="357" t="s">
        <v>2110</v>
      </c>
      <c r="C352" s="358">
        <f>FF!I1175</f>
        <v>0</v>
      </c>
      <c r="D352" s="354" t="s">
        <v>102</v>
      </c>
      <c r="E352" s="355">
        <f>FF!K1175</f>
        <v>837.86</v>
      </c>
      <c r="F352" s="353">
        <f>ROUND(C352*E352,0)</f>
        <v>0</v>
      </c>
      <c r="G352" s="368"/>
      <c r="H352" s="368"/>
      <c r="I352" s="368">
        <f>C352-G352</f>
        <v>0</v>
      </c>
      <c r="J352" s="368">
        <f>F352-H352</f>
        <v>0</v>
      </c>
      <c r="K352" s="360" t="s">
        <v>2313</v>
      </c>
    </row>
    <row r="353" spans="1:11" s="360" customFormat="1" ht="20.25" hidden="1" customHeight="1">
      <c r="A353" s="356" t="s">
        <v>517</v>
      </c>
      <c r="B353" s="357" t="s">
        <v>2109</v>
      </c>
      <c r="C353" s="358">
        <f>FF!I1182</f>
        <v>0</v>
      </c>
      <c r="D353" s="354" t="s">
        <v>102</v>
      </c>
      <c r="E353" s="355">
        <f>FF!K1182</f>
        <v>494.82</v>
      </c>
      <c r="F353" s="353">
        <f t="shared" si="16"/>
        <v>0</v>
      </c>
      <c r="G353" s="368"/>
      <c r="H353" s="368"/>
      <c r="I353" s="368">
        <f t="shared" si="17"/>
        <v>0</v>
      </c>
      <c r="J353" s="368">
        <f t="shared" si="18"/>
        <v>0</v>
      </c>
      <c r="K353" s="360" t="s">
        <v>2217</v>
      </c>
    </row>
    <row r="354" spans="1:11" s="360" customFormat="1" ht="20.25" hidden="1" customHeight="1">
      <c r="A354" s="356" t="s">
        <v>506</v>
      </c>
      <c r="B354" s="357" t="s">
        <v>2109</v>
      </c>
      <c r="C354" s="358">
        <f>FF!I1190</f>
        <v>0</v>
      </c>
      <c r="D354" s="354" t="s">
        <v>102</v>
      </c>
      <c r="E354" s="355">
        <f>FF!K1190</f>
        <v>504.13</v>
      </c>
      <c r="F354" s="353">
        <f>ROUND(C354*E354,0)</f>
        <v>0</v>
      </c>
      <c r="G354" s="368"/>
      <c r="H354" s="368"/>
      <c r="I354" s="368">
        <f>C354-G354</f>
        <v>0</v>
      </c>
      <c r="J354" s="368">
        <f>F354-H354</f>
        <v>0</v>
      </c>
      <c r="K354" s="360" t="s">
        <v>2299</v>
      </c>
    </row>
    <row r="355" spans="1:11" s="360" customFormat="1" ht="20.25" hidden="1" customHeight="1">
      <c r="A355" s="356" t="s">
        <v>517</v>
      </c>
      <c r="B355" s="357" t="s">
        <v>2109</v>
      </c>
      <c r="C355" s="358">
        <f>FF!I1197</f>
        <v>0</v>
      </c>
      <c r="D355" s="354" t="s">
        <v>102</v>
      </c>
      <c r="E355" s="355">
        <f>FF!K1197</f>
        <v>512.09</v>
      </c>
      <c r="F355" s="353">
        <f>ROUND(C355*E355,0)</f>
        <v>0</v>
      </c>
      <c r="G355" s="368"/>
      <c r="H355" s="368"/>
      <c r="I355" s="368">
        <f>C355-G355</f>
        <v>0</v>
      </c>
      <c r="J355" s="368">
        <f>F355-H355</f>
        <v>0</v>
      </c>
      <c r="K355" s="360" t="s">
        <v>2312</v>
      </c>
    </row>
    <row r="356" spans="1:11" s="360" customFormat="1" ht="20.25" hidden="1" customHeight="1">
      <c r="A356" s="356" t="s">
        <v>517</v>
      </c>
      <c r="B356" s="357" t="s">
        <v>2109</v>
      </c>
      <c r="C356" s="358">
        <f>FF!I1209</f>
        <v>0</v>
      </c>
      <c r="D356" s="354" t="s">
        <v>102</v>
      </c>
      <c r="E356" s="355">
        <f>FF!K1209</f>
        <v>527.21</v>
      </c>
      <c r="F356" s="353">
        <f>ROUND(C356*E356,0)</f>
        <v>0</v>
      </c>
      <c r="G356" s="368"/>
      <c r="H356" s="368"/>
      <c r="I356" s="368">
        <f>C356-G356</f>
        <v>0</v>
      </c>
      <c r="J356" s="368">
        <f>F356-H356</f>
        <v>0</v>
      </c>
      <c r="K356" s="360" t="s">
        <v>2313</v>
      </c>
    </row>
    <row r="357" spans="1:11" s="360" customFormat="1" ht="20.25" hidden="1" customHeight="1">
      <c r="A357" s="356" t="s">
        <v>492</v>
      </c>
      <c r="B357" s="357" t="s">
        <v>1222</v>
      </c>
      <c r="C357" s="358">
        <f>FF!I1217</f>
        <v>0</v>
      </c>
      <c r="D357" s="354" t="s">
        <v>102</v>
      </c>
      <c r="E357" s="355">
        <f>FF!K1217</f>
        <v>944.79</v>
      </c>
      <c r="F357" s="353">
        <f t="shared" si="16"/>
        <v>0</v>
      </c>
      <c r="G357" s="368"/>
      <c r="H357" s="368"/>
      <c r="I357" s="368">
        <f t="shared" si="17"/>
        <v>0</v>
      </c>
      <c r="J357" s="368">
        <f t="shared" si="18"/>
        <v>0</v>
      </c>
      <c r="K357" s="360" t="s">
        <v>2217</v>
      </c>
    </row>
    <row r="358" spans="1:11" s="360" customFormat="1" ht="20.25" hidden="1" customHeight="1">
      <c r="A358" s="356" t="s">
        <v>492</v>
      </c>
      <c r="B358" s="357" t="s">
        <v>1222</v>
      </c>
      <c r="C358" s="358">
        <f>FF!I1225</f>
        <v>0</v>
      </c>
      <c r="D358" s="354" t="s">
        <v>102</v>
      </c>
      <c r="E358" s="355">
        <f>FF!K1225</f>
        <v>986.93</v>
      </c>
      <c r="F358" s="353">
        <f>ROUND(C358*E358,0)</f>
        <v>0</v>
      </c>
      <c r="G358" s="368"/>
      <c r="H358" s="368"/>
      <c r="I358" s="368">
        <f>C358-G358</f>
        <v>0</v>
      </c>
      <c r="J358" s="368">
        <f>F358-H358</f>
        <v>0</v>
      </c>
      <c r="K358" s="360" t="s">
        <v>2299</v>
      </c>
    </row>
    <row r="359" spans="1:11" s="360" customFormat="1" ht="20.25" hidden="1" customHeight="1">
      <c r="A359" s="356" t="s">
        <v>492</v>
      </c>
      <c r="B359" s="357" t="s">
        <v>1222</v>
      </c>
      <c r="C359" s="358">
        <f>FF!I1233</f>
        <v>0</v>
      </c>
      <c r="D359" s="354" t="s">
        <v>102</v>
      </c>
      <c r="E359" s="355">
        <f>FF!K1233</f>
        <v>1020.23</v>
      </c>
      <c r="F359" s="353">
        <f>ROUND(C359*E359,0)</f>
        <v>0</v>
      </c>
      <c r="G359" s="368"/>
      <c r="H359" s="368"/>
      <c r="I359" s="368">
        <f>C359-G359</f>
        <v>0</v>
      </c>
      <c r="J359" s="368">
        <f>F359-H359</f>
        <v>0</v>
      </c>
      <c r="K359" s="360" t="s">
        <v>2312</v>
      </c>
    </row>
    <row r="360" spans="1:11" s="360" customFormat="1" ht="20.25" hidden="1" customHeight="1">
      <c r="A360" s="356" t="s">
        <v>492</v>
      </c>
      <c r="B360" s="357" t="s">
        <v>1222</v>
      </c>
      <c r="C360" s="358">
        <f>FF!I1241</f>
        <v>0</v>
      </c>
      <c r="D360" s="354" t="s">
        <v>102</v>
      </c>
      <c r="E360" s="355">
        <f>FF!K1241</f>
        <v>1059.21</v>
      </c>
      <c r="F360" s="353">
        <f>ROUND(C360*E360,0)</f>
        <v>0</v>
      </c>
      <c r="G360" s="368"/>
      <c r="H360" s="368"/>
      <c r="I360" s="368">
        <f>C360-G360</f>
        <v>0</v>
      </c>
      <c r="J360" s="368">
        <f>F360-H360</f>
        <v>0</v>
      </c>
      <c r="K360" s="360" t="s">
        <v>2313</v>
      </c>
    </row>
    <row r="361" spans="1:11" s="360" customFormat="1" ht="20.25" hidden="1" customHeight="1">
      <c r="A361" s="356" t="s">
        <v>533</v>
      </c>
      <c r="B361" s="357" t="s">
        <v>2230</v>
      </c>
      <c r="C361" s="358">
        <f>FF!I1250</f>
        <v>0</v>
      </c>
      <c r="D361" s="354" t="s">
        <v>102</v>
      </c>
      <c r="E361" s="355">
        <f>FF!K1250</f>
        <v>21.43</v>
      </c>
      <c r="F361" s="353">
        <f t="shared" si="16"/>
        <v>0</v>
      </c>
      <c r="G361" s="368"/>
      <c r="H361" s="368"/>
      <c r="I361" s="368">
        <f t="shared" si="17"/>
        <v>0</v>
      </c>
      <c r="J361" s="368">
        <f t="shared" si="18"/>
        <v>0</v>
      </c>
      <c r="K361" s="360" t="s">
        <v>2217</v>
      </c>
    </row>
    <row r="362" spans="1:11" s="360" customFormat="1" ht="20.25" hidden="1" customHeight="1">
      <c r="A362" s="356" t="s">
        <v>533</v>
      </c>
      <c r="B362" s="357" t="s">
        <v>2230</v>
      </c>
      <c r="C362" s="358">
        <f>FF!I1259</f>
        <v>0</v>
      </c>
      <c r="D362" s="354" t="s">
        <v>102</v>
      </c>
      <c r="E362" s="355">
        <f>FF!K1259</f>
        <v>22.88</v>
      </c>
      <c r="F362" s="353">
        <f>ROUND(C362*E362,0)</f>
        <v>0</v>
      </c>
      <c r="G362" s="368"/>
      <c r="H362" s="368"/>
      <c r="I362" s="368">
        <f>C362-G362</f>
        <v>0</v>
      </c>
      <c r="J362" s="368">
        <f>F362-H362</f>
        <v>0</v>
      </c>
      <c r="K362" s="360" t="s">
        <v>2299</v>
      </c>
    </row>
    <row r="363" spans="1:11" s="360" customFormat="1" ht="20.25" hidden="1" customHeight="1">
      <c r="A363" s="356" t="s">
        <v>533</v>
      </c>
      <c r="B363" s="357" t="s">
        <v>2230</v>
      </c>
      <c r="C363" s="358">
        <f>FF!I1268</f>
        <v>0</v>
      </c>
      <c r="D363" s="354" t="s">
        <v>102</v>
      </c>
      <c r="E363" s="355">
        <f>FF!K1268</f>
        <v>24.15</v>
      </c>
      <c r="F363" s="353">
        <f>ROUND(C363*E363,0)</f>
        <v>0</v>
      </c>
      <c r="G363" s="368"/>
      <c r="H363" s="368"/>
      <c r="I363" s="368">
        <f>C363-G363</f>
        <v>0</v>
      </c>
      <c r="J363" s="368">
        <f>F363-H363</f>
        <v>0</v>
      </c>
      <c r="K363" s="360" t="s">
        <v>2312</v>
      </c>
    </row>
    <row r="364" spans="1:11" s="360" customFormat="1" ht="20.25" hidden="1" customHeight="1">
      <c r="A364" s="356" t="s">
        <v>533</v>
      </c>
      <c r="B364" s="357" t="s">
        <v>2230</v>
      </c>
      <c r="C364" s="358">
        <f>FF!I1277</f>
        <v>0</v>
      </c>
      <c r="D364" s="354" t="s">
        <v>102</v>
      </c>
      <c r="E364" s="355">
        <f>FF!K1277</f>
        <v>25.98</v>
      </c>
      <c r="F364" s="353">
        <f>ROUND(C364*E364,0)</f>
        <v>0</v>
      </c>
      <c r="G364" s="368"/>
      <c r="H364" s="368"/>
      <c r="I364" s="368">
        <f>C364-G364</f>
        <v>0</v>
      </c>
      <c r="J364" s="368">
        <f>F364-H364</f>
        <v>0</v>
      </c>
      <c r="K364" s="360" t="s">
        <v>2313</v>
      </c>
    </row>
    <row r="365" spans="1:11" s="360" customFormat="1" ht="20.25" hidden="1" customHeight="1">
      <c r="A365" s="356" t="s">
        <v>499</v>
      </c>
      <c r="B365" s="357" t="s">
        <v>2111</v>
      </c>
      <c r="C365" s="358">
        <f>FF!I1302</f>
        <v>0</v>
      </c>
      <c r="D365" s="354" t="s">
        <v>102</v>
      </c>
      <c r="E365" s="355">
        <f>FF!K1302</f>
        <v>156.41</v>
      </c>
      <c r="F365" s="353">
        <f t="shared" si="16"/>
        <v>0</v>
      </c>
      <c r="G365" s="368"/>
      <c r="H365" s="368"/>
      <c r="I365" s="368">
        <f t="shared" si="17"/>
        <v>0</v>
      </c>
      <c r="J365" s="368">
        <f t="shared" si="18"/>
        <v>0</v>
      </c>
      <c r="K365" s="360" t="s">
        <v>2217</v>
      </c>
    </row>
    <row r="366" spans="1:11" s="360" customFormat="1" ht="20.25" hidden="1" customHeight="1">
      <c r="A366" s="356" t="s">
        <v>508</v>
      </c>
      <c r="B366" s="357" t="s">
        <v>2111</v>
      </c>
      <c r="C366" s="358">
        <f>FF!I1334</f>
        <v>0</v>
      </c>
      <c r="D366" s="354" t="s">
        <v>102</v>
      </c>
      <c r="E366" s="355">
        <f>FF!K1334</f>
        <v>164.34</v>
      </c>
      <c r="F366" s="353">
        <f>ROUND(C366*E366,0)</f>
        <v>0</v>
      </c>
      <c r="G366" s="368"/>
      <c r="H366" s="368"/>
      <c r="I366" s="368">
        <f>C366-G366</f>
        <v>0</v>
      </c>
      <c r="J366" s="368">
        <f>F366-H366</f>
        <v>0</v>
      </c>
      <c r="K366" s="360" t="s">
        <v>2299</v>
      </c>
    </row>
    <row r="367" spans="1:11" s="360" customFormat="1" ht="20.25" hidden="1" customHeight="1">
      <c r="A367" s="356" t="s">
        <v>518</v>
      </c>
      <c r="B367" s="357" t="s">
        <v>2111</v>
      </c>
      <c r="C367" s="358">
        <f>FF!I1344</f>
        <v>0</v>
      </c>
      <c r="D367" s="354" t="s">
        <v>102</v>
      </c>
      <c r="E367" s="355">
        <f>FF!K1344</f>
        <v>170.35</v>
      </c>
      <c r="F367" s="353">
        <f>ROUND(C367*E367,0)</f>
        <v>0</v>
      </c>
      <c r="G367" s="368"/>
      <c r="H367" s="368"/>
      <c r="I367" s="368">
        <f>C367-G367</f>
        <v>0</v>
      </c>
      <c r="J367" s="368">
        <f>F367-H367</f>
        <v>0</v>
      </c>
      <c r="K367" s="360" t="s">
        <v>2312</v>
      </c>
    </row>
    <row r="368" spans="1:11" s="360" customFormat="1" ht="20.25" hidden="1" customHeight="1">
      <c r="A368" s="356" t="s">
        <v>498</v>
      </c>
      <c r="B368" s="357" t="s">
        <v>2111</v>
      </c>
      <c r="C368" s="358">
        <f>FF!I1369</f>
        <v>0</v>
      </c>
      <c r="D368" s="354" t="s">
        <v>102</v>
      </c>
      <c r="E368" s="355">
        <f>FF!K1369</f>
        <v>184.03</v>
      </c>
      <c r="F368" s="353">
        <f>ROUND(C368*E368,0)</f>
        <v>0</v>
      </c>
      <c r="G368" s="368"/>
      <c r="H368" s="368"/>
      <c r="I368" s="368">
        <f>C368-G368</f>
        <v>0</v>
      </c>
      <c r="J368" s="368">
        <f>F368-H368</f>
        <v>0</v>
      </c>
      <c r="K368" s="360" t="s">
        <v>2313</v>
      </c>
    </row>
    <row r="369" spans="1:11" s="360" customFormat="1" ht="20.25" hidden="1" customHeight="1">
      <c r="A369" s="356" t="s">
        <v>519</v>
      </c>
      <c r="B369" s="357" t="s">
        <v>2169</v>
      </c>
      <c r="C369" s="358">
        <f>FF!I1378</f>
        <v>0</v>
      </c>
      <c r="D369" s="354" t="s">
        <v>102</v>
      </c>
      <c r="E369" s="355">
        <f>FF!K1378</f>
        <v>131.44999999999999</v>
      </c>
      <c r="F369" s="353">
        <f t="shared" si="16"/>
        <v>0</v>
      </c>
      <c r="G369" s="368"/>
      <c r="H369" s="368"/>
      <c r="I369" s="368">
        <f t="shared" si="17"/>
        <v>0</v>
      </c>
      <c r="J369" s="368">
        <f t="shared" si="18"/>
        <v>0</v>
      </c>
      <c r="K369" s="360" t="s">
        <v>2217</v>
      </c>
    </row>
    <row r="370" spans="1:11" s="360" customFormat="1" ht="20.25" hidden="1" customHeight="1">
      <c r="A370" s="356" t="s">
        <v>510</v>
      </c>
      <c r="B370" s="357" t="s">
        <v>2169</v>
      </c>
      <c r="C370" s="358">
        <f>FF!I1420</f>
        <v>0</v>
      </c>
      <c r="D370" s="354" t="s">
        <v>102</v>
      </c>
      <c r="E370" s="355">
        <f>FF!K1420</f>
        <v>139.51</v>
      </c>
      <c r="F370" s="353">
        <f>ROUND(C370*E370,0)</f>
        <v>0</v>
      </c>
      <c r="G370" s="368"/>
      <c r="H370" s="368"/>
      <c r="I370" s="368">
        <f>C370-G370</f>
        <v>0</v>
      </c>
      <c r="J370" s="368">
        <f>F370-H370</f>
        <v>0</v>
      </c>
      <c r="K370" s="360" t="s">
        <v>2299</v>
      </c>
    </row>
    <row r="371" spans="1:11" s="360" customFormat="1" ht="20.25" hidden="1" customHeight="1">
      <c r="A371" s="356" t="s">
        <v>519</v>
      </c>
      <c r="B371" s="357" t="s">
        <v>2169</v>
      </c>
      <c r="C371" s="358">
        <f>FF!I1429</f>
        <v>0</v>
      </c>
      <c r="D371" s="354" t="s">
        <v>102</v>
      </c>
      <c r="E371" s="355">
        <f>FF!K1429</f>
        <v>145.68</v>
      </c>
      <c r="F371" s="353">
        <f>ROUND(C371*E371,0)</f>
        <v>0</v>
      </c>
      <c r="G371" s="368"/>
      <c r="H371" s="368"/>
      <c r="I371" s="368">
        <f>C371-G371</f>
        <v>0</v>
      </c>
      <c r="J371" s="368">
        <f>F371-H371</f>
        <v>0</v>
      </c>
      <c r="K371" s="360" t="s">
        <v>2312</v>
      </c>
    </row>
    <row r="372" spans="1:11" s="360" customFormat="1" ht="20.25" hidden="1" customHeight="1">
      <c r="A372" s="356" t="s">
        <v>500</v>
      </c>
      <c r="B372" s="357" t="s">
        <v>2169</v>
      </c>
      <c r="C372" s="358">
        <f>FF!I1454</f>
        <v>0</v>
      </c>
      <c r="D372" s="354" t="s">
        <v>102</v>
      </c>
      <c r="E372" s="355">
        <f>FF!K1454</f>
        <v>158.36000000000001</v>
      </c>
      <c r="F372" s="353">
        <f>ROUND(C372*E372,0)</f>
        <v>0</v>
      </c>
      <c r="G372" s="368"/>
      <c r="H372" s="368"/>
      <c r="I372" s="368">
        <f>C372-G372</f>
        <v>0</v>
      </c>
      <c r="J372" s="368">
        <f>F372-H372</f>
        <v>0</v>
      </c>
      <c r="K372" s="360" t="s">
        <v>2313</v>
      </c>
    </row>
    <row r="373" spans="1:11" s="360" customFormat="1" ht="20.25" hidden="1" customHeight="1">
      <c r="A373" s="356" t="s">
        <v>520</v>
      </c>
      <c r="B373" s="357" t="s">
        <v>2170</v>
      </c>
      <c r="C373" s="358">
        <f>FF!I1461</f>
        <v>0</v>
      </c>
      <c r="D373" s="354" t="s">
        <v>102</v>
      </c>
      <c r="E373" s="355">
        <f>FF!K1461</f>
        <v>179.47</v>
      </c>
      <c r="F373" s="353">
        <f t="shared" si="16"/>
        <v>0</v>
      </c>
      <c r="G373" s="368"/>
      <c r="H373" s="368"/>
      <c r="I373" s="368">
        <f t="shared" si="17"/>
        <v>0</v>
      </c>
      <c r="J373" s="368">
        <f t="shared" si="18"/>
        <v>0</v>
      </c>
      <c r="K373" s="360" t="s">
        <v>2217</v>
      </c>
    </row>
    <row r="374" spans="1:11" s="360" customFormat="1" ht="20.25" hidden="1" customHeight="1">
      <c r="A374" s="356" t="s">
        <v>1520</v>
      </c>
      <c r="B374" s="357" t="s">
        <v>2170</v>
      </c>
      <c r="C374" s="358">
        <f>FF!I1493</f>
        <v>0</v>
      </c>
      <c r="D374" s="354" t="s">
        <v>102</v>
      </c>
      <c r="E374" s="355">
        <f>FF!K1493</f>
        <v>192.01</v>
      </c>
      <c r="F374" s="353">
        <f>ROUND(C374*E374,0)</f>
        <v>0</v>
      </c>
      <c r="G374" s="368"/>
      <c r="H374" s="368"/>
      <c r="I374" s="368">
        <f>C374-G374</f>
        <v>0</v>
      </c>
      <c r="J374" s="368">
        <f>F374-H374</f>
        <v>0</v>
      </c>
      <c r="K374" s="360" t="s">
        <v>2299</v>
      </c>
    </row>
    <row r="375" spans="1:11" s="360" customFormat="1" ht="20.25" hidden="1" customHeight="1">
      <c r="A375" s="356" t="s">
        <v>520</v>
      </c>
      <c r="B375" s="357" t="s">
        <v>2170</v>
      </c>
      <c r="C375" s="358">
        <f>FF!I1500</f>
        <v>0</v>
      </c>
      <c r="D375" s="354" t="s">
        <v>102</v>
      </c>
      <c r="E375" s="355">
        <f>FF!K1500</f>
        <v>201.51</v>
      </c>
      <c r="F375" s="353">
        <f>ROUND(C375*E375,0)</f>
        <v>0</v>
      </c>
      <c r="G375" s="368"/>
      <c r="H375" s="368"/>
      <c r="I375" s="368">
        <f>C375-G375</f>
        <v>0</v>
      </c>
      <c r="J375" s="368">
        <f>F375-H375</f>
        <v>0</v>
      </c>
      <c r="K375" s="360" t="s">
        <v>2312</v>
      </c>
    </row>
    <row r="376" spans="1:11" s="360" customFormat="1" ht="20.25" hidden="1" customHeight="1">
      <c r="A376" s="356" t="s">
        <v>501</v>
      </c>
      <c r="B376" s="357" t="s">
        <v>2170</v>
      </c>
      <c r="C376" s="358">
        <f>FF!I1514</f>
        <v>0</v>
      </c>
      <c r="D376" s="354" t="s">
        <v>102</v>
      </c>
      <c r="E376" s="355">
        <f>FF!K1514</f>
        <v>217.22</v>
      </c>
      <c r="F376" s="353">
        <f>ROUND(C376*E376,0)</f>
        <v>0</v>
      </c>
      <c r="G376" s="368"/>
      <c r="H376" s="368"/>
      <c r="I376" s="368">
        <f>C376-G376</f>
        <v>0</v>
      </c>
      <c r="J376" s="368">
        <f>F376-H376</f>
        <v>0</v>
      </c>
      <c r="K376" s="360" t="s">
        <v>2313</v>
      </c>
    </row>
    <row r="377" spans="1:11" s="360" customFormat="1" ht="20.25" hidden="1" customHeight="1">
      <c r="A377" s="356" t="s">
        <v>502</v>
      </c>
      <c r="B377" s="357" t="s">
        <v>477</v>
      </c>
      <c r="C377" s="429">
        <f>FF!I1522</f>
        <v>0</v>
      </c>
      <c r="D377" s="221" t="s">
        <v>29</v>
      </c>
      <c r="E377" s="430">
        <f>FF!K1522</f>
        <v>63243.5</v>
      </c>
      <c r="F377" s="353">
        <f t="shared" si="16"/>
        <v>0</v>
      </c>
      <c r="G377" s="368"/>
      <c r="H377" s="368"/>
      <c r="I377" s="368">
        <f t="shared" si="17"/>
        <v>0</v>
      </c>
      <c r="J377" s="368">
        <f t="shared" si="18"/>
        <v>0</v>
      </c>
      <c r="K377" s="360" t="s">
        <v>2217</v>
      </c>
    </row>
    <row r="378" spans="1:11" s="360" customFormat="1" ht="20.25" hidden="1" customHeight="1">
      <c r="A378" s="356" t="s">
        <v>513</v>
      </c>
      <c r="B378" s="357" t="s">
        <v>477</v>
      </c>
      <c r="C378" s="429">
        <f>FF!I1527</f>
        <v>0</v>
      </c>
      <c r="D378" s="221" t="s">
        <v>29</v>
      </c>
      <c r="E378" s="430">
        <f>FF!K1527</f>
        <v>63510</v>
      </c>
      <c r="F378" s="353">
        <f>ROUND(C378*E378,0)</f>
        <v>0</v>
      </c>
      <c r="G378" s="368"/>
      <c r="H378" s="368"/>
      <c r="I378" s="368">
        <f>C378-G378</f>
        <v>0</v>
      </c>
      <c r="J378" s="368">
        <f>F378-H378</f>
        <v>0</v>
      </c>
      <c r="K378" s="360" t="s">
        <v>2299</v>
      </c>
    </row>
    <row r="379" spans="1:11" s="360" customFormat="1" ht="20.25" hidden="1" customHeight="1">
      <c r="A379" s="356" t="s">
        <v>513</v>
      </c>
      <c r="B379" s="357" t="s">
        <v>477</v>
      </c>
      <c r="C379" s="429">
        <f>FF!I1535</f>
        <v>0</v>
      </c>
      <c r="D379" s="221" t="s">
        <v>29</v>
      </c>
      <c r="E379" s="430">
        <f>FF!K1535</f>
        <v>80999.5</v>
      </c>
      <c r="F379" s="353">
        <f>ROUND(C379*E379,0)</f>
        <v>0</v>
      </c>
      <c r="G379" s="368"/>
      <c r="H379" s="368"/>
      <c r="I379" s="368">
        <f>C379-G379</f>
        <v>0</v>
      </c>
      <c r="J379" s="368">
        <f>F379-H379</f>
        <v>0</v>
      </c>
      <c r="K379" s="360" t="s">
        <v>2312</v>
      </c>
    </row>
    <row r="380" spans="1:11" s="360" customFormat="1" ht="20.25" hidden="1" customHeight="1">
      <c r="A380" s="356" t="s">
        <v>513</v>
      </c>
      <c r="B380" s="357" t="s">
        <v>477</v>
      </c>
      <c r="C380" s="429">
        <f>FF!I1542</f>
        <v>0</v>
      </c>
      <c r="D380" s="221" t="s">
        <v>29</v>
      </c>
      <c r="E380" s="430">
        <f>FF!K1542</f>
        <v>93741</v>
      </c>
      <c r="F380" s="353">
        <f>ROUND(C380*E380,0)</f>
        <v>0</v>
      </c>
      <c r="G380" s="368"/>
      <c r="H380" s="368"/>
      <c r="I380" s="368">
        <f>C380-G380</f>
        <v>0</v>
      </c>
      <c r="J380" s="368">
        <f>F380-H380</f>
        <v>0</v>
      </c>
      <c r="K380" s="360" t="s">
        <v>2313</v>
      </c>
    </row>
    <row r="381" spans="1:11" s="360" customFormat="1" ht="20.25" hidden="1" customHeight="1">
      <c r="A381" s="356"/>
      <c r="B381" s="431" t="s">
        <v>889</v>
      </c>
      <c r="C381" s="358"/>
      <c r="D381" s="361"/>
      <c r="E381" s="355"/>
      <c r="F381" s="353">
        <f t="shared" si="16"/>
        <v>0</v>
      </c>
      <c r="G381" s="368"/>
      <c r="H381" s="368"/>
      <c r="I381" s="368">
        <f t="shared" si="17"/>
        <v>0</v>
      </c>
      <c r="J381" s="368">
        <f t="shared" si="18"/>
        <v>0</v>
      </c>
      <c r="K381" s="360" t="s">
        <v>2217</v>
      </c>
    </row>
    <row r="382" spans="1:11" s="360" customFormat="1" ht="20.25" hidden="1" customHeight="1">
      <c r="A382" s="356" t="s">
        <v>503</v>
      </c>
      <c r="B382" s="357" t="s">
        <v>2143</v>
      </c>
      <c r="C382" s="358">
        <f>SF!I14</f>
        <v>0</v>
      </c>
      <c r="D382" s="354" t="s">
        <v>5</v>
      </c>
      <c r="E382" s="355">
        <f>SF!K14</f>
        <v>10542.140000000001</v>
      </c>
      <c r="F382" s="353">
        <f t="shared" si="16"/>
        <v>0</v>
      </c>
      <c r="G382" s="368"/>
      <c r="H382" s="368"/>
      <c r="I382" s="368">
        <f t="shared" si="17"/>
        <v>0</v>
      </c>
      <c r="J382" s="368">
        <f t="shared" si="18"/>
        <v>0</v>
      </c>
      <c r="K382" s="360" t="s">
        <v>2217</v>
      </c>
    </row>
    <row r="383" spans="1:11" s="360" customFormat="1" ht="20.25" hidden="1" customHeight="1">
      <c r="A383" s="356" t="s">
        <v>514</v>
      </c>
      <c r="B383" s="357" t="s">
        <v>2143</v>
      </c>
      <c r="C383" s="358">
        <f>SF!I21</f>
        <v>0</v>
      </c>
      <c r="D383" s="354" t="s">
        <v>5</v>
      </c>
      <c r="E383" s="355">
        <f>SF!K21</f>
        <v>10932.800000000001</v>
      </c>
      <c r="F383" s="353">
        <f>ROUND(C383*E383,0)</f>
        <v>0</v>
      </c>
      <c r="G383" s="368"/>
      <c r="H383" s="368"/>
      <c r="I383" s="368">
        <f>C383-G383</f>
        <v>0</v>
      </c>
      <c r="J383" s="368">
        <f>F383-H383</f>
        <v>0</v>
      </c>
      <c r="K383" s="360" t="s">
        <v>2299</v>
      </c>
    </row>
    <row r="384" spans="1:11" s="360" customFormat="1" ht="20.25" hidden="1" customHeight="1">
      <c r="A384" s="356" t="s">
        <v>514</v>
      </c>
      <c r="B384" s="357" t="s">
        <v>2143</v>
      </c>
      <c r="C384" s="358">
        <f>SF!I28</f>
        <v>0</v>
      </c>
      <c r="D384" s="354" t="s">
        <v>5</v>
      </c>
      <c r="E384" s="355">
        <f>SF!K28</f>
        <v>11565.1</v>
      </c>
      <c r="F384" s="353">
        <f>ROUND(C384*E384,0)</f>
        <v>0</v>
      </c>
      <c r="G384" s="368"/>
      <c r="H384" s="368"/>
      <c r="I384" s="368">
        <f>C384-G384</f>
        <v>0</v>
      </c>
      <c r="J384" s="368">
        <f>F384-H384</f>
        <v>0</v>
      </c>
      <c r="K384" s="360" t="s">
        <v>2312</v>
      </c>
    </row>
    <row r="385" spans="1:11" s="360" customFormat="1" ht="20.25" hidden="1" customHeight="1">
      <c r="A385" s="356" t="s">
        <v>514</v>
      </c>
      <c r="B385" s="357" t="s">
        <v>2143</v>
      </c>
      <c r="C385" s="358">
        <f>SF!I33</f>
        <v>0</v>
      </c>
      <c r="D385" s="354" t="s">
        <v>5</v>
      </c>
      <c r="E385" s="355">
        <f>SF!K33</f>
        <v>12013.61</v>
      </c>
      <c r="F385" s="353">
        <f>ROUND(C385*E385,0)</f>
        <v>0</v>
      </c>
      <c r="G385" s="368"/>
      <c r="H385" s="368"/>
      <c r="I385" s="368">
        <f>C385-G385</f>
        <v>0</v>
      </c>
      <c r="J385" s="368">
        <f>F385-H385</f>
        <v>0</v>
      </c>
      <c r="K385" s="360" t="s">
        <v>2313</v>
      </c>
    </row>
    <row r="386" spans="1:11" s="360" customFormat="1" ht="20.25" hidden="1" customHeight="1">
      <c r="A386" s="356" t="s">
        <v>504</v>
      </c>
      <c r="B386" s="357" t="s">
        <v>2102</v>
      </c>
      <c r="C386" s="358">
        <f>SF!I39</f>
        <v>0</v>
      </c>
      <c r="D386" s="354" t="s">
        <v>5</v>
      </c>
      <c r="E386" s="355">
        <f>SF!K39</f>
        <v>10021.1</v>
      </c>
      <c r="F386" s="353">
        <f t="shared" si="16"/>
        <v>0</v>
      </c>
      <c r="G386" s="368"/>
      <c r="H386" s="368"/>
      <c r="I386" s="368">
        <f t="shared" si="17"/>
        <v>0</v>
      </c>
      <c r="J386" s="368">
        <f t="shared" si="18"/>
        <v>0</v>
      </c>
      <c r="K386" s="360" t="s">
        <v>2217</v>
      </c>
    </row>
    <row r="387" spans="1:11" s="360" customFormat="1" ht="20.25" hidden="1" customHeight="1">
      <c r="A387" s="356" t="s">
        <v>515</v>
      </c>
      <c r="B387" s="357" t="s">
        <v>2102</v>
      </c>
      <c r="C387" s="358">
        <f>SF!I45</f>
        <v>0</v>
      </c>
      <c r="D387" s="354" t="s">
        <v>5</v>
      </c>
      <c r="E387" s="355">
        <f>SF!K45</f>
        <v>10257.99</v>
      </c>
      <c r="F387" s="353">
        <f>ROUND(C387*E387,0)</f>
        <v>0</v>
      </c>
      <c r="G387" s="368"/>
      <c r="H387" s="368"/>
      <c r="I387" s="368">
        <f>C387-G387</f>
        <v>0</v>
      </c>
      <c r="J387" s="368">
        <f>F387-H387</f>
        <v>0</v>
      </c>
      <c r="K387" s="360" t="s">
        <v>2299</v>
      </c>
    </row>
    <row r="388" spans="1:11" s="360" customFormat="1" ht="20.25" hidden="1" customHeight="1">
      <c r="A388" s="356" t="s">
        <v>515</v>
      </c>
      <c r="B388" s="357" t="s">
        <v>2102</v>
      </c>
      <c r="C388" s="358">
        <f>SF!I51</f>
        <v>0</v>
      </c>
      <c r="D388" s="354" t="s">
        <v>5</v>
      </c>
      <c r="E388" s="355">
        <f>SF!K51</f>
        <v>10793.54</v>
      </c>
      <c r="F388" s="353">
        <f>ROUND(C388*E388,0)</f>
        <v>0</v>
      </c>
      <c r="G388" s="368"/>
      <c r="H388" s="368"/>
      <c r="I388" s="368">
        <f>C388-G388</f>
        <v>0</v>
      </c>
      <c r="J388" s="368">
        <f>F388-H388</f>
        <v>0</v>
      </c>
      <c r="K388" s="360" t="s">
        <v>2312</v>
      </c>
    </row>
    <row r="389" spans="1:11" s="360" customFormat="1" ht="20.25" hidden="1" customHeight="1">
      <c r="A389" s="356" t="s">
        <v>515</v>
      </c>
      <c r="B389" s="357" t="s">
        <v>2102</v>
      </c>
      <c r="C389" s="358">
        <f>SF!I57</f>
        <v>0</v>
      </c>
      <c r="D389" s="354" t="s">
        <v>5</v>
      </c>
      <c r="E389" s="355">
        <f>SF!K57</f>
        <v>11098.560000000001</v>
      </c>
      <c r="F389" s="353">
        <f>ROUND(C389*E389,0)</f>
        <v>0</v>
      </c>
      <c r="G389" s="368"/>
      <c r="H389" s="368"/>
      <c r="I389" s="368">
        <f>C389-G389</f>
        <v>0</v>
      </c>
      <c r="J389" s="368">
        <f>F389-H389</f>
        <v>0</v>
      </c>
      <c r="K389" s="360" t="s">
        <v>2313</v>
      </c>
    </row>
    <row r="390" spans="1:11" s="360" customFormat="1" ht="20.25" hidden="1" customHeight="1">
      <c r="A390" s="356" t="s">
        <v>517</v>
      </c>
      <c r="B390" s="357" t="s">
        <v>2014</v>
      </c>
      <c r="C390" s="358">
        <f>SF!I86</f>
        <v>0</v>
      </c>
      <c r="D390" s="354" t="s">
        <v>102</v>
      </c>
      <c r="E390" s="355">
        <f>SF!K86</f>
        <v>1395.34</v>
      </c>
      <c r="F390" s="353">
        <f t="shared" si="16"/>
        <v>0</v>
      </c>
      <c r="G390" s="368"/>
      <c r="H390" s="368"/>
      <c r="I390" s="368">
        <f t="shared" si="17"/>
        <v>0</v>
      </c>
      <c r="J390" s="368">
        <f t="shared" si="18"/>
        <v>0</v>
      </c>
      <c r="K390" s="360" t="s">
        <v>2217</v>
      </c>
    </row>
    <row r="391" spans="1:11" s="360" customFormat="1" ht="20.25" hidden="1" customHeight="1">
      <c r="A391" s="356" t="s">
        <v>516</v>
      </c>
      <c r="B391" s="357" t="s">
        <v>2014</v>
      </c>
      <c r="C391" s="358">
        <f>SF!I91</f>
        <v>0</v>
      </c>
      <c r="D391" s="354" t="s">
        <v>102</v>
      </c>
      <c r="E391" s="355">
        <f>SF!K91</f>
        <v>1443.96</v>
      </c>
      <c r="F391" s="353">
        <f>ROUND(C391*E391,0)</f>
        <v>0</v>
      </c>
      <c r="G391" s="368"/>
      <c r="H391" s="368"/>
      <c r="I391" s="368">
        <f>C391-G391</f>
        <v>0</v>
      </c>
      <c r="J391" s="368">
        <f>F391-H391</f>
        <v>0</v>
      </c>
      <c r="K391" s="360" t="s">
        <v>2299</v>
      </c>
    </row>
    <row r="392" spans="1:11" s="360" customFormat="1" ht="20.25" hidden="1" customHeight="1">
      <c r="A392" s="356" t="s">
        <v>516</v>
      </c>
      <c r="B392" s="357" t="s">
        <v>2014</v>
      </c>
      <c r="C392" s="358">
        <f>SF!I96</f>
        <v>0</v>
      </c>
      <c r="D392" s="354" t="s">
        <v>102</v>
      </c>
      <c r="E392" s="355">
        <f>SF!K96</f>
        <v>1539.2800000000002</v>
      </c>
      <c r="F392" s="353">
        <f>ROUND(C392*E392,0)</f>
        <v>0</v>
      </c>
      <c r="G392" s="368"/>
      <c r="H392" s="368"/>
      <c r="I392" s="368">
        <f>C392-G392</f>
        <v>0</v>
      </c>
      <c r="J392" s="368">
        <f>F392-H392</f>
        <v>0</v>
      </c>
      <c r="K392" s="360" t="s">
        <v>2312</v>
      </c>
    </row>
    <row r="393" spans="1:11" s="360" customFormat="1" ht="20.25" hidden="1" customHeight="1">
      <c r="A393" s="356" t="s">
        <v>516</v>
      </c>
      <c r="B393" s="357" t="s">
        <v>2014</v>
      </c>
      <c r="C393" s="358">
        <f>SF!I101</f>
        <v>0</v>
      </c>
      <c r="D393" s="354" t="s">
        <v>102</v>
      </c>
      <c r="E393" s="355">
        <f>SF!K101</f>
        <v>1594.17</v>
      </c>
      <c r="F393" s="353">
        <f>ROUND(C393*E393,0)</f>
        <v>0</v>
      </c>
      <c r="G393" s="368"/>
      <c r="H393" s="368"/>
      <c r="I393" s="368">
        <f>C393-G393</f>
        <v>0</v>
      </c>
      <c r="J393" s="368">
        <f>F393-H393</f>
        <v>0</v>
      </c>
      <c r="K393" s="360" t="s">
        <v>2313</v>
      </c>
    </row>
    <row r="394" spans="1:11" s="360" customFormat="1" ht="20.25" hidden="1" customHeight="1">
      <c r="A394" s="356" t="s">
        <v>506</v>
      </c>
      <c r="B394" s="357" t="s">
        <v>2231</v>
      </c>
      <c r="C394" s="358">
        <f>SF!I106</f>
        <v>0</v>
      </c>
      <c r="D394" s="354" t="s">
        <v>102</v>
      </c>
      <c r="E394" s="355">
        <f>SF!K106</f>
        <v>1271.18</v>
      </c>
      <c r="F394" s="353">
        <f t="shared" si="16"/>
        <v>0</v>
      </c>
      <c r="G394" s="368"/>
      <c r="H394" s="368"/>
      <c r="I394" s="368">
        <f t="shared" si="17"/>
        <v>0</v>
      </c>
      <c r="J394" s="368">
        <f t="shared" si="18"/>
        <v>0</v>
      </c>
      <c r="K394" s="360" t="s">
        <v>2217</v>
      </c>
    </row>
    <row r="395" spans="1:11" s="360" customFormat="1" ht="20.25" hidden="1" customHeight="1">
      <c r="A395" s="356" t="s">
        <v>487</v>
      </c>
      <c r="B395" s="357" t="s">
        <v>2231</v>
      </c>
      <c r="C395" s="358">
        <f>SF!I111</f>
        <v>0</v>
      </c>
      <c r="D395" s="354" t="s">
        <v>102</v>
      </c>
      <c r="E395" s="355">
        <f>SF!K111</f>
        <v>1314.42</v>
      </c>
      <c r="F395" s="353">
        <f>ROUND(C395*E395,0)</f>
        <v>0</v>
      </c>
      <c r="G395" s="368"/>
      <c r="H395" s="368"/>
      <c r="I395" s="368">
        <f>C395-G395</f>
        <v>0</v>
      </c>
      <c r="J395" s="368">
        <f>F395-H395</f>
        <v>0</v>
      </c>
      <c r="K395" s="360" t="s">
        <v>2299</v>
      </c>
    </row>
    <row r="396" spans="1:11" s="360" customFormat="1" ht="20.25" hidden="1" customHeight="1">
      <c r="A396" s="356" t="s">
        <v>487</v>
      </c>
      <c r="B396" s="357" t="s">
        <v>2231</v>
      </c>
      <c r="C396" s="358">
        <f>SF!I116</f>
        <v>0</v>
      </c>
      <c r="D396" s="354" t="s">
        <v>102</v>
      </c>
      <c r="E396" s="355">
        <f>SF!K116</f>
        <v>1403.54</v>
      </c>
      <c r="F396" s="353">
        <f>ROUND(C396*E396,0)</f>
        <v>0</v>
      </c>
      <c r="G396" s="368"/>
      <c r="H396" s="368"/>
      <c r="I396" s="368">
        <f>C396-G396</f>
        <v>0</v>
      </c>
      <c r="J396" s="368">
        <f>F396-H396</f>
        <v>0</v>
      </c>
      <c r="K396" s="360" t="s">
        <v>2312</v>
      </c>
    </row>
    <row r="397" spans="1:11" s="360" customFormat="1" ht="20.25" hidden="1" customHeight="1">
      <c r="A397" s="356" t="s">
        <v>487</v>
      </c>
      <c r="B397" s="357" t="s">
        <v>2231</v>
      </c>
      <c r="C397" s="358">
        <f>SF!I121</f>
        <v>0</v>
      </c>
      <c r="D397" s="354" t="s">
        <v>102</v>
      </c>
      <c r="E397" s="355">
        <f>SF!K121</f>
        <v>1451.29</v>
      </c>
      <c r="F397" s="353">
        <f>ROUND(C397*E397,0)</f>
        <v>0</v>
      </c>
      <c r="G397" s="368"/>
      <c r="H397" s="368"/>
      <c r="I397" s="368">
        <f>C397-G397</f>
        <v>0</v>
      </c>
      <c r="J397" s="368">
        <f>F397-H397</f>
        <v>0</v>
      </c>
      <c r="K397" s="360" t="s">
        <v>2313</v>
      </c>
    </row>
    <row r="398" spans="1:11" s="360" customFormat="1" ht="20.25" hidden="1" customHeight="1">
      <c r="A398" s="356" t="s">
        <v>516</v>
      </c>
      <c r="B398" s="357" t="s">
        <v>2104</v>
      </c>
      <c r="C398" s="358">
        <f>SF!I63</f>
        <v>0</v>
      </c>
      <c r="D398" s="221" t="s">
        <v>102</v>
      </c>
      <c r="E398" s="355">
        <f>SF!K63</f>
        <v>1519.49</v>
      </c>
      <c r="F398" s="353">
        <f t="shared" si="16"/>
        <v>0</v>
      </c>
      <c r="G398" s="368"/>
      <c r="H398" s="368"/>
      <c r="I398" s="368">
        <f t="shared" si="17"/>
        <v>0</v>
      </c>
      <c r="J398" s="368">
        <f t="shared" si="18"/>
        <v>0</v>
      </c>
      <c r="K398" s="360" t="s">
        <v>2217</v>
      </c>
    </row>
    <row r="399" spans="1:11" s="360" customFormat="1" ht="20.25" hidden="1" customHeight="1">
      <c r="A399" s="356" t="s">
        <v>516</v>
      </c>
      <c r="B399" s="357" t="s">
        <v>2104</v>
      </c>
      <c r="C399" s="358">
        <f>SF!I69</f>
        <v>0</v>
      </c>
      <c r="D399" s="221" t="s">
        <v>102</v>
      </c>
      <c r="E399" s="355">
        <f>SF!K69</f>
        <v>1573.5</v>
      </c>
      <c r="F399" s="353">
        <f>ROUND(C399*E399,0)</f>
        <v>0</v>
      </c>
      <c r="G399" s="368"/>
      <c r="H399" s="368"/>
      <c r="I399" s="368">
        <f>C399-G399</f>
        <v>0</v>
      </c>
      <c r="J399" s="368">
        <f>F399-H399</f>
        <v>0</v>
      </c>
      <c r="K399" s="360" t="s">
        <v>2299</v>
      </c>
    </row>
    <row r="400" spans="1:11" s="360" customFormat="1" ht="20.25" hidden="1" customHeight="1">
      <c r="A400" s="356" t="s">
        <v>516</v>
      </c>
      <c r="B400" s="357" t="s">
        <v>2104</v>
      </c>
      <c r="C400" s="358">
        <f>SF!I75</f>
        <v>0</v>
      </c>
      <c r="D400" s="221" t="s">
        <v>102</v>
      </c>
      <c r="E400" s="355">
        <f>SF!K75</f>
        <v>1675.0100000000002</v>
      </c>
      <c r="F400" s="353">
        <f>ROUND(C400*E400,0)</f>
        <v>0</v>
      </c>
      <c r="G400" s="368"/>
      <c r="H400" s="368"/>
      <c r="I400" s="368">
        <f>C400-G400</f>
        <v>0</v>
      </c>
      <c r="J400" s="368">
        <f>F400-H400</f>
        <v>0</v>
      </c>
      <c r="K400" s="360" t="s">
        <v>2312</v>
      </c>
    </row>
    <row r="401" spans="1:11" s="360" customFormat="1" ht="20.25" hidden="1" customHeight="1">
      <c r="A401" s="356" t="s">
        <v>516</v>
      </c>
      <c r="B401" s="357" t="s">
        <v>2104</v>
      </c>
      <c r="C401" s="358">
        <f>SF!I81</f>
        <v>0</v>
      </c>
      <c r="D401" s="221" t="s">
        <v>102</v>
      </c>
      <c r="E401" s="355">
        <f>SF!K81</f>
        <v>1737.05</v>
      </c>
      <c r="F401" s="353">
        <f>ROUND(C401*E401,0)</f>
        <v>0</v>
      </c>
      <c r="G401" s="368"/>
      <c r="H401" s="368"/>
      <c r="I401" s="368">
        <f>C401-G401</f>
        <v>0</v>
      </c>
      <c r="J401" s="368">
        <f>F401-H401</f>
        <v>0</v>
      </c>
      <c r="K401" s="360" t="s">
        <v>2313</v>
      </c>
    </row>
    <row r="402" spans="1:11" s="360" customFormat="1" ht="20.25" hidden="1" customHeight="1">
      <c r="A402" s="356" t="s">
        <v>517</v>
      </c>
      <c r="B402" s="357" t="s">
        <v>2232</v>
      </c>
      <c r="C402" s="358">
        <f>SF!I127</f>
        <v>0</v>
      </c>
      <c r="D402" s="221" t="s">
        <v>102</v>
      </c>
      <c r="E402" s="355">
        <f>SF!K127</f>
        <v>747.27</v>
      </c>
      <c r="F402" s="353">
        <f t="shared" si="16"/>
        <v>0</v>
      </c>
      <c r="G402" s="368"/>
      <c r="H402" s="368"/>
      <c r="I402" s="368">
        <f t="shared" si="17"/>
        <v>0</v>
      </c>
      <c r="J402" s="368">
        <f t="shared" si="18"/>
        <v>0</v>
      </c>
      <c r="K402" s="360" t="s">
        <v>2217</v>
      </c>
    </row>
    <row r="403" spans="1:11" s="360" customFormat="1" ht="20.25" hidden="1" customHeight="1">
      <c r="A403" s="356" t="s">
        <v>517</v>
      </c>
      <c r="B403" s="357" t="s">
        <v>2232</v>
      </c>
      <c r="C403" s="358">
        <f>SF!I133</f>
        <v>0</v>
      </c>
      <c r="D403" s="221" t="s">
        <v>102</v>
      </c>
      <c r="E403" s="355">
        <f>SF!K133</f>
        <v>779.57</v>
      </c>
      <c r="F403" s="353">
        <f>ROUND(C403*E403,0)</f>
        <v>0</v>
      </c>
      <c r="G403" s="368"/>
      <c r="H403" s="368"/>
      <c r="I403" s="368">
        <f>C403-G403</f>
        <v>0</v>
      </c>
      <c r="J403" s="368">
        <f>F403-H403</f>
        <v>0</v>
      </c>
      <c r="K403" s="360" t="s">
        <v>2299</v>
      </c>
    </row>
    <row r="404" spans="1:11" s="360" customFormat="1" ht="20.25" hidden="1" customHeight="1">
      <c r="A404" s="356" t="s">
        <v>517</v>
      </c>
      <c r="B404" s="357" t="s">
        <v>2232</v>
      </c>
      <c r="C404" s="358">
        <f>SF!I139</f>
        <v>0</v>
      </c>
      <c r="D404" s="221" t="s">
        <v>102</v>
      </c>
      <c r="E404" s="355">
        <f>SF!K139</f>
        <v>831.97</v>
      </c>
      <c r="F404" s="353">
        <f>ROUND(C404*E404,0)</f>
        <v>0</v>
      </c>
      <c r="G404" s="368"/>
      <c r="H404" s="368"/>
      <c r="I404" s="368">
        <f>C404-G404</f>
        <v>0</v>
      </c>
      <c r="J404" s="368">
        <f>F404-H404</f>
        <v>0</v>
      </c>
      <c r="K404" s="360" t="s">
        <v>2312</v>
      </c>
    </row>
    <row r="405" spans="1:11" s="360" customFormat="1" ht="20.25" hidden="1" customHeight="1">
      <c r="A405" s="356" t="s">
        <v>517</v>
      </c>
      <c r="B405" s="357" t="s">
        <v>2232</v>
      </c>
      <c r="C405" s="358">
        <f>SF!I145</f>
        <v>0</v>
      </c>
      <c r="D405" s="221" t="s">
        <v>102</v>
      </c>
      <c r="E405" s="355">
        <f>SF!K145</f>
        <v>865.17</v>
      </c>
      <c r="F405" s="353">
        <f>ROUND(C405*E405,0)</f>
        <v>0</v>
      </c>
      <c r="G405" s="368"/>
      <c r="H405" s="368"/>
      <c r="I405" s="368">
        <f>C405-G405</f>
        <v>0</v>
      </c>
      <c r="J405" s="368">
        <f>F405-H405</f>
        <v>0</v>
      </c>
      <c r="K405" s="360" t="s">
        <v>2313</v>
      </c>
    </row>
    <row r="406" spans="1:11" s="360" customFormat="1" ht="20.25" hidden="1" customHeight="1">
      <c r="A406" s="356" t="s">
        <v>517</v>
      </c>
      <c r="B406" s="357" t="s">
        <v>2233</v>
      </c>
      <c r="C406" s="358">
        <f>SF!I151</f>
        <v>0</v>
      </c>
      <c r="D406" s="221" t="s">
        <v>102</v>
      </c>
      <c r="E406" s="355">
        <f>SF!K151</f>
        <v>624.5</v>
      </c>
      <c r="F406" s="353">
        <f t="shared" si="16"/>
        <v>0</v>
      </c>
      <c r="G406" s="368"/>
      <c r="H406" s="368"/>
      <c r="I406" s="368">
        <f t="shared" si="17"/>
        <v>0</v>
      </c>
      <c r="J406" s="368">
        <f t="shared" si="18"/>
        <v>0</v>
      </c>
      <c r="K406" s="360" t="s">
        <v>2217</v>
      </c>
    </row>
    <row r="407" spans="1:11" s="360" customFormat="1" ht="20.25" hidden="1" customHeight="1">
      <c r="A407" s="356" t="s">
        <v>517</v>
      </c>
      <c r="B407" s="357" t="s">
        <v>2233</v>
      </c>
      <c r="C407" s="358">
        <f>SF!I157</f>
        <v>0</v>
      </c>
      <c r="D407" s="221" t="s">
        <v>102</v>
      </c>
      <c r="E407" s="355">
        <f>SF!K157</f>
        <v>651.52</v>
      </c>
      <c r="F407" s="353">
        <f>ROUND(C407*E407,0)</f>
        <v>0</v>
      </c>
      <c r="G407" s="368"/>
      <c r="H407" s="368"/>
      <c r="I407" s="368">
        <f>C407-G407</f>
        <v>0</v>
      </c>
      <c r="J407" s="368">
        <f>F407-H407</f>
        <v>0</v>
      </c>
      <c r="K407" s="360" t="s">
        <v>2299</v>
      </c>
    </row>
    <row r="408" spans="1:11" s="360" customFormat="1" ht="20.25" hidden="1" customHeight="1">
      <c r="A408" s="356" t="s">
        <v>517</v>
      </c>
      <c r="B408" s="357" t="s">
        <v>2233</v>
      </c>
      <c r="C408" s="358">
        <f>SF!I163</f>
        <v>0</v>
      </c>
      <c r="D408" s="221" t="s">
        <v>102</v>
      </c>
      <c r="E408" s="355">
        <f>SF!K163</f>
        <v>697.83999999999992</v>
      </c>
      <c r="F408" s="353">
        <f>ROUND(C408*E408,0)</f>
        <v>0</v>
      </c>
      <c r="G408" s="368"/>
      <c r="H408" s="368"/>
      <c r="I408" s="368">
        <f>C408-G408</f>
        <v>0</v>
      </c>
      <c r="J408" s="368">
        <f>F408-H408</f>
        <v>0</v>
      </c>
      <c r="K408" s="360" t="s">
        <v>2312</v>
      </c>
    </row>
    <row r="409" spans="1:11" s="360" customFormat="1" ht="20.25" hidden="1" customHeight="1">
      <c r="A409" s="356" t="s">
        <v>517</v>
      </c>
      <c r="B409" s="357" t="s">
        <v>2233</v>
      </c>
      <c r="C409" s="358">
        <f>SF!I169</f>
        <v>0</v>
      </c>
      <c r="D409" s="221" t="s">
        <v>102</v>
      </c>
      <c r="E409" s="355">
        <f>SF!K169</f>
        <v>724.02</v>
      </c>
      <c r="F409" s="353">
        <f>ROUND(C409*E409,0)</f>
        <v>0</v>
      </c>
      <c r="G409" s="368"/>
      <c r="H409" s="368"/>
      <c r="I409" s="368">
        <f>C409-G409</f>
        <v>0</v>
      </c>
      <c r="J409" s="368">
        <f>F409-H409</f>
        <v>0</v>
      </c>
      <c r="K409" s="360" t="s">
        <v>2313</v>
      </c>
    </row>
    <row r="410" spans="1:11" s="360" customFormat="1" ht="20.25" hidden="1" customHeight="1">
      <c r="A410" s="356" t="s">
        <v>513</v>
      </c>
      <c r="B410" s="357" t="s">
        <v>2165</v>
      </c>
      <c r="C410" s="358">
        <f>SF!I176</f>
        <v>0</v>
      </c>
      <c r="D410" s="354" t="s">
        <v>5</v>
      </c>
      <c r="E410" s="355">
        <f>SF!K176</f>
        <v>10426.34</v>
      </c>
      <c r="F410" s="353">
        <f t="shared" si="16"/>
        <v>0</v>
      </c>
      <c r="G410" s="368"/>
      <c r="H410" s="368"/>
      <c r="I410" s="368">
        <f t="shared" si="17"/>
        <v>0</v>
      </c>
      <c r="J410" s="368">
        <f t="shared" si="18"/>
        <v>0</v>
      </c>
      <c r="K410" s="360" t="s">
        <v>2217</v>
      </c>
    </row>
    <row r="411" spans="1:11" s="360" customFormat="1" ht="20.25" hidden="1" customHeight="1">
      <c r="A411" s="356" t="s">
        <v>513</v>
      </c>
      <c r="B411" s="357" t="s">
        <v>2165</v>
      </c>
      <c r="C411" s="358">
        <f>SF!I183</f>
        <v>0</v>
      </c>
      <c r="D411" s="354" t="s">
        <v>5</v>
      </c>
      <c r="E411" s="355">
        <f>SF!K183</f>
        <v>10817</v>
      </c>
      <c r="F411" s="353">
        <f>ROUND(C411*E411,0)</f>
        <v>0</v>
      </c>
      <c r="G411" s="368"/>
      <c r="H411" s="368"/>
      <c r="I411" s="368">
        <f>C411-G411</f>
        <v>0</v>
      </c>
      <c r="J411" s="368">
        <f>F411-H411</f>
        <v>0</v>
      </c>
      <c r="K411" s="360" t="s">
        <v>2299</v>
      </c>
    </row>
    <row r="412" spans="1:11" s="360" customFormat="1" ht="20.25" hidden="1" customHeight="1">
      <c r="A412" s="356" t="s">
        <v>513</v>
      </c>
      <c r="B412" s="357" t="s">
        <v>2165</v>
      </c>
      <c r="C412" s="358">
        <f>SF!I190</f>
        <v>0</v>
      </c>
      <c r="D412" s="354" t="s">
        <v>5</v>
      </c>
      <c r="E412" s="355">
        <f>SF!K190</f>
        <v>11426.3</v>
      </c>
      <c r="F412" s="353">
        <f>ROUND(C412*E412,0)</f>
        <v>0</v>
      </c>
      <c r="G412" s="368"/>
      <c r="H412" s="368"/>
      <c r="I412" s="368">
        <f>C412-G412</f>
        <v>0</v>
      </c>
      <c r="J412" s="368">
        <f>F412-H412</f>
        <v>0</v>
      </c>
      <c r="K412" s="360" t="s">
        <v>2312</v>
      </c>
    </row>
    <row r="413" spans="1:11" s="360" customFormat="1" ht="20.25" hidden="1" customHeight="1">
      <c r="A413" s="356" t="s">
        <v>513</v>
      </c>
      <c r="B413" s="357" t="s">
        <v>2165</v>
      </c>
      <c r="C413" s="358">
        <f>SF!I197</f>
        <v>0</v>
      </c>
      <c r="D413" s="354" t="s">
        <v>5</v>
      </c>
      <c r="E413" s="355">
        <f>SF!K197</f>
        <v>11874.810000000001</v>
      </c>
      <c r="F413" s="353">
        <f>ROUND(C413*E413,0)</f>
        <v>0</v>
      </c>
      <c r="G413" s="368"/>
      <c r="H413" s="368"/>
      <c r="I413" s="368">
        <f>C413-G413</f>
        <v>0</v>
      </c>
      <c r="J413" s="368">
        <f>F413-H413</f>
        <v>0</v>
      </c>
      <c r="K413" s="360" t="s">
        <v>2313</v>
      </c>
    </row>
    <row r="414" spans="1:11" s="360" customFormat="1" ht="20.25" hidden="1" customHeight="1">
      <c r="A414" s="356" t="s">
        <v>519</v>
      </c>
      <c r="B414" s="357" t="s">
        <v>2234</v>
      </c>
      <c r="C414" s="358">
        <f>SF!I202</f>
        <v>0</v>
      </c>
      <c r="D414" s="221" t="s">
        <v>277</v>
      </c>
      <c r="E414" s="355">
        <f>SF!K202</f>
        <v>663.65999999999985</v>
      </c>
      <c r="F414" s="353">
        <f t="shared" si="16"/>
        <v>0</v>
      </c>
      <c r="G414" s="368"/>
      <c r="H414" s="368"/>
      <c r="I414" s="368">
        <f t="shared" si="17"/>
        <v>0</v>
      </c>
      <c r="J414" s="368">
        <f t="shared" si="18"/>
        <v>0</v>
      </c>
      <c r="K414" s="360" t="s">
        <v>2217</v>
      </c>
    </row>
    <row r="415" spans="1:11" s="360" customFormat="1" ht="20.25" hidden="1" customHeight="1">
      <c r="A415" s="356" t="s">
        <v>519</v>
      </c>
      <c r="B415" s="357" t="s">
        <v>2234</v>
      </c>
      <c r="C415" s="358">
        <f>SF!I207</f>
        <v>0</v>
      </c>
      <c r="D415" s="221" t="s">
        <v>277</v>
      </c>
      <c r="E415" s="355">
        <f>SF!K207</f>
        <v>684.77</v>
      </c>
      <c r="F415" s="353">
        <f>ROUND(C415*E415,0)</f>
        <v>0</v>
      </c>
      <c r="G415" s="368"/>
      <c r="H415" s="368"/>
      <c r="I415" s="368">
        <f>C415-G415</f>
        <v>0</v>
      </c>
      <c r="J415" s="368">
        <f>F415-H415</f>
        <v>0</v>
      </c>
      <c r="K415" s="360" t="s">
        <v>2299</v>
      </c>
    </row>
    <row r="416" spans="1:11" s="360" customFormat="1" ht="20.25" hidden="1" customHeight="1">
      <c r="A416" s="356" t="s">
        <v>519</v>
      </c>
      <c r="B416" s="357" t="s">
        <v>2234</v>
      </c>
      <c r="C416" s="358">
        <f>SF!I212</f>
        <v>0</v>
      </c>
      <c r="D416" s="221" t="s">
        <v>277</v>
      </c>
      <c r="E416" s="355">
        <f>SF!K212</f>
        <v>722.50999999999988</v>
      </c>
      <c r="F416" s="353">
        <f>ROUND(C416*E416,0)</f>
        <v>0</v>
      </c>
      <c r="G416" s="368"/>
      <c r="H416" s="368"/>
      <c r="I416" s="368">
        <f>C416-G416</f>
        <v>0</v>
      </c>
      <c r="J416" s="368">
        <f>F416-H416</f>
        <v>0</v>
      </c>
      <c r="K416" s="360" t="s">
        <v>2312</v>
      </c>
    </row>
    <row r="417" spans="1:11" s="360" customFormat="1" ht="20.25" hidden="1" customHeight="1">
      <c r="A417" s="356" t="s">
        <v>519</v>
      </c>
      <c r="B417" s="357" t="s">
        <v>2234</v>
      </c>
      <c r="C417" s="358">
        <f>SF!I217</f>
        <v>0</v>
      </c>
      <c r="D417" s="221" t="s">
        <v>277</v>
      </c>
      <c r="E417" s="355">
        <f>SF!K217</f>
        <v>744.7299999999999</v>
      </c>
      <c r="F417" s="353">
        <f>ROUND(C417*E417,0)</f>
        <v>0</v>
      </c>
      <c r="G417" s="368"/>
      <c r="H417" s="368"/>
      <c r="I417" s="368">
        <f>C417-G417</f>
        <v>0</v>
      </c>
      <c r="J417" s="368">
        <f>F417-H417</f>
        <v>0</v>
      </c>
      <c r="K417" s="360" t="s">
        <v>2313</v>
      </c>
    </row>
    <row r="418" spans="1:11" s="360" customFormat="1" ht="20.25" hidden="1" customHeight="1">
      <c r="A418" s="356" t="s">
        <v>515</v>
      </c>
      <c r="B418" s="357" t="s">
        <v>2221</v>
      </c>
      <c r="C418" s="358">
        <f>SF!I222</f>
        <v>0</v>
      </c>
      <c r="D418" s="221" t="s">
        <v>102</v>
      </c>
      <c r="E418" s="355">
        <f>SF!K222</f>
        <v>297.64999999999998</v>
      </c>
      <c r="F418" s="353">
        <f t="shared" si="16"/>
        <v>0</v>
      </c>
      <c r="G418" s="368"/>
      <c r="H418" s="368"/>
      <c r="I418" s="368">
        <f t="shared" si="17"/>
        <v>0</v>
      </c>
      <c r="J418" s="368">
        <f t="shared" si="18"/>
        <v>0</v>
      </c>
      <c r="K418" s="360" t="s">
        <v>2217</v>
      </c>
    </row>
    <row r="419" spans="1:11" s="360" customFormat="1" ht="20.25" hidden="1" customHeight="1">
      <c r="A419" s="356" t="s">
        <v>515</v>
      </c>
      <c r="B419" s="357" t="s">
        <v>2221</v>
      </c>
      <c r="C419" s="358">
        <f>SF!I227</f>
        <v>0</v>
      </c>
      <c r="D419" s="221" t="s">
        <v>102</v>
      </c>
      <c r="E419" s="355">
        <f>SF!K227</f>
        <v>321.24</v>
      </c>
      <c r="F419" s="353">
        <f>ROUND(C419*E419,0)</f>
        <v>0</v>
      </c>
      <c r="G419" s="368"/>
      <c r="H419" s="368"/>
      <c r="I419" s="368">
        <f>C419-G419</f>
        <v>0</v>
      </c>
      <c r="J419" s="368">
        <f>F419-H419</f>
        <v>0</v>
      </c>
      <c r="K419" s="360" t="s">
        <v>2299</v>
      </c>
    </row>
    <row r="420" spans="1:11" s="360" customFormat="1" ht="20.25" hidden="1" customHeight="1">
      <c r="A420" s="356" t="s">
        <v>515</v>
      </c>
      <c r="B420" s="357" t="s">
        <v>2221</v>
      </c>
      <c r="C420" s="358">
        <f>SF!I232</f>
        <v>0</v>
      </c>
      <c r="D420" s="221" t="s">
        <v>102</v>
      </c>
      <c r="E420" s="355">
        <f>SF!K232</f>
        <v>340.95</v>
      </c>
      <c r="F420" s="353">
        <f>ROUND(C420*E420,0)</f>
        <v>0</v>
      </c>
      <c r="G420" s="368"/>
      <c r="H420" s="368"/>
      <c r="I420" s="368">
        <f>C420-G420</f>
        <v>0</v>
      </c>
      <c r="J420" s="368">
        <f>F420-H420</f>
        <v>0</v>
      </c>
      <c r="K420" s="360" t="s">
        <v>2312</v>
      </c>
    </row>
    <row r="421" spans="1:11" s="360" customFormat="1" ht="20.25" hidden="1" customHeight="1">
      <c r="A421" s="356" t="s">
        <v>515</v>
      </c>
      <c r="B421" s="357" t="s">
        <v>2221</v>
      </c>
      <c r="C421" s="358">
        <f>SF!I237</f>
        <v>0</v>
      </c>
      <c r="D421" s="221" t="s">
        <v>102</v>
      </c>
      <c r="E421" s="355">
        <f>SF!K237</f>
        <v>362.63</v>
      </c>
      <c r="F421" s="353">
        <f>ROUND(C421*E421,0)</f>
        <v>0</v>
      </c>
      <c r="G421" s="368"/>
      <c r="H421" s="368"/>
      <c r="I421" s="368">
        <f>C421-G421</f>
        <v>0</v>
      </c>
      <c r="J421" s="368">
        <f>F421-H421</f>
        <v>0</v>
      </c>
      <c r="K421" s="360" t="s">
        <v>2313</v>
      </c>
    </row>
    <row r="422" spans="1:11" s="360" customFormat="1" ht="20.25" hidden="1" customHeight="1">
      <c r="A422" s="356" t="s">
        <v>520</v>
      </c>
      <c r="B422" s="357" t="s">
        <v>2222</v>
      </c>
      <c r="C422" s="358">
        <f>SF!I243</f>
        <v>0</v>
      </c>
      <c r="D422" s="221" t="s">
        <v>102</v>
      </c>
      <c r="E422" s="355">
        <f>SF!K243</f>
        <v>382.24</v>
      </c>
      <c r="F422" s="353">
        <f t="shared" si="16"/>
        <v>0</v>
      </c>
      <c r="G422" s="368"/>
      <c r="H422" s="368"/>
      <c r="I422" s="368">
        <f t="shared" si="17"/>
        <v>0</v>
      </c>
      <c r="J422" s="368">
        <f t="shared" si="18"/>
        <v>0</v>
      </c>
      <c r="K422" s="360" t="s">
        <v>2217</v>
      </c>
    </row>
    <row r="423" spans="1:11" s="360" customFormat="1" ht="20.25" hidden="1" customHeight="1">
      <c r="A423" s="356" t="s">
        <v>520</v>
      </c>
      <c r="B423" s="357" t="s">
        <v>2222</v>
      </c>
      <c r="C423" s="358">
        <f>SF!I249</f>
        <v>0</v>
      </c>
      <c r="D423" s="221" t="s">
        <v>102</v>
      </c>
      <c r="E423" s="355">
        <f>SF!K249</f>
        <v>414.32</v>
      </c>
      <c r="F423" s="353">
        <f>ROUND(C423*E423,0)</f>
        <v>0</v>
      </c>
      <c r="G423" s="368"/>
      <c r="H423" s="368"/>
      <c r="I423" s="368">
        <f>C423-G423</f>
        <v>0</v>
      </c>
      <c r="J423" s="368">
        <f>F423-H423</f>
        <v>0</v>
      </c>
      <c r="K423" s="360" t="s">
        <v>2299</v>
      </c>
    </row>
    <row r="424" spans="1:11" s="360" customFormat="1" ht="20.25" hidden="1" customHeight="1">
      <c r="A424" s="356" t="s">
        <v>520</v>
      </c>
      <c r="B424" s="357" t="s">
        <v>2222</v>
      </c>
      <c r="C424" s="358">
        <f>SF!I255</f>
        <v>0</v>
      </c>
      <c r="D424" s="221" t="s">
        <v>102</v>
      </c>
      <c r="E424" s="355">
        <f>SF!K255</f>
        <v>440.9</v>
      </c>
      <c r="F424" s="353">
        <f>ROUND(C424*E424,0)</f>
        <v>0</v>
      </c>
      <c r="G424" s="368"/>
      <c r="H424" s="368"/>
      <c r="I424" s="368">
        <f>C424-G424</f>
        <v>0</v>
      </c>
      <c r="J424" s="368">
        <f>F424-H424</f>
        <v>0</v>
      </c>
      <c r="K424" s="360" t="s">
        <v>2312</v>
      </c>
    </row>
    <row r="425" spans="1:11" s="360" customFormat="1" ht="20.25" hidden="1" customHeight="1">
      <c r="A425" s="356" t="s">
        <v>520</v>
      </c>
      <c r="B425" s="357" t="s">
        <v>2222</v>
      </c>
      <c r="C425" s="358">
        <f>SF!I261</f>
        <v>0</v>
      </c>
      <c r="D425" s="221" t="s">
        <v>102</v>
      </c>
      <c r="E425" s="355">
        <f>SF!K261</f>
        <v>470.34</v>
      </c>
      <c r="F425" s="353">
        <f>ROUND(C425*E425,0)</f>
        <v>0</v>
      </c>
      <c r="G425" s="368"/>
      <c r="H425" s="368"/>
      <c r="I425" s="368">
        <f>C425-G425</f>
        <v>0</v>
      </c>
      <c r="J425" s="368">
        <f>F425-H425</f>
        <v>0</v>
      </c>
      <c r="K425" s="360" t="s">
        <v>2313</v>
      </c>
    </row>
    <row r="426" spans="1:11" s="360" customFormat="1" ht="20.25" hidden="1" customHeight="1">
      <c r="A426" s="356" t="s">
        <v>508</v>
      </c>
      <c r="B426" s="357" t="s">
        <v>2139</v>
      </c>
      <c r="C426" s="358">
        <f>SF!I298</f>
        <v>0</v>
      </c>
      <c r="D426" s="354" t="s">
        <v>5</v>
      </c>
      <c r="E426" s="355">
        <f>SF!K298</f>
        <v>6307.0100000000011</v>
      </c>
      <c r="F426" s="353">
        <f t="shared" si="16"/>
        <v>0</v>
      </c>
      <c r="G426" s="368"/>
      <c r="H426" s="368"/>
      <c r="I426" s="368">
        <f t="shared" si="17"/>
        <v>0</v>
      </c>
      <c r="J426" s="368">
        <f t="shared" si="18"/>
        <v>0</v>
      </c>
      <c r="K426" s="360" t="s">
        <v>2217</v>
      </c>
    </row>
    <row r="427" spans="1:11" s="360" customFormat="1" ht="20.25" hidden="1" customHeight="1">
      <c r="A427" s="356" t="s">
        <v>517</v>
      </c>
      <c r="B427" s="357" t="s">
        <v>2139</v>
      </c>
      <c r="C427" s="358">
        <f>SF!I307</f>
        <v>0</v>
      </c>
      <c r="D427" s="354" t="s">
        <v>5</v>
      </c>
      <c r="E427" s="355">
        <f>SF!K307</f>
        <v>6491.829999999999</v>
      </c>
      <c r="F427" s="353">
        <f>ROUND(C427*E427,0)</f>
        <v>0</v>
      </c>
      <c r="G427" s="368"/>
      <c r="H427" s="368"/>
      <c r="I427" s="368">
        <f>C427-G427</f>
        <v>0</v>
      </c>
      <c r="J427" s="368">
        <f>F427-H427</f>
        <v>0</v>
      </c>
      <c r="K427" s="360" t="s">
        <v>2299</v>
      </c>
    </row>
    <row r="428" spans="1:11" s="360" customFormat="1" ht="20.25" hidden="1" customHeight="1">
      <c r="A428" s="356" t="s">
        <v>517</v>
      </c>
      <c r="B428" s="357" t="s">
        <v>2139</v>
      </c>
      <c r="C428" s="358">
        <f>SF!I312</f>
        <v>0</v>
      </c>
      <c r="D428" s="354" t="s">
        <v>5</v>
      </c>
      <c r="E428" s="355">
        <f>SF!K312</f>
        <v>6937.8099999999995</v>
      </c>
      <c r="F428" s="353">
        <f>ROUND(C428*E428,0)</f>
        <v>0</v>
      </c>
      <c r="G428" s="368"/>
      <c r="H428" s="368"/>
      <c r="I428" s="368">
        <f>C428-G428</f>
        <v>0</v>
      </c>
      <c r="J428" s="368">
        <f>F428-H428</f>
        <v>0</v>
      </c>
      <c r="K428" s="360" t="s">
        <v>2312</v>
      </c>
    </row>
    <row r="429" spans="1:11" s="360" customFormat="1" ht="20.25" hidden="1" customHeight="1">
      <c r="A429" s="356" t="s">
        <v>517</v>
      </c>
      <c r="B429" s="357" t="s">
        <v>2139</v>
      </c>
      <c r="C429" s="358">
        <f>SF!I320</f>
        <v>0</v>
      </c>
      <c r="D429" s="354" t="s">
        <v>5</v>
      </c>
      <c r="E429" s="355">
        <f>SF!K320</f>
        <v>7673.4</v>
      </c>
      <c r="F429" s="353">
        <f>ROUND(C429*E429,0)</f>
        <v>0</v>
      </c>
      <c r="G429" s="368"/>
      <c r="H429" s="368"/>
      <c r="I429" s="368">
        <f>C429-G429</f>
        <v>0</v>
      </c>
      <c r="J429" s="368">
        <f>F429-H429</f>
        <v>0</v>
      </c>
      <c r="K429" s="360" t="s">
        <v>2313</v>
      </c>
    </row>
    <row r="430" spans="1:11" s="360" customFormat="1" ht="20.25" hidden="1" customHeight="1">
      <c r="A430" s="356" t="s">
        <v>491</v>
      </c>
      <c r="B430" s="357" t="s">
        <v>2105</v>
      </c>
      <c r="C430" s="358">
        <f>SF!I269</f>
        <v>0</v>
      </c>
      <c r="D430" s="354" t="s">
        <v>5</v>
      </c>
      <c r="E430" s="355">
        <f>SF!K269</f>
        <v>6250.6100000000015</v>
      </c>
      <c r="F430" s="353">
        <f t="shared" si="16"/>
        <v>0</v>
      </c>
      <c r="G430" s="368"/>
      <c r="H430" s="368"/>
      <c r="I430" s="368">
        <f t="shared" si="17"/>
        <v>0</v>
      </c>
      <c r="J430" s="368">
        <f t="shared" si="18"/>
        <v>0</v>
      </c>
      <c r="K430" s="360" t="s">
        <v>2217</v>
      </c>
    </row>
    <row r="431" spans="1:11" s="360" customFormat="1" ht="20.25" hidden="1" customHeight="1">
      <c r="A431" s="356" t="s">
        <v>518</v>
      </c>
      <c r="B431" s="357" t="s">
        <v>2105</v>
      </c>
      <c r="C431" s="358">
        <f>SF!I274</f>
        <v>0</v>
      </c>
      <c r="D431" s="354" t="s">
        <v>5</v>
      </c>
      <c r="E431" s="355">
        <f>SF!K274</f>
        <v>6435.4299999999994</v>
      </c>
      <c r="F431" s="353">
        <f>ROUND(C431*E431,0)</f>
        <v>0</v>
      </c>
      <c r="G431" s="368"/>
      <c r="H431" s="368"/>
      <c r="I431" s="368">
        <f>C431-G431</f>
        <v>0</v>
      </c>
      <c r="J431" s="368">
        <f>F431-H431</f>
        <v>0</v>
      </c>
      <c r="K431" s="360" t="s">
        <v>2299</v>
      </c>
    </row>
    <row r="432" spans="1:11" s="360" customFormat="1" ht="20.25" hidden="1" customHeight="1">
      <c r="A432" s="356" t="s">
        <v>491</v>
      </c>
      <c r="B432" s="357" t="s">
        <v>2105</v>
      </c>
      <c r="C432" s="358">
        <f>SF!I282</f>
        <v>0</v>
      </c>
      <c r="D432" s="354" t="s">
        <v>5</v>
      </c>
      <c r="E432" s="355">
        <f>SF!K282</f>
        <v>6881.41</v>
      </c>
      <c r="F432" s="353">
        <f>ROUND(C432*E432,0)</f>
        <v>0</v>
      </c>
      <c r="G432" s="368"/>
      <c r="H432" s="368"/>
      <c r="I432" s="368">
        <f>C432-G432</f>
        <v>0</v>
      </c>
      <c r="J432" s="368">
        <f>F432-H432</f>
        <v>0</v>
      </c>
      <c r="K432" s="360" t="s">
        <v>2312</v>
      </c>
    </row>
    <row r="433" spans="1:11" s="360" customFormat="1" ht="20.25" hidden="1" customHeight="1">
      <c r="A433" s="356" t="s">
        <v>491</v>
      </c>
      <c r="B433" s="357" t="s">
        <v>2105</v>
      </c>
      <c r="C433" s="358">
        <f>SF!I290</f>
        <v>0</v>
      </c>
      <c r="D433" s="354" t="s">
        <v>5</v>
      </c>
      <c r="E433" s="355">
        <f>SF!K290</f>
        <v>7616.9999999999991</v>
      </c>
      <c r="F433" s="353">
        <f>ROUND(C433*E433,0)</f>
        <v>0</v>
      </c>
      <c r="G433" s="368"/>
      <c r="H433" s="368"/>
      <c r="I433" s="368">
        <f>C433-G433</f>
        <v>0</v>
      </c>
      <c r="J433" s="368">
        <f>F433-H433</f>
        <v>0</v>
      </c>
      <c r="K433" s="360" t="s">
        <v>2313</v>
      </c>
    </row>
    <row r="434" spans="1:11" s="360" customFormat="1" ht="27" hidden="1" customHeight="1">
      <c r="A434" s="356" t="s">
        <v>510</v>
      </c>
      <c r="B434" s="357" t="s">
        <v>2144</v>
      </c>
      <c r="C434" s="358">
        <f>SF!I328</f>
        <v>0</v>
      </c>
      <c r="D434" s="354" t="s">
        <v>102</v>
      </c>
      <c r="E434" s="355">
        <f>SF!K328</f>
        <v>830.76</v>
      </c>
      <c r="F434" s="353">
        <f t="shared" ref="F434:F441" si="19">ROUND(C434*E434/1,0)</f>
        <v>0</v>
      </c>
      <c r="G434" s="368"/>
      <c r="H434" s="368"/>
      <c r="I434" s="368">
        <f t="shared" si="17"/>
        <v>0</v>
      </c>
      <c r="J434" s="368">
        <f t="shared" si="18"/>
        <v>0</v>
      </c>
      <c r="K434" s="360" t="s">
        <v>2217</v>
      </c>
    </row>
    <row r="435" spans="1:11" s="360" customFormat="1" ht="27" hidden="1" customHeight="1">
      <c r="A435" s="356" t="s">
        <v>519</v>
      </c>
      <c r="B435" s="357" t="s">
        <v>2144</v>
      </c>
      <c r="C435" s="358">
        <f>SF!I333</f>
        <v>0</v>
      </c>
      <c r="D435" s="354" t="s">
        <v>102</v>
      </c>
      <c r="E435" s="355">
        <f>SF!K333</f>
        <v>856.26</v>
      </c>
      <c r="F435" s="353">
        <f t="shared" si="19"/>
        <v>0</v>
      </c>
      <c r="G435" s="368"/>
      <c r="H435" s="368"/>
      <c r="I435" s="368">
        <f>C435-G435</f>
        <v>0</v>
      </c>
      <c r="J435" s="368">
        <f>F435-H435</f>
        <v>0</v>
      </c>
      <c r="K435" s="360" t="s">
        <v>2299</v>
      </c>
    </row>
    <row r="436" spans="1:11" s="360" customFormat="1" ht="27" hidden="1" customHeight="1">
      <c r="A436" s="356" t="s">
        <v>518</v>
      </c>
      <c r="B436" s="357" t="s">
        <v>2144</v>
      </c>
      <c r="C436" s="358">
        <f>SF!I339</f>
        <v>0</v>
      </c>
      <c r="D436" s="354" t="s">
        <v>102</v>
      </c>
      <c r="E436" s="355">
        <f>SF!K339</f>
        <v>913.89</v>
      </c>
      <c r="F436" s="353">
        <f t="shared" si="19"/>
        <v>0</v>
      </c>
      <c r="G436" s="368"/>
      <c r="H436" s="368"/>
      <c r="I436" s="368">
        <f>C436-G436</f>
        <v>0</v>
      </c>
      <c r="J436" s="368">
        <f>F436-H436</f>
        <v>0</v>
      </c>
      <c r="K436" s="360" t="s">
        <v>2312</v>
      </c>
    </row>
    <row r="437" spans="1:11" s="360" customFormat="1" ht="27" hidden="1" customHeight="1">
      <c r="A437" s="356" t="s">
        <v>518</v>
      </c>
      <c r="B437" s="357" t="s">
        <v>2144</v>
      </c>
      <c r="C437" s="358">
        <f>SF!I347</f>
        <v>0</v>
      </c>
      <c r="D437" s="354" t="s">
        <v>102</v>
      </c>
      <c r="E437" s="355">
        <f>SF!K347</f>
        <v>999.57</v>
      </c>
      <c r="F437" s="353">
        <f t="shared" si="19"/>
        <v>0</v>
      </c>
      <c r="G437" s="368"/>
      <c r="H437" s="368"/>
      <c r="I437" s="368">
        <f>C437-G437</f>
        <v>0</v>
      </c>
      <c r="J437" s="368">
        <f>F437-H437</f>
        <v>0</v>
      </c>
      <c r="K437" s="360" t="s">
        <v>2313</v>
      </c>
    </row>
    <row r="438" spans="1:11" s="360" customFormat="1" hidden="1">
      <c r="A438" s="356" t="s">
        <v>483</v>
      </c>
      <c r="B438" s="357" t="s">
        <v>1221</v>
      </c>
      <c r="C438" s="358">
        <f>SF!I354</f>
        <v>0</v>
      </c>
      <c r="D438" s="354" t="s">
        <v>102</v>
      </c>
      <c r="E438" s="355">
        <f>SF!K354</f>
        <v>6013.9600000000009</v>
      </c>
      <c r="F438" s="353">
        <f t="shared" si="19"/>
        <v>0</v>
      </c>
      <c r="G438" s="368"/>
      <c r="H438" s="368"/>
      <c r="I438" s="368">
        <f t="shared" si="17"/>
        <v>0</v>
      </c>
      <c r="J438" s="368">
        <f t="shared" si="18"/>
        <v>0</v>
      </c>
      <c r="K438" s="360" t="s">
        <v>2217</v>
      </c>
    </row>
    <row r="439" spans="1:11" s="360" customFormat="1" hidden="1">
      <c r="A439" s="356" t="s">
        <v>483</v>
      </c>
      <c r="B439" s="357" t="s">
        <v>1221</v>
      </c>
      <c r="C439" s="358">
        <f>SF!I361</f>
        <v>0</v>
      </c>
      <c r="D439" s="354" t="s">
        <v>102</v>
      </c>
      <c r="E439" s="355">
        <f>SF!K361</f>
        <v>6227.11</v>
      </c>
      <c r="F439" s="353">
        <f t="shared" si="19"/>
        <v>0</v>
      </c>
      <c r="G439" s="368"/>
      <c r="H439" s="368"/>
      <c r="I439" s="368">
        <f>C439-G439</f>
        <v>0</v>
      </c>
      <c r="J439" s="368">
        <f>F439-H439</f>
        <v>0</v>
      </c>
      <c r="K439" s="360" t="s">
        <v>2299</v>
      </c>
    </row>
    <row r="440" spans="1:11" s="360" customFormat="1" hidden="1">
      <c r="A440" s="356" t="s">
        <v>483</v>
      </c>
      <c r="B440" s="357" t="s">
        <v>1221</v>
      </c>
      <c r="C440" s="358">
        <f>SF!I368</f>
        <v>0</v>
      </c>
      <c r="D440" s="354" t="s">
        <v>102</v>
      </c>
      <c r="E440" s="355">
        <f>SF!K368</f>
        <v>6774.69</v>
      </c>
      <c r="F440" s="353">
        <f t="shared" si="19"/>
        <v>0</v>
      </c>
      <c r="G440" s="368"/>
      <c r="H440" s="368"/>
      <c r="I440" s="368">
        <f>C440-G440</f>
        <v>0</v>
      </c>
      <c r="J440" s="368">
        <f>F440-H440</f>
        <v>0</v>
      </c>
      <c r="K440" s="360" t="s">
        <v>2312</v>
      </c>
    </row>
    <row r="441" spans="1:11" s="360" customFormat="1" hidden="1">
      <c r="A441" s="356" t="s">
        <v>483</v>
      </c>
      <c r="B441" s="357" t="s">
        <v>1221</v>
      </c>
      <c r="C441" s="358">
        <f>SF!I375</f>
        <v>0</v>
      </c>
      <c r="D441" s="354" t="s">
        <v>102</v>
      </c>
      <c r="E441" s="355">
        <f>SF!K375</f>
        <v>7187.4500000000007</v>
      </c>
      <c r="F441" s="353">
        <f t="shared" si="19"/>
        <v>0</v>
      </c>
      <c r="G441" s="368"/>
      <c r="H441" s="368"/>
      <c r="I441" s="368">
        <f>C441-G441</f>
        <v>0</v>
      </c>
      <c r="J441" s="368">
        <f>F441-H441</f>
        <v>0</v>
      </c>
      <c r="K441" s="360" t="s">
        <v>2313</v>
      </c>
    </row>
    <row r="442" spans="1:11" s="360" customFormat="1" ht="20.25" hidden="1" customHeight="1">
      <c r="A442" s="356" t="s">
        <v>1520</v>
      </c>
      <c r="B442" s="357" t="s">
        <v>2106</v>
      </c>
      <c r="C442" s="358">
        <f>SF!I382</f>
        <v>0</v>
      </c>
      <c r="D442" s="354" t="s">
        <v>102</v>
      </c>
      <c r="E442" s="355">
        <f>SF!K382</f>
        <v>321.79000000000002</v>
      </c>
      <c r="F442" s="353">
        <f t="shared" ref="F442:F518" si="20">ROUND(C442*E442,0)</f>
        <v>0</v>
      </c>
      <c r="G442" s="368"/>
      <c r="H442" s="368"/>
      <c r="I442" s="368">
        <f t="shared" si="17"/>
        <v>0</v>
      </c>
      <c r="J442" s="368">
        <f t="shared" si="18"/>
        <v>0</v>
      </c>
      <c r="K442" s="360" t="s">
        <v>2217</v>
      </c>
    </row>
    <row r="443" spans="1:11" s="360" customFormat="1" ht="20.25" hidden="1" customHeight="1">
      <c r="A443" s="356" t="s">
        <v>520</v>
      </c>
      <c r="B443" s="357" t="s">
        <v>2106</v>
      </c>
      <c r="C443" s="358">
        <f>SF!I390</f>
        <v>0</v>
      </c>
      <c r="D443" s="354" t="s">
        <v>102</v>
      </c>
      <c r="E443" s="355">
        <f>SF!K390</f>
        <v>344.38</v>
      </c>
      <c r="F443" s="353">
        <f>ROUND(C443*E443,0)</f>
        <v>0</v>
      </c>
      <c r="G443" s="368"/>
      <c r="H443" s="368"/>
      <c r="I443" s="368">
        <f>C443-G443</f>
        <v>0</v>
      </c>
      <c r="J443" s="368">
        <f>F443-H443</f>
        <v>0</v>
      </c>
      <c r="K443" s="360" t="s">
        <v>2299</v>
      </c>
    </row>
    <row r="444" spans="1:11" s="360" customFormat="1" ht="20.25" hidden="1" customHeight="1">
      <c r="A444" s="356" t="s">
        <v>521</v>
      </c>
      <c r="B444" s="357" t="s">
        <v>2106</v>
      </c>
      <c r="C444" s="358">
        <f>SF!I397</f>
        <v>0</v>
      </c>
      <c r="D444" s="354" t="s">
        <v>102</v>
      </c>
      <c r="E444" s="355">
        <f>SF!K397</f>
        <v>365.08</v>
      </c>
      <c r="F444" s="353">
        <f>ROUND(C444*E444,0)</f>
        <v>0</v>
      </c>
      <c r="G444" s="368"/>
      <c r="H444" s="368"/>
      <c r="I444" s="368">
        <f>C444-G444</f>
        <v>0</v>
      </c>
      <c r="J444" s="368">
        <f>F444-H444</f>
        <v>0</v>
      </c>
      <c r="K444" s="360" t="s">
        <v>2312</v>
      </c>
    </row>
    <row r="445" spans="1:11" s="360" customFormat="1" ht="20.25" hidden="1" customHeight="1">
      <c r="A445" s="356" t="s">
        <v>521</v>
      </c>
      <c r="B445" s="357" t="s">
        <v>2106</v>
      </c>
      <c r="C445" s="358">
        <f>SF!I404</f>
        <v>0</v>
      </c>
      <c r="D445" s="354" t="s">
        <v>102</v>
      </c>
      <c r="E445" s="355">
        <f>SF!K404</f>
        <v>385.55</v>
      </c>
      <c r="F445" s="353">
        <f>ROUND(C445*E445,0)</f>
        <v>0</v>
      </c>
      <c r="G445" s="368"/>
      <c r="H445" s="368"/>
      <c r="I445" s="368">
        <f>C445-G445</f>
        <v>0</v>
      </c>
      <c r="J445" s="368">
        <f>F445-H445</f>
        <v>0</v>
      </c>
      <c r="K445" s="360" t="s">
        <v>2313</v>
      </c>
    </row>
    <row r="446" spans="1:11" s="360" customFormat="1" ht="20.25" hidden="1" customHeight="1">
      <c r="A446" s="356" t="s">
        <v>493</v>
      </c>
      <c r="B446" s="357" t="s">
        <v>2166</v>
      </c>
      <c r="C446" s="358">
        <f>SF!I412</f>
        <v>0</v>
      </c>
      <c r="D446" s="354" t="s">
        <v>102</v>
      </c>
      <c r="E446" s="355">
        <f>SF!K412</f>
        <v>289.52</v>
      </c>
      <c r="F446" s="353">
        <f t="shared" si="20"/>
        <v>0</v>
      </c>
      <c r="G446" s="368"/>
      <c r="H446" s="368"/>
      <c r="I446" s="368">
        <f t="shared" si="17"/>
        <v>0</v>
      </c>
      <c r="J446" s="368">
        <f t="shared" si="18"/>
        <v>0</v>
      </c>
      <c r="K446" s="360" t="s">
        <v>2217</v>
      </c>
    </row>
    <row r="447" spans="1:11" s="360" customFormat="1" ht="20.25" hidden="1" customHeight="1">
      <c r="A447" s="356" t="s">
        <v>493</v>
      </c>
      <c r="B447" s="357" t="s">
        <v>2166</v>
      </c>
      <c r="C447" s="358">
        <f>SF!I420</f>
        <v>0</v>
      </c>
      <c r="D447" s="354" t="s">
        <v>102</v>
      </c>
      <c r="E447" s="355">
        <f>SF!K420</f>
        <v>312.11</v>
      </c>
      <c r="F447" s="353">
        <f>ROUND(C447*E447,0)</f>
        <v>0</v>
      </c>
      <c r="G447" s="368"/>
      <c r="H447" s="368"/>
      <c r="I447" s="368">
        <f>C447-G447</f>
        <v>0</v>
      </c>
      <c r="J447" s="368">
        <f>F447-H447</f>
        <v>0</v>
      </c>
      <c r="K447" s="360" t="s">
        <v>2299</v>
      </c>
    </row>
    <row r="448" spans="1:11" s="360" customFormat="1" ht="20.25" hidden="1" customHeight="1">
      <c r="A448" s="356" t="s">
        <v>493</v>
      </c>
      <c r="B448" s="357" t="s">
        <v>2166</v>
      </c>
      <c r="C448" s="358">
        <f>SF!I428</f>
        <v>0</v>
      </c>
      <c r="D448" s="354" t="s">
        <v>102</v>
      </c>
      <c r="E448" s="355">
        <f>SF!K428</f>
        <v>331.62</v>
      </c>
      <c r="F448" s="353">
        <f>ROUND(C448*E448,0)</f>
        <v>0</v>
      </c>
      <c r="G448" s="368"/>
      <c r="H448" s="368"/>
      <c r="I448" s="368">
        <f>C448-G448</f>
        <v>0</v>
      </c>
      <c r="J448" s="368">
        <f>F448-H448</f>
        <v>0</v>
      </c>
      <c r="K448" s="360" t="s">
        <v>2312</v>
      </c>
    </row>
    <row r="449" spans="1:11" s="360" customFormat="1" ht="20.25" hidden="1" customHeight="1">
      <c r="A449" s="356" t="s">
        <v>493</v>
      </c>
      <c r="B449" s="357" t="s">
        <v>2166</v>
      </c>
      <c r="C449" s="358">
        <f>SF!I436</f>
        <v>0</v>
      </c>
      <c r="D449" s="354" t="s">
        <v>102</v>
      </c>
      <c r="E449" s="355">
        <f>SF!K436</f>
        <v>352.1</v>
      </c>
      <c r="F449" s="353">
        <f>ROUND(C449*E449,0)</f>
        <v>0</v>
      </c>
      <c r="G449" s="368"/>
      <c r="H449" s="368"/>
      <c r="I449" s="368">
        <f>C449-G449</f>
        <v>0</v>
      </c>
      <c r="J449" s="368">
        <f>F449-H449</f>
        <v>0</v>
      </c>
      <c r="K449" s="360" t="s">
        <v>2313</v>
      </c>
    </row>
    <row r="450" spans="1:11" s="360" customFormat="1" ht="20.25" hidden="1" customHeight="1">
      <c r="A450" s="356" t="s">
        <v>494</v>
      </c>
      <c r="B450" s="357" t="s">
        <v>2189</v>
      </c>
      <c r="C450" s="358">
        <f>SF!I444</f>
        <v>0</v>
      </c>
      <c r="D450" s="354" t="s">
        <v>102</v>
      </c>
      <c r="E450" s="355">
        <f>SF!K444</f>
        <v>307.37</v>
      </c>
      <c r="F450" s="353">
        <f t="shared" si="20"/>
        <v>0</v>
      </c>
      <c r="G450" s="368"/>
      <c r="H450" s="368"/>
      <c r="I450" s="368">
        <f t="shared" si="17"/>
        <v>0</v>
      </c>
      <c r="J450" s="368">
        <f t="shared" si="18"/>
        <v>0</v>
      </c>
      <c r="K450" s="360" t="s">
        <v>2217</v>
      </c>
    </row>
    <row r="451" spans="1:11" s="360" customFormat="1" ht="20.25" hidden="1" customHeight="1">
      <c r="A451" s="356" t="s">
        <v>494</v>
      </c>
      <c r="B451" s="357" t="s">
        <v>2189</v>
      </c>
      <c r="C451" s="358">
        <f>SF!I452</f>
        <v>0</v>
      </c>
      <c r="D451" s="354" t="s">
        <v>102</v>
      </c>
      <c r="E451" s="355">
        <f>SF!K452</f>
        <v>330.52</v>
      </c>
      <c r="F451" s="353">
        <f>ROUND(C451*E451,0)</f>
        <v>0</v>
      </c>
      <c r="G451" s="368"/>
      <c r="H451" s="368"/>
      <c r="I451" s="368">
        <f>C451-G451</f>
        <v>0</v>
      </c>
      <c r="J451" s="368">
        <f>F451-H451</f>
        <v>0</v>
      </c>
      <c r="K451" s="360" t="s">
        <v>2299</v>
      </c>
    </row>
    <row r="452" spans="1:11" s="360" customFormat="1" ht="20.25" hidden="1" customHeight="1">
      <c r="A452" s="356" t="s">
        <v>494</v>
      </c>
      <c r="B452" s="357" t="s">
        <v>2189</v>
      </c>
      <c r="C452" s="358">
        <f>SF!I460</f>
        <v>0</v>
      </c>
      <c r="D452" s="354" t="s">
        <v>102</v>
      </c>
      <c r="E452" s="355">
        <f>SF!K460</f>
        <v>351.31</v>
      </c>
      <c r="F452" s="353">
        <f>ROUND(C452*E452,0)</f>
        <v>0</v>
      </c>
      <c r="G452" s="368"/>
      <c r="H452" s="368"/>
      <c r="I452" s="368">
        <f>C452-G452</f>
        <v>0</v>
      </c>
      <c r="J452" s="368">
        <f>F452-H452</f>
        <v>0</v>
      </c>
      <c r="K452" s="360" t="s">
        <v>2312</v>
      </c>
    </row>
    <row r="453" spans="1:11" s="360" customFormat="1" ht="20.25" hidden="1" customHeight="1">
      <c r="A453" s="356" t="s">
        <v>494</v>
      </c>
      <c r="B453" s="357" t="s">
        <v>2189</v>
      </c>
      <c r="C453" s="358">
        <f>SF!I468</f>
        <v>0</v>
      </c>
      <c r="D453" s="354" t="s">
        <v>102</v>
      </c>
      <c r="E453" s="355">
        <f>SF!K468</f>
        <v>372.29</v>
      </c>
      <c r="F453" s="353">
        <f>ROUND(C453*E453,0)</f>
        <v>0</v>
      </c>
      <c r="G453" s="368"/>
      <c r="H453" s="368"/>
      <c r="I453" s="368">
        <f>C453-G453</f>
        <v>0</v>
      </c>
      <c r="J453" s="368">
        <f>F453-H453</f>
        <v>0</v>
      </c>
      <c r="K453" s="360" t="s">
        <v>2313</v>
      </c>
    </row>
    <row r="454" spans="1:11" s="360" customFormat="1" ht="20.25" hidden="1" customHeight="1">
      <c r="A454" s="356" t="s">
        <v>512</v>
      </c>
      <c r="B454" s="357" t="s">
        <v>2107</v>
      </c>
      <c r="C454" s="358">
        <f>SF!I480</f>
        <v>0</v>
      </c>
      <c r="D454" s="354" t="s">
        <v>102</v>
      </c>
      <c r="E454" s="355">
        <f>SF!K480</f>
        <v>380.2</v>
      </c>
      <c r="F454" s="353">
        <f t="shared" si="20"/>
        <v>0</v>
      </c>
      <c r="G454" s="368"/>
      <c r="H454" s="368"/>
      <c r="I454" s="368">
        <f t="shared" si="17"/>
        <v>0</v>
      </c>
      <c r="J454" s="368">
        <f t="shared" si="18"/>
        <v>0</v>
      </c>
      <c r="K454" s="360" t="s">
        <v>2217</v>
      </c>
    </row>
    <row r="455" spans="1:11" s="360" customFormat="1" ht="20.25" hidden="1" customHeight="1">
      <c r="A455" s="356" t="s">
        <v>521</v>
      </c>
      <c r="B455" s="357" t="s">
        <v>2107</v>
      </c>
      <c r="C455" s="358">
        <f>SF!I489</f>
        <v>0</v>
      </c>
      <c r="D455" s="354" t="s">
        <v>102</v>
      </c>
      <c r="E455" s="355">
        <f>SF!K489</f>
        <v>410.98</v>
      </c>
      <c r="F455" s="353">
        <f>ROUND(C455*E455,0)</f>
        <v>0</v>
      </c>
      <c r="G455" s="368"/>
      <c r="H455" s="368"/>
      <c r="I455" s="368">
        <f>C455-G455</f>
        <v>0</v>
      </c>
      <c r="J455" s="368">
        <f>F455-H455</f>
        <v>0</v>
      </c>
      <c r="K455" s="360" t="s">
        <v>2299</v>
      </c>
    </row>
    <row r="456" spans="1:11" s="360" customFormat="1" ht="20.25" hidden="1" customHeight="1">
      <c r="A456" s="356" t="s">
        <v>522</v>
      </c>
      <c r="B456" s="357" t="s">
        <v>2107</v>
      </c>
      <c r="C456" s="358">
        <f>SF!I496</f>
        <v>0</v>
      </c>
      <c r="D456" s="354" t="s">
        <v>102</v>
      </c>
      <c r="E456" s="355">
        <f>SF!K496</f>
        <v>436.23</v>
      </c>
      <c r="F456" s="353">
        <f>ROUND(C456*E456,0)</f>
        <v>0</v>
      </c>
      <c r="G456" s="368"/>
      <c r="H456" s="368"/>
      <c r="I456" s="368">
        <f>C456-G456</f>
        <v>0</v>
      </c>
      <c r="J456" s="368">
        <f>F456-H456</f>
        <v>0</v>
      </c>
      <c r="K456" s="360" t="s">
        <v>2312</v>
      </c>
    </row>
    <row r="457" spans="1:11" s="360" customFormat="1" ht="20.25" hidden="1" customHeight="1">
      <c r="A457" s="356" t="s">
        <v>522</v>
      </c>
      <c r="B457" s="357" t="s">
        <v>2107</v>
      </c>
      <c r="C457" s="358">
        <f>SF!I508</f>
        <v>0</v>
      </c>
      <c r="D457" s="354" t="s">
        <v>102</v>
      </c>
      <c r="E457" s="355">
        <f>SF!K508</f>
        <v>464.16</v>
      </c>
      <c r="F457" s="353">
        <f>ROUND(C457*E457,0)</f>
        <v>0</v>
      </c>
      <c r="G457" s="368"/>
      <c r="H457" s="368"/>
      <c r="I457" s="368">
        <f>C457-G457</f>
        <v>0</v>
      </c>
      <c r="J457" s="368">
        <f>F457-H457</f>
        <v>0</v>
      </c>
      <c r="K457" s="360" t="s">
        <v>2313</v>
      </c>
    </row>
    <row r="458" spans="1:11" s="360" customFormat="1" ht="20.25" hidden="1" customHeight="1">
      <c r="A458" s="356" t="s">
        <v>513</v>
      </c>
      <c r="B458" s="357" t="s">
        <v>2108</v>
      </c>
      <c r="C458" s="358">
        <f>SF!I515</f>
        <v>0</v>
      </c>
      <c r="D458" s="354" t="s">
        <v>102</v>
      </c>
      <c r="E458" s="355">
        <f>SF!K515</f>
        <v>393.56</v>
      </c>
      <c r="F458" s="353">
        <f t="shared" si="20"/>
        <v>0</v>
      </c>
      <c r="G458" s="368"/>
      <c r="H458" s="368"/>
      <c r="I458" s="368">
        <f t="shared" si="17"/>
        <v>0</v>
      </c>
      <c r="J458" s="368">
        <f t="shared" si="18"/>
        <v>0</v>
      </c>
      <c r="K458" s="360" t="s">
        <v>2217</v>
      </c>
    </row>
    <row r="459" spans="1:11" s="360" customFormat="1" ht="20.25" hidden="1" customHeight="1">
      <c r="A459" s="356" t="s">
        <v>522</v>
      </c>
      <c r="B459" s="357" t="s">
        <v>2108</v>
      </c>
      <c r="C459" s="358">
        <f>SF!I525</f>
        <v>0</v>
      </c>
      <c r="D459" s="354" t="s">
        <v>102</v>
      </c>
      <c r="E459" s="355">
        <f>SF!K525</f>
        <v>424.91</v>
      </c>
      <c r="F459" s="353">
        <f>ROUND(C459*E459,0)</f>
        <v>0</v>
      </c>
      <c r="G459" s="368"/>
      <c r="H459" s="368"/>
      <c r="I459" s="368">
        <f>C459-G459</f>
        <v>0</v>
      </c>
      <c r="J459" s="368">
        <f>F459-H459</f>
        <v>0</v>
      </c>
      <c r="K459" s="360" t="s">
        <v>2299</v>
      </c>
    </row>
    <row r="460" spans="1:11" s="360" customFormat="1" ht="20.25" hidden="1" customHeight="1">
      <c r="A460" s="356" t="s">
        <v>524</v>
      </c>
      <c r="B460" s="357" t="s">
        <v>2108</v>
      </c>
      <c r="C460" s="358">
        <f>SF!I532</f>
        <v>0</v>
      </c>
      <c r="D460" s="354" t="s">
        <v>102</v>
      </c>
      <c r="E460" s="355">
        <f>SF!K532</f>
        <v>451.54</v>
      </c>
      <c r="F460" s="353">
        <f>ROUND(C460*E460,0)</f>
        <v>0</v>
      </c>
      <c r="G460" s="368"/>
      <c r="H460" s="368"/>
      <c r="I460" s="368">
        <f>C460-G460</f>
        <v>0</v>
      </c>
      <c r="J460" s="368">
        <f>F460-H460</f>
        <v>0</v>
      </c>
      <c r="K460" s="360" t="s">
        <v>2312</v>
      </c>
    </row>
    <row r="461" spans="1:11" s="360" customFormat="1" ht="20.25" hidden="1" customHeight="1">
      <c r="A461" s="356" t="s">
        <v>512</v>
      </c>
      <c r="B461" s="357" t="s">
        <v>2108</v>
      </c>
      <c r="C461" s="358">
        <f>SF!I539</f>
        <v>0</v>
      </c>
      <c r="D461" s="354" t="s">
        <v>102</v>
      </c>
      <c r="E461" s="355">
        <f>SF!K539</f>
        <v>479.98</v>
      </c>
      <c r="F461" s="353">
        <f>ROUND(C461*E461,0)</f>
        <v>0</v>
      </c>
      <c r="G461" s="368"/>
      <c r="H461" s="368"/>
      <c r="I461" s="368">
        <f>C461-G461</f>
        <v>0</v>
      </c>
      <c r="J461" s="368">
        <f>F461-H461</f>
        <v>0</v>
      </c>
      <c r="K461" s="360" t="s">
        <v>2313</v>
      </c>
    </row>
    <row r="462" spans="1:11" s="360" customFormat="1" ht="20.25" hidden="1" customHeight="1">
      <c r="A462" s="356" t="s">
        <v>473</v>
      </c>
      <c r="B462" s="357" t="s">
        <v>1224</v>
      </c>
      <c r="C462" s="358">
        <f>SF!I544</f>
        <v>0</v>
      </c>
      <c r="D462" s="354" t="s">
        <v>5</v>
      </c>
      <c r="E462" s="355">
        <f>SF!K544</f>
        <v>5152.2499999999991</v>
      </c>
      <c r="F462" s="353">
        <f t="shared" si="20"/>
        <v>0</v>
      </c>
      <c r="G462" s="368"/>
      <c r="H462" s="368"/>
      <c r="I462" s="368">
        <f t="shared" si="17"/>
        <v>0</v>
      </c>
      <c r="J462" s="368">
        <f t="shared" si="18"/>
        <v>0</v>
      </c>
      <c r="K462" s="360" t="s">
        <v>2217</v>
      </c>
    </row>
    <row r="463" spans="1:11" s="360" customFormat="1" ht="20.25" hidden="1" customHeight="1">
      <c r="A463" s="356" t="s">
        <v>473</v>
      </c>
      <c r="B463" s="357" t="s">
        <v>1224</v>
      </c>
      <c r="C463" s="358">
        <f>SF!I549</f>
        <v>0</v>
      </c>
      <c r="D463" s="354" t="s">
        <v>5</v>
      </c>
      <c r="E463" s="355">
        <f>SF!K549</f>
        <v>5333.72</v>
      </c>
      <c r="F463" s="353">
        <f>ROUND(C463*E463,0)</f>
        <v>0</v>
      </c>
      <c r="G463" s="368"/>
      <c r="H463" s="368"/>
      <c r="I463" s="368">
        <f>C463-G463</f>
        <v>0</v>
      </c>
      <c r="J463" s="368">
        <f>F463-H463</f>
        <v>0</v>
      </c>
      <c r="K463" s="360" t="s">
        <v>2299</v>
      </c>
    </row>
    <row r="464" spans="1:11" s="360" customFormat="1" ht="20.25" hidden="1" customHeight="1">
      <c r="A464" s="356" t="s">
        <v>473</v>
      </c>
      <c r="B464" s="357" t="s">
        <v>1224</v>
      </c>
      <c r="C464" s="358">
        <f>SF!I554</f>
        <v>0</v>
      </c>
      <c r="D464" s="354" t="s">
        <v>5</v>
      </c>
      <c r="E464" s="355">
        <f>SF!K554</f>
        <v>5579.3200000000006</v>
      </c>
      <c r="F464" s="353">
        <f>ROUND(C464*E464,0)</f>
        <v>0</v>
      </c>
      <c r="G464" s="368"/>
      <c r="H464" s="368"/>
      <c r="I464" s="368">
        <f>C464-G464</f>
        <v>0</v>
      </c>
      <c r="J464" s="368">
        <f>F464-H464</f>
        <v>0</v>
      </c>
      <c r="K464" s="360" t="s">
        <v>2312</v>
      </c>
    </row>
    <row r="465" spans="1:11" s="360" customFormat="1" ht="20.25" hidden="1" customHeight="1">
      <c r="A465" s="356" t="s">
        <v>473</v>
      </c>
      <c r="B465" s="357" t="s">
        <v>1224</v>
      </c>
      <c r="C465" s="358">
        <f>SF!I559</f>
        <v>0</v>
      </c>
      <c r="D465" s="354" t="s">
        <v>5</v>
      </c>
      <c r="E465" s="355">
        <f>SF!K559</f>
        <v>5843.9400000000005</v>
      </c>
      <c r="F465" s="353">
        <f>ROUND(C465*E465,0)</f>
        <v>0</v>
      </c>
      <c r="G465" s="368"/>
      <c r="H465" s="368"/>
      <c r="I465" s="368">
        <f>C465-G465</f>
        <v>0</v>
      </c>
      <c r="J465" s="368">
        <f>F465-H465</f>
        <v>0</v>
      </c>
      <c r="K465" s="360" t="s">
        <v>2313</v>
      </c>
    </row>
    <row r="466" spans="1:11" s="360" customFormat="1" ht="20.25" hidden="1" customHeight="1">
      <c r="A466" s="356" t="s">
        <v>519</v>
      </c>
      <c r="B466" s="357" t="s">
        <v>507</v>
      </c>
      <c r="C466" s="358">
        <f>SF!I565</f>
        <v>0</v>
      </c>
      <c r="D466" s="354" t="s">
        <v>102</v>
      </c>
      <c r="E466" s="355">
        <f>SF!K565</f>
        <v>1048.97</v>
      </c>
      <c r="F466" s="353">
        <f t="shared" si="20"/>
        <v>0</v>
      </c>
      <c r="G466" s="368"/>
      <c r="H466" s="368"/>
      <c r="I466" s="368">
        <f t="shared" si="17"/>
        <v>0</v>
      </c>
      <c r="J466" s="368">
        <f t="shared" si="18"/>
        <v>0</v>
      </c>
      <c r="K466" s="360" t="s">
        <v>2217</v>
      </c>
    </row>
    <row r="467" spans="1:11" s="360" customFormat="1" ht="20.25" hidden="1" customHeight="1">
      <c r="A467" s="356" t="s">
        <v>519</v>
      </c>
      <c r="B467" s="357" t="s">
        <v>507</v>
      </c>
      <c r="C467" s="358">
        <f>SF!I571</f>
        <v>0</v>
      </c>
      <c r="D467" s="354" t="s">
        <v>102</v>
      </c>
      <c r="E467" s="355">
        <f>SF!K571</f>
        <v>1082.75</v>
      </c>
      <c r="F467" s="353">
        <f>ROUND(C467*E467,0)</f>
        <v>0</v>
      </c>
      <c r="G467" s="368"/>
      <c r="H467" s="368"/>
      <c r="I467" s="368">
        <f>C467-G467</f>
        <v>0</v>
      </c>
      <c r="J467" s="368">
        <f>F467-H467</f>
        <v>0</v>
      </c>
      <c r="K467" s="360" t="s">
        <v>2299</v>
      </c>
    </row>
    <row r="468" spans="1:11" s="360" customFormat="1" ht="20.25" hidden="1" customHeight="1">
      <c r="A468" s="356" t="s">
        <v>519</v>
      </c>
      <c r="B468" s="357" t="s">
        <v>507</v>
      </c>
      <c r="C468" s="358">
        <f>SF!I577</f>
        <v>0</v>
      </c>
      <c r="D468" s="354" t="s">
        <v>102</v>
      </c>
      <c r="E468" s="355">
        <f>SF!K577</f>
        <v>1108.3499999999999</v>
      </c>
      <c r="F468" s="353">
        <f>ROUND(C468*E468,0)</f>
        <v>0</v>
      </c>
      <c r="G468" s="368"/>
      <c r="H468" s="368"/>
      <c r="I468" s="368">
        <f>C468-G468</f>
        <v>0</v>
      </c>
      <c r="J468" s="368">
        <f>F468-H468</f>
        <v>0</v>
      </c>
      <c r="K468" s="360" t="s">
        <v>2312</v>
      </c>
    </row>
    <row r="469" spans="1:11" s="360" customFormat="1" ht="20.25" hidden="1" customHeight="1">
      <c r="A469" s="356" t="s">
        <v>519</v>
      </c>
      <c r="B469" s="357" t="s">
        <v>507</v>
      </c>
      <c r="C469" s="358">
        <f>SF!I583</f>
        <v>0</v>
      </c>
      <c r="D469" s="354" t="s">
        <v>102</v>
      </c>
      <c r="E469" s="355">
        <f>SF!K583</f>
        <v>1139.42</v>
      </c>
      <c r="F469" s="353">
        <f>ROUND(C469*E469,0)</f>
        <v>0</v>
      </c>
      <c r="G469" s="368"/>
      <c r="H469" s="368"/>
      <c r="I469" s="368">
        <f>C469-G469</f>
        <v>0</v>
      </c>
      <c r="J469" s="368">
        <f>F469-H469</f>
        <v>0</v>
      </c>
      <c r="K469" s="360" t="s">
        <v>2313</v>
      </c>
    </row>
    <row r="470" spans="1:11" s="360" customFormat="1" ht="20.25" hidden="1" customHeight="1">
      <c r="A470" s="356" t="s">
        <v>528</v>
      </c>
      <c r="B470" s="357" t="s">
        <v>2109</v>
      </c>
      <c r="C470" s="358">
        <f>SF!I590</f>
        <v>0</v>
      </c>
      <c r="D470" s="354" t="s">
        <v>102</v>
      </c>
      <c r="E470" s="355">
        <f>SF!K590</f>
        <v>1044.9000000000001</v>
      </c>
      <c r="F470" s="353">
        <f t="shared" si="20"/>
        <v>0</v>
      </c>
      <c r="G470" s="368"/>
      <c r="H470" s="368"/>
      <c r="I470" s="368">
        <f t="shared" si="17"/>
        <v>0</v>
      </c>
      <c r="J470" s="368">
        <f t="shared" si="18"/>
        <v>0</v>
      </c>
      <c r="K470" s="360" t="s">
        <v>2217</v>
      </c>
    </row>
    <row r="471" spans="1:11" s="360" customFormat="1" ht="20.25" hidden="1" customHeight="1">
      <c r="A471" s="356" t="s">
        <v>528</v>
      </c>
      <c r="B471" s="357" t="s">
        <v>2109</v>
      </c>
      <c r="C471" s="358">
        <f>SF!I597</f>
        <v>0</v>
      </c>
      <c r="D471" s="354" t="s">
        <v>102</v>
      </c>
      <c r="E471" s="355">
        <f>SF!K597</f>
        <v>1078.42</v>
      </c>
      <c r="F471" s="353">
        <f>ROUND(C471*E471,0)</f>
        <v>0</v>
      </c>
      <c r="G471" s="368"/>
      <c r="H471" s="368"/>
      <c r="I471" s="368">
        <f>C471-G471</f>
        <v>0</v>
      </c>
      <c r="J471" s="368">
        <f>F471-H471</f>
        <v>0</v>
      </c>
      <c r="K471" s="360" t="s">
        <v>2299</v>
      </c>
    </row>
    <row r="472" spans="1:11" s="360" customFormat="1" ht="20.25" hidden="1" customHeight="1">
      <c r="A472" s="356" t="s">
        <v>528</v>
      </c>
      <c r="B472" s="357" t="s">
        <v>2109</v>
      </c>
      <c r="C472" s="358">
        <f>SF!I604</f>
        <v>0</v>
      </c>
      <c r="D472" s="354" t="s">
        <v>102</v>
      </c>
      <c r="E472" s="355">
        <f>SF!K604</f>
        <v>1103.42</v>
      </c>
      <c r="F472" s="353">
        <f>ROUND(C472*E472,0)</f>
        <v>0</v>
      </c>
      <c r="G472" s="368"/>
      <c r="H472" s="368"/>
      <c r="I472" s="368">
        <f>C472-G472</f>
        <v>0</v>
      </c>
      <c r="J472" s="368">
        <f>F472-H472</f>
        <v>0</v>
      </c>
      <c r="K472" s="360" t="s">
        <v>2312</v>
      </c>
    </row>
    <row r="473" spans="1:11" s="360" customFormat="1" ht="20.25" hidden="1" customHeight="1">
      <c r="A473" s="356" t="s">
        <v>528</v>
      </c>
      <c r="B473" s="357" t="s">
        <v>2109</v>
      </c>
      <c r="C473" s="358">
        <f>SF!I611</f>
        <v>0</v>
      </c>
      <c r="D473" s="354" t="s">
        <v>102</v>
      </c>
      <c r="E473" s="355">
        <f>SF!K611</f>
        <v>1134.08</v>
      </c>
      <c r="F473" s="353">
        <f>ROUND(C473*E473,0)</f>
        <v>0</v>
      </c>
      <c r="G473" s="368"/>
      <c r="H473" s="368"/>
      <c r="I473" s="368">
        <f>C473-G473</f>
        <v>0</v>
      </c>
      <c r="J473" s="368">
        <f>F473-H473</f>
        <v>0</v>
      </c>
      <c r="K473" s="360" t="s">
        <v>2313</v>
      </c>
    </row>
    <row r="474" spans="1:11" s="360" customFormat="1" ht="20.25" hidden="1" customHeight="1">
      <c r="A474" s="356" t="s">
        <v>508</v>
      </c>
      <c r="B474" s="357" t="s">
        <v>708</v>
      </c>
      <c r="C474" s="358">
        <f>SF!I618</f>
        <v>0</v>
      </c>
      <c r="D474" s="354" t="s">
        <v>77</v>
      </c>
      <c r="E474" s="355">
        <f>SF!K618</f>
        <v>2934.5</v>
      </c>
      <c r="F474" s="353">
        <f t="shared" si="20"/>
        <v>0</v>
      </c>
      <c r="G474" s="368"/>
      <c r="H474" s="368"/>
      <c r="I474" s="368">
        <f t="shared" si="17"/>
        <v>0</v>
      </c>
      <c r="J474" s="368">
        <f t="shared" si="18"/>
        <v>0</v>
      </c>
      <c r="K474" s="360" t="s">
        <v>2217</v>
      </c>
    </row>
    <row r="475" spans="1:11" s="360" customFormat="1" ht="20.25" hidden="1" customHeight="1">
      <c r="A475" s="356" t="s">
        <v>508</v>
      </c>
      <c r="B475" s="357" t="s">
        <v>708</v>
      </c>
      <c r="C475" s="358">
        <f>SF!I625</f>
        <v>0</v>
      </c>
      <c r="D475" s="354" t="s">
        <v>77</v>
      </c>
      <c r="E475" s="355">
        <f>SF!K625</f>
        <v>3003.21</v>
      </c>
      <c r="F475" s="353">
        <f>ROUND(C475*E475,0)</f>
        <v>0</v>
      </c>
      <c r="G475" s="368"/>
      <c r="H475" s="368"/>
      <c r="I475" s="368">
        <f>C475-G475</f>
        <v>0</v>
      </c>
      <c r="J475" s="368">
        <f>F475-H475</f>
        <v>0</v>
      </c>
      <c r="K475" s="360" t="s">
        <v>2299</v>
      </c>
    </row>
    <row r="476" spans="1:11" s="360" customFormat="1" ht="20.25" hidden="1" customHeight="1">
      <c r="A476" s="356" t="s">
        <v>508</v>
      </c>
      <c r="B476" s="357" t="s">
        <v>708</v>
      </c>
      <c r="C476" s="358">
        <f>SF!I632</f>
        <v>0</v>
      </c>
      <c r="D476" s="354" t="s">
        <v>77</v>
      </c>
      <c r="E476" s="355">
        <f>SF!K632</f>
        <v>3066.62</v>
      </c>
      <c r="F476" s="353">
        <f>ROUND(C476*E476,0)</f>
        <v>0</v>
      </c>
      <c r="G476" s="368"/>
      <c r="H476" s="368"/>
      <c r="I476" s="368">
        <f>C476-G476</f>
        <v>0</v>
      </c>
      <c r="J476" s="368">
        <f>F476-H476</f>
        <v>0</v>
      </c>
      <c r="K476" s="360" t="s">
        <v>2312</v>
      </c>
    </row>
    <row r="477" spans="1:11" s="360" customFormat="1" ht="20.25" hidden="1" customHeight="1">
      <c r="A477" s="356" t="s">
        <v>508</v>
      </c>
      <c r="B477" s="357" t="s">
        <v>708</v>
      </c>
      <c r="C477" s="358">
        <f>SF!I639</f>
        <v>0</v>
      </c>
      <c r="D477" s="354" t="s">
        <v>77</v>
      </c>
      <c r="E477" s="355">
        <f>SF!K639</f>
        <v>3248.17</v>
      </c>
      <c r="F477" s="353">
        <f>ROUND(C477*E477,0)</f>
        <v>0</v>
      </c>
      <c r="G477" s="368"/>
      <c r="H477" s="368"/>
      <c r="I477" s="368">
        <f>C477-G477</f>
        <v>0</v>
      </c>
      <c r="J477" s="368">
        <f>F477-H477</f>
        <v>0</v>
      </c>
      <c r="K477" s="360" t="s">
        <v>2313</v>
      </c>
    </row>
    <row r="478" spans="1:11" s="360" customFormat="1" ht="20.25" hidden="1" customHeight="1">
      <c r="A478" s="356" t="s">
        <v>510</v>
      </c>
      <c r="B478" s="357" t="s">
        <v>2109</v>
      </c>
      <c r="C478" s="358">
        <f>SF!I646</f>
        <v>0</v>
      </c>
      <c r="D478" s="354" t="s">
        <v>102</v>
      </c>
      <c r="E478" s="355">
        <f>SF!K646</f>
        <v>2740.43</v>
      </c>
      <c r="F478" s="353">
        <f t="shared" si="20"/>
        <v>0</v>
      </c>
      <c r="G478" s="368"/>
      <c r="H478" s="368"/>
      <c r="I478" s="368">
        <f t="shared" si="17"/>
        <v>0</v>
      </c>
      <c r="J478" s="368">
        <f t="shared" si="18"/>
        <v>0</v>
      </c>
      <c r="K478" s="360" t="s">
        <v>2217</v>
      </c>
    </row>
    <row r="479" spans="1:11" s="360" customFormat="1" ht="20.25" hidden="1" customHeight="1">
      <c r="A479" s="356" t="s">
        <v>510</v>
      </c>
      <c r="B479" s="357" t="s">
        <v>2109</v>
      </c>
      <c r="C479" s="358">
        <f>SF!I653</f>
        <v>0</v>
      </c>
      <c r="D479" s="354" t="s">
        <v>102</v>
      </c>
      <c r="E479" s="355">
        <f>SF!K653</f>
        <v>2787.53</v>
      </c>
      <c r="F479" s="353">
        <f>ROUND(C479*E479,0)</f>
        <v>0</v>
      </c>
      <c r="G479" s="368"/>
      <c r="H479" s="368"/>
      <c r="I479" s="368">
        <f>C479-G479</f>
        <v>0</v>
      </c>
      <c r="J479" s="368">
        <f>F479-H479</f>
        <v>0</v>
      </c>
      <c r="K479" s="360" t="s">
        <v>2299</v>
      </c>
    </row>
    <row r="480" spans="1:11" s="360" customFormat="1" ht="20.25" hidden="1" customHeight="1">
      <c r="A480" s="356" t="s">
        <v>510</v>
      </c>
      <c r="B480" s="357" t="s">
        <v>2109</v>
      </c>
      <c r="C480" s="358">
        <f>SF!I660</f>
        <v>0</v>
      </c>
      <c r="D480" s="354" t="s">
        <v>102</v>
      </c>
      <c r="E480" s="355">
        <f>SF!K660</f>
        <v>2831.2</v>
      </c>
      <c r="F480" s="353">
        <f>ROUND(C480*E480,0)</f>
        <v>0</v>
      </c>
      <c r="G480" s="368"/>
      <c r="H480" s="368"/>
      <c r="I480" s="368">
        <f>C480-G480</f>
        <v>0</v>
      </c>
      <c r="J480" s="368">
        <f>F480-H480</f>
        <v>0</v>
      </c>
      <c r="K480" s="360" t="s">
        <v>2312</v>
      </c>
    </row>
    <row r="481" spans="1:11" s="360" customFormat="1" ht="20.25" hidden="1" customHeight="1">
      <c r="A481" s="356" t="s">
        <v>510</v>
      </c>
      <c r="B481" s="357" t="s">
        <v>2109</v>
      </c>
      <c r="C481" s="358">
        <f>SF!I667</f>
        <v>0</v>
      </c>
      <c r="D481" s="354" t="s">
        <v>102</v>
      </c>
      <c r="E481" s="355">
        <f>SF!K667</f>
        <v>2995.66</v>
      </c>
      <c r="F481" s="353">
        <f>ROUND(C481*E481,0)</f>
        <v>0</v>
      </c>
      <c r="G481" s="368"/>
      <c r="H481" s="368"/>
      <c r="I481" s="368">
        <f>C481-G481</f>
        <v>0</v>
      </c>
      <c r="J481" s="368">
        <f>F481-H481</f>
        <v>0</v>
      </c>
      <c r="K481" s="360" t="s">
        <v>2313</v>
      </c>
    </row>
    <row r="482" spans="1:11" s="360" customFormat="1" ht="20.25" hidden="1" customHeight="1">
      <c r="A482" s="356" t="s">
        <v>529</v>
      </c>
      <c r="B482" s="357" t="s">
        <v>710</v>
      </c>
      <c r="C482" s="358">
        <f>SF!I674</f>
        <v>0</v>
      </c>
      <c r="D482" s="354" t="s">
        <v>102</v>
      </c>
      <c r="E482" s="355">
        <f>SF!K674</f>
        <v>660.95</v>
      </c>
      <c r="F482" s="353">
        <f t="shared" si="20"/>
        <v>0</v>
      </c>
      <c r="G482" s="368"/>
      <c r="H482" s="368"/>
      <c r="I482" s="368">
        <f t="shared" si="17"/>
        <v>0</v>
      </c>
      <c r="J482" s="368">
        <f t="shared" si="18"/>
        <v>0</v>
      </c>
      <c r="K482" s="360" t="s">
        <v>2217</v>
      </c>
    </row>
    <row r="483" spans="1:11" s="360" customFormat="1" ht="20.25" hidden="1" customHeight="1">
      <c r="A483" s="356" t="s">
        <v>529</v>
      </c>
      <c r="B483" s="357" t="s">
        <v>710</v>
      </c>
      <c r="C483" s="358">
        <f>SF!I681</f>
        <v>0</v>
      </c>
      <c r="D483" s="354" t="s">
        <v>102</v>
      </c>
      <c r="E483" s="355">
        <f>SF!K681</f>
        <v>709.65</v>
      </c>
      <c r="F483" s="353">
        <f>ROUND(C483*E483,0)</f>
        <v>0</v>
      </c>
      <c r="G483" s="368"/>
      <c r="H483" s="368"/>
      <c r="I483" s="368">
        <f>C483-G483</f>
        <v>0</v>
      </c>
      <c r="J483" s="368">
        <f>F483-H483</f>
        <v>0</v>
      </c>
      <c r="K483" s="360" t="s">
        <v>2299</v>
      </c>
    </row>
    <row r="484" spans="1:11" s="360" customFormat="1" ht="20.25" hidden="1" customHeight="1">
      <c r="A484" s="356" t="s">
        <v>529</v>
      </c>
      <c r="B484" s="357" t="s">
        <v>710</v>
      </c>
      <c r="C484" s="358">
        <f>SF!I688</f>
        <v>0</v>
      </c>
      <c r="D484" s="354" t="s">
        <v>102</v>
      </c>
      <c r="E484" s="355">
        <f>SF!K688</f>
        <v>718.32</v>
      </c>
      <c r="F484" s="353">
        <f>ROUND(C484*E484,0)</f>
        <v>0</v>
      </c>
      <c r="G484" s="368"/>
      <c r="H484" s="368"/>
      <c r="I484" s="368">
        <f>C484-G484</f>
        <v>0</v>
      </c>
      <c r="J484" s="368">
        <f>F484-H484</f>
        <v>0</v>
      </c>
      <c r="K484" s="360" t="s">
        <v>2312</v>
      </c>
    </row>
    <row r="485" spans="1:11" s="360" customFormat="1" ht="20.25" hidden="1" customHeight="1">
      <c r="A485" s="356" t="s">
        <v>529</v>
      </c>
      <c r="B485" s="357" t="s">
        <v>710</v>
      </c>
      <c r="C485" s="358">
        <f>SF!I695</f>
        <v>0</v>
      </c>
      <c r="D485" s="354" t="s">
        <v>102</v>
      </c>
      <c r="E485" s="355">
        <f>SF!K695</f>
        <v>816.76</v>
      </c>
      <c r="F485" s="353">
        <f>ROUND(C485*E485,0)</f>
        <v>0</v>
      </c>
      <c r="G485" s="368"/>
      <c r="H485" s="368"/>
      <c r="I485" s="368">
        <f>C485-G485</f>
        <v>0</v>
      </c>
      <c r="J485" s="368">
        <f>F485-H485</f>
        <v>0</v>
      </c>
      <c r="K485" s="360" t="s">
        <v>2313</v>
      </c>
    </row>
    <row r="486" spans="1:11" s="360" customFormat="1" ht="20.25" hidden="1" customHeight="1">
      <c r="A486" s="356" t="s">
        <v>530</v>
      </c>
      <c r="B486" s="357" t="s">
        <v>2109</v>
      </c>
      <c r="C486" s="358">
        <f>SF!I702</f>
        <v>0</v>
      </c>
      <c r="D486" s="354" t="s">
        <v>102</v>
      </c>
      <c r="E486" s="355">
        <f>SF!K702</f>
        <v>681.6</v>
      </c>
      <c r="F486" s="353">
        <f t="shared" si="20"/>
        <v>0</v>
      </c>
      <c r="G486" s="368"/>
      <c r="H486" s="368"/>
      <c r="I486" s="368">
        <f t="shared" si="17"/>
        <v>0</v>
      </c>
      <c r="J486" s="368">
        <f t="shared" si="18"/>
        <v>0</v>
      </c>
      <c r="K486" s="360" t="s">
        <v>2217</v>
      </c>
    </row>
    <row r="487" spans="1:11" s="360" customFormat="1" ht="20.25" hidden="1" customHeight="1">
      <c r="A487" s="356" t="s">
        <v>530</v>
      </c>
      <c r="B487" s="357" t="s">
        <v>2109</v>
      </c>
      <c r="C487" s="358">
        <f>SF!I709</f>
        <v>0</v>
      </c>
      <c r="D487" s="354" t="s">
        <v>102</v>
      </c>
      <c r="E487" s="355">
        <f>SF!K709</f>
        <v>715.12</v>
      </c>
      <c r="F487" s="353">
        <f>ROUND(C487*E487,0)</f>
        <v>0</v>
      </c>
      <c r="G487" s="368"/>
      <c r="H487" s="368"/>
      <c r="I487" s="368">
        <f>C487-G487</f>
        <v>0</v>
      </c>
      <c r="J487" s="368">
        <f>F487-H487</f>
        <v>0</v>
      </c>
      <c r="K487" s="360" t="s">
        <v>2299</v>
      </c>
    </row>
    <row r="488" spans="1:11" s="360" customFormat="1" ht="20.25" hidden="1" customHeight="1">
      <c r="A488" s="356" t="s">
        <v>530</v>
      </c>
      <c r="B488" s="357" t="s">
        <v>2109</v>
      </c>
      <c r="C488" s="358">
        <f>SF!I716</f>
        <v>0</v>
      </c>
      <c r="D488" s="354" t="s">
        <v>102</v>
      </c>
      <c r="E488" s="355">
        <f>SF!K716</f>
        <v>740.12</v>
      </c>
      <c r="F488" s="353">
        <f>ROUND(C488*E488,0)</f>
        <v>0</v>
      </c>
      <c r="G488" s="368"/>
      <c r="H488" s="368"/>
      <c r="I488" s="368">
        <f>C488-G488</f>
        <v>0</v>
      </c>
      <c r="J488" s="368">
        <f>F488-H488</f>
        <v>0</v>
      </c>
      <c r="K488" s="360" t="s">
        <v>2312</v>
      </c>
    </row>
    <row r="489" spans="1:11" s="360" customFormat="1" ht="20.25" hidden="1" customHeight="1">
      <c r="A489" s="356" t="s">
        <v>530</v>
      </c>
      <c r="B489" s="357" t="s">
        <v>2109</v>
      </c>
      <c r="C489" s="358">
        <f>SF!I723</f>
        <v>0</v>
      </c>
      <c r="D489" s="354" t="s">
        <v>102</v>
      </c>
      <c r="E489" s="355">
        <f>SF!K723</f>
        <v>822.23</v>
      </c>
      <c r="F489" s="353">
        <f>ROUND(C489*E489,0)</f>
        <v>0</v>
      </c>
      <c r="G489" s="368"/>
      <c r="H489" s="368"/>
      <c r="I489" s="368">
        <f>C489-G489</f>
        <v>0</v>
      </c>
      <c r="J489" s="368">
        <f>F489-H489</f>
        <v>0</v>
      </c>
      <c r="K489" s="360" t="s">
        <v>2313</v>
      </c>
    </row>
    <row r="490" spans="1:11" s="360" customFormat="1" ht="20.25" hidden="1" customHeight="1">
      <c r="A490" s="356" t="s">
        <v>531</v>
      </c>
      <c r="B490" s="357" t="s">
        <v>511</v>
      </c>
      <c r="C490" s="358">
        <f>SF!I730</f>
        <v>0</v>
      </c>
      <c r="D490" s="354" t="s">
        <v>102</v>
      </c>
      <c r="E490" s="355">
        <f>SF!K730</f>
        <v>784.71</v>
      </c>
      <c r="F490" s="353">
        <f t="shared" si="20"/>
        <v>0</v>
      </c>
      <c r="G490" s="368"/>
      <c r="H490" s="368"/>
      <c r="I490" s="368">
        <f t="shared" si="17"/>
        <v>0</v>
      </c>
      <c r="J490" s="368">
        <f t="shared" si="18"/>
        <v>0</v>
      </c>
      <c r="K490" s="360" t="s">
        <v>2217</v>
      </c>
    </row>
    <row r="491" spans="1:11" s="360" customFormat="1" ht="20.25" hidden="1" customHeight="1">
      <c r="A491" s="356" t="s">
        <v>531</v>
      </c>
      <c r="B491" s="357" t="s">
        <v>511</v>
      </c>
      <c r="C491" s="358">
        <f>SF!I737</f>
        <v>0</v>
      </c>
      <c r="D491" s="354" t="s">
        <v>102</v>
      </c>
      <c r="E491" s="355">
        <f>SF!K737</f>
        <v>818.23</v>
      </c>
      <c r="F491" s="353">
        <f t="shared" ref="F491" si="21">ROUND(C491*E491,0)</f>
        <v>0</v>
      </c>
      <c r="G491" s="368"/>
      <c r="H491" s="368"/>
      <c r="I491" s="368">
        <f>C491-G491</f>
        <v>0</v>
      </c>
      <c r="J491" s="368">
        <f>F491-H491</f>
        <v>0</v>
      </c>
      <c r="K491" s="360" t="s">
        <v>2299</v>
      </c>
    </row>
    <row r="492" spans="1:11" s="360" customFormat="1" ht="20.25" hidden="1" customHeight="1">
      <c r="A492" s="356" t="s">
        <v>531</v>
      </c>
      <c r="B492" s="357" t="s">
        <v>511</v>
      </c>
      <c r="C492" s="358">
        <f>SF!I744</f>
        <v>0</v>
      </c>
      <c r="D492" s="354" t="s">
        <v>102</v>
      </c>
      <c r="E492" s="355">
        <f>SF!K744</f>
        <v>843.23</v>
      </c>
      <c r="F492" s="353">
        <f>ROUND(C492*E492,0)</f>
        <v>0</v>
      </c>
      <c r="G492" s="368"/>
      <c r="H492" s="368"/>
      <c r="I492" s="368">
        <f>C492-G492</f>
        <v>0</v>
      </c>
      <c r="J492" s="368">
        <f>F492-H492</f>
        <v>0</v>
      </c>
      <c r="K492" s="360" t="s">
        <v>2312</v>
      </c>
    </row>
    <row r="493" spans="1:11" s="360" customFormat="1" ht="20.25" hidden="1" customHeight="1">
      <c r="A493" s="356" t="s">
        <v>531</v>
      </c>
      <c r="B493" s="357" t="s">
        <v>511</v>
      </c>
      <c r="C493" s="358">
        <f>SF!I751</f>
        <v>0</v>
      </c>
      <c r="D493" s="354" t="s">
        <v>102</v>
      </c>
      <c r="E493" s="355">
        <f>SF!K751</f>
        <v>873.89</v>
      </c>
      <c r="F493" s="353">
        <f>ROUND(C493*E493,0)</f>
        <v>0</v>
      </c>
      <c r="G493" s="368"/>
      <c r="H493" s="368"/>
      <c r="I493" s="368">
        <f>C493-G493</f>
        <v>0</v>
      </c>
      <c r="J493" s="368">
        <f>F493-H493</f>
        <v>0</v>
      </c>
      <c r="K493" s="360" t="s">
        <v>2313</v>
      </c>
    </row>
    <row r="494" spans="1:11" s="360" customFormat="1" ht="20.25" hidden="1" customHeight="1">
      <c r="A494" s="356" t="s">
        <v>532</v>
      </c>
      <c r="B494" s="357" t="s">
        <v>2109</v>
      </c>
      <c r="C494" s="358">
        <f>SF!I757</f>
        <v>0</v>
      </c>
      <c r="D494" s="354" t="s">
        <v>102</v>
      </c>
      <c r="E494" s="355">
        <f>SF!K757</f>
        <v>502.03</v>
      </c>
      <c r="F494" s="353">
        <f t="shared" si="20"/>
        <v>0</v>
      </c>
      <c r="G494" s="368"/>
      <c r="H494" s="368"/>
      <c r="I494" s="368">
        <f t="shared" si="17"/>
        <v>0</v>
      </c>
      <c r="J494" s="368">
        <f t="shared" si="18"/>
        <v>0</v>
      </c>
      <c r="K494" s="360" t="s">
        <v>2217</v>
      </c>
    </row>
    <row r="495" spans="1:11" s="360" customFormat="1" ht="20.25" hidden="1" customHeight="1">
      <c r="A495" s="356" t="s">
        <v>532</v>
      </c>
      <c r="B495" s="357" t="s">
        <v>2109</v>
      </c>
      <c r="C495" s="358">
        <f>SF!I763</f>
        <v>0</v>
      </c>
      <c r="D495" s="354" t="s">
        <v>102</v>
      </c>
      <c r="E495" s="355">
        <f>SF!K763</f>
        <v>512.04</v>
      </c>
      <c r="F495" s="353">
        <f>ROUND(C495*E495,0)</f>
        <v>0</v>
      </c>
      <c r="G495" s="368"/>
      <c r="H495" s="368"/>
      <c r="I495" s="368">
        <f>C495-G495</f>
        <v>0</v>
      </c>
      <c r="J495" s="368">
        <f>F495-H495</f>
        <v>0</v>
      </c>
      <c r="K495" s="360" t="s">
        <v>2299</v>
      </c>
    </row>
    <row r="496" spans="1:11" s="360" customFormat="1" ht="20.25" hidden="1" customHeight="1">
      <c r="A496" s="356" t="s">
        <v>532</v>
      </c>
      <c r="B496" s="357" t="s">
        <v>2109</v>
      </c>
      <c r="C496" s="358">
        <f>SF!I769</f>
        <v>0</v>
      </c>
      <c r="D496" s="354" t="s">
        <v>102</v>
      </c>
      <c r="E496" s="355">
        <f>SF!K769</f>
        <v>520.52</v>
      </c>
      <c r="F496" s="353">
        <f>ROUND(C496*E496,0)</f>
        <v>0</v>
      </c>
      <c r="G496" s="368"/>
      <c r="H496" s="368"/>
      <c r="I496" s="368">
        <f>C496-G496</f>
        <v>0</v>
      </c>
      <c r="J496" s="368">
        <f>F496-H496</f>
        <v>0</v>
      </c>
      <c r="K496" s="360" t="s">
        <v>2312</v>
      </c>
    </row>
    <row r="497" spans="1:11" s="360" customFormat="1" ht="20.25" hidden="1" customHeight="1">
      <c r="A497" s="356" t="s">
        <v>532</v>
      </c>
      <c r="B497" s="357" t="s">
        <v>2109</v>
      </c>
      <c r="C497" s="358">
        <f>SF!I775</f>
        <v>0</v>
      </c>
      <c r="D497" s="354" t="s">
        <v>102</v>
      </c>
      <c r="E497" s="355">
        <f>SF!K775</f>
        <v>536.26</v>
      </c>
      <c r="F497" s="353">
        <f>ROUND(C497*E497,0)</f>
        <v>0</v>
      </c>
      <c r="G497" s="368"/>
      <c r="H497" s="368"/>
      <c r="I497" s="368">
        <f>C497-G497</f>
        <v>0</v>
      </c>
      <c r="J497" s="368">
        <f>F497-H497</f>
        <v>0</v>
      </c>
      <c r="K497" s="360" t="s">
        <v>2313</v>
      </c>
    </row>
    <row r="498" spans="1:11" s="360" customFormat="1" ht="20.25" hidden="1" customHeight="1">
      <c r="A498" s="356" t="s">
        <v>492</v>
      </c>
      <c r="B498" s="357" t="s">
        <v>1222</v>
      </c>
      <c r="C498" s="358">
        <f>SF!I781</f>
        <v>0</v>
      </c>
      <c r="D498" s="354" t="s">
        <v>102</v>
      </c>
      <c r="E498" s="355">
        <f>SF!K781</f>
        <v>977.96</v>
      </c>
      <c r="F498" s="353">
        <f t="shared" si="20"/>
        <v>0</v>
      </c>
      <c r="G498" s="368"/>
      <c r="H498" s="368"/>
      <c r="I498" s="368">
        <f t="shared" si="17"/>
        <v>0</v>
      </c>
      <c r="J498" s="368">
        <f t="shared" si="18"/>
        <v>0</v>
      </c>
      <c r="K498" s="360" t="s">
        <v>2217</v>
      </c>
    </row>
    <row r="499" spans="1:11" s="360" customFormat="1" ht="20.25" hidden="1" customHeight="1">
      <c r="A499" s="356" t="s">
        <v>492</v>
      </c>
      <c r="B499" s="357" t="s">
        <v>1222</v>
      </c>
      <c r="C499" s="358">
        <f>SF!I787</f>
        <v>0</v>
      </c>
      <c r="D499" s="354" t="s">
        <v>102</v>
      </c>
      <c r="E499" s="355">
        <f>SF!K787</f>
        <v>1023.19</v>
      </c>
      <c r="F499" s="353">
        <f>ROUND(C499*E499,0)</f>
        <v>0</v>
      </c>
      <c r="G499" s="368"/>
      <c r="H499" s="368"/>
      <c r="I499" s="368">
        <f>C499-G499</f>
        <v>0</v>
      </c>
      <c r="J499" s="368">
        <f>F499-H499</f>
        <v>0</v>
      </c>
      <c r="K499" s="360" t="s">
        <v>2299</v>
      </c>
    </row>
    <row r="500" spans="1:11" s="360" customFormat="1" ht="20.25" hidden="1" customHeight="1">
      <c r="A500" s="356" t="s">
        <v>492</v>
      </c>
      <c r="B500" s="357" t="s">
        <v>1222</v>
      </c>
      <c r="C500" s="358">
        <f>SF!I793</f>
        <v>0</v>
      </c>
      <c r="D500" s="354" t="s">
        <v>102</v>
      </c>
      <c r="E500" s="355">
        <f>SF!K793</f>
        <v>1058.68</v>
      </c>
      <c r="F500" s="353">
        <f>ROUND(C500*E500,0)</f>
        <v>0</v>
      </c>
      <c r="G500" s="368"/>
      <c r="H500" s="368"/>
      <c r="I500" s="368">
        <f>C500-G500</f>
        <v>0</v>
      </c>
      <c r="J500" s="368">
        <f>F500-H500</f>
        <v>0</v>
      </c>
      <c r="K500" s="360" t="s">
        <v>2312</v>
      </c>
    </row>
    <row r="501" spans="1:11" s="360" customFormat="1" ht="20.25" hidden="1" customHeight="1">
      <c r="A501" s="356" t="s">
        <v>492</v>
      </c>
      <c r="B501" s="357" t="s">
        <v>1222</v>
      </c>
      <c r="C501" s="358">
        <f>SF!I799</f>
        <v>0</v>
      </c>
      <c r="D501" s="354" t="s">
        <v>102</v>
      </c>
      <c r="E501" s="355">
        <f>SF!K799</f>
        <v>1100.49</v>
      </c>
      <c r="F501" s="353">
        <f>ROUND(C501*E501,0)</f>
        <v>0</v>
      </c>
      <c r="G501" s="368"/>
      <c r="H501" s="368"/>
      <c r="I501" s="368">
        <f>C501-G501</f>
        <v>0</v>
      </c>
      <c r="J501" s="368">
        <f>F501-H501</f>
        <v>0</v>
      </c>
      <c r="K501" s="360" t="s">
        <v>2313</v>
      </c>
    </row>
    <row r="502" spans="1:11" s="360" customFormat="1" ht="20.25" hidden="1" customHeight="1">
      <c r="A502" s="356" t="s">
        <v>533</v>
      </c>
      <c r="B502" s="357" t="s">
        <v>2230</v>
      </c>
      <c r="C502" s="358">
        <f>SF!I807</f>
        <v>0</v>
      </c>
      <c r="D502" s="354" t="s">
        <v>102</v>
      </c>
      <c r="E502" s="355">
        <f>SF!K807</f>
        <v>21.43</v>
      </c>
      <c r="F502" s="353">
        <f t="shared" si="20"/>
        <v>0</v>
      </c>
      <c r="G502" s="368"/>
      <c r="H502" s="368"/>
      <c r="I502" s="368">
        <f t="shared" si="17"/>
        <v>0</v>
      </c>
      <c r="J502" s="368">
        <f t="shared" si="18"/>
        <v>0</v>
      </c>
      <c r="K502" s="360" t="s">
        <v>2217</v>
      </c>
    </row>
    <row r="503" spans="1:11" s="360" customFormat="1" ht="20.25" hidden="1" customHeight="1">
      <c r="A503" s="356" t="s">
        <v>533</v>
      </c>
      <c r="B503" s="357" t="s">
        <v>2230</v>
      </c>
      <c r="C503" s="358">
        <f>SF!I815</f>
        <v>0</v>
      </c>
      <c r="D503" s="354" t="s">
        <v>102</v>
      </c>
      <c r="E503" s="355">
        <f>SF!K815</f>
        <v>22.88</v>
      </c>
      <c r="F503" s="353">
        <f>ROUND(C503*E503,0)</f>
        <v>0</v>
      </c>
      <c r="G503" s="368"/>
      <c r="H503" s="368"/>
      <c r="I503" s="368">
        <f>C503-G503</f>
        <v>0</v>
      </c>
      <c r="J503" s="368">
        <f>F503-H503</f>
        <v>0</v>
      </c>
      <c r="K503" s="360" t="s">
        <v>2299</v>
      </c>
    </row>
    <row r="504" spans="1:11" s="360" customFormat="1" ht="20.25" hidden="1" customHeight="1">
      <c r="A504" s="356" t="s">
        <v>533</v>
      </c>
      <c r="B504" s="357" t="s">
        <v>2230</v>
      </c>
      <c r="C504" s="358">
        <f>SF!I823</f>
        <v>0</v>
      </c>
      <c r="D504" s="354" t="s">
        <v>102</v>
      </c>
      <c r="E504" s="355">
        <f>SF!K823</f>
        <v>25.95</v>
      </c>
      <c r="F504" s="353">
        <f>ROUND(C504*E504,0)</f>
        <v>0</v>
      </c>
      <c r="G504" s="368"/>
      <c r="H504" s="368"/>
      <c r="I504" s="368">
        <f>C504-G504</f>
        <v>0</v>
      </c>
      <c r="J504" s="368">
        <f>F504-H504</f>
        <v>0</v>
      </c>
      <c r="K504" s="360" t="s">
        <v>2312</v>
      </c>
    </row>
    <row r="505" spans="1:11" s="360" customFormat="1" ht="20.25" hidden="1" customHeight="1">
      <c r="A505" s="356" t="s">
        <v>533</v>
      </c>
      <c r="B505" s="357" t="s">
        <v>2230</v>
      </c>
      <c r="C505" s="358">
        <f>SF!I831</f>
        <v>0</v>
      </c>
      <c r="D505" s="354" t="s">
        <v>102</v>
      </c>
      <c r="E505" s="355">
        <f>SF!K831</f>
        <v>27.91</v>
      </c>
      <c r="F505" s="353">
        <f>ROUND(C505*E505,0)</f>
        <v>0</v>
      </c>
      <c r="G505" s="368"/>
      <c r="H505" s="368"/>
      <c r="I505" s="368">
        <f>C505-G505</f>
        <v>0</v>
      </c>
      <c r="J505" s="368">
        <f>F505-H505</f>
        <v>0</v>
      </c>
      <c r="K505" s="360" t="s">
        <v>2313</v>
      </c>
    </row>
    <row r="506" spans="1:11" s="360" customFormat="1" ht="20.25" hidden="1" customHeight="1">
      <c r="A506" s="356" t="s">
        <v>514</v>
      </c>
      <c r="B506" s="357" t="s">
        <v>2111</v>
      </c>
      <c r="C506" s="358">
        <f>SF!I839</f>
        <v>0</v>
      </c>
      <c r="D506" s="354" t="s">
        <v>102</v>
      </c>
      <c r="E506" s="355">
        <f>SF!K839</f>
        <v>164.74</v>
      </c>
      <c r="F506" s="353">
        <f t="shared" si="20"/>
        <v>0</v>
      </c>
      <c r="G506" s="368"/>
      <c r="H506" s="368"/>
      <c r="I506" s="368">
        <f t="shared" si="17"/>
        <v>0</v>
      </c>
      <c r="J506" s="368">
        <f t="shared" si="18"/>
        <v>0</v>
      </c>
      <c r="K506" s="360" t="s">
        <v>2217</v>
      </c>
    </row>
    <row r="507" spans="1:11" s="360" customFormat="1" ht="20.25" hidden="1" customHeight="1">
      <c r="A507" s="356" t="s">
        <v>531</v>
      </c>
      <c r="B507" s="357" t="s">
        <v>2111</v>
      </c>
      <c r="C507" s="358">
        <f>SF!I847</f>
        <v>0</v>
      </c>
      <c r="D507" s="354" t="s">
        <v>102</v>
      </c>
      <c r="E507" s="355">
        <f>SF!K847</f>
        <v>173.39</v>
      </c>
      <c r="F507" s="353">
        <f>ROUND(C507*E507,0)</f>
        <v>0</v>
      </c>
      <c r="G507" s="368"/>
      <c r="H507" s="368"/>
      <c r="I507" s="368">
        <f>C507-G507</f>
        <v>0</v>
      </c>
      <c r="J507" s="368">
        <f>F507-H507</f>
        <v>0</v>
      </c>
      <c r="K507" s="360" t="s">
        <v>2299</v>
      </c>
    </row>
    <row r="508" spans="1:11" s="360" customFormat="1" ht="20.25" hidden="1" customHeight="1">
      <c r="A508" s="356" t="s">
        <v>531</v>
      </c>
      <c r="B508" s="357" t="s">
        <v>2111</v>
      </c>
      <c r="C508" s="358">
        <f>SF!I855</f>
        <v>0</v>
      </c>
      <c r="D508" s="354" t="s">
        <v>102</v>
      </c>
      <c r="E508" s="355">
        <f>SF!K855</f>
        <v>179.94</v>
      </c>
      <c r="F508" s="353">
        <f>ROUND(C508*E508,0)</f>
        <v>0</v>
      </c>
      <c r="G508" s="368"/>
      <c r="H508" s="368"/>
      <c r="I508" s="368">
        <f>C508-G508</f>
        <v>0</v>
      </c>
      <c r="J508" s="368">
        <f>F508-H508</f>
        <v>0</v>
      </c>
      <c r="K508" s="360" t="s">
        <v>2312</v>
      </c>
    </row>
    <row r="509" spans="1:11" s="360" customFormat="1" ht="20.25" hidden="1" customHeight="1">
      <c r="A509" s="356" t="s">
        <v>513</v>
      </c>
      <c r="B509" s="357" t="s">
        <v>2111</v>
      </c>
      <c r="C509" s="358">
        <f>SF!I863</f>
        <v>0</v>
      </c>
      <c r="D509" s="354" t="s">
        <v>102</v>
      </c>
      <c r="E509" s="355">
        <f>SF!K863</f>
        <v>194.34</v>
      </c>
      <c r="F509" s="353">
        <f>ROUND(C509*E509,0)</f>
        <v>0</v>
      </c>
      <c r="G509" s="368"/>
      <c r="H509" s="368"/>
      <c r="I509" s="368">
        <f>C509-G509</f>
        <v>0</v>
      </c>
      <c r="J509" s="368">
        <f>F509-H509</f>
        <v>0</v>
      </c>
      <c r="K509" s="360" t="s">
        <v>2313</v>
      </c>
    </row>
    <row r="510" spans="1:11" s="360" customFormat="1" ht="20.25" hidden="1" customHeight="1">
      <c r="A510" s="356" t="s">
        <v>525</v>
      </c>
      <c r="B510" s="357" t="s">
        <v>2169</v>
      </c>
      <c r="C510" s="358">
        <f>SF!I871</f>
        <v>0</v>
      </c>
      <c r="D510" s="354" t="s">
        <v>102</v>
      </c>
      <c r="E510" s="355">
        <f>SF!K871</f>
        <v>140.87</v>
      </c>
      <c r="F510" s="353">
        <f t="shared" si="20"/>
        <v>0</v>
      </c>
      <c r="G510" s="368"/>
      <c r="H510" s="368"/>
      <c r="I510" s="368">
        <f t="shared" si="17"/>
        <v>0</v>
      </c>
      <c r="J510" s="368">
        <f t="shared" si="18"/>
        <v>0</v>
      </c>
      <c r="K510" s="360" t="s">
        <v>2217</v>
      </c>
    </row>
    <row r="511" spans="1:11" s="360" customFormat="1" ht="20.25" hidden="1" customHeight="1">
      <c r="A511" s="356" t="s">
        <v>524</v>
      </c>
      <c r="B511" s="357" t="s">
        <v>2169</v>
      </c>
      <c r="C511" s="358">
        <f>SF!I883</f>
        <v>0</v>
      </c>
      <c r="D511" s="354" t="s">
        <v>102</v>
      </c>
      <c r="E511" s="355">
        <f>SF!K883</f>
        <v>149.66</v>
      </c>
      <c r="F511" s="353">
        <f>ROUND(C511*E511,0)</f>
        <v>0</v>
      </c>
      <c r="G511" s="368"/>
      <c r="H511" s="368"/>
      <c r="I511" s="368">
        <f>C511-G511</f>
        <v>0</v>
      </c>
      <c r="J511" s="368">
        <f>F511-H511</f>
        <v>0</v>
      </c>
      <c r="K511" s="360" t="s">
        <v>2299</v>
      </c>
    </row>
    <row r="512" spans="1:11" s="360" customFormat="1" ht="20.25" hidden="1" customHeight="1">
      <c r="A512" s="356" t="s">
        <v>525</v>
      </c>
      <c r="B512" s="357" t="s">
        <v>2169</v>
      </c>
      <c r="C512" s="358">
        <f>SF!I891</f>
        <v>0</v>
      </c>
      <c r="D512" s="354" t="s">
        <v>102</v>
      </c>
      <c r="E512" s="355">
        <f>SF!K891</f>
        <v>156.4</v>
      </c>
      <c r="F512" s="353">
        <f>ROUND(C512*E512,0)</f>
        <v>0</v>
      </c>
      <c r="G512" s="368"/>
      <c r="H512" s="368"/>
      <c r="I512" s="368">
        <f>C512-G512</f>
        <v>0</v>
      </c>
      <c r="J512" s="368">
        <f>F512-H512</f>
        <v>0</v>
      </c>
      <c r="K512" s="360" t="s">
        <v>2312</v>
      </c>
    </row>
    <row r="513" spans="1:11" s="360" customFormat="1" ht="20.25" hidden="1" customHeight="1">
      <c r="A513" s="356" t="s">
        <v>515</v>
      </c>
      <c r="B513" s="357" t="s">
        <v>2169</v>
      </c>
      <c r="C513" s="358">
        <f>SF!I899</f>
        <v>0</v>
      </c>
      <c r="D513" s="354" t="s">
        <v>102</v>
      </c>
      <c r="E513" s="355">
        <f>SF!K899</f>
        <v>169.89</v>
      </c>
      <c r="F513" s="353">
        <f>ROUND(C513*E513,0)</f>
        <v>0</v>
      </c>
      <c r="G513" s="368"/>
      <c r="H513" s="368"/>
      <c r="I513" s="368">
        <f>C513-G513</f>
        <v>0</v>
      </c>
      <c r="J513" s="368">
        <f>F513-H513</f>
        <v>0</v>
      </c>
      <c r="K513" s="360" t="s">
        <v>2313</v>
      </c>
    </row>
    <row r="514" spans="1:11" s="360" customFormat="1" ht="20.25" hidden="1" customHeight="1">
      <c r="A514" s="356" t="s">
        <v>526</v>
      </c>
      <c r="B514" s="357" t="s">
        <v>2170</v>
      </c>
      <c r="C514" s="358">
        <f>SF!I906</f>
        <v>0</v>
      </c>
      <c r="D514" s="354" t="s">
        <v>102</v>
      </c>
      <c r="E514" s="355">
        <f>SF!K906</f>
        <v>192.71</v>
      </c>
      <c r="F514" s="353">
        <f t="shared" si="20"/>
        <v>0</v>
      </c>
      <c r="G514" s="368"/>
      <c r="H514" s="368"/>
      <c r="I514" s="368">
        <f t="shared" si="17"/>
        <v>0</v>
      </c>
      <c r="J514" s="368">
        <f t="shared" si="18"/>
        <v>0</v>
      </c>
      <c r="K514" s="360" t="s">
        <v>2217</v>
      </c>
    </row>
    <row r="515" spans="1:11" s="360" customFormat="1" ht="20.25" hidden="1" customHeight="1">
      <c r="A515" s="356" t="s">
        <v>525</v>
      </c>
      <c r="B515" s="357" t="s">
        <v>2170</v>
      </c>
      <c r="C515" s="358">
        <f>SF!I914</f>
        <v>0</v>
      </c>
      <c r="D515" s="354" t="s">
        <v>102</v>
      </c>
      <c r="E515" s="355">
        <f>SF!K914</f>
        <v>206.39</v>
      </c>
      <c r="F515" s="353">
        <f>ROUND(C515*E515,0)</f>
        <v>0</v>
      </c>
      <c r="G515" s="368"/>
      <c r="H515" s="368"/>
      <c r="I515" s="368">
        <f>C515-G515</f>
        <v>0</v>
      </c>
      <c r="J515" s="368">
        <f>F515-H515</f>
        <v>0</v>
      </c>
      <c r="K515" s="360" t="s">
        <v>2299</v>
      </c>
    </row>
    <row r="516" spans="1:11" s="360" customFormat="1" ht="20.25" hidden="1" customHeight="1">
      <c r="A516" s="356" t="s">
        <v>526</v>
      </c>
      <c r="B516" s="357" t="s">
        <v>2170</v>
      </c>
      <c r="C516" s="358">
        <f>SF!I921</f>
        <v>0</v>
      </c>
      <c r="D516" s="354" t="s">
        <v>102</v>
      </c>
      <c r="E516" s="355">
        <f>SF!K921</f>
        <v>216.76</v>
      </c>
      <c r="F516" s="353">
        <f>ROUND(C516*E516,0)</f>
        <v>0</v>
      </c>
      <c r="G516" s="368"/>
      <c r="H516" s="368"/>
      <c r="I516" s="368">
        <f>C516-G516</f>
        <v>0</v>
      </c>
      <c r="J516" s="368">
        <f>F516-H516</f>
        <v>0</v>
      </c>
      <c r="K516" s="360" t="s">
        <v>2312</v>
      </c>
    </row>
    <row r="517" spans="1:11" s="360" customFormat="1" ht="20.25" hidden="1" customHeight="1">
      <c r="A517" s="356" t="s">
        <v>516</v>
      </c>
      <c r="B517" s="357" t="s">
        <v>2170</v>
      </c>
      <c r="C517" s="358">
        <f>SF!I937</f>
        <v>0</v>
      </c>
      <c r="D517" s="354" t="s">
        <v>102</v>
      </c>
      <c r="E517" s="355">
        <f>SF!K937</f>
        <v>233.59</v>
      </c>
      <c r="F517" s="353">
        <f>ROUND(C517*E517,0)</f>
        <v>0</v>
      </c>
      <c r="G517" s="368"/>
      <c r="H517" s="368"/>
      <c r="I517" s="368">
        <f>C517-G517</f>
        <v>0</v>
      </c>
      <c r="J517" s="368">
        <f>F517-H517</f>
        <v>0</v>
      </c>
      <c r="K517" s="360" t="s">
        <v>2313</v>
      </c>
    </row>
    <row r="518" spans="1:11" s="360" customFormat="1" ht="20.25" hidden="1" customHeight="1">
      <c r="A518" s="356" t="s">
        <v>517</v>
      </c>
      <c r="B518" s="357" t="s">
        <v>477</v>
      </c>
      <c r="C518" s="429">
        <f>SF!I943</f>
        <v>0</v>
      </c>
      <c r="D518" s="221" t="s">
        <v>29</v>
      </c>
      <c r="E518" s="430">
        <f>SF!K943</f>
        <v>64288.5</v>
      </c>
      <c r="F518" s="353">
        <f t="shared" si="20"/>
        <v>0</v>
      </c>
      <c r="G518" s="368"/>
      <c r="H518" s="368"/>
      <c r="I518" s="368">
        <f t="shared" si="17"/>
        <v>0</v>
      </c>
      <c r="J518" s="368">
        <f t="shared" si="18"/>
        <v>0</v>
      </c>
      <c r="K518" s="360" t="s">
        <v>2217</v>
      </c>
    </row>
    <row r="519" spans="1:11" s="360" customFormat="1" ht="20.25" hidden="1" customHeight="1">
      <c r="A519" s="356" t="s">
        <v>526</v>
      </c>
      <c r="B519" s="357" t="s">
        <v>477</v>
      </c>
      <c r="C519" s="429">
        <f>SF!I948</f>
        <v>0</v>
      </c>
      <c r="D519" s="221" t="s">
        <v>29</v>
      </c>
      <c r="E519" s="430">
        <f>SF!K948</f>
        <v>64635</v>
      </c>
      <c r="F519" s="353">
        <f>ROUND(C519*E519,0)</f>
        <v>0</v>
      </c>
      <c r="G519" s="368"/>
      <c r="H519" s="368"/>
      <c r="I519" s="368">
        <f>C519-G519</f>
        <v>0</v>
      </c>
      <c r="J519" s="368">
        <f>F519-H519</f>
        <v>0</v>
      </c>
      <c r="K519" s="360" t="s">
        <v>2299</v>
      </c>
    </row>
    <row r="520" spans="1:11" s="360" customFormat="1" ht="20.25" hidden="1" customHeight="1">
      <c r="A520" s="356" t="s">
        <v>525</v>
      </c>
      <c r="B520" s="357" t="s">
        <v>477</v>
      </c>
      <c r="C520" s="429">
        <f>SF!I954</f>
        <v>0</v>
      </c>
      <c r="D520" s="221" t="s">
        <v>29</v>
      </c>
      <c r="E520" s="430">
        <f>SF!K954</f>
        <v>82189.5</v>
      </c>
      <c r="F520" s="353">
        <f>ROUND(C520*E520,0)</f>
        <v>0</v>
      </c>
      <c r="G520" s="368"/>
      <c r="H520" s="368"/>
      <c r="I520" s="368">
        <f>C520-G520</f>
        <v>0</v>
      </c>
      <c r="J520" s="368">
        <f>F520-H520</f>
        <v>0</v>
      </c>
      <c r="K520" s="360" t="s">
        <v>2312</v>
      </c>
    </row>
    <row r="521" spans="1:11" s="360" customFormat="1" ht="20.25" hidden="1" customHeight="1">
      <c r="A521" s="356" t="s">
        <v>525</v>
      </c>
      <c r="B521" s="357" t="s">
        <v>477</v>
      </c>
      <c r="C521" s="429">
        <f>SF!I960</f>
        <v>0</v>
      </c>
      <c r="D521" s="221" t="s">
        <v>29</v>
      </c>
      <c r="E521" s="430">
        <f>SF!K960</f>
        <v>95016</v>
      </c>
      <c r="F521" s="353">
        <f>ROUND(C521*E521,0)</f>
        <v>0</v>
      </c>
      <c r="G521" s="368"/>
      <c r="H521" s="368"/>
      <c r="I521" s="368">
        <f>C521-G521</f>
        <v>0</v>
      </c>
      <c r="J521" s="368">
        <f>F521-H521</f>
        <v>0</v>
      </c>
      <c r="K521" s="360" t="s">
        <v>2313</v>
      </c>
    </row>
    <row r="522" spans="1:11" s="360" customFormat="1" ht="20.25" hidden="1" customHeight="1">
      <c r="A522" s="356"/>
      <c r="B522" s="431" t="s">
        <v>890</v>
      </c>
      <c r="C522" s="429"/>
      <c r="D522" s="221"/>
      <c r="E522" s="430"/>
      <c r="F522" s="353"/>
      <c r="G522" s="368"/>
      <c r="H522" s="368"/>
      <c r="I522" s="368">
        <f t="shared" si="17"/>
        <v>0</v>
      </c>
      <c r="J522" s="368">
        <f t="shared" si="18"/>
        <v>0</v>
      </c>
      <c r="K522" s="360" t="s">
        <v>2217</v>
      </c>
    </row>
    <row r="523" spans="1:11" s="360" customFormat="1" ht="20.25" hidden="1" customHeight="1">
      <c r="A523" s="356" t="s">
        <v>527</v>
      </c>
      <c r="B523" s="357" t="s">
        <v>2145</v>
      </c>
      <c r="C523" s="358">
        <f>'PART-A'!I2499</f>
        <v>0</v>
      </c>
      <c r="D523" s="354" t="s">
        <v>115</v>
      </c>
      <c r="E523" s="355">
        <f>'PART-A'!K2499</f>
        <v>20396.340000000004</v>
      </c>
      <c r="F523" s="353">
        <f t="shared" ref="F523:F656" si="22">ROUND(C523*E523,0)</f>
        <v>0</v>
      </c>
      <c r="G523" s="353"/>
      <c r="H523" s="353"/>
      <c r="I523" s="368">
        <f t="shared" si="17"/>
        <v>0</v>
      </c>
      <c r="J523" s="368">
        <f t="shared" si="18"/>
        <v>0</v>
      </c>
      <c r="K523" s="360" t="s">
        <v>2217</v>
      </c>
    </row>
    <row r="524" spans="1:11" s="360" customFormat="1" ht="20.25" hidden="1" customHeight="1">
      <c r="A524" s="356" t="s">
        <v>527</v>
      </c>
      <c r="B524" s="357" t="s">
        <v>2145</v>
      </c>
      <c r="C524" s="358">
        <f>'PART-A'!I2632</f>
        <v>0</v>
      </c>
      <c r="D524" s="354" t="s">
        <v>115</v>
      </c>
      <c r="E524" s="355">
        <f>'PART-A'!K2632</f>
        <v>20396.340000000004</v>
      </c>
      <c r="F524" s="353">
        <f>ROUND(C524*E524,0)</f>
        <v>0</v>
      </c>
      <c r="G524" s="353"/>
      <c r="H524" s="353"/>
      <c r="I524" s="368">
        <f>C524-G524</f>
        <v>0</v>
      </c>
      <c r="J524" s="368">
        <f>F524-H524</f>
        <v>0</v>
      </c>
      <c r="K524" s="360" t="s">
        <v>2299</v>
      </c>
    </row>
    <row r="525" spans="1:11" s="360" customFormat="1" ht="20.25" hidden="1" customHeight="1">
      <c r="A525" s="356" t="s">
        <v>1515</v>
      </c>
      <c r="B525" s="357" t="s">
        <v>2145</v>
      </c>
      <c r="C525" s="358">
        <f>'PART-A'!I2770</f>
        <v>0</v>
      </c>
      <c r="D525" s="354" t="s">
        <v>115</v>
      </c>
      <c r="E525" s="355">
        <f>'PART-A'!K2770</f>
        <v>18903.09</v>
      </c>
      <c r="F525" s="353">
        <f>ROUND(C525*E525,0)</f>
        <v>0</v>
      </c>
      <c r="G525" s="353"/>
      <c r="H525" s="353"/>
      <c r="I525" s="368">
        <f>C525-G525</f>
        <v>0</v>
      </c>
      <c r="J525" s="368">
        <f>F525-H525</f>
        <v>0</v>
      </c>
      <c r="K525" s="360" t="s">
        <v>2312</v>
      </c>
    </row>
    <row r="526" spans="1:11" s="360" customFormat="1" ht="20.25" hidden="1" customHeight="1">
      <c r="A526" s="356" t="s">
        <v>489</v>
      </c>
      <c r="B526" s="357" t="s">
        <v>2145</v>
      </c>
      <c r="C526" s="358">
        <f>'PART-A'!I2903</f>
        <v>0</v>
      </c>
      <c r="D526" s="354" t="s">
        <v>115</v>
      </c>
      <c r="E526" s="355">
        <f>'PART-A'!K2903</f>
        <v>22903.660000000003</v>
      </c>
      <c r="F526" s="353">
        <f>ROUND(C526*E526,0)</f>
        <v>0</v>
      </c>
      <c r="G526" s="353"/>
      <c r="H526" s="353"/>
      <c r="I526" s="368">
        <f>C526-G526</f>
        <v>0</v>
      </c>
      <c r="J526" s="368">
        <f>F526-H526</f>
        <v>0</v>
      </c>
      <c r="K526" s="360" t="s">
        <v>2313</v>
      </c>
    </row>
    <row r="527" spans="1:11" s="360" customFormat="1" ht="20.25" hidden="1" customHeight="1">
      <c r="A527" s="356" t="s">
        <v>1578</v>
      </c>
      <c r="B527" s="357" t="s">
        <v>2145</v>
      </c>
      <c r="C527" s="358">
        <f>'PART-A'!I2509</f>
        <v>0</v>
      </c>
      <c r="D527" s="354" t="s">
        <v>115</v>
      </c>
      <c r="E527" s="355">
        <f>'PART-A'!K2509</f>
        <v>9855.7799999999988</v>
      </c>
      <c r="F527" s="353">
        <f t="shared" ref="F527" si="23">ROUND(C527*E527,0)</f>
        <v>0</v>
      </c>
      <c r="G527" s="353"/>
      <c r="H527" s="353"/>
      <c r="I527" s="368">
        <f t="shared" ref="I527" si="24">C527-G527</f>
        <v>0</v>
      </c>
      <c r="J527" s="368">
        <f t="shared" ref="J527" si="25">F527-H527</f>
        <v>0</v>
      </c>
      <c r="K527" s="360" t="s">
        <v>2217</v>
      </c>
    </row>
    <row r="528" spans="1:11" s="360" customFormat="1" ht="20.25" hidden="1" customHeight="1">
      <c r="A528" s="356" t="s">
        <v>1578</v>
      </c>
      <c r="B528" s="357" t="s">
        <v>2145</v>
      </c>
      <c r="C528" s="358">
        <f>'PART-A'!I2642</f>
        <v>0</v>
      </c>
      <c r="D528" s="354" t="s">
        <v>115</v>
      </c>
      <c r="E528" s="355">
        <f>'PART-A'!K2642</f>
        <v>9855.7799999999988</v>
      </c>
      <c r="F528" s="353">
        <f>ROUND(C528*E528,0)</f>
        <v>0</v>
      </c>
      <c r="G528" s="353"/>
      <c r="H528" s="353"/>
      <c r="I528" s="368">
        <f>C528-G528</f>
        <v>0</v>
      </c>
      <c r="J528" s="368">
        <f>F528-H528</f>
        <v>0</v>
      </c>
      <c r="K528" s="360" t="s">
        <v>2299</v>
      </c>
    </row>
    <row r="529" spans="1:11" s="360" customFormat="1" ht="20.25" hidden="1" customHeight="1">
      <c r="A529" s="356" t="s">
        <v>1578</v>
      </c>
      <c r="B529" s="357" t="s">
        <v>2145</v>
      </c>
      <c r="C529" s="358">
        <f>'PART-A'!I2780</f>
        <v>0</v>
      </c>
      <c r="D529" s="354" t="s">
        <v>115</v>
      </c>
      <c r="E529" s="355">
        <f>'PART-A'!K2780</f>
        <v>10134.49</v>
      </c>
      <c r="F529" s="353">
        <f>ROUND(C529*E529,0)</f>
        <v>0</v>
      </c>
      <c r="G529" s="353"/>
      <c r="H529" s="353"/>
      <c r="I529" s="368">
        <f>C529-G529</f>
        <v>0</v>
      </c>
      <c r="J529" s="368">
        <f>F529-H529</f>
        <v>0</v>
      </c>
      <c r="K529" s="360" t="s">
        <v>2312</v>
      </c>
    </row>
    <row r="530" spans="1:11" s="360" customFormat="1" ht="20.25" hidden="1" customHeight="1">
      <c r="A530" s="356" t="s">
        <v>1578</v>
      </c>
      <c r="B530" s="357" t="s">
        <v>2145</v>
      </c>
      <c r="C530" s="358">
        <f>'PART-A'!I2913</f>
        <v>0</v>
      </c>
      <c r="D530" s="354" t="s">
        <v>115</v>
      </c>
      <c r="E530" s="355">
        <f>'PART-A'!K2913</f>
        <v>11442.58</v>
      </c>
      <c r="F530" s="353">
        <f>ROUND(C530*E530,0)</f>
        <v>0</v>
      </c>
      <c r="G530" s="353"/>
      <c r="H530" s="353"/>
      <c r="I530" s="368">
        <f>C530-G530</f>
        <v>0</v>
      </c>
      <c r="J530" s="368">
        <f>F530-H530</f>
        <v>0</v>
      </c>
      <c r="K530" s="360" t="s">
        <v>2313</v>
      </c>
    </row>
    <row r="531" spans="1:11" s="360" customFormat="1" ht="20.25" hidden="1" customHeight="1">
      <c r="A531" s="356" t="s">
        <v>1514</v>
      </c>
      <c r="B531" s="357" t="s">
        <v>2235</v>
      </c>
      <c r="C531" s="358">
        <f>'PART-A'!I2514</f>
        <v>0</v>
      </c>
      <c r="D531" s="354" t="s">
        <v>115</v>
      </c>
      <c r="E531" s="355">
        <f>'PART-A'!K2514</f>
        <v>14099.53</v>
      </c>
      <c r="F531" s="353">
        <f t="shared" si="22"/>
        <v>0</v>
      </c>
      <c r="G531" s="353"/>
      <c r="H531" s="353"/>
      <c r="I531" s="368">
        <f t="shared" si="17"/>
        <v>0</v>
      </c>
      <c r="J531" s="368">
        <f t="shared" si="18"/>
        <v>0</v>
      </c>
      <c r="K531" s="360" t="s">
        <v>2217</v>
      </c>
    </row>
    <row r="532" spans="1:11" s="360" customFormat="1" ht="20.25" hidden="1" customHeight="1">
      <c r="A532" s="356" t="s">
        <v>1514</v>
      </c>
      <c r="B532" s="357" t="s">
        <v>2235</v>
      </c>
      <c r="C532" s="358">
        <f>'PART-A'!I2647</f>
        <v>0</v>
      </c>
      <c r="D532" s="354" t="s">
        <v>115</v>
      </c>
      <c r="E532" s="355">
        <f>'PART-A'!K2647</f>
        <v>14099.53</v>
      </c>
      <c r="F532" s="353">
        <f>ROUND(C532*E532,0)</f>
        <v>0</v>
      </c>
      <c r="G532" s="353"/>
      <c r="H532" s="353"/>
      <c r="I532" s="368">
        <f>C532-G532</f>
        <v>0</v>
      </c>
      <c r="J532" s="368">
        <f>F532-H532</f>
        <v>0</v>
      </c>
      <c r="K532" s="360" t="s">
        <v>2299</v>
      </c>
    </row>
    <row r="533" spans="1:11" s="360" customFormat="1" ht="20.25" hidden="1" customHeight="1">
      <c r="A533" s="356" t="s">
        <v>1516</v>
      </c>
      <c r="B533" s="357" t="s">
        <v>2235</v>
      </c>
      <c r="C533" s="358">
        <f>'PART-A'!I2785</f>
        <v>0</v>
      </c>
      <c r="D533" s="354" t="s">
        <v>115</v>
      </c>
      <c r="E533" s="355">
        <f>'PART-A'!K2785</f>
        <v>12770.460000000001</v>
      </c>
      <c r="F533" s="353">
        <f>ROUND(C533*E533,0)</f>
        <v>0</v>
      </c>
      <c r="G533" s="353"/>
      <c r="H533" s="353"/>
      <c r="I533" s="368">
        <f>C533-G533</f>
        <v>0</v>
      </c>
      <c r="J533" s="368">
        <f>F533-H533</f>
        <v>0</v>
      </c>
      <c r="K533" s="360" t="s">
        <v>2312</v>
      </c>
    </row>
    <row r="534" spans="1:11" s="360" customFormat="1" ht="20.25" hidden="1" customHeight="1">
      <c r="A534" s="356" t="s">
        <v>1514</v>
      </c>
      <c r="B534" s="357" t="s">
        <v>2235</v>
      </c>
      <c r="C534" s="358">
        <f>'PART-A'!I2918</f>
        <v>0</v>
      </c>
      <c r="D534" s="354" t="s">
        <v>115</v>
      </c>
      <c r="E534" s="355">
        <f>'PART-A'!K2918</f>
        <v>15875.19</v>
      </c>
      <c r="F534" s="353">
        <f>ROUND(C534*E534,0)</f>
        <v>0</v>
      </c>
      <c r="G534" s="353"/>
      <c r="H534" s="353"/>
      <c r="I534" s="368">
        <f>C534-G534</f>
        <v>0</v>
      </c>
      <c r="J534" s="368">
        <f>F534-H534</f>
        <v>0</v>
      </c>
      <c r="K534" s="360" t="s">
        <v>2313</v>
      </c>
    </row>
    <row r="535" spans="1:11" s="360" customFormat="1" ht="20.25" hidden="1" customHeight="1">
      <c r="A535" s="356" t="s">
        <v>1514</v>
      </c>
      <c r="B535" s="357" t="s">
        <v>2236</v>
      </c>
      <c r="C535" s="358">
        <f>'PART-A'!I2519</f>
        <v>0</v>
      </c>
      <c r="D535" s="354" t="s">
        <v>115</v>
      </c>
      <c r="E535" s="355">
        <f>'PART-A'!K2519</f>
        <v>13359.1</v>
      </c>
      <c r="F535" s="353">
        <f t="shared" si="22"/>
        <v>0</v>
      </c>
      <c r="G535" s="353"/>
      <c r="H535" s="353"/>
      <c r="I535" s="368">
        <f t="shared" si="17"/>
        <v>0</v>
      </c>
      <c r="J535" s="368">
        <f t="shared" si="18"/>
        <v>0</v>
      </c>
      <c r="K535" s="360" t="s">
        <v>2217</v>
      </c>
    </row>
    <row r="536" spans="1:11" s="360" customFormat="1" ht="20.25" hidden="1" customHeight="1">
      <c r="A536" s="356" t="s">
        <v>1514</v>
      </c>
      <c r="B536" s="357" t="s">
        <v>2236</v>
      </c>
      <c r="C536" s="358">
        <f>'PART-A'!I2652</f>
        <v>0</v>
      </c>
      <c r="D536" s="354" t="s">
        <v>115</v>
      </c>
      <c r="E536" s="355">
        <f>'PART-A'!K2652</f>
        <v>13359.1</v>
      </c>
      <c r="F536" s="353">
        <f>ROUND(C536*E536,0)</f>
        <v>0</v>
      </c>
      <c r="G536" s="353"/>
      <c r="H536" s="353"/>
      <c r="I536" s="368">
        <f>C536-G536</f>
        <v>0</v>
      </c>
      <c r="J536" s="368">
        <f>F536-H536</f>
        <v>0</v>
      </c>
      <c r="K536" s="360" t="s">
        <v>2299</v>
      </c>
    </row>
    <row r="537" spans="1:11" s="360" customFormat="1" ht="20.25" hidden="1" customHeight="1">
      <c r="A537" s="356" t="s">
        <v>1517</v>
      </c>
      <c r="B537" s="951" t="s">
        <v>3808</v>
      </c>
      <c r="C537" s="358">
        <f>'PART-A'!I2790</f>
        <v>0</v>
      </c>
      <c r="D537" s="354" t="s">
        <v>115</v>
      </c>
      <c r="E537" s="355">
        <f>'PART-A'!K2790</f>
        <v>10756.689999999999</v>
      </c>
      <c r="F537" s="353">
        <f>ROUND(C537*E537,0)</f>
        <v>0</v>
      </c>
      <c r="G537" s="353"/>
      <c r="H537" s="353"/>
      <c r="I537" s="368">
        <f>C537-G537</f>
        <v>0</v>
      </c>
      <c r="J537" s="368">
        <f>F537-H537</f>
        <v>0</v>
      </c>
      <c r="K537" s="360" t="s">
        <v>2312</v>
      </c>
    </row>
    <row r="538" spans="1:11" s="360" customFormat="1" ht="20.25" hidden="1" customHeight="1">
      <c r="A538" s="356" t="s">
        <v>1514</v>
      </c>
      <c r="B538" s="357" t="s">
        <v>2236</v>
      </c>
      <c r="C538" s="358">
        <f>'PART-A'!I2923</f>
        <v>0</v>
      </c>
      <c r="D538" s="354" t="s">
        <v>115</v>
      </c>
      <c r="E538" s="355">
        <f>'PART-A'!K2923</f>
        <v>15037.220000000001</v>
      </c>
      <c r="F538" s="353">
        <f>ROUND(C538*E538,0)</f>
        <v>0</v>
      </c>
      <c r="G538" s="353"/>
      <c r="H538" s="353"/>
      <c r="I538" s="368">
        <f>C538-G538</f>
        <v>0</v>
      </c>
      <c r="J538" s="368">
        <f>F538-H538</f>
        <v>0</v>
      </c>
      <c r="K538" s="360" t="s">
        <v>2313</v>
      </c>
    </row>
    <row r="539" spans="1:11" s="360" customFormat="1" ht="20.25" hidden="1" customHeight="1">
      <c r="A539" s="356" t="s">
        <v>527</v>
      </c>
      <c r="B539" s="357" t="s">
        <v>2146</v>
      </c>
      <c r="C539" s="358">
        <f>'PART-A'!I2524</f>
        <v>0</v>
      </c>
      <c r="D539" s="354" t="s">
        <v>115</v>
      </c>
      <c r="E539" s="355">
        <f>'PART-A'!K2524</f>
        <v>8905.99</v>
      </c>
      <c r="F539" s="353">
        <f t="shared" si="22"/>
        <v>0</v>
      </c>
      <c r="G539" s="353"/>
      <c r="H539" s="353"/>
      <c r="I539" s="368">
        <f t="shared" si="17"/>
        <v>0</v>
      </c>
      <c r="J539" s="368">
        <f t="shared" si="18"/>
        <v>0</v>
      </c>
      <c r="K539" s="360" t="s">
        <v>2217</v>
      </c>
    </row>
    <row r="540" spans="1:11" s="360" customFormat="1" ht="20.25" hidden="1" customHeight="1">
      <c r="A540" s="356" t="s">
        <v>527</v>
      </c>
      <c r="B540" s="357" t="s">
        <v>2146</v>
      </c>
      <c r="C540" s="358">
        <f>'PART-A'!I2657</f>
        <v>0</v>
      </c>
      <c r="D540" s="354" t="s">
        <v>115</v>
      </c>
      <c r="E540" s="355">
        <f>'PART-A'!K2657</f>
        <v>8905.99</v>
      </c>
      <c r="F540" s="353">
        <f>ROUND(C540*E540,0)</f>
        <v>0</v>
      </c>
      <c r="G540" s="353"/>
      <c r="H540" s="353"/>
      <c r="I540" s="368">
        <f>C540-G540</f>
        <v>0</v>
      </c>
      <c r="J540" s="368">
        <f>F540-H540</f>
        <v>0</v>
      </c>
      <c r="K540" s="360" t="s">
        <v>2299</v>
      </c>
    </row>
    <row r="541" spans="1:11" s="360" customFormat="1" ht="20.25" hidden="1" customHeight="1">
      <c r="A541" s="356" t="s">
        <v>495</v>
      </c>
      <c r="B541" s="357" t="s">
        <v>2146</v>
      </c>
      <c r="C541" s="358">
        <f>'PART-A'!I2795</f>
        <v>0</v>
      </c>
      <c r="D541" s="354" t="s">
        <v>115</v>
      </c>
      <c r="E541" s="355">
        <f>'PART-A'!K2795</f>
        <v>9185.3799999999992</v>
      </c>
      <c r="F541" s="353">
        <f>ROUND(C541*E541,0)</f>
        <v>0</v>
      </c>
      <c r="G541" s="353"/>
      <c r="H541" s="353"/>
      <c r="I541" s="368">
        <f>C541-G541</f>
        <v>0</v>
      </c>
      <c r="J541" s="368">
        <f>F541-H541</f>
        <v>0</v>
      </c>
      <c r="K541" s="360" t="s">
        <v>2312</v>
      </c>
    </row>
    <row r="542" spans="1:11" s="360" customFormat="1" ht="20.25" hidden="1" customHeight="1">
      <c r="A542" s="356" t="s">
        <v>527</v>
      </c>
      <c r="B542" s="357" t="s">
        <v>2146</v>
      </c>
      <c r="C542" s="358">
        <f>'PART-A'!I2928</f>
        <v>0</v>
      </c>
      <c r="D542" s="354" t="s">
        <v>115</v>
      </c>
      <c r="E542" s="355">
        <f>'PART-A'!K2928</f>
        <v>10330.61</v>
      </c>
      <c r="F542" s="353">
        <f>ROUND(C542*E542,0)</f>
        <v>0</v>
      </c>
      <c r="G542" s="353"/>
      <c r="H542" s="353"/>
      <c r="I542" s="368">
        <f>C542-G542</f>
        <v>0</v>
      </c>
      <c r="J542" s="368">
        <f>F542-H542</f>
        <v>0</v>
      </c>
      <c r="K542" s="360" t="s">
        <v>2313</v>
      </c>
    </row>
    <row r="543" spans="1:11" s="360" customFormat="1" ht="20.25" hidden="1" customHeight="1">
      <c r="A543" s="356" t="s">
        <v>484</v>
      </c>
      <c r="B543" s="357" t="s">
        <v>2237</v>
      </c>
      <c r="C543" s="358">
        <f>'PART-A'!I2529</f>
        <v>0</v>
      </c>
      <c r="D543" s="354" t="s">
        <v>115</v>
      </c>
      <c r="E543" s="355">
        <f>'PART-A'!K2529</f>
        <v>6334.76</v>
      </c>
      <c r="F543" s="353">
        <f t="shared" si="22"/>
        <v>0</v>
      </c>
      <c r="G543" s="353"/>
      <c r="H543" s="353"/>
      <c r="I543" s="368">
        <f t="shared" si="17"/>
        <v>0</v>
      </c>
      <c r="J543" s="368">
        <f t="shared" si="18"/>
        <v>0</v>
      </c>
      <c r="K543" s="360" t="s">
        <v>2217</v>
      </c>
    </row>
    <row r="544" spans="1:11" s="360" customFormat="1" ht="20.25" hidden="1" customHeight="1">
      <c r="A544" s="356" t="s">
        <v>484</v>
      </c>
      <c r="B544" s="357" t="s">
        <v>2237</v>
      </c>
      <c r="C544" s="358">
        <f>'PART-A'!I2662</f>
        <v>0</v>
      </c>
      <c r="D544" s="354" t="s">
        <v>115</v>
      </c>
      <c r="E544" s="355">
        <f>'PART-A'!K2662</f>
        <v>6334.76</v>
      </c>
      <c r="F544" s="353">
        <f>ROUND(C544*E544,0)</f>
        <v>0</v>
      </c>
      <c r="G544" s="353"/>
      <c r="H544" s="353"/>
      <c r="I544" s="368">
        <f>C544-G544</f>
        <v>0</v>
      </c>
      <c r="J544" s="368">
        <f>F544-H544</f>
        <v>0</v>
      </c>
      <c r="K544" s="360" t="s">
        <v>2299</v>
      </c>
    </row>
    <row r="545" spans="1:11" s="360" customFormat="1" ht="20.25" hidden="1" customHeight="1">
      <c r="A545" s="356" t="s">
        <v>484</v>
      </c>
      <c r="B545" s="357" t="s">
        <v>2237</v>
      </c>
      <c r="C545" s="358">
        <f>'PART-A'!I2800</f>
        <v>0</v>
      </c>
      <c r="D545" s="354" t="s">
        <v>115</v>
      </c>
      <c r="E545" s="355">
        <f>'PART-A'!K2800</f>
        <v>6584.41</v>
      </c>
      <c r="F545" s="353">
        <f>ROUND(C545*E545,0)</f>
        <v>0</v>
      </c>
      <c r="G545" s="353"/>
      <c r="H545" s="353"/>
      <c r="I545" s="368">
        <f>C545-G545</f>
        <v>0</v>
      </c>
      <c r="J545" s="368">
        <f>F545-H545</f>
        <v>0</v>
      </c>
      <c r="K545" s="360" t="s">
        <v>2312</v>
      </c>
    </row>
    <row r="546" spans="1:11" s="360" customFormat="1" ht="20.25" hidden="1" customHeight="1">
      <c r="A546" s="356" t="s">
        <v>484</v>
      </c>
      <c r="B546" s="357" t="s">
        <v>2237</v>
      </c>
      <c r="C546" s="358">
        <f>'PART-A'!I2933</f>
        <v>0</v>
      </c>
      <c r="D546" s="354" t="s">
        <v>115</v>
      </c>
      <c r="E546" s="355">
        <f>'PART-A'!K2933</f>
        <v>7015.49</v>
      </c>
      <c r="F546" s="353">
        <f>ROUND(C546*E546,0)</f>
        <v>0</v>
      </c>
      <c r="G546" s="353"/>
      <c r="H546" s="353"/>
      <c r="I546" s="368">
        <f>C546-G546</f>
        <v>0</v>
      </c>
      <c r="J546" s="368">
        <f>F546-H546</f>
        <v>0</v>
      </c>
      <c r="K546" s="360" t="s">
        <v>2313</v>
      </c>
    </row>
    <row r="547" spans="1:11" s="360" customFormat="1" ht="20.25" hidden="1" customHeight="1">
      <c r="A547" s="356" t="s">
        <v>528</v>
      </c>
      <c r="B547" s="357" t="s">
        <v>2145</v>
      </c>
      <c r="C547" s="358">
        <f>'PART-A'!I2504</f>
        <v>0</v>
      </c>
      <c r="D547" s="354" t="s">
        <v>115</v>
      </c>
      <c r="E547" s="355">
        <f>'PART-A'!K2504</f>
        <v>10891.57</v>
      </c>
      <c r="F547" s="353">
        <f t="shared" si="22"/>
        <v>0</v>
      </c>
      <c r="G547" s="368"/>
      <c r="H547" s="368"/>
      <c r="I547" s="368">
        <f t="shared" si="17"/>
        <v>0</v>
      </c>
      <c r="J547" s="368">
        <f t="shared" si="18"/>
        <v>0</v>
      </c>
      <c r="K547" s="360" t="s">
        <v>2217</v>
      </c>
    </row>
    <row r="548" spans="1:11" s="360" customFormat="1" ht="20.25" hidden="1" customHeight="1">
      <c r="A548" s="356" t="s">
        <v>1578</v>
      </c>
      <c r="B548" s="357" t="s">
        <v>2145</v>
      </c>
      <c r="C548" s="358">
        <f>'PART-A'!I2637</f>
        <v>0</v>
      </c>
      <c r="D548" s="354" t="s">
        <v>115</v>
      </c>
      <c r="E548" s="355">
        <f>'PART-A'!K2637</f>
        <v>4180.6099999999997</v>
      </c>
      <c r="F548" s="353">
        <f>ROUND(C548*E548,0)</f>
        <v>0</v>
      </c>
      <c r="G548" s="368"/>
      <c r="H548" s="368"/>
      <c r="I548" s="368">
        <f>C548-G548</f>
        <v>0</v>
      </c>
      <c r="J548" s="368">
        <f>F548-H548</f>
        <v>0</v>
      </c>
      <c r="K548" s="360" t="s">
        <v>2299</v>
      </c>
    </row>
    <row r="549" spans="1:11" s="360" customFormat="1" ht="20.25" hidden="1" customHeight="1">
      <c r="A549" s="356" t="s">
        <v>528</v>
      </c>
      <c r="B549" s="357" t="s">
        <v>2145</v>
      </c>
      <c r="C549" s="358">
        <f>'PART-A'!I2775</f>
        <v>0</v>
      </c>
      <c r="D549" s="354" t="s">
        <v>115</v>
      </c>
      <c r="E549" s="355">
        <f>'PART-A'!K2775</f>
        <v>11215.33</v>
      </c>
      <c r="F549" s="353">
        <f>ROUND(C549*E549,0)</f>
        <v>0</v>
      </c>
      <c r="G549" s="368"/>
      <c r="H549" s="368"/>
      <c r="I549" s="368">
        <f>C549-G549</f>
        <v>0</v>
      </c>
      <c r="J549" s="368">
        <f>F549-H549</f>
        <v>0</v>
      </c>
      <c r="K549" s="360" t="s">
        <v>2312</v>
      </c>
    </row>
    <row r="550" spans="1:11" s="360" customFormat="1" ht="20.25" hidden="1" customHeight="1">
      <c r="A550" s="356" t="s">
        <v>519</v>
      </c>
      <c r="B550" s="357" t="s">
        <v>2145</v>
      </c>
      <c r="C550" s="358">
        <f>'PART-A'!I2908</f>
        <v>0</v>
      </c>
      <c r="D550" s="354" t="s">
        <v>115</v>
      </c>
      <c r="E550" s="355">
        <f>'PART-A'!K2908</f>
        <v>11464.42</v>
      </c>
      <c r="F550" s="353">
        <f>ROUND(C550*E550,0)</f>
        <v>0</v>
      </c>
      <c r="G550" s="368"/>
      <c r="H550" s="368"/>
      <c r="I550" s="368">
        <f>C550-G550</f>
        <v>0</v>
      </c>
      <c r="J550" s="368">
        <f>F550-H550</f>
        <v>0</v>
      </c>
      <c r="K550" s="360" t="s">
        <v>2313</v>
      </c>
    </row>
    <row r="551" spans="1:11" s="360" customFormat="1" ht="20.25" hidden="1" customHeight="1">
      <c r="A551" s="356" t="s">
        <v>642</v>
      </c>
      <c r="B551" s="357" t="s">
        <v>2238</v>
      </c>
      <c r="C551" s="358">
        <f>'PART-A'!I2536</f>
        <v>0</v>
      </c>
      <c r="D551" s="354" t="s">
        <v>115</v>
      </c>
      <c r="E551" s="355">
        <f>'PART-A'!K2536</f>
        <v>15555.64</v>
      </c>
      <c r="F551" s="353">
        <f t="shared" si="22"/>
        <v>0</v>
      </c>
      <c r="G551" s="368"/>
      <c r="H551" s="368"/>
      <c r="I551" s="368">
        <f t="shared" si="17"/>
        <v>0</v>
      </c>
      <c r="J551" s="368">
        <f t="shared" si="18"/>
        <v>0</v>
      </c>
      <c r="K551" s="360" t="s">
        <v>2217</v>
      </c>
    </row>
    <row r="552" spans="1:11" s="360" customFormat="1" ht="20.25" hidden="1" customHeight="1">
      <c r="A552" s="356" t="s">
        <v>642</v>
      </c>
      <c r="B552" s="357" t="s">
        <v>2238</v>
      </c>
      <c r="C552" s="358">
        <f>'PART-A'!I2670</f>
        <v>0</v>
      </c>
      <c r="D552" s="354" t="s">
        <v>115</v>
      </c>
      <c r="E552" s="355">
        <f>'PART-A'!K2670</f>
        <v>15555.64</v>
      </c>
      <c r="F552" s="353">
        <f>ROUND(C552*E552,0)</f>
        <v>0</v>
      </c>
      <c r="G552" s="368"/>
      <c r="H552" s="368"/>
      <c r="I552" s="368">
        <f>C552-G552</f>
        <v>0</v>
      </c>
      <c r="J552" s="368">
        <f>F552-H552</f>
        <v>0</v>
      </c>
      <c r="K552" s="360" t="s">
        <v>2299</v>
      </c>
    </row>
    <row r="553" spans="1:11" s="360" customFormat="1" ht="20.25" hidden="1" customHeight="1">
      <c r="A553" s="356" t="s">
        <v>642</v>
      </c>
      <c r="B553" s="357" t="s">
        <v>2238</v>
      </c>
      <c r="C553" s="358">
        <f>'PART-A'!I2807</f>
        <v>0</v>
      </c>
      <c r="D553" s="354" t="s">
        <v>115</v>
      </c>
      <c r="E553" s="355">
        <f>'PART-A'!K2807</f>
        <v>13789.809999999998</v>
      </c>
      <c r="F553" s="353">
        <f>ROUND(C553*E553,0)</f>
        <v>0</v>
      </c>
      <c r="G553" s="368"/>
      <c r="H553" s="368"/>
      <c r="I553" s="368">
        <f>C553-G553</f>
        <v>0</v>
      </c>
      <c r="J553" s="368">
        <f>F553-H553</f>
        <v>0</v>
      </c>
      <c r="K553" s="360" t="s">
        <v>2312</v>
      </c>
    </row>
    <row r="554" spans="1:11" s="360" customFormat="1" ht="20.25" hidden="1" customHeight="1">
      <c r="A554" s="356" t="s">
        <v>642</v>
      </c>
      <c r="B554" s="357" t="s">
        <v>2238</v>
      </c>
      <c r="C554" s="358">
        <f>'PART-A'!I2940</f>
        <v>0</v>
      </c>
      <c r="D554" s="354" t="s">
        <v>115</v>
      </c>
      <c r="E554" s="355">
        <f>'PART-A'!K2940</f>
        <v>17517.36</v>
      </c>
      <c r="F554" s="353">
        <f>ROUND(C554*E554,0)</f>
        <v>0</v>
      </c>
      <c r="G554" s="368"/>
      <c r="H554" s="368"/>
      <c r="I554" s="368">
        <f>C554-G554</f>
        <v>0</v>
      </c>
      <c r="J554" s="368">
        <f>F554-H554</f>
        <v>0</v>
      </c>
      <c r="K554" s="360" t="s">
        <v>2313</v>
      </c>
    </row>
    <row r="555" spans="1:11" s="360" customFormat="1" ht="20.25" hidden="1" customHeight="1">
      <c r="A555" s="356" t="s">
        <v>1579</v>
      </c>
      <c r="B555" s="357" t="s">
        <v>2208</v>
      </c>
      <c r="C555" s="358">
        <f>'PART-A'!I2543</f>
        <v>0</v>
      </c>
      <c r="D555" s="354" t="s">
        <v>115</v>
      </c>
      <c r="E555" s="355">
        <f>'PART-A'!K2543</f>
        <v>9631.65</v>
      </c>
      <c r="F555" s="353">
        <f t="shared" si="22"/>
        <v>0</v>
      </c>
      <c r="G555" s="368"/>
      <c r="H555" s="368"/>
      <c r="I555" s="368">
        <f t="shared" si="17"/>
        <v>0</v>
      </c>
      <c r="J555" s="368">
        <f t="shared" si="18"/>
        <v>0</v>
      </c>
      <c r="K555" s="360" t="s">
        <v>2217</v>
      </c>
    </row>
    <row r="556" spans="1:11" s="360" customFormat="1" ht="20.25" hidden="1" customHeight="1">
      <c r="A556" s="356" t="s">
        <v>528</v>
      </c>
      <c r="B556" s="357" t="s">
        <v>2208</v>
      </c>
      <c r="C556" s="358">
        <f>'PART-A'!I2678</f>
        <v>0</v>
      </c>
      <c r="D556" s="354" t="s">
        <v>115</v>
      </c>
      <c r="E556" s="355">
        <f>'PART-A'!K2678</f>
        <v>4472.53</v>
      </c>
      <c r="F556" s="353">
        <f>ROUND(C556*E556,0)</f>
        <v>0</v>
      </c>
      <c r="G556" s="368"/>
      <c r="H556" s="368"/>
      <c r="I556" s="368">
        <f>C556-G556</f>
        <v>0</v>
      </c>
      <c r="J556" s="368">
        <f>F556-H556</f>
        <v>0</v>
      </c>
      <c r="K556" s="360" t="s">
        <v>2299</v>
      </c>
    </row>
    <row r="557" spans="1:11" s="360" customFormat="1" ht="20.25" hidden="1" customHeight="1">
      <c r="A557" s="356" t="s">
        <v>1579</v>
      </c>
      <c r="B557" s="357" t="s">
        <v>2208</v>
      </c>
      <c r="C557" s="358">
        <f>'PART-A'!I2814</f>
        <v>0</v>
      </c>
      <c r="D557" s="354" t="s">
        <v>115</v>
      </c>
      <c r="E557" s="355">
        <f>'PART-A'!K2814</f>
        <v>9936.0399999999991</v>
      </c>
      <c r="F557" s="353">
        <f>ROUND(C557*E557,0)</f>
        <v>0</v>
      </c>
      <c r="G557" s="368"/>
      <c r="H557" s="368"/>
      <c r="I557" s="368">
        <f>C557-G557</f>
        <v>0</v>
      </c>
      <c r="J557" s="368">
        <f>F557-H557</f>
        <v>0</v>
      </c>
      <c r="K557" s="360" t="s">
        <v>2312</v>
      </c>
    </row>
    <row r="558" spans="1:11" s="360" customFormat="1" ht="20.25" hidden="1" customHeight="1">
      <c r="A558" s="356" t="s">
        <v>1579</v>
      </c>
      <c r="B558" s="357" t="s">
        <v>2208</v>
      </c>
      <c r="C558" s="358">
        <f>'PART-A'!I2947</f>
        <v>0</v>
      </c>
      <c r="D558" s="354" t="s">
        <v>115</v>
      </c>
      <c r="E558" s="355">
        <f>'PART-A'!K2947</f>
        <v>11186.3</v>
      </c>
      <c r="F558" s="353">
        <f>ROUND(C558*E558,0)</f>
        <v>0</v>
      </c>
      <c r="G558" s="368"/>
      <c r="H558" s="368"/>
      <c r="I558" s="368">
        <f>C558-G558</f>
        <v>0</v>
      </c>
      <c r="J558" s="368">
        <f>F558-H558</f>
        <v>0</v>
      </c>
      <c r="K558" s="360" t="s">
        <v>2313</v>
      </c>
    </row>
    <row r="559" spans="1:11" s="360" customFormat="1" ht="21.75" hidden="1" customHeight="1">
      <c r="A559" s="356" t="s">
        <v>1514</v>
      </c>
      <c r="B559" s="357" t="s">
        <v>2054</v>
      </c>
      <c r="C559" s="358">
        <f>'PART-A'!I2548</f>
        <v>0</v>
      </c>
      <c r="D559" s="354" t="s">
        <v>102</v>
      </c>
      <c r="E559" s="355">
        <f>'PART-A'!K2548</f>
        <v>6011.2</v>
      </c>
      <c r="F559" s="353">
        <f t="shared" si="22"/>
        <v>0</v>
      </c>
      <c r="G559" s="368"/>
      <c r="H559" s="368"/>
      <c r="I559" s="368">
        <f t="shared" si="17"/>
        <v>0</v>
      </c>
      <c r="J559" s="368">
        <f t="shared" si="18"/>
        <v>0</v>
      </c>
      <c r="K559" s="360" t="s">
        <v>2217</v>
      </c>
    </row>
    <row r="560" spans="1:11" s="360" customFormat="1" ht="21.75" hidden="1" customHeight="1">
      <c r="A560" s="356" t="s">
        <v>1514</v>
      </c>
      <c r="B560" s="357" t="s">
        <v>2054</v>
      </c>
      <c r="C560" s="358">
        <f>'PART-A'!I2683</f>
        <v>0</v>
      </c>
      <c r="D560" s="354" t="s">
        <v>102</v>
      </c>
      <c r="E560" s="355">
        <f>'PART-A'!K2683</f>
        <v>6011.2</v>
      </c>
      <c r="F560" s="353">
        <f>ROUND(C560*E560,0)</f>
        <v>0</v>
      </c>
      <c r="G560" s="368"/>
      <c r="H560" s="368"/>
      <c r="I560" s="368">
        <f>C560-G560</f>
        <v>0</v>
      </c>
      <c r="J560" s="368">
        <f>F560-H560</f>
        <v>0</v>
      </c>
      <c r="K560" s="360" t="s">
        <v>2299</v>
      </c>
    </row>
    <row r="561" spans="1:11" s="360" customFormat="1" ht="21.75" hidden="1" customHeight="1">
      <c r="A561" s="356" t="s">
        <v>1514</v>
      </c>
      <c r="B561" s="357" t="s">
        <v>2054</v>
      </c>
      <c r="C561" s="358">
        <f>'PART-A'!I2819</f>
        <v>0</v>
      </c>
      <c r="D561" s="354" t="s">
        <v>102</v>
      </c>
      <c r="E561" s="355">
        <f>'PART-A'!K2819</f>
        <v>6057.2</v>
      </c>
      <c r="F561" s="353">
        <f>ROUND(C561*E561,0)</f>
        <v>0</v>
      </c>
      <c r="G561" s="368"/>
      <c r="H561" s="368"/>
      <c r="I561" s="368">
        <f>C561-G561</f>
        <v>0</v>
      </c>
      <c r="J561" s="368">
        <f>F561-H561</f>
        <v>0</v>
      </c>
      <c r="K561" s="360" t="s">
        <v>2312</v>
      </c>
    </row>
    <row r="562" spans="1:11" s="360" customFormat="1" ht="21.75" hidden="1" customHeight="1">
      <c r="A562" s="356" t="s">
        <v>1514</v>
      </c>
      <c r="B562" s="357" t="s">
        <v>2054</v>
      </c>
      <c r="C562" s="358">
        <f>'PART-A'!I2954</f>
        <v>0</v>
      </c>
      <c r="D562" s="354" t="s">
        <v>102</v>
      </c>
      <c r="E562" s="355">
        <f>'PART-A'!K2954</f>
        <v>6958.78</v>
      </c>
      <c r="F562" s="353">
        <f>ROUND(C562*E562,0)</f>
        <v>0</v>
      </c>
      <c r="G562" s="368"/>
      <c r="H562" s="368"/>
      <c r="I562" s="368">
        <f>C562-G562</f>
        <v>0</v>
      </c>
      <c r="J562" s="368">
        <f>F562-H562</f>
        <v>0</v>
      </c>
      <c r="K562" s="360" t="s">
        <v>2313</v>
      </c>
    </row>
    <row r="563" spans="1:11" s="360" customFormat="1" ht="20.25" hidden="1" customHeight="1">
      <c r="A563" s="356" t="s">
        <v>532</v>
      </c>
      <c r="B563" s="357" t="s">
        <v>2055</v>
      </c>
      <c r="C563" s="358">
        <f>'PART-A'!I2555</f>
        <v>0</v>
      </c>
      <c r="D563" s="354" t="s">
        <v>102</v>
      </c>
      <c r="E563" s="355">
        <f>'PART-A'!K2555</f>
        <v>5617.52</v>
      </c>
      <c r="F563" s="353">
        <f t="shared" si="22"/>
        <v>0</v>
      </c>
      <c r="G563" s="368"/>
      <c r="H563" s="368"/>
      <c r="I563" s="368">
        <f t="shared" si="17"/>
        <v>0</v>
      </c>
      <c r="J563" s="368">
        <f t="shared" si="18"/>
        <v>0</v>
      </c>
      <c r="K563" s="360" t="s">
        <v>2217</v>
      </c>
    </row>
    <row r="564" spans="1:11" s="360" customFormat="1" ht="20.25" hidden="1" customHeight="1">
      <c r="A564" s="356" t="s">
        <v>532</v>
      </c>
      <c r="B564" s="357" t="s">
        <v>2055</v>
      </c>
      <c r="C564" s="358">
        <f>'PART-A'!I2690</f>
        <v>0</v>
      </c>
      <c r="D564" s="354" t="s">
        <v>102</v>
      </c>
      <c r="E564" s="355">
        <f>'PART-A'!K2690</f>
        <v>5617.52</v>
      </c>
      <c r="F564" s="353">
        <f>ROUND(C564*E564,0)</f>
        <v>0</v>
      </c>
      <c r="G564" s="368"/>
      <c r="H564" s="368"/>
      <c r="I564" s="368">
        <f>C564-G564</f>
        <v>0</v>
      </c>
      <c r="J564" s="368">
        <f>F564-H564</f>
        <v>0</v>
      </c>
      <c r="K564" s="360" t="s">
        <v>2299</v>
      </c>
    </row>
    <row r="565" spans="1:11" s="360" customFormat="1" ht="20.25" hidden="1" customHeight="1">
      <c r="A565" s="356" t="s">
        <v>532</v>
      </c>
      <c r="B565" s="357" t="s">
        <v>2055</v>
      </c>
      <c r="C565" s="358">
        <f>'PART-A'!I2826</f>
        <v>0</v>
      </c>
      <c r="D565" s="354" t="s">
        <v>102</v>
      </c>
      <c r="E565" s="355">
        <f>'PART-A'!K2826</f>
        <v>5663.52</v>
      </c>
      <c r="F565" s="353">
        <f>ROUND(C565*E565,0)</f>
        <v>0</v>
      </c>
      <c r="G565" s="368"/>
      <c r="H565" s="368"/>
      <c r="I565" s="368">
        <f>C565-G565</f>
        <v>0</v>
      </c>
      <c r="J565" s="368">
        <f>F565-H565</f>
        <v>0</v>
      </c>
      <c r="K565" s="360" t="s">
        <v>2312</v>
      </c>
    </row>
    <row r="566" spans="1:11" s="360" customFormat="1" ht="20.25" hidden="1" customHeight="1">
      <c r="A566" s="356" t="s">
        <v>532</v>
      </c>
      <c r="B566" s="357" t="s">
        <v>2055</v>
      </c>
      <c r="C566" s="358">
        <f>'PART-A'!I2961</f>
        <v>0</v>
      </c>
      <c r="D566" s="354" t="s">
        <v>102</v>
      </c>
      <c r="E566" s="355">
        <f>'PART-A'!K2961</f>
        <v>6508.85</v>
      </c>
      <c r="F566" s="353">
        <f>ROUND(C566*E566,0)</f>
        <v>0</v>
      </c>
      <c r="G566" s="368"/>
      <c r="H566" s="368"/>
      <c r="I566" s="368">
        <f>C566-G566</f>
        <v>0</v>
      </c>
      <c r="J566" s="368">
        <f>F566-H566</f>
        <v>0</v>
      </c>
      <c r="K566" s="360" t="s">
        <v>2313</v>
      </c>
    </row>
    <row r="567" spans="1:11" s="360" customFormat="1" ht="24.75" hidden="1" customHeight="1">
      <c r="A567" s="356" t="s">
        <v>529</v>
      </c>
      <c r="B567" s="357" t="s">
        <v>2112</v>
      </c>
      <c r="C567" s="358">
        <f>'PART-A'!I2560</f>
        <v>0</v>
      </c>
      <c r="D567" s="354" t="s">
        <v>102</v>
      </c>
      <c r="E567" s="355">
        <f>'PART-A'!K2560</f>
        <v>8058</v>
      </c>
      <c r="F567" s="353">
        <f t="shared" si="22"/>
        <v>0</v>
      </c>
      <c r="G567" s="368"/>
      <c r="H567" s="368"/>
      <c r="I567" s="368">
        <f t="shared" si="17"/>
        <v>0</v>
      </c>
      <c r="J567" s="368">
        <f t="shared" si="18"/>
        <v>0</v>
      </c>
      <c r="K567" s="360" t="s">
        <v>2217</v>
      </c>
    </row>
    <row r="568" spans="1:11" s="360" customFormat="1" ht="24.75" hidden="1" customHeight="1">
      <c r="A568" s="356" t="s">
        <v>529</v>
      </c>
      <c r="B568" s="357" t="s">
        <v>2112</v>
      </c>
      <c r="C568" s="358">
        <f>'PART-A'!I2696</f>
        <v>0</v>
      </c>
      <c r="D568" s="354" t="s">
        <v>102</v>
      </c>
      <c r="E568" s="355">
        <f>'PART-A'!K2696</f>
        <v>8058</v>
      </c>
      <c r="F568" s="353">
        <f>ROUND(C568*E568,0)</f>
        <v>0</v>
      </c>
      <c r="G568" s="368"/>
      <c r="H568" s="368"/>
      <c r="I568" s="368">
        <f>C568-G568</f>
        <v>0</v>
      </c>
      <c r="J568" s="368">
        <f>F568-H568</f>
        <v>0</v>
      </c>
      <c r="K568" s="360" t="s">
        <v>2299</v>
      </c>
    </row>
    <row r="569" spans="1:11" s="360" customFormat="1" ht="24.75" hidden="1" customHeight="1">
      <c r="A569" s="356" t="s">
        <v>1518</v>
      </c>
      <c r="B569" s="357" t="s">
        <v>2112</v>
      </c>
      <c r="C569" s="358">
        <f>'PART-A'!I2832</f>
        <v>0</v>
      </c>
      <c r="D569" s="354" t="s">
        <v>102</v>
      </c>
      <c r="E569" s="355">
        <f>'PART-A'!K2832</f>
        <v>8058</v>
      </c>
      <c r="F569" s="353">
        <f>ROUND(C569*E569,0)</f>
        <v>0</v>
      </c>
      <c r="G569" s="368"/>
      <c r="H569" s="368"/>
      <c r="I569" s="368">
        <f>C569-G569</f>
        <v>0</v>
      </c>
      <c r="J569" s="368">
        <f>F569-H569</f>
        <v>0</v>
      </c>
      <c r="K569" s="360" t="s">
        <v>2312</v>
      </c>
    </row>
    <row r="570" spans="1:11" s="360" customFormat="1" ht="24.75" hidden="1" customHeight="1">
      <c r="A570" s="356" t="s">
        <v>490</v>
      </c>
      <c r="B570" s="357" t="s">
        <v>2112</v>
      </c>
      <c r="C570" s="358">
        <f>'PART-A'!I2966</f>
        <v>0</v>
      </c>
      <c r="D570" s="354" t="s">
        <v>102</v>
      </c>
      <c r="E570" s="355">
        <f>'PART-A'!K2966</f>
        <v>8622</v>
      </c>
      <c r="F570" s="353">
        <f>ROUND(C570*E570,0)</f>
        <v>0</v>
      </c>
      <c r="G570" s="368"/>
      <c r="H570" s="368"/>
      <c r="I570" s="368">
        <f>C570-G570</f>
        <v>0</v>
      </c>
      <c r="J570" s="368">
        <f>F570-H570</f>
        <v>0</v>
      </c>
      <c r="K570" s="360" t="s">
        <v>2313</v>
      </c>
    </row>
    <row r="571" spans="1:11" s="360" customFormat="1" ht="24.75" hidden="1" customHeight="1">
      <c r="A571" s="356" t="s">
        <v>530</v>
      </c>
      <c r="B571" s="357" t="s">
        <v>2207</v>
      </c>
      <c r="C571" s="358">
        <f>'PART-A'!I2564</f>
        <v>0</v>
      </c>
      <c r="D571" s="354" t="s">
        <v>102</v>
      </c>
      <c r="E571" s="355">
        <f>'PART-A'!K2564</f>
        <v>6038</v>
      </c>
      <c r="F571" s="353">
        <f t="shared" si="22"/>
        <v>0</v>
      </c>
      <c r="G571" s="368"/>
      <c r="H571" s="368"/>
      <c r="I571" s="368">
        <f t="shared" si="17"/>
        <v>0</v>
      </c>
      <c r="J571" s="368">
        <f t="shared" si="18"/>
        <v>0</v>
      </c>
      <c r="K571" s="360" t="s">
        <v>2217</v>
      </c>
    </row>
    <row r="572" spans="1:11" s="360" customFormat="1" ht="24.75" hidden="1" customHeight="1">
      <c r="A572" s="356" t="s">
        <v>530</v>
      </c>
      <c r="B572" s="357" t="s">
        <v>2207</v>
      </c>
      <c r="C572" s="358">
        <f>'PART-A'!I2700</f>
        <v>0</v>
      </c>
      <c r="D572" s="354" t="s">
        <v>102</v>
      </c>
      <c r="E572" s="355">
        <f>'PART-A'!K2700</f>
        <v>6038</v>
      </c>
      <c r="F572" s="353">
        <f>ROUND(C572*E572,0)</f>
        <v>0</v>
      </c>
      <c r="G572" s="368"/>
      <c r="H572" s="368"/>
      <c r="I572" s="368">
        <f>C572-G572</f>
        <v>0</v>
      </c>
      <c r="J572" s="368">
        <f>F572-H572</f>
        <v>0</v>
      </c>
      <c r="K572" s="360" t="s">
        <v>2299</v>
      </c>
    </row>
    <row r="573" spans="1:11" s="360" customFormat="1" ht="24.75" hidden="1" customHeight="1">
      <c r="A573" s="356" t="s">
        <v>530</v>
      </c>
      <c r="B573" s="357" t="s">
        <v>2207</v>
      </c>
      <c r="C573" s="358">
        <f>'PART-A'!I2836</f>
        <v>0</v>
      </c>
      <c r="D573" s="354" t="s">
        <v>102</v>
      </c>
      <c r="E573" s="355">
        <f>'PART-A'!K2836</f>
        <v>6038</v>
      </c>
      <c r="F573" s="353">
        <f>ROUND(C573*E573,0)</f>
        <v>0</v>
      </c>
      <c r="G573" s="368"/>
      <c r="H573" s="368"/>
      <c r="I573" s="368">
        <f>C573-G573</f>
        <v>0</v>
      </c>
      <c r="J573" s="368">
        <f>F573-H573</f>
        <v>0</v>
      </c>
      <c r="K573" s="360" t="s">
        <v>2312</v>
      </c>
    </row>
    <row r="574" spans="1:11" s="360" customFormat="1" ht="24.75" hidden="1" customHeight="1">
      <c r="A574" s="356" t="s">
        <v>530</v>
      </c>
      <c r="B574" s="357" t="s">
        <v>2207</v>
      </c>
      <c r="C574" s="358">
        <f>'PART-A'!I2970</f>
        <v>0</v>
      </c>
      <c r="D574" s="354" t="s">
        <v>102</v>
      </c>
      <c r="E574" s="355">
        <f>'PART-A'!K2970</f>
        <v>6460</v>
      </c>
      <c r="F574" s="353">
        <f>ROUND(C574*E574,0)</f>
        <v>0</v>
      </c>
      <c r="G574" s="368"/>
      <c r="H574" s="368"/>
      <c r="I574" s="368">
        <f>C574-G574</f>
        <v>0</v>
      </c>
      <c r="J574" s="368">
        <f>F574-H574</f>
        <v>0</v>
      </c>
      <c r="K574" s="360" t="s">
        <v>2313</v>
      </c>
    </row>
    <row r="575" spans="1:11" s="360" customFormat="1" ht="24.75" hidden="1" customHeight="1">
      <c r="A575" s="356" t="s">
        <v>642</v>
      </c>
      <c r="B575" s="357" t="s">
        <v>2171</v>
      </c>
      <c r="C575" s="358">
        <f>'PART-A'!I2568</f>
        <v>0</v>
      </c>
      <c r="D575" s="354" t="s">
        <v>102</v>
      </c>
      <c r="E575" s="355">
        <f>'PART-A'!K2568</f>
        <v>5830</v>
      </c>
      <c r="F575" s="353">
        <f t="shared" si="22"/>
        <v>0</v>
      </c>
      <c r="G575" s="368"/>
      <c r="H575" s="368"/>
      <c r="I575" s="368">
        <f t="shared" si="17"/>
        <v>0</v>
      </c>
      <c r="J575" s="368">
        <f t="shared" si="18"/>
        <v>0</v>
      </c>
      <c r="K575" s="360" t="s">
        <v>2217</v>
      </c>
    </row>
    <row r="576" spans="1:11" s="360" customFormat="1" ht="24.75" hidden="1" customHeight="1">
      <c r="A576" s="356" t="s">
        <v>642</v>
      </c>
      <c r="B576" s="357" t="s">
        <v>2171</v>
      </c>
      <c r="C576" s="358">
        <f>'PART-A'!I2706</f>
        <v>0</v>
      </c>
      <c r="D576" s="354" t="s">
        <v>102</v>
      </c>
      <c r="E576" s="355">
        <f>'PART-A'!K2706</f>
        <v>5830</v>
      </c>
      <c r="F576" s="353">
        <f>ROUND(C576*E576,0)</f>
        <v>0</v>
      </c>
      <c r="G576" s="368"/>
      <c r="H576" s="368"/>
      <c r="I576" s="368">
        <f>C576-G576</f>
        <v>0</v>
      </c>
      <c r="J576" s="368">
        <f>F576-H576</f>
        <v>0</v>
      </c>
      <c r="K576" s="360" t="s">
        <v>2299</v>
      </c>
    </row>
    <row r="577" spans="1:11" s="360" customFormat="1" ht="24.75" hidden="1" customHeight="1">
      <c r="A577" s="356" t="s">
        <v>642</v>
      </c>
      <c r="B577" s="357" t="s">
        <v>2171</v>
      </c>
      <c r="C577" s="358">
        <f>'PART-A'!I2840</f>
        <v>0</v>
      </c>
      <c r="D577" s="354" t="s">
        <v>102</v>
      </c>
      <c r="E577" s="355">
        <f>'PART-A'!K2840</f>
        <v>5830</v>
      </c>
      <c r="F577" s="353">
        <f>ROUND(C577*E577,0)</f>
        <v>0</v>
      </c>
      <c r="G577" s="368"/>
      <c r="H577" s="368"/>
      <c r="I577" s="368">
        <f>C577-G577</f>
        <v>0</v>
      </c>
      <c r="J577" s="368">
        <f>F577-H577</f>
        <v>0</v>
      </c>
      <c r="K577" s="360" t="s">
        <v>2312</v>
      </c>
    </row>
    <row r="578" spans="1:11" s="360" customFormat="1" ht="24.75" hidden="1" customHeight="1">
      <c r="A578" s="356" t="s">
        <v>642</v>
      </c>
      <c r="B578" s="357" t="s">
        <v>2171</v>
      </c>
      <c r="C578" s="358">
        <f>'PART-A'!I2974</f>
        <v>0</v>
      </c>
      <c r="D578" s="354" t="s">
        <v>102</v>
      </c>
      <c r="E578" s="355">
        <f>'PART-A'!K2974</f>
        <v>6238</v>
      </c>
      <c r="F578" s="353">
        <f>ROUND(C578*E578,0)</f>
        <v>0</v>
      </c>
      <c r="G578" s="368"/>
      <c r="H578" s="368"/>
      <c r="I578" s="368">
        <f>C578-G578</f>
        <v>0</v>
      </c>
      <c r="J578" s="368">
        <f>F578-H578</f>
        <v>0</v>
      </c>
      <c r="K578" s="360" t="s">
        <v>2313</v>
      </c>
    </row>
    <row r="579" spans="1:11" s="360" customFormat="1" ht="24.75" hidden="1" customHeight="1">
      <c r="A579" s="356"/>
      <c r="B579" s="357" t="s">
        <v>2285</v>
      </c>
      <c r="C579" s="358">
        <f>'PART-A'!I2573</f>
        <v>0</v>
      </c>
      <c r="D579" s="354" t="s">
        <v>102</v>
      </c>
      <c r="E579" s="355">
        <f>'PART-A'!K2573</f>
        <v>3797</v>
      </c>
      <c r="F579" s="353">
        <f t="shared" si="22"/>
        <v>0</v>
      </c>
      <c r="G579" s="368"/>
      <c r="H579" s="368"/>
      <c r="I579" s="368">
        <f t="shared" ref="I579" si="26">C579-G579</f>
        <v>0</v>
      </c>
      <c r="J579" s="368">
        <f t="shared" ref="J579" si="27">F579-H579</f>
        <v>0</v>
      </c>
      <c r="K579" s="360" t="s">
        <v>2217</v>
      </c>
    </row>
    <row r="580" spans="1:11" s="360" customFormat="1" ht="24.75" hidden="1" customHeight="1">
      <c r="A580" s="356"/>
      <c r="B580" s="357" t="s">
        <v>2285</v>
      </c>
      <c r="C580" s="358">
        <f>'PART-A'!I2711</f>
        <v>0</v>
      </c>
      <c r="D580" s="354" t="s">
        <v>102</v>
      </c>
      <c r="E580" s="355">
        <f>'PART-A'!K2711</f>
        <v>3797</v>
      </c>
      <c r="F580" s="353">
        <f>ROUND(C580*E580,0)</f>
        <v>0</v>
      </c>
      <c r="G580" s="368"/>
      <c r="H580" s="368"/>
      <c r="I580" s="368">
        <f>C580-G580</f>
        <v>0</v>
      </c>
      <c r="J580" s="368">
        <f>F580-H580</f>
        <v>0</v>
      </c>
      <c r="K580" s="360" t="s">
        <v>2299</v>
      </c>
    </row>
    <row r="581" spans="1:11" s="360" customFormat="1" ht="24.75" hidden="1" customHeight="1">
      <c r="A581" s="356"/>
      <c r="B581" s="357" t="s">
        <v>2285</v>
      </c>
      <c r="C581" s="358">
        <f>'PART-A'!I2845</f>
        <v>0</v>
      </c>
      <c r="D581" s="354" t="s">
        <v>102</v>
      </c>
      <c r="E581" s="355">
        <f>'PART-A'!K2845</f>
        <v>3797</v>
      </c>
      <c r="F581" s="353">
        <f>ROUND(C581*E581,0)</f>
        <v>0</v>
      </c>
      <c r="G581" s="368"/>
      <c r="H581" s="368"/>
      <c r="I581" s="368">
        <f>C581-G581</f>
        <v>0</v>
      </c>
      <c r="J581" s="368">
        <f>F581-H581</f>
        <v>0</v>
      </c>
      <c r="K581" s="360" t="s">
        <v>2312</v>
      </c>
    </row>
    <row r="582" spans="1:11" s="360" customFormat="1" ht="24.75" hidden="1" customHeight="1">
      <c r="A582" s="356"/>
      <c r="B582" s="357" t="s">
        <v>2285</v>
      </c>
      <c r="C582" s="358">
        <f>'PART-A'!I2979</f>
        <v>0</v>
      </c>
      <c r="D582" s="354" t="s">
        <v>102</v>
      </c>
      <c r="E582" s="355">
        <f>'PART-A'!K2979</f>
        <v>4062</v>
      </c>
      <c r="F582" s="353">
        <f>ROUND(C582*E582,0)</f>
        <v>0</v>
      </c>
      <c r="G582" s="368"/>
      <c r="H582" s="368"/>
      <c r="I582" s="368">
        <f>C582-G582</f>
        <v>0</v>
      </c>
      <c r="J582" s="368">
        <f>F582-H582</f>
        <v>0</v>
      </c>
      <c r="K582" s="360" t="s">
        <v>2313</v>
      </c>
    </row>
    <row r="583" spans="1:11" s="360" customFormat="1" ht="20.25" hidden="1" customHeight="1">
      <c r="A583" s="356" t="s">
        <v>1147</v>
      </c>
      <c r="B583" s="357" t="s">
        <v>2240</v>
      </c>
      <c r="C583" s="358">
        <f>'PART-A'!I2578</f>
        <v>0</v>
      </c>
      <c r="D583" s="354" t="s">
        <v>115</v>
      </c>
      <c r="E583" s="355">
        <f>'PART-A'!K2578</f>
        <v>494.94</v>
      </c>
      <c r="F583" s="353">
        <f t="shared" si="22"/>
        <v>0</v>
      </c>
      <c r="G583" s="368"/>
      <c r="H583" s="368"/>
      <c r="I583" s="368">
        <f t="shared" ref="I583:I837" si="28">C583-G583</f>
        <v>0</v>
      </c>
      <c r="J583" s="368">
        <f t="shared" ref="J583:J837" si="29">F583-H583</f>
        <v>0</v>
      </c>
      <c r="K583" s="360" t="s">
        <v>2217</v>
      </c>
    </row>
    <row r="584" spans="1:11" s="360" customFormat="1" ht="20.25" hidden="1" customHeight="1">
      <c r="A584" s="356" t="s">
        <v>1147</v>
      </c>
      <c r="B584" s="357" t="s">
        <v>2240</v>
      </c>
      <c r="C584" s="358">
        <f>'PART-A'!I2716</f>
        <v>0</v>
      </c>
      <c r="D584" s="354" t="s">
        <v>115</v>
      </c>
      <c r="E584" s="355">
        <f>'PART-A'!K2716</f>
        <v>494.64</v>
      </c>
      <c r="F584" s="353">
        <f>ROUND(C584*E584,0)</f>
        <v>0</v>
      </c>
      <c r="G584" s="368"/>
      <c r="H584" s="368"/>
      <c r="I584" s="368">
        <f>C584-G584</f>
        <v>0</v>
      </c>
      <c r="J584" s="368">
        <f>F584-H584</f>
        <v>0</v>
      </c>
      <c r="K584" s="360" t="s">
        <v>2299</v>
      </c>
    </row>
    <row r="585" spans="1:11" s="360" customFormat="1" ht="20.25" hidden="1" customHeight="1">
      <c r="A585" s="356" t="s">
        <v>1147</v>
      </c>
      <c r="B585" s="357" t="s">
        <v>2240</v>
      </c>
      <c r="C585" s="358">
        <f>'PART-A'!I2850</f>
        <v>0</v>
      </c>
      <c r="D585" s="354" t="s">
        <v>115</v>
      </c>
      <c r="E585" s="355">
        <f>'PART-A'!K2850</f>
        <v>520.87</v>
      </c>
      <c r="F585" s="353">
        <f>ROUND(C585*E585,0)</f>
        <v>0</v>
      </c>
      <c r="G585" s="368"/>
      <c r="H585" s="368"/>
      <c r="I585" s="368">
        <f>C585-G585</f>
        <v>0</v>
      </c>
      <c r="J585" s="368">
        <f>F585-H585</f>
        <v>0</v>
      </c>
      <c r="K585" s="360" t="s">
        <v>2312</v>
      </c>
    </row>
    <row r="586" spans="1:11" s="360" customFormat="1" ht="20.25" hidden="1" customHeight="1">
      <c r="A586" s="356" t="s">
        <v>1147</v>
      </c>
      <c r="B586" s="357" t="s">
        <v>2240</v>
      </c>
      <c r="C586" s="358">
        <f>'PART-A'!I2984</f>
        <v>0</v>
      </c>
      <c r="D586" s="354" t="s">
        <v>115</v>
      </c>
      <c r="E586" s="355">
        <f>'PART-A'!K2984</f>
        <v>576.98</v>
      </c>
      <c r="F586" s="353">
        <f>ROUND(C586*E586,0)</f>
        <v>0</v>
      </c>
      <c r="G586" s="368"/>
      <c r="H586" s="368"/>
      <c r="I586" s="368">
        <f>C586-G586</f>
        <v>0</v>
      </c>
      <c r="J586" s="368">
        <f>F586-H586</f>
        <v>0</v>
      </c>
      <c r="K586" s="360" t="s">
        <v>2313</v>
      </c>
    </row>
    <row r="587" spans="1:11" s="360" customFormat="1" ht="20.25" hidden="1" customHeight="1">
      <c r="A587" s="356" t="s">
        <v>643</v>
      </c>
      <c r="B587" s="357" t="s">
        <v>2172</v>
      </c>
      <c r="C587" s="358">
        <f>'PART-A'!I2583</f>
        <v>0</v>
      </c>
      <c r="D587" s="354" t="s">
        <v>102</v>
      </c>
      <c r="E587" s="355">
        <f>'PART-A'!K2583</f>
        <v>513.1</v>
      </c>
      <c r="F587" s="353">
        <f t="shared" si="22"/>
        <v>0</v>
      </c>
      <c r="G587" s="368"/>
      <c r="H587" s="368"/>
      <c r="I587" s="368">
        <f t="shared" si="28"/>
        <v>0</v>
      </c>
      <c r="J587" s="368">
        <f t="shared" si="29"/>
        <v>0</v>
      </c>
      <c r="K587" s="360" t="s">
        <v>2217</v>
      </c>
    </row>
    <row r="588" spans="1:11" s="360" customFormat="1" ht="20.25" hidden="1" customHeight="1">
      <c r="A588" s="356" t="s">
        <v>643</v>
      </c>
      <c r="B588" s="357" t="s">
        <v>2172</v>
      </c>
      <c r="C588" s="358">
        <f>'PART-A'!I2721</f>
        <v>0</v>
      </c>
      <c r="D588" s="354" t="s">
        <v>102</v>
      </c>
      <c r="E588" s="355">
        <f>'PART-A'!K2721</f>
        <v>529.5</v>
      </c>
      <c r="F588" s="353">
        <f>ROUND(C588*E588,0)</f>
        <v>0</v>
      </c>
      <c r="G588" s="368"/>
      <c r="H588" s="368"/>
      <c r="I588" s="368">
        <f>C588-G588</f>
        <v>0</v>
      </c>
      <c r="J588" s="368">
        <f>F588-H588</f>
        <v>0</v>
      </c>
      <c r="K588" s="360" t="s">
        <v>2299</v>
      </c>
    </row>
    <row r="589" spans="1:11" s="360" customFormat="1" ht="20.25" hidden="1" customHeight="1">
      <c r="A589" s="356" t="s">
        <v>643</v>
      </c>
      <c r="B589" s="357" t="s">
        <v>2172</v>
      </c>
      <c r="C589" s="358">
        <f>'PART-A'!I2855</f>
        <v>0</v>
      </c>
      <c r="D589" s="354" t="s">
        <v>102</v>
      </c>
      <c r="E589" s="355">
        <f>'PART-A'!K2855</f>
        <v>554.35</v>
      </c>
      <c r="F589" s="353">
        <f>ROUND(C589*E589,0)</f>
        <v>0</v>
      </c>
      <c r="G589" s="368"/>
      <c r="H589" s="368"/>
      <c r="I589" s="368">
        <f>C589-G589</f>
        <v>0</v>
      </c>
      <c r="J589" s="368">
        <f>F589-H589</f>
        <v>0</v>
      </c>
      <c r="K589" s="360" t="s">
        <v>2312</v>
      </c>
    </row>
    <row r="590" spans="1:11" s="360" customFormat="1" ht="20.25" hidden="1" customHeight="1">
      <c r="A590" s="356" t="s">
        <v>1514</v>
      </c>
      <c r="B590" s="357" t="s">
        <v>2172</v>
      </c>
      <c r="C590" s="358">
        <f>'PART-A'!I2990</f>
        <v>0</v>
      </c>
      <c r="D590" s="354" t="s">
        <v>102</v>
      </c>
      <c r="E590" s="355">
        <f>'PART-A'!K2990</f>
        <v>604.07999999999993</v>
      </c>
      <c r="F590" s="353">
        <f>ROUND(C590*E590,0)</f>
        <v>0</v>
      </c>
      <c r="G590" s="368"/>
      <c r="H590" s="368"/>
      <c r="I590" s="368">
        <f>C590-G590</f>
        <v>0</v>
      </c>
      <c r="J590" s="368">
        <f>F590-H590</f>
        <v>0</v>
      </c>
      <c r="K590" s="360" t="s">
        <v>2313</v>
      </c>
    </row>
    <row r="591" spans="1:11" s="360" customFormat="1" ht="20.25" customHeight="1">
      <c r="A591" s="356" t="s">
        <v>488</v>
      </c>
      <c r="B591" s="357" t="s">
        <v>2113</v>
      </c>
      <c r="C591" s="358">
        <f>'PART-A'!I2588</f>
        <v>320</v>
      </c>
      <c r="D591" s="354" t="s">
        <v>872</v>
      </c>
      <c r="E591" s="355">
        <f>'PART-A'!K2588</f>
        <v>84.009999999999991</v>
      </c>
      <c r="F591" s="353">
        <f t="shared" si="22"/>
        <v>26883</v>
      </c>
      <c r="G591" s="353"/>
      <c r="H591" s="353"/>
      <c r="I591" s="368">
        <f t="shared" si="28"/>
        <v>320</v>
      </c>
      <c r="J591" s="368">
        <f t="shared" si="29"/>
        <v>26883</v>
      </c>
      <c r="K591" s="360" t="s">
        <v>2217</v>
      </c>
    </row>
    <row r="592" spans="1:11" s="360" customFormat="1" ht="20.25" hidden="1" customHeight="1">
      <c r="A592" s="356" t="s">
        <v>1519</v>
      </c>
      <c r="B592" s="357" t="s">
        <v>2113</v>
      </c>
      <c r="C592" s="358">
        <f>'PART-A'!I2726</f>
        <v>0</v>
      </c>
      <c r="D592" s="354" t="s">
        <v>872</v>
      </c>
      <c r="E592" s="355">
        <f>'PART-A'!K2726</f>
        <v>82.8</v>
      </c>
      <c r="F592" s="353">
        <f>ROUND(C592*E592,0)</f>
        <v>0</v>
      </c>
      <c r="G592" s="353"/>
      <c r="H592" s="353"/>
      <c r="I592" s="368">
        <f>C592-G592</f>
        <v>0</v>
      </c>
      <c r="J592" s="368">
        <f>F592-H592</f>
        <v>0</v>
      </c>
      <c r="K592" s="360" t="s">
        <v>2299</v>
      </c>
    </row>
    <row r="593" spans="1:11" s="360" customFormat="1" ht="20.25" hidden="1" customHeight="1">
      <c r="A593" s="356" t="s">
        <v>525</v>
      </c>
      <c r="B593" s="357" t="s">
        <v>2113</v>
      </c>
      <c r="C593" s="358">
        <f>'PART-A'!I2861</f>
        <v>0</v>
      </c>
      <c r="D593" s="354" t="s">
        <v>872</v>
      </c>
      <c r="E593" s="355">
        <f>'PART-A'!K2861</f>
        <v>95.89</v>
      </c>
      <c r="F593" s="353">
        <f>ROUND(C593*E593,0)</f>
        <v>0</v>
      </c>
      <c r="G593" s="353"/>
      <c r="H593" s="353"/>
      <c r="I593" s="368">
        <f>C593-G593</f>
        <v>0</v>
      </c>
      <c r="J593" s="368">
        <f>F593-H593</f>
        <v>0</v>
      </c>
      <c r="K593" s="360" t="s">
        <v>2312</v>
      </c>
    </row>
    <row r="594" spans="1:11" s="360" customFormat="1" ht="20.25" hidden="1" customHeight="1">
      <c r="A594" s="356" t="s">
        <v>485</v>
      </c>
      <c r="B594" s="357" t="s">
        <v>2113</v>
      </c>
      <c r="C594" s="358">
        <f>'PART-A'!I2995</f>
        <v>0</v>
      </c>
      <c r="D594" s="354" t="s">
        <v>872</v>
      </c>
      <c r="E594" s="355">
        <f>'PART-A'!K2995</f>
        <v>110.99</v>
      </c>
      <c r="F594" s="353">
        <f>ROUND(C594*E594,0)</f>
        <v>0</v>
      </c>
      <c r="G594" s="353"/>
      <c r="H594" s="353"/>
      <c r="I594" s="368">
        <f>C594-G594</f>
        <v>0</v>
      </c>
      <c r="J594" s="368">
        <f>F594-H594</f>
        <v>0</v>
      </c>
      <c r="K594" s="360" t="s">
        <v>2313</v>
      </c>
    </row>
    <row r="595" spans="1:11" s="360" customFormat="1" ht="20.25" hidden="1" customHeight="1">
      <c r="A595" s="356" t="s">
        <v>531</v>
      </c>
      <c r="B595" s="357" t="s">
        <v>2113</v>
      </c>
      <c r="C595" s="358">
        <f>'PART-A'!I2595</f>
        <v>0</v>
      </c>
      <c r="D595" s="354" t="s">
        <v>102</v>
      </c>
      <c r="E595" s="355">
        <f>'PART-A'!K2595</f>
        <v>2353.58</v>
      </c>
      <c r="F595" s="353">
        <f t="shared" si="22"/>
        <v>0</v>
      </c>
      <c r="G595" s="368"/>
      <c r="H595" s="368"/>
      <c r="I595" s="368">
        <f t="shared" si="28"/>
        <v>0</v>
      </c>
      <c r="J595" s="368">
        <f t="shared" si="29"/>
        <v>0</v>
      </c>
      <c r="K595" s="360" t="s">
        <v>2217</v>
      </c>
    </row>
    <row r="596" spans="1:11" s="360" customFormat="1" ht="20.25" hidden="1" customHeight="1">
      <c r="A596" s="356" t="s">
        <v>492</v>
      </c>
      <c r="B596" s="357" t="s">
        <v>2113</v>
      </c>
      <c r="C596" s="358">
        <f>'PART-A'!I2731</f>
        <v>0</v>
      </c>
      <c r="D596" s="354" t="s">
        <v>102</v>
      </c>
      <c r="E596" s="355">
        <f>'PART-A'!K2731</f>
        <v>2324.02</v>
      </c>
      <c r="F596" s="353">
        <f>ROUND(C596*E596,0)</f>
        <v>0</v>
      </c>
      <c r="G596" s="368"/>
      <c r="H596" s="368"/>
      <c r="I596" s="368">
        <f>C596-G596</f>
        <v>0</v>
      </c>
      <c r="J596" s="368">
        <f>F596-H596</f>
        <v>0</v>
      </c>
      <c r="K596" s="360" t="s">
        <v>2299</v>
      </c>
    </row>
    <row r="597" spans="1:11" s="360" customFormat="1" ht="20.25" hidden="1" customHeight="1">
      <c r="A597" s="356" t="s">
        <v>493</v>
      </c>
      <c r="B597" s="357" t="s">
        <v>2113</v>
      </c>
      <c r="C597" s="358">
        <f>'PART-A'!I2866</f>
        <v>0</v>
      </c>
      <c r="D597" s="354" t="s">
        <v>102</v>
      </c>
      <c r="E597" s="355">
        <f>'PART-A'!K2866</f>
        <v>2719.44</v>
      </c>
      <c r="F597" s="353">
        <f>ROUND(C597*E597,0)</f>
        <v>0</v>
      </c>
      <c r="G597" s="368"/>
      <c r="H597" s="368"/>
      <c r="I597" s="368">
        <f>C597-G597</f>
        <v>0</v>
      </c>
      <c r="J597" s="368">
        <f>F597-H597</f>
        <v>0</v>
      </c>
      <c r="K597" s="360" t="s">
        <v>2312</v>
      </c>
    </row>
    <row r="598" spans="1:11" s="360" customFormat="1" ht="20.25" hidden="1" customHeight="1">
      <c r="A598" s="356" t="s">
        <v>531</v>
      </c>
      <c r="B598" s="357" t="s">
        <v>2113</v>
      </c>
      <c r="C598" s="358">
        <f>'PART-A'!I3002</f>
        <v>0</v>
      </c>
      <c r="D598" s="354" t="s">
        <v>102</v>
      </c>
      <c r="E598" s="355">
        <f>'PART-A'!K3002</f>
        <v>3138.49</v>
      </c>
      <c r="F598" s="353">
        <f>ROUND(C598*E598,0)</f>
        <v>0</v>
      </c>
      <c r="G598" s="368"/>
      <c r="H598" s="368"/>
      <c r="I598" s="368">
        <f>C598-G598</f>
        <v>0</v>
      </c>
      <c r="J598" s="368">
        <f>F598-H598</f>
        <v>0</v>
      </c>
      <c r="K598" s="360" t="s">
        <v>2313</v>
      </c>
    </row>
    <row r="599" spans="1:11" s="360" customFormat="1" ht="20.25" hidden="1" customHeight="1">
      <c r="A599" s="356" t="s">
        <v>518</v>
      </c>
      <c r="B599" s="357" t="s">
        <v>2239</v>
      </c>
      <c r="C599" s="358">
        <f>'PART-A'!I2600</f>
        <v>0</v>
      </c>
      <c r="D599" s="354"/>
      <c r="E599" s="355">
        <f>'PART-A'!K2600</f>
        <v>106.5</v>
      </c>
      <c r="F599" s="353">
        <f t="shared" si="22"/>
        <v>0</v>
      </c>
      <c r="G599" s="368"/>
      <c r="H599" s="368"/>
      <c r="I599" s="368">
        <f t="shared" si="28"/>
        <v>0</v>
      </c>
      <c r="J599" s="368">
        <f t="shared" si="29"/>
        <v>0</v>
      </c>
      <c r="K599" s="360" t="s">
        <v>2217</v>
      </c>
    </row>
    <row r="600" spans="1:11" s="360" customFormat="1" ht="20.25" hidden="1" customHeight="1">
      <c r="A600" s="356" t="s">
        <v>518</v>
      </c>
      <c r="B600" s="357" t="s">
        <v>2239</v>
      </c>
      <c r="C600" s="358">
        <f>'PART-A'!I2736</f>
        <v>0</v>
      </c>
      <c r="D600" s="354"/>
      <c r="E600" s="355">
        <f>'PART-A'!K2736</f>
        <v>106.5</v>
      </c>
      <c r="F600" s="353">
        <f>ROUND(C600*E600,0)</f>
        <v>0</v>
      </c>
      <c r="G600" s="368"/>
      <c r="H600" s="368"/>
      <c r="I600" s="368">
        <f>C600-G600</f>
        <v>0</v>
      </c>
      <c r="J600" s="368">
        <f>F600-H600</f>
        <v>0</v>
      </c>
      <c r="K600" s="360" t="s">
        <v>2299</v>
      </c>
    </row>
    <row r="601" spans="1:11" s="360" customFormat="1" ht="20.25" hidden="1" customHeight="1">
      <c r="A601" s="356" t="s">
        <v>518</v>
      </c>
      <c r="B601" s="357" t="s">
        <v>2239</v>
      </c>
      <c r="C601" s="358">
        <f>'PART-A'!I2871</f>
        <v>0</v>
      </c>
      <c r="D601" s="354"/>
      <c r="E601" s="355">
        <f>'PART-A'!K2871</f>
        <v>114.65</v>
      </c>
      <c r="F601" s="353">
        <f>ROUND(C601*E601,0)</f>
        <v>0</v>
      </c>
      <c r="G601" s="368"/>
      <c r="H601" s="368"/>
      <c r="I601" s="368">
        <f>C601-G601</f>
        <v>0</v>
      </c>
      <c r="J601" s="368">
        <f>F601-H601</f>
        <v>0</v>
      </c>
      <c r="K601" s="360" t="s">
        <v>2312</v>
      </c>
    </row>
    <row r="602" spans="1:11" s="360" customFormat="1" ht="20.25" hidden="1" customHeight="1">
      <c r="A602" s="356" t="s">
        <v>518</v>
      </c>
      <c r="B602" s="357" t="s">
        <v>2239</v>
      </c>
      <c r="C602" s="358">
        <f>'PART-A'!I3007</f>
        <v>0</v>
      </c>
      <c r="D602" s="354"/>
      <c r="E602" s="355">
        <f>'PART-A'!K3007</f>
        <v>126.9</v>
      </c>
      <c r="F602" s="353">
        <f>ROUND(C602*E602,0)</f>
        <v>0</v>
      </c>
      <c r="G602" s="368"/>
      <c r="H602" s="368"/>
      <c r="I602" s="368">
        <f>C602-G602</f>
        <v>0</v>
      </c>
      <c r="J602" s="368">
        <f>F602-H602</f>
        <v>0</v>
      </c>
      <c r="K602" s="360" t="s">
        <v>2313</v>
      </c>
    </row>
    <row r="603" spans="1:11" s="360" customFormat="1" ht="20.25" hidden="1" customHeight="1">
      <c r="A603" s="356" t="s">
        <v>532</v>
      </c>
      <c r="B603" s="357" t="s">
        <v>2190</v>
      </c>
      <c r="C603" s="358">
        <f>'PART-A'!I2605</f>
        <v>0</v>
      </c>
      <c r="D603" s="354" t="s">
        <v>102</v>
      </c>
      <c r="E603" s="355">
        <f>'PART-A'!K2605</f>
        <v>2839.34</v>
      </c>
      <c r="F603" s="353">
        <f t="shared" si="22"/>
        <v>0</v>
      </c>
      <c r="G603" s="368"/>
      <c r="H603" s="368"/>
      <c r="I603" s="368">
        <f t="shared" si="28"/>
        <v>0</v>
      </c>
      <c r="J603" s="368">
        <f t="shared" si="29"/>
        <v>0</v>
      </c>
      <c r="K603" s="360" t="s">
        <v>2217</v>
      </c>
    </row>
    <row r="604" spans="1:11" s="360" customFormat="1" ht="20.25" hidden="1" customHeight="1">
      <c r="A604" s="356" t="s">
        <v>530</v>
      </c>
      <c r="B604" s="357" t="s">
        <v>2190</v>
      </c>
      <c r="C604" s="358">
        <f>'PART-A'!I2743</f>
        <v>0</v>
      </c>
      <c r="D604" s="354" t="s">
        <v>102</v>
      </c>
      <c r="E604" s="355">
        <f>'PART-A'!K2743</f>
        <v>2839.34</v>
      </c>
      <c r="F604" s="353">
        <f>ROUND(C604*E604,0)</f>
        <v>0</v>
      </c>
      <c r="G604" s="368"/>
      <c r="H604" s="368"/>
      <c r="I604" s="368">
        <f>C604-G604</f>
        <v>0</v>
      </c>
      <c r="J604" s="368">
        <f>F604-H604</f>
        <v>0</v>
      </c>
      <c r="K604" s="360" t="s">
        <v>2299</v>
      </c>
    </row>
    <row r="605" spans="1:11" s="360" customFormat="1" ht="20.25" hidden="1" customHeight="1">
      <c r="A605" s="356" t="s">
        <v>532</v>
      </c>
      <c r="B605" s="357" t="s">
        <v>2190</v>
      </c>
      <c r="C605" s="358">
        <f>'PART-A'!I2876</f>
        <v>0</v>
      </c>
      <c r="D605" s="354" t="s">
        <v>102</v>
      </c>
      <c r="E605" s="355">
        <f>'PART-A'!K2876</f>
        <v>3034.69</v>
      </c>
      <c r="F605" s="353">
        <f>ROUND(C605*E605,0)</f>
        <v>0</v>
      </c>
      <c r="G605" s="368"/>
      <c r="H605" s="368"/>
      <c r="I605" s="368">
        <f>C605-G605</f>
        <v>0</v>
      </c>
      <c r="J605" s="368">
        <f>F605-H605</f>
        <v>0</v>
      </c>
      <c r="K605" s="360" t="s">
        <v>2312</v>
      </c>
    </row>
    <row r="606" spans="1:11" s="360" customFormat="1" ht="20.25" hidden="1" customHeight="1">
      <c r="A606" s="356" t="s">
        <v>524</v>
      </c>
      <c r="B606" s="357" t="s">
        <v>2190</v>
      </c>
      <c r="C606" s="358">
        <f>'PART-A'!I3017</f>
        <v>0</v>
      </c>
      <c r="D606" s="354" t="s">
        <v>102</v>
      </c>
      <c r="E606" s="355">
        <f>'PART-A'!K3017</f>
        <v>3345.94</v>
      </c>
      <c r="F606" s="353">
        <f>ROUND(C606*E606,0)</f>
        <v>0</v>
      </c>
      <c r="G606" s="368"/>
      <c r="H606" s="368"/>
      <c r="I606" s="368">
        <f>C606-G606</f>
        <v>0</v>
      </c>
      <c r="J606" s="368">
        <f>F606-H606</f>
        <v>0</v>
      </c>
      <c r="K606" s="360" t="s">
        <v>2313</v>
      </c>
    </row>
    <row r="607" spans="1:11" s="360" customFormat="1" ht="20.25" hidden="1" customHeight="1">
      <c r="A607" s="356" t="s">
        <v>527</v>
      </c>
      <c r="B607" s="357" t="s">
        <v>2289</v>
      </c>
      <c r="C607" s="358">
        <f>'PART-A'!I2613</f>
        <v>0</v>
      </c>
      <c r="D607" s="354" t="s">
        <v>102</v>
      </c>
      <c r="E607" s="355">
        <f>'PART-A'!K2613</f>
        <v>1258.8900000000001</v>
      </c>
      <c r="F607" s="353">
        <f t="shared" si="22"/>
        <v>0</v>
      </c>
      <c r="G607" s="368"/>
      <c r="H607" s="368"/>
      <c r="I607" s="368">
        <f t="shared" si="28"/>
        <v>0</v>
      </c>
      <c r="J607" s="368">
        <f t="shared" si="29"/>
        <v>0</v>
      </c>
      <c r="K607" s="360" t="s">
        <v>2217</v>
      </c>
    </row>
    <row r="608" spans="1:11" s="360" customFormat="1" ht="20.25" hidden="1" customHeight="1">
      <c r="A608" s="356" t="s">
        <v>527</v>
      </c>
      <c r="B608" s="357" t="s">
        <v>2289</v>
      </c>
      <c r="C608" s="358">
        <f>'PART-A'!I2751</f>
        <v>0</v>
      </c>
      <c r="D608" s="354" t="s">
        <v>102</v>
      </c>
      <c r="E608" s="355">
        <f>'PART-A'!K2751</f>
        <v>1258.8900000000001</v>
      </c>
      <c r="F608" s="353">
        <f>ROUND(C608*E608,0)</f>
        <v>0</v>
      </c>
      <c r="G608" s="368"/>
      <c r="H608" s="368"/>
      <c r="I608" s="368">
        <f>C608-G608</f>
        <v>0</v>
      </c>
      <c r="J608" s="368">
        <f>F608-H608</f>
        <v>0</v>
      </c>
      <c r="K608" s="360" t="s">
        <v>2299</v>
      </c>
    </row>
    <row r="609" spans="1:11" s="360" customFormat="1" ht="20.25" hidden="1" customHeight="1">
      <c r="A609" s="356" t="s">
        <v>527</v>
      </c>
      <c r="B609" s="357" t="s">
        <v>2289</v>
      </c>
      <c r="C609" s="358">
        <f>'PART-A'!I2884</f>
        <v>0</v>
      </c>
      <c r="D609" s="354" t="s">
        <v>102</v>
      </c>
      <c r="E609" s="355">
        <f>'PART-A'!K2884</f>
        <v>1357.37</v>
      </c>
      <c r="F609" s="353">
        <f>ROUND(C609*E609,0)</f>
        <v>0</v>
      </c>
      <c r="G609" s="368"/>
      <c r="H609" s="368"/>
      <c r="I609" s="368">
        <f>C609-G609</f>
        <v>0</v>
      </c>
      <c r="J609" s="368">
        <f>F609-H609</f>
        <v>0</v>
      </c>
      <c r="K609" s="360" t="s">
        <v>2312</v>
      </c>
    </row>
    <row r="610" spans="1:11" s="360" customFormat="1" ht="20.25" hidden="1" customHeight="1">
      <c r="A610" s="356" t="s">
        <v>527</v>
      </c>
      <c r="B610" s="357" t="s">
        <v>2289</v>
      </c>
      <c r="C610" s="358">
        <f>'PART-A'!I3025</f>
        <v>0</v>
      </c>
      <c r="D610" s="354" t="s">
        <v>102</v>
      </c>
      <c r="E610" s="355">
        <f>'PART-A'!K3025</f>
        <v>1514.34</v>
      </c>
      <c r="F610" s="353">
        <f>ROUND(C610*E610,0)</f>
        <v>0</v>
      </c>
      <c r="G610" s="368"/>
      <c r="H610" s="368"/>
      <c r="I610" s="368">
        <f>C610-G610</f>
        <v>0</v>
      </c>
      <c r="J610" s="368">
        <f>F610-H610</f>
        <v>0</v>
      </c>
      <c r="K610" s="360" t="s">
        <v>2313</v>
      </c>
    </row>
    <row r="611" spans="1:11" s="360" customFormat="1" ht="20.25" hidden="1" customHeight="1">
      <c r="A611" s="356" t="s">
        <v>527</v>
      </c>
      <c r="B611" s="357" t="s">
        <v>1567</v>
      </c>
      <c r="C611" s="358">
        <f>'PART-A'!I2618</f>
        <v>0</v>
      </c>
      <c r="D611" s="354" t="s">
        <v>872</v>
      </c>
      <c r="E611" s="355">
        <f>'PART-A'!K2618</f>
        <v>470.28</v>
      </c>
      <c r="F611" s="353">
        <f t="shared" ref="F611" si="30">ROUND(C611*E611,0)</f>
        <v>0</v>
      </c>
      <c r="G611" s="368"/>
      <c r="H611" s="368"/>
      <c r="I611" s="368">
        <f t="shared" ref="I611" si="31">C611-G611</f>
        <v>0</v>
      </c>
      <c r="J611" s="368">
        <f t="shared" ref="J611" si="32">F611-H611</f>
        <v>0</v>
      </c>
      <c r="K611" s="360" t="s">
        <v>2217</v>
      </c>
    </row>
    <row r="612" spans="1:11" s="360" customFormat="1" ht="20.25" hidden="1" customHeight="1">
      <c r="A612" s="356" t="s">
        <v>527</v>
      </c>
      <c r="B612" s="357" t="s">
        <v>1567</v>
      </c>
      <c r="C612" s="358">
        <f>'PART-A'!I2756</f>
        <v>0</v>
      </c>
      <c r="D612" s="354" t="s">
        <v>872</v>
      </c>
      <c r="E612" s="355">
        <f>'PART-A'!K2756</f>
        <v>470.28</v>
      </c>
      <c r="F612" s="353">
        <f>ROUND(C612*E612,0)</f>
        <v>0</v>
      </c>
      <c r="G612" s="368"/>
      <c r="H612" s="368"/>
      <c r="I612" s="368">
        <f>C612-G612</f>
        <v>0</v>
      </c>
      <c r="J612" s="368">
        <f>F612-H612</f>
        <v>0</v>
      </c>
      <c r="K612" s="360" t="s">
        <v>2299</v>
      </c>
    </row>
    <row r="613" spans="1:11" s="360" customFormat="1" ht="20.25" hidden="1" customHeight="1">
      <c r="A613" s="356" t="s">
        <v>527</v>
      </c>
      <c r="B613" s="357" t="s">
        <v>1567</v>
      </c>
      <c r="C613" s="358">
        <f>'PART-A'!I2889</f>
        <v>0</v>
      </c>
      <c r="D613" s="354" t="s">
        <v>872</v>
      </c>
      <c r="E613" s="355">
        <f>'PART-A'!K2889</f>
        <v>508</v>
      </c>
      <c r="F613" s="353">
        <f>ROUND(C613*E613,0)</f>
        <v>0</v>
      </c>
      <c r="G613" s="368"/>
      <c r="H613" s="368"/>
      <c r="I613" s="368">
        <f>C613-G613</f>
        <v>0</v>
      </c>
      <c r="J613" s="368">
        <f>F613-H613</f>
        <v>0</v>
      </c>
      <c r="K613" s="360" t="s">
        <v>2312</v>
      </c>
    </row>
    <row r="614" spans="1:11" s="360" customFormat="1" ht="20.25" hidden="1" customHeight="1">
      <c r="A614" s="356" t="s">
        <v>527</v>
      </c>
      <c r="B614" s="357" t="s">
        <v>1567</v>
      </c>
      <c r="C614" s="358">
        <f>'PART-A'!I3030</f>
        <v>0</v>
      </c>
      <c r="D614" s="354" t="s">
        <v>872</v>
      </c>
      <c r="E614" s="355">
        <f>'PART-A'!K3030</f>
        <v>568.35</v>
      </c>
      <c r="F614" s="353">
        <f>ROUND(C614*E614,0)</f>
        <v>0</v>
      </c>
      <c r="G614" s="368"/>
      <c r="H614" s="368"/>
      <c r="I614" s="368">
        <f>C614-G614</f>
        <v>0</v>
      </c>
      <c r="J614" s="368">
        <f>F614-H614</f>
        <v>0</v>
      </c>
      <c r="K614" s="360" t="s">
        <v>2313</v>
      </c>
    </row>
    <row r="615" spans="1:11" s="360" customFormat="1" ht="20.25" hidden="1" customHeight="1">
      <c r="A615" s="356" t="s">
        <v>532</v>
      </c>
      <c r="B615" s="357" t="s">
        <v>2114</v>
      </c>
      <c r="C615" s="429">
        <f>'PART-A'!I2626</f>
        <v>0</v>
      </c>
      <c r="D615" s="221" t="s">
        <v>277</v>
      </c>
      <c r="E615" s="430">
        <f>'PART-A'!K2626</f>
        <v>412</v>
      </c>
      <c r="F615" s="353">
        <f t="shared" si="22"/>
        <v>0</v>
      </c>
      <c r="G615" s="368"/>
      <c r="H615" s="368"/>
      <c r="I615" s="368">
        <f t="shared" si="28"/>
        <v>0</v>
      </c>
      <c r="J615" s="368">
        <f t="shared" si="29"/>
        <v>0</v>
      </c>
      <c r="K615" s="360" t="s">
        <v>2217</v>
      </c>
    </row>
    <row r="616" spans="1:11" s="360" customFormat="1" ht="20.25" hidden="1" customHeight="1">
      <c r="A616" s="356" t="s">
        <v>532</v>
      </c>
      <c r="B616" s="357" t="s">
        <v>2114</v>
      </c>
      <c r="C616" s="429">
        <f>'PART-A'!I2764</f>
        <v>0</v>
      </c>
      <c r="D616" s="221" t="s">
        <v>277</v>
      </c>
      <c r="E616" s="430">
        <f>'PART-A'!K2764</f>
        <v>412</v>
      </c>
      <c r="F616" s="353">
        <f>ROUND(C616*E616,0)</f>
        <v>0</v>
      </c>
      <c r="G616" s="368"/>
      <c r="H616" s="368"/>
      <c r="I616" s="368">
        <f>C616-G616</f>
        <v>0</v>
      </c>
      <c r="J616" s="368">
        <f>F616-H616</f>
        <v>0</v>
      </c>
      <c r="K616" s="360" t="s">
        <v>2299</v>
      </c>
    </row>
    <row r="617" spans="1:11" s="360" customFormat="1" ht="20.25" hidden="1" customHeight="1">
      <c r="A617" s="356" t="s">
        <v>532</v>
      </c>
      <c r="B617" s="357" t="s">
        <v>2114</v>
      </c>
      <c r="C617" s="429">
        <f>'PART-A'!I2897</f>
        <v>0</v>
      </c>
      <c r="D617" s="221" t="s">
        <v>277</v>
      </c>
      <c r="E617" s="430">
        <f>'PART-A'!K2897</f>
        <v>438</v>
      </c>
      <c r="F617" s="353">
        <f>ROUND(C617*E617,0)</f>
        <v>0</v>
      </c>
      <c r="G617" s="368"/>
      <c r="H617" s="368"/>
      <c r="I617" s="368">
        <f>C617-G617</f>
        <v>0</v>
      </c>
      <c r="J617" s="368">
        <f>F617-H617</f>
        <v>0</v>
      </c>
      <c r="K617" s="360" t="s">
        <v>2312</v>
      </c>
    </row>
    <row r="618" spans="1:11" s="360" customFormat="1" ht="20.25" hidden="1" customHeight="1">
      <c r="A618" s="356" t="s">
        <v>532</v>
      </c>
      <c r="B618" s="357" t="s">
        <v>2114</v>
      </c>
      <c r="C618" s="429">
        <f>'PART-A'!I3038</f>
        <v>0</v>
      </c>
      <c r="D618" s="221" t="s">
        <v>277</v>
      </c>
      <c r="E618" s="430">
        <f>'PART-A'!K3038</f>
        <v>453</v>
      </c>
      <c r="F618" s="353">
        <f>ROUND(C618*E618,0)</f>
        <v>0</v>
      </c>
      <c r="G618" s="368"/>
      <c r="H618" s="368"/>
      <c r="I618" s="368">
        <f>C618-G618</f>
        <v>0</v>
      </c>
      <c r="J618" s="368">
        <f>F618-H618</f>
        <v>0</v>
      </c>
      <c r="K618" s="360" t="s">
        <v>2313</v>
      </c>
    </row>
    <row r="619" spans="1:11" s="360" customFormat="1" ht="29.25" hidden="1" customHeight="1">
      <c r="A619" s="356"/>
      <c r="B619" s="431" t="s">
        <v>523</v>
      </c>
      <c r="C619" s="358"/>
      <c r="D619" s="361"/>
      <c r="E619" s="355"/>
      <c r="F619" s="353">
        <f t="shared" si="22"/>
        <v>0</v>
      </c>
      <c r="G619" s="368"/>
      <c r="H619" s="368"/>
      <c r="I619" s="368">
        <f t="shared" si="28"/>
        <v>0</v>
      </c>
      <c r="J619" s="368">
        <f t="shared" si="29"/>
        <v>0</v>
      </c>
      <c r="K619" s="360" t="s">
        <v>2217</v>
      </c>
    </row>
    <row r="620" spans="1:11" s="360" customFormat="1" ht="20.25" hidden="1" customHeight="1">
      <c r="A620" s="356" t="s">
        <v>493</v>
      </c>
      <c r="B620" s="357" t="s">
        <v>543</v>
      </c>
      <c r="C620" s="358">
        <f>'PART-A'!I3044</f>
        <v>0</v>
      </c>
      <c r="D620" s="354" t="s">
        <v>277</v>
      </c>
      <c r="E620" s="355">
        <f>'PART-A'!K3044</f>
        <v>193</v>
      </c>
      <c r="F620" s="353">
        <f t="shared" si="22"/>
        <v>0</v>
      </c>
      <c r="G620" s="368"/>
      <c r="H620" s="368"/>
      <c r="I620" s="368">
        <f t="shared" si="28"/>
        <v>0</v>
      </c>
      <c r="J620" s="368">
        <f t="shared" si="29"/>
        <v>0</v>
      </c>
      <c r="K620" s="360" t="s">
        <v>2217</v>
      </c>
    </row>
    <row r="621" spans="1:11" s="360" customFormat="1" ht="20.25" hidden="1" customHeight="1">
      <c r="A621" s="356" t="s">
        <v>493</v>
      </c>
      <c r="B621" s="357" t="s">
        <v>543</v>
      </c>
      <c r="C621" s="358">
        <f>'PART-A'!I3182</f>
        <v>0</v>
      </c>
      <c r="D621" s="354" t="s">
        <v>277</v>
      </c>
      <c r="E621" s="355">
        <f>'PART-A'!K3182</f>
        <v>193</v>
      </c>
      <c r="F621" s="353">
        <f>ROUND(C621*E621,0)</f>
        <v>0</v>
      </c>
      <c r="G621" s="368"/>
      <c r="H621" s="368"/>
      <c r="I621" s="368">
        <f>C621-G621</f>
        <v>0</v>
      </c>
      <c r="J621" s="368">
        <f>F621-H621</f>
        <v>0</v>
      </c>
      <c r="K621" s="360" t="s">
        <v>2299</v>
      </c>
    </row>
    <row r="622" spans="1:11" s="360" customFormat="1" ht="20.25" hidden="1" customHeight="1">
      <c r="A622" s="356" t="s">
        <v>493</v>
      </c>
      <c r="B622" s="357" t="s">
        <v>543</v>
      </c>
      <c r="C622" s="358">
        <f>'PART-A'!I3320</f>
        <v>0</v>
      </c>
      <c r="D622" s="354" t="s">
        <v>277</v>
      </c>
      <c r="E622" s="355">
        <f>'PART-A'!K3320</f>
        <v>202</v>
      </c>
      <c r="F622" s="353">
        <f>ROUND(C622*E622,0)</f>
        <v>0</v>
      </c>
      <c r="G622" s="368"/>
      <c r="H622" s="368"/>
      <c r="I622" s="368">
        <f>C622-G622</f>
        <v>0</v>
      </c>
      <c r="J622" s="368">
        <f>F622-H622</f>
        <v>0</v>
      </c>
      <c r="K622" s="360" t="s">
        <v>2312</v>
      </c>
    </row>
    <row r="623" spans="1:11" s="360" customFormat="1" ht="20.25" hidden="1" customHeight="1">
      <c r="A623" s="356" t="s">
        <v>525</v>
      </c>
      <c r="B623" s="357" t="s">
        <v>543</v>
      </c>
      <c r="C623" s="358">
        <f>'PART-A'!I3462</f>
        <v>0</v>
      </c>
      <c r="D623" s="354" t="s">
        <v>277</v>
      </c>
      <c r="E623" s="355">
        <f>'PART-A'!K3462</f>
        <v>214</v>
      </c>
      <c r="F623" s="353">
        <f>ROUND(C623*E623,0)</f>
        <v>0</v>
      </c>
      <c r="G623" s="368"/>
      <c r="H623" s="368"/>
      <c r="I623" s="368">
        <f>C623-G623</f>
        <v>0</v>
      </c>
      <c r="J623" s="368">
        <f>F623-H623</f>
        <v>0</v>
      </c>
      <c r="K623" s="360" t="s">
        <v>2313</v>
      </c>
    </row>
    <row r="624" spans="1:11" s="360" customFormat="1" ht="20.25" hidden="1" customHeight="1">
      <c r="A624" s="356" t="s">
        <v>1580</v>
      </c>
      <c r="B624" s="357" t="s">
        <v>2173</v>
      </c>
      <c r="C624" s="358">
        <f>'PART-A'!I3049</f>
        <v>0</v>
      </c>
      <c r="D624" s="354" t="s">
        <v>277</v>
      </c>
      <c r="E624" s="355">
        <f>'PART-A'!K3049</f>
        <v>123</v>
      </c>
      <c r="F624" s="353">
        <f t="shared" si="22"/>
        <v>0</v>
      </c>
      <c r="G624" s="368"/>
      <c r="H624" s="368"/>
      <c r="I624" s="368">
        <f t="shared" si="28"/>
        <v>0</v>
      </c>
      <c r="J624" s="368">
        <f t="shared" si="29"/>
        <v>0</v>
      </c>
      <c r="K624" s="360" t="s">
        <v>2217</v>
      </c>
    </row>
    <row r="625" spans="1:11" s="360" customFormat="1" ht="20.25" hidden="1" customHeight="1">
      <c r="A625" s="356" t="s">
        <v>1580</v>
      </c>
      <c r="B625" s="357" t="s">
        <v>2173</v>
      </c>
      <c r="C625" s="358">
        <f>'PART-A'!I3187</f>
        <v>0</v>
      </c>
      <c r="D625" s="354" t="s">
        <v>277</v>
      </c>
      <c r="E625" s="355">
        <f>'PART-A'!K3187</f>
        <v>123</v>
      </c>
      <c r="F625" s="353">
        <f>ROUND(C625*E625,0)</f>
        <v>0</v>
      </c>
      <c r="G625" s="368"/>
      <c r="H625" s="368"/>
      <c r="I625" s="368">
        <f>C625-G625</f>
        <v>0</v>
      </c>
      <c r="J625" s="368">
        <f>F625-H625</f>
        <v>0</v>
      </c>
      <c r="K625" s="360" t="s">
        <v>2299</v>
      </c>
    </row>
    <row r="626" spans="1:11" s="360" customFormat="1" ht="20.25" hidden="1" customHeight="1">
      <c r="A626" s="356" t="s">
        <v>1580</v>
      </c>
      <c r="B626" s="357" t="s">
        <v>2173</v>
      </c>
      <c r="C626" s="358">
        <f>'PART-A'!I3325</f>
        <v>0</v>
      </c>
      <c r="D626" s="354" t="s">
        <v>277</v>
      </c>
      <c r="E626" s="355">
        <f>'PART-A'!K3325</f>
        <v>129</v>
      </c>
      <c r="F626" s="353">
        <f>ROUND(C626*E626,0)</f>
        <v>0</v>
      </c>
      <c r="G626" s="368"/>
      <c r="H626" s="368"/>
      <c r="I626" s="368">
        <f>C626-G626</f>
        <v>0</v>
      </c>
      <c r="J626" s="368">
        <f>F626-H626</f>
        <v>0</v>
      </c>
      <c r="K626" s="360" t="s">
        <v>2312</v>
      </c>
    </row>
    <row r="627" spans="1:11" s="360" customFormat="1" ht="20.25" hidden="1" customHeight="1">
      <c r="A627" s="356" t="s">
        <v>526</v>
      </c>
      <c r="B627" s="357" t="s">
        <v>2173</v>
      </c>
      <c r="C627" s="358">
        <f>'PART-A'!I3467</f>
        <v>0</v>
      </c>
      <c r="D627" s="354" t="s">
        <v>277</v>
      </c>
      <c r="E627" s="355">
        <f>'PART-A'!K3467</f>
        <v>136</v>
      </c>
      <c r="F627" s="353">
        <f>ROUND(C627*E627,0)</f>
        <v>0</v>
      </c>
      <c r="G627" s="368"/>
      <c r="H627" s="368"/>
      <c r="I627" s="368">
        <f>C627-G627</f>
        <v>0</v>
      </c>
      <c r="J627" s="368">
        <f>F627-H627</f>
        <v>0</v>
      </c>
      <c r="K627" s="360" t="s">
        <v>2313</v>
      </c>
    </row>
    <row r="628" spans="1:11" s="360" customFormat="1" ht="20.25" hidden="1" customHeight="1">
      <c r="A628" s="356" t="s">
        <v>1581</v>
      </c>
      <c r="B628" s="357" t="s">
        <v>2174</v>
      </c>
      <c r="C628" s="358">
        <f>'PART-A'!I3054</f>
        <v>0</v>
      </c>
      <c r="D628" s="354" t="s">
        <v>277</v>
      </c>
      <c r="E628" s="355">
        <f>'PART-A'!K3054</f>
        <v>85</v>
      </c>
      <c r="F628" s="353">
        <f t="shared" si="22"/>
        <v>0</v>
      </c>
      <c r="G628" s="368"/>
      <c r="H628" s="368"/>
      <c r="I628" s="368">
        <f t="shared" si="28"/>
        <v>0</v>
      </c>
      <c r="J628" s="368">
        <f t="shared" si="29"/>
        <v>0</v>
      </c>
      <c r="K628" s="360" t="s">
        <v>2217</v>
      </c>
    </row>
    <row r="629" spans="1:11" s="360" customFormat="1" ht="20.25" hidden="1" customHeight="1">
      <c r="A629" s="356" t="s">
        <v>531</v>
      </c>
      <c r="B629" s="357" t="s">
        <v>2174</v>
      </c>
      <c r="C629" s="358">
        <f>'PART-A'!I3192</f>
        <v>0</v>
      </c>
      <c r="D629" s="354" t="s">
        <v>277</v>
      </c>
      <c r="E629" s="355">
        <f>'PART-A'!K3192</f>
        <v>85</v>
      </c>
      <c r="F629" s="353">
        <f>ROUND(C629*E629,0)</f>
        <v>0</v>
      </c>
      <c r="G629" s="368"/>
      <c r="H629" s="368"/>
      <c r="I629" s="368">
        <f>C629-G629</f>
        <v>0</v>
      </c>
      <c r="J629" s="368">
        <f>F629-H629</f>
        <v>0</v>
      </c>
      <c r="K629" s="360" t="s">
        <v>2299</v>
      </c>
    </row>
    <row r="630" spans="1:11" s="360" customFormat="1" ht="20.25" hidden="1" customHeight="1">
      <c r="A630" s="356" t="s">
        <v>494</v>
      </c>
      <c r="B630" s="357" t="s">
        <v>2174</v>
      </c>
      <c r="C630" s="358">
        <f>'PART-A'!I3331</f>
        <v>0</v>
      </c>
      <c r="D630" s="354" t="s">
        <v>277</v>
      </c>
      <c r="E630" s="355">
        <f>'PART-A'!K3331</f>
        <v>89</v>
      </c>
      <c r="F630" s="353">
        <f>ROUND(C630*E630,0)</f>
        <v>0</v>
      </c>
      <c r="G630" s="368"/>
      <c r="H630" s="368"/>
      <c r="I630" s="368">
        <f>C630-G630</f>
        <v>0</v>
      </c>
      <c r="J630" s="368">
        <f>F630-H630</f>
        <v>0</v>
      </c>
      <c r="K630" s="360" t="s">
        <v>2312</v>
      </c>
    </row>
    <row r="631" spans="1:11" s="360" customFormat="1" ht="20.25" hidden="1" customHeight="1">
      <c r="A631" s="356" t="s">
        <v>1581</v>
      </c>
      <c r="B631" s="357" t="s">
        <v>2174</v>
      </c>
      <c r="C631" s="358">
        <f>'PART-A'!I3472</f>
        <v>0</v>
      </c>
      <c r="D631" s="354" t="s">
        <v>277</v>
      </c>
      <c r="E631" s="355">
        <f>'PART-A'!K3472</f>
        <v>94</v>
      </c>
      <c r="F631" s="353">
        <f>ROUND(C631*E631,0)</f>
        <v>0</v>
      </c>
      <c r="G631" s="368"/>
      <c r="H631" s="368"/>
      <c r="I631" s="368">
        <f>C631-G631</f>
        <v>0</v>
      </c>
      <c r="J631" s="368">
        <f>F631-H631</f>
        <v>0</v>
      </c>
      <c r="K631" s="360" t="s">
        <v>2313</v>
      </c>
    </row>
    <row r="632" spans="1:11" s="360" customFormat="1" ht="20.25" hidden="1" customHeight="1">
      <c r="A632" s="356" t="s">
        <v>1153</v>
      </c>
      <c r="B632" s="357" t="s">
        <v>1255</v>
      </c>
      <c r="C632" s="358">
        <f>'PART-A'!I3059</f>
        <v>0</v>
      </c>
      <c r="D632" s="354" t="s">
        <v>277</v>
      </c>
      <c r="E632" s="355">
        <f>'PART-A'!K3059</f>
        <v>24</v>
      </c>
      <c r="F632" s="353">
        <f t="shared" si="22"/>
        <v>0</v>
      </c>
      <c r="G632" s="368"/>
      <c r="H632" s="368"/>
      <c r="I632" s="368">
        <f t="shared" si="28"/>
        <v>0</v>
      </c>
      <c r="J632" s="368">
        <f t="shared" si="29"/>
        <v>0</v>
      </c>
      <c r="K632" s="360" t="s">
        <v>2217</v>
      </c>
    </row>
    <row r="633" spans="1:11" s="360" customFormat="1" ht="20.25" hidden="1" customHeight="1">
      <c r="A633" s="356" t="s">
        <v>1153</v>
      </c>
      <c r="B633" s="357" t="s">
        <v>1255</v>
      </c>
      <c r="C633" s="358">
        <f>'PART-A'!I3197</f>
        <v>0</v>
      </c>
      <c r="D633" s="354" t="s">
        <v>277</v>
      </c>
      <c r="E633" s="355">
        <f>'PART-A'!K3197</f>
        <v>24</v>
      </c>
      <c r="F633" s="353">
        <f>ROUND(C633*E633,0)</f>
        <v>0</v>
      </c>
      <c r="G633" s="368"/>
      <c r="H633" s="368"/>
      <c r="I633" s="368">
        <f>C633-G633</f>
        <v>0</v>
      </c>
      <c r="J633" s="368">
        <f>F633-H633</f>
        <v>0</v>
      </c>
      <c r="K633" s="360" t="s">
        <v>2299</v>
      </c>
    </row>
    <row r="634" spans="1:11" s="360" customFormat="1" ht="20.25" hidden="1" customHeight="1">
      <c r="A634" s="356" t="s">
        <v>1153</v>
      </c>
      <c r="B634" s="357" t="s">
        <v>1255</v>
      </c>
      <c r="C634" s="358">
        <f>'PART-A'!I3336</f>
        <v>0</v>
      </c>
      <c r="D634" s="354" t="s">
        <v>277</v>
      </c>
      <c r="E634" s="355">
        <f>'PART-A'!K3336</f>
        <v>33</v>
      </c>
      <c r="F634" s="353">
        <f>ROUND(C634*E634,0)</f>
        <v>0</v>
      </c>
      <c r="G634" s="368"/>
      <c r="H634" s="368"/>
      <c r="I634" s="368">
        <f>C634-G634</f>
        <v>0</v>
      </c>
      <c r="J634" s="368">
        <f>F634-H634</f>
        <v>0</v>
      </c>
      <c r="K634" s="360" t="s">
        <v>2312</v>
      </c>
    </row>
    <row r="635" spans="1:11" s="360" customFormat="1" ht="20.25" hidden="1" customHeight="1">
      <c r="A635" s="356" t="s">
        <v>1153</v>
      </c>
      <c r="B635" s="357" t="s">
        <v>1255</v>
      </c>
      <c r="C635" s="358">
        <f>'PART-A'!I3477</f>
        <v>0</v>
      </c>
      <c r="D635" s="354" t="s">
        <v>277</v>
      </c>
      <c r="E635" s="355">
        <f>'PART-A'!K3477</f>
        <v>35</v>
      </c>
      <c r="F635" s="353">
        <f>ROUND(C635*E635,0)</f>
        <v>0</v>
      </c>
      <c r="G635" s="368"/>
      <c r="H635" s="368"/>
      <c r="I635" s="368">
        <f>C635-G635</f>
        <v>0</v>
      </c>
      <c r="J635" s="368">
        <f>F635-H635</f>
        <v>0</v>
      </c>
      <c r="K635" s="360" t="s">
        <v>2313</v>
      </c>
    </row>
    <row r="636" spans="1:11" s="360" customFormat="1" ht="20.25" hidden="1" customHeight="1">
      <c r="A636" s="356" t="s">
        <v>533</v>
      </c>
      <c r="B636" s="357" t="s">
        <v>545</v>
      </c>
      <c r="C636" s="358">
        <f>'PART-A'!I3064</f>
        <v>0</v>
      </c>
      <c r="D636" s="354" t="s">
        <v>277</v>
      </c>
      <c r="E636" s="355">
        <f>'PART-A'!K3064</f>
        <v>31</v>
      </c>
      <c r="F636" s="353">
        <f t="shared" si="22"/>
        <v>0</v>
      </c>
      <c r="G636" s="368"/>
      <c r="H636" s="368"/>
      <c r="I636" s="368">
        <f t="shared" si="28"/>
        <v>0</v>
      </c>
      <c r="J636" s="368">
        <f t="shared" si="29"/>
        <v>0</v>
      </c>
      <c r="K636" s="360" t="s">
        <v>2217</v>
      </c>
    </row>
    <row r="637" spans="1:11" s="360" customFormat="1" ht="20.25" hidden="1" customHeight="1">
      <c r="A637" s="356" t="s">
        <v>532</v>
      </c>
      <c r="B637" s="357" t="s">
        <v>545</v>
      </c>
      <c r="C637" s="358">
        <f>'PART-A'!I3202</f>
        <v>0</v>
      </c>
      <c r="D637" s="354" t="s">
        <v>277</v>
      </c>
      <c r="E637" s="355">
        <f>'PART-A'!K3202</f>
        <v>31</v>
      </c>
      <c r="F637" s="353">
        <f>ROUND(C637*E637,0)</f>
        <v>0</v>
      </c>
      <c r="G637" s="368"/>
      <c r="H637" s="368"/>
      <c r="I637" s="368">
        <f>C637-G637</f>
        <v>0</v>
      </c>
      <c r="J637" s="368">
        <f>F637-H637</f>
        <v>0</v>
      </c>
      <c r="K637" s="360" t="s">
        <v>2299</v>
      </c>
    </row>
    <row r="638" spans="1:11" s="360" customFormat="1" ht="20.25" hidden="1" customHeight="1">
      <c r="A638" s="356" t="s">
        <v>495</v>
      </c>
      <c r="B638" s="357" t="s">
        <v>545</v>
      </c>
      <c r="C638" s="358">
        <f>'PART-A'!I3342</f>
        <v>0</v>
      </c>
      <c r="D638" s="354" t="s">
        <v>277</v>
      </c>
      <c r="E638" s="355">
        <f>'PART-A'!K3342</f>
        <v>33</v>
      </c>
      <c r="F638" s="353">
        <f>ROUND(C638*E638,0)</f>
        <v>0</v>
      </c>
      <c r="G638" s="368"/>
      <c r="H638" s="368"/>
      <c r="I638" s="368">
        <f>C638-G638</f>
        <v>0</v>
      </c>
      <c r="J638" s="368">
        <f>F638-H638</f>
        <v>0</v>
      </c>
      <c r="K638" s="360" t="s">
        <v>2312</v>
      </c>
    </row>
    <row r="639" spans="1:11" s="360" customFormat="1" ht="20.25" hidden="1" customHeight="1">
      <c r="A639" s="356" t="s">
        <v>527</v>
      </c>
      <c r="B639" s="357" t="s">
        <v>545</v>
      </c>
      <c r="C639" s="358">
        <f>'PART-A'!I3482</f>
        <v>0</v>
      </c>
      <c r="D639" s="354" t="s">
        <v>277</v>
      </c>
      <c r="E639" s="355">
        <f>'PART-A'!K3482</f>
        <v>33</v>
      </c>
      <c r="F639" s="353">
        <f>ROUND(C639*E639,0)</f>
        <v>0</v>
      </c>
      <c r="G639" s="368"/>
      <c r="H639" s="368"/>
      <c r="I639" s="368">
        <f>C639-G639</f>
        <v>0</v>
      </c>
      <c r="J639" s="368">
        <f>F639-H639</f>
        <v>0</v>
      </c>
      <c r="K639" s="360" t="s">
        <v>2313</v>
      </c>
    </row>
    <row r="640" spans="1:11" s="360" customFormat="1" ht="20.25" hidden="1" customHeight="1">
      <c r="A640" s="356" t="s">
        <v>534</v>
      </c>
      <c r="B640" s="357" t="s">
        <v>546</v>
      </c>
      <c r="C640" s="358">
        <f>'PART-A'!I3069</f>
        <v>0</v>
      </c>
      <c r="D640" s="354" t="s">
        <v>115</v>
      </c>
      <c r="E640" s="355">
        <f>'PART-A'!K3069</f>
        <v>349</v>
      </c>
      <c r="F640" s="353">
        <f t="shared" si="22"/>
        <v>0</v>
      </c>
      <c r="G640" s="368"/>
      <c r="H640" s="368"/>
      <c r="I640" s="368">
        <f t="shared" si="28"/>
        <v>0</v>
      </c>
      <c r="J640" s="368">
        <f t="shared" si="29"/>
        <v>0</v>
      </c>
      <c r="K640" s="360" t="s">
        <v>2217</v>
      </c>
    </row>
    <row r="641" spans="1:11" s="360" customFormat="1" ht="20.25" hidden="1" customHeight="1">
      <c r="A641" s="356" t="s">
        <v>1580</v>
      </c>
      <c r="B641" s="357" t="s">
        <v>546</v>
      </c>
      <c r="C641" s="358">
        <f>'PART-A'!I3207</f>
        <v>0</v>
      </c>
      <c r="D641" s="354" t="s">
        <v>115</v>
      </c>
      <c r="E641" s="355">
        <f>'PART-A'!K3207</f>
        <v>349</v>
      </c>
      <c r="F641" s="353">
        <f>ROUND(C641*E641,0)</f>
        <v>0</v>
      </c>
      <c r="G641" s="368"/>
      <c r="H641" s="368"/>
      <c r="I641" s="368">
        <f>C641-G641</f>
        <v>0</v>
      </c>
      <c r="J641" s="368">
        <f>F641-H641</f>
        <v>0</v>
      </c>
      <c r="K641" s="360" t="s">
        <v>2299</v>
      </c>
    </row>
    <row r="642" spans="1:11" s="360" customFormat="1" ht="20.25" hidden="1" customHeight="1">
      <c r="A642" s="356" t="s">
        <v>534</v>
      </c>
      <c r="B642" s="357" t="s">
        <v>546</v>
      </c>
      <c r="C642" s="358">
        <f>'PART-A'!I3347</f>
        <v>0</v>
      </c>
      <c r="D642" s="354" t="s">
        <v>115</v>
      </c>
      <c r="E642" s="355">
        <f>'PART-A'!K3347</f>
        <v>366</v>
      </c>
      <c r="F642" s="353">
        <f>ROUND(C642*E642,0)</f>
        <v>0</v>
      </c>
      <c r="G642" s="368"/>
      <c r="H642" s="368"/>
      <c r="I642" s="368">
        <f>C642-G642</f>
        <v>0</v>
      </c>
      <c r="J642" s="368">
        <f>F642-H642</f>
        <v>0</v>
      </c>
      <c r="K642" s="360" t="s">
        <v>2312</v>
      </c>
    </row>
    <row r="643" spans="1:11" s="360" customFormat="1" ht="20.25" hidden="1" customHeight="1">
      <c r="A643" s="356" t="s">
        <v>534</v>
      </c>
      <c r="B643" s="357" t="s">
        <v>546</v>
      </c>
      <c r="C643" s="358">
        <f>'PART-A'!I3487</f>
        <v>0</v>
      </c>
      <c r="D643" s="354" t="s">
        <v>115</v>
      </c>
      <c r="E643" s="355">
        <f>'PART-A'!K3487</f>
        <v>387</v>
      </c>
      <c r="F643" s="353">
        <f>ROUND(C643*E643,0)</f>
        <v>0</v>
      </c>
      <c r="G643" s="368"/>
      <c r="H643" s="368"/>
      <c r="I643" s="368">
        <f>C643-G643</f>
        <v>0</v>
      </c>
      <c r="J643" s="368">
        <f>F643-H643</f>
        <v>0</v>
      </c>
      <c r="K643" s="360" t="s">
        <v>2313</v>
      </c>
    </row>
    <row r="644" spans="1:11" s="360" customFormat="1" ht="24.75" hidden="1" customHeight="1">
      <c r="A644" s="356" t="s">
        <v>529</v>
      </c>
      <c r="B644" s="357" t="s">
        <v>713</v>
      </c>
      <c r="C644" s="358">
        <f>'PART-A'!I3074</f>
        <v>0</v>
      </c>
      <c r="D644" s="354" t="s">
        <v>115</v>
      </c>
      <c r="E644" s="355">
        <f>'PART-A'!K3074</f>
        <v>1483</v>
      </c>
      <c r="F644" s="353">
        <f t="shared" si="22"/>
        <v>0</v>
      </c>
      <c r="G644" s="368"/>
      <c r="H644" s="368"/>
      <c r="I644" s="368">
        <f t="shared" si="28"/>
        <v>0</v>
      </c>
      <c r="J644" s="368">
        <f t="shared" si="29"/>
        <v>0</v>
      </c>
      <c r="K644" s="360" t="s">
        <v>2217</v>
      </c>
    </row>
    <row r="645" spans="1:11" s="360" customFormat="1" ht="24.75" hidden="1" customHeight="1">
      <c r="A645" s="356" t="s">
        <v>642</v>
      </c>
      <c r="B645" s="357" t="s">
        <v>713</v>
      </c>
      <c r="C645" s="358">
        <f>'PART-A'!I3212</f>
        <v>0</v>
      </c>
      <c r="D645" s="354" t="s">
        <v>115</v>
      </c>
      <c r="E645" s="355">
        <f>'PART-A'!K3212</f>
        <v>2769</v>
      </c>
      <c r="F645" s="353">
        <f>ROUND(C645*E645,0)</f>
        <v>0</v>
      </c>
      <c r="G645" s="368"/>
      <c r="H645" s="368"/>
      <c r="I645" s="368">
        <f>C645-G645</f>
        <v>0</v>
      </c>
      <c r="J645" s="368">
        <f>F645-H645</f>
        <v>0</v>
      </c>
      <c r="K645" s="360" t="s">
        <v>2299</v>
      </c>
    </row>
    <row r="646" spans="1:11" s="360" customFormat="1" ht="24.75" hidden="1" customHeight="1">
      <c r="A646" s="356" t="s">
        <v>529</v>
      </c>
      <c r="B646" s="357" t="s">
        <v>713</v>
      </c>
      <c r="C646" s="358">
        <f>'PART-A'!I3352</f>
        <v>0</v>
      </c>
      <c r="D646" s="354" t="s">
        <v>115</v>
      </c>
      <c r="E646" s="355">
        <f>'PART-A'!K3352</f>
        <v>1554</v>
      </c>
      <c r="F646" s="353">
        <f>ROUND(C646*E646,0)</f>
        <v>0</v>
      </c>
      <c r="G646" s="368"/>
      <c r="H646" s="368"/>
      <c r="I646" s="368">
        <f>C646-G646</f>
        <v>0</v>
      </c>
      <c r="J646" s="368">
        <f>F646-H646</f>
        <v>0</v>
      </c>
      <c r="K646" s="360" t="s">
        <v>2312</v>
      </c>
    </row>
    <row r="647" spans="1:11" s="360" customFormat="1" ht="24.75" hidden="1" customHeight="1">
      <c r="A647" s="356" t="s">
        <v>529</v>
      </c>
      <c r="B647" s="357" t="s">
        <v>713</v>
      </c>
      <c r="C647" s="358">
        <f>'PART-A'!I3492</f>
        <v>0</v>
      </c>
      <c r="D647" s="354" t="s">
        <v>115</v>
      </c>
      <c r="E647" s="355">
        <f>'PART-A'!K3492</f>
        <v>1644</v>
      </c>
      <c r="F647" s="353">
        <f>ROUND(C647*E647,0)</f>
        <v>0</v>
      </c>
      <c r="G647" s="368"/>
      <c r="H647" s="368"/>
      <c r="I647" s="368">
        <f>C647-G647</f>
        <v>0</v>
      </c>
      <c r="J647" s="368">
        <f>F647-H647</f>
        <v>0</v>
      </c>
      <c r="K647" s="360" t="s">
        <v>2313</v>
      </c>
    </row>
    <row r="648" spans="1:11" s="360" customFormat="1" ht="20.25" hidden="1" customHeight="1">
      <c r="A648" s="356" t="s">
        <v>642</v>
      </c>
      <c r="B648" s="357" t="s">
        <v>2175</v>
      </c>
      <c r="C648" s="358">
        <f>'PART-A'!I3079</f>
        <v>0</v>
      </c>
      <c r="D648" s="354" t="s">
        <v>277</v>
      </c>
      <c r="E648" s="355">
        <f>'PART-A'!K3079</f>
        <v>136.66666666666666</v>
      </c>
      <c r="F648" s="353">
        <f t="shared" si="22"/>
        <v>0</v>
      </c>
      <c r="G648" s="368"/>
      <c r="H648" s="368"/>
      <c r="I648" s="368">
        <f t="shared" si="28"/>
        <v>0</v>
      </c>
      <c r="J648" s="368">
        <f t="shared" si="29"/>
        <v>0</v>
      </c>
      <c r="K648" s="360" t="s">
        <v>2217</v>
      </c>
    </row>
    <row r="649" spans="1:11" s="360" customFormat="1" ht="20.25" hidden="1" customHeight="1">
      <c r="A649" s="356" t="s">
        <v>533</v>
      </c>
      <c r="B649" s="357" t="s">
        <v>2175</v>
      </c>
      <c r="C649" s="358">
        <f>'PART-A'!I3217</f>
        <v>0</v>
      </c>
      <c r="D649" s="354" t="s">
        <v>277</v>
      </c>
      <c r="E649" s="355">
        <f>'PART-A'!K3217</f>
        <v>136.66666666666666</v>
      </c>
      <c r="F649" s="353">
        <f>ROUND(C649*E649,0)</f>
        <v>0</v>
      </c>
      <c r="G649" s="368"/>
      <c r="H649" s="368"/>
      <c r="I649" s="368">
        <f>C649-G649</f>
        <v>0</v>
      </c>
      <c r="J649" s="368">
        <f>F649-H649</f>
        <v>0</v>
      </c>
      <c r="K649" s="360" t="s">
        <v>2299</v>
      </c>
    </row>
    <row r="650" spans="1:11" s="360" customFormat="1" ht="20.25" hidden="1" customHeight="1">
      <c r="A650" s="356" t="s">
        <v>1515</v>
      </c>
      <c r="B650" s="357" t="s">
        <v>2175</v>
      </c>
      <c r="C650" s="358">
        <f>'PART-A'!I3358</f>
        <v>0</v>
      </c>
      <c r="D650" s="354" t="s">
        <v>277</v>
      </c>
      <c r="E650" s="355">
        <f>'PART-A'!K3358</f>
        <v>142</v>
      </c>
      <c r="F650" s="353">
        <f>ROUND(C650*E650,0)</f>
        <v>0</v>
      </c>
      <c r="G650" s="368"/>
      <c r="H650" s="368"/>
      <c r="I650" s="368">
        <f>C650-G650</f>
        <v>0</v>
      </c>
      <c r="J650" s="368">
        <f>F650-H650</f>
        <v>0</v>
      </c>
      <c r="K650" s="360" t="s">
        <v>2312</v>
      </c>
    </row>
    <row r="651" spans="1:11" s="360" customFormat="1" ht="20.25" hidden="1" customHeight="1">
      <c r="A651" s="356" t="s">
        <v>1578</v>
      </c>
      <c r="B651" s="357" t="s">
        <v>2175</v>
      </c>
      <c r="C651" s="358">
        <f>'PART-A'!I3497</f>
        <v>0</v>
      </c>
      <c r="D651" s="354" t="s">
        <v>277</v>
      </c>
      <c r="E651" s="355">
        <f>'PART-A'!K3497</f>
        <v>149</v>
      </c>
      <c r="F651" s="353">
        <f>ROUND(C651*E651,0)</f>
        <v>0</v>
      </c>
      <c r="G651" s="368"/>
      <c r="H651" s="368"/>
      <c r="I651" s="368">
        <f>C651-G651</f>
        <v>0</v>
      </c>
      <c r="J651" s="368">
        <f>F651-H651</f>
        <v>0</v>
      </c>
      <c r="K651" s="360" t="s">
        <v>2313</v>
      </c>
    </row>
    <row r="652" spans="1:11" s="360" customFormat="1" ht="20.25" hidden="1" customHeight="1">
      <c r="A652" s="356" t="s">
        <v>642</v>
      </c>
      <c r="B652" s="357" t="s">
        <v>548</v>
      </c>
      <c r="C652" s="358">
        <f>'PART-A'!I3084</f>
        <v>0</v>
      </c>
      <c r="D652" s="354" t="s">
        <v>277</v>
      </c>
      <c r="E652" s="355">
        <f>'PART-A'!K3084</f>
        <v>129.66666666666666</v>
      </c>
      <c r="F652" s="353">
        <f t="shared" si="22"/>
        <v>0</v>
      </c>
      <c r="G652" s="368"/>
      <c r="H652" s="368"/>
      <c r="I652" s="368">
        <f t="shared" si="28"/>
        <v>0</v>
      </c>
      <c r="J652" s="368">
        <f t="shared" si="29"/>
        <v>0</v>
      </c>
      <c r="K652" s="360" t="s">
        <v>2217</v>
      </c>
    </row>
    <row r="653" spans="1:11" s="360" customFormat="1" ht="20.25" hidden="1" customHeight="1">
      <c r="A653" s="356" t="s">
        <v>642</v>
      </c>
      <c r="B653" s="357" t="s">
        <v>548</v>
      </c>
      <c r="C653" s="358">
        <f>'PART-A'!I3222</f>
        <v>0</v>
      </c>
      <c r="D653" s="354" t="s">
        <v>277</v>
      </c>
      <c r="E653" s="355">
        <f>'PART-A'!K3222</f>
        <v>129.66666666666666</v>
      </c>
      <c r="F653" s="353">
        <f>ROUND(C653*E653,0)</f>
        <v>0</v>
      </c>
      <c r="G653" s="368"/>
      <c r="H653" s="368"/>
      <c r="I653" s="368">
        <f>C653-G653</f>
        <v>0</v>
      </c>
      <c r="J653" s="368">
        <f>F653-H653</f>
        <v>0</v>
      </c>
      <c r="K653" s="360" t="s">
        <v>2299</v>
      </c>
    </row>
    <row r="654" spans="1:11" s="360" customFormat="1" ht="20.25" hidden="1" customHeight="1">
      <c r="A654" s="356" t="s">
        <v>642</v>
      </c>
      <c r="B654" s="357" t="s">
        <v>548</v>
      </c>
      <c r="C654" s="358">
        <f>'PART-A'!I3363</f>
        <v>0</v>
      </c>
      <c r="D654" s="354" t="s">
        <v>277</v>
      </c>
      <c r="E654" s="355">
        <f>'PART-A'!K3363</f>
        <v>135</v>
      </c>
      <c r="F654" s="353">
        <f>ROUND(C654*E654,0)</f>
        <v>0</v>
      </c>
      <c r="G654" s="368"/>
      <c r="H654" s="368"/>
      <c r="I654" s="368">
        <f>C654-G654</f>
        <v>0</v>
      </c>
      <c r="J654" s="368">
        <f>F654-H654</f>
        <v>0</v>
      </c>
      <c r="K654" s="360" t="s">
        <v>2312</v>
      </c>
    </row>
    <row r="655" spans="1:11" s="360" customFormat="1" ht="20.25" hidden="1" customHeight="1">
      <c r="A655" s="356" t="s">
        <v>642</v>
      </c>
      <c r="B655" s="357" t="s">
        <v>548</v>
      </c>
      <c r="C655" s="358">
        <f>'PART-A'!I3502</f>
        <v>0</v>
      </c>
      <c r="D655" s="354" t="s">
        <v>277</v>
      </c>
      <c r="E655" s="355">
        <f>'PART-A'!K3502</f>
        <v>141.66666666666666</v>
      </c>
      <c r="F655" s="353">
        <f>ROUND(C655*E655,0)</f>
        <v>0</v>
      </c>
      <c r="G655" s="368"/>
      <c r="H655" s="368"/>
      <c r="I655" s="368">
        <f>C655-G655</f>
        <v>0</v>
      </c>
      <c r="J655" s="368">
        <f>F655-H655</f>
        <v>0</v>
      </c>
      <c r="K655" s="360" t="s">
        <v>2313</v>
      </c>
    </row>
    <row r="656" spans="1:11" s="360" customFormat="1" ht="20.25" hidden="1" customHeight="1">
      <c r="A656" s="356" t="s">
        <v>643</v>
      </c>
      <c r="B656" s="357" t="s">
        <v>2176</v>
      </c>
      <c r="C656" s="358">
        <f>'PART-A'!I3089</f>
        <v>0</v>
      </c>
      <c r="D656" s="354" t="s">
        <v>277</v>
      </c>
      <c r="E656" s="355">
        <f>'PART-A'!K3089</f>
        <v>81.333333333333329</v>
      </c>
      <c r="F656" s="353">
        <f t="shared" si="22"/>
        <v>0</v>
      </c>
      <c r="G656" s="368"/>
      <c r="H656" s="368"/>
      <c r="I656" s="368">
        <f t="shared" si="28"/>
        <v>0</v>
      </c>
      <c r="J656" s="368">
        <f t="shared" si="29"/>
        <v>0</v>
      </c>
      <c r="K656" s="360" t="s">
        <v>2217</v>
      </c>
    </row>
    <row r="657" spans="1:11" s="360" customFormat="1" ht="20.25" hidden="1" customHeight="1">
      <c r="A657" s="356" t="s">
        <v>534</v>
      </c>
      <c r="B657" s="357" t="s">
        <v>2176</v>
      </c>
      <c r="C657" s="358">
        <f>'PART-A'!I3227</f>
        <v>0</v>
      </c>
      <c r="D657" s="354" t="s">
        <v>277</v>
      </c>
      <c r="E657" s="355">
        <f>'PART-A'!K3227</f>
        <v>81.333333333333329</v>
      </c>
      <c r="F657" s="353">
        <f>ROUND(C657*E657,0)</f>
        <v>0</v>
      </c>
      <c r="G657" s="368"/>
      <c r="H657" s="368"/>
      <c r="I657" s="368">
        <f>C657-G657</f>
        <v>0</v>
      </c>
      <c r="J657" s="368">
        <f>F657-H657</f>
        <v>0</v>
      </c>
      <c r="K657" s="360" t="s">
        <v>2299</v>
      </c>
    </row>
    <row r="658" spans="1:11" s="360" customFormat="1" ht="20.25" hidden="1" customHeight="1">
      <c r="A658" s="356" t="s">
        <v>1516</v>
      </c>
      <c r="B658" s="357" t="s">
        <v>2176</v>
      </c>
      <c r="C658" s="358">
        <f>'PART-A'!I3369</f>
        <v>0</v>
      </c>
      <c r="D658" s="354" t="s">
        <v>277</v>
      </c>
      <c r="E658" s="355">
        <f>'PART-A'!K3369</f>
        <v>84.666666666666671</v>
      </c>
      <c r="F658" s="353">
        <f>ROUND(C658*E658,0)</f>
        <v>0</v>
      </c>
      <c r="G658" s="368"/>
      <c r="H658" s="368"/>
      <c r="I658" s="368">
        <f>C658-G658</f>
        <v>0</v>
      </c>
      <c r="J658" s="368">
        <f>F658-H658</f>
        <v>0</v>
      </c>
      <c r="K658" s="360" t="s">
        <v>2312</v>
      </c>
    </row>
    <row r="659" spans="1:11" s="360" customFormat="1" ht="20.25" hidden="1" customHeight="1">
      <c r="A659" s="356" t="s">
        <v>528</v>
      </c>
      <c r="B659" s="357" t="s">
        <v>2176</v>
      </c>
      <c r="C659" s="358">
        <f>'PART-A'!I3507</f>
        <v>0</v>
      </c>
      <c r="D659" s="354" t="s">
        <v>277</v>
      </c>
      <c r="E659" s="355">
        <f>'PART-A'!K3507</f>
        <v>89</v>
      </c>
      <c r="F659" s="353">
        <f>ROUND(C659*E659,0)</f>
        <v>0</v>
      </c>
      <c r="G659" s="368"/>
      <c r="H659" s="368"/>
      <c r="I659" s="368">
        <f>C659-G659</f>
        <v>0</v>
      </c>
      <c r="J659" s="368">
        <f>F659-H659</f>
        <v>0</v>
      </c>
      <c r="K659" s="360" t="s">
        <v>2313</v>
      </c>
    </row>
    <row r="660" spans="1:11" s="360" customFormat="1" ht="20.25" hidden="1" customHeight="1">
      <c r="A660" s="356" t="s">
        <v>644</v>
      </c>
      <c r="B660" s="357" t="s">
        <v>550</v>
      </c>
      <c r="C660" s="358">
        <f>'PART-A'!I3095</f>
        <v>0</v>
      </c>
      <c r="D660" s="354" t="s">
        <v>277</v>
      </c>
      <c r="E660" s="355">
        <f>'PART-A'!K3095</f>
        <v>70</v>
      </c>
      <c r="F660" s="353">
        <f t="shared" ref="F660:F732" si="33">ROUND(C660*E660,0)</f>
        <v>0</v>
      </c>
      <c r="G660" s="368"/>
      <c r="H660" s="368"/>
      <c r="I660" s="368">
        <f t="shared" si="28"/>
        <v>0</v>
      </c>
      <c r="J660" s="368">
        <f t="shared" si="29"/>
        <v>0</v>
      </c>
      <c r="K660" s="360" t="s">
        <v>2217</v>
      </c>
    </row>
    <row r="661" spans="1:11" s="360" customFormat="1" ht="20.25" hidden="1" customHeight="1">
      <c r="A661" s="356" t="s">
        <v>642</v>
      </c>
      <c r="B661" s="357" t="s">
        <v>550</v>
      </c>
      <c r="C661" s="358">
        <f>'PART-A'!I3233</f>
        <v>0</v>
      </c>
      <c r="D661" s="354" t="s">
        <v>277</v>
      </c>
      <c r="E661" s="355">
        <f>'PART-A'!K3233</f>
        <v>70</v>
      </c>
      <c r="F661" s="353">
        <f>ROUND(C661*E661,0)</f>
        <v>0</v>
      </c>
      <c r="G661" s="368"/>
      <c r="H661" s="368"/>
      <c r="I661" s="368">
        <f>C661-G661</f>
        <v>0</v>
      </c>
      <c r="J661" s="368">
        <f>F661-H661</f>
        <v>0</v>
      </c>
      <c r="K661" s="360" t="s">
        <v>2299</v>
      </c>
    </row>
    <row r="662" spans="1:11" s="360" customFormat="1" ht="20.25" hidden="1" customHeight="1">
      <c r="A662" s="356" t="s">
        <v>1517</v>
      </c>
      <c r="B662" s="357" t="s">
        <v>550</v>
      </c>
      <c r="C662" s="358">
        <f>'PART-A'!I3375</f>
        <v>0</v>
      </c>
      <c r="D662" s="354" t="s">
        <v>277</v>
      </c>
      <c r="E662" s="355">
        <f>'PART-A'!K3375</f>
        <v>74</v>
      </c>
      <c r="F662" s="353">
        <f>ROUND(C662*E662,0)</f>
        <v>0</v>
      </c>
      <c r="G662" s="368"/>
      <c r="H662" s="368"/>
      <c r="I662" s="368">
        <f>C662-G662</f>
        <v>0</v>
      </c>
      <c r="J662" s="368">
        <f>F662-H662</f>
        <v>0</v>
      </c>
      <c r="K662" s="360" t="s">
        <v>2312</v>
      </c>
    </row>
    <row r="663" spans="1:11" s="360" customFormat="1" ht="20.25" hidden="1" customHeight="1">
      <c r="A663" s="356" t="s">
        <v>1579</v>
      </c>
      <c r="B663" s="357" t="s">
        <v>550</v>
      </c>
      <c r="C663" s="358">
        <f>'PART-A'!I3513</f>
        <v>0</v>
      </c>
      <c r="D663" s="354" t="s">
        <v>277</v>
      </c>
      <c r="E663" s="355">
        <f>'PART-A'!K3513</f>
        <v>79</v>
      </c>
      <c r="F663" s="353">
        <f>ROUND(C663*E663,0)</f>
        <v>0</v>
      </c>
      <c r="G663" s="368"/>
      <c r="H663" s="368"/>
      <c r="I663" s="368">
        <f>C663-G663</f>
        <v>0</v>
      </c>
      <c r="J663" s="368">
        <f>F663-H663</f>
        <v>0</v>
      </c>
      <c r="K663" s="360" t="s">
        <v>2313</v>
      </c>
    </row>
    <row r="664" spans="1:11" s="360" customFormat="1" ht="20.25" hidden="1" customHeight="1">
      <c r="A664" s="356" t="s">
        <v>1574</v>
      </c>
      <c r="B664" s="357" t="s">
        <v>2206</v>
      </c>
      <c r="C664" s="358">
        <f>'PART-A'!I3100</f>
        <v>0</v>
      </c>
      <c r="D664" s="354" t="s">
        <v>115</v>
      </c>
      <c r="E664" s="355">
        <f>'PART-A'!K3100</f>
        <v>4776</v>
      </c>
      <c r="F664" s="353">
        <f t="shared" si="33"/>
        <v>0</v>
      </c>
      <c r="G664" s="368"/>
      <c r="H664" s="368"/>
      <c r="I664" s="368">
        <f t="shared" si="28"/>
        <v>0</v>
      </c>
      <c r="J664" s="368">
        <f t="shared" si="29"/>
        <v>0</v>
      </c>
      <c r="K664" s="360" t="s">
        <v>2217</v>
      </c>
    </row>
    <row r="665" spans="1:11" s="360" customFormat="1" ht="20.25" hidden="1" customHeight="1">
      <c r="A665" s="356" t="s">
        <v>643</v>
      </c>
      <c r="B665" s="357" t="s">
        <v>2206</v>
      </c>
      <c r="C665" s="358">
        <f>'PART-A'!I3238</f>
        <v>0</v>
      </c>
      <c r="D665" s="354" t="s">
        <v>115</v>
      </c>
      <c r="E665" s="355">
        <f>'PART-A'!K3238</f>
        <v>4776</v>
      </c>
      <c r="F665" s="353">
        <f>ROUND(C665*E665,0)</f>
        <v>0</v>
      </c>
      <c r="G665" s="368"/>
      <c r="H665" s="368"/>
      <c r="I665" s="368">
        <f>C665-G665</f>
        <v>0</v>
      </c>
      <c r="J665" s="368">
        <f>F665-H665</f>
        <v>0</v>
      </c>
      <c r="K665" s="360" t="s">
        <v>2299</v>
      </c>
    </row>
    <row r="666" spans="1:11" s="360" customFormat="1" ht="20.25" hidden="1" customHeight="1">
      <c r="A666" s="356" t="s">
        <v>1574</v>
      </c>
      <c r="B666" s="357" t="s">
        <v>2206</v>
      </c>
      <c r="C666" s="358">
        <f>'PART-A'!I3380</f>
        <v>0</v>
      </c>
      <c r="D666" s="354" t="s">
        <v>115</v>
      </c>
      <c r="E666" s="355">
        <f>'PART-A'!K3380</f>
        <v>5006</v>
      </c>
      <c r="F666" s="353">
        <f>ROUND(C666*E666,0)</f>
        <v>0</v>
      </c>
      <c r="G666" s="368"/>
      <c r="H666" s="368"/>
      <c r="I666" s="368">
        <f>C666-G666</f>
        <v>0</v>
      </c>
      <c r="J666" s="368">
        <f>F666-H666</f>
        <v>0</v>
      </c>
      <c r="K666" s="360" t="s">
        <v>2312</v>
      </c>
    </row>
    <row r="667" spans="1:11" s="360" customFormat="1" ht="20.25" hidden="1" customHeight="1">
      <c r="A667" s="356" t="s">
        <v>529</v>
      </c>
      <c r="B667" s="357" t="s">
        <v>2206</v>
      </c>
      <c r="C667" s="358">
        <f>'PART-A'!I3518</f>
        <v>0</v>
      </c>
      <c r="D667" s="354" t="s">
        <v>115</v>
      </c>
      <c r="E667" s="355">
        <f>'PART-A'!K3518</f>
        <v>5297</v>
      </c>
      <c r="F667" s="353">
        <f>ROUND(C667*E667,0)</f>
        <v>0</v>
      </c>
      <c r="G667" s="368"/>
      <c r="H667" s="368"/>
      <c r="I667" s="368">
        <f>C667-G667</f>
        <v>0</v>
      </c>
      <c r="J667" s="368">
        <f>F667-H667</f>
        <v>0</v>
      </c>
      <c r="K667" s="360" t="s">
        <v>2313</v>
      </c>
    </row>
    <row r="668" spans="1:11" s="360" customFormat="1" ht="20.25" hidden="1" customHeight="1">
      <c r="A668" s="356" t="s">
        <v>520</v>
      </c>
      <c r="B668" s="357" t="s">
        <v>633</v>
      </c>
      <c r="C668" s="358">
        <f>'PART-A'!I3105</f>
        <v>0</v>
      </c>
      <c r="D668" s="354" t="s">
        <v>115</v>
      </c>
      <c r="E668" s="355">
        <f>'PART-A'!K3105</f>
        <v>934</v>
      </c>
      <c r="F668" s="353">
        <f t="shared" si="33"/>
        <v>0</v>
      </c>
      <c r="G668" s="368"/>
      <c r="H668" s="368"/>
      <c r="I668" s="368">
        <f t="shared" si="28"/>
        <v>0</v>
      </c>
      <c r="J668" s="368">
        <f t="shared" si="29"/>
        <v>0</v>
      </c>
      <c r="K668" s="360" t="s">
        <v>2217</v>
      </c>
    </row>
    <row r="669" spans="1:11" s="360" customFormat="1" ht="20.25" hidden="1" customHeight="1">
      <c r="A669" s="356" t="s">
        <v>520</v>
      </c>
      <c r="B669" s="357" t="s">
        <v>633</v>
      </c>
      <c r="C669" s="358">
        <f>'PART-A'!I3243</f>
        <v>0</v>
      </c>
      <c r="D669" s="354" t="s">
        <v>115</v>
      </c>
      <c r="E669" s="355">
        <f>'PART-A'!K3243</f>
        <v>934</v>
      </c>
      <c r="F669" s="353">
        <f>ROUND(C669*E669,0)</f>
        <v>0</v>
      </c>
      <c r="G669" s="368"/>
      <c r="H669" s="368"/>
      <c r="I669" s="368">
        <f>C669-G669</f>
        <v>0</v>
      </c>
      <c r="J669" s="368">
        <f>F669-H669</f>
        <v>0</v>
      </c>
      <c r="K669" s="360" t="s">
        <v>2299</v>
      </c>
    </row>
    <row r="670" spans="1:11" s="360" customFormat="1" ht="20.25" hidden="1" customHeight="1">
      <c r="A670" s="356" t="s">
        <v>520</v>
      </c>
      <c r="B670" s="357" t="s">
        <v>633</v>
      </c>
      <c r="C670" s="358">
        <f>'PART-A'!I3385</f>
        <v>0</v>
      </c>
      <c r="D670" s="354" t="s">
        <v>115</v>
      </c>
      <c r="E670" s="355">
        <f>'PART-A'!K3385</f>
        <v>979</v>
      </c>
      <c r="F670" s="353">
        <f>ROUND(C670*E670,0)</f>
        <v>0</v>
      </c>
      <c r="G670" s="368"/>
      <c r="H670" s="368"/>
      <c r="I670" s="368">
        <f>C670-G670</f>
        <v>0</v>
      </c>
      <c r="J670" s="368">
        <f>F670-H670</f>
        <v>0</v>
      </c>
      <c r="K670" s="360" t="s">
        <v>2312</v>
      </c>
    </row>
    <row r="671" spans="1:11" s="360" customFormat="1" ht="20.25" hidden="1" customHeight="1">
      <c r="A671" s="356" t="s">
        <v>520</v>
      </c>
      <c r="B671" s="357" t="s">
        <v>633</v>
      </c>
      <c r="C671" s="358">
        <f>'PART-A'!I3523</f>
        <v>0</v>
      </c>
      <c r="D671" s="354" t="s">
        <v>115</v>
      </c>
      <c r="E671" s="355">
        <f>'PART-A'!K3523</f>
        <v>1036</v>
      </c>
      <c r="F671" s="353">
        <f>ROUND(C671*E671,0)</f>
        <v>0</v>
      </c>
      <c r="G671" s="368"/>
      <c r="H671" s="368"/>
      <c r="I671" s="368">
        <f>C671-G671</f>
        <v>0</v>
      </c>
      <c r="J671" s="368">
        <f>F671-H671</f>
        <v>0</v>
      </c>
      <c r="K671" s="360" t="s">
        <v>2313</v>
      </c>
    </row>
    <row r="672" spans="1:11" s="360" customFormat="1" ht="20.25" hidden="1" customHeight="1">
      <c r="A672" s="356" t="s">
        <v>1581</v>
      </c>
      <c r="B672" s="357" t="s">
        <v>634</v>
      </c>
      <c r="C672" s="358">
        <f>'PART-A'!I3115</f>
        <v>0</v>
      </c>
      <c r="D672" s="354" t="s">
        <v>115</v>
      </c>
      <c r="E672" s="355">
        <f>'PART-A'!K3115</f>
        <v>1827</v>
      </c>
      <c r="F672" s="353">
        <f t="shared" si="33"/>
        <v>0</v>
      </c>
      <c r="G672" s="368"/>
      <c r="H672" s="368"/>
      <c r="I672" s="368">
        <f t="shared" si="28"/>
        <v>0</v>
      </c>
      <c r="J672" s="368">
        <f t="shared" si="29"/>
        <v>0</v>
      </c>
      <c r="K672" s="360" t="s">
        <v>2217</v>
      </c>
    </row>
    <row r="673" spans="1:11" s="360" customFormat="1" ht="20.25" hidden="1" customHeight="1">
      <c r="A673" s="356" t="s">
        <v>644</v>
      </c>
      <c r="B673" s="357" t="s">
        <v>634</v>
      </c>
      <c r="C673" s="358">
        <f>'PART-A'!I3253</f>
        <v>0</v>
      </c>
      <c r="D673" s="354" t="s">
        <v>115</v>
      </c>
      <c r="E673" s="355">
        <f>'PART-A'!K3253</f>
        <v>1827</v>
      </c>
      <c r="F673" s="353">
        <f>ROUND(C673*E673,0)</f>
        <v>0</v>
      </c>
      <c r="G673" s="368"/>
      <c r="H673" s="368"/>
      <c r="I673" s="368">
        <f>C673-G673</f>
        <v>0</v>
      </c>
      <c r="J673" s="368">
        <f>F673-H673</f>
        <v>0</v>
      </c>
      <c r="K673" s="360" t="s">
        <v>2299</v>
      </c>
    </row>
    <row r="674" spans="1:11" s="360" customFormat="1" ht="20.25" hidden="1" customHeight="1">
      <c r="A674" s="356" t="s">
        <v>1581</v>
      </c>
      <c r="B674" s="357" t="s">
        <v>634</v>
      </c>
      <c r="C674" s="358">
        <f>'PART-A'!I3395</f>
        <v>0</v>
      </c>
      <c r="D674" s="354" t="s">
        <v>115</v>
      </c>
      <c r="E674" s="355">
        <f>'PART-A'!K3395</f>
        <v>1915</v>
      </c>
      <c r="F674" s="353">
        <f>ROUND(C674*E674,0)</f>
        <v>0</v>
      </c>
      <c r="G674" s="368"/>
      <c r="H674" s="368"/>
      <c r="I674" s="368">
        <f>C674-G674</f>
        <v>0</v>
      </c>
      <c r="J674" s="368">
        <f>F674-H674</f>
        <v>0</v>
      </c>
      <c r="K674" s="360" t="s">
        <v>2312</v>
      </c>
    </row>
    <row r="675" spans="1:11" s="360" customFormat="1" ht="20.25" hidden="1" customHeight="1">
      <c r="A675" s="356" t="s">
        <v>1581</v>
      </c>
      <c r="B675" s="357" t="s">
        <v>634</v>
      </c>
      <c r="C675" s="358">
        <f>'PART-A'!I3533</f>
        <v>0</v>
      </c>
      <c r="D675" s="354" t="s">
        <v>115</v>
      </c>
      <c r="E675" s="355">
        <f>'PART-A'!K3533</f>
        <v>2025</v>
      </c>
      <c r="F675" s="353">
        <f>ROUND(C675*E675,0)</f>
        <v>0</v>
      </c>
      <c r="G675" s="368"/>
      <c r="H675" s="368"/>
      <c r="I675" s="368">
        <f>C675-G675</f>
        <v>0</v>
      </c>
      <c r="J675" s="368">
        <f>F675-H675</f>
        <v>0</v>
      </c>
      <c r="K675" s="360" t="s">
        <v>2313</v>
      </c>
    </row>
    <row r="676" spans="1:11" s="360" customFormat="1" ht="20.25" hidden="1" customHeight="1">
      <c r="A676" s="356" t="s">
        <v>1581</v>
      </c>
      <c r="B676" s="357" t="s">
        <v>1256</v>
      </c>
      <c r="C676" s="358">
        <f>'PART-A'!I3110</f>
        <v>0</v>
      </c>
      <c r="D676" s="354" t="s">
        <v>115</v>
      </c>
      <c r="E676" s="355">
        <f>'PART-A'!K3110</f>
        <v>2385</v>
      </c>
      <c r="F676" s="353">
        <f t="shared" si="33"/>
        <v>0</v>
      </c>
      <c r="G676" s="368"/>
      <c r="H676" s="368"/>
      <c r="I676" s="368">
        <f t="shared" si="28"/>
        <v>0</v>
      </c>
      <c r="J676" s="368">
        <f t="shared" si="29"/>
        <v>0</v>
      </c>
      <c r="K676" s="360" t="s">
        <v>2217</v>
      </c>
    </row>
    <row r="677" spans="1:11" s="360" customFormat="1" ht="20.25" hidden="1" customHeight="1">
      <c r="A677" s="356" t="s">
        <v>1582</v>
      </c>
      <c r="B677" s="357" t="s">
        <v>1256</v>
      </c>
      <c r="C677" s="358">
        <f>'PART-A'!I3248</f>
        <v>0</v>
      </c>
      <c r="D677" s="354" t="s">
        <v>115</v>
      </c>
      <c r="E677" s="355">
        <f>'PART-A'!K3248</f>
        <v>2385</v>
      </c>
      <c r="F677" s="353">
        <f>ROUND(C677*E677,0)</f>
        <v>0</v>
      </c>
      <c r="G677" s="368"/>
      <c r="H677" s="368"/>
      <c r="I677" s="368">
        <f>C677-G677</f>
        <v>0</v>
      </c>
      <c r="J677" s="368">
        <f>F677-H677</f>
        <v>0</v>
      </c>
      <c r="K677" s="360" t="s">
        <v>2299</v>
      </c>
    </row>
    <row r="678" spans="1:11" s="360" customFormat="1" ht="20.25" hidden="1" customHeight="1">
      <c r="A678" s="356" t="s">
        <v>1581</v>
      </c>
      <c r="B678" s="357" t="s">
        <v>1256</v>
      </c>
      <c r="C678" s="358">
        <f>'PART-A'!I3390</f>
        <v>0</v>
      </c>
      <c r="D678" s="354" t="s">
        <v>115</v>
      </c>
      <c r="E678" s="355">
        <f>'PART-A'!K3390</f>
        <v>2499</v>
      </c>
      <c r="F678" s="353">
        <f>ROUND(C678*E678,0)</f>
        <v>0</v>
      </c>
      <c r="G678" s="368"/>
      <c r="H678" s="368"/>
      <c r="I678" s="368">
        <f>C678-G678</f>
        <v>0</v>
      </c>
      <c r="J678" s="368">
        <f>F678-H678</f>
        <v>0</v>
      </c>
      <c r="K678" s="360" t="s">
        <v>2312</v>
      </c>
    </row>
    <row r="679" spans="1:11" s="360" customFormat="1" ht="20.25" hidden="1" customHeight="1">
      <c r="A679" s="356" t="s">
        <v>1581</v>
      </c>
      <c r="B679" s="357" t="s">
        <v>1256</v>
      </c>
      <c r="C679" s="358">
        <f>'PART-A'!I3528</f>
        <v>0</v>
      </c>
      <c r="D679" s="354" t="s">
        <v>115</v>
      </c>
      <c r="E679" s="355">
        <f>'PART-A'!K3528</f>
        <v>2644</v>
      </c>
      <c r="F679" s="353">
        <f>ROUND(C679*E679,0)</f>
        <v>0</v>
      </c>
      <c r="G679" s="368"/>
      <c r="H679" s="368"/>
      <c r="I679" s="368">
        <f>C679-G679</f>
        <v>0</v>
      </c>
      <c r="J679" s="368">
        <f>F679-H679</f>
        <v>0</v>
      </c>
      <c r="K679" s="360" t="s">
        <v>2313</v>
      </c>
    </row>
    <row r="680" spans="1:11" s="360" customFormat="1" ht="20.25" hidden="1" customHeight="1">
      <c r="A680" s="356" t="s">
        <v>1582</v>
      </c>
      <c r="B680" s="357" t="s">
        <v>719</v>
      </c>
      <c r="C680" s="358">
        <f>'PART-A'!I3120</f>
        <v>0</v>
      </c>
      <c r="D680" s="354" t="s">
        <v>115</v>
      </c>
      <c r="E680" s="355">
        <f>'PART-A'!K3120</f>
        <v>122</v>
      </c>
      <c r="F680" s="353">
        <f t="shared" si="33"/>
        <v>0</v>
      </c>
      <c r="G680" s="368"/>
      <c r="H680" s="368"/>
      <c r="I680" s="368">
        <f t="shared" si="28"/>
        <v>0</v>
      </c>
      <c r="J680" s="368">
        <f t="shared" si="29"/>
        <v>0</v>
      </c>
      <c r="K680" s="360" t="s">
        <v>2217</v>
      </c>
    </row>
    <row r="681" spans="1:11" s="360" customFormat="1" ht="20.25" hidden="1" customHeight="1">
      <c r="A681" s="356" t="s">
        <v>1574</v>
      </c>
      <c r="B681" s="357" t="s">
        <v>2780</v>
      </c>
      <c r="C681" s="358">
        <f>'PART-A'!I3258</f>
        <v>0</v>
      </c>
      <c r="D681" s="354" t="s">
        <v>115</v>
      </c>
      <c r="E681" s="355">
        <f>'PART-A'!K3258</f>
        <v>86</v>
      </c>
      <c r="F681" s="353">
        <f>ROUND(C681*E681,0)</f>
        <v>0</v>
      </c>
      <c r="G681" s="368"/>
      <c r="H681" s="368"/>
      <c r="I681" s="368">
        <f>C681-G681</f>
        <v>0</v>
      </c>
      <c r="J681" s="368">
        <f>F681-H681</f>
        <v>0</v>
      </c>
      <c r="K681" s="360" t="s">
        <v>2299</v>
      </c>
    </row>
    <row r="682" spans="1:11" s="360" customFormat="1" ht="20.25" hidden="1" customHeight="1">
      <c r="A682" s="356" t="s">
        <v>1582</v>
      </c>
      <c r="B682" s="357" t="s">
        <v>719</v>
      </c>
      <c r="C682" s="358">
        <f>'PART-A'!I3400</f>
        <v>0</v>
      </c>
      <c r="D682" s="354" t="s">
        <v>115</v>
      </c>
      <c r="E682" s="355">
        <f>'PART-A'!K3400</f>
        <v>89</v>
      </c>
      <c r="F682" s="353">
        <f>ROUND(C682*E682,0)</f>
        <v>0</v>
      </c>
      <c r="G682" s="368"/>
      <c r="H682" s="368"/>
      <c r="I682" s="368">
        <f>C682-G682</f>
        <v>0</v>
      </c>
      <c r="J682" s="368">
        <f>F682-H682</f>
        <v>0</v>
      </c>
      <c r="K682" s="360" t="s">
        <v>2312</v>
      </c>
    </row>
    <row r="683" spans="1:11" s="360" customFormat="1" ht="20.25" hidden="1" customHeight="1">
      <c r="A683" s="356" t="s">
        <v>530</v>
      </c>
      <c r="B683" s="357" t="s">
        <v>719</v>
      </c>
      <c r="C683" s="358">
        <f>'PART-A'!I3538</f>
        <v>0</v>
      </c>
      <c r="D683" s="354" t="s">
        <v>115</v>
      </c>
      <c r="E683" s="355">
        <f>'PART-A'!K3538</f>
        <v>93</v>
      </c>
      <c r="F683" s="353">
        <f>ROUND(C683*E683,0)</f>
        <v>0</v>
      </c>
      <c r="G683" s="368"/>
      <c r="H683" s="368"/>
      <c r="I683" s="368">
        <f>C683-G683</f>
        <v>0</v>
      </c>
      <c r="J683" s="368">
        <f>F683-H683</f>
        <v>0</v>
      </c>
      <c r="K683" s="360" t="s">
        <v>2313</v>
      </c>
    </row>
    <row r="684" spans="1:11" s="360" customFormat="1" ht="20.25" hidden="1" customHeight="1">
      <c r="A684" s="356" t="s">
        <v>1143</v>
      </c>
      <c r="B684" s="357" t="s">
        <v>1810</v>
      </c>
      <c r="C684" s="358">
        <f>'PART-A'!I3125</f>
        <v>0</v>
      </c>
      <c r="D684" s="354" t="s">
        <v>574</v>
      </c>
      <c r="E684" s="355">
        <f>'PART-A'!K3125</f>
        <v>6</v>
      </c>
      <c r="F684" s="353">
        <f t="shared" si="33"/>
        <v>0</v>
      </c>
      <c r="G684" s="368"/>
      <c r="H684" s="368"/>
      <c r="I684" s="368">
        <f t="shared" si="28"/>
        <v>0</v>
      </c>
      <c r="J684" s="368">
        <f t="shared" si="29"/>
        <v>0</v>
      </c>
      <c r="K684" s="360" t="s">
        <v>2217</v>
      </c>
    </row>
    <row r="685" spans="1:11" s="360" customFormat="1" ht="20.25" hidden="1" customHeight="1">
      <c r="A685" s="356" t="s">
        <v>1581</v>
      </c>
      <c r="B685" s="357" t="s">
        <v>1810</v>
      </c>
      <c r="C685" s="358">
        <f>'PART-A'!I3263</f>
        <v>0</v>
      </c>
      <c r="D685" s="354" t="s">
        <v>574</v>
      </c>
      <c r="E685" s="355">
        <f>'PART-A'!K3263</f>
        <v>6</v>
      </c>
      <c r="F685" s="353">
        <f>ROUND(C685*E685,0)</f>
        <v>0</v>
      </c>
      <c r="G685" s="368"/>
      <c r="H685" s="368"/>
      <c r="I685" s="368">
        <f>C685-G685</f>
        <v>0</v>
      </c>
      <c r="J685" s="368">
        <f>F685-H685</f>
        <v>0</v>
      </c>
      <c r="K685" s="360" t="s">
        <v>2299</v>
      </c>
    </row>
    <row r="686" spans="1:11" s="360" customFormat="1" ht="20.25" hidden="1" customHeight="1">
      <c r="A686" s="356" t="s">
        <v>1143</v>
      </c>
      <c r="B686" s="357" t="s">
        <v>1810</v>
      </c>
      <c r="C686" s="358">
        <f>'PART-A'!I3405</f>
        <v>0</v>
      </c>
      <c r="D686" s="354" t="s">
        <v>574</v>
      </c>
      <c r="E686" s="355">
        <f>'PART-A'!K3405</f>
        <v>6</v>
      </c>
      <c r="F686" s="353">
        <f>ROUND(C686*E686,0)</f>
        <v>0</v>
      </c>
      <c r="G686" s="368"/>
      <c r="H686" s="368"/>
      <c r="I686" s="368">
        <f>C686-G686</f>
        <v>0</v>
      </c>
      <c r="J686" s="368">
        <f>F686-H686</f>
        <v>0</v>
      </c>
      <c r="K686" s="360" t="s">
        <v>2312</v>
      </c>
    </row>
    <row r="687" spans="1:11" s="360" customFormat="1" ht="20.25" hidden="1" customHeight="1">
      <c r="A687" s="356" t="s">
        <v>531</v>
      </c>
      <c r="B687" s="357" t="s">
        <v>1810</v>
      </c>
      <c r="C687" s="358">
        <f>'PART-A'!I3543</f>
        <v>0</v>
      </c>
      <c r="D687" s="354" t="s">
        <v>574</v>
      </c>
      <c r="E687" s="355">
        <f>'PART-A'!K3543</f>
        <v>9.5</v>
      </c>
      <c r="F687" s="353">
        <f>ROUND(C687*E687,0)</f>
        <v>0</v>
      </c>
      <c r="G687" s="368"/>
      <c r="H687" s="368"/>
      <c r="I687" s="368">
        <f>C687-G687</f>
        <v>0</v>
      </c>
      <c r="J687" s="368">
        <f>F687-H687</f>
        <v>0</v>
      </c>
      <c r="K687" s="360" t="s">
        <v>2313</v>
      </c>
    </row>
    <row r="688" spans="1:11" s="360" customFormat="1" ht="20.25" hidden="1" customHeight="1">
      <c r="A688" s="356" t="s">
        <v>532</v>
      </c>
      <c r="B688" s="357" t="s">
        <v>3116</v>
      </c>
      <c r="C688" s="358">
        <f>'PART-A'!I3128</f>
        <v>0</v>
      </c>
      <c r="D688" s="354" t="s">
        <v>277</v>
      </c>
      <c r="E688" s="355">
        <f>'PART-A'!K3128</f>
        <v>446.4</v>
      </c>
      <c r="F688" s="353">
        <f t="shared" si="33"/>
        <v>0</v>
      </c>
      <c r="G688" s="368"/>
      <c r="H688" s="368"/>
      <c r="I688" s="368">
        <f t="shared" si="28"/>
        <v>0</v>
      </c>
      <c r="J688" s="368">
        <f t="shared" si="29"/>
        <v>0</v>
      </c>
      <c r="K688" s="360" t="s">
        <v>2217</v>
      </c>
    </row>
    <row r="689" spans="1:11" s="360" customFormat="1" ht="20.25" hidden="1" customHeight="1">
      <c r="A689" s="356" t="s">
        <v>1582</v>
      </c>
      <c r="B689" s="357" t="s">
        <v>553</v>
      </c>
      <c r="C689" s="358">
        <f>'PART-A'!I3266</f>
        <v>0</v>
      </c>
      <c r="D689" s="354" t="s">
        <v>277</v>
      </c>
      <c r="E689" s="355">
        <f>'PART-A'!K3266</f>
        <v>446.4</v>
      </c>
      <c r="F689" s="353">
        <f>ROUND(C689*E689,0)</f>
        <v>0</v>
      </c>
      <c r="G689" s="368"/>
      <c r="H689" s="368"/>
      <c r="I689" s="368">
        <f>C689-G689</f>
        <v>0</v>
      </c>
      <c r="J689" s="368">
        <f>F689-H689</f>
        <v>0</v>
      </c>
      <c r="K689" s="360" t="s">
        <v>2299</v>
      </c>
    </row>
    <row r="690" spans="1:11" s="360" customFormat="1" ht="20.25" hidden="1" customHeight="1">
      <c r="A690" s="356" t="s">
        <v>1583</v>
      </c>
      <c r="B690" s="357" t="s">
        <v>553</v>
      </c>
      <c r="C690" s="358">
        <f>'PART-A'!I3408</f>
        <v>0</v>
      </c>
      <c r="D690" s="354" t="s">
        <v>277</v>
      </c>
      <c r="E690" s="355">
        <f>'PART-A'!K3408</f>
        <v>470</v>
      </c>
      <c r="F690" s="353">
        <f>ROUND(C690*E690,0)</f>
        <v>0</v>
      </c>
      <c r="G690" s="368"/>
      <c r="H690" s="368"/>
      <c r="I690" s="368">
        <f>C690-G690</f>
        <v>0</v>
      </c>
      <c r="J690" s="368">
        <f>F690-H690</f>
        <v>0</v>
      </c>
      <c r="K690" s="360" t="s">
        <v>2312</v>
      </c>
    </row>
    <row r="691" spans="1:11" s="360" customFormat="1" ht="20.25" hidden="1" customHeight="1">
      <c r="A691" s="356" t="s">
        <v>1583</v>
      </c>
      <c r="B691" s="357" t="s">
        <v>553</v>
      </c>
      <c r="C691" s="358">
        <f>'PART-A'!I3546</f>
        <v>0</v>
      </c>
      <c r="D691" s="354" t="s">
        <v>277</v>
      </c>
      <c r="E691" s="355">
        <f>'PART-A'!K3546</f>
        <v>446.4</v>
      </c>
      <c r="F691" s="353">
        <f>ROUND(C691*E691,0)</f>
        <v>0</v>
      </c>
      <c r="G691" s="368"/>
      <c r="H691" s="368"/>
      <c r="I691" s="368">
        <f>C691-G691</f>
        <v>0</v>
      </c>
      <c r="J691" s="368">
        <f>F691-H691</f>
        <v>0</v>
      </c>
      <c r="K691" s="360" t="s">
        <v>2313</v>
      </c>
    </row>
    <row r="692" spans="1:11" s="360" customFormat="1" ht="20.25" hidden="1" customHeight="1">
      <c r="A692" s="356" t="s">
        <v>1580</v>
      </c>
      <c r="B692" s="357" t="s">
        <v>3116</v>
      </c>
      <c r="C692" s="358">
        <f>'PART-A'!I3129</f>
        <v>0</v>
      </c>
      <c r="D692" s="354" t="s">
        <v>277</v>
      </c>
      <c r="E692" s="355">
        <f>'PART-A'!K3129</f>
        <v>477.6</v>
      </c>
      <c r="F692" s="353">
        <f t="shared" si="33"/>
        <v>0</v>
      </c>
      <c r="G692" s="368"/>
      <c r="H692" s="368"/>
      <c r="I692" s="368">
        <f t="shared" si="28"/>
        <v>0</v>
      </c>
      <c r="J692" s="368">
        <f t="shared" si="29"/>
        <v>0</v>
      </c>
      <c r="K692" s="360" t="s">
        <v>2217</v>
      </c>
    </row>
    <row r="693" spans="1:11" s="360" customFormat="1" ht="20.25" hidden="1" customHeight="1">
      <c r="A693" s="356" t="s">
        <v>524</v>
      </c>
      <c r="B693" s="357" t="s">
        <v>553</v>
      </c>
      <c r="C693" s="358">
        <f>'PART-A'!I3267</f>
        <v>0</v>
      </c>
      <c r="D693" s="354" t="s">
        <v>277</v>
      </c>
      <c r="E693" s="355">
        <f>'PART-A'!K3267</f>
        <v>477.6</v>
      </c>
      <c r="F693" s="353">
        <f>ROUND(C693*E693,0)</f>
        <v>0</v>
      </c>
      <c r="G693" s="368"/>
      <c r="H693" s="368"/>
      <c r="I693" s="368">
        <f>C693-G693</f>
        <v>0</v>
      </c>
      <c r="J693" s="368">
        <f>F693-H693</f>
        <v>0</v>
      </c>
      <c r="K693" s="360" t="s">
        <v>2299</v>
      </c>
    </row>
    <row r="694" spans="1:11" s="360" customFormat="1" ht="20.25" hidden="1" customHeight="1">
      <c r="A694" s="356" t="s">
        <v>524</v>
      </c>
      <c r="B694" s="357" t="s">
        <v>553</v>
      </c>
      <c r="C694" s="358">
        <f>'PART-A'!I3409</f>
        <v>0</v>
      </c>
      <c r="D694" s="354" t="s">
        <v>277</v>
      </c>
      <c r="E694" s="355">
        <f>'PART-A'!K3409</f>
        <v>502</v>
      </c>
      <c r="F694" s="353">
        <f>ROUND(C694*E694,0)</f>
        <v>0</v>
      </c>
      <c r="G694" s="368"/>
      <c r="H694" s="368"/>
      <c r="I694" s="368">
        <f>C694-G694</f>
        <v>0</v>
      </c>
      <c r="J694" s="368">
        <f>F694-H694</f>
        <v>0</v>
      </c>
      <c r="K694" s="360" t="s">
        <v>2312</v>
      </c>
    </row>
    <row r="695" spans="1:11" s="360" customFormat="1" ht="20.25" hidden="1" customHeight="1">
      <c r="A695" s="356" t="s">
        <v>524</v>
      </c>
      <c r="B695" s="357" t="s">
        <v>553</v>
      </c>
      <c r="C695" s="358">
        <f>'PART-A'!I3547</f>
        <v>0</v>
      </c>
      <c r="D695" s="354" t="s">
        <v>277</v>
      </c>
      <c r="E695" s="355">
        <f>'PART-A'!K3547</f>
        <v>477.6</v>
      </c>
      <c r="F695" s="353">
        <f>ROUND(C695*E695,0)</f>
        <v>0</v>
      </c>
      <c r="G695" s="368"/>
      <c r="H695" s="368"/>
      <c r="I695" s="368">
        <f>C695-G695</f>
        <v>0</v>
      </c>
      <c r="J695" s="368">
        <f>F695-H695</f>
        <v>0</v>
      </c>
      <c r="K695" s="360" t="s">
        <v>2313</v>
      </c>
    </row>
    <row r="696" spans="1:11" s="360" customFormat="1" ht="20.25" hidden="1" customHeight="1">
      <c r="A696" s="356" t="s">
        <v>525</v>
      </c>
      <c r="B696" s="357" t="s">
        <v>553</v>
      </c>
      <c r="C696" s="358">
        <f>'PART-A'!I3130</f>
        <v>0</v>
      </c>
      <c r="D696" s="354" t="s">
        <v>277</v>
      </c>
      <c r="E696" s="355">
        <f>'PART-A'!K3130</f>
        <v>600</v>
      </c>
      <c r="F696" s="353">
        <f t="shared" si="33"/>
        <v>0</v>
      </c>
      <c r="G696" s="368"/>
      <c r="H696" s="368"/>
      <c r="I696" s="368">
        <f t="shared" si="28"/>
        <v>0</v>
      </c>
      <c r="J696" s="368">
        <f t="shared" si="29"/>
        <v>0</v>
      </c>
      <c r="K696" s="360" t="s">
        <v>2217</v>
      </c>
    </row>
    <row r="697" spans="1:11" s="360" customFormat="1" ht="20.25" hidden="1" customHeight="1">
      <c r="A697" s="356" t="s">
        <v>525</v>
      </c>
      <c r="B697" s="357" t="s">
        <v>553</v>
      </c>
      <c r="C697" s="358">
        <f>'PART-A'!I3268</f>
        <v>0</v>
      </c>
      <c r="D697" s="354" t="s">
        <v>277</v>
      </c>
      <c r="E697" s="355">
        <f>'PART-A'!K3268</f>
        <v>535.70000000000005</v>
      </c>
      <c r="F697" s="353">
        <f>ROUND(C697*E697,0)</f>
        <v>0</v>
      </c>
      <c r="G697" s="368"/>
      <c r="H697" s="368"/>
      <c r="I697" s="368">
        <f>C697-G697</f>
        <v>0</v>
      </c>
      <c r="J697" s="368">
        <f>F697-H697</f>
        <v>0</v>
      </c>
      <c r="K697" s="360" t="s">
        <v>2299</v>
      </c>
    </row>
    <row r="698" spans="1:11" s="360" customFormat="1" ht="20.25" hidden="1" customHeight="1">
      <c r="A698" s="356" t="s">
        <v>525</v>
      </c>
      <c r="B698" s="357" t="s">
        <v>553</v>
      </c>
      <c r="C698" s="358">
        <f>'PART-A'!I3410</f>
        <v>0</v>
      </c>
      <c r="D698" s="354" t="s">
        <v>277</v>
      </c>
      <c r="E698" s="355">
        <f>'PART-A'!K3410</f>
        <v>563</v>
      </c>
      <c r="F698" s="353">
        <f>ROUND(C698*E698,0)</f>
        <v>0</v>
      </c>
      <c r="G698" s="368"/>
      <c r="H698" s="368"/>
      <c r="I698" s="368">
        <f>C698-G698</f>
        <v>0</v>
      </c>
      <c r="J698" s="368">
        <f>F698-H698</f>
        <v>0</v>
      </c>
      <c r="K698" s="360" t="s">
        <v>2312</v>
      </c>
    </row>
    <row r="699" spans="1:11" s="360" customFormat="1" ht="20.25" hidden="1" customHeight="1">
      <c r="A699" s="356" t="s">
        <v>525</v>
      </c>
      <c r="B699" s="357" t="s">
        <v>553</v>
      </c>
      <c r="C699" s="358">
        <f>'PART-A'!I3548</f>
        <v>0</v>
      </c>
      <c r="D699" s="354" t="s">
        <v>277</v>
      </c>
      <c r="E699" s="355">
        <f>'PART-A'!K3548</f>
        <v>535.70000000000005</v>
      </c>
      <c r="F699" s="353">
        <f>ROUND(C699*E699,0)</f>
        <v>0</v>
      </c>
      <c r="G699" s="368"/>
      <c r="H699" s="368"/>
      <c r="I699" s="368">
        <f>C699-G699</f>
        <v>0</v>
      </c>
      <c r="J699" s="368">
        <f>F699-H699</f>
        <v>0</v>
      </c>
      <c r="K699" s="360" t="s">
        <v>2313</v>
      </c>
    </row>
    <row r="700" spans="1:11" s="360" customFormat="1" ht="20.25" hidden="1" customHeight="1">
      <c r="A700" s="356" t="s">
        <v>533</v>
      </c>
      <c r="B700" s="357" t="s">
        <v>2115</v>
      </c>
      <c r="C700" s="358">
        <f>'PART-A'!I3136</f>
        <v>0</v>
      </c>
      <c r="D700" s="354" t="s">
        <v>277</v>
      </c>
      <c r="E700" s="355">
        <f>'PART-A'!K3136</f>
        <v>325</v>
      </c>
      <c r="F700" s="353">
        <f t="shared" si="33"/>
        <v>0</v>
      </c>
      <c r="G700" s="368"/>
      <c r="H700" s="368"/>
      <c r="I700" s="368">
        <f t="shared" si="28"/>
        <v>0</v>
      </c>
      <c r="J700" s="368">
        <f t="shared" si="29"/>
        <v>0</v>
      </c>
      <c r="K700" s="360" t="s">
        <v>2217</v>
      </c>
    </row>
    <row r="701" spans="1:11" s="360" customFormat="1" ht="20.25" hidden="1" customHeight="1">
      <c r="A701" s="356" t="s">
        <v>1143</v>
      </c>
      <c r="B701" s="357" t="s">
        <v>2115</v>
      </c>
      <c r="C701" s="358">
        <f>'PART-A'!I3274</f>
        <v>0</v>
      </c>
      <c r="D701" s="354" t="s">
        <v>277</v>
      </c>
      <c r="E701" s="355">
        <f>'PART-A'!K3274</f>
        <v>325</v>
      </c>
      <c r="F701" s="353">
        <f>ROUND(C701*E701,0)</f>
        <v>0</v>
      </c>
      <c r="G701" s="368"/>
      <c r="H701" s="368"/>
      <c r="I701" s="368">
        <f>C701-G701</f>
        <v>0</v>
      </c>
      <c r="J701" s="368">
        <f>F701-H701</f>
        <v>0</v>
      </c>
      <c r="K701" s="360" t="s">
        <v>2299</v>
      </c>
    </row>
    <row r="702" spans="1:11" s="360" customFormat="1" ht="20.25" hidden="1" customHeight="1">
      <c r="A702" s="356" t="s">
        <v>645</v>
      </c>
      <c r="B702" s="357" t="s">
        <v>2115</v>
      </c>
      <c r="C702" s="358">
        <f>'PART-A'!I3416</f>
        <v>0</v>
      </c>
      <c r="D702" s="354" t="s">
        <v>277</v>
      </c>
      <c r="E702" s="355">
        <f>'PART-A'!K3416</f>
        <v>342</v>
      </c>
      <c r="F702" s="353">
        <f>ROUND(C702*E702,0)</f>
        <v>0</v>
      </c>
      <c r="G702" s="368"/>
      <c r="H702" s="368"/>
      <c r="I702" s="368">
        <f>C702-G702</f>
        <v>0</v>
      </c>
      <c r="J702" s="368">
        <f>F702-H702</f>
        <v>0</v>
      </c>
      <c r="K702" s="360" t="s">
        <v>2312</v>
      </c>
    </row>
    <row r="703" spans="1:11" s="360" customFormat="1" ht="20.25" hidden="1" customHeight="1">
      <c r="A703" s="356" t="s">
        <v>645</v>
      </c>
      <c r="B703" s="357" t="s">
        <v>2115</v>
      </c>
      <c r="C703" s="358">
        <f>'PART-A'!I3554</f>
        <v>0</v>
      </c>
      <c r="D703" s="354" t="s">
        <v>277</v>
      </c>
      <c r="E703" s="355">
        <f>'PART-A'!K3554</f>
        <v>325</v>
      </c>
      <c r="F703" s="353">
        <f>ROUND(C703*E703,0)</f>
        <v>0</v>
      </c>
      <c r="G703" s="368"/>
      <c r="H703" s="368"/>
      <c r="I703" s="368">
        <f>C703-G703</f>
        <v>0</v>
      </c>
      <c r="J703" s="368">
        <f>F703-H703</f>
        <v>0</v>
      </c>
      <c r="K703" s="360" t="s">
        <v>2313</v>
      </c>
    </row>
    <row r="704" spans="1:11" s="360" customFormat="1" ht="20.25" hidden="1" customHeight="1">
      <c r="A704" s="356" t="s">
        <v>534</v>
      </c>
      <c r="B704" s="357" t="s">
        <v>2300</v>
      </c>
      <c r="C704" s="358">
        <f>'PART-A'!I3141</f>
        <v>0</v>
      </c>
      <c r="D704" s="354" t="s">
        <v>115</v>
      </c>
      <c r="E704" s="355">
        <f>'PART-A'!K3141</f>
        <v>18409</v>
      </c>
      <c r="F704" s="353">
        <f t="shared" si="33"/>
        <v>0</v>
      </c>
      <c r="G704" s="368"/>
      <c r="H704" s="368"/>
      <c r="I704" s="368">
        <f t="shared" si="28"/>
        <v>0</v>
      </c>
      <c r="J704" s="368">
        <f t="shared" si="29"/>
        <v>0</v>
      </c>
      <c r="K704" s="360" t="s">
        <v>2217</v>
      </c>
    </row>
    <row r="705" spans="1:11" s="360" customFormat="1" ht="20.25" hidden="1" customHeight="1">
      <c r="A705" s="356" t="s">
        <v>1583</v>
      </c>
      <c r="B705" s="357" t="s">
        <v>2300</v>
      </c>
      <c r="C705" s="358">
        <f>'PART-A'!I3279</f>
        <v>0</v>
      </c>
      <c r="D705" s="354" t="s">
        <v>115</v>
      </c>
      <c r="E705" s="355">
        <f>'PART-A'!K3279</f>
        <v>18526</v>
      </c>
      <c r="F705" s="353">
        <f>ROUND(C705*E705,0)</f>
        <v>0</v>
      </c>
      <c r="G705" s="368"/>
      <c r="H705" s="368"/>
      <c r="I705" s="368">
        <f>C705-G705</f>
        <v>0</v>
      </c>
      <c r="J705" s="368">
        <f>F705-H705</f>
        <v>0</v>
      </c>
      <c r="K705" s="360" t="s">
        <v>2299</v>
      </c>
    </row>
    <row r="706" spans="1:11" s="360" customFormat="1" ht="20.25" hidden="1" customHeight="1">
      <c r="A706" s="356" t="s">
        <v>1584</v>
      </c>
      <c r="B706" s="357" t="s">
        <v>2300</v>
      </c>
      <c r="C706" s="358">
        <f>'PART-A'!I3421</f>
        <v>0</v>
      </c>
      <c r="D706" s="354" t="s">
        <v>115</v>
      </c>
      <c r="E706" s="355">
        <f>'PART-A'!K3421</f>
        <v>18370</v>
      </c>
      <c r="F706" s="353">
        <f>ROUND(C706*E706,0)</f>
        <v>0</v>
      </c>
      <c r="G706" s="368"/>
      <c r="H706" s="368"/>
      <c r="I706" s="368">
        <f>C706-G706</f>
        <v>0</v>
      </c>
      <c r="J706" s="368">
        <f>F706-H706</f>
        <v>0</v>
      </c>
      <c r="K706" s="360" t="s">
        <v>2312</v>
      </c>
    </row>
    <row r="707" spans="1:11" s="360" customFormat="1" ht="20.25" hidden="1" customHeight="1">
      <c r="A707" s="356" t="s">
        <v>1584</v>
      </c>
      <c r="B707" s="357" t="s">
        <v>2300</v>
      </c>
      <c r="C707" s="358">
        <f>'PART-A'!I3559</f>
        <v>0</v>
      </c>
      <c r="D707" s="354" t="s">
        <v>115</v>
      </c>
      <c r="E707" s="355">
        <f>'PART-A'!K3559</f>
        <v>18370</v>
      </c>
      <c r="F707" s="353">
        <f>ROUND(C707*E707,0)</f>
        <v>0</v>
      </c>
      <c r="G707" s="368"/>
      <c r="H707" s="368"/>
      <c r="I707" s="368">
        <f>C707-G707</f>
        <v>0</v>
      </c>
      <c r="J707" s="368">
        <f>F707-H707</f>
        <v>0</v>
      </c>
      <c r="K707" s="360" t="s">
        <v>2313</v>
      </c>
    </row>
    <row r="708" spans="1:11" s="360" customFormat="1" ht="20.25" hidden="1" customHeight="1">
      <c r="A708" s="356" t="s">
        <v>642</v>
      </c>
      <c r="B708" s="357" t="s">
        <v>2782</v>
      </c>
      <c r="C708" s="358">
        <f>'PART-A'!I3146</f>
        <v>0</v>
      </c>
      <c r="D708" s="354" t="s">
        <v>277</v>
      </c>
      <c r="E708" s="355">
        <f>'PART-A'!K3146</f>
        <v>64</v>
      </c>
      <c r="F708" s="353">
        <f t="shared" si="33"/>
        <v>0</v>
      </c>
      <c r="G708" s="368"/>
      <c r="H708" s="368"/>
      <c r="I708" s="368">
        <f t="shared" si="28"/>
        <v>0</v>
      </c>
      <c r="J708" s="368">
        <f t="shared" si="29"/>
        <v>0</v>
      </c>
      <c r="K708" s="360" t="s">
        <v>2217</v>
      </c>
    </row>
    <row r="709" spans="1:11" s="360" customFormat="1" ht="20.25" hidden="1" customHeight="1">
      <c r="A709" s="356" t="s">
        <v>645</v>
      </c>
      <c r="B709" s="357" t="s">
        <v>2782</v>
      </c>
      <c r="C709" s="358">
        <f>'PART-A'!I3284</f>
        <v>0</v>
      </c>
      <c r="D709" s="354" t="s">
        <v>277</v>
      </c>
      <c r="E709" s="355">
        <f>'PART-A'!K3284</f>
        <v>59</v>
      </c>
      <c r="F709" s="353">
        <f>ROUND(C709*E709,0)</f>
        <v>0</v>
      </c>
      <c r="G709" s="368"/>
      <c r="H709" s="368"/>
      <c r="I709" s="368">
        <f>C709-G709</f>
        <v>0</v>
      </c>
      <c r="J709" s="368">
        <f>F709-H709</f>
        <v>0</v>
      </c>
      <c r="K709" s="360" t="s">
        <v>2299</v>
      </c>
    </row>
    <row r="710" spans="1:11" s="360" customFormat="1" ht="20.25" hidden="1" customHeight="1">
      <c r="A710" s="356" t="s">
        <v>1585</v>
      </c>
      <c r="B710" s="357" t="s">
        <v>636</v>
      </c>
      <c r="C710" s="358">
        <f>'PART-A'!I3426</f>
        <v>0</v>
      </c>
      <c r="D710" s="354" t="s">
        <v>277</v>
      </c>
      <c r="E710" s="355">
        <f>'PART-A'!K3426</f>
        <v>73</v>
      </c>
      <c r="F710" s="353">
        <f>ROUND(C710*E710,0)</f>
        <v>0</v>
      </c>
      <c r="G710" s="368"/>
      <c r="H710" s="368"/>
      <c r="I710" s="368">
        <f>C710-G710</f>
        <v>0</v>
      </c>
      <c r="J710" s="368">
        <f>F710-H710</f>
        <v>0</v>
      </c>
      <c r="K710" s="360" t="s">
        <v>2312</v>
      </c>
    </row>
    <row r="711" spans="1:11" s="360" customFormat="1" ht="20.25" hidden="1" customHeight="1">
      <c r="A711" s="356" t="s">
        <v>1585</v>
      </c>
      <c r="B711" s="357" t="s">
        <v>636</v>
      </c>
      <c r="C711" s="358">
        <f>'PART-A'!I3564</f>
        <v>0</v>
      </c>
      <c r="D711" s="354" t="s">
        <v>277</v>
      </c>
      <c r="E711" s="355">
        <f>'PART-A'!K3564</f>
        <v>85</v>
      </c>
      <c r="F711" s="353">
        <f>ROUND(C711*E711,0)</f>
        <v>0</v>
      </c>
      <c r="G711" s="368"/>
      <c r="H711" s="368"/>
      <c r="I711" s="368">
        <f>C711-G711</f>
        <v>0</v>
      </c>
      <c r="J711" s="368">
        <f>F711-H711</f>
        <v>0</v>
      </c>
      <c r="K711" s="360" t="s">
        <v>2313</v>
      </c>
    </row>
    <row r="712" spans="1:11" s="360" customFormat="1" ht="20.25" hidden="1" customHeight="1">
      <c r="A712" s="356" t="s">
        <v>643</v>
      </c>
      <c r="B712" s="357" t="s">
        <v>1445</v>
      </c>
      <c r="C712" s="358">
        <f>'PART-A'!I3151</f>
        <v>0</v>
      </c>
      <c r="D712" s="354" t="s">
        <v>115</v>
      </c>
      <c r="E712" s="355">
        <f>'PART-A'!K3151</f>
        <v>109</v>
      </c>
      <c r="F712" s="353">
        <f t="shared" si="33"/>
        <v>0</v>
      </c>
      <c r="G712" s="368"/>
      <c r="H712" s="368"/>
      <c r="I712" s="368">
        <f t="shared" si="28"/>
        <v>0</v>
      </c>
      <c r="J712" s="368">
        <f t="shared" si="29"/>
        <v>0</v>
      </c>
      <c r="K712" s="360" t="s">
        <v>2217</v>
      </c>
    </row>
    <row r="713" spans="1:11" s="360" customFormat="1" ht="20.25" hidden="1" customHeight="1">
      <c r="A713" s="356" t="s">
        <v>1584</v>
      </c>
      <c r="B713" s="357" t="s">
        <v>1445</v>
      </c>
      <c r="C713" s="358">
        <f>'PART-A'!I3289</f>
        <v>0</v>
      </c>
      <c r="D713" s="354" t="s">
        <v>115</v>
      </c>
      <c r="E713" s="355">
        <f>'PART-A'!K3289</f>
        <v>300</v>
      </c>
      <c r="F713" s="353">
        <f>ROUND(C713*E713,0)</f>
        <v>0</v>
      </c>
      <c r="G713" s="368"/>
      <c r="H713" s="368"/>
      <c r="I713" s="368">
        <f>C713-G713</f>
        <v>0</v>
      </c>
      <c r="J713" s="368">
        <f>F713-H713</f>
        <v>0</v>
      </c>
      <c r="K713" s="360" t="s">
        <v>2299</v>
      </c>
    </row>
    <row r="714" spans="1:11" s="360" customFormat="1" ht="20.25" hidden="1" customHeight="1">
      <c r="A714" s="356" t="s">
        <v>646</v>
      </c>
      <c r="B714" s="357" t="s">
        <v>284</v>
      </c>
      <c r="C714" s="358">
        <f>'PART-A'!I3431</f>
        <v>0</v>
      </c>
      <c r="D714" s="354" t="s">
        <v>115</v>
      </c>
      <c r="E714" s="355">
        <f>'PART-A'!K3431</f>
        <v>315</v>
      </c>
      <c r="F714" s="353">
        <f>ROUND(C714*E714,0)</f>
        <v>0</v>
      </c>
      <c r="G714" s="368"/>
      <c r="H714" s="368"/>
      <c r="I714" s="368">
        <f>C714-G714</f>
        <v>0</v>
      </c>
      <c r="J714" s="368">
        <f>F714-H714</f>
        <v>0</v>
      </c>
      <c r="K714" s="360" t="s">
        <v>2312</v>
      </c>
    </row>
    <row r="715" spans="1:11" s="360" customFormat="1" ht="20.25" hidden="1" customHeight="1">
      <c r="A715" s="356" t="s">
        <v>646</v>
      </c>
      <c r="B715" s="357" t="s">
        <v>284</v>
      </c>
      <c r="C715" s="358">
        <f>'PART-A'!I3569</f>
        <v>0</v>
      </c>
      <c r="D715" s="354" t="s">
        <v>115</v>
      </c>
      <c r="E715" s="355">
        <f>'PART-A'!K3569</f>
        <v>300</v>
      </c>
      <c r="F715" s="353">
        <f>ROUND(C715*E715,0)</f>
        <v>0</v>
      </c>
      <c r="G715" s="368"/>
      <c r="H715" s="368"/>
      <c r="I715" s="368">
        <f>C715-G715</f>
        <v>0</v>
      </c>
      <c r="J715" s="368">
        <f>F715-H715</f>
        <v>0</v>
      </c>
      <c r="K715" s="360" t="s">
        <v>2313</v>
      </c>
    </row>
    <row r="716" spans="1:11" s="360" customFormat="1" ht="20.25" hidden="1" customHeight="1">
      <c r="A716" s="356" t="s">
        <v>644</v>
      </c>
      <c r="B716" s="357" t="s">
        <v>2781</v>
      </c>
      <c r="C716" s="358">
        <f>'PART-A'!I3156</f>
        <v>0</v>
      </c>
      <c r="D716" s="354" t="s">
        <v>115</v>
      </c>
      <c r="E716" s="355">
        <f>'PART-A'!K3156</f>
        <v>198</v>
      </c>
      <c r="F716" s="353">
        <f t="shared" si="33"/>
        <v>0</v>
      </c>
      <c r="G716" s="368"/>
      <c r="H716" s="368"/>
      <c r="I716" s="368">
        <f t="shared" si="28"/>
        <v>0</v>
      </c>
      <c r="J716" s="368">
        <f t="shared" si="29"/>
        <v>0</v>
      </c>
      <c r="K716" s="360" t="s">
        <v>2217</v>
      </c>
    </row>
    <row r="717" spans="1:11" s="360" customFormat="1" ht="20.25" hidden="1" customHeight="1">
      <c r="A717" s="356" t="s">
        <v>1585</v>
      </c>
      <c r="B717" s="357" t="s">
        <v>2781</v>
      </c>
      <c r="C717" s="358">
        <f>'PART-A'!I3294</f>
        <v>0</v>
      </c>
      <c r="D717" s="354" t="s">
        <v>115</v>
      </c>
      <c r="E717" s="355">
        <f>'PART-A'!K3294</f>
        <v>400</v>
      </c>
      <c r="F717" s="353">
        <f>ROUND(C717*E717,0)</f>
        <v>0</v>
      </c>
      <c r="G717" s="368"/>
      <c r="H717" s="368"/>
      <c r="I717" s="368">
        <f>C717-G717</f>
        <v>0</v>
      </c>
      <c r="J717" s="368">
        <f>F717-H717</f>
        <v>0</v>
      </c>
      <c r="K717" s="360" t="s">
        <v>2299</v>
      </c>
    </row>
    <row r="718" spans="1:11" s="360" customFormat="1" ht="20.25" hidden="1" customHeight="1">
      <c r="A718" s="356" t="s">
        <v>1144</v>
      </c>
      <c r="B718" s="357" t="s">
        <v>285</v>
      </c>
      <c r="C718" s="358">
        <f>'PART-A'!I3436</f>
        <v>0</v>
      </c>
      <c r="D718" s="354" t="s">
        <v>115</v>
      </c>
      <c r="E718" s="355">
        <f>'PART-A'!K3436</f>
        <v>420</v>
      </c>
      <c r="F718" s="353">
        <f>ROUND(C718*E718,0)</f>
        <v>0</v>
      </c>
      <c r="G718" s="368"/>
      <c r="H718" s="368"/>
      <c r="I718" s="368">
        <f>C718-G718</f>
        <v>0</v>
      </c>
      <c r="J718" s="368">
        <f>F718-H718</f>
        <v>0</v>
      </c>
      <c r="K718" s="360" t="s">
        <v>2312</v>
      </c>
    </row>
    <row r="719" spans="1:11" s="360" customFormat="1" ht="20.25" hidden="1" customHeight="1">
      <c r="A719" s="356" t="s">
        <v>1144</v>
      </c>
      <c r="B719" s="357" t="s">
        <v>285</v>
      </c>
      <c r="C719" s="358">
        <f>'PART-A'!I3574</f>
        <v>0</v>
      </c>
      <c r="D719" s="354" t="s">
        <v>115</v>
      </c>
      <c r="E719" s="355">
        <f>'PART-A'!K3574</f>
        <v>400</v>
      </c>
      <c r="F719" s="353">
        <f>ROUND(C719*E719,0)</f>
        <v>0</v>
      </c>
      <c r="G719" s="368"/>
      <c r="H719" s="368"/>
      <c r="I719" s="368">
        <f>C719-G719</f>
        <v>0</v>
      </c>
      <c r="J719" s="368">
        <f>F719-H719</f>
        <v>0</v>
      </c>
      <c r="K719" s="360" t="s">
        <v>2313</v>
      </c>
    </row>
    <row r="720" spans="1:11" s="360" customFormat="1" ht="20.25" hidden="1" customHeight="1">
      <c r="A720" s="356" t="s">
        <v>1574</v>
      </c>
      <c r="B720" s="357" t="s">
        <v>2783</v>
      </c>
      <c r="C720" s="358">
        <f>'PART-A'!I3161</f>
        <v>0</v>
      </c>
      <c r="D720" s="354" t="s">
        <v>115</v>
      </c>
      <c r="E720" s="355">
        <f>'PART-A'!K3161</f>
        <v>22</v>
      </c>
      <c r="F720" s="353">
        <f t="shared" si="33"/>
        <v>0</v>
      </c>
      <c r="G720" s="368"/>
      <c r="H720" s="368"/>
      <c r="I720" s="368">
        <f t="shared" si="28"/>
        <v>0</v>
      </c>
      <c r="J720" s="368">
        <f t="shared" si="29"/>
        <v>0</v>
      </c>
      <c r="K720" s="360" t="s">
        <v>2217</v>
      </c>
    </row>
    <row r="721" spans="1:11" s="360" customFormat="1" ht="20.25" hidden="1" customHeight="1">
      <c r="A721" s="356" t="s">
        <v>646</v>
      </c>
      <c r="B721" s="357" t="s">
        <v>2783</v>
      </c>
      <c r="C721" s="358">
        <f>'PART-A'!I3299</f>
        <v>0</v>
      </c>
      <c r="D721" s="354" t="s">
        <v>115</v>
      </c>
      <c r="E721" s="355">
        <f>'PART-A'!K3299</f>
        <v>70</v>
      </c>
      <c r="F721" s="353">
        <f>ROUND(C721*E721,0)</f>
        <v>0</v>
      </c>
      <c r="G721" s="368"/>
      <c r="H721" s="368"/>
      <c r="I721" s="368">
        <f>C721-G721</f>
        <v>0</v>
      </c>
      <c r="J721" s="368">
        <f>F721-H721</f>
        <v>0</v>
      </c>
      <c r="K721" s="360" t="s">
        <v>2299</v>
      </c>
    </row>
    <row r="722" spans="1:11" s="360" customFormat="1" ht="20.25" hidden="1" customHeight="1">
      <c r="A722" s="356" t="s">
        <v>1588</v>
      </c>
      <c r="B722" s="357" t="s">
        <v>286</v>
      </c>
      <c r="C722" s="358">
        <f>'PART-A'!I3441</f>
        <v>0</v>
      </c>
      <c r="D722" s="354" t="s">
        <v>115</v>
      </c>
      <c r="E722" s="355">
        <f>'PART-A'!K3441</f>
        <v>73</v>
      </c>
      <c r="F722" s="353">
        <f>ROUND(C722*E722,0)</f>
        <v>0</v>
      </c>
      <c r="G722" s="368"/>
      <c r="H722" s="368"/>
      <c r="I722" s="368">
        <f>C722-G722</f>
        <v>0</v>
      </c>
      <c r="J722" s="368">
        <f>F722-H722</f>
        <v>0</v>
      </c>
      <c r="K722" s="360" t="s">
        <v>2312</v>
      </c>
    </row>
    <row r="723" spans="1:11" s="360" customFormat="1" ht="20.25" hidden="1" customHeight="1">
      <c r="A723" s="356" t="s">
        <v>1588</v>
      </c>
      <c r="B723" s="357" t="s">
        <v>286</v>
      </c>
      <c r="C723" s="358">
        <f>'PART-A'!I3579</f>
        <v>0</v>
      </c>
      <c r="D723" s="354" t="s">
        <v>115</v>
      </c>
      <c r="E723" s="355">
        <f>'PART-A'!K3579</f>
        <v>77</v>
      </c>
      <c r="F723" s="353">
        <f>ROUND(C723*E723,0)</f>
        <v>0</v>
      </c>
      <c r="G723" s="368"/>
      <c r="H723" s="368"/>
      <c r="I723" s="368">
        <f>C723-G723</f>
        <v>0</v>
      </c>
      <c r="J723" s="368">
        <f>F723-H723</f>
        <v>0</v>
      </c>
      <c r="K723" s="360" t="s">
        <v>2313</v>
      </c>
    </row>
    <row r="724" spans="1:11" s="360" customFormat="1" ht="20.25" hidden="1" customHeight="1">
      <c r="A724" s="356" t="s">
        <v>1581</v>
      </c>
      <c r="B724" s="357" t="s">
        <v>2784</v>
      </c>
      <c r="C724" s="358">
        <f>'PART-A'!I3166</f>
        <v>0</v>
      </c>
      <c r="D724" s="354" t="s">
        <v>115</v>
      </c>
      <c r="E724" s="355">
        <f>'PART-A'!K3166</f>
        <v>145.19999999999999</v>
      </c>
      <c r="F724" s="353">
        <f t="shared" si="33"/>
        <v>0</v>
      </c>
      <c r="G724" s="368"/>
      <c r="H724" s="368"/>
      <c r="I724" s="368">
        <f t="shared" si="28"/>
        <v>0</v>
      </c>
      <c r="J724" s="368">
        <f t="shared" si="29"/>
        <v>0</v>
      </c>
      <c r="K724" s="360" t="s">
        <v>2217</v>
      </c>
    </row>
    <row r="725" spans="1:11" s="360" customFormat="1" ht="20.25" hidden="1" customHeight="1">
      <c r="A725" s="356" t="s">
        <v>1144</v>
      </c>
      <c r="B725" s="357" t="s">
        <v>2784</v>
      </c>
      <c r="C725" s="358">
        <f>'PART-A'!I3304</f>
        <v>0</v>
      </c>
      <c r="D725" s="354" t="s">
        <v>115</v>
      </c>
      <c r="E725" s="355">
        <f>'PART-A'!K3304</f>
        <v>175</v>
      </c>
      <c r="F725" s="353">
        <f>ROUND(C725*E725,0)</f>
        <v>0</v>
      </c>
      <c r="G725" s="368"/>
      <c r="H725" s="368"/>
      <c r="I725" s="368">
        <f>C725-G725</f>
        <v>0</v>
      </c>
      <c r="J725" s="368">
        <f>F725-H725</f>
        <v>0</v>
      </c>
      <c r="K725" s="360" t="s">
        <v>2299</v>
      </c>
    </row>
    <row r="726" spans="1:11" s="360" customFormat="1" ht="20.25" hidden="1" customHeight="1">
      <c r="A726" s="356" t="s">
        <v>647</v>
      </c>
      <c r="B726" s="357" t="s">
        <v>287</v>
      </c>
      <c r="C726" s="358">
        <f>'PART-A'!I3446</f>
        <v>0</v>
      </c>
      <c r="D726" s="354" t="s">
        <v>115</v>
      </c>
      <c r="E726" s="355">
        <f>'PART-A'!K3446</f>
        <v>177</v>
      </c>
      <c r="F726" s="353">
        <f>ROUND(C726*E726,0)</f>
        <v>0</v>
      </c>
      <c r="G726" s="368"/>
      <c r="H726" s="368"/>
      <c r="I726" s="368">
        <f>C726-G726</f>
        <v>0</v>
      </c>
      <c r="J726" s="368">
        <f>F726-H726</f>
        <v>0</v>
      </c>
      <c r="K726" s="360" t="s">
        <v>2312</v>
      </c>
    </row>
    <row r="727" spans="1:11" s="360" customFormat="1" ht="20.25" hidden="1" customHeight="1">
      <c r="A727" s="356" t="s">
        <v>647</v>
      </c>
      <c r="B727" s="357" t="s">
        <v>287</v>
      </c>
      <c r="C727" s="358">
        <f>'PART-A'!I3584</f>
        <v>0</v>
      </c>
      <c r="D727" s="354" t="s">
        <v>115</v>
      </c>
      <c r="E727" s="355">
        <f>'PART-A'!K3584</f>
        <v>194</v>
      </c>
      <c r="F727" s="353">
        <f>ROUND(C727*E727,0)</f>
        <v>0</v>
      </c>
      <c r="G727" s="368"/>
      <c r="H727" s="368"/>
      <c r="I727" s="368">
        <f>C727-G727</f>
        <v>0</v>
      </c>
      <c r="J727" s="368">
        <f>F727-H727</f>
        <v>0</v>
      </c>
      <c r="K727" s="360" t="s">
        <v>2313</v>
      </c>
    </row>
    <row r="728" spans="1:11" s="360" customFormat="1" ht="20.25" hidden="1" customHeight="1">
      <c r="A728" s="356" t="s">
        <v>1582</v>
      </c>
      <c r="B728" s="357" t="s">
        <v>3117</v>
      </c>
      <c r="C728" s="358">
        <f>'PART-A'!I3171</f>
        <v>0</v>
      </c>
      <c r="D728" s="354" t="s">
        <v>277</v>
      </c>
      <c r="E728" s="355">
        <f>'PART-A'!K3171</f>
        <v>80</v>
      </c>
      <c r="F728" s="353">
        <f t="shared" si="33"/>
        <v>0</v>
      </c>
      <c r="G728" s="368"/>
      <c r="H728" s="368"/>
      <c r="I728" s="368">
        <f t="shared" si="28"/>
        <v>0</v>
      </c>
      <c r="J728" s="368">
        <f t="shared" si="29"/>
        <v>0</v>
      </c>
      <c r="K728" s="360" t="s">
        <v>2217</v>
      </c>
    </row>
    <row r="729" spans="1:11" s="360" customFormat="1" ht="20.25" hidden="1" customHeight="1">
      <c r="A729" s="356" t="s">
        <v>1586</v>
      </c>
      <c r="B729" s="357" t="s">
        <v>2785</v>
      </c>
      <c r="C729" s="358">
        <f>'PART-A'!I3309</f>
        <v>0</v>
      </c>
      <c r="D729" s="354" t="s">
        <v>277</v>
      </c>
      <c r="E729" s="355">
        <f>'PART-A'!K3309</f>
        <v>80</v>
      </c>
      <c r="F729" s="353">
        <f t="shared" ref="F729" si="34">ROUND(C729*E729,0)</f>
        <v>0</v>
      </c>
      <c r="G729" s="368"/>
      <c r="H729" s="368"/>
      <c r="I729" s="368">
        <f>C729-G729</f>
        <v>0</v>
      </c>
      <c r="J729" s="368">
        <f>F729-H729</f>
        <v>0</v>
      </c>
      <c r="K729" s="360" t="s">
        <v>2299</v>
      </c>
    </row>
    <row r="730" spans="1:11" s="360" customFormat="1" ht="20.25" hidden="1" customHeight="1">
      <c r="A730" s="356" t="s">
        <v>1586</v>
      </c>
      <c r="B730" s="357" t="s">
        <v>2116</v>
      </c>
      <c r="C730" s="358">
        <f>'PART-A'!I3451</f>
        <v>0</v>
      </c>
      <c r="D730" s="354" t="s">
        <v>277</v>
      </c>
      <c r="E730" s="355">
        <f>'PART-A'!K3451</f>
        <v>92</v>
      </c>
      <c r="F730" s="353">
        <f>ROUND(C730*E730,0)</f>
        <v>0</v>
      </c>
      <c r="G730" s="368"/>
      <c r="H730" s="368"/>
      <c r="I730" s="368">
        <f>C730-G730</f>
        <v>0</v>
      </c>
      <c r="J730" s="368">
        <f>F730-H730</f>
        <v>0</v>
      </c>
      <c r="K730" s="360" t="s">
        <v>2312</v>
      </c>
    </row>
    <row r="731" spans="1:11" s="360" customFormat="1" ht="20.25" hidden="1" customHeight="1">
      <c r="A731" s="356" t="s">
        <v>1586</v>
      </c>
      <c r="B731" s="357" t="s">
        <v>2116</v>
      </c>
      <c r="C731" s="358">
        <f>'PART-A'!I3589</f>
        <v>0</v>
      </c>
      <c r="D731" s="354" t="s">
        <v>277</v>
      </c>
      <c r="E731" s="355">
        <f>'PART-A'!K3589</f>
        <v>105</v>
      </c>
      <c r="F731" s="353">
        <f>ROUND(C731*E731,0)</f>
        <v>0</v>
      </c>
      <c r="G731" s="368"/>
      <c r="H731" s="368"/>
      <c r="I731" s="368">
        <f>C731-G731</f>
        <v>0</v>
      </c>
      <c r="J731" s="368">
        <f>F731-H731</f>
        <v>0</v>
      </c>
      <c r="K731" s="360" t="s">
        <v>2313</v>
      </c>
    </row>
    <row r="732" spans="1:11" s="360" customFormat="1" ht="20.25" hidden="1" customHeight="1">
      <c r="A732" s="356" t="s">
        <v>1143</v>
      </c>
      <c r="B732" s="357" t="s">
        <v>2117</v>
      </c>
      <c r="C732" s="358">
        <f>'PART-A'!I3176</f>
        <v>0</v>
      </c>
      <c r="D732" s="354" t="s">
        <v>115</v>
      </c>
      <c r="E732" s="355">
        <f>'PART-A'!K3176</f>
        <v>4500</v>
      </c>
      <c r="F732" s="353">
        <f t="shared" si="33"/>
        <v>0</v>
      </c>
      <c r="G732" s="368"/>
      <c r="H732" s="368"/>
      <c r="I732" s="368">
        <f t="shared" si="28"/>
        <v>0</v>
      </c>
      <c r="J732" s="368">
        <f t="shared" si="29"/>
        <v>0</v>
      </c>
      <c r="K732" s="360" t="s">
        <v>2217</v>
      </c>
    </row>
    <row r="733" spans="1:11" s="360" customFormat="1" ht="20.25" hidden="1" customHeight="1">
      <c r="A733" s="356" t="s">
        <v>1587</v>
      </c>
      <c r="B733" s="357" t="s">
        <v>2786</v>
      </c>
      <c r="C733" s="358">
        <f>'PART-A'!I3314</f>
        <v>0</v>
      </c>
      <c r="D733" s="354" t="s">
        <v>115</v>
      </c>
      <c r="E733" s="355">
        <f>'PART-A'!K3314</f>
        <v>4500</v>
      </c>
      <c r="F733" s="353">
        <f>ROUND(C733*E733,0)</f>
        <v>0</v>
      </c>
      <c r="G733" s="368"/>
      <c r="H733" s="368"/>
      <c r="I733" s="368">
        <f>C733-G733</f>
        <v>0</v>
      </c>
      <c r="J733" s="368">
        <f>F733-H733</f>
        <v>0</v>
      </c>
      <c r="K733" s="360" t="s">
        <v>2299</v>
      </c>
    </row>
    <row r="734" spans="1:11" s="360" customFormat="1" ht="20.25" hidden="1" customHeight="1">
      <c r="A734" s="356" t="s">
        <v>1587</v>
      </c>
      <c r="B734" s="357" t="s">
        <v>2117</v>
      </c>
      <c r="C734" s="358">
        <f>'PART-A'!I3456</f>
        <v>0</v>
      </c>
      <c r="D734" s="354" t="s">
        <v>115</v>
      </c>
      <c r="E734" s="355">
        <f>'PART-A'!K3456</f>
        <v>4950</v>
      </c>
      <c r="F734" s="353">
        <f>ROUND(C734*E734,0)</f>
        <v>0</v>
      </c>
      <c r="G734" s="368"/>
      <c r="H734" s="368"/>
      <c r="I734" s="368">
        <f>C734-G734</f>
        <v>0</v>
      </c>
      <c r="J734" s="368">
        <f>F734-H734</f>
        <v>0</v>
      </c>
      <c r="K734" s="360" t="s">
        <v>2312</v>
      </c>
    </row>
    <row r="735" spans="1:11" s="360" customFormat="1" ht="20.25" hidden="1" customHeight="1">
      <c r="A735" s="356" t="s">
        <v>1587</v>
      </c>
      <c r="B735" s="357" t="s">
        <v>2117</v>
      </c>
      <c r="C735" s="358">
        <f>'PART-A'!I3594</f>
        <v>0</v>
      </c>
      <c r="D735" s="354" t="s">
        <v>115</v>
      </c>
      <c r="E735" s="355">
        <f>'PART-A'!K3594</f>
        <v>5445</v>
      </c>
      <c r="F735" s="353">
        <f>ROUND(C735*E735,0)</f>
        <v>0</v>
      </c>
      <c r="G735" s="368"/>
      <c r="H735" s="368"/>
      <c r="I735" s="368">
        <f>C735-G735</f>
        <v>0</v>
      </c>
      <c r="J735" s="368">
        <f>F735-H735</f>
        <v>0</v>
      </c>
      <c r="K735" s="360" t="s">
        <v>2313</v>
      </c>
    </row>
    <row r="736" spans="1:11" s="360" customFormat="1" ht="20.25" hidden="1" customHeight="1">
      <c r="A736" s="356"/>
      <c r="B736" s="431" t="s">
        <v>426</v>
      </c>
      <c r="C736" s="358"/>
      <c r="D736" s="354"/>
      <c r="E736" s="355"/>
      <c r="F736" s="353"/>
      <c r="G736" s="368"/>
      <c r="H736" s="368"/>
      <c r="I736" s="368">
        <f t="shared" si="28"/>
        <v>0</v>
      </c>
      <c r="J736" s="368">
        <f t="shared" si="29"/>
        <v>0</v>
      </c>
      <c r="K736" s="360" t="s">
        <v>2217</v>
      </c>
    </row>
    <row r="737" spans="1:11" s="360" customFormat="1" ht="20.25" customHeight="1">
      <c r="A737" s="356" t="s">
        <v>489</v>
      </c>
      <c r="B737" s="357" t="s">
        <v>2118</v>
      </c>
      <c r="C737" s="358">
        <f>'PART-A'!I3602</f>
        <v>70</v>
      </c>
      <c r="D737" s="354" t="s">
        <v>277</v>
      </c>
      <c r="E737" s="355">
        <f>'PART-A'!K3602</f>
        <v>71.040000000000006</v>
      </c>
      <c r="F737" s="353">
        <f t="shared" ref="F737:F897" si="35">ROUND(C737*E737,0)</f>
        <v>4973</v>
      </c>
      <c r="G737" s="353"/>
      <c r="H737" s="353"/>
      <c r="I737" s="368">
        <f t="shared" si="28"/>
        <v>70</v>
      </c>
      <c r="J737" s="368">
        <f t="shared" si="29"/>
        <v>4973</v>
      </c>
      <c r="K737" s="360" t="s">
        <v>2217</v>
      </c>
    </row>
    <row r="738" spans="1:11" s="360" customFormat="1" ht="20.25" hidden="1" customHeight="1">
      <c r="A738" s="356" t="s">
        <v>497</v>
      </c>
      <c r="B738" s="357" t="s">
        <v>2118</v>
      </c>
      <c r="C738" s="358">
        <f>'PART-A'!I3825</f>
        <v>0</v>
      </c>
      <c r="D738" s="354" t="s">
        <v>277</v>
      </c>
      <c r="E738" s="355">
        <f>'PART-A'!K3825</f>
        <v>64.86</v>
      </c>
      <c r="F738" s="353">
        <f>ROUND(C738*E738,0)</f>
        <v>0</v>
      </c>
      <c r="G738" s="353"/>
      <c r="H738" s="353"/>
      <c r="I738" s="368">
        <f>C738-G738</f>
        <v>0</v>
      </c>
      <c r="J738" s="368">
        <f>F738-H738</f>
        <v>0</v>
      </c>
      <c r="K738" s="360" t="s">
        <v>2299</v>
      </c>
    </row>
    <row r="739" spans="1:11" s="360" customFormat="1" ht="20.25" hidden="1" customHeight="1">
      <c r="A739" s="356" t="s">
        <v>1143</v>
      </c>
      <c r="B739" s="357" t="s">
        <v>2118</v>
      </c>
      <c r="C739" s="358">
        <f>'PART-A'!I4044</f>
        <v>0</v>
      </c>
      <c r="D739" s="354" t="s">
        <v>277</v>
      </c>
      <c r="E739" s="355">
        <f>'PART-A'!K4044</f>
        <v>69.88</v>
      </c>
      <c r="F739" s="353">
        <f>ROUND(C739*E739,0)</f>
        <v>0</v>
      </c>
      <c r="G739" s="353"/>
      <c r="H739" s="353"/>
      <c r="I739" s="368">
        <f>C739-G739</f>
        <v>0</v>
      </c>
      <c r="J739" s="368">
        <f>F739-H739</f>
        <v>0</v>
      </c>
      <c r="K739" s="360" t="s">
        <v>2312</v>
      </c>
    </row>
    <row r="740" spans="1:11" s="360" customFormat="1" ht="20.25" hidden="1" customHeight="1">
      <c r="A740" s="356" t="s">
        <v>1143</v>
      </c>
      <c r="B740" s="357" t="s">
        <v>2118</v>
      </c>
      <c r="C740" s="358">
        <f>'PART-A'!I4265</f>
        <v>0</v>
      </c>
      <c r="D740" s="354" t="s">
        <v>277</v>
      </c>
      <c r="E740" s="355">
        <f>'PART-A'!K4265</f>
        <v>80.180000000000007</v>
      </c>
      <c r="F740" s="353">
        <f>ROUND(C740*E740,0)</f>
        <v>0</v>
      </c>
      <c r="G740" s="353"/>
      <c r="H740" s="353"/>
      <c r="I740" s="368">
        <f>C740-G740</f>
        <v>0</v>
      </c>
      <c r="J740" s="368">
        <f>F740-H740</f>
        <v>0</v>
      </c>
      <c r="K740" s="360" t="s">
        <v>2313</v>
      </c>
    </row>
    <row r="741" spans="1:11" s="360" customFormat="1" ht="20.25" hidden="1" customHeight="1">
      <c r="A741" s="356" t="s">
        <v>647</v>
      </c>
      <c r="B741" s="357" t="s">
        <v>2119</v>
      </c>
      <c r="C741" s="358">
        <f>'PART-A'!I3607</f>
        <v>0</v>
      </c>
      <c r="D741" s="354" t="s">
        <v>277</v>
      </c>
      <c r="E741" s="355">
        <f>'PART-A'!K3607</f>
        <v>79.19</v>
      </c>
      <c r="F741" s="353">
        <f t="shared" si="35"/>
        <v>0</v>
      </c>
      <c r="G741" s="368"/>
      <c r="H741" s="368"/>
      <c r="I741" s="368">
        <f t="shared" si="28"/>
        <v>0</v>
      </c>
      <c r="J741" s="368">
        <f t="shared" si="29"/>
        <v>0</v>
      </c>
      <c r="K741" s="360" t="s">
        <v>2217</v>
      </c>
    </row>
    <row r="742" spans="1:11" s="360" customFormat="1" ht="20.25" hidden="1" customHeight="1">
      <c r="A742" s="356" t="s">
        <v>647</v>
      </c>
      <c r="B742" s="357" t="s">
        <v>2119</v>
      </c>
      <c r="C742" s="358">
        <f>'PART-A'!I3831</f>
        <v>0</v>
      </c>
      <c r="D742" s="354" t="s">
        <v>277</v>
      </c>
      <c r="E742" s="355">
        <f>'PART-A'!K3831</f>
        <v>73.41</v>
      </c>
      <c r="F742" s="353">
        <f>ROUND(C742*E742,0)</f>
        <v>0</v>
      </c>
      <c r="G742" s="368"/>
      <c r="H742" s="368"/>
      <c r="I742" s="368">
        <f>C742-G742</f>
        <v>0</v>
      </c>
      <c r="J742" s="368">
        <f>F742-H742</f>
        <v>0</v>
      </c>
      <c r="K742" s="360" t="s">
        <v>2299</v>
      </c>
    </row>
    <row r="743" spans="1:11" s="360" customFormat="1" ht="20.25" hidden="1" customHeight="1">
      <c r="A743" s="356" t="s">
        <v>498</v>
      </c>
      <c r="B743" s="357" t="s">
        <v>2119</v>
      </c>
      <c r="C743" s="358">
        <f>'PART-A'!I4049</f>
        <v>0</v>
      </c>
      <c r="D743" s="354" t="s">
        <v>277</v>
      </c>
      <c r="E743" s="355">
        <f>'PART-A'!K4049</f>
        <v>79.430000000000007</v>
      </c>
      <c r="F743" s="353">
        <f>ROUND(C743*E743,0)</f>
        <v>0</v>
      </c>
      <c r="G743" s="368"/>
      <c r="H743" s="368"/>
      <c r="I743" s="368">
        <f>C743-G743</f>
        <v>0</v>
      </c>
      <c r="J743" s="368">
        <f>F743-H743</f>
        <v>0</v>
      </c>
      <c r="K743" s="360" t="s">
        <v>2312</v>
      </c>
    </row>
    <row r="744" spans="1:11" s="360" customFormat="1" ht="20.25" hidden="1" customHeight="1">
      <c r="A744" s="356" t="s">
        <v>487</v>
      </c>
      <c r="B744" s="357" t="s">
        <v>2119</v>
      </c>
      <c r="C744" s="358">
        <f>'PART-A'!I4270</f>
        <v>0</v>
      </c>
      <c r="D744" s="354" t="s">
        <v>277</v>
      </c>
      <c r="E744" s="355">
        <f>'PART-A'!K4270</f>
        <v>89.61</v>
      </c>
      <c r="F744" s="353">
        <f>ROUND(C744*E744,0)</f>
        <v>0</v>
      </c>
      <c r="G744" s="368"/>
      <c r="H744" s="368"/>
      <c r="I744" s="368">
        <f>C744-G744</f>
        <v>0</v>
      </c>
      <c r="J744" s="368">
        <f>F744-H744</f>
        <v>0</v>
      </c>
      <c r="K744" s="360" t="s">
        <v>2313</v>
      </c>
    </row>
    <row r="745" spans="1:11" s="360" customFormat="1" ht="20.25" hidden="1" customHeight="1">
      <c r="A745" s="356" t="s">
        <v>1158</v>
      </c>
      <c r="B745" s="357" t="s">
        <v>572</v>
      </c>
      <c r="C745" s="358">
        <f>'PART-A'!I3615</f>
        <v>0</v>
      </c>
      <c r="D745" s="354" t="s">
        <v>277</v>
      </c>
      <c r="E745" s="355">
        <f>'PART-A'!K3615</f>
        <v>55</v>
      </c>
      <c r="F745" s="353">
        <f t="shared" si="35"/>
        <v>0</v>
      </c>
      <c r="G745" s="368"/>
      <c r="H745" s="368"/>
      <c r="I745" s="368">
        <f t="shared" si="28"/>
        <v>0</v>
      </c>
      <c r="J745" s="368">
        <f t="shared" si="29"/>
        <v>0</v>
      </c>
      <c r="K745" s="360" t="s">
        <v>2217</v>
      </c>
    </row>
    <row r="746" spans="1:11" s="360" customFormat="1" ht="20.25" hidden="1" customHeight="1">
      <c r="A746" s="356" t="s">
        <v>1158</v>
      </c>
      <c r="B746" s="357" t="s">
        <v>572</v>
      </c>
      <c r="C746" s="358">
        <f>'PART-A'!I3839</f>
        <v>0</v>
      </c>
      <c r="D746" s="354" t="s">
        <v>277</v>
      </c>
      <c r="E746" s="355">
        <f>'PART-A'!K3839</f>
        <v>55</v>
      </c>
      <c r="F746" s="353">
        <f>ROUND(C746*E746,0)</f>
        <v>0</v>
      </c>
      <c r="G746" s="368"/>
      <c r="H746" s="368"/>
      <c r="I746" s="368">
        <f>C746-G746</f>
        <v>0</v>
      </c>
      <c r="J746" s="368">
        <f>F746-H746</f>
        <v>0</v>
      </c>
      <c r="K746" s="360" t="s">
        <v>2299</v>
      </c>
    </row>
    <row r="747" spans="1:11" s="360" customFormat="1" ht="20.25" hidden="1" customHeight="1">
      <c r="A747" s="356" t="s">
        <v>1158</v>
      </c>
      <c r="B747" s="357" t="s">
        <v>572</v>
      </c>
      <c r="C747" s="358">
        <f>'PART-A'!I4057</f>
        <v>0</v>
      </c>
      <c r="D747" s="354" t="s">
        <v>277</v>
      </c>
      <c r="E747" s="355">
        <f>'PART-A'!K4057</f>
        <v>58</v>
      </c>
      <c r="F747" s="353">
        <f>ROUND(C747*E747,0)</f>
        <v>0</v>
      </c>
      <c r="G747" s="368"/>
      <c r="H747" s="368"/>
      <c r="I747" s="368">
        <f>C747-G747</f>
        <v>0</v>
      </c>
      <c r="J747" s="368">
        <f>F747-H747</f>
        <v>0</v>
      </c>
      <c r="K747" s="360" t="s">
        <v>2312</v>
      </c>
    </row>
    <row r="748" spans="1:11" s="360" customFormat="1" ht="20.25" hidden="1" customHeight="1">
      <c r="A748" s="356" t="s">
        <v>1158</v>
      </c>
      <c r="B748" s="357" t="s">
        <v>572</v>
      </c>
      <c r="C748" s="358">
        <f>'PART-A'!I4278</f>
        <v>0</v>
      </c>
      <c r="D748" s="354" t="s">
        <v>277</v>
      </c>
      <c r="E748" s="355">
        <f>'PART-A'!K4278</f>
        <v>64</v>
      </c>
      <c r="F748" s="353">
        <f>ROUND(C748*E748,0)</f>
        <v>0</v>
      </c>
      <c r="G748" s="368"/>
      <c r="H748" s="368"/>
      <c r="I748" s="368">
        <f>C748-G748</f>
        <v>0</v>
      </c>
      <c r="J748" s="368">
        <f>F748-H748</f>
        <v>0</v>
      </c>
      <c r="K748" s="360" t="s">
        <v>2313</v>
      </c>
    </row>
    <row r="749" spans="1:11" s="360" customFormat="1" ht="20.25" hidden="1" customHeight="1">
      <c r="A749" s="356" t="s">
        <v>1583</v>
      </c>
      <c r="B749" s="357" t="s">
        <v>1446</v>
      </c>
      <c r="C749" s="358">
        <f>'PART-A'!I3620</f>
        <v>0</v>
      </c>
      <c r="D749" s="354" t="s">
        <v>115</v>
      </c>
      <c r="E749" s="355">
        <f>'PART-A'!K3620</f>
        <v>205</v>
      </c>
      <c r="F749" s="353">
        <f t="shared" si="35"/>
        <v>0</v>
      </c>
      <c r="G749" s="368"/>
      <c r="H749" s="368"/>
      <c r="I749" s="368">
        <f t="shared" si="28"/>
        <v>0</v>
      </c>
      <c r="J749" s="368">
        <f t="shared" si="29"/>
        <v>0</v>
      </c>
      <c r="K749" s="360" t="s">
        <v>2217</v>
      </c>
    </row>
    <row r="750" spans="1:11" s="360" customFormat="1" ht="20.25" hidden="1" customHeight="1">
      <c r="A750" s="356" t="s">
        <v>1589</v>
      </c>
      <c r="B750" s="357" t="s">
        <v>1446</v>
      </c>
      <c r="C750" s="358">
        <f>'PART-A'!I3844</f>
        <v>0</v>
      </c>
      <c r="D750" s="354" t="s">
        <v>115</v>
      </c>
      <c r="E750" s="355">
        <f>'PART-A'!K3844</f>
        <v>205</v>
      </c>
      <c r="F750" s="353">
        <f>ROUND(C750*E750,0)</f>
        <v>0</v>
      </c>
      <c r="G750" s="368"/>
      <c r="H750" s="368"/>
      <c r="I750" s="368">
        <f>C750-G750</f>
        <v>0</v>
      </c>
      <c r="J750" s="368">
        <f>F750-H750</f>
        <v>0</v>
      </c>
      <c r="K750" s="360" t="s">
        <v>2299</v>
      </c>
    </row>
    <row r="751" spans="1:11" s="360" customFormat="1" ht="20.25" hidden="1" customHeight="1">
      <c r="A751" s="356" t="s">
        <v>499</v>
      </c>
      <c r="B751" s="357" t="s">
        <v>1446</v>
      </c>
      <c r="C751" s="358">
        <f>'PART-A'!I4062</f>
        <v>0</v>
      </c>
      <c r="D751" s="354" t="s">
        <v>115</v>
      </c>
      <c r="E751" s="355">
        <f>'PART-A'!K4062</f>
        <v>226</v>
      </c>
      <c r="F751" s="353">
        <f>ROUND(C751*E751,0)</f>
        <v>0</v>
      </c>
      <c r="G751" s="368"/>
      <c r="H751" s="368"/>
      <c r="I751" s="368">
        <f>C751-G751</f>
        <v>0</v>
      </c>
      <c r="J751" s="368">
        <f>F751-H751</f>
        <v>0</v>
      </c>
      <c r="K751" s="360" t="s">
        <v>2312</v>
      </c>
    </row>
    <row r="752" spans="1:11" s="360" customFormat="1" ht="20.25" hidden="1" customHeight="1">
      <c r="A752" s="356" t="s">
        <v>493</v>
      </c>
      <c r="B752" s="357" t="s">
        <v>1446</v>
      </c>
      <c r="C752" s="358">
        <f>'PART-A'!I4283</f>
        <v>0</v>
      </c>
      <c r="D752" s="354" t="s">
        <v>115</v>
      </c>
      <c r="E752" s="355">
        <f>'PART-A'!K4283</f>
        <v>245</v>
      </c>
      <c r="F752" s="353">
        <f>ROUND(C752*E752,0)</f>
        <v>0</v>
      </c>
      <c r="G752" s="368"/>
      <c r="H752" s="368"/>
      <c r="I752" s="368">
        <f>C752-G752</f>
        <v>0</v>
      </c>
      <c r="J752" s="368">
        <f>F752-H752</f>
        <v>0</v>
      </c>
      <c r="K752" s="360" t="s">
        <v>2313</v>
      </c>
    </row>
    <row r="753" spans="1:11" s="360" customFormat="1" ht="20.25" hidden="1" customHeight="1">
      <c r="A753" s="356" t="s">
        <v>645</v>
      </c>
      <c r="B753" s="357" t="s">
        <v>1447</v>
      </c>
      <c r="C753" s="358">
        <f>'PART-A'!I3625</f>
        <v>0</v>
      </c>
      <c r="D753" s="354" t="s">
        <v>115</v>
      </c>
      <c r="E753" s="355">
        <f>'PART-A'!K3625</f>
        <v>170</v>
      </c>
      <c r="F753" s="353">
        <f t="shared" si="35"/>
        <v>0</v>
      </c>
      <c r="G753" s="368"/>
      <c r="H753" s="368"/>
      <c r="I753" s="368">
        <f t="shared" si="28"/>
        <v>0</v>
      </c>
      <c r="J753" s="368">
        <f t="shared" si="29"/>
        <v>0</v>
      </c>
      <c r="K753" s="360" t="s">
        <v>2217</v>
      </c>
    </row>
    <row r="754" spans="1:11" s="360" customFormat="1" ht="20.25" hidden="1" customHeight="1">
      <c r="A754" s="356" t="s">
        <v>1575</v>
      </c>
      <c r="B754" s="357" t="s">
        <v>1447</v>
      </c>
      <c r="C754" s="358">
        <f>'PART-A'!I3849</f>
        <v>0</v>
      </c>
      <c r="D754" s="354" t="s">
        <v>115</v>
      </c>
      <c r="E754" s="355">
        <f>'PART-A'!K3849</f>
        <v>170</v>
      </c>
      <c r="F754" s="353">
        <f>ROUND(C754*E754,0)</f>
        <v>0</v>
      </c>
      <c r="G754" s="368"/>
      <c r="H754" s="368"/>
      <c r="I754" s="368">
        <f>C754-G754</f>
        <v>0</v>
      </c>
      <c r="J754" s="368">
        <f>F754-H754</f>
        <v>0</v>
      </c>
      <c r="K754" s="360" t="s">
        <v>2299</v>
      </c>
    </row>
    <row r="755" spans="1:11" s="360" customFormat="1" ht="20.25" hidden="1" customHeight="1">
      <c r="A755" s="356" t="s">
        <v>645</v>
      </c>
      <c r="B755" s="357" t="s">
        <v>1447</v>
      </c>
      <c r="C755" s="358">
        <f>'PART-A'!I4067</f>
        <v>0</v>
      </c>
      <c r="D755" s="354" t="s">
        <v>115</v>
      </c>
      <c r="E755" s="355">
        <f>'PART-A'!K4067</f>
        <v>187</v>
      </c>
      <c r="F755" s="353">
        <f>ROUND(C755*E755,0)</f>
        <v>0</v>
      </c>
      <c r="G755" s="368"/>
      <c r="H755" s="368"/>
      <c r="I755" s="368">
        <f>C755-G755</f>
        <v>0</v>
      </c>
      <c r="J755" s="368">
        <f>F755-H755</f>
        <v>0</v>
      </c>
      <c r="K755" s="360" t="s">
        <v>2312</v>
      </c>
    </row>
    <row r="756" spans="1:11" s="360" customFormat="1" ht="20.25" hidden="1" customHeight="1">
      <c r="A756" s="356" t="s">
        <v>494</v>
      </c>
      <c r="B756" s="357" t="s">
        <v>1447</v>
      </c>
      <c r="C756" s="358">
        <f>'PART-A'!I4288</f>
        <v>0</v>
      </c>
      <c r="D756" s="354" t="s">
        <v>115</v>
      </c>
      <c r="E756" s="355">
        <f>'PART-A'!K4288</f>
        <v>203</v>
      </c>
      <c r="F756" s="353">
        <f>ROUND(C756*E756,0)</f>
        <v>0</v>
      </c>
      <c r="G756" s="368"/>
      <c r="H756" s="368"/>
      <c r="I756" s="368">
        <f>C756-G756</f>
        <v>0</v>
      </c>
      <c r="J756" s="368">
        <f>F756-H756</f>
        <v>0</v>
      </c>
      <c r="K756" s="360" t="s">
        <v>2313</v>
      </c>
    </row>
    <row r="757" spans="1:11" s="360" customFormat="1" ht="20.25" hidden="1" customHeight="1">
      <c r="A757" s="356" t="s">
        <v>1584</v>
      </c>
      <c r="B757" s="357" t="s">
        <v>1448</v>
      </c>
      <c r="C757" s="358">
        <f>'PART-A'!I3630</f>
        <v>0</v>
      </c>
      <c r="D757" s="354" t="s">
        <v>115</v>
      </c>
      <c r="E757" s="355">
        <f>'PART-A'!K3630</f>
        <v>130</v>
      </c>
      <c r="F757" s="353">
        <f t="shared" si="35"/>
        <v>0</v>
      </c>
      <c r="G757" s="368"/>
      <c r="H757" s="368"/>
      <c r="I757" s="368">
        <f t="shared" si="28"/>
        <v>0</v>
      </c>
      <c r="J757" s="368">
        <f t="shared" si="29"/>
        <v>0</v>
      </c>
      <c r="K757" s="360" t="s">
        <v>2217</v>
      </c>
    </row>
    <row r="758" spans="1:11" s="360" customFormat="1" ht="20.25" hidden="1" customHeight="1">
      <c r="A758" s="356" t="s">
        <v>1590</v>
      </c>
      <c r="B758" s="357" t="s">
        <v>1448</v>
      </c>
      <c r="C758" s="358">
        <f>'PART-A'!I3854</f>
        <v>0</v>
      </c>
      <c r="D758" s="354" t="s">
        <v>115</v>
      </c>
      <c r="E758" s="355">
        <f>'PART-A'!K3854</f>
        <v>130</v>
      </c>
      <c r="F758" s="353">
        <f>ROUND(C758*E758,0)</f>
        <v>0</v>
      </c>
      <c r="G758" s="368"/>
      <c r="H758" s="368"/>
      <c r="I758" s="368">
        <f>C758-G758</f>
        <v>0</v>
      </c>
      <c r="J758" s="368">
        <f>F758-H758</f>
        <v>0</v>
      </c>
      <c r="K758" s="360" t="s">
        <v>2299</v>
      </c>
    </row>
    <row r="759" spans="1:11" s="360" customFormat="1" ht="20.25" hidden="1" customHeight="1">
      <c r="A759" s="356" t="s">
        <v>1584</v>
      </c>
      <c r="B759" s="357" t="s">
        <v>1448</v>
      </c>
      <c r="C759" s="358">
        <f>'PART-A'!I4072</f>
        <v>0</v>
      </c>
      <c r="D759" s="354" t="s">
        <v>115</v>
      </c>
      <c r="E759" s="355">
        <f>'PART-A'!K4072</f>
        <v>143</v>
      </c>
      <c r="F759" s="353">
        <f>ROUND(C759*E759,0)</f>
        <v>0</v>
      </c>
      <c r="G759" s="368"/>
      <c r="H759" s="368"/>
      <c r="I759" s="368">
        <f>C759-G759</f>
        <v>0</v>
      </c>
      <c r="J759" s="368">
        <f>F759-H759</f>
        <v>0</v>
      </c>
      <c r="K759" s="360" t="s">
        <v>2312</v>
      </c>
    </row>
    <row r="760" spans="1:11" s="360" customFormat="1" ht="20.25" hidden="1" customHeight="1">
      <c r="A760" s="356" t="s">
        <v>1584</v>
      </c>
      <c r="B760" s="357" t="s">
        <v>1448</v>
      </c>
      <c r="C760" s="358">
        <f>'PART-A'!I4293</f>
        <v>0</v>
      </c>
      <c r="D760" s="354" t="s">
        <v>115</v>
      </c>
      <c r="E760" s="355">
        <f>'PART-A'!K4293</f>
        <v>155</v>
      </c>
      <c r="F760" s="353">
        <f>ROUND(C760*E760,0)</f>
        <v>0</v>
      </c>
      <c r="G760" s="368"/>
      <c r="H760" s="368"/>
      <c r="I760" s="368">
        <f>C760-G760</f>
        <v>0</v>
      </c>
      <c r="J760" s="368">
        <f>F760-H760</f>
        <v>0</v>
      </c>
      <c r="K760" s="360" t="s">
        <v>2313</v>
      </c>
    </row>
    <row r="761" spans="1:11" s="360" customFormat="1" ht="20.25" hidden="1" customHeight="1">
      <c r="A761" s="356" t="s">
        <v>1585</v>
      </c>
      <c r="B761" s="357" t="s">
        <v>1450</v>
      </c>
      <c r="C761" s="358">
        <f>'PART-A'!I3648</f>
        <v>0</v>
      </c>
      <c r="D761" s="354" t="s">
        <v>115</v>
      </c>
      <c r="E761" s="355">
        <f>'PART-A'!K3648</f>
        <v>95</v>
      </c>
      <c r="F761" s="353">
        <f t="shared" si="35"/>
        <v>0</v>
      </c>
      <c r="G761" s="368"/>
      <c r="H761" s="368"/>
      <c r="I761" s="368">
        <f t="shared" si="28"/>
        <v>0</v>
      </c>
      <c r="J761" s="368">
        <f t="shared" si="29"/>
        <v>0</v>
      </c>
      <c r="K761" s="360" t="s">
        <v>2217</v>
      </c>
    </row>
    <row r="762" spans="1:11" s="360" customFormat="1" ht="20.25" hidden="1" customHeight="1">
      <c r="A762" s="356" t="s">
        <v>1586</v>
      </c>
      <c r="B762" s="357" t="s">
        <v>1450</v>
      </c>
      <c r="C762" s="358">
        <f>'PART-A'!I3872</f>
        <v>0</v>
      </c>
      <c r="D762" s="354" t="s">
        <v>115</v>
      </c>
      <c r="E762" s="355">
        <f>'PART-A'!K3872</f>
        <v>95</v>
      </c>
      <c r="F762" s="353">
        <f>ROUND(C762*E762,0)</f>
        <v>0</v>
      </c>
      <c r="G762" s="368"/>
      <c r="H762" s="368"/>
      <c r="I762" s="368">
        <f>C762-G762</f>
        <v>0</v>
      </c>
      <c r="J762" s="368">
        <f>F762-H762</f>
        <v>0</v>
      </c>
      <c r="K762" s="360" t="s">
        <v>2299</v>
      </c>
    </row>
    <row r="763" spans="1:11" s="360" customFormat="1" ht="20.25" hidden="1" customHeight="1">
      <c r="A763" s="356" t="s">
        <v>500</v>
      </c>
      <c r="B763" s="357" t="s">
        <v>1450</v>
      </c>
      <c r="C763" s="358">
        <f>'PART-A'!I4090</f>
        <v>0</v>
      </c>
      <c r="D763" s="354" t="s">
        <v>115</v>
      </c>
      <c r="E763" s="355">
        <f>'PART-A'!K4090</f>
        <v>105</v>
      </c>
      <c r="F763" s="353">
        <f>ROUND(C763*E763,0)</f>
        <v>0</v>
      </c>
      <c r="G763" s="368"/>
      <c r="H763" s="368"/>
      <c r="I763" s="368">
        <f>C763-G763</f>
        <v>0</v>
      </c>
      <c r="J763" s="368">
        <f>F763-H763</f>
        <v>0</v>
      </c>
      <c r="K763" s="360" t="s">
        <v>2312</v>
      </c>
    </row>
    <row r="764" spans="1:11" s="360" customFormat="1" ht="20.25" hidden="1" customHeight="1">
      <c r="A764" s="356" t="s">
        <v>1585</v>
      </c>
      <c r="B764" s="357" t="s">
        <v>1450</v>
      </c>
      <c r="C764" s="358">
        <f>'PART-A'!I4311</f>
        <v>0</v>
      </c>
      <c r="D764" s="354" t="s">
        <v>115</v>
      </c>
      <c r="E764" s="355">
        <f>'PART-A'!K4311</f>
        <v>114</v>
      </c>
      <c r="F764" s="353">
        <f>ROUND(C764*E764,0)</f>
        <v>0</v>
      </c>
      <c r="G764" s="368"/>
      <c r="H764" s="368"/>
      <c r="I764" s="368">
        <f>C764-G764</f>
        <v>0</v>
      </c>
      <c r="J764" s="368">
        <f>F764-H764</f>
        <v>0</v>
      </c>
      <c r="K764" s="360" t="s">
        <v>2313</v>
      </c>
    </row>
    <row r="765" spans="1:11" s="360" customFormat="1" ht="20.25" hidden="1" customHeight="1">
      <c r="A765" s="356" t="s">
        <v>516</v>
      </c>
      <c r="B765" s="357" t="s">
        <v>1449</v>
      </c>
      <c r="C765" s="358">
        <f>'PART-A'!I3643</f>
        <v>0</v>
      </c>
      <c r="D765" s="354" t="s">
        <v>115</v>
      </c>
      <c r="E765" s="355">
        <f>'PART-A'!K3643</f>
        <v>335</v>
      </c>
      <c r="F765" s="353">
        <f t="shared" si="35"/>
        <v>0</v>
      </c>
      <c r="G765" s="368"/>
      <c r="H765" s="368"/>
      <c r="I765" s="368">
        <f t="shared" si="28"/>
        <v>0</v>
      </c>
      <c r="J765" s="368">
        <f t="shared" si="29"/>
        <v>0</v>
      </c>
      <c r="K765" s="360" t="s">
        <v>2217</v>
      </c>
    </row>
    <row r="766" spans="1:11" s="360" customFormat="1" ht="20.25" hidden="1" customHeight="1">
      <c r="A766" s="356" t="s">
        <v>516</v>
      </c>
      <c r="B766" s="357" t="s">
        <v>1449</v>
      </c>
      <c r="C766" s="358">
        <f>'PART-A'!I3867</f>
        <v>0</v>
      </c>
      <c r="D766" s="354" t="s">
        <v>115</v>
      </c>
      <c r="E766" s="355">
        <f>'PART-A'!K3867</f>
        <v>335</v>
      </c>
      <c r="F766" s="353">
        <f>ROUND(C766*E766,0)</f>
        <v>0</v>
      </c>
      <c r="G766" s="368"/>
      <c r="H766" s="368"/>
      <c r="I766" s="368">
        <f>C766-G766</f>
        <v>0</v>
      </c>
      <c r="J766" s="368">
        <f>F766-H766</f>
        <v>0</v>
      </c>
      <c r="K766" s="360" t="s">
        <v>2299</v>
      </c>
    </row>
    <row r="767" spans="1:11" s="360" customFormat="1" ht="20.25" hidden="1" customHeight="1">
      <c r="A767" s="356" t="s">
        <v>516</v>
      </c>
      <c r="B767" s="357" t="s">
        <v>1449</v>
      </c>
      <c r="C767" s="358">
        <f>'PART-A'!I4085</f>
        <v>0</v>
      </c>
      <c r="D767" s="354" t="s">
        <v>115</v>
      </c>
      <c r="E767" s="355">
        <f>'PART-A'!K4085</f>
        <v>369</v>
      </c>
      <c r="F767" s="353">
        <f>ROUND(C767*E767,0)</f>
        <v>0</v>
      </c>
      <c r="G767" s="368"/>
      <c r="H767" s="368"/>
      <c r="I767" s="368">
        <f>C767-G767</f>
        <v>0</v>
      </c>
      <c r="J767" s="368">
        <f>F767-H767</f>
        <v>0</v>
      </c>
      <c r="K767" s="360" t="s">
        <v>2312</v>
      </c>
    </row>
    <row r="768" spans="1:11" s="360" customFormat="1" ht="20.25" hidden="1" customHeight="1">
      <c r="A768" s="356" t="s">
        <v>516</v>
      </c>
      <c r="B768" s="357" t="s">
        <v>1449</v>
      </c>
      <c r="C768" s="358">
        <f>'PART-A'!I4306</f>
        <v>0</v>
      </c>
      <c r="D768" s="354" t="s">
        <v>115</v>
      </c>
      <c r="E768" s="355">
        <f>'PART-A'!K4306</f>
        <v>400</v>
      </c>
      <c r="F768" s="353">
        <f>ROUND(C768*E768,0)</f>
        <v>0</v>
      </c>
      <c r="G768" s="368"/>
      <c r="H768" s="368"/>
      <c r="I768" s="368">
        <f>C768-G768</f>
        <v>0</v>
      </c>
      <c r="J768" s="368">
        <f>F768-H768</f>
        <v>0</v>
      </c>
      <c r="K768" s="360" t="s">
        <v>2313</v>
      </c>
    </row>
    <row r="769" spans="1:11" s="360" customFormat="1" ht="20.25" hidden="1" customHeight="1">
      <c r="A769" s="356" t="s">
        <v>645</v>
      </c>
      <c r="B769" s="357" t="s">
        <v>1451</v>
      </c>
      <c r="C769" s="358">
        <f>'PART-A'!I3653</f>
        <v>0</v>
      </c>
      <c r="D769" s="354" t="s">
        <v>115</v>
      </c>
      <c r="E769" s="355">
        <f>'PART-A'!K3653</f>
        <v>57</v>
      </c>
      <c r="F769" s="353">
        <f t="shared" si="35"/>
        <v>0</v>
      </c>
      <c r="G769" s="368"/>
      <c r="H769" s="368"/>
      <c r="I769" s="368">
        <f t="shared" si="28"/>
        <v>0</v>
      </c>
      <c r="J769" s="368">
        <f t="shared" si="29"/>
        <v>0</v>
      </c>
      <c r="K769" s="360" t="s">
        <v>2217</v>
      </c>
    </row>
    <row r="770" spans="1:11" s="360" customFormat="1" ht="20.25" hidden="1" customHeight="1">
      <c r="A770" s="356" t="s">
        <v>1576</v>
      </c>
      <c r="B770" s="357" t="s">
        <v>1451</v>
      </c>
      <c r="C770" s="358">
        <f>'PART-A'!I3877</f>
        <v>0</v>
      </c>
      <c r="D770" s="354" t="s">
        <v>115</v>
      </c>
      <c r="E770" s="355">
        <f>'PART-A'!K3877</f>
        <v>57</v>
      </c>
      <c r="F770" s="353">
        <f>ROUND(C770*E770,0)</f>
        <v>0</v>
      </c>
      <c r="G770" s="368"/>
      <c r="H770" s="368"/>
      <c r="I770" s="368">
        <f>C770-G770</f>
        <v>0</v>
      </c>
      <c r="J770" s="368">
        <f>F770-H770</f>
        <v>0</v>
      </c>
      <c r="K770" s="360" t="s">
        <v>2299</v>
      </c>
    </row>
    <row r="771" spans="1:11" s="360" customFormat="1" ht="20.25" hidden="1" customHeight="1">
      <c r="A771" s="356" t="s">
        <v>645</v>
      </c>
      <c r="B771" s="357" t="s">
        <v>1451</v>
      </c>
      <c r="C771" s="358">
        <f>'PART-A'!I4095</f>
        <v>0</v>
      </c>
      <c r="D771" s="354" t="s">
        <v>115</v>
      </c>
      <c r="E771" s="355">
        <f>'PART-A'!K4095</f>
        <v>63</v>
      </c>
      <c r="F771" s="353">
        <f>ROUND(C771*E771,0)</f>
        <v>0</v>
      </c>
      <c r="G771" s="368"/>
      <c r="H771" s="368"/>
      <c r="I771" s="368">
        <f>C771-G771</f>
        <v>0</v>
      </c>
      <c r="J771" s="368">
        <f>F771-H771</f>
        <v>0</v>
      </c>
      <c r="K771" s="360" t="s">
        <v>2312</v>
      </c>
    </row>
    <row r="772" spans="1:11" s="360" customFormat="1" ht="20.25" hidden="1" customHeight="1">
      <c r="A772" s="356" t="s">
        <v>645</v>
      </c>
      <c r="B772" s="357" t="s">
        <v>1451</v>
      </c>
      <c r="C772" s="358">
        <f>'PART-A'!I4316</f>
        <v>0</v>
      </c>
      <c r="D772" s="354" t="s">
        <v>115</v>
      </c>
      <c r="E772" s="355">
        <f>'PART-A'!K4316</f>
        <v>68</v>
      </c>
      <c r="F772" s="353">
        <f>ROUND(C772*E772,0)</f>
        <v>0</v>
      </c>
      <c r="G772" s="368"/>
      <c r="H772" s="368"/>
      <c r="I772" s="368">
        <f>C772-G772</f>
        <v>0</v>
      </c>
      <c r="J772" s="368">
        <f>F772-H772</f>
        <v>0</v>
      </c>
      <c r="K772" s="360" t="s">
        <v>2313</v>
      </c>
    </row>
    <row r="773" spans="1:11" s="360" customFormat="1" ht="20.25" hidden="1" customHeight="1">
      <c r="A773" s="356" t="s">
        <v>646</v>
      </c>
      <c r="B773" s="357" t="s">
        <v>2241</v>
      </c>
      <c r="C773" s="358">
        <f>'PART-A'!I3660</f>
        <v>0</v>
      </c>
      <c r="D773" s="354" t="s">
        <v>568</v>
      </c>
      <c r="E773" s="355">
        <f>'PART-A'!K3660</f>
        <v>383.5</v>
      </c>
      <c r="F773" s="353">
        <f t="shared" si="35"/>
        <v>0</v>
      </c>
      <c r="G773" s="368"/>
      <c r="H773" s="368"/>
      <c r="I773" s="368">
        <f t="shared" si="28"/>
        <v>0</v>
      </c>
      <c r="J773" s="368">
        <f t="shared" si="29"/>
        <v>0</v>
      </c>
      <c r="K773" s="360" t="s">
        <v>2217</v>
      </c>
    </row>
    <row r="774" spans="1:11" s="360" customFormat="1" ht="20.25" hidden="1" customHeight="1">
      <c r="A774" s="356" t="s">
        <v>1577</v>
      </c>
      <c r="B774" s="357" t="s">
        <v>2241</v>
      </c>
      <c r="C774" s="358">
        <f>'PART-A'!I3882</f>
        <v>0</v>
      </c>
      <c r="D774" s="354" t="s">
        <v>568</v>
      </c>
      <c r="E774" s="355">
        <f>'PART-A'!K3882</f>
        <v>395.5</v>
      </c>
      <c r="F774" s="353">
        <f>ROUND(C774*E774,0)</f>
        <v>0</v>
      </c>
      <c r="G774" s="368"/>
      <c r="H774" s="368"/>
      <c r="I774" s="368">
        <f>C774-G774</f>
        <v>0</v>
      </c>
      <c r="J774" s="368">
        <f>F774-H774</f>
        <v>0</v>
      </c>
      <c r="K774" s="360" t="s">
        <v>2299</v>
      </c>
    </row>
    <row r="775" spans="1:11" s="360" customFormat="1" ht="20.25" hidden="1" customHeight="1">
      <c r="A775" s="356" t="s">
        <v>646</v>
      </c>
      <c r="B775" s="357" t="s">
        <v>2241</v>
      </c>
      <c r="C775" s="358">
        <f>'PART-A'!I4102</f>
        <v>0</v>
      </c>
      <c r="D775" s="354" t="s">
        <v>568</v>
      </c>
      <c r="E775" s="355">
        <f>'PART-A'!K4102</f>
        <v>436.33</v>
      </c>
      <c r="F775" s="353">
        <f>ROUND(C775*E775,0)</f>
        <v>0</v>
      </c>
      <c r="G775" s="368"/>
      <c r="H775" s="368"/>
      <c r="I775" s="368">
        <f>C775-G775</f>
        <v>0</v>
      </c>
      <c r="J775" s="368">
        <f>F775-H775</f>
        <v>0</v>
      </c>
      <c r="K775" s="360" t="s">
        <v>2312</v>
      </c>
    </row>
    <row r="776" spans="1:11" s="360" customFormat="1" ht="20.25" hidden="1" customHeight="1">
      <c r="A776" s="356" t="s">
        <v>495</v>
      </c>
      <c r="B776" s="357" t="s">
        <v>2241</v>
      </c>
      <c r="C776" s="358">
        <f>'PART-A'!I4322</f>
        <v>0</v>
      </c>
      <c r="D776" s="354" t="s">
        <v>568</v>
      </c>
      <c r="E776" s="355">
        <f>'PART-A'!K4322</f>
        <v>481.67</v>
      </c>
      <c r="F776" s="353">
        <f>ROUND(C776*E776,0)</f>
        <v>0</v>
      </c>
      <c r="G776" s="368"/>
      <c r="H776" s="368"/>
      <c r="I776" s="368">
        <f>C776-G776</f>
        <v>0</v>
      </c>
      <c r="J776" s="368">
        <f>F776-H776</f>
        <v>0</v>
      </c>
      <c r="K776" s="360" t="s">
        <v>2313</v>
      </c>
    </row>
    <row r="777" spans="1:11" s="360" customFormat="1" ht="20.25" hidden="1" customHeight="1">
      <c r="A777" s="356" t="s">
        <v>497</v>
      </c>
      <c r="B777" s="357" t="s">
        <v>2120</v>
      </c>
      <c r="C777" s="358">
        <f>'PART-A'!I3667</f>
        <v>0</v>
      </c>
      <c r="D777" s="354" t="s">
        <v>568</v>
      </c>
      <c r="E777" s="355">
        <f>'PART-A'!K3667</f>
        <v>402.5</v>
      </c>
      <c r="F777" s="353">
        <f t="shared" si="35"/>
        <v>0</v>
      </c>
      <c r="G777" s="368"/>
      <c r="H777" s="368"/>
      <c r="I777" s="368">
        <f t="shared" si="28"/>
        <v>0</v>
      </c>
      <c r="J777" s="368">
        <f t="shared" si="29"/>
        <v>0</v>
      </c>
      <c r="K777" s="360" t="s">
        <v>2217</v>
      </c>
    </row>
    <row r="778" spans="1:11" s="360" customFormat="1" ht="20.25" hidden="1" customHeight="1">
      <c r="A778" s="356" t="s">
        <v>497</v>
      </c>
      <c r="B778" s="357" t="s">
        <v>2120</v>
      </c>
      <c r="C778" s="358">
        <f>'PART-A'!I3889</f>
        <v>0</v>
      </c>
      <c r="D778" s="354" t="s">
        <v>568</v>
      </c>
      <c r="E778" s="355">
        <f>'PART-A'!K3889</f>
        <v>414.5</v>
      </c>
      <c r="F778" s="353">
        <f>ROUND(C778*E778,0)</f>
        <v>0</v>
      </c>
      <c r="G778" s="368"/>
      <c r="H778" s="368"/>
      <c r="I778" s="368">
        <f>C778-G778</f>
        <v>0</v>
      </c>
      <c r="J778" s="368">
        <f>F778-H778</f>
        <v>0</v>
      </c>
      <c r="K778" s="360" t="s">
        <v>2299</v>
      </c>
    </row>
    <row r="779" spans="1:11" s="360" customFormat="1" ht="20.25" hidden="1" customHeight="1">
      <c r="A779" s="356" t="s">
        <v>497</v>
      </c>
      <c r="B779" s="357" t="s">
        <v>2120</v>
      </c>
      <c r="C779" s="358">
        <f>'PART-A'!I4109</f>
        <v>0</v>
      </c>
      <c r="D779" s="354" t="s">
        <v>568</v>
      </c>
      <c r="E779" s="355">
        <f>'PART-A'!K4109</f>
        <v>457.33</v>
      </c>
      <c r="F779" s="353">
        <f>ROUND(C779*E779,0)</f>
        <v>0</v>
      </c>
      <c r="G779" s="368"/>
      <c r="H779" s="368"/>
      <c r="I779" s="368">
        <f>C779-G779</f>
        <v>0</v>
      </c>
      <c r="J779" s="368">
        <f>F779-H779</f>
        <v>0</v>
      </c>
      <c r="K779" s="360" t="s">
        <v>2312</v>
      </c>
    </row>
    <row r="780" spans="1:11" s="360" customFormat="1" ht="20.25" hidden="1" customHeight="1">
      <c r="A780" s="356" t="s">
        <v>494</v>
      </c>
      <c r="B780" s="357" t="s">
        <v>2120</v>
      </c>
      <c r="C780" s="358">
        <f>'PART-A'!I4327</f>
        <v>0</v>
      </c>
      <c r="D780" s="354" t="s">
        <v>568</v>
      </c>
      <c r="E780" s="355">
        <f>'PART-A'!K4327</f>
        <v>503.67</v>
      </c>
      <c r="F780" s="353">
        <f>ROUND(C780*E780,0)</f>
        <v>0</v>
      </c>
      <c r="G780" s="368"/>
      <c r="H780" s="368"/>
      <c r="I780" s="368">
        <f>C780-G780</f>
        <v>0</v>
      </c>
      <c r="J780" s="368">
        <f>F780-H780</f>
        <v>0</v>
      </c>
      <c r="K780" s="360" t="s">
        <v>2313</v>
      </c>
    </row>
    <row r="781" spans="1:11" s="360" customFormat="1" ht="20.25" hidden="1" customHeight="1">
      <c r="A781" s="356" t="s">
        <v>1144</v>
      </c>
      <c r="B781" s="357" t="s">
        <v>2121</v>
      </c>
      <c r="C781" s="358">
        <f>'PART-A'!I3673</f>
        <v>0</v>
      </c>
      <c r="D781" s="354" t="s">
        <v>277</v>
      </c>
      <c r="E781" s="355">
        <f>'PART-A'!K3673</f>
        <v>18.59</v>
      </c>
      <c r="F781" s="353">
        <f t="shared" ref="F781:F785" si="36">ROUND(C781*E781,0)</f>
        <v>0</v>
      </c>
      <c r="G781" s="368"/>
      <c r="H781" s="368"/>
      <c r="I781" s="368">
        <f t="shared" ref="I781:I785" si="37">C781-G781</f>
        <v>0</v>
      </c>
      <c r="J781" s="368">
        <f t="shared" ref="J781:J785" si="38">F781-H781</f>
        <v>0</v>
      </c>
      <c r="K781" s="360" t="s">
        <v>2217</v>
      </c>
    </row>
    <row r="782" spans="1:11" s="360" customFormat="1" ht="20.25" hidden="1" customHeight="1">
      <c r="A782" s="356" t="s">
        <v>1145</v>
      </c>
      <c r="B782" s="357" t="s">
        <v>2121</v>
      </c>
      <c r="C782" s="358">
        <f>'PART-A'!I3895</f>
        <v>0</v>
      </c>
      <c r="D782" s="354" t="s">
        <v>277</v>
      </c>
      <c r="E782" s="355">
        <f>'PART-A'!K3895</f>
        <v>19.09</v>
      </c>
      <c r="F782" s="353">
        <f>ROUND(C782*E782,0)</f>
        <v>0</v>
      </c>
      <c r="G782" s="368"/>
      <c r="H782" s="368"/>
      <c r="I782" s="368">
        <f>C782-G782</f>
        <v>0</v>
      </c>
      <c r="J782" s="368">
        <f>F782-H782</f>
        <v>0</v>
      </c>
      <c r="K782" s="360" t="s">
        <v>2299</v>
      </c>
    </row>
    <row r="783" spans="1:11" s="360" customFormat="1" ht="20.25" hidden="1" customHeight="1">
      <c r="A783" s="356" t="s">
        <v>1144</v>
      </c>
      <c r="B783" s="357" t="s">
        <v>2121</v>
      </c>
      <c r="C783" s="358">
        <f>'PART-A'!I4115</f>
        <v>0</v>
      </c>
      <c r="D783" s="354" t="s">
        <v>277</v>
      </c>
      <c r="E783" s="355">
        <f>'PART-A'!K4115</f>
        <v>21.19</v>
      </c>
      <c r="F783" s="353">
        <f>ROUND(C783*E783,0)</f>
        <v>0</v>
      </c>
      <c r="G783" s="368"/>
      <c r="H783" s="368"/>
      <c r="I783" s="368">
        <f>C783-G783</f>
        <v>0</v>
      </c>
      <c r="J783" s="368">
        <f>F783-H783</f>
        <v>0</v>
      </c>
      <c r="K783" s="360" t="s">
        <v>2312</v>
      </c>
    </row>
    <row r="784" spans="1:11" s="360" customFormat="1" ht="20.25" hidden="1" customHeight="1">
      <c r="A784" s="356" t="s">
        <v>495</v>
      </c>
      <c r="B784" s="357" t="s">
        <v>2121</v>
      </c>
      <c r="C784" s="358">
        <f>'PART-A'!I4332</f>
        <v>0</v>
      </c>
      <c r="D784" s="354" t="s">
        <v>277</v>
      </c>
      <c r="E784" s="355">
        <f>'PART-A'!K4332</f>
        <v>23.55</v>
      </c>
      <c r="F784" s="353">
        <f>ROUND(C784*E784,0)</f>
        <v>0</v>
      </c>
      <c r="G784" s="368"/>
      <c r="H784" s="368"/>
      <c r="I784" s="368">
        <f>C784-G784</f>
        <v>0</v>
      </c>
      <c r="J784" s="368">
        <f>F784-H784</f>
        <v>0</v>
      </c>
      <c r="K784" s="360" t="s">
        <v>2313</v>
      </c>
    </row>
    <row r="785" spans="1:11" s="360" customFormat="1" ht="20.25" hidden="1" customHeight="1">
      <c r="A785" s="356" t="s">
        <v>1586</v>
      </c>
      <c r="B785" s="357" t="s">
        <v>2273</v>
      </c>
      <c r="C785" s="358">
        <f>'PART-A'!I3678</f>
        <v>0</v>
      </c>
      <c r="D785" s="354" t="s">
        <v>277</v>
      </c>
      <c r="E785" s="355">
        <f>'PART-A'!K3678</f>
        <v>60.7</v>
      </c>
      <c r="F785" s="353">
        <f t="shared" si="36"/>
        <v>0</v>
      </c>
      <c r="G785" s="368"/>
      <c r="H785" s="368"/>
      <c r="I785" s="368">
        <f t="shared" si="37"/>
        <v>0</v>
      </c>
      <c r="J785" s="368">
        <f t="shared" si="38"/>
        <v>0</v>
      </c>
      <c r="K785" s="360" t="s">
        <v>2217</v>
      </c>
    </row>
    <row r="786" spans="1:11" s="360" customFormat="1" ht="20.25" hidden="1" customHeight="1">
      <c r="A786" s="356" t="s">
        <v>1586</v>
      </c>
      <c r="B786" s="357" t="s">
        <v>2273</v>
      </c>
      <c r="C786" s="358">
        <f>'PART-A'!I3900</f>
        <v>0</v>
      </c>
      <c r="D786" s="354" t="s">
        <v>277</v>
      </c>
      <c r="E786" s="355">
        <f>'PART-A'!K3900</f>
        <v>60.7</v>
      </c>
      <c r="F786" s="353">
        <f>ROUND(C786*E786,0)</f>
        <v>0</v>
      </c>
      <c r="G786" s="368"/>
      <c r="H786" s="368"/>
      <c r="I786" s="368">
        <f>C786-G786</f>
        <v>0</v>
      </c>
      <c r="J786" s="368">
        <f>F786-H786</f>
        <v>0</v>
      </c>
      <c r="K786" s="360" t="s">
        <v>2299</v>
      </c>
    </row>
    <row r="787" spans="1:11" s="360" customFormat="1" ht="20.25" hidden="1" customHeight="1">
      <c r="A787" s="356" t="s">
        <v>1586</v>
      </c>
      <c r="B787" s="357" t="s">
        <v>2273</v>
      </c>
      <c r="C787" s="358">
        <f>'PART-A'!I4120</f>
        <v>0</v>
      </c>
      <c r="D787" s="354" t="s">
        <v>277</v>
      </c>
      <c r="E787" s="355">
        <f>'PART-A'!K4120</f>
        <v>69.83</v>
      </c>
      <c r="F787" s="353">
        <f>ROUND(C787*E787,0)</f>
        <v>0</v>
      </c>
      <c r="G787" s="368"/>
      <c r="H787" s="368"/>
      <c r="I787" s="368">
        <f>C787-G787</f>
        <v>0</v>
      </c>
      <c r="J787" s="368">
        <f>F787-H787</f>
        <v>0</v>
      </c>
      <c r="K787" s="360" t="s">
        <v>2312</v>
      </c>
    </row>
    <row r="788" spans="1:11" s="360" customFormat="1" ht="20.25" hidden="1" customHeight="1">
      <c r="A788" s="356" t="s">
        <v>1515</v>
      </c>
      <c r="B788" s="357" t="s">
        <v>2273</v>
      </c>
      <c r="C788" s="358">
        <f>'PART-A'!I4341</f>
        <v>0</v>
      </c>
      <c r="D788" s="354" t="s">
        <v>277</v>
      </c>
      <c r="E788" s="355">
        <f>'PART-A'!K4341</f>
        <v>79.48</v>
      </c>
      <c r="F788" s="353">
        <f>ROUND(C788*E788,0)</f>
        <v>0</v>
      </c>
      <c r="G788" s="368"/>
      <c r="H788" s="368"/>
      <c r="I788" s="368">
        <f>C788-G788</f>
        <v>0</v>
      </c>
      <c r="J788" s="368">
        <f>F788-H788</f>
        <v>0</v>
      </c>
      <c r="K788" s="360" t="s">
        <v>2313</v>
      </c>
    </row>
    <row r="789" spans="1:11" s="360" customFormat="1" ht="20.25" hidden="1" customHeight="1">
      <c r="A789" s="356" t="s">
        <v>1586</v>
      </c>
      <c r="B789" s="357" t="s">
        <v>2123</v>
      </c>
      <c r="C789" s="358">
        <f>'PART-A'!I3683</f>
        <v>0</v>
      </c>
      <c r="D789" s="354" t="s">
        <v>277</v>
      </c>
      <c r="E789" s="355">
        <f>'PART-A'!K3683</f>
        <v>64.873099999999994</v>
      </c>
      <c r="F789" s="353">
        <f t="shared" si="35"/>
        <v>0</v>
      </c>
      <c r="G789" s="368"/>
      <c r="H789" s="368"/>
      <c r="I789" s="368">
        <f t="shared" si="28"/>
        <v>0</v>
      </c>
      <c r="J789" s="368">
        <f t="shared" si="29"/>
        <v>0</v>
      </c>
      <c r="K789" s="360" t="s">
        <v>2217</v>
      </c>
    </row>
    <row r="790" spans="1:11" s="360" customFormat="1" ht="20.25" hidden="1" customHeight="1">
      <c r="A790" s="356" t="s">
        <v>1591</v>
      </c>
      <c r="B790" s="357" t="s">
        <v>2123</v>
      </c>
      <c r="C790" s="358">
        <f>'PART-A'!I3905</f>
        <v>0</v>
      </c>
      <c r="D790" s="354" t="s">
        <v>277</v>
      </c>
      <c r="E790" s="355">
        <f>'PART-A'!K3905</f>
        <v>65.868499999999997</v>
      </c>
      <c r="F790" s="353">
        <f>ROUND(C790*E790,0)</f>
        <v>0</v>
      </c>
      <c r="G790" s="368"/>
      <c r="H790" s="368"/>
      <c r="I790" s="368">
        <f>C790-G790</f>
        <v>0</v>
      </c>
      <c r="J790" s="368">
        <f>F790-H790</f>
        <v>0</v>
      </c>
      <c r="K790" s="360" t="s">
        <v>2299</v>
      </c>
    </row>
    <row r="791" spans="1:11" s="360" customFormat="1" ht="20.25" hidden="1" customHeight="1">
      <c r="A791" s="356" t="s">
        <v>1586</v>
      </c>
      <c r="B791" s="357" t="s">
        <v>2123</v>
      </c>
      <c r="C791" s="358">
        <f>'PART-A'!I4125</f>
        <v>0</v>
      </c>
      <c r="D791" s="354" t="s">
        <v>277</v>
      </c>
      <c r="E791" s="355">
        <f>'PART-A'!K4125</f>
        <v>74.22399999999999</v>
      </c>
      <c r="F791" s="353">
        <f>ROUND(C791*E791,0)</f>
        <v>0</v>
      </c>
      <c r="G791" s="368"/>
      <c r="H791" s="368"/>
      <c r="I791" s="368">
        <f>C791-G791</f>
        <v>0</v>
      </c>
      <c r="J791" s="368">
        <f>F791-H791</f>
        <v>0</v>
      </c>
      <c r="K791" s="360" t="s">
        <v>2312</v>
      </c>
    </row>
    <row r="792" spans="1:11" s="360" customFormat="1" ht="20.25" hidden="1" customHeight="1">
      <c r="A792" s="356" t="s">
        <v>1586</v>
      </c>
      <c r="B792" s="357" t="s">
        <v>2123</v>
      </c>
      <c r="C792" s="358">
        <f>'PART-A'!I4347</f>
        <v>0</v>
      </c>
      <c r="D792" s="354" t="s">
        <v>277</v>
      </c>
      <c r="E792" s="355">
        <f>'PART-A'!K4347</f>
        <v>83.333500000000001</v>
      </c>
      <c r="F792" s="353">
        <f>ROUND(C792*E792,0)</f>
        <v>0</v>
      </c>
      <c r="G792" s="368"/>
      <c r="H792" s="368"/>
      <c r="I792" s="368">
        <f>C792-G792</f>
        <v>0</v>
      </c>
      <c r="J792" s="368">
        <f>F792-H792</f>
        <v>0</v>
      </c>
      <c r="K792" s="360" t="s">
        <v>2313</v>
      </c>
    </row>
    <row r="793" spans="1:11" s="360" customFormat="1" ht="20.25" hidden="1" customHeight="1">
      <c r="A793" s="356" t="s">
        <v>531</v>
      </c>
      <c r="B793" s="357" t="s">
        <v>2147</v>
      </c>
      <c r="C793" s="358">
        <f>'PART-A'!I3688</f>
        <v>0</v>
      </c>
      <c r="D793" s="354" t="s">
        <v>277</v>
      </c>
      <c r="E793" s="355">
        <f>'PART-A'!K3688</f>
        <v>98.56</v>
      </c>
      <c r="F793" s="353">
        <f t="shared" si="35"/>
        <v>0</v>
      </c>
      <c r="G793" s="368"/>
      <c r="H793" s="368"/>
      <c r="I793" s="368">
        <f t="shared" si="28"/>
        <v>0</v>
      </c>
      <c r="J793" s="368">
        <f t="shared" si="29"/>
        <v>0</v>
      </c>
      <c r="K793" s="360" t="s">
        <v>2217</v>
      </c>
    </row>
    <row r="794" spans="1:11" s="360" customFormat="1" ht="20.25" hidden="1" customHeight="1">
      <c r="A794" s="356" t="s">
        <v>1592</v>
      </c>
      <c r="B794" s="357" t="s">
        <v>2147</v>
      </c>
      <c r="C794" s="358">
        <f>'PART-A'!I3910</f>
        <v>0</v>
      </c>
      <c r="D794" s="354" t="s">
        <v>277</v>
      </c>
      <c r="E794" s="355">
        <f>'PART-A'!K3910</f>
        <v>100.05</v>
      </c>
      <c r="F794" s="353">
        <f>ROUND(C794*E794,0)</f>
        <v>0</v>
      </c>
      <c r="G794" s="368"/>
      <c r="H794" s="368"/>
      <c r="I794" s="368">
        <f>C794-G794</f>
        <v>0</v>
      </c>
      <c r="J794" s="368">
        <f>F794-H794</f>
        <v>0</v>
      </c>
      <c r="K794" s="360" t="s">
        <v>2299</v>
      </c>
    </row>
    <row r="795" spans="1:11" s="360" customFormat="1" ht="20.25" hidden="1" customHeight="1">
      <c r="A795" s="356" t="s">
        <v>531</v>
      </c>
      <c r="B795" s="357" t="s">
        <v>2147</v>
      </c>
      <c r="C795" s="358">
        <f>'PART-A'!I4130</f>
        <v>0</v>
      </c>
      <c r="D795" s="354" t="s">
        <v>277</v>
      </c>
      <c r="E795" s="355">
        <f>'PART-A'!K4130</f>
        <v>112.78</v>
      </c>
      <c r="F795" s="353">
        <f>ROUND(C795*E795,0)</f>
        <v>0</v>
      </c>
      <c r="G795" s="368"/>
      <c r="H795" s="368"/>
      <c r="I795" s="368">
        <f>C795-G795</f>
        <v>0</v>
      </c>
      <c r="J795" s="368">
        <f>F795-H795</f>
        <v>0</v>
      </c>
      <c r="K795" s="360" t="s">
        <v>2312</v>
      </c>
    </row>
    <row r="796" spans="1:11" s="360" customFormat="1" ht="20.25" hidden="1" customHeight="1">
      <c r="A796" s="356" t="s">
        <v>531</v>
      </c>
      <c r="B796" s="357" t="s">
        <v>2147</v>
      </c>
      <c r="C796" s="358">
        <f>'PART-A'!I4352</f>
        <v>0</v>
      </c>
      <c r="D796" s="354" t="s">
        <v>277</v>
      </c>
      <c r="E796" s="355">
        <f>'PART-A'!K4352</f>
        <v>126.65</v>
      </c>
      <c r="F796" s="353">
        <f>ROUND(C796*E796,0)</f>
        <v>0</v>
      </c>
      <c r="G796" s="368"/>
      <c r="H796" s="368"/>
      <c r="I796" s="368">
        <f>C796-G796</f>
        <v>0</v>
      </c>
      <c r="J796" s="368">
        <f>F796-H796</f>
        <v>0</v>
      </c>
      <c r="K796" s="360" t="s">
        <v>2313</v>
      </c>
    </row>
    <row r="797" spans="1:11" s="360" customFormat="1" ht="20.25" hidden="1" customHeight="1">
      <c r="A797" s="356" t="s">
        <v>1587</v>
      </c>
      <c r="B797" s="357" t="s">
        <v>2122</v>
      </c>
      <c r="C797" s="358">
        <f>'PART-A'!I3693</f>
        <v>0</v>
      </c>
      <c r="D797" s="354" t="s">
        <v>277</v>
      </c>
      <c r="E797" s="355">
        <f>'PART-A'!K3693</f>
        <v>50.795000000000002</v>
      </c>
      <c r="F797" s="353">
        <f t="shared" si="35"/>
        <v>0</v>
      </c>
      <c r="G797" s="368"/>
      <c r="H797" s="368"/>
      <c r="I797" s="368">
        <f t="shared" si="28"/>
        <v>0</v>
      </c>
      <c r="J797" s="368">
        <f t="shared" si="29"/>
        <v>0</v>
      </c>
      <c r="K797" s="360" t="s">
        <v>2217</v>
      </c>
    </row>
    <row r="798" spans="1:11" s="360" customFormat="1" ht="20.25" hidden="1" customHeight="1">
      <c r="A798" s="356" t="s">
        <v>1593</v>
      </c>
      <c r="B798" s="357" t="s">
        <v>2122</v>
      </c>
      <c r="C798" s="358">
        <f>'PART-A'!I3915</f>
        <v>0</v>
      </c>
      <c r="D798" s="354" t="s">
        <v>277</v>
      </c>
      <c r="E798" s="355">
        <f>'PART-A'!K3915</f>
        <v>54.465000000000003</v>
      </c>
      <c r="F798" s="353">
        <f>ROUND(C798*E798,0)</f>
        <v>0</v>
      </c>
      <c r="G798" s="368"/>
      <c r="H798" s="368"/>
      <c r="I798" s="368">
        <f>C798-G798</f>
        <v>0</v>
      </c>
      <c r="J798" s="368">
        <f>F798-H798</f>
        <v>0</v>
      </c>
      <c r="K798" s="360" t="s">
        <v>2299</v>
      </c>
    </row>
    <row r="799" spans="1:11" s="360" customFormat="1" ht="20.25" hidden="1" customHeight="1">
      <c r="A799" s="356" t="s">
        <v>1587</v>
      </c>
      <c r="B799" s="357" t="s">
        <v>2122</v>
      </c>
      <c r="C799" s="358">
        <f>'PART-A'!I4135</f>
        <v>0</v>
      </c>
      <c r="D799" s="354" t="s">
        <v>277</v>
      </c>
      <c r="E799" s="355">
        <f>'PART-A'!K4135</f>
        <v>56.313999999999993</v>
      </c>
      <c r="F799" s="353">
        <f>ROUND(C799*E799,0)</f>
        <v>0</v>
      </c>
      <c r="G799" s="368"/>
      <c r="H799" s="368"/>
      <c r="I799" s="368">
        <f>C799-G799</f>
        <v>0</v>
      </c>
      <c r="J799" s="368">
        <f>F799-H799</f>
        <v>0</v>
      </c>
      <c r="K799" s="360" t="s">
        <v>2312</v>
      </c>
    </row>
    <row r="800" spans="1:11" s="360" customFormat="1" ht="20.25" hidden="1" customHeight="1">
      <c r="A800" s="356" t="s">
        <v>1515</v>
      </c>
      <c r="B800" s="357" t="s">
        <v>2122</v>
      </c>
      <c r="C800" s="358">
        <f>'PART-A'!I4357</f>
        <v>0</v>
      </c>
      <c r="D800" s="354" t="s">
        <v>277</v>
      </c>
      <c r="E800" s="355">
        <f>'PART-A'!K4357</f>
        <v>64.563000000000002</v>
      </c>
      <c r="F800" s="353">
        <f>ROUND(C800*E800,0)</f>
        <v>0</v>
      </c>
      <c r="G800" s="368"/>
      <c r="H800" s="368"/>
      <c r="I800" s="368">
        <f>C800-G800</f>
        <v>0</v>
      </c>
      <c r="J800" s="368">
        <f>F800-H800</f>
        <v>0</v>
      </c>
      <c r="K800" s="360" t="s">
        <v>2313</v>
      </c>
    </row>
    <row r="801" spans="1:11" s="360" customFormat="1" ht="20.25" hidden="1" customHeight="1">
      <c r="A801" s="356" t="s">
        <v>1588</v>
      </c>
      <c r="B801" s="357" t="s">
        <v>2205</v>
      </c>
      <c r="C801" s="358">
        <f>'PART-A'!I3698</f>
        <v>0</v>
      </c>
      <c r="D801" s="354" t="s">
        <v>115</v>
      </c>
      <c r="E801" s="355">
        <f>'PART-A'!K3698</f>
        <v>190</v>
      </c>
      <c r="F801" s="353">
        <f t="shared" si="35"/>
        <v>0</v>
      </c>
      <c r="G801" s="368"/>
      <c r="H801" s="368"/>
      <c r="I801" s="368">
        <f t="shared" si="28"/>
        <v>0</v>
      </c>
      <c r="J801" s="368">
        <f t="shared" si="29"/>
        <v>0</v>
      </c>
      <c r="K801" s="360" t="s">
        <v>2217</v>
      </c>
    </row>
    <row r="802" spans="1:11" s="360" customFormat="1" ht="20.25" hidden="1" customHeight="1">
      <c r="A802" s="356" t="s">
        <v>1594</v>
      </c>
      <c r="B802" s="357" t="s">
        <v>2205</v>
      </c>
      <c r="C802" s="358">
        <f>'PART-A'!I3920</f>
        <v>0</v>
      </c>
      <c r="D802" s="354" t="s">
        <v>115</v>
      </c>
      <c r="E802" s="355">
        <f>'PART-A'!K3920</f>
        <v>190</v>
      </c>
      <c r="F802" s="353">
        <f>ROUND(C802*E802,0)</f>
        <v>0</v>
      </c>
      <c r="G802" s="368"/>
      <c r="H802" s="368"/>
      <c r="I802" s="368">
        <f>C802-G802</f>
        <v>0</v>
      </c>
      <c r="J802" s="368">
        <f>F802-H802</f>
        <v>0</v>
      </c>
      <c r="K802" s="360" t="s">
        <v>2299</v>
      </c>
    </row>
    <row r="803" spans="1:11" s="360" customFormat="1" ht="20.25" hidden="1" customHeight="1">
      <c r="A803" s="356" t="s">
        <v>1588</v>
      </c>
      <c r="B803" s="357" t="s">
        <v>2205</v>
      </c>
      <c r="C803" s="358">
        <f>'PART-A'!I4140</f>
        <v>0</v>
      </c>
      <c r="D803" s="354" t="s">
        <v>115</v>
      </c>
      <c r="E803" s="355">
        <f>'PART-A'!K4140</f>
        <v>209</v>
      </c>
      <c r="F803" s="353">
        <f>ROUND(C803*E803,0)</f>
        <v>0</v>
      </c>
      <c r="G803" s="368"/>
      <c r="H803" s="368"/>
      <c r="I803" s="368">
        <f>C803-G803</f>
        <v>0</v>
      </c>
      <c r="J803" s="368">
        <f>F803-H803</f>
        <v>0</v>
      </c>
      <c r="K803" s="360" t="s">
        <v>2312</v>
      </c>
    </row>
    <row r="804" spans="1:11" s="360" customFormat="1" ht="20.25" hidden="1" customHeight="1">
      <c r="A804" s="356" t="s">
        <v>1516</v>
      </c>
      <c r="B804" s="357" t="s">
        <v>2205</v>
      </c>
      <c r="C804" s="358">
        <f>'PART-A'!I4362</f>
        <v>0</v>
      </c>
      <c r="D804" s="354" t="s">
        <v>115</v>
      </c>
      <c r="E804" s="355">
        <f>'PART-A'!K4362</f>
        <v>209</v>
      </c>
      <c r="F804" s="353">
        <f>ROUND(C804*E804,0)</f>
        <v>0</v>
      </c>
      <c r="G804" s="368"/>
      <c r="H804" s="368"/>
      <c r="I804" s="368">
        <f>C804-G804</f>
        <v>0</v>
      </c>
      <c r="J804" s="368">
        <f>F804-H804</f>
        <v>0</v>
      </c>
      <c r="K804" s="360" t="s">
        <v>2313</v>
      </c>
    </row>
    <row r="805" spans="1:11" s="360" customFormat="1" ht="20.25" hidden="1" customHeight="1">
      <c r="A805" s="356" t="s">
        <v>647</v>
      </c>
      <c r="B805" s="357" t="s">
        <v>2124</v>
      </c>
      <c r="C805" s="358">
        <f>'PART-A'!I3703</f>
        <v>0</v>
      </c>
      <c r="D805" s="354" t="s">
        <v>115</v>
      </c>
      <c r="E805" s="355">
        <f>'PART-A'!K3703</f>
        <v>155</v>
      </c>
      <c r="F805" s="353">
        <f t="shared" si="35"/>
        <v>0</v>
      </c>
      <c r="G805" s="368"/>
      <c r="H805" s="368"/>
      <c r="I805" s="368">
        <f t="shared" si="28"/>
        <v>0</v>
      </c>
      <c r="J805" s="368">
        <f t="shared" si="29"/>
        <v>0</v>
      </c>
      <c r="K805" s="360" t="s">
        <v>2217</v>
      </c>
    </row>
    <row r="806" spans="1:11" s="360" customFormat="1" ht="20.25" hidden="1" customHeight="1">
      <c r="A806" s="356" t="s">
        <v>1146</v>
      </c>
      <c r="B806" s="357" t="s">
        <v>2124</v>
      </c>
      <c r="C806" s="358">
        <f>'PART-A'!I3925</f>
        <v>0</v>
      </c>
      <c r="D806" s="354" t="s">
        <v>115</v>
      </c>
      <c r="E806" s="355">
        <f>'PART-A'!K3925</f>
        <v>155</v>
      </c>
      <c r="F806" s="353">
        <f>ROUND(C806*E806,0)</f>
        <v>0</v>
      </c>
      <c r="G806" s="368"/>
      <c r="H806" s="368"/>
      <c r="I806" s="368">
        <f>C806-G806</f>
        <v>0</v>
      </c>
      <c r="J806" s="368">
        <f>F806-H806</f>
        <v>0</v>
      </c>
      <c r="K806" s="360" t="s">
        <v>2299</v>
      </c>
    </row>
    <row r="807" spans="1:11" s="360" customFormat="1" ht="20.25" hidden="1" customHeight="1">
      <c r="A807" s="356" t="s">
        <v>647</v>
      </c>
      <c r="B807" s="357" t="s">
        <v>2124</v>
      </c>
      <c r="C807" s="358">
        <f>'PART-A'!I4145</f>
        <v>0</v>
      </c>
      <c r="D807" s="354" t="s">
        <v>115</v>
      </c>
      <c r="E807" s="355">
        <f>'PART-A'!K4145</f>
        <v>171</v>
      </c>
      <c r="F807" s="353">
        <f>ROUND(C807*E807,0)</f>
        <v>0</v>
      </c>
      <c r="G807" s="368"/>
      <c r="H807" s="368"/>
      <c r="I807" s="368">
        <f>C807-G807</f>
        <v>0</v>
      </c>
      <c r="J807" s="368">
        <f>F807-H807</f>
        <v>0</v>
      </c>
      <c r="K807" s="360" t="s">
        <v>2312</v>
      </c>
    </row>
    <row r="808" spans="1:11" s="360" customFormat="1" ht="20.25" hidden="1" customHeight="1">
      <c r="A808" s="356" t="s">
        <v>1517</v>
      </c>
      <c r="B808" s="357" t="s">
        <v>2124</v>
      </c>
      <c r="C808" s="358">
        <f>'PART-A'!I4367</f>
        <v>0</v>
      </c>
      <c r="D808" s="354" t="s">
        <v>115</v>
      </c>
      <c r="E808" s="355">
        <f>'PART-A'!K4367</f>
        <v>171</v>
      </c>
      <c r="F808" s="353">
        <f>ROUND(C808*E808,0)</f>
        <v>0</v>
      </c>
      <c r="G808" s="368"/>
      <c r="H808" s="368"/>
      <c r="I808" s="368">
        <f>C808-G808</f>
        <v>0</v>
      </c>
      <c r="J808" s="368">
        <f>F808-H808</f>
        <v>0</v>
      </c>
      <c r="K808" s="360" t="s">
        <v>2313</v>
      </c>
    </row>
    <row r="809" spans="1:11" s="360" customFormat="1" ht="20.25" hidden="1" customHeight="1">
      <c r="A809" s="356" t="s">
        <v>1589</v>
      </c>
      <c r="B809" s="357" t="s">
        <v>2125</v>
      </c>
      <c r="C809" s="358">
        <f>'PART-A'!I3708</f>
        <v>0</v>
      </c>
      <c r="D809" s="354" t="s">
        <v>115</v>
      </c>
      <c r="E809" s="355">
        <f>'PART-A'!K3708</f>
        <v>120</v>
      </c>
      <c r="F809" s="353">
        <f t="shared" si="35"/>
        <v>0</v>
      </c>
      <c r="G809" s="368"/>
      <c r="H809" s="368"/>
      <c r="I809" s="368">
        <f t="shared" si="28"/>
        <v>0</v>
      </c>
      <c r="J809" s="368">
        <f t="shared" si="29"/>
        <v>0</v>
      </c>
      <c r="K809" s="360" t="s">
        <v>2217</v>
      </c>
    </row>
    <row r="810" spans="1:11" s="360" customFormat="1" ht="20.25" hidden="1" customHeight="1">
      <c r="A810" s="356" t="s">
        <v>1147</v>
      </c>
      <c r="B810" s="357" t="s">
        <v>2125</v>
      </c>
      <c r="C810" s="358">
        <f>'PART-A'!I3930</f>
        <v>0</v>
      </c>
      <c r="D810" s="354" t="s">
        <v>115</v>
      </c>
      <c r="E810" s="355">
        <f>'PART-A'!K3930</f>
        <v>120</v>
      </c>
      <c r="F810" s="353">
        <f>ROUND(C810*E810,0)</f>
        <v>0</v>
      </c>
      <c r="G810" s="368"/>
      <c r="H810" s="368"/>
      <c r="I810" s="368">
        <f>C810-G810</f>
        <v>0</v>
      </c>
      <c r="J810" s="368">
        <f>F810-H810</f>
        <v>0</v>
      </c>
      <c r="K810" s="360" t="s">
        <v>2299</v>
      </c>
    </row>
    <row r="811" spans="1:11" s="360" customFormat="1" ht="20.25" hidden="1" customHeight="1">
      <c r="A811" s="356" t="s">
        <v>1589</v>
      </c>
      <c r="B811" s="357" t="s">
        <v>2125</v>
      </c>
      <c r="C811" s="358">
        <f>'PART-A'!I4150</f>
        <v>0</v>
      </c>
      <c r="D811" s="354" t="s">
        <v>115</v>
      </c>
      <c r="E811" s="355">
        <f>'PART-A'!K4150</f>
        <v>132</v>
      </c>
      <c r="F811" s="353">
        <f>ROUND(C811*E811,0)</f>
        <v>0</v>
      </c>
      <c r="G811" s="368"/>
      <c r="H811" s="368"/>
      <c r="I811" s="368">
        <f>C811-G811</f>
        <v>0</v>
      </c>
      <c r="J811" s="368">
        <f>F811-H811</f>
        <v>0</v>
      </c>
      <c r="K811" s="360" t="s">
        <v>2312</v>
      </c>
    </row>
    <row r="812" spans="1:11" s="360" customFormat="1" ht="20.25" hidden="1" customHeight="1">
      <c r="A812" s="356" t="s">
        <v>1589</v>
      </c>
      <c r="B812" s="357" t="s">
        <v>2125</v>
      </c>
      <c r="C812" s="358">
        <f>'PART-A'!I4372</f>
        <v>0</v>
      </c>
      <c r="D812" s="354" t="s">
        <v>115</v>
      </c>
      <c r="E812" s="355">
        <f>'PART-A'!K4372</f>
        <v>132</v>
      </c>
      <c r="F812" s="353">
        <f>ROUND(C812*E812,0)</f>
        <v>0</v>
      </c>
      <c r="G812" s="368"/>
      <c r="H812" s="368"/>
      <c r="I812" s="368">
        <f>C812-G812</f>
        <v>0</v>
      </c>
      <c r="J812" s="368">
        <f>F812-H812</f>
        <v>0</v>
      </c>
      <c r="K812" s="360" t="s">
        <v>2313</v>
      </c>
    </row>
    <row r="813" spans="1:11" s="360" customFormat="1" ht="20.25" hidden="1" customHeight="1">
      <c r="A813" s="356" t="s">
        <v>1575</v>
      </c>
      <c r="B813" s="357" t="s">
        <v>2126</v>
      </c>
      <c r="C813" s="358">
        <f>'PART-A'!I3718</f>
        <v>0</v>
      </c>
      <c r="D813" s="354" t="s">
        <v>115</v>
      </c>
      <c r="E813" s="355">
        <f>'PART-A'!K3718</f>
        <v>80</v>
      </c>
      <c r="F813" s="353">
        <f t="shared" si="35"/>
        <v>0</v>
      </c>
      <c r="G813" s="368"/>
      <c r="H813" s="368"/>
      <c r="I813" s="368">
        <f t="shared" si="28"/>
        <v>0</v>
      </c>
      <c r="J813" s="368">
        <f t="shared" si="29"/>
        <v>0</v>
      </c>
      <c r="K813" s="360" t="s">
        <v>2217</v>
      </c>
    </row>
    <row r="814" spans="1:11" s="360" customFormat="1" ht="20.25" hidden="1" customHeight="1">
      <c r="A814" s="356" t="s">
        <v>1577</v>
      </c>
      <c r="B814" s="357" t="s">
        <v>2126</v>
      </c>
      <c r="C814" s="358">
        <f>'PART-A'!I3940</f>
        <v>0</v>
      </c>
      <c r="D814" s="354" t="s">
        <v>115</v>
      </c>
      <c r="E814" s="355">
        <f>'PART-A'!K3940</f>
        <v>80</v>
      </c>
      <c r="F814" s="353">
        <f>ROUND(C814*E814,0)</f>
        <v>0</v>
      </c>
      <c r="G814" s="368"/>
      <c r="H814" s="368"/>
      <c r="I814" s="368">
        <f>C814-G814</f>
        <v>0</v>
      </c>
      <c r="J814" s="368">
        <f>F814-H814</f>
        <v>0</v>
      </c>
      <c r="K814" s="360" t="s">
        <v>2299</v>
      </c>
    </row>
    <row r="815" spans="1:11" s="360" customFormat="1" ht="20.25" hidden="1" customHeight="1">
      <c r="A815" s="356" t="s">
        <v>1575</v>
      </c>
      <c r="B815" s="357" t="s">
        <v>2126</v>
      </c>
      <c r="C815" s="358">
        <f>'PART-A'!I4160</f>
        <v>0</v>
      </c>
      <c r="D815" s="354" t="s">
        <v>115</v>
      </c>
      <c r="E815" s="355">
        <f>'PART-A'!K4160</f>
        <v>88</v>
      </c>
      <c r="F815" s="353">
        <f>ROUND(C815*E815,0)</f>
        <v>0</v>
      </c>
      <c r="G815" s="368"/>
      <c r="H815" s="368"/>
      <c r="I815" s="368">
        <f>C815-G815</f>
        <v>0</v>
      </c>
      <c r="J815" s="368">
        <f>F815-H815</f>
        <v>0</v>
      </c>
      <c r="K815" s="360" t="s">
        <v>2312</v>
      </c>
    </row>
    <row r="816" spans="1:11" s="360" customFormat="1" ht="20.25" hidden="1" customHeight="1">
      <c r="A816" s="356" t="s">
        <v>1575</v>
      </c>
      <c r="B816" s="357" t="s">
        <v>2126</v>
      </c>
      <c r="C816" s="358">
        <f>'PART-A'!I4382</f>
        <v>0</v>
      </c>
      <c r="D816" s="354" t="s">
        <v>115</v>
      </c>
      <c r="E816" s="355">
        <f>'PART-A'!K4382</f>
        <v>88</v>
      </c>
      <c r="F816" s="353">
        <f>ROUND(C816*E816,0)</f>
        <v>0</v>
      </c>
      <c r="G816" s="368"/>
      <c r="H816" s="368"/>
      <c r="I816" s="368">
        <f>C816-G816</f>
        <v>0</v>
      </c>
      <c r="J816" s="368">
        <f>F816-H816</f>
        <v>0</v>
      </c>
      <c r="K816" s="360" t="s">
        <v>2313</v>
      </c>
    </row>
    <row r="817" spans="1:11" s="360" customFormat="1" ht="20.25" hidden="1" customHeight="1">
      <c r="A817" s="356" t="s">
        <v>525</v>
      </c>
      <c r="B817" s="357" t="s">
        <v>2242</v>
      </c>
      <c r="C817" s="358">
        <f>'PART-A'!I3713</f>
        <v>0</v>
      </c>
      <c r="D817" s="354" t="s">
        <v>115</v>
      </c>
      <c r="E817" s="355">
        <f>'PART-A'!K3713</f>
        <v>310</v>
      </c>
      <c r="F817" s="353">
        <f t="shared" si="35"/>
        <v>0</v>
      </c>
      <c r="G817" s="368"/>
      <c r="H817" s="368"/>
      <c r="I817" s="368">
        <f t="shared" si="28"/>
        <v>0</v>
      </c>
      <c r="J817" s="368">
        <f t="shared" si="29"/>
        <v>0</v>
      </c>
      <c r="K817" s="360" t="s">
        <v>2217</v>
      </c>
    </row>
    <row r="818" spans="1:11" s="360" customFormat="1" ht="20.25" hidden="1" customHeight="1">
      <c r="A818" s="356" t="s">
        <v>525</v>
      </c>
      <c r="B818" s="357" t="s">
        <v>2242</v>
      </c>
      <c r="C818" s="358">
        <f>'PART-A'!I3935</f>
        <v>0</v>
      </c>
      <c r="D818" s="354" t="s">
        <v>115</v>
      </c>
      <c r="E818" s="355">
        <f>'PART-A'!K3935</f>
        <v>310</v>
      </c>
      <c r="F818" s="353">
        <f>ROUND(C818*E818,0)</f>
        <v>0</v>
      </c>
      <c r="G818" s="368"/>
      <c r="H818" s="368"/>
      <c r="I818" s="368">
        <f>C818-G818</f>
        <v>0</v>
      </c>
      <c r="J818" s="368">
        <f>F818-H818</f>
        <v>0</v>
      </c>
      <c r="K818" s="360" t="s">
        <v>2299</v>
      </c>
    </row>
    <row r="819" spans="1:11" s="360" customFormat="1" ht="20.25" hidden="1" customHeight="1">
      <c r="A819" s="356" t="s">
        <v>525</v>
      </c>
      <c r="B819" s="357" t="s">
        <v>2242</v>
      </c>
      <c r="C819" s="358">
        <f>'PART-A'!I4155</f>
        <v>0</v>
      </c>
      <c r="D819" s="354" t="s">
        <v>115</v>
      </c>
      <c r="E819" s="355">
        <f>'PART-A'!K4155</f>
        <v>341</v>
      </c>
      <c r="F819" s="353">
        <f>ROUND(C819*E819,0)</f>
        <v>0</v>
      </c>
      <c r="G819" s="368"/>
      <c r="H819" s="368"/>
      <c r="I819" s="368">
        <f>C819-G819</f>
        <v>0</v>
      </c>
      <c r="J819" s="368">
        <f>F819-H819</f>
        <v>0</v>
      </c>
      <c r="K819" s="360" t="s">
        <v>2312</v>
      </c>
    </row>
    <row r="820" spans="1:11" s="360" customFormat="1" ht="20.25" hidden="1" customHeight="1">
      <c r="A820" s="356" t="s">
        <v>525</v>
      </c>
      <c r="B820" s="357" t="s">
        <v>2242</v>
      </c>
      <c r="C820" s="358">
        <f>'PART-A'!I4377</f>
        <v>0</v>
      </c>
      <c r="D820" s="354" t="s">
        <v>115</v>
      </c>
      <c r="E820" s="355">
        <f>'PART-A'!K4377</f>
        <v>341</v>
      </c>
      <c r="F820" s="353">
        <f>ROUND(C820*E820,0)</f>
        <v>0</v>
      </c>
      <c r="G820" s="368"/>
      <c r="H820" s="368"/>
      <c r="I820" s="368">
        <f>C820-G820</f>
        <v>0</v>
      </c>
      <c r="J820" s="368">
        <f>F820-H820</f>
        <v>0</v>
      </c>
      <c r="K820" s="360" t="s">
        <v>2313</v>
      </c>
    </row>
    <row r="821" spans="1:11" s="360" customFormat="1" ht="20.25" hidden="1" customHeight="1">
      <c r="A821" s="356" t="s">
        <v>1518</v>
      </c>
      <c r="B821" s="357" t="s">
        <v>2243</v>
      </c>
      <c r="C821" s="358">
        <f>'PART-A'!I3638</f>
        <v>0</v>
      </c>
      <c r="D821" s="354" t="s">
        <v>115</v>
      </c>
      <c r="E821" s="355">
        <f>'PART-A'!K3638</f>
        <v>300</v>
      </c>
      <c r="F821" s="353">
        <f t="shared" si="35"/>
        <v>0</v>
      </c>
      <c r="G821" s="368"/>
      <c r="H821" s="368"/>
      <c r="I821" s="368">
        <f t="shared" si="28"/>
        <v>0</v>
      </c>
      <c r="J821" s="368">
        <f t="shared" si="29"/>
        <v>0</v>
      </c>
      <c r="K821" s="360" t="s">
        <v>2217</v>
      </c>
    </row>
    <row r="822" spans="1:11" s="360" customFormat="1" ht="20.25" hidden="1" customHeight="1">
      <c r="A822" s="356" t="s">
        <v>1518</v>
      </c>
      <c r="B822" s="357" t="s">
        <v>2243</v>
      </c>
      <c r="C822" s="358">
        <f>'PART-A'!I3862</f>
        <v>0</v>
      </c>
      <c r="D822" s="354" t="s">
        <v>115</v>
      </c>
      <c r="E822" s="355">
        <f>'PART-A'!K3862</f>
        <v>300</v>
      </c>
      <c r="F822" s="353">
        <f>ROUND(C822*E822,0)</f>
        <v>0</v>
      </c>
      <c r="G822" s="368"/>
      <c r="H822" s="368"/>
      <c r="I822" s="368">
        <f>C822-G822</f>
        <v>0</v>
      </c>
      <c r="J822" s="368">
        <f>F822-H822</f>
        <v>0</v>
      </c>
      <c r="K822" s="360" t="s">
        <v>2299</v>
      </c>
    </row>
    <row r="823" spans="1:11" s="360" customFormat="1" ht="20.25" hidden="1" customHeight="1">
      <c r="A823" s="356" t="s">
        <v>1518</v>
      </c>
      <c r="B823" s="357" t="s">
        <v>2243</v>
      </c>
      <c r="C823" s="358">
        <f>'PART-A'!I4080</f>
        <v>0</v>
      </c>
      <c r="D823" s="354" t="s">
        <v>115</v>
      </c>
      <c r="E823" s="355">
        <f>'PART-A'!K4080</f>
        <v>331</v>
      </c>
      <c r="F823" s="353">
        <f>ROUND(C823*E823,0)</f>
        <v>0</v>
      </c>
      <c r="G823" s="368"/>
      <c r="H823" s="368"/>
      <c r="I823" s="368">
        <f>C823-G823</f>
        <v>0</v>
      </c>
      <c r="J823" s="368">
        <f>F823-H823</f>
        <v>0</v>
      </c>
      <c r="K823" s="360" t="s">
        <v>2312</v>
      </c>
    </row>
    <row r="824" spans="1:11" s="360" customFormat="1" ht="20.25" hidden="1" customHeight="1">
      <c r="A824" s="356" t="s">
        <v>1518</v>
      </c>
      <c r="B824" s="357" t="s">
        <v>2243</v>
      </c>
      <c r="C824" s="358">
        <f>'PART-A'!I4301</f>
        <v>0</v>
      </c>
      <c r="D824" s="354" t="s">
        <v>115</v>
      </c>
      <c r="E824" s="355">
        <f>'PART-A'!K4301</f>
        <v>359</v>
      </c>
      <c r="F824" s="353">
        <f>ROUND(C824*E824,0)</f>
        <v>0</v>
      </c>
      <c r="G824" s="368"/>
      <c r="H824" s="368"/>
      <c r="I824" s="368">
        <f>C824-G824</f>
        <v>0</v>
      </c>
      <c r="J824" s="368">
        <f>F824-H824</f>
        <v>0</v>
      </c>
      <c r="K824" s="360" t="s">
        <v>2313</v>
      </c>
    </row>
    <row r="825" spans="1:11" s="360" customFormat="1" ht="20.25" hidden="1" customHeight="1">
      <c r="A825" s="356" t="s">
        <v>647</v>
      </c>
      <c r="B825" s="357" t="s">
        <v>2191</v>
      </c>
      <c r="C825" s="358">
        <f>'PART-A'!I3723</f>
        <v>0</v>
      </c>
      <c r="D825" s="354" t="s">
        <v>115</v>
      </c>
      <c r="E825" s="355">
        <f>'PART-A'!K3723</f>
        <v>60</v>
      </c>
      <c r="F825" s="353">
        <f t="shared" si="35"/>
        <v>0</v>
      </c>
      <c r="G825" s="368"/>
      <c r="H825" s="368"/>
      <c r="I825" s="368">
        <f t="shared" si="28"/>
        <v>0</v>
      </c>
      <c r="J825" s="368">
        <f t="shared" si="29"/>
        <v>0</v>
      </c>
      <c r="K825" s="360" t="s">
        <v>2217</v>
      </c>
    </row>
    <row r="826" spans="1:11" s="360" customFormat="1" ht="20.25" hidden="1" customHeight="1">
      <c r="A826" s="356" t="s">
        <v>1148</v>
      </c>
      <c r="B826" s="357" t="s">
        <v>2191</v>
      </c>
      <c r="C826" s="358">
        <f>'PART-A'!I3945</f>
        <v>0</v>
      </c>
      <c r="D826" s="354" t="s">
        <v>115</v>
      </c>
      <c r="E826" s="355">
        <f>'PART-A'!K3945</f>
        <v>60</v>
      </c>
      <c r="F826" s="353">
        <f>ROUND(C826*E826,0)</f>
        <v>0</v>
      </c>
      <c r="G826" s="368"/>
      <c r="H826" s="368"/>
      <c r="I826" s="368">
        <f>C826-G826</f>
        <v>0</v>
      </c>
      <c r="J826" s="368">
        <f>F826-H826</f>
        <v>0</v>
      </c>
      <c r="K826" s="360" t="s">
        <v>2299</v>
      </c>
    </row>
    <row r="827" spans="1:11" s="360" customFormat="1" ht="20.25" hidden="1" customHeight="1">
      <c r="A827" s="356" t="s">
        <v>647</v>
      </c>
      <c r="B827" s="357" t="s">
        <v>2191</v>
      </c>
      <c r="C827" s="358">
        <f>'PART-A'!I4165</f>
        <v>0</v>
      </c>
      <c r="D827" s="354" t="s">
        <v>115</v>
      </c>
      <c r="E827" s="355">
        <f>'PART-A'!K4165</f>
        <v>66</v>
      </c>
      <c r="F827" s="353">
        <f>ROUND(C827*E827,0)</f>
        <v>0</v>
      </c>
      <c r="G827" s="368"/>
      <c r="H827" s="368"/>
      <c r="I827" s="368">
        <f>C827-G827</f>
        <v>0</v>
      </c>
      <c r="J827" s="368">
        <f>F827-H827</f>
        <v>0</v>
      </c>
      <c r="K827" s="360" t="s">
        <v>2312</v>
      </c>
    </row>
    <row r="828" spans="1:11" s="360" customFormat="1" ht="20.25" hidden="1" customHeight="1">
      <c r="A828" s="356" t="s">
        <v>647</v>
      </c>
      <c r="B828" s="357" t="s">
        <v>2191</v>
      </c>
      <c r="C828" s="358">
        <f>'PART-A'!I4387</f>
        <v>0</v>
      </c>
      <c r="D828" s="354" t="s">
        <v>115</v>
      </c>
      <c r="E828" s="355">
        <f>'PART-A'!K4387</f>
        <v>66</v>
      </c>
      <c r="F828" s="353">
        <f>ROUND(C828*E828,0)</f>
        <v>0</v>
      </c>
      <c r="G828" s="368"/>
      <c r="H828" s="368"/>
      <c r="I828" s="368">
        <f>C828-G828</f>
        <v>0</v>
      </c>
      <c r="J828" s="368">
        <f>F828-H828</f>
        <v>0</v>
      </c>
      <c r="K828" s="360" t="s">
        <v>2313</v>
      </c>
    </row>
    <row r="829" spans="1:11" s="360" customFormat="1" ht="20.25" hidden="1" customHeight="1">
      <c r="A829" s="356" t="s">
        <v>1590</v>
      </c>
      <c r="B829" s="357" t="s">
        <v>2127</v>
      </c>
      <c r="C829" s="358">
        <f>'PART-A'!I3734</f>
        <v>0</v>
      </c>
      <c r="D829" s="354" t="s">
        <v>115</v>
      </c>
      <c r="E829" s="355">
        <f>'PART-A'!K3734</f>
        <v>105.53100000000001</v>
      </c>
      <c r="F829" s="353">
        <f t="shared" si="35"/>
        <v>0</v>
      </c>
      <c r="G829" s="368"/>
      <c r="H829" s="368"/>
      <c r="I829" s="368">
        <f t="shared" si="28"/>
        <v>0</v>
      </c>
      <c r="J829" s="368">
        <f t="shared" si="29"/>
        <v>0</v>
      </c>
      <c r="K829" s="360" t="s">
        <v>2217</v>
      </c>
    </row>
    <row r="830" spans="1:11" s="360" customFormat="1" ht="20.25" hidden="1" customHeight="1">
      <c r="A830" s="356" t="s">
        <v>1149</v>
      </c>
      <c r="B830" s="357" t="s">
        <v>2787</v>
      </c>
      <c r="C830" s="358">
        <f>'PART-A'!I3955</f>
        <v>0</v>
      </c>
      <c r="D830" s="354" t="s">
        <v>115</v>
      </c>
      <c r="E830" s="355">
        <f>'PART-A'!K3955</f>
        <v>109.685</v>
      </c>
      <c r="F830" s="353">
        <f>ROUND(C830*E830,0)</f>
        <v>0</v>
      </c>
      <c r="G830" s="368"/>
      <c r="H830" s="368"/>
      <c r="I830" s="368">
        <f>C830-G830</f>
        <v>0</v>
      </c>
      <c r="J830" s="368">
        <f>F830-H830</f>
        <v>0</v>
      </c>
      <c r="K830" s="360" t="s">
        <v>2299</v>
      </c>
    </row>
    <row r="831" spans="1:11" s="360" customFormat="1" ht="20.25" hidden="1" customHeight="1">
      <c r="A831" s="356" t="s">
        <v>1590</v>
      </c>
      <c r="B831" s="357" t="s">
        <v>2127</v>
      </c>
      <c r="C831" s="358">
        <f>'PART-A'!I4176</f>
        <v>0</v>
      </c>
      <c r="D831" s="354" t="s">
        <v>115</v>
      </c>
      <c r="E831" s="355">
        <f>'PART-A'!K4176</f>
        <v>118.04</v>
      </c>
      <c r="F831" s="353">
        <f>ROUND(C831*E831,0)</f>
        <v>0</v>
      </c>
      <c r="G831" s="368"/>
      <c r="H831" s="368"/>
      <c r="I831" s="368">
        <f>C831-G831</f>
        <v>0</v>
      </c>
      <c r="J831" s="368">
        <f>F831-H831</f>
        <v>0</v>
      </c>
      <c r="K831" s="360" t="s">
        <v>2312</v>
      </c>
    </row>
    <row r="832" spans="1:11" s="360" customFormat="1" ht="20.25" hidden="1" customHeight="1">
      <c r="A832" s="356" t="s">
        <v>1518</v>
      </c>
      <c r="B832" s="357" t="s">
        <v>2127</v>
      </c>
      <c r="C832" s="358">
        <f>'PART-A'!I4397</f>
        <v>0</v>
      </c>
      <c r="D832" s="354" t="s">
        <v>115</v>
      </c>
      <c r="E832" s="355">
        <f>'PART-A'!K4397</f>
        <v>125.73500000000001</v>
      </c>
      <c r="F832" s="353">
        <f>ROUND(C832*E832,0)</f>
        <v>0</v>
      </c>
      <c r="G832" s="368"/>
      <c r="H832" s="368"/>
      <c r="I832" s="368">
        <f>C832-G832</f>
        <v>0</v>
      </c>
      <c r="J832" s="368">
        <f>F832-H832</f>
        <v>0</v>
      </c>
      <c r="K832" s="360" t="s">
        <v>2313</v>
      </c>
    </row>
    <row r="833" spans="1:11" s="360" customFormat="1" ht="20.25" hidden="1" customHeight="1">
      <c r="A833" s="356" t="s">
        <v>1159</v>
      </c>
      <c r="B833" s="357" t="s">
        <v>2192</v>
      </c>
      <c r="C833" s="358">
        <f>'PART-A'!I3728</f>
        <v>0</v>
      </c>
      <c r="D833" s="354" t="s">
        <v>115</v>
      </c>
      <c r="E833" s="355">
        <f>'PART-A'!K3728</f>
        <v>344.3</v>
      </c>
      <c r="F833" s="353">
        <f t="shared" si="35"/>
        <v>0</v>
      </c>
      <c r="G833" s="368"/>
      <c r="H833" s="368"/>
      <c r="I833" s="368">
        <f t="shared" si="28"/>
        <v>0</v>
      </c>
      <c r="J833" s="368">
        <f t="shared" si="29"/>
        <v>0</v>
      </c>
      <c r="K833" s="360" t="s">
        <v>2217</v>
      </c>
    </row>
    <row r="834" spans="1:11" s="360" customFormat="1" ht="20.25" hidden="1" customHeight="1">
      <c r="A834" s="356" t="s">
        <v>1151</v>
      </c>
      <c r="B834" s="357" t="s">
        <v>2788</v>
      </c>
      <c r="C834" s="358">
        <f>'PART-A'!I3950</f>
        <v>0</v>
      </c>
      <c r="D834" s="354" t="s">
        <v>115</v>
      </c>
      <c r="E834" s="355">
        <f>'PART-A'!K3950</f>
        <v>375.5</v>
      </c>
      <c r="F834" s="353">
        <f>ROUND(C834*E834,0)</f>
        <v>0</v>
      </c>
      <c r="G834" s="368"/>
      <c r="H834" s="368"/>
      <c r="I834" s="368">
        <f>C834-G834</f>
        <v>0</v>
      </c>
      <c r="J834" s="368">
        <f>F834-H834</f>
        <v>0</v>
      </c>
      <c r="K834" s="360" t="s">
        <v>2299</v>
      </c>
    </row>
    <row r="835" spans="1:11" s="360" customFormat="1" ht="20.25" hidden="1" customHeight="1">
      <c r="A835" s="356" t="s">
        <v>1159</v>
      </c>
      <c r="B835" s="357" t="s">
        <v>2192</v>
      </c>
      <c r="C835" s="358">
        <f>'PART-A'!I4170</f>
        <v>0</v>
      </c>
      <c r="D835" s="354" t="s">
        <v>115</v>
      </c>
      <c r="E835" s="355">
        <f>'PART-A'!K4170</f>
        <v>410</v>
      </c>
      <c r="F835" s="353">
        <f>ROUND(C835*E835,0)</f>
        <v>0</v>
      </c>
      <c r="G835" s="368"/>
      <c r="H835" s="368"/>
      <c r="I835" s="368">
        <f>C835-G835</f>
        <v>0</v>
      </c>
      <c r="J835" s="368">
        <f>F835-H835</f>
        <v>0</v>
      </c>
      <c r="K835" s="360" t="s">
        <v>2312</v>
      </c>
    </row>
    <row r="836" spans="1:11" s="360" customFormat="1" ht="20.25" hidden="1" customHeight="1">
      <c r="A836" s="356" t="s">
        <v>1159</v>
      </c>
      <c r="B836" s="357" t="s">
        <v>2192</v>
      </c>
      <c r="C836" s="358">
        <f>'PART-A'!I4392</f>
        <v>0</v>
      </c>
      <c r="D836" s="354" t="s">
        <v>115</v>
      </c>
      <c r="E836" s="355">
        <f>'PART-A'!K4392</f>
        <v>422.5</v>
      </c>
      <c r="F836" s="353">
        <f>ROUND(C836*E836,0)</f>
        <v>0</v>
      </c>
      <c r="G836" s="368"/>
      <c r="H836" s="368"/>
      <c r="I836" s="368">
        <f>C836-G836</f>
        <v>0</v>
      </c>
      <c r="J836" s="368">
        <f>F836-H836</f>
        <v>0</v>
      </c>
      <c r="K836" s="360" t="s">
        <v>2313</v>
      </c>
    </row>
    <row r="837" spans="1:11" s="360" customFormat="1" ht="20.25" hidden="1" customHeight="1">
      <c r="A837" s="356" t="s">
        <v>646</v>
      </c>
      <c r="B837" s="357" t="s">
        <v>2244</v>
      </c>
      <c r="C837" s="358">
        <f>'PART-A'!I3739</f>
        <v>0</v>
      </c>
      <c r="D837" s="354" t="s">
        <v>115</v>
      </c>
      <c r="E837" s="355">
        <f>'PART-A'!K3739</f>
        <v>99.531000000000006</v>
      </c>
      <c r="F837" s="353">
        <f t="shared" si="35"/>
        <v>0</v>
      </c>
      <c r="G837" s="368"/>
      <c r="H837" s="368"/>
      <c r="I837" s="368">
        <f t="shared" si="28"/>
        <v>0</v>
      </c>
      <c r="J837" s="368">
        <f t="shared" si="29"/>
        <v>0</v>
      </c>
      <c r="K837" s="360" t="s">
        <v>2217</v>
      </c>
    </row>
    <row r="838" spans="1:11" s="360" customFormat="1" ht="20.25" hidden="1" customHeight="1">
      <c r="A838" s="356" t="s">
        <v>646</v>
      </c>
      <c r="B838" s="357" t="s">
        <v>2244</v>
      </c>
      <c r="C838" s="358">
        <f>'PART-A'!I3960</f>
        <v>0</v>
      </c>
      <c r="D838" s="354" t="s">
        <v>115</v>
      </c>
      <c r="E838" s="355">
        <f>'PART-A'!K3960</f>
        <v>103.685</v>
      </c>
      <c r="F838" s="353">
        <f>ROUND(C838*E838,0)</f>
        <v>0</v>
      </c>
      <c r="G838" s="368"/>
      <c r="H838" s="368"/>
      <c r="I838" s="368">
        <f>C838-G838</f>
        <v>0</v>
      </c>
      <c r="J838" s="368">
        <f>F838-H838</f>
        <v>0</v>
      </c>
      <c r="K838" s="360" t="s">
        <v>2299</v>
      </c>
    </row>
    <row r="839" spans="1:11" s="360" customFormat="1" ht="20.25" hidden="1" customHeight="1">
      <c r="A839" s="356" t="s">
        <v>646</v>
      </c>
      <c r="B839" s="357" t="s">
        <v>2244</v>
      </c>
      <c r="C839" s="358">
        <f>'PART-A'!I4181</f>
        <v>0</v>
      </c>
      <c r="D839" s="354" t="s">
        <v>115</v>
      </c>
      <c r="E839" s="355">
        <f>'PART-A'!K4181</f>
        <v>112.04</v>
      </c>
      <c r="F839" s="353">
        <f>ROUND(C839*E839,0)</f>
        <v>0</v>
      </c>
      <c r="G839" s="368"/>
      <c r="H839" s="368"/>
      <c r="I839" s="368">
        <f>C839-G839</f>
        <v>0</v>
      </c>
      <c r="J839" s="368">
        <f>F839-H839</f>
        <v>0</v>
      </c>
      <c r="K839" s="360" t="s">
        <v>2312</v>
      </c>
    </row>
    <row r="840" spans="1:11" s="360" customFormat="1" ht="20.25" hidden="1" customHeight="1">
      <c r="A840" s="356" t="s">
        <v>646</v>
      </c>
      <c r="B840" s="357" t="s">
        <v>2244</v>
      </c>
      <c r="C840" s="358">
        <f>'PART-A'!I4402</f>
        <v>0</v>
      </c>
      <c r="D840" s="354" t="s">
        <v>115</v>
      </c>
      <c r="E840" s="355">
        <f>'PART-A'!K4402</f>
        <v>119.73500000000001</v>
      </c>
      <c r="F840" s="353">
        <f>ROUND(C840*E840,0)</f>
        <v>0</v>
      </c>
      <c r="G840" s="368"/>
      <c r="H840" s="368"/>
      <c r="I840" s="368">
        <f>C840-G840</f>
        <v>0</v>
      </c>
      <c r="J840" s="368">
        <f>F840-H840</f>
        <v>0</v>
      </c>
      <c r="K840" s="360" t="s">
        <v>2313</v>
      </c>
    </row>
    <row r="841" spans="1:11" s="360" customFormat="1" ht="20.25" hidden="1" customHeight="1">
      <c r="A841" s="356" t="s">
        <v>1150</v>
      </c>
      <c r="B841" s="357" t="s">
        <v>1452</v>
      </c>
      <c r="C841" s="358">
        <f>'PART-A'!I3744</f>
        <v>0</v>
      </c>
      <c r="D841" s="354" t="s">
        <v>115</v>
      </c>
      <c r="E841" s="355">
        <f>'PART-A'!K3744</f>
        <v>18</v>
      </c>
      <c r="F841" s="353">
        <f t="shared" si="35"/>
        <v>0</v>
      </c>
      <c r="G841" s="368"/>
      <c r="H841" s="368"/>
      <c r="I841" s="368">
        <f t="shared" ref="I841:I897" si="39">C841-G841</f>
        <v>0</v>
      </c>
      <c r="J841" s="368">
        <f t="shared" ref="J841:J897" si="40">F841-H841</f>
        <v>0</v>
      </c>
      <c r="K841" s="360" t="s">
        <v>2217</v>
      </c>
    </row>
    <row r="842" spans="1:11" s="360" customFormat="1" ht="20.25" hidden="1" customHeight="1">
      <c r="A842" s="356" t="s">
        <v>1152</v>
      </c>
      <c r="B842" s="357" t="s">
        <v>1899</v>
      </c>
      <c r="C842" s="358">
        <f>'PART-A'!I3965</f>
        <v>0</v>
      </c>
      <c r="D842" s="354" t="s">
        <v>115</v>
      </c>
      <c r="E842" s="355">
        <f>'PART-A'!K3965</f>
        <v>18</v>
      </c>
      <c r="F842" s="353">
        <f>ROUND(C842*E842,0)</f>
        <v>0</v>
      </c>
      <c r="G842" s="368"/>
      <c r="H842" s="368"/>
      <c r="I842" s="368">
        <f>C842-G842</f>
        <v>0</v>
      </c>
      <c r="J842" s="368">
        <f>F842-H842</f>
        <v>0</v>
      </c>
      <c r="K842" s="360" t="s">
        <v>2299</v>
      </c>
    </row>
    <row r="843" spans="1:11" s="360" customFormat="1" ht="20.25" hidden="1" customHeight="1">
      <c r="A843" s="356" t="s">
        <v>1150</v>
      </c>
      <c r="B843" s="357" t="s">
        <v>1452</v>
      </c>
      <c r="C843" s="358">
        <f>'PART-A'!I4186</f>
        <v>0</v>
      </c>
      <c r="D843" s="354" t="s">
        <v>115</v>
      </c>
      <c r="E843" s="355">
        <f>'PART-A'!K4186</f>
        <v>20</v>
      </c>
      <c r="F843" s="353">
        <f>ROUND(C843*E843,0)</f>
        <v>0</v>
      </c>
      <c r="G843" s="368"/>
      <c r="H843" s="368"/>
      <c r="I843" s="368">
        <f>C843-G843</f>
        <v>0</v>
      </c>
      <c r="J843" s="368">
        <f>F843-H843</f>
        <v>0</v>
      </c>
      <c r="K843" s="360" t="s">
        <v>2312</v>
      </c>
    </row>
    <row r="844" spans="1:11" s="360" customFormat="1" ht="20.25" hidden="1" customHeight="1">
      <c r="A844" s="356" t="s">
        <v>1150</v>
      </c>
      <c r="B844" s="357" t="s">
        <v>1452</v>
      </c>
      <c r="C844" s="358">
        <f>'PART-A'!I4407</f>
        <v>0</v>
      </c>
      <c r="D844" s="354" t="s">
        <v>115</v>
      </c>
      <c r="E844" s="355">
        <f>'PART-A'!K4407</f>
        <v>21</v>
      </c>
      <c r="F844" s="353">
        <f>ROUND(C844*E844,0)</f>
        <v>0</v>
      </c>
      <c r="G844" s="368"/>
      <c r="H844" s="368"/>
      <c r="I844" s="368">
        <f>C844-G844</f>
        <v>0</v>
      </c>
      <c r="J844" s="368">
        <f>F844-H844</f>
        <v>0</v>
      </c>
      <c r="K844" s="360" t="s">
        <v>2313</v>
      </c>
    </row>
    <row r="845" spans="1:11" s="360" customFormat="1" ht="20.25" hidden="1" customHeight="1">
      <c r="A845" s="356" t="s">
        <v>1577</v>
      </c>
      <c r="B845" s="357" t="s">
        <v>2148</v>
      </c>
      <c r="C845" s="358">
        <f>'PART-A'!I3749</f>
        <v>0</v>
      </c>
      <c r="D845" s="354" t="s">
        <v>115</v>
      </c>
      <c r="E845" s="355">
        <f>'PART-A'!K3749</f>
        <v>177.65</v>
      </c>
      <c r="F845" s="353">
        <f t="shared" si="35"/>
        <v>0</v>
      </c>
      <c r="G845" s="368"/>
      <c r="H845" s="368"/>
      <c r="I845" s="368">
        <f t="shared" si="39"/>
        <v>0</v>
      </c>
      <c r="J845" s="368">
        <f t="shared" si="40"/>
        <v>0</v>
      </c>
      <c r="K845" s="360" t="s">
        <v>2217</v>
      </c>
    </row>
    <row r="846" spans="1:11" s="360" customFormat="1" ht="20.25" hidden="1" customHeight="1">
      <c r="A846" s="356" t="s">
        <v>2568</v>
      </c>
      <c r="B846" s="357" t="s">
        <v>2148</v>
      </c>
      <c r="C846" s="358">
        <f>'PART-A'!I3970</f>
        <v>0</v>
      </c>
      <c r="D846" s="354" t="s">
        <v>115</v>
      </c>
      <c r="E846" s="355">
        <f>'PART-A'!K3970</f>
        <v>120.75</v>
      </c>
      <c r="F846" s="353">
        <f>ROUND(C846*E846,0)</f>
        <v>0</v>
      </c>
      <c r="G846" s="368"/>
      <c r="H846" s="368"/>
      <c r="I846" s="368">
        <f>C846-G846</f>
        <v>0</v>
      </c>
      <c r="J846" s="368">
        <f>F846-H846</f>
        <v>0</v>
      </c>
      <c r="K846" s="360" t="s">
        <v>2299</v>
      </c>
    </row>
    <row r="847" spans="1:11" s="360" customFormat="1" ht="20.25" hidden="1" customHeight="1">
      <c r="A847" s="356" t="s">
        <v>1577</v>
      </c>
      <c r="B847" s="357" t="s">
        <v>2148</v>
      </c>
      <c r="C847" s="358">
        <f>'PART-A'!I4191</f>
        <v>0</v>
      </c>
      <c r="D847" s="354" t="s">
        <v>115</v>
      </c>
      <c r="E847" s="355">
        <f>'PART-A'!K4191</f>
        <v>122</v>
      </c>
      <c r="F847" s="353">
        <f>ROUND(C847*E847,0)</f>
        <v>0</v>
      </c>
      <c r="G847" s="368"/>
      <c r="H847" s="368"/>
      <c r="I847" s="368">
        <f>C847-G847</f>
        <v>0</v>
      </c>
      <c r="J847" s="368">
        <f>F847-H847</f>
        <v>0</v>
      </c>
      <c r="K847" s="360" t="s">
        <v>2312</v>
      </c>
    </row>
    <row r="848" spans="1:11" s="360" customFormat="1" ht="20.25" hidden="1" customHeight="1">
      <c r="A848" s="356" t="s">
        <v>1519</v>
      </c>
      <c r="B848" s="357" t="s">
        <v>2148</v>
      </c>
      <c r="C848" s="358">
        <f>'PART-A'!I4412</f>
        <v>0</v>
      </c>
      <c r="D848" s="354" t="s">
        <v>115</v>
      </c>
      <c r="E848" s="355">
        <f>'PART-A'!K4412</f>
        <v>127.25</v>
      </c>
      <c r="F848" s="353">
        <f>ROUND(C848*E848,0)</f>
        <v>0</v>
      </c>
      <c r="G848" s="368"/>
      <c r="H848" s="368"/>
      <c r="I848" s="368">
        <f>C848-G848</f>
        <v>0</v>
      </c>
      <c r="J848" s="368">
        <f>F848-H848</f>
        <v>0</v>
      </c>
      <c r="K848" s="360" t="s">
        <v>2313</v>
      </c>
    </row>
    <row r="849" spans="1:11" s="360" customFormat="1" ht="20.25" hidden="1" customHeight="1">
      <c r="A849" s="356" t="s">
        <v>1146</v>
      </c>
      <c r="B849" s="357" t="s">
        <v>563</v>
      </c>
      <c r="C849" s="358">
        <f>'PART-A'!I3754</f>
        <v>0</v>
      </c>
      <c r="D849" s="354" t="s">
        <v>115</v>
      </c>
      <c r="E849" s="355">
        <f>'PART-A'!K3754</f>
        <v>2636.625</v>
      </c>
      <c r="F849" s="353">
        <f t="shared" si="35"/>
        <v>0</v>
      </c>
      <c r="G849" s="368"/>
      <c r="H849" s="368"/>
      <c r="I849" s="368">
        <f t="shared" si="39"/>
        <v>0</v>
      </c>
      <c r="J849" s="368">
        <f t="shared" si="40"/>
        <v>0</v>
      </c>
      <c r="K849" s="360" t="s">
        <v>2217</v>
      </c>
    </row>
    <row r="850" spans="1:11" s="360" customFormat="1" ht="20.25" hidden="1" customHeight="1">
      <c r="A850" s="356" t="s">
        <v>1146</v>
      </c>
      <c r="B850" s="357" t="s">
        <v>563</v>
      </c>
      <c r="C850" s="358">
        <f>'PART-A'!I3976</f>
        <v>0</v>
      </c>
      <c r="D850" s="354" t="s">
        <v>115</v>
      </c>
      <c r="E850" s="355">
        <f>'PART-A'!K3976</f>
        <v>2644.375</v>
      </c>
      <c r="F850" s="353">
        <f>ROUND(C850*E850,0)</f>
        <v>0</v>
      </c>
      <c r="G850" s="368"/>
      <c r="H850" s="368"/>
      <c r="I850" s="368">
        <f>C850-G850</f>
        <v>0</v>
      </c>
      <c r="J850" s="368">
        <f>F850-H850</f>
        <v>0</v>
      </c>
      <c r="K850" s="360" t="s">
        <v>2299</v>
      </c>
    </row>
    <row r="851" spans="1:11" s="360" customFormat="1" ht="20.25" hidden="1" customHeight="1">
      <c r="A851" s="356" t="s">
        <v>1146</v>
      </c>
      <c r="B851" s="357" t="s">
        <v>563</v>
      </c>
      <c r="C851" s="358">
        <f>'PART-A'!I4196</f>
        <v>0</v>
      </c>
      <c r="D851" s="354" t="s">
        <v>115</v>
      </c>
      <c r="E851" s="355">
        <f>'PART-A'!K4196</f>
        <v>3020.3799999999997</v>
      </c>
      <c r="F851" s="353">
        <f>ROUND(C851*E851,0)</f>
        <v>0</v>
      </c>
      <c r="G851" s="368"/>
      <c r="H851" s="368"/>
      <c r="I851" s="368">
        <f>C851-G851</f>
        <v>0</v>
      </c>
      <c r="J851" s="368">
        <f>F851-H851</f>
        <v>0</v>
      </c>
      <c r="K851" s="360" t="s">
        <v>2312</v>
      </c>
    </row>
    <row r="852" spans="1:11" s="360" customFormat="1" ht="20.25" hidden="1" customHeight="1">
      <c r="A852" s="356" t="s">
        <v>1575</v>
      </c>
      <c r="B852" s="357" t="s">
        <v>563</v>
      </c>
      <c r="C852" s="358">
        <f>'PART-A'!I4418</f>
        <v>0</v>
      </c>
      <c r="D852" s="354" t="s">
        <v>115</v>
      </c>
      <c r="E852" s="355">
        <f>'PART-A'!K4418</f>
        <v>3312.1849999999999</v>
      </c>
      <c r="F852" s="353">
        <f>ROUND(C852*E852,0)</f>
        <v>0</v>
      </c>
      <c r="G852" s="368"/>
      <c r="H852" s="368"/>
      <c r="I852" s="368">
        <f>C852-G852</f>
        <v>0</v>
      </c>
      <c r="J852" s="368">
        <f>F852-H852</f>
        <v>0</v>
      </c>
      <c r="K852" s="360" t="s">
        <v>2313</v>
      </c>
    </row>
    <row r="853" spans="1:11" s="360" customFormat="1" ht="20.25" hidden="1" customHeight="1">
      <c r="A853" s="356" t="s">
        <v>1145</v>
      </c>
      <c r="B853" s="357" t="s">
        <v>563</v>
      </c>
      <c r="C853" s="358">
        <f>'PART-A'!I3764</f>
        <v>0</v>
      </c>
      <c r="D853" s="354" t="s">
        <v>115</v>
      </c>
      <c r="E853" s="355">
        <f>'PART-A'!K3764</f>
        <v>2323</v>
      </c>
      <c r="F853" s="353">
        <f t="shared" si="35"/>
        <v>0</v>
      </c>
      <c r="G853" s="368"/>
      <c r="H853" s="368"/>
      <c r="I853" s="368">
        <f t="shared" si="39"/>
        <v>0</v>
      </c>
      <c r="J853" s="368">
        <f t="shared" si="40"/>
        <v>0</v>
      </c>
      <c r="K853" s="360" t="s">
        <v>2217</v>
      </c>
    </row>
    <row r="854" spans="1:11" s="360" customFormat="1" ht="20.25" hidden="1" customHeight="1">
      <c r="A854" s="356" t="s">
        <v>1153</v>
      </c>
      <c r="B854" s="357" t="s">
        <v>563</v>
      </c>
      <c r="C854" s="358">
        <f>'PART-A'!I3986</f>
        <v>0</v>
      </c>
      <c r="D854" s="354" t="s">
        <v>115</v>
      </c>
      <c r="E854" s="355">
        <f>'PART-A'!K3986</f>
        <v>2323</v>
      </c>
      <c r="F854" s="353">
        <f>ROUND(C854*E854,0)</f>
        <v>0</v>
      </c>
      <c r="G854" s="368"/>
      <c r="H854" s="368"/>
      <c r="I854" s="368">
        <f>C854-G854</f>
        <v>0</v>
      </c>
      <c r="J854" s="368">
        <f>F854-H854</f>
        <v>0</v>
      </c>
      <c r="K854" s="360" t="s">
        <v>2299</v>
      </c>
    </row>
    <row r="855" spans="1:11" s="360" customFormat="1" ht="20.25" hidden="1" customHeight="1">
      <c r="A855" s="356" t="s">
        <v>1145</v>
      </c>
      <c r="B855" s="357" t="s">
        <v>563</v>
      </c>
      <c r="C855" s="358">
        <f>'PART-A'!I4206</f>
        <v>0</v>
      </c>
      <c r="D855" s="354" t="s">
        <v>115</v>
      </c>
      <c r="E855" s="355">
        <f>'PART-A'!K4206</f>
        <v>2671.45</v>
      </c>
      <c r="F855" s="353">
        <f>ROUND(C855*E855,0)</f>
        <v>0</v>
      </c>
      <c r="G855" s="368"/>
      <c r="H855" s="368"/>
      <c r="I855" s="368">
        <f>C855-G855</f>
        <v>0</v>
      </c>
      <c r="J855" s="368">
        <f>F855-H855</f>
        <v>0</v>
      </c>
      <c r="K855" s="360" t="s">
        <v>2312</v>
      </c>
    </row>
    <row r="856" spans="1:11" s="360" customFormat="1" ht="20.25" hidden="1" customHeight="1">
      <c r="A856" s="356" t="s">
        <v>1145</v>
      </c>
      <c r="B856" s="357" t="s">
        <v>563</v>
      </c>
      <c r="C856" s="358">
        <f>'PART-A'!I4435</f>
        <v>0</v>
      </c>
      <c r="D856" s="354" t="s">
        <v>115</v>
      </c>
      <c r="E856" s="355">
        <f>'PART-A'!K4435</f>
        <v>2941.12</v>
      </c>
      <c r="F856" s="353">
        <f>ROUND(C856*E856,0)</f>
        <v>0</v>
      </c>
      <c r="G856" s="368"/>
      <c r="H856" s="368"/>
      <c r="I856" s="368">
        <f>C856-G856</f>
        <v>0</v>
      </c>
      <c r="J856" s="368">
        <f>F856-H856</f>
        <v>0</v>
      </c>
      <c r="K856" s="360" t="s">
        <v>2313</v>
      </c>
    </row>
    <row r="857" spans="1:11" s="360" customFormat="1" ht="20.25" hidden="1" customHeight="1">
      <c r="A857" s="356" t="s">
        <v>1591</v>
      </c>
      <c r="B857" s="357" t="s">
        <v>831</v>
      </c>
      <c r="C857" s="358">
        <f>'PART-A'!I3769</f>
        <v>0</v>
      </c>
      <c r="D857" s="354" t="s">
        <v>115</v>
      </c>
      <c r="E857" s="355">
        <f>'PART-A'!K3769</f>
        <v>237.5</v>
      </c>
      <c r="F857" s="353">
        <f t="shared" si="35"/>
        <v>0</v>
      </c>
      <c r="G857" s="368"/>
      <c r="H857" s="368"/>
      <c r="I857" s="368">
        <f t="shared" si="39"/>
        <v>0</v>
      </c>
      <c r="J857" s="368">
        <f t="shared" si="40"/>
        <v>0</v>
      </c>
      <c r="K857" s="360" t="s">
        <v>2217</v>
      </c>
    </row>
    <row r="858" spans="1:11" s="360" customFormat="1" ht="20.25" hidden="1" customHeight="1">
      <c r="A858" s="356" t="s">
        <v>1154</v>
      </c>
      <c r="B858" s="357" t="s">
        <v>831</v>
      </c>
      <c r="C858" s="358">
        <f>'PART-A'!I3991</f>
        <v>0</v>
      </c>
      <c r="D858" s="354" t="s">
        <v>115</v>
      </c>
      <c r="E858" s="355">
        <f>'PART-A'!K3991</f>
        <v>241</v>
      </c>
      <c r="F858" s="353">
        <f>ROUND(C858*E858,0)</f>
        <v>0</v>
      </c>
      <c r="G858" s="368"/>
      <c r="H858" s="368"/>
      <c r="I858" s="368">
        <f>C858-G858</f>
        <v>0</v>
      </c>
      <c r="J858" s="368">
        <f>F858-H858</f>
        <v>0</v>
      </c>
      <c r="K858" s="360" t="s">
        <v>2299</v>
      </c>
    </row>
    <row r="859" spans="1:11" s="360" customFormat="1" ht="20.25" hidden="1" customHeight="1">
      <c r="A859" s="356" t="s">
        <v>1591</v>
      </c>
      <c r="B859" s="357" t="s">
        <v>831</v>
      </c>
      <c r="C859" s="358">
        <f>'PART-A'!I4211</f>
        <v>0</v>
      </c>
      <c r="D859" s="354" t="s">
        <v>115</v>
      </c>
      <c r="E859" s="355">
        <f>'PART-A'!K4211</f>
        <v>263</v>
      </c>
      <c r="F859" s="353">
        <f>ROUND(C859*E859,0)</f>
        <v>0</v>
      </c>
      <c r="G859" s="368"/>
      <c r="H859" s="368"/>
      <c r="I859" s="368">
        <f>C859-G859</f>
        <v>0</v>
      </c>
      <c r="J859" s="368">
        <f>F859-H859</f>
        <v>0</v>
      </c>
      <c r="K859" s="360" t="s">
        <v>2312</v>
      </c>
    </row>
    <row r="860" spans="1:11" s="360" customFormat="1" ht="20.25" hidden="1" customHeight="1">
      <c r="A860" s="356" t="s">
        <v>1591</v>
      </c>
      <c r="B860" s="357" t="s">
        <v>831</v>
      </c>
      <c r="C860" s="358">
        <f>'PART-A'!I4447</f>
        <v>0</v>
      </c>
      <c r="D860" s="354" t="s">
        <v>115</v>
      </c>
      <c r="E860" s="355">
        <f>'PART-A'!K4447</f>
        <v>278</v>
      </c>
      <c r="F860" s="353">
        <f>ROUND(C860*E860,0)</f>
        <v>0</v>
      </c>
      <c r="G860" s="368"/>
      <c r="H860" s="368"/>
      <c r="I860" s="368">
        <f>C860-G860</f>
        <v>0</v>
      </c>
      <c r="J860" s="368">
        <f>F860-H860</f>
        <v>0</v>
      </c>
      <c r="K860" s="360" t="s">
        <v>2313</v>
      </c>
    </row>
    <row r="861" spans="1:11" s="360" customFormat="1" ht="20.25" hidden="1" customHeight="1">
      <c r="A861" s="356" t="s">
        <v>1592</v>
      </c>
      <c r="B861" s="357" t="s">
        <v>967</v>
      </c>
      <c r="C861" s="358">
        <f>'PART-A'!I3774</f>
        <v>0</v>
      </c>
      <c r="D861" s="354" t="s">
        <v>115</v>
      </c>
      <c r="E861" s="355">
        <f>'PART-A'!K3774</f>
        <v>133.625</v>
      </c>
      <c r="F861" s="353">
        <f t="shared" si="35"/>
        <v>0</v>
      </c>
      <c r="G861" s="368"/>
      <c r="H861" s="368"/>
      <c r="I861" s="368">
        <f t="shared" si="39"/>
        <v>0</v>
      </c>
      <c r="J861" s="368">
        <f t="shared" si="40"/>
        <v>0</v>
      </c>
      <c r="K861" s="360" t="s">
        <v>2217</v>
      </c>
    </row>
    <row r="862" spans="1:11" s="360" customFormat="1" ht="20.25" hidden="1" customHeight="1">
      <c r="A862" s="356" t="s">
        <v>2569</v>
      </c>
      <c r="B862" s="357" t="s">
        <v>967</v>
      </c>
      <c r="C862" s="358">
        <f>'PART-A'!I3996</f>
        <v>0</v>
      </c>
      <c r="D862" s="354" t="s">
        <v>115</v>
      </c>
      <c r="E862" s="355">
        <f>'PART-A'!K3996</f>
        <v>141.375</v>
      </c>
      <c r="F862" s="353">
        <f>ROUND(C862*E862,0)</f>
        <v>0</v>
      </c>
      <c r="G862" s="368"/>
      <c r="H862" s="368"/>
      <c r="I862" s="368">
        <f>C862-G862</f>
        <v>0</v>
      </c>
      <c r="J862" s="368">
        <f>F862-H862</f>
        <v>0</v>
      </c>
      <c r="K862" s="360" t="s">
        <v>2299</v>
      </c>
    </row>
    <row r="863" spans="1:11" s="360" customFormat="1" ht="20.25" hidden="1" customHeight="1">
      <c r="A863" s="356" t="s">
        <v>1592</v>
      </c>
      <c r="B863" s="357" t="s">
        <v>967</v>
      </c>
      <c r="C863" s="358">
        <f>'PART-A'!I4216</f>
        <v>0</v>
      </c>
      <c r="D863" s="354" t="s">
        <v>115</v>
      </c>
      <c r="E863" s="355">
        <f>'PART-A'!K4216</f>
        <v>158.43</v>
      </c>
      <c r="F863" s="353">
        <f>ROUND(C863*E863,0)</f>
        <v>0</v>
      </c>
      <c r="G863" s="368"/>
      <c r="H863" s="368"/>
      <c r="I863" s="368">
        <f>C863-G863</f>
        <v>0</v>
      </c>
      <c r="J863" s="368">
        <f>F863-H863</f>
        <v>0</v>
      </c>
      <c r="K863" s="360" t="s">
        <v>2312</v>
      </c>
    </row>
    <row r="864" spans="1:11" s="360" customFormat="1" ht="20.25" hidden="1" customHeight="1">
      <c r="A864" s="356" t="s">
        <v>1592</v>
      </c>
      <c r="B864" s="357" t="s">
        <v>967</v>
      </c>
      <c r="C864" s="358">
        <f>'PART-A'!I4459</f>
        <v>0</v>
      </c>
      <c r="D864" s="354" t="s">
        <v>115</v>
      </c>
      <c r="E864" s="355">
        <f>'PART-A'!K4459</f>
        <v>163.065</v>
      </c>
      <c r="F864" s="353">
        <f>ROUND(C864*E864,0)</f>
        <v>0</v>
      </c>
      <c r="G864" s="368"/>
      <c r="H864" s="368"/>
      <c r="I864" s="368">
        <f>C864-G864</f>
        <v>0</v>
      </c>
      <c r="J864" s="368">
        <f>F864-H864</f>
        <v>0</v>
      </c>
      <c r="K864" s="360" t="s">
        <v>2313</v>
      </c>
    </row>
    <row r="865" spans="1:11" s="360" customFormat="1" ht="20.25" hidden="1" customHeight="1">
      <c r="A865" s="356" t="s">
        <v>1593</v>
      </c>
      <c r="B865" s="357" t="s">
        <v>1573</v>
      </c>
      <c r="C865" s="358">
        <f>'PART-A'!I3759</f>
        <v>0</v>
      </c>
      <c r="D865" s="354" t="s">
        <v>115</v>
      </c>
      <c r="E865" s="355">
        <f>'PART-A'!K3759</f>
        <v>252.38800000000001</v>
      </c>
      <c r="F865" s="353">
        <f t="shared" si="35"/>
        <v>0</v>
      </c>
      <c r="G865" s="368"/>
      <c r="H865" s="368"/>
      <c r="I865" s="368">
        <f t="shared" si="39"/>
        <v>0</v>
      </c>
      <c r="J865" s="368">
        <f t="shared" si="40"/>
        <v>0</v>
      </c>
      <c r="K865" s="360" t="s">
        <v>2217</v>
      </c>
    </row>
    <row r="866" spans="1:11" s="360" customFormat="1" ht="20.25" hidden="1" customHeight="1">
      <c r="A866" s="356" t="s">
        <v>1155</v>
      </c>
      <c r="B866" s="357" t="s">
        <v>1573</v>
      </c>
      <c r="C866" s="358">
        <f>'PART-A'!I3981</f>
        <v>0</v>
      </c>
      <c r="D866" s="354" t="s">
        <v>115</v>
      </c>
      <c r="E866" s="355">
        <f>'PART-A'!K3981</f>
        <v>195.17000000000002</v>
      </c>
      <c r="F866" s="353">
        <f t="shared" ref="F866" si="41">ROUND(C866*E866,0)</f>
        <v>0</v>
      </c>
      <c r="G866" s="368"/>
      <c r="H866" s="368"/>
      <c r="I866" s="368">
        <f>C866-G866</f>
        <v>0</v>
      </c>
      <c r="J866" s="368">
        <f>F866-H866</f>
        <v>0</v>
      </c>
      <c r="K866" s="360" t="s">
        <v>2299</v>
      </c>
    </row>
    <row r="867" spans="1:11" s="360" customFormat="1" ht="20.25" hidden="1" customHeight="1">
      <c r="A867" s="356" t="s">
        <v>1593</v>
      </c>
      <c r="B867" s="357" t="s">
        <v>1573</v>
      </c>
      <c r="C867" s="358">
        <f>'PART-A'!I4201</f>
        <v>0</v>
      </c>
      <c r="D867" s="354" t="s">
        <v>115</v>
      </c>
      <c r="E867" s="355">
        <f>'PART-A'!K4201</f>
        <v>208.13000000000002</v>
      </c>
      <c r="F867" s="353">
        <f>ROUND(C867*E867,0)</f>
        <v>0</v>
      </c>
      <c r="G867" s="368"/>
      <c r="H867" s="368"/>
      <c r="I867" s="368">
        <f>C867-G867</f>
        <v>0</v>
      </c>
      <c r="J867" s="368">
        <f>F867-H867</f>
        <v>0</v>
      </c>
      <c r="K867" s="360" t="s">
        <v>2312</v>
      </c>
    </row>
    <row r="868" spans="1:11" s="360" customFormat="1" ht="20.25" hidden="1" customHeight="1">
      <c r="A868" s="356" t="s">
        <v>1593</v>
      </c>
      <c r="B868" s="357" t="s">
        <v>1573</v>
      </c>
      <c r="C868" s="358">
        <f>'PART-A'!I4423</f>
        <v>0</v>
      </c>
      <c r="D868" s="354" t="s">
        <v>115</v>
      </c>
      <c r="E868" s="355">
        <f>'PART-A'!K4423</f>
        <v>230.73000000000002</v>
      </c>
      <c r="F868" s="353">
        <f>ROUND(C868*E868,0)</f>
        <v>0</v>
      </c>
      <c r="G868" s="368"/>
      <c r="H868" s="368"/>
      <c r="I868" s="368">
        <f>C868-G868</f>
        <v>0</v>
      </c>
      <c r="J868" s="368">
        <f>F868-H868</f>
        <v>0</v>
      </c>
      <c r="K868" s="360" t="s">
        <v>2313</v>
      </c>
    </row>
    <row r="869" spans="1:11" s="360" customFormat="1" ht="20.25" hidden="1" customHeight="1">
      <c r="A869" s="356" t="s">
        <v>1589</v>
      </c>
      <c r="B869" s="357" t="s">
        <v>832</v>
      </c>
      <c r="C869" s="358">
        <f>'PART-A'!I3781</f>
        <v>0</v>
      </c>
      <c r="D869" s="354" t="s">
        <v>115</v>
      </c>
      <c r="E869" s="355">
        <f>'PART-A'!K3781</f>
        <v>126.80000000000001</v>
      </c>
      <c r="F869" s="353">
        <f t="shared" si="35"/>
        <v>0</v>
      </c>
      <c r="G869" s="368"/>
      <c r="H869" s="368"/>
      <c r="I869" s="368">
        <f t="shared" si="39"/>
        <v>0</v>
      </c>
      <c r="J869" s="368">
        <f t="shared" si="40"/>
        <v>0</v>
      </c>
      <c r="K869" s="360" t="s">
        <v>2217</v>
      </c>
    </row>
    <row r="870" spans="1:11" s="360" customFormat="1" ht="20.25" hidden="1" customHeight="1">
      <c r="A870" s="356" t="s">
        <v>1589</v>
      </c>
      <c r="B870" s="357" t="s">
        <v>832</v>
      </c>
      <c r="C870" s="358">
        <f>'PART-A'!I4003</f>
        <v>0</v>
      </c>
      <c r="D870" s="354" t="s">
        <v>115</v>
      </c>
      <c r="E870" s="355">
        <f>'PART-A'!K4003</f>
        <v>129.5</v>
      </c>
      <c r="F870" s="353">
        <f>ROUND(C870*E870,0)</f>
        <v>0</v>
      </c>
      <c r="G870" s="368"/>
      <c r="H870" s="368"/>
      <c r="I870" s="368">
        <f>C870-G870</f>
        <v>0</v>
      </c>
      <c r="J870" s="368">
        <f>F870-H870</f>
        <v>0</v>
      </c>
      <c r="K870" s="360" t="s">
        <v>2299</v>
      </c>
    </row>
    <row r="871" spans="1:11" s="360" customFormat="1" ht="20.25" hidden="1" customHeight="1">
      <c r="A871" s="356" t="s">
        <v>1589</v>
      </c>
      <c r="B871" s="357" t="s">
        <v>832</v>
      </c>
      <c r="C871" s="358">
        <f>'PART-A'!I4223</f>
        <v>0</v>
      </c>
      <c r="D871" s="354" t="s">
        <v>115</v>
      </c>
      <c r="E871" s="355">
        <f>'PART-A'!K4223</f>
        <v>147</v>
      </c>
      <c r="F871" s="353">
        <f>ROUND(C871*E871,0)</f>
        <v>0</v>
      </c>
      <c r="G871" s="368"/>
      <c r="H871" s="368"/>
      <c r="I871" s="368">
        <f>C871-G871</f>
        <v>0</v>
      </c>
      <c r="J871" s="368">
        <f>F871-H871</f>
        <v>0</v>
      </c>
      <c r="K871" s="360" t="s">
        <v>2312</v>
      </c>
    </row>
    <row r="872" spans="1:11" s="360" customFormat="1" ht="20.25" hidden="1" customHeight="1">
      <c r="A872" s="356" t="s">
        <v>1589</v>
      </c>
      <c r="B872" s="357" t="s">
        <v>832</v>
      </c>
      <c r="C872" s="358">
        <f>'PART-A'!I4466</f>
        <v>0</v>
      </c>
      <c r="D872" s="354" t="s">
        <v>115</v>
      </c>
      <c r="E872" s="355">
        <f>'PART-A'!K4466</f>
        <v>161.5</v>
      </c>
      <c r="F872" s="353">
        <f>ROUND(C872*E872,0)</f>
        <v>0</v>
      </c>
      <c r="G872" s="368"/>
      <c r="H872" s="368"/>
      <c r="I872" s="368">
        <f>C872-G872</f>
        <v>0</v>
      </c>
      <c r="J872" s="368">
        <f>F872-H872</f>
        <v>0</v>
      </c>
      <c r="K872" s="360" t="s">
        <v>2313</v>
      </c>
    </row>
    <row r="873" spans="1:11" s="360" customFormat="1" ht="20.25" hidden="1" customHeight="1">
      <c r="A873" s="356" t="s">
        <v>1594</v>
      </c>
      <c r="B873" s="357" t="s">
        <v>564</v>
      </c>
      <c r="C873" s="358">
        <f>'PART-A'!I3786</f>
        <v>0</v>
      </c>
      <c r="D873" s="354" t="s">
        <v>115</v>
      </c>
      <c r="E873" s="355">
        <f>'PART-A'!K3786</f>
        <v>404.1</v>
      </c>
      <c r="F873" s="353">
        <f t="shared" si="35"/>
        <v>0</v>
      </c>
      <c r="G873" s="368"/>
      <c r="H873" s="368"/>
      <c r="I873" s="368">
        <f t="shared" si="39"/>
        <v>0</v>
      </c>
      <c r="J873" s="368">
        <f t="shared" si="40"/>
        <v>0</v>
      </c>
      <c r="K873" s="360" t="s">
        <v>2217</v>
      </c>
    </row>
    <row r="874" spans="1:11" s="360" customFormat="1" ht="20.25" hidden="1" customHeight="1">
      <c r="A874" s="356" t="s">
        <v>1156</v>
      </c>
      <c r="B874" s="357" t="s">
        <v>564</v>
      </c>
      <c r="C874" s="358">
        <f>'PART-A'!I4008</f>
        <v>0</v>
      </c>
      <c r="D874" s="354" t="s">
        <v>115</v>
      </c>
      <c r="E874" s="355">
        <f>'PART-A'!K4008</f>
        <v>410.5</v>
      </c>
      <c r="F874" s="353">
        <f>ROUND(C874*E874,0)</f>
        <v>0</v>
      </c>
      <c r="G874" s="368"/>
      <c r="H874" s="368"/>
      <c r="I874" s="368">
        <f>C874-G874</f>
        <v>0</v>
      </c>
      <c r="J874" s="368">
        <f>F874-H874</f>
        <v>0</v>
      </c>
      <c r="K874" s="360" t="s">
        <v>2299</v>
      </c>
    </row>
    <row r="875" spans="1:11" s="360" customFormat="1" ht="20.25" hidden="1" customHeight="1">
      <c r="A875" s="356" t="s">
        <v>1594</v>
      </c>
      <c r="B875" s="357" t="s">
        <v>564</v>
      </c>
      <c r="C875" s="358">
        <f>'PART-A'!I4228</f>
        <v>0</v>
      </c>
      <c r="D875" s="354" t="s">
        <v>115</v>
      </c>
      <c r="E875" s="355">
        <f>'PART-A'!K4228</f>
        <v>395.93</v>
      </c>
      <c r="F875" s="353">
        <f>ROUND(C875*E875,0)</f>
        <v>0</v>
      </c>
      <c r="G875" s="368"/>
      <c r="H875" s="368"/>
      <c r="I875" s="368">
        <f>C875-G875</f>
        <v>0</v>
      </c>
      <c r="J875" s="368">
        <f>F875-H875</f>
        <v>0</v>
      </c>
      <c r="K875" s="360" t="s">
        <v>2312</v>
      </c>
    </row>
    <row r="876" spans="1:11" s="360" customFormat="1" ht="20.25" hidden="1" customHeight="1">
      <c r="A876" s="356" t="s">
        <v>497</v>
      </c>
      <c r="B876" s="357" t="s">
        <v>564</v>
      </c>
      <c r="C876" s="358">
        <f>'PART-A'!I4471</f>
        <v>0</v>
      </c>
      <c r="D876" s="354" t="s">
        <v>115</v>
      </c>
      <c r="E876" s="355">
        <f>'PART-A'!K4471</f>
        <v>406.44</v>
      </c>
      <c r="F876" s="353">
        <f>ROUND(C876*E876,0)</f>
        <v>0</v>
      </c>
      <c r="G876" s="368"/>
      <c r="H876" s="368"/>
      <c r="I876" s="368">
        <f>C876-G876</f>
        <v>0</v>
      </c>
      <c r="J876" s="368">
        <f>F876-H876</f>
        <v>0</v>
      </c>
      <c r="K876" s="360" t="s">
        <v>2313</v>
      </c>
    </row>
    <row r="877" spans="1:11" s="360" customFormat="1" ht="20.25" hidden="1" customHeight="1">
      <c r="A877" s="356" t="s">
        <v>1155</v>
      </c>
      <c r="B877" s="357" t="s">
        <v>2275</v>
      </c>
      <c r="C877" s="358">
        <f>'PART-A'!I3791</f>
        <v>0</v>
      </c>
      <c r="D877" s="354" t="s">
        <v>115</v>
      </c>
      <c r="E877" s="355">
        <f>'PART-A'!K3791</f>
        <v>1980</v>
      </c>
      <c r="F877" s="353">
        <f t="shared" si="35"/>
        <v>0</v>
      </c>
      <c r="G877" s="368"/>
      <c r="H877" s="368"/>
      <c r="I877" s="368">
        <f t="shared" si="39"/>
        <v>0</v>
      </c>
      <c r="J877" s="368">
        <f t="shared" si="40"/>
        <v>0</v>
      </c>
      <c r="K877" s="360" t="s">
        <v>2217</v>
      </c>
    </row>
    <row r="878" spans="1:11" s="360" customFormat="1" ht="20.25" hidden="1" customHeight="1">
      <c r="A878" s="356" t="s">
        <v>1155</v>
      </c>
      <c r="B878" s="357" t="s">
        <v>2275</v>
      </c>
      <c r="C878" s="358">
        <f>'PART-A'!I4013</f>
        <v>0</v>
      </c>
      <c r="D878" s="354" t="s">
        <v>115</v>
      </c>
      <c r="E878" s="355">
        <f>'PART-A'!K4013</f>
        <v>1980</v>
      </c>
      <c r="F878" s="353">
        <f>ROUND(C878*E878,0)</f>
        <v>0</v>
      </c>
      <c r="G878" s="368"/>
      <c r="H878" s="368"/>
      <c r="I878" s="368">
        <f>C878-G878</f>
        <v>0</v>
      </c>
      <c r="J878" s="368">
        <f>F878-H878</f>
        <v>0</v>
      </c>
      <c r="K878" s="360" t="s">
        <v>2299</v>
      </c>
    </row>
    <row r="879" spans="1:11" s="360" customFormat="1" ht="20.25" hidden="1" customHeight="1">
      <c r="A879" s="356" t="s">
        <v>1155</v>
      </c>
      <c r="B879" s="357" t="s">
        <v>2275</v>
      </c>
      <c r="C879" s="358">
        <f>'PART-A'!I4233</f>
        <v>0</v>
      </c>
      <c r="D879" s="354" t="s">
        <v>115</v>
      </c>
      <c r="E879" s="355">
        <f>'PART-A'!K4233</f>
        <v>1822</v>
      </c>
      <c r="F879" s="353">
        <f>ROUND(C879*E879,0)</f>
        <v>0</v>
      </c>
      <c r="G879" s="368"/>
      <c r="H879" s="368"/>
      <c r="I879" s="368">
        <f>C879-G879</f>
        <v>0</v>
      </c>
      <c r="J879" s="368">
        <f>F879-H879</f>
        <v>0</v>
      </c>
      <c r="K879" s="360" t="s">
        <v>2312</v>
      </c>
    </row>
    <row r="880" spans="1:11" s="360" customFormat="1" ht="20.25" hidden="1" customHeight="1">
      <c r="A880" s="356" t="s">
        <v>1155</v>
      </c>
      <c r="B880" s="357" t="s">
        <v>2275</v>
      </c>
      <c r="C880" s="358">
        <f>'PART-A'!I4476</f>
        <v>0</v>
      </c>
      <c r="D880" s="354" t="s">
        <v>115</v>
      </c>
      <c r="E880" s="355">
        <f>'PART-A'!K4476</f>
        <v>1822</v>
      </c>
      <c r="F880" s="353">
        <f>ROUND(C880*E880,0)</f>
        <v>0</v>
      </c>
      <c r="G880" s="368"/>
      <c r="H880" s="368"/>
      <c r="I880" s="368">
        <f>C880-G880</f>
        <v>0</v>
      </c>
      <c r="J880" s="368">
        <f>F880-H880</f>
        <v>0</v>
      </c>
      <c r="K880" s="360" t="s">
        <v>2313</v>
      </c>
    </row>
    <row r="881" spans="1:11" s="360" customFormat="1" ht="20.25" hidden="1" customHeight="1">
      <c r="A881" s="356" t="s">
        <v>1155</v>
      </c>
      <c r="B881" s="357" t="s">
        <v>2276</v>
      </c>
      <c r="C881" s="358">
        <f>'PART-A'!I3796</f>
        <v>0</v>
      </c>
      <c r="D881" s="354" t="s">
        <v>115</v>
      </c>
      <c r="E881" s="355">
        <f>'PART-A'!K3796</f>
        <v>5900</v>
      </c>
      <c r="F881" s="353">
        <f t="shared" ref="F881" si="42">ROUND(C881*E881,0)</f>
        <v>0</v>
      </c>
      <c r="G881" s="368"/>
      <c r="H881" s="368"/>
      <c r="I881" s="368">
        <f t="shared" ref="I881" si="43">C881-G881</f>
        <v>0</v>
      </c>
      <c r="J881" s="368">
        <f t="shared" ref="J881" si="44">F881-H881</f>
        <v>0</v>
      </c>
      <c r="K881" s="360" t="s">
        <v>2217</v>
      </c>
    </row>
    <row r="882" spans="1:11" s="360" customFormat="1" ht="20.25" hidden="1" customHeight="1">
      <c r="A882" s="356" t="s">
        <v>1155</v>
      </c>
      <c r="B882" s="357" t="s">
        <v>2276</v>
      </c>
      <c r="C882" s="358">
        <f>'PART-A'!I4018</f>
        <v>0</v>
      </c>
      <c r="D882" s="354" t="s">
        <v>115</v>
      </c>
      <c r="E882" s="355">
        <f>'PART-A'!K4018</f>
        <v>5900</v>
      </c>
      <c r="F882" s="353">
        <f>ROUND(C882*E882,0)</f>
        <v>0</v>
      </c>
      <c r="G882" s="368"/>
      <c r="H882" s="368"/>
      <c r="I882" s="368">
        <f>C882-G882</f>
        <v>0</v>
      </c>
      <c r="J882" s="368">
        <f>F882-H882</f>
        <v>0</v>
      </c>
      <c r="K882" s="360" t="s">
        <v>2299</v>
      </c>
    </row>
    <row r="883" spans="1:11" s="360" customFormat="1" ht="20.25" hidden="1" customHeight="1">
      <c r="A883" s="356" t="s">
        <v>1155</v>
      </c>
      <c r="B883" s="357" t="s">
        <v>2276</v>
      </c>
      <c r="C883" s="358">
        <f>'PART-A'!I4238</f>
        <v>0</v>
      </c>
      <c r="D883" s="354" t="s">
        <v>115</v>
      </c>
      <c r="E883" s="355">
        <f>'PART-A'!K4238</f>
        <v>5428</v>
      </c>
      <c r="F883" s="353">
        <f>ROUND(C883*E883,0)</f>
        <v>0</v>
      </c>
      <c r="G883" s="368"/>
      <c r="H883" s="368"/>
      <c r="I883" s="368">
        <f>C883-G883</f>
        <v>0</v>
      </c>
      <c r="J883" s="368">
        <f>F883-H883</f>
        <v>0</v>
      </c>
      <c r="K883" s="360" t="s">
        <v>2312</v>
      </c>
    </row>
    <row r="884" spans="1:11" s="360" customFormat="1" ht="20.25" hidden="1" customHeight="1">
      <c r="A884" s="356" t="s">
        <v>1155</v>
      </c>
      <c r="B884" s="357" t="s">
        <v>2276</v>
      </c>
      <c r="C884" s="358">
        <f>'PART-A'!I4481</f>
        <v>0</v>
      </c>
      <c r="D884" s="354" t="s">
        <v>115</v>
      </c>
      <c r="E884" s="355">
        <f>'PART-A'!K4481</f>
        <v>5428</v>
      </c>
      <c r="F884" s="353">
        <f>ROUND(C884*E884,0)</f>
        <v>0</v>
      </c>
      <c r="G884" s="368"/>
      <c r="H884" s="368"/>
      <c r="I884" s="368">
        <f>C884-G884</f>
        <v>0</v>
      </c>
      <c r="J884" s="368">
        <f>F884-H884</f>
        <v>0</v>
      </c>
      <c r="K884" s="360" t="s">
        <v>2313</v>
      </c>
    </row>
    <row r="885" spans="1:11" s="360" customFormat="1" ht="20.25" hidden="1" customHeight="1">
      <c r="A885" s="356" t="s">
        <v>1146</v>
      </c>
      <c r="B885" s="357" t="s">
        <v>1565</v>
      </c>
      <c r="C885" s="358">
        <f>'PART-A'!I3807</f>
        <v>0</v>
      </c>
      <c r="D885" s="354" t="s">
        <v>115</v>
      </c>
      <c r="E885" s="355">
        <f>'PART-A'!K3807</f>
        <v>2936</v>
      </c>
      <c r="F885" s="353">
        <f t="shared" si="35"/>
        <v>0</v>
      </c>
      <c r="G885" s="368"/>
      <c r="H885" s="368"/>
      <c r="I885" s="368">
        <f t="shared" si="39"/>
        <v>0</v>
      </c>
      <c r="J885" s="368">
        <f t="shared" si="40"/>
        <v>0</v>
      </c>
      <c r="K885" s="360" t="s">
        <v>2217</v>
      </c>
    </row>
    <row r="886" spans="1:11" s="360" customFormat="1" ht="20.25" hidden="1" customHeight="1">
      <c r="A886" s="356" t="s">
        <v>2682</v>
      </c>
      <c r="B886" s="357" t="s">
        <v>1565</v>
      </c>
      <c r="C886" s="358">
        <f>'PART-A'!I4028</f>
        <v>0</v>
      </c>
      <c r="D886" s="354" t="s">
        <v>115</v>
      </c>
      <c r="E886" s="355">
        <f>'PART-A'!K4028</f>
        <v>2995</v>
      </c>
      <c r="F886" s="353">
        <f>ROUND(C886*E886,0)</f>
        <v>0</v>
      </c>
      <c r="G886" s="368"/>
      <c r="H886" s="368"/>
      <c r="I886" s="368">
        <f>C886-G886</f>
        <v>0</v>
      </c>
      <c r="J886" s="368">
        <f>F886-H886</f>
        <v>0</v>
      </c>
      <c r="K886" s="360" t="s">
        <v>2299</v>
      </c>
    </row>
    <row r="887" spans="1:11" s="360" customFormat="1" ht="20.25" hidden="1" customHeight="1">
      <c r="A887" s="356" t="s">
        <v>1146</v>
      </c>
      <c r="B887" s="357" t="s">
        <v>1565</v>
      </c>
      <c r="C887" s="358">
        <f>'PART-A'!I4249</f>
        <v>0</v>
      </c>
      <c r="D887" s="354" t="s">
        <v>115</v>
      </c>
      <c r="E887" s="355">
        <f>'PART-A'!K4249</f>
        <v>3255</v>
      </c>
      <c r="F887" s="353">
        <f>ROUND(C887*E887,0)</f>
        <v>0</v>
      </c>
      <c r="G887" s="368"/>
      <c r="H887" s="368"/>
      <c r="I887" s="368">
        <f>C887-G887</f>
        <v>0</v>
      </c>
      <c r="J887" s="368">
        <f>F887-H887</f>
        <v>0</v>
      </c>
      <c r="K887" s="360" t="s">
        <v>2312</v>
      </c>
    </row>
    <row r="888" spans="1:11" s="360" customFormat="1" ht="20.25" hidden="1" customHeight="1">
      <c r="A888" s="356" t="s">
        <v>498</v>
      </c>
      <c r="B888" s="357" t="s">
        <v>1565</v>
      </c>
      <c r="C888" s="358">
        <f>'PART-A'!I4491</f>
        <v>0</v>
      </c>
      <c r="D888" s="354" t="s">
        <v>115</v>
      </c>
      <c r="E888" s="355">
        <f>'PART-A'!K4491</f>
        <v>3662</v>
      </c>
      <c r="F888" s="353">
        <f>ROUND(C888*E888,0)</f>
        <v>0</v>
      </c>
      <c r="G888" s="368"/>
      <c r="H888" s="368"/>
      <c r="I888" s="368">
        <f>C888-G888</f>
        <v>0</v>
      </c>
      <c r="J888" s="368">
        <f>F888-H888</f>
        <v>0</v>
      </c>
      <c r="K888" s="360" t="s">
        <v>2313</v>
      </c>
    </row>
    <row r="889" spans="1:11" s="360" customFormat="1" ht="20.25" hidden="1" customHeight="1">
      <c r="A889" s="356" t="s">
        <v>1161</v>
      </c>
      <c r="B889" s="357" t="s">
        <v>797</v>
      </c>
      <c r="C889" s="358">
        <f>'PART-A'!I3801</f>
        <v>0</v>
      </c>
      <c r="D889" s="354" t="s">
        <v>115</v>
      </c>
      <c r="E889" s="355">
        <f>'PART-A'!K3801</f>
        <v>1290</v>
      </c>
      <c r="F889" s="353">
        <f t="shared" si="35"/>
        <v>0</v>
      </c>
      <c r="G889" s="368"/>
      <c r="H889" s="368"/>
      <c r="I889" s="368">
        <f t="shared" si="39"/>
        <v>0</v>
      </c>
      <c r="J889" s="368">
        <f t="shared" si="40"/>
        <v>0</v>
      </c>
      <c r="K889" s="360" t="s">
        <v>2217</v>
      </c>
    </row>
    <row r="890" spans="1:11" s="360" customFormat="1" ht="20.25" hidden="1" customHeight="1">
      <c r="A890" s="356" t="s">
        <v>1161</v>
      </c>
      <c r="B890" s="357" t="s">
        <v>797</v>
      </c>
      <c r="C890" s="358">
        <f>'PART-A'!I4023</f>
        <v>0</v>
      </c>
      <c r="D890" s="354" t="s">
        <v>115</v>
      </c>
      <c r="E890" s="355">
        <f>'PART-A'!K4023</f>
        <v>1290</v>
      </c>
      <c r="F890" s="353">
        <f>ROUND(C890*E890,0)</f>
        <v>0</v>
      </c>
      <c r="G890" s="368"/>
      <c r="H890" s="368"/>
      <c r="I890" s="368">
        <f>C890-G890</f>
        <v>0</v>
      </c>
      <c r="J890" s="368">
        <f>F890-H890</f>
        <v>0</v>
      </c>
      <c r="K890" s="360" t="s">
        <v>2299</v>
      </c>
    </row>
    <row r="891" spans="1:11" s="360" customFormat="1" ht="20.25" hidden="1" customHeight="1">
      <c r="A891" s="356" t="s">
        <v>1161</v>
      </c>
      <c r="B891" s="357" t="s">
        <v>797</v>
      </c>
      <c r="C891" s="358">
        <f>'PART-A'!I4243</f>
        <v>0</v>
      </c>
      <c r="D891" s="354" t="s">
        <v>115</v>
      </c>
      <c r="E891" s="355">
        <f>'PART-A'!K4243</f>
        <v>1484</v>
      </c>
      <c r="F891" s="353">
        <f>ROUND(C891*E891,0)</f>
        <v>0</v>
      </c>
      <c r="G891" s="368"/>
      <c r="H891" s="368"/>
      <c r="I891" s="368">
        <f>C891-G891</f>
        <v>0</v>
      </c>
      <c r="J891" s="368">
        <f>F891-H891</f>
        <v>0</v>
      </c>
      <c r="K891" s="360" t="s">
        <v>2312</v>
      </c>
    </row>
    <row r="892" spans="1:11" s="360" customFormat="1" ht="20.25" hidden="1" customHeight="1">
      <c r="A892" s="356" t="s">
        <v>1161</v>
      </c>
      <c r="B892" s="357" t="s">
        <v>797</v>
      </c>
      <c r="C892" s="358">
        <f>'PART-A'!I4486</f>
        <v>0</v>
      </c>
      <c r="D892" s="354" t="s">
        <v>115</v>
      </c>
      <c r="E892" s="355">
        <f>'PART-A'!K4486</f>
        <v>1634</v>
      </c>
      <c r="F892" s="353">
        <f>ROUND(C892*E892,0)</f>
        <v>0</v>
      </c>
      <c r="G892" s="368"/>
      <c r="H892" s="368"/>
      <c r="I892" s="368">
        <f>C892-G892</f>
        <v>0</v>
      </c>
      <c r="J892" s="368">
        <f>F892-H892</f>
        <v>0</v>
      </c>
      <c r="K892" s="360" t="s">
        <v>2313</v>
      </c>
    </row>
    <row r="893" spans="1:11" s="360" customFormat="1" ht="30.75" hidden="1" customHeight="1">
      <c r="A893" s="356" t="s">
        <v>1147</v>
      </c>
      <c r="B893" s="357" t="s">
        <v>2128</v>
      </c>
      <c r="C893" s="358">
        <f>'PART-A'!I3812</f>
        <v>0</v>
      </c>
      <c r="D893" s="354" t="s">
        <v>115</v>
      </c>
      <c r="E893" s="355">
        <f>'PART-A'!K3812</f>
        <v>886.80000000000007</v>
      </c>
      <c r="F893" s="353">
        <f t="shared" si="35"/>
        <v>0</v>
      </c>
      <c r="G893" s="368"/>
      <c r="H893" s="368"/>
      <c r="I893" s="368">
        <f t="shared" si="39"/>
        <v>0</v>
      </c>
      <c r="J893" s="368">
        <f t="shared" si="40"/>
        <v>0</v>
      </c>
      <c r="K893" s="360" t="s">
        <v>2217</v>
      </c>
    </row>
    <row r="894" spans="1:11" s="360" customFormat="1" ht="30.75" hidden="1" customHeight="1">
      <c r="A894" s="356" t="s">
        <v>1157</v>
      </c>
      <c r="B894" s="357" t="s">
        <v>2128</v>
      </c>
      <c r="C894" s="358">
        <f>'PART-A'!I4033</f>
        <v>0</v>
      </c>
      <c r="D894" s="354" t="s">
        <v>115</v>
      </c>
      <c r="E894" s="355">
        <f>'PART-A'!K4033</f>
        <v>905</v>
      </c>
      <c r="F894" s="353">
        <f>ROUND(C894*E894,0)</f>
        <v>0</v>
      </c>
      <c r="G894" s="368"/>
      <c r="H894" s="368"/>
      <c r="I894" s="368">
        <f>C894-G894</f>
        <v>0</v>
      </c>
      <c r="J894" s="368">
        <f>F894-H894</f>
        <v>0</v>
      </c>
      <c r="K894" s="360" t="s">
        <v>2299</v>
      </c>
    </row>
    <row r="895" spans="1:11" s="360" customFormat="1" ht="30.75" hidden="1" customHeight="1">
      <c r="A895" s="356" t="s">
        <v>1147</v>
      </c>
      <c r="B895" s="357" t="s">
        <v>2128</v>
      </c>
      <c r="C895" s="358">
        <f>'PART-A'!I4254</f>
        <v>0</v>
      </c>
      <c r="D895" s="354" t="s">
        <v>115</v>
      </c>
      <c r="E895" s="355">
        <f>'PART-A'!K4254</f>
        <v>1005.6</v>
      </c>
      <c r="F895" s="353">
        <f>ROUND(C895*E895,0)</f>
        <v>0</v>
      </c>
      <c r="G895" s="368"/>
      <c r="H895" s="368"/>
      <c r="I895" s="368">
        <f>C895-G895</f>
        <v>0</v>
      </c>
      <c r="J895" s="368">
        <f>F895-H895</f>
        <v>0</v>
      </c>
      <c r="K895" s="360" t="s">
        <v>2312</v>
      </c>
    </row>
    <row r="896" spans="1:11" s="360" customFormat="1" ht="30.75" hidden="1" customHeight="1">
      <c r="A896" s="356" t="s">
        <v>499</v>
      </c>
      <c r="B896" s="357" t="s">
        <v>2128</v>
      </c>
      <c r="C896" s="358">
        <f>'PART-A'!I4496</f>
        <v>0</v>
      </c>
      <c r="D896" s="354" t="s">
        <v>115</v>
      </c>
      <c r="E896" s="355">
        <f>'PART-A'!K4496</f>
        <v>1089.96</v>
      </c>
      <c r="F896" s="353">
        <f>ROUND(C896*E896,0)</f>
        <v>0</v>
      </c>
      <c r="G896" s="368"/>
      <c r="H896" s="368"/>
      <c r="I896" s="368">
        <f>C896-G896</f>
        <v>0</v>
      </c>
      <c r="J896" s="368">
        <f>F896-H896</f>
        <v>0</v>
      </c>
      <c r="K896" s="360" t="s">
        <v>2313</v>
      </c>
    </row>
    <row r="897" spans="1:11" s="360" customFormat="1" hidden="1">
      <c r="A897" s="356" t="s">
        <v>1148</v>
      </c>
      <c r="B897" s="357" t="s">
        <v>565</v>
      </c>
      <c r="C897" s="358">
        <f>'PART-A'!I3817</f>
        <v>0</v>
      </c>
      <c r="D897" s="354" t="s">
        <v>115</v>
      </c>
      <c r="E897" s="355">
        <f>'PART-A'!K3817</f>
        <v>3404.82</v>
      </c>
      <c r="F897" s="353">
        <f t="shared" si="35"/>
        <v>0</v>
      </c>
      <c r="G897" s="368"/>
      <c r="H897" s="368"/>
      <c r="I897" s="368">
        <f t="shared" si="39"/>
        <v>0</v>
      </c>
      <c r="J897" s="368">
        <f t="shared" si="40"/>
        <v>0</v>
      </c>
      <c r="K897" s="360" t="s">
        <v>2217</v>
      </c>
    </row>
    <row r="898" spans="1:11" s="360" customFormat="1" hidden="1">
      <c r="A898" s="356" t="s">
        <v>2683</v>
      </c>
      <c r="B898" s="357" t="s">
        <v>2789</v>
      </c>
      <c r="C898" s="358">
        <f>'PART-A'!I4038</f>
        <v>0</v>
      </c>
      <c r="D898" s="354" t="s">
        <v>115</v>
      </c>
      <c r="E898" s="355">
        <f>'PART-A'!K4038</f>
        <v>3432.82</v>
      </c>
      <c r="F898" s="353">
        <f>ROUND(C898*E898,0)</f>
        <v>0</v>
      </c>
      <c r="G898" s="368"/>
      <c r="H898" s="368"/>
      <c r="I898" s="368">
        <f t="shared" ref="I898:I903" si="45">C898-G898</f>
        <v>0</v>
      </c>
      <c r="J898" s="368">
        <f t="shared" ref="J898:J903" si="46">F898-H898</f>
        <v>0</v>
      </c>
      <c r="K898" s="360" t="s">
        <v>2299</v>
      </c>
    </row>
    <row r="899" spans="1:11" s="360" customFormat="1" hidden="1">
      <c r="A899" s="356" t="s">
        <v>1148</v>
      </c>
      <c r="B899" s="357" t="s">
        <v>565</v>
      </c>
      <c r="C899" s="358">
        <f>'PART-A'!I4259</f>
        <v>0</v>
      </c>
      <c r="D899" s="354" t="s">
        <v>115</v>
      </c>
      <c r="E899" s="355">
        <f>'PART-A'!K4259</f>
        <v>3771.9349999999999</v>
      </c>
      <c r="F899" s="353">
        <f>ROUND(C899*E899,0)</f>
        <v>0</v>
      </c>
      <c r="G899" s="368"/>
      <c r="H899" s="368"/>
      <c r="I899" s="368">
        <f t="shared" si="45"/>
        <v>0</v>
      </c>
      <c r="J899" s="368">
        <f t="shared" si="46"/>
        <v>0</v>
      </c>
      <c r="K899" s="360" t="s">
        <v>2312</v>
      </c>
    </row>
    <row r="900" spans="1:11" s="360" customFormat="1" hidden="1">
      <c r="A900" s="356" t="s">
        <v>1145</v>
      </c>
      <c r="B900" s="357" t="s">
        <v>565</v>
      </c>
      <c r="C900" s="358">
        <f>'PART-A'!I4501</f>
        <v>0</v>
      </c>
      <c r="D900" s="354" t="s">
        <v>115</v>
      </c>
      <c r="E900" s="355">
        <f>'PART-A'!K4501</f>
        <v>4142.4250000000002</v>
      </c>
      <c r="F900" s="353">
        <f>ROUND(C900*E900,0)</f>
        <v>0</v>
      </c>
      <c r="G900" s="368"/>
      <c r="H900" s="368"/>
      <c r="I900" s="368">
        <f t="shared" si="45"/>
        <v>0</v>
      </c>
      <c r="J900" s="368">
        <f t="shared" si="46"/>
        <v>0</v>
      </c>
      <c r="K900" s="360" t="s">
        <v>2313</v>
      </c>
    </row>
    <row r="901" spans="1:11" s="26" customFormat="1">
      <c r="A901" s="23" t="s">
        <v>490</v>
      </c>
      <c r="B901" s="54" t="s">
        <v>2202</v>
      </c>
      <c r="C901" s="28"/>
      <c r="D901" s="24"/>
      <c r="E901" s="37"/>
      <c r="F901" s="11">
        <f>'PART-A'!M4503</f>
        <v>-53531</v>
      </c>
      <c r="G901" s="25"/>
      <c r="H901" s="25"/>
      <c r="I901" s="25">
        <f t="shared" si="45"/>
        <v>0</v>
      </c>
      <c r="J901" s="25">
        <f t="shared" si="46"/>
        <v>-53531</v>
      </c>
    </row>
    <row r="902" spans="1:11" s="26" customFormat="1">
      <c r="A902" s="23" t="s">
        <v>491</v>
      </c>
      <c r="B902" s="54" t="s">
        <v>1454</v>
      </c>
      <c r="C902" s="28"/>
      <c r="D902" s="24"/>
      <c r="E902" s="37"/>
      <c r="F902" s="11">
        <f>'PART-A'!M4502</f>
        <v>64528</v>
      </c>
      <c r="G902" s="25"/>
      <c r="H902" s="25"/>
      <c r="I902" s="25">
        <f t="shared" si="45"/>
        <v>0</v>
      </c>
      <c r="J902" s="25">
        <f t="shared" si="46"/>
        <v>64528</v>
      </c>
    </row>
    <row r="903" spans="1:11" s="26" customFormat="1" hidden="1">
      <c r="A903" s="23" t="s">
        <v>2688</v>
      </c>
      <c r="B903" s="27" t="s">
        <v>445</v>
      </c>
      <c r="C903" s="28"/>
      <c r="D903" s="224"/>
      <c r="E903" s="29"/>
      <c r="F903" s="223">
        <f>'PART-A'!M4509</f>
        <v>0</v>
      </c>
      <c r="G903" s="25"/>
      <c r="H903" s="25"/>
      <c r="I903" s="25">
        <f t="shared" si="45"/>
        <v>0</v>
      </c>
      <c r="J903" s="25">
        <f t="shared" si="46"/>
        <v>0</v>
      </c>
    </row>
    <row r="904" spans="1:11" s="26" customFormat="1" hidden="1">
      <c r="A904" s="23" t="s">
        <v>1259</v>
      </c>
      <c r="B904" s="54" t="s">
        <v>2790</v>
      </c>
      <c r="C904" s="28"/>
      <c r="D904" s="24"/>
      <c r="E904" s="37"/>
      <c r="F904" s="11">
        <f>'PART-A'!M4504</f>
        <v>0</v>
      </c>
      <c r="G904" s="25"/>
      <c r="H904" s="25"/>
      <c r="I904" s="25">
        <f t="shared" ref="I904" si="47">C904-G904</f>
        <v>0</v>
      </c>
      <c r="J904" s="25">
        <f t="shared" ref="J904" si="48">F904-H904</f>
        <v>0</v>
      </c>
    </row>
    <row r="905" spans="1:11" s="26" customFormat="1" hidden="1">
      <c r="A905" s="23" t="s">
        <v>1593</v>
      </c>
      <c r="B905" s="27" t="s">
        <v>567</v>
      </c>
      <c r="C905" s="28"/>
      <c r="D905" s="224"/>
      <c r="E905" s="29"/>
      <c r="F905" s="223">
        <f>'PART-A'!M4510</f>
        <v>0</v>
      </c>
      <c r="G905" s="25"/>
      <c r="H905" s="25"/>
      <c r="I905" s="25">
        <f t="shared" ref="I905" si="49">C905-G905</f>
        <v>0</v>
      </c>
      <c r="J905" s="25">
        <f t="shared" ref="J905" si="50">F905-H905</f>
        <v>0</v>
      </c>
    </row>
    <row r="906" spans="1:11" s="26" customFormat="1" ht="15">
      <c r="A906" s="23"/>
      <c r="B906" s="627" t="s">
        <v>2458</v>
      </c>
      <c r="C906" s="28"/>
      <c r="D906" s="224"/>
      <c r="E906" s="37"/>
      <c r="F906" s="765" t="s">
        <v>3338</v>
      </c>
      <c r="G906" s="25"/>
      <c r="H906" s="25"/>
      <c r="I906" s="25"/>
      <c r="J906" s="25"/>
    </row>
    <row r="907" spans="1:11" s="360" customFormat="1" ht="20.25" hidden="1" customHeight="1">
      <c r="A907" s="356" t="s">
        <v>460</v>
      </c>
      <c r="B907" s="357" t="s">
        <v>537</v>
      </c>
      <c r="C907" s="358">
        <f>'PART-B'!I14</f>
        <v>0</v>
      </c>
      <c r="D907" s="354" t="s">
        <v>102</v>
      </c>
      <c r="E907" s="355">
        <f>'PART-B'!K14</f>
        <v>6.06</v>
      </c>
      <c r="F907" s="353">
        <f t="shared" ref="F907:F932" si="51">ROUND(C907*E907,0)</f>
        <v>0</v>
      </c>
      <c r="G907" s="353"/>
      <c r="H907" s="353"/>
      <c r="I907" s="368">
        <f t="shared" ref="I907:I970" si="52">C907-G907</f>
        <v>0</v>
      </c>
      <c r="J907" s="368">
        <f t="shared" ref="J907:J970" si="53">F907-H907</f>
        <v>0</v>
      </c>
      <c r="K907" s="360" t="s">
        <v>2313</v>
      </c>
    </row>
    <row r="908" spans="1:11" s="360" customFormat="1" ht="20.25" hidden="1" customHeight="1">
      <c r="A908" s="356" t="s">
        <v>493</v>
      </c>
      <c r="B908" s="357" t="s">
        <v>2101</v>
      </c>
      <c r="C908" s="358">
        <f>'PART-B'!I19</f>
        <v>0</v>
      </c>
      <c r="D908" s="354" t="s">
        <v>5</v>
      </c>
      <c r="E908" s="355">
        <f>'PART-B'!K19</f>
        <v>144.26</v>
      </c>
      <c r="F908" s="353">
        <f t="shared" si="51"/>
        <v>0</v>
      </c>
      <c r="G908" s="353"/>
      <c r="H908" s="353"/>
      <c r="I908" s="368">
        <f t="shared" si="52"/>
        <v>0</v>
      </c>
      <c r="J908" s="368">
        <f t="shared" si="53"/>
        <v>0</v>
      </c>
      <c r="K908" s="360" t="s">
        <v>2313</v>
      </c>
    </row>
    <row r="909" spans="1:11" s="360" customFormat="1" ht="20.25" hidden="1" customHeight="1">
      <c r="A909" s="356" t="s">
        <v>494</v>
      </c>
      <c r="B909" s="357" t="s">
        <v>538</v>
      </c>
      <c r="C909" s="358">
        <f>'PART-B'!I24</f>
        <v>0</v>
      </c>
      <c r="D909" s="354" t="s">
        <v>5</v>
      </c>
      <c r="E909" s="355">
        <f>'PART-B'!K24</f>
        <v>4583.3100000000004</v>
      </c>
      <c r="F909" s="353">
        <f t="shared" si="51"/>
        <v>0</v>
      </c>
      <c r="G909" s="353"/>
      <c r="H909" s="353"/>
      <c r="I909" s="368">
        <f t="shared" si="52"/>
        <v>0</v>
      </c>
      <c r="J909" s="368">
        <f t="shared" si="53"/>
        <v>0</v>
      </c>
      <c r="K909" s="360" t="s">
        <v>2313</v>
      </c>
    </row>
    <row r="910" spans="1:11" s="360" customFormat="1" ht="20.25" hidden="1" customHeight="1">
      <c r="A910" s="356" t="s">
        <v>463</v>
      </c>
      <c r="B910" s="357" t="s">
        <v>539</v>
      </c>
      <c r="C910" s="358">
        <f>'PART-B'!I33</f>
        <v>0</v>
      </c>
      <c r="D910" s="354" t="s">
        <v>5</v>
      </c>
      <c r="E910" s="355">
        <f>'PART-B'!K33</f>
        <v>4431.03</v>
      </c>
      <c r="F910" s="353">
        <f t="shared" si="51"/>
        <v>0</v>
      </c>
      <c r="G910" s="368"/>
      <c r="H910" s="368"/>
      <c r="I910" s="368">
        <f t="shared" si="52"/>
        <v>0</v>
      </c>
      <c r="J910" s="368">
        <f t="shared" si="53"/>
        <v>0</v>
      </c>
      <c r="K910" s="360" t="s">
        <v>2313</v>
      </c>
    </row>
    <row r="911" spans="1:11" s="360" customFormat="1" ht="20.25" hidden="1" customHeight="1">
      <c r="A911" s="356" t="s">
        <v>462</v>
      </c>
      <c r="B911" s="357" t="s">
        <v>1431</v>
      </c>
      <c r="C911" s="358">
        <f>'PART-B'!I39</f>
        <v>0</v>
      </c>
      <c r="D911" s="354" t="s">
        <v>5</v>
      </c>
      <c r="E911" s="355">
        <f>'PART-B'!K39</f>
        <v>216.13</v>
      </c>
      <c r="F911" s="353">
        <f t="shared" si="51"/>
        <v>0</v>
      </c>
      <c r="G911" s="353"/>
      <c r="H911" s="353"/>
      <c r="I911" s="368">
        <f t="shared" si="52"/>
        <v>0</v>
      </c>
      <c r="J911" s="368">
        <f t="shared" si="53"/>
        <v>0</v>
      </c>
      <c r="K911" s="360" t="s">
        <v>2313</v>
      </c>
    </row>
    <row r="912" spans="1:11" s="360" customFormat="1" ht="20.25" hidden="1" customHeight="1">
      <c r="A912" s="356" t="s">
        <v>464</v>
      </c>
      <c r="B912" s="357" t="s">
        <v>716</v>
      </c>
      <c r="C912" s="358">
        <f>'PART-B'!I45</f>
        <v>0</v>
      </c>
      <c r="D912" s="354" t="s">
        <v>5</v>
      </c>
      <c r="E912" s="355">
        <f>'PART-B'!K45</f>
        <v>272.13</v>
      </c>
      <c r="F912" s="353">
        <f t="shared" si="51"/>
        <v>0</v>
      </c>
      <c r="G912" s="368"/>
      <c r="H912" s="368"/>
      <c r="I912" s="368">
        <f t="shared" si="52"/>
        <v>0</v>
      </c>
      <c r="J912" s="368">
        <f t="shared" si="53"/>
        <v>0</v>
      </c>
      <c r="K912" s="360" t="s">
        <v>2313</v>
      </c>
    </row>
    <row r="913" spans="1:11" s="360" customFormat="1" ht="20.25" hidden="1" customHeight="1">
      <c r="A913" s="356" t="s">
        <v>463</v>
      </c>
      <c r="B913" s="357" t="s">
        <v>1432</v>
      </c>
      <c r="C913" s="358">
        <f>'PART-B'!I51</f>
        <v>0</v>
      </c>
      <c r="D913" s="354" t="s">
        <v>5</v>
      </c>
      <c r="E913" s="355">
        <f>'PART-B'!K51</f>
        <v>1603.13</v>
      </c>
      <c r="F913" s="353">
        <f t="shared" si="51"/>
        <v>0</v>
      </c>
      <c r="G913" s="368"/>
      <c r="H913" s="368"/>
      <c r="I913" s="368">
        <f t="shared" si="52"/>
        <v>0</v>
      </c>
      <c r="J913" s="368">
        <f t="shared" si="53"/>
        <v>0</v>
      </c>
      <c r="K913" s="360" t="s">
        <v>2313</v>
      </c>
    </row>
    <row r="914" spans="1:11" s="360" customFormat="1" ht="20.25" hidden="1" customHeight="1">
      <c r="A914" s="356" t="s">
        <v>463</v>
      </c>
      <c r="B914" s="357" t="s">
        <v>540</v>
      </c>
      <c r="C914" s="358">
        <f>'PART-B'!I58</f>
        <v>0</v>
      </c>
      <c r="D914" s="354" t="s">
        <v>5</v>
      </c>
      <c r="E914" s="355">
        <f>'PART-B'!K58</f>
        <v>284.39999999999998</v>
      </c>
      <c r="F914" s="353">
        <f t="shared" si="51"/>
        <v>0</v>
      </c>
      <c r="G914" s="368"/>
      <c r="H914" s="368"/>
      <c r="I914" s="368">
        <f t="shared" si="52"/>
        <v>0</v>
      </c>
      <c r="J914" s="368">
        <f t="shared" si="53"/>
        <v>0</v>
      </c>
      <c r="K914" s="360" t="s">
        <v>2313</v>
      </c>
    </row>
    <row r="915" spans="1:11" s="360" customFormat="1" ht="20.25" hidden="1" customHeight="1">
      <c r="A915" s="356" t="s">
        <v>464</v>
      </c>
      <c r="B915" s="357" t="s">
        <v>2223</v>
      </c>
      <c r="C915" s="358">
        <f>'PART-B'!I63</f>
        <v>0</v>
      </c>
      <c r="D915" s="354" t="s">
        <v>5</v>
      </c>
      <c r="E915" s="355">
        <f>'PART-B'!K63</f>
        <v>8062.18</v>
      </c>
      <c r="F915" s="353">
        <f t="shared" si="51"/>
        <v>0</v>
      </c>
      <c r="G915" s="353"/>
      <c r="H915" s="353"/>
      <c r="I915" s="368">
        <f t="shared" si="52"/>
        <v>0</v>
      </c>
      <c r="J915" s="368">
        <f t="shared" si="53"/>
        <v>0</v>
      </c>
      <c r="K915" s="360" t="s">
        <v>2313</v>
      </c>
    </row>
    <row r="916" spans="1:11" s="360" customFormat="1" ht="20.25" hidden="1" customHeight="1">
      <c r="A916" s="356" t="s">
        <v>465</v>
      </c>
      <c r="B916" s="357" t="s">
        <v>2003</v>
      </c>
      <c r="C916" s="358">
        <f>'PART-B'!I68</f>
        <v>0</v>
      </c>
      <c r="D916" s="354" t="s">
        <v>5</v>
      </c>
      <c r="E916" s="355">
        <f>'PART-B'!K68</f>
        <v>8501.18</v>
      </c>
      <c r="F916" s="353">
        <f t="shared" si="51"/>
        <v>0</v>
      </c>
      <c r="G916" s="353"/>
      <c r="H916" s="353"/>
      <c r="I916" s="368">
        <f t="shared" si="52"/>
        <v>0</v>
      </c>
      <c r="J916" s="368">
        <f t="shared" si="53"/>
        <v>0</v>
      </c>
      <c r="K916" s="360" t="s">
        <v>2313</v>
      </c>
    </row>
    <row r="917" spans="1:11" s="360" customFormat="1" ht="20.25" hidden="1" customHeight="1">
      <c r="A917" s="356" t="s">
        <v>466</v>
      </c>
      <c r="B917" s="357" t="s">
        <v>2004</v>
      </c>
      <c r="C917" s="358">
        <f>'PART-B'!I80</f>
        <v>0</v>
      </c>
      <c r="D917" s="354" t="s">
        <v>5</v>
      </c>
      <c r="E917" s="355">
        <f>'PART-B'!K80</f>
        <v>10417.6</v>
      </c>
      <c r="F917" s="353">
        <f t="shared" si="51"/>
        <v>0</v>
      </c>
      <c r="G917" s="353"/>
      <c r="H917" s="353"/>
      <c r="I917" s="368">
        <f t="shared" si="52"/>
        <v>0</v>
      </c>
      <c r="J917" s="368">
        <f t="shared" si="53"/>
        <v>0</v>
      </c>
      <c r="K917" s="360" t="s">
        <v>2313</v>
      </c>
    </row>
    <row r="918" spans="1:11" s="360" customFormat="1" ht="20.25" hidden="1" customHeight="1">
      <c r="A918" s="356" t="s">
        <v>467</v>
      </c>
      <c r="B918" s="357" t="s">
        <v>2005</v>
      </c>
      <c r="C918" s="358">
        <f>'PART-B'!I88</f>
        <v>0</v>
      </c>
      <c r="D918" s="354" t="s">
        <v>5</v>
      </c>
      <c r="E918" s="355">
        <f>'PART-B'!K88</f>
        <v>10162.18</v>
      </c>
      <c r="F918" s="353">
        <f t="shared" si="51"/>
        <v>0</v>
      </c>
      <c r="G918" s="353"/>
      <c r="H918" s="353"/>
      <c r="I918" s="368">
        <f t="shared" si="52"/>
        <v>0</v>
      </c>
      <c r="J918" s="368">
        <f t="shared" si="53"/>
        <v>0</v>
      </c>
      <c r="K918" s="360" t="s">
        <v>2313</v>
      </c>
    </row>
    <row r="919" spans="1:11" s="360" customFormat="1" ht="20.25" hidden="1" customHeight="1">
      <c r="A919" s="356" t="s">
        <v>468</v>
      </c>
      <c r="B919" s="357" t="s">
        <v>2006</v>
      </c>
      <c r="C919" s="358">
        <f>'PART-B'!I96</f>
        <v>0</v>
      </c>
      <c r="D919" s="428" t="s">
        <v>5</v>
      </c>
      <c r="E919" s="355">
        <f>'PART-B'!K96</f>
        <v>9921.19</v>
      </c>
      <c r="F919" s="353">
        <f t="shared" si="51"/>
        <v>0</v>
      </c>
      <c r="G919" s="353"/>
      <c r="H919" s="353"/>
      <c r="I919" s="368">
        <f t="shared" si="52"/>
        <v>0</v>
      </c>
      <c r="J919" s="368">
        <f t="shared" si="53"/>
        <v>0</v>
      </c>
      <c r="K919" s="360" t="s">
        <v>2313</v>
      </c>
    </row>
    <row r="920" spans="1:11" s="360" customFormat="1" ht="20.25" hidden="1" customHeight="1">
      <c r="A920" s="356" t="s">
        <v>326</v>
      </c>
      <c r="B920" s="357" t="s">
        <v>2007</v>
      </c>
      <c r="C920" s="358">
        <f>'PART-B'!I108</f>
        <v>0</v>
      </c>
      <c r="D920" s="354" t="s">
        <v>102</v>
      </c>
      <c r="E920" s="355">
        <f>'PART-B'!K108</f>
        <v>1202.4000000000001</v>
      </c>
      <c r="F920" s="353">
        <f t="shared" si="51"/>
        <v>0</v>
      </c>
      <c r="G920" s="353"/>
      <c r="H920" s="353"/>
      <c r="I920" s="368">
        <f t="shared" si="52"/>
        <v>0</v>
      </c>
      <c r="J920" s="368">
        <f t="shared" si="53"/>
        <v>0</v>
      </c>
      <c r="K920" s="360" t="s">
        <v>2313</v>
      </c>
    </row>
    <row r="921" spans="1:11" s="360" customFormat="1" ht="20.25" hidden="1" customHeight="1">
      <c r="A921" s="356" t="s">
        <v>469</v>
      </c>
      <c r="B921" s="357" t="s">
        <v>2008</v>
      </c>
      <c r="C921" s="358">
        <f>'PART-B'!I102</f>
        <v>0</v>
      </c>
      <c r="D921" s="354" t="s">
        <v>102</v>
      </c>
      <c r="E921" s="355">
        <f>'PART-B'!K102</f>
        <v>1345.28</v>
      </c>
      <c r="F921" s="353">
        <f t="shared" si="51"/>
        <v>0</v>
      </c>
      <c r="G921" s="368"/>
      <c r="H921" s="368"/>
      <c r="I921" s="368">
        <f t="shared" si="52"/>
        <v>0</v>
      </c>
      <c r="J921" s="368">
        <f t="shared" si="53"/>
        <v>0</v>
      </c>
      <c r="K921" s="360" t="s">
        <v>2313</v>
      </c>
    </row>
    <row r="922" spans="1:11" s="360" customFormat="1" ht="20.25" hidden="1" customHeight="1">
      <c r="A922" s="356" t="s">
        <v>469</v>
      </c>
      <c r="B922" s="357" t="s">
        <v>2218</v>
      </c>
      <c r="C922" s="358">
        <f>'PART-B'!I114</f>
        <v>0</v>
      </c>
      <c r="D922" s="354" t="s">
        <v>102</v>
      </c>
      <c r="E922" s="355">
        <f>'PART-B'!K114</f>
        <v>1059.52</v>
      </c>
      <c r="F922" s="353">
        <f t="shared" si="51"/>
        <v>0</v>
      </c>
      <c r="G922" s="368"/>
      <c r="H922" s="368"/>
      <c r="I922" s="368">
        <f t="shared" si="52"/>
        <v>0</v>
      </c>
      <c r="J922" s="368">
        <f t="shared" si="53"/>
        <v>0</v>
      </c>
      <c r="K922" s="360" t="s">
        <v>2313</v>
      </c>
    </row>
    <row r="923" spans="1:11" s="360" customFormat="1" ht="20.25" hidden="1" customHeight="1">
      <c r="A923" s="356" t="s">
        <v>469</v>
      </c>
      <c r="B923" s="357" t="s">
        <v>2219</v>
      </c>
      <c r="C923" s="358">
        <f>'PART-B'!I120</f>
        <v>0</v>
      </c>
      <c r="D923" s="354" t="s">
        <v>102</v>
      </c>
      <c r="E923" s="355">
        <f>'PART-B'!K120</f>
        <v>526.29999999999995</v>
      </c>
      <c r="F923" s="353">
        <f t="shared" si="51"/>
        <v>0</v>
      </c>
      <c r="G923" s="353"/>
      <c r="H923" s="353"/>
      <c r="I923" s="368">
        <f t="shared" si="52"/>
        <v>0</v>
      </c>
      <c r="J923" s="368">
        <f t="shared" si="53"/>
        <v>0</v>
      </c>
      <c r="K923" s="360" t="s">
        <v>2313</v>
      </c>
    </row>
    <row r="924" spans="1:11" s="360" customFormat="1" ht="20.25" hidden="1" customHeight="1">
      <c r="A924" s="356" t="s">
        <v>475</v>
      </c>
      <c r="B924" s="357" t="s">
        <v>2220</v>
      </c>
      <c r="C924" s="358">
        <f>'PART-B'!I127</f>
        <v>0</v>
      </c>
      <c r="D924" s="354" t="s">
        <v>102</v>
      </c>
      <c r="E924" s="355">
        <f>'PART-B'!K127</f>
        <v>385.15</v>
      </c>
      <c r="F924" s="353">
        <f t="shared" si="51"/>
        <v>0</v>
      </c>
      <c r="G924" s="368"/>
      <c r="H924" s="368"/>
      <c r="I924" s="368">
        <f t="shared" si="52"/>
        <v>0</v>
      </c>
      <c r="J924" s="368">
        <f t="shared" si="53"/>
        <v>0</v>
      </c>
      <c r="K924" s="360" t="s">
        <v>2313</v>
      </c>
    </row>
    <row r="925" spans="1:11" s="360" customFormat="1" ht="20.25" hidden="1" customHeight="1">
      <c r="A925" s="356" t="s">
        <v>483</v>
      </c>
      <c r="B925" s="357" t="s">
        <v>2009</v>
      </c>
      <c r="C925" s="358">
        <f>'PART-B'!I136</f>
        <v>0</v>
      </c>
      <c r="D925" s="354" t="s">
        <v>5</v>
      </c>
      <c r="E925" s="355">
        <f>'PART-B'!K136</f>
        <v>10584.6</v>
      </c>
      <c r="F925" s="353">
        <f t="shared" si="51"/>
        <v>0</v>
      </c>
      <c r="G925" s="353"/>
      <c r="H925" s="353"/>
      <c r="I925" s="368">
        <f t="shared" si="52"/>
        <v>0</v>
      </c>
      <c r="J925" s="368">
        <f t="shared" si="53"/>
        <v>0</v>
      </c>
      <c r="K925" s="360" t="s">
        <v>2313</v>
      </c>
    </row>
    <row r="926" spans="1:11" s="360" customFormat="1" ht="20.25" hidden="1" customHeight="1">
      <c r="A926" s="356" t="s">
        <v>484</v>
      </c>
      <c r="B926" s="357" t="s">
        <v>2010</v>
      </c>
      <c r="C926" s="358">
        <f>'PART-B'!I142</f>
        <v>0</v>
      </c>
      <c r="D926" s="354" t="s">
        <v>277</v>
      </c>
      <c r="E926" s="355">
        <f>'PART-B'!K142</f>
        <v>518.52</v>
      </c>
      <c r="F926" s="353">
        <f t="shared" si="51"/>
        <v>0</v>
      </c>
      <c r="G926" s="353"/>
      <c r="H926" s="353"/>
      <c r="I926" s="368">
        <f t="shared" si="52"/>
        <v>0</v>
      </c>
      <c r="J926" s="368">
        <f t="shared" si="53"/>
        <v>0</v>
      </c>
      <c r="K926" s="360" t="s">
        <v>2313</v>
      </c>
    </row>
    <row r="927" spans="1:11" s="360" customFormat="1" ht="20.25" hidden="1" customHeight="1">
      <c r="A927" s="356" t="s">
        <v>493</v>
      </c>
      <c r="B927" s="357" t="s">
        <v>2221</v>
      </c>
      <c r="C927" s="358">
        <f>'PART-B'!I148</f>
        <v>0</v>
      </c>
      <c r="D927" s="221" t="s">
        <v>102</v>
      </c>
      <c r="E927" s="355">
        <f>'PART-B'!K148</f>
        <v>315.69</v>
      </c>
      <c r="F927" s="353">
        <f t="shared" si="51"/>
        <v>0</v>
      </c>
      <c r="G927" s="353"/>
      <c r="H927" s="353"/>
      <c r="I927" s="368">
        <f t="shared" si="52"/>
        <v>0</v>
      </c>
      <c r="J927" s="368">
        <f t="shared" si="53"/>
        <v>0</v>
      </c>
      <c r="K927" s="360" t="s">
        <v>2313</v>
      </c>
    </row>
    <row r="928" spans="1:11" s="360" customFormat="1" ht="20.25" hidden="1" customHeight="1">
      <c r="A928" s="356" t="s">
        <v>474</v>
      </c>
      <c r="B928" s="357" t="s">
        <v>2222</v>
      </c>
      <c r="C928" s="358">
        <f>'PART-B'!I154</f>
        <v>0</v>
      </c>
      <c r="D928" s="221" t="s">
        <v>102</v>
      </c>
      <c r="E928" s="355">
        <f>'PART-B'!K154</f>
        <v>405.78</v>
      </c>
      <c r="F928" s="353">
        <f t="shared" si="51"/>
        <v>0</v>
      </c>
      <c r="G928" s="368"/>
      <c r="H928" s="368"/>
      <c r="I928" s="368">
        <f t="shared" si="52"/>
        <v>0</v>
      </c>
      <c r="J928" s="368">
        <f t="shared" si="53"/>
        <v>0</v>
      </c>
      <c r="K928" s="360" t="s">
        <v>2313</v>
      </c>
    </row>
    <row r="929" spans="1:11" s="360" customFormat="1" ht="20.25" hidden="1" customHeight="1">
      <c r="A929" s="356" t="s">
        <v>488</v>
      </c>
      <c r="B929" s="357" t="s">
        <v>3341</v>
      </c>
      <c r="C929" s="358">
        <f>'PART-B'!I322</f>
        <v>0</v>
      </c>
      <c r="D929" s="354" t="s">
        <v>5</v>
      </c>
      <c r="E929" s="355">
        <f>'PART-B'!K322</f>
        <v>5601.67</v>
      </c>
      <c r="F929" s="353">
        <f t="shared" si="51"/>
        <v>0</v>
      </c>
      <c r="G929" s="368"/>
      <c r="H929" s="368"/>
      <c r="I929" s="368">
        <f t="shared" si="52"/>
        <v>0</v>
      </c>
      <c r="J929" s="368">
        <f t="shared" si="53"/>
        <v>0</v>
      </c>
      <c r="K929" s="360" t="s">
        <v>2313</v>
      </c>
    </row>
    <row r="930" spans="1:11" s="360" customFormat="1" ht="20.25" hidden="1" customHeight="1">
      <c r="A930" s="356" t="s">
        <v>475</v>
      </c>
      <c r="B930" s="357" t="s">
        <v>2224</v>
      </c>
      <c r="C930" s="358">
        <f>'PART-B'!I161</f>
        <v>0</v>
      </c>
      <c r="D930" s="354" t="s">
        <v>5</v>
      </c>
      <c r="E930" s="355">
        <f>'PART-B'!K161</f>
        <v>3828.3500000000004</v>
      </c>
      <c r="F930" s="353">
        <f t="shared" si="51"/>
        <v>0</v>
      </c>
      <c r="G930" s="353"/>
      <c r="H930" s="353"/>
      <c r="I930" s="368">
        <f t="shared" si="52"/>
        <v>0</v>
      </c>
      <c r="J930" s="368">
        <f t="shared" si="53"/>
        <v>0</v>
      </c>
      <c r="K930" s="360" t="s">
        <v>2313</v>
      </c>
    </row>
    <row r="931" spans="1:11" s="360" customFormat="1" ht="20.25" hidden="1" customHeight="1">
      <c r="A931" s="356" t="s">
        <v>1516</v>
      </c>
      <c r="B931" s="357" t="s">
        <v>2105</v>
      </c>
      <c r="C931" s="358">
        <f>'PART-B'!I169</f>
        <v>0</v>
      </c>
      <c r="D931" s="354" t="s">
        <v>5</v>
      </c>
      <c r="E931" s="355">
        <f>'PART-B'!K169</f>
        <v>6869.83</v>
      </c>
      <c r="F931" s="353">
        <f t="shared" si="51"/>
        <v>0</v>
      </c>
      <c r="G931" s="368"/>
      <c r="H931" s="368"/>
      <c r="I931" s="368">
        <f t="shared" si="52"/>
        <v>0</v>
      </c>
      <c r="J931" s="368">
        <f t="shared" si="53"/>
        <v>0</v>
      </c>
      <c r="K931" s="360" t="s">
        <v>2313</v>
      </c>
    </row>
    <row r="932" spans="1:11" s="360" customFormat="1" ht="20.25" hidden="1" customHeight="1">
      <c r="A932" s="356" t="s">
        <v>502</v>
      </c>
      <c r="B932" s="357" t="s">
        <v>2139</v>
      </c>
      <c r="C932" s="358">
        <f>'PART-B'!I177</f>
        <v>0</v>
      </c>
      <c r="D932" s="354" t="s">
        <v>5</v>
      </c>
      <c r="E932" s="355">
        <f>'PART-B'!K177</f>
        <v>6926.2300000000005</v>
      </c>
      <c r="F932" s="353">
        <f t="shared" si="51"/>
        <v>0</v>
      </c>
      <c r="G932" s="353"/>
      <c r="H932" s="353"/>
      <c r="I932" s="368">
        <f t="shared" si="52"/>
        <v>0</v>
      </c>
      <c r="J932" s="368">
        <f t="shared" si="53"/>
        <v>0</v>
      </c>
      <c r="K932" s="360" t="s">
        <v>2313</v>
      </c>
    </row>
    <row r="933" spans="1:11" s="360" customFormat="1" hidden="1">
      <c r="A933" s="356" t="s">
        <v>487</v>
      </c>
      <c r="B933" s="357" t="s">
        <v>2140</v>
      </c>
      <c r="C933" s="358">
        <f>'PART-B'!I184</f>
        <v>0</v>
      </c>
      <c r="D933" s="354" t="s">
        <v>102</v>
      </c>
      <c r="E933" s="355">
        <f>'PART-B'!K184</f>
        <v>865.32</v>
      </c>
      <c r="F933" s="353">
        <f>ROUND(C933*E933/1,0)</f>
        <v>0</v>
      </c>
      <c r="G933" s="353"/>
      <c r="H933" s="353"/>
      <c r="I933" s="368">
        <f t="shared" si="52"/>
        <v>0</v>
      </c>
      <c r="J933" s="368">
        <f t="shared" si="53"/>
        <v>0</v>
      </c>
      <c r="K933" s="360" t="s">
        <v>2313</v>
      </c>
    </row>
    <row r="934" spans="1:11" s="360" customFormat="1" hidden="1">
      <c r="A934" s="356" t="s">
        <v>479</v>
      </c>
      <c r="B934" s="357" t="s">
        <v>1221</v>
      </c>
      <c r="C934" s="358">
        <f>'PART-B'!I192</f>
        <v>0</v>
      </c>
      <c r="D934" s="354" t="s">
        <v>102</v>
      </c>
      <c r="E934" s="355">
        <f>'PART-B'!K192</f>
        <v>6281.3700000000008</v>
      </c>
      <c r="F934" s="353">
        <f>ROUND(C934*E934/1,0)</f>
        <v>0</v>
      </c>
      <c r="G934" s="368"/>
      <c r="H934" s="368"/>
      <c r="I934" s="368">
        <f t="shared" si="52"/>
        <v>0</v>
      </c>
      <c r="J934" s="368">
        <f t="shared" si="53"/>
        <v>0</v>
      </c>
      <c r="K934" s="360" t="s">
        <v>2313</v>
      </c>
    </row>
    <row r="935" spans="1:11" s="360" customFormat="1" hidden="1">
      <c r="A935" s="356" t="s">
        <v>476</v>
      </c>
      <c r="B935" s="357" t="s">
        <v>1214</v>
      </c>
      <c r="C935" s="358">
        <f>'PART-B'!I199</f>
        <v>0</v>
      </c>
      <c r="D935" s="354" t="s">
        <v>102</v>
      </c>
      <c r="E935" s="355">
        <f>'PART-B'!K199</f>
        <v>2232.9699999999998</v>
      </c>
      <c r="F935" s="353">
        <f>ROUND(C935*E935/1,0)</f>
        <v>0</v>
      </c>
      <c r="G935" s="368"/>
      <c r="H935" s="368"/>
      <c r="I935" s="368">
        <f t="shared" si="52"/>
        <v>0</v>
      </c>
      <c r="J935" s="368">
        <f t="shared" si="53"/>
        <v>0</v>
      </c>
      <c r="K935" s="360" t="s">
        <v>2313</v>
      </c>
    </row>
    <row r="936" spans="1:11" s="360" customFormat="1" ht="20.25" hidden="1" customHeight="1">
      <c r="A936" s="356" t="s">
        <v>1514</v>
      </c>
      <c r="B936" s="357" t="s">
        <v>2106</v>
      </c>
      <c r="C936" s="358">
        <f>'PART-B'!I223</f>
        <v>0</v>
      </c>
      <c r="D936" s="354" t="s">
        <v>102</v>
      </c>
      <c r="E936" s="355">
        <f>'PART-B'!K223</f>
        <v>318.2</v>
      </c>
      <c r="F936" s="353">
        <f t="shared" ref="F936:F975" si="54">ROUND(C936*E936,0)</f>
        <v>0</v>
      </c>
      <c r="G936" s="353"/>
      <c r="H936" s="353"/>
      <c r="I936" s="368">
        <f t="shared" si="52"/>
        <v>0</v>
      </c>
      <c r="J936" s="368">
        <f t="shared" si="53"/>
        <v>0</v>
      </c>
      <c r="K936" s="360" t="s">
        <v>2313</v>
      </c>
    </row>
    <row r="937" spans="1:11" s="360" customFormat="1" ht="20.25" hidden="1" customHeight="1">
      <c r="A937" s="356" t="s">
        <v>503</v>
      </c>
      <c r="B937" s="357" t="s">
        <v>2166</v>
      </c>
      <c r="C937" s="358">
        <f>'PART-B'!I233</f>
        <v>0</v>
      </c>
      <c r="D937" s="354" t="s">
        <v>102</v>
      </c>
      <c r="E937" s="355">
        <f>'PART-B'!K233</f>
        <v>294.70999999999998</v>
      </c>
      <c r="F937" s="353">
        <f t="shared" si="54"/>
        <v>0</v>
      </c>
      <c r="G937" s="368"/>
      <c r="H937" s="368"/>
      <c r="I937" s="368">
        <f t="shared" si="52"/>
        <v>0</v>
      </c>
      <c r="J937" s="368">
        <f t="shared" si="53"/>
        <v>0</v>
      </c>
      <c r="K937" s="360" t="s">
        <v>2313</v>
      </c>
    </row>
    <row r="938" spans="1:11" s="360" customFormat="1" ht="20.25" hidden="1" customHeight="1">
      <c r="A938" s="356" t="s">
        <v>489</v>
      </c>
      <c r="B938" s="357" t="s">
        <v>2189</v>
      </c>
      <c r="C938" s="358">
        <f>'PART-B'!I251</f>
        <v>0</v>
      </c>
      <c r="D938" s="354" t="s">
        <v>102</v>
      </c>
      <c r="E938" s="355">
        <f>'PART-B'!K251</f>
        <v>314.89999999999998</v>
      </c>
      <c r="F938" s="353">
        <f t="shared" si="54"/>
        <v>0</v>
      </c>
      <c r="G938" s="368"/>
      <c r="H938" s="368"/>
      <c r="I938" s="368">
        <f t="shared" si="52"/>
        <v>0</v>
      </c>
      <c r="J938" s="368">
        <f t="shared" si="53"/>
        <v>0</v>
      </c>
      <c r="K938" s="360" t="s">
        <v>2313</v>
      </c>
    </row>
    <row r="939" spans="1:11" s="360" customFormat="1" ht="20.25" hidden="1" customHeight="1">
      <c r="A939" s="356" t="s">
        <v>492</v>
      </c>
      <c r="B939" s="357" t="s">
        <v>2107</v>
      </c>
      <c r="C939" s="358">
        <f>'PART-B'!I297</f>
        <v>0</v>
      </c>
      <c r="D939" s="354" t="s">
        <v>102</v>
      </c>
      <c r="E939" s="355">
        <f>'PART-B'!K297</f>
        <v>388.21</v>
      </c>
      <c r="F939" s="353">
        <f t="shared" si="54"/>
        <v>0</v>
      </c>
      <c r="G939" s="353"/>
      <c r="H939" s="353"/>
      <c r="I939" s="368">
        <f t="shared" si="52"/>
        <v>0</v>
      </c>
      <c r="J939" s="368">
        <f t="shared" si="53"/>
        <v>0</v>
      </c>
      <c r="K939" s="360" t="s">
        <v>2313</v>
      </c>
    </row>
    <row r="940" spans="1:11" s="360" customFormat="1" ht="20.25" hidden="1" customHeight="1">
      <c r="A940" s="356" t="s">
        <v>497</v>
      </c>
      <c r="B940" s="357" t="s">
        <v>2108</v>
      </c>
      <c r="C940" s="358">
        <f>'PART-B'!I304</f>
        <v>0</v>
      </c>
      <c r="D940" s="354" t="s">
        <v>102</v>
      </c>
      <c r="E940" s="355">
        <f>'PART-B'!K304</f>
        <v>404.02</v>
      </c>
      <c r="F940" s="353">
        <f t="shared" si="54"/>
        <v>0</v>
      </c>
      <c r="G940" s="353"/>
      <c r="H940" s="353"/>
      <c r="I940" s="368">
        <f t="shared" si="52"/>
        <v>0</v>
      </c>
      <c r="J940" s="368">
        <f t="shared" si="53"/>
        <v>0</v>
      </c>
      <c r="K940" s="360" t="s">
        <v>2313</v>
      </c>
    </row>
    <row r="941" spans="1:11" s="360" customFormat="1" ht="20.25" hidden="1" customHeight="1">
      <c r="A941" s="356" t="s">
        <v>504</v>
      </c>
      <c r="B941" s="357" t="s">
        <v>507</v>
      </c>
      <c r="C941" s="358">
        <f>'PART-B'!I338</f>
        <v>0</v>
      </c>
      <c r="D941" s="354" t="s">
        <v>102</v>
      </c>
      <c r="E941" s="355">
        <f>'PART-B'!K338</f>
        <v>1067.3599999999999</v>
      </c>
      <c r="F941" s="353">
        <f t="shared" si="54"/>
        <v>0</v>
      </c>
      <c r="G941" s="368"/>
      <c r="H941" s="368"/>
      <c r="I941" s="368">
        <f t="shared" si="52"/>
        <v>0</v>
      </c>
      <c r="J941" s="368">
        <f t="shared" si="53"/>
        <v>0</v>
      </c>
      <c r="K941" s="360" t="s">
        <v>2313</v>
      </c>
    </row>
    <row r="942" spans="1:11" s="360" customFormat="1" ht="20.25" hidden="1" customHeight="1">
      <c r="A942" s="356" t="s">
        <v>506</v>
      </c>
      <c r="B942" s="357" t="s">
        <v>2109</v>
      </c>
      <c r="C942" s="358">
        <f>'PART-B'!I354</f>
        <v>0</v>
      </c>
      <c r="D942" s="354" t="s">
        <v>102</v>
      </c>
      <c r="E942" s="355">
        <f>'PART-B'!K354</f>
        <v>1062.03</v>
      </c>
      <c r="F942" s="353">
        <f t="shared" si="54"/>
        <v>0</v>
      </c>
      <c r="G942" s="368"/>
      <c r="H942" s="368"/>
      <c r="I942" s="368">
        <f t="shared" si="52"/>
        <v>0</v>
      </c>
      <c r="J942" s="368">
        <f t="shared" si="53"/>
        <v>0</v>
      </c>
      <c r="K942" s="360" t="s">
        <v>2313</v>
      </c>
    </row>
    <row r="943" spans="1:11" s="360" customFormat="1" ht="20.25" hidden="1" customHeight="1">
      <c r="A943" s="356" t="s">
        <v>500</v>
      </c>
      <c r="B943" s="357" t="s">
        <v>708</v>
      </c>
      <c r="C943" s="358">
        <f>'PART-B'!I361</f>
        <v>0</v>
      </c>
      <c r="D943" s="354" t="s">
        <v>77</v>
      </c>
      <c r="E943" s="355">
        <f>'PART-B'!K361</f>
        <v>3115.07</v>
      </c>
      <c r="F943" s="353">
        <f t="shared" si="54"/>
        <v>0</v>
      </c>
      <c r="G943" s="368"/>
      <c r="H943" s="368"/>
      <c r="I943" s="368">
        <f t="shared" si="52"/>
        <v>0</v>
      </c>
      <c r="J943" s="368">
        <f t="shared" si="53"/>
        <v>0</v>
      </c>
      <c r="K943" s="360" t="s">
        <v>2313</v>
      </c>
    </row>
    <row r="944" spans="1:11" s="360" customFormat="1" ht="20.25" hidden="1" customHeight="1">
      <c r="A944" s="356" t="s">
        <v>501</v>
      </c>
      <c r="B944" s="357" t="s">
        <v>2109</v>
      </c>
      <c r="C944" s="358">
        <f>'PART-B'!I369</f>
        <v>0</v>
      </c>
      <c r="D944" s="354" t="s">
        <v>102</v>
      </c>
      <c r="E944" s="355">
        <f>'PART-B'!K369</f>
        <v>2905.43</v>
      </c>
      <c r="F944" s="353">
        <f t="shared" si="54"/>
        <v>0</v>
      </c>
      <c r="G944" s="368"/>
      <c r="H944" s="368"/>
      <c r="I944" s="368">
        <f t="shared" si="52"/>
        <v>0</v>
      </c>
      <c r="J944" s="368">
        <f t="shared" si="53"/>
        <v>0</v>
      </c>
      <c r="K944" s="360" t="s">
        <v>2313</v>
      </c>
    </row>
    <row r="945" spans="1:11" s="360" customFormat="1" ht="20.25" hidden="1" customHeight="1">
      <c r="A945" s="356" t="s">
        <v>498</v>
      </c>
      <c r="B945" s="357" t="s">
        <v>710</v>
      </c>
      <c r="C945" s="358">
        <f>'PART-B'!I376</f>
        <v>0</v>
      </c>
      <c r="D945" s="354" t="s">
        <v>102</v>
      </c>
      <c r="E945" s="355">
        <f>'PART-B'!K376</f>
        <v>744.7</v>
      </c>
      <c r="F945" s="353">
        <f t="shared" si="54"/>
        <v>0</v>
      </c>
      <c r="G945" s="368"/>
      <c r="H945" s="368"/>
      <c r="I945" s="368">
        <f t="shared" si="52"/>
        <v>0</v>
      </c>
      <c r="J945" s="368">
        <f t="shared" si="53"/>
        <v>0</v>
      </c>
      <c r="K945" s="360" t="s">
        <v>2313</v>
      </c>
    </row>
    <row r="946" spans="1:11" s="360" customFormat="1" ht="20.25" hidden="1" customHeight="1">
      <c r="A946" s="356" t="s">
        <v>499</v>
      </c>
      <c r="B946" s="357" t="s">
        <v>2109</v>
      </c>
      <c r="C946" s="358">
        <f>'PART-B'!I383</f>
        <v>0</v>
      </c>
      <c r="D946" s="354" t="s">
        <v>102</v>
      </c>
      <c r="E946" s="355">
        <f>'PART-B'!K383</f>
        <v>750.18</v>
      </c>
      <c r="F946" s="353">
        <f t="shared" si="54"/>
        <v>0</v>
      </c>
      <c r="G946" s="368"/>
      <c r="H946" s="368"/>
      <c r="I946" s="368">
        <f t="shared" si="52"/>
        <v>0</v>
      </c>
      <c r="J946" s="368">
        <f t="shared" si="53"/>
        <v>0</v>
      </c>
      <c r="K946" s="360" t="s">
        <v>2313</v>
      </c>
    </row>
    <row r="947" spans="1:11" s="360" customFormat="1" ht="20.25" hidden="1" customHeight="1">
      <c r="A947" s="356" t="s">
        <v>508</v>
      </c>
      <c r="B947" s="357" t="s">
        <v>2110</v>
      </c>
      <c r="C947" s="358">
        <f>'PART-B'!I395</f>
        <v>0</v>
      </c>
      <c r="D947" s="354" t="s">
        <v>102</v>
      </c>
      <c r="E947" s="355">
        <f>'PART-B'!K395</f>
        <v>801.83</v>
      </c>
      <c r="F947" s="353">
        <f t="shared" si="54"/>
        <v>0</v>
      </c>
      <c r="G947" s="368"/>
      <c r="H947" s="368"/>
      <c r="I947" s="368">
        <f t="shared" si="52"/>
        <v>0</v>
      </c>
      <c r="J947" s="368">
        <f t="shared" si="53"/>
        <v>0</v>
      </c>
      <c r="K947" s="360" t="s">
        <v>2313</v>
      </c>
    </row>
    <row r="948" spans="1:11" s="360" customFormat="1" ht="20.25" hidden="1" customHeight="1">
      <c r="A948" s="356" t="s">
        <v>510</v>
      </c>
      <c r="B948" s="357" t="s">
        <v>2109</v>
      </c>
      <c r="C948" s="358">
        <f>'PART-B'!I410</f>
        <v>0</v>
      </c>
      <c r="D948" s="354" t="s">
        <v>102</v>
      </c>
      <c r="E948" s="355">
        <f>'PART-B'!K410</f>
        <v>518.15</v>
      </c>
      <c r="F948" s="353">
        <f t="shared" si="54"/>
        <v>0</v>
      </c>
      <c r="G948" s="368"/>
      <c r="H948" s="368"/>
      <c r="I948" s="368">
        <f t="shared" si="52"/>
        <v>0</v>
      </c>
      <c r="J948" s="368">
        <f t="shared" si="53"/>
        <v>0</v>
      </c>
      <c r="K948" s="360" t="s">
        <v>2313</v>
      </c>
    </row>
    <row r="949" spans="1:11" s="360" customFormat="1" ht="20.25" customHeight="1">
      <c r="A949" s="356" t="s">
        <v>1514</v>
      </c>
      <c r="B949" s="357" t="s">
        <v>1222</v>
      </c>
      <c r="C949" s="358">
        <f>'PART-B'!I416</f>
        <v>22.14</v>
      </c>
      <c r="D949" s="354" t="s">
        <v>102</v>
      </c>
      <c r="E949" s="355">
        <f>'PART-B'!K416</f>
        <v>1017.93</v>
      </c>
      <c r="F949" s="353">
        <f t="shared" si="54"/>
        <v>22537</v>
      </c>
      <c r="G949" s="368"/>
      <c r="H949" s="368"/>
      <c r="I949" s="368">
        <f t="shared" si="52"/>
        <v>22.14</v>
      </c>
      <c r="J949" s="368">
        <f t="shared" si="53"/>
        <v>22537</v>
      </c>
      <c r="K949" s="360" t="s">
        <v>2313</v>
      </c>
    </row>
    <row r="950" spans="1:11" s="360" customFormat="1" ht="20.25" hidden="1" customHeight="1">
      <c r="A950" s="356" t="s">
        <v>500</v>
      </c>
      <c r="B950" s="357" t="s">
        <v>2225</v>
      </c>
      <c r="C950" s="358">
        <f>'PART-B'!I437</f>
        <v>0</v>
      </c>
      <c r="D950" s="354" t="s">
        <v>102</v>
      </c>
      <c r="E950" s="355">
        <f>'PART-B'!K437</f>
        <v>24.05</v>
      </c>
      <c r="F950" s="353">
        <f t="shared" si="54"/>
        <v>0</v>
      </c>
      <c r="G950" s="368"/>
      <c r="H950" s="368"/>
      <c r="I950" s="368">
        <f t="shared" si="52"/>
        <v>0</v>
      </c>
      <c r="J950" s="368">
        <f t="shared" si="53"/>
        <v>0</v>
      </c>
      <c r="K950" s="360" t="s">
        <v>2313</v>
      </c>
    </row>
    <row r="951" spans="1:11" s="360" customFormat="1" ht="20.25" hidden="1" customHeight="1">
      <c r="A951" s="356" t="s">
        <v>491</v>
      </c>
      <c r="B951" s="357" t="s">
        <v>2111</v>
      </c>
      <c r="C951" s="358">
        <f>'PART-B'!I485</f>
        <v>0</v>
      </c>
      <c r="D951" s="354" t="s">
        <v>102</v>
      </c>
      <c r="E951" s="355">
        <f>'PART-B'!K485</f>
        <v>173.73</v>
      </c>
      <c r="F951" s="353">
        <f t="shared" si="54"/>
        <v>0</v>
      </c>
      <c r="G951" s="368"/>
      <c r="H951" s="368"/>
      <c r="I951" s="368">
        <f t="shared" si="52"/>
        <v>0</v>
      </c>
      <c r="J951" s="368">
        <f t="shared" si="53"/>
        <v>0</v>
      </c>
      <c r="K951" s="360" t="s">
        <v>2313</v>
      </c>
    </row>
    <row r="952" spans="1:11" s="360" customFormat="1" ht="20.25" customHeight="1">
      <c r="A952" s="356" t="s">
        <v>492</v>
      </c>
      <c r="B952" s="357" t="s">
        <v>2167</v>
      </c>
      <c r="C952" s="358">
        <f>'PART-B'!I516</f>
        <v>268.64000000000004</v>
      </c>
      <c r="D952" s="354" t="s">
        <v>102</v>
      </c>
      <c r="E952" s="355">
        <f>'PART-B'!K516</f>
        <v>146.82</v>
      </c>
      <c r="F952" s="353">
        <f t="shared" si="54"/>
        <v>39442</v>
      </c>
      <c r="G952" s="368"/>
      <c r="H952" s="368"/>
      <c r="I952" s="368">
        <f t="shared" si="52"/>
        <v>268.64000000000004</v>
      </c>
      <c r="J952" s="368">
        <f t="shared" si="53"/>
        <v>39442</v>
      </c>
      <c r="K952" s="360" t="s">
        <v>2313</v>
      </c>
    </row>
    <row r="953" spans="1:11" s="360" customFormat="1" ht="20.25" customHeight="1">
      <c r="A953" s="356" t="s">
        <v>493</v>
      </c>
      <c r="B953" s="357" t="s">
        <v>2168</v>
      </c>
      <c r="C953" s="358">
        <f>'PART-B'!I537</f>
        <v>223.53</v>
      </c>
      <c r="D953" s="354" t="s">
        <v>102</v>
      </c>
      <c r="E953" s="355">
        <f>'PART-B'!K537</f>
        <v>200.84</v>
      </c>
      <c r="F953" s="353">
        <f t="shared" si="54"/>
        <v>44894</v>
      </c>
      <c r="G953" s="368"/>
      <c r="H953" s="368"/>
      <c r="I953" s="368">
        <f t="shared" si="52"/>
        <v>223.53</v>
      </c>
      <c r="J953" s="368">
        <f t="shared" si="53"/>
        <v>44894</v>
      </c>
      <c r="K953" s="360" t="s">
        <v>2313</v>
      </c>
    </row>
    <row r="954" spans="1:11" s="360" customFormat="1">
      <c r="A954" s="356" t="s">
        <v>494</v>
      </c>
      <c r="B954" s="357" t="s">
        <v>3340</v>
      </c>
      <c r="C954" s="358">
        <f>'PART-B'!I551</f>
        <v>14.879999999999999</v>
      </c>
      <c r="D954" s="354" t="s">
        <v>102</v>
      </c>
      <c r="E954" s="355">
        <f>'PART-B'!K551</f>
        <v>968.78</v>
      </c>
      <c r="F954" s="353">
        <f t="shared" si="54"/>
        <v>14415</v>
      </c>
      <c r="G954" s="368"/>
      <c r="H954" s="368"/>
      <c r="I954" s="368">
        <f t="shared" si="52"/>
        <v>14.879999999999999</v>
      </c>
      <c r="J954" s="368">
        <f t="shared" si="53"/>
        <v>14415</v>
      </c>
      <c r="K954" s="360" t="s">
        <v>2313</v>
      </c>
    </row>
    <row r="955" spans="1:11" s="360" customFormat="1" ht="20.25" hidden="1" customHeight="1">
      <c r="A955" s="356" t="s">
        <v>506</v>
      </c>
      <c r="B955" s="357" t="s">
        <v>2011</v>
      </c>
      <c r="C955" s="429">
        <f>'PART-B'!I556</f>
        <v>0</v>
      </c>
      <c r="D955" s="221" t="s">
        <v>102</v>
      </c>
      <c r="E955" s="430">
        <f>'PART-B'!K556</f>
        <v>4025</v>
      </c>
      <c r="F955" s="353">
        <f t="shared" si="54"/>
        <v>0</v>
      </c>
      <c r="G955" s="368"/>
      <c r="H955" s="368"/>
      <c r="I955" s="368">
        <f t="shared" si="52"/>
        <v>0</v>
      </c>
      <c r="J955" s="368">
        <f t="shared" si="53"/>
        <v>0</v>
      </c>
      <c r="K955" s="360" t="s">
        <v>2313</v>
      </c>
    </row>
    <row r="956" spans="1:11" s="360" customFormat="1" hidden="1">
      <c r="A956" s="356" t="s">
        <v>512</v>
      </c>
      <c r="B956" s="357" t="s">
        <v>3339</v>
      </c>
      <c r="C956" s="358">
        <f>'PART-B'!I544</f>
        <v>0</v>
      </c>
      <c r="D956" s="354" t="s">
        <v>102</v>
      </c>
      <c r="E956" s="355">
        <f>'PART-B'!K544</f>
        <v>149.86000000000001</v>
      </c>
      <c r="F956" s="353">
        <f t="shared" si="54"/>
        <v>0</v>
      </c>
      <c r="G956" s="368"/>
      <c r="H956" s="368"/>
      <c r="I956" s="368">
        <f t="shared" si="52"/>
        <v>0</v>
      </c>
      <c r="J956" s="368">
        <f t="shared" si="53"/>
        <v>0</v>
      </c>
      <c r="K956" s="360" t="s">
        <v>2313</v>
      </c>
    </row>
    <row r="957" spans="1:11" s="360" customFormat="1" hidden="1">
      <c r="A957" s="356" t="s">
        <v>493</v>
      </c>
      <c r="B957" s="357" t="s">
        <v>2271</v>
      </c>
      <c r="C957" s="358">
        <f>'PART-B'!I423</f>
        <v>0</v>
      </c>
      <c r="D957" s="354" t="s">
        <v>102</v>
      </c>
      <c r="E957" s="355">
        <f>'PART-B'!K423</f>
        <v>610</v>
      </c>
      <c r="F957" s="353">
        <f t="shared" si="54"/>
        <v>0</v>
      </c>
      <c r="G957" s="368"/>
      <c r="H957" s="368"/>
      <c r="I957" s="368">
        <f t="shared" si="52"/>
        <v>0</v>
      </c>
      <c r="J957" s="368">
        <f t="shared" si="53"/>
        <v>0</v>
      </c>
      <c r="K957" s="360" t="s">
        <v>2313</v>
      </c>
    </row>
    <row r="958" spans="1:11" s="360" customFormat="1" hidden="1">
      <c r="A958" s="356" t="s">
        <v>1515</v>
      </c>
      <c r="B958" s="357" t="s">
        <v>2272</v>
      </c>
      <c r="C958" s="358">
        <f>'PART-B'!I430</f>
        <v>0</v>
      </c>
      <c r="D958" s="354" t="s">
        <v>102</v>
      </c>
      <c r="E958" s="355">
        <f>'PART-B'!K430</f>
        <v>345.47</v>
      </c>
      <c r="F958" s="353">
        <f t="shared" si="54"/>
        <v>0</v>
      </c>
      <c r="G958" s="368"/>
      <c r="H958" s="368"/>
      <c r="I958" s="368">
        <f t="shared" si="52"/>
        <v>0</v>
      </c>
      <c r="J958" s="368">
        <f t="shared" si="53"/>
        <v>0</v>
      </c>
      <c r="K958" s="360" t="s">
        <v>2313</v>
      </c>
    </row>
    <row r="959" spans="1:11" s="360" customFormat="1" ht="20.25" hidden="1" customHeight="1">
      <c r="A959" s="356" t="s">
        <v>1517</v>
      </c>
      <c r="B959" s="357" t="s">
        <v>2226</v>
      </c>
      <c r="C959" s="358">
        <f>'PART-B'!I561</f>
        <v>0</v>
      </c>
      <c r="D959" s="354" t="s">
        <v>115</v>
      </c>
      <c r="E959" s="355">
        <f>'PART-B'!K561</f>
        <v>808</v>
      </c>
      <c r="F959" s="353">
        <f t="shared" si="54"/>
        <v>0</v>
      </c>
      <c r="G959" s="368"/>
      <c r="H959" s="368"/>
      <c r="I959" s="368">
        <f t="shared" si="52"/>
        <v>0</v>
      </c>
      <c r="J959" s="368">
        <f t="shared" si="53"/>
        <v>0</v>
      </c>
      <c r="K959" s="360" t="s">
        <v>2313</v>
      </c>
    </row>
    <row r="960" spans="1:11" s="360" customFormat="1" ht="20.25" hidden="1" customHeight="1">
      <c r="A960" s="356" t="s">
        <v>1515</v>
      </c>
      <c r="B960" s="357" t="s">
        <v>2227</v>
      </c>
      <c r="C960" s="358">
        <f>'PART-B'!I566</f>
        <v>0</v>
      </c>
      <c r="D960" s="354" t="s">
        <v>115</v>
      </c>
      <c r="E960" s="355">
        <f>'PART-B'!K566</f>
        <v>500</v>
      </c>
      <c r="F960" s="353">
        <f t="shared" si="54"/>
        <v>0</v>
      </c>
      <c r="G960" s="368"/>
      <c r="H960" s="368"/>
      <c r="I960" s="368">
        <f t="shared" si="52"/>
        <v>0</v>
      </c>
      <c r="J960" s="368">
        <f t="shared" si="53"/>
        <v>0</v>
      </c>
      <c r="K960" s="360" t="s">
        <v>2313</v>
      </c>
    </row>
    <row r="961" spans="1:11" s="360" customFormat="1" ht="27" hidden="1" customHeight="1">
      <c r="A961" s="356" t="s">
        <v>1518</v>
      </c>
      <c r="B961" s="357" t="s">
        <v>1483</v>
      </c>
      <c r="C961" s="358">
        <f>'PART-B'!I571</f>
        <v>0</v>
      </c>
      <c r="D961" s="354" t="s">
        <v>115</v>
      </c>
      <c r="E961" s="355">
        <f>'PART-B'!K571</f>
        <v>130</v>
      </c>
      <c r="F961" s="353">
        <f t="shared" si="54"/>
        <v>0</v>
      </c>
      <c r="G961" s="368"/>
      <c r="H961" s="368"/>
      <c r="I961" s="368">
        <f t="shared" si="52"/>
        <v>0</v>
      </c>
      <c r="J961" s="368">
        <f t="shared" si="53"/>
        <v>0</v>
      </c>
      <c r="K961" s="360" t="s">
        <v>2313</v>
      </c>
    </row>
    <row r="962" spans="1:11" s="360" customFormat="1" ht="20.25" hidden="1" customHeight="1">
      <c r="A962" s="356" t="s">
        <v>1517</v>
      </c>
      <c r="B962" s="357" t="s">
        <v>477</v>
      </c>
      <c r="C962" s="429">
        <f>'PART-B'!I578</f>
        <v>0</v>
      </c>
      <c r="D962" s="221" t="s">
        <v>29</v>
      </c>
      <c r="E962" s="430">
        <f>'PART-B'!K578</f>
        <v>89280</v>
      </c>
      <c r="F962" s="353">
        <f t="shared" si="54"/>
        <v>0</v>
      </c>
      <c r="G962" s="353"/>
      <c r="H962" s="353"/>
      <c r="I962" s="368">
        <f t="shared" si="52"/>
        <v>0</v>
      </c>
      <c r="J962" s="368">
        <f t="shared" si="53"/>
        <v>0</v>
      </c>
      <c r="K962" s="360" t="s">
        <v>2313</v>
      </c>
    </row>
    <row r="963" spans="1:11" s="360" customFormat="1" ht="20.25" hidden="1" customHeight="1">
      <c r="A963" s="356" t="s">
        <v>1514</v>
      </c>
      <c r="B963" s="357" t="s">
        <v>2103</v>
      </c>
      <c r="C963" s="358">
        <f>'PART-B'!I584</f>
        <v>0</v>
      </c>
      <c r="D963" s="354" t="s">
        <v>5</v>
      </c>
      <c r="E963" s="355">
        <f>'PART-B'!K584</f>
        <v>11192.01</v>
      </c>
      <c r="F963" s="353">
        <f t="shared" si="54"/>
        <v>0</v>
      </c>
      <c r="G963" s="368"/>
      <c r="H963" s="368"/>
      <c r="I963" s="368">
        <f t="shared" si="52"/>
        <v>0</v>
      </c>
      <c r="J963" s="368">
        <f t="shared" si="53"/>
        <v>0</v>
      </c>
      <c r="K963" s="360" t="s">
        <v>2313</v>
      </c>
    </row>
    <row r="964" spans="1:11" s="360" customFormat="1" ht="20.25" hidden="1" customHeight="1">
      <c r="A964" s="356" t="s">
        <v>492</v>
      </c>
      <c r="B964" s="357" t="s">
        <v>2013</v>
      </c>
      <c r="C964" s="358">
        <f>'PART-B'!I590</f>
        <v>0</v>
      </c>
      <c r="D964" s="354" t="s">
        <v>5</v>
      </c>
      <c r="E964" s="355">
        <f>'PART-B'!K590</f>
        <v>10490.18</v>
      </c>
      <c r="F964" s="353">
        <f t="shared" si="54"/>
        <v>0</v>
      </c>
      <c r="G964" s="368"/>
      <c r="H964" s="368"/>
      <c r="I964" s="368">
        <f t="shared" si="52"/>
        <v>0</v>
      </c>
      <c r="J964" s="368">
        <f t="shared" si="53"/>
        <v>0</v>
      </c>
      <c r="K964" s="360" t="s">
        <v>2313</v>
      </c>
    </row>
    <row r="965" spans="1:11" s="360" customFormat="1" ht="20.25" hidden="1" customHeight="1">
      <c r="A965" s="356" t="s">
        <v>493</v>
      </c>
      <c r="B965" s="357" t="s">
        <v>2007</v>
      </c>
      <c r="C965" s="358">
        <f>'PART-B'!I601</f>
        <v>0</v>
      </c>
      <c r="D965" s="354" t="s">
        <v>102</v>
      </c>
      <c r="E965" s="355">
        <f>'PART-B'!K601</f>
        <v>1395.89</v>
      </c>
      <c r="F965" s="353">
        <f t="shared" si="54"/>
        <v>0</v>
      </c>
      <c r="G965" s="368"/>
      <c r="H965" s="368"/>
      <c r="I965" s="368">
        <f t="shared" si="52"/>
        <v>0</v>
      </c>
      <c r="J965" s="368">
        <f t="shared" si="53"/>
        <v>0</v>
      </c>
      <c r="K965" s="360" t="s">
        <v>2313</v>
      </c>
    </row>
    <row r="966" spans="1:11" s="360" customFormat="1" ht="20.25" hidden="1" customHeight="1">
      <c r="A966" s="356" t="s">
        <v>487</v>
      </c>
      <c r="B966" s="357" t="s">
        <v>2218</v>
      </c>
      <c r="C966" s="358">
        <f>'PART-B'!I606</f>
        <v>0</v>
      </c>
      <c r="D966" s="354" t="s">
        <v>102</v>
      </c>
      <c r="E966" s="355">
        <f>'PART-B'!K606</f>
        <v>1253.01</v>
      </c>
      <c r="F966" s="353">
        <f t="shared" si="54"/>
        <v>0</v>
      </c>
      <c r="G966" s="368"/>
      <c r="H966" s="368"/>
      <c r="I966" s="368">
        <f t="shared" si="52"/>
        <v>0</v>
      </c>
      <c r="J966" s="368">
        <f t="shared" si="53"/>
        <v>0</v>
      </c>
      <c r="K966" s="360" t="s">
        <v>2313</v>
      </c>
    </row>
    <row r="967" spans="1:11" s="360" customFormat="1" ht="20.25" hidden="1" customHeight="1">
      <c r="A967" s="356" t="s">
        <v>494</v>
      </c>
      <c r="B967" s="357" t="s">
        <v>2008</v>
      </c>
      <c r="C967" s="358">
        <f>'PART-B'!I595</f>
        <v>0</v>
      </c>
      <c r="D967" s="221" t="s">
        <v>102</v>
      </c>
      <c r="E967" s="355">
        <f>'PART-B'!K595</f>
        <v>1538.77</v>
      </c>
      <c r="F967" s="353">
        <f t="shared" si="54"/>
        <v>0</v>
      </c>
      <c r="G967" s="368"/>
      <c r="H967" s="368"/>
      <c r="I967" s="368">
        <f t="shared" si="52"/>
        <v>0</v>
      </c>
      <c r="J967" s="368">
        <f t="shared" si="53"/>
        <v>0</v>
      </c>
      <c r="K967" s="360" t="s">
        <v>2313</v>
      </c>
    </row>
    <row r="968" spans="1:11" s="360" customFormat="1" ht="20.25" hidden="1" customHeight="1">
      <c r="A968" s="356" t="s">
        <v>517</v>
      </c>
      <c r="B968" s="357" t="s">
        <v>2219</v>
      </c>
      <c r="C968" s="358">
        <f>'PART-B'!I612</f>
        <v>0</v>
      </c>
      <c r="D968" s="221" t="s">
        <v>102</v>
      </c>
      <c r="E968" s="355">
        <f>'PART-B'!K612</f>
        <v>694.54</v>
      </c>
      <c r="F968" s="353">
        <f t="shared" si="54"/>
        <v>0</v>
      </c>
      <c r="G968" s="368"/>
      <c r="H968" s="368"/>
      <c r="I968" s="368">
        <f t="shared" si="52"/>
        <v>0</v>
      </c>
      <c r="J968" s="368">
        <f t="shared" si="53"/>
        <v>0</v>
      </c>
      <c r="K968" s="360" t="s">
        <v>2313</v>
      </c>
    </row>
    <row r="969" spans="1:11" s="360" customFormat="1" ht="20.25" hidden="1" customHeight="1">
      <c r="A969" s="356" t="s">
        <v>517</v>
      </c>
      <c r="B969" s="357" t="s">
        <v>2220</v>
      </c>
      <c r="C969" s="358">
        <f>'PART-B'!I618</f>
        <v>0</v>
      </c>
      <c r="D969" s="221" t="s">
        <v>102</v>
      </c>
      <c r="E969" s="355">
        <f>'PART-B'!K618</f>
        <v>553.39</v>
      </c>
      <c r="F969" s="353">
        <f t="shared" si="54"/>
        <v>0</v>
      </c>
      <c r="G969" s="368"/>
      <c r="H969" s="368"/>
      <c r="I969" s="368">
        <f t="shared" si="52"/>
        <v>0</v>
      </c>
      <c r="J969" s="368">
        <f t="shared" si="53"/>
        <v>0</v>
      </c>
      <c r="K969" s="360" t="s">
        <v>2313</v>
      </c>
    </row>
    <row r="970" spans="1:11" s="360" customFormat="1" ht="20.25" hidden="1" customHeight="1">
      <c r="A970" s="356" t="s">
        <v>1518</v>
      </c>
      <c r="B970" s="357" t="s">
        <v>2009</v>
      </c>
      <c r="C970" s="358">
        <f>'PART-B'!I624</f>
        <v>0</v>
      </c>
      <c r="D970" s="354" t="s">
        <v>5</v>
      </c>
      <c r="E970" s="355">
        <f>'PART-B'!K624</f>
        <v>11212.51</v>
      </c>
      <c r="F970" s="353">
        <f t="shared" si="54"/>
        <v>0</v>
      </c>
      <c r="G970" s="368"/>
      <c r="H970" s="368"/>
      <c r="I970" s="368">
        <f t="shared" si="52"/>
        <v>0</v>
      </c>
      <c r="J970" s="368">
        <f t="shared" si="53"/>
        <v>0</v>
      </c>
      <c r="K970" s="360" t="s">
        <v>2313</v>
      </c>
    </row>
    <row r="971" spans="1:11" s="360" customFormat="1" ht="20.25" hidden="1" customHeight="1">
      <c r="A971" s="356" t="s">
        <v>1519</v>
      </c>
      <c r="B971" s="357" t="s">
        <v>2010</v>
      </c>
      <c r="C971" s="358">
        <f>'PART-B'!I630</f>
        <v>0</v>
      </c>
      <c r="D971" s="221" t="s">
        <v>277</v>
      </c>
      <c r="E971" s="355">
        <f>'PART-B'!K630</f>
        <v>630.35</v>
      </c>
      <c r="F971" s="353">
        <f t="shared" si="54"/>
        <v>0</v>
      </c>
      <c r="G971" s="368"/>
      <c r="H971" s="368"/>
      <c r="I971" s="368">
        <f t="shared" ref="I971:I1034" si="55">C971-G971</f>
        <v>0</v>
      </c>
      <c r="J971" s="368">
        <f t="shared" ref="J971:J1034" si="56">F971-H971</f>
        <v>0</v>
      </c>
      <c r="K971" s="360" t="s">
        <v>2313</v>
      </c>
    </row>
    <row r="972" spans="1:11" s="360" customFormat="1" ht="20.25" hidden="1" customHeight="1">
      <c r="A972" s="356" t="s">
        <v>1517</v>
      </c>
      <c r="B972" s="357" t="s">
        <v>2228</v>
      </c>
      <c r="C972" s="358">
        <f>'PART-B'!I636</f>
        <v>0</v>
      </c>
      <c r="D972" s="221" t="s">
        <v>102</v>
      </c>
      <c r="E972" s="355">
        <f>'PART-B'!K636</f>
        <v>339.16</v>
      </c>
      <c r="F972" s="353">
        <f t="shared" si="54"/>
        <v>0</v>
      </c>
      <c r="G972" s="368"/>
      <c r="H972" s="368"/>
      <c r="I972" s="368">
        <f t="shared" si="55"/>
        <v>0</v>
      </c>
      <c r="J972" s="368">
        <f t="shared" si="56"/>
        <v>0</v>
      </c>
      <c r="K972" s="360" t="s">
        <v>2313</v>
      </c>
    </row>
    <row r="973" spans="1:11" s="360" customFormat="1" ht="20.25" hidden="1" customHeight="1">
      <c r="A973" s="356" t="s">
        <v>520</v>
      </c>
      <c r="B973" s="357" t="s">
        <v>2229</v>
      </c>
      <c r="C973" s="358">
        <f>'PART-B'!I642</f>
        <v>0</v>
      </c>
      <c r="D973" s="221" t="s">
        <v>102</v>
      </c>
      <c r="E973" s="355">
        <f>'PART-B'!K642</f>
        <v>438.06</v>
      </c>
      <c r="F973" s="353">
        <f t="shared" si="54"/>
        <v>0</v>
      </c>
      <c r="G973" s="368"/>
      <c r="H973" s="368"/>
      <c r="I973" s="368">
        <f t="shared" si="55"/>
        <v>0</v>
      </c>
      <c r="J973" s="368">
        <f t="shared" si="56"/>
        <v>0</v>
      </c>
      <c r="K973" s="360" t="s">
        <v>2313</v>
      </c>
    </row>
    <row r="974" spans="1:11" s="360" customFormat="1" ht="20.25" hidden="1" customHeight="1">
      <c r="A974" s="356" t="s">
        <v>497</v>
      </c>
      <c r="B974" s="357" t="s">
        <v>2141</v>
      </c>
      <c r="C974" s="358">
        <f>'PART-B'!I654</f>
        <v>0</v>
      </c>
      <c r="D974" s="354" t="s">
        <v>5</v>
      </c>
      <c r="E974" s="355">
        <f>'PART-B'!K654</f>
        <v>7283.96</v>
      </c>
      <c r="F974" s="353">
        <f t="shared" si="54"/>
        <v>0</v>
      </c>
      <c r="G974" s="368"/>
      <c r="H974" s="368"/>
      <c r="I974" s="368">
        <f t="shared" si="55"/>
        <v>0</v>
      </c>
      <c r="J974" s="368">
        <f t="shared" si="56"/>
        <v>0</v>
      </c>
      <c r="K974" s="360" t="s">
        <v>2313</v>
      </c>
    </row>
    <row r="975" spans="1:11" s="360" customFormat="1" ht="20.25" hidden="1" customHeight="1">
      <c r="A975" s="356" t="s">
        <v>491</v>
      </c>
      <c r="B975" s="357" t="s">
        <v>2105</v>
      </c>
      <c r="C975" s="358">
        <f>'PART-B'!I648</f>
        <v>0</v>
      </c>
      <c r="D975" s="354" t="s">
        <v>5</v>
      </c>
      <c r="E975" s="355">
        <f>'PART-B'!K648</f>
        <v>7227.5599999999995</v>
      </c>
      <c r="F975" s="353">
        <f t="shared" si="54"/>
        <v>0</v>
      </c>
      <c r="G975" s="368"/>
      <c r="H975" s="368"/>
      <c r="I975" s="368">
        <f t="shared" si="55"/>
        <v>0</v>
      </c>
      <c r="J975" s="368">
        <f t="shared" si="56"/>
        <v>0</v>
      </c>
      <c r="K975" s="360" t="s">
        <v>2313</v>
      </c>
    </row>
    <row r="976" spans="1:11" s="360" customFormat="1" ht="27" hidden="1" customHeight="1">
      <c r="A976" s="356" t="s">
        <v>498</v>
      </c>
      <c r="B976" s="27" t="s">
        <v>2142</v>
      </c>
      <c r="C976" s="358">
        <f>'PART-B'!I661</f>
        <v>0</v>
      </c>
      <c r="D976" s="354" t="s">
        <v>102</v>
      </c>
      <c r="E976" s="355">
        <f>'PART-B'!K661</f>
        <v>929.28</v>
      </c>
      <c r="F976" s="353">
        <f>ROUND(C976*E976/1,0)</f>
        <v>0</v>
      </c>
      <c r="G976" s="368"/>
      <c r="H976" s="368"/>
      <c r="I976" s="368">
        <f t="shared" si="55"/>
        <v>0</v>
      </c>
      <c r="J976" s="368">
        <f t="shared" si="56"/>
        <v>0</v>
      </c>
      <c r="K976" s="360" t="s">
        <v>2313</v>
      </c>
    </row>
    <row r="977" spans="1:11" s="360" customFormat="1" hidden="1">
      <c r="A977" s="356" t="s">
        <v>483</v>
      </c>
      <c r="B977" s="357" t="s">
        <v>1221</v>
      </c>
      <c r="C977" s="358">
        <f>'PART-B'!I668</f>
        <v>0</v>
      </c>
      <c r="D977" s="354" t="s">
        <v>102</v>
      </c>
      <c r="E977" s="355">
        <f>'PART-B'!K668</f>
        <v>6718.55</v>
      </c>
      <c r="F977" s="353">
        <f>ROUND(C977*E977/1,0)</f>
        <v>0</v>
      </c>
      <c r="G977" s="368"/>
      <c r="H977" s="368"/>
      <c r="I977" s="368">
        <f t="shared" si="55"/>
        <v>0</v>
      </c>
      <c r="J977" s="368">
        <f t="shared" si="56"/>
        <v>0</v>
      </c>
      <c r="K977" s="360" t="s">
        <v>2313</v>
      </c>
    </row>
    <row r="978" spans="1:11" s="360" customFormat="1" hidden="1">
      <c r="A978" s="356" t="s">
        <v>484</v>
      </c>
      <c r="B978" s="357" t="s">
        <v>1214</v>
      </c>
      <c r="C978" s="358">
        <f>'PART-B'!I674</f>
        <v>0</v>
      </c>
      <c r="D978" s="354" t="s">
        <v>102</v>
      </c>
      <c r="E978" s="355">
        <f>'PART-B'!K674</f>
        <v>2346.34</v>
      </c>
      <c r="F978" s="353">
        <f>ROUND(C978*E978/1,0)</f>
        <v>0</v>
      </c>
      <c r="G978" s="368"/>
      <c r="H978" s="368"/>
      <c r="I978" s="368">
        <f t="shared" si="55"/>
        <v>0</v>
      </c>
      <c r="J978" s="368">
        <f t="shared" si="56"/>
        <v>0</v>
      </c>
      <c r="K978" s="360" t="s">
        <v>2313</v>
      </c>
    </row>
    <row r="979" spans="1:11" s="360" customFormat="1" ht="20.25" hidden="1" customHeight="1">
      <c r="A979" s="356" t="s">
        <v>508</v>
      </c>
      <c r="B979" s="357" t="s">
        <v>2106</v>
      </c>
      <c r="C979" s="358">
        <f>'PART-B'!I681</f>
        <v>0</v>
      </c>
      <c r="D979" s="354" t="s">
        <v>102</v>
      </c>
      <c r="E979" s="355">
        <f>'PART-B'!K681</f>
        <v>351.17</v>
      </c>
      <c r="F979" s="353">
        <f t="shared" ref="F979:F1011" si="57">ROUND(C979*E979,0)</f>
        <v>0</v>
      </c>
      <c r="G979" s="368"/>
      <c r="H979" s="368"/>
      <c r="I979" s="368">
        <f t="shared" si="55"/>
        <v>0</v>
      </c>
      <c r="J979" s="368">
        <f t="shared" si="56"/>
        <v>0</v>
      </c>
      <c r="K979" s="360" t="s">
        <v>2313</v>
      </c>
    </row>
    <row r="980" spans="1:11" s="360" customFormat="1" ht="20.25" hidden="1" customHeight="1">
      <c r="A980" s="356" t="s">
        <v>493</v>
      </c>
      <c r="B980" s="357" t="s">
        <v>2166</v>
      </c>
      <c r="C980" s="358">
        <f>'PART-B'!I689</f>
        <v>0</v>
      </c>
      <c r="D980" s="354" t="s">
        <v>102</v>
      </c>
      <c r="E980" s="355">
        <f>'PART-B'!K689</f>
        <v>323.04000000000002</v>
      </c>
      <c r="F980" s="353">
        <f t="shared" si="57"/>
        <v>0</v>
      </c>
      <c r="G980" s="368"/>
      <c r="H980" s="368"/>
      <c r="I980" s="368">
        <f t="shared" si="55"/>
        <v>0</v>
      </c>
      <c r="J980" s="368">
        <f t="shared" si="56"/>
        <v>0</v>
      </c>
      <c r="K980" s="360" t="s">
        <v>2313</v>
      </c>
    </row>
    <row r="981" spans="1:11" s="360" customFormat="1" ht="20.25" hidden="1" customHeight="1">
      <c r="A981" s="356" t="s">
        <v>494</v>
      </c>
      <c r="B981" s="357" t="s">
        <v>2189</v>
      </c>
      <c r="C981" s="358">
        <f>'PART-B'!I697</f>
        <v>0</v>
      </c>
      <c r="D981" s="354" t="s">
        <v>102</v>
      </c>
      <c r="E981" s="355">
        <f>'PART-B'!K697</f>
        <v>343.23</v>
      </c>
      <c r="F981" s="353">
        <f t="shared" si="57"/>
        <v>0</v>
      </c>
      <c r="G981" s="368"/>
      <c r="H981" s="368"/>
      <c r="I981" s="368">
        <f t="shared" si="55"/>
        <v>0</v>
      </c>
      <c r="J981" s="368">
        <f t="shared" si="56"/>
        <v>0</v>
      </c>
      <c r="K981" s="360" t="s">
        <v>2313</v>
      </c>
    </row>
    <row r="982" spans="1:11" s="360" customFormat="1" ht="20.25" hidden="1" customHeight="1">
      <c r="A982" s="356" t="s">
        <v>510</v>
      </c>
      <c r="B982" s="357" t="s">
        <v>2107</v>
      </c>
      <c r="C982" s="358">
        <f>'PART-B'!I704</f>
        <v>0</v>
      </c>
      <c r="D982" s="354" t="s">
        <v>102</v>
      </c>
      <c r="E982" s="355">
        <f>'PART-B'!K704</f>
        <v>425.82</v>
      </c>
      <c r="F982" s="353">
        <f t="shared" si="57"/>
        <v>0</v>
      </c>
      <c r="G982" s="368"/>
      <c r="H982" s="368"/>
      <c r="I982" s="368">
        <f t="shared" si="55"/>
        <v>0</v>
      </c>
      <c r="J982" s="368">
        <f t="shared" si="56"/>
        <v>0</v>
      </c>
      <c r="K982" s="360" t="s">
        <v>2313</v>
      </c>
    </row>
    <row r="983" spans="1:11" s="360" customFormat="1" ht="20.25" hidden="1" customHeight="1">
      <c r="A983" s="356" t="s">
        <v>1520</v>
      </c>
      <c r="B983" s="357" t="s">
        <v>2108</v>
      </c>
      <c r="C983" s="358">
        <f>'PART-B'!I711</f>
        <v>0</v>
      </c>
      <c r="D983" s="354" t="s">
        <v>102</v>
      </c>
      <c r="E983" s="355">
        <f>'PART-B'!K711</f>
        <v>441.63</v>
      </c>
      <c r="F983" s="353">
        <f t="shared" si="57"/>
        <v>0</v>
      </c>
      <c r="G983" s="368"/>
      <c r="H983" s="368"/>
      <c r="I983" s="368">
        <f t="shared" si="55"/>
        <v>0</v>
      </c>
      <c r="J983" s="368">
        <f t="shared" si="56"/>
        <v>0</v>
      </c>
      <c r="K983" s="360" t="s">
        <v>2313</v>
      </c>
    </row>
    <row r="984" spans="1:11" s="360" customFormat="1" ht="20.25" hidden="1" customHeight="1">
      <c r="A984" s="356" t="s">
        <v>498</v>
      </c>
      <c r="B984" s="357" t="s">
        <v>1224</v>
      </c>
      <c r="C984" s="358">
        <f>'PART-B'!I718</f>
        <v>0</v>
      </c>
      <c r="D984" s="354" t="s">
        <v>5</v>
      </c>
      <c r="E984" s="355">
        <f>'PART-B'!K718</f>
        <v>5722.81</v>
      </c>
      <c r="F984" s="353">
        <f t="shared" si="57"/>
        <v>0</v>
      </c>
      <c r="G984" s="368"/>
      <c r="H984" s="368"/>
      <c r="I984" s="368">
        <f t="shared" si="55"/>
        <v>0</v>
      </c>
      <c r="J984" s="368">
        <f t="shared" si="56"/>
        <v>0</v>
      </c>
      <c r="K984" s="360" t="s">
        <v>2313</v>
      </c>
    </row>
    <row r="985" spans="1:11" s="360" customFormat="1" ht="20.25" hidden="1" customHeight="1">
      <c r="A985" s="356" t="s">
        <v>512</v>
      </c>
      <c r="B985" s="357" t="s">
        <v>507</v>
      </c>
      <c r="C985" s="358">
        <f>'PART-B'!I725</f>
        <v>0</v>
      </c>
      <c r="D985" s="354" t="s">
        <v>102</v>
      </c>
      <c r="E985" s="355">
        <f>'PART-B'!K725</f>
        <v>1103.3900000000001</v>
      </c>
      <c r="F985" s="353">
        <f t="shared" si="57"/>
        <v>0</v>
      </c>
      <c r="G985" s="368"/>
      <c r="H985" s="368"/>
      <c r="I985" s="368">
        <f t="shared" si="55"/>
        <v>0</v>
      </c>
      <c r="J985" s="368">
        <f t="shared" si="56"/>
        <v>0</v>
      </c>
      <c r="K985" s="360" t="s">
        <v>2313</v>
      </c>
    </row>
    <row r="986" spans="1:11" s="360" customFormat="1" ht="20.25" hidden="1" customHeight="1">
      <c r="A986" s="356" t="s">
        <v>513</v>
      </c>
      <c r="B986" s="357" t="s">
        <v>2109</v>
      </c>
      <c r="C986" s="358">
        <f>'PART-B'!I732</f>
        <v>0</v>
      </c>
      <c r="D986" s="354" t="s">
        <v>102</v>
      </c>
      <c r="E986" s="355">
        <f>'PART-B'!K732</f>
        <v>1098.05</v>
      </c>
      <c r="F986" s="353">
        <f t="shared" si="57"/>
        <v>0</v>
      </c>
      <c r="G986" s="368"/>
      <c r="H986" s="368"/>
      <c r="I986" s="368">
        <f t="shared" si="55"/>
        <v>0</v>
      </c>
      <c r="J986" s="368">
        <f t="shared" si="56"/>
        <v>0</v>
      </c>
      <c r="K986" s="360" t="s">
        <v>2313</v>
      </c>
    </row>
    <row r="987" spans="1:11" s="360" customFormat="1" ht="20.25" hidden="1" customHeight="1">
      <c r="A987" s="356" t="s">
        <v>514</v>
      </c>
      <c r="B987" s="357" t="s">
        <v>708</v>
      </c>
      <c r="C987" s="358">
        <f>'PART-B'!I739</f>
        <v>0</v>
      </c>
      <c r="D987" s="354" t="s">
        <v>77</v>
      </c>
      <c r="E987" s="355">
        <f>'PART-B'!K739</f>
        <v>3181.62</v>
      </c>
      <c r="F987" s="353">
        <f t="shared" si="57"/>
        <v>0</v>
      </c>
      <c r="G987" s="368"/>
      <c r="H987" s="368"/>
      <c r="I987" s="368">
        <f t="shared" si="55"/>
        <v>0</v>
      </c>
      <c r="J987" s="368">
        <f t="shared" si="56"/>
        <v>0</v>
      </c>
      <c r="K987" s="360" t="s">
        <v>2313</v>
      </c>
    </row>
    <row r="988" spans="1:11" s="360" customFormat="1" ht="20.25" hidden="1" customHeight="1">
      <c r="A988" s="356" t="s">
        <v>515</v>
      </c>
      <c r="B988" s="357" t="s">
        <v>2109</v>
      </c>
      <c r="C988" s="358">
        <f>'PART-B'!I746</f>
        <v>0</v>
      </c>
      <c r="D988" s="354" t="s">
        <v>102</v>
      </c>
      <c r="E988" s="355">
        <f>'PART-B'!K746</f>
        <v>2950.54</v>
      </c>
      <c r="F988" s="353">
        <f t="shared" si="57"/>
        <v>0</v>
      </c>
      <c r="G988" s="368"/>
      <c r="H988" s="368"/>
      <c r="I988" s="368">
        <f t="shared" si="55"/>
        <v>0</v>
      </c>
      <c r="J988" s="368">
        <f t="shared" si="56"/>
        <v>0</v>
      </c>
      <c r="K988" s="360" t="s">
        <v>2313</v>
      </c>
    </row>
    <row r="989" spans="1:11" s="360" customFormat="1" ht="20.25" hidden="1" customHeight="1">
      <c r="A989" s="356" t="s">
        <v>529</v>
      </c>
      <c r="B989" s="357" t="s">
        <v>710</v>
      </c>
      <c r="C989" s="358">
        <f>'PART-B'!I754</f>
        <v>0</v>
      </c>
      <c r="D989" s="354" t="s">
        <v>102</v>
      </c>
      <c r="E989" s="355">
        <f>'PART-B'!K754</f>
        <v>780.73</v>
      </c>
      <c r="F989" s="353">
        <f t="shared" si="57"/>
        <v>0</v>
      </c>
      <c r="G989" s="368"/>
      <c r="H989" s="368"/>
      <c r="I989" s="368">
        <f t="shared" si="55"/>
        <v>0</v>
      </c>
      <c r="J989" s="368">
        <f t="shared" si="56"/>
        <v>0</v>
      </c>
      <c r="K989" s="360" t="s">
        <v>2313</v>
      </c>
    </row>
    <row r="990" spans="1:11" s="360" customFormat="1" ht="20.25" hidden="1" customHeight="1">
      <c r="A990" s="356" t="s">
        <v>530</v>
      </c>
      <c r="B990" s="357" t="s">
        <v>2109</v>
      </c>
      <c r="C990" s="358">
        <f>'PART-B'!I761</f>
        <v>0</v>
      </c>
      <c r="D990" s="354" t="s">
        <v>102</v>
      </c>
      <c r="E990" s="355">
        <f>'PART-B'!K761</f>
        <v>786.2</v>
      </c>
      <c r="F990" s="353">
        <f t="shared" si="57"/>
        <v>0</v>
      </c>
      <c r="G990" s="368"/>
      <c r="H990" s="368"/>
      <c r="I990" s="368">
        <f t="shared" si="55"/>
        <v>0</v>
      </c>
      <c r="J990" s="368">
        <f t="shared" si="56"/>
        <v>0</v>
      </c>
      <c r="K990" s="360" t="s">
        <v>2313</v>
      </c>
    </row>
    <row r="991" spans="1:11" s="360" customFormat="1" ht="20.25" hidden="1" customHeight="1">
      <c r="A991" s="356" t="s">
        <v>516</v>
      </c>
      <c r="B991" s="357" t="s">
        <v>2110</v>
      </c>
      <c r="C991" s="358">
        <f>'PART-B'!I768</f>
        <v>0</v>
      </c>
      <c r="D991" s="354" t="s">
        <v>102</v>
      </c>
      <c r="E991" s="355">
        <f>'PART-B'!K768</f>
        <v>837.86</v>
      </c>
      <c r="F991" s="353">
        <f t="shared" si="57"/>
        <v>0</v>
      </c>
      <c r="G991" s="368"/>
      <c r="H991" s="368"/>
      <c r="I991" s="368">
        <f t="shared" si="55"/>
        <v>0</v>
      </c>
      <c r="J991" s="368">
        <f t="shared" si="56"/>
        <v>0</v>
      </c>
      <c r="K991" s="360" t="s">
        <v>2313</v>
      </c>
    </row>
    <row r="992" spans="1:11" s="360" customFormat="1" ht="20.25" hidden="1" customHeight="1">
      <c r="A992" s="356" t="s">
        <v>517</v>
      </c>
      <c r="B992" s="357" t="s">
        <v>2109</v>
      </c>
      <c r="C992" s="358">
        <f>'PART-B'!I775</f>
        <v>0</v>
      </c>
      <c r="D992" s="354" t="s">
        <v>102</v>
      </c>
      <c r="E992" s="355">
        <f>'PART-B'!K775</f>
        <v>527.21</v>
      </c>
      <c r="F992" s="353">
        <f t="shared" si="57"/>
        <v>0</v>
      </c>
      <c r="G992" s="368"/>
      <c r="H992" s="368"/>
      <c r="I992" s="368">
        <f t="shared" si="55"/>
        <v>0</v>
      </c>
      <c r="J992" s="368">
        <f t="shared" si="56"/>
        <v>0</v>
      </c>
      <c r="K992" s="360" t="s">
        <v>2313</v>
      </c>
    </row>
    <row r="993" spans="1:11" s="360" customFormat="1" ht="20.25" hidden="1" customHeight="1">
      <c r="A993" s="356" t="s">
        <v>492</v>
      </c>
      <c r="B993" s="357" t="s">
        <v>1222</v>
      </c>
      <c r="C993" s="358">
        <f>'PART-B'!I783</f>
        <v>0</v>
      </c>
      <c r="D993" s="354" t="s">
        <v>102</v>
      </c>
      <c r="E993" s="355">
        <f>'PART-B'!K783</f>
        <v>1059.21</v>
      </c>
      <c r="F993" s="353">
        <f t="shared" si="57"/>
        <v>0</v>
      </c>
      <c r="G993" s="368"/>
      <c r="H993" s="368"/>
      <c r="I993" s="368">
        <f t="shared" si="55"/>
        <v>0</v>
      </c>
      <c r="J993" s="368">
        <f t="shared" si="56"/>
        <v>0</v>
      </c>
      <c r="K993" s="360" t="s">
        <v>2313</v>
      </c>
    </row>
    <row r="994" spans="1:11" s="360" customFormat="1" ht="20.25" hidden="1" customHeight="1">
      <c r="A994" s="356" t="s">
        <v>533</v>
      </c>
      <c r="B994" s="357" t="s">
        <v>2230</v>
      </c>
      <c r="C994" s="358">
        <f>'PART-B'!I792</f>
        <v>0</v>
      </c>
      <c r="D994" s="354" t="s">
        <v>102</v>
      </c>
      <c r="E994" s="355">
        <f>'PART-B'!K792</f>
        <v>25.98</v>
      </c>
      <c r="F994" s="353">
        <f t="shared" si="57"/>
        <v>0</v>
      </c>
      <c r="G994" s="368"/>
      <c r="H994" s="368"/>
      <c r="I994" s="368">
        <f t="shared" si="55"/>
        <v>0</v>
      </c>
      <c r="J994" s="368">
        <f t="shared" si="56"/>
        <v>0</v>
      </c>
      <c r="K994" s="360" t="s">
        <v>2313</v>
      </c>
    </row>
    <row r="995" spans="1:11" s="360" customFormat="1" ht="20.25" hidden="1" customHeight="1">
      <c r="A995" s="356" t="s">
        <v>518</v>
      </c>
      <c r="B995" s="357" t="s">
        <v>2111</v>
      </c>
      <c r="C995" s="358">
        <f>'PART-B'!I802</f>
        <v>0</v>
      </c>
      <c r="D995" s="354" t="s">
        <v>102</v>
      </c>
      <c r="E995" s="355">
        <f>'PART-B'!K802</f>
        <v>184.03</v>
      </c>
      <c r="F995" s="353">
        <f t="shared" si="57"/>
        <v>0</v>
      </c>
      <c r="G995" s="368"/>
      <c r="H995" s="368"/>
      <c r="I995" s="368">
        <f t="shared" si="55"/>
        <v>0</v>
      </c>
      <c r="J995" s="368">
        <f t="shared" si="56"/>
        <v>0</v>
      </c>
      <c r="K995" s="360" t="s">
        <v>2313</v>
      </c>
    </row>
    <row r="996" spans="1:11" s="360" customFormat="1" ht="20.25" hidden="1" customHeight="1">
      <c r="A996" s="356" t="s">
        <v>519</v>
      </c>
      <c r="B996" s="357" t="s">
        <v>2169</v>
      </c>
      <c r="C996" s="358">
        <f>'PART-B'!I811</f>
        <v>0</v>
      </c>
      <c r="D996" s="354" t="s">
        <v>102</v>
      </c>
      <c r="E996" s="355">
        <f>'PART-B'!K811</f>
        <v>158.36000000000001</v>
      </c>
      <c r="F996" s="353">
        <f t="shared" si="57"/>
        <v>0</v>
      </c>
      <c r="G996" s="368"/>
      <c r="H996" s="368"/>
      <c r="I996" s="368">
        <f t="shared" si="55"/>
        <v>0</v>
      </c>
      <c r="J996" s="368">
        <f t="shared" si="56"/>
        <v>0</v>
      </c>
      <c r="K996" s="360" t="s">
        <v>2313</v>
      </c>
    </row>
    <row r="997" spans="1:11" s="360" customFormat="1" ht="20.25" hidden="1" customHeight="1">
      <c r="A997" s="356" t="s">
        <v>520</v>
      </c>
      <c r="B997" s="357" t="s">
        <v>2170</v>
      </c>
      <c r="C997" s="358">
        <f>'PART-B'!I818</f>
        <v>0</v>
      </c>
      <c r="D997" s="354" t="s">
        <v>102</v>
      </c>
      <c r="E997" s="355">
        <f>'PART-B'!K818</f>
        <v>217.22</v>
      </c>
      <c r="F997" s="353">
        <f t="shared" si="57"/>
        <v>0</v>
      </c>
      <c r="G997" s="368"/>
      <c r="H997" s="368"/>
      <c r="I997" s="368">
        <f t="shared" si="55"/>
        <v>0</v>
      </c>
      <c r="J997" s="368">
        <f t="shared" si="56"/>
        <v>0</v>
      </c>
      <c r="K997" s="360" t="s">
        <v>2313</v>
      </c>
    </row>
    <row r="998" spans="1:11" s="360" customFormat="1" ht="20.25" hidden="1" customHeight="1">
      <c r="A998" s="356" t="s">
        <v>513</v>
      </c>
      <c r="B998" s="357" t="s">
        <v>477</v>
      </c>
      <c r="C998" s="429">
        <f>'PART-B'!I825</f>
        <v>0</v>
      </c>
      <c r="D998" s="221" t="s">
        <v>29</v>
      </c>
      <c r="E998" s="430">
        <f>'PART-B'!K825</f>
        <v>90555</v>
      </c>
      <c r="F998" s="353">
        <f t="shared" si="57"/>
        <v>0</v>
      </c>
      <c r="G998" s="368"/>
      <c r="H998" s="368"/>
      <c r="I998" s="368">
        <f t="shared" si="55"/>
        <v>0</v>
      </c>
      <c r="J998" s="368">
        <f t="shared" si="56"/>
        <v>0</v>
      </c>
      <c r="K998" s="360" t="s">
        <v>2313</v>
      </c>
    </row>
    <row r="999" spans="1:11" s="360" customFormat="1" ht="20.25" hidden="1" customHeight="1">
      <c r="A999" s="356" t="s">
        <v>514</v>
      </c>
      <c r="B999" s="357" t="s">
        <v>2143</v>
      </c>
      <c r="C999" s="358">
        <f>'PART-B'!I831</f>
        <v>0</v>
      </c>
      <c r="D999" s="354" t="s">
        <v>5</v>
      </c>
      <c r="E999" s="355">
        <f>'PART-B'!K831</f>
        <v>12013.61</v>
      </c>
      <c r="F999" s="353">
        <f t="shared" si="57"/>
        <v>0</v>
      </c>
      <c r="G999" s="368"/>
      <c r="H999" s="368"/>
      <c r="I999" s="368">
        <f t="shared" si="55"/>
        <v>0</v>
      </c>
      <c r="J999" s="368">
        <f t="shared" si="56"/>
        <v>0</v>
      </c>
      <c r="K999" s="360" t="s">
        <v>2313</v>
      </c>
    </row>
    <row r="1000" spans="1:11" s="360" customFormat="1" ht="20.25" hidden="1" customHeight="1">
      <c r="A1000" s="356" t="s">
        <v>515</v>
      </c>
      <c r="B1000" s="357" t="s">
        <v>2102</v>
      </c>
      <c r="C1000" s="358">
        <f>'PART-B'!I837</f>
        <v>0</v>
      </c>
      <c r="D1000" s="354" t="s">
        <v>5</v>
      </c>
      <c r="E1000" s="355">
        <f>'PART-B'!K837</f>
        <v>11098.560000000001</v>
      </c>
      <c r="F1000" s="353">
        <f t="shared" si="57"/>
        <v>0</v>
      </c>
      <c r="G1000" s="368"/>
      <c r="H1000" s="368"/>
      <c r="I1000" s="368">
        <f t="shared" si="55"/>
        <v>0</v>
      </c>
      <c r="J1000" s="368">
        <f t="shared" si="56"/>
        <v>0</v>
      </c>
      <c r="K1000" s="360" t="s">
        <v>2313</v>
      </c>
    </row>
    <row r="1001" spans="1:11" s="360" customFormat="1" ht="20.25" hidden="1" customHeight="1">
      <c r="A1001" s="356" t="s">
        <v>516</v>
      </c>
      <c r="B1001" s="357" t="s">
        <v>2014</v>
      </c>
      <c r="C1001" s="358">
        <f>'PART-B'!I848</f>
        <v>0</v>
      </c>
      <c r="D1001" s="354" t="s">
        <v>102</v>
      </c>
      <c r="E1001" s="355">
        <f>'PART-B'!K848</f>
        <v>1594.17</v>
      </c>
      <c r="F1001" s="353">
        <f t="shared" si="57"/>
        <v>0</v>
      </c>
      <c r="G1001" s="368"/>
      <c r="H1001" s="368"/>
      <c r="I1001" s="368">
        <f t="shared" si="55"/>
        <v>0</v>
      </c>
      <c r="J1001" s="368">
        <f t="shared" si="56"/>
        <v>0</v>
      </c>
      <c r="K1001" s="360" t="s">
        <v>2313</v>
      </c>
    </row>
    <row r="1002" spans="1:11" s="360" customFormat="1" ht="20.25" hidden="1" customHeight="1">
      <c r="A1002" s="356" t="s">
        <v>487</v>
      </c>
      <c r="B1002" s="357" t="s">
        <v>2231</v>
      </c>
      <c r="C1002" s="358">
        <f>'PART-B'!I853</f>
        <v>0</v>
      </c>
      <c r="D1002" s="354" t="s">
        <v>102</v>
      </c>
      <c r="E1002" s="355">
        <f>'PART-B'!K853</f>
        <v>1451.29</v>
      </c>
      <c r="F1002" s="353">
        <f t="shared" si="57"/>
        <v>0</v>
      </c>
      <c r="G1002" s="368"/>
      <c r="H1002" s="368"/>
      <c r="I1002" s="368">
        <f t="shared" si="55"/>
        <v>0</v>
      </c>
      <c r="J1002" s="368">
        <f t="shared" si="56"/>
        <v>0</v>
      </c>
      <c r="K1002" s="360" t="s">
        <v>2313</v>
      </c>
    </row>
    <row r="1003" spans="1:11" s="360" customFormat="1" ht="20.25" hidden="1" customHeight="1">
      <c r="A1003" s="356" t="s">
        <v>516</v>
      </c>
      <c r="B1003" s="357" t="s">
        <v>2104</v>
      </c>
      <c r="C1003" s="358">
        <f>'PART-B'!I843</f>
        <v>0</v>
      </c>
      <c r="D1003" s="221" t="s">
        <v>102</v>
      </c>
      <c r="E1003" s="355">
        <f>'PART-B'!K843</f>
        <v>1737.05</v>
      </c>
      <c r="F1003" s="353">
        <f t="shared" si="57"/>
        <v>0</v>
      </c>
      <c r="G1003" s="368"/>
      <c r="H1003" s="368"/>
      <c r="I1003" s="368">
        <f t="shared" si="55"/>
        <v>0</v>
      </c>
      <c r="J1003" s="368">
        <f t="shared" si="56"/>
        <v>0</v>
      </c>
      <c r="K1003" s="360" t="s">
        <v>2313</v>
      </c>
    </row>
    <row r="1004" spans="1:11" s="360" customFormat="1" ht="20.25" hidden="1" customHeight="1">
      <c r="A1004" s="356" t="s">
        <v>517</v>
      </c>
      <c r="B1004" s="357" t="s">
        <v>2232</v>
      </c>
      <c r="C1004" s="358">
        <f>'PART-B'!I859</f>
        <v>0</v>
      </c>
      <c r="D1004" s="221" t="s">
        <v>102</v>
      </c>
      <c r="E1004" s="355">
        <f>'PART-B'!K859</f>
        <v>865.17</v>
      </c>
      <c r="F1004" s="353">
        <f t="shared" si="57"/>
        <v>0</v>
      </c>
      <c r="G1004" s="368"/>
      <c r="H1004" s="368"/>
      <c r="I1004" s="368">
        <f t="shared" si="55"/>
        <v>0</v>
      </c>
      <c r="J1004" s="368">
        <f t="shared" si="56"/>
        <v>0</v>
      </c>
      <c r="K1004" s="360" t="s">
        <v>2313</v>
      </c>
    </row>
    <row r="1005" spans="1:11" s="360" customFormat="1" ht="20.25" hidden="1" customHeight="1">
      <c r="A1005" s="356" t="s">
        <v>517</v>
      </c>
      <c r="B1005" s="357" t="s">
        <v>2233</v>
      </c>
      <c r="C1005" s="358">
        <f>'PART-B'!I865</f>
        <v>0</v>
      </c>
      <c r="D1005" s="221" t="s">
        <v>102</v>
      </c>
      <c r="E1005" s="355">
        <f>'PART-B'!K865</f>
        <v>724.02</v>
      </c>
      <c r="F1005" s="353">
        <f t="shared" si="57"/>
        <v>0</v>
      </c>
      <c r="G1005" s="368"/>
      <c r="H1005" s="368"/>
      <c r="I1005" s="368">
        <f t="shared" si="55"/>
        <v>0</v>
      </c>
      <c r="J1005" s="368">
        <f t="shared" si="56"/>
        <v>0</v>
      </c>
      <c r="K1005" s="360" t="s">
        <v>2313</v>
      </c>
    </row>
    <row r="1006" spans="1:11" s="360" customFormat="1" ht="20.25" hidden="1" customHeight="1">
      <c r="A1006" s="356" t="s">
        <v>513</v>
      </c>
      <c r="B1006" s="357" t="s">
        <v>2165</v>
      </c>
      <c r="C1006" s="358">
        <f>'PART-B'!I872</f>
        <v>0</v>
      </c>
      <c r="D1006" s="354" t="s">
        <v>5</v>
      </c>
      <c r="E1006" s="355">
        <f>'PART-B'!K872</f>
        <v>11874.810000000001</v>
      </c>
      <c r="F1006" s="353">
        <f t="shared" si="57"/>
        <v>0</v>
      </c>
      <c r="G1006" s="368"/>
      <c r="H1006" s="368"/>
      <c r="I1006" s="368">
        <f t="shared" si="55"/>
        <v>0</v>
      </c>
      <c r="J1006" s="368">
        <f t="shared" si="56"/>
        <v>0</v>
      </c>
      <c r="K1006" s="360" t="s">
        <v>2313</v>
      </c>
    </row>
    <row r="1007" spans="1:11" s="360" customFormat="1" ht="20.25" hidden="1" customHeight="1">
      <c r="A1007" s="356" t="s">
        <v>519</v>
      </c>
      <c r="B1007" s="357" t="s">
        <v>2234</v>
      </c>
      <c r="C1007" s="358">
        <f>'PART-B'!I877</f>
        <v>0</v>
      </c>
      <c r="D1007" s="221" t="s">
        <v>277</v>
      </c>
      <c r="E1007" s="355">
        <f>'PART-B'!K877</f>
        <v>744.7299999999999</v>
      </c>
      <c r="F1007" s="353">
        <f t="shared" si="57"/>
        <v>0</v>
      </c>
      <c r="G1007" s="368"/>
      <c r="H1007" s="368"/>
      <c r="I1007" s="368">
        <f t="shared" si="55"/>
        <v>0</v>
      </c>
      <c r="J1007" s="368">
        <f t="shared" si="56"/>
        <v>0</v>
      </c>
      <c r="K1007" s="360" t="s">
        <v>2313</v>
      </c>
    </row>
    <row r="1008" spans="1:11" s="360" customFormat="1" ht="20.25" hidden="1" customHeight="1">
      <c r="A1008" s="356" t="s">
        <v>515</v>
      </c>
      <c r="B1008" s="357" t="s">
        <v>2221</v>
      </c>
      <c r="C1008" s="358">
        <f>'PART-B'!I882</f>
        <v>0</v>
      </c>
      <c r="D1008" s="221" t="s">
        <v>102</v>
      </c>
      <c r="E1008" s="355">
        <f>'PART-B'!K882</f>
        <v>362.63</v>
      </c>
      <c r="F1008" s="353">
        <f t="shared" si="57"/>
        <v>0</v>
      </c>
      <c r="G1008" s="368"/>
      <c r="H1008" s="368"/>
      <c r="I1008" s="368">
        <f t="shared" si="55"/>
        <v>0</v>
      </c>
      <c r="J1008" s="368">
        <f t="shared" si="56"/>
        <v>0</v>
      </c>
      <c r="K1008" s="360" t="s">
        <v>2313</v>
      </c>
    </row>
    <row r="1009" spans="1:11" s="360" customFormat="1" ht="20.25" hidden="1" customHeight="1">
      <c r="A1009" s="356" t="s">
        <v>520</v>
      </c>
      <c r="B1009" s="357" t="s">
        <v>2222</v>
      </c>
      <c r="C1009" s="358">
        <f>'PART-B'!I888</f>
        <v>0</v>
      </c>
      <c r="D1009" s="221" t="s">
        <v>102</v>
      </c>
      <c r="E1009" s="355">
        <f>'PART-B'!K888</f>
        <v>470.34</v>
      </c>
      <c r="F1009" s="353">
        <f t="shared" si="57"/>
        <v>0</v>
      </c>
      <c r="G1009" s="368"/>
      <c r="H1009" s="368"/>
      <c r="I1009" s="368">
        <f t="shared" si="55"/>
        <v>0</v>
      </c>
      <c r="J1009" s="368">
        <f t="shared" si="56"/>
        <v>0</v>
      </c>
      <c r="K1009" s="360" t="s">
        <v>2313</v>
      </c>
    </row>
    <row r="1010" spans="1:11" s="360" customFormat="1" ht="20.25" hidden="1" customHeight="1">
      <c r="A1010" s="356" t="s">
        <v>517</v>
      </c>
      <c r="B1010" s="357" t="s">
        <v>2139</v>
      </c>
      <c r="C1010" s="358">
        <f>'PART-B'!I901</f>
        <v>0</v>
      </c>
      <c r="D1010" s="354" t="s">
        <v>5</v>
      </c>
      <c r="E1010" s="355">
        <f>'PART-B'!K901</f>
        <v>7673.4</v>
      </c>
      <c r="F1010" s="353">
        <f t="shared" si="57"/>
        <v>0</v>
      </c>
      <c r="G1010" s="368"/>
      <c r="H1010" s="368"/>
      <c r="I1010" s="368">
        <f t="shared" si="55"/>
        <v>0</v>
      </c>
      <c r="J1010" s="368">
        <f t="shared" si="56"/>
        <v>0</v>
      </c>
      <c r="K1010" s="360" t="s">
        <v>2313</v>
      </c>
    </row>
    <row r="1011" spans="1:11" s="360" customFormat="1" ht="20.25" hidden="1" customHeight="1">
      <c r="A1011" s="356" t="s">
        <v>491</v>
      </c>
      <c r="B1011" s="357" t="s">
        <v>2105</v>
      </c>
      <c r="C1011" s="358">
        <f>'PART-B'!I896</f>
        <v>0</v>
      </c>
      <c r="D1011" s="354" t="s">
        <v>5</v>
      </c>
      <c r="E1011" s="355">
        <f>'PART-B'!K896</f>
        <v>7616.9999999999991</v>
      </c>
      <c r="F1011" s="353">
        <f t="shared" si="57"/>
        <v>0</v>
      </c>
      <c r="G1011" s="368"/>
      <c r="H1011" s="368"/>
      <c r="I1011" s="368">
        <f t="shared" si="55"/>
        <v>0</v>
      </c>
      <c r="J1011" s="368">
        <f t="shared" si="56"/>
        <v>0</v>
      </c>
      <c r="K1011" s="360" t="s">
        <v>2313</v>
      </c>
    </row>
    <row r="1012" spans="1:11" s="360" customFormat="1" ht="27" hidden="1" customHeight="1">
      <c r="A1012" s="356" t="s">
        <v>518</v>
      </c>
      <c r="B1012" s="357" t="s">
        <v>2144</v>
      </c>
      <c r="C1012" s="358">
        <f>'PART-B'!I907</f>
        <v>0</v>
      </c>
      <c r="D1012" s="354" t="s">
        <v>102</v>
      </c>
      <c r="E1012" s="355">
        <f>'PART-B'!K907</f>
        <v>999.57</v>
      </c>
      <c r="F1012" s="353">
        <f>ROUND(C1012*E1012/1,0)</f>
        <v>0</v>
      </c>
      <c r="G1012" s="368"/>
      <c r="H1012" s="368"/>
      <c r="I1012" s="368">
        <f t="shared" si="55"/>
        <v>0</v>
      </c>
      <c r="J1012" s="368">
        <f t="shared" si="56"/>
        <v>0</v>
      </c>
      <c r="K1012" s="360" t="s">
        <v>2313</v>
      </c>
    </row>
    <row r="1013" spans="1:11" s="360" customFormat="1" hidden="1">
      <c r="A1013" s="356" t="s">
        <v>483</v>
      </c>
      <c r="B1013" s="357" t="s">
        <v>1221</v>
      </c>
      <c r="C1013" s="358">
        <f>'PART-B'!I914</f>
        <v>0</v>
      </c>
      <c r="D1013" s="354" t="s">
        <v>102</v>
      </c>
      <c r="E1013" s="355">
        <f>'PART-B'!K914</f>
        <v>7187.4500000000007</v>
      </c>
      <c r="F1013" s="353">
        <f>ROUND(C1013*E1013/1,0)</f>
        <v>0</v>
      </c>
      <c r="G1013" s="368"/>
      <c r="H1013" s="368"/>
      <c r="I1013" s="368">
        <f t="shared" si="55"/>
        <v>0</v>
      </c>
      <c r="J1013" s="368">
        <f t="shared" si="56"/>
        <v>0</v>
      </c>
      <c r="K1013" s="360" t="s">
        <v>2313</v>
      </c>
    </row>
    <row r="1014" spans="1:11" s="360" customFormat="1" ht="20.25" hidden="1" customHeight="1">
      <c r="A1014" s="356" t="s">
        <v>521</v>
      </c>
      <c r="B1014" s="357" t="s">
        <v>2106</v>
      </c>
      <c r="C1014" s="358">
        <f>'PART-B'!I921</f>
        <v>0</v>
      </c>
      <c r="D1014" s="354" t="s">
        <v>102</v>
      </c>
      <c r="E1014" s="355">
        <f>'PART-B'!K921</f>
        <v>385.55</v>
      </c>
      <c r="F1014" s="353">
        <f t="shared" ref="F1014:F1045" si="58">ROUND(C1014*E1014,0)</f>
        <v>0</v>
      </c>
      <c r="G1014" s="368"/>
      <c r="H1014" s="368"/>
      <c r="I1014" s="368">
        <f t="shared" si="55"/>
        <v>0</v>
      </c>
      <c r="J1014" s="368">
        <f t="shared" si="56"/>
        <v>0</v>
      </c>
      <c r="K1014" s="360" t="s">
        <v>2313</v>
      </c>
    </row>
    <row r="1015" spans="1:11" s="360" customFormat="1" ht="20.25" hidden="1" customHeight="1">
      <c r="A1015" s="356" t="s">
        <v>493</v>
      </c>
      <c r="B1015" s="357" t="s">
        <v>2166</v>
      </c>
      <c r="C1015" s="358">
        <f>'PART-B'!I929</f>
        <v>0</v>
      </c>
      <c r="D1015" s="354" t="s">
        <v>102</v>
      </c>
      <c r="E1015" s="355">
        <f>'PART-B'!K929</f>
        <v>352.1</v>
      </c>
      <c r="F1015" s="353">
        <f t="shared" si="58"/>
        <v>0</v>
      </c>
      <c r="G1015" s="368"/>
      <c r="H1015" s="368"/>
      <c r="I1015" s="368">
        <f t="shared" si="55"/>
        <v>0</v>
      </c>
      <c r="J1015" s="368">
        <f t="shared" si="56"/>
        <v>0</v>
      </c>
      <c r="K1015" s="360" t="s">
        <v>2313</v>
      </c>
    </row>
    <row r="1016" spans="1:11" s="360" customFormat="1" ht="20.25" hidden="1" customHeight="1">
      <c r="A1016" s="356" t="s">
        <v>494</v>
      </c>
      <c r="B1016" s="357" t="s">
        <v>2189</v>
      </c>
      <c r="C1016" s="358">
        <f>'PART-B'!I937</f>
        <v>0</v>
      </c>
      <c r="D1016" s="354" t="s">
        <v>102</v>
      </c>
      <c r="E1016" s="355">
        <f>'PART-B'!K937</f>
        <v>372.29</v>
      </c>
      <c r="F1016" s="353">
        <f t="shared" si="58"/>
        <v>0</v>
      </c>
      <c r="G1016" s="368"/>
      <c r="H1016" s="368"/>
      <c r="I1016" s="368">
        <f t="shared" si="55"/>
        <v>0</v>
      </c>
      <c r="J1016" s="368">
        <f t="shared" si="56"/>
        <v>0</v>
      </c>
      <c r="K1016" s="360" t="s">
        <v>2313</v>
      </c>
    </row>
    <row r="1017" spans="1:11" s="360" customFormat="1" ht="20.25" hidden="1" customHeight="1">
      <c r="A1017" s="356" t="s">
        <v>522</v>
      </c>
      <c r="B1017" s="357" t="s">
        <v>2107</v>
      </c>
      <c r="C1017" s="358">
        <f>'PART-B'!I944</f>
        <v>0</v>
      </c>
      <c r="D1017" s="354" t="s">
        <v>102</v>
      </c>
      <c r="E1017" s="355">
        <f>'PART-B'!K944</f>
        <v>464.16</v>
      </c>
      <c r="F1017" s="353">
        <f t="shared" si="58"/>
        <v>0</v>
      </c>
      <c r="G1017" s="368"/>
      <c r="H1017" s="368"/>
      <c r="I1017" s="368">
        <f t="shared" si="55"/>
        <v>0</v>
      </c>
      <c r="J1017" s="368">
        <f t="shared" si="56"/>
        <v>0</v>
      </c>
      <c r="K1017" s="360" t="s">
        <v>2313</v>
      </c>
    </row>
    <row r="1018" spans="1:11" s="360" customFormat="1" ht="20.25" hidden="1" customHeight="1">
      <c r="A1018" s="356" t="s">
        <v>524</v>
      </c>
      <c r="B1018" s="357" t="s">
        <v>2108</v>
      </c>
      <c r="C1018" s="358">
        <f>'PART-B'!I951</f>
        <v>0</v>
      </c>
      <c r="D1018" s="354" t="s">
        <v>102</v>
      </c>
      <c r="E1018" s="355">
        <f>'PART-B'!K951</f>
        <v>479.98</v>
      </c>
      <c r="F1018" s="353">
        <f t="shared" si="58"/>
        <v>0</v>
      </c>
      <c r="G1018" s="368"/>
      <c r="H1018" s="368"/>
      <c r="I1018" s="368">
        <f t="shared" si="55"/>
        <v>0</v>
      </c>
      <c r="J1018" s="368">
        <f t="shared" si="56"/>
        <v>0</v>
      </c>
      <c r="K1018" s="360" t="s">
        <v>2313</v>
      </c>
    </row>
    <row r="1019" spans="1:11" s="360" customFormat="1" ht="20.25" hidden="1" customHeight="1">
      <c r="A1019" s="356" t="s">
        <v>473</v>
      </c>
      <c r="B1019" s="357" t="s">
        <v>1224</v>
      </c>
      <c r="C1019" s="358">
        <f>'PART-B'!I956</f>
        <v>0</v>
      </c>
      <c r="D1019" s="354" t="s">
        <v>5</v>
      </c>
      <c r="E1019" s="355">
        <f>'PART-B'!K956</f>
        <v>5843.9400000000005</v>
      </c>
      <c r="F1019" s="353">
        <f t="shared" si="58"/>
        <v>0</v>
      </c>
      <c r="G1019" s="368"/>
      <c r="H1019" s="368"/>
      <c r="I1019" s="368">
        <f t="shared" si="55"/>
        <v>0</v>
      </c>
      <c r="J1019" s="368">
        <f t="shared" si="56"/>
        <v>0</v>
      </c>
      <c r="K1019" s="360" t="s">
        <v>2313</v>
      </c>
    </row>
    <row r="1020" spans="1:11" s="360" customFormat="1" ht="20.25" hidden="1" customHeight="1">
      <c r="A1020" s="356" t="s">
        <v>519</v>
      </c>
      <c r="B1020" s="357" t="s">
        <v>507</v>
      </c>
      <c r="C1020" s="358">
        <f>'PART-B'!I962</f>
        <v>0</v>
      </c>
      <c r="D1020" s="354" t="s">
        <v>102</v>
      </c>
      <c r="E1020" s="355">
        <f>'PART-B'!K962</f>
        <v>1139.42</v>
      </c>
      <c r="F1020" s="353">
        <f t="shared" si="58"/>
        <v>0</v>
      </c>
      <c r="G1020" s="368"/>
      <c r="H1020" s="368"/>
      <c r="I1020" s="368">
        <f t="shared" si="55"/>
        <v>0</v>
      </c>
      <c r="J1020" s="368">
        <f t="shared" si="56"/>
        <v>0</v>
      </c>
      <c r="K1020" s="360" t="s">
        <v>2313</v>
      </c>
    </row>
    <row r="1021" spans="1:11" s="360" customFormat="1" ht="20.25" hidden="1" customHeight="1">
      <c r="A1021" s="356" t="s">
        <v>528</v>
      </c>
      <c r="B1021" s="357" t="s">
        <v>2109</v>
      </c>
      <c r="C1021" s="358">
        <f>'PART-B'!I969</f>
        <v>0</v>
      </c>
      <c r="D1021" s="354" t="s">
        <v>102</v>
      </c>
      <c r="E1021" s="355">
        <f>'PART-B'!K969</f>
        <v>1134.08</v>
      </c>
      <c r="F1021" s="353">
        <f t="shared" si="58"/>
        <v>0</v>
      </c>
      <c r="G1021" s="368"/>
      <c r="H1021" s="368"/>
      <c r="I1021" s="368">
        <f t="shared" si="55"/>
        <v>0</v>
      </c>
      <c r="J1021" s="368">
        <f t="shared" si="56"/>
        <v>0</v>
      </c>
      <c r="K1021" s="360" t="s">
        <v>2313</v>
      </c>
    </row>
    <row r="1022" spans="1:11" s="360" customFormat="1" ht="20.25" hidden="1" customHeight="1">
      <c r="A1022" s="356" t="s">
        <v>508</v>
      </c>
      <c r="B1022" s="357" t="s">
        <v>708</v>
      </c>
      <c r="C1022" s="358">
        <f>'PART-B'!I976</f>
        <v>0</v>
      </c>
      <c r="D1022" s="354" t="s">
        <v>77</v>
      </c>
      <c r="E1022" s="355">
        <f>'PART-B'!K976</f>
        <v>3248.17</v>
      </c>
      <c r="F1022" s="353">
        <f t="shared" si="58"/>
        <v>0</v>
      </c>
      <c r="G1022" s="368"/>
      <c r="H1022" s="368"/>
      <c r="I1022" s="368">
        <f t="shared" si="55"/>
        <v>0</v>
      </c>
      <c r="J1022" s="368">
        <f t="shared" si="56"/>
        <v>0</v>
      </c>
      <c r="K1022" s="360" t="s">
        <v>2313</v>
      </c>
    </row>
    <row r="1023" spans="1:11" s="360" customFormat="1" ht="20.25" hidden="1" customHeight="1">
      <c r="A1023" s="356" t="s">
        <v>510</v>
      </c>
      <c r="B1023" s="357" t="s">
        <v>2109</v>
      </c>
      <c r="C1023" s="358">
        <f>'PART-B'!I983</f>
        <v>0</v>
      </c>
      <c r="D1023" s="354" t="s">
        <v>102</v>
      </c>
      <c r="E1023" s="355">
        <f>'PART-B'!K983</f>
        <v>2995.66</v>
      </c>
      <c r="F1023" s="353">
        <f t="shared" si="58"/>
        <v>0</v>
      </c>
      <c r="G1023" s="368"/>
      <c r="H1023" s="368"/>
      <c r="I1023" s="368">
        <f t="shared" si="55"/>
        <v>0</v>
      </c>
      <c r="J1023" s="368">
        <f t="shared" si="56"/>
        <v>0</v>
      </c>
      <c r="K1023" s="360" t="s">
        <v>2313</v>
      </c>
    </row>
    <row r="1024" spans="1:11" s="360" customFormat="1" ht="20.25" hidden="1" customHeight="1">
      <c r="A1024" s="356" t="s">
        <v>529</v>
      </c>
      <c r="B1024" s="357" t="s">
        <v>710</v>
      </c>
      <c r="C1024" s="358">
        <f>'PART-B'!I990</f>
        <v>0</v>
      </c>
      <c r="D1024" s="354" t="s">
        <v>102</v>
      </c>
      <c r="E1024" s="355">
        <f>'PART-B'!K990</f>
        <v>816.76</v>
      </c>
      <c r="F1024" s="353">
        <f t="shared" si="58"/>
        <v>0</v>
      </c>
      <c r="G1024" s="368"/>
      <c r="H1024" s="368"/>
      <c r="I1024" s="368">
        <f t="shared" si="55"/>
        <v>0</v>
      </c>
      <c r="J1024" s="368">
        <f t="shared" si="56"/>
        <v>0</v>
      </c>
      <c r="K1024" s="360" t="s">
        <v>2313</v>
      </c>
    </row>
    <row r="1025" spans="1:11" s="360" customFormat="1" ht="20.25" hidden="1" customHeight="1">
      <c r="A1025" s="356" t="s">
        <v>530</v>
      </c>
      <c r="B1025" s="357" t="s">
        <v>2109</v>
      </c>
      <c r="C1025" s="358">
        <f>'PART-B'!I997</f>
        <v>0</v>
      </c>
      <c r="D1025" s="354" t="s">
        <v>102</v>
      </c>
      <c r="E1025" s="355">
        <f>'PART-B'!K997</f>
        <v>822.23</v>
      </c>
      <c r="F1025" s="353">
        <f t="shared" si="58"/>
        <v>0</v>
      </c>
      <c r="G1025" s="368"/>
      <c r="H1025" s="368"/>
      <c r="I1025" s="368">
        <f t="shared" si="55"/>
        <v>0</v>
      </c>
      <c r="J1025" s="368">
        <f t="shared" si="56"/>
        <v>0</v>
      </c>
      <c r="K1025" s="360" t="s">
        <v>2313</v>
      </c>
    </row>
    <row r="1026" spans="1:11" s="360" customFormat="1" ht="20.25" hidden="1" customHeight="1">
      <c r="A1026" s="356" t="s">
        <v>531</v>
      </c>
      <c r="B1026" s="357" t="s">
        <v>511</v>
      </c>
      <c r="C1026" s="358">
        <f>'PART-B'!I1004</f>
        <v>0</v>
      </c>
      <c r="D1026" s="354" t="s">
        <v>102</v>
      </c>
      <c r="E1026" s="355">
        <f>'PART-B'!K1004</f>
        <v>873.89</v>
      </c>
      <c r="F1026" s="353">
        <f t="shared" si="58"/>
        <v>0</v>
      </c>
      <c r="G1026" s="368"/>
      <c r="H1026" s="368"/>
      <c r="I1026" s="368">
        <f t="shared" si="55"/>
        <v>0</v>
      </c>
      <c r="J1026" s="368">
        <f t="shared" si="56"/>
        <v>0</v>
      </c>
      <c r="K1026" s="360" t="s">
        <v>2313</v>
      </c>
    </row>
    <row r="1027" spans="1:11" s="360" customFormat="1" ht="20.25" hidden="1" customHeight="1">
      <c r="A1027" s="356" t="s">
        <v>532</v>
      </c>
      <c r="B1027" s="357" t="s">
        <v>2109</v>
      </c>
      <c r="C1027" s="358">
        <f>'PART-B'!I1010</f>
        <v>0</v>
      </c>
      <c r="D1027" s="354" t="s">
        <v>102</v>
      </c>
      <c r="E1027" s="355">
        <f>'PART-B'!K1010</f>
        <v>536.26</v>
      </c>
      <c r="F1027" s="353">
        <f t="shared" si="58"/>
        <v>0</v>
      </c>
      <c r="G1027" s="368"/>
      <c r="H1027" s="368"/>
      <c r="I1027" s="368">
        <f t="shared" si="55"/>
        <v>0</v>
      </c>
      <c r="J1027" s="368">
        <f t="shared" si="56"/>
        <v>0</v>
      </c>
      <c r="K1027" s="360" t="s">
        <v>2313</v>
      </c>
    </row>
    <row r="1028" spans="1:11" s="360" customFormat="1" ht="20.25" hidden="1" customHeight="1">
      <c r="A1028" s="356" t="s">
        <v>492</v>
      </c>
      <c r="B1028" s="357" t="s">
        <v>1222</v>
      </c>
      <c r="C1028" s="358">
        <f>'PART-B'!I1016</f>
        <v>0</v>
      </c>
      <c r="D1028" s="354" t="s">
        <v>102</v>
      </c>
      <c r="E1028" s="355">
        <f>'PART-B'!K1016</f>
        <v>1100.49</v>
      </c>
      <c r="F1028" s="353">
        <f t="shared" si="58"/>
        <v>0</v>
      </c>
      <c r="G1028" s="368"/>
      <c r="H1028" s="368"/>
      <c r="I1028" s="368">
        <f t="shared" si="55"/>
        <v>0</v>
      </c>
      <c r="J1028" s="368">
        <f t="shared" si="56"/>
        <v>0</v>
      </c>
      <c r="K1028" s="360" t="s">
        <v>2313</v>
      </c>
    </row>
    <row r="1029" spans="1:11" s="360" customFormat="1" ht="20.25" hidden="1" customHeight="1">
      <c r="A1029" s="356" t="s">
        <v>533</v>
      </c>
      <c r="B1029" s="357" t="s">
        <v>2230</v>
      </c>
      <c r="C1029" s="358">
        <f>'PART-B'!I1024</f>
        <v>0</v>
      </c>
      <c r="D1029" s="354" t="s">
        <v>102</v>
      </c>
      <c r="E1029" s="355">
        <f>'PART-B'!K1024</f>
        <v>27.91</v>
      </c>
      <c r="F1029" s="353">
        <f t="shared" si="58"/>
        <v>0</v>
      </c>
      <c r="G1029" s="368"/>
      <c r="H1029" s="368"/>
      <c r="I1029" s="368">
        <f t="shared" si="55"/>
        <v>0</v>
      </c>
      <c r="J1029" s="368">
        <f t="shared" si="56"/>
        <v>0</v>
      </c>
      <c r="K1029" s="360" t="s">
        <v>2313</v>
      </c>
    </row>
    <row r="1030" spans="1:11" s="360" customFormat="1" ht="20.25" hidden="1" customHeight="1">
      <c r="A1030" s="356" t="s">
        <v>531</v>
      </c>
      <c r="B1030" s="357" t="s">
        <v>2111</v>
      </c>
      <c r="C1030" s="358">
        <f>'PART-B'!I1032</f>
        <v>0</v>
      </c>
      <c r="D1030" s="354" t="s">
        <v>102</v>
      </c>
      <c r="E1030" s="355">
        <f>'PART-B'!K1032</f>
        <v>194.34</v>
      </c>
      <c r="F1030" s="353">
        <f t="shared" si="58"/>
        <v>0</v>
      </c>
      <c r="G1030" s="368"/>
      <c r="H1030" s="368"/>
      <c r="I1030" s="368">
        <f t="shared" si="55"/>
        <v>0</v>
      </c>
      <c r="J1030" s="368">
        <f t="shared" si="56"/>
        <v>0</v>
      </c>
      <c r="K1030" s="360" t="s">
        <v>2313</v>
      </c>
    </row>
    <row r="1031" spans="1:11" s="360" customFormat="1" ht="20.25" hidden="1" customHeight="1">
      <c r="A1031" s="356" t="s">
        <v>525</v>
      </c>
      <c r="B1031" s="357" t="s">
        <v>2169</v>
      </c>
      <c r="C1031" s="358">
        <f>'PART-B'!I1040</f>
        <v>0</v>
      </c>
      <c r="D1031" s="354" t="s">
        <v>102</v>
      </c>
      <c r="E1031" s="355">
        <f>'PART-B'!K1040</f>
        <v>169.89</v>
      </c>
      <c r="F1031" s="353">
        <f t="shared" si="58"/>
        <v>0</v>
      </c>
      <c r="G1031" s="368"/>
      <c r="H1031" s="368"/>
      <c r="I1031" s="368">
        <f t="shared" si="55"/>
        <v>0</v>
      </c>
      <c r="J1031" s="368">
        <f t="shared" si="56"/>
        <v>0</v>
      </c>
      <c r="K1031" s="360" t="s">
        <v>2313</v>
      </c>
    </row>
    <row r="1032" spans="1:11" s="360" customFormat="1" ht="20.25" hidden="1" customHeight="1">
      <c r="A1032" s="356" t="s">
        <v>526</v>
      </c>
      <c r="B1032" s="357" t="s">
        <v>2170</v>
      </c>
      <c r="C1032" s="358">
        <f>'PART-B'!I1047</f>
        <v>0</v>
      </c>
      <c r="D1032" s="354" t="s">
        <v>102</v>
      </c>
      <c r="E1032" s="355">
        <f>'PART-B'!K1047</f>
        <v>233.59</v>
      </c>
      <c r="F1032" s="353">
        <f t="shared" si="58"/>
        <v>0</v>
      </c>
      <c r="G1032" s="368"/>
      <c r="H1032" s="368"/>
      <c r="I1032" s="368">
        <f t="shared" si="55"/>
        <v>0</v>
      </c>
      <c r="J1032" s="368">
        <f t="shared" si="56"/>
        <v>0</v>
      </c>
      <c r="K1032" s="360" t="s">
        <v>2313</v>
      </c>
    </row>
    <row r="1033" spans="1:11" s="360" customFormat="1" ht="20.25" hidden="1" customHeight="1">
      <c r="A1033" s="356" t="s">
        <v>525</v>
      </c>
      <c r="B1033" s="357" t="s">
        <v>477</v>
      </c>
      <c r="C1033" s="429">
        <f>'PART-B'!I1053</f>
        <v>0</v>
      </c>
      <c r="D1033" s="221" t="s">
        <v>29</v>
      </c>
      <c r="E1033" s="430">
        <f>'PART-B'!K1053</f>
        <v>91830</v>
      </c>
      <c r="F1033" s="353">
        <f t="shared" si="58"/>
        <v>0</v>
      </c>
      <c r="G1033" s="368"/>
      <c r="H1033" s="368"/>
      <c r="I1033" s="368">
        <f t="shared" si="55"/>
        <v>0</v>
      </c>
      <c r="J1033" s="368">
        <f t="shared" si="56"/>
        <v>0</v>
      </c>
      <c r="K1033" s="360" t="s">
        <v>2313</v>
      </c>
    </row>
    <row r="1034" spans="1:11" s="360" customFormat="1" ht="20.25" customHeight="1">
      <c r="A1034" s="356" t="s">
        <v>495</v>
      </c>
      <c r="B1034" s="357" t="s">
        <v>2145</v>
      </c>
      <c r="C1034" s="358">
        <f>'PART-B'!I1059</f>
        <v>1</v>
      </c>
      <c r="D1034" s="354" t="s">
        <v>115</v>
      </c>
      <c r="E1034" s="355">
        <f>'PART-B'!K1059</f>
        <v>22903.660000000003</v>
      </c>
      <c r="F1034" s="353">
        <f t="shared" si="58"/>
        <v>22904</v>
      </c>
      <c r="G1034" s="353"/>
      <c r="H1034" s="353"/>
      <c r="I1034" s="368">
        <f t="shared" si="55"/>
        <v>1</v>
      </c>
      <c r="J1034" s="368">
        <f t="shared" si="56"/>
        <v>22904</v>
      </c>
      <c r="K1034" s="360" t="s">
        <v>2313</v>
      </c>
    </row>
    <row r="1035" spans="1:11" s="360" customFormat="1" ht="20.25" hidden="1" customHeight="1">
      <c r="A1035" s="356" t="s">
        <v>1578</v>
      </c>
      <c r="B1035" s="357" t="s">
        <v>2145</v>
      </c>
      <c r="C1035" s="358">
        <f>'PART-B'!I1069</f>
        <v>0</v>
      </c>
      <c r="D1035" s="354" t="s">
        <v>115</v>
      </c>
      <c r="E1035" s="355">
        <f>'PART-B'!K1069</f>
        <v>11442.58</v>
      </c>
      <c r="F1035" s="353">
        <f t="shared" si="58"/>
        <v>0</v>
      </c>
      <c r="G1035" s="353"/>
      <c r="H1035" s="353"/>
      <c r="I1035" s="368">
        <f t="shared" ref="I1035:I1098" si="59">C1035-G1035</f>
        <v>0</v>
      </c>
      <c r="J1035" s="368">
        <f t="shared" ref="J1035:J1098" si="60">F1035-H1035</f>
        <v>0</v>
      </c>
      <c r="K1035" s="360" t="s">
        <v>2313</v>
      </c>
    </row>
    <row r="1036" spans="1:11" s="360" customFormat="1" ht="20.25" hidden="1" customHeight="1">
      <c r="A1036" s="356" t="s">
        <v>1514</v>
      </c>
      <c r="B1036" s="357" t="s">
        <v>2235</v>
      </c>
      <c r="C1036" s="358">
        <f>'PART-B'!I1074</f>
        <v>0</v>
      </c>
      <c r="D1036" s="354" t="s">
        <v>115</v>
      </c>
      <c r="E1036" s="355">
        <f>'PART-B'!K1074</f>
        <v>15875.19</v>
      </c>
      <c r="F1036" s="353">
        <f t="shared" si="58"/>
        <v>0</v>
      </c>
      <c r="G1036" s="353"/>
      <c r="H1036" s="353"/>
      <c r="I1036" s="368">
        <f t="shared" si="59"/>
        <v>0</v>
      </c>
      <c r="J1036" s="368">
        <f t="shared" si="60"/>
        <v>0</v>
      </c>
      <c r="K1036" s="360" t="s">
        <v>2313</v>
      </c>
    </row>
    <row r="1037" spans="1:11" s="360" customFormat="1" ht="20.25" hidden="1" customHeight="1">
      <c r="A1037" s="356" t="s">
        <v>1514</v>
      </c>
      <c r="B1037" s="357" t="s">
        <v>2236</v>
      </c>
      <c r="C1037" s="358">
        <f>'PART-B'!I1079</f>
        <v>0</v>
      </c>
      <c r="D1037" s="354" t="s">
        <v>115</v>
      </c>
      <c r="E1037" s="355">
        <f>'PART-B'!K1079</f>
        <v>15037.220000000001</v>
      </c>
      <c r="F1037" s="353">
        <f t="shared" si="58"/>
        <v>0</v>
      </c>
      <c r="G1037" s="353"/>
      <c r="H1037" s="353"/>
      <c r="I1037" s="368">
        <f t="shared" si="59"/>
        <v>0</v>
      </c>
      <c r="J1037" s="368">
        <f t="shared" si="60"/>
        <v>0</v>
      </c>
      <c r="K1037" s="360" t="s">
        <v>2313</v>
      </c>
    </row>
    <row r="1038" spans="1:11" s="360" customFormat="1" ht="20.25" hidden="1" customHeight="1">
      <c r="A1038" s="356" t="s">
        <v>497</v>
      </c>
      <c r="B1038" s="357" t="s">
        <v>2146</v>
      </c>
      <c r="C1038" s="358">
        <f>'PART-B'!I1084</f>
        <v>0</v>
      </c>
      <c r="D1038" s="354" t="s">
        <v>115</v>
      </c>
      <c r="E1038" s="355">
        <f>'PART-B'!K1084</f>
        <v>11732.029999999999</v>
      </c>
      <c r="F1038" s="353">
        <f t="shared" si="58"/>
        <v>0</v>
      </c>
      <c r="G1038" s="353"/>
      <c r="H1038" s="353"/>
      <c r="I1038" s="368">
        <f t="shared" si="59"/>
        <v>0</v>
      </c>
      <c r="J1038" s="368">
        <f t="shared" si="60"/>
        <v>0</v>
      </c>
      <c r="K1038" s="360" t="s">
        <v>2313</v>
      </c>
    </row>
    <row r="1039" spans="1:11" s="360" customFormat="1" ht="20.25" customHeight="1">
      <c r="A1039" s="356" t="s">
        <v>1515</v>
      </c>
      <c r="B1039" s="357" t="s">
        <v>2235</v>
      </c>
      <c r="C1039" s="358">
        <f>'PART-B'!I1089</f>
        <v>1</v>
      </c>
      <c r="D1039" s="354" t="s">
        <v>115</v>
      </c>
      <c r="E1039" s="355">
        <f>'PART-B'!K1089</f>
        <v>7651.36</v>
      </c>
      <c r="F1039" s="353">
        <f t="shared" si="58"/>
        <v>7651</v>
      </c>
      <c r="G1039" s="353"/>
      <c r="H1039" s="353"/>
      <c r="I1039" s="368">
        <f t="shared" si="59"/>
        <v>1</v>
      </c>
      <c r="J1039" s="368">
        <f t="shared" si="60"/>
        <v>7651</v>
      </c>
      <c r="K1039" s="360" t="s">
        <v>2313</v>
      </c>
    </row>
    <row r="1040" spans="1:11" s="360" customFormat="1" ht="20.25" hidden="1" customHeight="1">
      <c r="A1040" s="356" t="s">
        <v>2684</v>
      </c>
      <c r="B1040" s="357" t="s">
        <v>2145</v>
      </c>
      <c r="C1040" s="358">
        <f>'PART-B'!I1064</f>
        <v>0</v>
      </c>
      <c r="D1040" s="354" t="s">
        <v>115</v>
      </c>
      <c r="E1040" s="355">
        <f>'PART-B'!K1064</f>
        <v>7927.96</v>
      </c>
      <c r="F1040" s="353">
        <f t="shared" si="58"/>
        <v>0</v>
      </c>
      <c r="G1040" s="368"/>
      <c r="H1040" s="368"/>
      <c r="I1040" s="368">
        <f t="shared" si="59"/>
        <v>0</v>
      </c>
      <c r="J1040" s="368">
        <f t="shared" si="60"/>
        <v>0</v>
      </c>
      <c r="K1040" s="360" t="s">
        <v>2313</v>
      </c>
    </row>
    <row r="1041" spans="1:11" s="360" customFormat="1" ht="20.25" customHeight="1">
      <c r="A1041" s="356" t="s">
        <v>1516</v>
      </c>
      <c r="B1041" s="951" t="s">
        <v>3989</v>
      </c>
      <c r="C1041" s="358">
        <f>'PART-B'!I1094</f>
        <v>1</v>
      </c>
      <c r="D1041" s="354" t="s">
        <v>115</v>
      </c>
      <c r="E1041" s="355">
        <f>'PART-B'!K1094</f>
        <v>8519.25</v>
      </c>
      <c r="F1041" s="353">
        <f t="shared" si="58"/>
        <v>8519</v>
      </c>
      <c r="G1041" s="368"/>
      <c r="H1041" s="368"/>
      <c r="I1041" s="368">
        <f t="shared" si="59"/>
        <v>1</v>
      </c>
      <c r="J1041" s="368">
        <f t="shared" si="60"/>
        <v>8519</v>
      </c>
      <c r="K1041" s="360" t="s">
        <v>2313</v>
      </c>
    </row>
    <row r="1042" spans="1:11" s="360" customFormat="1" ht="20.25" hidden="1" customHeight="1">
      <c r="A1042" s="356" t="s">
        <v>1158</v>
      </c>
      <c r="B1042" s="357" t="s">
        <v>2208</v>
      </c>
      <c r="C1042" s="358">
        <f>'PART-B'!I1099</f>
        <v>0</v>
      </c>
      <c r="D1042" s="354" t="s">
        <v>115</v>
      </c>
      <c r="E1042" s="355">
        <f>'PART-B'!K1099</f>
        <v>7005.16</v>
      </c>
      <c r="F1042" s="353">
        <f t="shared" si="58"/>
        <v>0</v>
      </c>
      <c r="G1042" s="368"/>
      <c r="H1042" s="368"/>
      <c r="I1042" s="368">
        <f t="shared" si="59"/>
        <v>0</v>
      </c>
      <c r="J1042" s="368">
        <f t="shared" si="60"/>
        <v>0</v>
      </c>
      <c r="K1042" s="360" t="s">
        <v>2313</v>
      </c>
    </row>
    <row r="1043" spans="1:11" s="360" customFormat="1" ht="21.75" hidden="1" customHeight="1">
      <c r="A1043" s="356" t="s">
        <v>499</v>
      </c>
      <c r="B1043" s="357" t="s">
        <v>2054</v>
      </c>
      <c r="C1043" s="358">
        <f>'PART-B'!I1106</f>
        <v>0</v>
      </c>
      <c r="D1043" s="354" t="s">
        <v>102</v>
      </c>
      <c r="E1043" s="355">
        <f>'PART-B'!K1106</f>
        <v>6846.88</v>
      </c>
      <c r="F1043" s="353">
        <f t="shared" si="58"/>
        <v>0</v>
      </c>
      <c r="G1043" s="368"/>
      <c r="H1043" s="368"/>
      <c r="I1043" s="368">
        <f t="shared" si="59"/>
        <v>0</v>
      </c>
      <c r="J1043" s="368">
        <f t="shared" si="60"/>
        <v>0</v>
      </c>
      <c r="K1043" s="360" t="s">
        <v>2313</v>
      </c>
    </row>
    <row r="1044" spans="1:11" s="360" customFormat="1" ht="20.25" hidden="1" customHeight="1">
      <c r="A1044" s="356" t="s">
        <v>513</v>
      </c>
      <c r="B1044" s="357" t="s">
        <v>2055</v>
      </c>
      <c r="C1044" s="358">
        <f>'PART-B'!I1112</f>
        <v>0</v>
      </c>
      <c r="D1044" s="354" t="s">
        <v>102</v>
      </c>
      <c r="E1044" s="355">
        <f>'PART-B'!K1112</f>
        <v>6132.48</v>
      </c>
      <c r="F1044" s="353">
        <f t="shared" si="58"/>
        <v>0</v>
      </c>
      <c r="G1044" s="368"/>
      <c r="H1044" s="368"/>
      <c r="I1044" s="368">
        <f t="shared" si="59"/>
        <v>0</v>
      </c>
      <c r="J1044" s="368">
        <f t="shared" si="60"/>
        <v>0</v>
      </c>
      <c r="K1044" s="360" t="s">
        <v>2313</v>
      </c>
    </row>
    <row r="1045" spans="1:11" s="360" customFormat="1" ht="24.75" customHeight="1">
      <c r="A1045" s="356" t="s">
        <v>1517</v>
      </c>
      <c r="B1045" s="357" t="s">
        <v>2112</v>
      </c>
      <c r="C1045" s="358">
        <f>'PART-B'!I1123</f>
        <v>5.76</v>
      </c>
      <c r="D1045" s="354" t="s">
        <v>102</v>
      </c>
      <c r="E1045" s="355">
        <f>'PART-B'!K1123</f>
        <v>8622</v>
      </c>
      <c r="F1045" s="353">
        <f t="shared" si="58"/>
        <v>49663</v>
      </c>
      <c r="G1045" s="368"/>
      <c r="H1045" s="368"/>
      <c r="I1045" s="368">
        <f t="shared" si="59"/>
        <v>5.76</v>
      </c>
      <c r="J1045" s="368">
        <f t="shared" si="60"/>
        <v>49663</v>
      </c>
      <c r="K1045" s="360" t="s">
        <v>2313</v>
      </c>
    </row>
    <row r="1046" spans="1:11" s="360" customFormat="1" ht="24.75" hidden="1" customHeight="1">
      <c r="A1046" s="356" t="s">
        <v>530</v>
      </c>
      <c r="B1046" s="357" t="s">
        <v>2207</v>
      </c>
      <c r="C1046" s="358">
        <f>'PART-B'!I1127</f>
        <v>0</v>
      </c>
      <c r="D1046" s="354" t="s">
        <v>102</v>
      </c>
      <c r="E1046" s="355">
        <f>'PART-B'!K1127</f>
        <v>6460</v>
      </c>
      <c r="F1046" s="353">
        <f t="shared" ref="F1046:F1077" si="61">ROUND(C1046*E1046,0)</f>
        <v>0</v>
      </c>
      <c r="G1046" s="368"/>
      <c r="H1046" s="368"/>
      <c r="I1046" s="368">
        <f t="shared" si="59"/>
        <v>0</v>
      </c>
      <c r="J1046" s="368">
        <f t="shared" si="60"/>
        <v>0</v>
      </c>
      <c r="K1046" s="360" t="s">
        <v>2313</v>
      </c>
    </row>
    <row r="1047" spans="1:11" s="360" customFormat="1" ht="24.75" hidden="1" customHeight="1">
      <c r="A1047" s="356" t="s">
        <v>642</v>
      </c>
      <c r="B1047" s="357" t="s">
        <v>2171</v>
      </c>
      <c r="C1047" s="358">
        <f>'PART-B'!I1131</f>
        <v>0</v>
      </c>
      <c r="D1047" s="354" t="s">
        <v>102</v>
      </c>
      <c r="E1047" s="355">
        <f>'PART-B'!K1131</f>
        <v>6238</v>
      </c>
      <c r="F1047" s="353">
        <f t="shared" si="61"/>
        <v>0</v>
      </c>
      <c r="G1047" s="368"/>
      <c r="H1047" s="368"/>
      <c r="I1047" s="368">
        <f t="shared" si="59"/>
        <v>0</v>
      </c>
      <c r="J1047" s="368">
        <f t="shared" si="60"/>
        <v>0</v>
      </c>
      <c r="K1047" s="360" t="s">
        <v>2313</v>
      </c>
    </row>
    <row r="1048" spans="1:11" s="360" customFormat="1" ht="24.75" hidden="1" customHeight="1">
      <c r="A1048" s="356"/>
      <c r="B1048" s="357" t="s">
        <v>2285</v>
      </c>
      <c r="C1048" s="358">
        <f>'PART-B'!I1136</f>
        <v>0</v>
      </c>
      <c r="D1048" s="354" t="s">
        <v>102</v>
      </c>
      <c r="E1048" s="355">
        <f>'PART-B'!K1136</f>
        <v>4062</v>
      </c>
      <c r="F1048" s="353">
        <f t="shared" si="61"/>
        <v>0</v>
      </c>
      <c r="G1048" s="368"/>
      <c r="H1048" s="368"/>
      <c r="I1048" s="368">
        <f t="shared" si="59"/>
        <v>0</v>
      </c>
      <c r="J1048" s="368">
        <f t="shared" si="60"/>
        <v>0</v>
      </c>
      <c r="K1048" s="360" t="s">
        <v>2313</v>
      </c>
    </row>
    <row r="1049" spans="1:11" s="360" customFormat="1" ht="20.25" hidden="1" customHeight="1">
      <c r="A1049" s="356" t="s">
        <v>1147</v>
      </c>
      <c r="B1049" s="357" t="s">
        <v>2240</v>
      </c>
      <c r="C1049" s="358">
        <f>'PART-B'!I1141</f>
        <v>0</v>
      </c>
      <c r="D1049" s="354" t="s">
        <v>115</v>
      </c>
      <c r="E1049" s="355">
        <f>'PART-B'!K1141</f>
        <v>577.28</v>
      </c>
      <c r="F1049" s="353">
        <f t="shared" si="61"/>
        <v>0</v>
      </c>
      <c r="G1049" s="368"/>
      <c r="H1049" s="368"/>
      <c r="I1049" s="368">
        <f t="shared" si="59"/>
        <v>0</v>
      </c>
      <c r="J1049" s="368">
        <f t="shared" si="60"/>
        <v>0</v>
      </c>
      <c r="K1049" s="360" t="s">
        <v>2313</v>
      </c>
    </row>
    <row r="1050" spans="1:11" s="360" customFormat="1" ht="20.25" hidden="1" customHeight="1">
      <c r="A1050" s="356" t="s">
        <v>643</v>
      </c>
      <c r="B1050" s="357" t="s">
        <v>2172</v>
      </c>
      <c r="C1050" s="358">
        <f>'PART-B'!I1146</f>
        <v>0</v>
      </c>
      <c r="D1050" s="354" t="s">
        <v>102</v>
      </c>
      <c r="E1050" s="355">
        <f>'PART-B'!K1146</f>
        <v>604.07999999999993</v>
      </c>
      <c r="F1050" s="353">
        <f t="shared" si="61"/>
        <v>0</v>
      </c>
      <c r="G1050" s="368"/>
      <c r="H1050" s="368"/>
      <c r="I1050" s="368">
        <f t="shared" si="59"/>
        <v>0</v>
      </c>
      <c r="J1050" s="368">
        <f t="shared" si="60"/>
        <v>0</v>
      </c>
      <c r="K1050" s="360" t="s">
        <v>2313</v>
      </c>
    </row>
    <row r="1051" spans="1:11" s="360" customFormat="1" ht="20.25" hidden="1" customHeight="1">
      <c r="A1051" s="356" t="s">
        <v>1517</v>
      </c>
      <c r="B1051" s="357" t="s">
        <v>2113</v>
      </c>
      <c r="C1051" s="358">
        <f>'PART-B'!I1151</f>
        <v>0</v>
      </c>
      <c r="D1051" s="354" t="s">
        <v>872</v>
      </c>
      <c r="E1051" s="355">
        <f>'PART-B'!K1151</f>
        <v>110.38</v>
      </c>
      <c r="F1051" s="353">
        <f t="shared" si="61"/>
        <v>0</v>
      </c>
      <c r="G1051" s="353"/>
      <c r="H1051" s="353"/>
      <c r="I1051" s="368">
        <f t="shared" si="59"/>
        <v>0</v>
      </c>
      <c r="J1051" s="368">
        <f t="shared" si="60"/>
        <v>0</v>
      </c>
      <c r="K1051" s="360" t="s">
        <v>2313</v>
      </c>
    </row>
    <row r="1052" spans="1:11" s="360" customFormat="1" ht="20.25" hidden="1" customHeight="1">
      <c r="A1052" s="356" t="s">
        <v>531</v>
      </c>
      <c r="B1052" s="357" t="s">
        <v>2113</v>
      </c>
      <c r="C1052" s="358">
        <f>'PART-B'!I1158</f>
        <v>0</v>
      </c>
      <c r="D1052" s="354" t="s">
        <v>102</v>
      </c>
      <c r="E1052" s="355">
        <f>'PART-B'!K1158</f>
        <v>3130</v>
      </c>
      <c r="F1052" s="353">
        <f t="shared" si="61"/>
        <v>0</v>
      </c>
      <c r="G1052" s="368"/>
      <c r="H1052" s="368"/>
      <c r="I1052" s="368">
        <f t="shared" si="59"/>
        <v>0</v>
      </c>
      <c r="J1052" s="368">
        <f t="shared" si="60"/>
        <v>0</v>
      </c>
      <c r="K1052" s="360" t="s">
        <v>2313</v>
      </c>
    </row>
    <row r="1053" spans="1:11" s="360" customFormat="1" ht="20.25" hidden="1" customHeight="1">
      <c r="A1053" s="356" t="s">
        <v>518</v>
      </c>
      <c r="B1053" s="357" t="s">
        <v>2239</v>
      </c>
      <c r="C1053" s="358">
        <f>'PART-B'!I1163</f>
        <v>0</v>
      </c>
      <c r="D1053" s="354"/>
      <c r="E1053" s="355">
        <f>'PART-B'!K1163</f>
        <v>126.9</v>
      </c>
      <c r="F1053" s="353">
        <f t="shared" si="61"/>
        <v>0</v>
      </c>
      <c r="G1053" s="368"/>
      <c r="H1053" s="368"/>
      <c r="I1053" s="368">
        <f t="shared" si="59"/>
        <v>0</v>
      </c>
      <c r="J1053" s="368">
        <f t="shared" si="60"/>
        <v>0</v>
      </c>
      <c r="K1053" s="360" t="s">
        <v>2313</v>
      </c>
    </row>
    <row r="1054" spans="1:11" s="360" customFormat="1" ht="20.25" hidden="1" customHeight="1">
      <c r="A1054" s="356" t="s">
        <v>514</v>
      </c>
      <c r="B1054" s="357" t="s">
        <v>2190</v>
      </c>
      <c r="C1054" s="358">
        <f>'PART-B'!I1172</f>
        <v>0</v>
      </c>
      <c r="D1054" s="354" t="s">
        <v>102</v>
      </c>
      <c r="E1054" s="355">
        <f>'PART-B'!K1172</f>
        <v>3345.94</v>
      </c>
      <c r="F1054" s="353">
        <f t="shared" si="61"/>
        <v>0</v>
      </c>
      <c r="G1054" s="368"/>
      <c r="H1054" s="368"/>
      <c r="I1054" s="368">
        <f t="shared" si="59"/>
        <v>0</v>
      </c>
      <c r="J1054" s="368">
        <f t="shared" si="60"/>
        <v>0</v>
      </c>
      <c r="K1054" s="360" t="s">
        <v>2313</v>
      </c>
    </row>
    <row r="1055" spans="1:11" s="360" customFormat="1" ht="20.25" hidden="1" customHeight="1">
      <c r="A1055" s="356" t="s">
        <v>527</v>
      </c>
      <c r="B1055" s="357" t="s">
        <v>2289</v>
      </c>
      <c r="C1055" s="358">
        <f>'PART-B'!I1180</f>
        <v>0</v>
      </c>
      <c r="D1055" s="354" t="s">
        <v>102</v>
      </c>
      <c r="E1055" s="355">
        <f>'PART-B'!K1180</f>
        <v>1514.34</v>
      </c>
      <c r="F1055" s="353">
        <f t="shared" si="61"/>
        <v>0</v>
      </c>
      <c r="G1055" s="368"/>
      <c r="H1055" s="368"/>
      <c r="I1055" s="368">
        <f t="shared" si="59"/>
        <v>0</v>
      </c>
      <c r="J1055" s="368">
        <f t="shared" si="60"/>
        <v>0</v>
      </c>
      <c r="K1055" s="360" t="s">
        <v>2313</v>
      </c>
    </row>
    <row r="1056" spans="1:11" s="360" customFormat="1" ht="20.25" hidden="1" customHeight="1">
      <c r="A1056" s="356" t="s">
        <v>527</v>
      </c>
      <c r="B1056" s="357" t="s">
        <v>1567</v>
      </c>
      <c r="C1056" s="358">
        <f>'PART-B'!I1185</f>
        <v>0</v>
      </c>
      <c r="D1056" s="354" t="s">
        <v>872</v>
      </c>
      <c r="E1056" s="355">
        <f>'PART-B'!K1185</f>
        <v>568.35</v>
      </c>
      <c r="F1056" s="353">
        <f t="shared" si="61"/>
        <v>0</v>
      </c>
      <c r="G1056" s="368"/>
      <c r="H1056" s="368"/>
      <c r="I1056" s="368">
        <f t="shared" si="59"/>
        <v>0</v>
      </c>
      <c r="J1056" s="368">
        <f t="shared" si="60"/>
        <v>0</v>
      </c>
      <c r="K1056" s="360" t="s">
        <v>2313</v>
      </c>
    </row>
    <row r="1057" spans="1:11" s="360" customFormat="1" ht="20.25" hidden="1" customHeight="1">
      <c r="A1057" s="356" t="s">
        <v>532</v>
      </c>
      <c r="B1057" s="357" t="s">
        <v>2114</v>
      </c>
      <c r="C1057" s="429">
        <f>'PART-B'!I1193</f>
        <v>0</v>
      </c>
      <c r="D1057" s="221" t="s">
        <v>277</v>
      </c>
      <c r="E1057" s="430">
        <f>'PART-B'!K1193</f>
        <v>453</v>
      </c>
      <c r="F1057" s="353">
        <f t="shared" si="61"/>
        <v>0</v>
      </c>
      <c r="G1057" s="368"/>
      <c r="H1057" s="368"/>
      <c r="I1057" s="368">
        <f t="shared" si="59"/>
        <v>0</v>
      </c>
      <c r="J1057" s="368">
        <f t="shared" si="60"/>
        <v>0</v>
      </c>
      <c r="K1057" s="360" t="s">
        <v>2313</v>
      </c>
    </row>
    <row r="1058" spans="1:11" s="360" customFormat="1" ht="20.25" hidden="1" customHeight="1">
      <c r="A1058" s="356" t="s">
        <v>515</v>
      </c>
      <c r="B1058" s="357" t="s">
        <v>3118</v>
      </c>
      <c r="C1058" s="358">
        <f>'PART-B'!I1199</f>
        <v>0</v>
      </c>
      <c r="D1058" s="354" t="s">
        <v>277</v>
      </c>
      <c r="E1058" s="355">
        <f>'PART-B'!K1199</f>
        <v>214</v>
      </c>
      <c r="F1058" s="353">
        <f t="shared" si="61"/>
        <v>0</v>
      </c>
      <c r="G1058" s="368"/>
      <c r="H1058" s="368"/>
      <c r="I1058" s="368">
        <f t="shared" si="59"/>
        <v>0</v>
      </c>
      <c r="J1058" s="368">
        <f t="shared" si="60"/>
        <v>0</v>
      </c>
      <c r="K1058" s="360" t="s">
        <v>2313</v>
      </c>
    </row>
    <row r="1059" spans="1:11" s="360" customFormat="1" ht="20.25" customHeight="1">
      <c r="A1059" s="356" t="s">
        <v>1518</v>
      </c>
      <c r="B1059" s="357" t="s">
        <v>2173</v>
      </c>
      <c r="C1059" s="358">
        <f>'PART-B'!I1205</f>
        <v>40</v>
      </c>
      <c r="D1059" s="354" t="s">
        <v>277</v>
      </c>
      <c r="E1059" s="355">
        <f>'PART-B'!K1205</f>
        <v>136</v>
      </c>
      <c r="F1059" s="353">
        <f t="shared" si="61"/>
        <v>5440</v>
      </c>
      <c r="G1059" s="368"/>
      <c r="H1059" s="368"/>
      <c r="I1059" s="368">
        <f t="shared" si="59"/>
        <v>40</v>
      </c>
      <c r="J1059" s="368">
        <f t="shared" si="60"/>
        <v>5440</v>
      </c>
      <c r="K1059" s="360" t="s">
        <v>2313</v>
      </c>
    </row>
    <row r="1060" spans="1:11" s="360" customFormat="1" ht="20.25" hidden="1" customHeight="1">
      <c r="A1060" s="356" t="s">
        <v>1581</v>
      </c>
      <c r="B1060" s="357" t="s">
        <v>2174</v>
      </c>
      <c r="C1060" s="358">
        <f>'PART-B'!I1210</f>
        <v>0</v>
      </c>
      <c r="D1060" s="354" t="s">
        <v>277</v>
      </c>
      <c r="E1060" s="355">
        <f>'PART-B'!K1210</f>
        <v>94</v>
      </c>
      <c r="F1060" s="353">
        <f t="shared" si="61"/>
        <v>0</v>
      </c>
      <c r="G1060" s="368"/>
      <c r="H1060" s="368"/>
      <c r="I1060" s="368">
        <f t="shared" si="59"/>
        <v>0</v>
      </c>
      <c r="J1060" s="368">
        <f t="shared" si="60"/>
        <v>0</v>
      </c>
      <c r="K1060" s="360" t="s">
        <v>2313</v>
      </c>
    </row>
    <row r="1061" spans="1:11" s="360" customFormat="1" ht="20.25" hidden="1" customHeight="1">
      <c r="A1061" s="356" t="s">
        <v>1153</v>
      </c>
      <c r="B1061" s="357" t="s">
        <v>1255</v>
      </c>
      <c r="C1061" s="358">
        <f>'PART-B'!I1220</f>
        <v>0</v>
      </c>
      <c r="D1061" s="354" t="s">
        <v>277</v>
      </c>
      <c r="E1061" s="355">
        <f>'PART-B'!K1220</f>
        <v>35</v>
      </c>
      <c r="F1061" s="353">
        <f t="shared" si="61"/>
        <v>0</v>
      </c>
      <c r="G1061" s="368"/>
      <c r="H1061" s="368"/>
      <c r="I1061" s="368">
        <f t="shared" si="59"/>
        <v>0</v>
      </c>
      <c r="J1061" s="368">
        <f t="shared" si="60"/>
        <v>0</v>
      </c>
      <c r="K1061" s="360" t="s">
        <v>2313</v>
      </c>
    </row>
    <row r="1062" spans="1:11" s="360" customFormat="1" ht="20.25" customHeight="1">
      <c r="A1062" s="356" t="s">
        <v>1519</v>
      </c>
      <c r="B1062" s="357" t="s">
        <v>545</v>
      </c>
      <c r="C1062" s="358">
        <f>'PART-B'!I1226</f>
        <v>40</v>
      </c>
      <c r="D1062" s="354" t="s">
        <v>277</v>
      </c>
      <c r="E1062" s="355">
        <f>'PART-B'!K1226</f>
        <v>33</v>
      </c>
      <c r="F1062" s="353">
        <f t="shared" si="61"/>
        <v>1320</v>
      </c>
      <c r="G1062" s="368"/>
      <c r="H1062" s="368"/>
      <c r="I1062" s="368">
        <f t="shared" si="59"/>
        <v>40</v>
      </c>
      <c r="J1062" s="368">
        <f t="shared" si="60"/>
        <v>1320</v>
      </c>
      <c r="K1062" s="360" t="s">
        <v>2313</v>
      </c>
    </row>
    <row r="1063" spans="1:11" s="360" customFormat="1" ht="20.25" hidden="1" customHeight="1">
      <c r="A1063" s="356" t="s">
        <v>501</v>
      </c>
      <c r="B1063" s="357" t="s">
        <v>546</v>
      </c>
      <c r="C1063" s="358">
        <f>'PART-B'!I1231</f>
        <v>0</v>
      </c>
      <c r="D1063" s="354" t="s">
        <v>115</v>
      </c>
      <c r="E1063" s="355">
        <f>'PART-B'!K1231</f>
        <v>387</v>
      </c>
      <c r="F1063" s="353">
        <f t="shared" si="61"/>
        <v>0</v>
      </c>
      <c r="G1063" s="368"/>
      <c r="H1063" s="368"/>
      <c r="I1063" s="368">
        <f t="shared" si="59"/>
        <v>0</v>
      </c>
      <c r="J1063" s="368">
        <f t="shared" si="60"/>
        <v>0</v>
      </c>
      <c r="K1063" s="360" t="s">
        <v>2313</v>
      </c>
    </row>
    <row r="1064" spans="1:11" s="360" customFormat="1" ht="24.75" hidden="1" customHeight="1">
      <c r="A1064" s="356" t="s">
        <v>529</v>
      </c>
      <c r="B1064" s="357" t="s">
        <v>713</v>
      </c>
      <c r="C1064" s="358">
        <f>'PART-B'!I1236</f>
        <v>0</v>
      </c>
      <c r="D1064" s="354" t="s">
        <v>115</v>
      </c>
      <c r="E1064" s="355">
        <f>'PART-B'!K1236</f>
        <v>1644</v>
      </c>
      <c r="F1064" s="353">
        <f t="shared" si="61"/>
        <v>0</v>
      </c>
      <c r="G1064" s="368"/>
      <c r="H1064" s="368"/>
      <c r="I1064" s="368">
        <f t="shared" si="59"/>
        <v>0</v>
      </c>
      <c r="J1064" s="368">
        <f t="shared" si="60"/>
        <v>0</v>
      </c>
      <c r="K1064" s="360" t="s">
        <v>2313</v>
      </c>
    </row>
    <row r="1065" spans="1:11" s="360" customFormat="1" ht="20.25" customHeight="1">
      <c r="A1065" s="356" t="s">
        <v>497</v>
      </c>
      <c r="B1065" s="357" t="s">
        <v>2175</v>
      </c>
      <c r="C1065" s="358">
        <f>'PART-B'!I1241</f>
        <v>10</v>
      </c>
      <c r="D1065" s="354" t="s">
        <v>277</v>
      </c>
      <c r="E1065" s="355">
        <f>'PART-B'!K1241</f>
        <v>149</v>
      </c>
      <c r="F1065" s="353">
        <f t="shared" si="61"/>
        <v>1490</v>
      </c>
      <c r="G1065" s="368"/>
      <c r="H1065" s="368"/>
      <c r="I1065" s="368">
        <f t="shared" si="59"/>
        <v>10</v>
      </c>
      <c r="J1065" s="368">
        <f t="shared" si="60"/>
        <v>1490</v>
      </c>
      <c r="K1065" s="360" t="s">
        <v>2313</v>
      </c>
    </row>
    <row r="1066" spans="1:11" s="360" customFormat="1" ht="20.25" hidden="1" customHeight="1">
      <c r="A1066" s="356" t="s">
        <v>642</v>
      </c>
      <c r="B1066" s="357" t="s">
        <v>548</v>
      </c>
      <c r="C1066" s="358">
        <f>'PART-B'!I1246</f>
        <v>0</v>
      </c>
      <c r="D1066" s="354" t="s">
        <v>277</v>
      </c>
      <c r="E1066" s="355">
        <f>'PART-B'!K1246</f>
        <v>141.66666666666666</v>
      </c>
      <c r="F1066" s="353">
        <f t="shared" si="61"/>
        <v>0</v>
      </c>
      <c r="G1066" s="368"/>
      <c r="H1066" s="368"/>
      <c r="I1066" s="368">
        <f t="shared" si="59"/>
        <v>0</v>
      </c>
      <c r="J1066" s="368">
        <f t="shared" si="60"/>
        <v>0</v>
      </c>
      <c r="K1066" s="360" t="s">
        <v>2313</v>
      </c>
    </row>
    <row r="1067" spans="1:11" s="360" customFormat="1" ht="20.25" customHeight="1">
      <c r="A1067" s="356" t="s">
        <v>498</v>
      </c>
      <c r="B1067" s="357" t="s">
        <v>2176</v>
      </c>
      <c r="C1067" s="358">
        <f>'PART-B'!I1251</f>
        <v>10</v>
      </c>
      <c r="D1067" s="354" t="s">
        <v>277</v>
      </c>
      <c r="E1067" s="355">
        <f>'PART-B'!K1251</f>
        <v>89</v>
      </c>
      <c r="F1067" s="353">
        <f t="shared" si="61"/>
        <v>890</v>
      </c>
      <c r="G1067" s="368"/>
      <c r="H1067" s="368"/>
      <c r="I1067" s="368">
        <f t="shared" si="59"/>
        <v>10</v>
      </c>
      <c r="J1067" s="368">
        <f t="shared" si="60"/>
        <v>890</v>
      </c>
      <c r="K1067" s="360" t="s">
        <v>2313</v>
      </c>
    </row>
    <row r="1068" spans="1:11" s="360" customFormat="1" ht="20.25" customHeight="1">
      <c r="A1068" s="356" t="s">
        <v>499</v>
      </c>
      <c r="B1068" s="357" t="s">
        <v>550</v>
      </c>
      <c r="C1068" s="358">
        <f>'PART-B'!I1257</f>
        <v>20</v>
      </c>
      <c r="D1068" s="354" t="s">
        <v>277</v>
      </c>
      <c r="E1068" s="355">
        <f>'PART-B'!K1257</f>
        <v>79</v>
      </c>
      <c r="F1068" s="353">
        <f t="shared" si="61"/>
        <v>1580</v>
      </c>
      <c r="G1068" s="368"/>
      <c r="H1068" s="368"/>
      <c r="I1068" s="368">
        <f t="shared" si="59"/>
        <v>20</v>
      </c>
      <c r="J1068" s="368">
        <f t="shared" si="60"/>
        <v>1580</v>
      </c>
      <c r="K1068" s="360" t="s">
        <v>2313</v>
      </c>
    </row>
    <row r="1069" spans="1:11" s="360" customFormat="1" ht="20.25" customHeight="1">
      <c r="A1069" s="356" t="s">
        <v>500</v>
      </c>
      <c r="B1069" s="357" t="s">
        <v>2206</v>
      </c>
      <c r="C1069" s="358">
        <f>'PART-B'!I1262</f>
        <v>2</v>
      </c>
      <c r="D1069" s="354" t="s">
        <v>115</v>
      </c>
      <c r="E1069" s="355">
        <f>'PART-B'!K1262</f>
        <v>5297</v>
      </c>
      <c r="F1069" s="353">
        <f t="shared" si="61"/>
        <v>10594</v>
      </c>
      <c r="G1069" s="368"/>
      <c r="H1069" s="368"/>
      <c r="I1069" s="368">
        <f t="shared" si="59"/>
        <v>2</v>
      </c>
      <c r="J1069" s="368">
        <f t="shared" si="60"/>
        <v>10594</v>
      </c>
      <c r="K1069" s="360" t="s">
        <v>2313</v>
      </c>
    </row>
    <row r="1070" spans="1:11" s="360" customFormat="1" ht="20.25" hidden="1" customHeight="1">
      <c r="A1070" s="356" t="s">
        <v>520</v>
      </c>
      <c r="B1070" s="357" t="s">
        <v>633</v>
      </c>
      <c r="C1070" s="358">
        <f>'PART-B'!I1267</f>
        <v>0</v>
      </c>
      <c r="D1070" s="354" t="s">
        <v>115</v>
      </c>
      <c r="E1070" s="355">
        <f>'PART-B'!K1267</f>
        <v>1036</v>
      </c>
      <c r="F1070" s="353">
        <f t="shared" si="61"/>
        <v>0</v>
      </c>
      <c r="G1070" s="368"/>
      <c r="H1070" s="368"/>
      <c r="I1070" s="368">
        <f t="shared" si="59"/>
        <v>0</v>
      </c>
      <c r="J1070" s="368">
        <f t="shared" si="60"/>
        <v>0</v>
      </c>
      <c r="K1070" s="360" t="s">
        <v>2313</v>
      </c>
    </row>
    <row r="1071" spans="1:11" s="360" customFormat="1" ht="20.25" customHeight="1">
      <c r="A1071" s="356" t="s">
        <v>501</v>
      </c>
      <c r="B1071" s="357" t="s">
        <v>634</v>
      </c>
      <c r="C1071" s="358">
        <f>'PART-B'!I1277</f>
        <v>2</v>
      </c>
      <c r="D1071" s="354" t="s">
        <v>115</v>
      </c>
      <c r="E1071" s="355">
        <f>'PART-B'!K1277</f>
        <v>2025</v>
      </c>
      <c r="F1071" s="353">
        <f t="shared" si="61"/>
        <v>4050</v>
      </c>
      <c r="G1071" s="368"/>
      <c r="H1071" s="368"/>
      <c r="I1071" s="368">
        <f t="shared" si="59"/>
        <v>2</v>
      </c>
      <c r="J1071" s="368">
        <f t="shared" si="60"/>
        <v>4050</v>
      </c>
      <c r="K1071" s="360" t="s">
        <v>2313</v>
      </c>
    </row>
    <row r="1072" spans="1:11" s="360" customFormat="1" ht="20.25" hidden="1" customHeight="1">
      <c r="A1072" s="356" t="s">
        <v>1581</v>
      </c>
      <c r="B1072" s="357" t="s">
        <v>1256</v>
      </c>
      <c r="C1072" s="358">
        <f>'PART-B'!I1272</f>
        <v>0</v>
      </c>
      <c r="D1072" s="354" t="s">
        <v>115</v>
      </c>
      <c r="E1072" s="355">
        <f>'PART-B'!K1272</f>
        <v>2644</v>
      </c>
      <c r="F1072" s="353">
        <f t="shared" si="61"/>
        <v>0</v>
      </c>
      <c r="G1072" s="368"/>
      <c r="H1072" s="368"/>
      <c r="I1072" s="368">
        <f t="shared" si="59"/>
        <v>0</v>
      </c>
      <c r="J1072" s="368">
        <f t="shared" si="60"/>
        <v>0</v>
      </c>
      <c r="K1072" s="360" t="s">
        <v>2313</v>
      </c>
    </row>
    <row r="1073" spans="1:11" s="360" customFormat="1" ht="20.25" hidden="1" customHeight="1">
      <c r="A1073" s="356" t="s">
        <v>510</v>
      </c>
      <c r="B1073" s="357" t="s">
        <v>2780</v>
      </c>
      <c r="C1073" s="358">
        <f>'PART-B'!I1282</f>
        <v>0</v>
      </c>
      <c r="D1073" s="354" t="s">
        <v>115</v>
      </c>
      <c r="E1073" s="355">
        <f>'PART-B'!K1282</f>
        <v>93</v>
      </c>
      <c r="F1073" s="353">
        <f t="shared" si="61"/>
        <v>0</v>
      </c>
      <c r="G1073" s="368"/>
      <c r="H1073" s="368"/>
      <c r="I1073" s="368">
        <f t="shared" si="59"/>
        <v>0</v>
      </c>
      <c r="J1073" s="368">
        <f t="shared" si="60"/>
        <v>0</v>
      </c>
      <c r="K1073" s="360" t="s">
        <v>2313</v>
      </c>
    </row>
    <row r="1074" spans="1:11" s="360" customFormat="1" ht="20.25" customHeight="1">
      <c r="A1074" s="356" t="s">
        <v>502</v>
      </c>
      <c r="B1074" s="357" t="s">
        <v>1810</v>
      </c>
      <c r="C1074" s="358">
        <f>'PART-B'!I1287</f>
        <v>500</v>
      </c>
      <c r="D1074" s="354" t="s">
        <v>574</v>
      </c>
      <c r="E1074" s="355">
        <f>'PART-B'!K1287</f>
        <v>9.5</v>
      </c>
      <c r="F1074" s="353">
        <f t="shared" si="61"/>
        <v>4750</v>
      </c>
      <c r="G1074" s="368"/>
      <c r="H1074" s="368"/>
      <c r="I1074" s="368">
        <f t="shared" si="59"/>
        <v>500</v>
      </c>
      <c r="J1074" s="368">
        <f t="shared" si="60"/>
        <v>4750</v>
      </c>
      <c r="K1074" s="360" t="s">
        <v>2313</v>
      </c>
    </row>
    <row r="1075" spans="1:11" s="360" customFormat="1" ht="20.25" hidden="1" customHeight="1">
      <c r="A1075" s="356" t="s">
        <v>1583</v>
      </c>
      <c r="B1075" s="357" t="s">
        <v>553</v>
      </c>
      <c r="C1075" s="358">
        <f>'PART-B'!I1290</f>
        <v>0</v>
      </c>
      <c r="D1075" s="354" t="s">
        <v>277</v>
      </c>
      <c r="E1075" s="355">
        <f>'PART-B'!K1290</f>
        <v>446.4</v>
      </c>
      <c r="F1075" s="353">
        <f t="shared" si="61"/>
        <v>0</v>
      </c>
      <c r="G1075" s="368"/>
      <c r="H1075" s="368"/>
      <c r="I1075" s="368">
        <f t="shared" si="59"/>
        <v>0</v>
      </c>
      <c r="J1075" s="368">
        <f t="shared" si="60"/>
        <v>0</v>
      </c>
      <c r="K1075" s="360" t="s">
        <v>2313</v>
      </c>
    </row>
    <row r="1076" spans="1:11" s="360" customFormat="1" ht="20.25" hidden="1" customHeight="1">
      <c r="A1076" s="356" t="s">
        <v>524</v>
      </c>
      <c r="B1076" s="357" t="s">
        <v>553</v>
      </c>
      <c r="C1076" s="358">
        <f>'PART-B'!I1291</f>
        <v>0</v>
      </c>
      <c r="D1076" s="354" t="s">
        <v>277</v>
      </c>
      <c r="E1076" s="355">
        <f>'PART-B'!K1291</f>
        <v>477.6</v>
      </c>
      <c r="F1076" s="353">
        <f t="shared" si="61"/>
        <v>0</v>
      </c>
      <c r="G1076" s="368"/>
      <c r="H1076" s="368"/>
      <c r="I1076" s="368">
        <f t="shared" si="59"/>
        <v>0</v>
      </c>
      <c r="J1076" s="368">
        <f t="shared" si="60"/>
        <v>0</v>
      </c>
      <c r="K1076" s="360" t="s">
        <v>2313</v>
      </c>
    </row>
    <row r="1077" spans="1:11" s="360" customFormat="1" ht="20.25" hidden="1" customHeight="1">
      <c r="A1077" s="356" t="s">
        <v>525</v>
      </c>
      <c r="B1077" s="357" t="s">
        <v>553</v>
      </c>
      <c r="C1077" s="358">
        <f>'PART-B'!I1292</f>
        <v>0</v>
      </c>
      <c r="D1077" s="354" t="s">
        <v>277</v>
      </c>
      <c r="E1077" s="355">
        <f>'PART-B'!K1292</f>
        <v>535.70000000000005</v>
      </c>
      <c r="F1077" s="353">
        <f t="shared" si="61"/>
        <v>0</v>
      </c>
      <c r="G1077" s="368"/>
      <c r="H1077" s="368"/>
      <c r="I1077" s="368">
        <f t="shared" si="59"/>
        <v>0</v>
      </c>
      <c r="J1077" s="368">
        <f t="shared" si="60"/>
        <v>0</v>
      </c>
      <c r="K1077" s="360" t="s">
        <v>2313</v>
      </c>
    </row>
    <row r="1078" spans="1:11" s="360" customFormat="1" ht="20.25" hidden="1" customHeight="1">
      <c r="A1078" s="356" t="s">
        <v>645</v>
      </c>
      <c r="B1078" s="357" t="s">
        <v>2115</v>
      </c>
      <c r="C1078" s="358">
        <f>'PART-B'!I1298</f>
        <v>0</v>
      </c>
      <c r="D1078" s="354" t="s">
        <v>277</v>
      </c>
      <c r="E1078" s="355">
        <f>'PART-B'!K1298</f>
        <v>325</v>
      </c>
      <c r="F1078" s="353">
        <f t="shared" ref="F1078:F1109" si="62">ROUND(C1078*E1078,0)</f>
        <v>0</v>
      </c>
      <c r="G1078" s="368"/>
      <c r="H1078" s="368"/>
      <c r="I1078" s="368">
        <f t="shared" si="59"/>
        <v>0</v>
      </c>
      <c r="J1078" s="368">
        <f t="shared" si="60"/>
        <v>0</v>
      </c>
      <c r="K1078" s="360" t="s">
        <v>2313</v>
      </c>
    </row>
    <row r="1079" spans="1:11" s="360" customFormat="1" ht="20.25" hidden="1" customHeight="1">
      <c r="A1079" s="356" t="s">
        <v>1584</v>
      </c>
      <c r="B1079" s="357" t="s">
        <v>2300</v>
      </c>
      <c r="C1079" s="358">
        <f>'PART-B'!I1303</f>
        <v>0</v>
      </c>
      <c r="D1079" s="354" t="s">
        <v>115</v>
      </c>
      <c r="E1079" s="355">
        <f>'PART-B'!K1303</f>
        <v>18370</v>
      </c>
      <c r="F1079" s="353">
        <f t="shared" si="62"/>
        <v>0</v>
      </c>
      <c r="G1079" s="368"/>
      <c r="H1079" s="368"/>
      <c r="I1079" s="368">
        <f t="shared" si="59"/>
        <v>0</v>
      </c>
      <c r="J1079" s="368">
        <f t="shared" si="60"/>
        <v>0</v>
      </c>
      <c r="K1079" s="360" t="s">
        <v>2313</v>
      </c>
    </row>
    <row r="1080" spans="1:11" s="360" customFormat="1" ht="20.25" hidden="1" customHeight="1">
      <c r="A1080" s="356" t="s">
        <v>1585</v>
      </c>
      <c r="B1080" s="357" t="s">
        <v>636</v>
      </c>
      <c r="C1080" s="358">
        <f>'PART-B'!I1308</f>
        <v>0</v>
      </c>
      <c r="D1080" s="354" t="s">
        <v>277</v>
      </c>
      <c r="E1080" s="355">
        <f>'PART-B'!K1308</f>
        <v>85</v>
      </c>
      <c r="F1080" s="353">
        <f t="shared" si="62"/>
        <v>0</v>
      </c>
      <c r="G1080" s="368"/>
      <c r="H1080" s="368"/>
      <c r="I1080" s="368">
        <f t="shared" si="59"/>
        <v>0</v>
      </c>
      <c r="J1080" s="368">
        <f t="shared" si="60"/>
        <v>0</v>
      </c>
      <c r="K1080" s="360" t="s">
        <v>2313</v>
      </c>
    </row>
    <row r="1081" spans="1:11" s="360" customFormat="1" ht="20.25" hidden="1" customHeight="1">
      <c r="A1081" s="356" t="s">
        <v>646</v>
      </c>
      <c r="B1081" s="357" t="s">
        <v>284</v>
      </c>
      <c r="C1081" s="358">
        <f>'PART-B'!I1313</f>
        <v>0</v>
      </c>
      <c r="D1081" s="354" t="s">
        <v>115</v>
      </c>
      <c r="E1081" s="355">
        <f>'PART-B'!K1313</f>
        <v>300</v>
      </c>
      <c r="F1081" s="353">
        <f t="shared" si="62"/>
        <v>0</v>
      </c>
      <c r="G1081" s="368"/>
      <c r="H1081" s="368"/>
      <c r="I1081" s="368">
        <f t="shared" si="59"/>
        <v>0</v>
      </c>
      <c r="J1081" s="368">
        <f t="shared" si="60"/>
        <v>0</v>
      </c>
      <c r="K1081" s="360" t="s">
        <v>2313</v>
      </c>
    </row>
    <row r="1082" spans="1:11" s="360" customFormat="1" ht="20.25" hidden="1" customHeight="1">
      <c r="A1082" s="356" t="s">
        <v>1144</v>
      </c>
      <c r="B1082" s="357" t="s">
        <v>285</v>
      </c>
      <c r="C1082" s="358">
        <f>'PART-B'!I1318</f>
        <v>0</v>
      </c>
      <c r="D1082" s="354" t="s">
        <v>115</v>
      </c>
      <c r="E1082" s="355">
        <f>'PART-B'!K1318</f>
        <v>400</v>
      </c>
      <c r="F1082" s="353">
        <f t="shared" si="62"/>
        <v>0</v>
      </c>
      <c r="G1082" s="368"/>
      <c r="H1082" s="368"/>
      <c r="I1082" s="368">
        <f t="shared" si="59"/>
        <v>0</v>
      </c>
      <c r="J1082" s="368">
        <f t="shared" si="60"/>
        <v>0</v>
      </c>
      <c r="K1082" s="360" t="s">
        <v>2313</v>
      </c>
    </row>
    <row r="1083" spans="1:11" s="360" customFormat="1" ht="20.25" hidden="1" customHeight="1">
      <c r="A1083" s="356" t="s">
        <v>1588</v>
      </c>
      <c r="B1083" s="357" t="s">
        <v>286</v>
      </c>
      <c r="C1083" s="358">
        <f>'PART-B'!I1323</f>
        <v>0</v>
      </c>
      <c r="D1083" s="354" t="s">
        <v>115</v>
      </c>
      <c r="E1083" s="355">
        <f>'PART-B'!K1323</f>
        <v>77</v>
      </c>
      <c r="F1083" s="353">
        <f t="shared" si="62"/>
        <v>0</v>
      </c>
      <c r="G1083" s="368"/>
      <c r="H1083" s="368"/>
      <c r="I1083" s="368">
        <f t="shared" si="59"/>
        <v>0</v>
      </c>
      <c r="J1083" s="368">
        <f t="shared" si="60"/>
        <v>0</v>
      </c>
      <c r="K1083" s="360" t="s">
        <v>2313</v>
      </c>
    </row>
    <row r="1084" spans="1:11" s="360" customFormat="1" ht="20.25" hidden="1" customHeight="1">
      <c r="A1084" s="356" t="s">
        <v>647</v>
      </c>
      <c r="B1084" s="357" t="s">
        <v>287</v>
      </c>
      <c r="C1084" s="358">
        <f>'PART-B'!I1328</f>
        <v>0</v>
      </c>
      <c r="D1084" s="354" t="s">
        <v>115</v>
      </c>
      <c r="E1084" s="355">
        <f>'PART-B'!K1328</f>
        <v>194</v>
      </c>
      <c r="F1084" s="353">
        <f t="shared" si="62"/>
        <v>0</v>
      </c>
      <c r="G1084" s="368"/>
      <c r="H1084" s="368"/>
      <c r="I1084" s="368">
        <f t="shared" si="59"/>
        <v>0</v>
      </c>
      <c r="J1084" s="368">
        <f t="shared" si="60"/>
        <v>0</v>
      </c>
      <c r="K1084" s="360" t="s">
        <v>2313</v>
      </c>
    </row>
    <row r="1085" spans="1:11" s="360" customFormat="1" ht="20.25" hidden="1" customHeight="1">
      <c r="A1085" s="356" t="s">
        <v>1586</v>
      </c>
      <c r="B1085" s="357" t="s">
        <v>2116</v>
      </c>
      <c r="C1085" s="358">
        <f>'PART-B'!I1333</f>
        <v>0</v>
      </c>
      <c r="D1085" s="354" t="s">
        <v>277</v>
      </c>
      <c r="E1085" s="355">
        <f>'PART-B'!K1333</f>
        <v>105</v>
      </c>
      <c r="F1085" s="353">
        <f t="shared" si="62"/>
        <v>0</v>
      </c>
      <c r="G1085" s="368"/>
      <c r="H1085" s="368"/>
      <c r="I1085" s="368">
        <f t="shared" si="59"/>
        <v>0</v>
      </c>
      <c r="J1085" s="368">
        <f t="shared" si="60"/>
        <v>0</v>
      </c>
      <c r="K1085" s="360" t="s">
        <v>2313</v>
      </c>
    </row>
    <row r="1086" spans="1:11" s="360" customFormat="1" ht="20.25" hidden="1" customHeight="1">
      <c r="A1086" s="356" t="s">
        <v>1587</v>
      </c>
      <c r="B1086" s="357" t="s">
        <v>2117</v>
      </c>
      <c r="C1086" s="358">
        <f>'PART-B'!I1338</f>
        <v>0</v>
      </c>
      <c r="D1086" s="354" t="s">
        <v>115</v>
      </c>
      <c r="E1086" s="355">
        <f>'PART-B'!K1338</f>
        <v>5445</v>
      </c>
      <c r="F1086" s="353">
        <f t="shared" si="62"/>
        <v>0</v>
      </c>
      <c r="G1086" s="368"/>
      <c r="H1086" s="368"/>
      <c r="I1086" s="368">
        <f t="shared" si="59"/>
        <v>0</v>
      </c>
      <c r="J1086" s="368">
        <f t="shared" si="60"/>
        <v>0</v>
      </c>
      <c r="K1086" s="360" t="s">
        <v>2313</v>
      </c>
    </row>
    <row r="1087" spans="1:11" s="360" customFormat="1" ht="20.25" hidden="1" customHeight="1">
      <c r="A1087" s="356" t="s">
        <v>1143</v>
      </c>
      <c r="B1087" s="357" t="s">
        <v>2118</v>
      </c>
      <c r="C1087" s="358">
        <f>'PART-B'!I1344</f>
        <v>0</v>
      </c>
      <c r="D1087" s="354" t="s">
        <v>277</v>
      </c>
      <c r="E1087" s="355">
        <f>'PART-B'!K1344</f>
        <v>73.94</v>
      </c>
      <c r="F1087" s="353">
        <f t="shared" si="62"/>
        <v>0</v>
      </c>
      <c r="G1087" s="353"/>
      <c r="H1087" s="353"/>
      <c r="I1087" s="368">
        <f t="shared" si="59"/>
        <v>0</v>
      </c>
      <c r="J1087" s="368">
        <f t="shared" si="60"/>
        <v>0</v>
      </c>
      <c r="K1087" s="360" t="s">
        <v>2313</v>
      </c>
    </row>
    <row r="1088" spans="1:11" s="360" customFormat="1" ht="20.25" customHeight="1">
      <c r="A1088" s="356" t="s">
        <v>503</v>
      </c>
      <c r="B1088" s="357" t="s">
        <v>2119</v>
      </c>
      <c r="C1088" s="358">
        <f>'PART-B'!I1354</f>
        <v>40</v>
      </c>
      <c r="D1088" s="354" t="s">
        <v>277</v>
      </c>
      <c r="E1088" s="355">
        <f>'PART-B'!K1354</f>
        <v>89.61</v>
      </c>
      <c r="F1088" s="353">
        <f t="shared" si="62"/>
        <v>3584</v>
      </c>
      <c r="G1088" s="368"/>
      <c r="H1088" s="368"/>
      <c r="I1088" s="368">
        <f t="shared" si="59"/>
        <v>40</v>
      </c>
      <c r="J1088" s="368">
        <f t="shared" si="60"/>
        <v>3584</v>
      </c>
      <c r="K1088" s="360" t="s">
        <v>2313</v>
      </c>
    </row>
    <row r="1089" spans="1:11" s="360" customFormat="1" ht="20.25" hidden="1" customHeight="1">
      <c r="A1089" s="356" t="s">
        <v>1158</v>
      </c>
      <c r="B1089" s="357" t="s">
        <v>572</v>
      </c>
      <c r="C1089" s="358">
        <f>'PART-B'!I1362</f>
        <v>0</v>
      </c>
      <c r="D1089" s="354" t="s">
        <v>277</v>
      </c>
      <c r="E1089" s="355">
        <f>'PART-B'!K1362</f>
        <v>64</v>
      </c>
      <c r="F1089" s="353">
        <f t="shared" si="62"/>
        <v>0</v>
      </c>
      <c r="G1089" s="368"/>
      <c r="H1089" s="368"/>
      <c r="I1089" s="368">
        <f t="shared" si="59"/>
        <v>0</v>
      </c>
      <c r="J1089" s="368">
        <f t="shared" si="60"/>
        <v>0</v>
      </c>
      <c r="K1089" s="360" t="s">
        <v>2313</v>
      </c>
    </row>
    <row r="1090" spans="1:11" s="360" customFormat="1" ht="20.25" customHeight="1">
      <c r="A1090" s="356" t="s">
        <v>504</v>
      </c>
      <c r="B1090" s="357" t="s">
        <v>1446</v>
      </c>
      <c r="C1090" s="358">
        <f>'PART-B'!I1367</f>
        <v>3</v>
      </c>
      <c r="D1090" s="354" t="s">
        <v>115</v>
      </c>
      <c r="E1090" s="355">
        <f>'PART-B'!K1367</f>
        <v>245</v>
      </c>
      <c r="F1090" s="353">
        <f t="shared" si="62"/>
        <v>735</v>
      </c>
      <c r="G1090" s="368"/>
      <c r="H1090" s="368"/>
      <c r="I1090" s="368">
        <f t="shared" si="59"/>
        <v>3</v>
      </c>
      <c r="J1090" s="368">
        <f t="shared" si="60"/>
        <v>735</v>
      </c>
      <c r="K1090" s="360" t="s">
        <v>2313</v>
      </c>
    </row>
    <row r="1091" spans="1:11" s="360" customFormat="1" ht="20.25" customHeight="1">
      <c r="A1091" s="356" t="s">
        <v>506</v>
      </c>
      <c r="B1091" s="357" t="s">
        <v>1447</v>
      </c>
      <c r="C1091" s="358">
        <f>'PART-B'!I1372</f>
        <v>2</v>
      </c>
      <c r="D1091" s="354" t="s">
        <v>115</v>
      </c>
      <c r="E1091" s="355">
        <f>'PART-B'!K1372</f>
        <v>203</v>
      </c>
      <c r="F1091" s="353">
        <f t="shared" si="62"/>
        <v>406</v>
      </c>
      <c r="G1091" s="368"/>
      <c r="H1091" s="368"/>
      <c r="I1091" s="368">
        <f t="shared" si="59"/>
        <v>2</v>
      </c>
      <c r="J1091" s="368">
        <f t="shared" si="60"/>
        <v>406</v>
      </c>
      <c r="K1091" s="360" t="s">
        <v>2313</v>
      </c>
    </row>
    <row r="1092" spans="1:11" s="360" customFormat="1" ht="20.25" hidden="1" customHeight="1">
      <c r="A1092" s="356" t="s">
        <v>515</v>
      </c>
      <c r="B1092" s="357" t="s">
        <v>1448</v>
      </c>
      <c r="C1092" s="358">
        <f>'PART-B'!I1377</f>
        <v>0</v>
      </c>
      <c r="D1092" s="354" t="s">
        <v>115</v>
      </c>
      <c r="E1092" s="355">
        <f>'PART-B'!K1377</f>
        <v>155</v>
      </c>
      <c r="F1092" s="353">
        <f t="shared" si="62"/>
        <v>0</v>
      </c>
      <c r="G1092" s="368"/>
      <c r="H1092" s="368"/>
      <c r="I1092" s="368">
        <f t="shared" si="59"/>
        <v>0</v>
      </c>
      <c r="J1092" s="368">
        <f t="shared" si="60"/>
        <v>0</v>
      </c>
      <c r="K1092" s="360" t="s">
        <v>2313</v>
      </c>
    </row>
    <row r="1093" spans="1:11" s="360" customFormat="1" ht="20.25" hidden="1" customHeight="1">
      <c r="A1093" s="356" t="s">
        <v>516</v>
      </c>
      <c r="B1093" s="357" t="s">
        <v>1450</v>
      </c>
      <c r="C1093" s="358">
        <f>'PART-B'!I1392</f>
        <v>0</v>
      </c>
      <c r="D1093" s="354" t="s">
        <v>115</v>
      </c>
      <c r="E1093" s="355">
        <f>'PART-B'!K1392</f>
        <v>114</v>
      </c>
      <c r="F1093" s="353">
        <f t="shared" si="62"/>
        <v>0</v>
      </c>
      <c r="G1093" s="368"/>
      <c r="H1093" s="368"/>
      <c r="I1093" s="368">
        <f t="shared" si="59"/>
        <v>0</v>
      </c>
      <c r="J1093" s="368">
        <f t="shared" si="60"/>
        <v>0</v>
      </c>
      <c r="K1093" s="360" t="s">
        <v>2313</v>
      </c>
    </row>
    <row r="1094" spans="1:11" s="360" customFormat="1" ht="20.25" hidden="1" customHeight="1">
      <c r="A1094" s="356" t="s">
        <v>516</v>
      </c>
      <c r="B1094" s="357" t="s">
        <v>1449</v>
      </c>
      <c r="C1094" s="358">
        <f>'PART-B'!I1387</f>
        <v>0</v>
      </c>
      <c r="D1094" s="354" t="s">
        <v>115</v>
      </c>
      <c r="E1094" s="355">
        <f>'PART-B'!K1387</f>
        <v>400</v>
      </c>
      <c r="F1094" s="353">
        <f t="shared" si="62"/>
        <v>0</v>
      </c>
      <c r="G1094" s="368"/>
      <c r="H1094" s="368"/>
      <c r="I1094" s="368">
        <f t="shared" si="59"/>
        <v>0</v>
      </c>
      <c r="J1094" s="368">
        <f t="shared" si="60"/>
        <v>0</v>
      </c>
      <c r="K1094" s="360" t="s">
        <v>2313</v>
      </c>
    </row>
    <row r="1095" spans="1:11" s="360" customFormat="1" ht="20.25" hidden="1" customHeight="1">
      <c r="A1095" s="356" t="s">
        <v>504</v>
      </c>
      <c r="B1095" s="357" t="s">
        <v>1451</v>
      </c>
      <c r="C1095" s="358">
        <f>'PART-B'!I1397</f>
        <v>0</v>
      </c>
      <c r="D1095" s="354" t="s">
        <v>115</v>
      </c>
      <c r="E1095" s="355">
        <f>'PART-B'!K1397</f>
        <v>68</v>
      </c>
      <c r="F1095" s="353">
        <f t="shared" si="62"/>
        <v>0</v>
      </c>
      <c r="G1095" s="368"/>
      <c r="H1095" s="368"/>
      <c r="I1095" s="368">
        <f t="shared" si="59"/>
        <v>0</v>
      </c>
      <c r="J1095" s="368">
        <f t="shared" si="60"/>
        <v>0</v>
      </c>
      <c r="K1095" s="360" t="s">
        <v>2313</v>
      </c>
    </row>
    <row r="1096" spans="1:11" s="360" customFormat="1" ht="20.25" customHeight="1">
      <c r="A1096" s="356" t="s">
        <v>508</v>
      </c>
      <c r="B1096" s="357" t="s">
        <v>2241</v>
      </c>
      <c r="C1096" s="358">
        <f>'PART-B'!I1403</f>
        <v>22</v>
      </c>
      <c r="D1096" s="354" t="s">
        <v>568</v>
      </c>
      <c r="E1096" s="355">
        <f>'PART-B'!K1403</f>
        <v>481.67</v>
      </c>
      <c r="F1096" s="353">
        <f t="shared" si="62"/>
        <v>10597</v>
      </c>
      <c r="G1096" s="368"/>
      <c r="H1096" s="368"/>
      <c r="I1096" s="368">
        <f t="shared" si="59"/>
        <v>22</v>
      </c>
      <c r="J1096" s="368">
        <f t="shared" si="60"/>
        <v>10597</v>
      </c>
      <c r="K1096" s="360" t="s">
        <v>2313</v>
      </c>
    </row>
    <row r="1097" spans="1:11" s="360" customFormat="1" ht="20.25" customHeight="1">
      <c r="A1097" s="356" t="s">
        <v>510</v>
      </c>
      <c r="B1097" s="357" t="s">
        <v>2120</v>
      </c>
      <c r="C1097" s="358">
        <f>'PART-B'!I1408</f>
        <v>6</v>
      </c>
      <c r="D1097" s="354" t="s">
        <v>568</v>
      </c>
      <c r="E1097" s="355">
        <f>'PART-B'!K1408</f>
        <v>503.67</v>
      </c>
      <c r="F1097" s="353">
        <f t="shared" si="62"/>
        <v>3022</v>
      </c>
      <c r="G1097" s="368"/>
      <c r="H1097" s="368"/>
      <c r="I1097" s="368">
        <f t="shared" si="59"/>
        <v>6</v>
      </c>
      <c r="J1097" s="368">
        <f t="shared" si="60"/>
        <v>3022</v>
      </c>
      <c r="K1097" s="360" t="s">
        <v>2313</v>
      </c>
    </row>
    <row r="1098" spans="1:11" s="360" customFormat="1" ht="20.25" hidden="1" customHeight="1">
      <c r="A1098" s="356" t="s">
        <v>1144</v>
      </c>
      <c r="B1098" s="357" t="s">
        <v>2121</v>
      </c>
      <c r="C1098" s="358">
        <f>'PART-B'!I1414</f>
        <v>0</v>
      </c>
      <c r="D1098" s="354" t="s">
        <v>277</v>
      </c>
      <c r="E1098" s="355">
        <f>'PART-B'!K1414</f>
        <v>23.55</v>
      </c>
      <c r="F1098" s="353">
        <f t="shared" si="62"/>
        <v>0</v>
      </c>
      <c r="G1098" s="368"/>
      <c r="H1098" s="368"/>
      <c r="I1098" s="368">
        <f t="shared" si="59"/>
        <v>0</v>
      </c>
      <c r="J1098" s="368">
        <f t="shared" si="60"/>
        <v>0</v>
      </c>
      <c r="K1098" s="360" t="s">
        <v>2313</v>
      </c>
    </row>
    <row r="1099" spans="1:11" s="360" customFormat="1" ht="20.25" hidden="1" customHeight="1">
      <c r="A1099" s="356" t="s">
        <v>1586</v>
      </c>
      <c r="B1099" s="357" t="s">
        <v>2273</v>
      </c>
      <c r="C1099" s="358">
        <f>'PART-B'!I1419</f>
        <v>0</v>
      </c>
      <c r="D1099" s="354" t="s">
        <v>277</v>
      </c>
      <c r="E1099" s="355">
        <f>'PART-B'!K1419</f>
        <v>79.48</v>
      </c>
      <c r="F1099" s="353">
        <f t="shared" si="62"/>
        <v>0</v>
      </c>
      <c r="G1099" s="368"/>
      <c r="H1099" s="368"/>
      <c r="I1099" s="368">
        <f t="shared" ref="I1099:I1129" si="63">C1099-G1099</f>
        <v>0</v>
      </c>
      <c r="J1099" s="368">
        <f t="shared" ref="J1099:J1129" si="64">F1099-H1099</f>
        <v>0</v>
      </c>
      <c r="K1099" s="360" t="s">
        <v>2313</v>
      </c>
    </row>
    <row r="1100" spans="1:11" s="360" customFormat="1" ht="20.25" customHeight="1">
      <c r="A1100" s="356" t="s">
        <v>1520</v>
      </c>
      <c r="B1100" s="357" t="s">
        <v>2123</v>
      </c>
      <c r="C1100" s="358">
        <f>'PART-B'!I1429</f>
        <v>40</v>
      </c>
      <c r="D1100" s="354" t="s">
        <v>277</v>
      </c>
      <c r="E1100" s="355">
        <f>'PART-B'!K1429</f>
        <v>83.333500000000001</v>
      </c>
      <c r="F1100" s="353">
        <f t="shared" si="62"/>
        <v>3333</v>
      </c>
      <c r="G1100" s="368"/>
      <c r="H1100" s="368"/>
      <c r="I1100" s="368">
        <f t="shared" si="63"/>
        <v>40</v>
      </c>
      <c r="J1100" s="368">
        <f t="shared" si="64"/>
        <v>3333</v>
      </c>
      <c r="K1100" s="360" t="s">
        <v>2313</v>
      </c>
    </row>
    <row r="1101" spans="1:11" s="360" customFormat="1" ht="20.25" hidden="1" customHeight="1">
      <c r="A1101" s="356" t="s">
        <v>531</v>
      </c>
      <c r="B1101" s="357" t="s">
        <v>2147</v>
      </c>
      <c r="C1101" s="358">
        <f>'PART-B'!I1434</f>
        <v>0</v>
      </c>
      <c r="D1101" s="354" t="s">
        <v>277</v>
      </c>
      <c r="E1101" s="355">
        <f>'PART-B'!K1434</f>
        <v>126.65</v>
      </c>
      <c r="F1101" s="353">
        <f t="shared" si="62"/>
        <v>0</v>
      </c>
      <c r="G1101" s="368"/>
      <c r="H1101" s="368"/>
      <c r="I1101" s="368">
        <f t="shared" si="63"/>
        <v>0</v>
      </c>
      <c r="J1101" s="368">
        <f t="shared" si="64"/>
        <v>0</v>
      </c>
      <c r="K1101" s="360" t="s">
        <v>2313</v>
      </c>
    </row>
    <row r="1102" spans="1:11" s="360" customFormat="1" ht="20.25" hidden="1" customHeight="1">
      <c r="A1102" s="356" t="s">
        <v>1587</v>
      </c>
      <c r="B1102" s="357" t="s">
        <v>2122</v>
      </c>
      <c r="C1102" s="358">
        <f>'PART-B'!I1439</f>
        <v>0</v>
      </c>
      <c r="D1102" s="354" t="s">
        <v>277</v>
      </c>
      <c r="E1102" s="355">
        <f>'PART-B'!K1439</f>
        <v>64.563000000000002</v>
      </c>
      <c r="F1102" s="353">
        <f t="shared" si="62"/>
        <v>0</v>
      </c>
      <c r="G1102" s="368"/>
      <c r="H1102" s="368"/>
      <c r="I1102" s="368">
        <f t="shared" si="63"/>
        <v>0</v>
      </c>
      <c r="J1102" s="368">
        <f t="shared" si="64"/>
        <v>0</v>
      </c>
      <c r="K1102" s="360" t="s">
        <v>2313</v>
      </c>
    </row>
    <row r="1103" spans="1:11" s="360" customFormat="1" ht="20.25" customHeight="1">
      <c r="A1103" s="356" t="s">
        <v>512</v>
      </c>
      <c r="B1103" s="357" t="s">
        <v>2205</v>
      </c>
      <c r="C1103" s="358">
        <f>'PART-B'!I1444</f>
        <v>3</v>
      </c>
      <c r="D1103" s="354" t="s">
        <v>115</v>
      </c>
      <c r="E1103" s="355">
        <f>'PART-B'!K1444</f>
        <v>209</v>
      </c>
      <c r="F1103" s="353">
        <f t="shared" si="62"/>
        <v>627</v>
      </c>
      <c r="G1103" s="368"/>
      <c r="H1103" s="368"/>
      <c r="I1103" s="368">
        <f t="shared" si="63"/>
        <v>3</v>
      </c>
      <c r="J1103" s="368">
        <f t="shared" si="64"/>
        <v>627</v>
      </c>
      <c r="K1103" s="360" t="s">
        <v>2313</v>
      </c>
    </row>
    <row r="1104" spans="1:11" s="360" customFormat="1" ht="20.25" customHeight="1">
      <c r="A1104" s="356" t="s">
        <v>513</v>
      </c>
      <c r="B1104" s="357" t="s">
        <v>2124</v>
      </c>
      <c r="C1104" s="358">
        <f>'PART-B'!I1449</f>
        <v>2</v>
      </c>
      <c r="D1104" s="354" t="s">
        <v>115</v>
      </c>
      <c r="E1104" s="355">
        <f>'PART-B'!K1449</f>
        <v>171</v>
      </c>
      <c r="F1104" s="353">
        <f t="shared" si="62"/>
        <v>342</v>
      </c>
      <c r="G1104" s="368"/>
      <c r="H1104" s="368"/>
      <c r="I1104" s="368">
        <f t="shared" si="63"/>
        <v>2</v>
      </c>
      <c r="J1104" s="368">
        <f t="shared" si="64"/>
        <v>342</v>
      </c>
      <c r="K1104" s="360" t="s">
        <v>2313</v>
      </c>
    </row>
    <row r="1105" spans="1:11" s="360" customFormat="1" ht="20.25" hidden="1" customHeight="1">
      <c r="A1105" s="356" t="s">
        <v>522</v>
      </c>
      <c r="B1105" s="357" t="s">
        <v>2125</v>
      </c>
      <c r="C1105" s="358">
        <f>'PART-B'!I1454</f>
        <v>0</v>
      </c>
      <c r="D1105" s="354" t="s">
        <v>115</v>
      </c>
      <c r="E1105" s="355">
        <f>'PART-B'!K1454</f>
        <v>132</v>
      </c>
      <c r="F1105" s="353">
        <f t="shared" si="62"/>
        <v>0</v>
      </c>
      <c r="G1105" s="368"/>
      <c r="H1105" s="368"/>
      <c r="I1105" s="368">
        <f t="shared" si="63"/>
        <v>0</v>
      </c>
      <c r="J1105" s="368">
        <f t="shared" si="64"/>
        <v>0</v>
      </c>
      <c r="K1105" s="360" t="s">
        <v>2313</v>
      </c>
    </row>
    <row r="1106" spans="1:11" s="360" customFormat="1" ht="20.25" hidden="1" customHeight="1">
      <c r="A1106" s="356" t="s">
        <v>524</v>
      </c>
      <c r="B1106" s="357" t="s">
        <v>2126</v>
      </c>
      <c r="C1106" s="358">
        <f>'PART-B'!I1464</f>
        <v>0</v>
      </c>
      <c r="D1106" s="354" t="s">
        <v>115</v>
      </c>
      <c r="E1106" s="355">
        <f>'PART-B'!K1464</f>
        <v>88</v>
      </c>
      <c r="F1106" s="353">
        <f t="shared" si="62"/>
        <v>0</v>
      </c>
      <c r="G1106" s="368"/>
      <c r="H1106" s="368"/>
      <c r="I1106" s="368">
        <f t="shared" si="63"/>
        <v>0</v>
      </c>
      <c r="J1106" s="368">
        <f t="shared" si="64"/>
        <v>0</v>
      </c>
      <c r="K1106" s="360" t="s">
        <v>2313</v>
      </c>
    </row>
    <row r="1107" spans="1:11" s="360" customFormat="1" ht="20.25" customHeight="1">
      <c r="A1107" s="356" t="s">
        <v>514</v>
      </c>
      <c r="B1107" s="357" t="s">
        <v>2242</v>
      </c>
      <c r="C1107" s="358">
        <f>'PART-B'!I1459</f>
        <v>3</v>
      </c>
      <c r="D1107" s="354" t="s">
        <v>115</v>
      </c>
      <c r="E1107" s="355">
        <f>'PART-B'!K1459</f>
        <v>297</v>
      </c>
      <c r="F1107" s="353">
        <f t="shared" si="62"/>
        <v>891</v>
      </c>
      <c r="G1107" s="368"/>
      <c r="H1107" s="368"/>
      <c r="I1107" s="368">
        <f t="shared" si="63"/>
        <v>3</v>
      </c>
      <c r="J1107" s="368">
        <f t="shared" si="64"/>
        <v>891</v>
      </c>
      <c r="K1107" s="360" t="s">
        <v>2313</v>
      </c>
    </row>
    <row r="1108" spans="1:11" s="360" customFormat="1" ht="20.25" customHeight="1">
      <c r="A1108" s="356" t="s">
        <v>515</v>
      </c>
      <c r="B1108" s="357" t="s">
        <v>2243</v>
      </c>
      <c r="C1108" s="358">
        <f>'PART-B'!I1382</f>
        <v>3</v>
      </c>
      <c r="D1108" s="354" t="s">
        <v>115</v>
      </c>
      <c r="E1108" s="355">
        <f>'PART-B'!K1382</f>
        <v>359</v>
      </c>
      <c r="F1108" s="353">
        <f t="shared" si="62"/>
        <v>1077</v>
      </c>
      <c r="G1108" s="368"/>
      <c r="H1108" s="368"/>
      <c r="I1108" s="368">
        <f t="shared" si="63"/>
        <v>3</v>
      </c>
      <c r="J1108" s="368">
        <f t="shared" si="64"/>
        <v>1077</v>
      </c>
      <c r="K1108" s="360" t="s">
        <v>2313</v>
      </c>
    </row>
    <row r="1109" spans="1:11" s="360" customFormat="1" ht="20.25" hidden="1" customHeight="1">
      <c r="A1109" s="356" t="s">
        <v>534</v>
      </c>
      <c r="B1109" s="357" t="s">
        <v>2191</v>
      </c>
      <c r="C1109" s="358">
        <f>'PART-B'!I1469</f>
        <v>0</v>
      </c>
      <c r="D1109" s="354" t="s">
        <v>115</v>
      </c>
      <c r="E1109" s="355">
        <f>'PART-B'!K1469</f>
        <v>66</v>
      </c>
      <c r="F1109" s="353">
        <f t="shared" si="62"/>
        <v>0</v>
      </c>
      <c r="G1109" s="368"/>
      <c r="H1109" s="368"/>
      <c r="I1109" s="368">
        <f t="shared" si="63"/>
        <v>0</v>
      </c>
      <c r="J1109" s="368">
        <f t="shared" si="64"/>
        <v>0</v>
      </c>
      <c r="K1109" s="360" t="s">
        <v>2313</v>
      </c>
    </row>
    <row r="1110" spans="1:11" s="360" customFormat="1" ht="20.25" customHeight="1">
      <c r="A1110" s="356" t="s">
        <v>516</v>
      </c>
      <c r="B1110" s="357" t="s">
        <v>2127</v>
      </c>
      <c r="C1110" s="358">
        <f>'PART-B'!I1479</f>
        <v>11</v>
      </c>
      <c r="D1110" s="354" t="s">
        <v>115</v>
      </c>
      <c r="E1110" s="355">
        <f>'PART-B'!K1479</f>
        <v>125.73500000000001</v>
      </c>
      <c r="F1110" s="353">
        <f t="shared" ref="F1110:F1129" si="65">ROUND(C1110*E1110,0)</f>
        <v>1383</v>
      </c>
      <c r="G1110" s="368"/>
      <c r="H1110" s="368"/>
      <c r="I1110" s="368">
        <f t="shared" si="63"/>
        <v>11</v>
      </c>
      <c r="J1110" s="368">
        <f t="shared" si="64"/>
        <v>1383</v>
      </c>
      <c r="K1110" s="360" t="s">
        <v>2313</v>
      </c>
    </row>
    <row r="1111" spans="1:11" s="360" customFormat="1" ht="20.25" hidden="1" customHeight="1">
      <c r="A1111" s="356" t="s">
        <v>643</v>
      </c>
      <c r="B1111" s="357" t="s">
        <v>2192</v>
      </c>
      <c r="C1111" s="358">
        <f>'PART-B'!I1474</f>
        <v>0</v>
      </c>
      <c r="D1111" s="354" t="s">
        <v>115</v>
      </c>
      <c r="E1111" s="355">
        <f>'PART-B'!K1474</f>
        <v>422.5</v>
      </c>
      <c r="F1111" s="353">
        <f t="shared" si="65"/>
        <v>0</v>
      </c>
      <c r="G1111" s="368"/>
      <c r="H1111" s="368"/>
      <c r="I1111" s="368">
        <f t="shared" si="63"/>
        <v>0</v>
      </c>
      <c r="J1111" s="368">
        <f t="shared" si="64"/>
        <v>0</v>
      </c>
      <c r="K1111" s="360" t="s">
        <v>2313</v>
      </c>
    </row>
    <row r="1112" spans="1:11" s="360" customFormat="1" ht="20.25" customHeight="1">
      <c r="A1112" s="356" t="s">
        <v>517</v>
      </c>
      <c r="B1112" s="357" t="s">
        <v>2244</v>
      </c>
      <c r="C1112" s="358">
        <f>'PART-B'!I1484</f>
        <v>3</v>
      </c>
      <c r="D1112" s="354" t="s">
        <v>115</v>
      </c>
      <c r="E1112" s="355">
        <f>'PART-B'!K1484</f>
        <v>119.73500000000001</v>
      </c>
      <c r="F1112" s="353">
        <f t="shared" si="65"/>
        <v>359</v>
      </c>
      <c r="G1112" s="368"/>
      <c r="H1112" s="368"/>
      <c r="I1112" s="368">
        <f t="shared" si="63"/>
        <v>3</v>
      </c>
      <c r="J1112" s="368">
        <f t="shared" si="64"/>
        <v>359</v>
      </c>
      <c r="K1112" s="360" t="s">
        <v>2313</v>
      </c>
    </row>
    <row r="1113" spans="1:11" s="360" customFormat="1" ht="20.25" hidden="1" customHeight="1">
      <c r="A1113" s="356" t="s">
        <v>1574</v>
      </c>
      <c r="B1113" s="357" t="s">
        <v>1452</v>
      </c>
      <c r="C1113" s="358">
        <f>'PART-B'!I1489</f>
        <v>0</v>
      </c>
      <c r="D1113" s="354" t="s">
        <v>115</v>
      </c>
      <c r="E1113" s="355">
        <f>'PART-B'!K1489</f>
        <v>21</v>
      </c>
      <c r="F1113" s="353">
        <f t="shared" si="65"/>
        <v>0</v>
      </c>
      <c r="G1113" s="368"/>
      <c r="H1113" s="368"/>
      <c r="I1113" s="368">
        <f t="shared" si="63"/>
        <v>0</v>
      </c>
      <c r="J1113" s="368">
        <f t="shared" si="64"/>
        <v>0</v>
      </c>
      <c r="K1113" s="360" t="s">
        <v>2313</v>
      </c>
    </row>
    <row r="1114" spans="1:11" s="360" customFormat="1" ht="20.25" customHeight="1">
      <c r="A1114" s="356" t="s">
        <v>518</v>
      </c>
      <c r="B1114" s="357" t="s">
        <v>2148</v>
      </c>
      <c r="C1114" s="358">
        <f>'PART-B'!I1494</f>
        <v>14</v>
      </c>
      <c r="D1114" s="354" t="s">
        <v>115</v>
      </c>
      <c r="E1114" s="355">
        <f>'PART-B'!K1494</f>
        <v>127.25</v>
      </c>
      <c r="F1114" s="353">
        <f t="shared" si="65"/>
        <v>1782</v>
      </c>
      <c r="G1114" s="368"/>
      <c r="H1114" s="368"/>
      <c r="I1114" s="368">
        <f t="shared" si="63"/>
        <v>14</v>
      </c>
      <c r="J1114" s="368">
        <f t="shared" si="64"/>
        <v>1782</v>
      </c>
      <c r="K1114" s="360" t="s">
        <v>2313</v>
      </c>
    </row>
    <row r="1115" spans="1:11" s="360" customFormat="1" ht="20.25" customHeight="1">
      <c r="A1115" s="356" t="s">
        <v>519</v>
      </c>
      <c r="B1115" s="357" t="s">
        <v>563</v>
      </c>
      <c r="C1115" s="358">
        <f>'PART-B'!I1499</f>
        <v>6</v>
      </c>
      <c r="D1115" s="354" t="s">
        <v>115</v>
      </c>
      <c r="E1115" s="355">
        <f>'PART-B'!K1499</f>
        <v>3312.1849999999999</v>
      </c>
      <c r="F1115" s="353">
        <f t="shared" si="65"/>
        <v>19873</v>
      </c>
      <c r="G1115" s="368"/>
      <c r="H1115" s="368"/>
      <c r="I1115" s="368">
        <f t="shared" si="63"/>
        <v>6</v>
      </c>
      <c r="J1115" s="368">
        <f t="shared" si="64"/>
        <v>19873</v>
      </c>
      <c r="K1115" s="360" t="s">
        <v>2313</v>
      </c>
    </row>
    <row r="1116" spans="1:11" s="360" customFormat="1" ht="20.25" hidden="1" customHeight="1">
      <c r="A1116" s="356" t="s">
        <v>1145</v>
      </c>
      <c r="B1116" s="357" t="s">
        <v>563</v>
      </c>
      <c r="C1116" s="358">
        <f>'PART-B'!I1509</f>
        <v>0</v>
      </c>
      <c r="D1116" s="354" t="s">
        <v>115</v>
      </c>
      <c r="E1116" s="355">
        <f>'PART-B'!K1509</f>
        <v>2941.12</v>
      </c>
      <c r="F1116" s="353">
        <f t="shared" si="65"/>
        <v>0</v>
      </c>
      <c r="G1116" s="368"/>
      <c r="H1116" s="368"/>
      <c r="I1116" s="368">
        <f t="shared" si="63"/>
        <v>0</v>
      </c>
      <c r="J1116" s="368">
        <f t="shared" si="64"/>
        <v>0</v>
      </c>
      <c r="K1116" s="360" t="s">
        <v>2313</v>
      </c>
    </row>
    <row r="1117" spans="1:11" s="360" customFormat="1" ht="20.25" hidden="1" customHeight="1">
      <c r="A1117" s="356" t="s">
        <v>1591</v>
      </c>
      <c r="B1117" s="357" t="s">
        <v>831</v>
      </c>
      <c r="C1117" s="358">
        <f>'PART-B'!I1514</f>
        <v>0</v>
      </c>
      <c r="D1117" s="354" t="s">
        <v>115</v>
      </c>
      <c r="E1117" s="355">
        <f>'PART-B'!K1514</f>
        <v>278</v>
      </c>
      <c r="F1117" s="353">
        <f t="shared" si="65"/>
        <v>0</v>
      </c>
      <c r="G1117" s="368"/>
      <c r="H1117" s="368"/>
      <c r="I1117" s="368">
        <f t="shared" si="63"/>
        <v>0</v>
      </c>
      <c r="J1117" s="368">
        <f t="shared" si="64"/>
        <v>0</v>
      </c>
      <c r="K1117" s="360" t="s">
        <v>2313</v>
      </c>
    </row>
    <row r="1118" spans="1:11" s="360" customFormat="1" ht="20.25" hidden="1" customHeight="1">
      <c r="A1118" s="356" t="s">
        <v>1592</v>
      </c>
      <c r="B1118" s="357" t="s">
        <v>967</v>
      </c>
      <c r="C1118" s="358">
        <f>'PART-B'!I1519</f>
        <v>0</v>
      </c>
      <c r="D1118" s="354" t="s">
        <v>115</v>
      </c>
      <c r="E1118" s="355">
        <f>'PART-B'!K1519</f>
        <v>163.065</v>
      </c>
      <c r="F1118" s="353">
        <f t="shared" si="65"/>
        <v>0</v>
      </c>
      <c r="G1118" s="368"/>
      <c r="H1118" s="368"/>
      <c r="I1118" s="368">
        <f t="shared" si="63"/>
        <v>0</v>
      </c>
      <c r="J1118" s="368">
        <f t="shared" si="64"/>
        <v>0</v>
      </c>
      <c r="K1118" s="360" t="s">
        <v>2313</v>
      </c>
    </row>
    <row r="1119" spans="1:11" s="360" customFormat="1" ht="20.25" hidden="1" customHeight="1">
      <c r="A1119" s="356" t="s">
        <v>520</v>
      </c>
      <c r="B1119" s="357" t="s">
        <v>1573</v>
      </c>
      <c r="C1119" s="358">
        <f>'PART-B'!I1504</f>
        <v>0</v>
      </c>
      <c r="D1119" s="354" t="s">
        <v>115</v>
      </c>
      <c r="E1119" s="355">
        <f>'PART-B'!K1504</f>
        <v>227.41000000000003</v>
      </c>
      <c r="F1119" s="353">
        <f t="shared" si="65"/>
        <v>0</v>
      </c>
      <c r="G1119" s="368"/>
      <c r="H1119" s="368"/>
      <c r="I1119" s="368">
        <f t="shared" si="63"/>
        <v>0</v>
      </c>
      <c r="J1119" s="368">
        <f t="shared" si="64"/>
        <v>0</v>
      </c>
      <c r="K1119" s="360" t="s">
        <v>2313</v>
      </c>
    </row>
    <row r="1120" spans="1:11" s="360" customFormat="1" ht="20.25" hidden="1" customHeight="1">
      <c r="A1120" s="356" t="s">
        <v>1589</v>
      </c>
      <c r="B1120" s="357" t="s">
        <v>832</v>
      </c>
      <c r="C1120" s="358">
        <f>'PART-B'!I1526</f>
        <v>0</v>
      </c>
      <c r="D1120" s="354" t="s">
        <v>115</v>
      </c>
      <c r="E1120" s="355">
        <f>'PART-B'!K1526</f>
        <v>161.5</v>
      </c>
      <c r="F1120" s="353">
        <f t="shared" si="65"/>
        <v>0</v>
      </c>
      <c r="G1120" s="368"/>
      <c r="H1120" s="368"/>
      <c r="I1120" s="368">
        <f t="shared" si="63"/>
        <v>0</v>
      </c>
      <c r="J1120" s="368">
        <f t="shared" si="64"/>
        <v>0</v>
      </c>
      <c r="K1120" s="360" t="s">
        <v>2313</v>
      </c>
    </row>
    <row r="1121" spans="1:11" s="360" customFormat="1" ht="20.25" customHeight="1">
      <c r="A1121" s="356" t="s">
        <v>520</v>
      </c>
      <c r="B1121" s="357" t="s">
        <v>564</v>
      </c>
      <c r="C1121" s="358">
        <f>'PART-B'!I1531</f>
        <v>8</v>
      </c>
      <c r="D1121" s="354" t="s">
        <v>115</v>
      </c>
      <c r="E1121" s="355">
        <f>'PART-B'!K1531</f>
        <v>399.94</v>
      </c>
      <c r="F1121" s="353">
        <f t="shared" si="65"/>
        <v>3200</v>
      </c>
      <c r="G1121" s="368"/>
      <c r="H1121" s="368"/>
      <c r="I1121" s="368">
        <f t="shared" si="63"/>
        <v>8</v>
      </c>
      <c r="J1121" s="368">
        <f t="shared" si="64"/>
        <v>3200</v>
      </c>
      <c r="K1121" s="360" t="s">
        <v>2313</v>
      </c>
    </row>
    <row r="1122" spans="1:11" s="360" customFormat="1" ht="20.25" hidden="1" customHeight="1">
      <c r="A1122" s="356" t="s">
        <v>1155</v>
      </c>
      <c r="B1122" s="357" t="s">
        <v>2275</v>
      </c>
      <c r="C1122" s="358">
        <f>'PART-B'!I1536</f>
        <v>0</v>
      </c>
      <c r="D1122" s="354" t="s">
        <v>115</v>
      </c>
      <c r="E1122" s="355">
        <f>'PART-B'!K1536</f>
        <v>1822</v>
      </c>
      <c r="F1122" s="353">
        <f t="shared" si="65"/>
        <v>0</v>
      </c>
      <c r="G1122" s="368"/>
      <c r="H1122" s="368"/>
      <c r="I1122" s="368">
        <f t="shared" si="63"/>
        <v>0</v>
      </c>
      <c r="J1122" s="368">
        <f t="shared" si="64"/>
        <v>0</v>
      </c>
      <c r="K1122" s="360" t="s">
        <v>2313</v>
      </c>
    </row>
    <row r="1123" spans="1:11" s="360" customFormat="1" ht="20.25" hidden="1" customHeight="1">
      <c r="A1123" s="356" t="s">
        <v>1580</v>
      </c>
      <c r="B1123" s="357" t="s">
        <v>2276</v>
      </c>
      <c r="C1123" s="358">
        <f>'PART-B'!I1541</f>
        <v>0</v>
      </c>
      <c r="D1123" s="354" t="s">
        <v>115</v>
      </c>
      <c r="E1123" s="355">
        <f>'PART-B'!K1541</f>
        <v>5428</v>
      </c>
      <c r="F1123" s="353">
        <f t="shared" si="65"/>
        <v>0</v>
      </c>
      <c r="G1123" s="368"/>
      <c r="H1123" s="368"/>
      <c r="I1123" s="368">
        <f t="shared" si="63"/>
        <v>0</v>
      </c>
      <c r="J1123" s="368">
        <f t="shared" si="64"/>
        <v>0</v>
      </c>
      <c r="K1123" s="360" t="s">
        <v>2313</v>
      </c>
    </row>
    <row r="1124" spans="1:11" s="360" customFormat="1" ht="20.25" customHeight="1">
      <c r="A1124" s="356" t="s">
        <v>521</v>
      </c>
      <c r="B1124" s="357" t="s">
        <v>1565</v>
      </c>
      <c r="C1124" s="358">
        <f>'PART-B'!I1551</f>
        <v>1</v>
      </c>
      <c r="D1124" s="354" t="s">
        <v>115</v>
      </c>
      <c r="E1124" s="355">
        <f>'PART-B'!K1551</f>
        <v>3662</v>
      </c>
      <c r="F1124" s="353">
        <f t="shared" si="65"/>
        <v>3662</v>
      </c>
      <c r="G1124" s="368"/>
      <c r="H1124" s="368"/>
      <c r="I1124" s="368">
        <f t="shared" si="63"/>
        <v>1</v>
      </c>
      <c r="J1124" s="368">
        <f t="shared" si="64"/>
        <v>3662</v>
      </c>
      <c r="K1124" s="360" t="s">
        <v>2313</v>
      </c>
    </row>
    <row r="1125" spans="1:11" s="360" customFormat="1" ht="20.25" hidden="1" customHeight="1">
      <c r="A1125" s="356" t="s">
        <v>1161</v>
      </c>
      <c r="B1125" s="357" t="s">
        <v>797</v>
      </c>
      <c r="C1125" s="358">
        <f>'PART-B'!I1546</f>
        <v>0</v>
      </c>
      <c r="D1125" s="354" t="s">
        <v>115</v>
      </c>
      <c r="E1125" s="355">
        <f>'PART-B'!K1546</f>
        <v>1634</v>
      </c>
      <c r="F1125" s="353">
        <f t="shared" si="65"/>
        <v>0</v>
      </c>
      <c r="G1125" s="368"/>
      <c r="H1125" s="368"/>
      <c r="I1125" s="368">
        <f t="shared" si="63"/>
        <v>0</v>
      </c>
      <c r="J1125" s="368">
        <f t="shared" si="64"/>
        <v>0</v>
      </c>
      <c r="K1125" s="360" t="s">
        <v>2313</v>
      </c>
    </row>
    <row r="1126" spans="1:11" s="360" customFormat="1" ht="30.75" customHeight="1">
      <c r="A1126" s="356" t="s">
        <v>522</v>
      </c>
      <c r="B1126" s="357" t="s">
        <v>2128</v>
      </c>
      <c r="C1126" s="358">
        <f>'PART-B'!I1556</f>
        <v>1</v>
      </c>
      <c r="D1126" s="354" t="s">
        <v>115</v>
      </c>
      <c r="E1126" s="355">
        <f>'PART-B'!K1556</f>
        <v>1089.96</v>
      </c>
      <c r="F1126" s="353">
        <f t="shared" si="65"/>
        <v>1090</v>
      </c>
      <c r="G1126" s="368"/>
      <c r="H1126" s="368"/>
      <c r="I1126" s="368">
        <f t="shared" si="63"/>
        <v>1</v>
      </c>
      <c r="J1126" s="368">
        <f t="shared" si="64"/>
        <v>1090</v>
      </c>
      <c r="K1126" s="360" t="s">
        <v>2313</v>
      </c>
    </row>
    <row r="1127" spans="1:11" s="360" customFormat="1" hidden="1">
      <c r="A1127" s="356" t="s">
        <v>642</v>
      </c>
      <c r="B1127" s="357" t="s">
        <v>565</v>
      </c>
      <c r="C1127" s="358">
        <f>'PART-B'!I1561</f>
        <v>0</v>
      </c>
      <c r="D1127" s="354" t="s">
        <v>115</v>
      </c>
      <c r="E1127" s="355">
        <f>'PART-B'!K1561</f>
        <v>4142.4250000000002</v>
      </c>
      <c r="F1127" s="353">
        <f t="shared" si="65"/>
        <v>0</v>
      </c>
      <c r="G1127" s="368"/>
      <c r="H1127" s="368"/>
      <c r="I1127" s="368">
        <f t="shared" si="63"/>
        <v>0</v>
      </c>
      <c r="J1127" s="368">
        <f t="shared" si="64"/>
        <v>0</v>
      </c>
      <c r="K1127" s="360" t="s">
        <v>2313</v>
      </c>
    </row>
    <row r="1128" spans="1:11" s="360" customFormat="1">
      <c r="A1128" s="356" t="s">
        <v>524</v>
      </c>
      <c r="B1128" s="357" t="s">
        <v>2274</v>
      </c>
      <c r="C1128" s="358">
        <f>'PART-B'!I1567</f>
        <v>31.745999999999999</v>
      </c>
      <c r="D1128" s="354" t="s">
        <v>102</v>
      </c>
      <c r="E1128" s="355">
        <f>'PART-B'!K1567</f>
        <v>630</v>
      </c>
      <c r="F1128" s="353">
        <f t="shared" si="65"/>
        <v>20000</v>
      </c>
      <c r="G1128" s="368"/>
      <c r="H1128" s="368"/>
      <c r="I1128" s="368">
        <f t="shared" si="63"/>
        <v>31.745999999999999</v>
      </c>
      <c r="J1128" s="368">
        <f t="shared" si="64"/>
        <v>20000</v>
      </c>
      <c r="K1128" s="360" t="s">
        <v>2313</v>
      </c>
    </row>
    <row r="1129" spans="1:11" s="360" customFormat="1" hidden="1">
      <c r="A1129" s="356" t="s">
        <v>508</v>
      </c>
      <c r="B1129" s="357" t="s">
        <v>2454</v>
      </c>
      <c r="C1129" s="358">
        <f>'PART-B'!I1569</f>
        <v>0</v>
      </c>
      <c r="D1129" s="354" t="s">
        <v>115</v>
      </c>
      <c r="E1129" s="355">
        <f>'PART-B'!K1569</f>
        <v>10000</v>
      </c>
      <c r="F1129" s="353">
        <f t="shared" si="65"/>
        <v>0</v>
      </c>
      <c r="G1129" s="368"/>
      <c r="H1129" s="368"/>
      <c r="I1129" s="368">
        <f t="shared" si="63"/>
        <v>0</v>
      </c>
      <c r="J1129" s="368">
        <f t="shared" si="64"/>
        <v>0</v>
      </c>
      <c r="K1129" s="360" t="s">
        <v>2313</v>
      </c>
    </row>
    <row r="1130" spans="1:11" s="26" customFormat="1" ht="20.25" hidden="1" customHeight="1">
      <c r="A1130" s="23"/>
      <c r="B1130" s="27"/>
      <c r="C1130" s="28"/>
      <c r="D1130" s="224"/>
      <c r="E1130" s="29"/>
      <c r="F1130" s="223"/>
      <c r="G1130" s="25"/>
      <c r="H1130" s="25"/>
      <c r="I1130" s="25"/>
      <c r="J1130" s="25"/>
    </row>
    <row r="1131" spans="1:11" s="26" customFormat="1" ht="20.25" customHeight="1">
      <c r="A1131" s="23"/>
      <c r="B1131" s="30"/>
      <c r="C1131" s="28"/>
      <c r="D1131" s="225"/>
      <c r="E1131" s="23"/>
      <c r="F1131" s="31">
        <f>SUM(F7:F1130)</f>
        <v>2034618</v>
      </c>
      <c r="G1131" s="31">
        <f>SUM(G7:G1129)</f>
        <v>0</v>
      </c>
      <c r="H1131" s="31">
        <f>SUM(H7:H1129)</f>
        <v>0</v>
      </c>
      <c r="I1131" s="31"/>
      <c r="J1131" s="31">
        <f>SUM(J7:J1130)</f>
        <v>2034618</v>
      </c>
    </row>
    <row r="1132" spans="1:11" ht="17.25" customHeight="1">
      <c r="A1132" s="26"/>
      <c r="B1132" s="32"/>
    </row>
    <row r="1133" spans="1:11" s="33" customFormat="1">
      <c r="A1133" s="26"/>
      <c r="B1133" s="32"/>
      <c r="D1133" s="34"/>
      <c r="E1133" s="17"/>
      <c r="F1133" s="17"/>
      <c r="G1133" s="35"/>
      <c r="H1133" s="35"/>
      <c r="I1133" s="35"/>
      <c r="J1133" s="17"/>
    </row>
    <row r="1134" spans="1:11" s="33" customFormat="1">
      <c r="A1134" s="26"/>
      <c r="B1134" s="32"/>
      <c r="D1134" s="34"/>
      <c r="E1134" s="17"/>
      <c r="F1134" s="17"/>
      <c r="G1134" s="35"/>
      <c r="H1134" s="35"/>
      <c r="I1134" s="35"/>
      <c r="J1134" s="17"/>
    </row>
    <row r="1135" spans="1:11" s="33" customFormat="1">
      <c r="A1135" s="26"/>
      <c r="B1135" s="32"/>
      <c r="D1135" s="34"/>
      <c r="E1135" s="17"/>
      <c r="F1135" s="56">
        <f>'PART-A'!M4506+'PART-A'!M4509+'PART-A'!M4510+'PART-B'!M1571</f>
        <v>2034618</v>
      </c>
      <c r="G1135" s="35"/>
      <c r="H1135" s="35"/>
      <c r="I1135" s="35"/>
      <c r="J1135" s="17"/>
    </row>
    <row r="1136" spans="1:11" s="33" customFormat="1">
      <c r="A1136" s="26"/>
      <c r="B1136" s="32"/>
      <c r="D1136" s="34"/>
      <c r="E1136" s="17"/>
      <c r="F1136" s="56">
        <f>F1131-F1135</f>
        <v>0</v>
      </c>
      <c r="G1136" s="35" t="s">
        <v>2537</v>
      </c>
      <c r="H1136" s="35"/>
      <c r="I1136" s="35"/>
      <c r="J1136" s="17"/>
    </row>
    <row r="1137" spans="1:10" s="33" customFormat="1">
      <c r="A1137" s="26"/>
      <c r="B1137" s="17"/>
      <c r="D1137" s="34"/>
      <c r="E1137" s="17"/>
      <c r="F1137" s="17"/>
      <c r="G1137" s="35"/>
      <c r="H1137" s="35"/>
      <c r="I1137" s="35"/>
      <c r="J1137" s="17"/>
    </row>
    <row r="1138" spans="1:10" s="33" customFormat="1">
      <c r="A1138" s="26"/>
      <c r="B1138" s="17"/>
      <c r="D1138" s="34"/>
      <c r="E1138" s="17"/>
      <c r="F1138" s="17"/>
      <c r="G1138" s="35"/>
      <c r="H1138" s="35"/>
      <c r="I1138" s="35"/>
      <c r="J1138" s="17"/>
    </row>
    <row r="1139" spans="1:10" s="33" customFormat="1">
      <c r="A1139" s="26"/>
      <c r="B1139" s="17"/>
      <c r="D1139" s="34"/>
      <c r="E1139" s="17"/>
      <c r="F1139" s="17"/>
      <c r="G1139" s="35"/>
      <c r="H1139" s="35"/>
      <c r="I1139" s="35"/>
      <c r="J1139" s="17"/>
    </row>
    <row r="1140" spans="1:10" s="33" customFormat="1">
      <c r="A1140" s="26"/>
      <c r="B1140" s="17"/>
      <c r="D1140" s="34"/>
      <c r="E1140" s="17"/>
      <c r="F1140" s="17"/>
      <c r="G1140" s="35"/>
      <c r="H1140" s="35"/>
      <c r="I1140" s="35"/>
      <c r="J1140" s="17"/>
    </row>
    <row r="1141" spans="1:10" s="33" customFormat="1">
      <c r="A1141" s="26"/>
      <c r="B1141" s="17"/>
      <c r="D1141" s="34"/>
      <c r="E1141" s="17"/>
      <c r="F1141" s="17"/>
      <c r="G1141" s="35"/>
      <c r="H1141" s="35"/>
      <c r="I1141" s="35"/>
      <c r="J1141" s="17"/>
    </row>
    <row r="1142" spans="1:10" s="33" customFormat="1">
      <c r="A1142" s="26"/>
      <c r="B1142" s="17"/>
      <c r="D1142" s="34"/>
      <c r="E1142" s="17"/>
      <c r="F1142" s="17"/>
      <c r="G1142" s="35"/>
      <c r="H1142" s="35"/>
      <c r="I1142" s="35"/>
      <c r="J1142" s="17"/>
    </row>
    <row r="1143" spans="1:10" s="33" customFormat="1">
      <c r="A1143" s="26"/>
      <c r="B1143" s="17"/>
      <c r="D1143" s="34"/>
      <c r="E1143" s="17"/>
      <c r="F1143" s="17"/>
      <c r="G1143" s="35"/>
      <c r="H1143" s="35"/>
      <c r="I1143" s="35"/>
      <c r="J1143" s="17"/>
    </row>
    <row r="1144" spans="1:10" s="33" customFormat="1">
      <c r="A1144" s="26"/>
      <c r="B1144" s="17"/>
      <c r="D1144" s="34"/>
      <c r="E1144" s="17"/>
      <c r="F1144" s="17"/>
      <c r="G1144" s="35"/>
      <c r="H1144" s="35"/>
      <c r="I1144" s="35"/>
      <c r="J1144" s="17"/>
    </row>
    <row r="1145" spans="1:10" s="33" customFormat="1">
      <c r="A1145" s="26"/>
      <c r="B1145" s="17"/>
      <c r="D1145" s="34"/>
      <c r="E1145" s="17"/>
      <c r="F1145" s="17"/>
      <c r="G1145" s="35"/>
      <c r="H1145" s="35"/>
      <c r="I1145" s="35"/>
      <c r="J1145" s="17"/>
    </row>
    <row r="1146" spans="1:10" s="33" customFormat="1">
      <c r="A1146" s="26"/>
      <c r="B1146" s="17"/>
      <c r="D1146" s="34"/>
      <c r="E1146" s="17"/>
      <c r="F1146" s="17"/>
      <c r="G1146" s="35"/>
      <c r="H1146" s="35"/>
      <c r="I1146" s="35"/>
      <c r="J1146" s="17"/>
    </row>
    <row r="1147" spans="1:10" s="33" customFormat="1">
      <c r="A1147" s="26"/>
      <c r="B1147" s="17"/>
      <c r="D1147" s="34"/>
      <c r="E1147" s="17"/>
      <c r="F1147" s="17"/>
      <c r="G1147" s="35"/>
      <c r="H1147" s="35"/>
      <c r="I1147" s="35"/>
      <c r="J1147" s="17"/>
    </row>
    <row r="1148" spans="1:10" s="33" customFormat="1">
      <c r="A1148" s="26"/>
      <c r="B1148" s="17"/>
      <c r="D1148" s="34"/>
      <c r="E1148" s="17"/>
      <c r="F1148" s="17"/>
      <c r="G1148" s="35"/>
      <c r="H1148" s="35"/>
      <c r="I1148" s="35"/>
      <c r="J1148" s="17"/>
    </row>
    <row r="1149" spans="1:10">
      <c r="A1149" s="26"/>
    </row>
    <row r="1150" spans="1:10">
      <c r="A1150" s="26"/>
    </row>
    <row r="1151" spans="1:10">
      <c r="A1151" s="26"/>
    </row>
    <row r="1152" spans="1:10">
      <c r="A1152" s="26"/>
    </row>
    <row r="1153" spans="1:9">
      <c r="A1153" s="26"/>
    </row>
    <row r="1154" spans="1:9">
      <c r="A1154" s="26"/>
    </row>
    <row r="1155" spans="1:9">
      <c r="A1155" s="26"/>
    </row>
    <row r="1156" spans="1:9">
      <c r="A1156" s="26"/>
    </row>
    <row r="1157" spans="1:9">
      <c r="A1157" s="26"/>
      <c r="C1157" s="17"/>
      <c r="D1157" s="17"/>
      <c r="G1157" s="17"/>
      <c r="H1157" s="17"/>
      <c r="I1157" s="17"/>
    </row>
    <row r="1158" spans="1:9">
      <c r="A1158" s="26"/>
      <c r="C1158" s="17"/>
      <c r="D1158" s="17"/>
      <c r="G1158" s="17"/>
      <c r="H1158" s="17"/>
      <c r="I1158" s="17"/>
    </row>
    <row r="1159" spans="1:9">
      <c r="A1159" s="26"/>
      <c r="C1159" s="17"/>
      <c r="D1159" s="17"/>
      <c r="G1159" s="17"/>
      <c r="H1159" s="17"/>
      <c r="I1159" s="17"/>
    </row>
    <row r="1160" spans="1:9">
      <c r="A1160" s="26"/>
      <c r="C1160" s="17"/>
      <c r="D1160" s="17"/>
      <c r="G1160" s="17"/>
      <c r="H1160" s="17"/>
      <c r="I1160" s="17"/>
    </row>
    <row r="1161" spans="1:9">
      <c r="A1161" s="26"/>
      <c r="C1161" s="17"/>
      <c r="D1161" s="17"/>
      <c r="G1161" s="17"/>
      <c r="H1161" s="17"/>
      <c r="I1161" s="17"/>
    </row>
    <row r="1162" spans="1:9">
      <c r="A1162" s="26"/>
      <c r="C1162" s="17"/>
      <c r="D1162" s="17"/>
      <c r="G1162" s="17"/>
      <c r="H1162" s="17"/>
      <c r="I1162" s="17"/>
    </row>
    <row r="1163" spans="1:9">
      <c r="A1163" s="26"/>
      <c r="C1163" s="17"/>
      <c r="D1163" s="17"/>
      <c r="G1163" s="17"/>
      <c r="H1163" s="17"/>
      <c r="I1163" s="17"/>
    </row>
    <row r="1164" spans="1:9">
      <c r="A1164" s="26"/>
      <c r="C1164" s="17"/>
      <c r="D1164" s="17"/>
      <c r="G1164" s="17"/>
      <c r="H1164" s="17"/>
      <c r="I1164" s="17"/>
    </row>
    <row r="1165" spans="1:9">
      <c r="A1165" s="26"/>
      <c r="C1165" s="17"/>
      <c r="D1165" s="17"/>
      <c r="G1165" s="17"/>
      <c r="H1165" s="17"/>
      <c r="I1165" s="17"/>
    </row>
    <row r="1166" spans="1:9">
      <c r="A1166" s="26"/>
      <c r="C1166" s="17"/>
      <c r="D1166" s="17"/>
      <c r="G1166" s="17"/>
      <c r="H1166" s="17"/>
      <c r="I1166" s="17"/>
    </row>
    <row r="1167" spans="1:9">
      <c r="A1167" s="26"/>
      <c r="C1167" s="17"/>
      <c r="D1167" s="17"/>
      <c r="G1167" s="17"/>
      <c r="H1167" s="17"/>
      <c r="I1167" s="17"/>
    </row>
    <row r="1168" spans="1:9">
      <c r="A1168" s="26"/>
      <c r="C1168" s="17"/>
      <c r="D1168" s="17"/>
      <c r="G1168" s="17"/>
      <c r="H1168" s="17"/>
      <c r="I1168" s="17"/>
    </row>
    <row r="1169" spans="1:9">
      <c r="A1169" s="26"/>
      <c r="C1169" s="17"/>
      <c r="D1169" s="17"/>
      <c r="G1169" s="17"/>
      <c r="H1169" s="17"/>
      <c r="I1169" s="17"/>
    </row>
    <row r="1170" spans="1:9">
      <c r="A1170" s="26"/>
      <c r="C1170" s="17"/>
      <c r="D1170" s="17"/>
      <c r="G1170" s="17"/>
      <c r="H1170" s="17"/>
      <c r="I1170" s="17"/>
    </row>
    <row r="1171" spans="1:9">
      <c r="A1171" s="26"/>
      <c r="C1171" s="17"/>
      <c r="D1171" s="17"/>
      <c r="G1171" s="17"/>
      <c r="H1171" s="17"/>
      <c r="I1171" s="17"/>
    </row>
    <row r="1172" spans="1:9">
      <c r="A1172" s="26"/>
      <c r="C1172" s="17"/>
      <c r="D1172" s="17"/>
      <c r="G1172" s="17"/>
      <c r="H1172" s="17"/>
      <c r="I1172" s="17"/>
    </row>
    <row r="1173" spans="1:9">
      <c r="A1173" s="26"/>
      <c r="C1173" s="17"/>
      <c r="D1173" s="17"/>
      <c r="G1173" s="17"/>
      <c r="H1173" s="17"/>
      <c r="I1173" s="17"/>
    </row>
    <row r="1174" spans="1:9">
      <c r="A1174" s="26"/>
      <c r="C1174" s="17"/>
      <c r="D1174" s="17"/>
      <c r="G1174" s="17"/>
      <c r="H1174" s="17"/>
      <c r="I1174" s="17"/>
    </row>
    <row r="1175" spans="1:9">
      <c r="A1175" s="26"/>
      <c r="C1175" s="17"/>
      <c r="D1175" s="17"/>
      <c r="G1175" s="17"/>
      <c r="H1175" s="17"/>
      <c r="I1175" s="17"/>
    </row>
    <row r="1176" spans="1:9">
      <c r="A1176" s="26"/>
      <c r="C1176" s="17"/>
      <c r="D1176" s="17"/>
      <c r="G1176" s="17"/>
      <c r="H1176" s="17"/>
      <c r="I1176" s="17"/>
    </row>
    <row r="1177" spans="1:9">
      <c r="A1177" s="26"/>
      <c r="C1177" s="17"/>
      <c r="D1177" s="17"/>
      <c r="G1177" s="17"/>
      <c r="H1177" s="17"/>
      <c r="I1177" s="17"/>
    </row>
    <row r="1178" spans="1:9">
      <c r="A1178" s="26"/>
      <c r="C1178" s="17"/>
      <c r="D1178" s="17"/>
      <c r="G1178" s="17"/>
      <c r="H1178" s="17"/>
      <c r="I1178" s="17"/>
    </row>
    <row r="1179" spans="1:9">
      <c r="A1179" s="26"/>
      <c r="C1179" s="17"/>
      <c r="D1179" s="17"/>
      <c r="G1179" s="17"/>
      <c r="H1179" s="17"/>
      <c r="I1179" s="17"/>
    </row>
    <row r="1180" spans="1:9">
      <c r="A1180" s="26"/>
      <c r="C1180" s="17"/>
      <c r="D1180" s="17"/>
      <c r="G1180" s="17"/>
      <c r="H1180" s="17"/>
      <c r="I1180" s="17"/>
    </row>
    <row r="1181" spans="1:9">
      <c r="A1181" s="26"/>
      <c r="C1181" s="17"/>
      <c r="D1181" s="17"/>
      <c r="G1181" s="17"/>
      <c r="H1181" s="17"/>
      <c r="I1181" s="17"/>
    </row>
    <row r="1182" spans="1:9">
      <c r="A1182" s="26"/>
      <c r="C1182" s="17"/>
      <c r="D1182" s="17"/>
      <c r="G1182" s="17"/>
      <c r="H1182" s="17"/>
      <c r="I1182" s="17"/>
    </row>
    <row r="1183" spans="1:9">
      <c r="A1183" s="26"/>
      <c r="C1183" s="17"/>
      <c r="D1183" s="17"/>
      <c r="G1183" s="17"/>
      <c r="H1183" s="17"/>
      <c r="I1183" s="17"/>
    </row>
    <row r="1184" spans="1:9">
      <c r="A1184" s="26"/>
      <c r="C1184" s="17"/>
      <c r="D1184" s="17"/>
      <c r="G1184" s="17"/>
      <c r="H1184" s="17"/>
      <c r="I1184" s="17"/>
    </row>
    <row r="1185" spans="1:9">
      <c r="A1185" s="26"/>
      <c r="C1185" s="17"/>
      <c r="D1185" s="17"/>
      <c r="G1185" s="17"/>
      <c r="H1185" s="17"/>
      <c r="I1185" s="17"/>
    </row>
    <row r="1186" spans="1:9">
      <c r="A1186" s="26"/>
      <c r="C1186" s="17"/>
      <c r="D1186" s="17"/>
      <c r="G1186" s="17"/>
      <c r="H1186" s="17"/>
      <c r="I1186" s="17"/>
    </row>
    <row r="1187" spans="1:9">
      <c r="A1187" s="26"/>
      <c r="C1187" s="17"/>
      <c r="D1187" s="17"/>
      <c r="G1187" s="17"/>
      <c r="H1187" s="17"/>
      <c r="I1187" s="17"/>
    </row>
    <row r="1188" spans="1:9">
      <c r="A1188" s="26"/>
      <c r="C1188" s="17"/>
      <c r="D1188" s="17"/>
      <c r="G1188" s="17"/>
      <c r="H1188" s="17"/>
      <c r="I1188" s="17"/>
    </row>
    <row r="1189" spans="1:9">
      <c r="A1189" s="26"/>
      <c r="C1189" s="17"/>
      <c r="D1189" s="17"/>
      <c r="G1189" s="17"/>
      <c r="H1189" s="17"/>
      <c r="I1189" s="17"/>
    </row>
    <row r="1190" spans="1:9">
      <c r="A1190" s="26"/>
      <c r="C1190" s="17"/>
      <c r="D1190" s="17"/>
      <c r="G1190" s="17"/>
      <c r="H1190" s="17"/>
      <c r="I1190" s="17"/>
    </row>
    <row r="1191" spans="1:9">
      <c r="A1191" s="26"/>
      <c r="C1191" s="17"/>
      <c r="D1191" s="17"/>
      <c r="G1191" s="17"/>
      <c r="H1191" s="17"/>
      <c r="I1191" s="17"/>
    </row>
    <row r="1192" spans="1:9">
      <c r="A1192" s="26"/>
      <c r="C1192" s="17"/>
      <c r="D1192" s="17"/>
      <c r="G1192" s="17"/>
      <c r="H1192" s="17"/>
      <c r="I1192" s="17"/>
    </row>
    <row r="1193" spans="1:9">
      <c r="A1193" s="26"/>
      <c r="C1193" s="17"/>
      <c r="D1193" s="17"/>
      <c r="G1193" s="17"/>
      <c r="H1193" s="17"/>
      <c r="I1193" s="17"/>
    </row>
    <row r="1194" spans="1:9">
      <c r="A1194" s="26"/>
      <c r="C1194" s="17"/>
      <c r="D1194" s="17"/>
      <c r="G1194" s="17"/>
      <c r="H1194" s="17"/>
      <c r="I1194" s="17"/>
    </row>
    <row r="1195" spans="1:9">
      <c r="A1195" s="26"/>
      <c r="C1195" s="17"/>
      <c r="D1195" s="17"/>
      <c r="G1195" s="17"/>
      <c r="H1195" s="17"/>
      <c r="I1195" s="17"/>
    </row>
    <row r="1196" spans="1:9">
      <c r="A1196" s="26"/>
      <c r="C1196" s="17"/>
      <c r="D1196" s="17"/>
      <c r="G1196" s="17"/>
      <c r="H1196" s="17"/>
      <c r="I1196" s="17"/>
    </row>
    <row r="1197" spans="1:9">
      <c r="A1197" s="26"/>
      <c r="C1197" s="17"/>
      <c r="D1197" s="17"/>
      <c r="G1197" s="17"/>
      <c r="H1197" s="17"/>
      <c r="I1197" s="17"/>
    </row>
    <row r="1198" spans="1:9">
      <c r="A1198" s="26"/>
      <c r="C1198" s="17"/>
      <c r="D1198" s="17"/>
      <c r="G1198" s="17"/>
      <c r="H1198" s="17"/>
      <c r="I1198" s="17"/>
    </row>
    <row r="1199" spans="1:9">
      <c r="A1199" s="26"/>
      <c r="C1199" s="17"/>
      <c r="D1199" s="17"/>
      <c r="G1199" s="17"/>
      <c r="H1199" s="17"/>
      <c r="I1199" s="17"/>
    </row>
    <row r="1200" spans="1:9">
      <c r="A1200" s="26"/>
      <c r="C1200" s="17"/>
      <c r="D1200" s="17"/>
      <c r="G1200" s="17"/>
      <c r="H1200" s="17"/>
      <c r="I1200" s="17"/>
    </row>
    <row r="1201" spans="1:9">
      <c r="A1201" s="26"/>
      <c r="C1201" s="17"/>
      <c r="D1201" s="17"/>
      <c r="G1201" s="17"/>
      <c r="H1201" s="17"/>
      <c r="I1201" s="17"/>
    </row>
    <row r="1202" spans="1:9">
      <c r="A1202" s="26"/>
      <c r="C1202" s="17"/>
      <c r="D1202" s="17"/>
      <c r="G1202" s="17"/>
      <c r="H1202" s="17"/>
      <c r="I1202" s="17"/>
    </row>
    <row r="1203" spans="1:9">
      <c r="A1203" s="26"/>
      <c r="C1203" s="17"/>
      <c r="D1203" s="17"/>
      <c r="G1203" s="17"/>
      <c r="H1203" s="17"/>
      <c r="I1203" s="17"/>
    </row>
    <row r="1204" spans="1:9">
      <c r="A1204" s="26"/>
      <c r="C1204" s="17"/>
      <c r="D1204" s="17"/>
      <c r="G1204" s="17"/>
      <c r="H1204" s="17"/>
      <c r="I1204" s="17"/>
    </row>
    <row r="1205" spans="1:9">
      <c r="A1205" s="26"/>
      <c r="C1205" s="17"/>
      <c r="D1205" s="17"/>
      <c r="G1205" s="17"/>
      <c r="H1205" s="17"/>
      <c r="I1205" s="17"/>
    </row>
    <row r="1206" spans="1:9">
      <c r="A1206" s="26"/>
      <c r="C1206" s="17"/>
      <c r="D1206" s="17"/>
      <c r="G1206" s="17"/>
      <c r="H1206" s="17"/>
      <c r="I1206" s="17"/>
    </row>
    <row r="1207" spans="1:9">
      <c r="A1207" s="26"/>
      <c r="C1207" s="17"/>
      <c r="D1207" s="17"/>
      <c r="G1207" s="17"/>
      <c r="H1207" s="17"/>
      <c r="I1207" s="17"/>
    </row>
    <row r="1208" spans="1:9">
      <c r="A1208" s="26"/>
      <c r="C1208" s="17"/>
      <c r="D1208" s="17"/>
      <c r="G1208" s="17"/>
      <c r="H1208" s="17"/>
      <c r="I1208" s="17"/>
    </row>
    <row r="1209" spans="1:9">
      <c r="A1209" s="26"/>
      <c r="C1209" s="17"/>
      <c r="D1209" s="17"/>
      <c r="G1209" s="17"/>
      <c r="H1209" s="17"/>
      <c r="I1209" s="17"/>
    </row>
    <row r="1210" spans="1:9">
      <c r="A1210" s="26"/>
      <c r="C1210" s="17"/>
      <c r="D1210" s="17"/>
      <c r="G1210" s="17"/>
      <c r="H1210" s="17"/>
      <c r="I1210" s="17"/>
    </row>
    <row r="1211" spans="1:9">
      <c r="A1211" s="26"/>
      <c r="C1211" s="17"/>
      <c r="D1211" s="17"/>
      <c r="G1211" s="17"/>
      <c r="H1211" s="17"/>
      <c r="I1211" s="17"/>
    </row>
    <row r="1212" spans="1:9">
      <c r="A1212" s="26"/>
      <c r="C1212" s="17"/>
      <c r="D1212" s="17"/>
      <c r="G1212" s="17"/>
      <c r="H1212" s="17"/>
      <c r="I1212" s="17"/>
    </row>
    <row r="1213" spans="1:9">
      <c r="A1213" s="26"/>
      <c r="C1213" s="17"/>
      <c r="D1213" s="17"/>
      <c r="G1213" s="17"/>
      <c r="H1213" s="17"/>
      <c r="I1213" s="17"/>
    </row>
    <row r="1214" spans="1:9">
      <c r="A1214" s="26"/>
      <c r="C1214" s="17"/>
      <c r="D1214" s="17"/>
      <c r="G1214" s="17"/>
      <c r="H1214" s="17"/>
      <c r="I1214" s="17"/>
    </row>
    <row r="1215" spans="1:9">
      <c r="A1215" s="26"/>
      <c r="C1215" s="17"/>
      <c r="D1215" s="17"/>
      <c r="G1215" s="17"/>
      <c r="H1215" s="17"/>
      <c r="I1215" s="17"/>
    </row>
    <row r="1216" spans="1:9">
      <c r="A1216" s="26"/>
      <c r="C1216" s="17"/>
      <c r="D1216" s="17"/>
      <c r="G1216" s="17"/>
      <c r="H1216" s="17"/>
      <c r="I1216" s="17"/>
    </row>
    <row r="1217" spans="1:9">
      <c r="A1217" s="26"/>
      <c r="C1217" s="17"/>
      <c r="D1217" s="17"/>
      <c r="G1217" s="17"/>
      <c r="H1217" s="17"/>
      <c r="I1217" s="17"/>
    </row>
    <row r="1218" spans="1:9">
      <c r="A1218" s="26"/>
      <c r="C1218" s="17"/>
      <c r="D1218" s="17"/>
      <c r="G1218" s="17"/>
      <c r="H1218" s="17"/>
      <c r="I1218" s="17"/>
    </row>
    <row r="1219" spans="1:9">
      <c r="A1219" s="26"/>
      <c r="C1219" s="17"/>
      <c r="D1219" s="17"/>
      <c r="G1219" s="17"/>
      <c r="H1219" s="17"/>
      <c r="I1219" s="17"/>
    </row>
    <row r="1220" spans="1:9">
      <c r="A1220" s="26"/>
      <c r="C1220" s="17"/>
      <c r="D1220" s="17"/>
      <c r="G1220" s="17"/>
      <c r="H1220" s="17"/>
      <c r="I1220" s="17"/>
    </row>
    <row r="1221" spans="1:9">
      <c r="A1221" s="26"/>
      <c r="C1221" s="17"/>
      <c r="D1221" s="17"/>
      <c r="G1221" s="17"/>
      <c r="H1221" s="17"/>
      <c r="I1221" s="17"/>
    </row>
    <row r="1222" spans="1:9">
      <c r="A1222" s="26"/>
      <c r="C1222" s="17"/>
      <c r="D1222" s="17"/>
      <c r="G1222" s="17"/>
      <c r="H1222" s="17"/>
      <c r="I1222" s="17"/>
    </row>
    <row r="1223" spans="1:9">
      <c r="A1223" s="26"/>
      <c r="C1223" s="17"/>
      <c r="D1223" s="17"/>
      <c r="G1223" s="17"/>
      <c r="H1223" s="17"/>
      <c r="I1223" s="17"/>
    </row>
    <row r="1224" spans="1:9">
      <c r="A1224" s="26"/>
      <c r="C1224" s="17"/>
      <c r="D1224" s="17"/>
      <c r="G1224" s="17"/>
      <c r="H1224" s="17"/>
      <c r="I1224" s="17"/>
    </row>
    <row r="1225" spans="1:9">
      <c r="A1225" s="26"/>
      <c r="C1225" s="17"/>
      <c r="D1225" s="17"/>
      <c r="G1225" s="17"/>
      <c r="H1225" s="17"/>
      <c r="I1225" s="17"/>
    </row>
    <row r="1226" spans="1:9">
      <c r="A1226" s="26"/>
      <c r="C1226" s="17"/>
      <c r="D1226" s="17"/>
      <c r="G1226" s="17"/>
      <c r="H1226" s="17"/>
      <c r="I1226" s="17"/>
    </row>
    <row r="1227" spans="1:9">
      <c r="A1227" s="26"/>
      <c r="C1227" s="17"/>
      <c r="D1227" s="17"/>
      <c r="G1227" s="17"/>
      <c r="H1227" s="17"/>
      <c r="I1227" s="17"/>
    </row>
    <row r="1228" spans="1:9">
      <c r="A1228" s="26"/>
      <c r="C1228" s="17"/>
      <c r="D1228" s="17"/>
      <c r="G1228" s="17"/>
      <c r="H1228" s="17"/>
      <c r="I1228" s="17"/>
    </row>
    <row r="1229" spans="1:9">
      <c r="A1229" s="26"/>
      <c r="C1229" s="17"/>
      <c r="D1229" s="17"/>
      <c r="G1229" s="17"/>
      <c r="H1229" s="17"/>
      <c r="I1229" s="17"/>
    </row>
    <row r="1230" spans="1:9">
      <c r="A1230" s="26"/>
      <c r="C1230" s="17"/>
      <c r="D1230" s="17"/>
      <c r="G1230" s="17"/>
      <c r="H1230" s="17"/>
      <c r="I1230" s="17"/>
    </row>
    <row r="1231" spans="1:9">
      <c r="A1231" s="26"/>
      <c r="C1231" s="17"/>
      <c r="D1231" s="17"/>
      <c r="G1231" s="17"/>
      <c r="H1231" s="17"/>
      <c r="I1231" s="17"/>
    </row>
    <row r="1232" spans="1:9">
      <c r="A1232" s="26"/>
      <c r="C1232" s="17"/>
      <c r="D1232" s="17"/>
      <c r="G1232" s="17"/>
      <c r="H1232" s="17"/>
      <c r="I1232" s="17"/>
    </row>
    <row r="1233" spans="1:9">
      <c r="A1233" s="26"/>
      <c r="C1233" s="17"/>
      <c r="D1233" s="17"/>
      <c r="G1233" s="17"/>
      <c r="H1233" s="17"/>
      <c r="I1233" s="17"/>
    </row>
    <row r="1234" spans="1:9">
      <c r="A1234" s="26"/>
      <c r="C1234" s="17"/>
      <c r="D1234" s="17"/>
      <c r="G1234" s="17"/>
      <c r="H1234" s="17"/>
      <c r="I1234" s="17"/>
    </row>
    <row r="1235" spans="1:9">
      <c r="A1235" s="26"/>
      <c r="C1235" s="17"/>
      <c r="D1235" s="17"/>
      <c r="G1235" s="17"/>
      <c r="H1235" s="17"/>
      <c r="I1235" s="17"/>
    </row>
    <row r="1236" spans="1:9">
      <c r="A1236" s="26"/>
      <c r="C1236" s="17"/>
      <c r="D1236" s="17"/>
      <c r="G1236" s="17"/>
      <c r="H1236" s="17"/>
      <c r="I1236" s="17"/>
    </row>
    <row r="1237" spans="1:9">
      <c r="A1237" s="26"/>
      <c r="C1237" s="17"/>
      <c r="D1237" s="17"/>
      <c r="G1237" s="17"/>
      <c r="H1237" s="17"/>
      <c r="I1237" s="17"/>
    </row>
    <row r="1238" spans="1:9">
      <c r="A1238" s="26"/>
      <c r="C1238" s="17"/>
      <c r="D1238" s="17"/>
      <c r="G1238" s="17"/>
      <c r="H1238" s="17"/>
      <c r="I1238" s="17"/>
    </row>
    <row r="1239" spans="1:9">
      <c r="A1239" s="26"/>
      <c r="C1239" s="17"/>
      <c r="D1239" s="17"/>
      <c r="G1239" s="17"/>
      <c r="H1239" s="17"/>
      <c r="I1239" s="17"/>
    </row>
  </sheetData>
  <autoFilter ref="A5:J1131">
    <filterColumn colId="2" showButton="0"/>
    <filterColumn colId="5">
      <customFilters>
        <customFilter operator="notEqual" val=" "/>
      </customFilters>
    </filterColumn>
  </autoFilter>
  <mergeCells count="5">
    <mergeCell ref="C4:D4"/>
    <mergeCell ref="C5:D5"/>
    <mergeCell ref="A1:J1"/>
    <mergeCell ref="A2:J2"/>
    <mergeCell ref="G3:J3"/>
  </mergeCells>
  <printOptions horizontalCentered="1"/>
  <pageMargins left="0.23622047244094499" right="0.15748031496063" top="0.25" bottom="0.34" header="0.22" footer="0.23622047244094499"/>
  <pageSetup paperSize="9" orientation="landscape" errors="blank" r:id="rId1"/>
  <headerFooter alignWithMargins="0"/>
</worksheet>
</file>

<file path=xl/worksheets/sheet39.xml><?xml version="1.0" encoding="utf-8"?>
<worksheet xmlns="http://schemas.openxmlformats.org/spreadsheetml/2006/main" xmlns:r="http://schemas.openxmlformats.org/officeDocument/2006/relationships">
  <sheetPr>
    <tabColor rgb="FF7030A0"/>
  </sheetPr>
  <dimension ref="A1:F313"/>
  <sheetViews>
    <sheetView workbookViewId="0">
      <selection activeCell="C31" sqref="C31:E31"/>
    </sheetView>
  </sheetViews>
  <sheetFormatPr defaultColWidth="9.140625" defaultRowHeight="15"/>
  <cols>
    <col min="1" max="1" width="9.140625" style="464"/>
    <col min="2" max="5" width="14.42578125" style="464" customWidth="1"/>
    <col min="6" max="6" width="11.7109375" style="464" customWidth="1"/>
    <col min="7" max="16384" width="9.140625" style="464"/>
  </cols>
  <sheetData>
    <row r="1" spans="1:6" ht="23.25">
      <c r="A1" s="1716" t="s">
        <v>1637</v>
      </c>
      <c r="B1" s="1716"/>
      <c r="C1" s="1716"/>
      <c r="D1" s="1716"/>
      <c r="E1" s="1716"/>
      <c r="F1" s="1716"/>
    </row>
    <row r="2" spans="1:6" ht="18">
      <c r="A2" s="465"/>
      <c r="B2" s="1717" t="s">
        <v>1638</v>
      </c>
      <c r="C2" s="1717"/>
      <c r="D2" s="1717"/>
      <c r="E2" s="465"/>
      <c r="F2" s="465"/>
    </row>
    <row r="3" spans="1:6" ht="15" customHeight="1">
      <c r="A3" s="1718" t="s">
        <v>253</v>
      </c>
      <c r="B3" s="466" t="s">
        <v>1639</v>
      </c>
      <c r="C3" s="466" t="s">
        <v>139</v>
      </c>
      <c r="D3" s="467" t="s">
        <v>1640</v>
      </c>
      <c r="E3" s="468" t="s">
        <v>1641</v>
      </c>
      <c r="F3" s="469"/>
    </row>
    <row r="4" spans="1:6" ht="42" customHeight="1">
      <c r="A4" s="1718"/>
      <c r="B4" s="470" t="s">
        <v>1642</v>
      </c>
      <c r="C4" s="470" t="s">
        <v>1642</v>
      </c>
      <c r="D4" s="470" t="s">
        <v>1642</v>
      </c>
      <c r="E4" s="471" t="s">
        <v>1643</v>
      </c>
      <c r="F4" s="472" t="s">
        <v>1644</v>
      </c>
    </row>
    <row r="5" spans="1:6">
      <c r="A5" s="473">
        <v>1</v>
      </c>
      <c r="B5" s="474">
        <v>2</v>
      </c>
      <c r="C5" s="473">
        <v>3</v>
      </c>
      <c r="D5" s="474">
        <v>4</v>
      </c>
      <c r="E5" s="473">
        <v>5</v>
      </c>
      <c r="F5" s="474">
        <v>6</v>
      </c>
    </row>
    <row r="6" spans="1:6" ht="18" customHeight="1">
      <c r="A6" s="475">
        <v>1</v>
      </c>
      <c r="B6" s="476">
        <v>30.4</v>
      </c>
      <c r="C6" s="476">
        <v>29.4</v>
      </c>
      <c r="D6" s="477">
        <v>48.9</v>
      </c>
      <c r="E6" s="478">
        <v>43.2</v>
      </c>
      <c r="F6" s="479"/>
    </row>
    <row r="7" spans="1:6" ht="18" customHeight="1">
      <c r="A7" s="475">
        <v>2</v>
      </c>
      <c r="B7" s="476">
        <v>42.6</v>
      </c>
      <c r="C7" s="476">
        <v>41.1</v>
      </c>
      <c r="D7" s="477">
        <v>68.5</v>
      </c>
      <c r="E7" s="478">
        <v>60.4</v>
      </c>
      <c r="F7" s="479"/>
    </row>
    <row r="8" spans="1:6" ht="18" customHeight="1">
      <c r="A8" s="475">
        <v>3</v>
      </c>
      <c r="B8" s="476">
        <v>56.8</v>
      </c>
      <c r="C8" s="476">
        <v>54.8</v>
      </c>
      <c r="D8" s="477">
        <v>91.3</v>
      </c>
      <c r="E8" s="478">
        <v>80.599999999999994</v>
      </c>
      <c r="F8" s="479"/>
    </row>
    <row r="9" spans="1:6" ht="18" customHeight="1">
      <c r="A9" s="475">
        <v>4</v>
      </c>
      <c r="B9" s="476">
        <v>69</v>
      </c>
      <c r="C9" s="476">
        <v>66.5</v>
      </c>
      <c r="D9" s="477">
        <v>110.9</v>
      </c>
      <c r="E9" s="478">
        <v>97.8</v>
      </c>
      <c r="F9" s="479"/>
    </row>
    <row r="10" spans="1:6" ht="18" customHeight="1">
      <c r="A10" s="475">
        <v>5</v>
      </c>
      <c r="B10" s="476">
        <v>81.099999999999994</v>
      </c>
      <c r="C10" s="476">
        <v>78.3</v>
      </c>
      <c r="D10" s="477">
        <v>130.4</v>
      </c>
      <c r="E10" s="478">
        <v>115.1</v>
      </c>
      <c r="F10" s="479"/>
    </row>
    <row r="11" spans="1:6" ht="18" customHeight="1">
      <c r="A11" s="475">
        <v>6</v>
      </c>
      <c r="B11" s="476">
        <v>93.3</v>
      </c>
      <c r="C11" s="476">
        <v>90</v>
      </c>
      <c r="D11" s="477">
        <v>150</v>
      </c>
      <c r="E11" s="480">
        <f>E10+17.3</f>
        <v>132.4</v>
      </c>
      <c r="F11" s="479"/>
    </row>
    <row r="12" spans="1:6" ht="18" customHeight="1">
      <c r="A12" s="475">
        <v>7</v>
      </c>
      <c r="B12" s="476">
        <v>105.5</v>
      </c>
      <c r="C12" s="476">
        <v>101.7</v>
      </c>
      <c r="D12" s="477">
        <v>169.6</v>
      </c>
      <c r="E12" s="480">
        <f t="shared" ref="E12:E35" si="0">E11+17.3</f>
        <v>149.70000000000002</v>
      </c>
      <c r="F12" s="479"/>
    </row>
    <row r="13" spans="1:6" ht="18" customHeight="1">
      <c r="A13" s="475">
        <v>8</v>
      </c>
      <c r="B13" s="476">
        <v>117.7</v>
      </c>
      <c r="C13" s="476">
        <v>113.4</v>
      </c>
      <c r="D13" s="477">
        <v>189.2</v>
      </c>
      <c r="E13" s="480">
        <f t="shared" si="0"/>
        <v>167.00000000000003</v>
      </c>
      <c r="F13" s="479"/>
    </row>
    <row r="14" spans="1:6" ht="18" customHeight="1">
      <c r="A14" s="475">
        <v>9</v>
      </c>
      <c r="B14" s="476">
        <v>129.9</v>
      </c>
      <c r="C14" s="476">
        <v>125.10000000000001</v>
      </c>
      <c r="D14" s="477">
        <v>208.79999999999998</v>
      </c>
      <c r="E14" s="480">
        <f t="shared" si="0"/>
        <v>184.30000000000004</v>
      </c>
      <c r="F14" s="479"/>
    </row>
    <row r="15" spans="1:6" ht="18" customHeight="1">
      <c r="A15" s="475">
        <v>10</v>
      </c>
      <c r="B15" s="476">
        <v>142.1</v>
      </c>
      <c r="C15" s="476">
        <v>136.80000000000001</v>
      </c>
      <c r="D15" s="477">
        <v>228.39999999999998</v>
      </c>
      <c r="E15" s="480">
        <f t="shared" si="0"/>
        <v>201.60000000000005</v>
      </c>
      <c r="F15" s="479"/>
    </row>
    <row r="16" spans="1:6" ht="18" customHeight="1">
      <c r="A16" s="475">
        <v>11</v>
      </c>
      <c r="B16" s="476">
        <v>154.29999999999998</v>
      </c>
      <c r="C16" s="476">
        <v>148.5</v>
      </c>
      <c r="D16" s="477">
        <v>247.99999999999997</v>
      </c>
      <c r="E16" s="480">
        <f t="shared" si="0"/>
        <v>218.90000000000006</v>
      </c>
      <c r="F16" s="479"/>
    </row>
    <row r="17" spans="1:6" ht="18" customHeight="1">
      <c r="A17" s="475">
        <v>12</v>
      </c>
      <c r="B17" s="476">
        <v>166.49999999999997</v>
      </c>
      <c r="C17" s="476">
        <v>160.19999999999999</v>
      </c>
      <c r="D17" s="477">
        <v>267.59999999999997</v>
      </c>
      <c r="E17" s="480">
        <f t="shared" si="0"/>
        <v>236.20000000000007</v>
      </c>
      <c r="F17" s="479"/>
    </row>
    <row r="18" spans="1:6" ht="18" customHeight="1">
      <c r="A18" s="475">
        <v>13</v>
      </c>
      <c r="B18" s="476">
        <v>178.69999999999996</v>
      </c>
      <c r="C18" s="476">
        <v>171.89999999999998</v>
      </c>
      <c r="D18" s="477">
        <v>287.2</v>
      </c>
      <c r="E18" s="480">
        <f t="shared" si="0"/>
        <v>253.50000000000009</v>
      </c>
      <c r="F18" s="479"/>
    </row>
    <row r="19" spans="1:6" ht="18" customHeight="1">
      <c r="A19" s="475">
        <v>14</v>
      </c>
      <c r="B19" s="476">
        <v>190.89999999999995</v>
      </c>
      <c r="C19" s="476">
        <v>183.59999999999997</v>
      </c>
      <c r="D19" s="477">
        <v>306.8</v>
      </c>
      <c r="E19" s="480">
        <f t="shared" si="0"/>
        <v>270.80000000000007</v>
      </c>
      <c r="F19" s="479"/>
    </row>
    <row r="20" spans="1:6" ht="18" customHeight="1">
      <c r="A20" s="475">
        <v>15</v>
      </c>
      <c r="B20" s="476">
        <v>203.09999999999994</v>
      </c>
      <c r="C20" s="476">
        <v>195.29999999999995</v>
      </c>
      <c r="D20" s="477">
        <v>326.40000000000003</v>
      </c>
      <c r="E20" s="480">
        <f t="shared" si="0"/>
        <v>288.10000000000008</v>
      </c>
      <c r="F20" s="479"/>
    </row>
    <row r="21" spans="1:6" ht="18" customHeight="1">
      <c r="A21" s="475">
        <v>16</v>
      </c>
      <c r="B21" s="476">
        <v>215.29999999999993</v>
      </c>
      <c r="C21" s="476">
        <v>206.99999999999994</v>
      </c>
      <c r="D21" s="477">
        <v>346.00000000000006</v>
      </c>
      <c r="E21" s="480">
        <f t="shared" si="0"/>
        <v>305.40000000000009</v>
      </c>
      <c r="F21" s="479"/>
    </row>
    <row r="22" spans="1:6" ht="18" customHeight="1">
      <c r="A22" s="475">
        <v>17</v>
      </c>
      <c r="B22" s="476">
        <v>227.49999999999991</v>
      </c>
      <c r="C22" s="476">
        <v>218.69999999999993</v>
      </c>
      <c r="D22" s="477">
        <v>365.60000000000008</v>
      </c>
      <c r="E22" s="480">
        <f t="shared" si="0"/>
        <v>322.7000000000001</v>
      </c>
      <c r="F22" s="479"/>
    </row>
    <row r="23" spans="1:6" ht="18" customHeight="1">
      <c r="A23" s="475">
        <v>18</v>
      </c>
      <c r="B23" s="476">
        <v>239.6999999999999</v>
      </c>
      <c r="C23" s="476">
        <v>230.39999999999992</v>
      </c>
      <c r="D23" s="477">
        <v>385.2000000000001</v>
      </c>
      <c r="E23" s="480">
        <f t="shared" si="0"/>
        <v>340.00000000000011</v>
      </c>
      <c r="F23" s="479"/>
    </row>
    <row r="24" spans="1:6" ht="18" customHeight="1">
      <c r="A24" s="475">
        <v>19</v>
      </c>
      <c r="B24" s="476">
        <v>251.89999999999989</v>
      </c>
      <c r="C24" s="476">
        <v>242.09999999999991</v>
      </c>
      <c r="D24" s="477">
        <v>404.80000000000013</v>
      </c>
      <c r="E24" s="480">
        <f t="shared" si="0"/>
        <v>357.30000000000013</v>
      </c>
      <c r="F24" s="479"/>
    </row>
    <row r="25" spans="1:6" ht="18" customHeight="1">
      <c r="A25" s="475">
        <v>20</v>
      </c>
      <c r="B25" s="476">
        <v>264.09999999999991</v>
      </c>
      <c r="C25" s="476">
        <v>253.7999999999999</v>
      </c>
      <c r="D25" s="477">
        <v>424.40000000000015</v>
      </c>
      <c r="E25" s="480">
        <f t="shared" si="0"/>
        <v>374.60000000000014</v>
      </c>
      <c r="F25" s="479"/>
    </row>
    <row r="26" spans="1:6" ht="18" customHeight="1">
      <c r="A26" s="475">
        <v>21</v>
      </c>
      <c r="B26" s="476">
        <v>276.2999999999999</v>
      </c>
      <c r="C26" s="476">
        <v>265.49999999999989</v>
      </c>
      <c r="D26" s="477">
        <v>444.00000000000017</v>
      </c>
      <c r="E26" s="480">
        <f t="shared" si="0"/>
        <v>391.90000000000015</v>
      </c>
      <c r="F26" s="479"/>
    </row>
    <row r="27" spans="1:6" ht="18" customHeight="1">
      <c r="A27" s="475">
        <v>22</v>
      </c>
      <c r="B27" s="476">
        <v>288.49999999999989</v>
      </c>
      <c r="C27" s="476">
        <v>277.19999999999987</v>
      </c>
      <c r="D27" s="477">
        <v>463.60000000000019</v>
      </c>
      <c r="E27" s="480">
        <f t="shared" si="0"/>
        <v>409.20000000000016</v>
      </c>
      <c r="F27" s="479"/>
    </row>
    <row r="28" spans="1:6" ht="18" customHeight="1">
      <c r="A28" s="475">
        <v>23</v>
      </c>
      <c r="B28" s="476">
        <v>300.69999999999987</v>
      </c>
      <c r="C28" s="476">
        <v>288.89999999999986</v>
      </c>
      <c r="D28" s="477">
        <v>483.20000000000022</v>
      </c>
      <c r="E28" s="480">
        <f t="shared" si="0"/>
        <v>426.50000000000017</v>
      </c>
      <c r="F28" s="479"/>
    </row>
    <row r="29" spans="1:6" ht="18" customHeight="1">
      <c r="A29" s="475">
        <v>24</v>
      </c>
      <c r="B29" s="476">
        <v>312.89999999999986</v>
      </c>
      <c r="C29" s="476">
        <v>300.59999999999985</v>
      </c>
      <c r="D29" s="477">
        <v>502.80000000000024</v>
      </c>
      <c r="E29" s="480">
        <f t="shared" si="0"/>
        <v>443.80000000000018</v>
      </c>
      <c r="F29" s="479"/>
    </row>
    <row r="30" spans="1:6" ht="18" customHeight="1">
      <c r="A30" s="475">
        <v>25</v>
      </c>
      <c r="B30" s="476">
        <v>325.09999999999985</v>
      </c>
      <c r="C30" s="476">
        <v>312.29999999999984</v>
      </c>
      <c r="D30" s="477">
        <v>522.4000000000002</v>
      </c>
      <c r="E30" s="480">
        <f t="shared" si="0"/>
        <v>461.10000000000019</v>
      </c>
      <c r="F30" s="479"/>
    </row>
    <row r="31" spans="1:6" ht="18" customHeight="1">
      <c r="A31" s="475">
        <v>26</v>
      </c>
      <c r="B31" s="476">
        <v>337.29999999999984</v>
      </c>
      <c r="C31" s="476">
        <v>323.99999999999983</v>
      </c>
      <c r="D31" s="477">
        <v>542.00000000000023</v>
      </c>
      <c r="E31" s="480">
        <f t="shared" si="0"/>
        <v>478.4000000000002</v>
      </c>
      <c r="F31" s="479"/>
    </row>
    <row r="32" spans="1:6" ht="18" customHeight="1">
      <c r="A32" s="475">
        <v>27</v>
      </c>
      <c r="B32" s="476">
        <v>349.49999999999983</v>
      </c>
      <c r="C32" s="476">
        <v>335.69999999999982</v>
      </c>
      <c r="D32" s="477">
        <v>561.60000000000025</v>
      </c>
      <c r="E32" s="480">
        <f t="shared" si="0"/>
        <v>495.70000000000022</v>
      </c>
      <c r="F32" s="479"/>
    </row>
    <row r="33" spans="1:6" ht="18" customHeight="1">
      <c r="A33" s="475">
        <v>28</v>
      </c>
      <c r="B33" s="476">
        <v>361.69999999999982</v>
      </c>
      <c r="C33" s="476">
        <v>347.39999999999981</v>
      </c>
      <c r="D33" s="477">
        <v>581.20000000000027</v>
      </c>
      <c r="E33" s="480">
        <f t="shared" si="0"/>
        <v>513.00000000000023</v>
      </c>
      <c r="F33" s="479"/>
    </row>
    <row r="34" spans="1:6" ht="18" customHeight="1">
      <c r="A34" s="475">
        <v>29</v>
      </c>
      <c r="B34" s="476">
        <v>373.89999999999981</v>
      </c>
      <c r="C34" s="476">
        <v>359.0999999999998</v>
      </c>
      <c r="D34" s="477">
        <v>600.8000000000003</v>
      </c>
      <c r="E34" s="480">
        <f t="shared" si="0"/>
        <v>530.30000000000018</v>
      </c>
      <c r="F34" s="479"/>
    </row>
    <row r="35" spans="1:6" ht="18" customHeight="1">
      <c r="A35" s="475">
        <v>30</v>
      </c>
      <c r="B35" s="476">
        <v>386.0999999999998</v>
      </c>
      <c r="C35" s="476">
        <v>370.79999999999978</v>
      </c>
      <c r="D35" s="477">
        <v>620.40000000000032</v>
      </c>
      <c r="E35" s="480">
        <f t="shared" si="0"/>
        <v>547.60000000000014</v>
      </c>
      <c r="F35" s="479"/>
    </row>
    <row r="36" spans="1:6" ht="18" customHeight="1">
      <c r="A36" s="475">
        <v>31</v>
      </c>
      <c r="B36" s="476">
        <v>396.19999999999982</v>
      </c>
      <c r="C36" s="476">
        <v>380.5999999999998</v>
      </c>
      <c r="D36" s="477">
        <v>636.70000000000027</v>
      </c>
      <c r="E36" s="480">
        <f>E35+14.4</f>
        <v>562.00000000000011</v>
      </c>
      <c r="F36" s="479"/>
    </row>
    <row r="37" spans="1:6" ht="18" customHeight="1">
      <c r="A37" s="475">
        <v>32</v>
      </c>
      <c r="B37" s="476">
        <v>406.29999999999984</v>
      </c>
      <c r="C37" s="476">
        <v>390.39999999999981</v>
      </c>
      <c r="D37" s="477">
        <v>653.00000000000023</v>
      </c>
      <c r="E37" s="480">
        <f t="shared" ref="E37:E100" si="1">E36+14.4</f>
        <v>576.40000000000009</v>
      </c>
      <c r="F37" s="479"/>
    </row>
    <row r="38" spans="1:6" ht="18" customHeight="1">
      <c r="A38" s="475">
        <v>33</v>
      </c>
      <c r="B38" s="476">
        <v>416.39999999999986</v>
      </c>
      <c r="C38" s="476">
        <v>400.19999999999982</v>
      </c>
      <c r="D38" s="477">
        <v>669.30000000000018</v>
      </c>
      <c r="E38" s="480">
        <f t="shared" si="1"/>
        <v>590.80000000000007</v>
      </c>
      <c r="F38" s="479"/>
    </row>
    <row r="39" spans="1:6" ht="18" customHeight="1">
      <c r="A39" s="475">
        <v>34</v>
      </c>
      <c r="B39" s="476">
        <v>426.49999999999989</v>
      </c>
      <c r="C39" s="476">
        <v>409.99999999999983</v>
      </c>
      <c r="D39" s="477">
        <v>685.60000000000014</v>
      </c>
      <c r="E39" s="480">
        <f t="shared" si="1"/>
        <v>605.20000000000005</v>
      </c>
      <c r="F39" s="479"/>
    </row>
    <row r="40" spans="1:6" ht="18" customHeight="1">
      <c r="A40" s="475">
        <v>35</v>
      </c>
      <c r="B40" s="476">
        <v>436.59999999999991</v>
      </c>
      <c r="C40" s="476">
        <v>419.79999999999984</v>
      </c>
      <c r="D40" s="477">
        <v>701.90000000000009</v>
      </c>
      <c r="E40" s="480">
        <f t="shared" si="1"/>
        <v>619.6</v>
      </c>
      <c r="F40" s="479"/>
    </row>
    <row r="41" spans="1:6" ht="18" customHeight="1">
      <c r="A41" s="475">
        <v>36</v>
      </c>
      <c r="B41" s="476">
        <v>446.69999999999993</v>
      </c>
      <c r="C41" s="476">
        <v>429.59999999999985</v>
      </c>
      <c r="D41" s="477">
        <v>718.2</v>
      </c>
      <c r="E41" s="480">
        <f t="shared" si="1"/>
        <v>634</v>
      </c>
      <c r="F41" s="479"/>
    </row>
    <row r="42" spans="1:6" ht="18" customHeight="1">
      <c r="A42" s="475">
        <v>37</v>
      </c>
      <c r="B42" s="476">
        <v>456.79999999999995</v>
      </c>
      <c r="C42" s="476">
        <v>439.39999999999986</v>
      </c>
      <c r="D42" s="477">
        <v>734.5</v>
      </c>
      <c r="E42" s="480">
        <f t="shared" si="1"/>
        <v>648.4</v>
      </c>
      <c r="F42" s="479"/>
    </row>
    <row r="43" spans="1:6" ht="18" customHeight="1">
      <c r="A43" s="475">
        <v>38</v>
      </c>
      <c r="B43" s="476">
        <v>466.9</v>
      </c>
      <c r="C43" s="476">
        <v>449.19999999999987</v>
      </c>
      <c r="D43" s="477">
        <v>750.8</v>
      </c>
      <c r="E43" s="480">
        <f t="shared" si="1"/>
        <v>662.8</v>
      </c>
      <c r="F43" s="479"/>
    </row>
    <row r="44" spans="1:6" ht="18" customHeight="1">
      <c r="A44" s="475">
        <v>39</v>
      </c>
      <c r="B44" s="476">
        <v>477</v>
      </c>
      <c r="C44" s="476">
        <v>458.99999999999989</v>
      </c>
      <c r="D44" s="477">
        <v>767.09999999999991</v>
      </c>
      <c r="E44" s="480">
        <f t="shared" si="1"/>
        <v>677.19999999999993</v>
      </c>
      <c r="F44" s="479"/>
    </row>
    <row r="45" spans="1:6" ht="18" customHeight="1">
      <c r="A45" s="475">
        <v>40</v>
      </c>
      <c r="B45" s="476">
        <v>487.1</v>
      </c>
      <c r="C45" s="476">
        <v>468.7999999999999</v>
      </c>
      <c r="D45" s="477">
        <v>783.39999999999986</v>
      </c>
      <c r="E45" s="480">
        <f t="shared" si="1"/>
        <v>691.59999999999991</v>
      </c>
      <c r="F45" s="479"/>
    </row>
    <row r="46" spans="1:6" ht="18" customHeight="1">
      <c r="A46" s="475">
        <v>41</v>
      </c>
      <c r="B46" s="476">
        <v>497.20000000000005</v>
      </c>
      <c r="C46" s="476">
        <v>478.59999999999991</v>
      </c>
      <c r="D46" s="477">
        <v>799.69999999999982</v>
      </c>
      <c r="E46" s="480">
        <f t="shared" si="1"/>
        <v>705.99999999999989</v>
      </c>
      <c r="F46" s="479"/>
    </row>
    <row r="47" spans="1:6" ht="18" customHeight="1">
      <c r="A47" s="475">
        <v>42</v>
      </c>
      <c r="B47" s="476">
        <v>507.30000000000007</v>
      </c>
      <c r="C47" s="476">
        <v>488.39999999999992</v>
      </c>
      <c r="D47" s="477">
        <v>815.99999999999977</v>
      </c>
      <c r="E47" s="480">
        <f t="shared" si="1"/>
        <v>720.39999999999986</v>
      </c>
      <c r="F47" s="479"/>
    </row>
    <row r="48" spans="1:6" ht="18" customHeight="1">
      <c r="A48" s="475">
        <v>43</v>
      </c>
      <c r="B48" s="476">
        <v>517.40000000000009</v>
      </c>
      <c r="C48" s="476">
        <v>498.19999999999993</v>
      </c>
      <c r="D48" s="477">
        <v>832.29999999999973</v>
      </c>
      <c r="E48" s="480">
        <f t="shared" si="1"/>
        <v>734.79999999999984</v>
      </c>
      <c r="F48" s="479"/>
    </row>
    <row r="49" spans="1:6" ht="18" customHeight="1">
      <c r="A49" s="475">
        <v>44</v>
      </c>
      <c r="B49" s="476">
        <v>527.50000000000011</v>
      </c>
      <c r="C49" s="476">
        <v>507.99999999999994</v>
      </c>
      <c r="D49" s="477">
        <v>848.59999999999968</v>
      </c>
      <c r="E49" s="480">
        <f t="shared" si="1"/>
        <v>749.19999999999982</v>
      </c>
      <c r="F49" s="479"/>
    </row>
    <row r="50" spans="1:6" ht="18" customHeight="1">
      <c r="A50" s="475">
        <v>45</v>
      </c>
      <c r="B50" s="476">
        <v>537.60000000000014</v>
      </c>
      <c r="C50" s="476">
        <v>517.79999999999995</v>
      </c>
      <c r="D50" s="477">
        <v>864.89999999999964</v>
      </c>
      <c r="E50" s="480">
        <f t="shared" si="1"/>
        <v>763.5999999999998</v>
      </c>
      <c r="F50" s="479"/>
    </row>
    <row r="51" spans="1:6" ht="18" customHeight="1">
      <c r="A51" s="475">
        <v>46</v>
      </c>
      <c r="B51" s="476">
        <v>547.70000000000016</v>
      </c>
      <c r="C51" s="476">
        <v>527.59999999999991</v>
      </c>
      <c r="D51" s="477">
        <v>881.19999999999959</v>
      </c>
      <c r="E51" s="480">
        <f t="shared" si="1"/>
        <v>777.99999999999977</v>
      </c>
      <c r="F51" s="479"/>
    </row>
    <row r="52" spans="1:6" ht="18" customHeight="1">
      <c r="A52" s="475">
        <v>47</v>
      </c>
      <c r="B52" s="476">
        <v>557.80000000000018</v>
      </c>
      <c r="C52" s="476">
        <v>537.39999999999986</v>
      </c>
      <c r="D52" s="477">
        <v>897.49999999999955</v>
      </c>
      <c r="E52" s="480">
        <f t="shared" si="1"/>
        <v>792.39999999999975</v>
      </c>
      <c r="F52" s="479"/>
    </row>
    <row r="53" spans="1:6" ht="18" customHeight="1">
      <c r="A53" s="475">
        <v>48</v>
      </c>
      <c r="B53" s="476">
        <v>567.9000000000002</v>
      </c>
      <c r="C53" s="476">
        <v>547.19999999999982</v>
      </c>
      <c r="D53" s="477">
        <v>913.7999999999995</v>
      </c>
      <c r="E53" s="480">
        <f t="shared" si="1"/>
        <v>806.79999999999973</v>
      </c>
      <c r="F53" s="479"/>
    </row>
    <row r="54" spans="1:6" ht="18" customHeight="1">
      <c r="A54" s="475">
        <v>49</v>
      </c>
      <c r="B54" s="476">
        <v>578.00000000000023</v>
      </c>
      <c r="C54" s="476">
        <v>556.99999999999977</v>
      </c>
      <c r="D54" s="477">
        <v>930.09999999999945</v>
      </c>
      <c r="E54" s="480">
        <f t="shared" si="1"/>
        <v>821.1999999999997</v>
      </c>
      <c r="F54" s="479"/>
    </row>
    <row r="55" spans="1:6" ht="18" customHeight="1">
      <c r="A55" s="481">
        <v>50</v>
      </c>
      <c r="B55" s="476">
        <v>588.10000000000025</v>
      </c>
      <c r="C55" s="476">
        <v>566.79999999999973</v>
      </c>
      <c r="D55" s="477">
        <v>946.39999999999941</v>
      </c>
      <c r="E55" s="480">
        <f t="shared" si="1"/>
        <v>835.59999999999968</v>
      </c>
      <c r="F55" s="479"/>
    </row>
    <row r="56" spans="1:6" ht="18" customHeight="1">
      <c r="A56" s="475">
        <v>51</v>
      </c>
      <c r="B56" s="476">
        <v>598.20000000000027</v>
      </c>
      <c r="C56" s="476">
        <v>576.59999999999968</v>
      </c>
      <c r="D56" s="477">
        <v>962.69999999999936</v>
      </c>
      <c r="E56" s="480">
        <f t="shared" si="1"/>
        <v>849.99999999999966</v>
      </c>
      <c r="F56" s="479"/>
    </row>
    <row r="57" spans="1:6" ht="18" customHeight="1">
      <c r="A57" s="475">
        <v>52</v>
      </c>
      <c r="B57" s="476">
        <v>608.3000000000003</v>
      </c>
      <c r="C57" s="476">
        <v>586.39999999999964</v>
      </c>
      <c r="D57" s="477">
        <v>978.99999999999932</v>
      </c>
      <c r="E57" s="480">
        <f t="shared" si="1"/>
        <v>864.39999999999964</v>
      </c>
      <c r="F57" s="479"/>
    </row>
    <row r="58" spans="1:6" ht="18" customHeight="1">
      <c r="A58" s="475">
        <v>53</v>
      </c>
      <c r="B58" s="476">
        <v>618.40000000000032</v>
      </c>
      <c r="C58" s="476">
        <v>596.19999999999959</v>
      </c>
      <c r="D58" s="477">
        <v>995.29999999999927</v>
      </c>
      <c r="E58" s="480">
        <f t="shared" si="1"/>
        <v>878.79999999999961</v>
      </c>
      <c r="F58" s="479"/>
    </row>
    <row r="59" spans="1:6" ht="18" customHeight="1">
      <c r="A59" s="475">
        <v>54</v>
      </c>
      <c r="B59" s="476">
        <v>628.50000000000034</v>
      </c>
      <c r="C59" s="476">
        <v>605.99999999999955</v>
      </c>
      <c r="D59" s="477">
        <v>1011.5999999999992</v>
      </c>
      <c r="E59" s="480">
        <f t="shared" si="1"/>
        <v>893.19999999999959</v>
      </c>
      <c r="F59" s="479"/>
    </row>
    <row r="60" spans="1:6" ht="18" customHeight="1">
      <c r="A60" s="475">
        <v>55</v>
      </c>
      <c r="B60" s="476">
        <v>638.60000000000036</v>
      </c>
      <c r="C60" s="476">
        <v>615.7999999999995</v>
      </c>
      <c r="D60" s="477">
        <v>1027.8999999999992</v>
      </c>
      <c r="E60" s="480">
        <f t="shared" si="1"/>
        <v>907.59999999999957</v>
      </c>
      <c r="F60" s="479"/>
    </row>
    <row r="61" spans="1:6" ht="18" customHeight="1">
      <c r="A61" s="475">
        <v>56</v>
      </c>
      <c r="B61" s="476">
        <v>648.70000000000039</v>
      </c>
      <c r="C61" s="476">
        <v>625.59999999999945</v>
      </c>
      <c r="D61" s="477">
        <v>1044.1999999999991</v>
      </c>
      <c r="E61" s="480">
        <f t="shared" si="1"/>
        <v>921.99999999999955</v>
      </c>
      <c r="F61" s="479"/>
    </row>
    <row r="62" spans="1:6" ht="18" customHeight="1">
      <c r="A62" s="475">
        <v>57</v>
      </c>
      <c r="B62" s="476">
        <v>658.80000000000041</v>
      </c>
      <c r="C62" s="476">
        <v>635.39999999999941</v>
      </c>
      <c r="D62" s="477">
        <v>1060.4999999999991</v>
      </c>
      <c r="E62" s="480">
        <f t="shared" si="1"/>
        <v>936.39999999999952</v>
      </c>
      <c r="F62" s="479"/>
    </row>
    <row r="63" spans="1:6" ht="18" customHeight="1">
      <c r="A63" s="475">
        <v>58</v>
      </c>
      <c r="B63" s="476">
        <v>668.90000000000043</v>
      </c>
      <c r="C63" s="476">
        <v>645.19999999999936</v>
      </c>
      <c r="D63" s="477">
        <v>1076.799999999999</v>
      </c>
      <c r="E63" s="480">
        <f t="shared" si="1"/>
        <v>950.7999999999995</v>
      </c>
      <c r="F63" s="479"/>
    </row>
    <row r="64" spans="1:6" ht="18" customHeight="1">
      <c r="A64" s="475">
        <v>59</v>
      </c>
      <c r="B64" s="476">
        <v>679.00000000000045</v>
      </c>
      <c r="C64" s="476">
        <v>654.99999999999932</v>
      </c>
      <c r="D64" s="477">
        <v>1093.099999999999</v>
      </c>
      <c r="E64" s="480">
        <f t="shared" si="1"/>
        <v>965.19999999999948</v>
      </c>
      <c r="F64" s="479"/>
    </row>
    <row r="65" spans="1:6" ht="18" customHeight="1">
      <c r="A65" s="475">
        <v>60</v>
      </c>
      <c r="B65" s="476">
        <v>689.10000000000048</v>
      </c>
      <c r="C65" s="476">
        <v>664.79999999999927</v>
      </c>
      <c r="D65" s="477">
        <v>1109.399999999999</v>
      </c>
      <c r="E65" s="480">
        <f t="shared" si="1"/>
        <v>979.59999999999945</v>
      </c>
      <c r="F65" s="479"/>
    </row>
    <row r="66" spans="1:6" ht="18" customHeight="1">
      <c r="A66" s="475">
        <v>61</v>
      </c>
      <c r="B66" s="476">
        <v>699.2000000000005</v>
      </c>
      <c r="C66" s="476">
        <v>674.59999999999923</v>
      </c>
      <c r="D66" s="477">
        <v>1125.6999999999989</v>
      </c>
      <c r="E66" s="480">
        <f t="shared" si="1"/>
        <v>993.99999999999943</v>
      </c>
      <c r="F66" s="479"/>
    </row>
    <row r="67" spans="1:6" ht="18" customHeight="1">
      <c r="A67" s="475">
        <v>62</v>
      </c>
      <c r="B67" s="476">
        <v>709.30000000000052</v>
      </c>
      <c r="C67" s="476">
        <v>684.39999999999918</v>
      </c>
      <c r="D67" s="477">
        <v>1141.9999999999989</v>
      </c>
      <c r="E67" s="480">
        <f t="shared" si="1"/>
        <v>1008.3999999999994</v>
      </c>
      <c r="F67" s="479"/>
    </row>
    <row r="68" spans="1:6" ht="18" customHeight="1">
      <c r="A68" s="475">
        <v>63</v>
      </c>
      <c r="B68" s="476">
        <v>719.40000000000055</v>
      </c>
      <c r="C68" s="476">
        <v>694.19999999999914</v>
      </c>
      <c r="D68" s="477">
        <v>1158.2999999999988</v>
      </c>
      <c r="E68" s="480">
        <f t="shared" si="1"/>
        <v>1022.7999999999994</v>
      </c>
      <c r="F68" s="479"/>
    </row>
    <row r="69" spans="1:6" ht="18" customHeight="1">
      <c r="A69" s="475">
        <v>64</v>
      </c>
      <c r="B69" s="476">
        <v>729.50000000000057</v>
      </c>
      <c r="C69" s="476">
        <v>703.99999999999909</v>
      </c>
      <c r="D69" s="477">
        <v>1174.5999999999988</v>
      </c>
      <c r="E69" s="480">
        <f t="shared" si="1"/>
        <v>1037.1999999999994</v>
      </c>
      <c r="F69" s="479"/>
    </row>
    <row r="70" spans="1:6" ht="18" customHeight="1">
      <c r="A70" s="475">
        <v>65</v>
      </c>
      <c r="B70" s="476">
        <v>739.60000000000059</v>
      </c>
      <c r="C70" s="476">
        <v>713.79999999999905</v>
      </c>
      <c r="D70" s="477">
        <v>1190.8999999999987</v>
      </c>
      <c r="E70" s="480">
        <f t="shared" si="1"/>
        <v>1051.5999999999995</v>
      </c>
      <c r="F70" s="479"/>
    </row>
    <row r="71" spans="1:6" ht="18" customHeight="1">
      <c r="A71" s="475">
        <v>66</v>
      </c>
      <c r="B71" s="476">
        <v>749.70000000000061</v>
      </c>
      <c r="C71" s="476">
        <v>723.599999999999</v>
      </c>
      <c r="D71" s="477">
        <v>1207.1999999999987</v>
      </c>
      <c r="E71" s="480">
        <f t="shared" si="1"/>
        <v>1065.9999999999995</v>
      </c>
      <c r="F71" s="479"/>
    </row>
    <row r="72" spans="1:6" ht="18" customHeight="1">
      <c r="A72" s="475">
        <v>67</v>
      </c>
      <c r="B72" s="476">
        <v>759.80000000000064</v>
      </c>
      <c r="C72" s="476">
        <v>733.39999999999895</v>
      </c>
      <c r="D72" s="477">
        <v>1223.4999999999986</v>
      </c>
      <c r="E72" s="480">
        <f t="shared" si="1"/>
        <v>1080.3999999999996</v>
      </c>
      <c r="F72" s="479"/>
    </row>
    <row r="73" spans="1:6" ht="18" customHeight="1">
      <c r="A73" s="475">
        <v>68</v>
      </c>
      <c r="B73" s="476">
        <v>769.90000000000066</v>
      </c>
      <c r="C73" s="476">
        <v>743.19999999999891</v>
      </c>
      <c r="D73" s="477">
        <v>1239.7999999999986</v>
      </c>
      <c r="E73" s="480">
        <f t="shared" si="1"/>
        <v>1094.7999999999997</v>
      </c>
      <c r="F73" s="479"/>
    </row>
    <row r="74" spans="1:6" ht="18" customHeight="1">
      <c r="A74" s="475">
        <v>69</v>
      </c>
      <c r="B74" s="476">
        <v>780.00000000000068</v>
      </c>
      <c r="C74" s="476">
        <v>752.99999999999886</v>
      </c>
      <c r="D74" s="477">
        <v>1256.0999999999985</v>
      </c>
      <c r="E74" s="480">
        <f t="shared" si="1"/>
        <v>1109.1999999999998</v>
      </c>
      <c r="F74" s="479"/>
    </row>
    <row r="75" spans="1:6" ht="18" customHeight="1">
      <c r="A75" s="475">
        <v>70</v>
      </c>
      <c r="B75" s="476">
        <v>790.1000000000007</v>
      </c>
      <c r="C75" s="476">
        <v>762.79999999999882</v>
      </c>
      <c r="D75" s="477">
        <v>1272.3999999999985</v>
      </c>
      <c r="E75" s="480">
        <f t="shared" si="1"/>
        <v>1123.5999999999999</v>
      </c>
      <c r="F75" s="479"/>
    </row>
    <row r="76" spans="1:6" ht="18" customHeight="1">
      <c r="A76" s="475">
        <v>71</v>
      </c>
      <c r="B76" s="476">
        <v>800.20000000000073</v>
      </c>
      <c r="C76" s="476">
        <v>772.59999999999877</v>
      </c>
      <c r="D76" s="477">
        <v>1288.6999999999985</v>
      </c>
      <c r="E76" s="480">
        <f t="shared" si="1"/>
        <v>1138</v>
      </c>
      <c r="F76" s="479"/>
    </row>
    <row r="77" spans="1:6" ht="18" customHeight="1">
      <c r="A77" s="475">
        <v>72</v>
      </c>
      <c r="B77" s="476">
        <v>810.30000000000075</v>
      </c>
      <c r="C77" s="476">
        <v>782.39999999999873</v>
      </c>
      <c r="D77" s="477">
        <v>1304.9999999999984</v>
      </c>
      <c r="E77" s="480">
        <f t="shared" si="1"/>
        <v>1152.4000000000001</v>
      </c>
      <c r="F77" s="479"/>
    </row>
    <row r="78" spans="1:6" ht="18" customHeight="1">
      <c r="A78" s="475">
        <v>73</v>
      </c>
      <c r="B78" s="476">
        <v>820.40000000000077</v>
      </c>
      <c r="C78" s="476">
        <v>792.19999999999868</v>
      </c>
      <c r="D78" s="477">
        <v>1321.2999999999984</v>
      </c>
      <c r="E78" s="480">
        <f t="shared" si="1"/>
        <v>1166.8000000000002</v>
      </c>
      <c r="F78" s="479"/>
    </row>
    <row r="79" spans="1:6" ht="18" customHeight="1">
      <c r="A79" s="475">
        <v>74</v>
      </c>
      <c r="B79" s="476">
        <v>830.5000000000008</v>
      </c>
      <c r="C79" s="476">
        <v>801.99999999999864</v>
      </c>
      <c r="D79" s="477">
        <v>1337.5999999999983</v>
      </c>
      <c r="E79" s="480">
        <f t="shared" si="1"/>
        <v>1181.2000000000003</v>
      </c>
      <c r="F79" s="479"/>
    </row>
    <row r="80" spans="1:6" ht="18" customHeight="1">
      <c r="A80" s="475">
        <v>75</v>
      </c>
      <c r="B80" s="476">
        <v>840.60000000000082</v>
      </c>
      <c r="C80" s="476">
        <v>811.79999999999859</v>
      </c>
      <c r="D80" s="477">
        <v>1353.8999999999983</v>
      </c>
      <c r="E80" s="480">
        <f t="shared" si="1"/>
        <v>1195.6000000000004</v>
      </c>
      <c r="F80" s="479"/>
    </row>
    <row r="81" spans="1:6" ht="18" customHeight="1">
      <c r="A81" s="475">
        <v>76</v>
      </c>
      <c r="B81" s="476">
        <v>850.70000000000084</v>
      </c>
      <c r="C81" s="476">
        <v>821.59999999999854</v>
      </c>
      <c r="D81" s="477">
        <v>1370.1999999999982</v>
      </c>
      <c r="E81" s="480">
        <f t="shared" si="1"/>
        <v>1210.0000000000005</v>
      </c>
      <c r="F81" s="479"/>
    </row>
    <row r="82" spans="1:6" ht="18" customHeight="1">
      <c r="A82" s="475">
        <v>77</v>
      </c>
      <c r="B82" s="476">
        <v>860.80000000000086</v>
      </c>
      <c r="C82" s="476">
        <v>831.3999999999985</v>
      </c>
      <c r="D82" s="477">
        <v>1386.4999999999982</v>
      </c>
      <c r="E82" s="480">
        <f t="shared" si="1"/>
        <v>1224.4000000000005</v>
      </c>
      <c r="F82" s="479"/>
    </row>
    <row r="83" spans="1:6" ht="18" customHeight="1">
      <c r="A83" s="475">
        <v>78</v>
      </c>
      <c r="B83" s="476">
        <v>870.90000000000089</v>
      </c>
      <c r="C83" s="476">
        <v>841.19999999999845</v>
      </c>
      <c r="D83" s="477">
        <v>1402.7999999999981</v>
      </c>
      <c r="E83" s="480">
        <f t="shared" si="1"/>
        <v>1238.8000000000006</v>
      </c>
      <c r="F83" s="479"/>
    </row>
    <row r="84" spans="1:6" ht="18" customHeight="1">
      <c r="A84" s="475">
        <v>79</v>
      </c>
      <c r="B84" s="476">
        <v>881.00000000000091</v>
      </c>
      <c r="C84" s="476">
        <v>850.99999999999841</v>
      </c>
      <c r="D84" s="477">
        <v>1419.0999999999981</v>
      </c>
      <c r="E84" s="480">
        <f t="shared" si="1"/>
        <v>1253.2000000000007</v>
      </c>
      <c r="F84" s="479"/>
    </row>
    <row r="85" spans="1:6" ht="18" customHeight="1">
      <c r="A85" s="475">
        <v>80</v>
      </c>
      <c r="B85" s="476">
        <v>891.10000000000093</v>
      </c>
      <c r="C85" s="476">
        <v>860.79999999999836</v>
      </c>
      <c r="D85" s="477">
        <v>1435.399999999998</v>
      </c>
      <c r="E85" s="480">
        <f t="shared" si="1"/>
        <v>1267.6000000000008</v>
      </c>
      <c r="F85" s="479"/>
    </row>
    <row r="86" spans="1:6" ht="18" customHeight="1">
      <c r="A86" s="475">
        <v>81</v>
      </c>
      <c r="B86" s="476">
        <v>901.20000000000095</v>
      </c>
      <c r="C86" s="476">
        <v>870.59999999999832</v>
      </c>
      <c r="D86" s="477">
        <v>1451.699999999998</v>
      </c>
      <c r="E86" s="480">
        <f t="shared" si="1"/>
        <v>1282.0000000000009</v>
      </c>
      <c r="F86" s="479"/>
    </row>
    <row r="87" spans="1:6" ht="18" customHeight="1">
      <c r="A87" s="475">
        <v>82</v>
      </c>
      <c r="B87" s="476">
        <v>911.30000000000098</v>
      </c>
      <c r="C87" s="476">
        <v>880.39999999999827</v>
      </c>
      <c r="D87" s="477">
        <v>1467.999999999998</v>
      </c>
      <c r="E87" s="480">
        <f t="shared" si="1"/>
        <v>1296.400000000001</v>
      </c>
      <c r="F87" s="479"/>
    </row>
    <row r="88" spans="1:6" ht="18" customHeight="1">
      <c r="A88" s="475">
        <v>83</v>
      </c>
      <c r="B88" s="476">
        <v>921.400000000001</v>
      </c>
      <c r="C88" s="476">
        <v>890.19999999999823</v>
      </c>
      <c r="D88" s="477">
        <v>1484.2999999999979</v>
      </c>
      <c r="E88" s="480">
        <f t="shared" si="1"/>
        <v>1310.8000000000011</v>
      </c>
      <c r="F88" s="479"/>
    </row>
    <row r="89" spans="1:6" ht="18" customHeight="1">
      <c r="A89" s="475">
        <v>84</v>
      </c>
      <c r="B89" s="476">
        <v>931.50000000000102</v>
      </c>
      <c r="C89" s="476">
        <v>899.99999999999818</v>
      </c>
      <c r="D89" s="477">
        <v>1500.5999999999979</v>
      </c>
      <c r="E89" s="480">
        <f t="shared" si="1"/>
        <v>1325.2000000000012</v>
      </c>
      <c r="F89" s="479"/>
    </row>
    <row r="90" spans="1:6" ht="18" customHeight="1">
      <c r="A90" s="475">
        <v>85</v>
      </c>
      <c r="B90" s="476">
        <v>941.60000000000105</v>
      </c>
      <c r="C90" s="476">
        <v>909.79999999999814</v>
      </c>
      <c r="D90" s="477">
        <v>1516.8999999999978</v>
      </c>
      <c r="E90" s="480">
        <f t="shared" si="1"/>
        <v>1339.6000000000013</v>
      </c>
      <c r="F90" s="479"/>
    </row>
    <row r="91" spans="1:6" ht="18" customHeight="1">
      <c r="A91" s="475">
        <v>86</v>
      </c>
      <c r="B91" s="476">
        <v>951.70000000000107</v>
      </c>
      <c r="C91" s="476">
        <v>919.59999999999809</v>
      </c>
      <c r="D91" s="477">
        <v>1533.1999999999978</v>
      </c>
      <c r="E91" s="480">
        <f t="shared" si="1"/>
        <v>1354.0000000000014</v>
      </c>
      <c r="F91" s="479"/>
    </row>
    <row r="92" spans="1:6" ht="18" customHeight="1">
      <c r="A92" s="475">
        <v>87</v>
      </c>
      <c r="B92" s="476">
        <v>961.80000000000109</v>
      </c>
      <c r="C92" s="476">
        <v>929.39999999999804</v>
      </c>
      <c r="D92" s="477">
        <v>1549.4999999999977</v>
      </c>
      <c r="E92" s="480">
        <f t="shared" si="1"/>
        <v>1368.4000000000015</v>
      </c>
      <c r="F92" s="479"/>
    </row>
    <row r="93" spans="1:6" ht="18" customHeight="1">
      <c r="A93" s="475">
        <v>88</v>
      </c>
      <c r="B93" s="476">
        <v>971.90000000000111</v>
      </c>
      <c r="C93" s="476">
        <v>939.199999999998</v>
      </c>
      <c r="D93" s="477">
        <v>1565.7999999999977</v>
      </c>
      <c r="E93" s="480">
        <f t="shared" si="1"/>
        <v>1382.8000000000015</v>
      </c>
      <c r="F93" s="479"/>
    </row>
    <row r="94" spans="1:6" ht="18" customHeight="1">
      <c r="A94" s="475">
        <v>89</v>
      </c>
      <c r="B94" s="476">
        <v>982.00000000000114</v>
      </c>
      <c r="C94" s="476">
        <v>948.99999999999795</v>
      </c>
      <c r="D94" s="477">
        <v>1582.0999999999976</v>
      </c>
      <c r="E94" s="480">
        <f t="shared" si="1"/>
        <v>1397.2000000000016</v>
      </c>
      <c r="F94" s="479"/>
    </row>
    <row r="95" spans="1:6" ht="18" customHeight="1">
      <c r="A95" s="475">
        <v>90</v>
      </c>
      <c r="B95" s="476">
        <v>992.10000000000116</v>
      </c>
      <c r="C95" s="476">
        <v>958.79999999999791</v>
      </c>
      <c r="D95" s="477">
        <v>1598.3999999999976</v>
      </c>
      <c r="E95" s="480">
        <f t="shared" si="1"/>
        <v>1411.6000000000017</v>
      </c>
      <c r="F95" s="479"/>
    </row>
    <row r="96" spans="1:6" ht="18" customHeight="1">
      <c r="A96" s="475">
        <v>91</v>
      </c>
      <c r="B96" s="476">
        <v>1002.2000000000012</v>
      </c>
      <c r="C96" s="476">
        <v>968.59999999999786</v>
      </c>
      <c r="D96" s="477">
        <v>1614.6999999999975</v>
      </c>
      <c r="E96" s="480">
        <f t="shared" si="1"/>
        <v>1426.0000000000018</v>
      </c>
      <c r="F96" s="479"/>
    </row>
    <row r="97" spans="1:6" ht="18" customHeight="1">
      <c r="A97" s="475">
        <v>92</v>
      </c>
      <c r="B97" s="476">
        <v>1012.3000000000012</v>
      </c>
      <c r="C97" s="476">
        <v>978.39999999999782</v>
      </c>
      <c r="D97" s="477">
        <v>1630.9999999999975</v>
      </c>
      <c r="E97" s="480">
        <f t="shared" si="1"/>
        <v>1440.4000000000019</v>
      </c>
      <c r="F97" s="479"/>
    </row>
    <row r="98" spans="1:6" ht="18" customHeight="1">
      <c r="A98" s="475">
        <v>93</v>
      </c>
      <c r="B98" s="476">
        <v>1022.4000000000012</v>
      </c>
      <c r="C98" s="476">
        <v>988.19999999999777</v>
      </c>
      <c r="D98" s="477">
        <v>1647.2999999999975</v>
      </c>
      <c r="E98" s="480">
        <f t="shared" si="1"/>
        <v>1454.800000000002</v>
      </c>
      <c r="F98" s="479"/>
    </row>
    <row r="99" spans="1:6" ht="18" customHeight="1">
      <c r="A99" s="475">
        <v>94</v>
      </c>
      <c r="B99" s="476">
        <v>1032.5000000000011</v>
      </c>
      <c r="C99" s="476">
        <v>997.99999999999773</v>
      </c>
      <c r="D99" s="477">
        <v>1663.5999999999974</v>
      </c>
      <c r="E99" s="480">
        <f t="shared" si="1"/>
        <v>1469.2000000000021</v>
      </c>
      <c r="F99" s="479"/>
    </row>
    <row r="100" spans="1:6" ht="18" customHeight="1">
      <c r="A100" s="475">
        <v>95</v>
      </c>
      <c r="B100" s="476">
        <v>1042.600000000001</v>
      </c>
      <c r="C100" s="476">
        <v>1007.7999999999977</v>
      </c>
      <c r="D100" s="477">
        <v>1679.8999999999974</v>
      </c>
      <c r="E100" s="480">
        <f t="shared" si="1"/>
        <v>1483.6000000000022</v>
      </c>
      <c r="F100" s="479"/>
    </row>
    <row r="101" spans="1:6" ht="18" customHeight="1">
      <c r="A101" s="475">
        <v>96</v>
      </c>
      <c r="B101" s="476">
        <v>1052.700000000001</v>
      </c>
      <c r="C101" s="476">
        <v>1017.5999999999976</v>
      </c>
      <c r="D101" s="477">
        <v>1696.1999999999973</v>
      </c>
      <c r="E101" s="480">
        <f t="shared" ref="E101:E164" si="2">E100+14.4</f>
        <v>1498.0000000000023</v>
      </c>
      <c r="F101" s="479"/>
    </row>
    <row r="102" spans="1:6" ht="18" customHeight="1">
      <c r="A102" s="475">
        <v>97</v>
      </c>
      <c r="B102" s="476">
        <v>1062.8000000000009</v>
      </c>
      <c r="C102" s="476">
        <v>1027.3999999999976</v>
      </c>
      <c r="D102" s="477">
        <v>1712.4999999999973</v>
      </c>
      <c r="E102" s="480">
        <f t="shared" si="2"/>
        <v>1512.4000000000024</v>
      </c>
      <c r="F102" s="479"/>
    </row>
    <row r="103" spans="1:6" ht="18" customHeight="1">
      <c r="A103" s="475">
        <v>98</v>
      </c>
      <c r="B103" s="476">
        <v>1072.9000000000008</v>
      </c>
      <c r="C103" s="476">
        <v>1037.1999999999975</v>
      </c>
      <c r="D103" s="477">
        <v>1728.7999999999972</v>
      </c>
      <c r="E103" s="480">
        <f t="shared" si="2"/>
        <v>1526.8000000000025</v>
      </c>
      <c r="F103" s="479"/>
    </row>
    <row r="104" spans="1:6" ht="18" customHeight="1">
      <c r="A104" s="475">
        <v>99</v>
      </c>
      <c r="B104" s="476">
        <v>1083.0000000000007</v>
      </c>
      <c r="C104" s="476">
        <v>1046.9999999999975</v>
      </c>
      <c r="D104" s="477">
        <v>1745.0999999999972</v>
      </c>
      <c r="E104" s="480">
        <f t="shared" si="2"/>
        <v>1541.2000000000025</v>
      </c>
      <c r="F104" s="479"/>
    </row>
    <row r="105" spans="1:6" ht="18" customHeight="1">
      <c r="A105" s="475">
        <v>100</v>
      </c>
      <c r="B105" s="476">
        <v>1093.1000000000006</v>
      </c>
      <c r="C105" s="476">
        <v>1056.7999999999975</v>
      </c>
      <c r="D105" s="477">
        <v>1761.3999999999971</v>
      </c>
      <c r="E105" s="480">
        <f t="shared" si="2"/>
        <v>1555.6000000000026</v>
      </c>
      <c r="F105" s="479"/>
    </row>
    <row r="106" spans="1:6" ht="18" customHeight="1">
      <c r="A106" s="475">
        <v>101</v>
      </c>
      <c r="B106" s="476">
        <v>1103.2000000000005</v>
      </c>
      <c r="C106" s="476">
        <v>1066.5999999999974</v>
      </c>
      <c r="D106" s="477">
        <v>1777.6999999999971</v>
      </c>
      <c r="E106" s="480">
        <f t="shared" si="2"/>
        <v>1570.0000000000027</v>
      </c>
      <c r="F106" s="479"/>
    </row>
    <row r="107" spans="1:6" ht="18" customHeight="1">
      <c r="A107" s="475">
        <v>102</v>
      </c>
      <c r="B107" s="476">
        <v>1113.3000000000004</v>
      </c>
      <c r="C107" s="476">
        <v>1076.3999999999974</v>
      </c>
      <c r="D107" s="477">
        <v>1793.999999999997</v>
      </c>
      <c r="E107" s="480">
        <f t="shared" si="2"/>
        <v>1584.4000000000028</v>
      </c>
      <c r="F107" s="479"/>
    </row>
    <row r="108" spans="1:6" ht="18" customHeight="1">
      <c r="A108" s="475">
        <v>103</v>
      </c>
      <c r="B108" s="476">
        <v>1123.4000000000003</v>
      </c>
      <c r="C108" s="476">
        <v>1086.1999999999973</v>
      </c>
      <c r="D108" s="477">
        <v>1810.299999999997</v>
      </c>
      <c r="E108" s="480">
        <f t="shared" si="2"/>
        <v>1598.8000000000029</v>
      </c>
      <c r="F108" s="479"/>
    </row>
    <row r="109" spans="1:6" ht="18" customHeight="1">
      <c r="A109" s="475">
        <v>104</v>
      </c>
      <c r="B109" s="476">
        <v>1133.5000000000002</v>
      </c>
      <c r="C109" s="476">
        <v>1095.9999999999973</v>
      </c>
      <c r="D109" s="477">
        <v>1826.599999999997</v>
      </c>
      <c r="E109" s="480">
        <f t="shared" si="2"/>
        <v>1613.200000000003</v>
      </c>
      <c r="F109" s="479"/>
    </row>
    <row r="110" spans="1:6" ht="18" customHeight="1">
      <c r="A110" s="475">
        <v>105</v>
      </c>
      <c r="B110" s="476">
        <v>1143.6000000000001</v>
      </c>
      <c r="C110" s="476">
        <v>1105.7999999999972</v>
      </c>
      <c r="D110" s="477">
        <v>1842.8999999999969</v>
      </c>
      <c r="E110" s="480">
        <f t="shared" si="2"/>
        <v>1627.6000000000031</v>
      </c>
      <c r="F110" s="479"/>
    </row>
    <row r="111" spans="1:6" ht="18" customHeight="1">
      <c r="A111" s="475">
        <v>106</v>
      </c>
      <c r="B111" s="476">
        <v>1153.7</v>
      </c>
      <c r="C111" s="476">
        <v>1115.5999999999972</v>
      </c>
      <c r="D111" s="477">
        <v>1859.1999999999969</v>
      </c>
      <c r="E111" s="480">
        <f t="shared" si="2"/>
        <v>1642.0000000000032</v>
      </c>
      <c r="F111" s="479"/>
    </row>
    <row r="112" spans="1:6" ht="18" customHeight="1">
      <c r="A112" s="475">
        <v>107</v>
      </c>
      <c r="B112" s="476">
        <v>1163.8</v>
      </c>
      <c r="C112" s="476">
        <v>1125.3999999999971</v>
      </c>
      <c r="D112" s="477">
        <v>1875.4999999999968</v>
      </c>
      <c r="E112" s="480">
        <f t="shared" si="2"/>
        <v>1656.4000000000033</v>
      </c>
      <c r="F112" s="479"/>
    </row>
    <row r="113" spans="1:6" ht="18" customHeight="1">
      <c r="A113" s="475">
        <v>108</v>
      </c>
      <c r="B113" s="476">
        <v>1173.8999999999999</v>
      </c>
      <c r="C113" s="476">
        <v>1135.1999999999971</v>
      </c>
      <c r="D113" s="477">
        <v>1891.7999999999968</v>
      </c>
      <c r="E113" s="480">
        <f t="shared" si="2"/>
        <v>1670.8000000000034</v>
      </c>
      <c r="F113" s="479"/>
    </row>
    <row r="114" spans="1:6" ht="18" customHeight="1">
      <c r="A114" s="475">
        <v>109</v>
      </c>
      <c r="B114" s="476">
        <v>1183.9999999999998</v>
      </c>
      <c r="C114" s="476">
        <v>1144.999999999997</v>
      </c>
      <c r="D114" s="477">
        <v>1908.0999999999967</v>
      </c>
      <c r="E114" s="480">
        <f t="shared" si="2"/>
        <v>1685.2000000000035</v>
      </c>
      <c r="F114" s="479"/>
    </row>
    <row r="115" spans="1:6" ht="18" customHeight="1">
      <c r="A115" s="475">
        <v>110</v>
      </c>
      <c r="B115" s="476">
        <v>1194.0999999999997</v>
      </c>
      <c r="C115" s="476">
        <v>1154.799999999997</v>
      </c>
      <c r="D115" s="477">
        <v>1924.3999999999967</v>
      </c>
      <c r="E115" s="480">
        <f t="shared" si="2"/>
        <v>1699.6000000000035</v>
      </c>
      <c r="F115" s="479"/>
    </row>
    <row r="116" spans="1:6" ht="18" customHeight="1">
      <c r="A116" s="475">
        <v>111</v>
      </c>
      <c r="B116" s="476">
        <v>1204.1999999999996</v>
      </c>
      <c r="C116" s="476">
        <v>1164.599999999997</v>
      </c>
      <c r="D116" s="477">
        <v>1940.6999999999966</v>
      </c>
      <c r="E116" s="480">
        <f t="shared" si="2"/>
        <v>1714.0000000000036</v>
      </c>
      <c r="F116" s="479"/>
    </row>
    <row r="117" spans="1:6" ht="18" customHeight="1">
      <c r="A117" s="475">
        <v>112</v>
      </c>
      <c r="B117" s="476">
        <v>1214.2999999999995</v>
      </c>
      <c r="C117" s="476">
        <v>1174.3999999999969</v>
      </c>
      <c r="D117" s="477">
        <v>1956.9999999999966</v>
      </c>
      <c r="E117" s="480">
        <f t="shared" si="2"/>
        <v>1728.4000000000037</v>
      </c>
      <c r="F117" s="479"/>
    </row>
    <row r="118" spans="1:6" ht="18" customHeight="1">
      <c r="A118" s="475">
        <v>113</v>
      </c>
      <c r="B118" s="476">
        <v>1224.3999999999994</v>
      </c>
      <c r="C118" s="476">
        <v>1184.1999999999969</v>
      </c>
      <c r="D118" s="477">
        <v>1973.2999999999965</v>
      </c>
      <c r="E118" s="480">
        <f t="shared" si="2"/>
        <v>1742.8000000000038</v>
      </c>
      <c r="F118" s="479"/>
    </row>
    <row r="119" spans="1:6" ht="18" customHeight="1">
      <c r="A119" s="475">
        <v>114</v>
      </c>
      <c r="B119" s="476">
        <v>1234.4999999999993</v>
      </c>
      <c r="C119" s="476">
        <v>1193.9999999999968</v>
      </c>
      <c r="D119" s="477">
        <v>1989.5999999999965</v>
      </c>
      <c r="E119" s="480">
        <f t="shared" si="2"/>
        <v>1757.2000000000039</v>
      </c>
      <c r="F119" s="479"/>
    </row>
    <row r="120" spans="1:6" ht="18" customHeight="1">
      <c r="A120" s="475">
        <v>115</v>
      </c>
      <c r="B120" s="476">
        <v>1244.5999999999992</v>
      </c>
      <c r="C120" s="476">
        <v>1203.7999999999968</v>
      </c>
      <c r="D120" s="477">
        <v>2005.8999999999965</v>
      </c>
      <c r="E120" s="480">
        <f t="shared" si="2"/>
        <v>1771.600000000004</v>
      </c>
      <c r="F120" s="479"/>
    </row>
    <row r="121" spans="1:6" ht="18" customHeight="1">
      <c r="A121" s="475">
        <v>116</v>
      </c>
      <c r="B121" s="476">
        <v>1254.6999999999991</v>
      </c>
      <c r="C121" s="476">
        <v>1213.5999999999967</v>
      </c>
      <c r="D121" s="477">
        <v>2022.1999999999964</v>
      </c>
      <c r="E121" s="480">
        <f t="shared" si="2"/>
        <v>1786.0000000000041</v>
      </c>
      <c r="F121" s="479"/>
    </row>
    <row r="122" spans="1:6" ht="18" customHeight="1">
      <c r="A122" s="475">
        <v>117</v>
      </c>
      <c r="B122" s="476">
        <v>1264.799999999999</v>
      </c>
      <c r="C122" s="476">
        <v>1223.3999999999967</v>
      </c>
      <c r="D122" s="477">
        <v>2038.4999999999964</v>
      </c>
      <c r="E122" s="480">
        <f t="shared" si="2"/>
        <v>1800.4000000000042</v>
      </c>
      <c r="F122" s="479"/>
    </row>
    <row r="123" spans="1:6" ht="18" customHeight="1">
      <c r="A123" s="475">
        <v>118</v>
      </c>
      <c r="B123" s="476">
        <v>1274.899999999999</v>
      </c>
      <c r="C123" s="476">
        <v>1233.1999999999966</v>
      </c>
      <c r="D123" s="477">
        <v>2054.7999999999965</v>
      </c>
      <c r="E123" s="480">
        <f t="shared" si="2"/>
        <v>1814.8000000000043</v>
      </c>
      <c r="F123" s="479"/>
    </row>
    <row r="124" spans="1:6" ht="18" customHeight="1">
      <c r="A124" s="475">
        <v>119</v>
      </c>
      <c r="B124" s="476">
        <v>1284.9999999999989</v>
      </c>
      <c r="C124" s="476">
        <v>1242.9999999999966</v>
      </c>
      <c r="D124" s="477">
        <v>2071.0999999999967</v>
      </c>
      <c r="E124" s="480">
        <f t="shared" si="2"/>
        <v>1829.2000000000044</v>
      </c>
      <c r="F124" s="479"/>
    </row>
    <row r="125" spans="1:6" ht="18" customHeight="1">
      <c r="A125" s="475">
        <v>120</v>
      </c>
      <c r="B125" s="476">
        <v>1295.0999999999988</v>
      </c>
      <c r="C125" s="476">
        <v>1252.7999999999965</v>
      </c>
      <c r="D125" s="477">
        <v>2087.3999999999969</v>
      </c>
      <c r="E125" s="480">
        <f t="shared" si="2"/>
        <v>1843.6000000000045</v>
      </c>
      <c r="F125" s="479"/>
    </row>
    <row r="126" spans="1:6" ht="18" customHeight="1">
      <c r="A126" s="475">
        <v>121</v>
      </c>
      <c r="B126" s="476">
        <v>1305.1999999999987</v>
      </c>
      <c r="C126" s="476">
        <v>1262.5999999999965</v>
      </c>
      <c r="D126" s="477">
        <v>2103.6999999999971</v>
      </c>
      <c r="E126" s="480">
        <f t="shared" si="2"/>
        <v>1858.0000000000045</v>
      </c>
      <c r="F126" s="479"/>
    </row>
    <row r="127" spans="1:6" ht="18" customHeight="1">
      <c r="A127" s="475">
        <v>122</v>
      </c>
      <c r="B127" s="476">
        <v>1315.2999999999986</v>
      </c>
      <c r="C127" s="476">
        <v>1272.3999999999965</v>
      </c>
      <c r="D127" s="477">
        <v>2119.9999999999973</v>
      </c>
      <c r="E127" s="480">
        <f t="shared" si="2"/>
        <v>1872.4000000000046</v>
      </c>
      <c r="F127" s="479"/>
    </row>
    <row r="128" spans="1:6" ht="18" customHeight="1">
      <c r="A128" s="475">
        <v>123</v>
      </c>
      <c r="B128" s="476">
        <v>1325.3999999999985</v>
      </c>
      <c r="C128" s="476">
        <v>1282.1999999999964</v>
      </c>
      <c r="D128" s="477">
        <v>2136.2999999999975</v>
      </c>
      <c r="E128" s="480">
        <f t="shared" si="2"/>
        <v>1886.8000000000047</v>
      </c>
      <c r="F128" s="479"/>
    </row>
    <row r="129" spans="1:6" ht="18" customHeight="1">
      <c r="A129" s="475">
        <v>124</v>
      </c>
      <c r="B129" s="476">
        <v>1335.4999999999984</v>
      </c>
      <c r="C129" s="476">
        <v>1291.9999999999964</v>
      </c>
      <c r="D129" s="477">
        <v>2152.5999999999976</v>
      </c>
      <c r="E129" s="480">
        <f t="shared" si="2"/>
        <v>1901.2000000000048</v>
      </c>
      <c r="F129" s="479"/>
    </row>
    <row r="130" spans="1:6" ht="18" customHeight="1">
      <c r="A130" s="475">
        <v>125</v>
      </c>
      <c r="B130" s="476">
        <v>1345.5999999999983</v>
      </c>
      <c r="C130" s="476">
        <v>1301.7999999999963</v>
      </c>
      <c r="D130" s="477">
        <v>2168.8999999999978</v>
      </c>
      <c r="E130" s="480">
        <f t="shared" si="2"/>
        <v>1915.6000000000049</v>
      </c>
      <c r="F130" s="479"/>
    </row>
    <row r="131" spans="1:6" ht="18" customHeight="1">
      <c r="A131" s="475">
        <v>126</v>
      </c>
      <c r="B131" s="476">
        <v>1355.6999999999982</v>
      </c>
      <c r="C131" s="476">
        <v>1311.5999999999963</v>
      </c>
      <c r="D131" s="477">
        <v>2185.199999999998</v>
      </c>
      <c r="E131" s="480">
        <f t="shared" si="2"/>
        <v>1930.000000000005</v>
      </c>
      <c r="F131" s="479"/>
    </row>
    <row r="132" spans="1:6" ht="18" customHeight="1">
      <c r="A132" s="475">
        <v>127</v>
      </c>
      <c r="B132" s="476">
        <v>1365.7999999999981</v>
      </c>
      <c r="C132" s="476">
        <v>1321.3999999999962</v>
      </c>
      <c r="D132" s="477">
        <v>2201.4999999999982</v>
      </c>
      <c r="E132" s="480">
        <f t="shared" si="2"/>
        <v>1944.4000000000051</v>
      </c>
      <c r="F132" s="479"/>
    </row>
    <row r="133" spans="1:6" ht="18" customHeight="1">
      <c r="A133" s="475">
        <v>128</v>
      </c>
      <c r="B133" s="476">
        <v>1375.899999999998</v>
      </c>
      <c r="C133" s="476">
        <v>1331.1999999999962</v>
      </c>
      <c r="D133" s="477">
        <v>2217.7999999999984</v>
      </c>
      <c r="E133" s="480">
        <f t="shared" si="2"/>
        <v>1958.8000000000052</v>
      </c>
      <c r="F133" s="479"/>
    </row>
    <row r="134" spans="1:6" ht="18" customHeight="1">
      <c r="A134" s="475">
        <v>129</v>
      </c>
      <c r="B134" s="476">
        <v>1385.999999999998</v>
      </c>
      <c r="C134" s="476">
        <v>1340.9999999999961</v>
      </c>
      <c r="D134" s="477">
        <v>2234.0999999999985</v>
      </c>
      <c r="E134" s="480">
        <f t="shared" si="2"/>
        <v>1973.2000000000053</v>
      </c>
      <c r="F134" s="479"/>
    </row>
    <row r="135" spans="1:6" ht="18" customHeight="1">
      <c r="A135" s="475">
        <v>130</v>
      </c>
      <c r="B135" s="476">
        <v>1396.0999999999979</v>
      </c>
      <c r="C135" s="476">
        <v>1350.7999999999961</v>
      </c>
      <c r="D135" s="477">
        <v>2250.3999999999987</v>
      </c>
      <c r="E135" s="480">
        <f t="shared" si="2"/>
        <v>1987.6000000000054</v>
      </c>
      <c r="F135" s="479"/>
    </row>
    <row r="136" spans="1:6" ht="18" customHeight="1">
      <c r="A136" s="475">
        <v>131</v>
      </c>
      <c r="B136" s="476">
        <v>1406.1999999999978</v>
      </c>
      <c r="C136" s="476">
        <v>1360.599999999996</v>
      </c>
      <c r="D136" s="477">
        <v>2266.6999999999989</v>
      </c>
      <c r="E136" s="480">
        <f t="shared" si="2"/>
        <v>2002.0000000000055</v>
      </c>
      <c r="F136" s="479"/>
    </row>
    <row r="137" spans="1:6" ht="18" customHeight="1">
      <c r="A137" s="475">
        <v>132</v>
      </c>
      <c r="B137" s="476">
        <v>1416.2999999999977</v>
      </c>
      <c r="C137" s="476">
        <v>1370.399999999996</v>
      </c>
      <c r="D137" s="477">
        <v>2282.9999999999991</v>
      </c>
      <c r="E137" s="480">
        <f t="shared" si="2"/>
        <v>2016.4000000000055</v>
      </c>
      <c r="F137" s="479"/>
    </row>
    <row r="138" spans="1:6" ht="18" customHeight="1">
      <c r="A138" s="475">
        <v>133</v>
      </c>
      <c r="B138" s="476">
        <v>1426.3999999999976</v>
      </c>
      <c r="C138" s="476">
        <v>1380.199999999996</v>
      </c>
      <c r="D138" s="477">
        <v>2299.2999999999993</v>
      </c>
      <c r="E138" s="480">
        <f t="shared" si="2"/>
        <v>2030.8000000000056</v>
      </c>
      <c r="F138" s="479"/>
    </row>
    <row r="139" spans="1:6" ht="18" customHeight="1">
      <c r="A139" s="475">
        <v>134</v>
      </c>
      <c r="B139" s="476">
        <v>1436.4999999999975</v>
      </c>
      <c r="C139" s="476">
        <v>1389.9999999999959</v>
      </c>
      <c r="D139" s="477">
        <v>2315.5999999999995</v>
      </c>
      <c r="E139" s="480">
        <f t="shared" si="2"/>
        <v>2045.2000000000057</v>
      </c>
      <c r="F139" s="479"/>
    </row>
    <row r="140" spans="1:6" ht="18" customHeight="1">
      <c r="A140" s="475">
        <v>135</v>
      </c>
      <c r="B140" s="476">
        <v>1446.5999999999974</v>
      </c>
      <c r="C140" s="476">
        <v>1399.7999999999959</v>
      </c>
      <c r="D140" s="477">
        <v>2331.8999999999996</v>
      </c>
      <c r="E140" s="480">
        <f t="shared" si="2"/>
        <v>2059.6000000000058</v>
      </c>
      <c r="F140" s="479"/>
    </row>
    <row r="141" spans="1:6" ht="18" customHeight="1">
      <c r="A141" s="475">
        <v>136</v>
      </c>
      <c r="B141" s="476">
        <v>1456.6999999999973</v>
      </c>
      <c r="C141" s="476">
        <v>1409.5999999999958</v>
      </c>
      <c r="D141" s="477">
        <v>2348.1999999999998</v>
      </c>
      <c r="E141" s="480">
        <f t="shared" si="2"/>
        <v>2074.0000000000059</v>
      </c>
      <c r="F141" s="479"/>
    </row>
    <row r="142" spans="1:6" ht="18" customHeight="1">
      <c r="A142" s="475">
        <v>137</v>
      </c>
      <c r="B142" s="476">
        <v>1466.7999999999972</v>
      </c>
      <c r="C142" s="476">
        <v>1419.3999999999958</v>
      </c>
      <c r="D142" s="477">
        <v>2364.5</v>
      </c>
      <c r="E142" s="480">
        <f t="shared" si="2"/>
        <v>2088.400000000006</v>
      </c>
      <c r="F142" s="479"/>
    </row>
    <row r="143" spans="1:6" ht="18" customHeight="1">
      <c r="A143" s="475">
        <v>138</v>
      </c>
      <c r="B143" s="476">
        <v>1476.8999999999971</v>
      </c>
      <c r="C143" s="476">
        <v>1429.1999999999957</v>
      </c>
      <c r="D143" s="477">
        <v>2380.8000000000002</v>
      </c>
      <c r="E143" s="480">
        <f t="shared" si="2"/>
        <v>2102.8000000000061</v>
      </c>
      <c r="F143" s="479"/>
    </row>
    <row r="144" spans="1:6" ht="18" customHeight="1">
      <c r="A144" s="475">
        <v>139</v>
      </c>
      <c r="B144" s="476">
        <v>1486.999999999997</v>
      </c>
      <c r="C144" s="476">
        <v>1438.9999999999957</v>
      </c>
      <c r="D144" s="477">
        <v>2397.1000000000004</v>
      </c>
      <c r="E144" s="480">
        <f t="shared" si="2"/>
        <v>2117.2000000000062</v>
      </c>
      <c r="F144" s="479"/>
    </row>
    <row r="145" spans="1:6" ht="18" customHeight="1">
      <c r="A145" s="475">
        <v>140</v>
      </c>
      <c r="B145" s="476">
        <v>1497.099999999997</v>
      </c>
      <c r="C145" s="476">
        <v>1448.7999999999956</v>
      </c>
      <c r="D145" s="477">
        <v>2413.4000000000005</v>
      </c>
      <c r="E145" s="480">
        <f t="shared" si="2"/>
        <v>2131.6000000000063</v>
      </c>
      <c r="F145" s="479"/>
    </row>
    <row r="146" spans="1:6" ht="18" customHeight="1">
      <c r="A146" s="475">
        <v>141</v>
      </c>
      <c r="B146" s="476">
        <v>1507.1999999999969</v>
      </c>
      <c r="C146" s="476">
        <v>1458.5999999999956</v>
      </c>
      <c r="D146" s="477">
        <v>2429.7000000000007</v>
      </c>
      <c r="E146" s="480">
        <f t="shared" si="2"/>
        <v>2146.0000000000064</v>
      </c>
      <c r="F146" s="479"/>
    </row>
    <row r="147" spans="1:6" ht="18" customHeight="1">
      <c r="A147" s="475">
        <v>142</v>
      </c>
      <c r="B147" s="476">
        <v>1517.2999999999968</v>
      </c>
      <c r="C147" s="476">
        <v>1468.3999999999955</v>
      </c>
      <c r="D147" s="477">
        <v>2446.0000000000009</v>
      </c>
      <c r="E147" s="480">
        <f t="shared" si="2"/>
        <v>2160.4000000000065</v>
      </c>
      <c r="F147" s="479"/>
    </row>
    <row r="148" spans="1:6" ht="18" customHeight="1">
      <c r="A148" s="475">
        <v>143</v>
      </c>
      <c r="B148" s="476">
        <v>1527.3999999999967</v>
      </c>
      <c r="C148" s="476">
        <v>1478.1999999999955</v>
      </c>
      <c r="D148" s="477">
        <v>2462.3000000000011</v>
      </c>
      <c r="E148" s="480">
        <f t="shared" si="2"/>
        <v>2174.8000000000065</v>
      </c>
      <c r="F148" s="479"/>
    </row>
    <row r="149" spans="1:6" ht="18" customHeight="1">
      <c r="A149" s="475">
        <v>144</v>
      </c>
      <c r="B149" s="476">
        <v>1537.4999999999966</v>
      </c>
      <c r="C149" s="476">
        <v>1487.9999999999955</v>
      </c>
      <c r="D149" s="477">
        <v>2478.6000000000013</v>
      </c>
      <c r="E149" s="480">
        <f t="shared" si="2"/>
        <v>2189.2000000000066</v>
      </c>
      <c r="F149" s="479"/>
    </row>
    <row r="150" spans="1:6" ht="18" customHeight="1">
      <c r="A150" s="475">
        <v>145</v>
      </c>
      <c r="B150" s="476">
        <v>1547.5999999999965</v>
      </c>
      <c r="C150" s="476">
        <v>1497.7999999999954</v>
      </c>
      <c r="D150" s="477">
        <v>2494.9000000000015</v>
      </c>
      <c r="E150" s="480">
        <f t="shared" si="2"/>
        <v>2203.6000000000067</v>
      </c>
      <c r="F150" s="479"/>
    </row>
    <row r="151" spans="1:6" ht="18" customHeight="1">
      <c r="A151" s="475">
        <v>146</v>
      </c>
      <c r="B151" s="476">
        <v>1557.6999999999964</v>
      </c>
      <c r="C151" s="476">
        <v>1507.5999999999954</v>
      </c>
      <c r="D151" s="477">
        <v>2511.2000000000016</v>
      </c>
      <c r="E151" s="480">
        <f t="shared" si="2"/>
        <v>2218.0000000000068</v>
      </c>
      <c r="F151" s="479"/>
    </row>
    <row r="152" spans="1:6" ht="18" customHeight="1">
      <c r="A152" s="475">
        <v>147</v>
      </c>
      <c r="B152" s="476">
        <v>1567.7999999999963</v>
      </c>
      <c r="C152" s="476">
        <v>1517.3999999999953</v>
      </c>
      <c r="D152" s="477">
        <v>2527.5000000000018</v>
      </c>
      <c r="E152" s="480">
        <f t="shared" si="2"/>
        <v>2232.4000000000069</v>
      </c>
      <c r="F152" s="479"/>
    </row>
    <row r="153" spans="1:6" ht="18" customHeight="1">
      <c r="A153" s="475">
        <v>148</v>
      </c>
      <c r="B153" s="476">
        <v>1577.8999999999962</v>
      </c>
      <c r="C153" s="476">
        <v>1527.1999999999953</v>
      </c>
      <c r="D153" s="477">
        <v>2543.800000000002</v>
      </c>
      <c r="E153" s="480">
        <f t="shared" si="2"/>
        <v>2246.800000000007</v>
      </c>
      <c r="F153" s="479"/>
    </row>
    <row r="154" spans="1:6" ht="18" customHeight="1">
      <c r="A154" s="475">
        <v>149</v>
      </c>
      <c r="B154" s="476">
        <v>1587.9999999999961</v>
      </c>
      <c r="C154" s="476">
        <v>1536.9999999999952</v>
      </c>
      <c r="D154" s="477">
        <v>2560.1000000000022</v>
      </c>
      <c r="E154" s="480">
        <f t="shared" si="2"/>
        <v>2261.2000000000071</v>
      </c>
      <c r="F154" s="479"/>
    </row>
    <row r="155" spans="1:6" ht="18" customHeight="1">
      <c r="A155" s="475">
        <v>150</v>
      </c>
      <c r="B155" s="476">
        <v>1598.099999999996</v>
      </c>
      <c r="C155" s="476">
        <v>1546.7999999999952</v>
      </c>
      <c r="D155" s="477">
        <v>2576.4000000000024</v>
      </c>
      <c r="E155" s="480">
        <f t="shared" si="2"/>
        <v>2275.6000000000072</v>
      </c>
      <c r="F155" s="479"/>
    </row>
    <row r="156" spans="1:6" ht="18" customHeight="1">
      <c r="A156" s="475">
        <v>151</v>
      </c>
      <c r="B156" s="476">
        <v>1608.199999999996</v>
      </c>
      <c r="C156" s="476">
        <v>1556.5999999999951</v>
      </c>
      <c r="D156" s="477">
        <v>2592.7000000000025</v>
      </c>
      <c r="E156" s="480">
        <f t="shared" si="2"/>
        <v>2290.0000000000073</v>
      </c>
      <c r="F156" s="479"/>
    </row>
    <row r="157" spans="1:6" ht="18" customHeight="1">
      <c r="A157" s="475">
        <v>152</v>
      </c>
      <c r="B157" s="476">
        <v>1618.2999999999959</v>
      </c>
      <c r="C157" s="476">
        <v>1566.3999999999951</v>
      </c>
      <c r="D157" s="477">
        <v>2609.0000000000027</v>
      </c>
      <c r="E157" s="480">
        <f t="shared" si="2"/>
        <v>2304.4000000000074</v>
      </c>
      <c r="F157" s="479"/>
    </row>
    <row r="158" spans="1:6" ht="18" customHeight="1">
      <c r="A158" s="475">
        <v>153</v>
      </c>
      <c r="B158" s="476">
        <v>1628.3999999999958</v>
      </c>
      <c r="C158" s="476">
        <v>1576.199999999995</v>
      </c>
      <c r="D158" s="477">
        <v>2625.3000000000029</v>
      </c>
      <c r="E158" s="480">
        <f t="shared" si="2"/>
        <v>2318.8000000000075</v>
      </c>
      <c r="F158" s="479"/>
    </row>
    <row r="159" spans="1:6" ht="18" customHeight="1">
      <c r="A159" s="475">
        <v>154</v>
      </c>
      <c r="B159" s="476">
        <v>1638.4999999999957</v>
      </c>
      <c r="C159" s="476">
        <v>1585.999999999995</v>
      </c>
      <c r="D159" s="477">
        <v>2641.6000000000031</v>
      </c>
      <c r="E159" s="480">
        <f t="shared" si="2"/>
        <v>2333.2000000000075</v>
      </c>
      <c r="F159" s="479"/>
    </row>
    <row r="160" spans="1:6" ht="18" customHeight="1">
      <c r="A160" s="475">
        <v>155</v>
      </c>
      <c r="B160" s="476">
        <v>1648.5999999999956</v>
      </c>
      <c r="C160" s="476">
        <v>1595.799999999995</v>
      </c>
      <c r="D160" s="477">
        <v>2657.9000000000033</v>
      </c>
      <c r="E160" s="480">
        <f t="shared" si="2"/>
        <v>2347.6000000000076</v>
      </c>
      <c r="F160" s="479"/>
    </row>
    <row r="161" spans="1:6" ht="18" customHeight="1">
      <c r="A161" s="475">
        <v>156</v>
      </c>
      <c r="B161" s="476">
        <v>1658.6999999999955</v>
      </c>
      <c r="C161" s="476">
        <v>1605.5999999999949</v>
      </c>
      <c r="D161" s="477">
        <v>2674.2000000000035</v>
      </c>
      <c r="E161" s="480">
        <f t="shared" si="2"/>
        <v>2362.0000000000077</v>
      </c>
      <c r="F161" s="479"/>
    </row>
    <row r="162" spans="1:6" ht="18" customHeight="1">
      <c r="A162" s="475">
        <v>157</v>
      </c>
      <c r="B162" s="476">
        <v>1668.7999999999954</v>
      </c>
      <c r="C162" s="476">
        <v>1615.3999999999949</v>
      </c>
      <c r="D162" s="477">
        <v>2690.5000000000036</v>
      </c>
      <c r="E162" s="480">
        <f t="shared" si="2"/>
        <v>2376.4000000000078</v>
      </c>
      <c r="F162" s="479"/>
    </row>
    <row r="163" spans="1:6" ht="18" customHeight="1">
      <c r="A163" s="475">
        <v>158</v>
      </c>
      <c r="B163" s="476">
        <v>1678.8999999999953</v>
      </c>
      <c r="C163" s="476">
        <v>1625.1999999999948</v>
      </c>
      <c r="D163" s="477">
        <v>2706.8000000000038</v>
      </c>
      <c r="E163" s="480">
        <f t="shared" si="2"/>
        <v>2390.8000000000079</v>
      </c>
      <c r="F163" s="479"/>
    </row>
    <row r="164" spans="1:6" ht="18" customHeight="1">
      <c r="A164" s="475">
        <v>159</v>
      </c>
      <c r="B164" s="476">
        <v>1688.9999999999952</v>
      </c>
      <c r="C164" s="476">
        <v>1634.9999999999948</v>
      </c>
      <c r="D164" s="477">
        <v>2723.100000000004</v>
      </c>
      <c r="E164" s="480">
        <f t="shared" si="2"/>
        <v>2405.200000000008</v>
      </c>
      <c r="F164" s="479"/>
    </row>
    <row r="165" spans="1:6" ht="18" customHeight="1">
      <c r="A165" s="475">
        <v>160</v>
      </c>
      <c r="B165" s="476">
        <v>1699.0999999999951</v>
      </c>
      <c r="C165" s="476">
        <v>1644.7999999999947</v>
      </c>
      <c r="D165" s="477">
        <v>2739.4000000000042</v>
      </c>
      <c r="E165" s="480">
        <f t="shared" ref="E165:E228" si="3">E164+14.4</f>
        <v>2419.6000000000081</v>
      </c>
      <c r="F165" s="479"/>
    </row>
    <row r="166" spans="1:6" ht="18" customHeight="1">
      <c r="A166" s="475">
        <v>161</v>
      </c>
      <c r="B166" s="476">
        <v>1709.199999999995</v>
      </c>
      <c r="C166" s="476">
        <v>1654.5999999999947</v>
      </c>
      <c r="D166" s="477">
        <v>2755.7000000000044</v>
      </c>
      <c r="E166" s="480">
        <f t="shared" si="3"/>
        <v>2434.0000000000082</v>
      </c>
      <c r="F166" s="479"/>
    </row>
    <row r="167" spans="1:6" ht="18" customHeight="1">
      <c r="A167" s="475">
        <v>162</v>
      </c>
      <c r="B167" s="476">
        <v>1719.299999999995</v>
      </c>
      <c r="C167" s="476">
        <v>1664.3999999999946</v>
      </c>
      <c r="D167" s="477">
        <v>2772.0000000000045</v>
      </c>
      <c r="E167" s="480">
        <f t="shared" si="3"/>
        <v>2448.4000000000083</v>
      </c>
      <c r="F167" s="479"/>
    </row>
    <row r="168" spans="1:6" ht="18" customHeight="1">
      <c r="A168" s="475">
        <v>163</v>
      </c>
      <c r="B168" s="476">
        <v>1729.3999999999949</v>
      </c>
      <c r="C168" s="476">
        <v>1674.1999999999946</v>
      </c>
      <c r="D168" s="477">
        <v>2788.3000000000047</v>
      </c>
      <c r="E168" s="480">
        <f t="shared" si="3"/>
        <v>2462.8000000000084</v>
      </c>
      <c r="F168" s="479"/>
    </row>
    <row r="169" spans="1:6" ht="18" customHeight="1">
      <c r="A169" s="475">
        <v>164</v>
      </c>
      <c r="B169" s="476">
        <v>1739.4999999999948</v>
      </c>
      <c r="C169" s="476">
        <v>1683.9999999999945</v>
      </c>
      <c r="D169" s="477">
        <v>2804.6000000000049</v>
      </c>
      <c r="E169" s="480">
        <f t="shared" si="3"/>
        <v>2477.2000000000085</v>
      </c>
      <c r="F169" s="479"/>
    </row>
    <row r="170" spans="1:6" ht="18" customHeight="1">
      <c r="A170" s="475">
        <v>165</v>
      </c>
      <c r="B170" s="476">
        <v>1749.5999999999947</v>
      </c>
      <c r="C170" s="476">
        <v>1693.7999999999945</v>
      </c>
      <c r="D170" s="477">
        <v>2820.9000000000051</v>
      </c>
      <c r="E170" s="480">
        <f t="shared" si="3"/>
        <v>2491.6000000000085</v>
      </c>
      <c r="F170" s="479"/>
    </row>
    <row r="171" spans="1:6" ht="18" customHeight="1">
      <c r="A171" s="475">
        <v>166</v>
      </c>
      <c r="B171" s="476">
        <v>1759.6999999999946</v>
      </c>
      <c r="C171" s="476">
        <v>1703.5999999999945</v>
      </c>
      <c r="D171" s="477">
        <v>2837.2000000000053</v>
      </c>
      <c r="E171" s="480">
        <f t="shared" si="3"/>
        <v>2506.0000000000086</v>
      </c>
      <c r="F171" s="479"/>
    </row>
    <row r="172" spans="1:6" ht="18" customHeight="1">
      <c r="A172" s="475">
        <v>167</v>
      </c>
      <c r="B172" s="476">
        <v>1769.7999999999945</v>
      </c>
      <c r="C172" s="476">
        <v>1713.3999999999944</v>
      </c>
      <c r="D172" s="477">
        <v>2853.5000000000055</v>
      </c>
      <c r="E172" s="480">
        <f t="shared" si="3"/>
        <v>2520.4000000000087</v>
      </c>
      <c r="F172" s="479"/>
    </row>
    <row r="173" spans="1:6" ht="18" customHeight="1">
      <c r="A173" s="475">
        <v>168</v>
      </c>
      <c r="B173" s="476">
        <v>1779.8999999999944</v>
      </c>
      <c r="C173" s="476">
        <v>1723.1999999999944</v>
      </c>
      <c r="D173" s="477">
        <v>2869.8000000000056</v>
      </c>
      <c r="E173" s="480">
        <f t="shared" si="3"/>
        <v>2534.8000000000088</v>
      </c>
      <c r="F173" s="479"/>
    </row>
    <row r="174" spans="1:6" ht="18" customHeight="1">
      <c r="A174" s="475">
        <v>169</v>
      </c>
      <c r="B174" s="476">
        <v>1789.9999999999943</v>
      </c>
      <c r="C174" s="476">
        <v>1732.9999999999943</v>
      </c>
      <c r="D174" s="477">
        <v>2886.1000000000058</v>
      </c>
      <c r="E174" s="480">
        <f t="shared" si="3"/>
        <v>2549.2000000000089</v>
      </c>
      <c r="F174" s="479"/>
    </row>
    <row r="175" spans="1:6" ht="18" customHeight="1">
      <c r="A175" s="475">
        <v>170</v>
      </c>
      <c r="B175" s="476">
        <v>1800.0999999999942</v>
      </c>
      <c r="C175" s="476">
        <v>1742.7999999999943</v>
      </c>
      <c r="D175" s="477">
        <v>2902.400000000006</v>
      </c>
      <c r="E175" s="480">
        <f t="shared" si="3"/>
        <v>2563.600000000009</v>
      </c>
      <c r="F175" s="479"/>
    </row>
    <row r="176" spans="1:6" ht="18" customHeight="1">
      <c r="A176" s="475">
        <v>171</v>
      </c>
      <c r="B176" s="476">
        <v>1810.1999999999941</v>
      </c>
      <c r="C176" s="476">
        <v>1752.5999999999942</v>
      </c>
      <c r="D176" s="477">
        <v>2918.7000000000062</v>
      </c>
      <c r="E176" s="480">
        <f t="shared" si="3"/>
        <v>2578.0000000000091</v>
      </c>
      <c r="F176" s="479"/>
    </row>
    <row r="177" spans="1:6" ht="18" customHeight="1">
      <c r="A177" s="475">
        <v>172</v>
      </c>
      <c r="B177" s="476">
        <v>1820.299999999994</v>
      </c>
      <c r="C177" s="476">
        <v>1762.3999999999942</v>
      </c>
      <c r="D177" s="477">
        <v>2935.0000000000064</v>
      </c>
      <c r="E177" s="480">
        <f t="shared" si="3"/>
        <v>2592.4000000000092</v>
      </c>
      <c r="F177" s="479"/>
    </row>
    <row r="178" spans="1:6" ht="18" customHeight="1">
      <c r="A178" s="475">
        <v>173</v>
      </c>
      <c r="B178" s="476">
        <v>1830.399999999994</v>
      </c>
      <c r="C178" s="476">
        <v>1772.1999999999941</v>
      </c>
      <c r="D178" s="477">
        <v>2951.3000000000065</v>
      </c>
      <c r="E178" s="480">
        <f t="shared" si="3"/>
        <v>2606.8000000000093</v>
      </c>
      <c r="F178" s="479"/>
    </row>
    <row r="179" spans="1:6" ht="18" customHeight="1">
      <c r="A179" s="475">
        <v>174</v>
      </c>
      <c r="B179" s="476">
        <v>1840.4999999999939</v>
      </c>
      <c r="C179" s="476">
        <v>1781.9999999999941</v>
      </c>
      <c r="D179" s="477">
        <v>2967.6000000000067</v>
      </c>
      <c r="E179" s="480">
        <f t="shared" si="3"/>
        <v>2621.2000000000094</v>
      </c>
      <c r="F179" s="479"/>
    </row>
    <row r="180" spans="1:6" ht="18" customHeight="1">
      <c r="A180" s="475">
        <v>175</v>
      </c>
      <c r="B180" s="476">
        <v>1850.5999999999938</v>
      </c>
      <c r="C180" s="476">
        <v>1791.799999999994</v>
      </c>
      <c r="D180" s="477">
        <v>2983.9000000000069</v>
      </c>
      <c r="E180" s="480">
        <f t="shared" si="3"/>
        <v>2635.6000000000095</v>
      </c>
      <c r="F180" s="479"/>
    </row>
    <row r="181" spans="1:6" ht="18" customHeight="1">
      <c r="A181" s="475">
        <v>176</v>
      </c>
      <c r="B181" s="476">
        <v>1860.6999999999937</v>
      </c>
      <c r="C181" s="476">
        <v>1801.599999999994</v>
      </c>
      <c r="D181" s="477">
        <v>3000.2000000000071</v>
      </c>
      <c r="E181" s="480">
        <f t="shared" si="3"/>
        <v>2650.0000000000095</v>
      </c>
      <c r="F181" s="479"/>
    </row>
    <row r="182" spans="1:6" ht="18" customHeight="1">
      <c r="A182" s="475">
        <v>177</v>
      </c>
      <c r="B182" s="476">
        <v>1870.7999999999936</v>
      </c>
      <c r="C182" s="476">
        <v>1811.399999999994</v>
      </c>
      <c r="D182" s="477">
        <v>3016.5000000000073</v>
      </c>
      <c r="E182" s="480">
        <f t="shared" si="3"/>
        <v>2664.4000000000096</v>
      </c>
      <c r="F182" s="479"/>
    </row>
    <row r="183" spans="1:6" ht="18" customHeight="1">
      <c r="A183" s="475">
        <v>178</v>
      </c>
      <c r="B183" s="476">
        <v>1880.8999999999935</v>
      </c>
      <c r="C183" s="476">
        <v>1821.1999999999939</v>
      </c>
      <c r="D183" s="477">
        <v>3032.8000000000075</v>
      </c>
      <c r="E183" s="480">
        <f t="shared" si="3"/>
        <v>2678.8000000000097</v>
      </c>
      <c r="F183" s="479"/>
    </row>
    <row r="184" spans="1:6" ht="18" customHeight="1">
      <c r="A184" s="475">
        <v>179</v>
      </c>
      <c r="B184" s="476">
        <v>1890.9999999999934</v>
      </c>
      <c r="C184" s="476">
        <v>1830.9999999999939</v>
      </c>
      <c r="D184" s="477">
        <v>3049.1000000000076</v>
      </c>
      <c r="E184" s="480">
        <f t="shared" si="3"/>
        <v>2693.2000000000098</v>
      </c>
      <c r="F184" s="479"/>
    </row>
    <row r="185" spans="1:6" ht="18" customHeight="1">
      <c r="A185" s="475">
        <v>180</v>
      </c>
      <c r="B185" s="476">
        <v>1901.0999999999933</v>
      </c>
      <c r="C185" s="476">
        <v>1840.7999999999938</v>
      </c>
      <c r="D185" s="477">
        <v>3065.4000000000078</v>
      </c>
      <c r="E185" s="480">
        <f t="shared" si="3"/>
        <v>2707.6000000000099</v>
      </c>
      <c r="F185" s="479"/>
    </row>
    <row r="186" spans="1:6" ht="18" customHeight="1">
      <c r="A186" s="475">
        <v>181</v>
      </c>
      <c r="B186" s="476">
        <v>1911.1999999999932</v>
      </c>
      <c r="C186" s="476">
        <v>1850.5999999999938</v>
      </c>
      <c r="D186" s="477">
        <v>3081.700000000008</v>
      </c>
      <c r="E186" s="480">
        <f t="shared" si="3"/>
        <v>2722.00000000001</v>
      </c>
      <c r="F186" s="479"/>
    </row>
    <row r="187" spans="1:6" ht="18" customHeight="1">
      <c r="A187" s="475">
        <v>182</v>
      </c>
      <c r="B187" s="476">
        <v>1921.2999999999931</v>
      </c>
      <c r="C187" s="476">
        <v>1860.3999999999937</v>
      </c>
      <c r="D187" s="477">
        <v>3098.0000000000082</v>
      </c>
      <c r="E187" s="480">
        <f t="shared" si="3"/>
        <v>2736.4000000000101</v>
      </c>
      <c r="F187" s="479"/>
    </row>
    <row r="188" spans="1:6" ht="18" customHeight="1">
      <c r="A188" s="475">
        <v>183</v>
      </c>
      <c r="B188" s="476">
        <v>1931.399999999993</v>
      </c>
      <c r="C188" s="476">
        <v>1870.1999999999937</v>
      </c>
      <c r="D188" s="477">
        <v>3114.3000000000084</v>
      </c>
      <c r="E188" s="480">
        <f t="shared" si="3"/>
        <v>2750.8000000000102</v>
      </c>
      <c r="F188" s="479"/>
    </row>
    <row r="189" spans="1:6" ht="18" customHeight="1">
      <c r="A189" s="475">
        <v>184</v>
      </c>
      <c r="B189" s="476">
        <v>1941.499999999993</v>
      </c>
      <c r="C189" s="476">
        <v>1879.9999999999936</v>
      </c>
      <c r="D189" s="477">
        <v>3130.6000000000085</v>
      </c>
      <c r="E189" s="480">
        <f t="shared" si="3"/>
        <v>2765.2000000000103</v>
      </c>
      <c r="F189" s="479"/>
    </row>
    <row r="190" spans="1:6" ht="18" customHeight="1">
      <c r="A190" s="475">
        <v>185</v>
      </c>
      <c r="B190" s="476">
        <v>1951.5999999999929</v>
      </c>
      <c r="C190" s="476">
        <v>1889.7999999999936</v>
      </c>
      <c r="D190" s="477">
        <v>3146.9000000000087</v>
      </c>
      <c r="E190" s="480">
        <f t="shared" si="3"/>
        <v>2779.6000000000104</v>
      </c>
      <c r="F190" s="479"/>
    </row>
    <row r="191" spans="1:6" ht="18" customHeight="1">
      <c r="A191" s="475">
        <v>186</v>
      </c>
      <c r="B191" s="476">
        <v>1961.6999999999928</v>
      </c>
      <c r="C191" s="476">
        <v>1899.5999999999935</v>
      </c>
      <c r="D191" s="477">
        <v>3163.2000000000089</v>
      </c>
      <c r="E191" s="480">
        <f t="shared" si="3"/>
        <v>2794.0000000000105</v>
      </c>
      <c r="F191" s="479"/>
    </row>
    <row r="192" spans="1:6" ht="18" customHeight="1">
      <c r="A192" s="475">
        <v>187</v>
      </c>
      <c r="B192" s="476">
        <v>1971.7999999999927</v>
      </c>
      <c r="C192" s="476">
        <v>1909.3999999999935</v>
      </c>
      <c r="D192" s="477">
        <v>3179.5000000000091</v>
      </c>
      <c r="E192" s="480">
        <f t="shared" si="3"/>
        <v>2808.4000000000106</v>
      </c>
      <c r="F192" s="479"/>
    </row>
    <row r="193" spans="1:6" ht="18" customHeight="1">
      <c r="A193" s="475">
        <v>188</v>
      </c>
      <c r="B193" s="476">
        <v>1981.8999999999926</v>
      </c>
      <c r="C193" s="476">
        <v>1919.1999999999935</v>
      </c>
      <c r="D193" s="477">
        <v>3195.8000000000093</v>
      </c>
      <c r="E193" s="480">
        <f t="shared" si="3"/>
        <v>2822.8000000000106</v>
      </c>
      <c r="F193" s="479"/>
    </row>
    <row r="194" spans="1:6" ht="18" customHeight="1">
      <c r="A194" s="475">
        <v>189</v>
      </c>
      <c r="B194" s="476">
        <v>1991.9999999999925</v>
      </c>
      <c r="C194" s="476">
        <v>1928.9999999999934</v>
      </c>
      <c r="D194" s="477">
        <v>3212.1000000000095</v>
      </c>
      <c r="E194" s="480">
        <f t="shared" si="3"/>
        <v>2837.2000000000107</v>
      </c>
      <c r="F194" s="479"/>
    </row>
    <row r="195" spans="1:6" ht="18" customHeight="1">
      <c r="A195" s="475">
        <v>190</v>
      </c>
      <c r="B195" s="476">
        <v>2002.0999999999924</v>
      </c>
      <c r="C195" s="476">
        <v>1938.7999999999934</v>
      </c>
      <c r="D195" s="477">
        <v>3228.4000000000096</v>
      </c>
      <c r="E195" s="480">
        <f t="shared" si="3"/>
        <v>2851.6000000000108</v>
      </c>
      <c r="F195" s="479"/>
    </row>
    <row r="196" spans="1:6" ht="18" customHeight="1">
      <c r="A196" s="475">
        <v>191</v>
      </c>
      <c r="B196" s="476">
        <v>2012.1999999999923</v>
      </c>
      <c r="C196" s="476">
        <v>1948.5999999999933</v>
      </c>
      <c r="D196" s="477">
        <v>3244.7000000000098</v>
      </c>
      <c r="E196" s="480">
        <f t="shared" si="3"/>
        <v>2866.0000000000109</v>
      </c>
      <c r="F196" s="479"/>
    </row>
    <row r="197" spans="1:6" ht="18" customHeight="1">
      <c r="A197" s="475">
        <v>192</v>
      </c>
      <c r="B197" s="476">
        <v>2022.2999999999922</v>
      </c>
      <c r="C197" s="476">
        <v>1958.3999999999933</v>
      </c>
      <c r="D197" s="477">
        <v>3261.00000000001</v>
      </c>
      <c r="E197" s="480">
        <f t="shared" si="3"/>
        <v>2880.400000000011</v>
      </c>
      <c r="F197" s="479"/>
    </row>
    <row r="198" spans="1:6" ht="18" customHeight="1">
      <c r="A198" s="475">
        <v>193</v>
      </c>
      <c r="B198" s="476">
        <v>2032.3999999999921</v>
      </c>
      <c r="C198" s="476">
        <v>1968.1999999999932</v>
      </c>
      <c r="D198" s="477">
        <v>3277.3000000000102</v>
      </c>
      <c r="E198" s="480">
        <f t="shared" si="3"/>
        <v>2894.8000000000111</v>
      </c>
      <c r="F198" s="479"/>
    </row>
    <row r="199" spans="1:6" ht="18" customHeight="1">
      <c r="A199" s="475">
        <v>194</v>
      </c>
      <c r="B199" s="476">
        <v>2042.499999999992</v>
      </c>
      <c r="C199" s="476">
        <v>1977.9999999999932</v>
      </c>
      <c r="D199" s="477">
        <v>3293.6000000000104</v>
      </c>
      <c r="E199" s="480">
        <f t="shared" si="3"/>
        <v>2909.2000000000112</v>
      </c>
      <c r="F199" s="479"/>
    </row>
    <row r="200" spans="1:6" ht="18" customHeight="1">
      <c r="A200" s="475">
        <v>195</v>
      </c>
      <c r="B200" s="476">
        <v>2052.5999999999922</v>
      </c>
      <c r="C200" s="476">
        <v>1987.7999999999931</v>
      </c>
      <c r="D200" s="477">
        <v>3309.9000000000106</v>
      </c>
      <c r="E200" s="480">
        <f t="shared" si="3"/>
        <v>2923.6000000000113</v>
      </c>
      <c r="F200" s="479"/>
    </row>
    <row r="201" spans="1:6" ht="18" customHeight="1">
      <c r="A201" s="475">
        <v>196</v>
      </c>
      <c r="B201" s="476">
        <v>2062.6999999999921</v>
      </c>
      <c r="C201" s="476">
        <v>1997.5999999999931</v>
      </c>
      <c r="D201" s="477">
        <v>3326.2000000000107</v>
      </c>
      <c r="E201" s="480">
        <f t="shared" si="3"/>
        <v>2938.0000000000114</v>
      </c>
      <c r="F201" s="479"/>
    </row>
    <row r="202" spans="1:6" ht="18" customHeight="1">
      <c r="A202" s="475">
        <v>197</v>
      </c>
      <c r="B202" s="476">
        <v>2072.799999999992</v>
      </c>
      <c r="C202" s="476">
        <v>2007.399999999993</v>
      </c>
      <c r="D202" s="477">
        <v>3342.5000000000109</v>
      </c>
      <c r="E202" s="480">
        <f t="shared" si="3"/>
        <v>2952.4000000000115</v>
      </c>
      <c r="F202" s="479"/>
    </row>
    <row r="203" spans="1:6" ht="18" customHeight="1">
      <c r="A203" s="475">
        <v>198</v>
      </c>
      <c r="B203" s="476">
        <v>2082.8999999999919</v>
      </c>
      <c r="C203" s="476">
        <v>2017.199999999993</v>
      </c>
      <c r="D203" s="477">
        <v>3358.8000000000111</v>
      </c>
      <c r="E203" s="480">
        <f t="shared" si="3"/>
        <v>2966.8000000000116</v>
      </c>
      <c r="F203" s="479"/>
    </row>
    <row r="204" spans="1:6" ht="18" customHeight="1">
      <c r="A204" s="475">
        <v>199</v>
      </c>
      <c r="B204" s="476">
        <v>2092.9999999999918</v>
      </c>
      <c r="C204" s="476">
        <v>2026.999999999993</v>
      </c>
      <c r="D204" s="477">
        <v>3375.1000000000113</v>
      </c>
      <c r="E204" s="480">
        <f t="shared" si="3"/>
        <v>2981.2000000000116</v>
      </c>
      <c r="F204" s="479"/>
    </row>
    <row r="205" spans="1:6" ht="18" customHeight="1">
      <c r="A205" s="475">
        <v>200</v>
      </c>
      <c r="B205" s="476">
        <v>2103.0999999999917</v>
      </c>
      <c r="C205" s="476">
        <v>2036.7999999999929</v>
      </c>
      <c r="D205" s="477">
        <v>3391.4000000000115</v>
      </c>
      <c r="E205" s="480">
        <f t="shared" si="3"/>
        <v>2995.6000000000117</v>
      </c>
      <c r="F205" s="479"/>
    </row>
    <row r="206" spans="1:6">
      <c r="A206" s="475">
        <v>201</v>
      </c>
      <c r="B206" s="476">
        <v>2113.1999999999916</v>
      </c>
      <c r="C206" s="476">
        <v>2046.5999999999929</v>
      </c>
      <c r="D206" s="477">
        <v>3407.7000000000116</v>
      </c>
      <c r="E206" s="480">
        <f t="shared" si="3"/>
        <v>3010.0000000000118</v>
      </c>
      <c r="F206" s="479"/>
    </row>
    <row r="207" spans="1:6">
      <c r="A207" s="475">
        <v>202</v>
      </c>
      <c r="B207" s="476">
        <v>2123.2999999999915</v>
      </c>
      <c r="C207" s="476">
        <v>2056.3999999999928</v>
      </c>
      <c r="D207" s="477">
        <v>3424.0000000000118</v>
      </c>
      <c r="E207" s="480">
        <f t="shared" si="3"/>
        <v>3024.4000000000119</v>
      </c>
      <c r="F207" s="479"/>
    </row>
    <row r="208" spans="1:6">
      <c r="A208" s="475">
        <v>203</v>
      </c>
      <c r="B208" s="476">
        <v>2133.3999999999915</v>
      </c>
      <c r="C208" s="476">
        <v>2066.199999999993</v>
      </c>
      <c r="D208" s="477">
        <v>3440.300000000012</v>
      </c>
      <c r="E208" s="480">
        <f t="shared" si="3"/>
        <v>3038.800000000012</v>
      </c>
      <c r="F208" s="479"/>
    </row>
    <row r="209" spans="1:6">
      <c r="A209" s="475">
        <v>204</v>
      </c>
      <c r="B209" s="476">
        <v>2143.4999999999914</v>
      </c>
      <c r="C209" s="476">
        <v>2075.9999999999932</v>
      </c>
      <c r="D209" s="477">
        <v>3456.6000000000122</v>
      </c>
      <c r="E209" s="480">
        <f t="shared" si="3"/>
        <v>3053.2000000000121</v>
      </c>
      <c r="F209" s="479"/>
    </row>
    <row r="210" spans="1:6">
      <c r="A210" s="475">
        <v>205</v>
      </c>
      <c r="B210" s="476">
        <v>2153.5999999999913</v>
      </c>
      <c r="C210" s="476">
        <v>2085.7999999999934</v>
      </c>
      <c r="D210" s="477">
        <v>3472.9000000000124</v>
      </c>
      <c r="E210" s="480">
        <f t="shared" si="3"/>
        <v>3067.6000000000122</v>
      </c>
      <c r="F210" s="479"/>
    </row>
    <row r="211" spans="1:6">
      <c r="A211" s="475">
        <v>206</v>
      </c>
      <c r="B211" s="476">
        <v>2163.6999999999912</v>
      </c>
      <c r="C211" s="476">
        <v>2095.5999999999935</v>
      </c>
      <c r="D211" s="477">
        <v>3489.2000000000126</v>
      </c>
      <c r="E211" s="480">
        <f t="shared" si="3"/>
        <v>3082.0000000000123</v>
      </c>
      <c r="F211" s="479"/>
    </row>
    <row r="212" spans="1:6">
      <c r="A212" s="475">
        <v>207</v>
      </c>
      <c r="B212" s="476">
        <v>2173.7999999999911</v>
      </c>
      <c r="C212" s="476">
        <v>2105.3999999999937</v>
      </c>
      <c r="D212" s="477">
        <v>3505.5000000000127</v>
      </c>
      <c r="E212" s="480">
        <f t="shared" si="3"/>
        <v>3096.4000000000124</v>
      </c>
      <c r="F212" s="479"/>
    </row>
    <row r="213" spans="1:6">
      <c r="A213" s="475">
        <v>208</v>
      </c>
      <c r="B213" s="476">
        <v>2183.899999999991</v>
      </c>
      <c r="C213" s="476">
        <v>2115.1999999999939</v>
      </c>
      <c r="D213" s="477">
        <v>3521.8000000000129</v>
      </c>
      <c r="E213" s="480">
        <f t="shared" si="3"/>
        <v>3110.8000000000125</v>
      </c>
      <c r="F213" s="479"/>
    </row>
    <row r="214" spans="1:6">
      <c r="A214" s="475">
        <v>209</v>
      </c>
      <c r="B214" s="476">
        <v>2193.9999999999909</v>
      </c>
      <c r="C214" s="476">
        <v>2124.9999999999941</v>
      </c>
      <c r="D214" s="477">
        <v>3538.1000000000131</v>
      </c>
      <c r="E214" s="480">
        <f t="shared" si="3"/>
        <v>3125.2000000000126</v>
      </c>
      <c r="F214" s="479"/>
    </row>
    <row r="215" spans="1:6">
      <c r="A215" s="475">
        <v>210</v>
      </c>
      <c r="B215" s="476">
        <v>2204.0999999999908</v>
      </c>
      <c r="C215" s="476">
        <v>2134.7999999999943</v>
      </c>
      <c r="D215" s="477">
        <v>3554.4000000000133</v>
      </c>
      <c r="E215" s="480">
        <f t="shared" si="3"/>
        <v>3139.6000000000126</v>
      </c>
      <c r="F215" s="479"/>
    </row>
    <row r="216" spans="1:6">
      <c r="A216" s="475">
        <v>211</v>
      </c>
      <c r="B216" s="476">
        <v>2214.1999999999907</v>
      </c>
      <c r="C216" s="476">
        <v>2144.5999999999945</v>
      </c>
      <c r="D216" s="477">
        <v>3570.7000000000135</v>
      </c>
      <c r="E216" s="480">
        <f t="shared" si="3"/>
        <v>3154.0000000000127</v>
      </c>
      <c r="F216" s="479"/>
    </row>
    <row r="217" spans="1:6">
      <c r="A217" s="475">
        <v>212</v>
      </c>
      <c r="B217" s="476">
        <v>2224.2999999999906</v>
      </c>
      <c r="C217" s="476">
        <v>2154.3999999999946</v>
      </c>
      <c r="D217" s="477">
        <v>3587.0000000000136</v>
      </c>
      <c r="E217" s="480">
        <f t="shared" si="3"/>
        <v>3168.4000000000128</v>
      </c>
      <c r="F217" s="479"/>
    </row>
    <row r="218" spans="1:6">
      <c r="A218" s="475">
        <v>213</v>
      </c>
      <c r="B218" s="476">
        <v>2234.3999999999905</v>
      </c>
      <c r="C218" s="476">
        <v>2164.1999999999948</v>
      </c>
      <c r="D218" s="477">
        <v>3603.3000000000138</v>
      </c>
      <c r="E218" s="480">
        <f t="shared" si="3"/>
        <v>3182.8000000000129</v>
      </c>
      <c r="F218" s="479"/>
    </row>
    <row r="219" spans="1:6">
      <c r="A219" s="475">
        <v>214</v>
      </c>
      <c r="B219" s="476">
        <v>2244.4999999999905</v>
      </c>
      <c r="C219" s="476">
        <v>2173.999999999995</v>
      </c>
      <c r="D219" s="477">
        <v>3619.600000000014</v>
      </c>
      <c r="E219" s="480">
        <f t="shared" si="3"/>
        <v>3197.200000000013</v>
      </c>
      <c r="F219" s="479"/>
    </row>
    <row r="220" spans="1:6">
      <c r="A220" s="475">
        <v>215</v>
      </c>
      <c r="B220" s="476">
        <v>2254.5999999999904</v>
      </c>
      <c r="C220" s="476">
        <v>2183.7999999999952</v>
      </c>
      <c r="D220" s="477">
        <v>3635.9000000000142</v>
      </c>
      <c r="E220" s="480">
        <f t="shared" si="3"/>
        <v>3211.6000000000131</v>
      </c>
      <c r="F220" s="479"/>
    </row>
    <row r="221" spans="1:6">
      <c r="A221" s="475">
        <v>216</v>
      </c>
      <c r="B221" s="476">
        <v>2264.6999999999903</v>
      </c>
      <c r="C221" s="476">
        <v>2193.5999999999954</v>
      </c>
      <c r="D221" s="477">
        <v>3652.2000000000144</v>
      </c>
      <c r="E221" s="480">
        <f t="shared" si="3"/>
        <v>3226.0000000000132</v>
      </c>
    </row>
    <row r="222" spans="1:6">
      <c r="A222" s="475">
        <v>217</v>
      </c>
      <c r="B222" s="476">
        <v>2274.7999999999902</v>
      </c>
      <c r="C222" s="476">
        <v>2203.3999999999955</v>
      </c>
      <c r="D222" s="477">
        <v>3668.5000000000146</v>
      </c>
      <c r="E222" s="480">
        <f t="shared" si="3"/>
        <v>3240.4000000000133</v>
      </c>
    </row>
    <row r="223" spans="1:6">
      <c r="A223" s="475">
        <v>218</v>
      </c>
      <c r="B223" s="476">
        <v>2284.8999999999901</v>
      </c>
      <c r="C223" s="476">
        <v>2213.1999999999957</v>
      </c>
      <c r="D223" s="477">
        <v>3684.8000000000147</v>
      </c>
      <c r="E223" s="480">
        <f t="shared" si="3"/>
        <v>3254.8000000000134</v>
      </c>
    </row>
    <row r="224" spans="1:6">
      <c r="A224" s="475">
        <v>219</v>
      </c>
      <c r="B224" s="476">
        <v>2294.99999999999</v>
      </c>
      <c r="C224" s="476">
        <v>2222.9999999999959</v>
      </c>
      <c r="D224" s="477">
        <v>3701.1000000000149</v>
      </c>
      <c r="E224" s="480">
        <f t="shared" si="3"/>
        <v>3269.2000000000135</v>
      </c>
    </row>
    <row r="225" spans="1:5">
      <c r="A225" s="475">
        <v>220</v>
      </c>
      <c r="B225" s="476">
        <v>2305.0999999999899</v>
      </c>
      <c r="C225" s="476">
        <v>2232.7999999999961</v>
      </c>
      <c r="D225" s="477">
        <v>3717.4000000000151</v>
      </c>
      <c r="E225" s="480">
        <f t="shared" si="3"/>
        <v>3283.6000000000136</v>
      </c>
    </row>
    <row r="226" spans="1:5">
      <c r="A226" s="475">
        <v>221</v>
      </c>
      <c r="B226" s="476">
        <v>2315.1999999999898</v>
      </c>
      <c r="C226" s="476">
        <v>2242.5999999999963</v>
      </c>
      <c r="D226" s="477">
        <v>3733.7000000000153</v>
      </c>
      <c r="E226" s="480">
        <f t="shared" si="3"/>
        <v>3298.0000000000136</v>
      </c>
    </row>
    <row r="227" spans="1:5">
      <c r="A227" s="475">
        <v>222</v>
      </c>
      <c r="B227" s="476">
        <v>2325.2999999999897</v>
      </c>
      <c r="C227" s="476">
        <v>2252.3999999999965</v>
      </c>
      <c r="D227" s="477">
        <v>3750.0000000000155</v>
      </c>
      <c r="E227" s="480">
        <f t="shared" si="3"/>
        <v>3312.4000000000137</v>
      </c>
    </row>
    <row r="228" spans="1:5">
      <c r="A228" s="475">
        <v>223</v>
      </c>
      <c r="B228" s="476">
        <v>2335.3999999999896</v>
      </c>
      <c r="C228" s="476">
        <v>2262.1999999999966</v>
      </c>
      <c r="D228" s="477">
        <v>3766.3000000000156</v>
      </c>
      <c r="E228" s="480">
        <f t="shared" si="3"/>
        <v>3326.8000000000138</v>
      </c>
    </row>
    <row r="229" spans="1:5">
      <c r="A229" s="475">
        <v>224</v>
      </c>
      <c r="B229" s="476">
        <v>2345.4999999999895</v>
      </c>
      <c r="C229" s="476">
        <v>2271.9999999999968</v>
      </c>
      <c r="D229" s="477">
        <v>3782.6000000000158</v>
      </c>
      <c r="E229" s="480">
        <f t="shared" ref="E229:E292" si="4">E228+14.4</f>
        <v>3341.2000000000139</v>
      </c>
    </row>
    <row r="230" spans="1:5">
      <c r="A230" s="475">
        <v>225</v>
      </c>
      <c r="B230" s="476">
        <v>2355.5999999999894</v>
      </c>
      <c r="C230" s="476">
        <v>2281.799999999997</v>
      </c>
      <c r="D230" s="477">
        <v>3798.900000000016</v>
      </c>
      <c r="E230" s="480">
        <f t="shared" si="4"/>
        <v>3355.600000000014</v>
      </c>
    </row>
    <row r="231" spans="1:5">
      <c r="A231" s="475">
        <v>226</v>
      </c>
      <c r="B231" s="476">
        <v>2365.6999999999894</v>
      </c>
      <c r="C231" s="476">
        <v>2291.5999999999972</v>
      </c>
      <c r="D231" s="477">
        <v>3815.2000000000162</v>
      </c>
      <c r="E231" s="480">
        <f t="shared" si="4"/>
        <v>3370.0000000000141</v>
      </c>
    </row>
    <row r="232" spans="1:5">
      <c r="A232" s="475">
        <v>227</v>
      </c>
      <c r="B232" s="476">
        <v>2375.7999999999893</v>
      </c>
      <c r="C232" s="476">
        <v>2301.3999999999974</v>
      </c>
      <c r="D232" s="477">
        <v>3831.5000000000164</v>
      </c>
      <c r="E232" s="480">
        <f t="shared" si="4"/>
        <v>3384.4000000000142</v>
      </c>
    </row>
    <row r="233" spans="1:5">
      <c r="A233" s="475">
        <v>228</v>
      </c>
      <c r="B233" s="476">
        <v>2385.8999999999892</v>
      </c>
      <c r="C233" s="476">
        <v>2311.1999999999975</v>
      </c>
      <c r="D233" s="477">
        <v>3847.8000000000166</v>
      </c>
      <c r="E233" s="480">
        <f t="shared" si="4"/>
        <v>3398.8000000000143</v>
      </c>
    </row>
    <row r="234" spans="1:5">
      <c r="A234" s="475">
        <v>229</v>
      </c>
      <c r="B234" s="476">
        <v>2395.9999999999891</v>
      </c>
      <c r="C234" s="476">
        <v>2320.9999999999977</v>
      </c>
      <c r="D234" s="477">
        <v>3864.1000000000167</v>
      </c>
      <c r="E234" s="480">
        <f t="shared" si="4"/>
        <v>3413.2000000000144</v>
      </c>
    </row>
    <row r="235" spans="1:5">
      <c r="A235" s="475">
        <v>230</v>
      </c>
      <c r="B235" s="476">
        <v>2406.099999999989</v>
      </c>
      <c r="C235" s="476">
        <v>2330.7999999999979</v>
      </c>
      <c r="D235" s="477">
        <v>3880.4000000000169</v>
      </c>
      <c r="E235" s="480">
        <f t="shared" si="4"/>
        <v>3427.6000000000145</v>
      </c>
    </row>
    <row r="236" spans="1:5">
      <c r="A236" s="475">
        <v>231</v>
      </c>
      <c r="B236" s="476">
        <v>2416.1999999999889</v>
      </c>
      <c r="C236" s="476">
        <v>2340.5999999999981</v>
      </c>
      <c r="D236" s="477">
        <v>3896.7000000000171</v>
      </c>
      <c r="E236" s="480">
        <f t="shared" si="4"/>
        <v>3442.0000000000146</v>
      </c>
    </row>
    <row r="237" spans="1:5">
      <c r="A237" s="475">
        <v>232</v>
      </c>
      <c r="B237" s="476">
        <v>2426.2999999999888</v>
      </c>
      <c r="C237" s="476">
        <v>2350.3999999999983</v>
      </c>
      <c r="D237" s="477">
        <v>3913.0000000000173</v>
      </c>
      <c r="E237" s="480">
        <f t="shared" si="4"/>
        <v>3456.4000000000146</v>
      </c>
    </row>
    <row r="238" spans="1:5">
      <c r="A238" s="475">
        <v>233</v>
      </c>
      <c r="B238" s="476">
        <v>2436.3999999999887</v>
      </c>
      <c r="C238" s="476">
        <v>2360.1999999999985</v>
      </c>
      <c r="D238" s="477">
        <v>3929.3000000000175</v>
      </c>
      <c r="E238" s="480">
        <f t="shared" si="4"/>
        <v>3470.8000000000147</v>
      </c>
    </row>
    <row r="239" spans="1:5">
      <c r="A239" s="475">
        <v>234</v>
      </c>
      <c r="B239" s="476">
        <v>2446.4999999999886</v>
      </c>
      <c r="C239" s="476">
        <v>2369.9999999999986</v>
      </c>
      <c r="D239" s="477">
        <v>3945.6000000000176</v>
      </c>
      <c r="E239" s="480">
        <f t="shared" si="4"/>
        <v>3485.2000000000148</v>
      </c>
    </row>
    <row r="240" spans="1:5">
      <c r="A240" s="475">
        <v>235</v>
      </c>
      <c r="B240" s="476">
        <v>2456.5999999999885</v>
      </c>
      <c r="C240" s="476">
        <v>2379.7999999999988</v>
      </c>
      <c r="D240" s="477">
        <v>3961.9000000000178</v>
      </c>
      <c r="E240" s="480">
        <f t="shared" si="4"/>
        <v>3499.6000000000149</v>
      </c>
    </row>
    <row r="241" spans="1:5">
      <c r="A241" s="475">
        <v>236</v>
      </c>
      <c r="B241" s="476">
        <v>2466.6999999999884</v>
      </c>
      <c r="C241" s="476">
        <v>2389.599999999999</v>
      </c>
      <c r="D241" s="477">
        <v>3978.200000000018</v>
      </c>
      <c r="E241" s="480">
        <f t="shared" si="4"/>
        <v>3514.000000000015</v>
      </c>
    </row>
    <row r="242" spans="1:5">
      <c r="A242" s="475">
        <v>237</v>
      </c>
      <c r="B242" s="476">
        <v>2476.7999999999884</v>
      </c>
      <c r="C242" s="476">
        <v>2399.3999999999992</v>
      </c>
      <c r="D242" s="477">
        <v>3994.5000000000182</v>
      </c>
      <c r="E242" s="480">
        <f t="shared" si="4"/>
        <v>3528.4000000000151</v>
      </c>
    </row>
    <row r="243" spans="1:5">
      <c r="A243" s="475">
        <v>238</v>
      </c>
      <c r="B243" s="476">
        <v>2486.8999999999883</v>
      </c>
      <c r="C243" s="476">
        <v>2409.1999999999994</v>
      </c>
      <c r="D243" s="477">
        <v>4010.8000000000184</v>
      </c>
      <c r="E243" s="480">
        <f t="shared" si="4"/>
        <v>3542.8000000000152</v>
      </c>
    </row>
    <row r="244" spans="1:5">
      <c r="A244" s="475">
        <v>239</v>
      </c>
      <c r="B244" s="476">
        <v>2496.9999999999882</v>
      </c>
      <c r="C244" s="476">
        <v>2418.9999999999995</v>
      </c>
      <c r="D244" s="477">
        <v>4027.1000000000186</v>
      </c>
      <c r="E244" s="480">
        <f t="shared" si="4"/>
        <v>3557.2000000000153</v>
      </c>
    </row>
    <row r="245" spans="1:5">
      <c r="A245" s="475">
        <v>240</v>
      </c>
      <c r="B245" s="476">
        <v>2507.0999999999881</v>
      </c>
      <c r="C245" s="476">
        <v>2428.7999999999997</v>
      </c>
      <c r="D245" s="477">
        <v>4043.4000000000187</v>
      </c>
      <c r="E245" s="480">
        <f t="shared" si="4"/>
        <v>3571.6000000000154</v>
      </c>
    </row>
    <row r="246" spans="1:5">
      <c r="A246" s="475">
        <v>241</v>
      </c>
      <c r="B246" s="476">
        <v>2517.199999999988</v>
      </c>
      <c r="C246" s="476">
        <v>2438.6</v>
      </c>
      <c r="D246" s="477">
        <v>4059.7000000000189</v>
      </c>
      <c r="E246" s="480">
        <f t="shared" si="4"/>
        <v>3586.0000000000155</v>
      </c>
    </row>
    <row r="247" spans="1:5">
      <c r="A247" s="475">
        <v>242</v>
      </c>
      <c r="B247" s="476">
        <v>2527.2999999999879</v>
      </c>
      <c r="C247" s="476">
        <v>2448.4</v>
      </c>
      <c r="D247" s="477">
        <v>4076.0000000000191</v>
      </c>
      <c r="E247" s="480">
        <f t="shared" si="4"/>
        <v>3600.4000000000156</v>
      </c>
    </row>
    <row r="248" spans="1:5">
      <c r="A248" s="475">
        <v>243</v>
      </c>
      <c r="B248" s="476">
        <v>2537.3999999999878</v>
      </c>
      <c r="C248" s="476">
        <v>2458.2000000000003</v>
      </c>
      <c r="D248" s="477">
        <v>4092.3000000000193</v>
      </c>
      <c r="E248" s="480">
        <f t="shared" si="4"/>
        <v>3614.8000000000156</v>
      </c>
    </row>
    <row r="249" spans="1:5">
      <c r="A249" s="475">
        <v>244</v>
      </c>
      <c r="B249" s="476">
        <v>2547.4999999999877</v>
      </c>
      <c r="C249" s="476">
        <v>2468.0000000000005</v>
      </c>
      <c r="D249" s="477">
        <v>4108.6000000000195</v>
      </c>
      <c r="E249" s="480">
        <f t="shared" si="4"/>
        <v>3629.2000000000157</v>
      </c>
    </row>
    <row r="250" spans="1:5">
      <c r="A250" s="475">
        <v>245</v>
      </c>
      <c r="B250" s="476">
        <v>2557.5999999999876</v>
      </c>
      <c r="C250" s="476">
        <v>2477.8000000000006</v>
      </c>
      <c r="D250" s="477">
        <v>4124.9000000000196</v>
      </c>
      <c r="E250" s="480">
        <f t="shared" si="4"/>
        <v>3643.6000000000158</v>
      </c>
    </row>
    <row r="251" spans="1:5">
      <c r="A251" s="475">
        <v>246</v>
      </c>
      <c r="B251" s="476">
        <v>2567.6999999999875</v>
      </c>
      <c r="C251" s="476">
        <v>2487.6000000000008</v>
      </c>
      <c r="D251" s="477">
        <v>4141.2000000000198</v>
      </c>
      <c r="E251" s="480">
        <f t="shared" si="4"/>
        <v>3658.0000000000159</v>
      </c>
    </row>
    <row r="252" spans="1:5">
      <c r="A252" s="475">
        <v>247</v>
      </c>
      <c r="B252" s="476">
        <v>2577.7999999999874</v>
      </c>
      <c r="C252" s="476">
        <v>2497.400000000001</v>
      </c>
      <c r="D252" s="477">
        <v>4157.50000000002</v>
      </c>
      <c r="E252" s="480">
        <f t="shared" si="4"/>
        <v>3672.400000000016</v>
      </c>
    </row>
    <row r="253" spans="1:5">
      <c r="A253" s="475">
        <v>248</v>
      </c>
      <c r="B253" s="476">
        <v>2587.8999999999874</v>
      </c>
      <c r="C253" s="476">
        <v>2507.2000000000012</v>
      </c>
      <c r="D253" s="477">
        <v>4173.8000000000202</v>
      </c>
      <c r="E253" s="480">
        <f t="shared" si="4"/>
        <v>3686.8000000000161</v>
      </c>
    </row>
    <row r="254" spans="1:5">
      <c r="A254" s="475">
        <v>249</v>
      </c>
      <c r="B254" s="476">
        <v>2597.9999999999873</v>
      </c>
      <c r="C254" s="476">
        <v>2517.0000000000014</v>
      </c>
      <c r="D254" s="477">
        <v>4190.1000000000204</v>
      </c>
      <c r="E254" s="480">
        <f t="shared" si="4"/>
        <v>3701.2000000000162</v>
      </c>
    </row>
    <row r="255" spans="1:5">
      <c r="A255" s="475">
        <v>250</v>
      </c>
      <c r="B255" s="476">
        <v>2608.0999999999872</v>
      </c>
      <c r="C255" s="476">
        <v>2526.8000000000015</v>
      </c>
      <c r="D255" s="477">
        <v>4206.4000000000206</v>
      </c>
      <c r="E255" s="480">
        <f t="shared" si="4"/>
        <v>3715.6000000000163</v>
      </c>
    </row>
    <row r="256" spans="1:5">
      <c r="A256" s="475">
        <v>251</v>
      </c>
      <c r="B256" s="476">
        <v>2618.1999999999871</v>
      </c>
      <c r="C256" s="476">
        <v>2536.6000000000017</v>
      </c>
      <c r="D256" s="477">
        <v>4222.7000000000207</v>
      </c>
      <c r="E256" s="480">
        <f t="shared" si="4"/>
        <v>3730.0000000000164</v>
      </c>
    </row>
    <row r="257" spans="1:5">
      <c r="A257" s="475">
        <v>252</v>
      </c>
      <c r="B257" s="476">
        <v>2628.299999999987</v>
      </c>
      <c r="C257" s="476">
        <v>2546.4000000000019</v>
      </c>
      <c r="D257" s="477">
        <v>4239.0000000000209</v>
      </c>
      <c r="E257" s="480">
        <f t="shared" si="4"/>
        <v>3744.4000000000165</v>
      </c>
    </row>
    <row r="258" spans="1:5">
      <c r="A258" s="475">
        <v>253</v>
      </c>
      <c r="B258" s="476">
        <v>2638.3999999999869</v>
      </c>
      <c r="C258" s="476">
        <v>2556.2000000000021</v>
      </c>
      <c r="D258" s="477">
        <v>4255.3000000000211</v>
      </c>
      <c r="E258" s="480">
        <f t="shared" si="4"/>
        <v>3758.8000000000166</v>
      </c>
    </row>
    <row r="259" spans="1:5">
      <c r="A259" s="475">
        <v>254</v>
      </c>
      <c r="B259" s="476">
        <v>2648.4999999999868</v>
      </c>
      <c r="C259" s="476">
        <v>2566.0000000000023</v>
      </c>
      <c r="D259" s="477">
        <v>4271.6000000000213</v>
      </c>
      <c r="E259" s="480">
        <f t="shared" si="4"/>
        <v>3773.2000000000166</v>
      </c>
    </row>
    <row r="260" spans="1:5">
      <c r="A260" s="475">
        <v>255</v>
      </c>
      <c r="B260" s="476">
        <v>2658.5999999999867</v>
      </c>
      <c r="C260" s="476">
        <v>2575.8000000000025</v>
      </c>
      <c r="D260" s="477">
        <v>4287.9000000000215</v>
      </c>
      <c r="E260" s="480">
        <f t="shared" si="4"/>
        <v>3787.6000000000167</v>
      </c>
    </row>
    <row r="261" spans="1:5">
      <c r="A261" s="475">
        <v>256</v>
      </c>
      <c r="B261" s="476">
        <v>2668.6999999999866</v>
      </c>
      <c r="C261" s="476">
        <v>2585.6000000000026</v>
      </c>
      <c r="D261" s="477">
        <v>4304.2000000000216</v>
      </c>
      <c r="E261" s="480">
        <f t="shared" si="4"/>
        <v>3802.0000000000168</v>
      </c>
    </row>
    <row r="262" spans="1:5">
      <c r="A262" s="475">
        <v>257</v>
      </c>
      <c r="B262" s="476">
        <v>2678.7999999999865</v>
      </c>
      <c r="C262" s="476">
        <v>2595.4000000000028</v>
      </c>
      <c r="D262" s="477">
        <v>4320.5000000000218</v>
      </c>
      <c r="E262" s="480">
        <f t="shared" si="4"/>
        <v>3816.4000000000169</v>
      </c>
    </row>
    <row r="263" spans="1:5">
      <c r="A263" s="475">
        <v>258</v>
      </c>
      <c r="B263" s="476">
        <v>2688.8999999999864</v>
      </c>
      <c r="C263" s="476">
        <v>2605.200000000003</v>
      </c>
      <c r="D263" s="477">
        <v>4336.800000000022</v>
      </c>
      <c r="E263" s="480">
        <f t="shared" si="4"/>
        <v>3830.800000000017</v>
      </c>
    </row>
    <row r="264" spans="1:5">
      <c r="A264" s="475">
        <v>259</v>
      </c>
      <c r="B264" s="476">
        <v>2698.9999999999864</v>
      </c>
      <c r="C264" s="476">
        <v>2615.0000000000032</v>
      </c>
      <c r="D264" s="477">
        <v>4353.1000000000222</v>
      </c>
      <c r="E264" s="480">
        <f t="shared" si="4"/>
        <v>3845.2000000000171</v>
      </c>
    </row>
    <row r="265" spans="1:5">
      <c r="A265" s="475">
        <v>260</v>
      </c>
      <c r="B265" s="476">
        <v>2709.0999999999863</v>
      </c>
      <c r="C265" s="476">
        <v>2624.8000000000034</v>
      </c>
      <c r="D265" s="477">
        <v>4369.4000000000224</v>
      </c>
      <c r="E265" s="480">
        <f t="shared" si="4"/>
        <v>3859.6000000000172</v>
      </c>
    </row>
    <row r="266" spans="1:5">
      <c r="A266" s="475">
        <v>261</v>
      </c>
      <c r="B266" s="476">
        <v>2719.1999999999862</v>
      </c>
      <c r="C266" s="476">
        <v>2634.6000000000035</v>
      </c>
      <c r="D266" s="477">
        <v>4385.7000000000226</v>
      </c>
      <c r="E266" s="480">
        <f t="shared" si="4"/>
        <v>3874.0000000000173</v>
      </c>
    </row>
    <row r="267" spans="1:5">
      <c r="A267" s="475">
        <v>262</v>
      </c>
      <c r="B267" s="476">
        <v>2729.2999999999861</v>
      </c>
      <c r="C267" s="476">
        <v>2644.4000000000037</v>
      </c>
      <c r="D267" s="477">
        <v>4402.0000000000227</v>
      </c>
      <c r="E267" s="480">
        <f t="shared" si="4"/>
        <v>3888.4000000000174</v>
      </c>
    </row>
    <row r="268" spans="1:5">
      <c r="A268" s="475">
        <v>263</v>
      </c>
      <c r="B268" s="476">
        <v>2739.399999999986</v>
      </c>
      <c r="C268" s="476">
        <v>2654.2000000000039</v>
      </c>
      <c r="D268" s="477">
        <v>4418.3000000000229</v>
      </c>
      <c r="E268" s="480">
        <f t="shared" si="4"/>
        <v>3902.8000000000175</v>
      </c>
    </row>
    <row r="269" spans="1:5">
      <c r="A269" s="475">
        <v>264</v>
      </c>
      <c r="B269" s="476">
        <v>2749.4999999999859</v>
      </c>
      <c r="C269" s="476">
        <v>2664.0000000000041</v>
      </c>
      <c r="D269" s="477">
        <v>4434.6000000000231</v>
      </c>
      <c r="E269" s="480">
        <f t="shared" si="4"/>
        <v>3917.2000000000176</v>
      </c>
    </row>
    <row r="270" spans="1:5">
      <c r="A270" s="475">
        <v>265</v>
      </c>
      <c r="B270" s="476">
        <v>2759.5999999999858</v>
      </c>
      <c r="C270" s="476">
        <v>2673.8000000000043</v>
      </c>
      <c r="D270" s="477">
        <v>4450.9000000000233</v>
      </c>
      <c r="E270" s="480">
        <f t="shared" si="4"/>
        <v>3931.6000000000176</v>
      </c>
    </row>
    <row r="271" spans="1:5">
      <c r="A271" s="475">
        <v>266</v>
      </c>
      <c r="B271" s="476">
        <v>2769.6999999999857</v>
      </c>
      <c r="C271" s="476">
        <v>2683.6000000000045</v>
      </c>
      <c r="D271" s="477">
        <v>4467.2000000000235</v>
      </c>
      <c r="E271" s="480">
        <f t="shared" si="4"/>
        <v>3946.0000000000177</v>
      </c>
    </row>
    <row r="272" spans="1:5">
      <c r="A272" s="475">
        <v>267</v>
      </c>
      <c r="B272" s="476">
        <v>2779.7999999999856</v>
      </c>
      <c r="C272" s="476">
        <v>2693.4000000000046</v>
      </c>
      <c r="D272" s="477">
        <v>4483.5000000000236</v>
      </c>
      <c r="E272" s="480">
        <f t="shared" si="4"/>
        <v>3960.4000000000178</v>
      </c>
    </row>
    <row r="273" spans="1:5">
      <c r="A273" s="475">
        <v>268</v>
      </c>
      <c r="B273" s="476">
        <v>2789.8999999999855</v>
      </c>
      <c r="C273" s="476">
        <v>2703.2000000000048</v>
      </c>
      <c r="D273" s="477">
        <v>4499.8000000000238</v>
      </c>
      <c r="E273" s="480">
        <f t="shared" si="4"/>
        <v>3974.8000000000179</v>
      </c>
    </row>
    <row r="274" spans="1:5">
      <c r="A274" s="475">
        <v>269</v>
      </c>
      <c r="B274" s="476">
        <v>2799.9999999999854</v>
      </c>
      <c r="C274" s="476">
        <v>2713.000000000005</v>
      </c>
      <c r="D274" s="477">
        <v>4516.100000000024</v>
      </c>
      <c r="E274" s="480">
        <f t="shared" si="4"/>
        <v>3989.200000000018</v>
      </c>
    </row>
    <row r="275" spans="1:5">
      <c r="A275" s="475">
        <v>270</v>
      </c>
      <c r="B275" s="476">
        <v>2810.0999999999854</v>
      </c>
      <c r="C275" s="476">
        <v>2722.8000000000052</v>
      </c>
      <c r="D275" s="477">
        <v>4532.4000000000242</v>
      </c>
      <c r="E275" s="480">
        <f t="shared" si="4"/>
        <v>4003.6000000000181</v>
      </c>
    </row>
    <row r="276" spans="1:5">
      <c r="A276" s="475">
        <v>271</v>
      </c>
      <c r="B276" s="476">
        <v>2820.1999999999853</v>
      </c>
      <c r="C276" s="476">
        <v>2732.6000000000054</v>
      </c>
      <c r="D276" s="477">
        <v>4548.7000000000244</v>
      </c>
      <c r="E276" s="480">
        <f t="shared" si="4"/>
        <v>4018.0000000000182</v>
      </c>
    </row>
    <row r="277" spans="1:5">
      <c r="A277" s="475">
        <v>272</v>
      </c>
      <c r="B277" s="476">
        <v>2830.2999999999852</v>
      </c>
      <c r="C277" s="476">
        <v>2742.4000000000055</v>
      </c>
      <c r="D277" s="477">
        <v>4565.0000000000246</v>
      </c>
      <c r="E277" s="480">
        <f t="shared" si="4"/>
        <v>4032.4000000000183</v>
      </c>
    </row>
    <row r="278" spans="1:5">
      <c r="A278" s="475">
        <v>273</v>
      </c>
      <c r="B278" s="476">
        <v>2840.3999999999851</v>
      </c>
      <c r="C278" s="476">
        <v>2752.2000000000057</v>
      </c>
      <c r="D278" s="477">
        <v>4581.3000000000247</v>
      </c>
      <c r="E278" s="480">
        <f t="shared" si="4"/>
        <v>4046.8000000000184</v>
      </c>
    </row>
    <row r="279" spans="1:5">
      <c r="A279" s="475">
        <v>274</v>
      </c>
      <c r="B279" s="476">
        <v>2850.499999999985</v>
      </c>
      <c r="C279" s="476">
        <v>2762.0000000000059</v>
      </c>
      <c r="D279" s="477">
        <v>4597.6000000000249</v>
      </c>
      <c r="E279" s="480">
        <f t="shared" si="4"/>
        <v>4061.2000000000185</v>
      </c>
    </row>
    <row r="280" spans="1:5">
      <c r="A280" s="475">
        <v>275</v>
      </c>
      <c r="B280" s="476">
        <v>2860.5999999999849</v>
      </c>
      <c r="C280" s="476">
        <v>2771.8000000000061</v>
      </c>
      <c r="D280" s="477">
        <v>4613.9000000000251</v>
      </c>
      <c r="E280" s="480">
        <f t="shared" si="4"/>
        <v>4075.6000000000186</v>
      </c>
    </row>
    <row r="281" spans="1:5">
      <c r="A281" s="475">
        <v>276</v>
      </c>
      <c r="B281" s="476">
        <v>2870.6999999999848</v>
      </c>
      <c r="C281" s="476">
        <v>2781.6000000000063</v>
      </c>
      <c r="D281" s="477">
        <v>4630.2000000000253</v>
      </c>
      <c r="E281" s="480">
        <f t="shared" si="4"/>
        <v>4090.0000000000186</v>
      </c>
    </row>
    <row r="282" spans="1:5">
      <c r="A282" s="475">
        <v>277</v>
      </c>
      <c r="B282" s="476">
        <v>2880.7999999999847</v>
      </c>
      <c r="C282" s="476">
        <v>2791.4000000000065</v>
      </c>
      <c r="D282" s="477">
        <v>4646.5000000000255</v>
      </c>
      <c r="E282" s="480">
        <f t="shared" si="4"/>
        <v>4104.4000000000187</v>
      </c>
    </row>
    <row r="283" spans="1:5">
      <c r="A283" s="475">
        <v>278</v>
      </c>
      <c r="B283" s="476">
        <v>2890.8999999999846</v>
      </c>
      <c r="C283" s="476">
        <v>2801.2000000000066</v>
      </c>
      <c r="D283" s="477">
        <v>4662.8000000000256</v>
      </c>
      <c r="E283" s="480">
        <f t="shared" si="4"/>
        <v>4118.8000000000184</v>
      </c>
    </row>
    <row r="284" spans="1:5">
      <c r="A284" s="475">
        <v>279</v>
      </c>
      <c r="B284" s="476">
        <v>2900.9999999999845</v>
      </c>
      <c r="C284" s="476">
        <v>2811.0000000000068</v>
      </c>
      <c r="D284" s="477">
        <v>4679.1000000000258</v>
      </c>
      <c r="E284" s="480">
        <f t="shared" si="4"/>
        <v>4133.200000000018</v>
      </c>
    </row>
    <row r="285" spans="1:5">
      <c r="A285" s="475">
        <v>280</v>
      </c>
      <c r="B285" s="476">
        <v>2911.0999999999844</v>
      </c>
      <c r="C285" s="476">
        <v>2820.800000000007</v>
      </c>
      <c r="D285" s="477">
        <v>4695.400000000026</v>
      </c>
      <c r="E285" s="480">
        <f t="shared" si="4"/>
        <v>4147.6000000000176</v>
      </c>
    </row>
    <row r="286" spans="1:5">
      <c r="A286" s="475">
        <v>281</v>
      </c>
      <c r="B286" s="476">
        <v>2921.1999999999844</v>
      </c>
      <c r="C286" s="476">
        <v>2830.6000000000072</v>
      </c>
      <c r="D286" s="477">
        <v>4711.7000000000262</v>
      </c>
      <c r="E286" s="480">
        <f t="shared" si="4"/>
        <v>4162.0000000000173</v>
      </c>
    </row>
    <row r="287" spans="1:5">
      <c r="A287" s="475">
        <v>282</v>
      </c>
      <c r="B287" s="476">
        <v>2931.2999999999843</v>
      </c>
      <c r="C287" s="476">
        <v>2840.4000000000074</v>
      </c>
      <c r="D287" s="477">
        <v>4728.0000000000264</v>
      </c>
      <c r="E287" s="480">
        <f t="shared" si="4"/>
        <v>4176.4000000000169</v>
      </c>
    </row>
    <row r="288" spans="1:5">
      <c r="A288" s="475">
        <v>283</v>
      </c>
      <c r="B288" s="476">
        <v>2941.3999999999842</v>
      </c>
      <c r="C288" s="476">
        <v>2850.2000000000075</v>
      </c>
      <c r="D288" s="477">
        <v>4744.3000000000266</v>
      </c>
      <c r="E288" s="480">
        <f t="shared" si="4"/>
        <v>4190.8000000000166</v>
      </c>
    </row>
    <row r="289" spans="1:5">
      <c r="A289" s="475">
        <v>284</v>
      </c>
      <c r="B289" s="476">
        <v>2951.4999999999841</v>
      </c>
      <c r="C289" s="476">
        <v>2860.0000000000077</v>
      </c>
      <c r="D289" s="477">
        <v>4760.6000000000267</v>
      </c>
      <c r="E289" s="480">
        <f t="shared" si="4"/>
        <v>4205.2000000000162</v>
      </c>
    </row>
    <row r="290" spans="1:5">
      <c r="A290" s="475">
        <v>285</v>
      </c>
      <c r="B290" s="476">
        <v>2961.599999999984</v>
      </c>
      <c r="C290" s="476">
        <v>2869.8000000000079</v>
      </c>
      <c r="D290" s="477">
        <v>4776.9000000000269</v>
      </c>
      <c r="E290" s="480">
        <f t="shared" si="4"/>
        <v>4219.6000000000158</v>
      </c>
    </row>
    <row r="291" spans="1:5">
      <c r="A291" s="475">
        <v>286</v>
      </c>
      <c r="B291" s="476">
        <v>2971.6999999999839</v>
      </c>
      <c r="C291" s="476">
        <v>2879.6000000000081</v>
      </c>
      <c r="D291" s="477">
        <v>4793.2000000000271</v>
      </c>
      <c r="E291" s="480">
        <f t="shared" si="4"/>
        <v>4234.0000000000155</v>
      </c>
    </row>
    <row r="292" spans="1:5">
      <c r="A292" s="475">
        <v>287</v>
      </c>
      <c r="B292" s="476">
        <v>2981.7999999999838</v>
      </c>
      <c r="C292" s="476">
        <v>2889.4000000000083</v>
      </c>
      <c r="D292" s="477">
        <v>4809.5000000000273</v>
      </c>
      <c r="E292" s="480">
        <f t="shared" si="4"/>
        <v>4248.4000000000151</v>
      </c>
    </row>
    <row r="293" spans="1:5">
      <c r="A293" s="475">
        <v>288</v>
      </c>
      <c r="B293" s="476">
        <v>2991.8999999999837</v>
      </c>
      <c r="C293" s="476">
        <v>2899.2000000000085</v>
      </c>
      <c r="D293" s="477">
        <v>4825.8000000000275</v>
      </c>
      <c r="E293" s="480">
        <f t="shared" ref="E293:E305" si="5">E292+14.4</f>
        <v>4262.8000000000147</v>
      </c>
    </row>
    <row r="294" spans="1:5">
      <c r="A294" s="475">
        <v>289</v>
      </c>
      <c r="B294" s="476">
        <v>3001.9999999999836</v>
      </c>
      <c r="C294" s="476">
        <v>2909.0000000000086</v>
      </c>
      <c r="D294" s="477">
        <v>4842.1000000000276</v>
      </c>
      <c r="E294" s="480">
        <f t="shared" si="5"/>
        <v>4277.2000000000144</v>
      </c>
    </row>
    <row r="295" spans="1:5">
      <c r="A295" s="475">
        <v>290</v>
      </c>
      <c r="B295" s="476">
        <v>3012.0999999999835</v>
      </c>
      <c r="C295" s="476">
        <v>2918.8000000000088</v>
      </c>
      <c r="D295" s="477">
        <v>4858.4000000000278</v>
      </c>
      <c r="E295" s="480">
        <f t="shared" si="5"/>
        <v>4291.600000000014</v>
      </c>
    </row>
    <row r="296" spans="1:5">
      <c r="A296" s="475">
        <v>291</v>
      </c>
      <c r="B296" s="476">
        <v>3022.1999999999834</v>
      </c>
      <c r="C296" s="476">
        <v>2928.600000000009</v>
      </c>
      <c r="D296" s="477">
        <v>4874.700000000028</v>
      </c>
      <c r="E296" s="480">
        <f t="shared" si="5"/>
        <v>4306.0000000000136</v>
      </c>
    </row>
    <row r="297" spans="1:5">
      <c r="A297" s="475">
        <v>292</v>
      </c>
      <c r="B297" s="476">
        <v>3032.2999999999834</v>
      </c>
      <c r="C297" s="476">
        <v>2938.4000000000092</v>
      </c>
      <c r="D297" s="477">
        <v>4891.0000000000282</v>
      </c>
      <c r="E297" s="480">
        <f t="shared" si="5"/>
        <v>4320.4000000000133</v>
      </c>
    </row>
    <row r="298" spans="1:5">
      <c r="A298" s="475">
        <v>293</v>
      </c>
      <c r="B298" s="476">
        <v>3042.3999999999833</v>
      </c>
      <c r="C298" s="476">
        <v>2948.2000000000094</v>
      </c>
      <c r="D298" s="477">
        <v>4907.3000000000284</v>
      </c>
      <c r="E298" s="480">
        <f t="shared" si="5"/>
        <v>4334.8000000000129</v>
      </c>
    </row>
    <row r="299" spans="1:5">
      <c r="A299" s="475">
        <v>294</v>
      </c>
      <c r="B299" s="476">
        <v>3052.4999999999832</v>
      </c>
      <c r="C299" s="476">
        <v>2958.0000000000095</v>
      </c>
      <c r="D299" s="477">
        <v>4923.6000000000286</v>
      </c>
      <c r="E299" s="480">
        <f t="shared" si="5"/>
        <v>4349.2000000000126</v>
      </c>
    </row>
    <row r="300" spans="1:5">
      <c r="A300" s="475">
        <v>295</v>
      </c>
      <c r="B300" s="476">
        <v>3062.5999999999831</v>
      </c>
      <c r="C300" s="476">
        <v>2967.8000000000097</v>
      </c>
      <c r="D300" s="477">
        <v>4939.9000000000287</v>
      </c>
      <c r="E300" s="480">
        <f t="shared" si="5"/>
        <v>4363.6000000000122</v>
      </c>
    </row>
    <row r="301" spans="1:5">
      <c r="A301" s="475">
        <v>296</v>
      </c>
      <c r="B301" s="476">
        <v>3072.699999999983</v>
      </c>
      <c r="C301" s="476">
        <v>2977.6000000000099</v>
      </c>
      <c r="D301" s="477">
        <v>4956.2000000000289</v>
      </c>
      <c r="E301" s="480">
        <f t="shared" si="5"/>
        <v>4378.0000000000118</v>
      </c>
    </row>
    <row r="302" spans="1:5">
      <c r="A302" s="475">
        <v>297</v>
      </c>
      <c r="B302" s="476">
        <v>3082.7999999999829</v>
      </c>
      <c r="C302" s="476">
        <v>2987.4000000000101</v>
      </c>
      <c r="D302" s="477">
        <v>4972.5000000000291</v>
      </c>
      <c r="E302" s="480">
        <f t="shared" si="5"/>
        <v>4392.4000000000115</v>
      </c>
    </row>
    <row r="303" spans="1:5">
      <c r="A303" s="475">
        <v>298</v>
      </c>
      <c r="B303" s="476">
        <v>3092.8999999999828</v>
      </c>
      <c r="C303" s="476">
        <v>2997.2000000000103</v>
      </c>
      <c r="D303" s="477">
        <v>4988.8000000000293</v>
      </c>
      <c r="E303" s="480">
        <f t="shared" si="5"/>
        <v>4406.8000000000111</v>
      </c>
    </row>
    <row r="304" spans="1:5">
      <c r="A304" s="475">
        <v>299</v>
      </c>
      <c r="B304" s="476">
        <v>3102.9999999999827</v>
      </c>
      <c r="C304" s="476">
        <v>3007.0000000000105</v>
      </c>
      <c r="D304" s="477">
        <v>5005.1000000000295</v>
      </c>
      <c r="E304" s="480">
        <f t="shared" si="5"/>
        <v>4421.2000000000107</v>
      </c>
    </row>
    <row r="305" spans="1:5">
      <c r="A305" s="475">
        <v>300</v>
      </c>
      <c r="B305" s="476">
        <v>3113.0999999999826</v>
      </c>
      <c r="C305" s="476">
        <v>3016.8000000000106</v>
      </c>
      <c r="D305" s="477">
        <v>5021.4000000000296</v>
      </c>
      <c r="E305" s="480">
        <f t="shared" si="5"/>
        <v>4435.6000000000104</v>
      </c>
    </row>
    <row r="306" spans="1:5">
      <c r="A306" s="475">
        <v>301</v>
      </c>
    </row>
    <row r="307" spans="1:5">
      <c r="A307" s="475">
        <v>302</v>
      </c>
    </row>
    <row r="308" spans="1:5">
      <c r="A308" s="475">
        <v>303</v>
      </c>
    </row>
    <row r="309" spans="1:5">
      <c r="A309" s="475">
        <v>304</v>
      </c>
    </row>
    <row r="310" spans="1:5">
      <c r="A310" s="475">
        <v>305</v>
      </c>
    </row>
    <row r="311" spans="1:5">
      <c r="A311" s="475">
        <v>306</v>
      </c>
    </row>
    <row r="312" spans="1:5">
      <c r="A312" s="475">
        <v>307</v>
      </c>
    </row>
    <row r="313" spans="1:5">
      <c r="A313" s="475">
        <v>308</v>
      </c>
    </row>
  </sheetData>
  <mergeCells count="3">
    <mergeCell ref="A1:F1"/>
    <mergeCell ref="B2:D2"/>
    <mergeCell ref="A3:A4"/>
  </mergeCells>
  <pageMargins left="1.04" right="0.7" top="0.32" bottom="0.4" header="0.3" footer="0.3"/>
  <pageSetup paperSize="9" orientation="portrait" verticalDpi="0" r:id="rId1"/>
</worksheet>
</file>

<file path=xl/worksheets/sheet40.xml><?xml version="1.0" encoding="utf-8"?>
<worksheet xmlns="http://schemas.openxmlformats.org/spreadsheetml/2006/main" xmlns:r="http://schemas.openxmlformats.org/officeDocument/2006/relationships">
  <sheetPr filterMode="1">
    <tabColor rgb="FF00B050"/>
  </sheetPr>
  <dimension ref="A1:S618"/>
  <sheetViews>
    <sheetView showZeros="0" view="pageBreakPreview" zoomScale="115" zoomScaleSheetLayoutView="115" workbookViewId="0">
      <selection activeCell="A176" sqref="A176"/>
    </sheetView>
  </sheetViews>
  <sheetFormatPr defaultColWidth="9.140625" defaultRowHeight="12.75"/>
  <cols>
    <col min="1" max="1" width="3.28515625" style="60" customWidth="1"/>
    <col min="2" max="2" width="22.28515625" style="60" bestFit="1" customWidth="1"/>
    <col min="3" max="5" width="7.7109375" style="60" customWidth="1"/>
    <col min="6" max="6" width="7.7109375" style="60" bestFit="1" customWidth="1"/>
    <col min="7" max="7" width="3.42578125" style="60" customWidth="1"/>
    <col min="8" max="8" width="7.7109375" style="60" customWidth="1"/>
    <col min="9" max="9" width="9.140625" style="60" bestFit="1" customWidth="1"/>
    <col min="10" max="10" width="6.42578125" style="60" customWidth="1"/>
    <col min="11" max="11" width="6.28515625" style="60" customWidth="1"/>
    <col min="12" max="12" width="8.7109375" style="60" customWidth="1"/>
    <col min="13" max="13" width="8" style="60" customWidth="1"/>
    <col min="14" max="14" width="8.5703125" style="365" customWidth="1"/>
    <col min="15" max="15" width="7.140625" style="60" customWidth="1"/>
    <col min="16" max="16" width="6.42578125" style="60" customWidth="1"/>
    <col min="17" max="17" width="7.7109375" style="60" bestFit="1" customWidth="1"/>
    <col min="18" max="18" width="3.28515625" style="60" bestFit="1" customWidth="1"/>
    <col min="19" max="19" width="10.42578125" style="60" bestFit="1" customWidth="1"/>
    <col min="20" max="16384" width="9.140625" style="60"/>
  </cols>
  <sheetData>
    <row r="1" spans="1:19" ht="21">
      <c r="A1" s="1719" t="s">
        <v>983</v>
      </c>
      <c r="B1" s="1719"/>
      <c r="C1" s="1719"/>
      <c r="D1" s="1719"/>
      <c r="E1" s="1719"/>
      <c r="F1" s="1719"/>
      <c r="G1" s="1719"/>
      <c r="H1" s="1719"/>
      <c r="I1" s="1719"/>
      <c r="J1" s="1719"/>
      <c r="K1" s="1719"/>
      <c r="L1" s="1719"/>
      <c r="M1" s="1719"/>
      <c r="N1" s="1720"/>
      <c r="O1" s="1719"/>
      <c r="P1" s="1719"/>
      <c r="Q1" s="325"/>
      <c r="R1" s="325"/>
    </row>
    <row r="2" spans="1:19" ht="19.5" customHeight="1">
      <c r="A2" s="1721" t="str">
        <f>'lead 19-20'!B2&amp;'lead 19-20'!C2</f>
        <v>Name of the Work: Providing Additional Space for Health Staff in Grama Sachivalayam of Baduguleru GP of Kanigiri Mandal</v>
      </c>
      <c r="B2" s="1721"/>
      <c r="C2" s="1721"/>
      <c r="D2" s="1721"/>
      <c r="E2" s="1721"/>
      <c r="F2" s="1721"/>
      <c r="G2" s="1721"/>
      <c r="H2" s="1721"/>
      <c r="I2" s="1721"/>
      <c r="J2" s="1721"/>
      <c r="K2" s="1721"/>
      <c r="L2" s="1721"/>
      <c r="M2" s="1721"/>
      <c r="N2" s="1722"/>
      <c r="O2" s="1721"/>
      <c r="P2" s="1721"/>
      <c r="Q2" s="616"/>
      <c r="R2" s="616"/>
    </row>
    <row r="3" spans="1:19" ht="25.5">
      <c r="A3" s="617" t="s">
        <v>23</v>
      </c>
      <c r="B3" s="617" t="s">
        <v>7</v>
      </c>
      <c r="C3" s="617" t="s">
        <v>220</v>
      </c>
      <c r="D3" s="617" t="s">
        <v>224</v>
      </c>
      <c r="E3" s="617" t="s">
        <v>905</v>
      </c>
      <c r="F3" s="1649" t="s">
        <v>227</v>
      </c>
      <c r="G3" s="1649"/>
      <c r="H3" s="617" t="s">
        <v>976</v>
      </c>
      <c r="I3" s="617" t="s">
        <v>977</v>
      </c>
      <c r="J3" s="219" t="s">
        <v>978</v>
      </c>
      <c r="K3" s="219" t="s">
        <v>1484</v>
      </c>
      <c r="L3" s="617" t="s">
        <v>1485</v>
      </c>
      <c r="M3" s="617" t="s">
        <v>1486</v>
      </c>
      <c r="N3" s="363" t="s">
        <v>979</v>
      </c>
      <c r="O3" s="219" t="s">
        <v>1487</v>
      </c>
      <c r="P3" s="219" t="s">
        <v>1488</v>
      </c>
      <c r="Q3" s="617" t="s">
        <v>136</v>
      </c>
      <c r="R3" s="207"/>
    </row>
    <row r="4" spans="1:19" hidden="1">
      <c r="A4" s="617"/>
      <c r="B4" s="456" t="s">
        <v>2278</v>
      </c>
      <c r="C4" s="617"/>
      <c r="D4" s="617"/>
      <c r="E4" s="617"/>
      <c r="F4" s="617"/>
      <c r="G4" s="617"/>
      <c r="H4" s="617"/>
      <c r="I4" s="617"/>
      <c r="J4" s="219"/>
      <c r="K4" s="219"/>
      <c r="L4" s="617"/>
      <c r="M4" s="617"/>
      <c r="N4" s="363"/>
      <c r="O4" s="219"/>
      <c r="P4" s="219"/>
      <c r="Q4" s="617"/>
      <c r="R4" s="207"/>
    </row>
    <row r="5" spans="1:19" hidden="1">
      <c r="A5" s="617"/>
      <c r="B5" s="456" t="s">
        <v>2279</v>
      </c>
      <c r="C5" s="617"/>
      <c r="D5" s="617"/>
      <c r="E5" s="617"/>
      <c r="F5" s="617"/>
      <c r="G5" s="617"/>
      <c r="H5" s="617"/>
      <c r="I5" s="617"/>
      <c r="J5" s="219"/>
      <c r="K5" s="219"/>
      <c r="L5" s="617"/>
      <c r="M5" s="617"/>
      <c r="N5" s="363"/>
      <c r="O5" s="219"/>
      <c r="P5" s="219"/>
      <c r="Q5" s="617"/>
      <c r="R5" s="207"/>
    </row>
    <row r="6" spans="1:19" ht="15" hidden="1">
      <c r="A6" s="283">
        <v>1</v>
      </c>
      <c r="B6" s="207" t="s">
        <v>1428</v>
      </c>
      <c r="C6" s="285">
        <f>'R-1'!I8</f>
        <v>0</v>
      </c>
      <c r="D6" s="207"/>
      <c r="E6" s="207"/>
      <c r="F6" s="285">
        <f t="shared" ref="F6:F13" si="0">C6+D6</f>
        <v>0</v>
      </c>
      <c r="G6" s="285" t="s">
        <v>421</v>
      </c>
      <c r="H6" s="284">
        <f>'R-1'!J8</f>
        <v>0</v>
      </c>
      <c r="I6" s="287">
        <v>0</v>
      </c>
      <c r="J6" s="286">
        <v>0</v>
      </c>
      <c r="K6" s="283">
        <v>0</v>
      </c>
      <c r="L6" s="283">
        <v>0</v>
      </c>
      <c r="M6" s="283">
        <v>0</v>
      </c>
      <c r="N6" s="283"/>
      <c r="O6" s="283">
        <v>0</v>
      </c>
      <c r="P6" s="286">
        <v>0</v>
      </c>
      <c r="Q6" s="207">
        <v>0</v>
      </c>
      <c r="R6" s="207"/>
      <c r="S6" s="60" t="s">
        <v>2217</v>
      </c>
    </row>
    <row r="7" spans="1:19" ht="15" hidden="1">
      <c r="A7" s="283">
        <v>1</v>
      </c>
      <c r="B7" s="207" t="s">
        <v>1428</v>
      </c>
      <c r="C7" s="285">
        <f>'R-1'!I9</f>
        <v>0</v>
      </c>
      <c r="D7" s="207"/>
      <c r="E7" s="207"/>
      <c r="F7" s="285">
        <f t="shared" si="0"/>
        <v>0</v>
      </c>
      <c r="G7" s="285" t="s">
        <v>421</v>
      </c>
      <c r="H7" s="284">
        <f>'R-1'!J9</f>
        <v>0</v>
      </c>
      <c r="I7" s="287">
        <v>0</v>
      </c>
      <c r="J7" s="286">
        <v>0</v>
      </c>
      <c r="K7" s="283">
        <v>0</v>
      </c>
      <c r="L7" s="283">
        <v>0</v>
      </c>
      <c r="M7" s="283">
        <v>0</v>
      </c>
      <c r="N7" s="283"/>
      <c r="O7" s="283">
        <v>0</v>
      </c>
      <c r="P7" s="286">
        <v>0</v>
      </c>
      <c r="Q7" s="207">
        <v>0</v>
      </c>
      <c r="R7" s="207"/>
      <c r="S7" s="60" t="s">
        <v>2299</v>
      </c>
    </row>
    <row r="8" spans="1:19" ht="15" hidden="1">
      <c r="A8" s="283">
        <v>1</v>
      </c>
      <c r="B8" s="207" t="s">
        <v>1428</v>
      </c>
      <c r="C8" s="285">
        <f>'R-1'!I10</f>
        <v>0</v>
      </c>
      <c r="D8" s="207"/>
      <c r="E8" s="207"/>
      <c r="F8" s="285">
        <f t="shared" si="0"/>
        <v>0</v>
      </c>
      <c r="G8" s="285" t="s">
        <v>421</v>
      </c>
      <c r="H8" s="284">
        <f>'R-1'!J10</f>
        <v>0</v>
      </c>
      <c r="I8" s="287">
        <v>0</v>
      </c>
      <c r="J8" s="286">
        <v>0</v>
      </c>
      <c r="K8" s="283">
        <v>0</v>
      </c>
      <c r="L8" s="283">
        <v>0</v>
      </c>
      <c r="M8" s="283">
        <v>0</v>
      </c>
      <c r="N8" s="283"/>
      <c r="O8" s="283">
        <v>0</v>
      </c>
      <c r="P8" s="286">
        <v>0</v>
      </c>
      <c r="Q8" s="207">
        <v>0</v>
      </c>
      <c r="R8" s="207"/>
      <c r="S8" s="60" t="s">
        <v>2312</v>
      </c>
    </row>
    <row r="9" spans="1:19" ht="15" hidden="1">
      <c r="A9" s="283">
        <v>1</v>
      </c>
      <c r="B9" s="207" t="s">
        <v>1428</v>
      </c>
      <c r="C9" s="285">
        <f>'R-1'!I11</f>
        <v>0</v>
      </c>
      <c r="D9" s="207"/>
      <c r="E9" s="207"/>
      <c r="F9" s="285">
        <f t="shared" si="0"/>
        <v>0</v>
      </c>
      <c r="G9" s="285" t="s">
        <v>421</v>
      </c>
      <c r="H9" s="284">
        <f>'R-1'!J11</f>
        <v>0</v>
      </c>
      <c r="I9" s="287">
        <v>0</v>
      </c>
      <c r="J9" s="286">
        <v>0</v>
      </c>
      <c r="K9" s="283">
        <v>0</v>
      </c>
      <c r="L9" s="283">
        <v>0</v>
      </c>
      <c r="M9" s="283">
        <v>0</v>
      </c>
      <c r="N9" s="283"/>
      <c r="O9" s="283">
        <v>0</v>
      </c>
      <c r="P9" s="286">
        <v>0</v>
      </c>
      <c r="Q9" s="207">
        <v>0</v>
      </c>
      <c r="R9" s="207"/>
      <c r="S9" s="60" t="s">
        <v>2313</v>
      </c>
    </row>
    <row r="10" spans="1:19" s="58" customFormat="1" ht="15">
      <c r="A10" s="16">
        <v>1</v>
      </c>
      <c r="B10" s="39" t="s">
        <v>2459</v>
      </c>
      <c r="C10" s="53">
        <f>'R-1'!I12</f>
        <v>71.969999999999985</v>
      </c>
      <c r="D10" s="39"/>
      <c r="E10" s="39"/>
      <c r="F10" s="53">
        <f t="shared" si="0"/>
        <v>71.969999999999985</v>
      </c>
      <c r="G10" s="53" t="s">
        <v>421</v>
      </c>
      <c r="H10" s="432">
        <f>'R-1'!J12</f>
        <v>8942</v>
      </c>
      <c r="I10" s="38">
        <v>0</v>
      </c>
      <c r="J10" s="208">
        <v>0</v>
      </c>
      <c r="K10" s="16">
        <v>0</v>
      </c>
      <c r="L10" s="16">
        <v>0</v>
      </c>
      <c r="M10" s="16">
        <v>0</v>
      </c>
      <c r="N10" s="208"/>
      <c r="O10" s="16">
        <v>0</v>
      </c>
      <c r="P10" s="208">
        <v>0</v>
      </c>
      <c r="Q10" s="39">
        <v>0</v>
      </c>
      <c r="R10" s="39"/>
      <c r="S10" s="60" t="s">
        <v>2217</v>
      </c>
    </row>
    <row r="11" spans="1:19" s="58" customFormat="1" ht="15" hidden="1">
      <c r="A11" s="16">
        <v>2</v>
      </c>
      <c r="B11" s="39" t="s">
        <v>2459</v>
      </c>
      <c r="C11" s="53">
        <f>'R-1'!I13</f>
        <v>0</v>
      </c>
      <c r="D11" s="39"/>
      <c r="E11" s="39"/>
      <c r="F11" s="53">
        <f t="shared" si="0"/>
        <v>0</v>
      </c>
      <c r="G11" s="53" t="s">
        <v>421</v>
      </c>
      <c r="H11" s="432">
        <f>'R-1'!J13</f>
        <v>0</v>
      </c>
      <c r="I11" s="38">
        <v>0</v>
      </c>
      <c r="J11" s="208">
        <v>0</v>
      </c>
      <c r="K11" s="16">
        <v>0</v>
      </c>
      <c r="L11" s="16">
        <v>0</v>
      </c>
      <c r="M11" s="16">
        <v>0</v>
      </c>
      <c r="N11" s="208"/>
      <c r="O11" s="16">
        <v>0</v>
      </c>
      <c r="P11" s="208">
        <v>0</v>
      </c>
      <c r="Q11" s="39">
        <v>0</v>
      </c>
      <c r="R11" s="39"/>
      <c r="S11" s="60" t="s">
        <v>2299</v>
      </c>
    </row>
    <row r="12" spans="1:19" s="58" customFormat="1" ht="15" hidden="1">
      <c r="A12" s="16">
        <v>3</v>
      </c>
      <c r="B12" s="39" t="s">
        <v>2459</v>
      </c>
      <c r="C12" s="53">
        <f>'R-1'!I14</f>
        <v>0</v>
      </c>
      <c r="D12" s="39"/>
      <c r="E12" s="39"/>
      <c r="F12" s="53">
        <f t="shared" si="0"/>
        <v>0</v>
      </c>
      <c r="G12" s="53" t="s">
        <v>421</v>
      </c>
      <c r="H12" s="432">
        <f>'R-1'!J14</f>
        <v>0</v>
      </c>
      <c r="I12" s="38">
        <v>0</v>
      </c>
      <c r="J12" s="208">
        <v>0</v>
      </c>
      <c r="K12" s="16">
        <v>0</v>
      </c>
      <c r="L12" s="16">
        <v>0</v>
      </c>
      <c r="M12" s="16">
        <v>0</v>
      </c>
      <c r="N12" s="208"/>
      <c r="O12" s="16">
        <v>0</v>
      </c>
      <c r="P12" s="208">
        <v>0</v>
      </c>
      <c r="Q12" s="39">
        <v>0</v>
      </c>
      <c r="R12" s="39"/>
      <c r="S12" s="60" t="s">
        <v>2312</v>
      </c>
    </row>
    <row r="13" spans="1:19" s="58" customFormat="1" ht="15" hidden="1">
      <c r="A13" s="16">
        <v>19</v>
      </c>
      <c r="B13" s="39" t="s">
        <v>101</v>
      </c>
      <c r="C13" s="53">
        <f>'R-1'!I15</f>
        <v>0</v>
      </c>
      <c r="D13" s="39"/>
      <c r="E13" s="39"/>
      <c r="F13" s="53">
        <f t="shared" si="0"/>
        <v>0</v>
      </c>
      <c r="G13" s="53" t="s">
        <v>421</v>
      </c>
      <c r="H13" s="432">
        <f>'R-1'!J15</f>
        <v>0</v>
      </c>
      <c r="I13" s="38">
        <v>0</v>
      </c>
      <c r="J13" s="208">
        <v>0</v>
      </c>
      <c r="K13" s="16">
        <v>0</v>
      </c>
      <c r="L13" s="16">
        <v>0</v>
      </c>
      <c r="M13" s="16">
        <v>0</v>
      </c>
      <c r="N13" s="208"/>
      <c r="O13" s="16">
        <v>0</v>
      </c>
      <c r="P13" s="208">
        <v>0</v>
      </c>
      <c r="Q13" s="39">
        <v>0</v>
      </c>
      <c r="R13" s="39"/>
      <c r="S13" s="60" t="s">
        <v>2313</v>
      </c>
    </row>
    <row r="14" spans="1:19" s="58" customFormat="1" ht="15">
      <c r="A14" s="16">
        <v>2</v>
      </c>
      <c r="B14" s="39" t="s">
        <v>135</v>
      </c>
      <c r="C14" s="53">
        <f>'R-1'!I32</f>
        <v>87.509999999999991</v>
      </c>
      <c r="D14" s="39"/>
      <c r="E14" s="39"/>
      <c r="F14" s="53">
        <f t="shared" ref="F14:F126" si="1">SUM(C14:E14)</f>
        <v>87.509999999999991</v>
      </c>
      <c r="G14" s="53" t="s">
        <v>421</v>
      </c>
      <c r="H14" s="53"/>
      <c r="I14" s="38">
        <v>0</v>
      </c>
      <c r="J14" s="10">
        <f>F14</f>
        <v>87.509999999999991</v>
      </c>
      <c r="K14" s="16">
        <v>0</v>
      </c>
      <c r="L14" s="16">
        <v>0</v>
      </c>
      <c r="M14" s="16">
        <v>0</v>
      </c>
      <c r="N14" s="208"/>
      <c r="O14" s="16">
        <v>0</v>
      </c>
      <c r="P14" s="208">
        <v>0</v>
      </c>
      <c r="Q14" s="39">
        <v>0</v>
      </c>
      <c r="R14" s="39"/>
      <c r="S14" s="60" t="s">
        <v>2217</v>
      </c>
    </row>
    <row r="15" spans="1:19" s="58" customFormat="1" ht="15" hidden="1">
      <c r="A15" s="16">
        <v>3</v>
      </c>
      <c r="B15" s="39" t="s">
        <v>135</v>
      </c>
      <c r="C15" s="53">
        <f>'R-1'!I33</f>
        <v>0</v>
      </c>
      <c r="D15" s="39"/>
      <c r="E15" s="39"/>
      <c r="F15" s="53">
        <f>SUM(C15:E15)</f>
        <v>0</v>
      </c>
      <c r="G15" s="53" t="s">
        <v>421</v>
      </c>
      <c r="H15" s="53"/>
      <c r="I15" s="38">
        <v>0</v>
      </c>
      <c r="J15" s="10">
        <f>F15</f>
        <v>0</v>
      </c>
      <c r="K15" s="16">
        <v>0</v>
      </c>
      <c r="L15" s="16">
        <v>0</v>
      </c>
      <c r="M15" s="16">
        <v>0</v>
      </c>
      <c r="N15" s="208"/>
      <c r="O15" s="16">
        <v>0</v>
      </c>
      <c r="P15" s="208">
        <v>0</v>
      </c>
      <c r="Q15" s="39">
        <v>0</v>
      </c>
      <c r="R15" s="39"/>
      <c r="S15" s="60" t="s">
        <v>2299</v>
      </c>
    </row>
    <row r="16" spans="1:19" s="58" customFormat="1" ht="15" hidden="1">
      <c r="A16" s="16">
        <v>2</v>
      </c>
      <c r="B16" s="39" t="s">
        <v>135</v>
      </c>
      <c r="C16" s="53">
        <f>'R-1'!I34</f>
        <v>0</v>
      </c>
      <c r="D16" s="39"/>
      <c r="E16" s="39"/>
      <c r="F16" s="53">
        <f>SUM(C16:E16)</f>
        <v>0</v>
      </c>
      <c r="G16" s="53" t="s">
        <v>421</v>
      </c>
      <c r="H16" s="53"/>
      <c r="I16" s="38">
        <v>0</v>
      </c>
      <c r="J16" s="10">
        <f>F16</f>
        <v>0</v>
      </c>
      <c r="K16" s="16">
        <v>0</v>
      </c>
      <c r="L16" s="16">
        <v>0</v>
      </c>
      <c r="M16" s="16">
        <v>0</v>
      </c>
      <c r="N16" s="208"/>
      <c r="O16" s="16">
        <v>0</v>
      </c>
      <c r="P16" s="208">
        <v>0</v>
      </c>
      <c r="Q16" s="39">
        <v>0</v>
      </c>
      <c r="R16" s="39"/>
      <c r="S16" s="60" t="s">
        <v>2312</v>
      </c>
    </row>
    <row r="17" spans="1:19" s="58" customFormat="1" ht="15" hidden="1">
      <c r="A17" s="16">
        <v>2</v>
      </c>
      <c r="B17" s="39" t="s">
        <v>135</v>
      </c>
      <c r="C17" s="53">
        <f>'R-1'!I35</f>
        <v>0</v>
      </c>
      <c r="D17" s="39"/>
      <c r="E17" s="39"/>
      <c r="F17" s="53">
        <f>SUM(C17:E17)</f>
        <v>0</v>
      </c>
      <c r="G17" s="53" t="s">
        <v>421</v>
      </c>
      <c r="H17" s="53"/>
      <c r="I17" s="38">
        <v>0</v>
      </c>
      <c r="J17" s="10">
        <f>F17</f>
        <v>0</v>
      </c>
      <c r="K17" s="16">
        <v>0</v>
      </c>
      <c r="L17" s="16">
        <v>0</v>
      </c>
      <c r="M17" s="16">
        <v>0</v>
      </c>
      <c r="N17" s="208"/>
      <c r="O17" s="16">
        <v>0</v>
      </c>
      <c r="P17" s="208">
        <v>0</v>
      </c>
      <c r="Q17" s="39">
        <v>0</v>
      </c>
      <c r="R17" s="39"/>
      <c r="S17" s="60" t="s">
        <v>2313</v>
      </c>
    </row>
    <row r="18" spans="1:19" s="58" customFormat="1" ht="15">
      <c r="A18" s="16">
        <v>3</v>
      </c>
      <c r="B18" s="39" t="s">
        <v>235</v>
      </c>
      <c r="C18" s="53">
        <f>'R-1'!I16</f>
        <v>20.59</v>
      </c>
      <c r="D18" s="39"/>
      <c r="E18" s="39"/>
      <c r="F18" s="53">
        <f t="shared" si="1"/>
        <v>20.59</v>
      </c>
      <c r="G18" s="53" t="s">
        <v>421</v>
      </c>
      <c r="H18" s="53"/>
      <c r="I18" s="9">
        <f t="shared" ref="I18:I25" si="2">ROUND(F18*Q18/50,2)</f>
        <v>66.709999999999994</v>
      </c>
      <c r="J18" s="208">
        <v>0</v>
      </c>
      <c r="K18" s="16">
        <v>0</v>
      </c>
      <c r="L18" s="208">
        <v>0</v>
      </c>
      <c r="M18" s="10">
        <f t="shared" ref="M18:M25" si="3">ROUND(F18*0.9,2)</f>
        <v>18.53</v>
      </c>
      <c r="N18" s="208"/>
      <c r="O18" s="10">
        <f t="shared" ref="O18:O25" si="4">ROUND(F18*0.45,2)</f>
        <v>9.27</v>
      </c>
      <c r="P18" s="208"/>
      <c r="Q18" s="53">
        <v>162</v>
      </c>
      <c r="R18" s="10" t="s">
        <v>4</v>
      </c>
      <c r="S18" s="60" t="s">
        <v>2217</v>
      </c>
    </row>
    <row r="19" spans="1:19" s="58" customFormat="1" ht="15" hidden="1">
      <c r="A19" s="16">
        <v>6</v>
      </c>
      <c r="B19" s="39" t="s">
        <v>235</v>
      </c>
      <c r="C19" s="53">
        <f>'R-1'!I17</f>
        <v>0</v>
      </c>
      <c r="D19" s="39"/>
      <c r="E19" s="39"/>
      <c r="F19" s="53">
        <f>SUM(C19:E19)</f>
        <v>0</v>
      </c>
      <c r="G19" s="53" t="s">
        <v>421</v>
      </c>
      <c r="H19" s="53"/>
      <c r="I19" s="9">
        <f t="shared" si="2"/>
        <v>0</v>
      </c>
      <c r="J19" s="208">
        <v>0</v>
      </c>
      <c r="K19" s="16">
        <v>0</v>
      </c>
      <c r="L19" s="208">
        <v>0</v>
      </c>
      <c r="M19" s="10">
        <f t="shared" si="3"/>
        <v>0</v>
      </c>
      <c r="N19" s="208"/>
      <c r="O19" s="10">
        <f t="shared" si="4"/>
        <v>0</v>
      </c>
      <c r="P19" s="208"/>
      <c r="Q19" s="53">
        <v>162</v>
      </c>
      <c r="R19" s="10" t="s">
        <v>4</v>
      </c>
      <c r="S19" s="60" t="s">
        <v>2299</v>
      </c>
    </row>
    <row r="20" spans="1:19" s="58" customFormat="1" ht="15" hidden="1">
      <c r="A20" s="16">
        <v>7</v>
      </c>
      <c r="B20" s="39" t="s">
        <v>235</v>
      </c>
      <c r="C20" s="53">
        <f>'R-1'!I18</f>
        <v>0</v>
      </c>
      <c r="D20" s="39"/>
      <c r="E20" s="39"/>
      <c r="F20" s="53">
        <f>SUM(C20:E20)</f>
        <v>0</v>
      </c>
      <c r="G20" s="53" t="s">
        <v>421</v>
      </c>
      <c r="H20" s="53"/>
      <c r="I20" s="9">
        <f t="shared" si="2"/>
        <v>0</v>
      </c>
      <c r="J20" s="208">
        <v>0</v>
      </c>
      <c r="K20" s="16">
        <v>0</v>
      </c>
      <c r="L20" s="208">
        <v>0</v>
      </c>
      <c r="M20" s="10">
        <f t="shared" si="3"/>
        <v>0</v>
      </c>
      <c r="N20" s="208"/>
      <c r="O20" s="10">
        <f t="shared" si="4"/>
        <v>0</v>
      </c>
      <c r="P20" s="208"/>
      <c r="Q20" s="53">
        <v>162</v>
      </c>
      <c r="R20" s="10" t="s">
        <v>4</v>
      </c>
      <c r="S20" s="60" t="s">
        <v>2312</v>
      </c>
    </row>
    <row r="21" spans="1:19" s="58" customFormat="1" ht="15" hidden="1">
      <c r="A21" s="16">
        <v>20</v>
      </c>
      <c r="B21" s="39" t="s">
        <v>235</v>
      </c>
      <c r="C21" s="53">
        <f>'R-1'!I19</f>
        <v>0</v>
      </c>
      <c r="D21" s="39"/>
      <c r="E21" s="39"/>
      <c r="F21" s="53">
        <f>SUM(C21:E21)</f>
        <v>0</v>
      </c>
      <c r="G21" s="53" t="s">
        <v>421</v>
      </c>
      <c r="H21" s="53"/>
      <c r="I21" s="9">
        <f t="shared" si="2"/>
        <v>0</v>
      </c>
      <c r="J21" s="208">
        <v>0</v>
      </c>
      <c r="K21" s="16">
        <v>0</v>
      </c>
      <c r="L21" s="208">
        <v>0</v>
      </c>
      <c r="M21" s="10">
        <f t="shared" si="3"/>
        <v>0</v>
      </c>
      <c r="N21" s="208"/>
      <c r="O21" s="10">
        <f t="shared" si="4"/>
        <v>0</v>
      </c>
      <c r="P21" s="208"/>
      <c r="Q21" s="53">
        <v>162</v>
      </c>
      <c r="R21" s="10" t="s">
        <v>4</v>
      </c>
      <c r="S21" s="60" t="s">
        <v>2313</v>
      </c>
    </row>
    <row r="22" spans="1:19" ht="15" hidden="1">
      <c r="A22" s="283">
        <v>5</v>
      </c>
      <c r="B22" s="207" t="s">
        <v>446</v>
      </c>
      <c r="C22" s="285">
        <f>'R-1'!I20</f>
        <v>0</v>
      </c>
      <c r="D22" s="207"/>
      <c r="E22" s="207"/>
      <c r="F22" s="285">
        <f t="shared" si="1"/>
        <v>0</v>
      </c>
      <c r="G22" s="285" t="s">
        <v>421</v>
      </c>
      <c r="H22" s="285"/>
      <c r="I22" s="288">
        <f t="shared" si="2"/>
        <v>0</v>
      </c>
      <c r="J22" s="286">
        <v>0</v>
      </c>
      <c r="K22" s="283">
        <v>0</v>
      </c>
      <c r="L22" s="286">
        <v>0</v>
      </c>
      <c r="M22" s="15">
        <f t="shared" si="3"/>
        <v>0</v>
      </c>
      <c r="N22" s="15"/>
      <c r="O22" s="15">
        <f t="shared" si="4"/>
        <v>0</v>
      </c>
      <c r="P22" s="286"/>
      <c r="Q22" s="285">
        <v>129.6</v>
      </c>
      <c r="R22" s="15" t="s">
        <v>4</v>
      </c>
      <c r="S22" s="60" t="s">
        <v>2217</v>
      </c>
    </row>
    <row r="23" spans="1:19" ht="15" hidden="1">
      <c r="A23" s="283">
        <v>5</v>
      </c>
      <c r="B23" s="207" t="s">
        <v>446</v>
      </c>
      <c r="C23" s="285">
        <f>'R-1'!I21</f>
        <v>0</v>
      </c>
      <c r="D23" s="207"/>
      <c r="E23" s="207"/>
      <c r="F23" s="285">
        <f>SUM(C23:E23)</f>
        <v>0</v>
      </c>
      <c r="G23" s="285" t="s">
        <v>421</v>
      </c>
      <c r="H23" s="285"/>
      <c r="I23" s="288">
        <f t="shared" si="2"/>
        <v>0</v>
      </c>
      <c r="J23" s="286">
        <v>0</v>
      </c>
      <c r="K23" s="283">
        <v>0</v>
      </c>
      <c r="L23" s="286">
        <v>0</v>
      </c>
      <c r="M23" s="15">
        <f t="shared" si="3"/>
        <v>0</v>
      </c>
      <c r="N23" s="15"/>
      <c r="O23" s="15">
        <f t="shared" si="4"/>
        <v>0</v>
      </c>
      <c r="P23" s="286"/>
      <c r="Q23" s="285">
        <v>129.6</v>
      </c>
      <c r="R23" s="15" t="s">
        <v>4</v>
      </c>
      <c r="S23" s="60" t="s">
        <v>2299</v>
      </c>
    </row>
    <row r="24" spans="1:19" ht="15" hidden="1">
      <c r="A24" s="283">
        <v>5</v>
      </c>
      <c r="B24" s="207" t="s">
        <v>446</v>
      </c>
      <c r="C24" s="285">
        <f>'R-1'!I22</f>
        <v>0</v>
      </c>
      <c r="D24" s="207"/>
      <c r="E24" s="207"/>
      <c r="F24" s="285">
        <f>SUM(C24:E24)</f>
        <v>0</v>
      </c>
      <c r="G24" s="285" t="s">
        <v>421</v>
      </c>
      <c r="H24" s="285"/>
      <c r="I24" s="288">
        <f t="shared" si="2"/>
        <v>0</v>
      </c>
      <c r="J24" s="286">
        <v>0</v>
      </c>
      <c r="K24" s="283">
        <v>0</v>
      </c>
      <c r="L24" s="286">
        <v>0</v>
      </c>
      <c r="M24" s="15">
        <f t="shared" si="3"/>
        <v>0</v>
      </c>
      <c r="N24" s="15"/>
      <c r="O24" s="15">
        <f t="shared" si="4"/>
        <v>0</v>
      </c>
      <c r="P24" s="286"/>
      <c r="Q24" s="285">
        <v>129.6</v>
      </c>
      <c r="R24" s="15" t="s">
        <v>4</v>
      </c>
      <c r="S24" s="60" t="s">
        <v>2312</v>
      </c>
    </row>
    <row r="25" spans="1:19" ht="15" hidden="1">
      <c r="A25" s="283">
        <v>5</v>
      </c>
      <c r="B25" s="207" t="s">
        <v>446</v>
      </c>
      <c r="C25" s="285">
        <f>'R-1'!I23</f>
        <v>0</v>
      </c>
      <c r="D25" s="207"/>
      <c r="E25" s="207"/>
      <c r="F25" s="285">
        <f>SUM(C25:E25)</f>
        <v>0</v>
      </c>
      <c r="G25" s="285" t="s">
        <v>421</v>
      </c>
      <c r="H25" s="285"/>
      <c r="I25" s="288">
        <f t="shared" si="2"/>
        <v>0</v>
      </c>
      <c r="J25" s="286">
        <v>0</v>
      </c>
      <c r="K25" s="283">
        <v>0</v>
      </c>
      <c r="L25" s="286">
        <v>0</v>
      </c>
      <c r="M25" s="15">
        <f t="shared" si="3"/>
        <v>0</v>
      </c>
      <c r="N25" s="15"/>
      <c r="O25" s="15">
        <f t="shared" si="4"/>
        <v>0</v>
      </c>
      <c r="P25" s="286"/>
      <c r="Q25" s="285">
        <v>129.6</v>
      </c>
      <c r="R25" s="15" t="s">
        <v>4</v>
      </c>
      <c r="S25" s="60" t="s">
        <v>2313</v>
      </c>
    </row>
    <row r="26" spans="1:19" s="58" customFormat="1" ht="15">
      <c r="A26" s="16">
        <v>4</v>
      </c>
      <c r="B26" s="39" t="s">
        <v>132</v>
      </c>
      <c r="C26" s="53">
        <f>'R-1'!I40</f>
        <v>9.44</v>
      </c>
      <c r="D26" s="39"/>
      <c r="E26" s="39"/>
      <c r="F26" s="53">
        <f t="shared" si="1"/>
        <v>9.44</v>
      </c>
      <c r="G26" s="53" t="s">
        <v>421</v>
      </c>
      <c r="H26" s="53"/>
      <c r="I26" s="9">
        <f t="shared" ref="I26:I162" si="5">ROUND(F26*Q26/50,2)</f>
        <v>64.19</v>
      </c>
      <c r="J26" s="208">
        <v>0</v>
      </c>
      <c r="K26" s="16">
        <v>0</v>
      </c>
      <c r="L26" s="10">
        <f t="shared" ref="L26:L66" si="6">ROUND(F26*0.8,2)</f>
        <v>7.55</v>
      </c>
      <c r="M26" s="208">
        <v>0</v>
      </c>
      <c r="N26" s="208"/>
      <c r="O26" s="10">
        <f t="shared" ref="O26:O66" si="7">ROUND(F26*0.4,2)</f>
        <v>3.78</v>
      </c>
      <c r="P26" s="208"/>
      <c r="Q26" s="53">
        <f>'SEIG P-A '!T11</f>
        <v>340</v>
      </c>
      <c r="R26" s="10" t="s">
        <v>4</v>
      </c>
      <c r="S26" s="60" t="s">
        <v>2217</v>
      </c>
    </row>
    <row r="27" spans="1:19" s="58" customFormat="1" ht="15" hidden="1">
      <c r="A27" s="16">
        <v>3</v>
      </c>
      <c r="B27" s="39" t="s">
        <v>132</v>
      </c>
      <c r="C27" s="53">
        <f>'R-1'!I41</f>
        <v>0</v>
      </c>
      <c r="D27" s="39"/>
      <c r="E27" s="39"/>
      <c r="F27" s="53">
        <f>SUM(C27:E27)</f>
        <v>0</v>
      </c>
      <c r="G27" s="53" t="s">
        <v>421</v>
      </c>
      <c r="H27" s="53"/>
      <c r="I27" s="9">
        <f>ROUND(F27*Q27/50,2)</f>
        <v>0</v>
      </c>
      <c r="J27" s="208">
        <v>0</v>
      </c>
      <c r="K27" s="16">
        <v>0</v>
      </c>
      <c r="L27" s="10">
        <f>ROUND(F27*0.8,2)</f>
        <v>0</v>
      </c>
      <c r="M27" s="208">
        <v>0</v>
      </c>
      <c r="N27" s="208"/>
      <c r="O27" s="10">
        <f>ROUND(F27*0.4,2)</f>
        <v>0</v>
      </c>
      <c r="P27" s="208"/>
      <c r="Q27" s="53">
        <f>'SEIG P-A '!T56</f>
        <v>340</v>
      </c>
      <c r="R27" s="10" t="s">
        <v>4</v>
      </c>
      <c r="S27" s="60" t="s">
        <v>2299</v>
      </c>
    </row>
    <row r="28" spans="1:19" s="58" customFormat="1" ht="15" hidden="1">
      <c r="A28" s="16">
        <v>9</v>
      </c>
      <c r="B28" s="39" t="s">
        <v>132</v>
      </c>
      <c r="C28" s="53">
        <f>'R-1'!I42</f>
        <v>0</v>
      </c>
      <c r="D28" s="39"/>
      <c r="E28" s="39"/>
      <c r="F28" s="53">
        <f>SUM(C28:E28)</f>
        <v>0</v>
      </c>
      <c r="G28" s="53" t="s">
        <v>421</v>
      </c>
      <c r="H28" s="53"/>
      <c r="I28" s="9">
        <f>ROUND(F28*Q28/50,2)</f>
        <v>0</v>
      </c>
      <c r="J28" s="208">
        <v>0</v>
      </c>
      <c r="K28" s="16">
        <v>0</v>
      </c>
      <c r="L28" s="10">
        <f>ROUND(F28*0.8,2)</f>
        <v>0</v>
      </c>
      <c r="M28" s="208">
        <v>0</v>
      </c>
      <c r="N28" s="208"/>
      <c r="O28" s="10">
        <f>ROUND(F28*0.4,2)</f>
        <v>0</v>
      </c>
      <c r="P28" s="208"/>
      <c r="Q28" s="53">
        <f>'SEIG P-A '!T101</f>
        <v>340</v>
      </c>
      <c r="R28" s="10" t="s">
        <v>4</v>
      </c>
      <c r="S28" s="60" t="s">
        <v>2312</v>
      </c>
    </row>
    <row r="29" spans="1:19" s="58" customFormat="1" ht="15" hidden="1">
      <c r="A29" s="16">
        <v>5</v>
      </c>
      <c r="B29" s="39" t="s">
        <v>132</v>
      </c>
      <c r="C29" s="53">
        <f>'R-1'!I43</f>
        <v>0</v>
      </c>
      <c r="D29" s="39"/>
      <c r="E29" s="39"/>
      <c r="F29" s="53">
        <f>SUM(C29:E29)</f>
        <v>0</v>
      </c>
      <c r="G29" s="53" t="s">
        <v>421</v>
      </c>
      <c r="H29" s="53"/>
      <c r="I29" s="9">
        <f>ROUND(F29*Q29/50,2)</f>
        <v>0</v>
      </c>
      <c r="J29" s="208">
        <v>0</v>
      </c>
      <c r="K29" s="16">
        <v>0</v>
      </c>
      <c r="L29" s="10">
        <f>ROUND(F29*0.8,2)</f>
        <v>0</v>
      </c>
      <c r="M29" s="208">
        <v>0</v>
      </c>
      <c r="N29" s="208"/>
      <c r="O29" s="10">
        <f>ROUND(F29*0.4,2)</f>
        <v>0</v>
      </c>
      <c r="P29" s="208"/>
      <c r="Q29" s="53">
        <f>'SEIG P-A '!T146</f>
        <v>340</v>
      </c>
      <c r="R29" s="10" t="s">
        <v>4</v>
      </c>
      <c r="S29" s="60" t="s">
        <v>2313</v>
      </c>
    </row>
    <row r="30" spans="1:19" s="58" customFormat="1" ht="15">
      <c r="A30" s="16">
        <v>5</v>
      </c>
      <c r="B30" s="39" t="s">
        <v>133</v>
      </c>
      <c r="C30" s="53">
        <f>'R-1'!I44</f>
        <v>1.37</v>
      </c>
      <c r="D30" s="39"/>
      <c r="E30" s="39"/>
      <c r="F30" s="53">
        <f t="shared" si="1"/>
        <v>1.37</v>
      </c>
      <c r="G30" s="53" t="s">
        <v>421</v>
      </c>
      <c r="H30" s="53"/>
      <c r="I30" s="9">
        <f t="shared" si="5"/>
        <v>9.32</v>
      </c>
      <c r="J30" s="208">
        <v>0</v>
      </c>
      <c r="K30" s="16">
        <v>0</v>
      </c>
      <c r="L30" s="10">
        <f t="shared" si="6"/>
        <v>1.1000000000000001</v>
      </c>
      <c r="M30" s="208">
        <v>0</v>
      </c>
      <c r="N30" s="208"/>
      <c r="O30" s="10">
        <f t="shared" si="7"/>
        <v>0.55000000000000004</v>
      </c>
      <c r="P30" s="208"/>
      <c r="Q30" s="53">
        <f>$Q$26</f>
        <v>340</v>
      </c>
      <c r="R30" s="10" t="s">
        <v>4</v>
      </c>
      <c r="S30" s="60" t="s">
        <v>2217</v>
      </c>
    </row>
    <row r="31" spans="1:19" s="58" customFormat="1" ht="15" hidden="1">
      <c r="A31" s="16">
        <v>4</v>
      </c>
      <c r="B31" s="39" t="s">
        <v>133</v>
      </c>
      <c r="C31" s="53">
        <f>'R-1'!I45</f>
        <v>0</v>
      </c>
      <c r="D31" s="39"/>
      <c r="E31" s="39"/>
      <c r="F31" s="53">
        <f>SUM(C31:E31)</f>
        <v>0</v>
      </c>
      <c r="G31" s="53" t="s">
        <v>421</v>
      </c>
      <c r="H31" s="53"/>
      <c r="I31" s="9">
        <f>ROUND(F31*Q31/50,2)</f>
        <v>0</v>
      </c>
      <c r="J31" s="208">
        <v>0</v>
      </c>
      <c r="K31" s="16">
        <v>0</v>
      </c>
      <c r="L31" s="10">
        <f>ROUND(F31*0.8,2)</f>
        <v>0</v>
      </c>
      <c r="M31" s="208">
        <v>0</v>
      </c>
      <c r="N31" s="208"/>
      <c r="O31" s="10">
        <f>ROUND(F31*0.4,2)</f>
        <v>0</v>
      </c>
      <c r="P31" s="208"/>
      <c r="Q31" s="53">
        <f>$Q$27</f>
        <v>340</v>
      </c>
      <c r="R31" s="10" t="s">
        <v>4</v>
      </c>
      <c r="S31" s="60" t="s">
        <v>2299</v>
      </c>
    </row>
    <row r="32" spans="1:19" s="58" customFormat="1" ht="15" hidden="1">
      <c r="A32" s="16">
        <v>6</v>
      </c>
      <c r="B32" s="39" t="s">
        <v>133</v>
      </c>
      <c r="C32" s="53">
        <f>'R-1'!I46</f>
        <v>0</v>
      </c>
      <c r="D32" s="39"/>
      <c r="E32" s="39"/>
      <c r="F32" s="53">
        <f>SUM(C32:E32)</f>
        <v>0</v>
      </c>
      <c r="G32" s="53" t="s">
        <v>421</v>
      </c>
      <c r="H32" s="53"/>
      <c r="I32" s="9">
        <f>ROUND(F32*Q32/50,2)</f>
        <v>0</v>
      </c>
      <c r="J32" s="208">
        <v>0</v>
      </c>
      <c r="K32" s="16">
        <v>0</v>
      </c>
      <c r="L32" s="10">
        <f>ROUND(F32*0.8,2)</f>
        <v>0</v>
      </c>
      <c r="M32" s="208">
        <v>0</v>
      </c>
      <c r="N32" s="208"/>
      <c r="O32" s="10">
        <f>ROUND(F32*0.4,2)</f>
        <v>0</v>
      </c>
      <c r="P32" s="208"/>
      <c r="Q32" s="53">
        <f>$Q$28</f>
        <v>340</v>
      </c>
      <c r="R32" s="10" t="s">
        <v>4</v>
      </c>
      <c r="S32" s="60" t="s">
        <v>2312</v>
      </c>
    </row>
    <row r="33" spans="1:19" s="58" customFormat="1" ht="15" hidden="1">
      <c r="A33" s="16">
        <v>6</v>
      </c>
      <c r="B33" s="39" t="s">
        <v>133</v>
      </c>
      <c r="C33" s="53">
        <f>'R-1'!I47</f>
        <v>0</v>
      </c>
      <c r="D33" s="39"/>
      <c r="E33" s="39"/>
      <c r="F33" s="53">
        <f>SUM(C33:E33)</f>
        <v>0</v>
      </c>
      <c r="G33" s="53" t="s">
        <v>421</v>
      </c>
      <c r="H33" s="53"/>
      <c r="I33" s="9">
        <f>ROUND(F33*Q33/50,2)</f>
        <v>0</v>
      </c>
      <c r="J33" s="208">
        <v>0</v>
      </c>
      <c r="K33" s="16">
        <v>0</v>
      </c>
      <c r="L33" s="10">
        <f>ROUND(F33*0.8,2)</f>
        <v>0</v>
      </c>
      <c r="M33" s="208">
        <v>0</v>
      </c>
      <c r="N33" s="208"/>
      <c r="O33" s="10">
        <f>ROUND(F33*0.4,2)</f>
        <v>0</v>
      </c>
      <c r="P33" s="208"/>
      <c r="Q33" s="53">
        <f>$Q$29</f>
        <v>340</v>
      </c>
      <c r="R33" s="10" t="s">
        <v>4</v>
      </c>
      <c r="S33" s="60" t="s">
        <v>2313</v>
      </c>
    </row>
    <row r="34" spans="1:19" s="58" customFormat="1" ht="15">
      <c r="A34" s="16">
        <v>6</v>
      </c>
      <c r="B34" s="39" t="s">
        <v>127</v>
      </c>
      <c r="C34" s="53">
        <f>'R-1'!I48</f>
        <v>5.64</v>
      </c>
      <c r="D34" s="53">
        <f>'R-1'!I237</f>
        <v>0</v>
      </c>
      <c r="E34" s="53">
        <f>'R-1'!I382</f>
        <v>0</v>
      </c>
      <c r="F34" s="53">
        <f t="shared" si="1"/>
        <v>5.64</v>
      </c>
      <c r="G34" s="53" t="s">
        <v>421</v>
      </c>
      <c r="H34" s="53"/>
      <c r="I34" s="9">
        <f t="shared" si="5"/>
        <v>38.35</v>
      </c>
      <c r="J34" s="208">
        <v>0</v>
      </c>
      <c r="K34" s="16">
        <v>0</v>
      </c>
      <c r="L34" s="10">
        <f t="shared" si="6"/>
        <v>4.51</v>
      </c>
      <c r="M34" s="208">
        <v>0</v>
      </c>
      <c r="N34" s="208"/>
      <c r="O34" s="10">
        <f t="shared" si="7"/>
        <v>2.2599999999999998</v>
      </c>
      <c r="P34" s="208"/>
      <c r="Q34" s="53">
        <f>$Q$26</f>
        <v>340</v>
      </c>
      <c r="R34" s="10" t="s">
        <v>4</v>
      </c>
      <c r="S34" s="60" t="s">
        <v>2217</v>
      </c>
    </row>
    <row r="35" spans="1:19" s="58" customFormat="1" ht="15" hidden="1">
      <c r="A35" s="16">
        <v>5</v>
      </c>
      <c r="B35" s="39" t="s">
        <v>127</v>
      </c>
      <c r="C35" s="53">
        <f>'R-1'!I49</f>
        <v>0</v>
      </c>
      <c r="D35" s="53">
        <f>'R-1'!I238</f>
        <v>0</v>
      </c>
      <c r="E35" s="53">
        <f>'R-1'!I383</f>
        <v>0</v>
      </c>
      <c r="F35" s="53">
        <f>SUM(C35:E35)</f>
        <v>0</v>
      </c>
      <c r="G35" s="53" t="s">
        <v>421</v>
      </c>
      <c r="H35" s="53"/>
      <c r="I35" s="9">
        <f>ROUND(F35*Q35/50,2)</f>
        <v>0</v>
      </c>
      <c r="J35" s="208">
        <v>0</v>
      </c>
      <c r="K35" s="16">
        <v>0</v>
      </c>
      <c r="L35" s="10">
        <f>ROUND(F35*0.8,2)</f>
        <v>0</v>
      </c>
      <c r="M35" s="208">
        <v>0</v>
      </c>
      <c r="N35" s="208"/>
      <c r="O35" s="10">
        <f>ROUND(F35*0.4,2)</f>
        <v>0</v>
      </c>
      <c r="P35" s="208"/>
      <c r="Q35" s="53">
        <f>$Q$27</f>
        <v>340</v>
      </c>
      <c r="R35" s="10" t="s">
        <v>4</v>
      </c>
      <c r="S35" s="60" t="s">
        <v>2299</v>
      </c>
    </row>
    <row r="36" spans="1:19" s="58" customFormat="1" ht="15" hidden="1">
      <c r="A36" s="16">
        <v>16</v>
      </c>
      <c r="B36" s="39" t="s">
        <v>127</v>
      </c>
      <c r="C36" s="53">
        <f>'R-1'!I50</f>
        <v>0</v>
      </c>
      <c r="D36" s="53">
        <f>'R-1'!I239</f>
        <v>0</v>
      </c>
      <c r="E36" s="53">
        <f>'R-1'!I384</f>
        <v>0</v>
      </c>
      <c r="F36" s="53">
        <f>SUM(C36:E36)</f>
        <v>0</v>
      </c>
      <c r="G36" s="53" t="s">
        <v>421</v>
      </c>
      <c r="H36" s="53"/>
      <c r="I36" s="9">
        <f>ROUND(F36*Q36/50,2)</f>
        <v>0</v>
      </c>
      <c r="J36" s="208">
        <v>0</v>
      </c>
      <c r="K36" s="16">
        <v>0</v>
      </c>
      <c r="L36" s="10">
        <f>ROUND(F36*0.8,2)</f>
        <v>0</v>
      </c>
      <c r="M36" s="208">
        <v>0</v>
      </c>
      <c r="N36" s="208"/>
      <c r="O36" s="10">
        <f>ROUND(F36*0.4,2)</f>
        <v>0</v>
      </c>
      <c r="P36" s="208"/>
      <c r="Q36" s="53">
        <f>$Q$28</f>
        <v>340</v>
      </c>
      <c r="R36" s="10" t="s">
        <v>4</v>
      </c>
      <c r="S36" s="60" t="s">
        <v>2312</v>
      </c>
    </row>
    <row r="37" spans="1:19" s="58" customFormat="1" ht="15" hidden="1">
      <c r="A37" s="16">
        <v>16</v>
      </c>
      <c r="B37" s="39" t="s">
        <v>127</v>
      </c>
      <c r="C37" s="53">
        <f>'R-1'!I51</f>
        <v>0</v>
      </c>
      <c r="D37" s="53">
        <f>'R-1'!I240</f>
        <v>0</v>
      </c>
      <c r="E37" s="53">
        <f>'R-1'!I385</f>
        <v>0</v>
      </c>
      <c r="F37" s="53">
        <f>SUM(C37:E37)</f>
        <v>0</v>
      </c>
      <c r="G37" s="53" t="s">
        <v>421</v>
      </c>
      <c r="H37" s="53"/>
      <c r="I37" s="9">
        <f>ROUND(F37*Q37/50,2)</f>
        <v>0</v>
      </c>
      <c r="J37" s="208">
        <v>0</v>
      </c>
      <c r="K37" s="16">
        <v>0</v>
      </c>
      <c r="L37" s="10">
        <f>ROUND(F37*0.8,2)</f>
        <v>0</v>
      </c>
      <c r="M37" s="208">
        <v>0</v>
      </c>
      <c r="N37" s="208"/>
      <c r="O37" s="10">
        <f>ROUND(F37*0.4,2)</f>
        <v>0</v>
      </c>
      <c r="P37" s="208"/>
      <c r="Q37" s="53">
        <f>$Q$29</f>
        <v>340</v>
      </c>
      <c r="R37" s="10" t="s">
        <v>4</v>
      </c>
      <c r="S37" s="60" t="s">
        <v>2313</v>
      </c>
    </row>
    <row r="38" spans="1:19" s="58" customFormat="1" ht="15">
      <c r="A38" s="16">
        <v>7</v>
      </c>
      <c r="B38" s="39" t="s">
        <v>128</v>
      </c>
      <c r="C38" s="53">
        <f>'R-1'!I52</f>
        <v>6.1499999999999995</v>
      </c>
      <c r="D38" s="39"/>
      <c r="E38" s="39"/>
      <c r="F38" s="53">
        <f t="shared" si="1"/>
        <v>6.1499999999999995</v>
      </c>
      <c r="G38" s="53" t="s">
        <v>421</v>
      </c>
      <c r="H38" s="53"/>
      <c r="I38" s="9">
        <f t="shared" si="5"/>
        <v>41.82</v>
      </c>
      <c r="J38" s="208">
        <v>0</v>
      </c>
      <c r="K38" s="16">
        <v>0</v>
      </c>
      <c r="L38" s="10">
        <f t="shared" si="6"/>
        <v>4.92</v>
      </c>
      <c r="M38" s="208">
        <v>0</v>
      </c>
      <c r="N38" s="208"/>
      <c r="O38" s="10">
        <f t="shared" si="7"/>
        <v>2.46</v>
      </c>
      <c r="P38" s="208"/>
      <c r="Q38" s="53">
        <f>$Q$26</f>
        <v>340</v>
      </c>
      <c r="R38" s="10" t="s">
        <v>4</v>
      </c>
      <c r="S38" s="60" t="s">
        <v>2217</v>
      </c>
    </row>
    <row r="39" spans="1:19" s="58" customFormat="1" ht="15" hidden="1">
      <c r="A39" s="16">
        <v>6</v>
      </c>
      <c r="B39" s="39" t="s">
        <v>128</v>
      </c>
      <c r="C39" s="53">
        <f>'R-1'!I53</f>
        <v>0</v>
      </c>
      <c r="D39" s="39"/>
      <c r="E39" s="39"/>
      <c r="F39" s="53">
        <f>SUM(C39:E39)</f>
        <v>0</v>
      </c>
      <c r="G39" s="53" t="s">
        <v>421</v>
      </c>
      <c r="H39" s="53"/>
      <c r="I39" s="9">
        <f>ROUND(F39*Q39/50,2)</f>
        <v>0</v>
      </c>
      <c r="J39" s="208">
        <v>0</v>
      </c>
      <c r="K39" s="16">
        <v>0</v>
      </c>
      <c r="L39" s="10">
        <f t="shared" ref="L39" si="8">ROUND(F39*0.8,2)</f>
        <v>0</v>
      </c>
      <c r="M39" s="208">
        <v>0</v>
      </c>
      <c r="N39" s="208"/>
      <c r="O39" s="10">
        <f t="shared" ref="O39" si="9">ROUND(F39*0.4,2)</f>
        <v>0</v>
      </c>
      <c r="P39" s="208"/>
      <c r="Q39" s="53">
        <f>$Q$27</f>
        <v>340</v>
      </c>
      <c r="R39" s="10" t="s">
        <v>4</v>
      </c>
      <c r="S39" s="60" t="s">
        <v>2299</v>
      </c>
    </row>
    <row r="40" spans="1:19" s="58" customFormat="1" ht="15" hidden="1">
      <c r="A40" s="16">
        <v>8</v>
      </c>
      <c r="B40" s="39" t="s">
        <v>128</v>
      </c>
      <c r="C40" s="53">
        <f>'R-1'!I54</f>
        <v>0</v>
      </c>
      <c r="D40" s="39"/>
      <c r="E40" s="39"/>
      <c r="F40" s="53">
        <f>SUM(C40:E40)</f>
        <v>0</v>
      </c>
      <c r="G40" s="53" t="s">
        <v>421</v>
      </c>
      <c r="H40" s="53"/>
      <c r="I40" s="9">
        <f>ROUND(F40*Q40/50,2)</f>
        <v>0</v>
      </c>
      <c r="J40" s="208">
        <v>0</v>
      </c>
      <c r="K40" s="16">
        <v>0</v>
      </c>
      <c r="L40" s="10">
        <f>ROUND(F40*0.8,2)</f>
        <v>0</v>
      </c>
      <c r="M40" s="208">
        <v>0</v>
      </c>
      <c r="N40" s="208"/>
      <c r="O40" s="10">
        <f>ROUND(F40*0.4,2)</f>
        <v>0</v>
      </c>
      <c r="P40" s="208"/>
      <c r="Q40" s="53">
        <f>$Q$28</f>
        <v>340</v>
      </c>
      <c r="R40" s="10" t="s">
        <v>4</v>
      </c>
      <c r="S40" s="60" t="s">
        <v>2312</v>
      </c>
    </row>
    <row r="41" spans="1:19" s="58" customFormat="1" ht="15" hidden="1">
      <c r="A41" s="16">
        <v>8</v>
      </c>
      <c r="B41" s="39" t="s">
        <v>128</v>
      </c>
      <c r="C41" s="53">
        <f>'R-1'!I55</f>
        <v>0</v>
      </c>
      <c r="D41" s="39"/>
      <c r="E41" s="39"/>
      <c r="F41" s="53">
        <f>SUM(C41:E41)</f>
        <v>0</v>
      </c>
      <c r="G41" s="53" t="s">
        <v>421</v>
      </c>
      <c r="H41" s="53"/>
      <c r="I41" s="9">
        <f>ROUND(F41*Q41/50,2)</f>
        <v>0</v>
      </c>
      <c r="J41" s="208">
        <v>0</v>
      </c>
      <c r="K41" s="16">
        <v>0</v>
      </c>
      <c r="L41" s="10">
        <f>ROUND(F41*0.8,2)</f>
        <v>0</v>
      </c>
      <c r="M41" s="208">
        <v>0</v>
      </c>
      <c r="N41" s="208"/>
      <c r="O41" s="10">
        <f>ROUND(F41*0.4,2)</f>
        <v>0</v>
      </c>
      <c r="P41" s="208"/>
      <c r="Q41" s="53">
        <f>$Q$29</f>
        <v>340</v>
      </c>
      <c r="R41" s="10" t="s">
        <v>4</v>
      </c>
      <c r="S41" s="60" t="s">
        <v>2313</v>
      </c>
    </row>
    <row r="42" spans="1:19" s="58" customFormat="1" ht="15">
      <c r="A42" s="16">
        <v>8</v>
      </c>
      <c r="B42" s="39" t="s">
        <v>131</v>
      </c>
      <c r="C42" s="53">
        <f>'R-1'!I56</f>
        <v>6.9400000000000022</v>
      </c>
      <c r="D42" s="53">
        <f>'R-1'!I241</f>
        <v>0</v>
      </c>
      <c r="E42" s="53">
        <f>'R-1'!I386</f>
        <v>0</v>
      </c>
      <c r="F42" s="53">
        <f t="shared" si="1"/>
        <v>6.9400000000000022</v>
      </c>
      <c r="G42" s="53" t="s">
        <v>421</v>
      </c>
      <c r="H42" s="53"/>
      <c r="I42" s="9">
        <f t="shared" si="5"/>
        <v>47.19</v>
      </c>
      <c r="J42" s="208">
        <v>0</v>
      </c>
      <c r="K42" s="16">
        <v>0</v>
      </c>
      <c r="L42" s="10">
        <f t="shared" si="6"/>
        <v>5.55</v>
      </c>
      <c r="M42" s="208">
        <v>0</v>
      </c>
      <c r="N42" s="208"/>
      <c r="O42" s="10">
        <f t="shared" si="7"/>
        <v>2.78</v>
      </c>
      <c r="P42" s="208"/>
      <c r="Q42" s="53">
        <f>$Q$26</f>
        <v>340</v>
      </c>
      <c r="R42" s="10" t="s">
        <v>4</v>
      </c>
      <c r="S42" s="60" t="s">
        <v>2217</v>
      </c>
    </row>
    <row r="43" spans="1:19" s="58" customFormat="1" ht="15" hidden="1">
      <c r="A43" s="16">
        <v>13</v>
      </c>
      <c r="B43" s="39" t="s">
        <v>131</v>
      </c>
      <c r="C43" s="53">
        <f>'R-1'!I57</f>
        <v>0</v>
      </c>
      <c r="D43" s="53">
        <f>'R-1'!I242</f>
        <v>0</v>
      </c>
      <c r="E43" s="53">
        <f>'R-1'!I387</f>
        <v>0</v>
      </c>
      <c r="F43" s="53">
        <f>SUM(C43:E43)</f>
        <v>0</v>
      </c>
      <c r="G43" s="53" t="s">
        <v>421</v>
      </c>
      <c r="H43" s="53"/>
      <c r="I43" s="9">
        <f>ROUND(F43*Q43/50,2)</f>
        <v>0</v>
      </c>
      <c r="J43" s="208">
        <v>0</v>
      </c>
      <c r="K43" s="16">
        <v>0</v>
      </c>
      <c r="L43" s="10">
        <f>ROUND(F43*0.8,2)</f>
        <v>0</v>
      </c>
      <c r="M43" s="208">
        <v>0</v>
      </c>
      <c r="N43" s="208"/>
      <c r="O43" s="10">
        <f>ROUND(F43*0.4,2)</f>
        <v>0</v>
      </c>
      <c r="P43" s="208"/>
      <c r="Q43" s="53">
        <f>$Q$27</f>
        <v>340</v>
      </c>
      <c r="R43" s="10" t="s">
        <v>4</v>
      </c>
      <c r="S43" s="60" t="s">
        <v>2299</v>
      </c>
    </row>
    <row r="44" spans="1:19" s="58" customFormat="1" ht="15" hidden="1">
      <c r="A44" s="16">
        <v>17</v>
      </c>
      <c r="B44" s="39" t="s">
        <v>131</v>
      </c>
      <c r="C44" s="53">
        <f>'R-1'!I58</f>
        <v>0</v>
      </c>
      <c r="D44" s="53">
        <f>'R-1'!I243</f>
        <v>0</v>
      </c>
      <c r="E44" s="53">
        <f>'R-1'!I388</f>
        <v>0</v>
      </c>
      <c r="F44" s="53">
        <f>SUM(C44:E44)</f>
        <v>0</v>
      </c>
      <c r="G44" s="53" t="s">
        <v>421</v>
      </c>
      <c r="H44" s="53"/>
      <c r="I44" s="9">
        <f>ROUND(F44*Q44/50,2)</f>
        <v>0</v>
      </c>
      <c r="J44" s="208">
        <v>0</v>
      </c>
      <c r="K44" s="16">
        <v>0</v>
      </c>
      <c r="L44" s="10">
        <f>ROUND(F44*0.8,2)</f>
        <v>0</v>
      </c>
      <c r="M44" s="208">
        <v>0</v>
      </c>
      <c r="N44" s="208"/>
      <c r="O44" s="10">
        <f>ROUND(F44*0.4,2)</f>
        <v>0</v>
      </c>
      <c r="P44" s="208"/>
      <c r="Q44" s="53">
        <f>$Q$28</f>
        <v>340</v>
      </c>
      <c r="R44" s="10" t="s">
        <v>4</v>
      </c>
      <c r="S44" s="60" t="s">
        <v>2312</v>
      </c>
    </row>
    <row r="45" spans="1:19" s="58" customFormat="1" ht="15" hidden="1">
      <c r="A45" s="16">
        <v>17</v>
      </c>
      <c r="B45" s="39" t="s">
        <v>131</v>
      </c>
      <c r="C45" s="53">
        <f>'R-1'!I59</f>
        <v>0</v>
      </c>
      <c r="D45" s="53">
        <f>'R-1'!I244</f>
        <v>0</v>
      </c>
      <c r="E45" s="53">
        <f>'R-1'!I389</f>
        <v>0</v>
      </c>
      <c r="F45" s="53">
        <f>SUM(C45:E45)</f>
        <v>0</v>
      </c>
      <c r="G45" s="53" t="s">
        <v>421</v>
      </c>
      <c r="H45" s="53"/>
      <c r="I45" s="9">
        <f>ROUND(F45*Q45/50,2)</f>
        <v>0</v>
      </c>
      <c r="J45" s="208">
        <v>0</v>
      </c>
      <c r="K45" s="16">
        <v>0</v>
      </c>
      <c r="L45" s="10">
        <f>ROUND(F45*0.8,2)</f>
        <v>0</v>
      </c>
      <c r="M45" s="208">
        <v>0</v>
      </c>
      <c r="N45" s="208"/>
      <c r="O45" s="10">
        <f>ROUND(F45*0.4,2)</f>
        <v>0</v>
      </c>
      <c r="P45" s="208"/>
      <c r="Q45" s="53">
        <f>$Q$29</f>
        <v>340</v>
      </c>
      <c r="R45" s="10" t="s">
        <v>4</v>
      </c>
      <c r="S45" s="60" t="s">
        <v>2313</v>
      </c>
    </row>
    <row r="46" spans="1:19" ht="15" hidden="1">
      <c r="A46" s="283">
        <v>9</v>
      </c>
      <c r="B46" s="289" t="s">
        <v>3119</v>
      </c>
      <c r="C46" s="285">
        <f>ROUND('R-1'!I64*0.15,2)</f>
        <v>0</v>
      </c>
      <c r="D46" s="285">
        <f>ROUND('R-1'!I253*0.15,2)</f>
        <v>0</v>
      </c>
      <c r="E46" s="285">
        <f>ROUND('R-1'!I398*0.15,2)</f>
        <v>0</v>
      </c>
      <c r="F46" s="285">
        <f t="shared" si="1"/>
        <v>0</v>
      </c>
      <c r="G46" s="285" t="s">
        <v>422</v>
      </c>
      <c r="H46" s="285"/>
      <c r="I46" s="288">
        <f t="shared" si="5"/>
        <v>0</v>
      </c>
      <c r="J46" s="286">
        <v>0</v>
      </c>
      <c r="K46" s="283">
        <v>0</v>
      </c>
      <c r="L46" s="15">
        <f t="shared" si="6"/>
        <v>0</v>
      </c>
      <c r="M46" s="286">
        <v>0</v>
      </c>
      <c r="N46" s="286"/>
      <c r="O46" s="15">
        <f t="shared" si="7"/>
        <v>0</v>
      </c>
      <c r="P46" s="286"/>
      <c r="Q46" s="285">
        <f>ROUND(Q42,2)</f>
        <v>340</v>
      </c>
      <c r="R46" s="15" t="s">
        <v>4</v>
      </c>
      <c r="S46" s="60" t="s">
        <v>2217</v>
      </c>
    </row>
    <row r="47" spans="1:19" ht="15" hidden="1">
      <c r="A47" s="283">
        <v>14</v>
      </c>
      <c r="B47" s="289" t="s">
        <v>236</v>
      </c>
      <c r="C47" s="285">
        <f>ROUND('R-1'!I65*0.15,2)</f>
        <v>0</v>
      </c>
      <c r="D47" s="285">
        <f>ROUND('R-1'!I254*0.15,2)</f>
        <v>0</v>
      </c>
      <c r="E47" s="285">
        <f>ROUND('R-1'!I399*0.15,2)</f>
        <v>0</v>
      </c>
      <c r="F47" s="285">
        <f>SUM(C47:E47)</f>
        <v>0</v>
      </c>
      <c r="G47" s="285" t="s">
        <v>422</v>
      </c>
      <c r="H47" s="285"/>
      <c r="I47" s="288">
        <f>ROUND(F47*Q47/50,2)</f>
        <v>0</v>
      </c>
      <c r="J47" s="286">
        <v>0</v>
      </c>
      <c r="K47" s="283">
        <v>0</v>
      </c>
      <c r="L47" s="15">
        <f>ROUND(F47*0.8,2)</f>
        <v>0</v>
      </c>
      <c r="M47" s="286">
        <v>0</v>
      </c>
      <c r="N47" s="286"/>
      <c r="O47" s="15">
        <f>ROUND(F47*0.4,2)</f>
        <v>0</v>
      </c>
      <c r="P47" s="286"/>
      <c r="Q47" s="285">
        <f>ROUND(Q43,2)</f>
        <v>340</v>
      </c>
      <c r="R47" s="15" t="s">
        <v>4</v>
      </c>
      <c r="S47" s="60" t="s">
        <v>2299</v>
      </c>
    </row>
    <row r="48" spans="1:19" ht="15" hidden="1">
      <c r="A48" s="283">
        <v>10</v>
      </c>
      <c r="B48" s="289" t="s">
        <v>236</v>
      </c>
      <c r="C48" s="285">
        <f>ROUND('R-1'!I66*0.15,2)</f>
        <v>0</v>
      </c>
      <c r="D48" s="285">
        <f>ROUND('R-1'!I255*0.15,2)</f>
        <v>0</v>
      </c>
      <c r="E48" s="285">
        <f>ROUND('R-1'!I400*0.15,2)</f>
        <v>0</v>
      </c>
      <c r="F48" s="285">
        <f>SUM(C48:E48)</f>
        <v>0</v>
      </c>
      <c r="G48" s="285" t="s">
        <v>422</v>
      </c>
      <c r="H48" s="285"/>
      <c r="I48" s="288">
        <f>ROUND(F48*Q48/50,2)</f>
        <v>0</v>
      </c>
      <c r="J48" s="286">
        <v>0</v>
      </c>
      <c r="K48" s="283">
        <v>0</v>
      </c>
      <c r="L48" s="15">
        <f>ROUND(F48*0.8,2)</f>
        <v>0</v>
      </c>
      <c r="M48" s="286">
        <v>0</v>
      </c>
      <c r="N48" s="286"/>
      <c r="O48" s="15">
        <f>ROUND(F48*0.4,2)</f>
        <v>0</v>
      </c>
      <c r="P48" s="286"/>
      <c r="Q48" s="285">
        <f>ROUND(Q44,2)</f>
        <v>340</v>
      </c>
      <c r="R48" s="15" t="s">
        <v>4</v>
      </c>
      <c r="S48" s="60" t="s">
        <v>2312</v>
      </c>
    </row>
    <row r="49" spans="1:19" ht="15" hidden="1">
      <c r="A49" s="283">
        <v>10</v>
      </c>
      <c r="B49" s="289" t="s">
        <v>236</v>
      </c>
      <c r="C49" s="285">
        <f>ROUND('R-1'!I67*0.15,2)</f>
        <v>0</v>
      </c>
      <c r="D49" s="285">
        <f>ROUND('R-1'!I256*0.15,2)</f>
        <v>0</v>
      </c>
      <c r="E49" s="285">
        <f>ROUND('R-1'!I401*0.15,2)</f>
        <v>0</v>
      </c>
      <c r="F49" s="285">
        <f>SUM(C49:E49)</f>
        <v>0</v>
      </c>
      <c r="G49" s="285" t="s">
        <v>422</v>
      </c>
      <c r="H49" s="285"/>
      <c r="I49" s="288">
        <f>ROUND(F49*Q49/50,2)</f>
        <v>0</v>
      </c>
      <c r="J49" s="286">
        <v>0</v>
      </c>
      <c r="K49" s="283">
        <v>0</v>
      </c>
      <c r="L49" s="15">
        <f>ROUND(F49*0.8,2)</f>
        <v>0</v>
      </c>
      <c r="M49" s="286">
        <v>0</v>
      </c>
      <c r="N49" s="286"/>
      <c r="O49" s="15">
        <f>ROUND(F49*0.4,2)</f>
        <v>0</v>
      </c>
      <c r="P49" s="286"/>
      <c r="Q49" s="285">
        <f>ROUND(Q45,2)</f>
        <v>340</v>
      </c>
      <c r="R49" s="15" t="s">
        <v>4</v>
      </c>
      <c r="S49" s="60" t="s">
        <v>2313</v>
      </c>
    </row>
    <row r="50" spans="1:19" s="58" customFormat="1" ht="15">
      <c r="A50" s="16">
        <v>9</v>
      </c>
      <c r="B50" s="289" t="s">
        <v>2149</v>
      </c>
      <c r="C50" s="53">
        <f>ROUND('R-1'!I60*0.125,2)</f>
        <v>14.76</v>
      </c>
      <c r="D50" s="53">
        <f>ROUND('R-1'!I245*0.125,2)</f>
        <v>0</v>
      </c>
      <c r="E50" s="53">
        <f>ROUND('R-1'!I390*0.125,2)</f>
        <v>0</v>
      </c>
      <c r="F50" s="53">
        <f t="shared" si="1"/>
        <v>14.76</v>
      </c>
      <c r="G50" s="53" t="s">
        <v>422</v>
      </c>
      <c r="H50" s="53"/>
      <c r="I50" s="9">
        <f t="shared" si="5"/>
        <v>100.37</v>
      </c>
      <c r="J50" s="208">
        <v>0</v>
      </c>
      <c r="K50" s="16">
        <v>0</v>
      </c>
      <c r="L50" s="10">
        <f t="shared" si="6"/>
        <v>11.81</v>
      </c>
      <c r="M50" s="208">
        <v>0</v>
      </c>
      <c r="N50" s="208"/>
      <c r="O50" s="10">
        <f t="shared" si="7"/>
        <v>5.9</v>
      </c>
      <c r="P50" s="208"/>
      <c r="Q50" s="53">
        <f>ROUND(Q42,2)</f>
        <v>340</v>
      </c>
      <c r="R50" s="10" t="s">
        <v>4</v>
      </c>
      <c r="S50" s="60" t="s">
        <v>2217</v>
      </c>
    </row>
    <row r="51" spans="1:19" s="58" customFormat="1" ht="15" hidden="1">
      <c r="A51" s="16">
        <v>14</v>
      </c>
      <c r="B51" s="289" t="s">
        <v>2149</v>
      </c>
      <c r="C51" s="53">
        <f>ROUND('R-1'!I61*0.125,2)</f>
        <v>0</v>
      </c>
      <c r="D51" s="53">
        <f>ROUND('R-1'!I246*0.125,2)</f>
        <v>0</v>
      </c>
      <c r="E51" s="53">
        <f>ROUND('R-1'!I391*0.125,2)</f>
        <v>0</v>
      </c>
      <c r="F51" s="53">
        <f>SUM(C51:E51)</f>
        <v>0</v>
      </c>
      <c r="G51" s="53" t="s">
        <v>422</v>
      </c>
      <c r="H51" s="53"/>
      <c r="I51" s="9">
        <f>ROUND(F51*Q51/50,2)</f>
        <v>0</v>
      </c>
      <c r="J51" s="208">
        <v>0</v>
      </c>
      <c r="K51" s="16">
        <v>0</v>
      </c>
      <c r="L51" s="10">
        <f>ROUND(F51*0.8,2)</f>
        <v>0</v>
      </c>
      <c r="M51" s="208">
        <v>0</v>
      </c>
      <c r="N51" s="208"/>
      <c r="O51" s="10">
        <f>ROUND(F51*0.4,2)</f>
        <v>0</v>
      </c>
      <c r="P51" s="208"/>
      <c r="Q51" s="53">
        <f>ROUND(Q43,2)</f>
        <v>340</v>
      </c>
      <c r="R51" s="10" t="s">
        <v>4</v>
      </c>
      <c r="S51" s="60" t="s">
        <v>2299</v>
      </c>
    </row>
    <row r="52" spans="1:19" s="58" customFormat="1" ht="15" hidden="1">
      <c r="A52" s="16">
        <v>18</v>
      </c>
      <c r="B52" s="289" t="s">
        <v>2149</v>
      </c>
      <c r="C52" s="53">
        <f>ROUND('R-1'!I62*0.125,2)</f>
        <v>0</v>
      </c>
      <c r="D52" s="53">
        <f>ROUND('R-1'!I247*0.125,2)</f>
        <v>0</v>
      </c>
      <c r="E52" s="53">
        <f>ROUND('R-1'!I392*0.125,2)</f>
        <v>0</v>
      </c>
      <c r="F52" s="53">
        <f>SUM(C52:E52)</f>
        <v>0</v>
      </c>
      <c r="G52" s="53" t="s">
        <v>422</v>
      </c>
      <c r="H52" s="53"/>
      <c r="I52" s="9">
        <f>ROUND(F52*Q52/50,2)</f>
        <v>0</v>
      </c>
      <c r="J52" s="208">
        <v>0</v>
      </c>
      <c r="K52" s="16">
        <v>0</v>
      </c>
      <c r="L52" s="10">
        <f>ROUND(F52*0.8,2)</f>
        <v>0</v>
      </c>
      <c r="M52" s="208">
        <v>0</v>
      </c>
      <c r="N52" s="208"/>
      <c r="O52" s="10">
        <f>ROUND(F52*0.4,2)</f>
        <v>0</v>
      </c>
      <c r="P52" s="208"/>
      <c r="Q52" s="53">
        <f>ROUND(Q44,2)</f>
        <v>340</v>
      </c>
      <c r="R52" s="10" t="s">
        <v>4</v>
      </c>
      <c r="S52" s="60" t="s">
        <v>2312</v>
      </c>
    </row>
    <row r="53" spans="1:19" s="58" customFormat="1" ht="15" hidden="1">
      <c r="A53" s="16">
        <v>18</v>
      </c>
      <c r="B53" s="289" t="s">
        <v>2149</v>
      </c>
      <c r="C53" s="53">
        <f>ROUND('R-1'!I63*0.125,2)</f>
        <v>0</v>
      </c>
      <c r="D53" s="53">
        <f>ROUND('R-1'!I248*0.125,2)</f>
        <v>0</v>
      </c>
      <c r="E53" s="53">
        <f>ROUND('R-1'!I393*0.125,2)</f>
        <v>0</v>
      </c>
      <c r="F53" s="53">
        <f>SUM(C53:E53)</f>
        <v>0</v>
      </c>
      <c r="G53" s="53" t="s">
        <v>422</v>
      </c>
      <c r="H53" s="53"/>
      <c r="I53" s="9">
        <f>ROUND(F53*Q53/50,2)</f>
        <v>0</v>
      </c>
      <c r="J53" s="208">
        <v>0</v>
      </c>
      <c r="K53" s="16">
        <v>0</v>
      </c>
      <c r="L53" s="10">
        <f>ROUND(F53*0.8,2)</f>
        <v>0</v>
      </c>
      <c r="M53" s="208">
        <v>0</v>
      </c>
      <c r="N53" s="208"/>
      <c r="O53" s="10">
        <f>ROUND(F53*0.4,2)</f>
        <v>0</v>
      </c>
      <c r="P53" s="208"/>
      <c r="Q53" s="53">
        <f>ROUND(Q45,2)</f>
        <v>340</v>
      </c>
      <c r="R53" s="10" t="s">
        <v>4</v>
      </c>
      <c r="S53" s="60" t="s">
        <v>2313</v>
      </c>
    </row>
    <row r="54" spans="1:19" s="58" customFormat="1" ht="15">
      <c r="A54" s="16">
        <v>10</v>
      </c>
      <c r="B54" s="289" t="s">
        <v>2460</v>
      </c>
      <c r="C54" s="53">
        <f>ROUND('R-1'!I68*0.1,2)</f>
        <v>2.21</v>
      </c>
      <c r="D54" s="53">
        <f>ROUND('R-1'!I249*0.1,2)</f>
        <v>0</v>
      </c>
      <c r="E54" s="53">
        <f>ROUND('R-1'!I394*0.1,2)</f>
        <v>0</v>
      </c>
      <c r="F54" s="53">
        <f t="shared" si="1"/>
        <v>2.21</v>
      </c>
      <c r="G54" s="53" t="s">
        <v>422</v>
      </c>
      <c r="H54" s="53"/>
      <c r="I54" s="9">
        <f t="shared" si="5"/>
        <v>15.03</v>
      </c>
      <c r="J54" s="208">
        <v>0</v>
      </c>
      <c r="K54" s="16">
        <v>0</v>
      </c>
      <c r="L54" s="10">
        <f t="shared" si="6"/>
        <v>1.77</v>
      </c>
      <c r="M54" s="208">
        <v>0</v>
      </c>
      <c r="N54" s="208"/>
      <c r="O54" s="10">
        <f t="shared" si="7"/>
        <v>0.88</v>
      </c>
      <c r="P54" s="208"/>
      <c r="Q54" s="53">
        <f t="shared" ref="Q54:Q61" si="10">Q50</f>
        <v>340</v>
      </c>
      <c r="R54" s="10" t="s">
        <v>4</v>
      </c>
      <c r="S54" s="60" t="s">
        <v>2217</v>
      </c>
    </row>
    <row r="55" spans="1:19" s="58" customFormat="1" ht="15" hidden="1">
      <c r="A55" s="16">
        <v>15</v>
      </c>
      <c r="B55" s="289" t="s">
        <v>2460</v>
      </c>
      <c r="C55" s="53">
        <f>ROUND('R-1'!I69*0.1,2)</f>
        <v>0</v>
      </c>
      <c r="D55" s="53">
        <f>ROUND('R-1'!I250*0.1,2)</f>
        <v>0</v>
      </c>
      <c r="E55" s="53">
        <f>ROUND('R-1'!I395*0.1,2)</f>
        <v>0</v>
      </c>
      <c r="F55" s="53">
        <f>SUM(C55:E55)</f>
        <v>0</v>
      </c>
      <c r="G55" s="53" t="s">
        <v>422</v>
      </c>
      <c r="H55" s="53"/>
      <c r="I55" s="9">
        <f>ROUND(F55*Q55/50,2)</f>
        <v>0</v>
      </c>
      <c r="J55" s="208">
        <v>0</v>
      </c>
      <c r="K55" s="16">
        <v>0</v>
      </c>
      <c r="L55" s="10">
        <f>ROUND(F55*0.8,2)</f>
        <v>0</v>
      </c>
      <c r="M55" s="208">
        <v>0</v>
      </c>
      <c r="N55" s="208"/>
      <c r="O55" s="10">
        <f>ROUND(F55*0.4,2)</f>
        <v>0</v>
      </c>
      <c r="P55" s="208"/>
      <c r="Q55" s="53">
        <f t="shared" si="10"/>
        <v>340</v>
      </c>
      <c r="R55" s="10" t="s">
        <v>4</v>
      </c>
      <c r="S55" s="60" t="s">
        <v>2299</v>
      </c>
    </row>
    <row r="56" spans="1:19" s="58" customFormat="1" ht="15" hidden="1">
      <c r="A56" s="16">
        <v>11</v>
      </c>
      <c r="B56" s="433" t="s">
        <v>605</v>
      </c>
      <c r="C56" s="53">
        <f>ROUND('R-1'!I70*0.1,2)</f>
        <v>0</v>
      </c>
      <c r="D56" s="53">
        <f>ROUND('R-1'!I251*0.1,2)</f>
        <v>0</v>
      </c>
      <c r="E56" s="53">
        <f>ROUND('R-1'!I396*0.1,2)</f>
        <v>0</v>
      </c>
      <c r="F56" s="53">
        <f>SUM(C56:E56)</f>
        <v>0</v>
      </c>
      <c r="G56" s="53" t="s">
        <v>422</v>
      </c>
      <c r="H56" s="53"/>
      <c r="I56" s="9">
        <f>ROUND(F56*Q56/50,2)</f>
        <v>0</v>
      </c>
      <c r="J56" s="208">
        <v>0</v>
      </c>
      <c r="K56" s="16">
        <v>0</v>
      </c>
      <c r="L56" s="10">
        <f>ROUND(F56*0.8,2)</f>
        <v>0</v>
      </c>
      <c r="M56" s="208">
        <v>0</v>
      </c>
      <c r="N56" s="208"/>
      <c r="O56" s="10">
        <f>ROUND(F56*0.4,2)</f>
        <v>0</v>
      </c>
      <c r="P56" s="208"/>
      <c r="Q56" s="53">
        <f t="shared" si="10"/>
        <v>340</v>
      </c>
      <c r="R56" s="10" t="s">
        <v>4</v>
      </c>
      <c r="S56" s="60" t="s">
        <v>2312</v>
      </c>
    </row>
    <row r="57" spans="1:19" s="58" customFormat="1" ht="15" hidden="1">
      <c r="A57" s="16">
        <v>11</v>
      </c>
      <c r="B57" s="433" t="s">
        <v>605</v>
      </c>
      <c r="C57" s="53">
        <f>ROUND('R-1'!I71*0.1,2)</f>
        <v>0</v>
      </c>
      <c r="D57" s="53">
        <f>ROUND('R-1'!I252*0.1,2)</f>
        <v>0</v>
      </c>
      <c r="E57" s="53">
        <f>ROUND('R-1'!I397*0.1,2)</f>
        <v>0</v>
      </c>
      <c r="F57" s="53">
        <f>SUM(C57:E57)</f>
        <v>0</v>
      </c>
      <c r="G57" s="53" t="s">
        <v>422</v>
      </c>
      <c r="H57" s="53"/>
      <c r="I57" s="9">
        <f>ROUND(F57*Q57/50,2)</f>
        <v>0</v>
      </c>
      <c r="J57" s="208">
        <v>0</v>
      </c>
      <c r="K57" s="16">
        <v>0</v>
      </c>
      <c r="L57" s="10">
        <f>ROUND(F57*0.8,2)</f>
        <v>0</v>
      </c>
      <c r="M57" s="208">
        <v>0</v>
      </c>
      <c r="N57" s="208"/>
      <c r="O57" s="10">
        <f>ROUND(F57*0.4,2)</f>
        <v>0</v>
      </c>
      <c r="P57" s="208"/>
      <c r="Q57" s="53">
        <f t="shared" si="10"/>
        <v>340</v>
      </c>
      <c r="R57" s="10" t="s">
        <v>4</v>
      </c>
      <c r="S57" s="60" t="s">
        <v>2313</v>
      </c>
    </row>
    <row r="58" spans="1:19" ht="15" hidden="1">
      <c r="A58" s="283">
        <v>17</v>
      </c>
      <c r="B58" s="289" t="s">
        <v>1230</v>
      </c>
      <c r="C58" s="285">
        <f>ROUND('R-1'!I72*0.05,2)</f>
        <v>0</v>
      </c>
      <c r="D58" s="285">
        <f>ROUND('R-1'!I257*0.05,2)</f>
        <v>0</v>
      </c>
      <c r="E58" s="285">
        <f>ROUND('R-1'!I402*0.05,2)</f>
        <v>0</v>
      </c>
      <c r="F58" s="285">
        <f t="shared" si="1"/>
        <v>0</v>
      </c>
      <c r="G58" s="285" t="s">
        <v>422</v>
      </c>
      <c r="H58" s="285"/>
      <c r="I58" s="288">
        <f t="shared" si="5"/>
        <v>0</v>
      </c>
      <c r="J58" s="286">
        <v>0</v>
      </c>
      <c r="K58" s="283">
        <v>0</v>
      </c>
      <c r="L58" s="15">
        <f t="shared" si="6"/>
        <v>0</v>
      </c>
      <c r="M58" s="286">
        <v>0</v>
      </c>
      <c r="N58" s="286"/>
      <c r="O58" s="15">
        <f t="shared" si="7"/>
        <v>0</v>
      </c>
      <c r="P58" s="286"/>
      <c r="Q58" s="285">
        <f t="shared" si="10"/>
        <v>340</v>
      </c>
      <c r="R58" s="15" t="s">
        <v>4</v>
      </c>
      <c r="S58" s="60" t="s">
        <v>2217</v>
      </c>
    </row>
    <row r="59" spans="1:19" ht="15" hidden="1">
      <c r="A59" s="283">
        <v>17</v>
      </c>
      <c r="B59" s="289" t="s">
        <v>1230</v>
      </c>
      <c r="C59" s="285">
        <f>ROUND('R-1'!I73*0.05,2)</f>
        <v>0</v>
      </c>
      <c r="D59" s="285">
        <f>ROUND('R-1'!I258*0.05,2)</f>
        <v>0</v>
      </c>
      <c r="E59" s="285">
        <f>ROUND('R-1'!I403*0.05,2)</f>
        <v>0</v>
      </c>
      <c r="F59" s="285">
        <f>SUM(C59:E59)</f>
        <v>0</v>
      </c>
      <c r="G59" s="285" t="s">
        <v>422</v>
      </c>
      <c r="H59" s="285"/>
      <c r="I59" s="288">
        <f>ROUND(F59*Q59/50,2)</f>
        <v>0</v>
      </c>
      <c r="J59" s="286">
        <v>0</v>
      </c>
      <c r="K59" s="283">
        <v>0</v>
      </c>
      <c r="L59" s="15">
        <f>ROUND(F59*0.8,2)</f>
        <v>0</v>
      </c>
      <c r="M59" s="286">
        <v>0</v>
      </c>
      <c r="N59" s="286"/>
      <c r="O59" s="15">
        <f>ROUND(F59*0.4,2)</f>
        <v>0</v>
      </c>
      <c r="P59" s="286"/>
      <c r="Q59" s="285">
        <f t="shared" si="10"/>
        <v>340</v>
      </c>
      <c r="R59" s="15" t="s">
        <v>4</v>
      </c>
      <c r="S59" s="60" t="s">
        <v>2299</v>
      </c>
    </row>
    <row r="60" spans="1:19" ht="15" hidden="1">
      <c r="A60" s="283">
        <v>17</v>
      </c>
      <c r="B60" s="289" t="s">
        <v>1230</v>
      </c>
      <c r="C60" s="285">
        <f>ROUND('R-1'!I74*0.05,2)</f>
        <v>0</v>
      </c>
      <c r="D60" s="285">
        <f>ROUND('R-1'!I259*0.05,2)</f>
        <v>0</v>
      </c>
      <c r="E60" s="285">
        <f>ROUND('R-1'!I404*0.05,2)</f>
        <v>0</v>
      </c>
      <c r="F60" s="285">
        <f>SUM(C60:E60)</f>
        <v>0</v>
      </c>
      <c r="G60" s="285" t="s">
        <v>422</v>
      </c>
      <c r="H60" s="285"/>
      <c r="I60" s="288">
        <f>ROUND(F60*Q60/50,2)</f>
        <v>0</v>
      </c>
      <c r="J60" s="286">
        <v>0</v>
      </c>
      <c r="K60" s="283">
        <v>0</v>
      </c>
      <c r="L60" s="15">
        <f>ROUND(F60*0.8,2)</f>
        <v>0</v>
      </c>
      <c r="M60" s="286">
        <v>0</v>
      </c>
      <c r="N60" s="286"/>
      <c r="O60" s="15">
        <f>ROUND(F60*0.4,2)</f>
        <v>0</v>
      </c>
      <c r="P60" s="286"/>
      <c r="Q60" s="285">
        <f t="shared" si="10"/>
        <v>340</v>
      </c>
      <c r="R60" s="15" t="s">
        <v>4</v>
      </c>
      <c r="S60" s="60" t="s">
        <v>2312</v>
      </c>
    </row>
    <row r="61" spans="1:19" ht="15" hidden="1">
      <c r="A61" s="283">
        <v>17</v>
      </c>
      <c r="B61" s="289" t="s">
        <v>1230</v>
      </c>
      <c r="C61" s="285">
        <f>ROUND('R-1'!I75*0.05,2)</f>
        <v>0</v>
      </c>
      <c r="D61" s="285">
        <f>ROUND('R-1'!I260*0.05,2)</f>
        <v>0</v>
      </c>
      <c r="E61" s="285">
        <f>ROUND('R-1'!I405*0.05,2)</f>
        <v>0</v>
      </c>
      <c r="F61" s="285">
        <f>SUM(C61:E61)</f>
        <v>0</v>
      </c>
      <c r="G61" s="285" t="s">
        <v>422</v>
      </c>
      <c r="H61" s="285"/>
      <c r="I61" s="288">
        <f>ROUND(F61*Q61/50,2)</f>
        <v>0</v>
      </c>
      <c r="J61" s="286">
        <v>0</v>
      </c>
      <c r="K61" s="283">
        <v>0</v>
      </c>
      <c r="L61" s="15">
        <f>ROUND(F61*0.8,2)</f>
        <v>0</v>
      </c>
      <c r="M61" s="286">
        <v>0</v>
      </c>
      <c r="N61" s="286"/>
      <c r="O61" s="15">
        <f>ROUND(F61*0.4,2)</f>
        <v>0</v>
      </c>
      <c r="P61" s="286"/>
      <c r="Q61" s="285">
        <f t="shared" si="10"/>
        <v>340</v>
      </c>
      <c r="R61" s="15" t="s">
        <v>4</v>
      </c>
      <c r="S61" s="60" t="s">
        <v>2313</v>
      </c>
    </row>
    <row r="62" spans="1:19" ht="15" hidden="1">
      <c r="A62" s="283">
        <v>18</v>
      </c>
      <c r="B62" s="289" t="s">
        <v>1438</v>
      </c>
      <c r="C62" s="285">
        <f>ROUND('R-1'!I76*0.025,2)</f>
        <v>0</v>
      </c>
      <c r="D62" s="285">
        <f>ROUND('R-1'!I257*0.025,2)</f>
        <v>0</v>
      </c>
      <c r="E62" s="285">
        <f>ROUND('R-1'!I406*0.025,2)</f>
        <v>0</v>
      </c>
      <c r="F62" s="285">
        <f t="shared" si="1"/>
        <v>0</v>
      </c>
      <c r="G62" s="285" t="s">
        <v>422</v>
      </c>
      <c r="H62" s="285"/>
      <c r="I62" s="288">
        <f t="shared" si="5"/>
        <v>0</v>
      </c>
      <c r="J62" s="286">
        <v>0</v>
      </c>
      <c r="K62" s="283">
        <v>0</v>
      </c>
      <c r="L62" s="15">
        <f t="shared" si="6"/>
        <v>0</v>
      </c>
      <c r="M62" s="286">
        <v>0</v>
      </c>
      <c r="N62" s="286"/>
      <c r="O62" s="15">
        <f t="shared" si="7"/>
        <v>0</v>
      </c>
      <c r="P62" s="286"/>
      <c r="Q62" s="285">
        <f t="shared" ref="Q62:Q63" si="11">Q58</f>
        <v>340</v>
      </c>
      <c r="R62" s="15" t="s">
        <v>4</v>
      </c>
      <c r="S62" s="60" t="s">
        <v>2217</v>
      </c>
    </row>
    <row r="63" spans="1:19" ht="15" hidden="1">
      <c r="A63" s="283">
        <v>18</v>
      </c>
      <c r="B63" s="289" t="s">
        <v>1438</v>
      </c>
      <c r="C63" s="285">
        <f>ROUND('R-1'!I77*0.025,2)</f>
        <v>0</v>
      </c>
      <c r="D63" s="285">
        <f>ROUND('R-1'!I258*0.025,2)</f>
        <v>0</v>
      </c>
      <c r="E63" s="285">
        <f>ROUND('R-1'!I407*0.025,2)</f>
        <v>0</v>
      </c>
      <c r="F63" s="285">
        <f>SUM(C63:E63)</f>
        <v>0</v>
      </c>
      <c r="G63" s="285" t="s">
        <v>422</v>
      </c>
      <c r="H63" s="285"/>
      <c r="I63" s="288">
        <f>ROUND(F63*Q63/50,2)</f>
        <v>0</v>
      </c>
      <c r="J63" s="286">
        <v>0</v>
      </c>
      <c r="K63" s="283">
        <v>0</v>
      </c>
      <c r="L63" s="15">
        <f>ROUND(F63*0.8,2)</f>
        <v>0</v>
      </c>
      <c r="M63" s="286">
        <v>0</v>
      </c>
      <c r="N63" s="286"/>
      <c r="O63" s="15">
        <f>ROUND(F63*0.4,2)</f>
        <v>0</v>
      </c>
      <c r="P63" s="286"/>
      <c r="Q63" s="285">
        <f t="shared" si="11"/>
        <v>340</v>
      </c>
      <c r="R63" s="15" t="s">
        <v>4</v>
      </c>
      <c r="S63" s="60" t="s">
        <v>2299</v>
      </c>
    </row>
    <row r="64" spans="1:19" ht="15" hidden="1">
      <c r="A64" s="283">
        <v>18</v>
      </c>
      <c r="B64" s="289" t="s">
        <v>1438</v>
      </c>
      <c r="C64" s="285">
        <f>ROUND('R-1'!I78*0.025,2)</f>
        <v>0</v>
      </c>
      <c r="D64" s="285">
        <f>ROUND('R-1'!I259*0.025,2)</f>
        <v>0</v>
      </c>
      <c r="E64" s="285">
        <f>ROUND('R-1'!I408*0.025,2)</f>
        <v>0</v>
      </c>
      <c r="F64" s="285">
        <f>SUM(C64:E64)</f>
        <v>0</v>
      </c>
      <c r="G64" s="285" t="s">
        <v>422</v>
      </c>
      <c r="H64" s="285"/>
      <c r="I64" s="288">
        <f>ROUND(F64*Q64/50,2)</f>
        <v>0</v>
      </c>
      <c r="J64" s="286">
        <v>0</v>
      </c>
      <c r="K64" s="283">
        <v>0</v>
      </c>
      <c r="L64" s="15">
        <f>ROUND(F64*0.8,2)</f>
        <v>0</v>
      </c>
      <c r="M64" s="286">
        <v>0</v>
      </c>
      <c r="N64" s="286"/>
      <c r="O64" s="15">
        <f>ROUND(F64*0.4,2)</f>
        <v>0</v>
      </c>
      <c r="P64" s="286"/>
      <c r="Q64" s="285">
        <f>Q60</f>
        <v>340</v>
      </c>
      <c r="R64" s="15" t="s">
        <v>4</v>
      </c>
      <c r="S64" s="60" t="s">
        <v>2312</v>
      </c>
    </row>
    <row r="65" spans="1:19" ht="15" hidden="1">
      <c r="A65" s="283">
        <v>18</v>
      </c>
      <c r="B65" s="289" t="s">
        <v>1438</v>
      </c>
      <c r="C65" s="285">
        <f>ROUND('R-1'!I79*0.025,2)</f>
        <v>0</v>
      </c>
      <c r="D65" s="285">
        <f>ROUND('R-1'!I260*0.025,2)</f>
        <v>0</v>
      </c>
      <c r="E65" s="285">
        <f>ROUND('R-1'!I409*0.025,2)</f>
        <v>0</v>
      </c>
      <c r="F65" s="285">
        <f>SUM(C65:E65)</f>
        <v>0</v>
      </c>
      <c r="G65" s="285" t="s">
        <v>422</v>
      </c>
      <c r="H65" s="285"/>
      <c r="I65" s="288">
        <f>ROUND(F65*Q65/50,2)</f>
        <v>0</v>
      </c>
      <c r="J65" s="286">
        <v>0</v>
      </c>
      <c r="K65" s="283">
        <v>0</v>
      </c>
      <c r="L65" s="15">
        <f>ROUND(F65*0.8,2)</f>
        <v>0</v>
      </c>
      <c r="M65" s="286">
        <v>0</v>
      </c>
      <c r="N65" s="286"/>
      <c r="O65" s="15">
        <f>ROUND(F65*0.4,2)</f>
        <v>0</v>
      </c>
      <c r="P65" s="286"/>
      <c r="Q65" s="285">
        <f>Q61</f>
        <v>340</v>
      </c>
      <c r="R65" s="15" t="s">
        <v>4</v>
      </c>
      <c r="S65" s="60" t="s">
        <v>2313</v>
      </c>
    </row>
    <row r="66" spans="1:19" s="58" customFormat="1" ht="15">
      <c r="A66" s="16">
        <v>11</v>
      </c>
      <c r="B66" s="39" t="s">
        <v>129</v>
      </c>
      <c r="C66" s="53">
        <f>'R-1'!I80</f>
        <v>1.21</v>
      </c>
      <c r="D66" s="53">
        <f>'R-1'!I265</f>
        <v>0</v>
      </c>
      <c r="E66" s="53">
        <f>'R-1'!I410</f>
        <v>0</v>
      </c>
      <c r="F66" s="53">
        <f t="shared" si="1"/>
        <v>1.21</v>
      </c>
      <c r="G66" s="53" t="s">
        <v>421</v>
      </c>
      <c r="H66" s="53"/>
      <c r="I66" s="9">
        <f t="shared" si="5"/>
        <v>8.23</v>
      </c>
      <c r="J66" s="208">
        <v>0</v>
      </c>
      <c r="K66" s="16">
        <v>0</v>
      </c>
      <c r="L66" s="10">
        <f t="shared" si="6"/>
        <v>0.97</v>
      </c>
      <c r="M66" s="208">
        <v>0</v>
      </c>
      <c r="N66" s="208"/>
      <c r="O66" s="10">
        <f t="shared" si="7"/>
        <v>0.48</v>
      </c>
      <c r="P66" s="208"/>
      <c r="Q66" s="53">
        <f>$Q$26</f>
        <v>340</v>
      </c>
      <c r="R66" s="10" t="s">
        <v>4</v>
      </c>
      <c r="S66" s="60" t="s">
        <v>2217</v>
      </c>
    </row>
    <row r="67" spans="1:19" s="58" customFormat="1" ht="15" hidden="1">
      <c r="A67" s="16">
        <v>16</v>
      </c>
      <c r="B67" s="39" t="s">
        <v>866</v>
      </c>
      <c r="C67" s="53">
        <f>'R-1'!I81</f>
        <v>0</v>
      </c>
      <c r="D67" s="53">
        <f>'R-1'!I266</f>
        <v>0</v>
      </c>
      <c r="E67" s="53">
        <f>'R-1'!I411</f>
        <v>0</v>
      </c>
      <c r="F67" s="53">
        <f>SUM(C67:E67)</f>
        <v>0</v>
      </c>
      <c r="G67" s="53" t="s">
        <v>421</v>
      </c>
      <c r="H67" s="53"/>
      <c r="I67" s="9">
        <f>ROUND(F67*Q67/50,2)</f>
        <v>0</v>
      </c>
      <c r="J67" s="208">
        <v>0</v>
      </c>
      <c r="K67" s="16">
        <v>0</v>
      </c>
      <c r="L67" s="10">
        <f>ROUND(F67*0.8,2)</f>
        <v>0</v>
      </c>
      <c r="M67" s="208">
        <v>0</v>
      </c>
      <c r="N67" s="208"/>
      <c r="O67" s="10">
        <f>ROUND(F67*0.4,2)</f>
        <v>0</v>
      </c>
      <c r="P67" s="208"/>
      <c r="Q67" s="53">
        <f>$Q$27</f>
        <v>340</v>
      </c>
      <c r="R67" s="10" t="s">
        <v>4</v>
      </c>
      <c r="S67" s="60" t="s">
        <v>2299</v>
      </c>
    </row>
    <row r="68" spans="1:19" s="58" customFormat="1" ht="15" hidden="1">
      <c r="A68" s="16">
        <v>19</v>
      </c>
      <c r="B68" s="39" t="s">
        <v>129</v>
      </c>
      <c r="C68" s="53">
        <f>'R-1'!I82</f>
        <v>0</v>
      </c>
      <c r="D68" s="53">
        <f>'R-1'!I267</f>
        <v>0</v>
      </c>
      <c r="E68" s="53">
        <f>'R-1'!I412</f>
        <v>0</v>
      </c>
      <c r="F68" s="53">
        <f>SUM(C68:E68)</f>
        <v>0</v>
      </c>
      <c r="G68" s="53" t="s">
        <v>421</v>
      </c>
      <c r="H68" s="53"/>
      <c r="I68" s="9">
        <f>ROUND(F68*Q68/50,2)</f>
        <v>0</v>
      </c>
      <c r="J68" s="208">
        <v>0</v>
      </c>
      <c r="K68" s="16">
        <v>0</v>
      </c>
      <c r="L68" s="10">
        <f t="shared" ref="L68:L69" si="12">ROUND(F68*0.8,2)</f>
        <v>0</v>
      </c>
      <c r="M68" s="208">
        <v>0</v>
      </c>
      <c r="N68" s="208"/>
      <c r="O68" s="10">
        <f t="shared" ref="O68:O69" si="13">ROUND(F68*0.4,2)</f>
        <v>0</v>
      </c>
      <c r="P68" s="208"/>
      <c r="Q68" s="53">
        <f>$Q$28</f>
        <v>340</v>
      </c>
      <c r="R68" s="10" t="s">
        <v>4</v>
      </c>
      <c r="S68" s="60" t="s">
        <v>2312</v>
      </c>
    </row>
    <row r="69" spans="1:19" s="58" customFormat="1" ht="15" hidden="1">
      <c r="A69" s="16">
        <v>12</v>
      </c>
      <c r="B69" s="39" t="s">
        <v>129</v>
      </c>
      <c r="C69" s="53">
        <f>'R-1'!I83</f>
        <v>0</v>
      </c>
      <c r="D69" s="53">
        <f>'R-1'!I268</f>
        <v>0</v>
      </c>
      <c r="E69" s="53">
        <f>'R-1'!I413</f>
        <v>0</v>
      </c>
      <c r="F69" s="53">
        <f>SUM(C69:E69)</f>
        <v>0</v>
      </c>
      <c r="G69" s="53" t="s">
        <v>421</v>
      </c>
      <c r="H69" s="53"/>
      <c r="I69" s="9">
        <f>ROUND(F69*Q69/50,2)</f>
        <v>0</v>
      </c>
      <c r="J69" s="208">
        <v>0</v>
      </c>
      <c r="K69" s="16">
        <v>0</v>
      </c>
      <c r="L69" s="10">
        <f t="shared" si="12"/>
        <v>0</v>
      </c>
      <c r="M69" s="208">
        <v>0</v>
      </c>
      <c r="N69" s="208"/>
      <c r="O69" s="10">
        <f t="shared" si="13"/>
        <v>0</v>
      </c>
      <c r="P69" s="208"/>
      <c r="Q69" s="53">
        <f>$Q$29</f>
        <v>340</v>
      </c>
      <c r="R69" s="10" t="s">
        <v>4</v>
      </c>
      <c r="S69" s="60" t="s">
        <v>2313</v>
      </c>
    </row>
    <row r="70" spans="1:19" s="58" customFormat="1">
      <c r="A70" s="16">
        <v>12</v>
      </c>
      <c r="B70" s="39" t="s">
        <v>130</v>
      </c>
      <c r="C70" s="53">
        <f>'R-1'!I84</f>
        <v>7.5</v>
      </c>
      <c r="D70" s="53">
        <f>'R-1'!I269</f>
        <v>0</v>
      </c>
      <c r="E70" s="53">
        <f>'R-1'!I414</f>
        <v>0</v>
      </c>
      <c r="F70" s="53">
        <f t="shared" si="1"/>
        <v>7.5</v>
      </c>
      <c r="G70" s="53" t="s">
        <v>82</v>
      </c>
      <c r="H70" s="53"/>
      <c r="I70" s="9">
        <f t="shared" si="5"/>
        <v>1.91</v>
      </c>
      <c r="J70" s="208">
        <v>0</v>
      </c>
      <c r="K70" s="16">
        <v>0</v>
      </c>
      <c r="L70" s="10">
        <f>ROUND(F70*0.0375*0.8,2)</f>
        <v>0.23</v>
      </c>
      <c r="M70" s="208">
        <v>0</v>
      </c>
      <c r="N70" s="208"/>
      <c r="O70" s="10">
        <f>ROUND(F70*0.0375*0.4,2)</f>
        <v>0.11</v>
      </c>
      <c r="P70" s="208"/>
      <c r="Q70" s="40">
        <f>Q66*0.0375</f>
        <v>12.75</v>
      </c>
      <c r="R70" s="10" t="s">
        <v>4</v>
      </c>
      <c r="S70" s="60" t="s">
        <v>2217</v>
      </c>
    </row>
    <row r="71" spans="1:19" s="58" customFormat="1" hidden="1">
      <c r="A71" s="16">
        <v>17</v>
      </c>
      <c r="B71" s="39" t="s">
        <v>2367</v>
      </c>
      <c r="C71" s="53">
        <f>'R-1'!I85</f>
        <v>0</v>
      </c>
      <c r="D71" s="53">
        <f>'R-1'!I270</f>
        <v>0</v>
      </c>
      <c r="E71" s="53">
        <f>'R-1'!I415</f>
        <v>0</v>
      </c>
      <c r="F71" s="53">
        <f>SUM(C71:E71)</f>
        <v>0</v>
      </c>
      <c r="G71" s="53" t="s">
        <v>82</v>
      </c>
      <c r="H71" s="53"/>
      <c r="I71" s="9">
        <f>ROUND(F71*Q71/50,2)</f>
        <v>0</v>
      </c>
      <c r="J71" s="208">
        <v>0</v>
      </c>
      <c r="K71" s="16">
        <v>0</v>
      </c>
      <c r="L71" s="10">
        <f>ROUND(F71*0.0375*0.8,2)</f>
        <v>0</v>
      </c>
      <c r="M71" s="208">
        <v>0</v>
      </c>
      <c r="N71" s="208"/>
      <c r="O71" s="10">
        <f>ROUND(F71*0.0375*0.4,2)</f>
        <v>0</v>
      </c>
      <c r="P71" s="208"/>
      <c r="Q71" s="40">
        <f>Q67*0.0375</f>
        <v>12.75</v>
      </c>
      <c r="R71" s="10" t="s">
        <v>4</v>
      </c>
      <c r="S71" s="60" t="s">
        <v>2299</v>
      </c>
    </row>
    <row r="72" spans="1:19" s="58" customFormat="1" hidden="1">
      <c r="A72" s="16">
        <v>20</v>
      </c>
      <c r="B72" s="39" t="s">
        <v>130</v>
      </c>
      <c r="C72" s="53">
        <f>'R-1'!I86</f>
        <v>0</v>
      </c>
      <c r="D72" s="53">
        <f>'R-1'!I271</f>
        <v>0</v>
      </c>
      <c r="E72" s="53">
        <f>'R-1'!I416</f>
        <v>0</v>
      </c>
      <c r="F72" s="53">
        <f t="shared" ref="F72:F73" si="14">SUM(C72:E72)</f>
        <v>0</v>
      </c>
      <c r="G72" s="53" t="s">
        <v>82</v>
      </c>
      <c r="H72" s="53"/>
      <c r="I72" s="9">
        <f t="shared" ref="I72:I73" si="15">ROUND(F72*Q72/50,2)</f>
        <v>0</v>
      </c>
      <c r="J72" s="208">
        <v>0</v>
      </c>
      <c r="K72" s="16">
        <v>0</v>
      </c>
      <c r="L72" s="10">
        <f>ROUND(F72*0.0375*0.8,2)</f>
        <v>0</v>
      </c>
      <c r="M72" s="208">
        <v>0</v>
      </c>
      <c r="N72" s="208"/>
      <c r="O72" s="10">
        <f>ROUND(F72*0.0375*0.4,2)</f>
        <v>0</v>
      </c>
      <c r="P72" s="208"/>
      <c r="Q72" s="40">
        <f>Q68*0.0375</f>
        <v>12.75</v>
      </c>
      <c r="R72" s="10" t="s">
        <v>4</v>
      </c>
      <c r="S72" s="60" t="s">
        <v>2312</v>
      </c>
    </row>
    <row r="73" spans="1:19" s="58" customFormat="1" hidden="1">
      <c r="A73" s="16">
        <v>13</v>
      </c>
      <c r="B73" s="39" t="s">
        <v>130</v>
      </c>
      <c r="C73" s="53">
        <f>'R-1'!I87</f>
        <v>0</v>
      </c>
      <c r="D73" s="53">
        <f>'R-1'!I272</f>
        <v>0</v>
      </c>
      <c r="E73" s="53">
        <f>'R-1'!I417</f>
        <v>0</v>
      </c>
      <c r="F73" s="53">
        <f t="shared" si="14"/>
        <v>0</v>
      </c>
      <c r="G73" s="53" t="s">
        <v>82</v>
      </c>
      <c r="H73" s="53"/>
      <c r="I73" s="9">
        <f t="shared" si="15"/>
        <v>0</v>
      </c>
      <c r="J73" s="208">
        <v>0</v>
      </c>
      <c r="K73" s="16">
        <v>0</v>
      </c>
      <c r="L73" s="10">
        <f>ROUND(F73*0.0375*0.8,2)</f>
        <v>0</v>
      </c>
      <c r="M73" s="208">
        <v>0</v>
      </c>
      <c r="N73" s="208"/>
      <c r="O73" s="10">
        <f>ROUND(F73*0.0375*0.4,2)</f>
        <v>0</v>
      </c>
      <c r="P73" s="208"/>
      <c r="Q73" s="40">
        <f>Q69*0.0375</f>
        <v>12.75</v>
      </c>
      <c r="R73" s="10" t="s">
        <v>4</v>
      </c>
      <c r="S73" s="60" t="s">
        <v>2313</v>
      </c>
    </row>
    <row r="74" spans="1:19" ht="15" hidden="1">
      <c r="A74" s="283">
        <v>14</v>
      </c>
      <c r="B74" s="207" t="s">
        <v>447</v>
      </c>
      <c r="C74" s="285">
        <f>'R-1'!I96</f>
        <v>0</v>
      </c>
      <c r="D74" s="285">
        <f>'R-1'!I321</f>
        <v>0</v>
      </c>
      <c r="E74" s="285">
        <f>'R-1'!I462</f>
        <v>0</v>
      </c>
      <c r="F74" s="285">
        <f t="shared" si="1"/>
        <v>0</v>
      </c>
      <c r="G74" s="285" t="s">
        <v>421</v>
      </c>
      <c r="H74" s="285"/>
      <c r="I74" s="288">
        <f t="shared" si="5"/>
        <v>0</v>
      </c>
      <c r="J74" s="286">
        <v>0</v>
      </c>
      <c r="K74" s="283">
        <v>0</v>
      </c>
      <c r="L74" s="15">
        <f>ROUND(F74*0.8,2)</f>
        <v>0</v>
      </c>
      <c r="M74" s="286">
        <v>0</v>
      </c>
      <c r="N74" s="286"/>
      <c r="O74" s="15">
        <f>ROUND(F74*0.4,2)</f>
        <v>0</v>
      </c>
      <c r="P74" s="286"/>
      <c r="Q74" s="285">
        <f>$Q$26</f>
        <v>340</v>
      </c>
      <c r="R74" s="15" t="s">
        <v>4</v>
      </c>
      <c r="S74" s="60" t="s">
        <v>2217</v>
      </c>
    </row>
    <row r="75" spans="1:19" ht="15" hidden="1">
      <c r="A75" s="283">
        <v>14</v>
      </c>
      <c r="B75" s="207" t="s">
        <v>447</v>
      </c>
      <c r="C75" s="285">
        <f>'R-1'!I97</f>
        <v>0</v>
      </c>
      <c r="D75" s="285">
        <f>'R-1'!I322</f>
        <v>0</v>
      </c>
      <c r="E75" s="285">
        <f>'R-1'!I463</f>
        <v>0</v>
      </c>
      <c r="F75" s="285">
        <f>SUM(C75:E75)</f>
        <v>0</v>
      </c>
      <c r="G75" s="285" t="s">
        <v>421</v>
      </c>
      <c r="H75" s="285"/>
      <c r="I75" s="288">
        <f>ROUND(F75*Q75/50,2)</f>
        <v>0</v>
      </c>
      <c r="J75" s="286">
        <v>0</v>
      </c>
      <c r="K75" s="283">
        <v>0</v>
      </c>
      <c r="L75" s="15">
        <f>ROUND(F75*0.8,2)</f>
        <v>0</v>
      </c>
      <c r="M75" s="286">
        <v>0</v>
      </c>
      <c r="N75" s="286"/>
      <c r="O75" s="15">
        <f>ROUND(F75*0.4,2)</f>
        <v>0</v>
      </c>
      <c r="P75" s="286"/>
      <c r="Q75" s="285">
        <f>$Q$27</f>
        <v>340</v>
      </c>
      <c r="R75" s="15" t="s">
        <v>4</v>
      </c>
      <c r="S75" s="60" t="s">
        <v>2299</v>
      </c>
    </row>
    <row r="76" spans="1:19" ht="15" hidden="1">
      <c r="A76" s="283">
        <v>14</v>
      </c>
      <c r="B76" s="207" t="s">
        <v>447</v>
      </c>
      <c r="C76" s="285">
        <f>'R-1'!I98</f>
        <v>0</v>
      </c>
      <c r="D76" s="285">
        <f>'R-1'!I323</f>
        <v>0</v>
      </c>
      <c r="E76" s="285">
        <f>'R-1'!I464</f>
        <v>0</v>
      </c>
      <c r="F76" s="285">
        <f>SUM(C76:E76)</f>
        <v>0</v>
      </c>
      <c r="G76" s="285" t="s">
        <v>421</v>
      </c>
      <c r="H76" s="285"/>
      <c r="I76" s="288">
        <f>ROUND(F76*Q76/50,2)</f>
        <v>0</v>
      </c>
      <c r="J76" s="286">
        <v>0</v>
      </c>
      <c r="K76" s="283">
        <v>0</v>
      </c>
      <c r="L76" s="15">
        <f>ROUND(F76*0.8,2)</f>
        <v>0</v>
      </c>
      <c r="M76" s="286">
        <v>0</v>
      </c>
      <c r="N76" s="286"/>
      <c r="O76" s="15">
        <f>ROUND(F76*0.4,2)</f>
        <v>0</v>
      </c>
      <c r="P76" s="286"/>
      <c r="Q76" s="285">
        <f>$Q$28</f>
        <v>340</v>
      </c>
      <c r="R76" s="15" t="s">
        <v>4</v>
      </c>
      <c r="S76" s="60" t="s">
        <v>2312</v>
      </c>
    </row>
    <row r="77" spans="1:19" ht="15" hidden="1">
      <c r="A77" s="283">
        <v>14</v>
      </c>
      <c r="B77" s="207" t="s">
        <v>447</v>
      </c>
      <c r="C77" s="285">
        <f>'R-1'!I99</f>
        <v>0</v>
      </c>
      <c r="D77" s="285">
        <f>'R-1'!I324</f>
        <v>0</v>
      </c>
      <c r="E77" s="285">
        <f>'R-1'!I465</f>
        <v>0</v>
      </c>
      <c r="F77" s="285">
        <f>SUM(C77:E77)</f>
        <v>0</v>
      </c>
      <c r="G77" s="285" t="s">
        <v>421</v>
      </c>
      <c r="H77" s="285"/>
      <c r="I77" s="288">
        <f>ROUND(F77*Q77/50,2)</f>
        <v>0</v>
      </c>
      <c r="J77" s="286">
        <v>0</v>
      </c>
      <c r="K77" s="283">
        <v>0</v>
      </c>
      <c r="L77" s="15">
        <f>ROUND(F77*0.8,2)</f>
        <v>0</v>
      </c>
      <c r="M77" s="286">
        <v>0</v>
      </c>
      <c r="N77" s="286"/>
      <c r="O77" s="15">
        <f>ROUND(F77*0.4,2)</f>
        <v>0</v>
      </c>
      <c r="P77" s="286"/>
      <c r="Q77" s="285">
        <f>$Q$29</f>
        <v>340</v>
      </c>
      <c r="R77" s="15" t="s">
        <v>4</v>
      </c>
      <c r="S77" s="60" t="s">
        <v>2313</v>
      </c>
    </row>
    <row r="78" spans="1:19" s="58" customFormat="1" ht="15" hidden="1">
      <c r="A78" s="16">
        <v>13</v>
      </c>
      <c r="B78" s="433" t="s">
        <v>3342</v>
      </c>
      <c r="C78" s="53">
        <f>'R-1'!I88</f>
        <v>0</v>
      </c>
      <c r="D78" s="53">
        <f>'R-1'!I273</f>
        <v>0</v>
      </c>
      <c r="E78" s="53">
        <f>'R-1'!I418</f>
        <v>0</v>
      </c>
      <c r="F78" s="53">
        <f t="shared" si="1"/>
        <v>0</v>
      </c>
      <c r="G78" s="53" t="s">
        <v>422</v>
      </c>
      <c r="H78" s="53"/>
      <c r="I78" s="9">
        <f t="shared" si="5"/>
        <v>0</v>
      </c>
      <c r="J78" s="208">
        <v>0</v>
      </c>
      <c r="K78" s="10">
        <f>ROUND(F78*0.015*1.05,2)</f>
        <v>0</v>
      </c>
      <c r="L78" s="208">
        <v>0</v>
      </c>
      <c r="M78" s="208">
        <v>0</v>
      </c>
      <c r="N78" s="208"/>
      <c r="O78" s="208">
        <v>0</v>
      </c>
      <c r="P78" s="208"/>
      <c r="Q78" s="53">
        <v>7.2</v>
      </c>
      <c r="R78" s="10" t="s">
        <v>4</v>
      </c>
      <c r="S78" s="60" t="s">
        <v>2217</v>
      </c>
    </row>
    <row r="79" spans="1:19" s="58" customFormat="1" ht="15" hidden="1">
      <c r="A79" s="16">
        <v>18</v>
      </c>
      <c r="B79" s="433" t="s">
        <v>2461</v>
      </c>
      <c r="C79" s="53">
        <f>'R-1'!I89</f>
        <v>0</v>
      </c>
      <c r="D79" s="53">
        <f>'R-1'!I274</f>
        <v>0</v>
      </c>
      <c r="E79" s="53">
        <f>'R-1'!I419</f>
        <v>0</v>
      </c>
      <c r="F79" s="53">
        <f>SUM(C79:E79)</f>
        <v>0</v>
      </c>
      <c r="G79" s="53" t="s">
        <v>422</v>
      </c>
      <c r="H79" s="53"/>
      <c r="I79" s="9">
        <f>ROUND(F79*Q79/50,2)</f>
        <v>0</v>
      </c>
      <c r="J79" s="208">
        <v>0</v>
      </c>
      <c r="K79" s="10">
        <f>ROUND(F79*0.015*1.05,2)</f>
        <v>0</v>
      </c>
      <c r="L79" s="208">
        <v>0</v>
      </c>
      <c r="M79" s="208">
        <v>0</v>
      </c>
      <c r="N79" s="208"/>
      <c r="O79" s="208">
        <v>0</v>
      </c>
      <c r="P79" s="208"/>
      <c r="Q79" s="53">
        <v>7.2</v>
      </c>
      <c r="R79" s="10" t="s">
        <v>4</v>
      </c>
      <c r="S79" s="60" t="s">
        <v>2299</v>
      </c>
    </row>
    <row r="80" spans="1:19" s="58" customFormat="1" ht="15" hidden="1">
      <c r="A80" s="16">
        <v>22</v>
      </c>
      <c r="B80" s="433" t="s">
        <v>1439</v>
      </c>
      <c r="C80" s="53">
        <f>'R-1'!I90</f>
        <v>0</v>
      </c>
      <c r="D80" s="53">
        <f>'R-1'!I275</f>
        <v>0</v>
      </c>
      <c r="E80" s="53">
        <f>'R-1'!I420</f>
        <v>0</v>
      </c>
      <c r="F80" s="53">
        <f>SUM(C80:E80)</f>
        <v>0</v>
      </c>
      <c r="G80" s="53" t="s">
        <v>422</v>
      </c>
      <c r="H80" s="53"/>
      <c r="I80" s="9">
        <f>ROUND(F80*Q80/50,2)</f>
        <v>0</v>
      </c>
      <c r="J80" s="208">
        <v>0</v>
      </c>
      <c r="K80" s="10">
        <f>ROUND(ROUND((0.015*1.05),3)*ROUND(F80,2),2)</f>
        <v>0</v>
      </c>
      <c r="L80" s="208">
        <v>0</v>
      </c>
      <c r="M80" s="208">
        <v>0</v>
      </c>
      <c r="N80" s="208"/>
      <c r="O80" s="208">
        <v>0</v>
      </c>
      <c r="P80" s="208"/>
      <c r="Q80" s="53">
        <v>7.2</v>
      </c>
      <c r="R80" s="10" t="s">
        <v>4</v>
      </c>
      <c r="S80" s="60" t="s">
        <v>2312</v>
      </c>
    </row>
    <row r="81" spans="1:19" s="58" customFormat="1" ht="15" hidden="1">
      <c r="A81" s="16">
        <v>22</v>
      </c>
      <c r="B81" s="433" t="s">
        <v>1439</v>
      </c>
      <c r="C81" s="53">
        <f>'R-1'!I91</f>
        <v>0</v>
      </c>
      <c r="D81" s="53">
        <f>'R-1'!I276</f>
        <v>0</v>
      </c>
      <c r="E81" s="53">
        <f>'R-1'!I421</f>
        <v>0</v>
      </c>
      <c r="F81" s="53">
        <f>SUM(C81:E81)</f>
        <v>0</v>
      </c>
      <c r="G81" s="53" t="s">
        <v>422</v>
      </c>
      <c r="H81" s="53"/>
      <c r="I81" s="9">
        <f>ROUND(F81*Q81/50,2)</f>
        <v>0</v>
      </c>
      <c r="J81" s="208">
        <v>0</v>
      </c>
      <c r="K81" s="10">
        <f>ROUND(ROUND((0.015*1.05),3)*ROUND(F81,2),2)</f>
        <v>0</v>
      </c>
      <c r="L81" s="208">
        <v>0</v>
      </c>
      <c r="M81" s="208">
        <v>0</v>
      </c>
      <c r="N81" s="208"/>
      <c r="O81" s="208">
        <v>0</v>
      </c>
      <c r="P81" s="208"/>
      <c r="Q81" s="53">
        <v>7.2</v>
      </c>
      <c r="R81" s="10" t="s">
        <v>4</v>
      </c>
      <c r="S81" s="60" t="s">
        <v>2313</v>
      </c>
    </row>
    <row r="82" spans="1:19" ht="15" hidden="1">
      <c r="A82" s="283">
        <v>23</v>
      </c>
      <c r="B82" s="289" t="s">
        <v>1225</v>
      </c>
      <c r="C82" s="285">
        <f>'R-1'!I92</f>
        <v>0</v>
      </c>
      <c r="D82" s="285">
        <f>'R-1'!I277</f>
        <v>0</v>
      </c>
      <c r="E82" s="285">
        <f>'R-1'!I422</f>
        <v>0</v>
      </c>
      <c r="F82" s="285">
        <f t="shared" si="1"/>
        <v>0</v>
      </c>
      <c r="G82" s="285" t="s">
        <v>422</v>
      </c>
      <c r="H82" s="285"/>
      <c r="I82" s="288">
        <f t="shared" si="5"/>
        <v>0</v>
      </c>
      <c r="J82" s="286">
        <v>0</v>
      </c>
      <c r="K82" s="15">
        <f>ROUND(ROUND((0.021*1.05),3)*ROUND(F82,2),2)</f>
        <v>0</v>
      </c>
      <c r="L82" s="286">
        <v>0</v>
      </c>
      <c r="M82" s="286">
        <v>0</v>
      </c>
      <c r="N82" s="286"/>
      <c r="O82" s="286">
        <v>0</v>
      </c>
      <c r="P82" s="286"/>
      <c r="Q82" s="285">
        <v>10.08</v>
      </c>
      <c r="R82" s="15" t="s">
        <v>4</v>
      </c>
      <c r="S82" s="60" t="s">
        <v>2217</v>
      </c>
    </row>
    <row r="83" spans="1:19" ht="15" hidden="1">
      <c r="A83" s="283">
        <v>12</v>
      </c>
      <c r="B83" s="289" t="s">
        <v>2461</v>
      </c>
      <c r="C83" s="285">
        <f>'R-1'!I93</f>
        <v>0</v>
      </c>
      <c r="D83" s="285">
        <f>'R-1'!I278</f>
        <v>0</v>
      </c>
      <c r="E83" s="285">
        <f>'R-1'!I423</f>
        <v>0</v>
      </c>
      <c r="F83" s="285">
        <f>SUM(C83:E83)</f>
        <v>0</v>
      </c>
      <c r="G83" s="285" t="s">
        <v>422</v>
      </c>
      <c r="H83" s="285"/>
      <c r="I83" s="288">
        <f>ROUND(F83*Q83/50,2)</f>
        <v>0</v>
      </c>
      <c r="J83" s="286">
        <v>0</v>
      </c>
      <c r="K83" s="10">
        <f>ROUND(F83*0.021*1.05,2)</f>
        <v>0</v>
      </c>
      <c r="L83" s="286">
        <v>0</v>
      </c>
      <c r="M83" s="286">
        <v>0</v>
      </c>
      <c r="N83" s="286"/>
      <c r="O83" s="286">
        <v>0</v>
      </c>
      <c r="P83" s="286"/>
      <c r="Q83" s="285">
        <v>10.08</v>
      </c>
      <c r="R83" s="15" t="s">
        <v>4</v>
      </c>
      <c r="S83" s="60" t="s">
        <v>2299</v>
      </c>
    </row>
    <row r="84" spans="1:19" ht="15" hidden="1">
      <c r="A84" s="283">
        <v>23</v>
      </c>
      <c r="B84" s="289" t="s">
        <v>1225</v>
      </c>
      <c r="C84" s="285">
        <f>'R-1'!I94</f>
        <v>0</v>
      </c>
      <c r="D84" s="285">
        <f>'R-1'!I279</f>
        <v>0</v>
      </c>
      <c r="E84" s="285">
        <f>'R-1'!I424</f>
        <v>0</v>
      </c>
      <c r="F84" s="285">
        <f>SUM(C84:E84)</f>
        <v>0</v>
      </c>
      <c r="G84" s="285" t="s">
        <v>422</v>
      </c>
      <c r="H84" s="285"/>
      <c r="I84" s="288">
        <f>ROUND(F84*Q84/50,2)</f>
        <v>0</v>
      </c>
      <c r="J84" s="286">
        <v>0</v>
      </c>
      <c r="K84" s="15">
        <f>ROUND(ROUND((0.021*1.05),3)*ROUND(F84,2),2)</f>
        <v>0</v>
      </c>
      <c r="L84" s="286">
        <v>0</v>
      </c>
      <c r="M84" s="286">
        <v>0</v>
      </c>
      <c r="N84" s="286"/>
      <c r="O84" s="286">
        <v>0</v>
      </c>
      <c r="P84" s="286"/>
      <c r="Q84" s="285">
        <v>10.08</v>
      </c>
      <c r="R84" s="15" t="s">
        <v>4</v>
      </c>
      <c r="S84" s="60" t="s">
        <v>2312</v>
      </c>
    </row>
    <row r="85" spans="1:19" ht="15" hidden="1">
      <c r="A85" s="283">
        <v>23</v>
      </c>
      <c r="B85" s="289" t="s">
        <v>1225</v>
      </c>
      <c r="C85" s="285">
        <f>'R-1'!I95</f>
        <v>0</v>
      </c>
      <c r="D85" s="285">
        <f>'R-1'!I280</f>
        <v>0</v>
      </c>
      <c r="E85" s="285">
        <f>'R-1'!I425</f>
        <v>0</v>
      </c>
      <c r="F85" s="285">
        <f>SUM(C85:E85)</f>
        <v>0</v>
      </c>
      <c r="G85" s="285" t="s">
        <v>422</v>
      </c>
      <c r="H85" s="285"/>
      <c r="I85" s="288">
        <f>ROUND(F85*Q85/50,2)</f>
        <v>0</v>
      </c>
      <c r="J85" s="286">
        <v>0</v>
      </c>
      <c r="K85" s="15">
        <f>ROUND(ROUND((0.021*1.05),3)*ROUND(F85,2),2)</f>
        <v>0</v>
      </c>
      <c r="L85" s="286">
        <v>0</v>
      </c>
      <c r="M85" s="286">
        <v>0</v>
      </c>
      <c r="N85" s="286"/>
      <c r="O85" s="286">
        <v>0</v>
      </c>
      <c r="P85" s="286"/>
      <c r="Q85" s="285">
        <v>10.08</v>
      </c>
      <c r="R85" s="15" t="s">
        <v>4</v>
      </c>
      <c r="S85" s="60" t="s">
        <v>2313</v>
      </c>
    </row>
    <row r="86" spans="1:19" ht="15" hidden="1">
      <c r="A86" s="283">
        <v>15</v>
      </c>
      <c r="B86" s="207" t="s">
        <v>1193</v>
      </c>
      <c r="C86" s="285">
        <f>'R-1'!I100</f>
        <v>0</v>
      </c>
      <c r="D86" s="285"/>
      <c r="E86" s="285"/>
      <c r="F86" s="285">
        <f t="shared" si="1"/>
        <v>0</v>
      </c>
      <c r="G86" s="285" t="s">
        <v>421</v>
      </c>
      <c r="H86" s="285"/>
      <c r="I86" s="288">
        <f t="shared" si="5"/>
        <v>0</v>
      </c>
      <c r="J86" s="286">
        <v>0</v>
      </c>
      <c r="K86" s="15">
        <f>ROUND(F86*0.33,2)</f>
        <v>0</v>
      </c>
      <c r="L86" s="286">
        <v>0</v>
      </c>
      <c r="M86" s="286">
        <v>0</v>
      </c>
      <c r="N86" s="286"/>
      <c r="O86" s="286">
        <v>0</v>
      </c>
      <c r="P86" s="286"/>
      <c r="Q86" s="285">
        <v>59.4</v>
      </c>
      <c r="R86" s="15" t="s">
        <v>4</v>
      </c>
      <c r="S86" s="60" t="s">
        <v>2217</v>
      </c>
    </row>
    <row r="87" spans="1:19" ht="15" hidden="1">
      <c r="A87" s="283">
        <v>15</v>
      </c>
      <c r="B87" s="207" t="s">
        <v>1193</v>
      </c>
      <c r="C87" s="285">
        <f>'R-1'!I101</f>
        <v>0</v>
      </c>
      <c r="D87" s="285"/>
      <c r="E87" s="285"/>
      <c r="F87" s="285">
        <f>SUM(C87:E87)</f>
        <v>0</v>
      </c>
      <c r="G87" s="285" t="s">
        <v>421</v>
      </c>
      <c r="H87" s="285"/>
      <c r="I87" s="288">
        <f>ROUND(F87*Q87/50,2)</f>
        <v>0</v>
      </c>
      <c r="J87" s="286">
        <v>0</v>
      </c>
      <c r="K87" s="15">
        <f>ROUND(F87*0.33,2)</f>
        <v>0</v>
      </c>
      <c r="L87" s="286">
        <v>0</v>
      </c>
      <c r="M87" s="286">
        <v>0</v>
      </c>
      <c r="N87" s="286"/>
      <c r="O87" s="286">
        <v>0</v>
      </c>
      <c r="P87" s="286"/>
      <c r="Q87" s="285">
        <v>59.4</v>
      </c>
      <c r="R87" s="15" t="s">
        <v>4</v>
      </c>
      <c r="S87" s="60" t="s">
        <v>2299</v>
      </c>
    </row>
    <row r="88" spans="1:19" ht="15" hidden="1">
      <c r="A88" s="283">
        <v>15</v>
      </c>
      <c r="B88" s="207" t="s">
        <v>1193</v>
      </c>
      <c r="C88" s="285">
        <f>'R-1'!I102</f>
        <v>0</v>
      </c>
      <c r="D88" s="285"/>
      <c r="E88" s="285"/>
      <c r="F88" s="285">
        <f>SUM(C88:E88)</f>
        <v>0</v>
      </c>
      <c r="G88" s="285" t="s">
        <v>421</v>
      </c>
      <c r="H88" s="285"/>
      <c r="I88" s="288">
        <f>ROUND(F88*Q88/50,2)</f>
        <v>0</v>
      </c>
      <c r="J88" s="286">
        <v>0</v>
      </c>
      <c r="K88" s="15">
        <f>ROUND(F88*0.33,2)</f>
        <v>0</v>
      </c>
      <c r="L88" s="286">
        <v>0</v>
      </c>
      <c r="M88" s="286">
        <v>0</v>
      </c>
      <c r="N88" s="286"/>
      <c r="O88" s="286">
        <v>0</v>
      </c>
      <c r="P88" s="286"/>
      <c r="Q88" s="285">
        <v>59.4</v>
      </c>
      <c r="R88" s="15" t="s">
        <v>4</v>
      </c>
      <c r="S88" s="60" t="s">
        <v>2312</v>
      </c>
    </row>
    <row r="89" spans="1:19" ht="15" hidden="1">
      <c r="A89" s="283">
        <v>15</v>
      </c>
      <c r="B89" s="207" t="s">
        <v>1193</v>
      </c>
      <c r="C89" s="285">
        <f>'R-1'!I103</f>
        <v>0</v>
      </c>
      <c r="D89" s="285"/>
      <c r="E89" s="285"/>
      <c r="F89" s="285">
        <f>SUM(C89:E89)</f>
        <v>0</v>
      </c>
      <c r="G89" s="285" t="s">
        <v>421</v>
      </c>
      <c r="H89" s="285"/>
      <c r="I89" s="288">
        <f>ROUND(F89*Q89/50,2)</f>
        <v>0</v>
      </c>
      <c r="J89" s="286">
        <v>0</v>
      </c>
      <c r="K89" s="15">
        <f>ROUND(F89*0.33,2)</f>
        <v>0</v>
      </c>
      <c r="L89" s="286">
        <v>0</v>
      </c>
      <c r="M89" s="286">
        <v>0</v>
      </c>
      <c r="N89" s="286"/>
      <c r="O89" s="286">
        <v>0</v>
      </c>
      <c r="P89" s="286"/>
      <c r="Q89" s="285">
        <v>59.4</v>
      </c>
      <c r="R89" s="15" t="s">
        <v>4</v>
      </c>
      <c r="S89" s="60" t="s">
        <v>2313</v>
      </c>
    </row>
    <row r="90" spans="1:19" s="58" customFormat="1" ht="15">
      <c r="A90" s="16">
        <v>13</v>
      </c>
      <c r="B90" s="39" t="s">
        <v>2150</v>
      </c>
      <c r="C90" s="53">
        <f>'R-1'!I104</f>
        <v>22.569999999999997</v>
      </c>
      <c r="D90" s="53">
        <f>'R-1'!I285</f>
        <v>0</v>
      </c>
      <c r="E90" s="53">
        <f>'R-1'!I430</f>
        <v>0</v>
      </c>
      <c r="F90" s="53">
        <f t="shared" si="1"/>
        <v>22.569999999999997</v>
      </c>
      <c r="G90" s="53" t="s">
        <v>421</v>
      </c>
      <c r="H90" s="53"/>
      <c r="I90" s="9">
        <f t="shared" si="5"/>
        <v>16.25</v>
      </c>
      <c r="J90" s="208">
        <v>0</v>
      </c>
      <c r="K90" s="10">
        <f t="shared" ref="K90:K97" si="16">ROUND(F90*0.2,2)</f>
        <v>4.51</v>
      </c>
      <c r="L90" s="208">
        <v>0</v>
      </c>
      <c r="M90" s="208">
        <v>0</v>
      </c>
      <c r="N90" s="208"/>
      <c r="O90" s="208">
        <v>0</v>
      </c>
      <c r="P90" s="208"/>
      <c r="Q90" s="53">
        <v>36</v>
      </c>
      <c r="R90" s="10" t="s">
        <v>4</v>
      </c>
      <c r="S90" s="60" t="s">
        <v>2217</v>
      </c>
    </row>
    <row r="91" spans="1:19" s="58" customFormat="1" ht="15" hidden="1">
      <c r="A91" s="16">
        <v>20</v>
      </c>
      <c r="B91" s="39" t="s">
        <v>2150</v>
      </c>
      <c r="C91" s="53">
        <f>'R-1'!I105</f>
        <v>0</v>
      </c>
      <c r="D91" s="53">
        <f>'R-1'!I286</f>
        <v>0</v>
      </c>
      <c r="E91" s="53">
        <f>'R-1'!I431</f>
        <v>0</v>
      </c>
      <c r="F91" s="53">
        <f>SUM(C91:E91)</f>
        <v>0</v>
      </c>
      <c r="G91" s="53" t="s">
        <v>421</v>
      </c>
      <c r="H91" s="53"/>
      <c r="I91" s="9">
        <f>ROUND(F91*Q91/50,2)</f>
        <v>0</v>
      </c>
      <c r="J91" s="208">
        <v>0</v>
      </c>
      <c r="K91" s="10">
        <f t="shared" si="16"/>
        <v>0</v>
      </c>
      <c r="L91" s="208">
        <v>0</v>
      </c>
      <c r="M91" s="208">
        <v>0</v>
      </c>
      <c r="N91" s="208"/>
      <c r="O91" s="208">
        <v>0</v>
      </c>
      <c r="P91" s="208"/>
      <c r="Q91" s="53">
        <v>36</v>
      </c>
      <c r="R91" s="10" t="s">
        <v>4</v>
      </c>
      <c r="S91" s="60" t="s">
        <v>2299</v>
      </c>
    </row>
    <row r="92" spans="1:19" s="58" customFormat="1" ht="15" hidden="1">
      <c r="A92" s="16">
        <v>21</v>
      </c>
      <c r="B92" s="39" t="s">
        <v>2150</v>
      </c>
      <c r="C92" s="53">
        <f>'R-1'!I106</f>
        <v>0</v>
      </c>
      <c r="D92" s="53">
        <f>'R-1'!I287</f>
        <v>0</v>
      </c>
      <c r="E92" s="53">
        <f>'R-1'!I432</f>
        <v>0</v>
      </c>
      <c r="F92" s="53">
        <f>SUM(C92:E92)</f>
        <v>0</v>
      </c>
      <c r="G92" s="53" t="s">
        <v>421</v>
      </c>
      <c r="H92" s="53"/>
      <c r="I92" s="9">
        <f>ROUND(F92*Q92/50,2)</f>
        <v>0</v>
      </c>
      <c r="J92" s="208">
        <v>0</v>
      </c>
      <c r="K92" s="10">
        <f t="shared" si="16"/>
        <v>0</v>
      </c>
      <c r="L92" s="208">
        <v>0</v>
      </c>
      <c r="M92" s="208">
        <v>0</v>
      </c>
      <c r="N92" s="208"/>
      <c r="O92" s="208">
        <v>0</v>
      </c>
      <c r="P92" s="208"/>
      <c r="Q92" s="53">
        <v>36</v>
      </c>
      <c r="R92" s="10" t="s">
        <v>4</v>
      </c>
      <c r="S92" s="60" t="s">
        <v>2312</v>
      </c>
    </row>
    <row r="93" spans="1:19" s="58" customFormat="1" ht="15" hidden="1">
      <c r="A93" s="16">
        <v>21</v>
      </c>
      <c r="B93" s="39" t="s">
        <v>2150</v>
      </c>
      <c r="C93" s="53">
        <f>'R-1'!I107</f>
        <v>0</v>
      </c>
      <c r="D93" s="53">
        <f>'R-1'!I288</f>
        <v>0</v>
      </c>
      <c r="E93" s="53">
        <f>'R-1'!I433</f>
        <v>0</v>
      </c>
      <c r="F93" s="53">
        <f>SUM(C93:E93)</f>
        <v>0</v>
      </c>
      <c r="G93" s="53" t="s">
        <v>421</v>
      </c>
      <c r="H93" s="53"/>
      <c r="I93" s="9">
        <f>ROUND(F93*Q93/50,2)</f>
        <v>0</v>
      </c>
      <c r="J93" s="208">
        <v>0</v>
      </c>
      <c r="K93" s="10">
        <f t="shared" si="16"/>
        <v>0</v>
      </c>
      <c r="L93" s="208">
        <v>0</v>
      </c>
      <c r="M93" s="208">
        <v>0</v>
      </c>
      <c r="N93" s="208"/>
      <c r="O93" s="208">
        <v>0</v>
      </c>
      <c r="P93" s="208"/>
      <c r="Q93" s="53">
        <v>36</v>
      </c>
      <c r="R93" s="10" t="s">
        <v>4</v>
      </c>
      <c r="S93" s="60" t="s">
        <v>2313</v>
      </c>
    </row>
    <row r="94" spans="1:19" s="58" customFormat="1" ht="15">
      <c r="A94" s="16">
        <v>14</v>
      </c>
      <c r="B94" s="39" t="s">
        <v>906</v>
      </c>
      <c r="C94" s="53">
        <f>'R-1'!I108</f>
        <v>17.52</v>
      </c>
      <c r="D94" s="53">
        <f>'R-1'!I281</f>
        <v>0</v>
      </c>
      <c r="E94" s="53">
        <f>'R-1'!I426</f>
        <v>0</v>
      </c>
      <c r="F94" s="53">
        <f t="shared" si="1"/>
        <v>17.52</v>
      </c>
      <c r="G94" s="53" t="s">
        <v>421</v>
      </c>
      <c r="H94" s="53"/>
      <c r="I94" s="9">
        <f t="shared" si="5"/>
        <v>16.82</v>
      </c>
      <c r="J94" s="208">
        <v>0</v>
      </c>
      <c r="K94" s="10">
        <f t="shared" si="16"/>
        <v>3.5</v>
      </c>
      <c r="L94" s="208">
        <v>0</v>
      </c>
      <c r="M94" s="208">
        <v>0</v>
      </c>
      <c r="N94" s="208"/>
      <c r="O94" s="208">
        <v>0</v>
      </c>
      <c r="P94" s="208"/>
      <c r="Q94" s="53">
        <v>48</v>
      </c>
      <c r="R94" s="10" t="s">
        <v>4</v>
      </c>
      <c r="S94" s="60" t="s">
        <v>2217</v>
      </c>
    </row>
    <row r="95" spans="1:19" s="58" customFormat="1" ht="15" hidden="1">
      <c r="A95" s="16">
        <v>22</v>
      </c>
      <c r="B95" s="39" t="s">
        <v>906</v>
      </c>
      <c r="C95" s="53">
        <f>'R-1'!I109</f>
        <v>0</v>
      </c>
      <c r="D95" s="53">
        <f>'R-1'!I282</f>
        <v>0</v>
      </c>
      <c r="E95" s="53">
        <f>'R-1'!I427</f>
        <v>0</v>
      </c>
      <c r="F95" s="53">
        <f>SUM(C95:E95)</f>
        <v>0</v>
      </c>
      <c r="G95" s="53" t="s">
        <v>421</v>
      </c>
      <c r="H95" s="53"/>
      <c r="I95" s="9">
        <f>ROUND(F95*Q95/50,2)</f>
        <v>0</v>
      </c>
      <c r="J95" s="208">
        <v>0</v>
      </c>
      <c r="K95" s="10">
        <f t="shared" si="16"/>
        <v>0</v>
      </c>
      <c r="L95" s="208">
        <v>0</v>
      </c>
      <c r="M95" s="208">
        <v>0</v>
      </c>
      <c r="N95" s="208"/>
      <c r="O95" s="208">
        <v>0</v>
      </c>
      <c r="P95" s="208"/>
      <c r="Q95" s="53">
        <v>48</v>
      </c>
      <c r="R95" s="10" t="s">
        <v>4</v>
      </c>
      <c r="S95" s="60" t="s">
        <v>2299</v>
      </c>
    </row>
    <row r="96" spans="1:19" s="58" customFormat="1" ht="15" hidden="1">
      <c r="A96" s="16">
        <v>19</v>
      </c>
      <c r="B96" s="39" t="s">
        <v>906</v>
      </c>
      <c r="C96" s="53">
        <f>'R-1'!I110</f>
        <v>0</v>
      </c>
      <c r="D96" s="53">
        <f>'R-1'!I283</f>
        <v>0</v>
      </c>
      <c r="E96" s="53">
        <f>'R-1'!I428</f>
        <v>0</v>
      </c>
      <c r="F96" s="53">
        <f>SUM(C96:E96)</f>
        <v>0</v>
      </c>
      <c r="G96" s="53" t="s">
        <v>421</v>
      </c>
      <c r="H96" s="53"/>
      <c r="I96" s="9">
        <f>ROUND(F96*Q96/50,2)</f>
        <v>0</v>
      </c>
      <c r="J96" s="208">
        <v>0</v>
      </c>
      <c r="K96" s="10">
        <f t="shared" si="16"/>
        <v>0</v>
      </c>
      <c r="L96" s="208">
        <v>0</v>
      </c>
      <c r="M96" s="208">
        <v>0</v>
      </c>
      <c r="N96" s="208"/>
      <c r="O96" s="208">
        <v>0</v>
      </c>
      <c r="P96" s="208"/>
      <c r="Q96" s="53">
        <v>48</v>
      </c>
      <c r="R96" s="10" t="s">
        <v>4</v>
      </c>
      <c r="S96" s="60" t="s">
        <v>2312</v>
      </c>
    </row>
    <row r="97" spans="1:19" s="58" customFormat="1" ht="15" hidden="1">
      <c r="A97" s="16">
        <v>16</v>
      </c>
      <c r="B97" s="39" t="s">
        <v>906</v>
      </c>
      <c r="C97" s="53">
        <f>'R-1'!I111</f>
        <v>0</v>
      </c>
      <c r="D97" s="53">
        <f>'R-1'!I284</f>
        <v>0</v>
      </c>
      <c r="E97" s="53">
        <f>'R-1'!I429</f>
        <v>0</v>
      </c>
      <c r="F97" s="53">
        <f>SUM(C97:E97)</f>
        <v>0</v>
      </c>
      <c r="G97" s="53" t="s">
        <v>421</v>
      </c>
      <c r="H97" s="53"/>
      <c r="I97" s="9">
        <f>ROUND(F97*Q97/50,2)</f>
        <v>0</v>
      </c>
      <c r="J97" s="208">
        <v>0</v>
      </c>
      <c r="K97" s="10">
        <f t="shared" si="16"/>
        <v>0</v>
      </c>
      <c r="L97" s="208">
        <v>0</v>
      </c>
      <c r="M97" s="208">
        <v>0</v>
      </c>
      <c r="N97" s="208"/>
      <c r="O97" s="208">
        <v>0</v>
      </c>
      <c r="P97" s="208"/>
      <c r="Q97" s="53">
        <v>48</v>
      </c>
      <c r="R97" s="10" t="s">
        <v>4</v>
      </c>
      <c r="S97" s="60" t="s">
        <v>2313</v>
      </c>
    </row>
    <row r="98" spans="1:19" s="58" customFormat="1" ht="15">
      <c r="A98" s="16">
        <v>15</v>
      </c>
      <c r="B98" s="39" t="s">
        <v>3809</v>
      </c>
      <c r="C98" s="53">
        <f>'R-1'!I112</f>
        <v>78.33</v>
      </c>
      <c r="D98" s="53">
        <f>'R-1'!I289</f>
        <v>0</v>
      </c>
      <c r="E98" s="53">
        <f>'R-1'!I434</f>
        <v>0</v>
      </c>
      <c r="F98" s="53">
        <f t="shared" si="1"/>
        <v>78.33</v>
      </c>
      <c r="G98" s="53" t="s">
        <v>422</v>
      </c>
      <c r="H98" s="53"/>
      <c r="I98" s="9">
        <f t="shared" si="5"/>
        <v>11.28</v>
      </c>
      <c r="J98" s="208">
        <v>0</v>
      </c>
      <c r="K98" s="10">
        <f>ROUND(F98*0.022,2)</f>
        <v>1.72</v>
      </c>
      <c r="L98" s="208">
        <v>0</v>
      </c>
      <c r="M98" s="208">
        <v>0</v>
      </c>
      <c r="N98" s="208"/>
      <c r="O98" s="208">
        <v>0</v>
      </c>
      <c r="P98" s="208"/>
      <c r="Q98" s="53">
        <v>7.2</v>
      </c>
      <c r="R98" s="10" t="s">
        <v>4</v>
      </c>
      <c r="S98" s="60" t="s">
        <v>2217</v>
      </c>
    </row>
    <row r="99" spans="1:19" s="58" customFormat="1" ht="15" hidden="1">
      <c r="A99" s="16">
        <v>23</v>
      </c>
      <c r="B99" s="39" t="s">
        <v>3809</v>
      </c>
      <c r="C99" s="53">
        <f>'R-1'!I113</f>
        <v>0</v>
      </c>
      <c r="D99" s="53">
        <f>'R-1'!I290</f>
        <v>0</v>
      </c>
      <c r="E99" s="53">
        <f>'R-1'!I435</f>
        <v>0</v>
      </c>
      <c r="F99" s="53">
        <f>SUM(C99:E99)</f>
        <v>0</v>
      </c>
      <c r="G99" s="53" t="s">
        <v>422</v>
      </c>
      <c r="H99" s="53"/>
      <c r="I99" s="9">
        <f>ROUND(F99*Q99/50,2)</f>
        <v>0</v>
      </c>
      <c r="J99" s="208">
        <v>0</v>
      </c>
      <c r="K99" s="10">
        <f>ROUND(F99*0.022,2)</f>
        <v>0</v>
      </c>
      <c r="L99" s="208">
        <v>0</v>
      </c>
      <c r="M99" s="208">
        <v>0</v>
      </c>
      <c r="N99" s="208"/>
      <c r="O99" s="208">
        <v>0</v>
      </c>
      <c r="P99" s="208"/>
      <c r="Q99" s="53">
        <v>7.2</v>
      </c>
      <c r="R99" s="10" t="s">
        <v>4</v>
      </c>
      <c r="S99" s="60" t="s">
        <v>2299</v>
      </c>
    </row>
    <row r="100" spans="1:19" s="58" customFormat="1" ht="15" hidden="1">
      <c r="A100" s="16">
        <v>23</v>
      </c>
      <c r="B100" s="39" t="s">
        <v>2151</v>
      </c>
      <c r="C100" s="53">
        <f>'R-1'!I114</f>
        <v>0</v>
      </c>
      <c r="D100" s="53">
        <f>'R-1'!I291</f>
        <v>0</v>
      </c>
      <c r="E100" s="53">
        <f>'R-1'!I436</f>
        <v>0</v>
      </c>
      <c r="F100" s="53">
        <f>SUM(C100:E100)</f>
        <v>0</v>
      </c>
      <c r="G100" s="53" t="s">
        <v>422</v>
      </c>
      <c r="H100" s="53"/>
      <c r="I100" s="9">
        <f>ROUND(F100*Q100/50,2)</f>
        <v>0</v>
      </c>
      <c r="J100" s="208">
        <v>0</v>
      </c>
      <c r="K100" s="10">
        <f>ROUND(F100*0.022,2)</f>
        <v>0</v>
      </c>
      <c r="L100" s="208">
        <v>0</v>
      </c>
      <c r="M100" s="208">
        <v>0</v>
      </c>
      <c r="N100" s="208"/>
      <c r="O100" s="208">
        <v>0</v>
      </c>
      <c r="P100" s="208"/>
      <c r="Q100" s="53">
        <v>10.6</v>
      </c>
      <c r="R100" s="10" t="s">
        <v>4</v>
      </c>
      <c r="S100" s="60" t="s">
        <v>2312</v>
      </c>
    </row>
    <row r="101" spans="1:19" s="58" customFormat="1" ht="15" hidden="1">
      <c r="A101" s="16">
        <v>17</v>
      </c>
      <c r="B101" s="39" t="s">
        <v>2151</v>
      </c>
      <c r="C101" s="53">
        <f>'R-1'!I115</f>
        <v>0</v>
      </c>
      <c r="D101" s="53">
        <f>'R-1'!I292</f>
        <v>0</v>
      </c>
      <c r="E101" s="53">
        <f>'R-1'!I437</f>
        <v>0</v>
      </c>
      <c r="F101" s="53">
        <f>SUM(C101:E101)</f>
        <v>0</v>
      </c>
      <c r="G101" s="53" t="s">
        <v>422</v>
      </c>
      <c r="H101" s="53"/>
      <c r="I101" s="9">
        <f>ROUND(F101*Q101/50,2)</f>
        <v>0</v>
      </c>
      <c r="J101" s="208">
        <v>0</v>
      </c>
      <c r="K101" s="10">
        <f>ROUND(F101*0.022,2)</f>
        <v>0</v>
      </c>
      <c r="L101" s="208">
        <v>0</v>
      </c>
      <c r="M101" s="208">
        <v>0</v>
      </c>
      <c r="N101" s="208"/>
      <c r="O101" s="208">
        <v>0</v>
      </c>
      <c r="P101" s="208"/>
      <c r="Q101" s="53">
        <v>10.6</v>
      </c>
      <c r="R101" s="10" t="s">
        <v>4</v>
      </c>
      <c r="S101" s="60" t="s">
        <v>2313</v>
      </c>
    </row>
    <row r="102" spans="1:19" ht="15" hidden="1">
      <c r="A102" s="283">
        <v>28</v>
      </c>
      <c r="B102" s="207" t="s">
        <v>1213</v>
      </c>
      <c r="C102" s="285">
        <f>'R-1'!I116</f>
        <v>0</v>
      </c>
      <c r="D102" s="285">
        <f>'R-1'!I293</f>
        <v>0</v>
      </c>
      <c r="E102" s="285">
        <f>'R-1'!I438</f>
        <v>0</v>
      </c>
      <c r="F102" s="285">
        <f t="shared" si="1"/>
        <v>0</v>
      </c>
      <c r="G102" s="285" t="s">
        <v>421</v>
      </c>
      <c r="H102" s="285"/>
      <c r="I102" s="288">
        <f t="shared" si="5"/>
        <v>0</v>
      </c>
      <c r="J102" s="286">
        <v>0</v>
      </c>
      <c r="K102" s="15">
        <f>ROUND(F102*0.1*1.05,2)</f>
        <v>0</v>
      </c>
      <c r="L102" s="286">
        <v>0</v>
      </c>
      <c r="M102" s="286">
        <v>0</v>
      </c>
      <c r="N102" s="286"/>
      <c r="O102" s="286">
        <v>0</v>
      </c>
      <c r="P102" s="286"/>
      <c r="Q102" s="285">
        <v>24</v>
      </c>
      <c r="R102" s="15" t="s">
        <v>4</v>
      </c>
      <c r="S102" s="60" t="s">
        <v>2217</v>
      </c>
    </row>
    <row r="103" spans="1:19" ht="15" hidden="1">
      <c r="A103" s="283">
        <v>28</v>
      </c>
      <c r="B103" s="207" t="s">
        <v>1213</v>
      </c>
      <c r="C103" s="285">
        <f>'R-1'!I117</f>
        <v>0</v>
      </c>
      <c r="D103" s="285">
        <f>'R-1'!I294</f>
        <v>0</v>
      </c>
      <c r="E103" s="285">
        <f>'R-1'!I439</f>
        <v>0</v>
      </c>
      <c r="F103" s="285">
        <f>SUM(C103:E103)</f>
        <v>0</v>
      </c>
      <c r="G103" s="285" t="s">
        <v>421</v>
      </c>
      <c r="H103" s="285"/>
      <c r="I103" s="288">
        <f>ROUND(F103*Q103/50,2)</f>
        <v>0</v>
      </c>
      <c r="J103" s="286">
        <v>0</v>
      </c>
      <c r="K103" s="15">
        <f>ROUND(F103*0.1*1.05,2)</f>
        <v>0</v>
      </c>
      <c r="L103" s="286">
        <v>0</v>
      </c>
      <c r="M103" s="286">
        <v>0</v>
      </c>
      <c r="N103" s="286"/>
      <c r="O103" s="286">
        <v>0</v>
      </c>
      <c r="P103" s="286"/>
      <c r="Q103" s="285">
        <v>24</v>
      </c>
      <c r="R103" s="15" t="s">
        <v>4</v>
      </c>
      <c r="S103" s="60" t="s">
        <v>2299</v>
      </c>
    </row>
    <row r="104" spans="1:19" ht="15" hidden="1">
      <c r="A104" s="283">
        <v>28</v>
      </c>
      <c r="B104" s="207" t="s">
        <v>1213</v>
      </c>
      <c r="C104" s="285">
        <f>'R-1'!I118</f>
        <v>0</v>
      </c>
      <c r="D104" s="285">
        <f>'R-1'!I295</f>
        <v>0</v>
      </c>
      <c r="E104" s="285">
        <f>'R-1'!I440</f>
        <v>0</v>
      </c>
      <c r="F104" s="285">
        <f>SUM(C104:E104)</f>
        <v>0</v>
      </c>
      <c r="G104" s="285" t="s">
        <v>421</v>
      </c>
      <c r="H104" s="285"/>
      <c r="I104" s="288">
        <f>ROUND(F104*Q104/50,2)</f>
        <v>0</v>
      </c>
      <c r="J104" s="286">
        <v>0</v>
      </c>
      <c r="K104" s="15">
        <f>ROUND(F104*0.1*1.05,2)</f>
        <v>0</v>
      </c>
      <c r="L104" s="286">
        <v>0</v>
      </c>
      <c r="M104" s="286">
        <v>0</v>
      </c>
      <c r="N104" s="286"/>
      <c r="O104" s="286">
        <v>0</v>
      </c>
      <c r="P104" s="286"/>
      <c r="Q104" s="285">
        <v>24</v>
      </c>
      <c r="R104" s="15" t="s">
        <v>4</v>
      </c>
      <c r="S104" s="60" t="s">
        <v>2312</v>
      </c>
    </row>
    <row r="105" spans="1:19" ht="15" hidden="1">
      <c r="A105" s="283">
        <v>28</v>
      </c>
      <c r="B105" s="207" t="s">
        <v>1213</v>
      </c>
      <c r="C105" s="285">
        <f>'R-1'!I119</f>
        <v>0</v>
      </c>
      <c r="D105" s="285">
        <f>'R-1'!I296</f>
        <v>0</v>
      </c>
      <c r="E105" s="285">
        <f>'R-1'!I441</f>
        <v>0</v>
      </c>
      <c r="F105" s="285">
        <f>SUM(C105:E105)</f>
        <v>0</v>
      </c>
      <c r="G105" s="285" t="s">
        <v>421</v>
      </c>
      <c r="H105" s="285"/>
      <c r="I105" s="288">
        <f>ROUND(F105*Q105/50,2)</f>
        <v>0</v>
      </c>
      <c r="J105" s="286">
        <v>0</v>
      </c>
      <c r="K105" s="15">
        <f>ROUND(F105*0.1*1.05,2)</f>
        <v>0</v>
      </c>
      <c r="L105" s="286">
        <v>0</v>
      </c>
      <c r="M105" s="286">
        <v>0</v>
      </c>
      <c r="N105" s="286"/>
      <c r="O105" s="286">
        <v>0</v>
      </c>
      <c r="P105" s="286"/>
      <c r="Q105" s="285">
        <v>24</v>
      </c>
      <c r="R105" s="15" t="s">
        <v>4</v>
      </c>
      <c r="S105" s="60" t="s">
        <v>2313</v>
      </c>
    </row>
    <row r="106" spans="1:19" ht="15" hidden="1">
      <c r="A106" s="283">
        <v>16</v>
      </c>
      <c r="B106" s="289" t="s">
        <v>1214</v>
      </c>
      <c r="C106" s="285">
        <f>'R-1'!I120</f>
        <v>0</v>
      </c>
      <c r="D106" s="285">
        <f>'R-1'!I297</f>
        <v>0</v>
      </c>
      <c r="E106" s="285"/>
      <c r="F106" s="285">
        <f t="shared" si="1"/>
        <v>0</v>
      </c>
      <c r="G106" s="285" t="s">
        <v>422</v>
      </c>
      <c r="H106" s="285"/>
      <c r="I106" s="288">
        <f t="shared" si="5"/>
        <v>0</v>
      </c>
      <c r="J106" s="286">
        <v>0</v>
      </c>
      <c r="K106" s="15">
        <f>ROUND(F106*((0.015*1.05)+(0.025*1.05)),2)</f>
        <v>0</v>
      </c>
      <c r="L106" s="286">
        <v>0</v>
      </c>
      <c r="M106" s="286">
        <v>0</v>
      </c>
      <c r="N106" s="286"/>
      <c r="O106" s="286">
        <v>0</v>
      </c>
      <c r="P106" s="286"/>
      <c r="Q106" s="285">
        <v>20.89</v>
      </c>
      <c r="R106" s="15" t="s">
        <v>4</v>
      </c>
      <c r="S106" s="60" t="s">
        <v>2217</v>
      </c>
    </row>
    <row r="107" spans="1:19" ht="15" hidden="1">
      <c r="A107" s="283">
        <v>16</v>
      </c>
      <c r="B107" s="289" t="s">
        <v>1214</v>
      </c>
      <c r="C107" s="285">
        <f>'R-1'!I121</f>
        <v>0</v>
      </c>
      <c r="D107" s="285">
        <f>'R-1'!I298</f>
        <v>0</v>
      </c>
      <c r="E107" s="285"/>
      <c r="F107" s="285">
        <f>SUM(C107:E107)</f>
        <v>0</v>
      </c>
      <c r="G107" s="285" t="s">
        <v>422</v>
      </c>
      <c r="H107" s="285"/>
      <c r="I107" s="288">
        <f>ROUND(F107*Q107/50,2)</f>
        <v>0</v>
      </c>
      <c r="J107" s="286">
        <v>0</v>
      </c>
      <c r="K107" s="15">
        <f>ROUND(F107*((0.015*1.05)+(0.025*1.05)),2)</f>
        <v>0</v>
      </c>
      <c r="L107" s="286">
        <v>0</v>
      </c>
      <c r="M107" s="286">
        <v>0</v>
      </c>
      <c r="N107" s="286"/>
      <c r="O107" s="286">
        <v>0</v>
      </c>
      <c r="P107" s="286"/>
      <c r="Q107" s="285">
        <v>20.89</v>
      </c>
      <c r="R107" s="15" t="s">
        <v>4</v>
      </c>
      <c r="S107" s="60" t="s">
        <v>2299</v>
      </c>
    </row>
    <row r="108" spans="1:19" ht="15" hidden="1">
      <c r="A108" s="283">
        <v>21</v>
      </c>
      <c r="B108" s="289" t="s">
        <v>1214</v>
      </c>
      <c r="C108" s="285">
        <f>'R-1'!I122</f>
        <v>0</v>
      </c>
      <c r="D108" s="285">
        <f>'R-1'!I299</f>
        <v>0</v>
      </c>
      <c r="E108" s="285"/>
      <c r="F108" s="285">
        <f>SUM(C108:E108)</f>
        <v>0</v>
      </c>
      <c r="G108" s="285" t="s">
        <v>422</v>
      </c>
      <c r="H108" s="285"/>
      <c r="I108" s="288">
        <f>ROUND(F108*Q108/50,2)</f>
        <v>0</v>
      </c>
      <c r="J108" s="286">
        <v>0</v>
      </c>
      <c r="K108" s="15">
        <f>ROUND(F108*((0.015*1.05)+(0.025*1.05)),2)</f>
        <v>0</v>
      </c>
      <c r="L108" s="286">
        <v>0</v>
      </c>
      <c r="M108" s="286">
        <v>0</v>
      </c>
      <c r="N108" s="286"/>
      <c r="O108" s="286">
        <v>0</v>
      </c>
      <c r="P108" s="286"/>
      <c r="Q108" s="285">
        <v>20.89</v>
      </c>
      <c r="R108" s="15" t="s">
        <v>4</v>
      </c>
      <c r="S108" s="60" t="s">
        <v>2312</v>
      </c>
    </row>
    <row r="109" spans="1:19" ht="15" hidden="1">
      <c r="A109" s="283">
        <v>16</v>
      </c>
      <c r="B109" s="289" t="s">
        <v>1214</v>
      </c>
      <c r="C109" s="285">
        <f>'R-1'!I123</f>
        <v>0</v>
      </c>
      <c r="D109" s="285">
        <f>'R-1'!I300</f>
        <v>0</v>
      </c>
      <c r="E109" s="285"/>
      <c r="F109" s="285">
        <f>SUM(C109:E109)</f>
        <v>0</v>
      </c>
      <c r="G109" s="285" t="s">
        <v>422</v>
      </c>
      <c r="H109" s="285"/>
      <c r="I109" s="288">
        <f>ROUND(F109*Q109/50,2)</f>
        <v>0</v>
      </c>
      <c r="J109" s="286">
        <v>0</v>
      </c>
      <c r="K109" s="15">
        <f>ROUND(F109*((0.015*1.05)+(0.025*1.05)),2)</f>
        <v>0</v>
      </c>
      <c r="L109" s="286">
        <v>0</v>
      </c>
      <c r="M109" s="286">
        <v>0</v>
      </c>
      <c r="N109" s="286"/>
      <c r="O109" s="286">
        <v>0</v>
      </c>
      <c r="P109" s="286"/>
      <c r="Q109" s="285">
        <v>20.89</v>
      </c>
      <c r="R109" s="15" t="s">
        <v>4</v>
      </c>
      <c r="S109" s="60" t="s">
        <v>2313</v>
      </c>
    </row>
    <row r="110" spans="1:19" s="58" customFormat="1" ht="15">
      <c r="A110" s="16">
        <v>16</v>
      </c>
      <c r="B110" s="433" t="s">
        <v>2152</v>
      </c>
      <c r="C110" s="53">
        <f>'R-1'!I124</f>
        <v>134.56000000000003</v>
      </c>
      <c r="D110" s="53">
        <f>'R-1'!I301</f>
        <v>0</v>
      </c>
      <c r="E110" s="53">
        <f>'R-1'!I442</f>
        <v>0</v>
      </c>
      <c r="F110" s="53">
        <f t="shared" si="1"/>
        <v>134.56000000000003</v>
      </c>
      <c r="G110" s="53" t="s">
        <v>422</v>
      </c>
      <c r="H110" s="53"/>
      <c r="I110" s="9">
        <f t="shared" si="5"/>
        <v>19.38</v>
      </c>
      <c r="J110" s="208">
        <v>0</v>
      </c>
      <c r="K110" s="10">
        <f>ROUND(F110*0.015*1.05,2)</f>
        <v>2.12</v>
      </c>
      <c r="L110" s="208">
        <v>0</v>
      </c>
      <c r="M110" s="208">
        <v>0</v>
      </c>
      <c r="N110" s="208"/>
      <c r="O110" s="208">
        <v>0</v>
      </c>
      <c r="P110" s="208"/>
      <c r="Q110" s="53">
        <v>7.2</v>
      </c>
      <c r="R110" s="10" t="s">
        <v>4</v>
      </c>
      <c r="S110" s="60" t="s">
        <v>2217</v>
      </c>
    </row>
    <row r="111" spans="1:19" s="58" customFormat="1" ht="15" hidden="1">
      <c r="A111" s="16">
        <v>24</v>
      </c>
      <c r="B111" s="433" t="s">
        <v>2152</v>
      </c>
      <c r="C111" s="53">
        <f>'R-1'!I125</f>
        <v>0</v>
      </c>
      <c r="D111" s="53">
        <f>'R-1'!I302</f>
        <v>0</v>
      </c>
      <c r="E111" s="53">
        <f>'R-1'!I443</f>
        <v>0</v>
      </c>
      <c r="F111" s="53">
        <f>SUM(C111:E111)</f>
        <v>0</v>
      </c>
      <c r="G111" s="53" t="s">
        <v>422</v>
      </c>
      <c r="H111" s="53"/>
      <c r="I111" s="9">
        <f>ROUND(F111*Q111/50,2)</f>
        <v>0</v>
      </c>
      <c r="J111" s="208">
        <v>0</v>
      </c>
      <c r="K111" s="10">
        <f>ROUND(F111*0.015*1.05,2)</f>
        <v>0</v>
      </c>
      <c r="L111" s="208">
        <v>0</v>
      </c>
      <c r="M111" s="208">
        <v>0</v>
      </c>
      <c r="N111" s="208"/>
      <c r="O111" s="208">
        <v>0</v>
      </c>
      <c r="P111" s="208"/>
      <c r="Q111" s="53">
        <v>7.2</v>
      </c>
      <c r="R111" s="10" t="s">
        <v>4</v>
      </c>
      <c r="S111" s="60" t="s">
        <v>2299</v>
      </c>
    </row>
    <row r="112" spans="1:19" s="58" customFormat="1" ht="15" hidden="1">
      <c r="A112" s="16">
        <v>22</v>
      </c>
      <c r="B112" s="433" t="s">
        <v>2152</v>
      </c>
      <c r="C112" s="53">
        <f>'R-1'!I126</f>
        <v>0</v>
      </c>
      <c r="D112" s="53">
        <f>'R-1'!I303</f>
        <v>0</v>
      </c>
      <c r="E112" s="53">
        <f>'R-1'!I444</f>
        <v>0</v>
      </c>
      <c r="F112" s="53">
        <f>SUM(C112:E112)</f>
        <v>0</v>
      </c>
      <c r="G112" s="53" t="s">
        <v>422</v>
      </c>
      <c r="H112" s="53"/>
      <c r="I112" s="9">
        <f>ROUND(F112*Q112/50,2)</f>
        <v>0</v>
      </c>
      <c r="J112" s="208">
        <v>0</v>
      </c>
      <c r="K112" s="10">
        <f t="shared" ref="K112:K117" si="17">ROUND(ROUND((0.015*1.05),3)*ROUND(F112,2),2)</f>
        <v>0</v>
      </c>
      <c r="L112" s="208">
        <v>0</v>
      </c>
      <c r="M112" s="208">
        <v>0</v>
      </c>
      <c r="N112" s="208"/>
      <c r="O112" s="208">
        <v>0</v>
      </c>
      <c r="P112" s="208"/>
      <c r="Q112" s="53">
        <v>7.2</v>
      </c>
      <c r="R112" s="10" t="s">
        <v>4</v>
      </c>
      <c r="S112" s="60" t="s">
        <v>2312</v>
      </c>
    </row>
    <row r="113" spans="1:19" s="58" customFormat="1" ht="15" hidden="1">
      <c r="A113" s="16">
        <v>23</v>
      </c>
      <c r="B113" s="433" t="s">
        <v>2152</v>
      </c>
      <c r="C113" s="53">
        <f>'R-1'!I127</f>
        <v>0</v>
      </c>
      <c r="D113" s="53">
        <f>'R-1'!I304</f>
        <v>0</v>
      </c>
      <c r="E113" s="53">
        <f>'R-1'!I445</f>
        <v>0</v>
      </c>
      <c r="F113" s="53">
        <f>SUM(C113:E113)</f>
        <v>0</v>
      </c>
      <c r="G113" s="53" t="s">
        <v>422</v>
      </c>
      <c r="H113" s="53"/>
      <c r="I113" s="9">
        <f>ROUND(F113*Q113/50,2)</f>
        <v>0</v>
      </c>
      <c r="J113" s="208">
        <v>0</v>
      </c>
      <c r="K113" s="10">
        <f t="shared" si="17"/>
        <v>0</v>
      </c>
      <c r="L113" s="208">
        <v>0</v>
      </c>
      <c r="M113" s="208">
        <v>0</v>
      </c>
      <c r="N113" s="208"/>
      <c r="O113" s="208">
        <v>0</v>
      </c>
      <c r="P113" s="208"/>
      <c r="Q113" s="53">
        <v>7.2</v>
      </c>
      <c r="R113" s="10" t="s">
        <v>4</v>
      </c>
      <c r="S113" s="60" t="s">
        <v>2313</v>
      </c>
    </row>
    <row r="114" spans="1:19" s="58" customFormat="1" ht="15" hidden="1">
      <c r="A114" s="16">
        <v>22</v>
      </c>
      <c r="B114" s="433" t="s">
        <v>2153</v>
      </c>
      <c r="C114" s="53">
        <f>'R-1'!I128</f>
        <v>0</v>
      </c>
      <c r="D114" s="53">
        <f>'R-1'!I305</f>
        <v>0</v>
      </c>
      <c r="E114" s="53">
        <f>'R-1'!I446</f>
        <v>0</v>
      </c>
      <c r="F114" s="53">
        <f t="shared" si="1"/>
        <v>0</v>
      </c>
      <c r="G114" s="53" t="s">
        <v>422</v>
      </c>
      <c r="H114" s="53"/>
      <c r="I114" s="9">
        <f t="shared" si="5"/>
        <v>0</v>
      </c>
      <c r="J114" s="208">
        <v>0</v>
      </c>
      <c r="K114" s="10">
        <f t="shared" si="17"/>
        <v>0</v>
      </c>
      <c r="L114" s="208">
        <v>0</v>
      </c>
      <c r="M114" s="208">
        <v>0</v>
      </c>
      <c r="N114" s="208"/>
      <c r="O114" s="208">
        <v>0</v>
      </c>
      <c r="P114" s="208"/>
      <c r="Q114" s="53">
        <v>4.32</v>
      </c>
      <c r="R114" s="10" t="s">
        <v>4</v>
      </c>
      <c r="S114" s="60" t="s">
        <v>2217</v>
      </c>
    </row>
    <row r="115" spans="1:19" s="58" customFormat="1" ht="15" hidden="1">
      <c r="A115" s="16">
        <v>22</v>
      </c>
      <c r="B115" s="433" t="s">
        <v>2153</v>
      </c>
      <c r="C115" s="53">
        <f>'R-1'!I129</f>
        <v>0</v>
      </c>
      <c r="D115" s="53">
        <f>'R-1'!I306</f>
        <v>0</v>
      </c>
      <c r="E115" s="53">
        <f>'R-1'!I447</f>
        <v>0</v>
      </c>
      <c r="F115" s="53">
        <f>SUM(C115:E115)</f>
        <v>0</v>
      </c>
      <c r="G115" s="53" t="s">
        <v>422</v>
      </c>
      <c r="H115" s="53"/>
      <c r="I115" s="9">
        <f>ROUND(F115*Q115/50,2)</f>
        <v>0</v>
      </c>
      <c r="J115" s="208">
        <v>0</v>
      </c>
      <c r="K115" s="10">
        <f t="shared" si="17"/>
        <v>0</v>
      </c>
      <c r="L115" s="208">
        <v>0</v>
      </c>
      <c r="M115" s="208">
        <v>0</v>
      </c>
      <c r="N115" s="208"/>
      <c r="O115" s="208">
        <v>0</v>
      </c>
      <c r="P115" s="208"/>
      <c r="Q115" s="53">
        <v>4.32</v>
      </c>
      <c r="R115" s="10" t="s">
        <v>4</v>
      </c>
      <c r="S115" s="60" t="s">
        <v>2299</v>
      </c>
    </row>
    <row r="116" spans="1:19" s="58" customFormat="1" ht="15" hidden="1">
      <c r="A116" s="16">
        <v>25</v>
      </c>
      <c r="B116" s="433" t="s">
        <v>2153</v>
      </c>
      <c r="C116" s="53">
        <f>'R-1'!I130</f>
        <v>0</v>
      </c>
      <c r="D116" s="53">
        <f>'R-1'!I307</f>
        <v>0</v>
      </c>
      <c r="E116" s="53">
        <f>'R-1'!I448</f>
        <v>0</v>
      </c>
      <c r="F116" s="53">
        <f>SUM(C116:E116)</f>
        <v>0</v>
      </c>
      <c r="G116" s="53" t="s">
        <v>422</v>
      </c>
      <c r="H116" s="53"/>
      <c r="I116" s="9">
        <f>ROUND(F116*Q116/50,2)</f>
        <v>0</v>
      </c>
      <c r="J116" s="208">
        <v>0</v>
      </c>
      <c r="K116" s="10">
        <f t="shared" si="17"/>
        <v>0</v>
      </c>
      <c r="L116" s="208">
        <v>0</v>
      </c>
      <c r="M116" s="208">
        <v>0</v>
      </c>
      <c r="N116" s="208"/>
      <c r="O116" s="208">
        <v>0</v>
      </c>
      <c r="P116" s="208"/>
      <c r="Q116" s="53">
        <v>4.32</v>
      </c>
      <c r="R116" s="10" t="s">
        <v>4</v>
      </c>
      <c r="S116" s="60" t="s">
        <v>2312</v>
      </c>
    </row>
    <row r="117" spans="1:19" s="58" customFormat="1" ht="15" hidden="1">
      <c r="A117" s="16">
        <v>22</v>
      </c>
      <c r="B117" s="433" t="s">
        <v>2153</v>
      </c>
      <c r="C117" s="53">
        <f>'R-1'!I131</f>
        <v>0</v>
      </c>
      <c r="D117" s="53">
        <f>'R-1'!I308</f>
        <v>0</v>
      </c>
      <c r="E117" s="53">
        <f>'R-1'!I449</f>
        <v>0</v>
      </c>
      <c r="F117" s="53">
        <f>SUM(C117:E117)</f>
        <v>0</v>
      </c>
      <c r="G117" s="53" t="s">
        <v>422</v>
      </c>
      <c r="H117" s="53"/>
      <c r="I117" s="9">
        <f>ROUND(F117*Q117/50,2)</f>
        <v>0</v>
      </c>
      <c r="J117" s="208">
        <v>0</v>
      </c>
      <c r="K117" s="10">
        <f t="shared" si="17"/>
        <v>0</v>
      </c>
      <c r="L117" s="208">
        <v>0</v>
      </c>
      <c r="M117" s="208">
        <v>0</v>
      </c>
      <c r="N117" s="208"/>
      <c r="O117" s="208">
        <v>0</v>
      </c>
      <c r="P117" s="208"/>
      <c r="Q117" s="53">
        <v>4.32</v>
      </c>
      <c r="R117" s="10" t="s">
        <v>4</v>
      </c>
      <c r="S117" s="60" t="s">
        <v>2313</v>
      </c>
    </row>
    <row r="118" spans="1:19" ht="15" hidden="1">
      <c r="A118" s="283">
        <v>19</v>
      </c>
      <c r="B118" s="289" t="s">
        <v>3120</v>
      </c>
      <c r="C118" s="285">
        <f>'R-1'!I132</f>
        <v>0</v>
      </c>
      <c r="D118" s="285">
        <f>'R-1'!I309</f>
        <v>0</v>
      </c>
      <c r="E118" s="285">
        <f>'R-1'!I450</f>
        <v>0</v>
      </c>
      <c r="F118" s="285">
        <f t="shared" si="1"/>
        <v>0</v>
      </c>
      <c r="G118" s="285" t="s">
        <v>422</v>
      </c>
      <c r="H118" s="285"/>
      <c r="I118" s="288">
        <f t="shared" si="5"/>
        <v>0</v>
      </c>
      <c r="J118" s="286">
        <v>0</v>
      </c>
      <c r="K118" s="10">
        <f>ROUND(F118*0.021*1.05,2)</f>
        <v>0</v>
      </c>
      <c r="L118" s="286">
        <v>0</v>
      </c>
      <c r="M118" s="286">
        <v>0</v>
      </c>
      <c r="N118" s="286"/>
      <c r="O118" s="286">
        <v>0</v>
      </c>
      <c r="P118" s="286"/>
      <c r="Q118" s="285">
        <v>6.05</v>
      </c>
      <c r="R118" s="15" t="s">
        <v>4</v>
      </c>
      <c r="S118" s="60" t="s">
        <v>2217</v>
      </c>
    </row>
    <row r="119" spans="1:19" ht="15" hidden="1">
      <c r="A119" s="283">
        <v>23</v>
      </c>
      <c r="B119" s="289" t="s">
        <v>604</v>
      </c>
      <c r="C119" s="285">
        <f>'R-1'!I133</f>
        <v>0</v>
      </c>
      <c r="D119" s="285">
        <f>'R-1'!I310</f>
        <v>0</v>
      </c>
      <c r="E119" s="285">
        <f>'R-1'!I451</f>
        <v>0</v>
      </c>
      <c r="F119" s="285">
        <f>SUM(C119:E119)</f>
        <v>0</v>
      </c>
      <c r="G119" s="285" t="s">
        <v>422</v>
      </c>
      <c r="H119" s="285"/>
      <c r="I119" s="288">
        <f>ROUND(F119*Q119/50,2)</f>
        <v>0</v>
      </c>
      <c r="J119" s="286">
        <v>0</v>
      </c>
      <c r="K119" s="15">
        <f>ROUND(ROUND((0.021*1.05),3)*ROUND(F119,2),2)</f>
        <v>0</v>
      </c>
      <c r="L119" s="286">
        <v>0</v>
      </c>
      <c r="M119" s="286">
        <v>0</v>
      </c>
      <c r="N119" s="286"/>
      <c r="O119" s="286">
        <v>0</v>
      </c>
      <c r="P119" s="286"/>
      <c r="Q119" s="285">
        <v>6.05</v>
      </c>
      <c r="R119" s="15" t="s">
        <v>4</v>
      </c>
      <c r="S119" s="60" t="s">
        <v>2299</v>
      </c>
    </row>
    <row r="120" spans="1:19" ht="15" hidden="1">
      <c r="A120" s="283">
        <v>23</v>
      </c>
      <c r="B120" s="289" t="s">
        <v>604</v>
      </c>
      <c r="C120" s="285">
        <f>'R-1'!I134</f>
        <v>0</v>
      </c>
      <c r="D120" s="285">
        <f>'R-1'!I311</f>
        <v>0</v>
      </c>
      <c r="E120" s="285">
        <f>'R-1'!I452</f>
        <v>0</v>
      </c>
      <c r="F120" s="285">
        <f>SUM(C120:E120)</f>
        <v>0</v>
      </c>
      <c r="G120" s="285" t="s">
        <v>422</v>
      </c>
      <c r="H120" s="285"/>
      <c r="I120" s="288">
        <f>ROUND(F120*Q120/50,2)</f>
        <v>0</v>
      </c>
      <c r="J120" s="286">
        <v>0</v>
      </c>
      <c r="K120" s="15">
        <f>ROUND(ROUND((0.021*1.05),3)*ROUND(F120,2),2)</f>
        <v>0</v>
      </c>
      <c r="L120" s="286">
        <v>0</v>
      </c>
      <c r="M120" s="286">
        <v>0</v>
      </c>
      <c r="N120" s="286"/>
      <c r="O120" s="286">
        <v>0</v>
      </c>
      <c r="P120" s="286"/>
      <c r="Q120" s="285">
        <v>6.05</v>
      </c>
      <c r="R120" s="15" t="s">
        <v>4</v>
      </c>
      <c r="S120" s="60" t="s">
        <v>2312</v>
      </c>
    </row>
    <row r="121" spans="1:19" ht="15" hidden="1">
      <c r="A121" s="283">
        <v>23</v>
      </c>
      <c r="B121" s="289" t="s">
        <v>604</v>
      </c>
      <c r="C121" s="285">
        <f>'R-1'!I135</f>
        <v>0</v>
      </c>
      <c r="D121" s="285">
        <f>'R-1'!I312</f>
        <v>0</v>
      </c>
      <c r="E121" s="285">
        <f>'R-1'!I453</f>
        <v>0</v>
      </c>
      <c r="F121" s="285">
        <f>SUM(C121:E121)</f>
        <v>0</v>
      </c>
      <c r="G121" s="285" t="s">
        <v>422</v>
      </c>
      <c r="H121" s="285"/>
      <c r="I121" s="288">
        <f>ROUND(F121*Q121/50,2)</f>
        <v>0</v>
      </c>
      <c r="J121" s="286">
        <v>0</v>
      </c>
      <c r="K121" s="15">
        <f>ROUND(ROUND((0.021*1.05),3)*ROUND(F121,2),2)</f>
        <v>0</v>
      </c>
      <c r="L121" s="286">
        <v>0</v>
      </c>
      <c r="M121" s="286">
        <v>0</v>
      </c>
      <c r="N121" s="286"/>
      <c r="O121" s="286">
        <v>0</v>
      </c>
      <c r="P121" s="286"/>
      <c r="Q121" s="285">
        <v>6.05</v>
      </c>
      <c r="R121" s="15" t="s">
        <v>4</v>
      </c>
      <c r="S121" s="60" t="s">
        <v>2313</v>
      </c>
    </row>
    <row r="122" spans="1:19" s="58" customFormat="1" ht="15">
      <c r="A122" s="16">
        <v>17</v>
      </c>
      <c r="B122" s="433" t="s">
        <v>2153</v>
      </c>
      <c r="C122" s="53">
        <f>'R-1'!I136</f>
        <v>263.17999999999995</v>
      </c>
      <c r="D122" s="53">
        <f>'R-1'!I313</f>
        <v>0</v>
      </c>
      <c r="E122" s="53">
        <f>'R-1'!I454</f>
        <v>0</v>
      </c>
      <c r="F122" s="53">
        <f t="shared" si="1"/>
        <v>263.17999999999995</v>
      </c>
      <c r="G122" s="53" t="s">
        <v>422</v>
      </c>
      <c r="H122" s="53"/>
      <c r="I122" s="9">
        <f t="shared" si="5"/>
        <v>26.79</v>
      </c>
      <c r="J122" s="208">
        <v>0</v>
      </c>
      <c r="K122" s="10">
        <f>ROUND(F122*0.015*1,2)</f>
        <v>3.95</v>
      </c>
      <c r="L122" s="208">
        <v>0</v>
      </c>
      <c r="M122" s="208">
        <v>0</v>
      </c>
      <c r="N122" s="208"/>
      <c r="O122" s="208">
        <v>0</v>
      </c>
      <c r="P122" s="208"/>
      <c r="Q122" s="53">
        <v>5.09</v>
      </c>
      <c r="R122" s="10" t="s">
        <v>4</v>
      </c>
      <c r="S122" s="60" t="s">
        <v>2217</v>
      </c>
    </row>
    <row r="123" spans="1:19" s="58" customFormat="1" ht="15" hidden="1">
      <c r="A123" s="16">
        <v>26</v>
      </c>
      <c r="B123" s="433" t="s">
        <v>2153</v>
      </c>
      <c r="C123" s="53">
        <f>'R-1'!I137</f>
        <v>0</v>
      </c>
      <c r="D123" s="53">
        <f>'R-1'!I314</f>
        <v>0</v>
      </c>
      <c r="E123" s="53">
        <f>'R-1'!I455</f>
        <v>0</v>
      </c>
      <c r="F123" s="53">
        <f>SUM(C123:E123)</f>
        <v>0</v>
      </c>
      <c r="G123" s="53" t="s">
        <v>422</v>
      </c>
      <c r="H123" s="53"/>
      <c r="I123" s="9">
        <f>ROUND(F123*Q123/50,2)</f>
        <v>0</v>
      </c>
      <c r="J123" s="208">
        <v>0</v>
      </c>
      <c r="K123" s="10">
        <f>ROUND(F123*0.015*1,2)</f>
        <v>0</v>
      </c>
      <c r="L123" s="208">
        <v>0</v>
      </c>
      <c r="M123" s="208">
        <v>0</v>
      </c>
      <c r="N123" s="208"/>
      <c r="O123" s="208">
        <v>0</v>
      </c>
      <c r="P123" s="208"/>
      <c r="Q123" s="53">
        <v>5.09</v>
      </c>
      <c r="R123" s="10" t="s">
        <v>4</v>
      </c>
      <c r="S123" s="60" t="s">
        <v>2299</v>
      </c>
    </row>
    <row r="124" spans="1:19" s="58" customFormat="1" ht="15" hidden="1">
      <c r="A124" s="16">
        <v>23</v>
      </c>
      <c r="B124" s="433" t="s">
        <v>2153</v>
      </c>
      <c r="C124" s="53">
        <f>'R-1'!I138</f>
        <v>0</v>
      </c>
      <c r="D124" s="53">
        <f>'R-1'!I315</f>
        <v>0</v>
      </c>
      <c r="E124" s="53">
        <f>'R-1'!I456</f>
        <v>0</v>
      </c>
      <c r="F124" s="53">
        <f>SUM(C124:E124)</f>
        <v>0</v>
      </c>
      <c r="G124" s="53" t="s">
        <v>422</v>
      </c>
      <c r="H124" s="53"/>
      <c r="I124" s="9">
        <f>ROUND(F124*Q124/50,2)</f>
        <v>0</v>
      </c>
      <c r="J124" s="208">
        <v>0</v>
      </c>
      <c r="K124" s="10">
        <f>ROUND(F124*0.015*1,2)</f>
        <v>0</v>
      </c>
      <c r="L124" s="208">
        <v>0</v>
      </c>
      <c r="M124" s="208">
        <v>0</v>
      </c>
      <c r="N124" s="208"/>
      <c r="O124" s="208">
        <v>0</v>
      </c>
      <c r="P124" s="208"/>
      <c r="Q124" s="53">
        <v>5.09</v>
      </c>
      <c r="R124" s="10" t="s">
        <v>4</v>
      </c>
      <c r="S124" s="60" t="s">
        <v>2312</v>
      </c>
    </row>
    <row r="125" spans="1:19" s="58" customFormat="1" ht="15" hidden="1">
      <c r="A125" s="16">
        <v>24</v>
      </c>
      <c r="B125" s="433" t="s">
        <v>2153</v>
      </c>
      <c r="C125" s="53">
        <f>'R-1'!I139</f>
        <v>0</v>
      </c>
      <c r="D125" s="53">
        <f>'R-1'!I316</f>
        <v>0</v>
      </c>
      <c r="E125" s="53">
        <f>'R-1'!I457</f>
        <v>0</v>
      </c>
      <c r="F125" s="53">
        <f>SUM(C125:E125)</f>
        <v>0</v>
      </c>
      <c r="G125" s="53" t="s">
        <v>422</v>
      </c>
      <c r="H125" s="53"/>
      <c r="I125" s="9">
        <f>ROUND(F125*Q125/50,2)</f>
        <v>0</v>
      </c>
      <c r="J125" s="208">
        <v>0</v>
      </c>
      <c r="K125" s="10">
        <f>ROUND(F125*0.015*1,2)</f>
        <v>0</v>
      </c>
      <c r="L125" s="208">
        <v>0</v>
      </c>
      <c r="M125" s="208">
        <v>0</v>
      </c>
      <c r="N125" s="208"/>
      <c r="O125" s="208">
        <v>0</v>
      </c>
      <c r="P125" s="208"/>
      <c r="Q125" s="53">
        <v>5.09</v>
      </c>
      <c r="R125" s="10" t="s">
        <v>4</v>
      </c>
      <c r="S125" s="60" t="s">
        <v>2313</v>
      </c>
    </row>
    <row r="126" spans="1:19" s="58" customFormat="1" ht="15">
      <c r="A126" s="16">
        <v>18</v>
      </c>
      <c r="B126" s="433" t="s">
        <v>2154</v>
      </c>
      <c r="C126" s="53">
        <f>'R-1'!I140</f>
        <v>125.81</v>
      </c>
      <c r="D126" s="53">
        <f>'R-1'!I317</f>
        <v>0</v>
      </c>
      <c r="E126" s="53">
        <f>'R-1'!I458</f>
        <v>0</v>
      </c>
      <c r="F126" s="53">
        <f t="shared" si="1"/>
        <v>125.81</v>
      </c>
      <c r="G126" s="53" t="s">
        <v>422</v>
      </c>
      <c r="H126" s="53"/>
      <c r="I126" s="9">
        <f t="shared" si="5"/>
        <v>14.47</v>
      </c>
      <c r="J126" s="208">
        <v>0</v>
      </c>
      <c r="K126" s="10">
        <f>ROUND(F126*0.022*1,2)</f>
        <v>2.77</v>
      </c>
      <c r="L126" s="208">
        <v>0</v>
      </c>
      <c r="M126" s="208">
        <v>0</v>
      </c>
      <c r="N126" s="208"/>
      <c r="O126" s="208">
        <v>0</v>
      </c>
      <c r="P126" s="208"/>
      <c r="Q126" s="53">
        <v>5.75</v>
      </c>
      <c r="R126" s="10" t="s">
        <v>4</v>
      </c>
      <c r="S126" s="60" t="s">
        <v>2217</v>
      </c>
    </row>
    <row r="127" spans="1:19" s="58" customFormat="1" ht="15" hidden="1">
      <c r="A127" s="16">
        <v>27</v>
      </c>
      <c r="B127" s="433" t="s">
        <v>2154</v>
      </c>
      <c r="C127" s="53">
        <f>'R-1'!I141</f>
        <v>0</v>
      </c>
      <c r="D127" s="53">
        <f>'R-1'!I318</f>
        <v>0</v>
      </c>
      <c r="E127" s="53">
        <f>'R-1'!I459</f>
        <v>0</v>
      </c>
      <c r="F127" s="53">
        <f>SUM(C127:E127)</f>
        <v>0</v>
      </c>
      <c r="G127" s="53" t="s">
        <v>422</v>
      </c>
      <c r="H127" s="53"/>
      <c r="I127" s="9">
        <f>ROUND(F127*Q127/50,2)</f>
        <v>0</v>
      </c>
      <c r="J127" s="208">
        <v>0</v>
      </c>
      <c r="K127" s="10">
        <f>ROUND(F127*0.022*1,2)</f>
        <v>0</v>
      </c>
      <c r="L127" s="208">
        <v>0</v>
      </c>
      <c r="M127" s="208">
        <v>0</v>
      </c>
      <c r="N127" s="208"/>
      <c r="O127" s="208">
        <v>0</v>
      </c>
      <c r="P127" s="208"/>
      <c r="Q127" s="53">
        <v>5.75</v>
      </c>
      <c r="R127" s="10" t="s">
        <v>4</v>
      </c>
      <c r="S127" s="60" t="s">
        <v>2299</v>
      </c>
    </row>
    <row r="128" spans="1:19" s="58" customFormat="1" ht="15" hidden="1">
      <c r="A128" s="16">
        <v>24</v>
      </c>
      <c r="B128" s="433" t="s">
        <v>2154</v>
      </c>
      <c r="C128" s="53">
        <f>'R-1'!I142</f>
        <v>0</v>
      </c>
      <c r="D128" s="53">
        <f>'R-1'!I319</f>
        <v>0</v>
      </c>
      <c r="E128" s="53">
        <f>'R-1'!I460</f>
        <v>0</v>
      </c>
      <c r="F128" s="53">
        <f>SUM(C128:E128)</f>
        <v>0</v>
      </c>
      <c r="G128" s="53" t="s">
        <v>422</v>
      </c>
      <c r="H128" s="53"/>
      <c r="I128" s="9">
        <f>ROUND(F128*Q128/50,2)</f>
        <v>0</v>
      </c>
      <c r="J128" s="208">
        <v>0</v>
      </c>
      <c r="K128" s="10">
        <f>ROUND(F128*0.022*1,2)</f>
        <v>0</v>
      </c>
      <c r="L128" s="208">
        <v>0</v>
      </c>
      <c r="M128" s="208">
        <v>0</v>
      </c>
      <c r="N128" s="208"/>
      <c r="O128" s="208">
        <v>0</v>
      </c>
      <c r="P128" s="208"/>
      <c r="Q128" s="53">
        <v>5.75</v>
      </c>
      <c r="R128" s="10" t="s">
        <v>4</v>
      </c>
      <c r="S128" s="60" t="s">
        <v>2312</v>
      </c>
    </row>
    <row r="129" spans="1:19" s="58" customFormat="1" ht="15" hidden="1">
      <c r="A129" s="16">
        <v>19</v>
      </c>
      <c r="B129" s="433" t="s">
        <v>2154</v>
      </c>
      <c r="C129" s="53">
        <f>'R-1'!I143</f>
        <v>0</v>
      </c>
      <c r="D129" s="53">
        <f>'R-1'!I320</f>
        <v>0</v>
      </c>
      <c r="E129" s="53">
        <f>'R-1'!I461</f>
        <v>0</v>
      </c>
      <c r="F129" s="53">
        <f>SUM(C129:E129)</f>
        <v>0</v>
      </c>
      <c r="G129" s="53" t="s">
        <v>422</v>
      </c>
      <c r="H129" s="53"/>
      <c r="I129" s="9">
        <f>ROUND(F129*Q129/50,2)</f>
        <v>0</v>
      </c>
      <c r="J129" s="208">
        <v>0</v>
      </c>
      <c r="K129" s="10">
        <f>ROUND(F129*0.022*1,2)</f>
        <v>0</v>
      </c>
      <c r="L129" s="208">
        <v>0</v>
      </c>
      <c r="M129" s="208">
        <v>0</v>
      </c>
      <c r="N129" s="208"/>
      <c r="O129" s="208">
        <v>0</v>
      </c>
      <c r="P129" s="208"/>
      <c r="Q129" s="53">
        <v>5.75</v>
      </c>
      <c r="R129" s="10" t="s">
        <v>4</v>
      </c>
      <c r="S129" s="60" t="s">
        <v>2313</v>
      </c>
    </row>
    <row r="130" spans="1:19" s="58" customFormat="1" ht="15" hidden="1">
      <c r="A130" s="16">
        <v>26</v>
      </c>
      <c r="B130" s="433" t="s">
        <v>2177</v>
      </c>
      <c r="C130" s="53">
        <f>'R-1'!I144</f>
        <v>0</v>
      </c>
      <c r="D130" s="53">
        <f>'R-1'!I325</f>
        <v>0</v>
      </c>
      <c r="E130" s="53">
        <f>'R-1'!I466</f>
        <v>0</v>
      </c>
      <c r="F130" s="53">
        <f t="shared" ref="F130:F170" si="18">SUM(C130:E130)</f>
        <v>0</v>
      </c>
      <c r="G130" s="53" t="s">
        <v>422</v>
      </c>
      <c r="H130" s="53"/>
      <c r="I130" s="9">
        <f t="shared" si="5"/>
        <v>0</v>
      </c>
      <c r="J130" s="208">
        <v>0</v>
      </c>
      <c r="K130" s="10">
        <f>ROUND(F130*0.014,2)</f>
        <v>0</v>
      </c>
      <c r="L130" s="208">
        <v>0</v>
      </c>
      <c r="M130" s="208">
        <v>0</v>
      </c>
      <c r="N130" s="208"/>
      <c r="O130" s="208">
        <v>0</v>
      </c>
      <c r="P130" s="208"/>
      <c r="Q130" s="53">
        <v>6.06</v>
      </c>
      <c r="R130" s="10" t="s">
        <v>4</v>
      </c>
      <c r="S130" s="60" t="s">
        <v>2217</v>
      </c>
    </row>
    <row r="131" spans="1:19" s="58" customFormat="1" ht="15" hidden="1">
      <c r="A131" s="16">
        <v>19</v>
      </c>
      <c r="B131" s="433" t="s">
        <v>2177</v>
      </c>
      <c r="C131" s="53">
        <f>'R-1'!I145</f>
        <v>0</v>
      </c>
      <c r="D131" s="53">
        <f>'R-1'!I326</f>
        <v>0</v>
      </c>
      <c r="E131" s="53">
        <f>'R-1'!I467</f>
        <v>0</v>
      </c>
      <c r="F131" s="53">
        <f>SUM(C131:E131)</f>
        <v>0</v>
      </c>
      <c r="G131" s="53" t="s">
        <v>422</v>
      </c>
      <c r="H131" s="53"/>
      <c r="I131" s="9">
        <f>ROUND(F131*Q131/50,2)</f>
        <v>0</v>
      </c>
      <c r="J131" s="208">
        <v>0</v>
      </c>
      <c r="K131" s="10">
        <f>ROUND(F131*0.014,2)</f>
        <v>0</v>
      </c>
      <c r="L131" s="208">
        <v>0</v>
      </c>
      <c r="M131" s="208">
        <v>0</v>
      </c>
      <c r="N131" s="208"/>
      <c r="O131" s="208">
        <v>0</v>
      </c>
      <c r="P131" s="208"/>
      <c r="Q131" s="53">
        <v>6.06</v>
      </c>
      <c r="R131" s="10" t="s">
        <v>4</v>
      </c>
      <c r="S131" s="60" t="s">
        <v>2299</v>
      </c>
    </row>
    <row r="132" spans="1:19" s="58" customFormat="1" ht="15" hidden="1">
      <c r="A132" s="16">
        <v>26</v>
      </c>
      <c r="B132" s="433" t="s">
        <v>2177</v>
      </c>
      <c r="C132" s="53">
        <f>'R-1'!I146</f>
        <v>0</v>
      </c>
      <c r="D132" s="53">
        <f>'R-1'!I327</f>
        <v>0</v>
      </c>
      <c r="E132" s="53">
        <f>'R-1'!I468</f>
        <v>0</v>
      </c>
      <c r="F132" s="53">
        <f>SUM(C132:E132)</f>
        <v>0</v>
      </c>
      <c r="G132" s="53" t="s">
        <v>422</v>
      </c>
      <c r="H132" s="53"/>
      <c r="I132" s="9">
        <f>ROUND(F132*Q132/50,2)</f>
        <v>0</v>
      </c>
      <c r="J132" s="208">
        <v>0</v>
      </c>
      <c r="K132" s="10">
        <f>ROUND(F132*0.014,2)</f>
        <v>0</v>
      </c>
      <c r="L132" s="208">
        <v>0</v>
      </c>
      <c r="M132" s="208">
        <v>0</v>
      </c>
      <c r="N132" s="208"/>
      <c r="O132" s="208">
        <v>0</v>
      </c>
      <c r="P132" s="208"/>
      <c r="Q132" s="53">
        <v>6.06</v>
      </c>
      <c r="R132" s="10" t="s">
        <v>4</v>
      </c>
      <c r="S132" s="60" t="s">
        <v>2312</v>
      </c>
    </row>
    <row r="133" spans="1:19" s="58" customFormat="1" ht="15" hidden="1">
      <c r="A133" s="16">
        <v>20</v>
      </c>
      <c r="B133" s="433" t="s">
        <v>2177</v>
      </c>
      <c r="C133" s="53">
        <f>'R-1'!I147</f>
        <v>0</v>
      </c>
      <c r="D133" s="53">
        <f>'R-1'!I328</f>
        <v>0</v>
      </c>
      <c r="E133" s="53">
        <f>'R-1'!I469</f>
        <v>0</v>
      </c>
      <c r="F133" s="53">
        <f>SUM(C133:E133)</f>
        <v>0</v>
      </c>
      <c r="G133" s="53" t="s">
        <v>422</v>
      </c>
      <c r="H133" s="53"/>
      <c r="I133" s="9">
        <f>ROUND(F133*Q133/50,2)</f>
        <v>0</v>
      </c>
      <c r="J133" s="208">
        <v>0</v>
      </c>
      <c r="K133" s="10">
        <f>ROUND(F133*0.014,2)</f>
        <v>0</v>
      </c>
      <c r="L133" s="208">
        <v>0</v>
      </c>
      <c r="M133" s="208">
        <v>0</v>
      </c>
      <c r="N133" s="208"/>
      <c r="O133" s="208">
        <v>0</v>
      </c>
      <c r="P133" s="208"/>
      <c r="Q133" s="53">
        <v>6.06</v>
      </c>
      <c r="R133" s="10" t="s">
        <v>4</v>
      </c>
      <c r="S133" s="60" t="s">
        <v>2313</v>
      </c>
    </row>
    <row r="134" spans="1:19" s="58" customFormat="1" ht="15" hidden="1">
      <c r="A134" s="16">
        <v>27</v>
      </c>
      <c r="B134" s="433" t="s">
        <v>2155</v>
      </c>
      <c r="C134" s="53">
        <f>'R-1'!I148</f>
        <v>0</v>
      </c>
      <c r="D134" s="53">
        <f>'R-1'!I329</f>
        <v>0</v>
      </c>
      <c r="E134" s="53">
        <f>'R-1'!I470</f>
        <v>0</v>
      </c>
      <c r="F134" s="53">
        <f t="shared" si="18"/>
        <v>0</v>
      </c>
      <c r="G134" s="53" t="s">
        <v>422</v>
      </c>
      <c r="H134" s="53"/>
      <c r="I134" s="9">
        <f t="shared" si="5"/>
        <v>0</v>
      </c>
      <c r="J134" s="208">
        <v>0</v>
      </c>
      <c r="K134" s="10">
        <f>ROUND(F134*0.012,2)</f>
        <v>0</v>
      </c>
      <c r="L134" s="208">
        <v>0</v>
      </c>
      <c r="M134" s="208">
        <v>0</v>
      </c>
      <c r="N134" s="208"/>
      <c r="O134" s="208">
        <v>0</v>
      </c>
      <c r="P134" s="208"/>
      <c r="Q134" s="40">
        <v>6.7560000000000002</v>
      </c>
      <c r="R134" s="10" t="s">
        <v>4</v>
      </c>
      <c r="S134" s="60" t="s">
        <v>2217</v>
      </c>
    </row>
    <row r="135" spans="1:19" s="58" customFormat="1" ht="15" hidden="1">
      <c r="A135" s="16">
        <v>20</v>
      </c>
      <c r="B135" s="433" t="s">
        <v>2155</v>
      </c>
      <c r="C135" s="53">
        <f>'R-1'!I149</f>
        <v>0</v>
      </c>
      <c r="D135" s="53">
        <f>'R-1'!I330</f>
        <v>0</v>
      </c>
      <c r="E135" s="53">
        <f>'R-1'!I471</f>
        <v>0</v>
      </c>
      <c r="F135" s="53">
        <f>SUM(C135:E135)</f>
        <v>0</v>
      </c>
      <c r="G135" s="53" t="s">
        <v>422</v>
      </c>
      <c r="H135" s="53"/>
      <c r="I135" s="9">
        <f>ROUND(F135*Q135/50,2)</f>
        <v>0</v>
      </c>
      <c r="J135" s="208">
        <v>0</v>
      </c>
      <c r="K135" s="10">
        <f>ROUND(F135*0.012,2)</f>
        <v>0</v>
      </c>
      <c r="L135" s="208">
        <v>0</v>
      </c>
      <c r="M135" s="208">
        <v>0</v>
      </c>
      <c r="N135" s="208"/>
      <c r="O135" s="208">
        <v>0</v>
      </c>
      <c r="P135" s="208"/>
      <c r="Q135" s="40">
        <v>6.7560000000000002</v>
      </c>
      <c r="R135" s="10" t="s">
        <v>4</v>
      </c>
      <c r="S135" s="60" t="s">
        <v>2299</v>
      </c>
    </row>
    <row r="136" spans="1:19" s="58" customFormat="1" ht="15" hidden="1">
      <c r="A136" s="16">
        <v>27</v>
      </c>
      <c r="B136" s="433" t="s">
        <v>2155</v>
      </c>
      <c r="C136" s="53">
        <f>'R-1'!I150</f>
        <v>0</v>
      </c>
      <c r="D136" s="53">
        <f>'R-1'!I331</f>
        <v>0</v>
      </c>
      <c r="E136" s="53">
        <f>'R-1'!I472</f>
        <v>0</v>
      </c>
      <c r="F136" s="53">
        <f t="shared" ref="F136:F137" si="19">SUM(C136:E136)</f>
        <v>0</v>
      </c>
      <c r="G136" s="53" t="s">
        <v>422</v>
      </c>
      <c r="H136" s="53"/>
      <c r="I136" s="9">
        <f t="shared" ref="I136:I137" si="20">ROUND(F136*Q136/50,2)</f>
        <v>0</v>
      </c>
      <c r="J136" s="208">
        <v>0</v>
      </c>
      <c r="K136" s="10">
        <f>ROUND(F136*0.012,2)</f>
        <v>0</v>
      </c>
      <c r="L136" s="208">
        <v>0</v>
      </c>
      <c r="M136" s="208">
        <v>0</v>
      </c>
      <c r="N136" s="208"/>
      <c r="O136" s="208">
        <v>0</v>
      </c>
      <c r="P136" s="208"/>
      <c r="Q136" s="40">
        <v>6.7560000000000002</v>
      </c>
      <c r="R136" s="10" t="s">
        <v>4</v>
      </c>
      <c r="S136" s="60" t="s">
        <v>2312</v>
      </c>
    </row>
    <row r="137" spans="1:19" s="58" customFormat="1" ht="15" hidden="1">
      <c r="A137" s="16">
        <v>21</v>
      </c>
      <c r="B137" s="433" t="s">
        <v>2155</v>
      </c>
      <c r="C137" s="53">
        <f>'R-1'!I151</f>
        <v>0</v>
      </c>
      <c r="D137" s="53">
        <f>'R-1'!I332</f>
        <v>0</v>
      </c>
      <c r="E137" s="53">
        <f>'R-1'!I473</f>
        <v>0</v>
      </c>
      <c r="F137" s="53">
        <f t="shared" si="19"/>
        <v>0</v>
      </c>
      <c r="G137" s="53" t="s">
        <v>422</v>
      </c>
      <c r="H137" s="53"/>
      <c r="I137" s="9">
        <f t="shared" si="20"/>
        <v>0</v>
      </c>
      <c r="J137" s="208">
        <v>0</v>
      </c>
      <c r="K137" s="10">
        <f>ROUND(F137*0.012,2)</f>
        <v>0</v>
      </c>
      <c r="L137" s="208">
        <v>0</v>
      </c>
      <c r="M137" s="208">
        <v>0</v>
      </c>
      <c r="N137" s="208"/>
      <c r="O137" s="208">
        <v>0</v>
      </c>
      <c r="P137" s="208"/>
      <c r="Q137" s="40">
        <v>6.7560000000000002</v>
      </c>
      <c r="R137" s="10" t="s">
        <v>4</v>
      </c>
      <c r="S137" s="60" t="s">
        <v>2313</v>
      </c>
    </row>
    <row r="138" spans="1:19" ht="15" hidden="1">
      <c r="A138" s="283">
        <v>20</v>
      </c>
      <c r="B138" s="289" t="s">
        <v>2178</v>
      </c>
      <c r="C138" s="285">
        <f>'R-1'!I152</f>
        <v>0</v>
      </c>
      <c r="D138" s="285">
        <f>'R-1'!I333</f>
        <v>0</v>
      </c>
      <c r="E138" s="285">
        <f>'R-1'!I474</f>
        <v>0</v>
      </c>
      <c r="F138" s="285">
        <f t="shared" si="18"/>
        <v>0</v>
      </c>
      <c r="G138" s="285" t="s">
        <v>422</v>
      </c>
      <c r="H138" s="285"/>
      <c r="I138" s="288">
        <f t="shared" si="5"/>
        <v>0</v>
      </c>
      <c r="J138" s="286">
        <v>0</v>
      </c>
      <c r="K138" s="15">
        <f>ROUND(F138*0.014,2)</f>
        <v>0</v>
      </c>
      <c r="L138" s="286">
        <v>0</v>
      </c>
      <c r="M138" s="286">
        <v>0</v>
      </c>
      <c r="N138" s="286"/>
      <c r="O138" s="286">
        <v>0</v>
      </c>
      <c r="P138" s="286"/>
      <c r="Q138" s="285">
        <v>7.5</v>
      </c>
      <c r="R138" s="15" t="s">
        <v>4</v>
      </c>
      <c r="S138" s="60" t="s">
        <v>2217</v>
      </c>
    </row>
    <row r="139" spans="1:19" ht="15" hidden="1">
      <c r="A139" s="283">
        <v>29</v>
      </c>
      <c r="B139" s="289" t="s">
        <v>2178</v>
      </c>
      <c r="C139" s="285">
        <f>'R-1'!I153</f>
        <v>0</v>
      </c>
      <c r="D139" s="285">
        <f>'R-1'!I334</f>
        <v>0</v>
      </c>
      <c r="E139" s="285">
        <f>'R-1'!I475</f>
        <v>0</v>
      </c>
      <c r="F139" s="285">
        <f>SUM(C139:E139)</f>
        <v>0</v>
      </c>
      <c r="G139" s="285" t="s">
        <v>422</v>
      </c>
      <c r="H139" s="285"/>
      <c r="I139" s="288">
        <f>ROUND(F139*Q139/50,2)</f>
        <v>0</v>
      </c>
      <c r="J139" s="286">
        <v>0</v>
      </c>
      <c r="K139" s="15">
        <f>ROUND(F139*0.014,2)</f>
        <v>0</v>
      </c>
      <c r="L139" s="286">
        <v>0</v>
      </c>
      <c r="M139" s="286">
        <v>0</v>
      </c>
      <c r="N139" s="286"/>
      <c r="O139" s="286">
        <v>0</v>
      </c>
      <c r="P139" s="286"/>
      <c r="Q139" s="285">
        <v>7.5</v>
      </c>
      <c r="R139" s="15" t="s">
        <v>4</v>
      </c>
      <c r="S139" s="60" t="s">
        <v>2299</v>
      </c>
    </row>
    <row r="140" spans="1:19" ht="15" hidden="1">
      <c r="A140" s="283">
        <v>28</v>
      </c>
      <c r="B140" s="289" t="s">
        <v>2178</v>
      </c>
      <c r="C140" s="285">
        <f>'R-1'!I154</f>
        <v>0</v>
      </c>
      <c r="D140" s="285">
        <f>'R-1'!I335</f>
        <v>0</v>
      </c>
      <c r="E140" s="285">
        <f>'R-1'!I476</f>
        <v>0</v>
      </c>
      <c r="F140" s="285">
        <f>SUM(C140:E140)</f>
        <v>0</v>
      </c>
      <c r="G140" s="285" t="s">
        <v>422</v>
      </c>
      <c r="H140" s="285"/>
      <c r="I140" s="288">
        <f>ROUND(F140*Q140/50,2)</f>
        <v>0</v>
      </c>
      <c r="J140" s="286">
        <v>0</v>
      </c>
      <c r="K140" s="15">
        <f>ROUND(F140*0.014,2)</f>
        <v>0</v>
      </c>
      <c r="L140" s="286">
        <v>0</v>
      </c>
      <c r="M140" s="286">
        <v>0</v>
      </c>
      <c r="N140" s="286"/>
      <c r="O140" s="286">
        <v>0</v>
      </c>
      <c r="P140" s="286"/>
      <c r="Q140" s="285">
        <v>7.5</v>
      </c>
      <c r="R140" s="15" t="s">
        <v>4</v>
      </c>
      <c r="S140" s="60" t="s">
        <v>2312</v>
      </c>
    </row>
    <row r="141" spans="1:19" ht="15">
      <c r="A141" s="283">
        <v>19</v>
      </c>
      <c r="B141" s="289" t="s">
        <v>2178</v>
      </c>
      <c r="C141" s="285">
        <f>'R-1'!I155</f>
        <v>87.660000000000011</v>
      </c>
      <c r="D141" s="285">
        <f>'R-1'!I336</f>
        <v>0</v>
      </c>
      <c r="E141" s="285">
        <f>'R-1'!I477</f>
        <v>0</v>
      </c>
      <c r="F141" s="285">
        <f>SUM(C141:E141)</f>
        <v>87.660000000000011</v>
      </c>
      <c r="G141" s="285" t="s">
        <v>422</v>
      </c>
      <c r="H141" s="285"/>
      <c r="I141" s="288">
        <f>ROUND(F141*Q141/50,2)</f>
        <v>13.15</v>
      </c>
      <c r="J141" s="286">
        <v>0</v>
      </c>
      <c r="K141" s="15">
        <f>ROUND(F141*0.014,2)</f>
        <v>1.23</v>
      </c>
      <c r="L141" s="286">
        <v>0</v>
      </c>
      <c r="M141" s="286">
        <v>0</v>
      </c>
      <c r="N141" s="286"/>
      <c r="O141" s="286">
        <v>0</v>
      </c>
      <c r="P141" s="286"/>
      <c r="Q141" s="285">
        <v>7.5</v>
      </c>
      <c r="R141" s="15" t="s">
        <v>4</v>
      </c>
      <c r="S141" s="60" t="s">
        <v>2313</v>
      </c>
    </row>
    <row r="142" spans="1:19" ht="15" hidden="1">
      <c r="A142" s="283">
        <v>21</v>
      </c>
      <c r="B142" s="433" t="s">
        <v>2155</v>
      </c>
      <c r="C142" s="285">
        <f>'R-1'!I156</f>
        <v>0</v>
      </c>
      <c r="D142" s="285">
        <f>'R-1'!I337</f>
        <v>0</v>
      </c>
      <c r="E142" s="285">
        <f>'R-1'!I478</f>
        <v>0</v>
      </c>
      <c r="F142" s="285">
        <f t="shared" si="18"/>
        <v>0</v>
      </c>
      <c r="G142" s="285" t="s">
        <v>422</v>
      </c>
      <c r="H142" s="285"/>
      <c r="I142" s="288">
        <f t="shared" si="5"/>
        <v>0</v>
      </c>
      <c r="J142" s="286">
        <v>0</v>
      </c>
      <c r="K142" s="15">
        <f>ROUND(F142*0.012,2)</f>
        <v>0</v>
      </c>
      <c r="L142" s="286">
        <v>0</v>
      </c>
      <c r="M142" s="286">
        <v>0</v>
      </c>
      <c r="N142" s="286"/>
      <c r="O142" s="286">
        <v>0</v>
      </c>
      <c r="P142" s="286"/>
      <c r="Q142" s="290">
        <v>9.06</v>
      </c>
      <c r="R142" s="15" t="s">
        <v>4</v>
      </c>
      <c r="S142" s="60" t="s">
        <v>2217</v>
      </c>
    </row>
    <row r="143" spans="1:19" ht="15" hidden="1">
      <c r="A143" s="283">
        <v>27</v>
      </c>
      <c r="B143" s="433" t="s">
        <v>2155</v>
      </c>
      <c r="C143" s="285">
        <f>'R-1'!I157</f>
        <v>0</v>
      </c>
      <c r="D143" s="285">
        <f>'R-1'!I338</f>
        <v>0</v>
      </c>
      <c r="E143" s="285">
        <f>'R-1'!I479</f>
        <v>0</v>
      </c>
      <c r="F143" s="285">
        <f>SUM(C143:E143)</f>
        <v>0</v>
      </c>
      <c r="G143" s="285" t="s">
        <v>422</v>
      </c>
      <c r="H143" s="285"/>
      <c r="I143" s="288">
        <f>ROUND(F143*Q143/50,2)</f>
        <v>0</v>
      </c>
      <c r="J143" s="286">
        <v>0</v>
      </c>
      <c r="K143" s="15">
        <f>ROUND(F143*0.012,2)</f>
        <v>0</v>
      </c>
      <c r="L143" s="286">
        <v>0</v>
      </c>
      <c r="M143" s="286">
        <v>0</v>
      </c>
      <c r="N143" s="286"/>
      <c r="O143" s="286">
        <v>0</v>
      </c>
      <c r="P143" s="286"/>
      <c r="Q143" s="290">
        <v>9.06</v>
      </c>
      <c r="R143" s="15" t="s">
        <v>4</v>
      </c>
      <c r="S143" s="60" t="s">
        <v>2299</v>
      </c>
    </row>
    <row r="144" spans="1:19" ht="15" hidden="1">
      <c r="A144" s="283">
        <v>29</v>
      </c>
      <c r="B144" s="433" t="s">
        <v>2155</v>
      </c>
      <c r="C144" s="285">
        <f>'R-1'!I158</f>
        <v>0</v>
      </c>
      <c r="D144" s="285">
        <f>'R-1'!I339</f>
        <v>0</v>
      </c>
      <c r="E144" s="285">
        <f>'R-1'!I480</f>
        <v>0</v>
      </c>
      <c r="F144" s="285">
        <f>SUM(C144:E144)</f>
        <v>0</v>
      </c>
      <c r="G144" s="285" t="s">
        <v>422</v>
      </c>
      <c r="H144" s="285"/>
      <c r="I144" s="288">
        <f>ROUND(F144*Q144/50,2)</f>
        <v>0</v>
      </c>
      <c r="J144" s="286">
        <v>0</v>
      </c>
      <c r="K144" s="15">
        <f>ROUND(F144*0.012,2)</f>
        <v>0</v>
      </c>
      <c r="L144" s="286">
        <v>0</v>
      </c>
      <c r="M144" s="286">
        <v>0</v>
      </c>
      <c r="N144" s="286"/>
      <c r="O144" s="286">
        <v>0</v>
      </c>
      <c r="P144" s="286"/>
      <c r="Q144" s="290">
        <v>9.06</v>
      </c>
      <c r="R144" s="15" t="s">
        <v>4</v>
      </c>
      <c r="S144" s="60" t="s">
        <v>2312</v>
      </c>
    </row>
    <row r="145" spans="1:19" ht="15">
      <c r="A145" s="283">
        <v>20</v>
      </c>
      <c r="B145" s="433" t="s">
        <v>2155</v>
      </c>
      <c r="C145" s="285">
        <f>'R-1'!I159</f>
        <v>6.7299999999999995</v>
      </c>
      <c r="D145" s="285">
        <f>'R-1'!I340</f>
        <v>0</v>
      </c>
      <c r="E145" s="285">
        <f>'R-1'!I481</f>
        <v>0</v>
      </c>
      <c r="F145" s="285">
        <f>SUM(C145:E145)</f>
        <v>6.7299999999999995</v>
      </c>
      <c r="G145" s="285" t="s">
        <v>422</v>
      </c>
      <c r="H145" s="285"/>
      <c r="I145" s="288">
        <f>ROUND(F145*Q145/50,2)</f>
        <v>1.22</v>
      </c>
      <c r="J145" s="286">
        <v>0</v>
      </c>
      <c r="K145" s="15">
        <f>ROUND(F145*0.012,2)</f>
        <v>0.08</v>
      </c>
      <c r="L145" s="286">
        <v>0</v>
      </c>
      <c r="M145" s="286">
        <v>0</v>
      </c>
      <c r="N145" s="286"/>
      <c r="O145" s="286">
        <v>0</v>
      </c>
      <c r="P145" s="286"/>
      <c r="Q145" s="290">
        <v>9.06</v>
      </c>
      <c r="R145" s="15" t="s">
        <v>4</v>
      </c>
      <c r="S145" s="60" t="s">
        <v>2313</v>
      </c>
    </row>
    <row r="146" spans="1:19" ht="15" hidden="1">
      <c r="A146" s="283">
        <v>39</v>
      </c>
      <c r="B146" s="289" t="s">
        <v>683</v>
      </c>
      <c r="C146" s="285">
        <f>'R-1'!I160</f>
        <v>0</v>
      </c>
      <c r="D146" s="285">
        <f>'R-1'!I341</f>
        <v>0</v>
      </c>
      <c r="E146" s="285">
        <f>'R-1'!I482</f>
        <v>0</v>
      </c>
      <c r="F146" s="285">
        <f t="shared" si="18"/>
        <v>0</v>
      </c>
      <c r="G146" s="285" t="s">
        <v>422</v>
      </c>
      <c r="H146" s="285"/>
      <c r="I146" s="288">
        <f t="shared" si="5"/>
        <v>0</v>
      </c>
      <c r="J146" s="286">
        <v>0</v>
      </c>
      <c r="K146" s="15">
        <f>ROUND(F146*0.014,2)</f>
        <v>0</v>
      </c>
      <c r="L146" s="286">
        <v>0</v>
      </c>
      <c r="M146" s="286">
        <v>0</v>
      </c>
      <c r="N146" s="286"/>
      <c r="O146" s="286">
        <v>0</v>
      </c>
      <c r="P146" s="286"/>
      <c r="Q146" s="285">
        <v>7.5</v>
      </c>
      <c r="R146" s="15" t="s">
        <v>4</v>
      </c>
      <c r="S146" s="60" t="s">
        <v>2217</v>
      </c>
    </row>
    <row r="147" spans="1:19" ht="15" hidden="1">
      <c r="A147" s="283">
        <v>21</v>
      </c>
      <c r="B147" s="289" t="s">
        <v>683</v>
      </c>
      <c r="C147" s="285">
        <f>'R-1'!I161</f>
        <v>0</v>
      </c>
      <c r="D147" s="285">
        <f>'R-1'!I342</f>
        <v>0</v>
      </c>
      <c r="E147" s="285">
        <f>'R-1'!I483</f>
        <v>0</v>
      </c>
      <c r="F147" s="285">
        <f>SUM(C147:E147)</f>
        <v>0</v>
      </c>
      <c r="G147" s="285" t="s">
        <v>422</v>
      </c>
      <c r="H147" s="285"/>
      <c r="I147" s="288">
        <f>ROUND(F147*Q147/50,2)</f>
        <v>0</v>
      </c>
      <c r="J147" s="286">
        <v>0</v>
      </c>
      <c r="K147" s="15">
        <f>ROUND(F147*0.014,2)</f>
        <v>0</v>
      </c>
      <c r="L147" s="286">
        <v>0</v>
      </c>
      <c r="M147" s="286">
        <v>0</v>
      </c>
      <c r="N147" s="286"/>
      <c r="O147" s="286">
        <v>0</v>
      </c>
      <c r="P147" s="286"/>
      <c r="Q147" s="285">
        <v>7.5</v>
      </c>
      <c r="R147" s="15" t="s">
        <v>4</v>
      </c>
      <c r="S147" s="60" t="s">
        <v>2299</v>
      </c>
    </row>
    <row r="148" spans="1:19" ht="15" hidden="1">
      <c r="A148" s="283">
        <v>39</v>
      </c>
      <c r="B148" s="289" t="s">
        <v>683</v>
      </c>
      <c r="C148" s="285">
        <f>'R-1'!I162</f>
        <v>0</v>
      </c>
      <c r="D148" s="285">
        <f>'R-1'!I343</f>
        <v>0</v>
      </c>
      <c r="E148" s="285">
        <f>'R-1'!I484</f>
        <v>0</v>
      </c>
      <c r="F148" s="285">
        <f>SUM(C148:E148)</f>
        <v>0</v>
      </c>
      <c r="G148" s="285" t="s">
        <v>422</v>
      </c>
      <c r="H148" s="285"/>
      <c r="I148" s="288">
        <f>ROUND(F148*Q148/50,2)</f>
        <v>0</v>
      </c>
      <c r="J148" s="286">
        <v>0</v>
      </c>
      <c r="K148" s="15">
        <f>ROUND(F148*0.014,2)</f>
        <v>0</v>
      </c>
      <c r="L148" s="286">
        <v>0</v>
      </c>
      <c r="M148" s="286">
        <v>0</v>
      </c>
      <c r="N148" s="286"/>
      <c r="O148" s="286">
        <v>0</v>
      </c>
      <c r="P148" s="286"/>
      <c r="Q148" s="285">
        <v>7.5</v>
      </c>
      <c r="R148" s="15" t="s">
        <v>4</v>
      </c>
      <c r="S148" s="60" t="s">
        <v>2312</v>
      </c>
    </row>
    <row r="149" spans="1:19" ht="15" hidden="1">
      <c r="A149" s="283">
        <v>39</v>
      </c>
      <c r="B149" s="289" t="s">
        <v>683</v>
      </c>
      <c r="C149" s="285">
        <f>'R-1'!I163</f>
        <v>0</v>
      </c>
      <c r="D149" s="285">
        <f>'R-1'!I344</f>
        <v>0</v>
      </c>
      <c r="E149" s="285">
        <f>'R-1'!I485</f>
        <v>0</v>
      </c>
      <c r="F149" s="285">
        <f>SUM(C149:E149)</f>
        <v>0</v>
      </c>
      <c r="G149" s="285" t="s">
        <v>422</v>
      </c>
      <c r="H149" s="285"/>
      <c r="I149" s="288">
        <f>ROUND(F149*Q149/50,2)</f>
        <v>0</v>
      </c>
      <c r="J149" s="286">
        <v>0</v>
      </c>
      <c r="K149" s="15">
        <f>ROUND(F149*0.014,2)</f>
        <v>0</v>
      </c>
      <c r="L149" s="286">
        <v>0</v>
      </c>
      <c r="M149" s="286">
        <v>0</v>
      </c>
      <c r="N149" s="286"/>
      <c r="O149" s="286">
        <v>0</v>
      </c>
      <c r="P149" s="286"/>
      <c r="Q149" s="285">
        <v>7.5</v>
      </c>
      <c r="R149" s="15" t="s">
        <v>4</v>
      </c>
      <c r="S149" s="60" t="s">
        <v>2313</v>
      </c>
    </row>
    <row r="150" spans="1:19" ht="15" hidden="1">
      <c r="A150" s="283">
        <v>40</v>
      </c>
      <c r="B150" s="289" t="s">
        <v>684</v>
      </c>
      <c r="C150" s="285">
        <f>'R-1'!I164</f>
        <v>0</v>
      </c>
      <c r="D150" s="285">
        <f>'R-1'!I345</f>
        <v>0</v>
      </c>
      <c r="E150" s="285">
        <f>'R-1'!I486</f>
        <v>0</v>
      </c>
      <c r="F150" s="285">
        <f t="shared" si="18"/>
        <v>0</v>
      </c>
      <c r="G150" s="285" t="s">
        <v>422</v>
      </c>
      <c r="H150" s="285"/>
      <c r="I150" s="288">
        <f t="shared" si="5"/>
        <v>0</v>
      </c>
      <c r="J150" s="286">
        <v>0</v>
      </c>
      <c r="K150" s="15">
        <f t="shared" ref="K150:K159" si="21">ROUND(F150*0.012,2)</f>
        <v>0</v>
      </c>
      <c r="L150" s="286">
        <v>0</v>
      </c>
      <c r="M150" s="286">
        <v>0</v>
      </c>
      <c r="N150" s="286"/>
      <c r="O150" s="286">
        <v>0</v>
      </c>
      <c r="P150" s="286"/>
      <c r="Q150" s="290">
        <v>6.7560000000000002</v>
      </c>
      <c r="R150" s="15" t="s">
        <v>4</v>
      </c>
      <c r="S150" s="60" t="s">
        <v>2217</v>
      </c>
    </row>
    <row r="151" spans="1:19" ht="15" hidden="1">
      <c r="A151" s="283">
        <v>22</v>
      </c>
      <c r="B151" s="289" t="s">
        <v>684</v>
      </c>
      <c r="C151" s="285">
        <f>'R-1'!I165</f>
        <v>0</v>
      </c>
      <c r="D151" s="285">
        <f>'R-1'!I346</f>
        <v>0</v>
      </c>
      <c r="E151" s="285">
        <f>'R-1'!I487</f>
        <v>0</v>
      </c>
      <c r="F151" s="285">
        <f>SUM(C151:E151)</f>
        <v>0</v>
      </c>
      <c r="G151" s="285" t="s">
        <v>422</v>
      </c>
      <c r="H151" s="285"/>
      <c r="I151" s="288">
        <f>ROUND(F151*Q151/50,2)</f>
        <v>0</v>
      </c>
      <c r="J151" s="286">
        <v>0</v>
      </c>
      <c r="K151" s="15">
        <f t="shared" si="21"/>
        <v>0</v>
      </c>
      <c r="L151" s="286">
        <v>0</v>
      </c>
      <c r="M151" s="286">
        <v>0</v>
      </c>
      <c r="N151" s="286"/>
      <c r="O151" s="286">
        <v>0</v>
      </c>
      <c r="P151" s="286"/>
      <c r="Q151" s="290">
        <v>6.7560000000000002</v>
      </c>
      <c r="R151" s="15" t="s">
        <v>4</v>
      </c>
      <c r="S151" s="60" t="s">
        <v>2299</v>
      </c>
    </row>
    <row r="152" spans="1:19" ht="15" hidden="1">
      <c r="A152" s="283">
        <v>40</v>
      </c>
      <c r="B152" s="289" t="s">
        <v>684</v>
      </c>
      <c r="C152" s="285">
        <f>'R-1'!I166</f>
        <v>0</v>
      </c>
      <c r="D152" s="285">
        <f>'R-1'!I347</f>
        <v>0</v>
      </c>
      <c r="E152" s="285">
        <f>'R-1'!I488</f>
        <v>0</v>
      </c>
      <c r="F152" s="285">
        <f>SUM(C152:E152)</f>
        <v>0</v>
      </c>
      <c r="G152" s="285" t="s">
        <v>422</v>
      </c>
      <c r="H152" s="285"/>
      <c r="I152" s="288">
        <f>ROUND(F152*Q152/50,2)</f>
        <v>0</v>
      </c>
      <c r="J152" s="286">
        <v>0</v>
      </c>
      <c r="K152" s="15">
        <f>ROUND(F152*0.012,2)</f>
        <v>0</v>
      </c>
      <c r="L152" s="286">
        <v>0</v>
      </c>
      <c r="M152" s="286">
        <v>0</v>
      </c>
      <c r="N152" s="286"/>
      <c r="O152" s="286">
        <v>0</v>
      </c>
      <c r="P152" s="286"/>
      <c r="Q152" s="290">
        <v>6.7560000000000002</v>
      </c>
      <c r="R152" s="15" t="s">
        <v>4</v>
      </c>
      <c r="S152" s="60" t="s">
        <v>2312</v>
      </c>
    </row>
    <row r="153" spans="1:19" ht="15" hidden="1">
      <c r="A153" s="283">
        <v>40</v>
      </c>
      <c r="B153" s="289" t="s">
        <v>684</v>
      </c>
      <c r="C153" s="285">
        <f>'R-1'!I167</f>
        <v>0</v>
      </c>
      <c r="D153" s="285">
        <f>'R-1'!I348</f>
        <v>0</v>
      </c>
      <c r="E153" s="285">
        <f>'R-1'!I489</f>
        <v>0</v>
      </c>
      <c r="F153" s="285">
        <f>SUM(C153:E153)</f>
        <v>0</v>
      </c>
      <c r="G153" s="285" t="s">
        <v>422</v>
      </c>
      <c r="H153" s="285"/>
      <c r="I153" s="288">
        <f>ROUND(F153*Q153/50,2)</f>
        <v>0</v>
      </c>
      <c r="J153" s="286">
        <v>0</v>
      </c>
      <c r="K153" s="15">
        <f>ROUND(F153*0.012,2)</f>
        <v>0</v>
      </c>
      <c r="L153" s="286">
        <v>0</v>
      </c>
      <c r="M153" s="286">
        <v>0</v>
      </c>
      <c r="N153" s="286"/>
      <c r="O153" s="286">
        <v>0</v>
      </c>
      <c r="P153" s="286"/>
      <c r="Q153" s="290">
        <v>6.7560000000000002</v>
      </c>
      <c r="R153" s="15" t="s">
        <v>4</v>
      </c>
      <c r="S153" s="60" t="s">
        <v>2313</v>
      </c>
    </row>
    <row r="154" spans="1:19" s="58" customFormat="1" ht="15" hidden="1">
      <c r="A154" s="16">
        <v>30</v>
      </c>
      <c r="B154" s="433" t="s">
        <v>239</v>
      </c>
      <c r="C154" s="53">
        <f>'R-1'!I168</f>
        <v>0</v>
      </c>
      <c r="D154" s="53">
        <f>'R-1'!I349</f>
        <v>0</v>
      </c>
      <c r="E154" s="53">
        <f>'R-1'!I490</f>
        <v>0</v>
      </c>
      <c r="F154" s="53">
        <f t="shared" si="18"/>
        <v>0</v>
      </c>
      <c r="G154" s="53" t="s">
        <v>422</v>
      </c>
      <c r="H154" s="53"/>
      <c r="I154" s="9">
        <f t="shared" si="5"/>
        <v>0</v>
      </c>
      <c r="J154" s="208">
        <v>0</v>
      </c>
      <c r="K154" s="10">
        <f t="shared" si="21"/>
        <v>0</v>
      </c>
      <c r="L154" s="208">
        <v>0</v>
      </c>
      <c r="M154" s="208">
        <v>0</v>
      </c>
      <c r="N154" s="208"/>
      <c r="O154" s="208">
        <v>0</v>
      </c>
      <c r="P154" s="208"/>
      <c r="Q154" s="53">
        <v>5.46</v>
      </c>
      <c r="R154" s="10" t="s">
        <v>4</v>
      </c>
      <c r="S154" s="60" t="s">
        <v>2217</v>
      </c>
    </row>
    <row r="155" spans="1:19" s="58" customFormat="1" ht="15" hidden="1">
      <c r="A155" s="16">
        <v>30</v>
      </c>
      <c r="B155" s="433" t="s">
        <v>239</v>
      </c>
      <c r="C155" s="53">
        <f>'R-1'!I169</f>
        <v>0</v>
      </c>
      <c r="D155" s="53">
        <f>'R-1'!I350</f>
        <v>0</v>
      </c>
      <c r="E155" s="53">
        <f>'R-1'!I491</f>
        <v>0</v>
      </c>
      <c r="F155" s="53">
        <f>SUM(C155:E155)</f>
        <v>0</v>
      </c>
      <c r="G155" s="53" t="s">
        <v>422</v>
      </c>
      <c r="H155" s="53"/>
      <c r="I155" s="9">
        <f>ROUND(F155*Q155/50,2)</f>
        <v>0</v>
      </c>
      <c r="J155" s="208">
        <v>0</v>
      </c>
      <c r="K155" s="10">
        <f t="shared" si="21"/>
        <v>0</v>
      </c>
      <c r="L155" s="208">
        <v>0</v>
      </c>
      <c r="M155" s="208">
        <v>0</v>
      </c>
      <c r="N155" s="208"/>
      <c r="O155" s="208">
        <v>0</v>
      </c>
      <c r="P155" s="208"/>
      <c r="Q155" s="53">
        <v>5.46</v>
      </c>
      <c r="R155" s="10" t="s">
        <v>4</v>
      </c>
      <c r="S155" s="60" t="s">
        <v>2299</v>
      </c>
    </row>
    <row r="156" spans="1:19" s="58" customFormat="1" ht="15" hidden="1">
      <c r="A156" s="16">
        <v>30</v>
      </c>
      <c r="B156" s="433" t="s">
        <v>239</v>
      </c>
      <c r="C156" s="53">
        <f>'R-1'!I170</f>
        <v>0</v>
      </c>
      <c r="D156" s="53">
        <f>'R-1'!I351</f>
        <v>0</v>
      </c>
      <c r="E156" s="53">
        <f>'R-1'!I492</f>
        <v>0</v>
      </c>
      <c r="F156" s="53">
        <f>SUM(C156:E156)</f>
        <v>0</v>
      </c>
      <c r="G156" s="53" t="s">
        <v>422</v>
      </c>
      <c r="H156" s="53"/>
      <c r="I156" s="9">
        <f>ROUND(F156*Q156/50,2)</f>
        <v>0</v>
      </c>
      <c r="J156" s="208">
        <v>0</v>
      </c>
      <c r="K156" s="10">
        <f>ROUND(F156*0.012,2)</f>
        <v>0</v>
      </c>
      <c r="L156" s="208">
        <v>0</v>
      </c>
      <c r="M156" s="208">
        <v>0</v>
      </c>
      <c r="N156" s="208"/>
      <c r="O156" s="208">
        <v>0</v>
      </c>
      <c r="P156" s="208"/>
      <c r="Q156" s="53">
        <v>5.46</v>
      </c>
      <c r="R156" s="10" t="s">
        <v>4</v>
      </c>
      <c r="S156" s="60" t="s">
        <v>2312</v>
      </c>
    </row>
    <row r="157" spans="1:19" s="58" customFormat="1" ht="15">
      <c r="A157" s="16">
        <v>21</v>
      </c>
      <c r="B157" s="433" t="s">
        <v>239</v>
      </c>
      <c r="C157" s="53">
        <f>'R-1'!I171</f>
        <v>4.2</v>
      </c>
      <c r="D157" s="53">
        <f>'R-1'!I352</f>
        <v>0</v>
      </c>
      <c r="E157" s="53">
        <f>'R-1'!I493</f>
        <v>0</v>
      </c>
      <c r="F157" s="53">
        <f>SUM(C157:E157)</f>
        <v>4.2</v>
      </c>
      <c r="G157" s="53" t="s">
        <v>422</v>
      </c>
      <c r="H157" s="53"/>
      <c r="I157" s="9">
        <f>ROUND(F157*Q157/50,2)</f>
        <v>0.46</v>
      </c>
      <c r="J157" s="208">
        <v>0</v>
      </c>
      <c r="K157" s="10">
        <f>ROUND(F157*0.012,2)</f>
        <v>0.05</v>
      </c>
      <c r="L157" s="208">
        <v>0</v>
      </c>
      <c r="M157" s="208">
        <v>0</v>
      </c>
      <c r="N157" s="208"/>
      <c r="O157" s="208">
        <v>0</v>
      </c>
      <c r="P157" s="208"/>
      <c r="Q157" s="53">
        <v>5.46</v>
      </c>
      <c r="R157" s="10" t="s">
        <v>4</v>
      </c>
      <c r="S157" s="60" t="s">
        <v>2313</v>
      </c>
    </row>
    <row r="158" spans="1:19" s="58" customFormat="1" ht="15" hidden="1">
      <c r="A158" s="16">
        <v>31</v>
      </c>
      <c r="B158" s="433" t="s">
        <v>240</v>
      </c>
      <c r="C158" s="53">
        <f>'R-1'!I172</f>
        <v>0</v>
      </c>
      <c r="D158" s="53">
        <f>'R-1'!I353</f>
        <v>0</v>
      </c>
      <c r="E158" s="53">
        <f>'R-1'!I494</f>
        <v>0</v>
      </c>
      <c r="F158" s="53">
        <f t="shared" si="18"/>
        <v>0</v>
      </c>
      <c r="G158" s="53" t="s">
        <v>422</v>
      </c>
      <c r="H158" s="53"/>
      <c r="I158" s="9">
        <f t="shared" si="5"/>
        <v>0</v>
      </c>
      <c r="J158" s="208">
        <v>0</v>
      </c>
      <c r="K158" s="10">
        <f t="shared" si="21"/>
        <v>0</v>
      </c>
      <c r="L158" s="208">
        <v>0</v>
      </c>
      <c r="M158" s="208">
        <v>0</v>
      </c>
      <c r="N158" s="208"/>
      <c r="O158" s="208">
        <v>0</v>
      </c>
      <c r="P158" s="208"/>
      <c r="Q158" s="53">
        <v>9.06</v>
      </c>
      <c r="R158" s="10" t="s">
        <v>4</v>
      </c>
      <c r="S158" s="60" t="s">
        <v>2217</v>
      </c>
    </row>
    <row r="159" spans="1:19" s="58" customFormat="1" ht="15" hidden="1">
      <c r="A159" s="16">
        <v>31</v>
      </c>
      <c r="B159" s="433" t="s">
        <v>240</v>
      </c>
      <c r="C159" s="53">
        <f>'R-1'!I173</f>
        <v>0</v>
      </c>
      <c r="D159" s="53">
        <f>'R-1'!I354</f>
        <v>0</v>
      </c>
      <c r="E159" s="53">
        <f>'R-1'!I495</f>
        <v>0</v>
      </c>
      <c r="F159" s="53">
        <f>SUM(C159:E159)</f>
        <v>0</v>
      </c>
      <c r="G159" s="53" t="s">
        <v>422</v>
      </c>
      <c r="H159" s="53"/>
      <c r="I159" s="9">
        <f>ROUND(F159*Q159/50,2)</f>
        <v>0</v>
      </c>
      <c r="J159" s="208">
        <v>0</v>
      </c>
      <c r="K159" s="10">
        <f t="shared" si="21"/>
        <v>0</v>
      </c>
      <c r="L159" s="208">
        <v>0</v>
      </c>
      <c r="M159" s="208">
        <v>0</v>
      </c>
      <c r="N159" s="208"/>
      <c r="O159" s="208">
        <v>0</v>
      </c>
      <c r="P159" s="208"/>
      <c r="Q159" s="53">
        <v>9.06</v>
      </c>
      <c r="R159" s="10" t="s">
        <v>4</v>
      </c>
      <c r="S159" s="60" t="s">
        <v>2299</v>
      </c>
    </row>
    <row r="160" spans="1:19" s="58" customFormat="1" ht="15" hidden="1">
      <c r="A160" s="16">
        <v>31</v>
      </c>
      <c r="B160" s="433" t="s">
        <v>240</v>
      </c>
      <c r="C160" s="53">
        <f>'R-1'!I174</f>
        <v>0</v>
      </c>
      <c r="D160" s="53">
        <f>'R-1'!I355</f>
        <v>0</v>
      </c>
      <c r="E160" s="53">
        <f>'R-1'!I496</f>
        <v>0</v>
      </c>
      <c r="F160" s="53">
        <f>SUM(C160:E160)</f>
        <v>0</v>
      </c>
      <c r="G160" s="53" t="s">
        <v>422</v>
      </c>
      <c r="H160" s="53"/>
      <c r="I160" s="9">
        <f>ROUND(F160*Q160/50,2)</f>
        <v>0</v>
      </c>
      <c r="J160" s="208">
        <v>0</v>
      </c>
      <c r="K160" s="10">
        <f t="shared" ref="K160:K161" si="22">ROUND(F160*0.012,2)</f>
        <v>0</v>
      </c>
      <c r="L160" s="208">
        <v>0</v>
      </c>
      <c r="M160" s="208">
        <v>0</v>
      </c>
      <c r="N160" s="208"/>
      <c r="O160" s="208">
        <v>0</v>
      </c>
      <c r="P160" s="208"/>
      <c r="Q160" s="53">
        <v>9.06</v>
      </c>
      <c r="R160" s="10" t="s">
        <v>4</v>
      </c>
      <c r="S160" s="60" t="s">
        <v>2312</v>
      </c>
    </row>
    <row r="161" spans="1:19" s="58" customFormat="1" ht="15">
      <c r="A161" s="16">
        <v>22</v>
      </c>
      <c r="B161" s="433" t="s">
        <v>240</v>
      </c>
      <c r="C161" s="53">
        <f>'R-1'!I175</f>
        <v>17.670000000000002</v>
      </c>
      <c r="D161" s="53">
        <f>'R-1'!I356</f>
        <v>0</v>
      </c>
      <c r="E161" s="53">
        <f>'R-1'!I497</f>
        <v>0</v>
      </c>
      <c r="F161" s="53">
        <f>SUM(C161:E161)</f>
        <v>17.670000000000002</v>
      </c>
      <c r="G161" s="53" t="s">
        <v>422</v>
      </c>
      <c r="H161" s="53"/>
      <c r="I161" s="9">
        <f>ROUND(F161*Q161/50,2)</f>
        <v>3.2</v>
      </c>
      <c r="J161" s="208">
        <v>0</v>
      </c>
      <c r="K161" s="10">
        <f t="shared" si="22"/>
        <v>0.21</v>
      </c>
      <c r="L161" s="208">
        <v>0</v>
      </c>
      <c r="M161" s="208">
        <v>0</v>
      </c>
      <c r="N161" s="208"/>
      <c r="O161" s="208">
        <v>0</v>
      </c>
      <c r="P161" s="208"/>
      <c r="Q161" s="53">
        <v>9.06</v>
      </c>
      <c r="R161" s="10" t="s">
        <v>4</v>
      </c>
      <c r="S161" s="60" t="s">
        <v>2313</v>
      </c>
    </row>
    <row r="162" spans="1:19" s="58" customFormat="1" ht="15" hidden="1">
      <c r="A162" s="16">
        <v>22</v>
      </c>
      <c r="B162" s="433" t="s">
        <v>1215</v>
      </c>
      <c r="C162" s="53">
        <f>'R-1'!I176</f>
        <v>0</v>
      </c>
      <c r="D162" s="53">
        <f>'R-1'!I357</f>
        <v>0</v>
      </c>
      <c r="E162" s="53">
        <f>'R-1'!I498</f>
        <v>0</v>
      </c>
      <c r="F162" s="53">
        <f t="shared" si="18"/>
        <v>0</v>
      </c>
      <c r="G162" s="53" t="s">
        <v>422</v>
      </c>
      <c r="H162" s="53"/>
      <c r="I162" s="9">
        <f t="shared" si="5"/>
        <v>0</v>
      </c>
      <c r="J162" s="208">
        <v>0</v>
      </c>
      <c r="K162" s="10">
        <f>ROUND(F162*0.008*1,2)</f>
        <v>0</v>
      </c>
      <c r="L162" s="208">
        <v>0</v>
      </c>
      <c r="M162" s="208">
        <v>0</v>
      </c>
      <c r="N162" s="208"/>
      <c r="O162" s="208">
        <v>0</v>
      </c>
      <c r="P162" s="208"/>
      <c r="Q162" s="53">
        <v>2.76</v>
      </c>
      <c r="R162" s="10" t="s">
        <v>4</v>
      </c>
      <c r="S162" s="60" t="s">
        <v>2217</v>
      </c>
    </row>
    <row r="163" spans="1:19" s="58" customFormat="1" ht="15" hidden="1">
      <c r="A163" s="16">
        <v>24</v>
      </c>
      <c r="B163" s="433" t="s">
        <v>1215</v>
      </c>
      <c r="C163" s="53">
        <f>'R-1'!I177</f>
        <v>0</v>
      </c>
      <c r="D163" s="53">
        <f>'R-1'!I358</f>
        <v>0</v>
      </c>
      <c r="E163" s="53">
        <f>'R-1'!I499</f>
        <v>0</v>
      </c>
      <c r="F163" s="53">
        <f>SUM(C163:E163)</f>
        <v>0</v>
      </c>
      <c r="G163" s="53" t="s">
        <v>422</v>
      </c>
      <c r="H163" s="53"/>
      <c r="I163" s="9">
        <f>ROUND(F163*Q163/50,2)</f>
        <v>0</v>
      </c>
      <c r="J163" s="208">
        <v>0</v>
      </c>
      <c r="K163" s="10">
        <f>ROUND(F163*0.008*1,2)</f>
        <v>0</v>
      </c>
      <c r="L163" s="208">
        <v>0</v>
      </c>
      <c r="M163" s="208">
        <v>0</v>
      </c>
      <c r="N163" s="208"/>
      <c r="O163" s="208">
        <v>0</v>
      </c>
      <c r="P163" s="208"/>
      <c r="Q163" s="53">
        <v>2.76</v>
      </c>
      <c r="R163" s="10" t="s">
        <v>4</v>
      </c>
      <c r="S163" s="60" t="s">
        <v>2299</v>
      </c>
    </row>
    <row r="164" spans="1:19" s="58" customFormat="1" ht="15" hidden="1">
      <c r="A164" s="16">
        <v>28</v>
      </c>
      <c r="B164" s="433" t="s">
        <v>1215</v>
      </c>
      <c r="C164" s="53">
        <f>'R-1'!I178</f>
        <v>0</v>
      </c>
      <c r="D164" s="53">
        <f>'R-1'!I359</f>
        <v>0</v>
      </c>
      <c r="E164" s="53">
        <f>'R-1'!I500</f>
        <v>0</v>
      </c>
      <c r="F164" s="53">
        <f>SUM(C164:E164)</f>
        <v>0</v>
      </c>
      <c r="G164" s="53" t="s">
        <v>422</v>
      </c>
      <c r="H164" s="53"/>
      <c r="I164" s="9">
        <f>ROUND(F164*Q164/50,2)</f>
        <v>0</v>
      </c>
      <c r="J164" s="208">
        <v>0</v>
      </c>
      <c r="K164" s="10">
        <f>ROUND(F164*0.008*1,2)</f>
        <v>0</v>
      </c>
      <c r="L164" s="208">
        <v>0</v>
      </c>
      <c r="M164" s="208">
        <v>0</v>
      </c>
      <c r="N164" s="208"/>
      <c r="O164" s="208">
        <v>0</v>
      </c>
      <c r="P164" s="208"/>
      <c r="Q164" s="53">
        <v>2.76</v>
      </c>
      <c r="R164" s="10" t="s">
        <v>4</v>
      </c>
      <c r="S164" s="60" t="s">
        <v>2312</v>
      </c>
    </row>
    <row r="165" spans="1:19" s="58" customFormat="1" ht="15" hidden="1">
      <c r="A165" s="16">
        <v>24</v>
      </c>
      <c r="B165" s="433" t="s">
        <v>1215</v>
      </c>
      <c r="C165" s="53">
        <f>'R-1'!I179</f>
        <v>0</v>
      </c>
      <c r="D165" s="53">
        <f>'R-1'!I360</f>
        <v>0</v>
      </c>
      <c r="E165" s="53">
        <f>'R-1'!I501</f>
        <v>0</v>
      </c>
      <c r="F165" s="53">
        <f>SUM(C165:E165)</f>
        <v>0</v>
      </c>
      <c r="G165" s="53" t="s">
        <v>422</v>
      </c>
      <c r="H165" s="53"/>
      <c r="I165" s="9">
        <f>ROUND(F165*Q165/50,2)</f>
        <v>0</v>
      </c>
      <c r="J165" s="208">
        <v>0</v>
      </c>
      <c r="K165" s="10">
        <f>ROUND(F165*0.008*1,2)</f>
        <v>0</v>
      </c>
      <c r="L165" s="208">
        <v>0</v>
      </c>
      <c r="M165" s="208">
        <v>0</v>
      </c>
      <c r="N165" s="208"/>
      <c r="O165" s="208">
        <v>0</v>
      </c>
      <c r="P165" s="208"/>
      <c r="Q165" s="53">
        <v>2.76</v>
      </c>
      <c r="R165" s="10" t="s">
        <v>4</v>
      </c>
      <c r="S165" s="60" t="s">
        <v>2313</v>
      </c>
    </row>
    <row r="166" spans="1:19" s="58" customFormat="1" ht="15" hidden="1">
      <c r="A166" s="16">
        <v>24</v>
      </c>
      <c r="B166" s="433" t="s">
        <v>2277</v>
      </c>
      <c r="C166" s="53">
        <f>'R-1'!I212</f>
        <v>0</v>
      </c>
      <c r="D166" s="53"/>
      <c r="E166" s="53"/>
      <c r="F166" s="53">
        <f t="shared" ref="F166" si="23">SUM(C166:E166)</f>
        <v>0</v>
      </c>
      <c r="G166" s="53" t="s">
        <v>422</v>
      </c>
      <c r="H166" s="53"/>
      <c r="I166" s="9">
        <f t="shared" ref="I166" si="24">ROUND(F166*Q166/50,2)</f>
        <v>0</v>
      </c>
      <c r="J166" s="208">
        <v>0</v>
      </c>
      <c r="K166" s="10">
        <f>ROUND(F166*0.009*1,2)</f>
        <v>0</v>
      </c>
      <c r="L166" s="15">
        <f>ROUND(F166*0.017,2)</f>
        <v>0</v>
      </c>
      <c r="M166" s="208">
        <v>0</v>
      </c>
      <c r="N166" s="208"/>
      <c r="O166" s="208">
        <v>0</v>
      </c>
      <c r="P166" s="208"/>
      <c r="Q166" s="53">
        <v>12</v>
      </c>
      <c r="R166" s="10" t="s">
        <v>4</v>
      </c>
      <c r="S166" s="60" t="s">
        <v>2217</v>
      </c>
    </row>
    <row r="167" spans="1:19" s="58" customFormat="1" ht="15" hidden="1">
      <c r="A167" s="16">
        <v>24</v>
      </c>
      <c r="B167" s="433" t="s">
        <v>2277</v>
      </c>
      <c r="C167" s="53">
        <f>'R-1'!I213</f>
        <v>0</v>
      </c>
      <c r="D167" s="53"/>
      <c r="E167" s="53"/>
      <c r="F167" s="53">
        <f>SUM(C167:E167)</f>
        <v>0</v>
      </c>
      <c r="G167" s="53" t="s">
        <v>422</v>
      </c>
      <c r="H167" s="53"/>
      <c r="I167" s="9">
        <f>ROUND(F167*Q167/50,2)</f>
        <v>0</v>
      </c>
      <c r="J167" s="208">
        <v>0</v>
      </c>
      <c r="K167" s="10">
        <f>ROUND(F167*0.009*1,2)</f>
        <v>0</v>
      </c>
      <c r="L167" s="15">
        <f>ROUND(F167*0.017,2)</f>
        <v>0</v>
      </c>
      <c r="M167" s="208">
        <v>0</v>
      </c>
      <c r="N167" s="208"/>
      <c r="O167" s="208">
        <v>0</v>
      </c>
      <c r="P167" s="208"/>
      <c r="Q167" s="53">
        <v>12</v>
      </c>
      <c r="R167" s="10" t="s">
        <v>4</v>
      </c>
      <c r="S167" s="60" t="s">
        <v>2299</v>
      </c>
    </row>
    <row r="168" spans="1:19" s="58" customFormat="1" ht="15" hidden="1">
      <c r="A168" s="16">
        <v>24</v>
      </c>
      <c r="B168" s="433" t="s">
        <v>2277</v>
      </c>
      <c r="C168" s="53">
        <f>'R-1'!I214</f>
        <v>0</v>
      </c>
      <c r="D168" s="53"/>
      <c r="E168" s="53"/>
      <c r="F168" s="53">
        <f>SUM(C168:E168)</f>
        <v>0</v>
      </c>
      <c r="G168" s="53" t="s">
        <v>422</v>
      </c>
      <c r="H168" s="53"/>
      <c r="I168" s="9">
        <f>ROUND(F168*Q168/50,2)</f>
        <v>0</v>
      </c>
      <c r="J168" s="208">
        <v>0</v>
      </c>
      <c r="K168" s="10">
        <f>ROUND(F168*0.009*1,2)</f>
        <v>0</v>
      </c>
      <c r="L168" s="15">
        <f>ROUND(F168*0.017,2)</f>
        <v>0</v>
      </c>
      <c r="M168" s="208">
        <v>0</v>
      </c>
      <c r="N168" s="208"/>
      <c r="O168" s="208">
        <v>0</v>
      </c>
      <c r="P168" s="208"/>
      <c r="Q168" s="53">
        <v>12</v>
      </c>
      <c r="R168" s="10" t="s">
        <v>4</v>
      </c>
      <c r="S168" s="60" t="s">
        <v>2312</v>
      </c>
    </row>
    <row r="169" spans="1:19" s="58" customFormat="1" ht="15" hidden="1">
      <c r="A169" s="16">
        <v>24</v>
      </c>
      <c r="B169" s="433" t="s">
        <v>2277</v>
      </c>
      <c r="C169" s="53">
        <f>'R-1'!I215</f>
        <v>0</v>
      </c>
      <c r="D169" s="53"/>
      <c r="E169" s="53"/>
      <c r="F169" s="53">
        <f>SUM(C169:E169)</f>
        <v>0</v>
      </c>
      <c r="G169" s="53" t="s">
        <v>422</v>
      </c>
      <c r="H169" s="53"/>
      <c r="I169" s="9">
        <f>ROUND(F169*Q169/50,2)</f>
        <v>0</v>
      </c>
      <c r="J169" s="208">
        <v>0</v>
      </c>
      <c r="K169" s="10">
        <f>ROUND(F169*0.009*1,2)</f>
        <v>0</v>
      </c>
      <c r="L169" s="15">
        <f>ROUND(F169*0.017,2)</f>
        <v>0</v>
      </c>
      <c r="M169" s="208">
        <v>0</v>
      </c>
      <c r="N169" s="208"/>
      <c r="O169" s="208">
        <v>0</v>
      </c>
      <c r="P169" s="208"/>
      <c r="Q169" s="53">
        <v>12</v>
      </c>
      <c r="R169" s="10" t="s">
        <v>4</v>
      </c>
      <c r="S169" s="60" t="s">
        <v>2313</v>
      </c>
    </row>
    <row r="170" spans="1:19" s="58" customFormat="1">
      <c r="A170" s="16">
        <v>23</v>
      </c>
      <c r="B170" s="39" t="s">
        <v>982</v>
      </c>
      <c r="C170" s="53">
        <f>'R-1'!I232</f>
        <v>4.25</v>
      </c>
      <c r="D170" s="53">
        <f>'R-1'!I377</f>
        <v>0</v>
      </c>
      <c r="E170" s="53">
        <f>'R-1'!I518</f>
        <v>0</v>
      </c>
      <c r="F170" s="53">
        <f t="shared" si="18"/>
        <v>4.25</v>
      </c>
      <c r="G170" s="53" t="s">
        <v>29</v>
      </c>
      <c r="H170" s="53"/>
      <c r="I170" s="9">
        <f>ROUND(F170*Q170/50,2)</f>
        <v>0</v>
      </c>
      <c r="J170" s="208">
        <v>0</v>
      </c>
      <c r="K170" s="10"/>
      <c r="L170" s="208">
        <v>0</v>
      </c>
      <c r="M170" s="208">
        <v>0</v>
      </c>
      <c r="N170" s="208"/>
      <c r="O170" s="208">
        <v>0</v>
      </c>
      <c r="P170" s="10">
        <f>F170</f>
        <v>4.25</v>
      </c>
      <c r="Q170" s="53"/>
      <c r="R170" s="10"/>
      <c r="S170" s="60" t="s">
        <v>2217</v>
      </c>
    </row>
    <row r="171" spans="1:19" s="58" customFormat="1" hidden="1">
      <c r="A171" s="16">
        <v>30</v>
      </c>
      <c r="B171" s="39" t="s">
        <v>982</v>
      </c>
      <c r="C171" s="53">
        <f>'R-1'!I233</f>
        <v>0</v>
      </c>
      <c r="D171" s="53">
        <f>'R-1'!I378</f>
        <v>0</v>
      </c>
      <c r="E171" s="53">
        <f>'R-1'!I519</f>
        <v>0</v>
      </c>
      <c r="F171" s="53">
        <f t="shared" ref="F171" si="25">SUM(C171:E171)</f>
        <v>0</v>
      </c>
      <c r="G171" s="53" t="s">
        <v>29</v>
      </c>
      <c r="H171" s="53"/>
      <c r="I171" s="9">
        <f t="shared" ref="I171" si="26">ROUND(F171*Q171/50,2)</f>
        <v>0</v>
      </c>
      <c r="J171" s="208">
        <v>0</v>
      </c>
      <c r="K171" s="10"/>
      <c r="L171" s="208">
        <v>0</v>
      </c>
      <c r="M171" s="208">
        <v>0</v>
      </c>
      <c r="N171" s="208"/>
      <c r="O171" s="208">
        <v>0</v>
      </c>
      <c r="P171" s="10">
        <f>F171</f>
        <v>0</v>
      </c>
      <c r="Q171" s="53"/>
      <c r="R171" s="10"/>
      <c r="S171" s="60" t="s">
        <v>2299</v>
      </c>
    </row>
    <row r="172" spans="1:19" s="58" customFormat="1" hidden="1">
      <c r="A172" s="16">
        <v>36</v>
      </c>
      <c r="B172" s="39" t="s">
        <v>982</v>
      </c>
      <c r="C172" s="53">
        <f>'R-1'!I234</f>
        <v>0</v>
      </c>
      <c r="D172" s="53">
        <f>'R-1'!I379</f>
        <v>0</v>
      </c>
      <c r="E172" s="53">
        <f>'R-1'!I520</f>
        <v>0</v>
      </c>
      <c r="F172" s="53">
        <f t="shared" ref="F172:F173" si="27">SUM(C172:E172)</f>
        <v>0</v>
      </c>
      <c r="G172" s="53" t="s">
        <v>29</v>
      </c>
      <c r="H172" s="53"/>
      <c r="I172" s="9">
        <f t="shared" ref="I172:I173" si="28">ROUND(F172*Q172/50,2)</f>
        <v>0</v>
      </c>
      <c r="J172" s="208">
        <v>0</v>
      </c>
      <c r="K172" s="10"/>
      <c r="L172" s="208">
        <v>0</v>
      </c>
      <c r="M172" s="208">
        <v>0</v>
      </c>
      <c r="N172" s="208"/>
      <c r="O172" s="208">
        <v>0</v>
      </c>
      <c r="P172" s="10">
        <f>F172</f>
        <v>0</v>
      </c>
      <c r="Q172" s="53"/>
      <c r="R172" s="10"/>
      <c r="S172" s="60" t="s">
        <v>2312</v>
      </c>
    </row>
    <row r="173" spans="1:19" s="58" customFormat="1" hidden="1">
      <c r="A173" s="16">
        <v>21</v>
      </c>
      <c r="B173" s="39" t="s">
        <v>982</v>
      </c>
      <c r="C173" s="53">
        <f>'R-1'!I235</f>
        <v>0</v>
      </c>
      <c r="D173" s="53">
        <f>'R-1'!I380</f>
        <v>0</v>
      </c>
      <c r="E173" s="53">
        <f>'R-1'!I521</f>
        <v>0</v>
      </c>
      <c r="F173" s="53">
        <f t="shared" si="27"/>
        <v>0</v>
      </c>
      <c r="G173" s="53" t="s">
        <v>29</v>
      </c>
      <c r="H173" s="53"/>
      <c r="I173" s="9">
        <f t="shared" si="28"/>
        <v>0</v>
      </c>
      <c r="J173" s="208">
        <v>0</v>
      </c>
      <c r="K173" s="10"/>
      <c r="L173" s="208">
        <v>0</v>
      </c>
      <c r="M173" s="208">
        <v>0</v>
      </c>
      <c r="N173" s="208"/>
      <c r="O173" s="208">
        <v>0</v>
      </c>
      <c r="P173" s="10">
        <f>F173</f>
        <v>0</v>
      </c>
      <c r="Q173" s="53"/>
      <c r="R173" s="10"/>
      <c r="S173" s="60" t="s">
        <v>2313</v>
      </c>
    </row>
    <row r="174" spans="1:19">
      <c r="A174" s="283">
        <v>24</v>
      </c>
      <c r="B174" s="289" t="s">
        <v>2245</v>
      </c>
      <c r="C174" s="289"/>
      <c r="D174" s="289"/>
      <c r="E174" s="289"/>
      <c r="F174" s="285">
        <v>1</v>
      </c>
      <c r="G174" s="285" t="s">
        <v>115</v>
      </c>
      <c r="H174" s="285"/>
      <c r="I174" s="15"/>
      <c r="J174" s="15"/>
      <c r="K174" s="15"/>
      <c r="L174" s="15"/>
      <c r="M174" s="15"/>
      <c r="N174" s="286">
        <f>INPUT!H109</f>
        <v>1098667</v>
      </c>
      <c r="O174" s="15"/>
      <c r="P174" s="15"/>
      <c r="Q174" s="285"/>
      <c r="R174" s="15"/>
      <c r="S174" s="213"/>
    </row>
    <row r="175" spans="1:19" hidden="1">
      <c r="A175" s="283"/>
      <c r="B175" s="289"/>
      <c r="C175" s="289"/>
      <c r="D175" s="289"/>
      <c r="E175" s="289"/>
      <c r="F175" s="285"/>
      <c r="G175" s="285"/>
      <c r="H175" s="285"/>
      <c r="I175" s="15"/>
      <c r="J175" s="15"/>
      <c r="K175" s="15"/>
      <c r="L175" s="15"/>
      <c r="M175" s="15"/>
      <c r="N175" s="15"/>
      <c r="O175" s="15"/>
      <c r="P175" s="15"/>
      <c r="Q175" s="285"/>
      <c r="R175" s="15"/>
      <c r="S175" s="213"/>
    </row>
    <row r="176" spans="1:19" ht="25.5">
      <c r="A176" s="207"/>
      <c r="B176" s="207"/>
      <c r="C176" s="207"/>
      <c r="D176" s="207"/>
      <c r="E176" s="207"/>
      <c r="F176" s="82" t="s">
        <v>103</v>
      </c>
      <c r="G176" s="207"/>
      <c r="H176" s="209">
        <f t="shared" ref="H176:P176" si="29">SUM(H4:H175)</f>
        <v>8942</v>
      </c>
      <c r="I176" s="210">
        <f t="shared" si="29"/>
        <v>516.14</v>
      </c>
      <c r="J176" s="210">
        <f t="shared" si="29"/>
        <v>87.509999999999991</v>
      </c>
      <c r="K176" s="210">
        <f t="shared" si="29"/>
        <v>20.14</v>
      </c>
      <c r="L176" s="210">
        <f t="shared" si="29"/>
        <v>38.409999999999997</v>
      </c>
      <c r="M176" s="210">
        <f t="shared" si="29"/>
        <v>18.53</v>
      </c>
      <c r="N176" s="209">
        <f t="shared" si="29"/>
        <v>1098667</v>
      </c>
      <c r="O176" s="210">
        <f t="shared" si="29"/>
        <v>28.47</v>
      </c>
      <c r="P176" s="210">
        <f t="shared" si="29"/>
        <v>4.25</v>
      </c>
      <c r="Q176" s="291" t="s">
        <v>142</v>
      </c>
      <c r="R176" s="207"/>
    </row>
    <row r="177" spans="1:18">
      <c r="A177" s="207"/>
      <c r="B177" s="207"/>
      <c r="C177" s="207"/>
      <c r="D177" s="207"/>
      <c r="E177" s="207"/>
      <c r="F177" s="82"/>
      <c r="G177" s="207"/>
      <c r="H177" s="210"/>
      <c r="I177" s="210"/>
      <c r="J177" s="210"/>
      <c r="K177" s="210"/>
      <c r="L177" s="210"/>
      <c r="M177" s="210"/>
      <c r="N177" s="209"/>
      <c r="O177" s="210"/>
      <c r="P177" s="210"/>
      <c r="Q177" s="211"/>
      <c r="R177" s="207"/>
    </row>
    <row r="178" spans="1:18">
      <c r="A178" s="207"/>
      <c r="B178" s="207"/>
      <c r="C178" s="207"/>
      <c r="D178" s="207"/>
      <c r="E178" s="207"/>
      <c r="F178" s="82"/>
      <c r="G178" s="207"/>
      <c r="H178" s="209">
        <f>INPUT!G18</f>
        <v>8942</v>
      </c>
      <c r="I178" s="210">
        <f>INPUT!E24</f>
        <v>516.14</v>
      </c>
      <c r="J178" s="210">
        <f>INPUT!E40</f>
        <v>87.509999999999991</v>
      </c>
      <c r="K178" s="210">
        <f>INPUT!E50</f>
        <v>20.14</v>
      </c>
      <c r="L178" s="210">
        <f>INPUT!E73</f>
        <v>38.409999999999997</v>
      </c>
      <c r="M178" s="210">
        <f>INPUT!E82</f>
        <v>18.53</v>
      </c>
      <c r="N178" s="209">
        <f>INPUT!G109</f>
        <v>1098667</v>
      </c>
      <c r="O178" s="210">
        <f>INPUT!E62</f>
        <v>28.47</v>
      </c>
      <c r="P178" s="210">
        <f>INPUT!E100</f>
        <v>4.25</v>
      </c>
      <c r="Q178" s="211"/>
      <c r="R178" s="207"/>
    </row>
    <row r="179" spans="1:18">
      <c r="A179" s="207"/>
      <c r="B179" s="207"/>
      <c r="C179" s="207"/>
      <c r="D179" s="207"/>
      <c r="E179" s="207"/>
      <c r="F179" s="82"/>
      <c r="G179" s="207"/>
      <c r="H179" s="209">
        <f>H178-H176</f>
        <v>0</v>
      </c>
      <c r="I179" s="210">
        <f>I178-I176</f>
        <v>0</v>
      </c>
      <c r="J179" s="210">
        <f t="shared" ref="J179:P179" si="30">J178-J176</f>
        <v>0</v>
      </c>
      <c r="K179" s="210">
        <f t="shared" si="30"/>
        <v>0</v>
      </c>
      <c r="L179" s="210">
        <f t="shared" si="30"/>
        <v>0</v>
      </c>
      <c r="M179" s="210">
        <f t="shared" si="30"/>
        <v>0</v>
      </c>
      <c r="N179" s="209">
        <f t="shared" si="30"/>
        <v>0</v>
      </c>
      <c r="O179" s="210">
        <f t="shared" si="30"/>
        <v>0</v>
      </c>
      <c r="P179" s="210">
        <f t="shared" si="30"/>
        <v>0</v>
      </c>
      <c r="Q179" s="211"/>
      <c r="R179" s="207"/>
    </row>
    <row r="181" spans="1:18">
      <c r="B181" s="60" t="s">
        <v>1164</v>
      </c>
      <c r="N181" s="364"/>
      <c r="P181" s="55"/>
      <c r="Q181" s="212"/>
      <c r="R181" s="212"/>
    </row>
    <row r="182" spans="1:18">
      <c r="B182" s="60" t="s">
        <v>980</v>
      </c>
      <c r="C182" s="213">
        <f>'SEIG P-A '!H184+'SEIG P-A '!I184+'SEIG P-A '!J184+'SEIG P-A '!K184</f>
        <v>56.94</v>
      </c>
      <c r="D182" s="60" t="s">
        <v>273</v>
      </c>
      <c r="E182" s="60">
        <v>90</v>
      </c>
      <c r="F182" s="60">
        <f>ROUND(C182*E182,0)</f>
        <v>5125</v>
      </c>
      <c r="N182" s="364"/>
      <c r="P182" s="55"/>
      <c r="Q182" s="212"/>
      <c r="R182" s="212"/>
    </row>
    <row r="183" spans="1:18">
      <c r="B183" s="60" t="s">
        <v>981</v>
      </c>
      <c r="C183" s="213">
        <f>'SEIG P-A '!L184+'SEIG P-A '!M184+'SEIG P-A '!N184+'SEIG P-A '!O184</f>
        <v>136.12</v>
      </c>
      <c r="D183" s="60" t="s">
        <v>273</v>
      </c>
      <c r="E183" s="60">
        <v>100</v>
      </c>
      <c r="F183" s="60">
        <f>ROUND(C183*E183,0)</f>
        <v>13612</v>
      </c>
      <c r="N183" s="364"/>
    </row>
    <row r="184" spans="1:18">
      <c r="B184" s="60" t="s">
        <v>846</v>
      </c>
      <c r="C184" s="213">
        <f>'SEIG P-A '!Q184</f>
        <v>24.54</v>
      </c>
      <c r="D184" s="60" t="s">
        <v>273</v>
      </c>
      <c r="E184" s="60">
        <v>80</v>
      </c>
      <c r="F184" s="60">
        <f>ROUND(C184*E184,0)</f>
        <v>1963</v>
      </c>
      <c r="N184" s="364"/>
    </row>
    <row r="185" spans="1:18" ht="12.75" customHeight="1">
      <c r="B185" s="60" t="s">
        <v>2532</v>
      </c>
      <c r="C185" s="213">
        <f>'SEIG P-A '!P184+'SEIG P-A '!R184</f>
        <v>17.93</v>
      </c>
      <c r="D185" s="60" t="s">
        <v>273</v>
      </c>
      <c r="E185" s="60">
        <v>45</v>
      </c>
      <c r="F185" s="60">
        <f>ROUND(C185*E185,0)</f>
        <v>807</v>
      </c>
      <c r="N185" s="364"/>
    </row>
    <row r="186" spans="1:18">
      <c r="F186" s="212">
        <f>SUM(F182:F185)</f>
        <v>21507</v>
      </c>
      <c r="N186" s="364"/>
    </row>
    <row r="618" spans="16:16">
      <c r="P618" s="60" t="s">
        <v>0</v>
      </c>
    </row>
  </sheetData>
  <autoFilter ref="A3:R176">
    <filterColumn colId="5" showButton="0">
      <customFilters>
        <customFilter operator="notEqual" val=" "/>
      </customFilters>
    </filterColumn>
  </autoFilter>
  <mergeCells count="3">
    <mergeCell ref="F3:G3"/>
    <mergeCell ref="A1:P1"/>
    <mergeCell ref="A2:P2"/>
  </mergeCells>
  <printOptions horizontalCentered="1"/>
  <pageMargins left="0.5" right="0.21" top="0.22" bottom="0.23" header="0.22" footer="0.16"/>
  <pageSetup paperSize="9" orientation="landscape" r:id="rId1"/>
  <rowBreaks count="1" manualBreakCount="1">
    <brk id="177" max="15" man="1"/>
  </rowBreaks>
</worksheet>
</file>

<file path=xl/worksheets/sheet41.xml><?xml version="1.0" encoding="utf-8"?>
<worksheet xmlns="http://schemas.openxmlformats.org/spreadsheetml/2006/main" xmlns:r="http://schemas.openxmlformats.org/officeDocument/2006/relationships">
  <sheetPr>
    <tabColor rgb="FFFF0000"/>
  </sheetPr>
  <dimension ref="A1:H57"/>
  <sheetViews>
    <sheetView view="pageBreakPreview" zoomScale="130" zoomScaleNormal="115" zoomScaleSheetLayoutView="130" workbookViewId="0">
      <selection activeCell="E5" sqref="E5:G5"/>
    </sheetView>
  </sheetViews>
  <sheetFormatPr defaultColWidth="9.140625" defaultRowHeight="12.75"/>
  <cols>
    <col min="1" max="1" width="3.28515625" style="315" customWidth="1"/>
    <col min="2" max="2" width="17.7109375" style="316" customWidth="1"/>
    <col min="3" max="3" width="17.85546875" style="316" customWidth="1"/>
    <col min="4" max="4" width="6" style="316" customWidth="1"/>
    <col min="5" max="5" width="24.140625" style="316" customWidth="1"/>
    <col min="6" max="6" width="17.140625" style="316" customWidth="1"/>
    <col min="7" max="7" width="11.85546875" style="316" customWidth="1"/>
    <col min="8" max="8" width="9.7109375" style="316" bestFit="1" customWidth="1"/>
    <col min="9" max="16384" width="9.140625" style="316"/>
  </cols>
  <sheetData>
    <row r="1" spans="1:8">
      <c r="E1" s="316" t="s">
        <v>984</v>
      </c>
    </row>
    <row r="2" spans="1:8" ht="21.75" customHeight="1">
      <c r="A2" s="1723" t="s">
        <v>985</v>
      </c>
      <c r="B2" s="1723"/>
      <c r="C2" s="1723"/>
      <c r="D2" s="1723"/>
      <c r="E2" s="1723"/>
      <c r="F2" s="1723"/>
      <c r="G2" s="1723"/>
    </row>
    <row r="3" spans="1:8" s="320" customFormat="1" ht="19.5" customHeight="1">
      <c r="A3" s="317"/>
      <c r="B3" s="318" t="s">
        <v>986</v>
      </c>
      <c r="C3" s="766" t="str">
        <f>[3]COVER!H25&amp;[3]COVER!H26</f>
        <v>(MGNREGS + Health Grant)(NMH &amp; 15th FC)</v>
      </c>
      <c r="D3" s="317"/>
      <c r="E3" s="319"/>
      <c r="F3" s="83" t="s">
        <v>3866</v>
      </c>
      <c r="G3" s="317"/>
    </row>
    <row r="4" spans="1:8" s="320" customFormat="1" ht="19.5" customHeight="1">
      <c r="A4" s="317"/>
      <c r="B4" s="1724" t="s">
        <v>3993</v>
      </c>
      <c r="C4" s="1724"/>
      <c r="D4" s="1724"/>
      <c r="E4" s="1724"/>
      <c r="F4" s="1724"/>
      <c r="G4" s="1724"/>
      <c r="H4" s="320">
        <f>[5]WORK!B39</f>
        <v>0</v>
      </c>
    </row>
    <row r="5" spans="1:8" s="320" customFormat="1" ht="16.5" customHeight="1">
      <c r="A5" s="321">
        <v>1</v>
      </c>
      <c r="B5" s="1725" t="s">
        <v>987</v>
      </c>
      <c r="C5" s="1726"/>
      <c r="D5" s="322" t="s">
        <v>259</v>
      </c>
      <c r="E5" s="1727" t="s">
        <v>1523</v>
      </c>
      <c r="F5" s="1728"/>
      <c r="G5" s="1729"/>
    </row>
    <row r="6" spans="1:8" s="320" customFormat="1" ht="19.5" customHeight="1">
      <c r="A6" s="321">
        <v>2</v>
      </c>
      <c r="B6" s="1725" t="s">
        <v>988</v>
      </c>
      <c r="C6" s="1726"/>
      <c r="D6" s="322" t="s">
        <v>259</v>
      </c>
      <c r="E6" s="1727" t="s">
        <v>1523</v>
      </c>
      <c r="F6" s="1728"/>
      <c r="G6" s="1729"/>
    </row>
    <row r="7" spans="1:8" s="320" customFormat="1" ht="71.25" customHeight="1">
      <c r="A7" s="321">
        <v>3</v>
      </c>
      <c r="B7" s="1725" t="s">
        <v>989</v>
      </c>
      <c r="C7" s="1726"/>
      <c r="D7" s="322" t="s">
        <v>259</v>
      </c>
      <c r="E7" s="1727" t="str">
        <f>'lead 19-20'!C2</f>
        <v>Providing Additional Space for Health Staff in Grama Sachivalayam of Baduguleru GP of Kanigiri Mandal</v>
      </c>
      <c r="F7" s="1728"/>
      <c r="G7" s="1729"/>
    </row>
    <row r="8" spans="1:8" s="320" customFormat="1" ht="18.75" customHeight="1">
      <c r="A8" s="321">
        <v>4</v>
      </c>
      <c r="B8" s="1725" t="s">
        <v>990</v>
      </c>
      <c r="C8" s="1726"/>
      <c r="D8" s="322" t="s">
        <v>259</v>
      </c>
      <c r="E8" s="1730" t="str">
        <f>COVER!G27</f>
        <v>No: 087043102002090039</v>
      </c>
      <c r="F8" s="1728"/>
      <c r="G8" s="1729"/>
    </row>
    <row r="9" spans="1:8" s="320" customFormat="1" ht="18.75" customHeight="1">
      <c r="A9" s="321">
        <v>5</v>
      </c>
      <c r="B9" s="1731" t="s">
        <v>991</v>
      </c>
      <c r="C9" s="1731"/>
      <c r="D9" s="322" t="s">
        <v>259</v>
      </c>
      <c r="E9" s="1732" t="str">
        <f>'lead 19-20'!K4</f>
        <v>20.80 Lakhs</v>
      </c>
      <c r="F9" s="1733"/>
      <c r="G9" s="1733"/>
    </row>
    <row r="10" spans="1:8" s="320" customFormat="1" ht="38.25" customHeight="1">
      <c r="A10" s="321">
        <v>6</v>
      </c>
      <c r="B10" s="1731" t="s">
        <v>992</v>
      </c>
      <c r="C10" s="1731"/>
      <c r="D10" s="322" t="s">
        <v>259</v>
      </c>
      <c r="E10" s="1731" t="s">
        <v>993</v>
      </c>
      <c r="F10" s="1731"/>
      <c r="G10" s="1731"/>
    </row>
    <row r="11" spans="1:8" s="320" customFormat="1" ht="28.5" customHeight="1">
      <c r="A11" s="321">
        <v>7</v>
      </c>
      <c r="B11" s="1731" t="s">
        <v>994</v>
      </c>
      <c r="C11" s="1731"/>
      <c r="D11" s="322" t="s">
        <v>259</v>
      </c>
      <c r="E11" s="1731" t="s">
        <v>995</v>
      </c>
      <c r="F11" s="1731"/>
      <c r="G11" s="1731"/>
    </row>
    <row r="12" spans="1:8" s="320" customFormat="1" ht="30" customHeight="1">
      <c r="A12" s="321">
        <v>8</v>
      </c>
      <c r="B12" s="1731" t="s">
        <v>996</v>
      </c>
      <c r="C12" s="1731"/>
      <c r="D12" s="322" t="s">
        <v>259</v>
      </c>
      <c r="E12" s="1734" t="s">
        <v>3990</v>
      </c>
      <c r="F12" s="1734"/>
      <c r="G12" s="1734"/>
    </row>
    <row r="13" spans="1:8" s="320" customFormat="1" ht="28.5" customHeight="1">
      <c r="A13" s="321">
        <v>9</v>
      </c>
      <c r="B13" s="1731" t="s">
        <v>997</v>
      </c>
      <c r="C13" s="1731"/>
      <c r="D13" s="322" t="s">
        <v>259</v>
      </c>
      <c r="E13" s="1735" t="s">
        <v>3991</v>
      </c>
      <c r="F13" s="1736"/>
      <c r="G13" s="1737"/>
    </row>
    <row r="14" spans="1:8" s="320" customFormat="1" ht="16.5" customHeight="1">
      <c r="A14" s="321">
        <v>10</v>
      </c>
      <c r="B14" s="1731" t="s">
        <v>998</v>
      </c>
      <c r="C14" s="1731"/>
      <c r="D14" s="322" t="s">
        <v>259</v>
      </c>
      <c r="E14" s="1731"/>
      <c r="F14" s="1731"/>
      <c r="G14" s="1731"/>
    </row>
    <row r="15" spans="1:8" s="320" customFormat="1" ht="27.75" customHeight="1">
      <c r="A15" s="321">
        <v>11</v>
      </c>
      <c r="B15" s="1731" t="s">
        <v>999</v>
      </c>
      <c r="C15" s="1731"/>
      <c r="D15" s="322" t="s">
        <v>259</v>
      </c>
      <c r="E15" s="1731" t="s">
        <v>1000</v>
      </c>
      <c r="F15" s="1731"/>
      <c r="G15" s="1731"/>
    </row>
    <row r="16" spans="1:8" s="320" customFormat="1" ht="18.75" customHeight="1">
      <c r="A16" s="321">
        <v>12</v>
      </c>
      <c r="B16" s="1731" t="s">
        <v>1001</v>
      </c>
      <c r="C16" s="1731"/>
      <c r="D16" s="322" t="s">
        <v>259</v>
      </c>
      <c r="E16" s="1732" t="str">
        <f>E9</f>
        <v>20.80 Lakhs</v>
      </c>
      <c r="F16" s="1733"/>
      <c r="G16" s="1733"/>
    </row>
    <row r="17" spans="1:7" s="320" customFormat="1" ht="15.75" customHeight="1">
      <c r="A17" s="321">
        <v>13</v>
      </c>
      <c r="B17" s="1731" t="s">
        <v>1002</v>
      </c>
      <c r="C17" s="1731"/>
      <c r="D17" s="322" t="s">
        <v>259</v>
      </c>
      <c r="E17" s="1733"/>
      <c r="F17" s="1733"/>
      <c r="G17" s="1733"/>
    </row>
    <row r="18" spans="1:7" s="320" customFormat="1" ht="18.75" customHeight="1">
      <c r="A18" s="321">
        <v>14</v>
      </c>
      <c r="B18" s="1731" t="s">
        <v>1003</v>
      </c>
      <c r="C18" s="1731"/>
      <c r="D18" s="322" t="s">
        <v>259</v>
      </c>
      <c r="E18" s="1733" t="s">
        <v>1004</v>
      </c>
      <c r="F18" s="1733"/>
      <c r="G18" s="1733"/>
    </row>
    <row r="19" spans="1:7" s="320" customFormat="1" ht="13.5" customHeight="1">
      <c r="A19" s="321">
        <v>15</v>
      </c>
      <c r="B19" s="1731" t="s">
        <v>1005</v>
      </c>
      <c r="C19" s="1731"/>
      <c r="D19" s="322" t="s">
        <v>259</v>
      </c>
      <c r="E19" s="1733"/>
      <c r="F19" s="1733"/>
      <c r="G19" s="1733"/>
    </row>
    <row r="20" spans="1:7" s="320" customFormat="1" ht="15.75" customHeight="1">
      <c r="A20" s="321">
        <v>16</v>
      </c>
      <c r="B20" s="1731" t="s">
        <v>1006</v>
      </c>
      <c r="C20" s="1731"/>
      <c r="D20" s="322" t="s">
        <v>259</v>
      </c>
      <c r="E20" s="1733"/>
      <c r="F20" s="1733"/>
      <c r="G20" s="1733"/>
    </row>
    <row r="21" spans="1:7" s="320" customFormat="1" ht="15.75" customHeight="1">
      <c r="A21" s="321">
        <v>17</v>
      </c>
      <c r="B21" s="1731" t="s">
        <v>1007</v>
      </c>
      <c r="C21" s="1731"/>
      <c r="D21" s="322" t="s">
        <v>259</v>
      </c>
      <c r="E21" s="1733"/>
      <c r="F21" s="1733"/>
      <c r="G21" s="1733"/>
    </row>
    <row r="22" spans="1:7" s="320" customFormat="1" ht="49.5" customHeight="1">
      <c r="A22" s="321">
        <v>18</v>
      </c>
      <c r="B22" s="1731" t="s">
        <v>1008</v>
      </c>
      <c r="C22" s="1731"/>
      <c r="D22" s="322" t="s">
        <v>259</v>
      </c>
      <c r="E22" s="1733" t="s">
        <v>1009</v>
      </c>
      <c r="F22" s="1733"/>
      <c r="G22" s="1733"/>
    </row>
    <row r="23" spans="1:7" s="320" customFormat="1" ht="36" customHeight="1">
      <c r="A23" s="321">
        <v>19</v>
      </c>
      <c r="B23" s="1738" t="s">
        <v>1010</v>
      </c>
      <c r="C23" s="1738"/>
      <c r="D23" s="322" t="s">
        <v>259</v>
      </c>
      <c r="E23" s="323" t="s">
        <v>1011</v>
      </c>
      <c r="F23" s="1738" t="s">
        <v>1012</v>
      </c>
      <c r="G23" s="1738"/>
    </row>
    <row r="24" spans="1:7" s="320" customFormat="1" ht="17.25" customHeight="1">
      <c r="A24" s="321"/>
      <c r="B24" s="323" t="s">
        <v>975</v>
      </c>
      <c r="C24" s="323" t="s">
        <v>1013</v>
      </c>
      <c r="D24" s="322"/>
      <c r="E24" s="322" t="s">
        <v>1013</v>
      </c>
      <c r="F24" s="323" t="s">
        <v>975</v>
      </c>
      <c r="G24" s="323" t="s">
        <v>1013</v>
      </c>
    </row>
    <row r="25" spans="1:7" s="320" customFormat="1" ht="13.5" customHeight="1">
      <c r="A25" s="321"/>
      <c r="B25" s="323"/>
      <c r="C25" s="323"/>
      <c r="D25" s="322"/>
      <c r="E25" s="322"/>
      <c r="F25" s="323"/>
      <c r="G25" s="323"/>
    </row>
    <row r="26" spans="1:7" s="320" customFormat="1" ht="13.5" customHeight="1">
      <c r="A26" s="321"/>
      <c r="B26" s="323"/>
      <c r="C26" s="323"/>
      <c r="D26" s="322"/>
      <c r="E26" s="323"/>
      <c r="F26" s="323"/>
      <c r="G26" s="323"/>
    </row>
    <row r="27" spans="1:7" s="320" customFormat="1" ht="13.5" customHeight="1">
      <c r="A27" s="321"/>
      <c r="B27" s="323"/>
      <c r="C27" s="323"/>
      <c r="D27" s="322"/>
      <c r="E27" s="322"/>
      <c r="F27" s="323"/>
      <c r="G27" s="323"/>
    </row>
    <row r="28" spans="1:7" s="320" customFormat="1" ht="13.5" customHeight="1">
      <c r="A28" s="321"/>
      <c r="B28" s="323"/>
      <c r="C28" s="323"/>
      <c r="D28" s="322"/>
      <c r="E28" s="322"/>
      <c r="F28" s="323"/>
      <c r="G28" s="323"/>
    </row>
    <row r="29" spans="1:7" s="320" customFormat="1" ht="21" customHeight="1">
      <c r="A29" s="321">
        <v>20</v>
      </c>
      <c r="B29" s="1739" t="s">
        <v>1014</v>
      </c>
      <c r="C29" s="1740"/>
      <c r="D29" s="1740"/>
      <c r="E29" s="1740"/>
      <c r="F29" s="1740"/>
      <c r="G29" s="1741"/>
    </row>
    <row r="30" spans="1:7" s="320" customFormat="1" ht="15.75" customHeight="1">
      <c r="A30" s="321"/>
      <c r="B30" s="1731" t="s">
        <v>1015</v>
      </c>
      <c r="C30" s="1731"/>
      <c r="D30" s="322" t="s">
        <v>259</v>
      </c>
      <c r="E30" s="1733"/>
      <c r="F30" s="1733"/>
      <c r="G30" s="1733"/>
    </row>
    <row r="31" spans="1:7" s="320" customFormat="1" ht="12.75" customHeight="1">
      <c r="A31" s="321"/>
      <c r="B31" s="1731" t="s">
        <v>1016</v>
      </c>
      <c r="C31" s="1731"/>
      <c r="D31" s="322" t="s">
        <v>259</v>
      </c>
      <c r="E31" s="1733"/>
      <c r="F31" s="1733"/>
      <c r="G31" s="1733"/>
    </row>
    <row r="32" spans="1:7" s="320" customFormat="1" ht="26.25" customHeight="1">
      <c r="A32" s="321">
        <v>21</v>
      </c>
      <c r="B32" s="1731" t="s">
        <v>1017</v>
      </c>
      <c r="C32" s="1731"/>
      <c r="D32" s="322" t="s">
        <v>259</v>
      </c>
      <c r="E32" s="1733"/>
      <c r="F32" s="1733"/>
      <c r="G32" s="1733"/>
    </row>
    <row r="33" spans="1:7" s="320" customFormat="1" ht="25.5" customHeight="1">
      <c r="A33" s="321">
        <v>22</v>
      </c>
      <c r="B33" s="1731" t="s">
        <v>1018</v>
      </c>
      <c r="C33" s="1731"/>
      <c r="D33" s="322" t="s">
        <v>259</v>
      </c>
      <c r="E33" s="1733" t="s">
        <v>1009</v>
      </c>
      <c r="F33" s="1733"/>
      <c r="G33" s="1733"/>
    </row>
    <row r="34" spans="1:7" s="320" customFormat="1" ht="15.75" customHeight="1">
      <c r="A34" s="321">
        <v>23</v>
      </c>
      <c r="B34" s="1731" t="s">
        <v>1019</v>
      </c>
      <c r="C34" s="1731"/>
      <c r="D34" s="322" t="s">
        <v>259</v>
      </c>
      <c r="E34" s="1733" t="s">
        <v>1009</v>
      </c>
      <c r="F34" s="1733"/>
      <c r="G34" s="1733"/>
    </row>
    <row r="35" spans="1:7" s="320" customFormat="1" ht="26.25" customHeight="1">
      <c r="A35" s="321">
        <v>24</v>
      </c>
      <c r="B35" s="1731" t="s">
        <v>1020</v>
      </c>
      <c r="C35" s="1731"/>
      <c r="D35" s="322" t="s">
        <v>259</v>
      </c>
      <c r="E35" s="1733" t="s">
        <v>1009</v>
      </c>
      <c r="F35" s="1733"/>
      <c r="G35" s="1733"/>
    </row>
    <row r="36" spans="1:7" s="320" customFormat="1" ht="24.75" customHeight="1">
      <c r="A36" s="321">
        <v>25</v>
      </c>
      <c r="B36" s="1731" t="s">
        <v>1021</v>
      </c>
      <c r="C36" s="1731"/>
      <c r="D36" s="322" t="s">
        <v>259</v>
      </c>
      <c r="E36" s="1733" t="s">
        <v>115</v>
      </c>
      <c r="F36" s="1733"/>
      <c r="G36" s="1733"/>
    </row>
    <row r="37" spans="1:7" s="320" customFormat="1" ht="15.75" customHeight="1">
      <c r="A37" s="321">
        <v>26</v>
      </c>
      <c r="B37" s="1731" t="s">
        <v>1022</v>
      </c>
      <c r="C37" s="1731"/>
      <c r="D37" s="322" t="s">
        <v>259</v>
      </c>
      <c r="E37" s="1733" t="s">
        <v>115</v>
      </c>
      <c r="F37" s="1733"/>
      <c r="G37" s="1733"/>
    </row>
    <row r="40" spans="1:7">
      <c r="F40" s="324" t="s">
        <v>149</v>
      </c>
    </row>
    <row r="41" spans="1:7">
      <c r="F41" s="324" t="s">
        <v>2409</v>
      </c>
    </row>
    <row r="42" spans="1:7" s="320" customFormat="1" ht="21" customHeight="1">
      <c r="A42" s="321"/>
      <c r="B42" s="1739" t="s">
        <v>1023</v>
      </c>
      <c r="C42" s="1740"/>
      <c r="D42" s="1740"/>
      <c r="E42" s="1740"/>
      <c r="F42" s="1740"/>
      <c r="G42" s="1741"/>
    </row>
    <row r="43" spans="1:7" s="320" customFormat="1" ht="29.25" customHeight="1">
      <c r="A43" s="321">
        <v>27</v>
      </c>
      <c r="B43" s="1742" t="s">
        <v>1024</v>
      </c>
      <c r="C43" s="1742"/>
      <c r="D43" s="322" t="s">
        <v>259</v>
      </c>
      <c r="E43" s="1733"/>
      <c r="F43" s="1733"/>
      <c r="G43" s="1733"/>
    </row>
    <row r="44" spans="1:7" s="320" customFormat="1" ht="45" customHeight="1">
      <c r="A44" s="321">
        <v>28</v>
      </c>
      <c r="B44" s="1742" t="s">
        <v>1025</v>
      </c>
      <c r="C44" s="1742"/>
      <c r="D44" s="322" t="s">
        <v>259</v>
      </c>
      <c r="E44" s="1733"/>
      <c r="F44" s="1733"/>
      <c r="G44" s="1733"/>
    </row>
    <row r="45" spans="1:7" s="320" customFormat="1" ht="42.75" customHeight="1">
      <c r="A45" s="321">
        <v>29</v>
      </c>
      <c r="B45" s="1742" t="s">
        <v>1026</v>
      </c>
      <c r="C45" s="1742"/>
      <c r="D45" s="322" t="s">
        <v>259</v>
      </c>
      <c r="E45" s="1733"/>
      <c r="F45" s="1733"/>
      <c r="G45" s="1733"/>
    </row>
    <row r="46" spans="1:7" s="320" customFormat="1" ht="53.25" customHeight="1">
      <c r="A46" s="321">
        <v>30</v>
      </c>
      <c r="B46" s="1742" t="s">
        <v>1027</v>
      </c>
      <c r="C46" s="1742"/>
      <c r="D46" s="322" t="s">
        <v>259</v>
      </c>
      <c r="E46" s="1733"/>
      <c r="F46" s="1733"/>
      <c r="G46" s="1733"/>
    </row>
    <row r="47" spans="1:7" s="320" customFormat="1" ht="57" customHeight="1">
      <c r="A47" s="321">
        <v>31</v>
      </c>
      <c r="B47" s="1742" t="s">
        <v>1028</v>
      </c>
      <c r="C47" s="1742"/>
      <c r="D47" s="322" t="s">
        <v>259</v>
      </c>
      <c r="E47" s="1733"/>
      <c r="F47" s="1733"/>
      <c r="G47" s="1733"/>
    </row>
    <row r="48" spans="1:7" s="320" customFormat="1" ht="54.75" customHeight="1">
      <c r="A48" s="321">
        <v>32</v>
      </c>
      <c r="B48" s="1742" t="s">
        <v>1029</v>
      </c>
      <c r="C48" s="1742"/>
      <c r="D48" s="322" t="s">
        <v>259</v>
      </c>
      <c r="E48" s="1733"/>
      <c r="F48" s="1733"/>
      <c r="G48" s="1733"/>
    </row>
    <row r="49" spans="1:7" s="320" customFormat="1" ht="43.5" customHeight="1">
      <c r="A49" s="321">
        <v>33</v>
      </c>
      <c r="B49" s="1742" t="s">
        <v>1030</v>
      </c>
      <c r="C49" s="1742"/>
      <c r="D49" s="322" t="s">
        <v>259</v>
      </c>
      <c r="E49" s="1733"/>
      <c r="F49" s="1733"/>
      <c r="G49" s="1733"/>
    </row>
    <row r="50" spans="1:7" s="320" customFormat="1" ht="39.75" customHeight="1">
      <c r="A50" s="321">
        <v>34</v>
      </c>
      <c r="B50" s="1742" t="s">
        <v>1031</v>
      </c>
      <c r="C50" s="1742"/>
      <c r="D50" s="322" t="s">
        <v>259</v>
      </c>
      <c r="E50" s="1733"/>
      <c r="F50" s="1733"/>
      <c r="G50" s="1733"/>
    </row>
    <row r="51" spans="1:7" s="320" customFormat="1" ht="21" customHeight="1">
      <c r="A51" s="321">
        <v>35</v>
      </c>
      <c r="B51" s="1739" t="s">
        <v>1014</v>
      </c>
      <c r="C51" s="1740"/>
      <c r="D51" s="1740"/>
      <c r="E51" s="1740"/>
      <c r="F51" s="1740"/>
      <c r="G51" s="1741"/>
    </row>
    <row r="52" spans="1:7" s="320" customFormat="1" ht="29.25" customHeight="1">
      <c r="A52" s="321"/>
      <c r="B52" s="1731" t="s">
        <v>1032</v>
      </c>
      <c r="C52" s="1731"/>
      <c r="D52" s="322" t="s">
        <v>259</v>
      </c>
      <c r="E52" s="1733"/>
      <c r="F52" s="1733"/>
      <c r="G52" s="1733"/>
    </row>
    <row r="53" spans="1:7" s="320" customFormat="1" ht="29.25" customHeight="1">
      <c r="A53" s="321"/>
      <c r="B53" s="1731" t="s">
        <v>1016</v>
      </c>
      <c r="C53" s="1731"/>
      <c r="D53" s="322" t="s">
        <v>259</v>
      </c>
      <c r="E53" s="1733"/>
      <c r="F53" s="1733"/>
      <c r="G53" s="1733"/>
    </row>
    <row r="54" spans="1:7" s="320" customFormat="1" ht="29.25" customHeight="1">
      <c r="A54" s="321">
        <v>36</v>
      </c>
      <c r="B54" s="1731" t="s">
        <v>1017</v>
      </c>
      <c r="C54" s="1731"/>
      <c r="D54" s="322" t="s">
        <v>259</v>
      </c>
      <c r="E54" s="1733"/>
      <c r="F54" s="1733"/>
      <c r="G54" s="1733"/>
    </row>
    <row r="55" spans="1:7" s="320" customFormat="1" ht="69" customHeight="1">
      <c r="A55" s="321">
        <v>37</v>
      </c>
      <c r="B55" s="1731" t="s">
        <v>1033</v>
      </c>
      <c r="C55" s="1731"/>
      <c r="D55" s="322" t="s">
        <v>259</v>
      </c>
      <c r="E55" s="1743" t="s">
        <v>1034</v>
      </c>
      <c r="F55" s="1744"/>
      <c r="G55" s="1745"/>
    </row>
    <row r="56" spans="1:7" s="320" customFormat="1" ht="29.25" customHeight="1">
      <c r="A56" s="321">
        <v>38</v>
      </c>
      <c r="B56" s="1731" t="s">
        <v>1035</v>
      </c>
      <c r="C56" s="1731"/>
      <c r="D56" s="322" t="s">
        <v>259</v>
      </c>
      <c r="E56" s="1733"/>
      <c r="F56" s="1733"/>
      <c r="G56" s="1733"/>
    </row>
    <row r="57" spans="1:7" s="320" customFormat="1" ht="29.25" customHeight="1">
      <c r="A57" s="321">
        <v>39</v>
      </c>
      <c r="B57" s="1731" t="s">
        <v>1036</v>
      </c>
      <c r="C57" s="1731"/>
      <c r="D57" s="322" t="s">
        <v>259</v>
      </c>
      <c r="E57" s="1733"/>
      <c r="F57" s="1733"/>
      <c r="G57" s="1733"/>
    </row>
  </sheetData>
  <mergeCells count="87">
    <mergeCell ref="B55:C55"/>
    <mergeCell ref="E55:G55"/>
    <mergeCell ref="B56:C56"/>
    <mergeCell ref="E56:G56"/>
    <mergeCell ref="B57:C57"/>
    <mergeCell ref="E57:G57"/>
    <mergeCell ref="B54:C54"/>
    <mergeCell ref="E54:G54"/>
    <mergeCell ref="B48:C48"/>
    <mergeCell ref="E48:G48"/>
    <mergeCell ref="B49:C49"/>
    <mergeCell ref="E49:G49"/>
    <mergeCell ref="B50:C50"/>
    <mergeCell ref="E50:G50"/>
    <mergeCell ref="B51:G51"/>
    <mergeCell ref="B52:C52"/>
    <mergeCell ref="E52:G52"/>
    <mergeCell ref="B53:C53"/>
    <mergeCell ref="E53:G53"/>
    <mergeCell ref="B45:C45"/>
    <mergeCell ref="E45:G45"/>
    <mergeCell ref="B46:C46"/>
    <mergeCell ref="E46:G46"/>
    <mergeCell ref="B47:C47"/>
    <mergeCell ref="E47:G47"/>
    <mergeCell ref="B44:C44"/>
    <mergeCell ref="E44:G44"/>
    <mergeCell ref="B34:C34"/>
    <mergeCell ref="E34:G34"/>
    <mergeCell ref="B35:C35"/>
    <mergeCell ref="E35:G35"/>
    <mergeCell ref="B36:C36"/>
    <mergeCell ref="E36:G36"/>
    <mergeCell ref="B37:C37"/>
    <mergeCell ref="E37:G37"/>
    <mergeCell ref="B42:G42"/>
    <mergeCell ref="B43:C43"/>
    <mergeCell ref="E43:G43"/>
    <mergeCell ref="B31:C31"/>
    <mergeCell ref="E31:G31"/>
    <mergeCell ref="B32:C32"/>
    <mergeCell ref="E32:G32"/>
    <mergeCell ref="B33:C33"/>
    <mergeCell ref="E33:G33"/>
    <mergeCell ref="B30:C30"/>
    <mergeCell ref="E30:G30"/>
    <mergeCell ref="B19:C19"/>
    <mergeCell ref="E19:G19"/>
    <mergeCell ref="B20:C20"/>
    <mergeCell ref="E20:G20"/>
    <mergeCell ref="B21:C21"/>
    <mergeCell ref="E21:G21"/>
    <mergeCell ref="B22:C22"/>
    <mergeCell ref="E22:G22"/>
    <mergeCell ref="B23:C23"/>
    <mergeCell ref="F23:G23"/>
    <mergeCell ref="B29:G29"/>
    <mergeCell ref="B16:C16"/>
    <mergeCell ref="E16:G16"/>
    <mergeCell ref="B17:C17"/>
    <mergeCell ref="E17:G17"/>
    <mergeCell ref="B18:C18"/>
    <mergeCell ref="E18:G18"/>
    <mergeCell ref="B13:C13"/>
    <mergeCell ref="E13:G13"/>
    <mergeCell ref="B14:C14"/>
    <mergeCell ref="E14:G14"/>
    <mergeCell ref="B15:C15"/>
    <mergeCell ref="E15:G15"/>
    <mergeCell ref="B10:C10"/>
    <mergeCell ref="E10:G10"/>
    <mergeCell ref="B11:C11"/>
    <mergeCell ref="E11:G11"/>
    <mergeCell ref="B12:C12"/>
    <mergeCell ref="E12:G12"/>
    <mergeCell ref="B7:C7"/>
    <mergeCell ref="E7:G7"/>
    <mergeCell ref="B8:C8"/>
    <mergeCell ref="E8:G8"/>
    <mergeCell ref="B9:C9"/>
    <mergeCell ref="E9:G9"/>
    <mergeCell ref="A2:G2"/>
    <mergeCell ref="B4:G4"/>
    <mergeCell ref="B5:C5"/>
    <mergeCell ref="E5:G5"/>
    <mergeCell ref="B6:C6"/>
    <mergeCell ref="E6:G6"/>
  </mergeCells>
  <printOptions horizontalCentered="1"/>
  <pageMargins left="0.23622047244094499" right="0.15748031496063" top="0.35433070866141703" bottom="0.69" header="0.38" footer="0.23622047244094499"/>
  <pageSetup paperSize="9" scale="90" orientation="portrait" errors="blank" r:id="rId1"/>
  <headerFooter alignWithMargins="0"/>
  <rowBreaks count="1" manualBreakCount="1">
    <brk id="41" max="6" man="1"/>
  </rowBreaks>
</worksheet>
</file>

<file path=xl/worksheets/sheet42.xml><?xml version="1.0" encoding="utf-8"?>
<worksheet xmlns="http://schemas.openxmlformats.org/spreadsheetml/2006/main" xmlns:r="http://schemas.openxmlformats.org/officeDocument/2006/relationships">
  <sheetPr filterMode="1">
    <tabColor rgb="FFFF0000"/>
  </sheetPr>
  <dimension ref="A1:P314"/>
  <sheetViews>
    <sheetView showZeros="0" view="pageBreakPreview" topLeftCell="A15" zoomScale="130" zoomScaleSheetLayoutView="130" workbookViewId="0">
      <selection activeCell="F29" sqref="F29"/>
    </sheetView>
  </sheetViews>
  <sheetFormatPr defaultColWidth="9.140625" defaultRowHeight="12.75"/>
  <cols>
    <col min="1" max="1" width="2.85546875" style="85" customWidth="1"/>
    <col min="2" max="2" width="9.42578125" style="148" customWidth="1"/>
    <col min="3" max="3" width="4.7109375" style="85" customWidth="1"/>
    <col min="4" max="4" width="8.85546875" style="149" customWidth="1"/>
    <col min="5" max="5" width="33.42578125" style="85" customWidth="1"/>
    <col min="6" max="6" width="8.85546875" style="87" customWidth="1"/>
    <col min="7" max="7" width="6" style="85" customWidth="1"/>
    <col min="8" max="8" width="10.28515625" style="85" customWidth="1"/>
    <col min="9" max="9" width="9.7109375" style="85" customWidth="1"/>
    <col min="10" max="10" width="6.85546875" style="85" customWidth="1"/>
    <col min="11" max="11" width="9.140625" style="84"/>
    <col min="12" max="13" width="12.5703125" style="84" customWidth="1"/>
    <col min="14" max="16384" width="9.140625" style="85"/>
  </cols>
  <sheetData>
    <row r="1" spans="1:16" ht="23.25" customHeight="1">
      <c r="A1" s="1752" t="s">
        <v>1037</v>
      </c>
      <c r="B1" s="1753"/>
      <c r="C1" s="1753"/>
      <c r="D1" s="1753"/>
      <c r="E1" s="1753"/>
      <c r="F1" s="1753"/>
      <c r="G1" s="1753"/>
      <c r="H1" s="1753"/>
      <c r="I1" s="1753"/>
      <c r="J1" s="1753"/>
    </row>
    <row r="2" spans="1:16" ht="12" customHeight="1">
      <c r="B2" s="1754" t="s">
        <v>1038</v>
      </c>
      <c r="C2" s="1754"/>
      <c r="D2" s="1754"/>
      <c r="E2" s="86" t="str">
        <f>'C-1'!E8:G8</f>
        <v>No: 087043102002090039</v>
      </c>
      <c r="G2" s="1755" t="str">
        <f>'C-1'!C3</f>
        <v>(MGNREGS + Health Grant)(NMH &amp; 15th FC)</v>
      </c>
      <c r="H2" s="1755"/>
      <c r="I2" s="1755"/>
      <c r="J2" s="1755"/>
    </row>
    <row r="3" spans="1:16">
      <c r="B3" s="1749"/>
      <c r="C3" s="1749"/>
      <c r="D3" s="1749"/>
      <c r="G3" s="1748"/>
      <c r="H3" s="1748"/>
      <c r="I3" s="1748"/>
      <c r="J3" s="1748"/>
    </row>
    <row r="4" spans="1:16" ht="21" customHeight="1">
      <c r="B4" s="1756" t="str">
        <f>'lead 19-20'!B2&amp;'lead 19-20'!C2</f>
        <v>Name of the Work: Providing Additional Space for Health Staff in Grama Sachivalayam of Baduguleru GP of Kanigiri Mandal</v>
      </c>
      <c r="C4" s="1756"/>
      <c r="D4" s="1756"/>
      <c r="E4" s="1756"/>
      <c r="F4" s="1756"/>
      <c r="G4" s="1756"/>
      <c r="H4" s="1756"/>
      <c r="I4" s="1756"/>
      <c r="J4" s="1756"/>
    </row>
    <row r="5" spans="1:16" ht="16.5" customHeight="1">
      <c r="B5" s="1757" t="str">
        <f>"Name of the Contractor : "&amp;'C-1'!E13&amp;""</f>
        <v>Name of the Contractor : Grama Panchayat, Baduguleru</v>
      </c>
      <c r="C5" s="1757"/>
      <c r="D5" s="1757"/>
      <c r="E5" s="1757"/>
      <c r="F5" s="1757"/>
      <c r="G5" s="1757"/>
      <c r="H5" s="1757"/>
      <c r="I5" s="1757"/>
      <c r="J5" s="1757"/>
    </row>
    <row r="6" spans="1:16" ht="13.5" customHeight="1">
      <c r="B6" s="1746" t="s">
        <v>3867</v>
      </c>
      <c r="C6" s="1746"/>
      <c r="D6" s="1747"/>
      <c r="E6" s="1747"/>
      <c r="F6" s="1747"/>
      <c r="G6" s="1747"/>
      <c r="H6" s="1747"/>
      <c r="I6" s="1747"/>
      <c r="J6" s="1747"/>
    </row>
    <row r="7" spans="1:16" ht="15" customHeight="1">
      <c r="B7" s="1746" t="s">
        <v>1039</v>
      </c>
      <c r="C7" s="1746"/>
      <c r="D7" s="1747"/>
      <c r="E7" s="1747"/>
      <c r="F7" s="1747"/>
      <c r="G7" s="1747"/>
      <c r="H7" s="1747"/>
      <c r="I7" s="1747"/>
      <c r="J7" s="1747"/>
    </row>
    <row r="8" spans="1:16" ht="12.75" customHeight="1">
      <c r="B8" s="1746" t="s">
        <v>1040</v>
      </c>
      <c r="C8" s="1746"/>
      <c r="D8" s="1746"/>
      <c r="E8" s="1746"/>
      <c r="F8" s="1746"/>
      <c r="G8" s="1746"/>
      <c r="H8" s="1746"/>
      <c r="I8" s="1746"/>
      <c r="J8" s="1746"/>
    </row>
    <row r="9" spans="1:16" ht="19.5" customHeight="1">
      <c r="B9" s="1746" t="s">
        <v>1041</v>
      </c>
      <c r="C9" s="1746"/>
      <c r="D9" s="1747"/>
      <c r="E9" s="1747"/>
      <c r="F9" s="1747"/>
      <c r="G9" s="1747"/>
      <c r="H9" s="1747"/>
      <c r="I9" s="1747"/>
      <c r="J9" s="1747"/>
    </row>
    <row r="10" spans="1:16" ht="13.5" customHeight="1">
      <c r="B10" s="1746" t="s">
        <v>3810</v>
      </c>
      <c r="C10" s="1746"/>
      <c r="D10" s="1747"/>
      <c r="E10" s="1748" t="s">
        <v>3625</v>
      </c>
      <c r="F10" s="1749"/>
      <c r="G10" s="240"/>
      <c r="H10" s="1750" t="s">
        <v>1042</v>
      </c>
      <c r="I10" s="1751"/>
    </row>
    <row r="11" spans="1:16" ht="13.5" customHeight="1">
      <c r="B11" s="1746" t="s">
        <v>1043</v>
      </c>
      <c r="C11" s="1746"/>
      <c r="D11" s="1746"/>
      <c r="E11" s="1748" t="s">
        <v>1044</v>
      </c>
      <c r="F11" s="1749"/>
      <c r="G11" s="238"/>
      <c r="H11" s="1746" t="s">
        <v>1045</v>
      </c>
      <c r="I11" s="1747"/>
    </row>
    <row r="12" spans="1:16" ht="7.5" customHeight="1">
      <c r="B12" s="88"/>
      <c r="C12" s="89"/>
      <c r="D12" s="90"/>
      <c r="E12" s="89"/>
      <c r="F12" s="239"/>
      <c r="G12" s="238"/>
      <c r="H12" s="238"/>
      <c r="I12" s="238"/>
      <c r="J12" s="89"/>
    </row>
    <row r="13" spans="1:16" s="92" customFormat="1" ht="24.75" customHeight="1">
      <c r="A13" s="1758" t="s">
        <v>271</v>
      </c>
      <c r="B13" s="1759" t="s">
        <v>1046</v>
      </c>
      <c r="C13" s="1759"/>
      <c r="D13" s="1759"/>
      <c r="E13" s="1759" t="s">
        <v>1047</v>
      </c>
      <c r="F13" s="1759" t="s">
        <v>1048</v>
      </c>
      <c r="G13" s="1759" t="s">
        <v>9</v>
      </c>
      <c r="H13" s="1759" t="s">
        <v>10</v>
      </c>
      <c r="I13" s="1759"/>
      <c r="J13" s="1762" t="s">
        <v>455</v>
      </c>
      <c r="K13" s="91"/>
      <c r="L13" s="91"/>
      <c r="M13" s="91"/>
    </row>
    <row r="14" spans="1:16" s="92" customFormat="1" ht="45" customHeight="1">
      <c r="A14" s="1758"/>
      <c r="B14" s="1762" t="s">
        <v>1049</v>
      </c>
      <c r="C14" s="1763"/>
      <c r="D14" s="93" t="s">
        <v>1050</v>
      </c>
      <c r="E14" s="1759"/>
      <c r="F14" s="1759"/>
      <c r="G14" s="1759"/>
      <c r="H14" s="241" t="s">
        <v>1051</v>
      </c>
      <c r="I14" s="241" t="s">
        <v>1052</v>
      </c>
      <c r="J14" s="1762"/>
      <c r="K14" s="94" t="s">
        <v>1053</v>
      </c>
      <c r="L14" s="94" t="s">
        <v>1054</v>
      </c>
      <c r="M14" s="94" t="s">
        <v>1055</v>
      </c>
    </row>
    <row r="15" spans="1:16" s="92" customFormat="1" ht="12">
      <c r="A15" s="243" t="s">
        <v>460</v>
      </c>
      <c r="B15" s="1762" t="s">
        <v>461</v>
      </c>
      <c r="C15" s="1763"/>
      <c r="D15" s="93" t="s">
        <v>462</v>
      </c>
      <c r="E15" s="241" t="s">
        <v>463</v>
      </c>
      <c r="F15" s="241" t="s">
        <v>464</v>
      </c>
      <c r="G15" s="241" t="s">
        <v>465</v>
      </c>
      <c r="H15" s="95" t="s">
        <v>466</v>
      </c>
      <c r="I15" s="241" t="s">
        <v>467</v>
      </c>
      <c r="J15" s="242" t="s">
        <v>468</v>
      </c>
      <c r="K15" s="91"/>
      <c r="L15" s="91"/>
      <c r="M15" s="91"/>
    </row>
    <row r="16" spans="1:16" s="105" customFormat="1" ht="15" hidden="1">
      <c r="A16" s="96"/>
      <c r="B16" s="97"/>
      <c r="C16" s="98"/>
      <c r="D16" s="99"/>
      <c r="E16" s="100"/>
      <c r="F16" s="99"/>
      <c r="G16" s="101"/>
      <c r="H16" s="102"/>
      <c r="I16" s="102"/>
      <c r="J16" s="103"/>
      <c r="K16" s="104">
        <f>INPUT!G18</f>
        <v>8942</v>
      </c>
      <c r="L16" s="105">
        <f>K16/205</f>
        <v>43.619512195121949</v>
      </c>
      <c r="N16" s="106"/>
      <c r="O16" s="106"/>
      <c r="P16" s="106"/>
    </row>
    <row r="17" spans="1:16" s="105" customFormat="1">
      <c r="A17" s="96">
        <v>1</v>
      </c>
      <c r="B17" s="105">
        <v>32.415999999999997</v>
      </c>
      <c r="C17" s="107" t="s">
        <v>146</v>
      </c>
      <c r="D17" s="99">
        <f t="shared" ref="D17:D34" si="0">B17-K17</f>
        <v>-4.0000000000048885E-3</v>
      </c>
      <c r="E17" s="100" t="s">
        <v>1056</v>
      </c>
      <c r="F17" s="99">
        <v>205</v>
      </c>
      <c r="G17" s="101" t="s">
        <v>1057</v>
      </c>
      <c r="H17" s="102">
        <f t="shared" ref="H17:H34" si="1">ROUND(B17*F17,0)</f>
        <v>6645</v>
      </c>
      <c r="I17" s="102">
        <f t="shared" ref="I17:I34" si="2">H17-L17</f>
        <v>0</v>
      </c>
      <c r="J17" s="103"/>
      <c r="K17" s="105">
        <v>32.42</v>
      </c>
      <c r="L17" s="105">
        <v>6645</v>
      </c>
      <c r="N17" s="106" t="s">
        <v>1058</v>
      </c>
      <c r="O17" s="106"/>
      <c r="P17" s="106"/>
    </row>
    <row r="18" spans="1:16" s="105" customFormat="1">
      <c r="A18" s="96">
        <v>2</v>
      </c>
      <c r="B18" s="97">
        <f>'Differ- Material'!C14+'Differ- Material'!C17</f>
        <v>336.14</v>
      </c>
      <c r="C18" s="107" t="s">
        <v>1059</v>
      </c>
      <c r="D18" s="99">
        <f t="shared" si="0"/>
        <v>0.13999999999998636</v>
      </c>
      <c r="E18" s="100" t="s">
        <v>1060</v>
      </c>
      <c r="F18" s="99">
        <f>INPUT!F26</f>
        <v>235</v>
      </c>
      <c r="G18" s="101" t="s">
        <v>1061</v>
      </c>
      <c r="H18" s="102">
        <f t="shared" si="1"/>
        <v>78993</v>
      </c>
      <c r="I18" s="102">
        <f t="shared" si="2"/>
        <v>33</v>
      </c>
      <c r="J18" s="103"/>
      <c r="K18" s="105">
        <f>260+76</f>
        <v>336</v>
      </c>
      <c r="L18" s="105">
        <f>61100+17860</f>
        <v>78960</v>
      </c>
      <c r="N18" s="106">
        <v>87.5</v>
      </c>
      <c r="O18" s="106"/>
      <c r="P18" s="106"/>
    </row>
    <row r="19" spans="1:16" s="105" customFormat="1">
      <c r="A19" s="96">
        <v>3</v>
      </c>
      <c r="B19" s="97">
        <f>INPUT!E27</f>
        <v>180</v>
      </c>
      <c r="C19" s="107" t="s">
        <v>1059</v>
      </c>
      <c r="D19" s="99">
        <f t="shared" si="0"/>
        <v>0</v>
      </c>
      <c r="E19" s="100" t="s">
        <v>1060</v>
      </c>
      <c r="F19" s="99">
        <f>INPUT!F27</f>
        <v>260</v>
      </c>
      <c r="G19" s="101" t="s">
        <v>1061</v>
      </c>
      <c r="H19" s="102">
        <f t="shared" si="1"/>
        <v>46800</v>
      </c>
      <c r="I19" s="102">
        <f t="shared" si="2"/>
        <v>0</v>
      </c>
      <c r="J19" s="103"/>
      <c r="K19" s="105">
        <v>180</v>
      </c>
      <c r="L19" s="105">
        <v>46800</v>
      </c>
      <c r="N19" s="106"/>
      <c r="O19" s="106"/>
      <c r="P19" s="106"/>
    </row>
    <row r="20" spans="1:16" s="105" customFormat="1" hidden="1">
      <c r="A20" s="96">
        <v>3</v>
      </c>
      <c r="B20" s="97">
        <f>INPUT!E31</f>
        <v>0</v>
      </c>
      <c r="C20" s="107" t="s">
        <v>5</v>
      </c>
      <c r="D20" s="99">
        <f t="shared" ref="D20:D21" si="3">B20-K20</f>
        <v>0</v>
      </c>
      <c r="E20" s="100" t="s">
        <v>1563</v>
      </c>
      <c r="F20" s="99">
        <f>INPUT!F31</f>
        <v>375</v>
      </c>
      <c r="G20" s="101" t="s">
        <v>274</v>
      </c>
      <c r="H20" s="102">
        <f t="shared" ref="H20:H21" si="4">ROUND(B20*F20,0)</f>
        <v>0</v>
      </c>
      <c r="I20" s="102">
        <f t="shared" ref="I20:I21" si="5">H20-L20</f>
        <v>0</v>
      </c>
      <c r="J20" s="103"/>
      <c r="N20" s="106"/>
      <c r="O20" s="106"/>
      <c r="P20" s="106"/>
    </row>
    <row r="21" spans="1:16" s="105" customFormat="1" hidden="1">
      <c r="A21" s="96">
        <v>4</v>
      </c>
      <c r="B21" s="97">
        <f>INPUT!E32</f>
        <v>0</v>
      </c>
      <c r="C21" s="107" t="s">
        <v>5</v>
      </c>
      <c r="D21" s="99">
        <f t="shared" si="3"/>
        <v>0</v>
      </c>
      <c r="E21" s="100" t="s">
        <v>1564</v>
      </c>
      <c r="F21" s="99">
        <f>INPUT!F32</f>
        <v>739.6</v>
      </c>
      <c r="G21" s="101" t="s">
        <v>274</v>
      </c>
      <c r="H21" s="102">
        <f t="shared" si="4"/>
        <v>0</v>
      </c>
      <c r="I21" s="102">
        <f t="shared" si="5"/>
        <v>0</v>
      </c>
      <c r="J21" s="103"/>
      <c r="N21" s="106"/>
      <c r="O21" s="106"/>
      <c r="P21" s="106"/>
    </row>
    <row r="22" spans="1:16" s="105" customFormat="1">
      <c r="A22" s="96">
        <v>4</v>
      </c>
      <c r="B22" s="97">
        <f>INPUT!E42</f>
        <v>87.509999999999991</v>
      </c>
      <c r="C22" s="107" t="s">
        <v>5</v>
      </c>
      <c r="D22" s="99">
        <f t="shared" si="0"/>
        <v>0</v>
      </c>
      <c r="E22" s="100" t="s">
        <v>1062</v>
      </c>
      <c r="F22" s="99">
        <f>INPUT!F42</f>
        <v>292.39999999999998</v>
      </c>
      <c r="G22" s="101" t="s">
        <v>274</v>
      </c>
      <c r="H22" s="102">
        <f t="shared" si="1"/>
        <v>25588</v>
      </c>
      <c r="I22" s="102">
        <f t="shared" si="2"/>
        <v>0</v>
      </c>
      <c r="J22" s="103"/>
      <c r="K22" s="105">
        <v>87.51</v>
      </c>
      <c r="L22" s="105">
        <v>25588</v>
      </c>
      <c r="N22" s="106"/>
      <c r="O22" s="106"/>
      <c r="P22" s="106"/>
    </row>
    <row r="23" spans="1:16" s="105" customFormat="1" hidden="1">
      <c r="A23" s="96">
        <v>4</v>
      </c>
      <c r="B23" s="97">
        <f>INPUT!E43</f>
        <v>0</v>
      </c>
      <c r="C23" s="107" t="s">
        <v>5</v>
      </c>
      <c r="D23" s="99">
        <f t="shared" ref="D23" si="6">B23-K23</f>
        <v>0</v>
      </c>
      <c r="E23" s="100" t="s">
        <v>1062</v>
      </c>
      <c r="F23" s="99">
        <f>INPUT!F43</f>
        <v>536.4</v>
      </c>
      <c r="G23" s="101" t="s">
        <v>274</v>
      </c>
      <c r="H23" s="102">
        <f t="shared" ref="H23" si="7">ROUND(B23*F23,0)</f>
        <v>0</v>
      </c>
      <c r="I23" s="102">
        <f t="shared" ref="I23" si="8">H23-L23</f>
        <v>0</v>
      </c>
      <c r="J23" s="103"/>
      <c r="N23" s="106"/>
      <c r="O23" s="106"/>
      <c r="P23" s="106"/>
    </row>
    <row r="24" spans="1:16" s="105" customFormat="1">
      <c r="A24" s="96">
        <v>5</v>
      </c>
      <c r="B24" s="97">
        <f>INPUT!E52</f>
        <v>6.07</v>
      </c>
      <c r="C24" s="107" t="s">
        <v>5</v>
      </c>
      <c r="D24" s="99">
        <f t="shared" si="0"/>
        <v>0</v>
      </c>
      <c r="E24" s="100" t="s">
        <v>1063</v>
      </c>
      <c r="F24" s="99">
        <f>INPUT!F52</f>
        <v>984.9</v>
      </c>
      <c r="G24" s="101" t="s">
        <v>274</v>
      </c>
      <c r="H24" s="102">
        <f t="shared" si="1"/>
        <v>5978</v>
      </c>
      <c r="I24" s="102">
        <f t="shared" si="2"/>
        <v>0</v>
      </c>
      <c r="J24" s="103"/>
      <c r="K24" s="105">
        <v>6.07</v>
      </c>
      <c r="L24" s="105">
        <v>5978</v>
      </c>
      <c r="N24" s="106"/>
      <c r="O24" s="106"/>
      <c r="P24" s="106"/>
    </row>
    <row r="25" spans="1:16" s="105" customFormat="1">
      <c r="A25" s="96">
        <v>6</v>
      </c>
      <c r="B25" s="97">
        <f>INPUT!E53</f>
        <v>14.07</v>
      </c>
      <c r="C25" s="107" t="s">
        <v>5</v>
      </c>
      <c r="D25" s="99">
        <f t="shared" ref="D25" si="9">B25-K25</f>
        <v>0.15000000000000036</v>
      </c>
      <c r="E25" s="100" t="s">
        <v>2533</v>
      </c>
      <c r="F25" s="99">
        <f>INPUT!F53</f>
        <v>2098</v>
      </c>
      <c r="G25" s="101" t="s">
        <v>274</v>
      </c>
      <c r="H25" s="102">
        <f t="shared" ref="H25" si="10">ROUND(B25*F25,0)</f>
        <v>29519</v>
      </c>
      <c r="I25" s="102">
        <f t="shared" ref="I25" si="11">H25-L25</f>
        <v>315</v>
      </c>
      <c r="J25" s="103"/>
      <c r="K25" s="105">
        <v>13.92</v>
      </c>
      <c r="L25" s="105">
        <v>29204</v>
      </c>
      <c r="N25" s="106"/>
      <c r="O25" s="106"/>
      <c r="P25" s="106"/>
    </row>
    <row r="26" spans="1:16" s="105" customFormat="1" hidden="1">
      <c r="A26" s="96">
        <v>5</v>
      </c>
      <c r="B26" s="97">
        <f>INPUT!E54</f>
        <v>0</v>
      </c>
      <c r="C26" s="107" t="s">
        <v>5</v>
      </c>
      <c r="D26" s="99">
        <f t="shared" ref="D26" si="12">B26-K26</f>
        <v>0</v>
      </c>
      <c r="E26" s="100" t="s">
        <v>2533</v>
      </c>
      <c r="F26" s="99">
        <f>INPUT!F54</f>
        <v>321</v>
      </c>
      <c r="G26" s="101" t="s">
        <v>274</v>
      </c>
      <c r="H26" s="102">
        <f t="shared" ref="H26" si="13">ROUND(B26*F26,0)</f>
        <v>0</v>
      </c>
      <c r="I26" s="102">
        <f t="shared" ref="I26" si="14">H26-L26</f>
        <v>0</v>
      </c>
      <c r="J26" s="103"/>
      <c r="N26" s="106"/>
      <c r="O26" s="106"/>
      <c r="P26" s="106"/>
    </row>
    <row r="27" spans="1:16" s="105" customFormat="1">
      <c r="A27" s="96">
        <v>7</v>
      </c>
      <c r="B27" s="97">
        <f>INPUT!E74</f>
        <v>38.409999999999997</v>
      </c>
      <c r="C27" s="107" t="s">
        <v>5</v>
      </c>
      <c r="D27" s="99">
        <f t="shared" si="0"/>
        <v>0</v>
      </c>
      <c r="E27" s="100" t="s">
        <v>1064</v>
      </c>
      <c r="F27" s="99">
        <f>INPUT!F74</f>
        <v>1722.3</v>
      </c>
      <c r="G27" s="101" t="s">
        <v>274</v>
      </c>
      <c r="H27" s="102">
        <f t="shared" si="1"/>
        <v>66154</v>
      </c>
      <c r="I27" s="102">
        <f t="shared" si="2"/>
        <v>0</v>
      </c>
      <c r="J27" s="103"/>
      <c r="K27" s="105">
        <v>38.409999999999997</v>
      </c>
      <c r="L27" s="105">
        <v>66154</v>
      </c>
      <c r="N27" s="106"/>
      <c r="O27" s="106"/>
      <c r="P27" s="106"/>
    </row>
    <row r="28" spans="1:16" s="105" customFormat="1" hidden="1">
      <c r="A28" s="96">
        <v>6</v>
      </c>
      <c r="B28" s="97">
        <f>INPUT!E75</f>
        <v>0</v>
      </c>
      <c r="C28" s="107" t="s">
        <v>5</v>
      </c>
      <c r="D28" s="99">
        <f t="shared" ref="D28" si="15">B28-K28</f>
        <v>0</v>
      </c>
      <c r="E28" s="100" t="s">
        <v>1064</v>
      </c>
      <c r="F28" s="99">
        <f>INPUT!F75</f>
        <v>2182.9</v>
      </c>
      <c r="G28" s="101" t="s">
        <v>274</v>
      </c>
      <c r="H28" s="102">
        <f t="shared" ref="H28" si="16">ROUND(B28*F28,0)</f>
        <v>0</v>
      </c>
      <c r="I28" s="102">
        <f t="shared" ref="I28" si="17">H28-L28</f>
        <v>0</v>
      </c>
      <c r="J28" s="103"/>
      <c r="N28" s="106"/>
      <c r="O28" s="106"/>
      <c r="P28" s="106"/>
    </row>
    <row r="29" spans="1:16" s="105" customFormat="1">
      <c r="A29" s="96">
        <v>8</v>
      </c>
      <c r="B29" s="97">
        <f>INPUT!E84</f>
        <v>18.53</v>
      </c>
      <c r="C29" s="107" t="s">
        <v>5</v>
      </c>
      <c r="D29" s="99">
        <f t="shared" si="0"/>
        <v>0</v>
      </c>
      <c r="E29" s="100" t="s">
        <v>1065</v>
      </c>
      <c r="F29" s="99">
        <f>INPUT!F84</f>
        <v>1375.8</v>
      </c>
      <c r="G29" s="101" t="s">
        <v>274</v>
      </c>
      <c r="H29" s="102">
        <f t="shared" si="1"/>
        <v>25494</v>
      </c>
      <c r="I29" s="102">
        <f t="shared" si="2"/>
        <v>0</v>
      </c>
      <c r="J29" s="103"/>
      <c r="K29" s="105">
        <v>18.53</v>
      </c>
      <c r="L29" s="105">
        <v>25494</v>
      </c>
      <c r="N29" s="106"/>
      <c r="O29" s="106"/>
      <c r="P29" s="106"/>
    </row>
    <row r="30" spans="1:16" s="105" customFormat="1" hidden="1">
      <c r="A30" s="96">
        <v>7</v>
      </c>
      <c r="B30" s="97">
        <f>INPUT!E85</f>
        <v>0</v>
      </c>
      <c r="C30" s="107" t="s">
        <v>5</v>
      </c>
      <c r="D30" s="99">
        <f t="shared" ref="D30" si="18">B30-K30</f>
        <v>0</v>
      </c>
      <c r="E30" s="100" t="s">
        <v>1065</v>
      </c>
      <c r="F30" s="99">
        <f>INPUT!F85</f>
        <v>1730.8</v>
      </c>
      <c r="G30" s="101" t="s">
        <v>274</v>
      </c>
      <c r="H30" s="102">
        <f t="shared" ref="H30" si="19">ROUND(B30*F30,0)</f>
        <v>0</v>
      </c>
      <c r="I30" s="102">
        <f t="shared" ref="I30" si="20">H30-L30</f>
        <v>0</v>
      </c>
      <c r="J30" s="103"/>
      <c r="N30" s="106"/>
      <c r="O30" s="106"/>
      <c r="P30" s="106"/>
    </row>
    <row r="31" spans="1:16" s="105" customFormat="1">
      <c r="A31" s="96">
        <v>9</v>
      </c>
      <c r="B31" s="97">
        <f>K45</f>
        <v>1</v>
      </c>
      <c r="C31" s="107" t="s">
        <v>115</v>
      </c>
      <c r="D31" s="99">
        <f t="shared" si="0"/>
        <v>3.2782453646100218E-2</v>
      </c>
      <c r="E31" s="100" t="s">
        <v>1066</v>
      </c>
      <c r="F31" s="108">
        <f>K43</f>
        <v>1098667</v>
      </c>
      <c r="G31" s="101" t="s">
        <v>275</v>
      </c>
      <c r="H31" s="102">
        <f t="shared" si="1"/>
        <v>1098667</v>
      </c>
      <c r="I31" s="102">
        <f t="shared" si="2"/>
        <v>36017</v>
      </c>
      <c r="J31" s="103"/>
      <c r="K31" s="105">
        <f>L31/K44</f>
        <v>0.96721754635389978</v>
      </c>
      <c r="L31" s="105">
        <v>1062650</v>
      </c>
      <c r="N31" s="106"/>
      <c r="O31" s="106"/>
      <c r="P31" s="106"/>
    </row>
    <row r="32" spans="1:16" s="105" customFormat="1">
      <c r="A32" s="96">
        <v>10</v>
      </c>
      <c r="B32" s="97">
        <f>INPUT!E64</f>
        <v>28.47</v>
      </c>
      <c r="C32" s="107" t="s">
        <v>5</v>
      </c>
      <c r="D32" s="99">
        <f t="shared" si="0"/>
        <v>-1.0000000000001563E-2</v>
      </c>
      <c r="E32" s="100" t="s">
        <v>1067</v>
      </c>
      <c r="F32" s="99">
        <f>INPUT!F64</f>
        <v>2098</v>
      </c>
      <c r="G32" s="101" t="s">
        <v>274</v>
      </c>
      <c r="H32" s="102">
        <f t="shared" si="1"/>
        <v>59730</v>
      </c>
      <c r="I32" s="102">
        <f t="shared" si="2"/>
        <v>-21</v>
      </c>
      <c r="J32" s="103"/>
      <c r="K32" s="105">
        <v>28.48</v>
      </c>
      <c r="L32" s="105">
        <v>59751</v>
      </c>
      <c r="N32" s="106"/>
      <c r="O32" s="106"/>
      <c r="P32" s="106"/>
    </row>
    <row r="33" spans="1:16" s="105" customFormat="1" hidden="1">
      <c r="A33" s="96">
        <v>10</v>
      </c>
      <c r="B33" s="97">
        <f>INPUT!E65</f>
        <v>0</v>
      </c>
      <c r="C33" s="107" t="s">
        <v>5</v>
      </c>
      <c r="D33" s="99">
        <f t="shared" ref="D33" si="21">B33-K33</f>
        <v>0</v>
      </c>
      <c r="E33" s="100" t="s">
        <v>1236</v>
      </c>
      <c r="F33" s="99">
        <f>INPUT!F65</f>
        <v>1742</v>
      </c>
      <c r="G33" s="101" t="s">
        <v>274</v>
      </c>
      <c r="H33" s="102">
        <f t="shared" ref="H33" si="22">ROUND(B33*F33,0)</f>
        <v>0</v>
      </c>
      <c r="I33" s="102">
        <f t="shared" ref="I33" si="23">H33-L33</f>
        <v>0</v>
      </c>
      <c r="J33" s="103"/>
      <c r="N33" s="106"/>
      <c r="O33" s="106"/>
      <c r="P33" s="106"/>
    </row>
    <row r="34" spans="1:16" s="105" customFormat="1">
      <c r="A34" s="96">
        <v>11</v>
      </c>
      <c r="B34" s="222">
        <f>INPUT!E102</f>
        <v>2.2200000000000002</v>
      </c>
      <c r="C34" s="107" t="s">
        <v>29</v>
      </c>
      <c r="D34" s="99">
        <f t="shared" si="0"/>
        <v>0</v>
      </c>
      <c r="E34" s="100" t="s">
        <v>1068</v>
      </c>
      <c r="F34" s="99">
        <f>INPUT!F102</f>
        <v>62540</v>
      </c>
      <c r="G34" s="101" t="s">
        <v>280</v>
      </c>
      <c r="H34" s="102">
        <f t="shared" si="1"/>
        <v>138839</v>
      </c>
      <c r="I34" s="102">
        <f t="shared" si="2"/>
        <v>0</v>
      </c>
      <c r="J34" s="103"/>
      <c r="K34" s="105">
        <v>2.2200000000000002</v>
      </c>
      <c r="L34" s="105">
        <v>138839</v>
      </c>
      <c r="N34" s="106"/>
      <c r="O34" s="106"/>
      <c r="P34" s="106"/>
    </row>
    <row r="35" spans="1:16" s="105" customFormat="1">
      <c r="A35" s="96">
        <v>12</v>
      </c>
      <c r="B35" s="222">
        <f>INPUT!E103</f>
        <v>1.82</v>
      </c>
      <c r="C35" s="107" t="s">
        <v>29</v>
      </c>
      <c r="D35" s="99">
        <f t="shared" ref="D35:D39" si="24">B35-K35</f>
        <v>0</v>
      </c>
      <c r="E35" s="100" t="s">
        <v>1068</v>
      </c>
      <c r="F35" s="99">
        <f>INPUT!F103</f>
        <v>63720</v>
      </c>
      <c r="G35" s="101" t="s">
        <v>280</v>
      </c>
      <c r="H35" s="102">
        <f t="shared" ref="H35:H39" si="25">ROUND(B35*F35,0)</f>
        <v>115970</v>
      </c>
      <c r="I35" s="102">
        <f t="shared" ref="I35:I39" si="26">H35-L35</f>
        <v>0</v>
      </c>
      <c r="J35" s="103"/>
      <c r="K35" s="105">
        <v>1.82</v>
      </c>
      <c r="L35" s="105">
        <v>115970</v>
      </c>
      <c r="N35" s="106"/>
      <c r="O35" s="106"/>
      <c r="P35" s="106"/>
    </row>
    <row r="36" spans="1:16" s="105" customFormat="1">
      <c r="A36" s="96">
        <v>13</v>
      </c>
      <c r="B36" s="222">
        <f>INPUT!E104</f>
        <v>0.20999999999999974</v>
      </c>
      <c r="C36" s="107" t="s">
        <v>29</v>
      </c>
      <c r="D36" s="99">
        <f t="shared" si="24"/>
        <v>-2.4980018054066022E-16</v>
      </c>
      <c r="E36" s="100" t="s">
        <v>1068</v>
      </c>
      <c r="F36" s="99">
        <f>INPUT!F104</f>
        <v>84960</v>
      </c>
      <c r="G36" s="101" t="s">
        <v>280</v>
      </c>
      <c r="H36" s="102">
        <f t="shared" si="25"/>
        <v>17842</v>
      </c>
      <c r="I36" s="102">
        <f t="shared" si="26"/>
        <v>0</v>
      </c>
      <c r="J36" s="103"/>
      <c r="K36" s="105">
        <v>0.21</v>
      </c>
      <c r="L36" s="105">
        <v>17842</v>
      </c>
      <c r="N36" s="106"/>
      <c r="O36" s="106"/>
      <c r="P36" s="106"/>
    </row>
    <row r="37" spans="1:16" s="105" customFormat="1" hidden="1">
      <c r="A37" s="96">
        <v>15</v>
      </c>
      <c r="B37" s="222">
        <f>INPUT!E105</f>
        <v>0</v>
      </c>
      <c r="C37" s="107" t="s">
        <v>29</v>
      </c>
      <c r="D37" s="99">
        <f t="shared" si="24"/>
        <v>0</v>
      </c>
      <c r="E37" s="100" t="s">
        <v>1068</v>
      </c>
      <c r="F37" s="99">
        <f>INPUT!F105</f>
        <v>71980</v>
      </c>
      <c r="G37" s="101" t="s">
        <v>280</v>
      </c>
      <c r="H37" s="102">
        <f t="shared" si="25"/>
        <v>0</v>
      </c>
      <c r="I37" s="102">
        <f t="shared" si="26"/>
        <v>0</v>
      </c>
      <c r="J37" s="103"/>
      <c r="N37" s="106"/>
      <c r="O37" s="106"/>
      <c r="P37" s="106"/>
    </row>
    <row r="38" spans="1:16" s="105" customFormat="1" hidden="1">
      <c r="A38" s="96">
        <v>16</v>
      </c>
      <c r="B38" s="222">
        <f>INPUT!E106</f>
        <v>0</v>
      </c>
      <c r="C38" s="107" t="s">
        <v>29</v>
      </c>
      <c r="D38" s="99">
        <f t="shared" si="24"/>
        <v>0</v>
      </c>
      <c r="E38" s="100" t="s">
        <v>1068</v>
      </c>
      <c r="F38" s="99">
        <f>INPUT!F106</f>
        <v>75520</v>
      </c>
      <c r="G38" s="101" t="s">
        <v>280</v>
      </c>
      <c r="H38" s="102">
        <f t="shared" si="25"/>
        <v>0</v>
      </c>
      <c r="I38" s="102">
        <f t="shared" si="26"/>
        <v>0</v>
      </c>
      <c r="J38" s="103"/>
      <c r="N38" s="106"/>
      <c r="O38" s="106"/>
      <c r="P38" s="106"/>
    </row>
    <row r="39" spans="1:16" s="105" customFormat="1" hidden="1">
      <c r="A39" s="96">
        <v>10</v>
      </c>
      <c r="B39" s="222">
        <f>INPUT!E107</f>
        <v>0</v>
      </c>
      <c r="C39" s="107" t="s">
        <v>29</v>
      </c>
      <c r="D39" s="99">
        <f t="shared" si="24"/>
        <v>0</v>
      </c>
      <c r="E39" s="100" t="s">
        <v>1068</v>
      </c>
      <c r="F39" s="99">
        <f>INPUT!F107</f>
        <v>35000</v>
      </c>
      <c r="G39" s="101" t="s">
        <v>280</v>
      </c>
      <c r="H39" s="102">
        <f t="shared" si="25"/>
        <v>0</v>
      </c>
      <c r="I39" s="102">
        <f t="shared" si="26"/>
        <v>0</v>
      </c>
      <c r="J39" s="103"/>
      <c r="N39" s="106"/>
      <c r="O39" s="106"/>
      <c r="P39" s="106"/>
    </row>
    <row r="40" spans="1:16" s="105" customFormat="1" hidden="1">
      <c r="A40" s="96">
        <v>14</v>
      </c>
      <c r="B40" s="97">
        <v>1</v>
      </c>
      <c r="C40" s="109" t="s">
        <v>115</v>
      </c>
      <c r="D40" s="110"/>
      <c r="E40" s="100" t="s">
        <v>1598</v>
      </c>
      <c r="F40" s="99">
        <f>'PART-A'!M4509</f>
        <v>0</v>
      </c>
      <c r="G40" s="101" t="s">
        <v>275</v>
      </c>
      <c r="H40" s="102">
        <f t="shared" ref="H40" si="27">ROUND(B40*F40,0)</f>
        <v>0</v>
      </c>
      <c r="I40" s="102">
        <f t="shared" ref="I40" si="28">H40-L40</f>
        <v>0</v>
      </c>
      <c r="J40" s="103"/>
      <c r="N40" s="106"/>
      <c r="O40" s="106"/>
      <c r="P40" s="106"/>
    </row>
    <row r="41" spans="1:16" s="105" customFormat="1">
      <c r="A41" s="96">
        <v>14</v>
      </c>
      <c r="B41" s="97">
        <f>H41/F41</f>
        <v>0.66666666666666663</v>
      </c>
      <c r="C41" s="109" t="s">
        <v>115</v>
      </c>
      <c r="D41" s="110"/>
      <c r="E41" s="100" t="s">
        <v>2426</v>
      </c>
      <c r="F41" s="99">
        <v>30000</v>
      </c>
      <c r="G41" s="101" t="s">
        <v>275</v>
      </c>
      <c r="H41" s="102">
        <v>20000</v>
      </c>
      <c r="I41" s="102">
        <f t="shared" ref="I41" si="29">H41-L41</f>
        <v>20000</v>
      </c>
      <c r="J41" s="103"/>
      <c r="N41" s="106"/>
      <c r="O41" s="106"/>
      <c r="P41" s="106"/>
    </row>
    <row r="42" spans="1:16" s="105" customFormat="1">
      <c r="A42" s="96">
        <v>15</v>
      </c>
      <c r="B42" s="97">
        <f>H42/F42</f>
        <v>0.9870066666666667</v>
      </c>
      <c r="C42" s="109" t="s">
        <v>115</v>
      </c>
      <c r="D42" s="110"/>
      <c r="E42" s="100" t="s">
        <v>2427</v>
      </c>
      <c r="F42" s="99">
        <v>300000</v>
      </c>
      <c r="G42" s="101" t="s">
        <v>275</v>
      </c>
      <c r="H42" s="102">
        <f>'PART-B'!M1571-20000</f>
        <v>296102</v>
      </c>
      <c r="I42" s="102">
        <f t="shared" ref="I42" si="30">H42-L42</f>
        <v>-1423</v>
      </c>
      <c r="J42" s="103"/>
      <c r="K42" s="105">
        <v>0.99</v>
      </c>
      <c r="L42" s="105">
        <v>297525</v>
      </c>
      <c r="N42" s="106"/>
      <c r="O42" s="106"/>
      <c r="P42" s="106"/>
    </row>
    <row r="43" spans="1:16" s="105" customFormat="1" hidden="1">
      <c r="A43" s="96">
        <v>14</v>
      </c>
      <c r="B43" s="97"/>
      <c r="C43" s="109"/>
      <c r="D43" s="110"/>
      <c r="E43" s="100"/>
      <c r="F43" s="99"/>
      <c r="G43" s="101"/>
      <c r="H43" s="102"/>
      <c r="I43" s="102"/>
      <c r="J43" s="103"/>
      <c r="K43" s="111">
        <f>K44</f>
        <v>1098667</v>
      </c>
      <c r="N43" s="106"/>
      <c r="O43" s="106"/>
      <c r="P43" s="106"/>
    </row>
    <row r="44" spans="1:16" s="105" customFormat="1">
      <c r="A44" s="96"/>
      <c r="B44" s="97"/>
      <c r="C44" s="109"/>
      <c r="D44" s="110"/>
      <c r="E44" s="100"/>
      <c r="F44" s="99"/>
      <c r="G44" s="101"/>
      <c r="H44" s="102"/>
      <c r="I44" s="102"/>
      <c r="J44" s="103"/>
      <c r="K44" s="111">
        <f>INPUT!H109</f>
        <v>1098667</v>
      </c>
      <c r="N44" s="106"/>
      <c r="O44" s="106"/>
      <c r="P44" s="106"/>
    </row>
    <row r="45" spans="1:16" s="122" customFormat="1" ht="12">
      <c r="A45" s="112"/>
      <c r="B45" s="113"/>
      <c r="C45" s="114"/>
      <c r="D45" s="115"/>
      <c r="E45" s="116"/>
      <c r="F45" s="117"/>
      <c r="G45" s="118"/>
      <c r="H45" s="119"/>
      <c r="I45" s="120"/>
      <c r="J45" s="121"/>
      <c r="K45" s="104">
        <f>K44/K43</f>
        <v>1</v>
      </c>
    </row>
    <row r="46" spans="1:16" s="130" customFormat="1" ht="18" customHeight="1">
      <c r="A46" s="123"/>
      <c r="B46" s="124"/>
      <c r="C46" s="125"/>
      <c r="D46" s="126"/>
      <c r="E46" s="1764" t="s">
        <v>1069</v>
      </c>
      <c r="F46" s="1764"/>
      <c r="G46" s="127" t="s">
        <v>1070</v>
      </c>
      <c r="H46" s="128">
        <f>SUM(H16:H45)</f>
        <v>2032321</v>
      </c>
      <c r="I46" s="128">
        <f>SUM(I16:I45)</f>
        <v>54921</v>
      </c>
      <c r="J46" s="129"/>
      <c r="L46" s="128">
        <f>SUM(L17:L45)</f>
        <v>1977400</v>
      </c>
      <c r="M46" s="128"/>
    </row>
    <row r="47" spans="1:16" s="130" customFormat="1" ht="12" customHeight="1">
      <c r="A47" s="123"/>
      <c r="B47" s="124"/>
      <c r="C47" s="125"/>
      <c r="D47" s="126"/>
      <c r="E47" s="1764" t="s">
        <v>1071</v>
      </c>
      <c r="F47" s="1764"/>
      <c r="G47" s="127" t="s">
        <v>1070</v>
      </c>
      <c r="H47" s="128">
        <f>L46</f>
        <v>1977400</v>
      </c>
      <c r="I47" s="131"/>
      <c r="J47" s="129"/>
    </row>
    <row r="48" spans="1:16" s="130" customFormat="1" ht="15" customHeight="1">
      <c r="A48" s="132"/>
      <c r="B48" s="133"/>
      <c r="C48" s="134"/>
      <c r="D48" s="135"/>
      <c r="E48" s="1765" t="s">
        <v>1072</v>
      </c>
      <c r="F48" s="1765"/>
      <c r="G48" s="136" t="s">
        <v>1070</v>
      </c>
      <c r="H48" s="137">
        <f>H46-H47</f>
        <v>54921</v>
      </c>
      <c r="I48" s="1766"/>
      <c r="J48" s="1767"/>
    </row>
    <row r="49" spans="1:16" s="92" customFormat="1" ht="30.75" customHeight="1">
      <c r="B49" s="1768" t="s">
        <v>1073</v>
      </c>
      <c r="C49" s="1768"/>
      <c r="D49" s="1768"/>
      <c r="E49" s="1768"/>
      <c r="F49" s="244"/>
      <c r="G49" s="244"/>
      <c r="H49" s="1769" t="s">
        <v>1074</v>
      </c>
      <c r="I49" s="1769"/>
      <c r="J49" s="1769"/>
      <c r="K49" s="91"/>
      <c r="L49" s="91"/>
      <c r="M49" s="91"/>
    </row>
    <row r="50" spans="1:16" s="92" customFormat="1" ht="81.75" customHeight="1">
      <c r="B50" s="138"/>
      <c r="C50" s="139"/>
      <c r="D50" s="1770" t="s">
        <v>3992</v>
      </c>
      <c r="E50" s="1770"/>
      <c r="F50" s="1761" t="s">
        <v>1075</v>
      </c>
      <c r="G50" s="1761"/>
      <c r="H50" s="1761"/>
      <c r="I50" s="1761"/>
      <c r="J50" s="1761"/>
      <c r="K50" s="91">
        <f>[5]WORK!B60</f>
        <v>0</v>
      </c>
      <c r="L50" s="91"/>
      <c r="M50" s="91"/>
    </row>
    <row r="51" spans="1:16" s="92" customFormat="1" ht="3" customHeight="1">
      <c r="B51" s="138"/>
      <c r="C51" s="139"/>
      <c r="D51" s="1760"/>
      <c r="E51" s="1760"/>
      <c r="F51" s="139"/>
      <c r="G51" s="139"/>
      <c r="H51" s="139"/>
      <c r="I51" s="139"/>
      <c r="J51" s="139"/>
      <c r="K51" s="91"/>
      <c r="L51" s="91"/>
      <c r="M51" s="91"/>
    </row>
    <row r="52" spans="1:16" s="92" customFormat="1" ht="37.5" customHeight="1">
      <c r="B52" s="138"/>
      <c r="C52" s="139"/>
      <c r="D52" s="1760" t="s">
        <v>1076</v>
      </c>
      <c r="E52" s="1760"/>
      <c r="F52" s="1761" t="s">
        <v>1077</v>
      </c>
      <c r="G52" s="1761"/>
      <c r="H52" s="1761"/>
      <c r="I52" s="1761"/>
      <c r="J52" s="1761"/>
      <c r="K52" s="91"/>
      <c r="L52" s="91"/>
      <c r="M52" s="91"/>
    </row>
    <row r="53" spans="1:16" s="92" customFormat="1" ht="21.75" customHeight="1">
      <c r="B53" s="138"/>
      <c r="C53" s="139"/>
      <c r="D53" s="1760" t="s">
        <v>1078</v>
      </c>
      <c r="E53" s="1760"/>
      <c r="F53" s="1761" t="s">
        <v>1079</v>
      </c>
      <c r="G53" s="1761"/>
      <c r="H53" s="1761"/>
      <c r="I53" s="1761" t="s">
        <v>1080</v>
      </c>
      <c r="J53" s="1761"/>
      <c r="K53" s="91"/>
      <c r="L53" s="91"/>
      <c r="M53" s="91"/>
    </row>
    <row r="54" spans="1:16" ht="12.75" customHeight="1">
      <c r="B54" s="140"/>
      <c r="C54" s="141"/>
      <c r="D54" s="1771"/>
      <c r="E54" s="1771"/>
      <c r="F54" s="1772"/>
      <c r="G54" s="1772"/>
      <c r="H54" s="1772"/>
      <c r="I54" s="1773"/>
      <c r="J54" s="1773"/>
    </row>
    <row r="55" spans="1:16" ht="15" customHeight="1">
      <c r="B55" s="140"/>
      <c r="C55" s="141"/>
      <c r="D55" s="142"/>
      <c r="E55" s="143" t="str">
        <f>'lead 19-20'!K31</f>
        <v>Assistant  Engineer</v>
      </c>
      <c r="F55" s="141"/>
      <c r="G55" s="141"/>
      <c r="H55" s="141"/>
      <c r="I55" s="246"/>
      <c r="J55" s="246"/>
    </row>
    <row r="56" spans="1:16" ht="12.75" customHeight="1">
      <c r="B56" s="140"/>
      <c r="C56" s="141"/>
      <c r="D56" s="142"/>
      <c r="E56" s="143" t="str">
        <f>'lead 19-20'!K32</f>
        <v>Mandal Praja parishad</v>
      </c>
      <c r="F56" s="141"/>
      <c r="G56" s="141"/>
      <c r="H56" s="141"/>
      <c r="I56" s="246"/>
      <c r="J56" s="246"/>
    </row>
    <row r="57" spans="1:16" ht="12.75" customHeight="1">
      <c r="B57" s="140"/>
      <c r="C57" s="141"/>
      <c r="D57" s="142"/>
      <c r="E57" s="143" t="str">
        <f>'lead 19-20'!K33</f>
        <v>Kanigiri</v>
      </c>
      <c r="F57" s="141"/>
      <c r="G57" s="141"/>
      <c r="H57" s="141"/>
      <c r="I57" s="246"/>
      <c r="J57" s="246"/>
    </row>
    <row r="58" spans="1:16" s="84" customFormat="1" ht="12.75" customHeight="1">
      <c r="A58" s="85"/>
      <c r="B58" s="140"/>
      <c r="C58" s="141"/>
      <c r="D58" s="142"/>
      <c r="E58" s="245"/>
      <c r="F58" s="141"/>
      <c r="G58" s="141"/>
      <c r="H58" s="141"/>
      <c r="I58" s="246"/>
      <c r="J58" s="246"/>
      <c r="N58" s="85"/>
      <c r="O58" s="85"/>
      <c r="P58" s="85"/>
    </row>
    <row r="59" spans="1:16" s="84" customFormat="1">
      <c r="A59" s="85"/>
      <c r="B59" s="144"/>
      <c r="C59" s="145"/>
      <c r="D59" s="146"/>
      <c r="E59" s="145"/>
      <c r="F59" s="145"/>
      <c r="G59" s="145"/>
      <c r="H59" s="145"/>
      <c r="I59" s="145"/>
      <c r="J59" s="145"/>
      <c r="N59" s="85"/>
      <c r="O59" s="85"/>
      <c r="P59" s="85"/>
    </row>
    <row r="60" spans="1:16" s="84" customFormat="1">
      <c r="A60" s="85"/>
      <c r="B60" s="144"/>
      <c r="C60" s="145"/>
      <c r="D60" s="146"/>
      <c r="E60" s="145"/>
      <c r="F60" s="145"/>
      <c r="G60" s="145"/>
      <c r="H60" s="145"/>
      <c r="I60" s="145"/>
      <c r="J60" s="145"/>
      <c r="N60" s="85"/>
      <c r="O60" s="85"/>
      <c r="P60" s="85"/>
    </row>
    <row r="61" spans="1:16" s="84" customFormat="1">
      <c r="A61" s="85"/>
      <c r="B61" s="144"/>
      <c r="C61" s="145"/>
      <c r="D61" s="146"/>
      <c r="E61" s="145"/>
      <c r="F61" s="145"/>
      <c r="G61" s="145"/>
      <c r="H61" s="145"/>
      <c r="I61" s="145"/>
      <c r="J61" s="145"/>
      <c r="N61" s="85"/>
      <c r="O61" s="85"/>
      <c r="P61" s="85"/>
    </row>
    <row r="62" spans="1:16" s="84" customFormat="1">
      <c r="A62" s="85"/>
      <c r="B62" s="144"/>
      <c r="C62" s="145"/>
      <c r="D62" s="146"/>
      <c r="E62" s="145"/>
      <c r="F62" s="145"/>
      <c r="G62" s="145"/>
      <c r="H62" s="145"/>
      <c r="I62" s="145"/>
      <c r="J62" s="145"/>
      <c r="N62" s="85"/>
      <c r="O62" s="85"/>
      <c r="P62" s="85"/>
    </row>
    <row r="63" spans="1:16" s="84" customFormat="1">
      <c r="A63" s="85"/>
      <c r="B63" s="144"/>
      <c r="C63" s="145"/>
      <c r="D63" s="146"/>
      <c r="E63" s="145"/>
      <c r="F63" s="145"/>
      <c r="G63" s="145"/>
      <c r="H63" s="145"/>
      <c r="I63" s="145"/>
      <c r="J63" s="145"/>
      <c r="N63" s="85"/>
      <c r="O63" s="85"/>
      <c r="P63" s="85"/>
    </row>
    <row r="64" spans="1:16" s="84" customFormat="1">
      <c r="A64" s="85"/>
      <c r="B64" s="144"/>
      <c r="C64" s="145"/>
      <c r="D64" s="146"/>
      <c r="E64" s="145"/>
      <c r="F64" s="145"/>
      <c r="G64" s="145"/>
      <c r="H64" s="145"/>
      <c r="I64" s="145"/>
      <c r="J64" s="145"/>
      <c r="N64" s="85"/>
      <c r="O64" s="85"/>
      <c r="P64" s="85"/>
    </row>
    <row r="65" spans="1:16" s="84" customFormat="1">
      <c r="A65" s="85"/>
      <c r="B65" s="144"/>
      <c r="C65" s="145"/>
      <c r="D65" s="146"/>
      <c r="E65" s="145"/>
      <c r="F65" s="145"/>
      <c r="G65" s="145"/>
      <c r="H65" s="145"/>
      <c r="I65" s="145"/>
      <c r="J65" s="145"/>
      <c r="N65" s="85"/>
      <c r="O65" s="85"/>
      <c r="P65" s="85"/>
    </row>
    <row r="66" spans="1:16" s="84" customFormat="1">
      <c r="A66" s="85"/>
      <c r="B66" s="144"/>
      <c r="C66" s="145"/>
      <c r="D66" s="146"/>
      <c r="E66" s="145"/>
      <c r="F66" s="145"/>
      <c r="G66" s="145"/>
      <c r="H66" s="145"/>
      <c r="I66" s="145"/>
      <c r="J66" s="145"/>
      <c r="N66" s="85"/>
      <c r="O66" s="85"/>
      <c r="P66" s="85"/>
    </row>
    <row r="67" spans="1:16" s="84" customFormat="1">
      <c r="A67" s="85"/>
      <c r="B67" s="144"/>
      <c r="C67" s="145"/>
      <c r="D67" s="146"/>
      <c r="E67" s="145"/>
      <c r="F67" s="145"/>
      <c r="G67" s="145"/>
      <c r="H67" s="145"/>
      <c r="I67" s="145"/>
      <c r="J67" s="145"/>
      <c r="N67" s="85"/>
      <c r="O67" s="85"/>
      <c r="P67" s="85"/>
    </row>
    <row r="68" spans="1:16" s="84" customFormat="1">
      <c r="A68" s="85"/>
      <c r="B68" s="144"/>
      <c r="C68" s="145"/>
      <c r="D68" s="146"/>
      <c r="E68" s="145"/>
      <c r="F68" s="145"/>
      <c r="G68" s="145"/>
      <c r="H68" s="145"/>
      <c r="I68" s="145"/>
      <c r="J68" s="145"/>
      <c r="N68" s="85"/>
      <c r="O68" s="85"/>
      <c r="P68" s="85"/>
    </row>
    <row r="69" spans="1:16" s="84" customFormat="1">
      <c r="A69" s="85"/>
      <c r="B69" s="144"/>
      <c r="C69" s="145"/>
      <c r="D69" s="146"/>
      <c r="E69" s="145"/>
      <c r="F69" s="145"/>
      <c r="G69" s="145"/>
      <c r="H69" s="145"/>
      <c r="I69" s="145"/>
      <c r="J69" s="145"/>
      <c r="N69" s="85"/>
      <c r="O69" s="85"/>
      <c r="P69" s="85"/>
    </row>
    <row r="70" spans="1:16" s="84" customFormat="1">
      <c r="A70" s="85"/>
      <c r="B70" s="144"/>
      <c r="C70" s="145"/>
      <c r="D70" s="146"/>
      <c r="E70" s="145"/>
      <c r="F70" s="145"/>
      <c r="G70" s="145"/>
      <c r="H70" s="145"/>
      <c r="I70" s="145"/>
      <c r="J70" s="145"/>
      <c r="N70" s="85"/>
      <c r="O70" s="85"/>
      <c r="P70" s="85"/>
    </row>
    <row r="71" spans="1:16" s="84" customFormat="1">
      <c r="A71" s="85"/>
      <c r="B71" s="144"/>
      <c r="C71" s="145"/>
      <c r="D71" s="146"/>
      <c r="E71" s="145"/>
      <c r="F71" s="145"/>
      <c r="G71" s="145"/>
      <c r="H71" s="145"/>
      <c r="I71" s="145"/>
      <c r="J71" s="145"/>
      <c r="N71" s="85"/>
      <c r="O71" s="85"/>
      <c r="P71" s="85"/>
    </row>
    <row r="72" spans="1:16" s="84" customFormat="1">
      <c r="A72" s="85"/>
      <c r="B72" s="144"/>
      <c r="C72" s="145"/>
      <c r="D72" s="146"/>
      <c r="E72" s="145"/>
      <c r="F72" s="145"/>
      <c r="G72" s="145"/>
      <c r="H72" s="145"/>
      <c r="I72" s="145"/>
      <c r="J72" s="145"/>
      <c r="N72" s="85"/>
      <c r="O72" s="85"/>
      <c r="P72" s="85"/>
    </row>
    <row r="73" spans="1:16" s="84" customFormat="1">
      <c r="A73" s="85"/>
      <c r="B73" s="144"/>
      <c r="C73" s="145"/>
      <c r="D73" s="146"/>
      <c r="E73" s="145"/>
      <c r="F73" s="145"/>
      <c r="G73" s="145"/>
      <c r="H73" s="145"/>
      <c r="I73" s="145"/>
      <c r="J73" s="145"/>
      <c r="N73" s="85"/>
      <c r="O73" s="85"/>
      <c r="P73" s="85"/>
    </row>
    <row r="74" spans="1:16" s="84" customFormat="1">
      <c r="A74" s="85"/>
      <c r="B74" s="144"/>
      <c r="C74" s="145"/>
      <c r="D74" s="146"/>
      <c r="E74" s="145"/>
      <c r="F74" s="145"/>
      <c r="G74" s="145"/>
      <c r="H74" s="145"/>
      <c r="I74" s="145"/>
      <c r="J74" s="145"/>
      <c r="N74" s="85"/>
      <c r="O74" s="85"/>
      <c r="P74" s="85"/>
    </row>
    <row r="75" spans="1:16" s="84" customFormat="1">
      <c r="A75" s="85"/>
      <c r="B75" s="144"/>
      <c r="C75" s="145"/>
      <c r="D75" s="146"/>
      <c r="E75" s="145"/>
      <c r="F75" s="145"/>
      <c r="G75" s="145"/>
      <c r="H75" s="145"/>
      <c r="I75" s="145"/>
      <c r="J75" s="145"/>
      <c r="N75" s="85"/>
      <c r="O75" s="85"/>
      <c r="P75" s="85"/>
    </row>
    <row r="76" spans="1:16" s="84" customFormat="1">
      <c r="A76" s="85"/>
      <c r="B76" s="144"/>
      <c r="C76" s="145"/>
      <c r="D76" s="146"/>
      <c r="E76" s="145"/>
      <c r="F76" s="145"/>
      <c r="G76" s="145"/>
      <c r="H76" s="145"/>
      <c r="I76" s="145"/>
      <c r="J76" s="145"/>
      <c r="N76" s="85"/>
      <c r="O76" s="85"/>
      <c r="P76" s="85"/>
    </row>
    <row r="77" spans="1:16" s="84" customFormat="1">
      <c r="A77" s="85"/>
      <c r="B77" s="144"/>
      <c r="C77" s="145"/>
      <c r="D77" s="146"/>
      <c r="E77" s="145"/>
      <c r="F77" s="145"/>
      <c r="G77" s="145"/>
      <c r="H77" s="145"/>
      <c r="I77" s="145"/>
      <c r="J77" s="145"/>
      <c r="N77" s="85"/>
      <c r="O77" s="85"/>
      <c r="P77" s="85"/>
    </row>
    <row r="78" spans="1:16" s="84" customFormat="1">
      <c r="A78" s="85"/>
      <c r="B78" s="144"/>
      <c r="C78" s="145"/>
      <c r="D78" s="146"/>
      <c r="E78" s="145"/>
      <c r="F78" s="145"/>
      <c r="G78" s="145"/>
      <c r="H78" s="145"/>
      <c r="I78" s="145"/>
      <c r="J78" s="145"/>
      <c r="N78" s="85"/>
      <c r="O78" s="85"/>
      <c r="P78" s="85"/>
    </row>
    <row r="79" spans="1:16" s="84" customFormat="1">
      <c r="A79" s="85"/>
      <c r="B79" s="144"/>
      <c r="C79" s="145"/>
      <c r="D79" s="146"/>
      <c r="E79" s="145"/>
      <c r="F79" s="145"/>
      <c r="G79" s="145"/>
      <c r="H79" s="145"/>
      <c r="I79" s="145"/>
      <c r="J79" s="145"/>
      <c r="N79" s="85"/>
      <c r="O79" s="85"/>
      <c r="P79" s="85"/>
    </row>
    <row r="80" spans="1:16" s="84" customFormat="1">
      <c r="A80" s="85"/>
      <c r="B80" s="144"/>
      <c r="C80" s="145"/>
      <c r="D80" s="146"/>
      <c r="E80" s="145"/>
      <c r="F80" s="145"/>
      <c r="G80" s="145"/>
      <c r="H80" s="145"/>
      <c r="I80" s="145"/>
      <c r="J80" s="145"/>
      <c r="N80" s="85"/>
      <c r="O80" s="85"/>
      <c r="P80" s="85"/>
    </row>
    <row r="81" spans="1:16" s="84" customFormat="1">
      <c r="A81" s="85"/>
      <c r="B81" s="144"/>
      <c r="C81" s="145"/>
      <c r="D81" s="146"/>
      <c r="E81" s="145"/>
      <c r="F81" s="145"/>
      <c r="G81" s="145"/>
      <c r="H81" s="145"/>
      <c r="I81" s="145"/>
      <c r="J81" s="145"/>
      <c r="N81" s="85"/>
      <c r="O81" s="85"/>
      <c r="P81" s="85"/>
    </row>
    <row r="82" spans="1:16" s="84" customFormat="1">
      <c r="A82" s="85"/>
      <c r="B82" s="144"/>
      <c r="C82" s="145"/>
      <c r="D82" s="146"/>
      <c r="E82" s="145"/>
      <c r="F82" s="145"/>
      <c r="G82" s="145"/>
      <c r="H82" s="145"/>
      <c r="I82" s="145"/>
      <c r="J82" s="145"/>
      <c r="N82" s="85"/>
      <c r="O82" s="85"/>
      <c r="P82" s="85"/>
    </row>
    <row r="83" spans="1:16" s="84" customFormat="1">
      <c r="A83" s="85"/>
      <c r="B83" s="144"/>
      <c r="C83" s="145"/>
      <c r="D83" s="146"/>
      <c r="E83" s="145"/>
      <c r="F83" s="145"/>
      <c r="G83" s="145"/>
      <c r="H83" s="145"/>
      <c r="I83" s="145"/>
      <c r="J83" s="145"/>
      <c r="N83" s="85"/>
      <c r="O83" s="85"/>
      <c r="P83" s="85"/>
    </row>
    <row r="84" spans="1:16" s="84" customFormat="1">
      <c r="A84" s="85"/>
      <c r="B84" s="144"/>
      <c r="C84" s="145"/>
      <c r="D84" s="146"/>
      <c r="E84" s="145"/>
      <c r="F84" s="145"/>
      <c r="G84" s="145"/>
      <c r="H84" s="145"/>
      <c r="I84" s="145"/>
      <c r="J84" s="145"/>
      <c r="N84" s="85"/>
      <c r="O84" s="85"/>
      <c r="P84" s="85"/>
    </row>
    <row r="85" spans="1:16" s="84" customFormat="1">
      <c r="A85" s="85"/>
      <c r="B85" s="144"/>
      <c r="C85" s="145"/>
      <c r="D85" s="146"/>
      <c r="E85" s="145"/>
      <c r="F85" s="145"/>
      <c r="G85" s="145"/>
      <c r="H85" s="145"/>
      <c r="I85" s="145"/>
      <c r="J85" s="145"/>
      <c r="N85" s="85"/>
      <c r="O85" s="85"/>
      <c r="P85" s="85"/>
    </row>
    <row r="86" spans="1:16" s="84" customFormat="1">
      <c r="A86" s="85"/>
      <c r="B86" s="144"/>
      <c r="C86" s="145"/>
      <c r="D86" s="146"/>
      <c r="E86" s="145"/>
      <c r="F86" s="145"/>
      <c r="G86" s="145"/>
      <c r="H86" s="145"/>
      <c r="I86" s="145"/>
      <c r="J86" s="145"/>
      <c r="N86" s="85"/>
      <c r="O86" s="85"/>
      <c r="P86" s="85"/>
    </row>
    <row r="87" spans="1:16" s="84" customFormat="1">
      <c r="A87" s="85"/>
      <c r="B87" s="144"/>
      <c r="C87" s="145"/>
      <c r="D87" s="146"/>
      <c r="E87" s="145"/>
      <c r="F87" s="145"/>
      <c r="G87" s="145"/>
      <c r="H87" s="145"/>
      <c r="I87" s="145"/>
      <c r="J87" s="145"/>
      <c r="N87" s="85"/>
      <c r="O87" s="85"/>
      <c r="P87" s="85"/>
    </row>
    <row r="88" spans="1:16" s="84" customFormat="1">
      <c r="A88" s="85"/>
      <c r="B88" s="144"/>
      <c r="C88" s="145"/>
      <c r="D88" s="146"/>
      <c r="E88" s="145"/>
      <c r="F88" s="145"/>
      <c r="G88" s="145"/>
      <c r="H88" s="145"/>
      <c r="I88" s="145"/>
      <c r="J88" s="145"/>
      <c r="N88" s="85"/>
      <c r="O88" s="85"/>
      <c r="P88" s="85"/>
    </row>
    <row r="89" spans="1:16" s="84" customFormat="1">
      <c r="A89" s="85"/>
      <c r="B89" s="144"/>
      <c r="C89" s="145"/>
      <c r="D89" s="146"/>
      <c r="E89" s="145"/>
      <c r="F89" s="145"/>
      <c r="G89" s="145"/>
      <c r="H89" s="145"/>
      <c r="I89" s="145"/>
      <c r="J89" s="145"/>
      <c r="N89" s="85"/>
      <c r="O89" s="85"/>
      <c r="P89" s="85"/>
    </row>
    <row r="90" spans="1:16" s="84" customFormat="1">
      <c r="A90" s="85"/>
      <c r="B90" s="144"/>
      <c r="C90" s="145"/>
      <c r="D90" s="146"/>
      <c r="E90" s="145"/>
      <c r="F90" s="145"/>
      <c r="G90" s="145"/>
      <c r="H90" s="145"/>
      <c r="I90" s="145"/>
      <c r="J90" s="145"/>
      <c r="N90" s="85"/>
      <c r="O90" s="85"/>
      <c r="P90" s="85"/>
    </row>
    <row r="91" spans="1:16" s="84" customFormat="1">
      <c r="A91" s="85"/>
      <c r="B91" s="144"/>
      <c r="C91" s="145"/>
      <c r="D91" s="146"/>
      <c r="E91" s="145"/>
      <c r="F91" s="145"/>
      <c r="G91" s="145"/>
      <c r="H91" s="145"/>
      <c r="I91" s="145"/>
      <c r="J91" s="145"/>
      <c r="N91" s="85"/>
      <c r="O91" s="85"/>
      <c r="P91" s="85"/>
    </row>
    <row r="92" spans="1:16" s="84" customFormat="1">
      <c r="A92" s="85"/>
      <c r="B92" s="144"/>
      <c r="C92" s="145"/>
      <c r="D92" s="146"/>
      <c r="E92" s="145"/>
      <c r="F92" s="145"/>
      <c r="G92" s="145"/>
      <c r="H92" s="145"/>
      <c r="I92" s="145"/>
      <c r="J92" s="145"/>
      <c r="N92" s="85"/>
      <c r="O92" s="85"/>
      <c r="P92" s="85"/>
    </row>
    <row r="93" spans="1:16" s="84" customFormat="1">
      <c r="A93" s="85"/>
      <c r="B93" s="144"/>
      <c r="C93" s="145"/>
      <c r="D93" s="146"/>
      <c r="E93" s="145"/>
      <c r="F93" s="145"/>
      <c r="G93" s="145"/>
      <c r="H93" s="145"/>
      <c r="I93" s="145"/>
      <c r="J93" s="145"/>
      <c r="N93" s="85"/>
      <c r="O93" s="85"/>
      <c r="P93" s="85"/>
    </row>
    <row r="94" spans="1:16" s="84" customFormat="1">
      <c r="A94" s="85"/>
      <c r="B94" s="144"/>
      <c r="C94" s="145"/>
      <c r="D94" s="146"/>
      <c r="E94" s="145"/>
      <c r="F94" s="145"/>
      <c r="G94" s="145"/>
      <c r="H94" s="145"/>
      <c r="I94" s="145"/>
      <c r="J94" s="145"/>
      <c r="N94" s="85"/>
      <c r="O94" s="85"/>
      <c r="P94" s="85"/>
    </row>
    <row r="95" spans="1:16" s="84" customFormat="1">
      <c r="A95" s="85"/>
      <c r="B95" s="144"/>
      <c r="C95" s="145"/>
      <c r="D95" s="146"/>
      <c r="E95" s="145"/>
      <c r="F95" s="145"/>
      <c r="G95" s="145"/>
      <c r="H95" s="145"/>
      <c r="I95" s="145"/>
      <c r="J95" s="145"/>
      <c r="N95" s="85"/>
      <c r="O95" s="85"/>
      <c r="P95" s="85"/>
    </row>
    <row r="96" spans="1:16" s="84" customFormat="1">
      <c r="A96" s="85"/>
      <c r="B96" s="144"/>
      <c r="C96" s="145"/>
      <c r="D96" s="146"/>
      <c r="E96" s="145"/>
      <c r="F96" s="145"/>
      <c r="G96" s="145"/>
      <c r="H96" s="145"/>
      <c r="I96" s="145"/>
      <c r="J96" s="145"/>
      <c r="N96" s="85"/>
      <c r="O96" s="85"/>
      <c r="P96" s="85"/>
    </row>
    <row r="97" spans="1:16" s="84" customFormat="1">
      <c r="A97" s="85"/>
      <c r="B97" s="144"/>
      <c r="C97" s="145"/>
      <c r="D97" s="146"/>
      <c r="E97" s="145"/>
      <c r="F97" s="145"/>
      <c r="G97" s="145"/>
      <c r="H97" s="145"/>
      <c r="I97" s="145"/>
      <c r="J97" s="145"/>
      <c r="N97" s="85"/>
      <c r="O97" s="85"/>
      <c r="P97" s="85"/>
    </row>
    <row r="98" spans="1:16" s="84" customFormat="1">
      <c r="A98" s="85"/>
      <c r="B98" s="144"/>
      <c r="C98" s="145"/>
      <c r="D98" s="146"/>
      <c r="E98" s="145"/>
      <c r="F98" s="145"/>
      <c r="G98" s="145"/>
      <c r="H98" s="145"/>
      <c r="I98" s="145"/>
      <c r="J98" s="145"/>
      <c r="N98" s="85"/>
      <c r="O98" s="85"/>
      <c r="P98" s="85"/>
    </row>
    <row r="99" spans="1:16" s="84" customFormat="1">
      <c r="A99" s="85"/>
      <c r="B99" s="144"/>
      <c r="C99" s="145"/>
      <c r="D99" s="146"/>
      <c r="E99" s="145"/>
      <c r="F99" s="145"/>
      <c r="G99" s="145"/>
      <c r="H99" s="145"/>
      <c r="I99" s="145"/>
      <c r="J99" s="145"/>
      <c r="N99" s="85"/>
      <c r="O99" s="85"/>
      <c r="P99" s="85"/>
    </row>
    <row r="100" spans="1:16" s="84" customFormat="1">
      <c r="A100" s="85"/>
      <c r="B100" s="144"/>
      <c r="C100" s="145"/>
      <c r="D100" s="146"/>
      <c r="E100" s="145"/>
      <c r="F100" s="145"/>
      <c r="G100" s="145"/>
      <c r="H100" s="145"/>
      <c r="I100" s="145"/>
      <c r="J100" s="145"/>
      <c r="N100" s="85"/>
      <c r="O100" s="85"/>
      <c r="P100" s="85"/>
    </row>
    <row r="101" spans="1:16" s="84" customFormat="1">
      <c r="A101" s="85"/>
      <c r="B101" s="144"/>
      <c r="C101" s="145"/>
      <c r="D101" s="146"/>
      <c r="E101" s="145"/>
      <c r="F101" s="145"/>
      <c r="G101" s="145"/>
      <c r="H101" s="145"/>
      <c r="I101" s="145"/>
      <c r="J101" s="145"/>
      <c r="N101" s="85"/>
      <c r="O101" s="85"/>
      <c r="P101" s="85"/>
    </row>
    <row r="102" spans="1:16" s="84" customFormat="1">
      <c r="A102" s="85"/>
      <c r="B102" s="144"/>
      <c r="C102" s="145"/>
      <c r="D102" s="146"/>
      <c r="E102" s="145"/>
      <c r="F102" s="145"/>
      <c r="G102" s="145"/>
      <c r="H102" s="145"/>
      <c r="I102" s="145"/>
      <c r="J102" s="145"/>
      <c r="N102" s="85"/>
      <c r="O102" s="85"/>
      <c r="P102" s="85"/>
    </row>
    <row r="103" spans="1:16" s="84" customFormat="1">
      <c r="A103" s="85"/>
      <c r="B103" s="144"/>
      <c r="C103" s="145"/>
      <c r="D103" s="146"/>
      <c r="E103" s="145"/>
      <c r="F103" s="145"/>
      <c r="G103" s="145"/>
      <c r="H103" s="145"/>
      <c r="I103" s="145"/>
      <c r="J103" s="145"/>
      <c r="N103" s="85"/>
      <c r="O103" s="85"/>
      <c r="P103" s="85"/>
    </row>
    <row r="104" spans="1:16" s="84" customFormat="1">
      <c r="A104" s="85"/>
      <c r="B104" s="144"/>
      <c r="C104" s="145"/>
      <c r="D104" s="146"/>
      <c r="E104" s="145"/>
      <c r="F104" s="145"/>
      <c r="G104" s="145"/>
      <c r="H104" s="145"/>
      <c r="I104" s="145"/>
      <c r="J104" s="145"/>
      <c r="N104" s="85"/>
      <c r="O104" s="85"/>
      <c r="P104" s="85"/>
    </row>
    <row r="105" spans="1:16" s="84" customFormat="1">
      <c r="A105" s="85"/>
      <c r="B105" s="144"/>
      <c r="C105" s="145"/>
      <c r="D105" s="146"/>
      <c r="E105" s="145"/>
      <c r="F105" s="145"/>
      <c r="G105" s="145"/>
      <c r="H105" s="145"/>
      <c r="I105" s="145"/>
      <c r="J105" s="145"/>
      <c r="N105" s="85"/>
      <c r="O105" s="85"/>
      <c r="P105" s="85"/>
    </row>
    <row r="106" spans="1:16" s="84" customFormat="1">
      <c r="A106" s="85"/>
      <c r="B106" s="144"/>
      <c r="C106" s="145"/>
      <c r="D106" s="146"/>
      <c r="E106" s="145"/>
      <c r="F106" s="145"/>
      <c r="G106" s="145"/>
      <c r="H106" s="145"/>
      <c r="I106" s="145"/>
      <c r="J106" s="145"/>
      <c r="N106" s="85"/>
      <c r="O106" s="85"/>
      <c r="P106" s="85"/>
    </row>
    <row r="107" spans="1:16" s="84" customFormat="1">
      <c r="A107" s="85"/>
      <c r="B107" s="144"/>
      <c r="C107" s="145"/>
      <c r="D107" s="146"/>
      <c r="E107" s="145"/>
      <c r="F107" s="145"/>
      <c r="G107" s="145"/>
      <c r="H107" s="145"/>
      <c r="I107" s="145"/>
      <c r="J107" s="145"/>
      <c r="N107" s="85"/>
      <c r="O107" s="85"/>
      <c r="P107" s="85"/>
    </row>
    <row r="108" spans="1:16" s="84" customFormat="1">
      <c r="A108" s="85"/>
      <c r="B108" s="144"/>
      <c r="C108" s="145"/>
      <c r="D108" s="146"/>
      <c r="E108" s="145"/>
      <c r="F108" s="145"/>
      <c r="G108" s="145"/>
      <c r="H108" s="145"/>
      <c r="I108" s="145"/>
      <c r="J108" s="145"/>
      <c r="N108" s="85"/>
      <c r="O108" s="85"/>
      <c r="P108" s="85"/>
    </row>
    <row r="109" spans="1:16" s="84" customFormat="1">
      <c r="A109" s="85"/>
      <c r="B109" s="144"/>
      <c r="C109" s="145"/>
      <c r="D109" s="146"/>
      <c r="E109" s="145"/>
      <c r="F109" s="145"/>
      <c r="G109" s="145"/>
      <c r="H109" s="145"/>
      <c r="I109" s="145"/>
      <c r="J109" s="145"/>
      <c r="N109" s="85"/>
      <c r="O109" s="85"/>
      <c r="P109" s="85"/>
    </row>
    <row r="110" spans="1:16" s="84" customFormat="1">
      <c r="A110" s="85"/>
      <c r="B110" s="144"/>
      <c r="C110" s="145"/>
      <c r="D110" s="146"/>
      <c r="E110" s="145"/>
      <c r="F110" s="145"/>
      <c r="G110" s="145"/>
      <c r="H110" s="145"/>
      <c r="I110" s="145"/>
      <c r="J110" s="145"/>
      <c r="N110" s="85"/>
      <c r="O110" s="85"/>
      <c r="P110" s="85"/>
    </row>
    <row r="111" spans="1:16" s="84" customFormat="1">
      <c r="A111" s="85"/>
      <c r="B111" s="144"/>
      <c r="C111" s="145"/>
      <c r="D111" s="146"/>
      <c r="E111" s="145"/>
      <c r="F111" s="145"/>
      <c r="G111" s="145"/>
      <c r="H111" s="145"/>
      <c r="I111" s="145"/>
      <c r="J111" s="145"/>
      <c r="N111" s="85"/>
      <c r="O111" s="85"/>
      <c r="P111" s="85"/>
    </row>
    <row r="112" spans="1:16" s="84" customFormat="1">
      <c r="A112" s="85"/>
      <c r="B112" s="144"/>
      <c r="C112" s="145"/>
      <c r="D112" s="146"/>
      <c r="E112" s="145"/>
      <c r="F112" s="145"/>
      <c r="G112" s="145"/>
      <c r="H112" s="145"/>
      <c r="I112" s="145"/>
      <c r="J112" s="145"/>
      <c r="N112" s="85"/>
      <c r="O112" s="85"/>
      <c r="P112" s="85"/>
    </row>
    <row r="113" spans="1:16" s="84" customFormat="1">
      <c r="A113" s="85"/>
      <c r="B113" s="144"/>
      <c r="C113" s="145"/>
      <c r="D113" s="146"/>
      <c r="E113" s="145"/>
      <c r="F113" s="145"/>
      <c r="G113" s="145"/>
      <c r="H113" s="145"/>
      <c r="I113" s="145"/>
      <c r="J113" s="145"/>
      <c r="N113" s="85"/>
      <c r="O113" s="85"/>
      <c r="P113" s="85"/>
    </row>
    <row r="114" spans="1:16" s="84" customFormat="1">
      <c r="A114" s="85"/>
      <c r="B114" s="144"/>
      <c r="C114" s="145"/>
      <c r="D114" s="146"/>
      <c r="E114" s="145"/>
      <c r="F114" s="145"/>
      <c r="G114" s="145"/>
      <c r="H114" s="145"/>
      <c r="I114" s="145"/>
      <c r="J114" s="145"/>
      <c r="N114" s="85"/>
      <c r="O114" s="85"/>
      <c r="P114" s="85"/>
    </row>
    <row r="115" spans="1:16" s="84" customFormat="1">
      <c r="A115" s="85"/>
      <c r="B115" s="144"/>
      <c r="C115" s="145"/>
      <c r="D115" s="146"/>
      <c r="E115" s="145"/>
      <c r="F115" s="145"/>
      <c r="G115" s="145"/>
      <c r="H115" s="145"/>
      <c r="I115" s="145"/>
      <c r="J115" s="145"/>
      <c r="N115" s="85"/>
      <c r="O115" s="85"/>
      <c r="P115" s="85"/>
    </row>
    <row r="116" spans="1:16" s="84" customFormat="1">
      <c r="A116" s="85"/>
      <c r="B116" s="144"/>
      <c r="C116" s="145"/>
      <c r="D116" s="146"/>
      <c r="E116" s="145"/>
      <c r="F116" s="145"/>
      <c r="G116" s="145"/>
      <c r="H116" s="145"/>
      <c r="I116" s="145"/>
      <c r="J116" s="145"/>
      <c r="N116" s="85"/>
      <c r="O116" s="85"/>
      <c r="P116" s="85"/>
    </row>
    <row r="117" spans="1:16" s="84" customFormat="1">
      <c r="A117" s="85"/>
      <c r="B117" s="144"/>
      <c r="C117" s="145"/>
      <c r="D117" s="146"/>
      <c r="E117" s="145"/>
      <c r="F117" s="145"/>
      <c r="G117" s="145"/>
      <c r="H117" s="145"/>
      <c r="I117" s="145"/>
      <c r="J117" s="145"/>
      <c r="N117" s="85"/>
      <c r="O117" s="85"/>
      <c r="P117" s="85"/>
    </row>
    <row r="118" spans="1:16" s="84" customFormat="1">
      <c r="A118" s="85"/>
      <c r="B118" s="144"/>
      <c r="C118" s="145"/>
      <c r="D118" s="146"/>
      <c r="E118" s="145"/>
      <c r="F118" s="145"/>
      <c r="G118" s="145"/>
      <c r="H118" s="145"/>
      <c r="I118" s="145"/>
      <c r="J118" s="145"/>
      <c r="N118" s="85"/>
      <c r="O118" s="85"/>
      <c r="P118" s="85"/>
    </row>
    <row r="119" spans="1:16" s="84" customFormat="1">
      <c r="A119" s="85"/>
      <c r="B119" s="144"/>
      <c r="C119" s="145"/>
      <c r="D119" s="146"/>
      <c r="E119" s="145"/>
      <c r="F119" s="145"/>
      <c r="G119" s="145"/>
      <c r="H119" s="145"/>
      <c r="I119" s="145"/>
      <c r="J119" s="145"/>
      <c r="N119" s="85"/>
      <c r="O119" s="85"/>
      <c r="P119" s="85"/>
    </row>
    <row r="120" spans="1:16" s="84" customFormat="1">
      <c r="A120" s="85"/>
      <c r="B120" s="144"/>
      <c r="C120" s="145"/>
      <c r="D120" s="146"/>
      <c r="E120" s="145"/>
      <c r="F120" s="145"/>
      <c r="G120" s="145"/>
      <c r="H120" s="145"/>
      <c r="I120" s="145"/>
      <c r="J120" s="145"/>
      <c r="N120" s="85"/>
      <c r="O120" s="85"/>
      <c r="P120" s="85"/>
    </row>
    <row r="121" spans="1:16" s="84" customFormat="1">
      <c r="A121" s="85"/>
      <c r="B121" s="144"/>
      <c r="C121" s="145"/>
      <c r="D121" s="146"/>
      <c r="E121" s="145"/>
      <c r="F121" s="145"/>
      <c r="G121" s="145"/>
      <c r="H121" s="145"/>
      <c r="I121" s="145"/>
      <c r="J121" s="145"/>
      <c r="N121" s="85"/>
      <c r="O121" s="85"/>
      <c r="P121" s="85"/>
    </row>
    <row r="122" spans="1:16" s="84" customFormat="1">
      <c r="A122" s="85"/>
      <c r="B122" s="144"/>
      <c r="C122" s="145"/>
      <c r="D122" s="146"/>
      <c r="E122" s="145"/>
      <c r="F122" s="145"/>
      <c r="G122" s="145"/>
      <c r="H122" s="145"/>
      <c r="I122" s="145"/>
      <c r="J122" s="145"/>
      <c r="N122" s="85"/>
      <c r="O122" s="85"/>
      <c r="P122" s="85"/>
    </row>
    <row r="123" spans="1:16" s="84" customFormat="1">
      <c r="A123" s="85"/>
      <c r="B123" s="144"/>
      <c r="C123" s="145"/>
      <c r="D123" s="146"/>
      <c r="E123" s="145"/>
      <c r="F123" s="145"/>
      <c r="G123" s="145"/>
      <c r="H123" s="145"/>
      <c r="I123" s="145"/>
      <c r="J123" s="145"/>
      <c r="N123" s="85"/>
      <c r="O123" s="85"/>
      <c r="P123" s="85"/>
    </row>
    <row r="124" spans="1:16" s="84" customFormat="1">
      <c r="A124" s="85"/>
      <c r="B124" s="144"/>
      <c r="C124" s="145"/>
      <c r="D124" s="146"/>
      <c r="E124" s="145"/>
      <c r="F124" s="145"/>
      <c r="G124" s="145"/>
      <c r="H124" s="145"/>
      <c r="I124" s="145"/>
      <c r="J124" s="145"/>
      <c r="N124" s="85"/>
      <c r="O124" s="85"/>
      <c r="P124" s="85"/>
    </row>
    <row r="125" spans="1:16" s="84" customFormat="1">
      <c r="A125" s="85"/>
      <c r="B125" s="144"/>
      <c r="C125" s="145"/>
      <c r="D125" s="146"/>
      <c r="E125" s="145"/>
      <c r="F125" s="145"/>
      <c r="G125" s="145"/>
      <c r="H125" s="145"/>
      <c r="I125" s="145"/>
      <c r="J125" s="145"/>
      <c r="N125" s="85"/>
      <c r="O125" s="85"/>
      <c r="P125" s="85"/>
    </row>
    <row r="126" spans="1:16" s="84" customFormat="1">
      <c r="A126" s="85"/>
      <c r="B126" s="144"/>
      <c r="C126" s="145"/>
      <c r="D126" s="146"/>
      <c r="E126" s="145"/>
      <c r="F126" s="145"/>
      <c r="G126" s="145"/>
      <c r="H126" s="145"/>
      <c r="I126" s="145"/>
      <c r="J126" s="145"/>
      <c r="N126" s="85"/>
      <c r="O126" s="85"/>
      <c r="P126" s="85"/>
    </row>
    <row r="127" spans="1:16" s="84" customFormat="1">
      <c r="A127" s="85"/>
      <c r="B127" s="144"/>
      <c r="C127" s="145"/>
      <c r="D127" s="146"/>
      <c r="E127" s="145"/>
      <c r="F127" s="145"/>
      <c r="G127" s="145"/>
      <c r="H127" s="145"/>
      <c r="I127" s="145"/>
      <c r="J127" s="145"/>
      <c r="N127" s="85"/>
      <c r="O127" s="85"/>
      <c r="P127" s="85"/>
    </row>
    <row r="128" spans="1:16" s="84" customFormat="1">
      <c r="A128" s="85"/>
      <c r="B128" s="144"/>
      <c r="C128" s="145"/>
      <c r="D128" s="146"/>
      <c r="E128" s="145"/>
      <c r="F128" s="145"/>
      <c r="G128" s="145"/>
      <c r="H128" s="145"/>
      <c r="I128" s="145"/>
      <c r="J128" s="145"/>
      <c r="N128" s="85"/>
      <c r="O128" s="85"/>
      <c r="P128" s="85"/>
    </row>
    <row r="129" spans="1:16" s="84" customFormat="1">
      <c r="A129" s="85"/>
      <c r="B129" s="144"/>
      <c r="C129" s="145"/>
      <c r="D129" s="146"/>
      <c r="E129" s="145"/>
      <c r="F129" s="145"/>
      <c r="G129" s="145"/>
      <c r="H129" s="145"/>
      <c r="I129" s="145"/>
      <c r="J129" s="145"/>
      <c r="N129" s="85"/>
      <c r="O129" s="85"/>
      <c r="P129" s="85"/>
    </row>
    <row r="130" spans="1:16" s="84" customFormat="1">
      <c r="A130" s="85"/>
      <c r="B130" s="144"/>
      <c r="C130" s="145"/>
      <c r="D130" s="146"/>
      <c r="E130" s="145"/>
      <c r="F130" s="145"/>
      <c r="G130" s="145"/>
      <c r="H130" s="145"/>
      <c r="I130" s="145"/>
      <c r="J130" s="145"/>
      <c r="N130" s="85"/>
      <c r="O130" s="85"/>
      <c r="P130" s="85"/>
    </row>
    <row r="131" spans="1:16" s="84" customFormat="1">
      <c r="A131" s="85"/>
      <c r="B131" s="144"/>
      <c r="C131" s="145"/>
      <c r="D131" s="146"/>
      <c r="E131" s="145"/>
      <c r="F131" s="145"/>
      <c r="G131" s="145"/>
      <c r="H131" s="145"/>
      <c r="I131" s="145"/>
      <c r="J131" s="145"/>
      <c r="N131" s="85"/>
      <c r="O131" s="85"/>
      <c r="P131" s="85"/>
    </row>
    <row r="132" spans="1:16" s="84" customFormat="1">
      <c r="A132" s="85"/>
      <c r="B132" s="144"/>
      <c r="C132" s="145"/>
      <c r="D132" s="146"/>
      <c r="E132" s="145"/>
      <c r="F132" s="145"/>
      <c r="G132" s="145"/>
      <c r="H132" s="145"/>
      <c r="I132" s="145"/>
      <c r="J132" s="145"/>
      <c r="N132" s="85"/>
      <c r="O132" s="85"/>
      <c r="P132" s="85"/>
    </row>
    <row r="133" spans="1:16" s="84" customFormat="1">
      <c r="A133" s="85"/>
      <c r="B133" s="144"/>
      <c r="C133" s="145"/>
      <c r="D133" s="146"/>
      <c r="E133" s="145"/>
      <c r="F133" s="145"/>
      <c r="G133" s="145"/>
      <c r="H133" s="145"/>
      <c r="I133" s="145"/>
      <c r="J133" s="145"/>
      <c r="N133" s="85"/>
      <c r="O133" s="85"/>
      <c r="P133" s="85"/>
    </row>
    <row r="134" spans="1:16" s="84" customFormat="1">
      <c r="A134" s="85"/>
      <c r="B134" s="144"/>
      <c r="C134" s="145"/>
      <c r="D134" s="146"/>
      <c r="E134" s="145"/>
      <c r="F134" s="145"/>
      <c r="G134" s="145"/>
      <c r="H134" s="145"/>
      <c r="I134" s="145"/>
      <c r="J134" s="145"/>
      <c r="N134" s="85"/>
      <c r="O134" s="85"/>
      <c r="P134" s="85"/>
    </row>
    <row r="135" spans="1:16" s="84" customFormat="1">
      <c r="A135" s="85"/>
      <c r="B135" s="144"/>
      <c r="C135" s="145"/>
      <c r="D135" s="146"/>
      <c r="E135" s="145"/>
      <c r="F135" s="145"/>
      <c r="G135" s="145"/>
      <c r="H135" s="145"/>
      <c r="I135" s="145"/>
      <c r="J135" s="145"/>
      <c r="N135" s="85"/>
      <c r="O135" s="85"/>
      <c r="P135" s="85"/>
    </row>
    <row r="136" spans="1:16" s="84" customFormat="1">
      <c r="A136" s="85"/>
      <c r="B136" s="144"/>
      <c r="C136" s="145"/>
      <c r="D136" s="146"/>
      <c r="E136" s="145"/>
      <c r="F136" s="145"/>
      <c r="G136" s="145"/>
      <c r="H136" s="145"/>
      <c r="I136" s="145"/>
      <c r="J136" s="145"/>
      <c r="N136" s="85"/>
      <c r="O136" s="85"/>
      <c r="P136" s="85"/>
    </row>
    <row r="137" spans="1:16" s="84" customFormat="1">
      <c r="A137" s="85"/>
      <c r="B137" s="144"/>
      <c r="C137" s="145"/>
      <c r="D137" s="146"/>
      <c r="E137" s="145"/>
      <c r="F137" s="145"/>
      <c r="G137" s="145"/>
      <c r="H137" s="145"/>
      <c r="I137" s="145"/>
      <c r="J137" s="145"/>
      <c r="N137" s="85"/>
      <c r="O137" s="85"/>
      <c r="P137" s="85"/>
    </row>
    <row r="138" spans="1:16" s="84" customFormat="1">
      <c r="A138" s="85"/>
      <c r="B138" s="144"/>
      <c r="C138" s="145"/>
      <c r="D138" s="146"/>
      <c r="E138" s="145"/>
      <c r="F138" s="145"/>
      <c r="G138" s="145"/>
      <c r="H138" s="145"/>
      <c r="I138" s="145"/>
      <c r="J138" s="145"/>
      <c r="N138" s="85"/>
      <c r="O138" s="85"/>
      <c r="P138" s="85"/>
    </row>
    <row r="139" spans="1:16" s="84" customFormat="1">
      <c r="A139" s="85"/>
      <c r="B139" s="144"/>
      <c r="C139" s="145"/>
      <c r="D139" s="146"/>
      <c r="E139" s="145"/>
      <c r="F139" s="145"/>
      <c r="G139" s="145"/>
      <c r="H139" s="145"/>
      <c r="I139" s="145"/>
      <c r="J139" s="145"/>
      <c r="N139" s="85"/>
      <c r="O139" s="85"/>
      <c r="P139" s="85"/>
    </row>
    <row r="140" spans="1:16" s="84" customFormat="1">
      <c r="A140" s="85"/>
      <c r="B140" s="144"/>
      <c r="C140" s="145"/>
      <c r="D140" s="146"/>
      <c r="E140" s="145"/>
      <c r="F140" s="145"/>
      <c r="G140" s="145"/>
      <c r="H140" s="145"/>
      <c r="I140" s="145"/>
      <c r="J140" s="145"/>
      <c r="N140" s="85"/>
      <c r="O140" s="85"/>
      <c r="P140" s="85"/>
    </row>
    <row r="141" spans="1:16" s="84" customFormat="1">
      <c r="A141" s="85"/>
      <c r="B141" s="144"/>
      <c r="C141" s="145"/>
      <c r="D141" s="146"/>
      <c r="E141" s="145"/>
      <c r="F141" s="145"/>
      <c r="G141" s="145"/>
      <c r="H141" s="145"/>
      <c r="I141" s="145"/>
      <c r="J141" s="145"/>
      <c r="N141" s="85"/>
      <c r="O141" s="85"/>
      <c r="P141" s="85"/>
    </row>
    <row r="142" spans="1:16" s="84" customFormat="1">
      <c r="A142" s="85"/>
      <c r="B142" s="144"/>
      <c r="C142" s="145"/>
      <c r="D142" s="146"/>
      <c r="E142" s="145"/>
      <c r="F142" s="145"/>
      <c r="G142" s="145"/>
      <c r="H142" s="145"/>
      <c r="I142" s="145"/>
      <c r="J142" s="145"/>
      <c r="N142" s="85"/>
      <c r="O142" s="85"/>
      <c r="P142" s="85"/>
    </row>
    <row r="143" spans="1:16" s="84" customFormat="1">
      <c r="A143" s="85"/>
      <c r="B143" s="144"/>
      <c r="C143" s="145"/>
      <c r="D143" s="146"/>
      <c r="E143" s="145"/>
      <c r="F143" s="145"/>
      <c r="G143" s="145"/>
      <c r="H143" s="145"/>
      <c r="I143" s="145"/>
      <c r="J143" s="145"/>
      <c r="N143" s="85"/>
      <c r="O143" s="85"/>
      <c r="P143" s="85"/>
    </row>
    <row r="144" spans="1:16" s="84" customFormat="1">
      <c r="A144" s="85"/>
      <c r="B144" s="144"/>
      <c r="C144" s="145"/>
      <c r="D144" s="146"/>
      <c r="E144" s="145"/>
      <c r="F144" s="145"/>
      <c r="G144" s="145"/>
      <c r="H144" s="145"/>
      <c r="I144" s="145"/>
      <c r="J144" s="145"/>
      <c r="N144" s="85"/>
      <c r="O144" s="85"/>
      <c r="P144" s="85"/>
    </row>
    <row r="145" spans="1:16" s="84" customFormat="1">
      <c r="A145" s="85"/>
      <c r="B145" s="144"/>
      <c r="C145" s="145"/>
      <c r="D145" s="146"/>
      <c r="E145" s="145"/>
      <c r="F145" s="145"/>
      <c r="G145" s="145"/>
      <c r="H145" s="145"/>
      <c r="I145" s="145"/>
      <c r="J145" s="145"/>
      <c r="N145" s="85"/>
      <c r="O145" s="85"/>
      <c r="P145" s="85"/>
    </row>
    <row r="146" spans="1:16" s="84" customFormat="1">
      <c r="A146" s="85"/>
      <c r="B146" s="144"/>
      <c r="C146" s="145"/>
      <c r="D146" s="146"/>
      <c r="E146" s="145"/>
      <c r="F146" s="145"/>
      <c r="G146" s="145"/>
      <c r="H146" s="145"/>
      <c r="I146" s="145"/>
      <c r="J146" s="145"/>
      <c r="N146" s="85"/>
      <c r="O146" s="85"/>
      <c r="P146" s="85"/>
    </row>
    <row r="147" spans="1:16" s="84" customFormat="1">
      <c r="A147" s="85"/>
      <c r="B147" s="144"/>
      <c r="C147" s="145"/>
      <c r="D147" s="146"/>
      <c r="E147" s="145"/>
      <c r="F147" s="145"/>
      <c r="G147" s="145"/>
      <c r="H147" s="145"/>
      <c r="I147" s="145"/>
      <c r="J147" s="145"/>
      <c r="N147" s="85"/>
      <c r="O147" s="85"/>
      <c r="P147" s="85"/>
    </row>
    <row r="148" spans="1:16" s="84" customFormat="1">
      <c r="A148" s="85"/>
      <c r="B148" s="144"/>
      <c r="C148" s="145"/>
      <c r="D148" s="146"/>
      <c r="E148" s="145"/>
      <c r="F148" s="145"/>
      <c r="G148" s="145"/>
      <c r="H148" s="145"/>
      <c r="I148" s="145"/>
      <c r="J148" s="145"/>
      <c r="N148" s="85"/>
      <c r="O148" s="85"/>
      <c r="P148" s="85"/>
    </row>
    <row r="149" spans="1:16" s="84" customFormat="1">
      <c r="A149" s="85"/>
      <c r="B149" s="144"/>
      <c r="C149" s="145"/>
      <c r="D149" s="146"/>
      <c r="E149" s="145"/>
      <c r="F149" s="145"/>
      <c r="G149" s="145"/>
      <c r="H149" s="145"/>
      <c r="I149" s="145"/>
      <c r="J149" s="145"/>
      <c r="N149" s="85"/>
      <c r="O149" s="85"/>
      <c r="P149" s="85"/>
    </row>
    <row r="150" spans="1:16" s="84" customFormat="1">
      <c r="A150" s="85"/>
      <c r="B150" s="144"/>
      <c r="C150" s="145"/>
      <c r="D150" s="146"/>
      <c r="E150" s="145"/>
      <c r="F150" s="145"/>
      <c r="G150" s="145"/>
      <c r="H150" s="145"/>
      <c r="I150" s="145"/>
      <c r="J150" s="145"/>
      <c r="N150" s="85"/>
      <c r="O150" s="85"/>
      <c r="P150" s="85"/>
    </row>
    <row r="151" spans="1:16" s="84" customFormat="1">
      <c r="A151" s="85"/>
      <c r="B151" s="144"/>
      <c r="C151" s="145"/>
      <c r="D151" s="146"/>
      <c r="E151" s="145"/>
      <c r="F151" s="145"/>
      <c r="G151" s="145"/>
      <c r="H151" s="145"/>
      <c r="I151" s="145"/>
      <c r="J151" s="145"/>
      <c r="N151" s="85"/>
      <c r="O151" s="85"/>
      <c r="P151" s="85"/>
    </row>
    <row r="152" spans="1:16" s="84" customFormat="1">
      <c r="A152" s="85"/>
      <c r="B152" s="144"/>
      <c r="C152" s="145"/>
      <c r="D152" s="146"/>
      <c r="E152" s="145"/>
      <c r="F152" s="145"/>
      <c r="G152" s="145"/>
      <c r="H152" s="145"/>
      <c r="I152" s="145"/>
      <c r="J152" s="145"/>
      <c r="N152" s="85"/>
      <c r="O152" s="85"/>
      <c r="P152" s="85"/>
    </row>
    <row r="153" spans="1:16" s="84" customFormat="1">
      <c r="A153" s="85"/>
      <c r="B153" s="144"/>
      <c r="C153" s="145"/>
      <c r="D153" s="146"/>
      <c r="E153" s="145"/>
      <c r="F153" s="145"/>
      <c r="G153" s="145"/>
      <c r="H153" s="145"/>
      <c r="I153" s="145"/>
      <c r="J153" s="145"/>
      <c r="N153" s="85"/>
      <c r="O153" s="85"/>
      <c r="P153" s="85"/>
    </row>
    <row r="154" spans="1:16" s="84" customFormat="1">
      <c r="A154" s="85"/>
      <c r="B154" s="144"/>
      <c r="C154" s="145"/>
      <c r="D154" s="146"/>
      <c r="E154" s="145"/>
      <c r="F154" s="145"/>
      <c r="G154" s="145"/>
      <c r="H154" s="145"/>
      <c r="I154" s="145"/>
      <c r="J154" s="145"/>
      <c r="N154" s="85"/>
      <c r="O154" s="85"/>
      <c r="P154" s="85"/>
    </row>
    <row r="155" spans="1:16" s="84" customFormat="1">
      <c r="A155" s="85"/>
      <c r="B155" s="144"/>
      <c r="C155" s="145"/>
      <c r="D155" s="146"/>
      <c r="E155" s="145"/>
      <c r="F155" s="145"/>
      <c r="G155" s="145"/>
      <c r="H155" s="145"/>
      <c r="I155" s="145"/>
      <c r="J155" s="145"/>
      <c r="N155" s="85"/>
      <c r="O155" s="85"/>
      <c r="P155" s="85"/>
    </row>
    <row r="156" spans="1:16" s="84" customFormat="1">
      <c r="A156" s="85"/>
      <c r="B156" s="144"/>
      <c r="C156" s="145"/>
      <c r="D156" s="146"/>
      <c r="E156" s="145"/>
      <c r="F156" s="145"/>
      <c r="G156" s="145"/>
      <c r="H156" s="145"/>
      <c r="I156" s="145"/>
      <c r="J156" s="145"/>
      <c r="N156" s="85"/>
      <c r="O156" s="85"/>
      <c r="P156" s="85"/>
    </row>
    <row r="157" spans="1:16" s="84" customFormat="1">
      <c r="A157" s="85"/>
      <c r="B157" s="144"/>
      <c r="C157" s="145"/>
      <c r="D157" s="146"/>
      <c r="E157" s="145"/>
      <c r="F157" s="145"/>
      <c r="G157" s="145"/>
      <c r="H157" s="145"/>
      <c r="I157" s="145"/>
      <c r="J157" s="145"/>
      <c r="N157" s="85"/>
      <c r="O157" s="85"/>
      <c r="P157" s="85"/>
    </row>
    <row r="158" spans="1:16" s="84" customFormat="1">
      <c r="A158" s="85"/>
      <c r="B158" s="144"/>
      <c r="C158" s="145"/>
      <c r="D158" s="146"/>
      <c r="E158" s="145"/>
      <c r="F158" s="145"/>
      <c r="G158" s="145"/>
      <c r="H158" s="145"/>
      <c r="I158" s="145"/>
      <c r="J158" s="145"/>
      <c r="N158" s="85"/>
      <c r="O158" s="85"/>
      <c r="P158" s="85"/>
    </row>
    <row r="159" spans="1:16" s="84" customFormat="1">
      <c r="A159" s="85"/>
      <c r="B159" s="144"/>
      <c r="C159" s="145"/>
      <c r="D159" s="146"/>
      <c r="E159" s="145"/>
      <c r="F159" s="145"/>
      <c r="G159" s="145"/>
      <c r="H159" s="145"/>
      <c r="I159" s="145"/>
      <c r="J159" s="145"/>
      <c r="N159" s="85"/>
      <c r="O159" s="85"/>
      <c r="P159" s="85"/>
    </row>
    <row r="160" spans="1:16" s="84" customFormat="1">
      <c r="A160" s="85"/>
      <c r="B160" s="144"/>
      <c r="C160" s="145"/>
      <c r="D160" s="146"/>
      <c r="E160" s="145"/>
      <c r="F160" s="145"/>
      <c r="G160" s="145"/>
      <c r="H160" s="145"/>
      <c r="I160" s="145"/>
      <c r="J160" s="145"/>
      <c r="N160" s="85"/>
      <c r="O160" s="85"/>
      <c r="P160" s="85"/>
    </row>
    <row r="161" spans="1:16" s="84" customFormat="1">
      <c r="A161" s="85"/>
      <c r="B161" s="144"/>
      <c r="C161" s="145"/>
      <c r="D161" s="146"/>
      <c r="E161" s="145"/>
      <c r="F161" s="145"/>
      <c r="G161" s="145"/>
      <c r="H161" s="145"/>
      <c r="I161" s="145"/>
      <c r="J161" s="145"/>
      <c r="N161" s="85"/>
      <c r="O161" s="85"/>
      <c r="P161" s="85"/>
    </row>
    <row r="162" spans="1:16" s="84" customFormat="1">
      <c r="A162" s="85"/>
      <c r="B162" s="144"/>
      <c r="C162" s="145"/>
      <c r="D162" s="146"/>
      <c r="E162" s="145"/>
      <c r="F162" s="145"/>
      <c r="G162" s="145"/>
      <c r="H162" s="145"/>
      <c r="I162" s="145"/>
      <c r="J162" s="145"/>
      <c r="N162" s="85"/>
      <c r="O162" s="85"/>
      <c r="P162" s="85"/>
    </row>
    <row r="163" spans="1:16" s="84" customFormat="1">
      <c r="A163" s="85"/>
      <c r="B163" s="144"/>
      <c r="C163" s="145"/>
      <c r="D163" s="146"/>
      <c r="E163" s="145"/>
      <c r="F163" s="145"/>
      <c r="G163" s="145"/>
      <c r="H163" s="145"/>
      <c r="I163" s="145"/>
      <c r="J163" s="145"/>
      <c r="N163" s="85"/>
      <c r="O163" s="85"/>
      <c r="P163" s="85"/>
    </row>
    <row r="164" spans="1:16" s="84" customFormat="1">
      <c r="A164" s="85"/>
      <c r="B164" s="144"/>
      <c r="C164" s="145"/>
      <c r="D164" s="146"/>
      <c r="E164" s="145"/>
      <c r="F164" s="145"/>
      <c r="G164" s="145"/>
      <c r="H164" s="145"/>
      <c r="I164" s="145"/>
      <c r="J164" s="145"/>
      <c r="N164" s="85"/>
      <c r="O164" s="85"/>
      <c r="P164" s="85"/>
    </row>
    <row r="165" spans="1:16" s="84" customFormat="1">
      <c r="A165" s="85"/>
      <c r="B165" s="144"/>
      <c r="C165" s="145"/>
      <c r="D165" s="146"/>
      <c r="E165" s="145"/>
      <c r="F165" s="145"/>
      <c r="G165" s="145"/>
      <c r="H165" s="145"/>
      <c r="I165" s="145"/>
      <c r="J165" s="145"/>
      <c r="N165" s="85"/>
      <c r="O165" s="85"/>
      <c r="P165" s="85"/>
    </row>
    <row r="166" spans="1:16" s="84" customFormat="1">
      <c r="A166" s="85"/>
      <c r="B166" s="144"/>
      <c r="C166" s="145"/>
      <c r="D166" s="146"/>
      <c r="E166" s="145"/>
      <c r="F166" s="145"/>
      <c r="G166" s="145"/>
      <c r="H166" s="145"/>
      <c r="I166" s="145"/>
      <c r="J166" s="145"/>
      <c r="N166" s="85"/>
      <c r="O166" s="85"/>
      <c r="P166" s="85"/>
    </row>
    <row r="167" spans="1:16" s="84" customFormat="1">
      <c r="A167" s="85"/>
      <c r="B167" s="144"/>
      <c r="C167" s="145"/>
      <c r="D167" s="146"/>
      <c r="E167" s="145"/>
      <c r="F167" s="145"/>
      <c r="G167" s="145"/>
      <c r="H167" s="145"/>
      <c r="I167" s="145"/>
      <c r="J167" s="145"/>
      <c r="N167" s="85"/>
      <c r="O167" s="85"/>
      <c r="P167" s="85"/>
    </row>
    <row r="168" spans="1:16" s="84" customFormat="1">
      <c r="A168" s="85"/>
      <c r="B168" s="144"/>
      <c r="C168" s="145"/>
      <c r="D168" s="146"/>
      <c r="E168" s="145"/>
      <c r="F168" s="145"/>
      <c r="G168" s="145"/>
      <c r="H168" s="145"/>
      <c r="I168" s="145"/>
      <c r="J168" s="145"/>
      <c r="N168" s="85"/>
      <c r="O168" s="85"/>
      <c r="P168" s="85"/>
    </row>
    <row r="169" spans="1:16" s="84" customFormat="1">
      <c r="A169" s="85"/>
      <c r="B169" s="144"/>
      <c r="C169" s="145"/>
      <c r="D169" s="146"/>
      <c r="E169" s="145"/>
      <c r="F169" s="145"/>
      <c r="G169" s="145"/>
      <c r="H169" s="145"/>
      <c r="I169" s="145"/>
      <c r="J169" s="145"/>
      <c r="N169" s="85"/>
      <c r="O169" s="85"/>
      <c r="P169" s="85"/>
    </row>
    <row r="170" spans="1:16" s="84" customFormat="1">
      <c r="A170" s="85"/>
      <c r="B170" s="144"/>
      <c r="C170" s="145"/>
      <c r="D170" s="146"/>
      <c r="E170" s="145"/>
      <c r="F170" s="145"/>
      <c r="G170" s="145"/>
      <c r="H170" s="145"/>
      <c r="I170" s="145"/>
      <c r="J170" s="145"/>
      <c r="N170" s="85"/>
      <c r="O170" s="85"/>
      <c r="P170" s="85"/>
    </row>
    <row r="171" spans="1:16" s="84" customFormat="1">
      <c r="A171" s="85"/>
      <c r="B171" s="144"/>
      <c r="C171" s="145"/>
      <c r="D171" s="146"/>
      <c r="E171" s="145"/>
      <c r="F171" s="145"/>
      <c r="G171" s="145"/>
      <c r="H171" s="145"/>
      <c r="I171" s="145"/>
      <c r="J171" s="145"/>
      <c r="N171" s="85"/>
      <c r="O171" s="85"/>
      <c r="P171" s="85"/>
    </row>
    <row r="172" spans="1:16" s="84" customFormat="1">
      <c r="A172" s="85"/>
      <c r="B172" s="144"/>
      <c r="C172" s="145"/>
      <c r="D172" s="146"/>
      <c r="E172" s="145"/>
      <c r="F172" s="145"/>
      <c r="G172" s="145"/>
      <c r="H172" s="145"/>
      <c r="I172" s="145"/>
      <c r="J172" s="145"/>
      <c r="N172" s="85"/>
      <c r="O172" s="85"/>
      <c r="P172" s="85"/>
    </row>
    <row r="173" spans="1:16" s="84" customFormat="1">
      <c r="A173" s="85"/>
      <c r="B173" s="144"/>
      <c r="C173" s="145"/>
      <c r="D173" s="146"/>
      <c r="E173" s="145"/>
      <c r="F173" s="145"/>
      <c r="G173" s="145"/>
      <c r="H173" s="145"/>
      <c r="I173" s="145"/>
      <c r="J173" s="145"/>
      <c r="N173" s="85"/>
      <c r="O173" s="85"/>
      <c r="P173" s="85"/>
    </row>
    <row r="174" spans="1:16" s="84" customFormat="1">
      <c r="A174" s="85"/>
      <c r="B174" s="144"/>
      <c r="C174" s="145"/>
      <c r="D174" s="146"/>
      <c r="E174" s="145"/>
      <c r="F174" s="145"/>
      <c r="G174" s="145"/>
      <c r="H174" s="145"/>
      <c r="I174" s="145"/>
      <c r="J174" s="145"/>
      <c r="N174" s="85"/>
      <c r="O174" s="85"/>
      <c r="P174" s="85"/>
    </row>
    <row r="175" spans="1:16" s="84" customFormat="1">
      <c r="A175" s="85"/>
      <c r="B175" s="144"/>
      <c r="C175" s="145"/>
      <c r="D175" s="146"/>
      <c r="E175" s="145"/>
      <c r="F175" s="145"/>
      <c r="G175" s="145"/>
      <c r="H175" s="145"/>
      <c r="I175" s="145"/>
      <c r="J175" s="145"/>
      <c r="N175" s="85"/>
      <c r="O175" s="85"/>
      <c r="P175" s="85"/>
    </row>
    <row r="176" spans="1:16" s="84" customFormat="1">
      <c r="A176" s="85"/>
      <c r="B176" s="144"/>
      <c r="C176" s="145"/>
      <c r="D176" s="146"/>
      <c r="E176" s="145"/>
      <c r="F176" s="145"/>
      <c r="G176" s="145"/>
      <c r="H176" s="145"/>
      <c r="I176" s="145"/>
      <c r="J176" s="145"/>
      <c r="N176" s="85"/>
      <c r="O176" s="85"/>
      <c r="P176" s="85"/>
    </row>
    <row r="177" spans="1:16" s="84" customFormat="1">
      <c r="A177" s="85"/>
      <c r="B177" s="144"/>
      <c r="C177" s="145"/>
      <c r="D177" s="146"/>
      <c r="E177" s="145"/>
      <c r="F177" s="145"/>
      <c r="G177" s="145"/>
      <c r="H177" s="145"/>
      <c r="I177" s="145"/>
      <c r="J177" s="145"/>
      <c r="N177" s="85"/>
      <c r="O177" s="85"/>
      <c r="P177" s="85"/>
    </row>
    <row r="178" spans="1:16" s="84" customFormat="1">
      <c r="A178" s="85"/>
      <c r="B178" s="144"/>
      <c r="C178" s="145"/>
      <c r="D178" s="146"/>
      <c r="E178" s="145"/>
      <c r="F178" s="145"/>
      <c r="G178" s="145"/>
      <c r="H178" s="145"/>
      <c r="I178" s="145"/>
      <c r="J178" s="145"/>
      <c r="N178" s="85"/>
      <c r="O178" s="85"/>
      <c r="P178" s="85"/>
    </row>
    <row r="179" spans="1:16" s="84" customFormat="1">
      <c r="A179" s="85"/>
      <c r="B179" s="144"/>
      <c r="C179" s="145"/>
      <c r="D179" s="146"/>
      <c r="E179" s="145"/>
      <c r="F179" s="145"/>
      <c r="G179" s="145"/>
      <c r="H179" s="145"/>
      <c r="I179" s="145"/>
      <c r="J179" s="145"/>
      <c r="N179" s="85"/>
      <c r="O179" s="85"/>
      <c r="P179" s="85"/>
    </row>
    <row r="180" spans="1:16" s="84" customFormat="1">
      <c r="A180" s="85"/>
      <c r="B180" s="144"/>
      <c r="C180" s="145"/>
      <c r="D180" s="146"/>
      <c r="E180" s="145"/>
      <c r="F180" s="145"/>
      <c r="G180" s="145"/>
      <c r="H180" s="145"/>
      <c r="I180" s="145"/>
      <c r="J180" s="145"/>
      <c r="N180" s="85"/>
      <c r="O180" s="85"/>
      <c r="P180" s="85"/>
    </row>
    <row r="181" spans="1:16" s="84" customFormat="1">
      <c r="A181" s="85"/>
      <c r="B181" s="144"/>
      <c r="C181" s="145"/>
      <c r="D181" s="146"/>
      <c r="E181" s="145"/>
      <c r="F181" s="145"/>
      <c r="G181" s="145"/>
      <c r="H181" s="145"/>
      <c r="I181" s="145"/>
      <c r="J181" s="145"/>
      <c r="N181" s="85"/>
      <c r="O181" s="85"/>
      <c r="P181" s="85"/>
    </row>
    <row r="182" spans="1:16" s="84" customFormat="1">
      <c r="A182" s="85"/>
      <c r="B182" s="144"/>
      <c r="C182" s="145"/>
      <c r="D182" s="146"/>
      <c r="E182" s="145"/>
      <c r="F182" s="145"/>
      <c r="G182" s="145"/>
      <c r="H182" s="145"/>
      <c r="I182" s="145"/>
      <c r="J182" s="145"/>
      <c r="N182" s="85"/>
      <c r="O182" s="85"/>
      <c r="P182" s="85"/>
    </row>
    <row r="183" spans="1:16" s="84" customFormat="1">
      <c r="A183" s="85"/>
      <c r="B183" s="144"/>
      <c r="C183" s="145"/>
      <c r="D183" s="146"/>
      <c r="E183" s="145"/>
      <c r="F183" s="145"/>
      <c r="G183" s="145"/>
      <c r="H183" s="145"/>
      <c r="I183" s="145"/>
      <c r="J183" s="145"/>
      <c r="N183" s="85"/>
      <c r="O183" s="85"/>
      <c r="P183" s="85"/>
    </row>
    <row r="184" spans="1:16" s="84" customFormat="1">
      <c r="A184" s="85"/>
      <c r="B184" s="144"/>
      <c r="C184" s="145"/>
      <c r="D184" s="146"/>
      <c r="E184" s="145"/>
      <c r="F184" s="145"/>
      <c r="G184" s="145"/>
      <c r="H184" s="145"/>
      <c r="I184" s="145"/>
      <c r="J184" s="145"/>
      <c r="N184" s="85"/>
      <c r="O184" s="85"/>
      <c r="P184" s="85"/>
    </row>
    <row r="185" spans="1:16" s="84" customFormat="1">
      <c r="A185" s="85"/>
      <c r="B185" s="144"/>
      <c r="C185" s="145"/>
      <c r="D185" s="146"/>
      <c r="E185" s="145"/>
      <c r="F185" s="145"/>
      <c r="G185" s="145"/>
      <c r="H185" s="145"/>
      <c r="I185" s="145"/>
      <c r="J185" s="145"/>
      <c r="N185" s="85"/>
      <c r="O185" s="85"/>
      <c r="P185" s="85"/>
    </row>
    <row r="186" spans="1:16" s="84" customFormat="1">
      <c r="A186" s="85"/>
      <c r="B186" s="144"/>
      <c r="C186" s="145"/>
      <c r="D186" s="146"/>
      <c r="E186" s="145"/>
      <c r="F186" s="145"/>
      <c r="G186" s="145"/>
      <c r="H186" s="145"/>
      <c r="I186" s="145"/>
      <c r="J186" s="145"/>
      <c r="N186" s="85"/>
      <c r="O186" s="85"/>
      <c r="P186" s="85"/>
    </row>
    <row r="187" spans="1:16" s="84" customFormat="1">
      <c r="A187" s="85"/>
      <c r="B187" s="144"/>
      <c r="C187" s="145"/>
      <c r="D187" s="146"/>
      <c r="E187" s="145"/>
      <c r="F187" s="145"/>
      <c r="G187" s="145"/>
      <c r="H187" s="145"/>
      <c r="I187" s="145"/>
      <c r="J187" s="145"/>
      <c r="N187" s="85"/>
      <c r="O187" s="85"/>
      <c r="P187" s="85"/>
    </row>
    <row r="188" spans="1:16" s="84" customFormat="1">
      <c r="A188" s="85"/>
      <c r="B188" s="144"/>
      <c r="C188" s="145"/>
      <c r="D188" s="146"/>
      <c r="E188" s="145"/>
      <c r="F188" s="145"/>
      <c r="G188" s="145"/>
      <c r="H188" s="145"/>
      <c r="I188" s="145"/>
      <c r="J188" s="145"/>
      <c r="N188" s="85"/>
      <c r="O188" s="85"/>
      <c r="P188" s="85"/>
    </row>
    <row r="189" spans="1:16" s="84" customFormat="1">
      <c r="A189" s="85"/>
      <c r="B189" s="144"/>
      <c r="C189" s="145"/>
      <c r="D189" s="146"/>
      <c r="E189" s="145"/>
      <c r="F189" s="145"/>
      <c r="G189" s="145"/>
      <c r="H189" s="145"/>
      <c r="I189" s="145"/>
      <c r="J189" s="145"/>
      <c r="N189" s="85"/>
      <c r="O189" s="85"/>
      <c r="P189" s="85"/>
    </row>
    <row r="190" spans="1:16" s="84" customFormat="1">
      <c r="A190" s="85"/>
      <c r="B190" s="144"/>
      <c r="C190" s="145"/>
      <c r="D190" s="146"/>
      <c r="E190" s="145"/>
      <c r="F190" s="145"/>
      <c r="G190" s="145"/>
      <c r="H190" s="145"/>
      <c r="I190" s="145"/>
      <c r="J190" s="145"/>
      <c r="N190" s="85"/>
      <c r="O190" s="85"/>
      <c r="P190" s="85"/>
    </row>
    <row r="191" spans="1:16" s="84" customFormat="1">
      <c r="A191" s="85"/>
      <c r="B191" s="144"/>
      <c r="C191" s="145"/>
      <c r="D191" s="146"/>
      <c r="E191" s="145"/>
      <c r="F191" s="145"/>
      <c r="G191" s="145"/>
      <c r="H191" s="145"/>
      <c r="I191" s="145"/>
      <c r="J191" s="145"/>
      <c r="N191" s="85"/>
      <c r="O191" s="85"/>
      <c r="P191" s="85"/>
    </row>
    <row r="192" spans="1:16" s="84" customFormat="1">
      <c r="A192" s="85"/>
      <c r="B192" s="144"/>
      <c r="C192" s="145"/>
      <c r="D192" s="146"/>
      <c r="E192" s="145"/>
      <c r="F192" s="145"/>
      <c r="G192" s="145"/>
      <c r="H192" s="145"/>
      <c r="I192" s="145"/>
      <c r="J192" s="145"/>
      <c r="N192" s="85"/>
      <c r="O192" s="85"/>
      <c r="P192" s="85"/>
    </row>
    <row r="193" spans="1:16" s="84" customFormat="1">
      <c r="A193" s="85"/>
      <c r="B193" s="144"/>
      <c r="C193" s="145"/>
      <c r="D193" s="146"/>
      <c r="E193" s="145"/>
      <c r="F193" s="145"/>
      <c r="G193" s="145"/>
      <c r="H193" s="145"/>
      <c r="I193" s="145"/>
      <c r="J193" s="145"/>
      <c r="N193" s="85"/>
      <c r="O193" s="85"/>
      <c r="P193" s="85"/>
    </row>
    <row r="194" spans="1:16" s="84" customFormat="1">
      <c r="A194" s="85"/>
      <c r="B194" s="144"/>
      <c r="C194" s="145"/>
      <c r="D194" s="146"/>
      <c r="E194" s="145"/>
      <c r="F194" s="145"/>
      <c r="G194" s="145"/>
      <c r="H194" s="145"/>
      <c r="I194" s="145"/>
      <c r="J194" s="145"/>
      <c r="N194" s="85"/>
      <c r="O194" s="85"/>
      <c r="P194" s="85"/>
    </row>
    <row r="195" spans="1:16" s="84" customFormat="1">
      <c r="A195" s="85"/>
      <c r="B195" s="144"/>
      <c r="C195" s="145"/>
      <c r="D195" s="146"/>
      <c r="E195" s="145"/>
      <c r="F195" s="145"/>
      <c r="G195" s="145"/>
      <c r="H195" s="145"/>
      <c r="I195" s="145"/>
      <c r="J195" s="145"/>
      <c r="N195" s="85"/>
      <c r="O195" s="85"/>
      <c r="P195" s="85"/>
    </row>
    <row r="196" spans="1:16" s="84" customFormat="1">
      <c r="A196" s="85"/>
      <c r="B196" s="144"/>
      <c r="C196" s="145"/>
      <c r="D196" s="146"/>
      <c r="E196" s="145"/>
      <c r="F196" s="145"/>
      <c r="G196" s="145"/>
      <c r="H196" s="145"/>
      <c r="I196" s="145"/>
      <c r="J196" s="145"/>
      <c r="N196" s="85"/>
      <c r="O196" s="85"/>
      <c r="P196" s="85"/>
    </row>
    <row r="197" spans="1:16" s="84" customFormat="1">
      <c r="A197" s="85"/>
      <c r="B197" s="144"/>
      <c r="C197" s="145"/>
      <c r="D197" s="146"/>
      <c r="E197" s="145"/>
      <c r="F197" s="145"/>
      <c r="G197" s="145"/>
      <c r="H197" s="145"/>
      <c r="I197" s="145"/>
      <c r="J197" s="145"/>
      <c r="N197" s="85"/>
      <c r="O197" s="85"/>
      <c r="P197" s="85"/>
    </row>
    <row r="198" spans="1:16" s="84" customFormat="1">
      <c r="A198" s="85"/>
      <c r="B198" s="144"/>
      <c r="C198" s="145"/>
      <c r="D198" s="146"/>
      <c r="E198" s="145"/>
      <c r="F198" s="145"/>
      <c r="G198" s="145"/>
      <c r="H198" s="145"/>
      <c r="I198" s="145"/>
      <c r="J198" s="145"/>
      <c r="N198" s="85"/>
      <c r="O198" s="85"/>
      <c r="P198" s="85"/>
    </row>
    <row r="199" spans="1:16" s="84" customFormat="1">
      <c r="A199" s="85"/>
      <c r="B199" s="144"/>
      <c r="C199" s="145"/>
      <c r="D199" s="146"/>
      <c r="E199" s="145"/>
      <c r="F199" s="145"/>
      <c r="G199" s="145"/>
      <c r="H199" s="145"/>
      <c r="I199" s="145"/>
      <c r="J199" s="145"/>
      <c r="N199" s="85"/>
      <c r="O199" s="85"/>
      <c r="P199" s="85"/>
    </row>
    <row r="200" spans="1:16" s="84" customFormat="1">
      <c r="A200" s="85"/>
      <c r="B200" s="144"/>
      <c r="C200" s="145"/>
      <c r="D200" s="146"/>
      <c r="E200" s="145"/>
      <c r="F200" s="145"/>
      <c r="G200" s="145"/>
      <c r="H200" s="145"/>
      <c r="I200" s="145"/>
      <c r="J200" s="145"/>
      <c r="N200" s="85"/>
      <c r="O200" s="85"/>
      <c r="P200" s="85"/>
    </row>
    <row r="201" spans="1:16" s="84" customFormat="1">
      <c r="A201" s="85"/>
      <c r="B201" s="144"/>
      <c r="C201" s="145"/>
      <c r="D201" s="146"/>
      <c r="E201" s="145"/>
      <c r="F201" s="145"/>
      <c r="G201" s="145"/>
      <c r="H201" s="145"/>
      <c r="I201" s="145"/>
      <c r="J201" s="145"/>
      <c r="N201" s="85"/>
      <c r="O201" s="85"/>
      <c r="P201" s="85"/>
    </row>
    <row r="202" spans="1:16" s="84" customFormat="1">
      <c r="A202" s="85"/>
      <c r="B202" s="144"/>
      <c r="C202" s="145"/>
      <c r="D202" s="146"/>
      <c r="E202" s="145"/>
      <c r="F202" s="145"/>
      <c r="G202" s="145"/>
      <c r="H202" s="145"/>
      <c r="I202" s="145"/>
      <c r="J202" s="145"/>
      <c r="N202" s="85"/>
      <c r="O202" s="85"/>
      <c r="P202" s="85"/>
    </row>
    <row r="203" spans="1:16" s="84" customFormat="1">
      <c r="A203" s="85"/>
      <c r="B203" s="144"/>
      <c r="C203" s="145"/>
      <c r="D203" s="146"/>
      <c r="E203" s="145"/>
      <c r="F203" s="145"/>
      <c r="G203" s="145"/>
      <c r="H203" s="145"/>
      <c r="I203" s="145"/>
      <c r="J203" s="145"/>
      <c r="N203" s="85"/>
      <c r="O203" s="85"/>
      <c r="P203" s="85"/>
    </row>
    <row r="204" spans="1:16" s="84" customFormat="1">
      <c r="A204" s="85"/>
      <c r="B204" s="144"/>
      <c r="C204" s="145"/>
      <c r="D204" s="146"/>
      <c r="E204" s="145"/>
      <c r="F204" s="145"/>
      <c r="G204" s="145"/>
      <c r="H204" s="145"/>
      <c r="I204" s="145"/>
      <c r="J204" s="145"/>
      <c r="N204" s="85"/>
      <c r="O204" s="85"/>
      <c r="P204" s="85"/>
    </row>
    <row r="205" spans="1:16" s="84" customFormat="1">
      <c r="A205" s="85"/>
      <c r="B205" s="144"/>
      <c r="C205" s="145"/>
      <c r="D205" s="146"/>
      <c r="E205" s="145"/>
      <c r="F205" s="145"/>
      <c r="G205" s="145"/>
      <c r="H205" s="145"/>
      <c r="I205" s="145"/>
      <c r="J205" s="145"/>
      <c r="N205" s="85"/>
      <c r="O205" s="85"/>
      <c r="P205" s="85"/>
    </row>
    <row r="206" spans="1:16" s="84" customFormat="1">
      <c r="A206" s="85"/>
      <c r="B206" s="144"/>
      <c r="C206" s="145"/>
      <c r="D206" s="146"/>
      <c r="E206" s="145"/>
      <c r="F206" s="145"/>
      <c r="G206" s="145"/>
      <c r="H206" s="145"/>
      <c r="I206" s="145"/>
      <c r="J206" s="145"/>
      <c r="N206" s="85"/>
      <c r="O206" s="85"/>
      <c r="P206" s="85"/>
    </row>
    <row r="207" spans="1:16" s="84" customFormat="1">
      <c r="A207" s="85"/>
      <c r="B207" s="144"/>
      <c r="C207" s="145"/>
      <c r="D207" s="146"/>
      <c r="E207" s="145"/>
      <c r="F207" s="145"/>
      <c r="G207" s="145"/>
      <c r="H207" s="145"/>
      <c r="I207" s="145"/>
      <c r="J207" s="145"/>
      <c r="N207" s="85"/>
      <c r="O207" s="85"/>
      <c r="P207" s="85"/>
    </row>
    <row r="208" spans="1:16" s="84" customFormat="1">
      <c r="A208" s="85"/>
      <c r="B208" s="144"/>
      <c r="C208" s="145"/>
      <c r="D208" s="146"/>
      <c r="E208" s="145"/>
      <c r="F208" s="145"/>
      <c r="G208" s="145"/>
      <c r="H208" s="145"/>
      <c r="I208" s="145"/>
      <c r="J208" s="145"/>
      <c r="N208" s="85"/>
      <c r="O208" s="85"/>
      <c r="P208" s="85"/>
    </row>
    <row r="209" spans="1:16" s="84" customFormat="1">
      <c r="A209" s="85"/>
      <c r="B209" s="144"/>
      <c r="C209" s="145"/>
      <c r="D209" s="146"/>
      <c r="E209" s="145"/>
      <c r="F209" s="145"/>
      <c r="G209" s="145"/>
      <c r="H209" s="145"/>
      <c r="I209" s="145"/>
      <c r="J209" s="145"/>
      <c r="N209" s="85"/>
      <c r="O209" s="85"/>
      <c r="P209" s="85"/>
    </row>
    <row r="210" spans="1:16" s="84" customFormat="1">
      <c r="A210" s="85"/>
      <c r="B210" s="144"/>
      <c r="C210" s="145"/>
      <c r="D210" s="146"/>
      <c r="E210" s="145"/>
      <c r="F210" s="145"/>
      <c r="G210" s="145"/>
      <c r="H210" s="145"/>
      <c r="I210" s="145"/>
      <c r="J210" s="145"/>
      <c r="N210" s="85"/>
      <c r="O210" s="85"/>
      <c r="P210" s="85"/>
    </row>
    <row r="211" spans="1:16" s="84" customFormat="1">
      <c r="A211" s="85"/>
      <c r="B211" s="144"/>
      <c r="C211" s="145"/>
      <c r="D211" s="146"/>
      <c r="E211" s="145"/>
      <c r="F211" s="145"/>
      <c r="G211" s="145"/>
      <c r="H211" s="145"/>
      <c r="I211" s="145"/>
      <c r="J211" s="145"/>
      <c r="N211" s="85"/>
      <c r="O211" s="85"/>
      <c r="P211" s="85"/>
    </row>
    <row r="212" spans="1:16" s="84" customFormat="1">
      <c r="A212" s="85"/>
      <c r="B212" s="144"/>
      <c r="C212" s="145"/>
      <c r="D212" s="146"/>
      <c r="E212" s="145"/>
      <c r="F212" s="145"/>
      <c r="G212" s="145"/>
      <c r="H212" s="145"/>
      <c r="I212" s="145"/>
      <c r="J212" s="145"/>
      <c r="N212" s="85"/>
      <c r="O212" s="85"/>
      <c r="P212" s="85"/>
    </row>
    <row r="213" spans="1:16" s="84" customFormat="1">
      <c r="A213" s="85"/>
      <c r="B213" s="144"/>
      <c r="C213" s="145"/>
      <c r="D213" s="146"/>
      <c r="E213" s="145"/>
      <c r="F213" s="145"/>
      <c r="G213" s="145"/>
      <c r="H213" s="145"/>
      <c r="I213" s="145"/>
      <c r="J213" s="145"/>
      <c r="N213" s="85"/>
      <c r="O213" s="85"/>
      <c r="P213" s="85"/>
    </row>
    <row r="214" spans="1:16" s="84" customFormat="1">
      <c r="A214" s="85"/>
      <c r="B214" s="144"/>
      <c r="C214" s="145"/>
      <c r="D214" s="146"/>
      <c r="E214" s="145"/>
      <c r="F214" s="145"/>
      <c r="G214" s="145"/>
      <c r="H214" s="145"/>
      <c r="I214" s="145"/>
      <c r="J214" s="145"/>
      <c r="N214" s="85"/>
      <c r="O214" s="85"/>
      <c r="P214" s="85"/>
    </row>
    <row r="215" spans="1:16" s="84" customFormat="1">
      <c r="A215" s="85"/>
      <c r="B215" s="144"/>
      <c r="C215" s="145"/>
      <c r="D215" s="146"/>
      <c r="E215" s="145"/>
      <c r="F215" s="145"/>
      <c r="G215" s="145"/>
      <c r="H215" s="145"/>
      <c r="I215" s="145"/>
      <c r="J215" s="145"/>
      <c r="N215" s="85"/>
      <c r="O215" s="85"/>
      <c r="P215" s="85"/>
    </row>
    <row r="216" spans="1:16" s="84" customFormat="1">
      <c r="A216" s="85"/>
      <c r="B216" s="144"/>
      <c r="C216" s="145"/>
      <c r="D216" s="146"/>
      <c r="E216" s="145"/>
      <c r="F216" s="145"/>
      <c r="G216" s="145"/>
      <c r="H216" s="145"/>
      <c r="I216" s="145"/>
      <c r="J216" s="145"/>
      <c r="N216" s="85"/>
      <c r="O216" s="85"/>
      <c r="P216" s="85"/>
    </row>
    <row r="217" spans="1:16" s="84" customFormat="1">
      <c r="A217" s="85"/>
      <c r="B217" s="144"/>
      <c r="C217" s="145"/>
      <c r="D217" s="146"/>
      <c r="E217" s="145"/>
      <c r="F217" s="145"/>
      <c r="G217" s="145"/>
      <c r="H217" s="145"/>
      <c r="I217" s="145"/>
      <c r="J217" s="145"/>
      <c r="N217" s="85"/>
      <c r="O217" s="85"/>
      <c r="P217" s="85"/>
    </row>
    <row r="218" spans="1:16" s="84" customFormat="1">
      <c r="A218" s="85"/>
      <c r="B218" s="144"/>
      <c r="C218" s="145"/>
      <c r="D218" s="146"/>
      <c r="E218" s="145"/>
      <c r="F218" s="145"/>
      <c r="G218" s="145"/>
      <c r="H218" s="145"/>
      <c r="I218" s="145"/>
      <c r="J218" s="145"/>
      <c r="N218" s="85"/>
      <c r="O218" s="85"/>
      <c r="P218" s="85"/>
    </row>
    <row r="219" spans="1:16" s="84" customFormat="1">
      <c r="A219" s="85"/>
      <c r="B219" s="144"/>
      <c r="C219" s="145"/>
      <c r="D219" s="146"/>
      <c r="E219" s="145"/>
      <c r="F219" s="145"/>
      <c r="G219" s="145"/>
      <c r="H219" s="145"/>
      <c r="I219" s="145"/>
      <c r="J219" s="145"/>
      <c r="N219" s="85"/>
      <c r="O219" s="85"/>
      <c r="P219" s="85"/>
    </row>
    <row r="220" spans="1:16" s="84" customFormat="1">
      <c r="A220" s="85"/>
      <c r="B220" s="144"/>
      <c r="C220" s="145"/>
      <c r="D220" s="146"/>
      <c r="E220" s="145"/>
      <c r="F220" s="145"/>
      <c r="G220" s="145"/>
      <c r="H220" s="145"/>
      <c r="I220" s="145"/>
      <c r="J220" s="145"/>
      <c r="N220" s="85"/>
      <c r="O220" s="85"/>
      <c r="P220" s="85"/>
    </row>
    <row r="221" spans="1:16" s="84" customFormat="1">
      <c r="A221" s="85"/>
      <c r="B221" s="144"/>
      <c r="C221" s="145"/>
      <c r="D221" s="146"/>
      <c r="E221" s="145"/>
      <c r="F221" s="145"/>
      <c r="G221" s="145"/>
      <c r="H221" s="145"/>
      <c r="I221" s="145"/>
      <c r="J221" s="145"/>
      <c r="N221" s="85"/>
      <c r="O221" s="85"/>
      <c r="P221" s="85"/>
    </row>
    <row r="222" spans="1:16" s="84" customFormat="1">
      <c r="A222" s="85"/>
      <c r="B222" s="144"/>
      <c r="C222" s="145"/>
      <c r="D222" s="146"/>
      <c r="E222" s="145"/>
      <c r="F222" s="145"/>
      <c r="G222" s="145"/>
      <c r="H222" s="145"/>
      <c r="I222" s="145"/>
      <c r="J222" s="145"/>
      <c r="N222" s="85"/>
      <c r="O222" s="85"/>
      <c r="P222" s="85"/>
    </row>
    <row r="223" spans="1:16" s="84" customFormat="1">
      <c r="A223" s="85"/>
      <c r="B223" s="144"/>
      <c r="C223" s="145"/>
      <c r="D223" s="146"/>
      <c r="E223" s="145"/>
      <c r="F223" s="145"/>
      <c r="G223" s="145"/>
      <c r="H223" s="145"/>
      <c r="I223" s="145"/>
      <c r="J223" s="145"/>
      <c r="N223" s="85"/>
      <c r="O223" s="85"/>
      <c r="P223" s="85"/>
    </row>
    <row r="224" spans="1:16" s="84" customFormat="1">
      <c r="A224" s="85"/>
      <c r="B224" s="144"/>
      <c r="C224" s="145"/>
      <c r="D224" s="146"/>
      <c r="E224" s="145"/>
      <c r="F224" s="145"/>
      <c r="G224" s="145"/>
      <c r="H224" s="145"/>
      <c r="I224" s="145"/>
      <c r="J224" s="145"/>
      <c r="N224" s="85"/>
      <c r="O224" s="85"/>
      <c r="P224" s="85"/>
    </row>
    <row r="225" spans="1:16" s="84" customFormat="1">
      <c r="A225" s="85"/>
      <c r="B225" s="144"/>
      <c r="C225" s="145"/>
      <c r="D225" s="146"/>
      <c r="E225" s="145"/>
      <c r="F225" s="145"/>
      <c r="G225" s="145"/>
      <c r="H225" s="145"/>
      <c r="I225" s="145"/>
      <c r="J225" s="145"/>
      <c r="N225" s="85"/>
      <c r="O225" s="85"/>
      <c r="P225" s="85"/>
    </row>
    <row r="226" spans="1:16" s="84" customFormat="1">
      <c r="A226" s="85"/>
      <c r="B226" s="144"/>
      <c r="C226" s="145"/>
      <c r="D226" s="146"/>
      <c r="E226" s="145"/>
      <c r="F226" s="145"/>
      <c r="G226" s="145"/>
      <c r="H226" s="145"/>
      <c r="I226" s="145"/>
      <c r="J226" s="145"/>
      <c r="N226" s="85"/>
      <c r="O226" s="85"/>
      <c r="P226" s="85"/>
    </row>
    <row r="227" spans="1:16" s="84" customFormat="1">
      <c r="A227" s="85"/>
      <c r="B227" s="144"/>
      <c r="C227" s="145"/>
      <c r="D227" s="146"/>
      <c r="E227" s="145"/>
      <c r="F227" s="145"/>
      <c r="G227" s="145"/>
      <c r="H227" s="145"/>
      <c r="I227" s="145"/>
      <c r="J227" s="145"/>
      <c r="N227" s="85"/>
      <c r="O227" s="85"/>
      <c r="P227" s="85"/>
    </row>
    <row r="228" spans="1:16" s="84" customFormat="1">
      <c r="A228" s="85"/>
      <c r="B228" s="144"/>
      <c r="C228" s="145"/>
      <c r="D228" s="146"/>
      <c r="E228" s="145"/>
      <c r="F228" s="145"/>
      <c r="G228" s="145"/>
      <c r="H228" s="145"/>
      <c r="I228" s="145"/>
      <c r="J228" s="145"/>
      <c r="N228" s="85"/>
      <c r="O228" s="85"/>
      <c r="P228" s="85"/>
    </row>
    <row r="229" spans="1:16" s="84" customFormat="1">
      <c r="A229" s="85"/>
      <c r="B229" s="144"/>
      <c r="C229" s="145"/>
      <c r="D229" s="146"/>
      <c r="E229" s="145"/>
      <c r="F229" s="145"/>
      <c r="G229" s="145"/>
      <c r="H229" s="145"/>
      <c r="I229" s="145"/>
      <c r="J229" s="145"/>
      <c r="N229" s="85"/>
      <c r="O229" s="85"/>
      <c r="P229" s="85"/>
    </row>
    <row r="230" spans="1:16" s="84" customFormat="1">
      <c r="A230" s="85"/>
      <c r="B230" s="144"/>
      <c r="C230" s="145"/>
      <c r="D230" s="146"/>
      <c r="E230" s="145"/>
      <c r="F230" s="145"/>
      <c r="G230" s="145"/>
      <c r="H230" s="145"/>
      <c r="I230" s="145"/>
      <c r="J230" s="145"/>
      <c r="N230" s="85"/>
      <c r="O230" s="85"/>
      <c r="P230" s="85"/>
    </row>
    <row r="231" spans="1:16" s="84" customFormat="1">
      <c r="A231" s="85"/>
      <c r="B231" s="144"/>
      <c r="C231" s="145"/>
      <c r="D231" s="146"/>
      <c r="E231" s="145"/>
      <c r="F231" s="145"/>
      <c r="G231" s="145"/>
      <c r="H231" s="145"/>
      <c r="I231" s="145"/>
      <c r="J231" s="145"/>
      <c r="N231" s="85"/>
      <c r="O231" s="85"/>
      <c r="P231" s="85"/>
    </row>
    <row r="232" spans="1:16" s="84" customFormat="1">
      <c r="A232" s="85"/>
      <c r="B232" s="144"/>
      <c r="C232" s="145"/>
      <c r="D232" s="146"/>
      <c r="E232" s="145"/>
      <c r="F232" s="145"/>
      <c r="G232" s="145"/>
      <c r="H232" s="145"/>
      <c r="I232" s="145"/>
      <c r="J232" s="145"/>
      <c r="N232" s="85"/>
      <c r="O232" s="85"/>
      <c r="P232" s="85"/>
    </row>
    <row r="233" spans="1:16" s="84" customFormat="1">
      <c r="A233" s="85"/>
      <c r="B233" s="144"/>
      <c r="C233" s="145"/>
      <c r="D233" s="146"/>
      <c r="E233" s="145"/>
      <c r="F233" s="145"/>
      <c r="G233" s="145"/>
      <c r="H233" s="145"/>
      <c r="I233" s="145"/>
      <c r="J233" s="145"/>
      <c r="N233" s="85"/>
      <c r="O233" s="85"/>
      <c r="P233" s="85"/>
    </row>
    <row r="234" spans="1:16" s="84" customFormat="1">
      <c r="A234" s="85"/>
      <c r="B234" s="144"/>
      <c r="C234" s="145"/>
      <c r="D234" s="146"/>
      <c r="E234" s="145"/>
      <c r="F234" s="145"/>
      <c r="G234" s="145"/>
      <c r="H234" s="145"/>
      <c r="I234" s="145"/>
      <c r="J234" s="145"/>
      <c r="N234" s="85"/>
      <c r="O234" s="85"/>
      <c r="P234" s="85"/>
    </row>
    <row r="235" spans="1:16" s="84" customFormat="1">
      <c r="A235" s="85"/>
      <c r="B235" s="144"/>
      <c r="C235" s="145"/>
      <c r="D235" s="146"/>
      <c r="E235" s="145"/>
      <c r="F235" s="145"/>
      <c r="G235" s="145"/>
      <c r="H235" s="145"/>
      <c r="I235" s="145"/>
      <c r="J235" s="145"/>
      <c r="N235" s="85"/>
      <c r="O235" s="85"/>
      <c r="P235" s="85"/>
    </row>
    <row r="236" spans="1:16" s="84" customFormat="1">
      <c r="A236" s="85"/>
      <c r="B236" s="144"/>
      <c r="C236" s="145"/>
      <c r="D236" s="146"/>
      <c r="E236" s="145"/>
      <c r="F236" s="145"/>
      <c r="G236" s="145"/>
      <c r="H236" s="145"/>
      <c r="I236" s="145"/>
      <c r="J236" s="145"/>
      <c r="N236" s="85"/>
      <c r="O236" s="85"/>
      <c r="P236" s="85"/>
    </row>
    <row r="237" spans="1:16" s="84" customFormat="1">
      <c r="A237" s="85"/>
      <c r="B237" s="144"/>
      <c r="C237" s="145"/>
      <c r="D237" s="146"/>
      <c r="E237" s="145"/>
      <c r="F237" s="145"/>
      <c r="G237" s="145"/>
      <c r="H237" s="145"/>
      <c r="I237" s="145"/>
      <c r="J237" s="145"/>
      <c r="N237" s="85"/>
      <c r="O237" s="85"/>
      <c r="P237" s="85"/>
    </row>
    <row r="238" spans="1:16" s="84" customFormat="1">
      <c r="A238" s="85"/>
      <c r="B238" s="144"/>
      <c r="C238" s="145"/>
      <c r="D238" s="146"/>
      <c r="E238" s="145"/>
      <c r="F238" s="145"/>
      <c r="G238" s="145"/>
      <c r="H238" s="145"/>
      <c r="I238" s="145"/>
      <c r="J238" s="145"/>
      <c r="N238" s="85"/>
      <c r="O238" s="85"/>
      <c r="P238" s="85"/>
    </row>
    <row r="239" spans="1:16" s="84" customFormat="1">
      <c r="A239" s="85"/>
      <c r="B239" s="144"/>
      <c r="C239" s="145"/>
      <c r="D239" s="146"/>
      <c r="E239" s="145"/>
      <c r="F239" s="145"/>
      <c r="G239" s="145"/>
      <c r="H239" s="145"/>
      <c r="I239" s="145"/>
      <c r="J239" s="145"/>
      <c r="N239" s="85"/>
      <c r="O239" s="85"/>
      <c r="P239" s="85"/>
    </row>
    <row r="240" spans="1:16" s="84" customFormat="1">
      <c r="A240" s="85"/>
      <c r="B240" s="144"/>
      <c r="C240" s="145"/>
      <c r="D240" s="146"/>
      <c r="E240" s="145"/>
      <c r="F240" s="145"/>
      <c r="G240" s="145"/>
      <c r="H240" s="145"/>
      <c r="I240" s="145"/>
      <c r="J240" s="145"/>
      <c r="N240" s="85"/>
      <c r="O240" s="85"/>
      <c r="P240" s="85"/>
    </row>
    <row r="241" spans="1:16" s="84" customFormat="1">
      <c r="A241" s="85"/>
      <c r="B241" s="144"/>
      <c r="C241" s="145"/>
      <c r="D241" s="146"/>
      <c r="E241" s="145"/>
      <c r="F241" s="145"/>
      <c r="G241" s="145"/>
      <c r="H241" s="145"/>
      <c r="I241" s="145"/>
      <c r="J241" s="145"/>
      <c r="N241" s="85"/>
      <c r="O241" s="85"/>
      <c r="P241" s="85"/>
    </row>
    <row r="242" spans="1:16" s="84" customFormat="1">
      <c r="A242" s="85"/>
      <c r="B242" s="144"/>
      <c r="C242" s="145"/>
      <c r="D242" s="146"/>
      <c r="E242" s="145"/>
      <c r="F242" s="145"/>
      <c r="G242" s="145"/>
      <c r="H242" s="145"/>
      <c r="I242" s="145"/>
      <c r="J242" s="145"/>
      <c r="N242" s="85"/>
      <c r="O242" s="85"/>
      <c r="P242" s="85"/>
    </row>
    <row r="243" spans="1:16" s="84" customFormat="1">
      <c r="A243" s="85"/>
      <c r="B243" s="144"/>
      <c r="C243" s="145"/>
      <c r="D243" s="146"/>
      <c r="E243" s="145"/>
      <c r="F243" s="145"/>
      <c r="G243" s="145"/>
      <c r="H243" s="145"/>
      <c r="I243" s="145"/>
      <c r="J243" s="145"/>
      <c r="N243" s="85"/>
      <c r="O243" s="85"/>
      <c r="P243" s="85"/>
    </row>
    <row r="244" spans="1:16" s="84" customFormat="1">
      <c r="A244" s="85"/>
      <c r="B244" s="144"/>
      <c r="C244" s="145"/>
      <c r="D244" s="146"/>
      <c r="E244" s="145"/>
      <c r="F244" s="145"/>
      <c r="G244" s="145"/>
      <c r="H244" s="145"/>
      <c r="I244" s="145"/>
      <c r="J244" s="145"/>
      <c r="N244" s="85"/>
      <c r="O244" s="85"/>
      <c r="P244" s="85"/>
    </row>
    <row r="245" spans="1:16" s="84" customFormat="1">
      <c r="A245" s="85"/>
      <c r="B245" s="144"/>
      <c r="C245" s="145"/>
      <c r="D245" s="146"/>
      <c r="E245" s="145"/>
      <c r="F245" s="145"/>
      <c r="G245" s="145"/>
      <c r="H245" s="145"/>
      <c r="I245" s="145"/>
      <c r="J245" s="145"/>
      <c r="N245" s="85"/>
      <c r="O245" s="85"/>
      <c r="P245" s="85"/>
    </row>
    <row r="246" spans="1:16" s="84" customFormat="1">
      <c r="A246" s="85"/>
      <c r="B246" s="144"/>
      <c r="C246" s="145"/>
      <c r="D246" s="146"/>
      <c r="E246" s="145"/>
      <c r="F246" s="145"/>
      <c r="G246" s="145"/>
      <c r="H246" s="145"/>
      <c r="I246" s="145"/>
      <c r="J246" s="145"/>
      <c r="N246" s="85"/>
      <c r="O246" s="85"/>
      <c r="P246" s="85"/>
    </row>
    <row r="247" spans="1:16" s="84" customFormat="1">
      <c r="A247" s="85"/>
      <c r="B247" s="144"/>
      <c r="C247" s="145"/>
      <c r="D247" s="146"/>
      <c r="E247" s="145"/>
      <c r="F247" s="145"/>
      <c r="G247" s="145"/>
      <c r="H247" s="145"/>
      <c r="I247" s="145"/>
      <c r="J247" s="145"/>
      <c r="N247" s="85"/>
      <c r="O247" s="85"/>
      <c r="P247" s="85"/>
    </row>
    <row r="248" spans="1:16" s="84" customFormat="1">
      <c r="A248" s="85"/>
      <c r="B248" s="144"/>
      <c r="C248" s="145"/>
      <c r="D248" s="146"/>
      <c r="E248" s="145"/>
      <c r="F248" s="145"/>
      <c r="G248" s="145"/>
      <c r="H248" s="145"/>
      <c r="I248" s="145"/>
      <c r="J248" s="145"/>
      <c r="N248" s="85"/>
      <c r="O248" s="85"/>
      <c r="P248" s="85"/>
    </row>
    <row r="249" spans="1:16" s="84" customFormat="1">
      <c r="A249" s="85"/>
      <c r="B249" s="144"/>
      <c r="C249" s="145"/>
      <c r="D249" s="146"/>
      <c r="E249" s="145"/>
      <c r="F249" s="145"/>
      <c r="G249" s="145"/>
      <c r="H249" s="145"/>
      <c r="I249" s="145"/>
      <c r="J249" s="145"/>
      <c r="N249" s="85"/>
      <c r="O249" s="85"/>
      <c r="P249" s="85"/>
    </row>
    <row r="250" spans="1:16" s="84" customFormat="1">
      <c r="A250" s="85"/>
      <c r="B250" s="144"/>
      <c r="C250" s="145"/>
      <c r="D250" s="146"/>
      <c r="E250" s="145"/>
      <c r="F250" s="145"/>
      <c r="G250" s="145"/>
      <c r="H250" s="145"/>
      <c r="I250" s="145"/>
      <c r="J250" s="145"/>
      <c r="N250" s="85"/>
      <c r="O250" s="85"/>
      <c r="P250" s="85"/>
    </row>
    <row r="251" spans="1:16" s="84" customFormat="1">
      <c r="A251" s="85"/>
      <c r="B251" s="144"/>
      <c r="C251" s="145"/>
      <c r="D251" s="146"/>
      <c r="E251" s="145"/>
      <c r="F251" s="145"/>
      <c r="G251" s="145"/>
      <c r="H251" s="145"/>
      <c r="I251" s="145"/>
      <c r="J251" s="145"/>
      <c r="N251" s="85"/>
      <c r="O251" s="85"/>
      <c r="P251" s="85"/>
    </row>
    <row r="252" spans="1:16" s="84" customFormat="1">
      <c r="A252" s="85"/>
      <c r="B252" s="144"/>
      <c r="C252" s="145"/>
      <c r="D252" s="146"/>
      <c r="E252" s="145"/>
      <c r="F252" s="145"/>
      <c r="G252" s="145"/>
      <c r="H252" s="145"/>
      <c r="I252" s="145"/>
      <c r="J252" s="145"/>
      <c r="N252" s="85"/>
      <c r="O252" s="85"/>
      <c r="P252" s="85"/>
    </row>
    <row r="253" spans="1:16" s="84" customFormat="1">
      <c r="A253" s="85"/>
      <c r="B253" s="144"/>
      <c r="C253" s="145"/>
      <c r="D253" s="146"/>
      <c r="E253" s="145"/>
      <c r="F253" s="145"/>
      <c r="G253" s="145"/>
      <c r="H253" s="145"/>
      <c r="I253" s="145"/>
      <c r="J253" s="145"/>
      <c r="N253" s="85"/>
      <c r="O253" s="85"/>
      <c r="P253" s="85"/>
    </row>
    <row r="254" spans="1:16" s="84" customFormat="1">
      <c r="A254" s="85"/>
      <c r="B254" s="144"/>
      <c r="C254" s="145"/>
      <c r="D254" s="146"/>
      <c r="E254" s="145"/>
      <c r="F254" s="145"/>
      <c r="G254" s="145"/>
      <c r="H254" s="145"/>
      <c r="I254" s="145"/>
      <c r="J254" s="145"/>
      <c r="N254" s="85"/>
      <c r="O254" s="85"/>
      <c r="P254" s="85"/>
    </row>
    <row r="255" spans="1:16" s="84" customFormat="1">
      <c r="A255" s="85"/>
      <c r="B255" s="144"/>
      <c r="C255" s="145"/>
      <c r="D255" s="146"/>
      <c r="E255" s="145"/>
      <c r="F255" s="145"/>
      <c r="G255" s="145"/>
      <c r="H255" s="145"/>
      <c r="I255" s="145"/>
      <c r="J255" s="145"/>
      <c r="N255" s="85"/>
      <c r="O255" s="85"/>
      <c r="P255" s="85"/>
    </row>
    <row r="256" spans="1:16" s="84" customFormat="1">
      <c r="A256" s="85"/>
      <c r="B256" s="144"/>
      <c r="C256" s="145"/>
      <c r="D256" s="146"/>
      <c r="E256" s="145"/>
      <c r="F256" s="145"/>
      <c r="G256" s="145"/>
      <c r="H256" s="145"/>
      <c r="I256" s="145"/>
      <c r="J256" s="145"/>
      <c r="N256" s="85"/>
      <c r="O256" s="85"/>
      <c r="P256" s="85"/>
    </row>
    <row r="257" spans="1:16" s="84" customFormat="1">
      <c r="A257" s="85"/>
      <c r="B257" s="144"/>
      <c r="C257" s="145"/>
      <c r="D257" s="146"/>
      <c r="E257" s="145"/>
      <c r="F257" s="145"/>
      <c r="G257" s="145"/>
      <c r="H257" s="145"/>
      <c r="I257" s="145"/>
      <c r="J257" s="145"/>
      <c r="N257" s="85"/>
      <c r="O257" s="85"/>
      <c r="P257" s="85"/>
    </row>
    <row r="258" spans="1:16" s="84" customFormat="1">
      <c r="A258" s="85"/>
      <c r="B258" s="144"/>
      <c r="C258" s="145"/>
      <c r="D258" s="146"/>
      <c r="E258" s="145"/>
      <c r="F258" s="145"/>
      <c r="G258" s="145"/>
      <c r="H258" s="145"/>
      <c r="I258" s="145"/>
      <c r="J258" s="145"/>
      <c r="N258" s="85"/>
      <c r="O258" s="85"/>
      <c r="P258" s="85"/>
    </row>
    <row r="259" spans="1:16" s="84" customFormat="1">
      <c r="A259" s="85"/>
      <c r="B259" s="144"/>
      <c r="C259" s="145"/>
      <c r="D259" s="146"/>
      <c r="E259" s="145"/>
      <c r="F259" s="145"/>
      <c r="G259" s="145"/>
      <c r="H259" s="145"/>
      <c r="I259" s="145"/>
      <c r="J259" s="145"/>
      <c r="N259" s="85"/>
      <c r="O259" s="85"/>
      <c r="P259" s="85"/>
    </row>
    <row r="260" spans="1:16" s="84" customFormat="1">
      <c r="A260" s="85"/>
      <c r="B260" s="144"/>
      <c r="C260" s="145"/>
      <c r="D260" s="146"/>
      <c r="E260" s="145"/>
      <c r="F260" s="145"/>
      <c r="G260" s="145"/>
      <c r="H260" s="145"/>
      <c r="I260" s="145"/>
      <c r="J260" s="145"/>
      <c r="N260" s="85"/>
      <c r="O260" s="85"/>
      <c r="P260" s="85"/>
    </row>
    <row r="261" spans="1:16" s="84" customFormat="1">
      <c r="A261" s="85"/>
      <c r="B261" s="144"/>
      <c r="C261" s="145"/>
      <c r="D261" s="146"/>
      <c r="E261" s="145"/>
      <c r="F261" s="145"/>
      <c r="G261" s="145"/>
      <c r="H261" s="145"/>
      <c r="I261" s="145"/>
      <c r="J261" s="145"/>
      <c r="N261" s="85"/>
      <c r="O261" s="85"/>
      <c r="P261" s="85"/>
    </row>
    <row r="262" spans="1:16" s="84" customFormat="1">
      <c r="A262" s="85"/>
      <c r="B262" s="144"/>
      <c r="C262" s="145"/>
      <c r="D262" s="146"/>
      <c r="E262" s="145"/>
      <c r="F262" s="145"/>
      <c r="G262" s="145"/>
      <c r="H262" s="145"/>
      <c r="I262" s="145"/>
      <c r="J262" s="145"/>
      <c r="N262" s="85"/>
      <c r="O262" s="85"/>
      <c r="P262" s="85"/>
    </row>
    <row r="263" spans="1:16" s="84" customFormat="1">
      <c r="A263" s="85"/>
      <c r="B263" s="144"/>
      <c r="C263" s="145"/>
      <c r="D263" s="146"/>
      <c r="E263" s="145"/>
      <c r="F263" s="145"/>
      <c r="G263" s="145"/>
      <c r="H263" s="145"/>
      <c r="I263" s="145"/>
      <c r="J263" s="145"/>
      <c r="N263" s="85"/>
      <c r="O263" s="85"/>
      <c r="P263" s="85"/>
    </row>
    <row r="264" spans="1:16" s="84" customFormat="1">
      <c r="A264" s="85"/>
      <c r="B264" s="144"/>
      <c r="C264" s="145"/>
      <c r="D264" s="146"/>
      <c r="E264" s="145"/>
      <c r="F264" s="145"/>
      <c r="G264" s="145"/>
      <c r="H264" s="145"/>
      <c r="I264" s="145"/>
      <c r="J264" s="145"/>
      <c r="N264" s="85"/>
      <c r="O264" s="85"/>
      <c r="P264" s="85"/>
    </row>
    <row r="265" spans="1:16" s="84" customFormat="1">
      <c r="A265" s="85"/>
      <c r="B265" s="144"/>
      <c r="C265" s="145"/>
      <c r="D265" s="146"/>
      <c r="E265" s="145"/>
      <c r="F265" s="145"/>
      <c r="G265" s="145"/>
      <c r="H265" s="145"/>
      <c r="I265" s="145"/>
      <c r="J265" s="145"/>
      <c r="N265" s="85"/>
      <c r="O265" s="85"/>
      <c r="P265" s="85"/>
    </row>
    <row r="266" spans="1:16" s="84" customFormat="1">
      <c r="A266" s="85"/>
      <c r="B266" s="144"/>
      <c r="C266" s="145"/>
      <c r="D266" s="146"/>
      <c r="E266" s="145"/>
      <c r="F266" s="145"/>
      <c r="G266" s="145"/>
      <c r="H266" s="145"/>
      <c r="I266" s="145"/>
      <c r="J266" s="145"/>
      <c r="N266" s="85"/>
      <c r="O266" s="85"/>
      <c r="P266" s="85"/>
    </row>
    <row r="267" spans="1:16" s="84" customFormat="1">
      <c r="A267" s="85"/>
      <c r="B267" s="144"/>
      <c r="C267" s="145"/>
      <c r="D267" s="146"/>
      <c r="E267" s="145"/>
      <c r="F267" s="145"/>
      <c r="G267" s="145"/>
      <c r="H267" s="145"/>
      <c r="I267" s="145"/>
      <c r="J267" s="145"/>
      <c r="N267" s="85"/>
      <c r="O267" s="85"/>
      <c r="P267" s="85"/>
    </row>
    <row r="268" spans="1:16" s="84" customFormat="1">
      <c r="A268" s="85"/>
      <c r="B268" s="144"/>
      <c r="C268" s="145"/>
      <c r="D268" s="146"/>
      <c r="E268" s="145"/>
      <c r="F268" s="145"/>
      <c r="G268" s="145"/>
      <c r="H268" s="145"/>
      <c r="I268" s="145"/>
      <c r="J268" s="145"/>
      <c r="N268" s="85"/>
      <c r="O268" s="85"/>
      <c r="P268" s="85"/>
    </row>
    <row r="269" spans="1:16" s="84" customFormat="1">
      <c r="A269" s="85"/>
      <c r="B269" s="144"/>
      <c r="C269" s="145"/>
      <c r="D269" s="146"/>
      <c r="E269" s="145"/>
      <c r="F269" s="145"/>
      <c r="G269" s="145"/>
      <c r="H269" s="145"/>
      <c r="I269" s="145"/>
      <c r="J269" s="145"/>
      <c r="N269" s="85"/>
      <c r="O269" s="85"/>
      <c r="P269" s="85"/>
    </row>
    <row r="270" spans="1:16" s="84" customFormat="1">
      <c r="A270" s="85"/>
      <c r="B270" s="144"/>
      <c r="C270" s="145"/>
      <c r="D270" s="146"/>
      <c r="E270" s="145"/>
      <c r="F270" s="145"/>
      <c r="G270" s="145"/>
      <c r="H270" s="145"/>
      <c r="I270" s="145"/>
      <c r="J270" s="145"/>
      <c r="N270" s="85"/>
      <c r="O270" s="85"/>
      <c r="P270" s="85"/>
    </row>
    <row r="271" spans="1:16" s="84" customFormat="1">
      <c r="A271" s="85"/>
      <c r="B271" s="144"/>
      <c r="C271" s="145"/>
      <c r="D271" s="146"/>
      <c r="E271" s="145"/>
      <c r="F271" s="145"/>
      <c r="G271" s="145"/>
      <c r="H271" s="145"/>
      <c r="I271" s="145"/>
      <c r="J271" s="145"/>
      <c r="N271" s="85"/>
      <c r="O271" s="85"/>
      <c r="P271" s="85"/>
    </row>
    <row r="272" spans="1:16" s="84" customFormat="1">
      <c r="A272" s="85"/>
      <c r="B272" s="144"/>
      <c r="C272" s="145"/>
      <c r="D272" s="146"/>
      <c r="E272" s="145"/>
      <c r="F272" s="145"/>
      <c r="G272" s="145"/>
      <c r="H272" s="145"/>
      <c r="I272" s="145"/>
      <c r="J272" s="145"/>
      <c r="N272" s="85"/>
      <c r="O272" s="85"/>
      <c r="P272" s="85"/>
    </row>
    <row r="273" spans="1:16" s="84" customFormat="1">
      <c r="A273" s="85"/>
      <c r="B273" s="144"/>
      <c r="C273" s="145"/>
      <c r="D273" s="146"/>
      <c r="E273" s="145"/>
      <c r="F273" s="145"/>
      <c r="G273" s="145"/>
      <c r="H273" s="145"/>
      <c r="I273" s="145"/>
      <c r="J273" s="145"/>
      <c r="N273" s="85"/>
      <c r="O273" s="85"/>
      <c r="P273" s="85"/>
    </row>
    <row r="274" spans="1:16" s="84" customFormat="1">
      <c r="A274" s="85"/>
      <c r="B274" s="144"/>
      <c r="C274" s="145"/>
      <c r="D274" s="146"/>
      <c r="E274" s="145"/>
      <c r="F274" s="145"/>
      <c r="G274" s="145"/>
      <c r="H274" s="145"/>
      <c r="I274" s="145"/>
      <c r="J274" s="145"/>
      <c r="N274" s="85"/>
      <c r="O274" s="85"/>
      <c r="P274" s="85"/>
    </row>
    <row r="275" spans="1:16" s="84" customFormat="1">
      <c r="A275" s="85"/>
      <c r="B275" s="140"/>
      <c r="C275" s="141"/>
      <c r="D275" s="147"/>
      <c r="E275" s="141"/>
      <c r="F275" s="141"/>
      <c r="G275" s="141"/>
      <c r="H275" s="141"/>
      <c r="I275" s="141"/>
      <c r="J275" s="141"/>
      <c r="N275" s="85"/>
      <c r="O275" s="85"/>
      <c r="P275" s="85"/>
    </row>
    <row r="276" spans="1:16" s="84" customFormat="1">
      <c r="A276" s="85"/>
      <c r="B276" s="140"/>
      <c r="C276" s="141"/>
      <c r="D276" s="147"/>
      <c r="E276" s="141"/>
      <c r="F276" s="141"/>
      <c r="G276" s="141"/>
      <c r="H276" s="141"/>
      <c r="I276" s="141"/>
      <c r="J276" s="141"/>
      <c r="N276" s="85"/>
      <c r="O276" s="85"/>
      <c r="P276" s="85"/>
    </row>
    <row r="277" spans="1:16" s="84" customFormat="1">
      <c r="A277" s="85"/>
      <c r="B277" s="140"/>
      <c r="C277" s="141"/>
      <c r="D277" s="147"/>
      <c r="E277" s="141"/>
      <c r="F277" s="141"/>
      <c r="G277" s="141"/>
      <c r="H277" s="141"/>
      <c r="I277" s="141"/>
      <c r="J277" s="141"/>
      <c r="N277" s="85"/>
      <c r="O277" s="85"/>
      <c r="P277" s="85"/>
    </row>
    <row r="278" spans="1:16" s="84" customFormat="1">
      <c r="A278" s="85"/>
      <c r="B278" s="140"/>
      <c r="C278" s="141"/>
      <c r="D278" s="147"/>
      <c r="E278" s="141"/>
      <c r="F278" s="141"/>
      <c r="G278" s="141"/>
      <c r="H278" s="141"/>
      <c r="I278" s="141"/>
      <c r="J278" s="141"/>
      <c r="N278" s="85"/>
      <c r="O278" s="85"/>
      <c r="P278" s="85"/>
    </row>
    <row r="279" spans="1:16" s="84" customFormat="1">
      <c r="A279" s="85"/>
      <c r="B279" s="140"/>
      <c r="C279" s="141"/>
      <c r="D279" s="147"/>
      <c r="E279" s="141"/>
      <c r="F279" s="141"/>
      <c r="G279" s="141"/>
      <c r="H279" s="141"/>
      <c r="I279" s="141"/>
      <c r="J279" s="141"/>
      <c r="N279" s="85"/>
      <c r="O279" s="85"/>
      <c r="P279" s="85"/>
    </row>
    <row r="280" spans="1:16" s="84" customFormat="1">
      <c r="A280" s="85"/>
      <c r="B280" s="140"/>
      <c r="C280" s="141"/>
      <c r="D280" s="147"/>
      <c r="E280" s="141"/>
      <c r="F280" s="141"/>
      <c r="G280" s="141"/>
      <c r="H280" s="141"/>
      <c r="I280" s="141"/>
      <c r="J280" s="141"/>
      <c r="N280" s="85"/>
      <c r="O280" s="85"/>
      <c r="P280" s="85"/>
    </row>
    <row r="281" spans="1:16" s="84" customFormat="1">
      <c r="A281" s="85"/>
      <c r="B281" s="140"/>
      <c r="C281" s="141"/>
      <c r="D281" s="147"/>
      <c r="E281" s="141"/>
      <c r="F281" s="141"/>
      <c r="G281" s="141"/>
      <c r="H281" s="141"/>
      <c r="I281" s="141"/>
      <c r="J281" s="141"/>
      <c r="N281" s="85"/>
      <c r="O281" s="85"/>
      <c r="P281" s="85"/>
    </row>
    <row r="282" spans="1:16" s="84" customFormat="1">
      <c r="A282" s="85"/>
      <c r="B282" s="140"/>
      <c r="C282" s="141"/>
      <c r="D282" s="147"/>
      <c r="E282" s="141"/>
      <c r="F282" s="141"/>
      <c r="G282" s="141"/>
      <c r="H282" s="141"/>
      <c r="I282" s="141"/>
      <c r="J282" s="141"/>
      <c r="N282" s="85"/>
      <c r="O282" s="85"/>
      <c r="P282" s="85"/>
    </row>
    <row r="283" spans="1:16" s="84" customFormat="1">
      <c r="A283" s="85"/>
      <c r="B283" s="140"/>
      <c r="C283" s="141"/>
      <c r="D283" s="147"/>
      <c r="E283" s="141"/>
      <c r="F283" s="141"/>
      <c r="G283" s="141"/>
      <c r="H283" s="141"/>
      <c r="I283" s="141"/>
      <c r="J283" s="141"/>
      <c r="N283" s="85"/>
      <c r="O283" s="85"/>
      <c r="P283" s="85"/>
    </row>
    <row r="284" spans="1:16" s="84" customFormat="1">
      <c r="A284" s="85"/>
      <c r="B284" s="140"/>
      <c r="C284" s="141"/>
      <c r="D284" s="147"/>
      <c r="E284" s="141"/>
      <c r="F284" s="141"/>
      <c r="G284" s="141"/>
      <c r="H284" s="141"/>
      <c r="I284" s="141"/>
      <c r="J284" s="141"/>
      <c r="N284" s="85"/>
      <c r="O284" s="85"/>
      <c r="P284" s="85"/>
    </row>
    <row r="285" spans="1:16" s="84" customFormat="1">
      <c r="A285" s="85"/>
      <c r="B285" s="140"/>
      <c r="C285" s="141"/>
      <c r="D285" s="147"/>
      <c r="E285" s="141"/>
      <c r="F285" s="141"/>
      <c r="G285" s="141"/>
      <c r="H285" s="141"/>
      <c r="I285" s="141"/>
      <c r="J285" s="141"/>
      <c r="N285" s="85"/>
      <c r="O285" s="85"/>
      <c r="P285" s="85"/>
    </row>
    <row r="286" spans="1:16" s="84" customFormat="1">
      <c r="A286" s="85"/>
      <c r="B286" s="140"/>
      <c r="C286" s="141"/>
      <c r="D286" s="147"/>
      <c r="E286" s="141"/>
      <c r="F286" s="141"/>
      <c r="G286" s="141"/>
      <c r="H286" s="141"/>
      <c r="I286" s="141"/>
      <c r="J286" s="141"/>
      <c r="N286" s="85"/>
      <c r="O286" s="85"/>
      <c r="P286" s="85"/>
    </row>
    <row r="287" spans="1:16" s="84" customFormat="1">
      <c r="A287" s="85"/>
      <c r="B287" s="140"/>
      <c r="C287" s="141"/>
      <c r="D287" s="147"/>
      <c r="E287" s="141"/>
      <c r="F287" s="141"/>
      <c r="G287" s="141"/>
      <c r="H287" s="141"/>
      <c r="I287" s="141"/>
      <c r="J287" s="141"/>
      <c r="N287" s="85"/>
      <c r="O287" s="85"/>
      <c r="P287" s="85"/>
    </row>
    <row r="288" spans="1:16" s="84" customFormat="1">
      <c r="A288" s="85"/>
      <c r="B288" s="140"/>
      <c r="C288" s="141"/>
      <c r="D288" s="147"/>
      <c r="E288" s="141"/>
      <c r="F288" s="141"/>
      <c r="G288" s="141"/>
      <c r="H288" s="141"/>
      <c r="I288" s="141"/>
      <c r="J288" s="141"/>
      <c r="N288" s="85"/>
      <c r="O288" s="85"/>
      <c r="P288" s="85"/>
    </row>
    <row r="289" spans="1:16" s="84" customFormat="1">
      <c r="A289" s="85"/>
      <c r="B289" s="140"/>
      <c r="C289" s="141"/>
      <c r="D289" s="147"/>
      <c r="E289" s="141"/>
      <c r="F289" s="141"/>
      <c r="G289" s="141"/>
      <c r="H289" s="141"/>
      <c r="I289" s="141"/>
      <c r="J289" s="141"/>
      <c r="N289" s="85"/>
      <c r="O289" s="85"/>
      <c r="P289" s="85"/>
    </row>
    <row r="290" spans="1:16" s="84" customFormat="1">
      <c r="A290" s="85"/>
      <c r="B290" s="140"/>
      <c r="C290" s="141"/>
      <c r="D290" s="147"/>
      <c r="E290" s="141"/>
      <c r="F290" s="141"/>
      <c r="G290" s="141"/>
      <c r="H290" s="141"/>
      <c r="I290" s="141"/>
      <c r="J290" s="141"/>
      <c r="N290" s="85"/>
      <c r="O290" s="85"/>
      <c r="P290" s="85"/>
    </row>
    <row r="291" spans="1:16" s="84" customFormat="1">
      <c r="A291" s="85"/>
      <c r="B291" s="140"/>
      <c r="C291" s="141"/>
      <c r="D291" s="147"/>
      <c r="E291" s="141"/>
      <c r="F291" s="141"/>
      <c r="G291" s="141"/>
      <c r="H291" s="141"/>
      <c r="I291" s="141"/>
      <c r="J291" s="141"/>
      <c r="N291" s="85"/>
      <c r="O291" s="85"/>
      <c r="P291" s="85"/>
    </row>
    <row r="292" spans="1:16" s="84" customFormat="1">
      <c r="A292" s="85"/>
      <c r="B292" s="140"/>
      <c r="C292" s="141"/>
      <c r="D292" s="147"/>
      <c r="E292" s="141"/>
      <c r="F292" s="141"/>
      <c r="G292" s="141"/>
      <c r="H292" s="141"/>
      <c r="I292" s="141"/>
      <c r="J292" s="141"/>
      <c r="N292" s="85"/>
      <c r="O292" s="85"/>
      <c r="P292" s="85"/>
    </row>
    <row r="293" spans="1:16" s="84" customFormat="1">
      <c r="A293" s="85"/>
      <c r="B293" s="140"/>
      <c r="C293" s="141"/>
      <c r="D293" s="147"/>
      <c r="E293" s="141"/>
      <c r="F293" s="141"/>
      <c r="G293" s="141"/>
      <c r="H293" s="141"/>
      <c r="I293" s="141"/>
      <c r="J293" s="141"/>
      <c r="N293" s="85"/>
      <c r="O293" s="85"/>
      <c r="P293" s="85"/>
    </row>
    <row r="294" spans="1:16" s="84" customFormat="1">
      <c r="A294" s="85"/>
      <c r="B294" s="140"/>
      <c r="C294" s="141"/>
      <c r="D294" s="147"/>
      <c r="E294" s="141"/>
      <c r="F294" s="141"/>
      <c r="G294" s="141"/>
      <c r="H294" s="141"/>
      <c r="I294" s="141"/>
      <c r="J294" s="141"/>
      <c r="N294" s="85"/>
      <c r="O294" s="85"/>
      <c r="P294" s="85"/>
    </row>
    <row r="295" spans="1:16" s="84" customFormat="1">
      <c r="A295" s="85"/>
      <c r="B295" s="140"/>
      <c r="C295" s="141"/>
      <c r="D295" s="147"/>
      <c r="E295" s="141"/>
      <c r="F295" s="141"/>
      <c r="G295" s="141"/>
      <c r="H295" s="141"/>
      <c r="I295" s="141"/>
      <c r="J295" s="141"/>
      <c r="N295" s="85"/>
      <c r="O295" s="85"/>
      <c r="P295" s="85"/>
    </row>
    <row r="296" spans="1:16" s="84" customFormat="1">
      <c r="A296" s="85"/>
      <c r="B296" s="140"/>
      <c r="C296" s="141"/>
      <c r="D296" s="147"/>
      <c r="E296" s="141"/>
      <c r="F296" s="141"/>
      <c r="G296" s="141"/>
      <c r="H296" s="141"/>
      <c r="I296" s="141"/>
      <c r="J296" s="141"/>
      <c r="N296" s="85"/>
      <c r="O296" s="85"/>
      <c r="P296" s="85"/>
    </row>
    <row r="297" spans="1:16" s="84" customFormat="1">
      <c r="A297" s="85"/>
      <c r="B297" s="140"/>
      <c r="C297" s="141"/>
      <c r="D297" s="147"/>
      <c r="E297" s="141"/>
      <c r="F297" s="141"/>
      <c r="G297" s="141"/>
      <c r="H297" s="141"/>
      <c r="I297" s="141"/>
      <c r="J297" s="141"/>
      <c r="N297" s="85"/>
      <c r="O297" s="85"/>
      <c r="P297" s="85"/>
    </row>
    <row r="298" spans="1:16" s="84" customFormat="1">
      <c r="A298" s="85"/>
      <c r="B298" s="140"/>
      <c r="C298" s="141"/>
      <c r="D298" s="147"/>
      <c r="E298" s="141"/>
      <c r="F298" s="141"/>
      <c r="G298" s="141"/>
      <c r="H298" s="141"/>
      <c r="I298" s="141"/>
      <c r="J298" s="141"/>
      <c r="N298" s="85"/>
      <c r="O298" s="85"/>
      <c r="P298" s="85"/>
    </row>
    <row r="299" spans="1:16" s="84" customFormat="1">
      <c r="A299" s="85"/>
      <c r="B299" s="140"/>
      <c r="C299" s="141"/>
      <c r="D299" s="147"/>
      <c r="E299" s="141"/>
      <c r="F299" s="141"/>
      <c r="G299" s="141"/>
      <c r="H299" s="141"/>
      <c r="I299" s="141"/>
      <c r="J299" s="141"/>
      <c r="N299" s="85"/>
      <c r="O299" s="85"/>
      <c r="P299" s="85"/>
    </row>
    <row r="300" spans="1:16" s="84" customFormat="1">
      <c r="A300" s="85"/>
      <c r="B300" s="140"/>
      <c r="C300" s="141"/>
      <c r="D300" s="147"/>
      <c r="E300" s="141"/>
      <c r="F300" s="141"/>
      <c r="G300" s="141"/>
      <c r="H300" s="141"/>
      <c r="I300" s="141"/>
      <c r="J300" s="141"/>
      <c r="N300" s="85"/>
      <c r="O300" s="85"/>
      <c r="P300" s="85"/>
    </row>
    <row r="301" spans="1:16" s="84" customFormat="1">
      <c r="A301" s="85"/>
      <c r="B301" s="140"/>
      <c r="C301" s="141"/>
      <c r="D301" s="147"/>
      <c r="E301" s="141"/>
      <c r="F301" s="141"/>
      <c r="G301" s="141"/>
      <c r="H301" s="141"/>
      <c r="I301" s="141"/>
      <c r="J301" s="141"/>
      <c r="N301" s="85"/>
      <c r="O301" s="85"/>
      <c r="P301" s="85"/>
    </row>
    <row r="302" spans="1:16" s="84" customFormat="1">
      <c r="A302" s="85"/>
      <c r="B302" s="140"/>
      <c r="C302" s="141"/>
      <c r="D302" s="147"/>
      <c r="E302" s="141"/>
      <c r="F302" s="141"/>
      <c r="G302" s="141"/>
      <c r="H302" s="141"/>
      <c r="I302" s="141"/>
      <c r="J302" s="141"/>
      <c r="N302" s="85"/>
      <c r="O302" s="85"/>
      <c r="P302" s="85"/>
    </row>
    <row r="303" spans="1:16" s="84" customFormat="1">
      <c r="A303" s="85"/>
      <c r="B303" s="140"/>
      <c r="C303" s="141"/>
      <c r="D303" s="147"/>
      <c r="E303" s="141"/>
      <c r="F303" s="141"/>
      <c r="G303" s="141"/>
      <c r="H303" s="141"/>
      <c r="I303" s="141"/>
      <c r="J303" s="141"/>
      <c r="N303" s="85"/>
      <c r="O303" s="85"/>
      <c r="P303" s="85"/>
    </row>
    <row r="304" spans="1:16" s="84" customFormat="1">
      <c r="A304" s="85"/>
      <c r="B304" s="140"/>
      <c r="C304" s="141"/>
      <c r="D304" s="147"/>
      <c r="E304" s="141"/>
      <c r="F304" s="141"/>
      <c r="G304" s="141"/>
      <c r="H304" s="141"/>
      <c r="I304" s="141"/>
      <c r="J304" s="141"/>
      <c r="N304" s="85"/>
      <c r="O304" s="85"/>
      <c r="P304" s="85"/>
    </row>
    <row r="305" spans="1:16" s="84" customFormat="1">
      <c r="A305" s="85"/>
      <c r="B305" s="140"/>
      <c r="C305" s="141"/>
      <c r="D305" s="147"/>
      <c r="E305" s="141"/>
      <c r="F305" s="141"/>
      <c r="G305" s="141"/>
      <c r="H305" s="141"/>
      <c r="I305" s="141"/>
      <c r="J305" s="141"/>
      <c r="N305" s="85"/>
      <c r="O305" s="85"/>
      <c r="P305" s="85"/>
    </row>
    <row r="306" spans="1:16" s="84" customFormat="1">
      <c r="A306" s="85"/>
      <c r="B306" s="140"/>
      <c r="C306" s="141"/>
      <c r="D306" s="147"/>
      <c r="E306" s="141"/>
      <c r="F306" s="141"/>
      <c r="G306" s="141"/>
      <c r="H306" s="141"/>
      <c r="I306" s="141"/>
      <c r="J306" s="141"/>
      <c r="N306" s="85"/>
      <c r="O306" s="85"/>
      <c r="P306" s="85"/>
    </row>
    <row r="307" spans="1:16" s="84" customFormat="1">
      <c r="A307" s="85"/>
      <c r="B307" s="140"/>
      <c r="C307" s="141"/>
      <c r="D307" s="147"/>
      <c r="E307" s="141"/>
      <c r="F307" s="141"/>
      <c r="G307" s="141"/>
      <c r="H307" s="141"/>
      <c r="I307" s="141"/>
      <c r="J307" s="141"/>
      <c r="N307" s="85"/>
      <c r="O307" s="85"/>
      <c r="P307" s="85"/>
    </row>
    <row r="308" spans="1:16" s="84" customFormat="1">
      <c r="A308" s="85"/>
      <c r="B308" s="140"/>
      <c r="C308" s="141"/>
      <c r="D308" s="147"/>
      <c r="E308" s="141"/>
      <c r="F308" s="141"/>
      <c r="G308" s="141"/>
      <c r="H308" s="141"/>
      <c r="I308" s="141"/>
      <c r="J308" s="141"/>
      <c r="N308" s="85"/>
      <c r="O308" s="85"/>
      <c r="P308" s="85"/>
    </row>
    <row r="309" spans="1:16" s="84" customFormat="1">
      <c r="A309" s="85"/>
      <c r="B309" s="140"/>
      <c r="C309" s="141"/>
      <c r="D309" s="147"/>
      <c r="E309" s="141"/>
      <c r="F309" s="141"/>
      <c r="G309" s="141"/>
      <c r="H309" s="141"/>
      <c r="I309" s="141"/>
      <c r="J309" s="141"/>
      <c r="N309" s="85"/>
      <c r="O309" s="85"/>
      <c r="P309" s="85"/>
    </row>
    <row r="310" spans="1:16" s="84" customFormat="1">
      <c r="A310" s="85"/>
      <c r="B310" s="140"/>
      <c r="C310" s="141"/>
      <c r="D310" s="147"/>
      <c r="E310" s="141"/>
      <c r="F310" s="141"/>
      <c r="G310" s="141"/>
      <c r="H310" s="141"/>
      <c r="I310" s="141"/>
      <c r="J310" s="141"/>
      <c r="N310" s="85"/>
      <c r="O310" s="85"/>
      <c r="P310" s="85"/>
    </row>
    <row r="311" spans="1:16" s="84" customFormat="1">
      <c r="A311" s="85"/>
      <c r="B311" s="140"/>
      <c r="C311" s="141"/>
      <c r="D311" s="147"/>
      <c r="E311" s="141"/>
      <c r="F311" s="141"/>
      <c r="G311" s="141"/>
      <c r="H311" s="141"/>
      <c r="I311" s="141"/>
      <c r="J311" s="141"/>
      <c r="N311" s="85"/>
      <c r="O311" s="85"/>
      <c r="P311" s="85"/>
    </row>
    <row r="312" spans="1:16" s="84" customFormat="1">
      <c r="A312" s="85"/>
      <c r="B312" s="140"/>
      <c r="C312" s="141"/>
      <c r="D312" s="147"/>
      <c r="E312" s="141"/>
      <c r="F312" s="141"/>
      <c r="G312" s="141"/>
      <c r="H312" s="141"/>
      <c r="I312" s="141"/>
      <c r="J312" s="141"/>
      <c r="N312" s="85"/>
      <c r="O312" s="85"/>
      <c r="P312" s="85"/>
    </row>
    <row r="313" spans="1:16" s="84" customFormat="1">
      <c r="A313" s="85"/>
      <c r="B313" s="140"/>
      <c r="C313" s="141"/>
      <c r="D313" s="147"/>
      <c r="E313" s="141"/>
      <c r="F313" s="141"/>
      <c r="G313" s="141"/>
      <c r="H313" s="141"/>
      <c r="I313" s="141"/>
      <c r="J313" s="141"/>
      <c r="N313" s="85"/>
      <c r="O313" s="85"/>
      <c r="P313" s="85"/>
    </row>
    <row r="314" spans="1:16" s="84" customFormat="1">
      <c r="A314" s="85"/>
      <c r="B314" s="140"/>
      <c r="C314" s="141"/>
      <c r="D314" s="147"/>
      <c r="E314" s="141"/>
      <c r="F314" s="141"/>
      <c r="G314" s="141"/>
      <c r="H314" s="141"/>
      <c r="I314" s="141"/>
      <c r="J314" s="141"/>
      <c r="N314" s="85"/>
      <c r="O314" s="85"/>
      <c r="P314" s="85"/>
    </row>
  </sheetData>
  <autoFilter ref="A15:J43">
    <filterColumn colId="1" showButton="0"/>
    <filterColumn colId="7">
      <customFilters>
        <customFilter operator="notEqual" val=" "/>
      </customFilters>
    </filterColumn>
  </autoFilter>
  <mergeCells count="43">
    <mergeCell ref="D53:E53"/>
    <mergeCell ref="F53:H53"/>
    <mergeCell ref="I53:J53"/>
    <mergeCell ref="D54:E54"/>
    <mergeCell ref="F54:G54"/>
    <mergeCell ref="H54:J54"/>
    <mergeCell ref="D52:E52"/>
    <mergeCell ref="F52:J52"/>
    <mergeCell ref="J13:J14"/>
    <mergeCell ref="B14:C14"/>
    <mergeCell ref="B15:C15"/>
    <mergeCell ref="E46:F46"/>
    <mergeCell ref="E47:F47"/>
    <mergeCell ref="E48:F48"/>
    <mergeCell ref="I48:J48"/>
    <mergeCell ref="B49:E49"/>
    <mergeCell ref="H49:J49"/>
    <mergeCell ref="D50:E50"/>
    <mergeCell ref="F50:J50"/>
    <mergeCell ref="D51:E51"/>
    <mergeCell ref="B11:D11"/>
    <mergeCell ref="E11:F11"/>
    <mergeCell ref="H11:I11"/>
    <mergeCell ref="A13:A14"/>
    <mergeCell ref="B13:D13"/>
    <mergeCell ref="E13:E14"/>
    <mergeCell ref="F13:F14"/>
    <mergeCell ref="G13:G14"/>
    <mergeCell ref="H13:I13"/>
    <mergeCell ref="B10:D10"/>
    <mergeCell ref="E10:F10"/>
    <mergeCell ref="H10:I10"/>
    <mergeCell ref="A1:J1"/>
    <mergeCell ref="B2:D2"/>
    <mergeCell ref="G2:J2"/>
    <mergeCell ref="B3:D3"/>
    <mergeCell ref="G3:J3"/>
    <mergeCell ref="B4:J4"/>
    <mergeCell ref="B5:J5"/>
    <mergeCell ref="B6:J6"/>
    <mergeCell ref="B7:J7"/>
    <mergeCell ref="B8:J8"/>
    <mergeCell ref="B9:J9"/>
  </mergeCells>
  <printOptions horizontalCentered="1"/>
  <pageMargins left="0.23622047244094499" right="0.15748031496063" top="0.35433070866141703" bottom="0.69" header="0.38" footer="0.23622047244094499"/>
  <pageSetup paperSize="9" orientation="portrait" errors="blank" r:id="rId1"/>
  <headerFooter alignWithMargins="0"/>
</worksheet>
</file>

<file path=xl/worksheets/sheet43.xml><?xml version="1.0" encoding="utf-8"?>
<worksheet xmlns="http://schemas.openxmlformats.org/spreadsheetml/2006/main" xmlns:r="http://schemas.openxmlformats.org/officeDocument/2006/relationships">
  <sheetPr>
    <tabColor rgb="FFFF0000"/>
  </sheetPr>
  <dimension ref="A1:K315"/>
  <sheetViews>
    <sheetView topLeftCell="A31" workbookViewId="0">
      <selection sqref="A1:D1"/>
    </sheetView>
  </sheetViews>
  <sheetFormatPr defaultColWidth="9.140625" defaultRowHeight="12.75"/>
  <cols>
    <col min="1" max="1" width="2.85546875" style="302" customWidth="1"/>
    <col min="2" max="2" width="9.7109375" style="302" customWidth="1"/>
    <col min="3" max="3" width="9.5703125" style="302" customWidth="1"/>
    <col min="4" max="4" width="25.5703125" style="302" customWidth="1"/>
    <col min="5" max="5" width="4.42578125" style="302" hidden="1" customWidth="1"/>
    <col min="6" max="6" width="5.5703125" style="302" hidden="1" customWidth="1"/>
    <col min="7" max="7" width="7.42578125" style="302" customWidth="1"/>
    <col min="8" max="8" width="4.85546875" style="302" customWidth="1"/>
    <col min="9" max="9" width="8.5703125" style="302" customWidth="1"/>
    <col min="10" max="10" width="10.140625" style="302" customWidth="1"/>
    <col min="11" max="11" width="7.5703125" style="302" customWidth="1"/>
    <col min="12" max="16384" width="9.140625" style="302"/>
  </cols>
  <sheetData>
    <row r="1" spans="1:11" ht="18" customHeight="1">
      <c r="A1" s="1775" t="s">
        <v>1081</v>
      </c>
      <c r="B1" s="1775"/>
      <c r="C1" s="1775"/>
      <c r="D1" s="1775"/>
      <c r="E1" s="297"/>
      <c r="F1" s="297"/>
      <c r="G1" s="298" t="s">
        <v>1082</v>
      </c>
      <c r="H1" s="299" t="s">
        <v>1083</v>
      </c>
      <c r="I1" s="300" t="s">
        <v>1082</v>
      </c>
      <c r="J1" s="301" t="s">
        <v>1083</v>
      </c>
      <c r="K1" s="301"/>
    </row>
    <row r="2" spans="1:11">
      <c r="B2" s="1774" t="s">
        <v>1084</v>
      </c>
      <c r="C2" s="1774"/>
      <c r="D2" s="1774"/>
      <c r="E2" s="303"/>
      <c r="F2" s="303"/>
      <c r="G2" s="298"/>
      <c r="H2" s="304"/>
      <c r="I2" s="301"/>
      <c r="J2" s="301"/>
      <c r="K2" s="301"/>
    </row>
    <row r="3" spans="1:11" ht="21" customHeight="1">
      <c r="B3" s="1774" t="s">
        <v>1085</v>
      </c>
      <c r="C3" s="1774"/>
      <c r="D3" s="1774"/>
      <c r="E3" s="1774"/>
      <c r="F3" s="1774"/>
      <c r="G3" s="1776"/>
      <c r="H3" s="304"/>
      <c r="I3" s="301"/>
      <c r="J3" s="301"/>
      <c r="K3" s="301"/>
    </row>
    <row r="4" spans="1:11">
      <c r="B4" s="301"/>
      <c r="C4" s="301" t="s">
        <v>1086</v>
      </c>
      <c r="D4" s="301" t="s">
        <v>1087</v>
      </c>
      <c r="E4" s="301"/>
      <c r="F4" s="301"/>
      <c r="G4" s="298"/>
      <c r="H4" s="304"/>
      <c r="I4" s="301"/>
      <c r="J4" s="301"/>
      <c r="K4" s="301"/>
    </row>
    <row r="5" spans="1:11" ht="15" customHeight="1">
      <c r="B5" s="301"/>
      <c r="C5" s="1774" t="s">
        <v>1088</v>
      </c>
      <c r="D5" s="1774"/>
      <c r="E5" s="303"/>
      <c r="F5" s="303"/>
      <c r="G5" s="298"/>
      <c r="H5" s="304"/>
      <c r="I5" s="301"/>
      <c r="J5" s="301"/>
      <c r="K5" s="301"/>
    </row>
    <row r="6" spans="1:11" ht="15.75" customHeight="1">
      <c r="B6" s="301"/>
      <c r="C6" s="1774" t="s">
        <v>1089</v>
      </c>
      <c r="D6" s="1774"/>
      <c r="E6" s="303"/>
      <c r="F6" s="303"/>
      <c r="G6" s="298"/>
      <c r="H6" s="304"/>
      <c r="I6" s="301"/>
      <c r="J6" s="301"/>
      <c r="K6" s="301"/>
    </row>
    <row r="7" spans="1:11">
      <c r="B7" s="301"/>
      <c r="C7" s="301"/>
      <c r="D7" s="301"/>
      <c r="E7" s="301"/>
      <c r="F7" s="301"/>
      <c r="G7" s="298"/>
      <c r="H7" s="304"/>
      <c r="I7" s="301"/>
      <c r="J7" s="301"/>
      <c r="K7" s="301"/>
    </row>
    <row r="8" spans="1:11" ht="18" customHeight="1">
      <c r="A8" s="1777" t="s">
        <v>1090</v>
      </c>
      <c r="B8" s="1777"/>
      <c r="C8" s="305" t="s">
        <v>1091</v>
      </c>
      <c r="D8" s="305"/>
      <c r="E8" s="301"/>
      <c r="F8" s="301"/>
      <c r="G8" s="301"/>
      <c r="H8" s="304"/>
      <c r="I8" s="301"/>
      <c r="J8" s="301"/>
      <c r="K8" s="301"/>
    </row>
    <row r="9" spans="1:11" ht="13.5" customHeight="1">
      <c r="A9" s="1777"/>
      <c r="B9" s="1777"/>
      <c r="C9" s="1778" t="s">
        <v>1092</v>
      </c>
      <c r="D9" s="1778"/>
      <c r="E9" s="303"/>
      <c r="F9" s="303"/>
      <c r="G9" s="301"/>
      <c r="H9" s="304"/>
      <c r="I9" s="301"/>
      <c r="J9" s="301"/>
      <c r="K9" s="301"/>
    </row>
    <row r="10" spans="1:11" ht="12.75" customHeight="1">
      <c r="A10" s="1777"/>
      <c r="B10" s="1777"/>
      <c r="C10" s="1778" t="s">
        <v>1093</v>
      </c>
      <c r="D10" s="1778"/>
      <c r="E10" s="303"/>
      <c r="F10" s="303"/>
      <c r="G10" s="301"/>
      <c r="H10" s="304"/>
      <c r="I10" s="301"/>
      <c r="J10" s="301"/>
      <c r="K10" s="301"/>
    </row>
    <row r="11" spans="1:11">
      <c r="A11" s="306"/>
      <c r="B11" s="307"/>
      <c r="C11" s="308" t="s">
        <v>1094</v>
      </c>
      <c r="D11" s="308"/>
      <c r="E11" s="300"/>
      <c r="F11" s="300"/>
      <c r="G11" s="300"/>
      <c r="H11" s="299"/>
      <c r="I11" s="300"/>
      <c r="J11" s="300"/>
      <c r="K11" s="300"/>
    </row>
    <row r="12" spans="1:11" ht="14.25" customHeight="1">
      <c r="A12" s="309" t="s">
        <v>1095</v>
      </c>
      <c r="B12" s="301"/>
      <c r="C12" s="301"/>
      <c r="D12" s="301" t="s">
        <v>1096</v>
      </c>
      <c r="E12" s="301"/>
      <c r="F12" s="301"/>
      <c r="G12" s="301"/>
      <c r="H12" s="301"/>
      <c r="I12" s="301"/>
      <c r="J12" s="301"/>
      <c r="K12" s="301"/>
    </row>
    <row r="13" spans="1:11" ht="12" customHeight="1">
      <c r="A13" s="309" t="s">
        <v>1097</v>
      </c>
      <c r="B13" s="301"/>
      <c r="C13" s="301"/>
      <c r="D13" s="301"/>
      <c r="E13" s="301"/>
      <c r="F13" s="301"/>
      <c r="G13" s="301"/>
      <c r="H13" s="301"/>
      <c r="I13" s="301"/>
      <c r="J13" s="301"/>
      <c r="K13" s="301"/>
    </row>
    <row r="14" spans="1:11">
      <c r="B14" s="301"/>
      <c r="C14" s="301"/>
      <c r="D14" s="301"/>
      <c r="E14" s="301"/>
      <c r="F14" s="301"/>
      <c r="G14" s="301"/>
      <c r="H14" s="301"/>
      <c r="I14" s="301"/>
      <c r="J14" s="301"/>
      <c r="K14" s="301"/>
    </row>
    <row r="15" spans="1:11" ht="22.5" customHeight="1">
      <c r="B15" s="301"/>
      <c r="C15" s="1774" t="s">
        <v>1098</v>
      </c>
      <c r="D15" s="1774"/>
      <c r="E15" s="303"/>
      <c r="F15" s="303"/>
      <c r="G15" s="301"/>
      <c r="H15" s="301"/>
      <c r="I15" s="301"/>
      <c r="J15" s="301"/>
      <c r="K15" s="301"/>
    </row>
    <row r="16" spans="1:11">
      <c r="B16" s="301"/>
      <c r="C16" s="301"/>
      <c r="D16" s="301"/>
      <c r="E16" s="301"/>
      <c r="F16" s="301"/>
      <c r="G16" s="301"/>
      <c r="H16" s="301"/>
      <c r="I16" s="301"/>
      <c r="J16" s="301"/>
      <c r="K16" s="301"/>
    </row>
    <row r="17" spans="1:11">
      <c r="A17" s="302" t="s">
        <v>1099</v>
      </c>
      <c r="B17" s="301"/>
      <c r="C17" s="301"/>
      <c r="D17" s="301"/>
      <c r="E17" s="301"/>
      <c r="F17" s="301"/>
      <c r="G17" s="301"/>
      <c r="H17" s="301"/>
      <c r="I17" s="301"/>
      <c r="J17" s="301"/>
      <c r="K17" s="301"/>
    </row>
    <row r="18" spans="1:11" ht="27" customHeight="1">
      <c r="B18" s="301"/>
      <c r="C18" s="301"/>
      <c r="E18" s="1774" t="s">
        <v>1100</v>
      </c>
      <c r="F18" s="1774"/>
      <c r="G18" s="1774"/>
      <c r="H18" s="1774"/>
      <c r="I18" s="1774"/>
      <c r="J18" s="1774"/>
      <c r="K18" s="301"/>
    </row>
    <row r="19" spans="1:11" ht="12" customHeight="1">
      <c r="B19" s="301"/>
      <c r="C19" s="301"/>
      <c r="D19" s="301"/>
      <c r="E19" s="1774" t="s">
        <v>1101</v>
      </c>
      <c r="F19" s="1774"/>
      <c r="G19" s="1774"/>
      <c r="H19" s="1774"/>
      <c r="I19" s="1774"/>
      <c r="J19" s="1774"/>
      <c r="K19" s="1774"/>
    </row>
    <row r="20" spans="1:11" ht="6.75" customHeight="1">
      <c r="B20" s="301"/>
      <c r="C20" s="301"/>
      <c r="E20" s="310"/>
      <c r="F20" s="310"/>
      <c r="G20" s="310"/>
      <c r="H20" s="310"/>
      <c r="I20" s="310"/>
      <c r="J20" s="310"/>
      <c r="K20" s="303"/>
    </row>
    <row r="21" spans="1:11" ht="16.5" customHeight="1">
      <c r="B21" s="301"/>
      <c r="C21" s="301"/>
      <c r="D21" s="303"/>
      <c r="E21" s="1774" t="s">
        <v>1101</v>
      </c>
      <c r="F21" s="1774"/>
      <c r="G21" s="1774"/>
      <c r="H21" s="1774"/>
      <c r="I21" s="1774"/>
      <c r="J21" s="1774"/>
      <c r="K21" s="1774"/>
    </row>
    <row r="22" spans="1:11">
      <c r="A22" s="1779"/>
      <c r="B22" s="1779"/>
      <c r="C22" s="301"/>
      <c r="D22" s="301"/>
      <c r="E22" s="301"/>
      <c r="F22" s="301"/>
      <c r="G22" s="301"/>
      <c r="H22" s="301"/>
      <c r="I22" s="301"/>
      <c r="J22" s="301"/>
      <c r="K22" s="301"/>
    </row>
    <row r="23" spans="1:11" ht="15" customHeight="1">
      <c r="A23" s="311"/>
      <c r="B23" s="311"/>
      <c r="C23" s="301"/>
      <c r="D23" s="301"/>
      <c r="E23" s="1774" t="s">
        <v>1102</v>
      </c>
      <c r="F23" s="1774"/>
      <c r="G23" s="301"/>
      <c r="H23" s="301"/>
      <c r="I23" s="301"/>
      <c r="J23" s="301"/>
      <c r="K23" s="301"/>
    </row>
    <row r="24" spans="1:11">
      <c r="A24" s="311"/>
      <c r="B24" s="311"/>
      <c r="C24" s="301"/>
      <c r="D24" s="301"/>
      <c r="E24" s="301"/>
      <c r="F24" s="301"/>
      <c r="G24" s="301"/>
      <c r="H24" s="301"/>
      <c r="I24" s="301"/>
      <c r="J24" s="301"/>
      <c r="K24" s="301"/>
    </row>
    <row r="25" spans="1:11">
      <c r="A25" s="1780" t="s">
        <v>1103</v>
      </c>
      <c r="B25" s="1780"/>
      <c r="C25" s="301"/>
      <c r="D25" s="303" t="s">
        <v>1104</v>
      </c>
      <c r="E25" s="1774" t="s">
        <v>1101</v>
      </c>
      <c r="F25" s="1774"/>
      <c r="G25" s="1774"/>
      <c r="H25" s="1774"/>
      <c r="I25" s="1774"/>
      <c r="J25" s="1774"/>
      <c r="K25" s="1774"/>
    </row>
    <row r="26" spans="1:11" ht="8.25" customHeight="1">
      <c r="A26" s="311"/>
      <c r="B26" s="311"/>
      <c r="C26" s="301"/>
      <c r="D26" s="301"/>
      <c r="E26" s="301"/>
      <c r="F26" s="301"/>
      <c r="G26" s="301"/>
      <c r="H26" s="301"/>
      <c r="I26" s="301"/>
      <c r="J26" s="301"/>
      <c r="K26" s="301"/>
    </row>
    <row r="27" spans="1:11">
      <c r="A27" s="311"/>
      <c r="B27" s="311"/>
      <c r="C27" s="301"/>
      <c r="D27" s="301"/>
      <c r="E27" s="1774" t="s">
        <v>1101</v>
      </c>
      <c r="F27" s="1774"/>
      <c r="G27" s="1774"/>
      <c r="H27" s="1774"/>
      <c r="I27" s="1774"/>
      <c r="J27" s="1774"/>
      <c r="K27" s="1774"/>
    </row>
    <row r="28" spans="1:11">
      <c r="A28" s="311"/>
      <c r="B28" s="311"/>
      <c r="C28" s="301"/>
      <c r="D28" s="301"/>
      <c r="E28" s="301"/>
      <c r="F28" s="301"/>
      <c r="G28" s="301"/>
      <c r="H28" s="301"/>
      <c r="I28" s="301"/>
      <c r="J28" s="301"/>
      <c r="K28" s="301"/>
    </row>
    <row r="29" spans="1:11">
      <c r="A29" s="1780" t="s">
        <v>1105</v>
      </c>
      <c r="B29" s="1780"/>
      <c r="C29" s="301"/>
      <c r="D29" s="303" t="s">
        <v>1106</v>
      </c>
      <c r="E29" s="1774" t="s">
        <v>1101</v>
      </c>
      <c r="F29" s="1774"/>
      <c r="G29" s="1774"/>
      <c r="H29" s="1774"/>
      <c r="I29" s="1774"/>
      <c r="J29" s="1774"/>
      <c r="K29" s="1774"/>
    </row>
    <row r="30" spans="1:11" ht="6.75" customHeight="1">
      <c r="B30" s="301"/>
      <c r="C30" s="301"/>
      <c r="D30" s="301"/>
      <c r="E30" s="301"/>
      <c r="F30" s="301"/>
      <c r="G30" s="301"/>
      <c r="H30" s="301"/>
      <c r="I30" s="301"/>
      <c r="J30" s="301"/>
      <c r="K30" s="301"/>
    </row>
    <row r="31" spans="1:11">
      <c r="B31" s="301"/>
      <c r="C31" s="301"/>
      <c r="D31" s="303"/>
      <c r="E31" s="1774" t="s">
        <v>1101</v>
      </c>
      <c r="F31" s="1774"/>
      <c r="G31" s="1774"/>
      <c r="H31" s="1774"/>
      <c r="I31" s="1774"/>
      <c r="J31" s="1774"/>
      <c r="K31" s="1774"/>
    </row>
    <row r="32" spans="1:11" ht="23.25" customHeight="1">
      <c r="B32" s="301"/>
      <c r="C32" s="301"/>
      <c r="D32" s="301"/>
      <c r="E32" s="303"/>
      <c r="F32" s="303"/>
      <c r="G32" s="1774" t="s">
        <v>1107</v>
      </c>
      <c r="H32" s="1774"/>
      <c r="I32" s="1774"/>
      <c r="J32" s="1774" t="s">
        <v>1108</v>
      </c>
      <c r="K32" s="1774"/>
    </row>
    <row r="33" spans="1:11" ht="11.25" customHeight="1">
      <c r="A33" s="306"/>
      <c r="B33" s="1781"/>
      <c r="C33" s="1782"/>
      <c r="D33" s="1782"/>
      <c r="E33" s="1782"/>
      <c r="F33" s="1782"/>
      <c r="G33" s="1782"/>
      <c r="H33" s="1782"/>
      <c r="I33" s="1782"/>
      <c r="J33" s="1782"/>
      <c r="K33" s="300"/>
    </row>
    <row r="34" spans="1:11" ht="17.25" customHeight="1">
      <c r="B34" s="301"/>
      <c r="C34" s="301"/>
      <c r="D34" s="301"/>
      <c r="E34" s="301"/>
      <c r="F34" s="301"/>
      <c r="G34" s="301"/>
      <c r="H34" s="301"/>
      <c r="I34" s="1774" t="s">
        <v>1109</v>
      </c>
      <c r="J34" s="1774"/>
      <c r="K34" s="303"/>
    </row>
    <row r="35" spans="1:11">
      <c r="B35" s="301"/>
      <c r="C35" s="301"/>
      <c r="D35" s="301"/>
      <c r="E35" s="301"/>
      <c r="F35" s="301"/>
      <c r="G35" s="301"/>
      <c r="H35" s="301"/>
      <c r="I35" s="1774" t="s">
        <v>1110</v>
      </c>
      <c r="J35" s="1774"/>
      <c r="K35" s="1774"/>
    </row>
    <row r="36" spans="1:11">
      <c r="B36" s="301"/>
      <c r="C36" s="301"/>
      <c r="D36" s="301"/>
      <c r="E36" s="301"/>
      <c r="F36" s="301"/>
      <c r="G36" s="301"/>
      <c r="H36" s="301"/>
      <c r="I36" s="1774" t="s">
        <v>1111</v>
      </c>
      <c r="J36" s="1774"/>
      <c r="K36" s="1774"/>
    </row>
    <row r="37" spans="1:11">
      <c r="B37" s="301"/>
      <c r="C37" s="301"/>
      <c r="D37" s="301"/>
      <c r="E37" s="301"/>
      <c r="F37" s="301"/>
      <c r="G37" s="301"/>
      <c r="H37" s="301"/>
      <c r="I37" s="1774" t="s">
        <v>1112</v>
      </c>
      <c r="J37" s="1774"/>
      <c r="K37" s="1774"/>
    </row>
    <row r="38" spans="1:11" ht="23.25" customHeight="1">
      <c r="B38" s="301"/>
      <c r="C38" s="301"/>
      <c r="D38" s="1774" t="s">
        <v>1113</v>
      </c>
      <c r="E38" s="1774"/>
      <c r="F38" s="305"/>
      <c r="G38" s="303" t="s">
        <v>1114</v>
      </c>
      <c r="H38" s="301"/>
      <c r="I38" s="301"/>
      <c r="J38" s="1783" t="s">
        <v>1115</v>
      </c>
      <c r="K38" s="1783"/>
    </row>
    <row r="39" spans="1:11" ht="13.5" customHeight="1">
      <c r="A39" s="306"/>
      <c r="B39" s="300"/>
      <c r="C39" s="300"/>
      <c r="D39" s="1784" t="s">
        <v>1116</v>
      </c>
      <c r="E39" s="1784"/>
      <c r="F39" s="1784"/>
      <c r="G39" s="1784"/>
      <c r="H39" s="1784"/>
      <c r="I39" s="1784"/>
      <c r="J39" s="300"/>
      <c r="K39" s="300"/>
    </row>
    <row r="40" spans="1:11" ht="22.5" customHeight="1">
      <c r="A40" s="312"/>
      <c r="B40" s="1785" t="s">
        <v>1117</v>
      </c>
      <c r="C40" s="1785"/>
      <c r="D40" s="1785"/>
      <c r="E40" s="1785"/>
      <c r="F40" s="1785"/>
      <c r="G40" s="1785"/>
      <c r="H40" s="1785"/>
      <c r="I40" s="1785"/>
      <c r="J40" s="1785"/>
      <c r="K40" s="313"/>
    </row>
    <row r="41" spans="1:11" ht="18" customHeight="1">
      <c r="B41" s="301"/>
      <c r="C41" s="1786" t="s">
        <v>1118</v>
      </c>
      <c r="D41" s="1786"/>
      <c r="E41" s="1786"/>
      <c r="F41" s="1786"/>
      <c r="G41" s="1786"/>
      <c r="H41" s="301"/>
      <c r="I41" s="301"/>
      <c r="J41" s="301"/>
      <c r="K41" s="301"/>
    </row>
    <row r="42" spans="1:11" ht="14.25" customHeight="1">
      <c r="B42" s="303"/>
      <c r="C42" s="1774" t="s">
        <v>1119</v>
      </c>
      <c r="D42" s="1774"/>
      <c r="E42" s="1774"/>
      <c r="F42" s="1774"/>
      <c r="G42" s="1774"/>
      <c r="H42" s="1774"/>
      <c r="I42" s="1774"/>
      <c r="J42" s="1774"/>
      <c r="K42" s="301"/>
    </row>
    <row r="43" spans="1:11" ht="12.75" customHeight="1">
      <c r="B43" s="1774" t="s">
        <v>1120</v>
      </c>
      <c r="C43" s="1774"/>
      <c r="D43" s="1774"/>
      <c r="E43" s="1774"/>
      <c r="F43" s="1774"/>
      <c r="G43" s="1774"/>
      <c r="H43" s="1774"/>
      <c r="I43" s="1774"/>
      <c r="J43" s="1774"/>
      <c r="K43" s="301"/>
    </row>
    <row r="44" spans="1:11" ht="20.25" customHeight="1">
      <c r="B44" s="303"/>
      <c r="C44" s="1774" t="s">
        <v>1121</v>
      </c>
      <c r="D44" s="1774"/>
      <c r="E44" s="1774"/>
      <c r="F44" s="1774"/>
      <c r="G44" s="1774"/>
      <c r="H44" s="1774"/>
      <c r="I44" s="1774"/>
      <c r="J44" s="1774"/>
      <c r="K44" s="301"/>
    </row>
    <row r="45" spans="1:11" ht="23.25" customHeight="1">
      <c r="B45" s="1787" t="s">
        <v>1122</v>
      </c>
      <c r="C45" s="1787"/>
      <c r="D45" s="1787"/>
      <c r="E45" s="1787"/>
      <c r="F45" s="1787"/>
      <c r="G45" s="1787"/>
      <c r="H45" s="1787"/>
      <c r="I45" s="1787"/>
      <c r="J45" s="1787"/>
      <c r="K45" s="301"/>
    </row>
    <row r="46" spans="1:11" ht="12.75" customHeight="1">
      <c r="B46" s="1774" t="s">
        <v>1123</v>
      </c>
      <c r="C46" s="1774"/>
      <c r="D46" s="1774"/>
      <c r="E46" s="1774"/>
      <c r="F46" s="1774"/>
      <c r="G46" s="1774"/>
      <c r="H46" s="1774"/>
      <c r="I46" s="1774"/>
      <c r="J46" s="1774"/>
      <c r="K46" s="301"/>
    </row>
    <row r="47" spans="1:11" ht="18" customHeight="1">
      <c r="B47" s="303"/>
      <c r="C47" s="1774" t="s">
        <v>1124</v>
      </c>
      <c r="D47" s="1774"/>
      <c r="E47" s="1774"/>
      <c r="F47" s="1774"/>
      <c r="G47" s="1774"/>
      <c r="H47" s="1774"/>
      <c r="I47" s="1774"/>
      <c r="J47" s="1774"/>
      <c r="K47" s="301"/>
    </row>
    <row r="48" spans="1:11">
      <c r="B48" s="1774" t="s">
        <v>1125</v>
      </c>
      <c r="C48" s="1774"/>
      <c r="D48" s="1774"/>
      <c r="E48" s="1774"/>
      <c r="F48" s="1774"/>
      <c r="G48" s="1774"/>
      <c r="H48" s="1774"/>
      <c r="I48" s="1774"/>
      <c r="J48" s="1774"/>
      <c r="K48" s="301"/>
    </row>
    <row r="49" spans="2:11" ht="18.75" customHeight="1">
      <c r="B49" s="303"/>
      <c r="C49" s="1774" t="s">
        <v>1126</v>
      </c>
      <c r="D49" s="1774"/>
      <c r="E49" s="1774"/>
      <c r="F49" s="1774"/>
      <c r="G49" s="1774"/>
      <c r="H49" s="1774"/>
      <c r="I49" s="1774"/>
      <c r="J49" s="1774"/>
      <c r="K49" s="301"/>
    </row>
    <row r="50" spans="2:11">
      <c r="B50" s="1774" t="s">
        <v>1127</v>
      </c>
      <c r="C50" s="1774"/>
      <c r="D50" s="1774"/>
      <c r="E50" s="1774"/>
      <c r="F50" s="1774"/>
      <c r="G50" s="1774"/>
      <c r="H50" s="1774"/>
      <c r="I50" s="1774"/>
      <c r="J50" s="1774"/>
      <c r="K50" s="301"/>
    </row>
    <row r="51" spans="2:11" ht="19.5" customHeight="1">
      <c r="B51" s="303"/>
      <c r="C51" s="1774" t="s">
        <v>1128</v>
      </c>
      <c r="D51" s="1774"/>
      <c r="E51" s="1774"/>
      <c r="F51" s="1774"/>
      <c r="G51" s="1774"/>
      <c r="H51" s="1774"/>
      <c r="I51" s="1774"/>
      <c r="J51" s="1774"/>
      <c r="K51" s="301"/>
    </row>
    <row r="52" spans="2:11">
      <c r="B52" s="1774" t="s">
        <v>1129</v>
      </c>
      <c r="C52" s="1774"/>
      <c r="D52" s="1774"/>
      <c r="E52" s="1774"/>
      <c r="F52" s="1774"/>
      <c r="G52" s="1774"/>
      <c r="H52" s="1774"/>
      <c r="I52" s="1774"/>
      <c r="J52" s="1774"/>
      <c r="K52" s="301"/>
    </row>
    <row r="53" spans="2:11" ht="19.5" customHeight="1">
      <c r="B53" s="303"/>
      <c r="C53" s="1774" t="s">
        <v>1130</v>
      </c>
      <c r="D53" s="1774"/>
      <c r="E53" s="1774"/>
      <c r="F53" s="1774"/>
      <c r="G53" s="1774"/>
      <c r="H53" s="1774"/>
      <c r="I53" s="1774"/>
      <c r="J53" s="1774"/>
      <c r="K53" s="301"/>
    </row>
    <row r="54" spans="2:11" ht="19.5" customHeight="1">
      <c r="B54" s="1774" t="s">
        <v>1131</v>
      </c>
      <c r="C54" s="1774"/>
      <c r="D54" s="1774"/>
      <c r="E54" s="1774"/>
      <c r="F54" s="1774"/>
      <c r="G54" s="1774"/>
      <c r="H54" s="1774"/>
      <c r="I54" s="1774"/>
      <c r="J54" s="1774"/>
      <c r="K54" s="301"/>
    </row>
    <row r="55" spans="2:11" ht="14.25" customHeight="1">
      <c r="B55" s="303"/>
      <c r="C55" s="1774" t="s">
        <v>1132</v>
      </c>
      <c r="D55" s="1774"/>
      <c r="E55" s="1774"/>
      <c r="F55" s="1774"/>
      <c r="G55" s="1774"/>
      <c r="H55" s="1774"/>
      <c r="I55" s="1774"/>
      <c r="J55" s="1774"/>
      <c r="K55" s="301"/>
    </row>
    <row r="56" spans="2:11" ht="21" customHeight="1">
      <c r="B56" s="1778" t="s">
        <v>1133</v>
      </c>
      <c r="C56" s="1778"/>
      <c r="D56" s="1778"/>
      <c r="E56" s="1778"/>
      <c r="F56" s="1778"/>
      <c r="G56" s="1778"/>
      <c r="H56" s="1778"/>
      <c r="I56" s="1778"/>
      <c r="J56" s="1778"/>
      <c r="K56" s="301"/>
    </row>
    <row r="57" spans="2:11" ht="21.75" customHeight="1">
      <c r="B57" s="1774" t="s">
        <v>1134</v>
      </c>
      <c r="C57" s="1774"/>
      <c r="D57" s="1774"/>
      <c r="E57" s="1774"/>
      <c r="F57" s="1774"/>
      <c r="G57" s="1774"/>
      <c r="H57" s="1774"/>
      <c r="I57" s="1774"/>
      <c r="J57" s="1774"/>
      <c r="K57" s="301"/>
    </row>
    <row r="58" spans="2:11">
      <c r="B58" s="303"/>
      <c r="C58" s="1774" t="s">
        <v>1135</v>
      </c>
      <c r="D58" s="1774"/>
      <c r="E58" s="1774"/>
      <c r="F58" s="1774"/>
      <c r="G58" s="1774"/>
      <c r="H58" s="1774"/>
      <c r="I58" s="1774"/>
      <c r="J58" s="1774"/>
      <c r="K58" s="301"/>
    </row>
    <row r="59" spans="2:11" ht="21.75" customHeight="1">
      <c r="B59" s="1778" t="s">
        <v>1136</v>
      </c>
      <c r="C59" s="1778"/>
      <c r="D59" s="1778"/>
      <c r="E59" s="1778"/>
      <c r="F59" s="1778"/>
      <c r="G59" s="1778"/>
      <c r="H59" s="1778"/>
      <c r="I59" s="1778"/>
      <c r="J59" s="1778"/>
      <c r="K59" s="301"/>
    </row>
    <row r="60" spans="2:11">
      <c r="B60" s="301"/>
      <c r="C60" s="301"/>
      <c r="D60" s="301"/>
      <c r="E60" s="301"/>
      <c r="F60" s="301"/>
      <c r="G60" s="301"/>
      <c r="H60" s="301"/>
      <c r="I60" s="301"/>
      <c r="J60" s="301"/>
      <c r="K60" s="301"/>
    </row>
    <row r="61" spans="2:11">
      <c r="B61" s="301"/>
      <c r="C61" s="301"/>
      <c r="D61" s="301"/>
      <c r="E61" s="301"/>
      <c r="F61" s="301"/>
      <c r="G61" s="301"/>
      <c r="H61" s="301"/>
      <c r="I61" s="301"/>
      <c r="J61" s="301"/>
      <c r="K61" s="301"/>
    </row>
    <row r="62" spans="2:11">
      <c r="B62" s="301"/>
      <c r="C62" s="301"/>
      <c r="D62" s="301"/>
      <c r="E62" s="301"/>
      <c r="F62" s="301"/>
      <c r="G62" s="301"/>
      <c r="H62" s="301"/>
      <c r="I62" s="301"/>
      <c r="J62" s="301"/>
      <c r="K62" s="301"/>
    </row>
    <row r="63" spans="2:11">
      <c r="B63" s="301"/>
      <c r="C63" s="301"/>
      <c r="D63" s="301"/>
      <c r="E63" s="301"/>
      <c r="F63" s="301"/>
      <c r="G63" s="301"/>
      <c r="H63" s="301"/>
      <c r="I63" s="301"/>
      <c r="J63" s="301"/>
      <c r="K63" s="301"/>
    </row>
    <row r="64" spans="2:11">
      <c r="B64" s="301"/>
      <c r="C64" s="301"/>
      <c r="D64" s="301"/>
      <c r="E64" s="301"/>
      <c r="F64" s="301"/>
      <c r="G64" s="301"/>
      <c r="H64" s="301"/>
      <c r="I64" s="301"/>
      <c r="J64" s="301"/>
      <c r="K64" s="301"/>
    </row>
    <row r="65" spans="2:11">
      <c r="B65" s="301"/>
      <c r="C65" s="301"/>
      <c r="D65" s="301"/>
      <c r="E65" s="301"/>
      <c r="F65" s="301"/>
      <c r="G65" s="301"/>
      <c r="H65" s="301"/>
      <c r="I65" s="301"/>
      <c r="J65" s="301"/>
      <c r="K65" s="301"/>
    </row>
    <row r="66" spans="2:11">
      <c r="B66" s="301"/>
      <c r="C66" s="301"/>
      <c r="D66" s="301"/>
      <c r="E66" s="301"/>
      <c r="F66" s="301"/>
      <c r="G66" s="301"/>
      <c r="H66" s="301"/>
      <c r="I66" s="301"/>
      <c r="J66" s="301"/>
      <c r="K66" s="301"/>
    </row>
    <row r="67" spans="2:11">
      <c r="B67" s="301"/>
      <c r="C67" s="301"/>
      <c r="D67" s="301"/>
      <c r="E67" s="301"/>
      <c r="F67" s="301"/>
      <c r="G67" s="301"/>
      <c r="H67" s="301"/>
      <c r="I67" s="301"/>
      <c r="J67" s="301"/>
      <c r="K67" s="301"/>
    </row>
    <row r="68" spans="2:11">
      <c r="B68" s="301"/>
      <c r="C68" s="301"/>
      <c r="D68" s="301"/>
      <c r="E68" s="301"/>
      <c r="F68" s="301"/>
      <c r="G68" s="301"/>
      <c r="H68" s="301"/>
      <c r="I68" s="301"/>
      <c r="J68" s="301"/>
      <c r="K68" s="301"/>
    </row>
    <row r="69" spans="2:11">
      <c r="B69" s="301"/>
      <c r="C69" s="301"/>
      <c r="D69" s="301"/>
      <c r="E69" s="301"/>
      <c r="F69" s="301"/>
      <c r="G69" s="301"/>
      <c r="H69" s="301"/>
      <c r="I69" s="301"/>
      <c r="J69" s="301"/>
      <c r="K69" s="301"/>
    </row>
    <row r="70" spans="2:11">
      <c r="B70" s="301"/>
      <c r="C70" s="301"/>
      <c r="D70" s="301"/>
      <c r="E70" s="301"/>
      <c r="F70" s="301"/>
      <c r="G70" s="301"/>
      <c r="H70" s="301"/>
      <c r="I70" s="301"/>
      <c r="J70" s="301"/>
      <c r="K70" s="301"/>
    </row>
    <row r="71" spans="2:11">
      <c r="B71" s="301"/>
      <c r="C71" s="301"/>
      <c r="D71" s="301"/>
      <c r="E71" s="301"/>
      <c r="F71" s="301"/>
      <c r="G71" s="301"/>
      <c r="H71" s="301"/>
      <c r="I71" s="301"/>
      <c r="J71" s="301"/>
      <c r="K71" s="301"/>
    </row>
    <row r="72" spans="2:11">
      <c r="B72" s="301"/>
      <c r="C72" s="301"/>
      <c r="D72" s="301"/>
      <c r="E72" s="301"/>
      <c r="F72" s="301"/>
      <c r="G72" s="301"/>
      <c r="H72" s="301"/>
      <c r="I72" s="301"/>
      <c r="J72" s="301"/>
      <c r="K72" s="301"/>
    </row>
    <row r="73" spans="2:11">
      <c r="B73" s="301"/>
      <c r="C73" s="301"/>
      <c r="D73" s="301"/>
      <c r="E73" s="301"/>
      <c r="F73" s="301"/>
      <c r="G73" s="301"/>
      <c r="H73" s="301"/>
      <c r="I73" s="301"/>
      <c r="J73" s="301"/>
      <c r="K73" s="301"/>
    </row>
    <row r="74" spans="2:11">
      <c r="B74" s="301"/>
      <c r="C74" s="301"/>
      <c r="D74" s="301"/>
      <c r="E74" s="301"/>
      <c r="F74" s="301"/>
      <c r="G74" s="301"/>
      <c r="H74" s="301"/>
      <c r="I74" s="301"/>
      <c r="J74" s="301"/>
      <c r="K74" s="301"/>
    </row>
    <row r="75" spans="2:11">
      <c r="B75" s="301"/>
      <c r="C75" s="301"/>
      <c r="D75" s="301"/>
      <c r="E75" s="301"/>
      <c r="F75" s="301"/>
      <c r="G75" s="301"/>
      <c r="H75" s="301"/>
      <c r="I75" s="301"/>
      <c r="J75" s="301"/>
      <c r="K75" s="301"/>
    </row>
    <row r="76" spans="2:11">
      <c r="B76" s="301"/>
      <c r="C76" s="301"/>
      <c r="D76" s="301"/>
      <c r="E76" s="301"/>
      <c r="F76" s="301"/>
      <c r="G76" s="301"/>
      <c r="H76" s="301"/>
      <c r="I76" s="301"/>
      <c r="J76" s="301"/>
      <c r="K76" s="301"/>
    </row>
    <row r="77" spans="2:11">
      <c r="B77" s="301"/>
      <c r="C77" s="301"/>
      <c r="D77" s="301"/>
      <c r="E77" s="301"/>
      <c r="F77" s="301"/>
      <c r="G77" s="301"/>
      <c r="H77" s="301"/>
      <c r="I77" s="301"/>
      <c r="J77" s="301"/>
      <c r="K77" s="301"/>
    </row>
    <row r="78" spans="2:11">
      <c r="B78" s="301"/>
      <c r="C78" s="301"/>
      <c r="D78" s="301"/>
      <c r="E78" s="301"/>
      <c r="F78" s="301"/>
      <c r="G78" s="301"/>
      <c r="H78" s="301"/>
      <c r="I78" s="301"/>
      <c r="J78" s="301"/>
      <c r="K78" s="301"/>
    </row>
    <row r="79" spans="2:11">
      <c r="B79" s="301"/>
      <c r="C79" s="301"/>
      <c r="D79" s="301"/>
      <c r="E79" s="301"/>
      <c r="F79" s="301"/>
      <c r="G79" s="301"/>
      <c r="H79" s="301"/>
      <c r="I79" s="301"/>
      <c r="J79" s="301"/>
      <c r="K79" s="301"/>
    </row>
    <row r="80" spans="2:11">
      <c r="B80" s="301"/>
      <c r="C80" s="301"/>
      <c r="D80" s="301"/>
      <c r="E80" s="301"/>
      <c r="F80" s="301"/>
      <c r="G80" s="301"/>
      <c r="H80" s="301"/>
      <c r="I80" s="301"/>
      <c r="J80" s="301"/>
      <c r="K80" s="301"/>
    </row>
    <row r="81" spans="2:11">
      <c r="B81" s="301"/>
      <c r="C81" s="301"/>
      <c r="D81" s="301"/>
      <c r="E81" s="301"/>
      <c r="F81" s="301"/>
      <c r="G81" s="301"/>
      <c r="H81" s="301"/>
      <c r="I81" s="301"/>
      <c r="J81" s="301"/>
      <c r="K81" s="301"/>
    </row>
    <row r="82" spans="2:11">
      <c r="B82" s="301"/>
      <c r="C82" s="301"/>
      <c r="D82" s="301"/>
      <c r="E82" s="301"/>
      <c r="F82" s="301"/>
      <c r="G82" s="301"/>
      <c r="H82" s="301"/>
      <c r="I82" s="301"/>
      <c r="J82" s="301"/>
      <c r="K82" s="301"/>
    </row>
    <row r="83" spans="2:11">
      <c r="B83" s="301"/>
      <c r="C83" s="301"/>
      <c r="D83" s="301"/>
      <c r="E83" s="301"/>
      <c r="F83" s="301"/>
      <c r="G83" s="301"/>
      <c r="H83" s="301"/>
      <c r="I83" s="301"/>
      <c r="J83" s="301"/>
      <c r="K83" s="301"/>
    </row>
    <row r="84" spans="2:11">
      <c r="B84" s="301"/>
      <c r="C84" s="301"/>
      <c r="D84" s="301"/>
      <c r="E84" s="301"/>
      <c r="F84" s="301"/>
      <c r="G84" s="301"/>
      <c r="H84" s="301"/>
      <c r="I84" s="301"/>
      <c r="J84" s="301"/>
      <c r="K84" s="301"/>
    </row>
    <row r="85" spans="2:11">
      <c r="B85" s="301"/>
      <c r="C85" s="301"/>
      <c r="D85" s="301"/>
      <c r="E85" s="301"/>
      <c r="F85" s="301"/>
      <c r="G85" s="301"/>
      <c r="H85" s="301"/>
      <c r="I85" s="301"/>
      <c r="J85" s="301"/>
      <c r="K85" s="301"/>
    </row>
    <row r="86" spans="2:11">
      <c r="B86" s="301"/>
      <c r="C86" s="301"/>
      <c r="D86" s="301"/>
      <c r="E86" s="301"/>
      <c r="F86" s="301"/>
      <c r="G86" s="301"/>
      <c r="H86" s="301"/>
      <c r="I86" s="301"/>
      <c r="J86" s="301"/>
      <c r="K86" s="301"/>
    </row>
    <row r="87" spans="2:11">
      <c r="B87" s="301"/>
      <c r="C87" s="301"/>
      <c r="D87" s="301"/>
      <c r="E87" s="301"/>
      <c r="F87" s="301"/>
      <c r="G87" s="301"/>
      <c r="H87" s="301"/>
      <c r="I87" s="301"/>
      <c r="J87" s="301"/>
      <c r="K87" s="301"/>
    </row>
    <row r="88" spans="2:11">
      <c r="B88" s="301"/>
      <c r="C88" s="301"/>
      <c r="D88" s="301"/>
      <c r="E88" s="301"/>
      <c r="F88" s="301"/>
      <c r="G88" s="301"/>
      <c r="H88" s="301"/>
      <c r="I88" s="301"/>
      <c r="J88" s="301"/>
      <c r="K88" s="301"/>
    </row>
    <row r="89" spans="2:11">
      <c r="B89" s="301"/>
      <c r="C89" s="301"/>
      <c r="D89" s="301"/>
      <c r="E89" s="301"/>
      <c r="F89" s="301"/>
      <c r="G89" s="301"/>
      <c r="H89" s="301"/>
      <c r="I89" s="301"/>
      <c r="J89" s="301"/>
      <c r="K89" s="301"/>
    </row>
    <row r="90" spans="2:11">
      <c r="B90" s="301"/>
      <c r="C90" s="301"/>
      <c r="D90" s="301"/>
      <c r="E90" s="301"/>
      <c r="F90" s="301"/>
      <c r="G90" s="301"/>
      <c r="H90" s="301"/>
      <c r="I90" s="301"/>
      <c r="J90" s="301"/>
      <c r="K90" s="301"/>
    </row>
    <row r="91" spans="2:11">
      <c r="B91" s="301"/>
      <c r="C91" s="301"/>
      <c r="D91" s="301"/>
      <c r="E91" s="301"/>
      <c r="F91" s="301"/>
      <c r="G91" s="301"/>
      <c r="H91" s="301"/>
      <c r="I91" s="301"/>
      <c r="J91" s="301"/>
      <c r="K91" s="301"/>
    </row>
    <row r="92" spans="2:11">
      <c r="B92" s="301"/>
      <c r="C92" s="301"/>
      <c r="D92" s="301"/>
      <c r="E92" s="301"/>
      <c r="F92" s="301"/>
      <c r="G92" s="301"/>
      <c r="H92" s="301"/>
      <c r="I92" s="301"/>
      <c r="J92" s="301"/>
      <c r="K92" s="301"/>
    </row>
    <row r="93" spans="2:11">
      <c r="B93" s="301"/>
      <c r="C93" s="301"/>
      <c r="D93" s="301"/>
      <c r="E93" s="301"/>
      <c r="F93" s="301"/>
      <c r="G93" s="301"/>
      <c r="H93" s="301"/>
      <c r="I93" s="301"/>
      <c r="J93" s="301"/>
      <c r="K93" s="301"/>
    </row>
    <row r="94" spans="2:11">
      <c r="B94" s="301"/>
      <c r="C94" s="301"/>
      <c r="D94" s="301"/>
      <c r="E94" s="301"/>
      <c r="F94" s="301"/>
      <c r="G94" s="301"/>
      <c r="H94" s="301"/>
      <c r="I94" s="301"/>
      <c r="J94" s="301"/>
      <c r="K94" s="301"/>
    </row>
    <row r="95" spans="2:11">
      <c r="B95" s="301"/>
      <c r="C95" s="301"/>
      <c r="D95" s="301"/>
      <c r="E95" s="301"/>
      <c r="F95" s="301"/>
      <c r="G95" s="301"/>
      <c r="H95" s="301"/>
      <c r="I95" s="301"/>
      <c r="J95" s="301"/>
      <c r="K95" s="301"/>
    </row>
    <row r="96" spans="2:11">
      <c r="B96" s="301"/>
      <c r="C96" s="301"/>
      <c r="D96" s="301"/>
      <c r="E96" s="301"/>
      <c r="F96" s="301"/>
      <c r="G96" s="301"/>
      <c r="H96" s="301"/>
      <c r="I96" s="301"/>
      <c r="J96" s="301"/>
      <c r="K96" s="301"/>
    </row>
    <row r="97" spans="2:11">
      <c r="B97" s="301"/>
      <c r="C97" s="301"/>
      <c r="D97" s="301"/>
      <c r="E97" s="301"/>
      <c r="F97" s="301"/>
      <c r="G97" s="301"/>
      <c r="H97" s="301"/>
      <c r="I97" s="301"/>
      <c r="J97" s="301"/>
      <c r="K97" s="301"/>
    </row>
    <row r="98" spans="2:11">
      <c r="B98" s="301"/>
      <c r="C98" s="301"/>
      <c r="D98" s="301"/>
      <c r="E98" s="301"/>
      <c r="F98" s="301"/>
      <c r="G98" s="301"/>
      <c r="H98" s="301"/>
      <c r="I98" s="301"/>
      <c r="J98" s="301"/>
      <c r="K98" s="301"/>
    </row>
    <row r="99" spans="2:11">
      <c r="B99" s="301"/>
      <c r="C99" s="301"/>
      <c r="D99" s="301"/>
      <c r="E99" s="301"/>
      <c r="F99" s="301"/>
      <c r="G99" s="301"/>
      <c r="H99" s="301"/>
      <c r="I99" s="301"/>
      <c r="J99" s="301"/>
      <c r="K99" s="301"/>
    </row>
    <row r="100" spans="2:11">
      <c r="B100" s="301"/>
      <c r="C100" s="301"/>
      <c r="D100" s="301"/>
      <c r="E100" s="301"/>
      <c r="F100" s="301"/>
      <c r="G100" s="301"/>
      <c r="H100" s="301"/>
      <c r="I100" s="301"/>
      <c r="J100" s="301"/>
      <c r="K100" s="301"/>
    </row>
    <row r="101" spans="2:11">
      <c r="B101" s="301"/>
      <c r="C101" s="301"/>
      <c r="D101" s="301"/>
      <c r="E101" s="301"/>
      <c r="F101" s="301"/>
      <c r="G101" s="301"/>
      <c r="H101" s="301"/>
      <c r="I101" s="301"/>
      <c r="J101" s="301"/>
      <c r="K101" s="301"/>
    </row>
    <row r="102" spans="2:11">
      <c r="B102" s="301"/>
      <c r="C102" s="301"/>
      <c r="D102" s="301"/>
      <c r="E102" s="301"/>
      <c r="F102" s="301"/>
      <c r="G102" s="301"/>
      <c r="H102" s="301"/>
      <c r="I102" s="301"/>
      <c r="J102" s="301"/>
      <c r="K102" s="301"/>
    </row>
    <row r="103" spans="2:11">
      <c r="B103" s="301"/>
      <c r="C103" s="301"/>
      <c r="D103" s="301"/>
      <c r="E103" s="301"/>
      <c r="F103" s="301"/>
      <c r="G103" s="301"/>
      <c r="H103" s="301"/>
      <c r="I103" s="301"/>
      <c r="J103" s="301"/>
      <c r="K103" s="301"/>
    </row>
    <row r="104" spans="2:11">
      <c r="B104" s="301"/>
      <c r="C104" s="301"/>
      <c r="D104" s="301"/>
      <c r="E104" s="301"/>
      <c r="F104" s="301"/>
      <c r="G104" s="301"/>
      <c r="H104" s="301"/>
      <c r="I104" s="301"/>
      <c r="J104" s="301"/>
      <c r="K104" s="301"/>
    </row>
    <row r="105" spans="2:11">
      <c r="B105" s="301"/>
      <c r="C105" s="301"/>
      <c r="D105" s="301"/>
      <c r="E105" s="301"/>
      <c r="F105" s="301"/>
      <c r="G105" s="301"/>
      <c r="H105" s="301"/>
      <c r="I105" s="301"/>
      <c r="J105" s="301"/>
      <c r="K105" s="301"/>
    </row>
    <row r="106" spans="2:11">
      <c r="B106" s="301"/>
      <c r="C106" s="301"/>
      <c r="D106" s="301"/>
      <c r="E106" s="301"/>
      <c r="F106" s="301"/>
      <c r="G106" s="301"/>
      <c r="H106" s="301"/>
      <c r="I106" s="301"/>
      <c r="J106" s="301"/>
      <c r="K106" s="301"/>
    </row>
    <row r="107" spans="2:11">
      <c r="B107" s="301"/>
      <c r="C107" s="301"/>
      <c r="D107" s="301"/>
      <c r="E107" s="301"/>
      <c r="F107" s="301"/>
      <c r="G107" s="301"/>
      <c r="H107" s="301"/>
      <c r="I107" s="301"/>
      <c r="J107" s="301"/>
      <c r="K107" s="301"/>
    </row>
    <row r="108" spans="2:11">
      <c r="B108" s="301"/>
      <c r="C108" s="301"/>
      <c r="D108" s="301"/>
      <c r="E108" s="301"/>
      <c r="F108" s="301"/>
      <c r="G108" s="301"/>
      <c r="H108" s="301"/>
      <c r="I108" s="301"/>
      <c r="J108" s="301"/>
      <c r="K108" s="301"/>
    </row>
    <row r="109" spans="2:11">
      <c r="B109" s="301"/>
      <c r="C109" s="301"/>
      <c r="D109" s="301"/>
      <c r="E109" s="301"/>
      <c r="F109" s="301"/>
      <c r="G109" s="301"/>
      <c r="H109" s="301"/>
      <c r="I109" s="301"/>
      <c r="J109" s="301"/>
      <c r="K109" s="301"/>
    </row>
    <row r="110" spans="2:11">
      <c r="B110" s="301"/>
      <c r="C110" s="301"/>
      <c r="D110" s="301"/>
      <c r="E110" s="301"/>
      <c r="F110" s="301"/>
      <c r="G110" s="301"/>
      <c r="H110" s="301"/>
      <c r="I110" s="301"/>
      <c r="J110" s="301"/>
      <c r="K110" s="301"/>
    </row>
    <row r="111" spans="2:11">
      <c r="B111" s="301"/>
      <c r="C111" s="301"/>
      <c r="D111" s="301"/>
      <c r="E111" s="301"/>
      <c r="F111" s="301"/>
      <c r="G111" s="301"/>
      <c r="H111" s="301"/>
      <c r="I111" s="301"/>
      <c r="J111" s="301"/>
      <c r="K111" s="301"/>
    </row>
    <row r="112" spans="2:11">
      <c r="B112" s="301"/>
      <c r="C112" s="301"/>
      <c r="D112" s="301"/>
      <c r="E112" s="301"/>
      <c r="F112" s="301"/>
      <c r="G112" s="301"/>
      <c r="H112" s="301"/>
      <c r="I112" s="301"/>
      <c r="J112" s="301"/>
      <c r="K112" s="301"/>
    </row>
    <row r="113" spans="2:11">
      <c r="B113" s="301"/>
      <c r="C113" s="301"/>
      <c r="D113" s="301"/>
      <c r="E113" s="301"/>
      <c r="F113" s="301"/>
      <c r="G113" s="301"/>
      <c r="H113" s="301"/>
      <c r="I113" s="301"/>
      <c r="J113" s="301"/>
      <c r="K113" s="301"/>
    </row>
    <row r="114" spans="2:11">
      <c r="B114" s="301"/>
      <c r="C114" s="301"/>
      <c r="D114" s="301"/>
      <c r="E114" s="301"/>
      <c r="F114" s="301"/>
      <c r="G114" s="301"/>
      <c r="H114" s="301"/>
      <c r="I114" s="301"/>
      <c r="J114" s="301"/>
      <c r="K114" s="301"/>
    </row>
    <row r="115" spans="2:11">
      <c r="B115" s="301"/>
      <c r="C115" s="301"/>
      <c r="D115" s="301"/>
      <c r="E115" s="301"/>
      <c r="F115" s="301"/>
      <c r="G115" s="301"/>
      <c r="H115" s="301"/>
      <c r="I115" s="301"/>
      <c r="J115" s="301"/>
      <c r="K115" s="301"/>
    </row>
    <row r="116" spans="2:11">
      <c r="B116" s="301"/>
      <c r="C116" s="301"/>
      <c r="D116" s="301"/>
      <c r="E116" s="301"/>
      <c r="F116" s="301"/>
      <c r="G116" s="301"/>
      <c r="H116" s="301"/>
      <c r="I116" s="301"/>
      <c r="J116" s="301"/>
      <c r="K116" s="301"/>
    </row>
    <row r="117" spans="2:11">
      <c r="B117" s="301"/>
      <c r="C117" s="301"/>
      <c r="D117" s="301"/>
      <c r="E117" s="301"/>
      <c r="F117" s="301"/>
      <c r="G117" s="301"/>
      <c r="H117" s="301"/>
      <c r="I117" s="301"/>
      <c r="J117" s="301"/>
      <c r="K117" s="301"/>
    </row>
    <row r="118" spans="2:11">
      <c r="B118" s="301"/>
      <c r="C118" s="301"/>
      <c r="D118" s="301"/>
      <c r="E118" s="301"/>
      <c r="F118" s="301"/>
      <c r="G118" s="301"/>
      <c r="H118" s="301"/>
      <c r="I118" s="301"/>
      <c r="J118" s="301"/>
      <c r="K118" s="301"/>
    </row>
    <row r="119" spans="2:11">
      <c r="B119" s="301"/>
      <c r="C119" s="301"/>
      <c r="D119" s="301"/>
      <c r="E119" s="301"/>
      <c r="F119" s="301"/>
      <c r="G119" s="301"/>
      <c r="H119" s="301"/>
      <c r="I119" s="301"/>
      <c r="J119" s="301"/>
      <c r="K119" s="301"/>
    </row>
    <row r="120" spans="2:11">
      <c r="B120" s="301"/>
      <c r="C120" s="301"/>
      <c r="D120" s="301"/>
      <c r="E120" s="301"/>
      <c r="F120" s="301"/>
      <c r="G120" s="301"/>
      <c r="H120" s="301"/>
      <c r="I120" s="301"/>
      <c r="J120" s="301"/>
      <c r="K120" s="301"/>
    </row>
    <row r="121" spans="2:11">
      <c r="B121" s="301"/>
      <c r="C121" s="301"/>
      <c r="D121" s="301"/>
      <c r="E121" s="301"/>
      <c r="F121" s="301"/>
      <c r="G121" s="301"/>
      <c r="H121" s="301"/>
      <c r="I121" s="301"/>
      <c r="J121" s="301"/>
      <c r="K121" s="301"/>
    </row>
    <row r="122" spans="2:11">
      <c r="B122" s="301"/>
      <c r="C122" s="301"/>
      <c r="D122" s="301"/>
      <c r="E122" s="301"/>
      <c r="F122" s="301"/>
      <c r="G122" s="301"/>
      <c r="H122" s="301"/>
      <c r="I122" s="301"/>
      <c r="J122" s="301"/>
      <c r="K122" s="301"/>
    </row>
    <row r="123" spans="2:11">
      <c r="B123" s="301"/>
      <c r="C123" s="301"/>
      <c r="D123" s="301"/>
      <c r="E123" s="301"/>
      <c r="F123" s="301"/>
      <c r="G123" s="301"/>
      <c r="H123" s="301"/>
      <c r="I123" s="301"/>
      <c r="J123" s="301"/>
      <c r="K123" s="301"/>
    </row>
    <row r="124" spans="2:11">
      <c r="B124" s="301"/>
      <c r="C124" s="301"/>
      <c r="D124" s="301"/>
      <c r="E124" s="301"/>
      <c r="F124" s="301"/>
      <c r="G124" s="301"/>
      <c r="H124" s="301"/>
      <c r="I124" s="301"/>
      <c r="J124" s="301"/>
      <c r="K124" s="301"/>
    </row>
    <row r="125" spans="2:11">
      <c r="B125" s="301"/>
      <c r="C125" s="301"/>
      <c r="D125" s="301"/>
      <c r="E125" s="301"/>
      <c r="F125" s="301"/>
      <c r="G125" s="301"/>
      <c r="H125" s="301"/>
      <c r="I125" s="301"/>
      <c r="J125" s="301"/>
      <c r="K125" s="301"/>
    </row>
    <row r="126" spans="2:11">
      <c r="B126" s="301"/>
      <c r="C126" s="301"/>
      <c r="D126" s="301"/>
      <c r="E126" s="301"/>
      <c r="F126" s="301"/>
      <c r="G126" s="301"/>
      <c r="H126" s="301"/>
      <c r="I126" s="301"/>
      <c r="J126" s="301"/>
      <c r="K126" s="301"/>
    </row>
    <row r="127" spans="2:11">
      <c r="B127" s="301"/>
      <c r="C127" s="301"/>
      <c r="D127" s="301"/>
      <c r="E127" s="301"/>
      <c r="F127" s="301"/>
      <c r="G127" s="301"/>
      <c r="H127" s="301"/>
      <c r="I127" s="301"/>
      <c r="J127" s="301"/>
      <c r="K127" s="301"/>
    </row>
    <row r="128" spans="2:11">
      <c r="B128" s="301"/>
      <c r="C128" s="301"/>
      <c r="D128" s="301"/>
      <c r="E128" s="301"/>
      <c r="F128" s="301"/>
      <c r="G128" s="301"/>
      <c r="H128" s="301"/>
      <c r="I128" s="301"/>
      <c r="J128" s="301"/>
      <c r="K128" s="301"/>
    </row>
    <row r="129" spans="2:11">
      <c r="B129" s="301"/>
      <c r="C129" s="301"/>
      <c r="D129" s="301"/>
      <c r="E129" s="301"/>
      <c r="F129" s="301"/>
      <c r="G129" s="301"/>
      <c r="H129" s="301"/>
      <c r="I129" s="301"/>
      <c r="J129" s="301"/>
      <c r="K129" s="301"/>
    </row>
    <row r="130" spans="2:11">
      <c r="B130" s="301"/>
      <c r="C130" s="301"/>
      <c r="D130" s="301"/>
      <c r="E130" s="301"/>
      <c r="F130" s="301"/>
      <c r="G130" s="301"/>
      <c r="H130" s="301"/>
      <c r="I130" s="301"/>
      <c r="J130" s="301"/>
      <c r="K130" s="301"/>
    </row>
    <row r="131" spans="2:11">
      <c r="B131" s="301"/>
      <c r="C131" s="301"/>
      <c r="D131" s="301"/>
      <c r="E131" s="301"/>
      <c r="F131" s="301"/>
      <c r="G131" s="301"/>
      <c r="H131" s="301"/>
      <c r="I131" s="301"/>
      <c r="J131" s="301"/>
      <c r="K131" s="301"/>
    </row>
    <row r="132" spans="2:11">
      <c r="B132" s="301"/>
      <c r="C132" s="301"/>
      <c r="D132" s="301"/>
      <c r="E132" s="301"/>
      <c r="F132" s="301"/>
      <c r="G132" s="301"/>
      <c r="H132" s="301"/>
      <c r="I132" s="301"/>
      <c r="J132" s="301"/>
      <c r="K132" s="301"/>
    </row>
    <row r="133" spans="2:11">
      <c r="B133" s="301"/>
      <c r="C133" s="301"/>
      <c r="D133" s="301"/>
      <c r="E133" s="301"/>
      <c r="F133" s="301"/>
      <c r="G133" s="301"/>
      <c r="H133" s="301"/>
      <c r="I133" s="301"/>
      <c r="J133" s="301"/>
      <c r="K133" s="301"/>
    </row>
    <row r="134" spans="2:11">
      <c r="B134" s="301"/>
      <c r="C134" s="301"/>
      <c r="D134" s="301"/>
      <c r="E134" s="301"/>
      <c r="F134" s="301"/>
      <c r="G134" s="301"/>
      <c r="H134" s="301"/>
      <c r="I134" s="301"/>
      <c r="J134" s="301"/>
      <c r="K134" s="301"/>
    </row>
    <row r="135" spans="2:11">
      <c r="B135" s="301"/>
      <c r="C135" s="301"/>
      <c r="D135" s="301"/>
      <c r="E135" s="301"/>
      <c r="F135" s="301"/>
      <c r="G135" s="301"/>
      <c r="H135" s="301"/>
      <c r="I135" s="301"/>
      <c r="J135" s="301"/>
      <c r="K135" s="301"/>
    </row>
    <row r="136" spans="2:11">
      <c r="B136" s="301"/>
      <c r="C136" s="301"/>
      <c r="D136" s="301"/>
      <c r="E136" s="301"/>
      <c r="F136" s="301"/>
      <c r="G136" s="301"/>
      <c r="H136" s="301"/>
      <c r="I136" s="301"/>
      <c r="J136" s="301"/>
      <c r="K136" s="301"/>
    </row>
    <row r="137" spans="2:11">
      <c r="B137" s="301"/>
      <c r="C137" s="301"/>
      <c r="D137" s="301"/>
      <c r="E137" s="301"/>
      <c r="F137" s="301"/>
      <c r="G137" s="301"/>
      <c r="H137" s="301"/>
      <c r="I137" s="301"/>
      <c r="J137" s="301"/>
      <c r="K137" s="301"/>
    </row>
    <row r="138" spans="2:11">
      <c r="B138" s="301"/>
      <c r="C138" s="301"/>
      <c r="D138" s="301"/>
      <c r="E138" s="301"/>
      <c r="F138" s="301"/>
      <c r="G138" s="301"/>
      <c r="H138" s="301"/>
      <c r="I138" s="301"/>
      <c r="J138" s="301"/>
      <c r="K138" s="301"/>
    </row>
    <row r="139" spans="2:11">
      <c r="B139" s="301"/>
      <c r="C139" s="301"/>
      <c r="D139" s="301"/>
      <c r="E139" s="301"/>
      <c r="F139" s="301"/>
      <c r="G139" s="301"/>
      <c r="H139" s="301"/>
      <c r="I139" s="301"/>
      <c r="J139" s="301"/>
      <c r="K139" s="301"/>
    </row>
    <row r="140" spans="2:11">
      <c r="B140" s="301"/>
      <c r="C140" s="301"/>
      <c r="D140" s="301"/>
      <c r="E140" s="301"/>
      <c r="F140" s="301"/>
      <c r="G140" s="301"/>
      <c r="H140" s="301"/>
      <c r="I140" s="301"/>
      <c r="J140" s="301"/>
      <c r="K140" s="301"/>
    </row>
    <row r="141" spans="2:11">
      <c r="B141" s="301"/>
      <c r="C141" s="301"/>
      <c r="D141" s="301"/>
      <c r="E141" s="301"/>
      <c r="F141" s="301"/>
      <c r="G141" s="301"/>
      <c r="H141" s="301"/>
      <c r="I141" s="301"/>
      <c r="J141" s="301"/>
      <c r="K141" s="301"/>
    </row>
    <row r="142" spans="2:11">
      <c r="B142" s="301"/>
      <c r="C142" s="301"/>
      <c r="D142" s="301"/>
      <c r="E142" s="301"/>
      <c r="F142" s="301"/>
      <c r="G142" s="301"/>
      <c r="H142" s="301"/>
      <c r="I142" s="301"/>
      <c r="J142" s="301"/>
      <c r="K142" s="301"/>
    </row>
    <row r="143" spans="2:11">
      <c r="B143" s="301"/>
      <c r="C143" s="301"/>
      <c r="D143" s="301"/>
      <c r="E143" s="301"/>
      <c r="F143" s="301"/>
      <c r="G143" s="301"/>
      <c r="H143" s="301"/>
      <c r="I143" s="301"/>
      <c r="J143" s="301"/>
      <c r="K143" s="301"/>
    </row>
    <row r="144" spans="2:11">
      <c r="B144" s="301"/>
      <c r="C144" s="301"/>
      <c r="D144" s="301"/>
      <c r="E144" s="301"/>
      <c r="F144" s="301"/>
      <c r="G144" s="301"/>
      <c r="H144" s="301"/>
      <c r="I144" s="301"/>
      <c r="J144" s="301"/>
      <c r="K144" s="301"/>
    </row>
    <row r="145" spans="2:11">
      <c r="B145" s="301"/>
      <c r="C145" s="301"/>
      <c r="D145" s="301"/>
      <c r="E145" s="301"/>
      <c r="F145" s="301"/>
      <c r="G145" s="301"/>
      <c r="H145" s="301"/>
      <c r="I145" s="301"/>
      <c r="J145" s="301"/>
      <c r="K145" s="301"/>
    </row>
    <row r="146" spans="2:11">
      <c r="B146" s="301"/>
      <c r="C146" s="301"/>
      <c r="D146" s="301"/>
      <c r="E146" s="301"/>
      <c r="F146" s="301"/>
      <c r="G146" s="301"/>
      <c r="H146" s="301"/>
      <c r="I146" s="301"/>
      <c r="J146" s="301"/>
      <c r="K146" s="301"/>
    </row>
    <row r="147" spans="2:11">
      <c r="B147" s="301"/>
      <c r="C147" s="301"/>
      <c r="D147" s="301"/>
      <c r="E147" s="301"/>
      <c r="F147" s="301"/>
      <c r="G147" s="301"/>
      <c r="H147" s="301"/>
      <c r="I147" s="301"/>
      <c r="J147" s="301"/>
      <c r="K147" s="301"/>
    </row>
    <row r="148" spans="2:11">
      <c r="B148" s="301"/>
      <c r="C148" s="301"/>
      <c r="D148" s="301"/>
      <c r="E148" s="301"/>
      <c r="F148" s="301"/>
      <c r="G148" s="301"/>
      <c r="H148" s="301"/>
      <c r="I148" s="301"/>
      <c r="J148" s="301"/>
      <c r="K148" s="301"/>
    </row>
    <row r="149" spans="2:11">
      <c r="B149" s="301"/>
      <c r="C149" s="301"/>
      <c r="D149" s="301"/>
      <c r="E149" s="301"/>
      <c r="F149" s="301"/>
      <c r="G149" s="301"/>
      <c r="H149" s="301"/>
      <c r="I149" s="301"/>
      <c r="J149" s="301"/>
      <c r="K149" s="301"/>
    </row>
    <row r="150" spans="2:11">
      <c r="B150" s="301"/>
      <c r="C150" s="301"/>
      <c r="D150" s="301"/>
      <c r="E150" s="301"/>
      <c r="F150" s="301"/>
      <c r="G150" s="301"/>
      <c r="H150" s="301"/>
      <c r="I150" s="301"/>
      <c r="J150" s="301"/>
      <c r="K150" s="301"/>
    </row>
    <row r="151" spans="2:11">
      <c r="B151" s="301"/>
      <c r="C151" s="301"/>
      <c r="D151" s="301"/>
      <c r="E151" s="301"/>
      <c r="F151" s="301"/>
      <c r="G151" s="301"/>
      <c r="H151" s="301"/>
      <c r="I151" s="301"/>
      <c r="J151" s="301"/>
      <c r="K151" s="301"/>
    </row>
    <row r="152" spans="2:11">
      <c r="B152" s="301"/>
      <c r="C152" s="301"/>
      <c r="D152" s="301"/>
      <c r="E152" s="301"/>
      <c r="F152" s="301"/>
      <c r="G152" s="301"/>
      <c r="H152" s="301"/>
      <c r="I152" s="301"/>
      <c r="J152" s="301"/>
      <c r="K152" s="301"/>
    </row>
    <row r="153" spans="2:11">
      <c r="B153" s="301"/>
      <c r="C153" s="301"/>
      <c r="D153" s="301"/>
      <c r="E153" s="301"/>
      <c r="F153" s="301"/>
      <c r="G153" s="301"/>
      <c r="H153" s="301"/>
      <c r="I153" s="301"/>
      <c r="J153" s="301"/>
      <c r="K153" s="301"/>
    </row>
    <row r="154" spans="2:11">
      <c r="B154" s="301"/>
      <c r="C154" s="301"/>
      <c r="D154" s="301"/>
      <c r="E154" s="301"/>
      <c r="F154" s="301"/>
      <c r="G154" s="301"/>
      <c r="H154" s="301"/>
      <c r="I154" s="301"/>
      <c r="J154" s="301"/>
      <c r="K154" s="301"/>
    </row>
    <row r="155" spans="2:11">
      <c r="B155" s="301"/>
      <c r="C155" s="301"/>
      <c r="D155" s="301"/>
      <c r="E155" s="301"/>
      <c r="F155" s="301"/>
      <c r="G155" s="301"/>
      <c r="H155" s="301"/>
      <c r="I155" s="301"/>
      <c r="J155" s="301"/>
      <c r="K155" s="301"/>
    </row>
    <row r="156" spans="2:11">
      <c r="B156" s="301"/>
      <c r="C156" s="301"/>
      <c r="D156" s="301"/>
      <c r="E156" s="301"/>
      <c r="F156" s="301"/>
      <c r="G156" s="301"/>
      <c r="H156" s="301"/>
      <c r="I156" s="301"/>
      <c r="J156" s="301"/>
      <c r="K156" s="301"/>
    </row>
    <row r="157" spans="2:11">
      <c r="B157" s="301"/>
      <c r="C157" s="301"/>
      <c r="D157" s="301"/>
      <c r="E157" s="301"/>
      <c r="F157" s="301"/>
      <c r="G157" s="301"/>
      <c r="H157" s="301"/>
      <c r="I157" s="301"/>
      <c r="J157" s="301"/>
      <c r="K157" s="301"/>
    </row>
    <row r="158" spans="2:11">
      <c r="B158" s="301"/>
      <c r="C158" s="301"/>
      <c r="D158" s="301"/>
      <c r="E158" s="301"/>
      <c r="F158" s="301"/>
      <c r="G158" s="301"/>
      <c r="H158" s="301"/>
      <c r="I158" s="301"/>
      <c r="J158" s="301"/>
      <c r="K158" s="301"/>
    </row>
    <row r="159" spans="2:11">
      <c r="B159" s="301"/>
      <c r="C159" s="301"/>
      <c r="D159" s="301"/>
      <c r="E159" s="301"/>
      <c r="F159" s="301"/>
      <c r="G159" s="301"/>
      <c r="H159" s="301"/>
      <c r="I159" s="301"/>
      <c r="J159" s="301"/>
      <c r="K159" s="301"/>
    </row>
    <row r="160" spans="2:11">
      <c r="B160" s="301"/>
      <c r="C160" s="301"/>
      <c r="D160" s="301"/>
      <c r="E160" s="301"/>
      <c r="F160" s="301"/>
      <c r="G160" s="301"/>
      <c r="H160" s="301"/>
      <c r="I160" s="301"/>
      <c r="J160" s="301"/>
      <c r="K160" s="301"/>
    </row>
    <row r="161" spans="2:11">
      <c r="B161" s="301"/>
      <c r="C161" s="301"/>
      <c r="D161" s="301"/>
      <c r="E161" s="301"/>
      <c r="F161" s="301"/>
      <c r="G161" s="301"/>
      <c r="H161" s="301"/>
      <c r="I161" s="301"/>
      <c r="J161" s="301"/>
      <c r="K161" s="301"/>
    </row>
    <row r="162" spans="2:11">
      <c r="B162" s="301"/>
      <c r="C162" s="301"/>
      <c r="D162" s="301"/>
      <c r="E162" s="301"/>
      <c r="F162" s="301"/>
      <c r="G162" s="301"/>
      <c r="H162" s="301"/>
      <c r="I162" s="301"/>
      <c r="J162" s="301"/>
      <c r="K162" s="301"/>
    </row>
    <row r="163" spans="2:11">
      <c r="B163" s="301"/>
      <c r="C163" s="301"/>
      <c r="D163" s="301"/>
      <c r="E163" s="301"/>
      <c r="F163" s="301"/>
      <c r="G163" s="301"/>
      <c r="H163" s="301"/>
      <c r="I163" s="301"/>
      <c r="J163" s="301"/>
      <c r="K163" s="301"/>
    </row>
    <row r="164" spans="2:11">
      <c r="B164" s="301"/>
      <c r="C164" s="301"/>
      <c r="D164" s="301"/>
      <c r="E164" s="301"/>
      <c r="F164" s="301"/>
      <c r="G164" s="301"/>
      <c r="H164" s="301"/>
      <c r="I164" s="301"/>
      <c r="J164" s="301"/>
      <c r="K164" s="301"/>
    </row>
    <row r="165" spans="2:11">
      <c r="B165" s="301"/>
      <c r="C165" s="301"/>
      <c r="D165" s="301"/>
      <c r="E165" s="301"/>
      <c r="F165" s="301"/>
      <c r="G165" s="301"/>
      <c r="H165" s="301"/>
      <c r="I165" s="301"/>
      <c r="J165" s="301"/>
      <c r="K165" s="301"/>
    </row>
    <row r="166" spans="2:11">
      <c r="B166" s="301"/>
      <c r="C166" s="301"/>
      <c r="D166" s="301"/>
      <c r="E166" s="301"/>
      <c r="F166" s="301"/>
      <c r="G166" s="301"/>
      <c r="H166" s="301"/>
      <c r="I166" s="301"/>
      <c r="J166" s="301"/>
      <c r="K166" s="301"/>
    </row>
    <row r="167" spans="2:11">
      <c r="B167" s="301"/>
      <c r="C167" s="301"/>
      <c r="D167" s="301"/>
      <c r="E167" s="301"/>
      <c r="F167" s="301"/>
      <c r="G167" s="301"/>
      <c r="H167" s="301"/>
      <c r="I167" s="301"/>
      <c r="J167" s="301"/>
      <c r="K167" s="301"/>
    </row>
    <row r="168" spans="2:11">
      <c r="B168" s="301"/>
      <c r="C168" s="301"/>
      <c r="D168" s="301"/>
      <c r="E168" s="301"/>
      <c r="F168" s="301"/>
      <c r="G168" s="301"/>
      <c r="H168" s="301"/>
      <c r="I168" s="301"/>
      <c r="J168" s="301"/>
      <c r="K168" s="301"/>
    </row>
    <row r="169" spans="2:11">
      <c r="B169" s="301"/>
      <c r="C169" s="301"/>
      <c r="D169" s="301"/>
      <c r="E169" s="301"/>
      <c r="F169" s="301"/>
      <c r="G169" s="301"/>
      <c r="H169" s="301"/>
      <c r="I169" s="301"/>
      <c r="J169" s="301"/>
      <c r="K169" s="301"/>
    </row>
    <row r="170" spans="2:11">
      <c r="B170" s="301"/>
      <c r="C170" s="301"/>
      <c r="D170" s="301"/>
      <c r="E170" s="301"/>
      <c r="F170" s="301"/>
      <c r="G170" s="301"/>
      <c r="H170" s="301"/>
      <c r="I170" s="301"/>
      <c r="J170" s="301"/>
      <c r="K170" s="301"/>
    </row>
    <row r="171" spans="2:11">
      <c r="B171" s="301"/>
      <c r="C171" s="301"/>
      <c r="D171" s="301"/>
      <c r="E171" s="301"/>
      <c r="F171" s="301"/>
      <c r="G171" s="301"/>
      <c r="H171" s="301"/>
      <c r="I171" s="301"/>
      <c r="J171" s="301"/>
      <c r="K171" s="301"/>
    </row>
    <row r="172" spans="2:11">
      <c r="B172" s="301"/>
      <c r="C172" s="301"/>
      <c r="D172" s="301"/>
      <c r="E172" s="301"/>
      <c r="F172" s="301"/>
      <c r="G172" s="301"/>
      <c r="H172" s="301"/>
      <c r="I172" s="301"/>
      <c r="J172" s="301"/>
      <c r="K172" s="301"/>
    </row>
    <row r="173" spans="2:11">
      <c r="B173" s="301"/>
      <c r="C173" s="301"/>
      <c r="D173" s="301"/>
      <c r="E173" s="301"/>
      <c r="F173" s="301"/>
      <c r="G173" s="301"/>
      <c r="H173" s="301"/>
      <c r="I173" s="301"/>
      <c r="J173" s="301"/>
      <c r="K173" s="301"/>
    </row>
    <row r="174" spans="2:11">
      <c r="B174" s="301"/>
      <c r="C174" s="301"/>
      <c r="D174" s="301"/>
      <c r="E174" s="301"/>
      <c r="F174" s="301"/>
      <c r="G174" s="301"/>
      <c r="H174" s="301"/>
      <c r="I174" s="301"/>
      <c r="J174" s="301"/>
      <c r="K174" s="301"/>
    </row>
    <row r="175" spans="2:11">
      <c r="B175" s="301"/>
      <c r="C175" s="301"/>
      <c r="D175" s="301"/>
      <c r="E175" s="301"/>
      <c r="F175" s="301"/>
      <c r="G175" s="301"/>
      <c r="H175" s="301"/>
      <c r="I175" s="301"/>
      <c r="J175" s="301"/>
      <c r="K175" s="301"/>
    </row>
    <row r="176" spans="2:11">
      <c r="B176" s="301"/>
      <c r="C176" s="301"/>
      <c r="D176" s="301"/>
      <c r="E176" s="301"/>
      <c r="F176" s="301"/>
      <c r="G176" s="301"/>
      <c r="H176" s="301"/>
      <c r="I176" s="301"/>
      <c r="J176" s="301"/>
      <c r="K176" s="301"/>
    </row>
    <row r="177" spans="2:11">
      <c r="B177" s="301"/>
      <c r="C177" s="301"/>
      <c r="D177" s="301"/>
      <c r="E177" s="301"/>
      <c r="F177" s="301"/>
      <c r="G177" s="301"/>
      <c r="H177" s="301"/>
      <c r="I177" s="301"/>
      <c r="J177" s="301"/>
      <c r="K177" s="301"/>
    </row>
    <row r="178" spans="2:11">
      <c r="B178" s="301"/>
      <c r="C178" s="301"/>
      <c r="D178" s="301"/>
      <c r="E178" s="301"/>
      <c r="F178" s="301"/>
      <c r="G178" s="301"/>
      <c r="H178" s="301"/>
      <c r="I178" s="301"/>
      <c r="J178" s="301"/>
      <c r="K178" s="301"/>
    </row>
    <row r="179" spans="2:11">
      <c r="B179" s="301"/>
      <c r="C179" s="301"/>
      <c r="D179" s="301"/>
      <c r="E179" s="301"/>
      <c r="F179" s="301"/>
      <c r="G179" s="301"/>
      <c r="H179" s="301"/>
      <c r="I179" s="301"/>
      <c r="J179" s="301"/>
      <c r="K179" s="301"/>
    </row>
    <row r="180" spans="2:11">
      <c r="B180" s="301"/>
      <c r="C180" s="301"/>
      <c r="D180" s="301"/>
      <c r="E180" s="301"/>
      <c r="F180" s="301"/>
      <c r="G180" s="301"/>
      <c r="H180" s="301"/>
      <c r="I180" s="301"/>
      <c r="J180" s="301"/>
      <c r="K180" s="301"/>
    </row>
    <row r="181" spans="2:11">
      <c r="B181" s="301"/>
      <c r="C181" s="301"/>
      <c r="D181" s="301"/>
      <c r="E181" s="301"/>
      <c r="F181" s="301"/>
      <c r="G181" s="301"/>
      <c r="H181" s="301"/>
      <c r="I181" s="301"/>
      <c r="J181" s="301"/>
      <c r="K181" s="301"/>
    </row>
    <row r="182" spans="2:11">
      <c r="B182" s="301"/>
      <c r="C182" s="301"/>
      <c r="D182" s="301"/>
      <c r="E182" s="301"/>
      <c r="F182" s="301"/>
      <c r="G182" s="301"/>
      <c r="H182" s="301"/>
      <c r="I182" s="301"/>
      <c r="J182" s="301"/>
      <c r="K182" s="301"/>
    </row>
    <row r="183" spans="2:11">
      <c r="B183" s="301"/>
      <c r="C183" s="301"/>
      <c r="D183" s="301"/>
      <c r="E183" s="301"/>
      <c r="F183" s="301"/>
      <c r="G183" s="301"/>
      <c r="H183" s="301"/>
      <c r="I183" s="301"/>
      <c r="J183" s="301"/>
      <c r="K183" s="301"/>
    </row>
    <row r="184" spans="2:11">
      <c r="B184" s="301"/>
      <c r="C184" s="301"/>
      <c r="D184" s="301"/>
      <c r="E184" s="301"/>
      <c r="F184" s="301"/>
      <c r="G184" s="301"/>
      <c r="H184" s="301"/>
      <c r="I184" s="301"/>
      <c r="J184" s="301"/>
      <c r="K184" s="301"/>
    </row>
    <row r="185" spans="2:11">
      <c r="B185" s="301"/>
      <c r="C185" s="301"/>
      <c r="D185" s="301"/>
      <c r="E185" s="301"/>
      <c r="F185" s="301"/>
      <c r="G185" s="301"/>
      <c r="H185" s="301"/>
      <c r="I185" s="301"/>
      <c r="J185" s="301"/>
      <c r="K185" s="301"/>
    </row>
    <row r="186" spans="2:11">
      <c r="B186" s="301"/>
      <c r="C186" s="301"/>
      <c r="D186" s="301"/>
      <c r="E186" s="301"/>
      <c r="F186" s="301"/>
      <c r="G186" s="301"/>
      <c r="H186" s="301"/>
      <c r="I186" s="301"/>
      <c r="J186" s="301"/>
      <c r="K186" s="301"/>
    </row>
    <row r="187" spans="2:11">
      <c r="B187" s="301"/>
      <c r="C187" s="301"/>
      <c r="D187" s="301"/>
      <c r="E187" s="301"/>
      <c r="F187" s="301"/>
      <c r="G187" s="301"/>
      <c r="H187" s="301"/>
      <c r="I187" s="301"/>
      <c r="J187" s="301"/>
      <c r="K187" s="301"/>
    </row>
    <row r="188" spans="2:11">
      <c r="B188" s="301"/>
      <c r="C188" s="301"/>
      <c r="D188" s="301"/>
      <c r="E188" s="301"/>
      <c r="F188" s="301"/>
      <c r="G188" s="301"/>
      <c r="H188" s="301"/>
      <c r="I188" s="301"/>
      <c r="J188" s="301"/>
      <c r="K188" s="301"/>
    </row>
    <row r="189" spans="2:11">
      <c r="B189" s="301"/>
      <c r="C189" s="301"/>
      <c r="D189" s="301"/>
      <c r="E189" s="301"/>
      <c r="F189" s="301"/>
      <c r="G189" s="301"/>
      <c r="H189" s="301"/>
      <c r="I189" s="301"/>
      <c r="J189" s="301"/>
      <c r="K189" s="301"/>
    </row>
    <row r="190" spans="2:11">
      <c r="B190" s="301"/>
      <c r="C190" s="301"/>
      <c r="D190" s="301"/>
      <c r="E190" s="301"/>
      <c r="F190" s="301"/>
      <c r="G190" s="301"/>
      <c r="H190" s="301"/>
      <c r="I190" s="301"/>
      <c r="J190" s="301"/>
      <c r="K190" s="301"/>
    </row>
    <row r="191" spans="2:11">
      <c r="B191" s="301"/>
      <c r="C191" s="301"/>
      <c r="D191" s="301"/>
      <c r="E191" s="301"/>
      <c r="F191" s="301"/>
      <c r="G191" s="301"/>
      <c r="H191" s="301"/>
      <c r="I191" s="301"/>
      <c r="J191" s="301"/>
      <c r="K191" s="301"/>
    </row>
    <row r="192" spans="2:11">
      <c r="B192" s="301"/>
      <c r="C192" s="301"/>
      <c r="D192" s="301"/>
      <c r="E192" s="301"/>
      <c r="F192" s="301"/>
      <c r="G192" s="301"/>
      <c r="H192" s="301"/>
      <c r="I192" s="301"/>
      <c r="J192" s="301"/>
      <c r="K192" s="301"/>
    </row>
    <row r="193" spans="2:11">
      <c r="B193" s="301"/>
      <c r="C193" s="301"/>
      <c r="D193" s="301"/>
      <c r="E193" s="301"/>
      <c r="F193" s="301"/>
      <c r="G193" s="301"/>
      <c r="H193" s="301"/>
      <c r="I193" s="301"/>
      <c r="J193" s="301"/>
      <c r="K193" s="301"/>
    </row>
    <row r="194" spans="2:11">
      <c r="B194" s="301"/>
      <c r="C194" s="301"/>
      <c r="D194" s="301"/>
      <c r="E194" s="301"/>
      <c r="F194" s="301"/>
      <c r="G194" s="301"/>
      <c r="H194" s="301"/>
      <c r="I194" s="301"/>
      <c r="J194" s="301"/>
      <c r="K194" s="301"/>
    </row>
    <row r="195" spans="2:11">
      <c r="B195" s="301"/>
      <c r="C195" s="301"/>
      <c r="D195" s="301"/>
      <c r="E195" s="301"/>
      <c r="F195" s="301"/>
      <c r="G195" s="301"/>
      <c r="H195" s="301"/>
      <c r="I195" s="301"/>
      <c r="J195" s="301"/>
      <c r="K195" s="301"/>
    </row>
    <row r="196" spans="2:11">
      <c r="B196" s="301"/>
      <c r="C196" s="301"/>
      <c r="D196" s="301"/>
      <c r="E196" s="301"/>
      <c r="F196" s="301"/>
      <c r="G196" s="301"/>
      <c r="H196" s="301"/>
      <c r="I196" s="301"/>
      <c r="J196" s="301"/>
      <c r="K196" s="301"/>
    </row>
    <row r="197" spans="2:11">
      <c r="B197" s="301"/>
      <c r="C197" s="301"/>
      <c r="D197" s="301"/>
      <c r="E197" s="301"/>
      <c r="F197" s="301"/>
      <c r="G197" s="301"/>
      <c r="H197" s="301"/>
      <c r="I197" s="301"/>
      <c r="J197" s="301"/>
      <c r="K197" s="301"/>
    </row>
    <row r="198" spans="2:11">
      <c r="B198" s="301"/>
      <c r="C198" s="301"/>
      <c r="D198" s="301"/>
      <c r="E198" s="301"/>
      <c r="F198" s="301"/>
      <c r="G198" s="301"/>
      <c r="H198" s="301"/>
      <c r="I198" s="301"/>
      <c r="J198" s="301"/>
      <c r="K198" s="301"/>
    </row>
    <row r="199" spans="2:11">
      <c r="B199" s="301"/>
      <c r="C199" s="301"/>
      <c r="D199" s="301"/>
      <c r="E199" s="301"/>
      <c r="F199" s="301"/>
      <c r="G199" s="301"/>
      <c r="H199" s="301"/>
      <c r="I199" s="301"/>
      <c r="J199" s="301"/>
      <c r="K199" s="301"/>
    </row>
    <row r="200" spans="2:11">
      <c r="B200" s="301"/>
      <c r="C200" s="301"/>
      <c r="D200" s="301"/>
      <c r="E200" s="301"/>
      <c r="F200" s="301"/>
      <c r="G200" s="301"/>
      <c r="H200" s="301"/>
      <c r="I200" s="301"/>
      <c r="J200" s="301"/>
      <c r="K200" s="301"/>
    </row>
    <row r="201" spans="2:11">
      <c r="B201" s="301"/>
      <c r="C201" s="301"/>
      <c r="D201" s="301"/>
      <c r="E201" s="301"/>
      <c r="F201" s="301"/>
      <c r="G201" s="301"/>
      <c r="H201" s="301"/>
      <c r="I201" s="301"/>
      <c r="J201" s="301"/>
      <c r="K201" s="301"/>
    </row>
    <row r="202" spans="2:11">
      <c r="B202" s="301"/>
      <c r="C202" s="301"/>
      <c r="D202" s="301"/>
      <c r="E202" s="301"/>
      <c r="F202" s="301"/>
      <c r="G202" s="301"/>
      <c r="H202" s="301"/>
      <c r="I202" s="301"/>
      <c r="J202" s="301"/>
      <c r="K202" s="301"/>
    </row>
    <row r="203" spans="2:11">
      <c r="B203" s="301"/>
      <c r="C203" s="301"/>
      <c r="D203" s="301"/>
      <c r="E203" s="301"/>
      <c r="F203" s="301"/>
      <c r="G203" s="301"/>
      <c r="H203" s="301"/>
      <c r="I203" s="301"/>
      <c r="J203" s="301"/>
      <c r="K203" s="301"/>
    </row>
    <row r="204" spans="2:11">
      <c r="B204" s="301"/>
      <c r="C204" s="301"/>
      <c r="D204" s="301"/>
      <c r="E204" s="301"/>
      <c r="F204" s="301"/>
      <c r="G204" s="301"/>
      <c r="H204" s="301"/>
      <c r="I204" s="301"/>
      <c r="J204" s="301"/>
      <c r="K204" s="301"/>
    </row>
    <row r="205" spans="2:11">
      <c r="B205" s="301"/>
      <c r="C205" s="301"/>
      <c r="D205" s="301"/>
      <c r="E205" s="301"/>
      <c r="F205" s="301"/>
      <c r="G205" s="301"/>
      <c r="H205" s="301"/>
      <c r="I205" s="301"/>
      <c r="J205" s="301"/>
      <c r="K205" s="301"/>
    </row>
    <row r="206" spans="2:11">
      <c r="B206" s="301"/>
      <c r="C206" s="301"/>
      <c r="D206" s="301"/>
      <c r="E206" s="301"/>
      <c r="F206" s="301"/>
      <c r="G206" s="301"/>
      <c r="H206" s="301"/>
      <c r="I206" s="301"/>
      <c r="J206" s="301"/>
      <c r="K206" s="301"/>
    </row>
    <row r="207" spans="2:11">
      <c r="B207" s="301"/>
      <c r="C207" s="301"/>
      <c r="D207" s="301"/>
      <c r="E207" s="301"/>
      <c r="F207" s="301"/>
      <c r="G207" s="301"/>
      <c r="H207" s="301"/>
      <c r="I207" s="301"/>
      <c r="J207" s="301"/>
      <c r="K207" s="301"/>
    </row>
    <row r="208" spans="2:11">
      <c r="B208" s="301"/>
      <c r="C208" s="301"/>
      <c r="D208" s="301"/>
      <c r="E208" s="301"/>
      <c r="F208" s="301"/>
      <c r="G208" s="301"/>
      <c r="H208" s="301"/>
      <c r="I208" s="301"/>
      <c r="J208" s="301"/>
      <c r="K208" s="301"/>
    </row>
    <row r="209" spans="2:11">
      <c r="B209" s="301"/>
      <c r="C209" s="301"/>
      <c r="D209" s="301"/>
      <c r="E209" s="301"/>
      <c r="F209" s="301"/>
      <c r="G209" s="301"/>
      <c r="H209" s="301"/>
      <c r="I209" s="301"/>
      <c r="J209" s="301"/>
      <c r="K209" s="301"/>
    </row>
    <row r="210" spans="2:11">
      <c r="B210" s="301"/>
      <c r="C210" s="301"/>
      <c r="D210" s="301"/>
      <c r="E210" s="301"/>
      <c r="F210" s="301"/>
      <c r="G210" s="301"/>
      <c r="H210" s="301"/>
      <c r="I210" s="301"/>
      <c r="J210" s="301"/>
      <c r="K210" s="301"/>
    </row>
    <row r="211" spans="2:11">
      <c r="B211" s="301"/>
      <c r="C211" s="301"/>
      <c r="D211" s="301"/>
      <c r="E211" s="301"/>
      <c r="F211" s="301"/>
      <c r="G211" s="301"/>
      <c r="H211" s="301"/>
      <c r="I211" s="301"/>
      <c r="J211" s="301"/>
      <c r="K211" s="301"/>
    </row>
    <row r="212" spans="2:11">
      <c r="B212" s="301"/>
      <c r="C212" s="301"/>
      <c r="D212" s="301"/>
      <c r="E212" s="301"/>
      <c r="F212" s="301"/>
      <c r="G212" s="301"/>
      <c r="H212" s="301"/>
      <c r="I212" s="301"/>
      <c r="J212" s="301"/>
      <c r="K212" s="301"/>
    </row>
    <row r="213" spans="2:11">
      <c r="B213" s="301"/>
      <c r="C213" s="301"/>
      <c r="D213" s="301"/>
      <c r="E213" s="301"/>
      <c r="F213" s="301"/>
      <c r="G213" s="301"/>
      <c r="H213" s="301"/>
      <c r="I213" s="301"/>
      <c r="J213" s="301"/>
      <c r="K213" s="301"/>
    </row>
    <row r="214" spans="2:11">
      <c r="B214" s="301"/>
      <c r="C214" s="301"/>
      <c r="D214" s="301"/>
      <c r="E214" s="301"/>
      <c r="F214" s="301"/>
      <c r="G214" s="301"/>
      <c r="H214" s="301"/>
      <c r="I214" s="301"/>
      <c r="J214" s="301"/>
      <c r="K214" s="301"/>
    </row>
    <row r="215" spans="2:11">
      <c r="B215" s="301"/>
      <c r="C215" s="301"/>
      <c r="D215" s="301"/>
      <c r="E215" s="301"/>
      <c r="F215" s="301"/>
      <c r="G215" s="301"/>
      <c r="H215" s="301"/>
      <c r="I215" s="301"/>
      <c r="J215" s="301"/>
      <c r="K215" s="301"/>
    </row>
    <row r="216" spans="2:11">
      <c r="B216" s="301"/>
      <c r="C216" s="301"/>
      <c r="D216" s="301"/>
      <c r="E216" s="301"/>
      <c r="F216" s="301"/>
      <c r="G216" s="301"/>
      <c r="H216" s="301"/>
      <c r="I216" s="301"/>
      <c r="J216" s="301"/>
      <c r="K216" s="301"/>
    </row>
    <row r="217" spans="2:11">
      <c r="B217" s="301"/>
      <c r="C217" s="301"/>
      <c r="D217" s="301"/>
      <c r="E217" s="301"/>
      <c r="F217" s="301"/>
      <c r="G217" s="301"/>
      <c r="H217" s="301"/>
      <c r="I217" s="301"/>
      <c r="J217" s="301"/>
      <c r="K217" s="301"/>
    </row>
    <row r="218" spans="2:11">
      <c r="B218" s="301"/>
      <c r="C218" s="301"/>
      <c r="D218" s="301"/>
      <c r="E218" s="301"/>
      <c r="F218" s="301"/>
      <c r="G218" s="301"/>
      <c r="H218" s="301"/>
      <c r="I218" s="301"/>
      <c r="J218" s="301"/>
      <c r="K218" s="301"/>
    </row>
    <row r="219" spans="2:11">
      <c r="B219" s="301"/>
      <c r="C219" s="301"/>
      <c r="D219" s="301"/>
      <c r="E219" s="301"/>
      <c r="F219" s="301"/>
      <c r="G219" s="301"/>
      <c r="H219" s="301"/>
      <c r="I219" s="301"/>
      <c r="J219" s="301"/>
      <c r="K219" s="301"/>
    </row>
    <row r="220" spans="2:11">
      <c r="B220" s="301"/>
      <c r="C220" s="301"/>
      <c r="D220" s="301"/>
      <c r="E220" s="301"/>
      <c r="F220" s="301"/>
      <c r="G220" s="301"/>
      <c r="H220" s="301"/>
      <c r="I220" s="301"/>
      <c r="J220" s="301"/>
      <c r="K220" s="301"/>
    </row>
    <row r="221" spans="2:11">
      <c r="B221" s="301"/>
      <c r="C221" s="301"/>
      <c r="D221" s="301"/>
      <c r="E221" s="301"/>
      <c r="F221" s="301"/>
      <c r="G221" s="301"/>
      <c r="H221" s="301"/>
      <c r="I221" s="301"/>
      <c r="J221" s="301"/>
      <c r="K221" s="301"/>
    </row>
    <row r="222" spans="2:11">
      <c r="B222" s="301"/>
      <c r="C222" s="301"/>
      <c r="D222" s="301"/>
      <c r="E222" s="301"/>
      <c r="F222" s="301"/>
      <c r="G222" s="301"/>
      <c r="H222" s="301"/>
      <c r="I222" s="301"/>
      <c r="J222" s="301"/>
      <c r="K222" s="301"/>
    </row>
    <row r="223" spans="2:11">
      <c r="B223" s="301"/>
      <c r="C223" s="301"/>
      <c r="D223" s="301"/>
      <c r="E223" s="301"/>
      <c r="F223" s="301"/>
      <c r="G223" s="301"/>
      <c r="H223" s="301"/>
      <c r="I223" s="301"/>
      <c r="J223" s="301"/>
      <c r="K223" s="301"/>
    </row>
    <row r="224" spans="2:11">
      <c r="B224" s="301"/>
      <c r="C224" s="301"/>
      <c r="D224" s="301"/>
      <c r="E224" s="301"/>
      <c r="F224" s="301"/>
      <c r="G224" s="301"/>
      <c r="H224" s="301"/>
      <c r="I224" s="301"/>
      <c r="J224" s="301"/>
      <c r="K224" s="301"/>
    </row>
    <row r="225" spans="2:11">
      <c r="B225" s="301"/>
      <c r="C225" s="301"/>
      <c r="D225" s="301"/>
      <c r="E225" s="301"/>
      <c r="F225" s="301"/>
      <c r="G225" s="301"/>
      <c r="H225" s="301"/>
      <c r="I225" s="301"/>
      <c r="J225" s="301"/>
      <c r="K225" s="301"/>
    </row>
    <row r="226" spans="2:11">
      <c r="B226" s="301"/>
      <c r="C226" s="301"/>
      <c r="D226" s="301"/>
      <c r="E226" s="301"/>
      <c r="F226" s="301"/>
      <c r="G226" s="301"/>
      <c r="H226" s="301"/>
      <c r="I226" s="301"/>
      <c r="J226" s="301"/>
      <c r="K226" s="301"/>
    </row>
    <row r="227" spans="2:11">
      <c r="B227" s="301"/>
      <c r="C227" s="301"/>
      <c r="D227" s="301"/>
      <c r="E227" s="301"/>
      <c r="F227" s="301"/>
      <c r="G227" s="301"/>
      <c r="H227" s="301"/>
      <c r="I227" s="301"/>
      <c r="J227" s="301"/>
      <c r="K227" s="301"/>
    </row>
    <row r="228" spans="2:11">
      <c r="B228" s="301"/>
      <c r="C228" s="301"/>
      <c r="D228" s="301"/>
      <c r="E228" s="301"/>
      <c r="F228" s="301"/>
      <c r="G228" s="301"/>
      <c r="H228" s="301"/>
      <c r="I228" s="301"/>
      <c r="J228" s="301"/>
      <c r="K228" s="301"/>
    </row>
    <row r="229" spans="2:11">
      <c r="B229" s="301"/>
      <c r="C229" s="301"/>
      <c r="D229" s="301"/>
      <c r="E229" s="301"/>
      <c r="F229" s="301"/>
      <c r="G229" s="301"/>
      <c r="H229" s="301"/>
      <c r="I229" s="301"/>
      <c r="J229" s="301"/>
      <c r="K229" s="301"/>
    </row>
    <row r="230" spans="2:11">
      <c r="B230" s="301"/>
      <c r="C230" s="301"/>
      <c r="D230" s="301"/>
      <c r="E230" s="301"/>
      <c r="F230" s="301"/>
      <c r="G230" s="301"/>
      <c r="H230" s="301"/>
      <c r="I230" s="301"/>
      <c r="J230" s="301"/>
      <c r="K230" s="301"/>
    </row>
    <row r="231" spans="2:11">
      <c r="B231" s="301"/>
      <c r="C231" s="301"/>
      <c r="D231" s="301"/>
      <c r="E231" s="301"/>
      <c r="F231" s="301"/>
      <c r="G231" s="301"/>
      <c r="H231" s="301"/>
      <c r="I231" s="301"/>
      <c r="J231" s="301"/>
      <c r="K231" s="301"/>
    </row>
    <row r="232" spans="2:11">
      <c r="B232" s="301"/>
      <c r="C232" s="301"/>
      <c r="D232" s="301"/>
      <c r="E232" s="301"/>
      <c r="F232" s="301"/>
      <c r="G232" s="301"/>
      <c r="H232" s="301"/>
      <c r="I232" s="301"/>
      <c r="J232" s="301"/>
      <c r="K232" s="301"/>
    </row>
    <row r="233" spans="2:11">
      <c r="B233" s="301"/>
      <c r="C233" s="301"/>
      <c r="D233" s="301"/>
      <c r="E233" s="301"/>
      <c r="F233" s="301"/>
      <c r="G233" s="301"/>
      <c r="H233" s="301"/>
      <c r="I233" s="301"/>
      <c r="J233" s="301"/>
      <c r="K233" s="301"/>
    </row>
    <row r="234" spans="2:11">
      <c r="B234" s="301"/>
      <c r="C234" s="301"/>
      <c r="D234" s="301"/>
      <c r="E234" s="301"/>
      <c r="F234" s="301"/>
      <c r="G234" s="301"/>
      <c r="H234" s="301"/>
      <c r="I234" s="301"/>
      <c r="J234" s="301"/>
      <c r="K234" s="301"/>
    </row>
    <row r="235" spans="2:11">
      <c r="B235" s="301"/>
      <c r="C235" s="301"/>
      <c r="D235" s="301"/>
      <c r="E235" s="301"/>
      <c r="F235" s="301"/>
      <c r="G235" s="301"/>
      <c r="H235" s="301"/>
      <c r="I235" s="301"/>
      <c r="J235" s="301"/>
      <c r="K235" s="301"/>
    </row>
    <row r="236" spans="2:11">
      <c r="B236" s="301"/>
      <c r="C236" s="301"/>
      <c r="D236" s="301"/>
      <c r="E236" s="301"/>
      <c r="F236" s="301"/>
      <c r="G236" s="301"/>
      <c r="H236" s="301"/>
      <c r="I236" s="301"/>
      <c r="J236" s="301"/>
      <c r="K236" s="301"/>
    </row>
    <row r="237" spans="2:11">
      <c r="B237" s="301"/>
      <c r="C237" s="301"/>
      <c r="D237" s="301"/>
      <c r="E237" s="301"/>
      <c r="F237" s="301"/>
      <c r="G237" s="301"/>
      <c r="H237" s="301"/>
      <c r="I237" s="301"/>
      <c r="J237" s="301"/>
      <c r="K237" s="301"/>
    </row>
    <row r="238" spans="2:11">
      <c r="B238" s="301"/>
      <c r="C238" s="301"/>
      <c r="D238" s="301"/>
      <c r="E238" s="301"/>
      <c r="F238" s="301"/>
      <c r="G238" s="301"/>
      <c r="H238" s="301"/>
      <c r="I238" s="301"/>
      <c r="J238" s="301"/>
      <c r="K238" s="301"/>
    </row>
    <row r="239" spans="2:11">
      <c r="B239" s="301"/>
      <c r="C239" s="301"/>
      <c r="D239" s="301"/>
      <c r="E239" s="301"/>
      <c r="F239" s="301"/>
      <c r="G239" s="301"/>
      <c r="H239" s="301"/>
      <c r="I239" s="301"/>
      <c r="J239" s="301"/>
      <c r="K239" s="301"/>
    </row>
    <row r="240" spans="2:11">
      <c r="B240" s="301"/>
      <c r="C240" s="301"/>
      <c r="D240" s="301"/>
      <c r="E240" s="301"/>
      <c r="F240" s="301"/>
      <c r="G240" s="301"/>
      <c r="H240" s="301"/>
      <c r="I240" s="301"/>
      <c r="J240" s="301"/>
      <c r="K240" s="301"/>
    </row>
    <row r="241" spans="2:11">
      <c r="B241" s="301"/>
      <c r="C241" s="301"/>
      <c r="D241" s="301"/>
      <c r="E241" s="301"/>
      <c r="F241" s="301"/>
      <c r="G241" s="301"/>
      <c r="H241" s="301"/>
      <c r="I241" s="301"/>
      <c r="J241" s="301"/>
      <c r="K241" s="301"/>
    </row>
    <row r="242" spans="2:11">
      <c r="B242" s="301"/>
      <c r="C242" s="301"/>
      <c r="D242" s="301"/>
      <c r="E242" s="301"/>
      <c r="F242" s="301"/>
      <c r="G242" s="301"/>
      <c r="H242" s="301"/>
      <c r="I242" s="301"/>
      <c r="J242" s="301"/>
      <c r="K242" s="301"/>
    </row>
    <row r="243" spans="2:11">
      <c r="B243" s="301"/>
      <c r="C243" s="301"/>
      <c r="D243" s="301"/>
      <c r="E243" s="301"/>
      <c r="F243" s="301"/>
      <c r="G243" s="301"/>
      <c r="H243" s="301"/>
      <c r="I243" s="301"/>
      <c r="J243" s="301"/>
      <c r="K243" s="301"/>
    </row>
    <row r="244" spans="2:11">
      <c r="B244" s="301"/>
      <c r="C244" s="301"/>
      <c r="D244" s="301"/>
      <c r="E244" s="301"/>
      <c r="F244" s="301"/>
      <c r="G244" s="301"/>
      <c r="H244" s="301"/>
      <c r="I244" s="301"/>
      <c r="J244" s="301"/>
      <c r="K244" s="301"/>
    </row>
    <row r="245" spans="2:11">
      <c r="B245" s="301"/>
      <c r="C245" s="301"/>
      <c r="D245" s="301"/>
      <c r="E245" s="301"/>
      <c r="F245" s="301"/>
      <c r="G245" s="301"/>
      <c r="H245" s="301"/>
      <c r="I245" s="301"/>
      <c r="J245" s="301"/>
      <c r="K245" s="301"/>
    </row>
    <row r="246" spans="2:11">
      <c r="B246" s="301"/>
      <c r="C246" s="301"/>
      <c r="D246" s="301"/>
      <c r="E246" s="301"/>
      <c r="F246" s="301"/>
      <c r="G246" s="301"/>
      <c r="H246" s="301"/>
      <c r="I246" s="301"/>
      <c r="J246" s="301"/>
      <c r="K246" s="301"/>
    </row>
    <row r="247" spans="2:11">
      <c r="B247" s="301"/>
      <c r="C247" s="301"/>
      <c r="D247" s="301"/>
      <c r="E247" s="301"/>
      <c r="F247" s="301"/>
      <c r="G247" s="301"/>
      <c r="H247" s="301"/>
      <c r="I247" s="301"/>
      <c r="J247" s="301"/>
      <c r="K247" s="301"/>
    </row>
    <row r="248" spans="2:11">
      <c r="B248" s="301"/>
      <c r="C248" s="301"/>
      <c r="D248" s="301"/>
      <c r="E248" s="301"/>
      <c r="F248" s="301"/>
      <c r="G248" s="301"/>
      <c r="H248" s="301"/>
      <c r="I248" s="301"/>
      <c r="J248" s="301"/>
      <c r="K248" s="301"/>
    </row>
    <row r="249" spans="2:11">
      <c r="B249" s="301"/>
      <c r="C249" s="301"/>
      <c r="D249" s="301"/>
      <c r="E249" s="301"/>
      <c r="F249" s="301"/>
      <c r="G249" s="301"/>
      <c r="H249" s="301"/>
      <c r="I249" s="301"/>
      <c r="J249" s="301"/>
      <c r="K249" s="301"/>
    </row>
    <row r="250" spans="2:11">
      <c r="B250" s="301"/>
      <c r="C250" s="301"/>
      <c r="D250" s="301"/>
      <c r="E250" s="301"/>
      <c r="F250" s="301"/>
      <c r="G250" s="301"/>
      <c r="H250" s="301"/>
      <c r="I250" s="301"/>
      <c r="J250" s="301"/>
      <c r="K250" s="301"/>
    </row>
    <row r="251" spans="2:11">
      <c r="B251" s="301"/>
      <c r="C251" s="301"/>
      <c r="D251" s="301"/>
      <c r="E251" s="301"/>
      <c r="F251" s="301"/>
      <c r="G251" s="301"/>
      <c r="H251" s="301"/>
      <c r="I251" s="301"/>
      <c r="J251" s="301"/>
      <c r="K251" s="301"/>
    </row>
    <row r="252" spans="2:11">
      <c r="B252" s="301"/>
      <c r="C252" s="301"/>
      <c r="D252" s="301"/>
      <c r="E252" s="301"/>
      <c r="F252" s="301"/>
      <c r="G252" s="301"/>
      <c r="H252" s="301"/>
      <c r="I252" s="301"/>
      <c r="J252" s="301"/>
      <c r="K252" s="301"/>
    </row>
    <row r="253" spans="2:11">
      <c r="B253" s="301"/>
      <c r="C253" s="301"/>
      <c r="D253" s="301"/>
      <c r="E253" s="301"/>
      <c r="F253" s="301"/>
      <c r="G253" s="301"/>
      <c r="H253" s="301"/>
      <c r="I253" s="301"/>
      <c r="J253" s="301"/>
      <c r="K253" s="301"/>
    </row>
    <row r="254" spans="2:11">
      <c r="B254" s="301"/>
      <c r="C254" s="301"/>
      <c r="D254" s="301"/>
      <c r="E254" s="301"/>
      <c r="F254" s="301"/>
      <c r="G254" s="301"/>
      <c r="H254" s="301"/>
      <c r="I254" s="301"/>
      <c r="J254" s="301"/>
      <c r="K254" s="301"/>
    </row>
    <row r="255" spans="2:11">
      <c r="B255" s="301"/>
      <c r="C255" s="301"/>
      <c r="D255" s="301"/>
      <c r="E255" s="301"/>
      <c r="F255" s="301"/>
      <c r="G255" s="301"/>
      <c r="H255" s="301"/>
      <c r="I255" s="301"/>
      <c r="J255" s="301"/>
      <c r="K255" s="301"/>
    </row>
    <row r="256" spans="2:11">
      <c r="B256" s="301"/>
      <c r="C256" s="301"/>
      <c r="D256" s="301"/>
      <c r="E256" s="301"/>
      <c r="F256" s="301"/>
      <c r="G256" s="301"/>
      <c r="H256" s="301"/>
      <c r="I256" s="301"/>
      <c r="J256" s="301"/>
      <c r="K256" s="301"/>
    </row>
    <row r="257" spans="2:11">
      <c r="B257" s="301"/>
      <c r="C257" s="301"/>
      <c r="D257" s="301"/>
      <c r="E257" s="301"/>
      <c r="F257" s="301"/>
      <c r="G257" s="301"/>
      <c r="H257" s="301"/>
      <c r="I257" s="301"/>
      <c r="J257" s="301"/>
      <c r="K257" s="301"/>
    </row>
    <row r="258" spans="2:11">
      <c r="B258" s="301"/>
      <c r="C258" s="301"/>
      <c r="D258" s="301"/>
      <c r="E258" s="301"/>
      <c r="F258" s="301"/>
      <c r="G258" s="301"/>
      <c r="H258" s="301"/>
      <c r="I258" s="301"/>
      <c r="J258" s="301"/>
      <c r="K258" s="301"/>
    </row>
    <row r="259" spans="2:11">
      <c r="B259" s="301"/>
      <c r="C259" s="301"/>
      <c r="D259" s="301"/>
      <c r="E259" s="301"/>
      <c r="F259" s="301"/>
      <c r="G259" s="301"/>
      <c r="H259" s="301"/>
      <c r="I259" s="301"/>
      <c r="J259" s="301"/>
      <c r="K259" s="301"/>
    </row>
    <row r="260" spans="2:11">
      <c r="B260" s="301"/>
      <c r="C260" s="301"/>
      <c r="D260" s="301"/>
      <c r="E260" s="301"/>
      <c r="F260" s="301"/>
      <c r="G260" s="301"/>
      <c r="H260" s="301"/>
      <c r="I260" s="301"/>
      <c r="J260" s="301"/>
      <c r="K260" s="301"/>
    </row>
    <row r="261" spans="2:11">
      <c r="B261" s="301"/>
      <c r="C261" s="301"/>
      <c r="D261" s="301"/>
      <c r="E261" s="301"/>
      <c r="F261" s="301"/>
      <c r="G261" s="301"/>
      <c r="H261" s="301"/>
      <c r="I261" s="301"/>
      <c r="J261" s="301"/>
      <c r="K261" s="301"/>
    </row>
    <row r="262" spans="2:11">
      <c r="B262" s="301"/>
      <c r="C262" s="301"/>
      <c r="D262" s="301"/>
      <c r="E262" s="301"/>
      <c r="F262" s="301"/>
      <c r="G262" s="301"/>
      <c r="H262" s="301"/>
      <c r="I262" s="301"/>
      <c r="J262" s="301"/>
      <c r="K262" s="301"/>
    </row>
    <row r="263" spans="2:11">
      <c r="B263" s="301"/>
      <c r="C263" s="301"/>
      <c r="D263" s="301"/>
      <c r="E263" s="301"/>
      <c r="F263" s="301"/>
      <c r="G263" s="301"/>
      <c r="H263" s="301"/>
      <c r="I263" s="301"/>
      <c r="J263" s="301"/>
      <c r="K263" s="301"/>
    </row>
    <row r="264" spans="2:11">
      <c r="B264" s="301"/>
      <c r="C264" s="301"/>
      <c r="D264" s="301"/>
      <c r="E264" s="301"/>
      <c r="F264" s="301"/>
      <c r="G264" s="301"/>
      <c r="H264" s="301"/>
      <c r="I264" s="301"/>
      <c r="J264" s="301"/>
      <c r="K264" s="301"/>
    </row>
    <row r="265" spans="2:11">
      <c r="B265" s="301"/>
      <c r="C265" s="301"/>
      <c r="D265" s="301"/>
      <c r="E265" s="301"/>
      <c r="F265" s="301"/>
      <c r="G265" s="301"/>
      <c r="H265" s="301"/>
      <c r="I265" s="301"/>
      <c r="J265" s="301"/>
      <c r="K265" s="301"/>
    </row>
    <row r="266" spans="2:11">
      <c r="B266" s="301"/>
      <c r="C266" s="301"/>
      <c r="D266" s="301"/>
      <c r="E266" s="301"/>
      <c r="F266" s="301"/>
      <c r="G266" s="301"/>
      <c r="H266" s="301"/>
      <c r="I266" s="301"/>
      <c r="J266" s="301"/>
      <c r="K266" s="301"/>
    </row>
    <row r="267" spans="2:11">
      <c r="B267" s="301"/>
      <c r="C267" s="301"/>
      <c r="D267" s="301"/>
      <c r="E267" s="301"/>
      <c r="F267" s="301"/>
      <c r="G267" s="301"/>
      <c r="H267" s="301"/>
      <c r="I267" s="301"/>
      <c r="J267" s="301"/>
      <c r="K267" s="301"/>
    </row>
    <row r="268" spans="2:11">
      <c r="B268" s="301"/>
      <c r="C268" s="301"/>
      <c r="D268" s="301"/>
      <c r="E268" s="301"/>
      <c r="F268" s="301"/>
      <c r="G268" s="301"/>
      <c r="H268" s="301"/>
      <c r="I268" s="301"/>
      <c r="J268" s="301"/>
      <c r="K268" s="301"/>
    </row>
    <row r="269" spans="2:11">
      <c r="B269" s="301"/>
      <c r="C269" s="301"/>
      <c r="D269" s="301"/>
      <c r="E269" s="301"/>
      <c r="F269" s="301"/>
      <c r="G269" s="301"/>
      <c r="H269" s="301"/>
      <c r="I269" s="301"/>
      <c r="J269" s="301"/>
      <c r="K269" s="301"/>
    </row>
    <row r="270" spans="2:11">
      <c r="B270" s="301"/>
      <c r="C270" s="301"/>
      <c r="D270" s="301"/>
      <c r="E270" s="301"/>
      <c r="F270" s="301"/>
      <c r="G270" s="301"/>
      <c r="H270" s="301"/>
      <c r="I270" s="301"/>
      <c r="J270" s="301"/>
      <c r="K270" s="301"/>
    </row>
    <row r="271" spans="2:11">
      <c r="B271" s="301"/>
      <c r="C271" s="301"/>
      <c r="D271" s="301"/>
      <c r="E271" s="301"/>
      <c r="F271" s="301"/>
      <c r="G271" s="301"/>
      <c r="H271" s="301"/>
      <c r="I271" s="301"/>
      <c r="J271" s="301"/>
      <c r="K271" s="301"/>
    </row>
    <row r="272" spans="2:11">
      <c r="B272" s="301"/>
      <c r="C272" s="301"/>
      <c r="D272" s="301"/>
      <c r="E272" s="301"/>
      <c r="F272" s="301"/>
      <c r="G272" s="301"/>
      <c r="H272" s="301"/>
      <c r="I272" s="301"/>
      <c r="J272" s="301"/>
      <c r="K272" s="301"/>
    </row>
    <row r="273" spans="2:11">
      <c r="B273" s="301"/>
      <c r="C273" s="301"/>
      <c r="D273" s="301"/>
      <c r="E273" s="301"/>
      <c r="F273" s="301"/>
      <c r="G273" s="301"/>
      <c r="H273" s="301"/>
      <c r="I273" s="301"/>
      <c r="J273" s="301"/>
      <c r="K273" s="301"/>
    </row>
    <row r="274" spans="2:11">
      <c r="B274" s="301"/>
      <c r="C274" s="301"/>
      <c r="D274" s="301"/>
      <c r="E274" s="301"/>
      <c r="F274" s="301"/>
      <c r="G274" s="301"/>
      <c r="H274" s="301"/>
      <c r="I274" s="301"/>
      <c r="J274" s="301"/>
      <c r="K274" s="301"/>
    </row>
    <row r="275" spans="2:11">
      <c r="B275" s="301"/>
      <c r="C275" s="301"/>
      <c r="D275" s="301"/>
      <c r="E275" s="301"/>
      <c r="F275" s="301"/>
      <c r="G275" s="301"/>
      <c r="H275" s="301"/>
      <c r="I275" s="301"/>
      <c r="J275" s="301"/>
      <c r="K275" s="301"/>
    </row>
    <row r="276" spans="2:11">
      <c r="B276" s="314"/>
      <c r="C276" s="314"/>
      <c r="D276" s="314"/>
      <c r="E276" s="314"/>
      <c r="F276" s="314"/>
      <c r="G276" s="314"/>
      <c r="H276" s="314"/>
      <c r="I276" s="314"/>
      <c r="J276" s="314"/>
      <c r="K276" s="314"/>
    </row>
    <row r="277" spans="2:11">
      <c r="B277" s="314"/>
      <c r="C277" s="314"/>
      <c r="D277" s="314"/>
      <c r="E277" s="314"/>
      <c r="F277" s="314"/>
      <c r="G277" s="314"/>
      <c r="H277" s="314"/>
      <c r="I277" s="314"/>
      <c r="J277" s="314"/>
      <c r="K277" s="314"/>
    </row>
    <row r="278" spans="2:11">
      <c r="B278" s="314"/>
      <c r="C278" s="314"/>
      <c r="D278" s="314"/>
      <c r="E278" s="314"/>
      <c r="F278" s="314"/>
      <c r="G278" s="314"/>
      <c r="H278" s="314"/>
      <c r="I278" s="314"/>
      <c r="J278" s="314"/>
      <c r="K278" s="314"/>
    </row>
    <row r="279" spans="2:11">
      <c r="B279" s="314"/>
      <c r="C279" s="314"/>
      <c r="D279" s="314"/>
      <c r="E279" s="314"/>
      <c r="F279" s="314"/>
      <c r="G279" s="314"/>
      <c r="H279" s="314"/>
      <c r="I279" s="314"/>
      <c r="J279" s="314"/>
      <c r="K279" s="314"/>
    </row>
    <row r="280" spans="2:11">
      <c r="B280" s="314"/>
      <c r="C280" s="314"/>
      <c r="D280" s="314"/>
      <c r="E280" s="314"/>
      <c r="F280" s="314"/>
      <c r="G280" s="314"/>
      <c r="H280" s="314"/>
      <c r="I280" s="314"/>
      <c r="J280" s="314"/>
      <c r="K280" s="314"/>
    </row>
    <row r="281" spans="2:11">
      <c r="B281" s="314"/>
      <c r="C281" s="314"/>
      <c r="D281" s="314"/>
      <c r="E281" s="314"/>
      <c r="F281" s="314"/>
      <c r="G281" s="314"/>
      <c r="H281" s="314"/>
      <c r="I281" s="314"/>
      <c r="J281" s="314"/>
      <c r="K281" s="314"/>
    </row>
    <row r="282" spans="2:11">
      <c r="B282" s="314"/>
      <c r="C282" s="314"/>
      <c r="D282" s="314"/>
      <c r="E282" s="314"/>
      <c r="F282" s="314"/>
      <c r="G282" s="314"/>
      <c r="H282" s="314"/>
      <c r="I282" s="314"/>
      <c r="J282" s="314"/>
      <c r="K282" s="314"/>
    </row>
    <row r="283" spans="2:11">
      <c r="B283" s="314"/>
      <c r="C283" s="314"/>
      <c r="D283" s="314"/>
      <c r="E283" s="314"/>
      <c r="F283" s="314"/>
      <c r="G283" s="314"/>
      <c r="H283" s="314"/>
      <c r="I283" s="314"/>
      <c r="J283" s="314"/>
      <c r="K283" s="314"/>
    </row>
    <row r="284" spans="2:11">
      <c r="B284" s="314"/>
      <c r="C284" s="314"/>
      <c r="D284" s="314"/>
      <c r="E284" s="314"/>
      <c r="F284" s="314"/>
      <c r="G284" s="314"/>
      <c r="H284" s="314"/>
      <c r="I284" s="314"/>
      <c r="J284" s="314"/>
      <c r="K284" s="314"/>
    </row>
    <row r="285" spans="2:11">
      <c r="B285" s="314"/>
      <c r="C285" s="314"/>
      <c r="D285" s="314"/>
      <c r="E285" s="314"/>
      <c r="F285" s="314"/>
      <c r="G285" s="314"/>
      <c r="H285" s="314"/>
      <c r="I285" s="314"/>
      <c r="J285" s="314"/>
      <c r="K285" s="314"/>
    </row>
    <row r="286" spans="2:11">
      <c r="B286" s="314"/>
      <c r="C286" s="314"/>
      <c r="D286" s="314"/>
      <c r="E286" s="314"/>
      <c r="F286" s="314"/>
      <c r="G286" s="314"/>
      <c r="H286" s="314"/>
      <c r="I286" s="314"/>
      <c r="J286" s="314"/>
      <c r="K286" s="314"/>
    </row>
    <row r="287" spans="2:11">
      <c r="B287" s="314"/>
      <c r="C287" s="314"/>
      <c r="D287" s="314"/>
      <c r="E287" s="314"/>
      <c r="F287" s="314"/>
      <c r="G287" s="314"/>
      <c r="H287" s="314"/>
      <c r="I287" s="314"/>
      <c r="J287" s="314"/>
      <c r="K287" s="314"/>
    </row>
    <row r="288" spans="2:11">
      <c r="B288" s="314"/>
      <c r="C288" s="314"/>
      <c r="D288" s="314"/>
      <c r="E288" s="314"/>
      <c r="F288" s="314"/>
      <c r="G288" s="314"/>
      <c r="H288" s="314"/>
      <c r="I288" s="314"/>
      <c r="J288" s="314"/>
      <c r="K288" s="314"/>
    </row>
    <row r="289" spans="2:11">
      <c r="B289" s="314"/>
      <c r="C289" s="314"/>
      <c r="D289" s="314"/>
      <c r="E289" s="314"/>
      <c r="F289" s="314"/>
      <c r="G289" s="314"/>
      <c r="H289" s="314"/>
      <c r="I289" s="314"/>
      <c r="J289" s="314"/>
      <c r="K289" s="314"/>
    </row>
    <row r="290" spans="2:11">
      <c r="B290" s="314"/>
      <c r="C290" s="314"/>
      <c r="D290" s="314"/>
      <c r="E290" s="314"/>
      <c r="F290" s="314"/>
      <c r="G290" s="314"/>
      <c r="H290" s="314"/>
      <c r="I290" s="314"/>
      <c r="J290" s="314"/>
      <c r="K290" s="314"/>
    </row>
    <row r="291" spans="2:11">
      <c r="B291" s="314"/>
      <c r="C291" s="314"/>
      <c r="D291" s="314"/>
      <c r="E291" s="314"/>
      <c r="F291" s="314"/>
      <c r="G291" s="314"/>
      <c r="H291" s="314"/>
      <c r="I291" s="314"/>
      <c r="J291" s="314"/>
      <c r="K291" s="314"/>
    </row>
    <row r="292" spans="2:11">
      <c r="B292" s="314"/>
      <c r="C292" s="314"/>
      <c r="D292" s="314"/>
      <c r="E292" s="314"/>
      <c r="F292" s="314"/>
      <c r="G292" s="314"/>
      <c r="H292" s="314"/>
      <c r="I292" s="314"/>
      <c r="J292" s="314"/>
      <c r="K292" s="314"/>
    </row>
    <row r="293" spans="2:11">
      <c r="B293" s="314"/>
      <c r="C293" s="314"/>
      <c r="D293" s="314"/>
      <c r="E293" s="314"/>
      <c r="F293" s="314"/>
      <c r="G293" s="314"/>
      <c r="H293" s="314"/>
      <c r="I293" s="314"/>
      <c r="J293" s="314"/>
      <c r="K293" s="314"/>
    </row>
    <row r="294" spans="2:11">
      <c r="B294" s="314"/>
      <c r="C294" s="314"/>
      <c r="D294" s="314"/>
      <c r="E294" s="314"/>
      <c r="F294" s="314"/>
      <c r="G294" s="314"/>
      <c r="H294" s="314"/>
      <c r="I294" s="314"/>
      <c r="J294" s="314"/>
      <c r="K294" s="314"/>
    </row>
    <row r="295" spans="2:11">
      <c r="B295" s="314"/>
      <c r="C295" s="314"/>
      <c r="D295" s="314"/>
      <c r="E295" s="314"/>
      <c r="F295" s="314"/>
      <c r="G295" s="314"/>
      <c r="H295" s="314"/>
      <c r="I295" s="314"/>
      <c r="J295" s="314"/>
      <c r="K295" s="314"/>
    </row>
    <row r="296" spans="2:11">
      <c r="B296" s="314"/>
      <c r="C296" s="314"/>
      <c r="D296" s="314"/>
      <c r="E296" s="314"/>
      <c r="F296" s="314"/>
      <c r="G296" s="314"/>
      <c r="H296" s="314"/>
      <c r="I296" s="314"/>
      <c r="J296" s="314"/>
      <c r="K296" s="314"/>
    </row>
    <row r="297" spans="2:11">
      <c r="B297" s="314"/>
      <c r="C297" s="314"/>
      <c r="D297" s="314"/>
      <c r="E297" s="314"/>
      <c r="F297" s="314"/>
      <c r="G297" s="314"/>
      <c r="H297" s="314"/>
      <c r="I297" s="314"/>
      <c r="J297" s="314"/>
      <c r="K297" s="314"/>
    </row>
    <row r="298" spans="2:11">
      <c r="B298" s="314"/>
      <c r="C298" s="314"/>
      <c r="D298" s="314"/>
      <c r="E298" s="314"/>
      <c r="F298" s="314"/>
      <c r="G298" s="314"/>
      <c r="H298" s="314"/>
      <c r="I298" s="314"/>
      <c r="J298" s="314"/>
      <c r="K298" s="314"/>
    </row>
    <row r="299" spans="2:11">
      <c r="B299" s="314"/>
      <c r="C299" s="314"/>
      <c r="D299" s="314"/>
      <c r="E299" s="314"/>
      <c r="F299" s="314"/>
      <c r="G299" s="314"/>
      <c r="H299" s="314"/>
      <c r="I299" s="314"/>
      <c r="J299" s="314"/>
      <c r="K299" s="314"/>
    </row>
    <row r="300" spans="2:11">
      <c r="B300" s="314"/>
      <c r="C300" s="314"/>
      <c r="D300" s="314"/>
      <c r="E300" s="314"/>
      <c r="F300" s="314"/>
      <c r="G300" s="314"/>
      <c r="H300" s="314"/>
      <c r="I300" s="314"/>
      <c r="J300" s="314"/>
      <c r="K300" s="314"/>
    </row>
    <row r="301" spans="2:11">
      <c r="B301" s="314"/>
      <c r="C301" s="314"/>
      <c r="D301" s="314"/>
      <c r="E301" s="314"/>
      <c r="F301" s="314"/>
      <c r="G301" s="314"/>
      <c r="H301" s="314"/>
      <c r="I301" s="314"/>
      <c r="J301" s="314"/>
      <c r="K301" s="314"/>
    </row>
    <row r="302" spans="2:11">
      <c r="B302" s="314"/>
      <c r="C302" s="314"/>
      <c r="D302" s="314"/>
      <c r="E302" s="314"/>
      <c r="F302" s="314"/>
      <c r="G302" s="314"/>
      <c r="H302" s="314"/>
      <c r="I302" s="314"/>
      <c r="J302" s="314"/>
      <c r="K302" s="314"/>
    </row>
    <row r="303" spans="2:11">
      <c r="B303" s="314"/>
      <c r="C303" s="314"/>
      <c r="D303" s="314"/>
      <c r="E303" s="314"/>
      <c r="F303" s="314"/>
      <c r="G303" s="314"/>
      <c r="H303" s="314"/>
      <c r="I303" s="314"/>
      <c r="J303" s="314"/>
      <c r="K303" s="314"/>
    </row>
    <row r="304" spans="2:11">
      <c r="B304" s="314"/>
      <c r="C304" s="314"/>
      <c r="D304" s="314"/>
      <c r="E304" s="314"/>
      <c r="F304" s="314"/>
      <c r="G304" s="314"/>
      <c r="H304" s="314"/>
      <c r="I304" s="314"/>
      <c r="J304" s="314"/>
      <c r="K304" s="314"/>
    </row>
    <row r="305" spans="2:11">
      <c r="B305" s="314"/>
      <c r="C305" s="314"/>
      <c r="D305" s="314"/>
      <c r="E305" s="314"/>
      <c r="F305" s="314"/>
      <c r="G305" s="314"/>
      <c r="H305" s="314"/>
      <c r="I305" s="314"/>
      <c r="J305" s="314"/>
      <c r="K305" s="314"/>
    </row>
    <row r="306" spans="2:11">
      <c r="B306" s="314"/>
      <c r="C306" s="314"/>
      <c r="D306" s="314"/>
      <c r="E306" s="314"/>
      <c r="F306" s="314"/>
      <c r="G306" s="314"/>
      <c r="H306" s="314"/>
      <c r="I306" s="314"/>
      <c r="J306" s="314"/>
      <c r="K306" s="314"/>
    </row>
    <row r="307" spans="2:11">
      <c r="B307" s="314"/>
      <c r="C307" s="314"/>
      <c r="D307" s="314"/>
      <c r="E307" s="314"/>
      <c r="F307" s="314"/>
      <c r="G307" s="314"/>
      <c r="H307" s="314"/>
      <c r="I307" s="314"/>
      <c r="J307" s="314"/>
      <c r="K307" s="314"/>
    </row>
    <row r="308" spans="2:11">
      <c r="B308" s="314"/>
      <c r="C308" s="314"/>
      <c r="D308" s="314"/>
      <c r="E308" s="314"/>
      <c r="F308" s="314"/>
      <c r="G308" s="314"/>
      <c r="H308" s="314"/>
      <c r="I308" s="314"/>
      <c r="J308" s="314"/>
      <c r="K308" s="314"/>
    </row>
    <row r="309" spans="2:11">
      <c r="B309" s="314"/>
      <c r="C309" s="314"/>
      <c r="D309" s="314"/>
      <c r="E309" s="314"/>
      <c r="F309" s="314"/>
      <c r="G309" s="314"/>
      <c r="H309" s="314"/>
      <c r="I309" s="314"/>
      <c r="J309" s="314"/>
      <c r="K309" s="314"/>
    </row>
    <row r="310" spans="2:11">
      <c r="B310" s="314"/>
      <c r="C310" s="314"/>
      <c r="D310" s="314"/>
      <c r="E310" s="314"/>
      <c r="F310" s="314"/>
      <c r="G310" s="314"/>
      <c r="H310" s="314"/>
      <c r="I310" s="314"/>
      <c r="J310" s="314"/>
      <c r="K310" s="314"/>
    </row>
    <row r="311" spans="2:11">
      <c r="B311" s="314"/>
      <c r="C311" s="314"/>
      <c r="D311" s="314"/>
      <c r="E311" s="314"/>
      <c r="F311" s="314"/>
      <c r="G311" s="314"/>
      <c r="H311" s="314"/>
      <c r="I311" s="314"/>
      <c r="J311" s="314"/>
      <c r="K311" s="314"/>
    </row>
    <row r="312" spans="2:11">
      <c r="B312" s="314"/>
      <c r="C312" s="314"/>
      <c r="D312" s="314"/>
      <c r="E312" s="314"/>
      <c r="F312" s="314"/>
      <c r="G312" s="314"/>
      <c r="H312" s="314"/>
      <c r="I312" s="314"/>
      <c r="J312" s="314"/>
      <c r="K312" s="314"/>
    </row>
    <row r="313" spans="2:11">
      <c r="B313" s="314"/>
      <c r="C313" s="314"/>
      <c r="D313" s="314"/>
      <c r="E313" s="314"/>
      <c r="F313" s="314"/>
      <c r="G313" s="314"/>
      <c r="H313" s="314"/>
      <c r="I313" s="314"/>
      <c r="J313" s="314"/>
      <c r="K313" s="314"/>
    </row>
    <row r="314" spans="2:11">
      <c r="B314" s="314"/>
      <c r="C314" s="314"/>
      <c r="D314" s="314"/>
      <c r="E314" s="314"/>
      <c r="F314" s="314"/>
      <c r="G314" s="314"/>
      <c r="H314" s="314"/>
      <c r="I314" s="314"/>
      <c r="J314" s="314"/>
      <c r="K314" s="314"/>
    </row>
    <row r="315" spans="2:11">
      <c r="B315" s="314"/>
      <c r="C315" s="314"/>
      <c r="D315" s="314"/>
      <c r="E315" s="314"/>
      <c r="F315" s="314"/>
      <c r="G315" s="314"/>
      <c r="H315" s="314"/>
      <c r="I315" s="314"/>
      <c r="J315" s="314"/>
      <c r="K315" s="314"/>
    </row>
  </sheetData>
  <mergeCells count="50">
    <mergeCell ref="B59:J59"/>
    <mergeCell ref="B48:J48"/>
    <mergeCell ref="C49:J49"/>
    <mergeCell ref="B50:J50"/>
    <mergeCell ref="C51:J51"/>
    <mergeCell ref="B52:J52"/>
    <mergeCell ref="C53:J53"/>
    <mergeCell ref="B54:J54"/>
    <mergeCell ref="C55:J55"/>
    <mergeCell ref="B56:J56"/>
    <mergeCell ref="B57:J57"/>
    <mergeCell ref="C58:J58"/>
    <mergeCell ref="C47:J47"/>
    <mergeCell ref="I37:K37"/>
    <mergeCell ref="D38:E38"/>
    <mergeCell ref="J38:K38"/>
    <mergeCell ref="D39:I39"/>
    <mergeCell ref="B40:J40"/>
    <mergeCell ref="C41:G41"/>
    <mergeCell ref="C42:J42"/>
    <mergeCell ref="B43:J43"/>
    <mergeCell ref="C44:J44"/>
    <mergeCell ref="B45:J45"/>
    <mergeCell ref="B46:J46"/>
    <mergeCell ref="I36:K36"/>
    <mergeCell ref="A25:B25"/>
    <mergeCell ref="E25:K25"/>
    <mergeCell ref="E27:K27"/>
    <mergeCell ref="A29:B29"/>
    <mergeCell ref="E29:K29"/>
    <mergeCell ref="E31:K31"/>
    <mergeCell ref="G32:I32"/>
    <mergeCell ref="J32:K32"/>
    <mergeCell ref="B33:J33"/>
    <mergeCell ref="I34:J34"/>
    <mergeCell ref="I35:K35"/>
    <mergeCell ref="E23:F23"/>
    <mergeCell ref="A1:D1"/>
    <mergeCell ref="B2:D2"/>
    <mergeCell ref="B3:G3"/>
    <mergeCell ref="C5:D5"/>
    <mergeCell ref="C6:D6"/>
    <mergeCell ref="A8:B10"/>
    <mergeCell ref="C9:D9"/>
    <mergeCell ref="C10:D10"/>
    <mergeCell ref="C15:D15"/>
    <mergeCell ref="E18:J18"/>
    <mergeCell ref="E19:K19"/>
    <mergeCell ref="E21:K21"/>
    <mergeCell ref="A22:B22"/>
  </mergeCells>
  <printOptions horizontalCentered="1"/>
  <pageMargins left="0.23622047244094499" right="0.15748031496063" top="0.35433070866141703" bottom="0.69" header="0.38" footer="0.23622047244094499"/>
  <pageSetup paperSize="9" scale="85" orientation="portrait" errors="blank" r:id="rId1"/>
  <headerFooter alignWithMargins="0"/>
  <drawing r:id="rId2"/>
</worksheet>
</file>

<file path=xl/worksheets/sheet44.xml><?xml version="1.0" encoding="utf-8"?>
<worksheet xmlns="http://schemas.openxmlformats.org/spreadsheetml/2006/main" xmlns:r="http://schemas.openxmlformats.org/officeDocument/2006/relationships">
  <sheetPr filterMode="1">
    <tabColor rgb="FF00B050"/>
  </sheetPr>
  <dimension ref="A1:U631"/>
  <sheetViews>
    <sheetView showZeros="0" view="pageBreakPreview" zoomScaleSheetLayoutView="100" workbookViewId="0">
      <pane ySplit="3" topLeftCell="A14" activePane="bottomLeft" state="frozen"/>
      <selection activeCell="H25" sqref="H25"/>
      <selection pane="bottomLeft" activeCell="H11" sqref="H11"/>
    </sheetView>
  </sheetViews>
  <sheetFormatPr defaultColWidth="9.140625" defaultRowHeight="12.75"/>
  <cols>
    <col min="1" max="1" width="3.28515625" style="60" customWidth="1"/>
    <col min="2" max="2" width="22.28515625" style="60" bestFit="1" customWidth="1"/>
    <col min="3" max="5" width="7.7109375" style="60" customWidth="1"/>
    <col min="6" max="6" width="7.7109375" style="60" bestFit="1" customWidth="1"/>
    <col min="7" max="7" width="3.42578125" style="60" customWidth="1"/>
    <col min="8" max="8" width="8" style="60" customWidth="1"/>
    <col min="9" max="10" width="8.7109375" style="60" customWidth="1"/>
    <col min="11" max="11" width="6.42578125" style="60" bestFit="1" customWidth="1"/>
    <col min="12" max="12" width="7.140625" style="60" customWidth="1"/>
    <col min="13" max="13" width="6.28515625" style="60" customWidth="1"/>
    <col min="14" max="14" width="7.7109375" style="60" customWidth="1"/>
    <col min="15" max="16" width="6.42578125" style="60" customWidth="1"/>
    <col min="17" max="17" width="6" style="60" customWidth="1"/>
    <col min="18" max="18" width="5.42578125" style="60" customWidth="1"/>
    <col min="19" max="19" width="9.140625" style="60" bestFit="1" customWidth="1"/>
    <col min="20" max="20" width="7.7109375" style="60" bestFit="1" customWidth="1"/>
    <col min="21" max="21" width="3.28515625" style="60" bestFit="1" customWidth="1"/>
    <col min="22" max="16384" width="9.140625" style="60"/>
  </cols>
  <sheetData>
    <row r="1" spans="1:21" ht="21">
      <c r="A1" s="1719" t="s">
        <v>2269</v>
      </c>
      <c r="B1" s="1719"/>
      <c r="C1" s="1719"/>
      <c r="D1" s="1719"/>
      <c r="E1" s="1719"/>
      <c r="F1" s="1719"/>
      <c r="G1" s="1719"/>
      <c r="H1" s="1719"/>
      <c r="I1" s="1719"/>
      <c r="J1" s="1719"/>
      <c r="K1" s="1719"/>
      <c r="L1" s="1719"/>
      <c r="M1" s="1719"/>
      <c r="N1" s="1719"/>
      <c r="O1" s="1719"/>
      <c r="P1" s="1719"/>
      <c r="Q1" s="1719"/>
      <c r="R1" s="1719"/>
      <c r="S1" s="1719"/>
      <c r="T1" s="1719"/>
      <c r="U1" s="1719"/>
    </row>
    <row r="2" spans="1:21" ht="15.75" customHeight="1">
      <c r="A2" s="887" t="str">
        <f>'lead 19-20'!B2&amp;'lead 19-20'!C2</f>
        <v>Name of the Work: Providing Additional Space for Health Staff in Grama Sachivalayam of Baduguleru GP of Kanigiri Mandal</v>
      </c>
      <c r="B2" s="616"/>
      <c r="C2" s="616"/>
      <c r="D2" s="616"/>
      <c r="E2" s="616"/>
      <c r="F2" s="616"/>
      <c r="G2" s="616"/>
      <c r="H2" s="616"/>
      <c r="I2" s="616"/>
      <c r="J2" s="616"/>
      <c r="K2" s="616"/>
      <c r="L2" s="616"/>
      <c r="M2" s="616"/>
      <c r="N2" s="616"/>
      <c r="O2" s="616"/>
      <c r="P2" s="616"/>
      <c r="Q2" s="616"/>
      <c r="R2" s="616"/>
      <c r="S2" s="616"/>
      <c r="T2" s="616"/>
      <c r="U2" s="616"/>
    </row>
    <row r="3" spans="1:21" ht="38.25">
      <c r="A3" s="617" t="s">
        <v>23</v>
      </c>
      <c r="B3" s="617" t="s">
        <v>7</v>
      </c>
      <c r="C3" s="617" t="s">
        <v>220</v>
      </c>
      <c r="D3" s="617" t="s">
        <v>224</v>
      </c>
      <c r="E3" s="617" t="s">
        <v>905</v>
      </c>
      <c r="F3" s="1649" t="s">
        <v>227</v>
      </c>
      <c r="G3" s="1649"/>
      <c r="H3" s="617" t="s">
        <v>228</v>
      </c>
      <c r="I3" s="617" t="s">
        <v>229</v>
      </c>
      <c r="J3" s="617" t="s">
        <v>230</v>
      </c>
      <c r="K3" s="617" t="s">
        <v>234</v>
      </c>
      <c r="L3" s="219" t="s">
        <v>232</v>
      </c>
      <c r="M3" s="219" t="s">
        <v>231</v>
      </c>
      <c r="N3" s="219" t="s">
        <v>233</v>
      </c>
      <c r="O3" s="219" t="s">
        <v>135</v>
      </c>
      <c r="P3" s="219" t="s">
        <v>1190</v>
      </c>
      <c r="Q3" s="617" t="s">
        <v>41</v>
      </c>
      <c r="R3" s="617" t="s">
        <v>664</v>
      </c>
      <c r="S3" s="617" t="s">
        <v>420</v>
      </c>
      <c r="T3" s="617" t="s">
        <v>136</v>
      </c>
      <c r="U3" s="207"/>
    </row>
    <row r="4" spans="1:21" s="533" customFormat="1" ht="15.75">
      <c r="A4" s="888"/>
      <c r="B4" s="889" t="s">
        <v>2015</v>
      </c>
      <c r="C4" s="890"/>
      <c r="D4" s="891"/>
      <c r="E4" s="892"/>
      <c r="F4" s="619">
        <v>1</v>
      </c>
      <c r="G4" s="893"/>
      <c r="H4" s="888"/>
      <c r="I4" s="894"/>
      <c r="J4" s="895"/>
      <c r="K4" s="888"/>
      <c r="L4" s="893"/>
      <c r="M4" s="888"/>
    </row>
    <row r="5" spans="1:21" ht="18" hidden="1" customHeight="1">
      <c r="A5" s="283">
        <v>1</v>
      </c>
      <c r="B5" s="207" t="s">
        <v>101</v>
      </c>
      <c r="C5" s="284"/>
      <c r="D5" s="207"/>
      <c r="E5" s="207"/>
      <c r="F5" s="285">
        <f>C5+D5</f>
        <v>0</v>
      </c>
      <c r="G5" s="285" t="s">
        <v>421</v>
      </c>
      <c r="H5" s="283">
        <v>0</v>
      </c>
      <c r="I5" s="283">
        <v>0</v>
      </c>
      <c r="J5" s="283">
        <v>0</v>
      </c>
      <c r="K5" s="283">
        <v>0</v>
      </c>
      <c r="L5" s="283">
        <v>0</v>
      </c>
      <c r="M5" s="283">
        <v>0</v>
      </c>
      <c r="N5" s="283">
        <v>0</v>
      </c>
      <c r="O5" s="286">
        <v>0</v>
      </c>
      <c r="P5" s="286">
        <v>0</v>
      </c>
      <c r="Q5" s="283">
        <v>0</v>
      </c>
      <c r="R5" s="15">
        <f>F5</f>
        <v>0</v>
      </c>
      <c r="S5" s="287">
        <v>0</v>
      </c>
      <c r="T5" s="207">
        <v>0</v>
      </c>
      <c r="U5" s="207"/>
    </row>
    <row r="6" spans="1:21" ht="20.100000000000001" customHeight="1">
      <c r="A6" s="283">
        <v>1</v>
      </c>
      <c r="B6" s="207" t="s">
        <v>135</v>
      </c>
      <c r="C6" s="285">
        <f>'PART-A'!I248</f>
        <v>87.509999999999991</v>
      </c>
      <c r="D6" s="207"/>
      <c r="E6" s="207"/>
      <c r="F6" s="285">
        <f t="shared" ref="F6:F45" si="0">SUM(C6:E6)</f>
        <v>87.509999999999991</v>
      </c>
      <c r="G6" s="285" t="s">
        <v>421</v>
      </c>
      <c r="H6" s="283">
        <v>0</v>
      </c>
      <c r="I6" s="283">
        <v>0</v>
      </c>
      <c r="J6" s="283">
        <v>0</v>
      </c>
      <c r="K6" s="283">
        <v>0</v>
      </c>
      <c r="L6" s="283">
        <v>0</v>
      </c>
      <c r="M6" s="283">
        <v>0</v>
      </c>
      <c r="N6" s="283">
        <v>0</v>
      </c>
      <c r="O6" s="15">
        <f>F6</f>
        <v>87.509999999999991</v>
      </c>
      <c r="P6" s="286">
        <v>0</v>
      </c>
      <c r="Q6" s="283">
        <v>0</v>
      </c>
      <c r="R6" s="286">
        <v>0</v>
      </c>
      <c r="S6" s="287">
        <v>0</v>
      </c>
      <c r="T6" s="207">
        <v>0</v>
      </c>
      <c r="U6" s="207"/>
    </row>
    <row r="7" spans="1:21" ht="20.100000000000001" customHeight="1">
      <c r="A7" s="283">
        <v>2</v>
      </c>
      <c r="B7" s="207" t="s">
        <v>1191</v>
      </c>
      <c r="C7" s="285">
        <f>'PART-A'!I189</f>
        <v>17.93</v>
      </c>
      <c r="D7" s="207"/>
      <c r="E7" s="207"/>
      <c r="F7" s="285">
        <f t="shared" si="0"/>
        <v>17.93</v>
      </c>
      <c r="G7" s="285" t="s">
        <v>421</v>
      </c>
      <c r="H7" s="283">
        <v>0</v>
      </c>
      <c r="I7" s="283">
        <v>0</v>
      </c>
      <c r="J7" s="283">
        <v>0</v>
      </c>
      <c r="K7" s="283">
        <v>0</v>
      </c>
      <c r="L7" s="283">
        <v>0</v>
      </c>
      <c r="M7" s="283">
        <v>0</v>
      </c>
      <c r="N7" s="283">
        <v>0</v>
      </c>
      <c r="O7" s="286">
        <v>0</v>
      </c>
      <c r="P7" s="15">
        <f>F7</f>
        <v>17.93</v>
      </c>
      <c r="Q7" s="283">
        <v>0</v>
      </c>
      <c r="R7" s="286">
        <v>0</v>
      </c>
      <c r="S7" s="287">
        <v>0</v>
      </c>
      <c r="T7" s="207">
        <v>0</v>
      </c>
      <c r="U7" s="207"/>
    </row>
    <row r="8" spans="1:21" ht="20.100000000000001" hidden="1" customHeight="1">
      <c r="A8" s="283">
        <v>4</v>
      </c>
      <c r="B8" s="207" t="s">
        <v>663</v>
      </c>
      <c r="C8" s="285">
        <f>'PART-A'!I213</f>
        <v>0</v>
      </c>
      <c r="D8" s="207"/>
      <c r="E8" s="207"/>
      <c r="F8" s="285">
        <f t="shared" si="0"/>
        <v>0</v>
      </c>
      <c r="G8" s="285" t="s">
        <v>421</v>
      </c>
      <c r="H8" s="283">
        <v>0</v>
      </c>
      <c r="I8" s="283">
        <v>0</v>
      </c>
      <c r="J8" s="283">
        <v>0</v>
      </c>
      <c r="K8" s="283">
        <v>0</v>
      </c>
      <c r="L8" s="283">
        <v>0</v>
      </c>
      <c r="M8" s="283">
        <v>0</v>
      </c>
      <c r="N8" s="283">
        <v>0</v>
      </c>
      <c r="O8" s="286">
        <v>0</v>
      </c>
      <c r="P8" s="15"/>
      <c r="Q8" s="283">
        <v>0</v>
      </c>
      <c r="R8" s="15">
        <f>F8</f>
        <v>0</v>
      </c>
      <c r="S8" s="287">
        <v>0</v>
      </c>
      <c r="T8" s="207">
        <v>0</v>
      </c>
      <c r="U8" s="207"/>
    </row>
    <row r="9" spans="1:21" ht="20.100000000000001" customHeight="1">
      <c r="A9" s="283">
        <v>3</v>
      </c>
      <c r="B9" s="207" t="s">
        <v>235</v>
      </c>
      <c r="C9" s="285">
        <f>'PART-A'!I108</f>
        <v>20.59</v>
      </c>
      <c r="D9" s="207"/>
      <c r="E9" s="207"/>
      <c r="F9" s="285">
        <f t="shared" si="0"/>
        <v>20.59</v>
      </c>
      <c r="G9" s="285" t="s">
        <v>421</v>
      </c>
      <c r="H9" s="15">
        <f>ROUND(F9*0.9,2)</f>
        <v>18.53</v>
      </c>
      <c r="I9" s="286">
        <v>0</v>
      </c>
      <c r="J9" s="286">
        <v>0</v>
      </c>
      <c r="K9" s="283">
        <v>0</v>
      </c>
      <c r="L9" s="15">
        <f>ROUND(F9*0.45,2)</f>
        <v>9.27</v>
      </c>
      <c r="M9" s="283">
        <v>0</v>
      </c>
      <c r="N9" s="283">
        <v>0</v>
      </c>
      <c r="O9" s="286">
        <v>0</v>
      </c>
      <c r="P9" s="286">
        <v>0</v>
      </c>
      <c r="Q9" s="286">
        <v>0</v>
      </c>
      <c r="R9" s="286">
        <v>0</v>
      </c>
      <c r="S9" s="288">
        <f t="shared" ref="S9:S46" si="1">ROUND(F9*T9/50,2)</f>
        <v>66.709999999999994</v>
      </c>
      <c r="T9" s="285">
        <v>162</v>
      </c>
      <c r="U9" s="15" t="s">
        <v>4</v>
      </c>
    </row>
    <row r="10" spans="1:21" ht="20.100000000000001" hidden="1" customHeight="1">
      <c r="A10" s="283">
        <v>6</v>
      </c>
      <c r="B10" s="207" t="s">
        <v>446</v>
      </c>
      <c r="C10" s="285">
        <f>'PART-A'!I155</f>
        <v>0</v>
      </c>
      <c r="D10" s="207"/>
      <c r="E10" s="207"/>
      <c r="F10" s="285">
        <f t="shared" si="0"/>
        <v>0</v>
      </c>
      <c r="G10" s="285" t="s">
        <v>421</v>
      </c>
      <c r="H10" s="15">
        <f>ROUND(F10*0.9,2)</f>
        <v>0</v>
      </c>
      <c r="I10" s="286">
        <v>0</v>
      </c>
      <c r="J10" s="286">
        <v>0</v>
      </c>
      <c r="K10" s="283">
        <v>0</v>
      </c>
      <c r="L10" s="15">
        <f>ROUND(F10*0.45,2)</f>
        <v>0</v>
      </c>
      <c r="M10" s="283">
        <v>0</v>
      </c>
      <c r="N10" s="283">
        <v>0</v>
      </c>
      <c r="O10" s="286">
        <v>0</v>
      </c>
      <c r="P10" s="286">
        <v>0</v>
      </c>
      <c r="Q10" s="286">
        <v>0</v>
      </c>
      <c r="R10" s="286">
        <v>0</v>
      </c>
      <c r="S10" s="288">
        <f t="shared" si="1"/>
        <v>0</v>
      </c>
      <c r="T10" s="285">
        <v>129.6</v>
      </c>
      <c r="U10" s="15" t="s">
        <v>4</v>
      </c>
    </row>
    <row r="11" spans="1:21" ht="20.100000000000001" customHeight="1">
      <c r="A11" s="283">
        <v>4</v>
      </c>
      <c r="B11" s="207" t="s">
        <v>132</v>
      </c>
      <c r="C11" s="285">
        <f>'PART-A'!I325</f>
        <v>9.44</v>
      </c>
      <c r="D11" s="207"/>
      <c r="E11" s="207"/>
      <c r="F11" s="285">
        <f t="shared" si="0"/>
        <v>9.44</v>
      </c>
      <c r="G11" s="285" t="s">
        <v>421</v>
      </c>
      <c r="H11" s="286">
        <v>0</v>
      </c>
      <c r="I11" s="15">
        <f t="shared" ref="I11:I21" si="2">ROUND(F11*0.8,2)</f>
        <v>7.55</v>
      </c>
      <c r="J11" s="286">
        <v>0</v>
      </c>
      <c r="K11" s="283">
        <v>0</v>
      </c>
      <c r="L11" s="15">
        <f t="shared" ref="L11:L21" si="3">ROUND(F11*0.4,2)</f>
        <v>3.78</v>
      </c>
      <c r="M11" s="283">
        <v>0</v>
      </c>
      <c r="N11" s="283">
        <v>0</v>
      </c>
      <c r="O11" s="286">
        <v>0</v>
      </c>
      <c r="P11" s="286">
        <v>0</v>
      </c>
      <c r="Q11" s="286">
        <v>0</v>
      </c>
      <c r="R11" s="286">
        <v>0</v>
      </c>
      <c r="S11" s="288">
        <f t="shared" si="1"/>
        <v>64.19</v>
      </c>
      <c r="T11" s="285">
        <f>data!E110</f>
        <v>340</v>
      </c>
      <c r="U11" s="15" t="s">
        <v>4</v>
      </c>
    </row>
    <row r="12" spans="1:21" ht="20.100000000000001" customHeight="1">
      <c r="A12" s="283">
        <v>5</v>
      </c>
      <c r="B12" s="207" t="s">
        <v>133</v>
      </c>
      <c r="C12" s="285">
        <f>'PART-A'!I348</f>
        <v>1.37</v>
      </c>
      <c r="D12" s="207"/>
      <c r="E12" s="207"/>
      <c r="F12" s="285">
        <f t="shared" si="0"/>
        <v>1.37</v>
      </c>
      <c r="G12" s="285" t="s">
        <v>421</v>
      </c>
      <c r="H12" s="286">
        <v>0</v>
      </c>
      <c r="I12" s="15">
        <f t="shared" si="2"/>
        <v>1.1000000000000001</v>
      </c>
      <c r="J12" s="286">
        <v>0</v>
      </c>
      <c r="K12" s="283">
        <v>0</v>
      </c>
      <c r="L12" s="15">
        <f t="shared" si="3"/>
        <v>0.55000000000000004</v>
      </c>
      <c r="M12" s="283">
        <v>0</v>
      </c>
      <c r="N12" s="283">
        <v>0</v>
      </c>
      <c r="O12" s="286">
        <v>0</v>
      </c>
      <c r="P12" s="286">
        <v>0</v>
      </c>
      <c r="Q12" s="286">
        <v>0</v>
      </c>
      <c r="R12" s="286">
        <v>0</v>
      </c>
      <c r="S12" s="288">
        <f t="shared" si="1"/>
        <v>9.32</v>
      </c>
      <c r="T12" s="285">
        <f>$T$11</f>
        <v>340</v>
      </c>
      <c r="U12" s="15" t="s">
        <v>4</v>
      </c>
    </row>
    <row r="13" spans="1:21" ht="20.100000000000001" customHeight="1">
      <c r="A13" s="283">
        <v>6</v>
      </c>
      <c r="B13" s="207" t="s">
        <v>127</v>
      </c>
      <c r="C13" s="285">
        <f>'PART-A'!I376</f>
        <v>5.64</v>
      </c>
      <c r="D13" s="285">
        <f>FF!I16</f>
        <v>0</v>
      </c>
      <c r="E13" s="285">
        <f>SF!I14</f>
        <v>0</v>
      </c>
      <c r="F13" s="285">
        <f t="shared" si="0"/>
        <v>5.64</v>
      </c>
      <c r="G13" s="285" t="s">
        <v>421</v>
      </c>
      <c r="H13" s="286">
        <v>0</v>
      </c>
      <c r="I13" s="15">
        <f t="shared" si="2"/>
        <v>4.51</v>
      </c>
      <c r="J13" s="286">
        <v>0</v>
      </c>
      <c r="K13" s="283">
        <v>0</v>
      </c>
      <c r="L13" s="15">
        <f t="shared" si="3"/>
        <v>2.2599999999999998</v>
      </c>
      <c r="M13" s="283">
        <v>0</v>
      </c>
      <c r="N13" s="283">
        <v>0</v>
      </c>
      <c r="O13" s="286">
        <v>0</v>
      </c>
      <c r="P13" s="286">
        <v>0</v>
      </c>
      <c r="Q13" s="286">
        <v>0</v>
      </c>
      <c r="R13" s="286">
        <v>0</v>
      </c>
      <c r="S13" s="288">
        <f t="shared" si="1"/>
        <v>38.35</v>
      </c>
      <c r="T13" s="285">
        <f>$T$11</f>
        <v>340</v>
      </c>
      <c r="U13" s="15" t="s">
        <v>4</v>
      </c>
    </row>
    <row r="14" spans="1:21" ht="20.100000000000001" customHeight="1">
      <c r="A14" s="283">
        <v>7</v>
      </c>
      <c r="B14" s="207" t="s">
        <v>128</v>
      </c>
      <c r="C14" s="285">
        <f>'PART-A'!I430</f>
        <v>6.1499999999999995</v>
      </c>
      <c r="D14" s="207"/>
      <c r="E14" s="207"/>
      <c r="F14" s="285">
        <f t="shared" si="0"/>
        <v>6.1499999999999995</v>
      </c>
      <c r="G14" s="285" t="s">
        <v>421</v>
      </c>
      <c r="H14" s="286">
        <v>0</v>
      </c>
      <c r="I14" s="15">
        <f t="shared" si="2"/>
        <v>4.92</v>
      </c>
      <c r="J14" s="286">
        <v>0</v>
      </c>
      <c r="K14" s="283">
        <v>0</v>
      </c>
      <c r="L14" s="15">
        <f t="shared" si="3"/>
        <v>2.46</v>
      </c>
      <c r="M14" s="283">
        <v>0</v>
      </c>
      <c r="N14" s="283">
        <v>0</v>
      </c>
      <c r="O14" s="286">
        <v>0</v>
      </c>
      <c r="P14" s="286">
        <v>0</v>
      </c>
      <c r="Q14" s="286">
        <v>0</v>
      </c>
      <c r="R14" s="286">
        <v>0</v>
      </c>
      <c r="S14" s="288">
        <f t="shared" si="1"/>
        <v>41.82</v>
      </c>
      <c r="T14" s="285">
        <f>$T$11</f>
        <v>340</v>
      </c>
      <c r="U14" s="15" t="s">
        <v>4</v>
      </c>
    </row>
    <row r="15" spans="1:21" ht="20.100000000000001" customHeight="1">
      <c r="A15" s="283">
        <v>8</v>
      </c>
      <c r="B15" s="207" t="s">
        <v>131</v>
      </c>
      <c r="C15" s="285">
        <f>'PART-A'!I477</f>
        <v>6.9400000000000022</v>
      </c>
      <c r="D15" s="285">
        <f>FF!I59</f>
        <v>0</v>
      </c>
      <c r="E15" s="285">
        <f>SF!I39</f>
        <v>0</v>
      </c>
      <c r="F15" s="285">
        <f t="shared" si="0"/>
        <v>6.9400000000000022</v>
      </c>
      <c r="G15" s="285" t="s">
        <v>421</v>
      </c>
      <c r="H15" s="286">
        <v>0</v>
      </c>
      <c r="I15" s="15">
        <f t="shared" si="2"/>
        <v>5.55</v>
      </c>
      <c r="J15" s="286">
        <v>0</v>
      </c>
      <c r="K15" s="283">
        <v>0</v>
      </c>
      <c r="L15" s="15">
        <f t="shared" si="3"/>
        <v>2.78</v>
      </c>
      <c r="M15" s="283">
        <v>0</v>
      </c>
      <c r="N15" s="283">
        <v>0</v>
      </c>
      <c r="O15" s="286">
        <v>0</v>
      </c>
      <c r="P15" s="286">
        <v>0</v>
      </c>
      <c r="Q15" s="286">
        <v>0</v>
      </c>
      <c r="R15" s="286">
        <v>0</v>
      </c>
      <c r="S15" s="288">
        <f t="shared" si="1"/>
        <v>47.19</v>
      </c>
      <c r="T15" s="285">
        <f>$T$11</f>
        <v>340</v>
      </c>
      <c r="U15" s="15" t="s">
        <v>4</v>
      </c>
    </row>
    <row r="16" spans="1:21" ht="20.100000000000001" hidden="1" customHeight="1">
      <c r="A16" s="283">
        <v>9</v>
      </c>
      <c r="B16" s="289" t="s">
        <v>236</v>
      </c>
      <c r="C16" s="285">
        <f>ROUND('PART-A'!I544*0.15,2)</f>
        <v>0</v>
      </c>
      <c r="D16" s="285">
        <f>ROUND(FF!I112*0.15,2)</f>
        <v>0</v>
      </c>
      <c r="E16" s="285">
        <f>ROUND(SF!I63*0.15,2)</f>
        <v>0</v>
      </c>
      <c r="F16" s="285">
        <f t="shared" si="0"/>
        <v>0</v>
      </c>
      <c r="G16" s="285" t="s">
        <v>422</v>
      </c>
      <c r="H16" s="286">
        <v>0</v>
      </c>
      <c r="I16" s="15">
        <f t="shared" si="2"/>
        <v>0</v>
      </c>
      <c r="J16" s="286">
        <v>0</v>
      </c>
      <c r="K16" s="283">
        <v>0</v>
      </c>
      <c r="L16" s="15">
        <f t="shared" si="3"/>
        <v>0</v>
      </c>
      <c r="M16" s="283">
        <v>0</v>
      </c>
      <c r="N16" s="283">
        <v>0</v>
      </c>
      <c r="O16" s="286">
        <v>0</v>
      </c>
      <c r="P16" s="286">
        <v>0</v>
      </c>
      <c r="Q16" s="286">
        <v>0</v>
      </c>
      <c r="R16" s="286">
        <v>0</v>
      </c>
      <c r="S16" s="288">
        <f t="shared" si="1"/>
        <v>0</v>
      </c>
      <c r="T16" s="285">
        <f>ROUND(T15,2)</f>
        <v>340</v>
      </c>
      <c r="U16" s="15" t="s">
        <v>4</v>
      </c>
    </row>
    <row r="17" spans="1:21" ht="20.100000000000001" customHeight="1">
      <c r="A17" s="283">
        <v>9</v>
      </c>
      <c r="B17" s="289" t="s">
        <v>237</v>
      </c>
      <c r="C17" s="285">
        <f>ROUND('PART-A'!I567*0.125,2)</f>
        <v>14.76</v>
      </c>
      <c r="D17" s="285">
        <f>ROUND(FF!I140*0.125,2)</f>
        <v>0</v>
      </c>
      <c r="E17" s="285">
        <f>ROUND(SF!I86*0.125,2)</f>
        <v>0</v>
      </c>
      <c r="F17" s="285">
        <f t="shared" si="0"/>
        <v>14.76</v>
      </c>
      <c r="G17" s="285" t="s">
        <v>422</v>
      </c>
      <c r="H17" s="286">
        <v>0</v>
      </c>
      <c r="I17" s="15">
        <f t="shared" si="2"/>
        <v>11.81</v>
      </c>
      <c r="J17" s="286">
        <v>0</v>
      </c>
      <c r="K17" s="283">
        <v>0</v>
      </c>
      <c r="L17" s="15">
        <f t="shared" si="3"/>
        <v>5.9</v>
      </c>
      <c r="M17" s="283">
        <v>0</v>
      </c>
      <c r="N17" s="283">
        <v>0</v>
      </c>
      <c r="O17" s="286">
        <v>0</v>
      </c>
      <c r="P17" s="286">
        <v>0</v>
      </c>
      <c r="Q17" s="286">
        <v>0</v>
      </c>
      <c r="R17" s="286">
        <v>0</v>
      </c>
      <c r="S17" s="288">
        <f t="shared" si="1"/>
        <v>100.37</v>
      </c>
      <c r="T17" s="285">
        <f>ROUND(T15,2)</f>
        <v>340</v>
      </c>
      <c r="U17" s="15" t="s">
        <v>4</v>
      </c>
    </row>
    <row r="18" spans="1:21" ht="20.100000000000001" customHeight="1">
      <c r="A18" s="283">
        <v>10</v>
      </c>
      <c r="B18" s="289" t="s">
        <v>605</v>
      </c>
      <c r="C18" s="285">
        <f>ROUND('PART-A'!I592*0.1,2)</f>
        <v>2.21</v>
      </c>
      <c r="D18" s="285">
        <f>ROUND(FF!I164*0.1,2)</f>
        <v>0</v>
      </c>
      <c r="E18" s="285">
        <f>ROUND(SF!I106*0.1,2)</f>
        <v>0</v>
      </c>
      <c r="F18" s="285">
        <f t="shared" si="0"/>
        <v>2.21</v>
      </c>
      <c r="G18" s="285" t="s">
        <v>422</v>
      </c>
      <c r="H18" s="286">
        <v>0</v>
      </c>
      <c r="I18" s="15">
        <f t="shared" si="2"/>
        <v>1.77</v>
      </c>
      <c r="J18" s="286">
        <v>0</v>
      </c>
      <c r="K18" s="283">
        <v>0</v>
      </c>
      <c r="L18" s="15">
        <f t="shared" si="3"/>
        <v>0.88</v>
      </c>
      <c r="M18" s="283">
        <v>0</v>
      </c>
      <c r="N18" s="283">
        <v>0</v>
      </c>
      <c r="O18" s="286">
        <v>0</v>
      </c>
      <c r="P18" s="286">
        <v>0</v>
      </c>
      <c r="Q18" s="286">
        <v>0</v>
      </c>
      <c r="R18" s="286">
        <v>0</v>
      </c>
      <c r="S18" s="288">
        <f t="shared" si="1"/>
        <v>15.03</v>
      </c>
      <c r="T18" s="285">
        <f>T17</f>
        <v>340</v>
      </c>
      <c r="U18" s="15" t="s">
        <v>4</v>
      </c>
    </row>
    <row r="19" spans="1:21" ht="20.100000000000001" hidden="1" customHeight="1">
      <c r="A19" s="283">
        <v>9</v>
      </c>
      <c r="B19" s="289" t="s">
        <v>1230</v>
      </c>
      <c r="C19" s="285">
        <f>ROUND('PART-A'!I616*0.05,2)</f>
        <v>0</v>
      </c>
      <c r="D19" s="285">
        <f>ROUND(FF!I185*0.05,2)</f>
        <v>0</v>
      </c>
      <c r="E19" s="285">
        <f>ROUND(SF!I127*0.05,2)</f>
        <v>0</v>
      </c>
      <c r="F19" s="285">
        <f t="shared" si="0"/>
        <v>0</v>
      </c>
      <c r="G19" s="285" t="s">
        <v>422</v>
      </c>
      <c r="H19" s="286">
        <v>0</v>
      </c>
      <c r="I19" s="15">
        <f t="shared" si="2"/>
        <v>0</v>
      </c>
      <c r="J19" s="286">
        <v>0</v>
      </c>
      <c r="K19" s="283">
        <v>0</v>
      </c>
      <c r="L19" s="15">
        <f t="shared" si="3"/>
        <v>0</v>
      </c>
      <c r="M19" s="283">
        <v>0</v>
      </c>
      <c r="N19" s="283">
        <v>0</v>
      </c>
      <c r="O19" s="286">
        <v>0</v>
      </c>
      <c r="P19" s="286">
        <v>0</v>
      </c>
      <c r="Q19" s="286">
        <v>0</v>
      </c>
      <c r="R19" s="286">
        <v>0</v>
      </c>
      <c r="S19" s="288">
        <f t="shared" si="1"/>
        <v>0</v>
      </c>
      <c r="T19" s="285">
        <f>T18</f>
        <v>340</v>
      </c>
      <c r="U19" s="15" t="s">
        <v>4</v>
      </c>
    </row>
    <row r="20" spans="1:21" ht="20.100000000000001" hidden="1" customHeight="1">
      <c r="A20" s="283">
        <v>16</v>
      </c>
      <c r="B20" s="289" t="s">
        <v>1438</v>
      </c>
      <c r="C20" s="285">
        <f>ROUND('PART-A'!I641*0.025,2)</f>
        <v>0</v>
      </c>
      <c r="D20" s="285">
        <f>ROUND(FF!I209*0.025,2)</f>
        <v>0</v>
      </c>
      <c r="E20" s="285">
        <f>ROUND(SF!I151*0.025,2)</f>
        <v>0</v>
      </c>
      <c r="F20" s="285">
        <f t="shared" si="0"/>
        <v>0</v>
      </c>
      <c r="G20" s="285" t="s">
        <v>422</v>
      </c>
      <c r="H20" s="286">
        <v>0</v>
      </c>
      <c r="I20" s="15">
        <f t="shared" si="2"/>
        <v>0</v>
      </c>
      <c r="J20" s="286">
        <v>0</v>
      </c>
      <c r="K20" s="283">
        <v>0</v>
      </c>
      <c r="L20" s="15">
        <f t="shared" si="3"/>
        <v>0</v>
      </c>
      <c r="M20" s="283">
        <v>0</v>
      </c>
      <c r="N20" s="283">
        <v>0</v>
      </c>
      <c r="O20" s="286">
        <v>0</v>
      </c>
      <c r="P20" s="286">
        <v>0</v>
      </c>
      <c r="Q20" s="286">
        <v>0</v>
      </c>
      <c r="R20" s="286">
        <v>0</v>
      </c>
      <c r="S20" s="288">
        <f t="shared" si="1"/>
        <v>0</v>
      </c>
      <c r="T20" s="285">
        <f>T19</f>
        <v>340</v>
      </c>
      <c r="U20" s="15" t="s">
        <v>4</v>
      </c>
    </row>
    <row r="21" spans="1:21" ht="20.100000000000001" customHeight="1">
      <c r="A21" s="283">
        <v>11</v>
      </c>
      <c r="B21" s="207" t="s">
        <v>129</v>
      </c>
      <c r="C21" s="285">
        <f>'PART-A'!I672</f>
        <v>1.21</v>
      </c>
      <c r="D21" s="285">
        <f>FF!I238</f>
        <v>0</v>
      </c>
      <c r="E21" s="285">
        <f>SF!I176</f>
        <v>0</v>
      </c>
      <c r="F21" s="285">
        <f t="shared" si="0"/>
        <v>1.21</v>
      </c>
      <c r="G21" s="285" t="s">
        <v>421</v>
      </c>
      <c r="H21" s="286">
        <v>0</v>
      </c>
      <c r="I21" s="15">
        <f t="shared" si="2"/>
        <v>0.97</v>
      </c>
      <c r="J21" s="286">
        <v>0</v>
      </c>
      <c r="K21" s="283">
        <v>0</v>
      </c>
      <c r="L21" s="15">
        <f t="shared" si="3"/>
        <v>0.48</v>
      </c>
      <c r="M21" s="283">
        <v>0</v>
      </c>
      <c r="N21" s="283">
        <v>0</v>
      </c>
      <c r="O21" s="286">
        <v>0</v>
      </c>
      <c r="P21" s="286">
        <v>0</v>
      </c>
      <c r="Q21" s="286">
        <v>0</v>
      </c>
      <c r="R21" s="286">
        <v>0</v>
      </c>
      <c r="S21" s="288">
        <f t="shared" si="1"/>
        <v>8.23</v>
      </c>
      <c r="T21" s="285">
        <f>$T$11</f>
        <v>340</v>
      </c>
      <c r="U21" s="15" t="s">
        <v>4</v>
      </c>
    </row>
    <row r="22" spans="1:21" ht="20.100000000000001" customHeight="1">
      <c r="A22" s="283">
        <v>12</v>
      </c>
      <c r="B22" s="207" t="s">
        <v>130</v>
      </c>
      <c r="C22" s="285">
        <f>'PART-A'!I767</f>
        <v>7.5</v>
      </c>
      <c r="D22" s="285">
        <f>FF!I282</f>
        <v>0</v>
      </c>
      <c r="E22" s="285">
        <f>SF!I202</f>
        <v>0</v>
      </c>
      <c r="F22" s="285">
        <f t="shared" si="0"/>
        <v>7.5</v>
      </c>
      <c r="G22" s="285" t="s">
        <v>82</v>
      </c>
      <c r="H22" s="286">
        <v>0</v>
      </c>
      <c r="I22" s="15">
        <f>ROUND(F22*0.0375*0.8,2)</f>
        <v>0.23</v>
      </c>
      <c r="J22" s="286">
        <v>0</v>
      </c>
      <c r="K22" s="283">
        <v>0</v>
      </c>
      <c r="L22" s="15">
        <f>ROUND(F22*0.0375*0.4,2)</f>
        <v>0.11</v>
      </c>
      <c r="M22" s="283">
        <v>0</v>
      </c>
      <c r="N22" s="283">
        <v>0</v>
      </c>
      <c r="O22" s="286">
        <v>0</v>
      </c>
      <c r="P22" s="286">
        <v>0</v>
      </c>
      <c r="Q22" s="286">
        <v>0</v>
      </c>
      <c r="R22" s="286">
        <v>0</v>
      </c>
      <c r="S22" s="288">
        <f t="shared" si="1"/>
        <v>1.91</v>
      </c>
      <c r="T22" s="290">
        <f>ROUND(T21*0.0375,2)</f>
        <v>12.75</v>
      </c>
      <c r="U22" s="15" t="s">
        <v>4</v>
      </c>
    </row>
    <row r="23" spans="1:21" ht="20.100000000000001" hidden="1" customHeight="1">
      <c r="A23" s="283">
        <v>13</v>
      </c>
      <c r="B23" s="289" t="s">
        <v>1439</v>
      </c>
      <c r="C23" s="285">
        <f>'PART-A'!I790</f>
        <v>0</v>
      </c>
      <c r="D23" s="285">
        <f>FF!I307</f>
        <v>0</v>
      </c>
      <c r="E23" s="285">
        <f>SF!I222</f>
        <v>0</v>
      </c>
      <c r="F23" s="285">
        <f t="shared" si="0"/>
        <v>0</v>
      </c>
      <c r="G23" s="285" t="s">
        <v>422</v>
      </c>
      <c r="H23" s="286">
        <v>0</v>
      </c>
      <c r="I23" s="286">
        <v>0</v>
      </c>
      <c r="J23" s="286">
        <v>0</v>
      </c>
      <c r="K23" s="283">
        <v>0</v>
      </c>
      <c r="L23" s="286">
        <v>0</v>
      </c>
      <c r="M23" s="283">
        <v>0</v>
      </c>
      <c r="N23" s="15">
        <f>ROUND(F23*0.015*1.05,2)</f>
        <v>0</v>
      </c>
      <c r="O23" s="286">
        <v>0</v>
      </c>
      <c r="P23" s="286">
        <v>0</v>
      </c>
      <c r="Q23" s="286">
        <v>0</v>
      </c>
      <c r="R23" s="286">
        <v>0</v>
      </c>
      <c r="S23" s="288">
        <f t="shared" si="1"/>
        <v>0</v>
      </c>
      <c r="T23" s="285">
        <v>7.2</v>
      </c>
      <c r="U23" s="15" t="s">
        <v>4</v>
      </c>
    </row>
    <row r="24" spans="1:21" ht="20.100000000000001" hidden="1" customHeight="1">
      <c r="A24" s="283">
        <v>12</v>
      </c>
      <c r="B24" s="289" t="s">
        <v>1225</v>
      </c>
      <c r="C24" s="285">
        <f>'PART-A'!I815</f>
        <v>0</v>
      </c>
      <c r="D24" s="285">
        <f>FF!I332</f>
        <v>0</v>
      </c>
      <c r="E24" s="285">
        <f>SF!I243</f>
        <v>0</v>
      </c>
      <c r="F24" s="285">
        <f t="shared" si="0"/>
        <v>0</v>
      </c>
      <c r="G24" s="285" t="s">
        <v>422</v>
      </c>
      <c r="H24" s="286">
        <v>0</v>
      </c>
      <c r="I24" s="286">
        <v>0</v>
      </c>
      <c r="J24" s="286">
        <v>0</v>
      </c>
      <c r="K24" s="283">
        <v>0</v>
      </c>
      <c r="L24" s="286">
        <v>0</v>
      </c>
      <c r="M24" s="283">
        <v>0</v>
      </c>
      <c r="N24" s="15">
        <f>ROUND(F24*0.021*1.05,2)</f>
        <v>0</v>
      </c>
      <c r="O24" s="286">
        <v>0</v>
      </c>
      <c r="P24" s="286">
        <v>0</v>
      </c>
      <c r="Q24" s="286">
        <v>0</v>
      </c>
      <c r="R24" s="286">
        <v>0</v>
      </c>
      <c r="S24" s="288">
        <f t="shared" si="1"/>
        <v>0</v>
      </c>
      <c r="T24" s="285">
        <v>10.08</v>
      </c>
      <c r="U24" s="15" t="s">
        <v>4</v>
      </c>
    </row>
    <row r="25" spans="1:21" ht="20.100000000000001" hidden="1" customHeight="1">
      <c r="A25" s="283">
        <v>13</v>
      </c>
      <c r="B25" s="207" t="s">
        <v>1193</v>
      </c>
      <c r="C25" s="285">
        <f>'PART-A'!I841</f>
        <v>0</v>
      </c>
      <c r="D25" s="285"/>
      <c r="E25" s="285"/>
      <c r="F25" s="285">
        <f t="shared" si="0"/>
        <v>0</v>
      </c>
      <c r="G25" s="285" t="s">
        <v>421</v>
      </c>
      <c r="H25" s="286">
        <v>0</v>
      </c>
      <c r="I25" s="286">
        <v>0</v>
      </c>
      <c r="J25" s="286">
        <v>0</v>
      </c>
      <c r="K25" s="15">
        <f>ROUND(F25*1.1,2)</f>
        <v>0</v>
      </c>
      <c r="L25" s="286">
        <v>0</v>
      </c>
      <c r="M25" s="15">
        <f>ROUND(F25*0.33,2)</f>
        <v>0</v>
      </c>
      <c r="N25" s="286">
        <v>0</v>
      </c>
      <c r="O25" s="286">
        <v>0</v>
      </c>
      <c r="P25" s="286">
        <v>0</v>
      </c>
      <c r="Q25" s="15"/>
      <c r="R25" s="286">
        <v>0</v>
      </c>
      <c r="S25" s="288">
        <f t="shared" si="1"/>
        <v>0</v>
      </c>
      <c r="T25" s="285">
        <v>59.4</v>
      </c>
      <c r="U25" s="15" t="s">
        <v>4</v>
      </c>
    </row>
    <row r="26" spans="1:21" ht="20.100000000000001" customHeight="1">
      <c r="A26" s="283">
        <v>13</v>
      </c>
      <c r="B26" s="207" t="s">
        <v>134</v>
      </c>
      <c r="C26" s="285">
        <f>'PART-A'!I876</f>
        <v>22.569999999999997</v>
      </c>
      <c r="D26" s="285">
        <f>FF!I356</f>
        <v>0</v>
      </c>
      <c r="E26" s="285">
        <f>SF!I269</f>
        <v>0</v>
      </c>
      <c r="F26" s="285">
        <f t="shared" si="0"/>
        <v>22.569999999999997</v>
      </c>
      <c r="G26" s="285" t="s">
        <v>421</v>
      </c>
      <c r="H26" s="286">
        <v>0</v>
      </c>
      <c r="I26" s="286">
        <v>0</v>
      </c>
      <c r="J26" s="286">
        <v>0</v>
      </c>
      <c r="K26" s="283">
        <v>0</v>
      </c>
      <c r="L26" s="286">
        <v>0</v>
      </c>
      <c r="M26" s="15">
        <f>ROUND(F26*0.2,2)</f>
        <v>4.51</v>
      </c>
      <c r="N26" s="286">
        <v>0</v>
      </c>
      <c r="O26" s="286">
        <v>0</v>
      </c>
      <c r="P26" s="286">
        <v>0</v>
      </c>
      <c r="Q26" s="15">
        <f>ROUND(F26*512/1000,2)</f>
        <v>11.56</v>
      </c>
      <c r="R26" s="286">
        <v>0</v>
      </c>
      <c r="S26" s="288">
        <f t="shared" si="1"/>
        <v>16.25</v>
      </c>
      <c r="T26" s="285">
        <v>36</v>
      </c>
      <c r="U26" s="15" t="s">
        <v>4</v>
      </c>
    </row>
    <row r="27" spans="1:21" ht="20.100000000000001" customHeight="1">
      <c r="A27" s="283">
        <v>14</v>
      </c>
      <c r="B27" s="207" t="s">
        <v>906</v>
      </c>
      <c r="C27" s="285">
        <f>'PART-A'!I934</f>
        <v>17.52</v>
      </c>
      <c r="D27" s="285">
        <f>FF!I396</f>
        <v>0</v>
      </c>
      <c r="E27" s="285">
        <f>SF!I298</f>
        <v>0</v>
      </c>
      <c r="F27" s="285">
        <f t="shared" si="0"/>
        <v>17.52</v>
      </c>
      <c r="G27" s="285" t="s">
        <v>421</v>
      </c>
      <c r="H27" s="286">
        <v>0</v>
      </c>
      <c r="I27" s="286">
        <v>0</v>
      </c>
      <c r="J27" s="286">
        <v>0</v>
      </c>
      <c r="K27" s="283">
        <v>0</v>
      </c>
      <c r="L27" s="286">
        <v>0</v>
      </c>
      <c r="M27" s="15">
        <f>ROUND(F27*0.2,2)</f>
        <v>3.5</v>
      </c>
      <c r="N27" s="286">
        <v>0</v>
      </c>
      <c r="O27" s="286">
        <v>0</v>
      </c>
      <c r="P27" s="286">
        <v>0</v>
      </c>
      <c r="Q27" s="15">
        <f>ROUND(F27*512/1000,2)</f>
        <v>8.9700000000000006</v>
      </c>
      <c r="R27" s="286">
        <v>0</v>
      </c>
      <c r="S27" s="288">
        <f t="shared" si="1"/>
        <v>16.82</v>
      </c>
      <c r="T27" s="285">
        <v>48</v>
      </c>
      <c r="U27" s="15" t="s">
        <v>4</v>
      </c>
    </row>
    <row r="28" spans="1:21" ht="20.100000000000001" customHeight="1">
      <c r="A28" s="283">
        <v>15</v>
      </c>
      <c r="B28" s="207" t="s">
        <v>3686</v>
      </c>
      <c r="C28" s="285">
        <f>'PART-A'!I1037</f>
        <v>78.33</v>
      </c>
      <c r="D28" s="285">
        <f>FF!I487</f>
        <v>0</v>
      </c>
      <c r="E28" s="285">
        <f>SF!I328</f>
        <v>0</v>
      </c>
      <c r="F28" s="285">
        <f t="shared" si="0"/>
        <v>78.33</v>
      </c>
      <c r="G28" s="285" t="s">
        <v>422</v>
      </c>
      <c r="H28" s="286">
        <v>0</v>
      </c>
      <c r="I28" s="15"/>
      <c r="J28" s="286">
        <v>0</v>
      </c>
      <c r="K28" s="283">
        <v>0</v>
      </c>
      <c r="L28" s="286">
        <v>0</v>
      </c>
      <c r="M28" s="15">
        <f>ROUND(F28*0.022,2)</f>
        <v>1.72</v>
      </c>
      <c r="N28" s="286">
        <v>0</v>
      </c>
      <c r="O28" s="286">
        <v>0</v>
      </c>
      <c r="P28" s="286">
        <v>0</v>
      </c>
      <c r="Q28" s="15">
        <f>ROUND(F28*512*0.1/1000,2)</f>
        <v>4.01</v>
      </c>
      <c r="R28" s="286">
        <v>0</v>
      </c>
      <c r="S28" s="288">
        <f t="shared" si="1"/>
        <v>16.61</v>
      </c>
      <c r="T28" s="285">
        <v>10.6</v>
      </c>
      <c r="U28" s="15" t="s">
        <v>4</v>
      </c>
    </row>
    <row r="29" spans="1:21" ht="20.100000000000001" hidden="1" customHeight="1">
      <c r="A29" s="283">
        <v>16</v>
      </c>
      <c r="B29" s="207" t="s">
        <v>1213</v>
      </c>
      <c r="C29" s="285">
        <f>'PART-A'!I1129</f>
        <v>0</v>
      </c>
      <c r="D29" s="285">
        <f>FF!I557</f>
        <v>0</v>
      </c>
      <c r="E29" s="285">
        <f>SF!I354</f>
        <v>0</v>
      </c>
      <c r="F29" s="285">
        <f t="shared" si="0"/>
        <v>0</v>
      </c>
      <c r="G29" s="285" t="s">
        <v>421</v>
      </c>
      <c r="H29" s="286">
        <v>0</v>
      </c>
      <c r="I29" s="286">
        <v>0</v>
      </c>
      <c r="J29" s="286">
        <v>0</v>
      </c>
      <c r="K29" s="283">
        <v>0</v>
      </c>
      <c r="L29" s="286">
        <v>0</v>
      </c>
      <c r="M29" s="15">
        <f>ROUND(F29*0.1*1.05,2)</f>
        <v>0</v>
      </c>
      <c r="N29" s="286">
        <v>0</v>
      </c>
      <c r="O29" s="286">
        <v>0</v>
      </c>
      <c r="P29" s="286">
        <v>0</v>
      </c>
      <c r="Q29" s="15">
        <f>ROUND(F29*110/1000,2)</f>
        <v>0</v>
      </c>
      <c r="R29" s="286">
        <v>0</v>
      </c>
      <c r="S29" s="288">
        <f t="shared" si="1"/>
        <v>0</v>
      </c>
      <c r="T29" s="285">
        <v>24</v>
      </c>
      <c r="U29" s="15" t="s">
        <v>4</v>
      </c>
    </row>
    <row r="30" spans="1:21" ht="20.100000000000001" hidden="1" customHeight="1">
      <c r="A30" s="283">
        <v>15</v>
      </c>
      <c r="B30" s="289" t="s">
        <v>1214</v>
      </c>
      <c r="C30" s="285">
        <f>'PART-A'!I1159</f>
        <v>0</v>
      </c>
      <c r="D30" s="285">
        <f>FF!I584</f>
        <v>0</v>
      </c>
      <c r="E30" s="285"/>
      <c r="F30" s="285">
        <f t="shared" si="0"/>
        <v>0</v>
      </c>
      <c r="G30" s="285" t="s">
        <v>422</v>
      </c>
      <c r="H30" s="286">
        <v>0</v>
      </c>
      <c r="I30" s="286">
        <v>0</v>
      </c>
      <c r="J30" s="286">
        <v>0</v>
      </c>
      <c r="K30" s="283">
        <v>0</v>
      </c>
      <c r="L30" s="286">
        <v>0</v>
      </c>
      <c r="M30" s="286">
        <v>0</v>
      </c>
      <c r="N30" s="15">
        <f>ROUND(F30*((0.015*1.05)+(0.025*1.05)),2)</f>
        <v>0</v>
      </c>
      <c r="O30" s="286">
        <v>0</v>
      </c>
      <c r="P30" s="286">
        <v>0</v>
      </c>
      <c r="Q30" s="286">
        <v>0</v>
      </c>
      <c r="R30" s="286">
        <v>0</v>
      </c>
      <c r="S30" s="288">
        <f t="shared" si="1"/>
        <v>0</v>
      </c>
      <c r="T30" s="285">
        <v>20.89</v>
      </c>
      <c r="U30" s="15" t="s">
        <v>4</v>
      </c>
    </row>
    <row r="31" spans="1:21" ht="20.100000000000001" customHeight="1">
      <c r="A31" s="283">
        <v>16</v>
      </c>
      <c r="B31" s="289" t="s">
        <v>137</v>
      </c>
      <c r="C31" s="285">
        <f>'PART-A'!I1200</f>
        <v>134.56000000000003</v>
      </c>
      <c r="D31" s="285">
        <f>FF!I621</f>
        <v>0</v>
      </c>
      <c r="E31" s="285">
        <f>SF!I382</f>
        <v>0</v>
      </c>
      <c r="F31" s="285">
        <f t="shared" si="0"/>
        <v>134.56000000000003</v>
      </c>
      <c r="G31" s="285" t="s">
        <v>422</v>
      </c>
      <c r="H31" s="286">
        <v>0</v>
      </c>
      <c r="I31" s="286">
        <v>0</v>
      </c>
      <c r="J31" s="286">
        <v>0</v>
      </c>
      <c r="K31" s="283">
        <v>0</v>
      </c>
      <c r="L31" s="286">
        <v>0</v>
      </c>
      <c r="M31" s="286">
        <v>0</v>
      </c>
      <c r="N31" s="15">
        <f>ROUND(F31*0.015*1.05,2)</f>
        <v>2.12</v>
      </c>
      <c r="O31" s="286">
        <v>0</v>
      </c>
      <c r="P31" s="286">
        <v>0</v>
      </c>
      <c r="Q31" s="286">
        <v>0</v>
      </c>
      <c r="R31" s="286">
        <v>0</v>
      </c>
      <c r="S31" s="288">
        <f t="shared" si="1"/>
        <v>19.38</v>
      </c>
      <c r="T31" s="285">
        <v>7.2</v>
      </c>
      <c r="U31" s="15" t="s">
        <v>4</v>
      </c>
    </row>
    <row r="32" spans="1:21" ht="20.100000000000001" hidden="1" customHeight="1">
      <c r="A32" s="283">
        <v>2</v>
      </c>
      <c r="B32" s="289" t="s">
        <v>238</v>
      </c>
      <c r="C32" s="285">
        <f>'PART-A'!I1272</f>
        <v>0</v>
      </c>
      <c r="D32" s="285">
        <f>FF!I686</f>
        <v>0</v>
      </c>
      <c r="E32" s="285">
        <f>SF!I412</f>
        <v>0</v>
      </c>
      <c r="F32" s="285">
        <f t="shared" si="0"/>
        <v>0</v>
      </c>
      <c r="G32" s="285" t="s">
        <v>422</v>
      </c>
      <c r="H32" s="286">
        <v>0</v>
      </c>
      <c r="I32" s="286">
        <v>0</v>
      </c>
      <c r="J32" s="286">
        <v>0</v>
      </c>
      <c r="K32" s="283">
        <v>0</v>
      </c>
      <c r="L32" s="286">
        <v>0</v>
      </c>
      <c r="M32" s="286">
        <v>0</v>
      </c>
      <c r="N32" s="15">
        <f>ROUND(F32*0.015*1.05,2)</f>
        <v>0</v>
      </c>
      <c r="O32" s="286">
        <v>0</v>
      </c>
      <c r="P32" s="286">
        <v>0</v>
      </c>
      <c r="Q32" s="286">
        <v>0</v>
      </c>
      <c r="R32" s="286">
        <v>0</v>
      </c>
      <c r="S32" s="288">
        <f t="shared" si="1"/>
        <v>0</v>
      </c>
      <c r="T32" s="285">
        <v>4.32</v>
      </c>
      <c r="U32" s="15" t="s">
        <v>4</v>
      </c>
    </row>
    <row r="33" spans="1:21" ht="20.100000000000001" hidden="1" customHeight="1">
      <c r="A33" s="283">
        <v>18</v>
      </c>
      <c r="B33" s="289" t="s">
        <v>604</v>
      </c>
      <c r="C33" s="285">
        <f>'PART-A'!I1299</f>
        <v>0</v>
      </c>
      <c r="D33" s="285">
        <f>FF!I718</f>
        <v>0</v>
      </c>
      <c r="E33" s="285">
        <f>SF!I444</f>
        <v>0</v>
      </c>
      <c r="F33" s="285">
        <f t="shared" si="0"/>
        <v>0</v>
      </c>
      <c r="G33" s="285" t="s">
        <v>422</v>
      </c>
      <c r="H33" s="286">
        <v>0</v>
      </c>
      <c r="I33" s="286">
        <v>0</v>
      </c>
      <c r="J33" s="286">
        <v>0</v>
      </c>
      <c r="K33" s="283">
        <v>0</v>
      </c>
      <c r="L33" s="286">
        <v>0</v>
      </c>
      <c r="M33" s="286">
        <v>0</v>
      </c>
      <c r="N33" s="15">
        <f>ROUND(F33*0.021*1.05,2)</f>
        <v>0</v>
      </c>
      <c r="O33" s="286">
        <v>0</v>
      </c>
      <c r="P33" s="286">
        <v>0</v>
      </c>
      <c r="Q33" s="286">
        <v>0</v>
      </c>
      <c r="R33" s="286">
        <v>0</v>
      </c>
      <c r="S33" s="288">
        <f t="shared" si="1"/>
        <v>0</v>
      </c>
      <c r="T33" s="285">
        <v>6.05</v>
      </c>
      <c r="U33" s="15" t="s">
        <v>4</v>
      </c>
    </row>
    <row r="34" spans="1:21" ht="20.100000000000001" customHeight="1">
      <c r="A34" s="283">
        <v>17</v>
      </c>
      <c r="B34" s="289" t="s">
        <v>904</v>
      </c>
      <c r="C34" s="285">
        <f>'PART-A'!I1350</f>
        <v>263.17999999999995</v>
      </c>
      <c r="D34" s="285">
        <f>FF!I770</f>
        <v>0</v>
      </c>
      <c r="E34" s="285">
        <f>SF!I480</f>
        <v>0</v>
      </c>
      <c r="F34" s="285">
        <f t="shared" si="0"/>
        <v>263.17999999999995</v>
      </c>
      <c r="G34" s="285" t="s">
        <v>422</v>
      </c>
      <c r="H34" s="286">
        <v>0</v>
      </c>
      <c r="I34" s="286">
        <v>0</v>
      </c>
      <c r="J34" s="286">
        <v>0</v>
      </c>
      <c r="K34" s="283">
        <v>0</v>
      </c>
      <c r="L34" s="286">
        <v>0</v>
      </c>
      <c r="M34" s="286">
        <v>0</v>
      </c>
      <c r="N34" s="15">
        <f>ROUND(F34*0.015*1,2)</f>
        <v>3.95</v>
      </c>
      <c r="O34" s="286">
        <v>0</v>
      </c>
      <c r="P34" s="286">
        <v>0</v>
      </c>
      <c r="Q34" s="286">
        <v>0</v>
      </c>
      <c r="R34" s="286">
        <v>0</v>
      </c>
      <c r="S34" s="288">
        <f t="shared" si="1"/>
        <v>26.79</v>
      </c>
      <c r="T34" s="285">
        <v>5.09</v>
      </c>
      <c r="U34" s="15" t="s">
        <v>4</v>
      </c>
    </row>
    <row r="35" spans="1:21" ht="20.100000000000001" customHeight="1">
      <c r="A35" s="283">
        <v>18</v>
      </c>
      <c r="B35" s="289" t="s">
        <v>603</v>
      </c>
      <c r="C35" s="285">
        <f>'PART-A'!I1457</f>
        <v>125.81</v>
      </c>
      <c r="D35" s="285">
        <f>FF!I865</f>
        <v>0</v>
      </c>
      <c r="E35" s="285">
        <f>SF!I515</f>
        <v>0</v>
      </c>
      <c r="F35" s="285">
        <f t="shared" si="0"/>
        <v>125.81</v>
      </c>
      <c r="G35" s="285" t="s">
        <v>422</v>
      </c>
      <c r="H35" s="286">
        <v>0</v>
      </c>
      <c r="I35" s="286">
        <v>0</v>
      </c>
      <c r="J35" s="286">
        <v>0</v>
      </c>
      <c r="K35" s="283">
        <v>0</v>
      </c>
      <c r="L35" s="286">
        <v>0</v>
      </c>
      <c r="M35" s="286">
        <v>0</v>
      </c>
      <c r="N35" s="15">
        <f>ROUND(F35*0.022*1,2)</f>
        <v>2.77</v>
      </c>
      <c r="O35" s="286">
        <v>0</v>
      </c>
      <c r="P35" s="286">
        <v>0</v>
      </c>
      <c r="Q35" s="286">
        <v>0</v>
      </c>
      <c r="R35" s="286">
        <v>0</v>
      </c>
      <c r="S35" s="288">
        <f t="shared" si="1"/>
        <v>14.47</v>
      </c>
      <c r="T35" s="285">
        <v>5.75</v>
      </c>
      <c r="U35" s="15" t="s">
        <v>4</v>
      </c>
    </row>
    <row r="36" spans="1:21" ht="20.100000000000001" hidden="1" customHeight="1">
      <c r="A36" s="283">
        <v>20</v>
      </c>
      <c r="B36" s="207" t="s">
        <v>447</v>
      </c>
      <c r="C36" s="285">
        <f>'PART-A'!I1509</f>
        <v>0</v>
      </c>
      <c r="D36" s="285">
        <f>FF!I911</f>
        <v>0</v>
      </c>
      <c r="E36" s="285">
        <f>SF!I544</f>
        <v>0</v>
      </c>
      <c r="F36" s="285">
        <f t="shared" si="0"/>
        <v>0</v>
      </c>
      <c r="G36" s="285" t="s">
        <v>421</v>
      </c>
      <c r="H36" s="286">
        <v>0</v>
      </c>
      <c r="I36" s="15">
        <f>ROUND(F36*0.8,2)</f>
        <v>0</v>
      </c>
      <c r="J36" s="286">
        <v>0</v>
      </c>
      <c r="K36" s="283">
        <v>0</v>
      </c>
      <c r="L36" s="15">
        <f>ROUND(F36*0.4,2)</f>
        <v>0</v>
      </c>
      <c r="M36" s="283">
        <v>0</v>
      </c>
      <c r="N36" s="283">
        <v>0</v>
      </c>
      <c r="O36" s="286">
        <v>0</v>
      </c>
      <c r="P36" s="286">
        <v>0</v>
      </c>
      <c r="Q36" s="286">
        <v>0</v>
      </c>
      <c r="R36" s="286">
        <v>0</v>
      </c>
      <c r="S36" s="288">
        <f t="shared" si="1"/>
        <v>0</v>
      </c>
      <c r="T36" s="285">
        <f>$T$11</f>
        <v>340</v>
      </c>
      <c r="U36" s="15" t="s">
        <v>4</v>
      </c>
    </row>
    <row r="37" spans="1:21" ht="20.100000000000001" hidden="1" customHeight="1">
      <c r="A37" s="283">
        <v>7</v>
      </c>
      <c r="B37" s="289" t="s">
        <v>241</v>
      </c>
      <c r="C37" s="285">
        <f>'PART-A'!I1544</f>
        <v>0</v>
      </c>
      <c r="D37" s="285">
        <f>FF!I939</f>
        <v>0</v>
      </c>
      <c r="E37" s="285">
        <f>SF!I565</f>
        <v>0</v>
      </c>
      <c r="F37" s="285">
        <f t="shared" si="0"/>
        <v>0</v>
      </c>
      <c r="G37" s="285" t="s">
        <v>422</v>
      </c>
      <c r="H37" s="286">
        <v>0</v>
      </c>
      <c r="I37" s="286">
        <v>0</v>
      </c>
      <c r="J37" s="286">
        <v>0</v>
      </c>
      <c r="K37" s="283">
        <v>0</v>
      </c>
      <c r="L37" s="286">
        <v>0</v>
      </c>
      <c r="M37" s="15">
        <f>ROUND(F37*0.014,2)</f>
        <v>0</v>
      </c>
      <c r="N37" s="286">
        <v>0</v>
      </c>
      <c r="O37" s="286">
        <v>0</v>
      </c>
      <c r="P37" s="286">
        <v>0</v>
      </c>
      <c r="Q37" s="286">
        <v>0</v>
      </c>
      <c r="R37" s="286">
        <v>0</v>
      </c>
      <c r="S37" s="288">
        <f t="shared" si="1"/>
        <v>0</v>
      </c>
      <c r="T37" s="285">
        <v>6.06</v>
      </c>
      <c r="U37" s="15" t="s">
        <v>4</v>
      </c>
    </row>
    <row r="38" spans="1:21" ht="20.100000000000001" hidden="1" customHeight="1">
      <c r="A38" s="283">
        <v>8</v>
      </c>
      <c r="B38" s="289" t="s">
        <v>242</v>
      </c>
      <c r="C38" s="285">
        <f>'PART-A'!I1600</f>
        <v>0</v>
      </c>
      <c r="D38" s="285">
        <f>FF!I970</f>
        <v>0</v>
      </c>
      <c r="E38" s="285">
        <f>SF!I590</f>
        <v>0</v>
      </c>
      <c r="F38" s="285">
        <f t="shared" si="0"/>
        <v>0</v>
      </c>
      <c r="G38" s="285" t="s">
        <v>422</v>
      </c>
      <c r="H38" s="286">
        <v>0</v>
      </c>
      <c r="I38" s="286">
        <v>0</v>
      </c>
      <c r="J38" s="286">
        <v>0</v>
      </c>
      <c r="K38" s="283">
        <v>0</v>
      </c>
      <c r="L38" s="286">
        <v>0</v>
      </c>
      <c r="M38" s="15">
        <f>ROUND(F38*0.012,2)</f>
        <v>0</v>
      </c>
      <c r="N38" s="286">
        <v>0</v>
      </c>
      <c r="O38" s="286">
        <v>0</v>
      </c>
      <c r="P38" s="286">
        <v>0</v>
      </c>
      <c r="Q38" s="286">
        <v>0</v>
      </c>
      <c r="R38" s="286">
        <v>0</v>
      </c>
      <c r="S38" s="288">
        <f t="shared" si="1"/>
        <v>0</v>
      </c>
      <c r="T38" s="290">
        <v>6.7560000000000002</v>
      </c>
      <c r="U38" s="15" t="s">
        <v>4</v>
      </c>
    </row>
    <row r="39" spans="1:21" ht="20.100000000000001" hidden="1" customHeight="1">
      <c r="A39" s="283">
        <v>19</v>
      </c>
      <c r="B39" s="289" t="s">
        <v>681</v>
      </c>
      <c r="C39" s="285">
        <f>'PART-A'!I1671</f>
        <v>0</v>
      </c>
      <c r="D39" s="285">
        <f>FF!I1009</f>
        <v>0</v>
      </c>
      <c r="E39" s="285">
        <f>SF!I618</f>
        <v>0</v>
      </c>
      <c r="F39" s="285">
        <f t="shared" si="0"/>
        <v>0</v>
      </c>
      <c r="G39" s="285" t="s">
        <v>422</v>
      </c>
      <c r="H39" s="286">
        <v>0</v>
      </c>
      <c r="I39" s="286">
        <v>0</v>
      </c>
      <c r="J39" s="286">
        <v>0</v>
      </c>
      <c r="K39" s="283">
        <v>0</v>
      </c>
      <c r="L39" s="286">
        <v>0</v>
      </c>
      <c r="M39" s="15">
        <f>ROUND(F39*0.014,2)</f>
        <v>0</v>
      </c>
      <c r="N39" s="286">
        <v>0</v>
      </c>
      <c r="O39" s="286">
        <v>0</v>
      </c>
      <c r="P39" s="286">
        <v>0</v>
      </c>
      <c r="Q39" s="286">
        <v>0</v>
      </c>
      <c r="R39" s="286">
        <v>0</v>
      </c>
      <c r="S39" s="288">
        <f t="shared" si="1"/>
        <v>0</v>
      </c>
      <c r="T39" s="285">
        <v>7.5</v>
      </c>
      <c r="U39" s="15" t="s">
        <v>4</v>
      </c>
    </row>
    <row r="40" spans="1:21" ht="20.100000000000001" hidden="1" customHeight="1">
      <c r="A40" s="283">
        <v>20</v>
      </c>
      <c r="B40" s="289" t="s">
        <v>682</v>
      </c>
      <c r="C40" s="285">
        <f>'PART-A'!I1724</f>
        <v>0</v>
      </c>
      <c r="D40" s="285">
        <f>FF!I1048</f>
        <v>0</v>
      </c>
      <c r="E40" s="285">
        <f>SF!I646</f>
        <v>0</v>
      </c>
      <c r="F40" s="285">
        <f t="shared" si="0"/>
        <v>0</v>
      </c>
      <c r="G40" s="285" t="s">
        <v>422</v>
      </c>
      <c r="H40" s="286">
        <v>0</v>
      </c>
      <c r="I40" s="286">
        <v>0</v>
      </c>
      <c r="J40" s="286">
        <v>0</v>
      </c>
      <c r="K40" s="283">
        <v>0</v>
      </c>
      <c r="L40" s="286">
        <v>0</v>
      </c>
      <c r="M40" s="15">
        <f>ROUND(F40*0.012,2)</f>
        <v>0</v>
      </c>
      <c r="N40" s="286">
        <v>0</v>
      </c>
      <c r="O40" s="286">
        <v>0</v>
      </c>
      <c r="P40" s="286">
        <v>0</v>
      </c>
      <c r="Q40" s="286">
        <v>0</v>
      </c>
      <c r="R40" s="286">
        <v>0</v>
      </c>
      <c r="S40" s="288">
        <f t="shared" si="1"/>
        <v>0</v>
      </c>
      <c r="T40" s="290">
        <v>9.06</v>
      </c>
      <c r="U40" s="15" t="s">
        <v>4</v>
      </c>
    </row>
    <row r="41" spans="1:21" ht="20.100000000000001" hidden="1" customHeight="1">
      <c r="A41" s="283">
        <v>37</v>
      </c>
      <c r="B41" s="289" t="s">
        <v>683</v>
      </c>
      <c r="C41" s="285">
        <f>'PART-A'!I1768</f>
        <v>0</v>
      </c>
      <c r="D41" s="285">
        <f>FF!I1089</f>
        <v>0</v>
      </c>
      <c r="E41" s="285">
        <f>SF!I674</f>
        <v>0</v>
      </c>
      <c r="F41" s="285">
        <f t="shared" si="0"/>
        <v>0</v>
      </c>
      <c r="G41" s="285" t="s">
        <v>422</v>
      </c>
      <c r="H41" s="286">
        <v>0</v>
      </c>
      <c r="I41" s="286">
        <v>0</v>
      </c>
      <c r="J41" s="286">
        <v>0</v>
      </c>
      <c r="K41" s="283">
        <v>0</v>
      </c>
      <c r="L41" s="286">
        <v>0</v>
      </c>
      <c r="M41" s="15">
        <f>ROUND(F41*0.014,2)</f>
        <v>0</v>
      </c>
      <c r="N41" s="286">
        <v>0</v>
      </c>
      <c r="O41" s="286">
        <v>0</v>
      </c>
      <c r="P41" s="286">
        <v>0</v>
      </c>
      <c r="Q41" s="286">
        <v>0</v>
      </c>
      <c r="R41" s="286">
        <v>0</v>
      </c>
      <c r="S41" s="288">
        <f t="shared" si="1"/>
        <v>0</v>
      </c>
      <c r="T41" s="285">
        <v>7.5</v>
      </c>
      <c r="U41" s="15" t="s">
        <v>4</v>
      </c>
    </row>
    <row r="42" spans="1:21" ht="20.100000000000001" hidden="1" customHeight="1">
      <c r="A42" s="283">
        <v>38</v>
      </c>
      <c r="B42" s="289" t="s">
        <v>684</v>
      </c>
      <c r="C42" s="285">
        <f>'PART-A'!I1798</f>
        <v>0</v>
      </c>
      <c r="D42" s="285">
        <f>FF!I1123</f>
        <v>0</v>
      </c>
      <c r="E42" s="285">
        <f>SF!I702</f>
        <v>0</v>
      </c>
      <c r="F42" s="285">
        <f t="shared" si="0"/>
        <v>0</v>
      </c>
      <c r="G42" s="285" t="s">
        <v>422</v>
      </c>
      <c r="H42" s="286">
        <v>0</v>
      </c>
      <c r="I42" s="286">
        <v>0</v>
      </c>
      <c r="J42" s="286">
        <v>0</v>
      </c>
      <c r="K42" s="283">
        <v>0</v>
      </c>
      <c r="L42" s="286">
        <v>0</v>
      </c>
      <c r="M42" s="15">
        <f>ROUND(F42*0.012,2)</f>
        <v>0</v>
      </c>
      <c r="N42" s="286">
        <v>0</v>
      </c>
      <c r="O42" s="286">
        <v>0</v>
      </c>
      <c r="P42" s="286">
        <v>0</v>
      </c>
      <c r="Q42" s="286">
        <v>0</v>
      </c>
      <c r="R42" s="286">
        <v>0</v>
      </c>
      <c r="S42" s="288">
        <f t="shared" si="1"/>
        <v>0</v>
      </c>
      <c r="T42" s="290">
        <v>6.7560000000000002</v>
      </c>
      <c r="U42" s="15" t="s">
        <v>4</v>
      </c>
    </row>
    <row r="43" spans="1:21" ht="20.100000000000001" hidden="1" customHeight="1">
      <c r="A43" s="283">
        <v>11</v>
      </c>
      <c r="B43" s="289" t="s">
        <v>239</v>
      </c>
      <c r="C43" s="285">
        <f>'PART-A'!I1825</f>
        <v>0</v>
      </c>
      <c r="D43" s="285">
        <f>FF!I1155</f>
        <v>0</v>
      </c>
      <c r="E43" s="285">
        <f>SF!I730</f>
        <v>0</v>
      </c>
      <c r="F43" s="285">
        <f t="shared" si="0"/>
        <v>0</v>
      </c>
      <c r="G43" s="285" t="s">
        <v>422</v>
      </c>
      <c r="H43" s="286">
        <v>0</v>
      </c>
      <c r="I43" s="286">
        <v>0</v>
      </c>
      <c r="J43" s="286">
        <v>0</v>
      </c>
      <c r="K43" s="283">
        <v>0</v>
      </c>
      <c r="L43" s="286">
        <v>0</v>
      </c>
      <c r="M43" s="15">
        <f>ROUND(F43*0.012,2)</f>
        <v>0</v>
      </c>
      <c r="N43" s="286">
        <v>0</v>
      </c>
      <c r="O43" s="286">
        <v>0</v>
      </c>
      <c r="P43" s="286">
        <v>0</v>
      </c>
      <c r="Q43" s="286">
        <v>0</v>
      </c>
      <c r="R43" s="286">
        <v>0</v>
      </c>
      <c r="S43" s="288">
        <f t="shared" si="1"/>
        <v>0</v>
      </c>
      <c r="T43" s="285">
        <v>5.46</v>
      </c>
      <c r="U43" s="15" t="s">
        <v>4</v>
      </c>
    </row>
    <row r="44" spans="1:21" ht="20.100000000000001" hidden="1" customHeight="1">
      <c r="A44" s="283">
        <v>12</v>
      </c>
      <c r="B44" s="289" t="s">
        <v>240</v>
      </c>
      <c r="C44" s="285">
        <f>'PART-A'!I1849</f>
        <v>0</v>
      </c>
      <c r="D44" s="285">
        <f>FF!I1182</f>
        <v>0</v>
      </c>
      <c r="E44" s="285">
        <f>SF!I757</f>
        <v>0</v>
      </c>
      <c r="F44" s="285">
        <f t="shared" si="0"/>
        <v>0</v>
      </c>
      <c r="G44" s="285" t="s">
        <v>422</v>
      </c>
      <c r="H44" s="286">
        <v>0</v>
      </c>
      <c r="I44" s="286">
        <v>0</v>
      </c>
      <c r="J44" s="286">
        <v>0</v>
      </c>
      <c r="K44" s="283">
        <v>0</v>
      </c>
      <c r="L44" s="286">
        <v>0</v>
      </c>
      <c r="M44" s="15">
        <f>ROUND(F44*0.012,2)</f>
        <v>0</v>
      </c>
      <c r="N44" s="286">
        <v>0</v>
      </c>
      <c r="O44" s="286">
        <v>0</v>
      </c>
      <c r="P44" s="286">
        <v>0</v>
      </c>
      <c r="Q44" s="286">
        <v>0</v>
      </c>
      <c r="R44" s="286">
        <v>0</v>
      </c>
      <c r="S44" s="288">
        <f t="shared" si="1"/>
        <v>0</v>
      </c>
      <c r="T44" s="285">
        <v>9.06</v>
      </c>
      <c r="U44" s="15" t="s">
        <v>4</v>
      </c>
    </row>
    <row r="45" spans="1:21" ht="20.100000000000001" hidden="1" customHeight="1">
      <c r="A45" s="283">
        <v>21</v>
      </c>
      <c r="B45" s="289" t="s">
        <v>1215</v>
      </c>
      <c r="C45" s="285">
        <f>'PART-A'!I1876</f>
        <v>0</v>
      </c>
      <c r="D45" s="285">
        <f>FF!I1217</f>
        <v>0</v>
      </c>
      <c r="E45" s="285">
        <f>SF!I781</f>
        <v>0</v>
      </c>
      <c r="F45" s="285">
        <f t="shared" si="0"/>
        <v>0</v>
      </c>
      <c r="G45" s="285" t="s">
        <v>422</v>
      </c>
      <c r="H45" s="286">
        <v>0</v>
      </c>
      <c r="I45" s="286">
        <v>0</v>
      </c>
      <c r="J45" s="286">
        <v>0</v>
      </c>
      <c r="K45" s="283">
        <v>0</v>
      </c>
      <c r="L45" s="286">
        <v>0</v>
      </c>
      <c r="M45" s="15">
        <f>ROUND(F45*0.008*1,2)</f>
        <v>0</v>
      </c>
      <c r="N45" s="286">
        <v>0</v>
      </c>
      <c r="O45" s="286">
        <v>0</v>
      </c>
      <c r="P45" s="286">
        <v>0</v>
      </c>
      <c r="Q45" s="286">
        <v>0</v>
      </c>
      <c r="R45" s="286">
        <v>0</v>
      </c>
      <c r="S45" s="288">
        <f t="shared" si="1"/>
        <v>0</v>
      </c>
      <c r="T45" s="285">
        <v>2.76</v>
      </c>
      <c r="U45" s="15" t="s">
        <v>4</v>
      </c>
    </row>
    <row r="46" spans="1:21" ht="20.100000000000001" hidden="1" customHeight="1">
      <c r="A46" s="283">
        <v>5</v>
      </c>
      <c r="B46" s="207" t="s">
        <v>2270</v>
      </c>
      <c r="C46" s="285">
        <f>'PART-A'!I1931</f>
        <v>0</v>
      </c>
      <c r="D46" s="285"/>
      <c r="E46" s="285"/>
      <c r="F46" s="285">
        <f t="shared" ref="F46" si="4">SUM(C46:E46)</f>
        <v>0</v>
      </c>
      <c r="G46" s="285" t="s">
        <v>421</v>
      </c>
      <c r="H46" s="286">
        <v>0</v>
      </c>
      <c r="I46" s="15">
        <f>ROUND(F46*0.017,2)</f>
        <v>0</v>
      </c>
      <c r="J46" s="286">
        <v>0</v>
      </c>
      <c r="K46" s="283">
        <v>0</v>
      </c>
      <c r="L46" s="15">
        <f>ROUND(F46*0.009,2)</f>
        <v>0</v>
      </c>
      <c r="M46" s="283">
        <v>0</v>
      </c>
      <c r="N46" s="283">
        <v>0</v>
      </c>
      <c r="O46" s="286">
        <v>0</v>
      </c>
      <c r="P46" s="286">
        <v>0</v>
      </c>
      <c r="Q46" s="286">
        <v>0</v>
      </c>
      <c r="R46" s="286">
        <v>0</v>
      </c>
      <c r="S46" s="288">
        <f t="shared" si="1"/>
        <v>0</v>
      </c>
      <c r="T46" s="285">
        <v>12</v>
      </c>
      <c r="U46" s="15" t="s">
        <v>4</v>
      </c>
    </row>
    <row r="47" spans="1:21" ht="18" hidden="1" customHeight="1">
      <c r="A47" s="283"/>
      <c r="B47" s="289"/>
      <c r="C47" s="289"/>
      <c r="D47" s="289"/>
      <c r="E47" s="289"/>
      <c r="F47" s="285"/>
      <c r="G47" s="285"/>
      <c r="H47" s="15"/>
      <c r="I47" s="15"/>
      <c r="J47" s="15"/>
      <c r="K47" s="15"/>
      <c r="L47" s="15"/>
      <c r="M47" s="15"/>
      <c r="N47" s="286"/>
      <c r="O47" s="15"/>
      <c r="P47" s="15"/>
      <c r="Q47" s="286"/>
      <c r="R47" s="15"/>
      <c r="S47" s="15"/>
      <c r="T47" s="285"/>
      <c r="U47" s="15"/>
    </row>
    <row r="48" spans="1:21">
      <c r="A48" s="207"/>
      <c r="B48" s="82" t="s">
        <v>103</v>
      </c>
      <c r="C48" s="207"/>
      <c r="D48" s="207"/>
      <c r="E48" s="207"/>
      <c r="F48" s="619">
        <v>1</v>
      </c>
      <c r="G48" s="207"/>
      <c r="H48" s="210">
        <f t="shared" ref="H48:S48" si="5">SUM(H5:H47)</f>
        <v>18.53</v>
      </c>
      <c r="I48" s="210">
        <f t="shared" si="5"/>
        <v>38.409999999999997</v>
      </c>
      <c r="J48" s="210">
        <f t="shared" si="5"/>
        <v>0</v>
      </c>
      <c r="K48" s="210">
        <f t="shared" si="5"/>
        <v>0</v>
      </c>
      <c r="L48" s="210">
        <f t="shared" si="5"/>
        <v>28.47</v>
      </c>
      <c r="M48" s="210">
        <f t="shared" si="5"/>
        <v>9.73</v>
      </c>
      <c r="N48" s="210">
        <f t="shared" si="5"/>
        <v>8.84</v>
      </c>
      <c r="O48" s="210">
        <f t="shared" si="5"/>
        <v>87.509999999999991</v>
      </c>
      <c r="P48" s="210">
        <f t="shared" si="5"/>
        <v>17.93</v>
      </c>
      <c r="Q48" s="210">
        <f t="shared" si="5"/>
        <v>24.54</v>
      </c>
      <c r="R48" s="210">
        <f t="shared" si="5"/>
        <v>0</v>
      </c>
      <c r="S48" s="210">
        <f t="shared" si="5"/>
        <v>503.44</v>
      </c>
      <c r="T48" s="291" t="s">
        <v>142</v>
      </c>
      <c r="U48" s="207"/>
    </row>
    <row r="49" spans="1:21" s="533" customFormat="1" ht="15.75" hidden="1">
      <c r="A49" s="888"/>
      <c r="B49" s="889" t="s">
        <v>2016</v>
      </c>
      <c r="C49" s="890"/>
      <c r="D49" s="891"/>
      <c r="E49" s="892"/>
      <c r="F49" s="619">
        <v>1</v>
      </c>
      <c r="G49" s="893"/>
      <c r="H49" s="888"/>
      <c r="I49" s="894"/>
      <c r="J49" s="895"/>
      <c r="K49" s="888"/>
      <c r="L49" s="893"/>
      <c r="M49" s="888"/>
    </row>
    <row r="50" spans="1:21" ht="18" hidden="1" customHeight="1">
      <c r="A50" s="283">
        <v>1</v>
      </c>
      <c r="B50" s="207" t="s">
        <v>101</v>
      </c>
      <c r="C50" s="284"/>
      <c r="D50" s="207"/>
      <c r="E50" s="207"/>
      <c r="F50" s="285">
        <f>C50+D50</f>
        <v>0</v>
      </c>
      <c r="G50" s="285" t="s">
        <v>421</v>
      </c>
      <c r="H50" s="283">
        <v>0</v>
      </c>
      <c r="I50" s="283">
        <v>0</v>
      </c>
      <c r="J50" s="283">
        <v>0</v>
      </c>
      <c r="K50" s="283">
        <v>0</v>
      </c>
      <c r="L50" s="283">
        <v>0</v>
      </c>
      <c r="M50" s="283">
        <v>0</v>
      </c>
      <c r="N50" s="283">
        <v>0</v>
      </c>
      <c r="O50" s="286">
        <v>0</v>
      </c>
      <c r="P50" s="286">
        <v>0</v>
      </c>
      <c r="Q50" s="283">
        <v>0</v>
      </c>
      <c r="R50" s="15">
        <f>F50</f>
        <v>0</v>
      </c>
      <c r="S50" s="287">
        <v>0</v>
      </c>
      <c r="T50" s="207">
        <v>0</v>
      </c>
      <c r="U50" s="207"/>
    </row>
    <row r="51" spans="1:21" ht="20.100000000000001" hidden="1" customHeight="1">
      <c r="A51" s="283">
        <v>1</v>
      </c>
      <c r="B51" s="207" t="s">
        <v>135</v>
      </c>
      <c r="C51" s="285">
        <f>'PART-A'!I264</f>
        <v>0</v>
      </c>
      <c r="D51" s="207"/>
      <c r="E51" s="207"/>
      <c r="F51" s="285">
        <f t="shared" ref="F51:F91" si="6">SUM(C51:E51)</f>
        <v>0</v>
      </c>
      <c r="G51" s="285" t="s">
        <v>421</v>
      </c>
      <c r="H51" s="283">
        <v>0</v>
      </c>
      <c r="I51" s="283">
        <v>0</v>
      </c>
      <c r="J51" s="283">
        <v>0</v>
      </c>
      <c r="K51" s="283">
        <v>0</v>
      </c>
      <c r="L51" s="283">
        <v>0</v>
      </c>
      <c r="M51" s="283">
        <v>0</v>
      </c>
      <c r="N51" s="283">
        <v>0</v>
      </c>
      <c r="O51" s="15">
        <f>F51</f>
        <v>0</v>
      </c>
      <c r="P51" s="286">
        <v>0</v>
      </c>
      <c r="Q51" s="283">
        <v>0</v>
      </c>
      <c r="R51" s="286">
        <v>0</v>
      </c>
      <c r="S51" s="287">
        <v>0</v>
      </c>
      <c r="T51" s="207">
        <v>0</v>
      </c>
      <c r="U51" s="207"/>
    </row>
    <row r="52" spans="1:21" ht="20.100000000000001" hidden="1" customHeight="1">
      <c r="A52" s="283">
        <v>8</v>
      </c>
      <c r="B52" s="207" t="s">
        <v>1191</v>
      </c>
      <c r="C52" s="285">
        <f>'PART-A'!I195</f>
        <v>0</v>
      </c>
      <c r="D52" s="207"/>
      <c r="E52" s="207"/>
      <c r="F52" s="285">
        <f t="shared" si="6"/>
        <v>0</v>
      </c>
      <c r="G52" s="285" t="s">
        <v>421</v>
      </c>
      <c r="H52" s="283">
        <v>0</v>
      </c>
      <c r="I52" s="283">
        <v>0</v>
      </c>
      <c r="J52" s="283">
        <v>0</v>
      </c>
      <c r="K52" s="283">
        <v>0</v>
      </c>
      <c r="L52" s="283">
        <v>0</v>
      </c>
      <c r="M52" s="283">
        <v>0</v>
      </c>
      <c r="N52" s="283">
        <v>0</v>
      </c>
      <c r="O52" s="286">
        <v>0</v>
      </c>
      <c r="P52" s="15">
        <f>F52</f>
        <v>0</v>
      </c>
      <c r="Q52" s="283">
        <v>0</v>
      </c>
      <c r="R52" s="286">
        <v>0</v>
      </c>
      <c r="S52" s="287">
        <v>0</v>
      </c>
      <c r="T52" s="207">
        <v>0</v>
      </c>
      <c r="U52" s="207"/>
    </row>
    <row r="53" spans="1:21" ht="20.100000000000001" hidden="1" customHeight="1">
      <c r="A53" s="283">
        <v>4</v>
      </c>
      <c r="B53" s="207" t="s">
        <v>663</v>
      </c>
      <c r="C53" s="285">
        <f>'PART-A'!I219</f>
        <v>0</v>
      </c>
      <c r="D53" s="207"/>
      <c r="E53" s="207"/>
      <c r="F53" s="285">
        <f t="shared" si="6"/>
        <v>0</v>
      </c>
      <c r="G53" s="285" t="s">
        <v>421</v>
      </c>
      <c r="H53" s="283">
        <v>0</v>
      </c>
      <c r="I53" s="283">
        <v>0</v>
      </c>
      <c r="J53" s="283">
        <v>0</v>
      </c>
      <c r="K53" s="283">
        <v>0</v>
      </c>
      <c r="L53" s="283">
        <v>0</v>
      </c>
      <c r="M53" s="283">
        <v>0</v>
      </c>
      <c r="N53" s="283">
        <v>0</v>
      </c>
      <c r="O53" s="286">
        <v>0</v>
      </c>
      <c r="P53" s="15"/>
      <c r="Q53" s="283">
        <v>0</v>
      </c>
      <c r="R53" s="15">
        <f>F53</f>
        <v>0</v>
      </c>
      <c r="S53" s="287">
        <v>0</v>
      </c>
      <c r="T53" s="207">
        <v>0</v>
      </c>
      <c r="U53" s="207"/>
    </row>
    <row r="54" spans="1:21" ht="20.100000000000001" hidden="1" customHeight="1">
      <c r="A54" s="283">
        <v>9</v>
      </c>
      <c r="B54" s="207" t="s">
        <v>235</v>
      </c>
      <c r="C54" s="285">
        <f>'PART-A'!I127</f>
        <v>0</v>
      </c>
      <c r="D54" s="207"/>
      <c r="E54" s="207"/>
      <c r="F54" s="285">
        <f t="shared" si="6"/>
        <v>0</v>
      </c>
      <c r="G54" s="285" t="s">
        <v>421</v>
      </c>
      <c r="H54" s="15">
        <f>ROUND(F54*0.9,2)</f>
        <v>0</v>
      </c>
      <c r="I54" s="286">
        <v>0</v>
      </c>
      <c r="J54" s="286">
        <v>0</v>
      </c>
      <c r="K54" s="283">
        <v>0</v>
      </c>
      <c r="L54" s="15">
        <f>ROUND(F54*0.45,2)</f>
        <v>0</v>
      </c>
      <c r="M54" s="283">
        <v>0</v>
      </c>
      <c r="N54" s="283">
        <v>0</v>
      </c>
      <c r="O54" s="286">
        <v>0</v>
      </c>
      <c r="P54" s="286">
        <v>0</v>
      </c>
      <c r="Q54" s="286">
        <v>0</v>
      </c>
      <c r="R54" s="286">
        <v>0</v>
      </c>
      <c r="S54" s="288">
        <f t="shared" ref="S54:S91" si="7">ROUND(F54*T54/50,2)</f>
        <v>0</v>
      </c>
      <c r="T54" s="285">
        <v>162</v>
      </c>
      <c r="U54" s="15" t="s">
        <v>4</v>
      </c>
    </row>
    <row r="55" spans="1:21" ht="20.100000000000001" hidden="1" customHeight="1">
      <c r="A55" s="283">
        <v>6</v>
      </c>
      <c r="B55" s="207" t="s">
        <v>446</v>
      </c>
      <c r="C55" s="285">
        <f>'PART-A'!I164</f>
        <v>0</v>
      </c>
      <c r="D55" s="207"/>
      <c r="E55" s="207"/>
      <c r="F55" s="285">
        <f t="shared" si="6"/>
        <v>0</v>
      </c>
      <c r="G55" s="285" t="s">
        <v>421</v>
      </c>
      <c r="H55" s="15">
        <f>ROUND(F55*0.9,2)</f>
        <v>0</v>
      </c>
      <c r="I55" s="286">
        <v>0</v>
      </c>
      <c r="J55" s="286">
        <v>0</v>
      </c>
      <c r="K55" s="283">
        <v>0</v>
      </c>
      <c r="L55" s="15">
        <f>ROUND(F55*0.45,2)</f>
        <v>0</v>
      </c>
      <c r="M55" s="283">
        <v>0</v>
      </c>
      <c r="N55" s="283">
        <v>0</v>
      </c>
      <c r="O55" s="286">
        <v>0</v>
      </c>
      <c r="P55" s="286">
        <v>0</v>
      </c>
      <c r="Q55" s="286">
        <v>0</v>
      </c>
      <c r="R55" s="286">
        <v>0</v>
      </c>
      <c r="S55" s="288">
        <f t="shared" si="7"/>
        <v>0</v>
      </c>
      <c r="T55" s="285">
        <v>129.6</v>
      </c>
      <c r="U55" s="15" t="s">
        <v>4</v>
      </c>
    </row>
    <row r="56" spans="1:21" ht="20.100000000000001" hidden="1" customHeight="1">
      <c r="A56" s="283">
        <v>3</v>
      </c>
      <c r="B56" s="207" t="s">
        <v>132</v>
      </c>
      <c r="C56" s="285">
        <f>'PART-A'!I332</f>
        <v>0</v>
      </c>
      <c r="D56" s="207"/>
      <c r="E56" s="207"/>
      <c r="F56" s="285">
        <f t="shared" si="6"/>
        <v>0</v>
      </c>
      <c r="G56" s="285" t="s">
        <v>421</v>
      </c>
      <c r="H56" s="286">
        <v>0</v>
      </c>
      <c r="I56" s="15">
        <f t="shared" ref="I56:I66" si="8">ROUND(F56*0.8,2)</f>
        <v>0</v>
      </c>
      <c r="J56" s="286">
        <v>0</v>
      </c>
      <c r="K56" s="283">
        <v>0</v>
      </c>
      <c r="L56" s="15">
        <f t="shared" ref="L56:L66" si="9">ROUND(F56*0.4,2)</f>
        <v>0</v>
      </c>
      <c r="M56" s="283">
        <v>0</v>
      </c>
      <c r="N56" s="283">
        <v>0</v>
      </c>
      <c r="O56" s="286">
        <v>0</v>
      </c>
      <c r="P56" s="286">
        <v>0</v>
      </c>
      <c r="Q56" s="286">
        <v>0</v>
      </c>
      <c r="R56" s="286">
        <v>0</v>
      </c>
      <c r="S56" s="288">
        <f t="shared" si="7"/>
        <v>0</v>
      </c>
      <c r="T56" s="285">
        <f>data!E1026</f>
        <v>340</v>
      </c>
      <c r="U56" s="15" t="s">
        <v>4</v>
      </c>
    </row>
    <row r="57" spans="1:21" ht="20.100000000000001" hidden="1" customHeight="1">
      <c r="A57" s="283">
        <v>4</v>
      </c>
      <c r="B57" s="207" t="s">
        <v>133</v>
      </c>
      <c r="C57" s="285">
        <f>'PART-A'!I353</f>
        <v>0</v>
      </c>
      <c r="D57" s="207"/>
      <c r="E57" s="207"/>
      <c r="F57" s="285">
        <f t="shared" si="6"/>
        <v>0</v>
      </c>
      <c r="G57" s="285" t="s">
        <v>421</v>
      </c>
      <c r="H57" s="286">
        <v>0</v>
      </c>
      <c r="I57" s="15">
        <f t="shared" si="8"/>
        <v>0</v>
      </c>
      <c r="J57" s="286">
        <v>0</v>
      </c>
      <c r="K57" s="283">
        <v>0</v>
      </c>
      <c r="L57" s="15">
        <f t="shared" si="9"/>
        <v>0</v>
      </c>
      <c r="M57" s="283">
        <v>0</v>
      </c>
      <c r="N57" s="283">
        <v>0</v>
      </c>
      <c r="O57" s="286">
        <v>0</v>
      </c>
      <c r="P57" s="286">
        <v>0</v>
      </c>
      <c r="Q57" s="286">
        <v>0</v>
      </c>
      <c r="R57" s="286">
        <v>0</v>
      </c>
      <c r="S57" s="288">
        <f t="shared" si="7"/>
        <v>0</v>
      </c>
      <c r="T57" s="285">
        <f>$T$56</f>
        <v>340</v>
      </c>
      <c r="U57" s="15" t="s">
        <v>4</v>
      </c>
    </row>
    <row r="58" spans="1:21" ht="20.100000000000001" hidden="1" customHeight="1">
      <c r="A58" s="283">
        <v>5</v>
      </c>
      <c r="B58" s="207" t="s">
        <v>127</v>
      </c>
      <c r="C58" s="285">
        <f>'PART-A'!I387</f>
        <v>0</v>
      </c>
      <c r="D58" s="285">
        <f>FF!I21</f>
        <v>0</v>
      </c>
      <c r="E58" s="285">
        <f>SF!I21</f>
        <v>0</v>
      </c>
      <c r="F58" s="285">
        <f t="shared" si="6"/>
        <v>0</v>
      </c>
      <c r="G58" s="285" t="s">
        <v>421</v>
      </c>
      <c r="H58" s="286">
        <v>0</v>
      </c>
      <c r="I58" s="15">
        <f t="shared" si="8"/>
        <v>0</v>
      </c>
      <c r="J58" s="286">
        <v>0</v>
      </c>
      <c r="K58" s="283">
        <v>0</v>
      </c>
      <c r="L58" s="15">
        <f t="shared" si="9"/>
        <v>0</v>
      </c>
      <c r="M58" s="283">
        <v>0</v>
      </c>
      <c r="N58" s="283">
        <v>0</v>
      </c>
      <c r="O58" s="286">
        <v>0</v>
      </c>
      <c r="P58" s="286">
        <v>0</v>
      </c>
      <c r="Q58" s="286">
        <v>0</v>
      </c>
      <c r="R58" s="286">
        <v>0</v>
      </c>
      <c r="S58" s="288">
        <f t="shared" si="7"/>
        <v>0</v>
      </c>
      <c r="T58" s="285">
        <f>$T$56</f>
        <v>340</v>
      </c>
      <c r="U58" s="15" t="s">
        <v>4</v>
      </c>
    </row>
    <row r="59" spans="1:21" ht="20.100000000000001" hidden="1" customHeight="1">
      <c r="A59" s="283">
        <v>6</v>
      </c>
      <c r="B59" s="207" t="s">
        <v>128</v>
      </c>
      <c r="C59" s="285">
        <f>'PART-A'!I441</f>
        <v>0</v>
      </c>
      <c r="D59" s="207"/>
      <c r="E59" s="207"/>
      <c r="F59" s="285">
        <f t="shared" si="6"/>
        <v>0</v>
      </c>
      <c r="G59" s="285" t="s">
        <v>421</v>
      </c>
      <c r="H59" s="286">
        <v>0</v>
      </c>
      <c r="I59" s="15">
        <f t="shared" si="8"/>
        <v>0</v>
      </c>
      <c r="J59" s="286">
        <v>0</v>
      </c>
      <c r="K59" s="283">
        <v>0</v>
      </c>
      <c r="L59" s="15">
        <f t="shared" si="9"/>
        <v>0</v>
      </c>
      <c r="M59" s="283">
        <v>0</v>
      </c>
      <c r="N59" s="283">
        <v>0</v>
      </c>
      <c r="O59" s="286">
        <v>0</v>
      </c>
      <c r="P59" s="286">
        <v>0</v>
      </c>
      <c r="Q59" s="286">
        <v>0</v>
      </c>
      <c r="R59" s="286">
        <v>0</v>
      </c>
      <c r="S59" s="288">
        <f t="shared" si="7"/>
        <v>0</v>
      </c>
      <c r="T59" s="285">
        <f>$T$56</f>
        <v>340</v>
      </c>
      <c r="U59" s="15" t="s">
        <v>4</v>
      </c>
    </row>
    <row r="60" spans="1:21" ht="20.100000000000001" hidden="1" customHeight="1">
      <c r="A60" s="283">
        <v>10</v>
      </c>
      <c r="B60" s="207" t="s">
        <v>131</v>
      </c>
      <c r="C60" s="285">
        <f>'PART-A'!I501</f>
        <v>0</v>
      </c>
      <c r="D60" s="285">
        <f>FF!I74</f>
        <v>0</v>
      </c>
      <c r="E60" s="285">
        <f>SF!I45</f>
        <v>0</v>
      </c>
      <c r="F60" s="285">
        <f t="shared" si="6"/>
        <v>0</v>
      </c>
      <c r="G60" s="285" t="s">
        <v>421</v>
      </c>
      <c r="H60" s="286">
        <v>0</v>
      </c>
      <c r="I60" s="15">
        <f t="shared" si="8"/>
        <v>0</v>
      </c>
      <c r="J60" s="286">
        <v>0</v>
      </c>
      <c r="K60" s="283">
        <v>0</v>
      </c>
      <c r="L60" s="15">
        <f t="shared" si="9"/>
        <v>0</v>
      </c>
      <c r="M60" s="283">
        <v>0</v>
      </c>
      <c r="N60" s="283">
        <v>0</v>
      </c>
      <c r="O60" s="286">
        <v>0</v>
      </c>
      <c r="P60" s="286">
        <v>0</v>
      </c>
      <c r="Q60" s="286">
        <v>0</v>
      </c>
      <c r="R60" s="286">
        <v>0</v>
      </c>
      <c r="S60" s="288">
        <f t="shared" si="7"/>
        <v>0</v>
      </c>
      <c r="T60" s="285">
        <f>$T$56</f>
        <v>340</v>
      </c>
      <c r="U60" s="15" t="s">
        <v>4</v>
      </c>
    </row>
    <row r="61" spans="1:21" ht="20.100000000000001" hidden="1" customHeight="1">
      <c r="A61" s="283">
        <v>14</v>
      </c>
      <c r="B61" s="289" t="s">
        <v>236</v>
      </c>
      <c r="C61" s="285">
        <f>ROUND('PART-A'!I550*0.15,2)</f>
        <v>0</v>
      </c>
      <c r="D61" s="285">
        <f>ROUND(FF!I120*0.15,2)</f>
        <v>0</v>
      </c>
      <c r="E61" s="285">
        <f>ROUND(SF!I69*0.15,2)</f>
        <v>0</v>
      </c>
      <c r="F61" s="285">
        <f t="shared" si="6"/>
        <v>0</v>
      </c>
      <c r="G61" s="285" t="s">
        <v>422</v>
      </c>
      <c r="H61" s="286">
        <v>0</v>
      </c>
      <c r="I61" s="15">
        <f t="shared" si="8"/>
        <v>0</v>
      </c>
      <c r="J61" s="286">
        <v>0</v>
      </c>
      <c r="K61" s="283">
        <v>0</v>
      </c>
      <c r="L61" s="15">
        <f t="shared" si="9"/>
        <v>0</v>
      </c>
      <c r="M61" s="283">
        <v>0</v>
      </c>
      <c r="N61" s="283">
        <v>0</v>
      </c>
      <c r="O61" s="286">
        <v>0</v>
      </c>
      <c r="P61" s="286">
        <v>0</v>
      </c>
      <c r="Q61" s="286">
        <v>0</v>
      </c>
      <c r="R61" s="286">
        <v>0</v>
      </c>
      <c r="S61" s="288">
        <f t="shared" si="7"/>
        <v>0</v>
      </c>
      <c r="T61" s="285">
        <f>ROUND(T60,2)</f>
        <v>340</v>
      </c>
      <c r="U61" s="15" t="s">
        <v>4</v>
      </c>
    </row>
    <row r="62" spans="1:21" ht="20.100000000000001" hidden="1" customHeight="1">
      <c r="A62" s="283">
        <v>11</v>
      </c>
      <c r="B62" s="289" t="s">
        <v>237</v>
      </c>
      <c r="C62" s="285">
        <f>ROUND('PART-A'!I573*0.125,2)</f>
        <v>0</v>
      </c>
      <c r="D62" s="285">
        <f>ROUND(FF!I146*0.125,2)</f>
        <v>0</v>
      </c>
      <c r="E62" s="285">
        <f>ROUND(SF!I91*0.125,2)</f>
        <v>0</v>
      </c>
      <c r="F62" s="285">
        <f t="shared" si="6"/>
        <v>0</v>
      </c>
      <c r="G62" s="285" t="s">
        <v>422</v>
      </c>
      <c r="H62" s="286">
        <v>0</v>
      </c>
      <c r="I62" s="15">
        <f t="shared" si="8"/>
        <v>0</v>
      </c>
      <c r="J62" s="286">
        <v>0</v>
      </c>
      <c r="K62" s="283">
        <v>0</v>
      </c>
      <c r="L62" s="15">
        <f t="shared" si="9"/>
        <v>0</v>
      </c>
      <c r="M62" s="283">
        <v>0</v>
      </c>
      <c r="N62" s="283">
        <v>0</v>
      </c>
      <c r="O62" s="286">
        <v>0</v>
      </c>
      <c r="P62" s="286">
        <v>0</v>
      </c>
      <c r="Q62" s="286">
        <v>0</v>
      </c>
      <c r="R62" s="286">
        <v>0</v>
      </c>
      <c r="S62" s="288">
        <f t="shared" si="7"/>
        <v>0</v>
      </c>
      <c r="T62" s="285">
        <f>ROUND(T60,2)</f>
        <v>340</v>
      </c>
      <c r="U62" s="15" t="s">
        <v>4</v>
      </c>
    </row>
    <row r="63" spans="1:21" ht="20.100000000000001" hidden="1" customHeight="1">
      <c r="A63" s="283">
        <v>12</v>
      </c>
      <c r="B63" s="289" t="s">
        <v>605</v>
      </c>
      <c r="C63" s="285">
        <f>ROUND('PART-A'!I598*0.1,2)</f>
        <v>0</v>
      </c>
      <c r="D63" s="285">
        <f>ROUND(FF!I169*0.1,2)</f>
        <v>0</v>
      </c>
      <c r="E63" s="285">
        <f>ROUND(SF!I111*0.1,2)</f>
        <v>0</v>
      </c>
      <c r="F63" s="285">
        <f t="shared" si="6"/>
        <v>0</v>
      </c>
      <c r="G63" s="285" t="s">
        <v>422</v>
      </c>
      <c r="H63" s="286">
        <v>0</v>
      </c>
      <c r="I63" s="15">
        <f t="shared" si="8"/>
        <v>0</v>
      </c>
      <c r="J63" s="286">
        <v>0</v>
      </c>
      <c r="K63" s="283">
        <v>0</v>
      </c>
      <c r="L63" s="15">
        <f t="shared" si="9"/>
        <v>0</v>
      </c>
      <c r="M63" s="283">
        <v>0</v>
      </c>
      <c r="N63" s="283">
        <v>0</v>
      </c>
      <c r="O63" s="286">
        <v>0</v>
      </c>
      <c r="P63" s="286">
        <v>0</v>
      </c>
      <c r="Q63" s="286">
        <v>0</v>
      </c>
      <c r="R63" s="286">
        <v>0</v>
      </c>
      <c r="S63" s="288">
        <f t="shared" si="7"/>
        <v>0</v>
      </c>
      <c r="T63" s="285">
        <f>T62</f>
        <v>340</v>
      </c>
      <c r="U63" s="15" t="s">
        <v>4</v>
      </c>
    </row>
    <row r="64" spans="1:21" ht="20.100000000000001" hidden="1" customHeight="1">
      <c r="A64" s="283">
        <v>9</v>
      </c>
      <c r="B64" s="289" t="s">
        <v>1230</v>
      </c>
      <c r="C64" s="285">
        <f>ROUND('PART-A'!I622*0.05,2)</f>
        <v>0</v>
      </c>
      <c r="D64" s="285">
        <f>ROUND(FF!I191*0.05,2)</f>
        <v>0</v>
      </c>
      <c r="E64" s="285">
        <f>ROUND(SF!I133*0.05,2)</f>
        <v>0</v>
      </c>
      <c r="F64" s="285">
        <f t="shared" si="6"/>
        <v>0</v>
      </c>
      <c r="G64" s="285" t="s">
        <v>422</v>
      </c>
      <c r="H64" s="286">
        <v>0</v>
      </c>
      <c r="I64" s="15">
        <f t="shared" si="8"/>
        <v>0</v>
      </c>
      <c r="J64" s="286">
        <v>0</v>
      </c>
      <c r="K64" s="283">
        <v>0</v>
      </c>
      <c r="L64" s="15">
        <f t="shared" si="9"/>
        <v>0</v>
      </c>
      <c r="M64" s="283">
        <v>0</v>
      </c>
      <c r="N64" s="283">
        <v>0</v>
      </c>
      <c r="O64" s="286">
        <v>0</v>
      </c>
      <c r="P64" s="286">
        <v>0</v>
      </c>
      <c r="Q64" s="286">
        <v>0</v>
      </c>
      <c r="R64" s="286">
        <v>0</v>
      </c>
      <c r="S64" s="288">
        <f t="shared" si="7"/>
        <v>0</v>
      </c>
      <c r="T64" s="285">
        <f>T63</f>
        <v>340</v>
      </c>
      <c r="U64" s="15" t="s">
        <v>4</v>
      </c>
    </row>
    <row r="65" spans="1:21" ht="20.100000000000001" hidden="1" customHeight="1">
      <c r="A65" s="283">
        <v>16</v>
      </c>
      <c r="B65" s="289" t="s">
        <v>1438</v>
      </c>
      <c r="C65" s="285">
        <f>ROUND('PART-A'!I648*0.025,2)</f>
        <v>0</v>
      </c>
      <c r="D65" s="285">
        <f>ROUND(FF!I215*0.025,2)</f>
        <v>0</v>
      </c>
      <c r="E65" s="285">
        <f>ROUND(SF!I157*0.025,2)</f>
        <v>0</v>
      </c>
      <c r="F65" s="285">
        <f t="shared" si="6"/>
        <v>0</v>
      </c>
      <c r="G65" s="285" t="s">
        <v>422</v>
      </c>
      <c r="H65" s="286">
        <v>0</v>
      </c>
      <c r="I65" s="15">
        <f t="shared" si="8"/>
        <v>0</v>
      </c>
      <c r="J65" s="286">
        <v>0</v>
      </c>
      <c r="K65" s="283">
        <v>0</v>
      </c>
      <c r="L65" s="15">
        <f t="shared" si="9"/>
        <v>0</v>
      </c>
      <c r="M65" s="283">
        <v>0</v>
      </c>
      <c r="N65" s="283">
        <v>0</v>
      </c>
      <c r="O65" s="286">
        <v>0</v>
      </c>
      <c r="P65" s="286">
        <v>0</v>
      </c>
      <c r="Q65" s="286">
        <v>0</v>
      </c>
      <c r="R65" s="286">
        <v>0</v>
      </c>
      <c r="S65" s="288">
        <f t="shared" si="7"/>
        <v>0</v>
      </c>
      <c r="T65" s="285">
        <f>T64</f>
        <v>340</v>
      </c>
      <c r="U65" s="15" t="s">
        <v>4</v>
      </c>
    </row>
    <row r="66" spans="1:21" ht="20.100000000000001" hidden="1" customHeight="1">
      <c r="A66" s="283">
        <v>13</v>
      </c>
      <c r="B66" s="207" t="s">
        <v>129</v>
      </c>
      <c r="C66" s="285">
        <f>'PART-A'!I684</f>
        <v>0</v>
      </c>
      <c r="D66" s="285">
        <f>FF!I259</f>
        <v>0</v>
      </c>
      <c r="E66" s="285">
        <f>SF!I183</f>
        <v>0</v>
      </c>
      <c r="F66" s="285">
        <f t="shared" si="6"/>
        <v>0</v>
      </c>
      <c r="G66" s="285" t="s">
        <v>421</v>
      </c>
      <c r="H66" s="286">
        <v>0</v>
      </c>
      <c r="I66" s="15">
        <f t="shared" si="8"/>
        <v>0</v>
      </c>
      <c r="J66" s="286">
        <v>0</v>
      </c>
      <c r="K66" s="283">
        <v>0</v>
      </c>
      <c r="L66" s="15">
        <f t="shared" si="9"/>
        <v>0</v>
      </c>
      <c r="M66" s="283">
        <v>0</v>
      </c>
      <c r="N66" s="283">
        <v>0</v>
      </c>
      <c r="O66" s="286">
        <v>0</v>
      </c>
      <c r="P66" s="286">
        <v>0</v>
      </c>
      <c r="Q66" s="286">
        <v>0</v>
      </c>
      <c r="R66" s="286">
        <v>0</v>
      </c>
      <c r="S66" s="288">
        <f t="shared" si="7"/>
        <v>0</v>
      </c>
      <c r="T66" s="285">
        <f>$T$56</f>
        <v>340</v>
      </c>
      <c r="U66" s="15" t="s">
        <v>4</v>
      </c>
    </row>
    <row r="67" spans="1:21" ht="20.100000000000001" hidden="1" customHeight="1">
      <c r="A67" s="283">
        <v>14</v>
      </c>
      <c r="B67" s="207" t="s">
        <v>130</v>
      </c>
      <c r="C67" s="285">
        <f>'PART-A'!I772</f>
        <v>0</v>
      </c>
      <c r="D67" s="285">
        <f>FF!I288</f>
        <v>0</v>
      </c>
      <c r="E67" s="285">
        <f>SF!I207</f>
        <v>0</v>
      </c>
      <c r="F67" s="285">
        <f t="shared" si="6"/>
        <v>0</v>
      </c>
      <c r="G67" s="285" t="s">
        <v>82</v>
      </c>
      <c r="H67" s="286">
        <v>0</v>
      </c>
      <c r="I67" s="15">
        <f>ROUND(F67*0.0375*0.8,2)</f>
        <v>0</v>
      </c>
      <c r="J67" s="286">
        <v>0</v>
      </c>
      <c r="K67" s="283">
        <v>0</v>
      </c>
      <c r="L67" s="15">
        <f>ROUND(F67*0.0375*0.4,2)</f>
        <v>0</v>
      </c>
      <c r="M67" s="283">
        <v>0</v>
      </c>
      <c r="N67" s="283">
        <v>0</v>
      </c>
      <c r="O67" s="286">
        <v>0</v>
      </c>
      <c r="P67" s="286">
        <v>0</v>
      </c>
      <c r="Q67" s="286">
        <v>0</v>
      </c>
      <c r="R67" s="286">
        <v>0</v>
      </c>
      <c r="S67" s="288">
        <f t="shared" si="7"/>
        <v>0</v>
      </c>
      <c r="T67" s="290">
        <f>ROUND(T66*0.0375,2)</f>
        <v>12.75</v>
      </c>
      <c r="U67" s="15" t="s">
        <v>4</v>
      </c>
    </row>
    <row r="68" spans="1:21" ht="20.100000000000001" hidden="1" customHeight="1">
      <c r="A68" s="283">
        <v>15</v>
      </c>
      <c r="B68" s="289" t="s">
        <v>1439</v>
      </c>
      <c r="C68" s="285">
        <f>'PART-A'!I797</f>
        <v>0</v>
      </c>
      <c r="D68" s="285">
        <f>FF!I314</f>
        <v>0</v>
      </c>
      <c r="E68" s="285">
        <f>SF!I227</f>
        <v>0</v>
      </c>
      <c r="F68" s="285">
        <f t="shared" si="6"/>
        <v>0</v>
      </c>
      <c r="G68" s="285" t="s">
        <v>422</v>
      </c>
      <c r="H68" s="286">
        <v>0</v>
      </c>
      <c r="I68" s="286">
        <v>0</v>
      </c>
      <c r="J68" s="286">
        <v>0</v>
      </c>
      <c r="K68" s="283">
        <v>0</v>
      </c>
      <c r="L68" s="286">
        <v>0</v>
      </c>
      <c r="M68" s="283">
        <v>0</v>
      </c>
      <c r="N68" s="15">
        <f>ROUND(F68*0.015*1.05,2)</f>
        <v>0</v>
      </c>
      <c r="O68" s="286">
        <v>0</v>
      </c>
      <c r="P68" s="286">
        <v>0</v>
      </c>
      <c r="Q68" s="286">
        <v>0</v>
      </c>
      <c r="R68" s="286">
        <v>0</v>
      </c>
      <c r="S68" s="288">
        <f t="shared" si="7"/>
        <v>0</v>
      </c>
      <c r="T68" s="285">
        <v>7.2</v>
      </c>
      <c r="U68" s="15" t="s">
        <v>4</v>
      </c>
    </row>
    <row r="69" spans="1:21" ht="20.100000000000001" hidden="1" customHeight="1">
      <c r="A69" s="283">
        <v>12</v>
      </c>
      <c r="B69" s="289" t="s">
        <v>1225</v>
      </c>
      <c r="C69" s="285">
        <f>'PART-A'!I822</f>
        <v>0</v>
      </c>
      <c r="D69" s="285">
        <f>FF!I338</f>
        <v>0</v>
      </c>
      <c r="E69" s="285">
        <f>SF!I249</f>
        <v>0</v>
      </c>
      <c r="F69" s="285">
        <f t="shared" si="6"/>
        <v>0</v>
      </c>
      <c r="G69" s="285" t="s">
        <v>422</v>
      </c>
      <c r="H69" s="286">
        <v>0</v>
      </c>
      <c r="I69" s="286">
        <v>0</v>
      </c>
      <c r="J69" s="286">
        <v>0</v>
      </c>
      <c r="K69" s="283">
        <v>0</v>
      </c>
      <c r="L69" s="286">
        <v>0</v>
      </c>
      <c r="M69" s="283">
        <v>0</v>
      </c>
      <c r="N69" s="15">
        <f>ROUND(F69*0.021*1.05,2)</f>
        <v>0</v>
      </c>
      <c r="O69" s="286">
        <v>0</v>
      </c>
      <c r="P69" s="286">
        <v>0</v>
      </c>
      <c r="Q69" s="286">
        <v>0</v>
      </c>
      <c r="R69" s="286">
        <v>0</v>
      </c>
      <c r="S69" s="288">
        <f t="shared" si="7"/>
        <v>0</v>
      </c>
      <c r="T69" s="285">
        <v>10.08</v>
      </c>
      <c r="U69" s="15" t="s">
        <v>4</v>
      </c>
    </row>
    <row r="70" spans="1:21" ht="20.100000000000001" hidden="1" customHeight="1">
      <c r="A70" s="283">
        <v>13</v>
      </c>
      <c r="B70" s="207" t="s">
        <v>1193</v>
      </c>
      <c r="C70" s="285">
        <f>'PART-A'!I848</f>
        <v>0</v>
      </c>
      <c r="D70" s="285"/>
      <c r="E70" s="285"/>
      <c r="F70" s="285">
        <f t="shared" si="6"/>
        <v>0</v>
      </c>
      <c r="G70" s="285" t="s">
        <v>421</v>
      </c>
      <c r="H70" s="286">
        <v>0</v>
      </c>
      <c r="I70" s="286">
        <v>0</v>
      </c>
      <c r="J70" s="286">
        <v>0</v>
      </c>
      <c r="K70" s="15">
        <f>ROUND(F70*1.1,2)</f>
        <v>0</v>
      </c>
      <c r="L70" s="286">
        <v>0</v>
      </c>
      <c r="M70" s="15">
        <f>ROUND(F70*0.33,2)</f>
        <v>0</v>
      </c>
      <c r="N70" s="286">
        <v>0</v>
      </c>
      <c r="O70" s="286">
        <v>0</v>
      </c>
      <c r="P70" s="286">
        <v>0</v>
      </c>
      <c r="Q70" s="15"/>
      <c r="R70" s="286">
        <v>0</v>
      </c>
      <c r="S70" s="288">
        <f t="shared" si="7"/>
        <v>0</v>
      </c>
      <c r="T70" s="285">
        <v>59.4</v>
      </c>
      <c r="U70" s="15" t="s">
        <v>4</v>
      </c>
    </row>
    <row r="71" spans="1:21" ht="20.100000000000001" hidden="1" customHeight="1">
      <c r="A71" s="283">
        <v>16</v>
      </c>
      <c r="B71" s="207" t="s">
        <v>134</v>
      </c>
      <c r="C71" s="285">
        <f>'PART-A'!I885</f>
        <v>0</v>
      </c>
      <c r="D71" s="285">
        <f>FF!I362</f>
        <v>0</v>
      </c>
      <c r="E71" s="285">
        <f>SF!I274</f>
        <v>0</v>
      </c>
      <c r="F71" s="285">
        <f t="shared" si="6"/>
        <v>0</v>
      </c>
      <c r="G71" s="285" t="s">
        <v>421</v>
      </c>
      <c r="H71" s="286">
        <v>0</v>
      </c>
      <c r="I71" s="286">
        <v>0</v>
      </c>
      <c r="J71" s="286">
        <v>0</v>
      </c>
      <c r="K71" s="283">
        <v>0</v>
      </c>
      <c r="L71" s="286">
        <v>0</v>
      </c>
      <c r="M71" s="15">
        <f>ROUND(F71*0.2,2)</f>
        <v>0</v>
      </c>
      <c r="N71" s="286">
        <v>0</v>
      </c>
      <c r="O71" s="286">
        <v>0</v>
      </c>
      <c r="P71" s="286">
        <v>0</v>
      </c>
      <c r="Q71" s="15">
        <f>ROUND(F71*512/1000,2)</f>
        <v>0</v>
      </c>
      <c r="R71" s="286">
        <v>0</v>
      </c>
      <c r="S71" s="288">
        <f t="shared" si="7"/>
        <v>0</v>
      </c>
      <c r="T71" s="285">
        <v>36</v>
      </c>
      <c r="U71" s="15" t="s">
        <v>4</v>
      </c>
    </row>
    <row r="72" spans="1:21" ht="20.100000000000001" hidden="1" customHeight="1">
      <c r="A72" s="283">
        <v>17</v>
      </c>
      <c r="B72" s="207" t="s">
        <v>906</v>
      </c>
      <c r="C72" s="285">
        <f>'PART-A'!I950</f>
        <v>0</v>
      </c>
      <c r="D72" s="285">
        <f>FF!I435</f>
        <v>0</v>
      </c>
      <c r="E72" s="285">
        <f>SF!I307</f>
        <v>0</v>
      </c>
      <c r="F72" s="285">
        <f t="shared" si="6"/>
        <v>0</v>
      </c>
      <c r="G72" s="285" t="s">
        <v>421</v>
      </c>
      <c r="H72" s="286">
        <v>0</v>
      </c>
      <c r="I72" s="286">
        <v>0</v>
      </c>
      <c r="J72" s="286">
        <v>0</v>
      </c>
      <c r="K72" s="283">
        <v>0</v>
      </c>
      <c r="L72" s="286">
        <v>0</v>
      </c>
      <c r="M72" s="15">
        <f>ROUND(F72*0.2,2)</f>
        <v>0</v>
      </c>
      <c r="N72" s="286">
        <v>0</v>
      </c>
      <c r="O72" s="286">
        <v>0</v>
      </c>
      <c r="P72" s="286">
        <v>0</v>
      </c>
      <c r="Q72" s="15">
        <f>ROUND(F72*512/1000,2)</f>
        <v>0</v>
      </c>
      <c r="R72" s="286">
        <v>0</v>
      </c>
      <c r="S72" s="288">
        <f t="shared" si="7"/>
        <v>0</v>
      </c>
      <c r="T72" s="285">
        <v>48</v>
      </c>
      <c r="U72" s="15" t="s">
        <v>4</v>
      </c>
    </row>
    <row r="73" spans="1:21" ht="20.100000000000001" hidden="1" customHeight="1">
      <c r="A73" s="283">
        <v>18</v>
      </c>
      <c r="B73" s="207" t="s">
        <v>3686</v>
      </c>
      <c r="C73" s="285">
        <f>'PART-A'!I1060</f>
        <v>0</v>
      </c>
      <c r="D73" s="285">
        <f>FF!I520</f>
        <v>0</v>
      </c>
      <c r="E73" s="285">
        <f>SF!I333</f>
        <v>0</v>
      </c>
      <c r="F73" s="285">
        <f t="shared" si="6"/>
        <v>0</v>
      </c>
      <c r="G73" s="285" t="s">
        <v>422</v>
      </c>
      <c r="H73" s="286">
        <v>0</v>
      </c>
      <c r="I73" s="15"/>
      <c r="J73" s="286">
        <v>0</v>
      </c>
      <c r="K73" s="283">
        <v>0</v>
      </c>
      <c r="L73" s="286">
        <v>0</v>
      </c>
      <c r="M73" s="15">
        <f>ROUND(F73*0.022,2)</f>
        <v>0</v>
      </c>
      <c r="N73" s="286">
        <v>0</v>
      </c>
      <c r="O73" s="286">
        <v>0</v>
      </c>
      <c r="P73" s="286">
        <v>0</v>
      </c>
      <c r="Q73" s="15">
        <f>ROUND(F73*512*0.1/1000,2)</f>
        <v>0</v>
      </c>
      <c r="R73" s="286">
        <v>0</v>
      </c>
      <c r="S73" s="288">
        <f t="shared" si="7"/>
        <v>0</v>
      </c>
      <c r="T73" s="285">
        <v>7.2</v>
      </c>
      <c r="U73" s="15" t="s">
        <v>4</v>
      </c>
    </row>
    <row r="74" spans="1:21" ht="20.100000000000001" hidden="1" customHeight="1">
      <c r="A74" s="283">
        <v>16</v>
      </c>
      <c r="B74" s="207" t="s">
        <v>1213</v>
      </c>
      <c r="C74" s="285">
        <f>'PART-A'!I1137</f>
        <v>0</v>
      </c>
      <c r="D74" s="285">
        <f>FF!I564</f>
        <v>0</v>
      </c>
      <c r="E74" s="285">
        <f>SF!I361</f>
        <v>0</v>
      </c>
      <c r="F74" s="285">
        <f t="shared" si="6"/>
        <v>0</v>
      </c>
      <c r="G74" s="285" t="s">
        <v>421</v>
      </c>
      <c r="H74" s="286">
        <v>0</v>
      </c>
      <c r="I74" s="286">
        <v>0</v>
      </c>
      <c r="J74" s="286">
        <v>0</v>
      </c>
      <c r="K74" s="283">
        <v>0</v>
      </c>
      <c r="L74" s="286">
        <v>0</v>
      </c>
      <c r="M74" s="15">
        <f>ROUND(F74*0.1*1.05,2)</f>
        <v>0</v>
      </c>
      <c r="N74" s="286">
        <v>0</v>
      </c>
      <c r="O74" s="286">
        <v>0</v>
      </c>
      <c r="P74" s="286">
        <v>0</v>
      </c>
      <c r="Q74" s="15">
        <f>ROUND(F74*110/1000,2)</f>
        <v>0</v>
      </c>
      <c r="R74" s="286">
        <v>0</v>
      </c>
      <c r="S74" s="288">
        <f t="shared" si="7"/>
        <v>0</v>
      </c>
      <c r="T74" s="285">
        <v>24</v>
      </c>
      <c r="U74" s="15" t="s">
        <v>4</v>
      </c>
    </row>
    <row r="75" spans="1:21" ht="20.100000000000001" hidden="1" customHeight="1">
      <c r="A75" s="283">
        <v>14</v>
      </c>
      <c r="B75" s="289" t="s">
        <v>1214</v>
      </c>
      <c r="C75" s="285">
        <f>'PART-A'!I1166</f>
        <v>0</v>
      </c>
      <c r="D75" s="285">
        <f>FF!I590</f>
        <v>0</v>
      </c>
      <c r="E75" s="285"/>
      <c r="F75" s="285">
        <f t="shared" si="6"/>
        <v>0</v>
      </c>
      <c r="G75" s="285" t="s">
        <v>422</v>
      </c>
      <c r="H75" s="286">
        <v>0</v>
      </c>
      <c r="I75" s="286">
        <v>0</v>
      </c>
      <c r="J75" s="286">
        <v>0</v>
      </c>
      <c r="K75" s="283">
        <v>0</v>
      </c>
      <c r="L75" s="286">
        <v>0</v>
      </c>
      <c r="M75" s="286">
        <v>0</v>
      </c>
      <c r="N75" s="15">
        <f>ROUND(F75*((0.015*1.05)+(0.025*1.05)),2)</f>
        <v>0</v>
      </c>
      <c r="O75" s="286">
        <v>0</v>
      </c>
      <c r="P75" s="286">
        <v>0</v>
      </c>
      <c r="Q75" s="286">
        <v>0</v>
      </c>
      <c r="R75" s="286">
        <v>0</v>
      </c>
      <c r="S75" s="288">
        <f t="shared" si="7"/>
        <v>0</v>
      </c>
      <c r="T75" s="285">
        <v>20.89</v>
      </c>
      <c r="U75" s="15" t="s">
        <v>4</v>
      </c>
    </row>
    <row r="76" spans="1:21" ht="20.100000000000001" hidden="1" customHeight="1">
      <c r="A76" s="283">
        <v>19</v>
      </c>
      <c r="B76" s="289" t="s">
        <v>137</v>
      </c>
      <c r="C76" s="285">
        <f>'PART-A'!I1220</f>
        <v>0</v>
      </c>
      <c r="D76" s="285">
        <f>FF!I652</f>
        <v>0</v>
      </c>
      <c r="E76" s="285">
        <f>SF!I390</f>
        <v>0</v>
      </c>
      <c r="F76" s="285">
        <f t="shared" si="6"/>
        <v>0</v>
      </c>
      <c r="G76" s="285" t="s">
        <v>422</v>
      </c>
      <c r="H76" s="286">
        <v>0</v>
      </c>
      <c r="I76" s="286">
        <v>0</v>
      </c>
      <c r="J76" s="286">
        <v>0</v>
      </c>
      <c r="K76" s="283">
        <v>0</v>
      </c>
      <c r="L76" s="286">
        <v>0</v>
      </c>
      <c r="M76" s="286">
        <v>0</v>
      </c>
      <c r="N76" s="15">
        <f>ROUND(F76*0.015*1.05,2)</f>
        <v>0</v>
      </c>
      <c r="O76" s="286">
        <v>0</v>
      </c>
      <c r="P76" s="286">
        <v>0</v>
      </c>
      <c r="Q76" s="286">
        <v>0</v>
      </c>
      <c r="R76" s="286">
        <v>0</v>
      </c>
      <c r="S76" s="288">
        <f t="shared" si="7"/>
        <v>0</v>
      </c>
      <c r="T76" s="285">
        <v>7.2</v>
      </c>
      <c r="U76" s="15" t="s">
        <v>4</v>
      </c>
    </row>
    <row r="77" spans="1:21" ht="20.100000000000001" hidden="1" customHeight="1">
      <c r="A77" s="283">
        <v>2</v>
      </c>
      <c r="B77" s="289" t="s">
        <v>238</v>
      </c>
      <c r="C77" s="285">
        <f>'PART-A'!I1279</f>
        <v>0</v>
      </c>
      <c r="D77" s="285">
        <f>FF!I694</f>
        <v>0</v>
      </c>
      <c r="E77" s="285">
        <f>SF!I420</f>
        <v>0</v>
      </c>
      <c r="F77" s="285">
        <f t="shared" si="6"/>
        <v>0</v>
      </c>
      <c r="G77" s="285" t="s">
        <v>422</v>
      </c>
      <c r="H77" s="286">
        <v>0</v>
      </c>
      <c r="I77" s="286">
        <v>0</v>
      </c>
      <c r="J77" s="286">
        <v>0</v>
      </c>
      <c r="K77" s="283">
        <v>0</v>
      </c>
      <c r="L77" s="286">
        <v>0</v>
      </c>
      <c r="M77" s="286">
        <v>0</v>
      </c>
      <c r="N77" s="15">
        <f>ROUND(F77*0.015*1.05,2)</f>
        <v>0</v>
      </c>
      <c r="O77" s="286">
        <v>0</v>
      </c>
      <c r="P77" s="286">
        <v>0</v>
      </c>
      <c r="Q77" s="286">
        <v>0</v>
      </c>
      <c r="R77" s="286">
        <v>0</v>
      </c>
      <c r="S77" s="288">
        <f t="shared" si="7"/>
        <v>0</v>
      </c>
      <c r="T77" s="285">
        <v>4.32</v>
      </c>
      <c r="U77" s="15" t="s">
        <v>4</v>
      </c>
    </row>
    <row r="78" spans="1:21" ht="20.100000000000001" hidden="1" customHeight="1">
      <c r="A78" s="283">
        <v>3</v>
      </c>
      <c r="B78" s="289" t="s">
        <v>604</v>
      </c>
      <c r="C78" s="285">
        <f>'PART-A'!I1306</f>
        <v>0</v>
      </c>
      <c r="D78" s="285">
        <f>FF!I726</f>
        <v>0</v>
      </c>
      <c r="E78" s="285">
        <f>SF!I452</f>
        <v>0</v>
      </c>
      <c r="F78" s="285">
        <f t="shared" si="6"/>
        <v>0</v>
      </c>
      <c r="G78" s="285" t="s">
        <v>422</v>
      </c>
      <c r="H78" s="286">
        <v>0</v>
      </c>
      <c r="I78" s="286">
        <v>0</v>
      </c>
      <c r="J78" s="286">
        <v>0</v>
      </c>
      <c r="K78" s="283">
        <v>0</v>
      </c>
      <c r="L78" s="286">
        <v>0</v>
      </c>
      <c r="M78" s="286">
        <v>0</v>
      </c>
      <c r="N78" s="15">
        <f>ROUND(F78*0.021*1.05,2)</f>
        <v>0</v>
      </c>
      <c r="O78" s="286">
        <v>0</v>
      </c>
      <c r="P78" s="286">
        <v>0</v>
      </c>
      <c r="Q78" s="286">
        <v>0</v>
      </c>
      <c r="R78" s="286">
        <v>0</v>
      </c>
      <c r="S78" s="288">
        <f t="shared" si="7"/>
        <v>0</v>
      </c>
      <c r="T78" s="285">
        <v>6.05</v>
      </c>
      <c r="U78" s="15" t="s">
        <v>4</v>
      </c>
    </row>
    <row r="79" spans="1:21" ht="20.100000000000001" hidden="1" customHeight="1">
      <c r="A79" s="283">
        <v>20</v>
      </c>
      <c r="B79" s="289" t="s">
        <v>904</v>
      </c>
      <c r="C79" s="285">
        <f>'PART-A'!I1379</f>
        <v>0</v>
      </c>
      <c r="D79" s="285">
        <f>FF!I823</f>
        <v>0</v>
      </c>
      <c r="E79" s="285">
        <f>SF!I489</f>
        <v>0</v>
      </c>
      <c r="F79" s="285">
        <f t="shared" si="6"/>
        <v>0</v>
      </c>
      <c r="G79" s="285" t="s">
        <v>422</v>
      </c>
      <c r="H79" s="286">
        <v>0</v>
      </c>
      <c r="I79" s="286">
        <v>0</v>
      </c>
      <c r="J79" s="286">
        <v>0</v>
      </c>
      <c r="K79" s="283">
        <v>0</v>
      </c>
      <c r="L79" s="286">
        <v>0</v>
      </c>
      <c r="M79" s="286">
        <v>0</v>
      </c>
      <c r="N79" s="15">
        <f>ROUND(F79*0.015*1,2)</f>
        <v>0</v>
      </c>
      <c r="O79" s="286">
        <v>0</v>
      </c>
      <c r="P79" s="286">
        <v>0</v>
      </c>
      <c r="Q79" s="286">
        <v>0</v>
      </c>
      <c r="R79" s="286">
        <v>0</v>
      </c>
      <c r="S79" s="288">
        <f t="shared" si="7"/>
        <v>0</v>
      </c>
      <c r="T79" s="285">
        <v>5.09</v>
      </c>
      <c r="U79" s="15" t="s">
        <v>4</v>
      </c>
    </row>
    <row r="80" spans="1:21" ht="20.100000000000001" hidden="1" customHeight="1">
      <c r="A80" s="283">
        <v>21</v>
      </c>
      <c r="B80" s="289" t="s">
        <v>603</v>
      </c>
      <c r="C80" s="285">
        <f>'PART-A'!I1463</f>
        <v>0</v>
      </c>
      <c r="D80" s="285">
        <f>FF!I890</f>
        <v>0</v>
      </c>
      <c r="E80" s="285">
        <f>SF!I525</f>
        <v>0</v>
      </c>
      <c r="F80" s="285">
        <f t="shared" si="6"/>
        <v>0</v>
      </c>
      <c r="G80" s="285" t="s">
        <v>422</v>
      </c>
      <c r="H80" s="286">
        <v>0</v>
      </c>
      <c r="I80" s="286">
        <v>0</v>
      </c>
      <c r="J80" s="286">
        <v>0</v>
      </c>
      <c r="K80" s="283">
        <v>0</v>
      </c>
      <c r="L80" s="286">
        <v>0</v>
      </c>
      <c r="M80" s="286">
        <v>0</v>
      </c>
      <c r="N80" s="15">
        <f>ROUND(F80*0.022*1,2)</f>
        <v>0</v>
      </c>
      <c r="O80" s="286">
        <v>0</v>
      </c>
      <c r="P80" s="286">
        <v>0</v>
      </c>
      <c r="Q80" s="286">
        <v>0</v>
      </c>
      <c r="R80" s="286">
        <v>0</v>
      </c>
      <c r="S80" s="288">
        <f t="shared" si="7"/>
        <v>0</v>
      </c>
      <c r="T80" s="285">
        <v>5.75</v>
      </c>
      <c r="U80" s="15" t="s">
        <v>4</v>
      </c>
    </row>
    <row r="81" spans="1:21" ht="20.100000000000001" hidden="1" customHeight="1">
      <c r="A81" s="283">
        <v>19</v>
      </c>
      <c r="B81" s="207" t="s">
        <v>447</v>
      </c>
      <c r="C81" s="285">
        <f>'PART-A'!I1516</f>
        <v>0</v>
      </c>
      <c r="D81" s="285">
        <f>FF!I918</f>
        <v>0</v>
      </c>
      <c r="E81" s="285">
        <f>SF!I549</f>
        <v>0</v>
      </c>
      <c r="F81" s="285">
        <f t="shared" si="6"/>
        <v>0</v>
      </c>
      <c r="G81" s="285" t="s">
        <v>421</v>
      </c>
      <c r="H81" s="286">
        <v>0</v>
      </c>
      <c r="I81" s="15">
        <f>ROUND(F81*0.8,2)</f>
        <v>0</v>
      </c>
      <c r="J81" s="286">
        <v>0</v>
      </c>
      <c r="K81" s="283">
        <v>0</v>
      </c>
      <c r="L81" s="15">
        <f>ROUND(F81*0.4,2)</f>
        <v>0</v>
      </c>
      <c r="M81" s="283">
        <v>0</v>
      </c>
      <c r="N81" s="283">
        <v>0</v>
      </c>
      <c r="O81" s="286">
        <v>0</v>
      </c>
      <c r="P81" s="286">
        <v>0</v>
      </c>
      <c r="Q81" s="286">
        <v>0</v>
      </c>
      <c r="R81" s="286">
        <v>0</v>
      </c>
      <c r="S81" s="288">
        <f t="shared" si="7"/>
        <v>0</v>
      </c>
      <c r="T81" s="285">
        <f>$T$56</f>
        <v>340</v>
      </c>
      <c r="U81" s="15" t="s">
        <v>4</v>
      </c>
    </row>
    <row r="82" spans="1:21" ht="20.100000000000001" hidden="1" customHeight="1">
      <c r="A82" s="283">
        <v>19</v>
      </c>
      <c r="B82" s="289" t="s">
        <v>241</v>
      </c>
      <c r="C82" s="285">
        <f>'PART-A'!I1556</f>
        <v>0</v>
      </c>
      <c r="D82" s="285">
        <f>FF!I949</f>
        <v>0</v>
      </c>
      <c r="E82" s="285">
        <f>SF!I571</f>
        <v>0</v>
      </c>
      <c r="F82" s="285">
        <f t="shared" si="6"/>
        <v>0</v>
      </c>
      <c r="G82" s="285" t="s">
        <v>422</v>
      </c>
      <c r="H82" s="286">
        <v>0</v>
      </c>
      <c r="I82" s="286">
        <v>0</v>
      </c>
      <c r="J82" s="286">
        <v>0</v>
      </c>
      <c r="K82" s="283">
        <v>0</v>
      </c>
      <c r="L82" s="286">
        <v>0</v>
      </c>
      <c r="M82" s="15">
        <f>ROUND(F82*0.014,2)</f>
        <v>0</v>
      </c>
      <c r="N82" s="286">
        <v>0</v>
      </c>
      <c r="O82" s="286">
        <v>0</v>
      </c>
      <c r="P82" s="286">
        <v>0</v>
      </c>
      <c r="Q82" s="286">
        <v>0</v>
      </c>
      <c r="R82" s="286">
        <v>0</v>
      </c>
      <c r="S82" s="288">
        <f t="shared" si="7"/>
        <v>0</v>
      </c>
      <c r="T82" s="285">
        <v>6.06</v>
      </c>
      <c r="U82" s="15" t="s">
        <v>4</v>
      </c>
    </row>
    <row r="83" spans="1:21" ht="20.100000000000001" hidden="1" customHeight="1">
      <c r="A83" s="283">
        <v>20</v>
      </c>
      <c r="B83" s="289" t="s">
        <v>242</v>
      </c>
      <c r="C83" s="285">
        <f>'PART-A'!I1625</f>
        <v>0</v>
      </c>
      <c r="D83" s="285">
        <f>FF!I988</f>
        <v>0</v>
      </c>
      <c r="E83" s="285">
        <f>SF!I597</f>
        <v>0</v>
      </c>
      <c r="F83" s="285">
        <f t="shared" si="6"/>
        <v>0</v>
      </c>
      <c r="G83" s="285" t="s">
        <v>422</v>
      </c>
      <c r="H83" s="286">
        <v>0</v>
      </c>
      <c r="I83" s="286">
        <v>0</v>
      </c>
      <c r="J83" s="286">
        <v>0</v>
      </c>
      <c r="K83" s="283">
        <v>0</v>
      </c>
      <c r="L83" s="286">
        <v>0</v>
      </c>
      <c r="M83" s="15">
        <f>ROUND(F83*0.012,2)</f>
        <v>0</v>
      </c>
      <c r="N83" s="286">
        <v>0</v>
      </c>
      <c r="O83" s="286">
        <v>0</v>
      </c>
      <c r="P83" s="286">
        <v>0</v>
      </c>
      <c r="Q83" s="286">
        <v>0</v>
      </c>
      <c r="R83" s="286">
        <v>0</v>
      </c>
      <c r="S83" s="288">
        <f t="shared" si="7"/>
        <v>0</v>
      </c>
      <c r="T83" s="290">
        <v>6.7560000000000002</v>
      </c>
      <c r="U83" s="15" t="s">
        <v>4</v>
      </c>
    </row>
    <row r="84" spans="1:21" ht="20.100000000000001" hidden="1" customHeight="1">
      <c r="A84" s="283">
        <v>27</v>
      </c>
      <c r="B84" s="289" t="s">
        <v>681</v>
      </c>
      <c r="C84" s="285">
        <f>'PART-A'!I1681</f>
        <v>0</v>
      </c>
      <c r="D84" s="285">
        <f>FF!I1017</f>
        <v>0</v>
      </c>
      <c r="E84" s="285">
        <f>SF!I625</f>
        <v>0</v>
      </c>
      <c r="F84" s="285">
        <f t="shared" si="6"/>
        <v>0</v>
      </c>
      <c r="G84" s="285" t="s">
        <v>422</v>
      </c>
      <c r="H84" s="286">
        <v>0</v>
      </c>
      <c r="I84" s="286">
        <v>0</v>
      </c>
      <c r="J84" s="286">
        <v>0</v>
      </c>
      <c r="K84" s="283">
        <v>0</v>
      </c>
      <c r="L84" s="286">
        <v>0</v>
      </c>
      <c r="M84" s="15">
        <f>ROUND(F84*0.014,2)</f>
        <v>0</v>
      </c>
      <c r="N84" s="286">
        <v>0</v>
      </c>
      <c r="O84" s="286">
        <v>0</v>
      </c>
      <c r="P84" s="286">
        <v>0</v>
      </c>
      <c r="Q84" s="286">
        <v>0</v>
      </c>
      <c r="R84" s="286">
        <v>0</v>
      </c>
      <c r="S84" s="288">
        <f t="shared" si="7"/>
        <v>0</v>
      </c>
      <c r="T84" s="285">
        <v>7.5</v>
      </c>
      <c r="U84" s="15" t="s">
        <v>4</v>
      </c>
    </row>
    <row r="85" spans="1:21" ht="20.100000000000001" hidden="1" customHeight="1">
      <c r="A85" s="283">
        <v>25</v>
      </c>
      <c r="B85" s="289" t="s">
        <v>682</v>
      </c>
      <c r="C85" s="285">
        <f>'PART-A'!I1735</f>
        <v>0</v>
      </c>
      <c r="D85" s="285">
        <f>FF!I1057</f>
        <v>0</v>
      </c>
      <c r="E85" s="285">
        <f>SF!I653</f>
        <v>0</v>
      </c>
      <c r="F85" s="285">
        <f t="shared" si="6"/>
        <v>0</v>
      </c>
      <c r="G85" s="285" t="s">
        <v>422</v>
      </c>
      <c r="H85" s="286">
        <v>0</v>
      </c>
      <c r="I85" s="286">
        <v>0</v>
      </c>
      <c r="J85" s="286">
        <v>0</v>
      </c>
      <c r="K85" s="283">
        <v>0</v>
      </c>
      <c r="L85" s="286">
        <v>0</v>
      </c>
      <c r="M85" s="15">
        <f>ROUND(F85*0.012,2)</f>
        <v>0</v>
      </c>
      <c r="N85" s="286">
        <v>0</v>
      </c>
      <c r="O85" s="286">
        <v>0</v>
      </c>
      <c r="P85" s="286">
        <v>0</v>
      </c>
      <c r="Q85" s="286">
        <v>0</v>
      </c>
      <c r="R85" s="286">
        <v>0</v>
      </c>
      <c r="S85" s="288">
        <f t="shared" si="7"/>
        <v>0</v>
      </c>
      <c r="T85" s="290">
        <v>9.06</v>
      </c>
      <c r="U85" s="15" t="s">
        <v>4</v>
      </c>
    </row>
    <row r="86" spans="1:21" ht="20.100000000000001" hidden="1" customHeight="1">
      <c r="A86" s="283">
        <v>21</v>
      </c>
      <c r="B86" s="289" t="s">
        <v>683</v>
      </c>
      <c r="C86" s="285">
        <f>'PART-A'!I1777</f>
        <v>0</v>
      </c>
      <c r="D86" s="285">
        <f>FF!I1100</f>
        <v>0</v>
      </c>
      <c r="E86" s="285">
        <f>SF!I681</f>
        <v>0</v>
      </c>
      <c r="F86" s="285">
        <f t="shared" si="6"/>
        <v>0</v>
      </c>
      <c r="G86" s="285" t="s">
        <v>422</v>
      </c>
      <c r="H86" s="286">
        <v>0</v>
      </c>
      <c r="I86" s="286">
        <v>0</v>
      </c>
      <c r="J86" s="286">
        <v>0</v>
      </c>
      <c r="K86" s="283">
        <v>0</v>
      </c>
      <c r="L86" s="286">
        <v>0</v>
      </c>
      <c r="M86" s="15">
        <f>ROUND(F86*0.014,2)</f>
        <v>0</v>
      </c>
      <c r="N86" s="286">
        <v>0</v>
      </c>
      <c r="O86" s="286">
        <v>0</v>
      </c>
      <c r="P86" s="286">
        <v>0</v>
      </c>
      <c r="Q86" s="286">
        <v>0</v>
      </c>
      <c r="R86" s="286">
        <v>0</v>
      </c>
      <c r="S86" s="288">
        <f t="shared" si="7"/>
        <v>0</v>
      </c>
      <c r="T86" s="285">
        <v>7.5</v>
      </c>
      <c r="U86" s="15" t="s">
        <v>4</v>
      </c>
    </row>
    <row r="87" spans="1:21" ht="20.100000000000001" hidden="1" customHeight="1">
      <c r="A87" s="283">
        <v>22</v>
      </c>
      <c r="B87" s="289" t="s">
        <v>684</v>
      </c>
      <c r="C87" s="285">
        <f>'PART-A'!I1805</f>
        <v>0</v>
      </c>
      <c r="D87" s="285">
        <f>FF!I1134</f>
        <v>0</v>
      </c>
      <c r="E87" s="285">
        <f>SF!I709</f>
        <v>0</v>
      </c>
      <c r="F87" s="285">
        <f t="shared" si="6"/>
        <v>0</v>
      </c>
      <c r="G87" s="285" t="s">
        <v>422</v>
      </c>
      <c r="H87" s="286">
        <v>0</v>
      </c>
      <c r="I87" s="286">
        <v>0</v>
      </c>
      <c r="J87" s="286">
        <v>0</v>
      </c>
      <c r="K87" s="283">
        <v>0</v>
      </c>
      <c r="L87" s="286">
        <v>0</v>
      </c>
      <c r="M87" s="15">
        <f>ROUND(F87*0.012,2)</f>
        <v>0</v>
      </c>
      <c r="N87" s="286">
        <v>0</v>
      </c>
      <c r="O87" s="286">
        <v>0</v>
      </c>
      <c r="P87" s="286">
        <v>0</v>
      </c>
      <c r="Q87" s="286">
        <v>0</v>
      </c>
      <c r="R87" s="286">
        <v>0</v>
      </c>
      <c r="S87" s="288">
        <f t="shared" si="7"/>
        <v>0</v>
      </c>
      <c r="T87" s="290">
        <v>6.7560000000000002</v>
      </c>
      <c r="U87" s="15" t="s">
        <v>4</v>
      </c>
    </row>
    <row r="88" spans="1:21" ht="20.100000000000001" hidden="1" customHeight="1">
      <c r="A88" s="283">
        <v>28</v>
      </c>
      <c r="B88" s="289" t="s">
        <v>239</v>
      </c>
      <c r="C88" s="285">
        <f>'PART-A'!I1830</f>
        <v>0</v>
      </c>
      <c r="D88" s="285">
        <f>FF!I1163</f>
        <v>0</v>
      </c>
      <c r="E88" s="285">
        <f>SF!I737</f>
        <v>0</v>
      </c>
      <c r="F88" s="285">
        <f t="shared" si="6"/>
        <v>0</v>
      </c>
      <c r="G88" s="285" t="s">
        <v>422</v>
      </c>
      <c r="H88" s="286">
        <v>0</v>
      </c>
      <c r="I88" s="286">
        <v>0</v>
      </c>
      <c r="J88" s="286">
        <v>0</v>
      </c>
      <c r="K88" s="283">
        <v>0</v>
      </c>
      <c r="L88" s="286">
        <v>0</v>
      </c>
      <c r="M88" s="15">
        <f>ROUND(F88*0.012,2)</f>
        <v>0</v>
      </c>
      <c r="N88" s="286">
        <v>0</v>
      </c>
      <c r="O88" s="286">
        <v>0</v>
      </c>
      <c r="P88" s="286">
        <v>0</v>
      </c>
      <c r="Q88" s="286">
        <v>0</v>
      </c>
      <c r="R88" s="286">
        <v>0</v>
      </c>
      <c r="S88" s="288">
        <f t="shared" si="7"/>
        <v>0</v>
      </c>
      <c r="T88" s="285">
        <v>5.46</v>
      </c>
      <c r="U88" s="15" t="s">
        <v>4</v>
      </c>
    </row>
    <row r="89" spans="1:21" ht="20.100000000000001" hidden="1" customHeight="1">
      <c r="A89" s="283">
        <v>29</v>
      </c>
      <c r="B89" s="289" t="s">
        <v>240</v>
      </c>
      <c r="C89" s="285">
        <f>'PART-A'!I1856</f>
        <v>0</v>
      </c>
      <c r="D89" s="285">
        <f>FF!I1190</f>
        <v>0</v>
      </c>
      <c r="E89" s="285">
        <f>SF!I763</f>
        <v>0</v>
      </c>
      <c r="F89" s="285">
        <f t="shared" si="6"/>
        <v>0</v>
      </c>
      <c r="G89" s="285" t="s">
        <v>422</v>
      </c>
      <c r="H89" s="286">
        <v>0</v>
      </c>
      <c r="I89" s="286">
        <v>0</v>
      </c>
      <c r="J89" s="286">
        <v>0</v>
      </c>
      <c r="K89" s="283">
        <v>0</v>
      </c>
      <c r="L89" s="286">
        <v>0</v>
      </c>
      <c r="M89" s="15">
        <f>ROUND(F89*0.012,2)</f>
        <v>0</v>
      </c>
      <c r="N89" s="286">
        <v>0</v>
      </c>
      <c r="O89" s="286">
        <v>0</v>
      </c>
      <c r="P89" s="286">
        <v>0</v>
      </c>
      <c r="Q89" s="286">
        <v>0</v>
      </c>
      <c r="R89" s="286">
        <v>0</v>
      </c>
      <c r="S89" s="288">
        <f t="shared" si="7"/>
        <v>0</v>
      </c>
      <c r="T89" s="285">
        <v>9.06</v>
      </c>
      <c r="U89" s="15" t="s">
        <v>4</v>
      </c>
    </row>
    <row r="90" spans="1:21" ht="20.100000000000001" hidden="1" customHeight="1">
      <c r="A90" s="283">
        <v>22</v>
      </c>
      <c r="B90" s="289" t="s">
        <v>1215</v>
      </c>
      <c r="C90" s="285">
        <f>'PART-A'!I1883</f>
        <v>0</v>
      </c>
      <c r="D90" s="285">
        <f>FF!I1225</f>
        <v>0</v>
      </c>
      <c r="E90" s="285">
        <f>SF!I787</f>
        <v>0</v>
      </c>
      <c r="F90" s="285">
        <f t="shared" si="6"/>
        <v>0</v>
      </c>
      <c r="G90" s="285" t="s">
        <v>422</v>
      </c>
      <c r="H90" s="286">
        <v>0</v>
      </c>
      <c r="I90" s="286">
        <v>0</v>
      </c>
      <c r="J90" s="286">
        <v>0</v>
      </c>
      <c r="K90" s="283">
        <v>0</v>
      </c>
      <c r="L90" s="286">
        <v>0</v>
      </c>
      <c r="M90" s="15">
        <f>ROUND(F90*0.008*1,2)</f>
        <v>0</v>
      </c>
      <c r="N90" s="286">
        <v>0</v>
      </c>
      <c r="O90" s="286">
        <v>0</v>
      </c>
      <c r="P90" s="286">
        <v>0</v>
      </c>
      <c r="Q90" s="286">
        <v>0</v>
      </c>
      <c r="R90" s="286">
        <v>0</v>
      </c>
      <c r="S90" s="288">
        <f t="shared" si="7"/>
        <v>0</v>
      </c>
      <c r="T90" s="285">
        <v>2.76</v>
      </c>
      <c r="U90" s="15" t="s">
        <v>4</v>
      </c>
    </row>
    <row r="91" spans="1:21" ht="20.100000000000001" hidden="1" customHeight="1">
      <c r="A91" s="283">
        <v>5</v>
      </c>
      <c r="B91" s="207" t="s">
        <v>2270</v>
      </c>
      <c r="C91" s="285">
        <f>'PART-A'!I1938</f>
        <v>0</v>
      </c>
      <c r="D91" s="285"/>
      <c r="E91" s="285"/>
      <c r="F91" s="285">
        <f t="shared" si="6"/>
        <v>0</v>
      </c>
      <c r="G91" s="285" t="s">
        <v>421</v>
      </c>
      <c r="H91" s="286">
        <v>0</v>
      </c>
      <c r="I91" s="15">
        <f>ROUND(F91*0.017,2)</f>
        <v>0</v>
      </c>
      <c r="J91" s="286">
        <v>0</v>
      </c>
      <c r="K91" s="283">
        <v>0</v>
      </c>
      <c r="L91" s="15">
        <f>ROUND(F91*0.009,2)</f>
        <v>0</v>
      </c>
      <c r="M91" s="283">
        <v>0</v>
      </c>
      <c r="N91" s="283">
        <v>0</v>
      </c>
      <c r="O91" s="286">
        <v>0</v>
      </c>
      <c r="P91" s="286">
        <v>0</v>
      </c>
      <c r="Q91" s="286">
        <v>0</v>
      </c>
      <c r="R91" s="286">
        <v>0</v>
      </c>
      <c r="S91" s="288">
        <f t="shared" si="7"/>
        <v>0</v>
      </c>
      <c r="T91" s="285">
        <v>12</v>
      </c>
      <c r="U91" s="15" t="s">
        <v>4</v>
      </c>
    </row>
    <row r="92" spans="1:21" ht="18" hidden="1" customHeight="1">
      <c r="A92" s="283"/>
      <c r="B92" s="289"/>
      <c r="C92" s="289"/>
      <c r="D92" s="289"/>
      <c r="E92" s="289"/>
      <c r="F92" s="285"/>
      <c r="G92" s="285"/>
      <c r="H92" s="15"/>
      <c r="I92" s="15"/>
      <c r="J92" s="15"/>
      <c r="K92" s="15"/>
      <c r="L92" s="15"/>
      <c r="M92" s="15"/>
      <c r="N92" s="286"/>
      <c r="O92" s="15"/>
      <c r="P92" s="15"/>
      <c r="Q92" s="286"/>
      <c r="R92" s="15"/>
      <c r="S92" s="15"/>
      <c r="T92" s="285"/>
      <c r="U92" s="15"/>
    </row>
    <row r="93" spans="1:21" hidden="1">
      <c r="A93" s="207"/>
      <c r="B93" s="82" t="s">
        <v>103</v>
      </c>
      <c r="C93" s="207"/>
      <c r="D93" s="207"/>
      <c r="E93" s="207"/>
      <c r="F93" s="619">
        <v>1</v>
      </c>
      <c r="G93" s="207"/>
      <c r="H93" s="210">
        <f t="shared" ref="H93:S93" si="10">SUM(H50:H92)</f>
        <v>0</v>
      </c>
      <c r="I93" s="210">
        <f t="shared" si="10"/>
        <v>0</v>
      </c>
      <c r="J93" s="210">
        <f t="shared" si="10"/>
        <v>0</v>
      </c>
      <c r="K93" s="210">
        <f t="shared" si="10"/>
        <v>0</v>
      </c>
      <c r="L93" s="210">
        <f t="shared" si="10"/>
        <v>0</v>
      </c>
      <c r="M93" s="210">
        <f t="shared" si="10"/>
        <v>0</v>
      </c>
      <c r="N93" s="210">
        <f t="shared" si="10"/>
        <v>0</v>
      </c>
      <c r="O93" s="210">
        <f t="shared" si="10"/>
        <v>0</v>
      </c>
      <c r="P93" s="210">
        <f t="shared" si="10"/>
        <v>0</v>
      </c>
      <c r="Q93" s="210">
        <f t="shared" si="10"/>
        <v>0</v>
      </c>
      <c r="R93" s="210">
        <f t="shared" si="10"/>
        <v>0</v>
      </c>
      <c r="S93" s="210">
        <f t="shared" si="10"/>
        <v>0</v>
      </c>
      <c r="T93" s="291" t="s">
        <v>142</v>
      </c>
      <c r="U93" s="207"/>
    </row>
    <row r="94" spans="1:21" s="533" customFormat="1" ht="15.75" hidden="1">
      <c r="A94" s="888"/>
      <c r="B94" s="889" t="s">
        <v>2310</v>
      </c>
      <c r="C94" s="890"/>
      <c r="D94" s="891"/>
      <c r="E94" s="892"/>
      <c r="F94" s="619">
        <v>1</v>
      </c>
      <c r="G94" s="893"/>
      <c r="H94" s="888"/>
      <c r="I94" s="894"/>
      <c r="J94" s="895"/>
      <c r="K94" s="888"/>
      <c r="L94" s="893"/>
      <c r="M94" s="888"/>
    </row>
    <row r="95" spans="1:21" ht="18" hidden="1" customHeight="1">
      <c r="A95" s="283">
        <v>1</v>
      </c>
      <c r="B95" s="207" t="s">
        <v>101</v>
      </c>
      <c r="C95" s="284"/>
      <c r="D95" s="207"/>
      <c r="E95" s="207"/>
      <c r="F95" s="285">
        <f>C95+D95</f>
        <v>0</v>
      </c>
      <c r="G95" s="285" t="s">
        <v>421</v>
      </c>
      <c r="H95" s="283">
        <v>0</v>
      </c>
      <c r="I95" s="283">
        <v>0</v>
      </c>
      <c r="J95" s="283">
        <v>0</v>
      </c>
      <c r="K95" s="283">
        <v>0</v>
      </c>
      <c r="L95" s="283">
        <v>0</v>
      </c>
      <c r="M95" s="283">
        <v>0</v>
      </c>
      <c r="N95" s="283">
        <v>0</v>
      </c>
      <c r="O95" s="286">
        <v>0</v>
      </c>
      <c r="P95" s="286">
        <v>0</v>
      </c>
      <c r="Q95" s="283">
        <v>0</v>
      </c>
      <c r="R95" s="15">
        <f>F95</f>
        <v>0</v>
      </c>
      <c r="S95" s="287">
        <v>0</v>
      </c>
      <c r="T95" s="207">
        <v>0</v>
      </c>
      <c r="U95" s="207"/>
    </row>
    <row r="96" spans="1:21" ht="20.100000000000001" hidden="1" customHeight="1">
      <c r="A96" s="283">
        <v>1</v>
      </c>
      <c r="B96" s="207" t="s">
        <v>135</v>
      </c>
      <c r="C96" s="285">
        <f>'PART-A'!I270</f>
        <v>0</v>
      </c>
      <c r="D96" s="207"/>
      <c r="E96" s="207"/>
      <c r="F96" s="285">
        <f t="shared" ref="F96:F136" si="11">SUM(C96:E96)</f>
        <v>0</v>
      </c>
      <c r="G96" s="285" t="s">
        <v>421</v>
      </c>
      <c r="H96" s="283">
        <v>0</v>
      </c>
      <c r="I96" s="283">
        <v>0</v>
      </c>
      <c r="J96" s="283">
        <v>0</v>
      </c>
      <c r="K96" s="283">
        <v>0</v>
      </c>
      <c r="L96" s="283">
        <v>0</v>
      </c>
      <c r="M96" s="283">
        <v>0</v>
      </c>
      <c r="N96" s="283">
        <v>0</v>
      </c>
      <c r="O96" s="15">
        <f>F96</f>
        <v>0</v>
      </c>
      <c r="P96" s="286">
        <v>0</v>
      </c>
      <c r="Q96" s="283">
        <v>0</v>
      </c>
      <c r="R96" s="286">
        <v>0</v>
      </c>
      <c r="S96" s="287">
        <v>0</v>
      </c>
      <c r="T96" s="207">
        <v>0</v>
      </c>
      <c r="U96" s="207"/>
    </row>
    <row r="97" spans="1:21" ht="20.100000000000001" hidden="1" customHeight="1">
      <c r="A97" s="283">
        <v>2</v>
      </c>
      <c r="B97" s="207" t="s">
        <v>1191</v>
      </c>
      <c r="C97" s="285">
        <f>'PART-A'!I201</f>
        <v>0</v>
      </c>
      <c r="D97" s="207"/>
      <c r="E97" s="207"/>
      <c r="F97" s="285">
        <f t="shared" si="11"/>
        <v>0</v>
      </c>
      <c r="G97" s="285" t="s">
        <v>421</v>
      </c>
      <c r="H97" s="283">
        <v>0</v>
      </c>
      <c r="I97" s="283">
        <v>0</v>
      </c>
      <c r="J97" s="283">
        <v>0</v>
      </c>
      <c r="K97" s="283">
        <v>0</v>
      </c>
      <c r="L97" s="283">
        <v>0</v>
      </c>
      <c r="M97" s="283">
        <v>0</v>
      </c>
      <c r="N97" s="283">
        <v>0</v>
      </c>
      <c r="O97" s="286">
        <v>0</v>
      </c>
      <c r="P97" s="15">
        <f>F97</f>
        <v>0</v>
      </c>
      <c r="Q97" s="283">
        <v>0</v>
      </c>
      <c r="R97" s="286">
        <v>0</v>
      </c>
      <c r="S97" s="287">
        <v>0</v>
      </c>
      <c r="T97" s="207">
        <v>0</v>
      </c>
      <c r="U97" s="207"/>
    </row>
    <row r="98" spans="1:21" ht="20.100000000000001" hidden="1" customHeight="1">
      <c r="A98" s="283">
        <v>4</v>
      </c>
      <c r="B98" s="207" t="s">
        <v>663</v>
      </c>
      <c r="C98" s="285">
        <f>'PART-A'!I225</f>
        <v>0</v>
      </c>
      <c r="D98" s="207"/>
      <c r="E98" s="207"/>
      <c r="F98" s="285">
        <f t="shared" si="11"/>
        <v>0</v>
      </c>
      <c r="G98" s="285" t="s">
        <v>421</v>
      </c>
      <c r="H98" s="283">
        <v>0</v>
      </c>
      <c r="I98" s="283">
        <v>0</v>
      </c>
      <c r="J98" s="283">
        <v>0</v>
      </c>
      <c r="K98" s="283">
        <v>0</v>
      </c>
      <c r="L98" s="283">
        <v>0</v>
      </c>
      <c r="M98" s="283">
        <v>0</v>
      </c>
      <c r="N98" s="283">
        <v>0</v>
      </c>
      <c r="O98" s="286">
        <v>0</v>
      </c>
      <c r="P98" s="15"/>
      <c r="Q98" s="283">
        <v>0</v>
      </c>
      <c r="R98" s="15">
        <f>F98</f>
        <v>0</v>
      </c>
      <c r="S98" s="287">
        <v>0</v>
      </c>
      <c r="T98" s="207">
        <v>0</v>
      </c>
      <c r="U98" s="207"/>
    </row>
    <row r="99" spans="1:21" ht="20.100000000000001" hidden="1" customHeight="1">
      <c r="A99" s="283">
        <v>22</v>
      </c>
      <c r="B99" s="207" t="s">
        <v>235</v>
      </c>
      <c r="C99" s="285">
        <f>'PART-A'!I133</f>
        <v>0</v>
      </c>
      <c r="D99" s="207"/>
      <c r="E99" s="207"/>
      <c r="F99" s="285">
        <f t="shared" si="11"/>
        <v>0</v>
      </c>
      <c r="G99" s="285" t="s">
        <v>421</v>
      </c>
      <c r="H99" s="15">
        <f>ROUND(F99*0.9,2)</f>
        <v>0</v>
      </c>
      <c r="I99" s="286">
        <v>0</v>
      </c>
      <c r="J99" s="286">
        <v>0</v>
      </c>
      <c r="K99" s="283">
        <v>0</v>
      </c>
      <c r="L99" s="15">
        <f>ROUND(F99*0.45,2)</f>
        <v>0</v>
      </c>
      <c r="M99" s="283">
        <v>0</v>
      </c>
      <c r="N99" s="283">
        <v>0</v>
      </c>
      <c r="O99" s="286">
        <v>0</v>
      </c>
      <c r="P99" s="286">
        <v>0</v>
      </c>
      <c r="Q99" s="286">
        <v>0</v>
      </c>
      <c r="R99" s="286">
        <v>0</v>
      </c>
      <c r="S99" s="288">
        <f t="shared" ref="S99:S136" si="12">ROUND(F99*T99/50,2)</f>
        <v>0</v>
      </c>
      <c r="T99" s="285">
        <v>162</v>
      </c>
      <c r="U99" s="15" t="s">
        <v>4</v>
      </c>
    </row>
    <row r="100" spans="1:21" ht="20.100000000000001" hidden="1" customHeight="1">
      <c r="A100" s="283">
        <v>6</v>
      </c>
      <c r="B100" s="207" t="s">
        <v>446</v>
      </c>
      <c r="C100" s="285">
        <f>'PART-A'!I173</f>
        <v>0</v>
      </c>
      <c r="D100" s="207"/>
      <c r="E100" s="207"/>
      <c r="F100" s="285">
        <f t="shared" si="11"/>
        <v>0</v>
      </c>
      <c r="G100" s="285" t="s">
        <v>421</v>
      </c>
      <c r="H100" s="15">
        <f>ROUND(F100*0.9,2)</f>
        <v>0</v>
      </c>
      <c r="I100" s="286">
        <v>0</v>
      </c>
      <c r="J100" s="286">
        <v>0</v>
      </c>
      <c r="K100" s="283">
        <v>0</v>
      </c>
      <c r="L100" s="15">
        <f>ROUND(F100*0.45,2)</f>
        <v>0</v>
      </c>
      <c r="M100" s="283">
        <v>0</v>
      </c>
      <c r="N100" s="283">
        <v>0</v>
      </c>
      <c r="O100" s="286">
        <v>0</v>
      </c>
      <c r="P100" s="286">
        <v>0</v>
      </c>
      <c r="Q100" s="286">
        <v>0</v>
      </c>
      <c r="R100" s="286">
        <v>0</v>
      </c>
      <c r="S100" s="288">
        <f t="shared" si="12"/>
        <v>0</v>
      </c>
      <c r="T100" s="285">
        <v>129.6</v>
      </c>
      <c r="U100" s="15" t="s">
        <v>4</v>
      </c>
    </row>
    <row r="101" spans="1:21" ht="20.100000000000001" hidden="1" customHeight="1">
      <c r="A101" s="283">
        <v>23</v>
      </c>
      <c r="B101" s="207" t="s">
        <v>132</v>
      </c>
      <c r="C101" s="285">
        <f>'PART-A'!I338</f>
        <v>0</v>
      </c>
      <c r="D101" s="207"/>
      <c r="E101" s="207"/>
      <c r="F101" s="285">
        <f t="shared" si="11"/>
        <v>0</v>
      </c>
      <c r="G101" s="285" t="s">
        <v>421</v>
      </c>
      <c r="H101" s="286">
        <v>0</v>
      </c>
      <c r="I101" s="15">
        <f t="shared" ref="I101:I111" si="13">ROUND(F101*0.8,2)</f>
        <v>0</v>
      </c>
      <c r="J101" s="286">
        <v>0</v>
      </c>
      <c r="K101" s="283">
        <v>0</v>
      </c>
      <c r="L101" s="15">
        <f t="shared" ref="L101:L111" si="14">ROUND(F101*0.4,2)</f>
        <v>0</v>
      </c>
      <c r="M101" s="283">
        <v>0</v>
      </c>
      <c r="N101" s="283">
        <v>0</v>
      </c>
      <c r="O101" s="286">
        <v>0</v>
      </c>
      <c r="P101" s="286">
        <v>0</v>
      </c>
      <c r="Q101" s="286">
        <v>0</v>
      </c>
      <c r="R101" s="286">
        <v>0</v>
      </c>
      <c r="S101" s="288">
        <f t="shared" si="12"/>
        <v>0</v>
      </c>
      <c r="T101" s="285">
        <f>data!E1943</f>
        <v>340</v>
      </c>
      <c r="U101" s="15" t="s">
        <v>4</v>
      </c>
    </row>
    <row r="102" spans="1:21" ht="20.100000000000001" hidden="1" customHeight="1">
      <c r="A102" s="283">
        <v>5</v>
      </c>
      <c r="B102" s="207" t="s">
        <v>133</v>
      </c>
      <c r="C102" s="285">
        <f>'PART-A'!I358</f>
        <v>0</v>
      </c>
      <c r="D102" s="207"/>
      <c r="E102" s="207"/>
      <c r="F102" s="285">
        <f t="shared" si="11"/>
        <v>0</v>
      </c>
      <c r="G102" s="285" t="s">
        <v>421</v>
      </c>
      <c r="H102" s="286">
        <v>0</v>
      </c>
      <c r="I102" s="15">
        <f t="shared" si="13"/>
        <v>0</v>
      </c>
      <c r="J102" s="286">
        <v>0</v>
      </c>
      <c r="K102" s="283">
        <v>0</v>
      </c>
      <c r="L102" s="15">
        <f t="shared" si="14"/>
        <v>0</v>
      </c>
      <c r="M102" s="283">
        <v>0</v>
      </c>
      <c r="N102" s="283">
        <v>0</v>
      </c>
      <c r="O102" s="286">
        <v>0</v>
      </c>
      <c r="P102" s="286">
        <v>0</v>
      </c>
      <c r="Q102" s="286">
        <v>0</v>
      </c>
      <c r="R102" s="286">
        <v>0</v>
      </c>
      <c r="S102" s="288">
        <f t="shared" si="12"/>
        <v>0</v>
      </c>
      <c r="T102" s="285">
        <f>$T$101</f>
        <v>340</v>
      </c>
      <c r="U102" s="15" t="s">
        <v>4</v>
      </c>
    </row>
    <row r="103" spans="1:21" ht="20.100000000000001" hidden="1" customHeight="1">
      <c r="A103" s="283">
        <v>2</v>
      </c>
      <c r="B103" s="207" t="s">
        <v>127</v>
      </c>
      <c r="C103" s="285">
        <f>'PART-A'!I399</f>
        <v>0</v>
      </c>
      <c r="D103" s="285">
        <f>FF!I30</f>
        <v>0</v>
      </c>
      <c r="E103" s="285">
        <f>SF!I28</f>
        <v>0</v>
      </c>
      <c r="F103" s="285">
        <f t="shared" si="11"/>
        <v>0</v>
      </c>
      <c r="G103" s="285" t="s">
        <v>421</v>
      </c>
      <c r="H103" s="286">
        <v>0</v>
      </c>
      <c r="I103" s="15">
        <f t="shared" si="13"/>
        <v>0</v>
      </c>
      <c r="J103" s="286">
        <v>0</v>
      </c>
      <c r="K103" s="283">
        <v>0</v>
      </c>
      <c r="L103" s="15">
        <f t="shared" si="14"/>
        <v>0</v>
      </c>
      <c r="M103" s="283">
        <v>0</v>
      </c>
      <c r="N103" s="283">
        <v>0</v>
      </c>
      <c r="O103" s="286">
        <v>0</v>
      </c>
      <c r="P103" s="286">
        <v>0</v>
      </c>
      <c r="Q103" s="286">
        <v>0</v>
      </c>
      <c r="R103" s="286">
        <v>0</v>
      </c>
      <c r="S103" s="288">
        <f t="shared" si="12"/>
        <v>0</v>
      </c>
      <c r="T103" s="285">
        <f>$T$101</f>
        <v>340</v>
      </c>
      <c r="U103" s="15" t="s">
        <v>4</v>
      </c>
    </row>
    <row r="104" spans="1:21" ht="20.100000000000001" hidden="1" customHeight="1">
      <c r="A104" s="283">
        <v>7</v>
      </c>
      <c r="B104" s="207" t="s">
        <v>128</v>
      </c>
      <c r="C104" s="285">
        <f>'PART-A'!I447</f>
        <v>0</v>
      </c>
      <c r="D104" s="207"/>
      <c r="E104" s="207"/>
      <c r="F104" s="285">
        <f t="shared" si="11"/>
        <v>0</v>
      </c>
      <c r="G104" s="285" t="s">
        <v>421</v>
      </c>
      <c r="H104" s="286">
        <v>0</v>
      </c>
      <c r="I104" s="15">
        <f t="shared" si="13"/>
        <v>0</v>
      </c>
      <c r="J104" s="286">
        <v>0</v>
      </c>
      <c r="K104" s="283">
        <v>0</v>
      </c>
      <c r="L104" s="15">
        <f t="shared" si="14"/>
        <v>0</v>
      </c>
      <c r="M104" s="283">
        <v>0</v>
      </c>
      <c r="N104" s="283">
        <v>0</v>
      </c>
      <c r="O104" s="286">
        <v>0</v>
      </c>
      <c r="P104" s="286">
        <v>0</v>
      </c>
      <c r="Q104" s="286">
        <v>0</v>
      </c>
      <c r="R104" s="286">
        <v>0</v>
      </c>
      <c r="S104" s="288">
        <f t="shared" si="12"/>
        <v>0</v>
      </c>
      <c r="T104" s="285">
        <f>$T$101</f>
        <v>340</v>
      </c>
      <c r="U104" s="15" t="s">
        <v>4</v>
      </c>
    </row>
    <row r="105" spans="1:21" ht="20.100000000000001" hidden="1" customHeight="1">
      <c r="A105" s="283">
        <v>3</v>
      </c>
      <c r="B105" s="207" t="s">
        <v>131</v>
      </c>
      <c r="C105" s="285">
        <f>'PART-A'!I528</f>
        <v>0</v>
      </c>
      <c r="D105" s="285">
        <f>FF!I98</f>
        <v>0</v>
      </c>
      <c r="E105" s="285">
        <f>SF!I51</f>
        <v>0</v>
      </c>
      <c r="F105" s="285">
        <f t="shared" si="11"/>
        <v>0</v>
      </c>
      <c r="G105" s="285" t="s">
        <v>421</v>
      </c>
      <c r="H105" s="286">
        <v>0</v>
      </c>
      <c r="I105" s="15">
        <f t="shared" si="13"/>
        <v>0</v>
      </c>
      <c r="J105" s="286">
        <v>0</v>
      </c>
      <c r="K105" s="283">
        <v>0</v>
      </c>
      <c r="L105" s="15">
        <f t="shared" si="14"/>
        <v>0</v>
      </c>
      <c r="M105" s="283">
        <v>0</v>
      </c>
      <c r="N105" s="283">
        <v>0</v>
      </c>
      <c r="O105" s="286">
        <v>0</v>
      </c>
      <c r="P105" s="286">
        <v>0</v>
      </c>
      <c r="Q105" s="286">
        <v>0</v>
      </c>
      <c r="R105" s="286">
        <v>0</v>
      </c>
      <c r="S105" s="288">
        <f t="shared" si="12"/>
        <v>0</v>
      </c>
      <c r="T105" s="285">
        <f>$T$101</f>
        <v>340</v>
      </c>
      <c r="U105" s="15" t="s">
        <v>4</v>
      </c>
    </row>
    <row r="106" spans="1:21" ht="20.100000000000001" hidden="1" customHeight="1">
      <c r="A106" s="283">
        <v>9</v>
      </c>
      <c r="B106" s="289" t="s">
        <v>236</v>
      </c>
      <c r="C106" s="285">
        <f>ROUND('PART-A'!I555*0.15,2)</f>
        <v>0</v>
      </c>
      <c r="D106" s="285">
        <f>ROUND(FF!I128*0.15,2)</f>
        <v>0</v>
      </c>
      <c r="E106" s="285">
        <f>ROUND(SF!I75*0.15,2)</f>
        <v>0</v>
      </c>
      <c r="F106" s="285">
        <f t="shared" si="11"/>
        <v>0</v>
      </c>
      <c r="G106" s="285" t="s">
        <v>422</v>
      </c>
      <c r="H106" s="286">
        <v>0</v>
      </c>
      <c r="I106" s="15">
        <f t="shared" si="13"/>
        <v>0</v>
      </c>
      <c r="J106" s="286">
        <v>0</v>
      </c>
      <c r="K106" s="283">
        <v>0</v>
      </c>
      <c r="L106" s="15">
        <f t="shared" si="14"/>
        <v>0</v>
      </c>
      <c r="M106" s="283">
        <v>0</v>
      </c>
      <c r="N106" s="283">
        <v>0</v>
      </c>
      <c r="O106" s="286">
        <v>0</v>
      </c>
      <c r="P106" s="286">
        <v>0</v>
      </c>
      <c r="Q106" s="286">
        <v>0</v>
      </c>
      <c r="R106" s="286">
        <v>0</v>
      </c>
      <c r="S106" s="288">
        <f t="shared" si="12"/>
        <v>0</v>
      </c>
      <c r="T106" s="285">
        <f>ROUND(T105,2)</f>
        <v>340</v>
      </c>
      <c r="U106" s="15" t="s">
        <v>4</v>
      </c>
    </row>
    <row r="107" spans="1:21" ht="20.100000000000001" hidden="1" customHeight="1">
      <c r="A107" s="283">
        <v>4</v>
      </c>
      <c r="B107" s="289" t="s">
        <v>237</v>
      </c>
      <c r="C107" s="285">
        <f>ROUND('PART-A'!I580*0.125,2)</f>
        <v>0</v>
      </c>
      <c r="D107" s="285">
        <f>ROUND(FF!I153*0.125,2)</f>
        <v>0</v>
      </c>
      <c r="E107" s="285">
        <f>ROUND(SF!I96*0.125,2)</f>
        <v>0</v>
      </c>
      <c r="F107" s="285">
        <f t="shared" si="11"/>
        <v>0</v>
      </c>
      <c r="G107" s="285" t="s">
        <v>422</v>
      </c>
      <c r="H107" s="286">
        <v>0</v>
      </c>
      <c r="I107" s="15">
        <f t="shared" si="13"/>
        <v>0</v>
      </c>
      <c r="J107" s="286">
        <v>0</v>
      </c>
      <c r="K107" s="283">
        <v>0</v>
      </c>
      <c r="L107" s="15">
        <f t="shared" si="14"/>
        <v>0</v>
      </c>
      <c r="M107" s="283">
        <v>0</v>
      </c>
      <c r="N107" s="283">
        <v>0</v>
      </c>
      <c r="O107" s="286">
        <v>0</v>
      </c>
      <c r="P107" s="286">
        <v>0</v>
      </c>
      <c r="Q107" s="286">
        <v>0</v>
      </c>
      <c r="R107" s="286">
        <v>0</v>
      </c>
      <c r="S107" s="288">
        <f t="shared" si="12"/>
        <v>0</v>
      </c>
      <c r="T107" s="285">
        <f>ROUND(T105,2)</f>
        <v>340</v>
      </c>
      <c r="U107" s="15" t="s">
        <v>4</v>
      </c>
    </row>
    <row r="108" spans="1:21" ht="20.100000000000001" hidden="1" customHeight="1">
      <c r="A108" s="283">
        <v>9</v>
      </c>
      <c r="B108" s="289" t="s">
        <v>605</v>
      </c>
      <c r="C108" s="285">
        <f>ROUND('PART-A'!I604*0.1,2)</f>
        <v>0</v>
      </c>
      <c r="D108" s="285">
        <f>ROUND(FF!I174*0.1,2)</f>
        <v>0</v>
      </c>
      <c r="E108" s="285">
        <f>ROUND(SF!I116*0.1,2)</f>
        <v>0</v>
      </c>
      <c r="F108" s="285">
        <f t="shared" si="11"/>
        <v>0</v>
      </c>
      <c r="G108" s="285" t="s">
        <v>422</v>
      </c>
      <c r="H108" s="286">
        <v>0</v>
      </c>
      <c r="I108" s="15">
        <f t="shared" si="13"/>
        <v>0</v>
      </c>
      <c r="J108" s="286">
        <v>0</v>
      </c>
      <c r="K108" s="283">
        <v>0</v>
      </c>
      <c r="L108" s="15">
        <f t="shared" si="14"/>
        <v>0</v>
      </c>
      <c r="M108" s="283">
        <v>0</v>
      </c>
      <c r="N108" s="283">
        <v>0</v>
      </c>
      <c r="O108" s="286">
        <v>0</v>
      </c>
      <c r="P108" s="286">
        <v>0</v>
      </c>
      <c r="Q108" s="286">
        <v>0</v>
      </c>
      <c r="R108" s="286">
        <v>0</v>
      </c>
      <c r="S108" s="288">
        <f t="shared" si="12"/>
        <v>0</v>
      </c>
      <c r="T108" s="285">
        <f>T107</f>
        <v>340</v>
      </c>
      <c r="U108" s="15" t="s">
        <v>4</v>
      </c>
    </row>
    <row r="109" spans="1:21" ht="20.100000000000001" hidden="1" customHeight="1">
      <c r="A109" s="283">
        <v>9</v>
      </c>
      <c r="B109" s="289" t="s">
        <v>1230</v>
      </c>
      <c r="C109" s="285">
        <f>ROUND('PART-A'!I628*0.05,2)</f>
        <v>0</v>
      </c>
      <c r="D109" s="285">
        <f>ROUND(FF!I197*0.05,2)</f>
        <v>0</v>
      </c>
      <c r="E109" s="285">
        <f>ROUND(SF!I139*0.05,2)</f>
        <v>0</v>
      </c>
      <c r="F109" s="285">
        <f t="shared" si="11"/>
        <v>0</v>
      </c>
      <c r="G109" s="285" t="s">
        <v>422</v>
      </c>
      <c r="H109" s="286">
        <v>0</v>
      </c>
      <c r="I109" s="15">
        <f t="shared" si="13"/>
        <v>0</v>
      </c>
      <c r="J109" s="286">
        <v>0</v>
      </c>
      <c r="K109" s="283">
        <v>0</v>
      </c>
      <c r="L109" s="15">
        <f t="shared" si="14"/>
        <v>0</v>
      </c>
      <c r="M109" s="283">
        <v>0</v>
      </c>
      <c r="N109" s="283">
        <v>0</v>
      </c>
      <c r="O109" s="286">
        <v>0</v>
      </c>
      <c r="P109" s="286">
        <v>0</v>
      </c>
      <c r="Q109" s="286">
        <v>0</v>
      </c>
      <c r="R109" s="286">
        <v>0</v>
      </c>
      <c r="S109" s="288">
        <f t="shared" si="12"/>
        <v>0</v>
      </c>
      <c r="T109" s="285">
        <f>T108</f>
        <v>340</v>
      </c>
      <c r="U109" s="15" t="s">
        <v>4</v>
      </c>
    </row>
    <row r="110" spans="1:21" ht="20.100000000000001" hidden="1" customHeight="1">
      <c r="A110" s="283">
        <v>16</v>
      </c>
      <c r="B110" s="289" t="s">
        <v>1438</v>
      </c>
      <c r="C110" s="285">
        <f>ROUND('PART-A'!I655*0.025,2)</f>
        <v>0</v>
      </c>
      <c r="D110" s="285">
        <f>ROUND(FF!I221*0.025,2)</f>
        <v>0</v>
      </c>
      <c r="E110" s="285">
        <f>ROUND(SF!I163*0.025,2)</f>
        <v>0</v>
      </c>
      <c r="F110" s="285">
        <f t="shared" si="11"/>
        <v>0</v>
      </c>
      <c r="G110" s="285" t="s">
        <v>422</v>
      </c>
      <c r="H110" s="286">
        <v>0</v>
      </c>
      <c r="I110" s="15">
        <f t="shared" si="13"/>
        <v>0</v>
      </c>
      <c r="J110" s="286">
        <v>0</v>
      </c>
      <c r="K110" s="283">
        <v>0</v>
      </c>
      <c r="L110" s="15">
        <f t="shared" si="14"/>
        <v>0</v>
      </c>
      <c r="M110" s="283">
        <v>0</v>
      </c>
      <c r="N110" s="283">
        <v>0</v>
      </c>
      <c r="O110" s="286">
        <v>0</v>
      </c>
      <c r="P110" s="286">
        <v>0</v>
      </c>
      <c r="Q110" s="286">
        <v>0</v>
      </c>
      <c r="R110" s="286">
        <v>0</v>
      </c>
      <c r="S110" s="288">
        <f t="shared" si="12"/>
        <v>0</v>
      </c>
      <c r="T110" s="285">
        <f>T109</f>
        <v>340</v>
      </c>
      <c r="U110" s="15" t="s">
        <v>4</v>
      </c>
    </row>
    <row r="111" spans="1:21" ht="20.100000000000001" hidden="1" customHeight="1">
      <c r="A111" s="283">
        <v>5</v>
      </c>
      <c r="B111" s="207" t="s">
        <v>129</v>
      </c>
      <c r="C111" s="285">
        <f>'PART-A'!I693</f>
        <v>0</v>
      </c>
      <c r="D111" s="285">
        <f>FF!I270</f>
        <v>0</v>
      </c>
      <c r="E111" s="285">
        <f>SF!I190</f>
        <v>0</v>
      </c>
      <c r="F111" s="285">
        <f t="shared" si="11"/>
        <v>0</v>
      </c>
      <c r="G111" s="285" t="s">
        <v>421</v>
      </c>
      <c r="H111" s="286">
        <v>0</v>
      </c>
      <c r="I111" s="15">
        <f t="shared" si="13"/>
        <v>0</v>
      </c>
      <c r="J111" s="286">
        <v>0</v>
      </c>
      <c r="K111" s="283">
        <v>0</v>
      </c>
      <c r="L111" s="15">
        <f t="shared" si="14"/>
        <v>0</v>
      </c>
      <c r="M111" s="283">
        <v>0</v>
      </c>
      <c r="N111" s="283">
        <v>0</v>
      </c>
      <c r="O111" s="286">
        <v>0</v>
      </c>
      <c r="P111" s="286">
        <v>0</v>
      </c>
      <c r="Q111" s="286">
        <v>0</v>
      </c>
      <c r="R111" s="286">
        <v>0</v>
      </c>
      <c r="S111" s="288">
        <f t="shared" si="12"/>
        <v>0</v>
      </c>
      <c r="T111" s="285">
        <f>$T$101</f>
        <v>340</v>
      </c>
      <c r="U111" s="15" t="s">
        <v>4</v>
      </c>
    </row>
    <row r="112" spans="1:21" ht="20.100000000000001" hidden="1" customHeight="1">
      <c r="A112" s="283">
        <v>6</v>
      </c>
      <c r="B112" s="207" t="s">
        <v>130</v>
      </c>
      <c r="C112" s="285">
        <f>'PART-A'!I778</f>
        <v>0</v>
      </c>
      <c r="D112" s="285">
        <f>FF!I295</f>
        <v>0</v>
      </c>
      <c r="E112" s="285">
        <f>SF!I212</f>
        <v>0</v>
      </c>
      <c r="F112" s="285">
        <f t="shared" si="11"/>
        <v>0</v>
      </c>
      <c r="G112" s="285" t="s">
        <v>82</v>
      </c>
      <c r="H112" s="286">
        <v>0</v>
      </c>
      <c r="I112" s="15">
        <f>ROUND(F112*0.0375*0.8,2)</f>
        <v>0</v>
      </c>
      <c r="J112" s="286">
        <v>0</v>
      </c>
      <c r="K112" s="283">
        <v>0</v>
      </c>
      <c r="L112" s="15">
        <f>ROUND(F112*0.0375*0.4,2)</f>
        <v>0</v>
      </c>
      <c r="M112" s="283">
        <v>0</v>
      </c>
      <c r="N112" s="283">
        <v>0</v>
      </c>
      <c r="O112" s="286">
        <v>0</v>
      </c>
      <c r="P112" s="286">
        <v>0</v>
      </c>
      <c r="Q112" s="286">
        <v>0</v>
      </c>
      <c r="R112" s="286">
        <v>0</v>
      </c>
      <c r="S112" s="288">
        <f t="shared" si="12"/>
        <v>0</v>
      </c>
      <c r="T112" s="290">
        <f>ROUND(T111*0.0375,2)</f>
        <v>12.75</v>
      </c>
      <c r="U112" s="15" t="s">
        <v>4</v>
      </c>
    </row>
    <row r="113" spans="1:21" ht="20.100000000000001" hidden="1" customHeight="1">
      <c r="A113" s="283">
        <v>4</v>
      </c>
      <c r="B113" s="289" t="s">
        <v>1439</v>
      </c>
      <c r="C113" s="285">
        <f>'PART-A'!I803</f>
        <v>0</v>
      </c>
      <c r="D113" s="285">
        <f>FF!I320</f>
        <v>0</v>
      </c>
      <c r="E113" s="285">
        <f>SF!I232</f>
        <v>0</v>
      </c>
      <c r="F113" s="285">
        <f t="shared" si="11"/>
        <v>0</v>
      </c>
      <c r="G113" s="285" t="s">
        <v>422</v>
      </c>
      <c r="H113" s="286">
        <v>0</v>
      </c>
      <c r="I113" s="286">
        <v>0</v>
      </c>
      <c r="J113" s="286">
        <v>0</v>
      </c>
      <c r="K113" s="283">
        <v>0</v>
      </c>
      <c r="L113" s="286">
        <v>0</v>
      </c>
      <c r="M113" s="283">
        <v>0</v>
      </c>
      <c r="N113" s="15">
        <f>ROUND(F113*0.015*1.05,2)</f>
        <v>0</v>
      </c>
      <c r="O113" s="286">
        <v>0</v>
      </c>
      <c r="P113" s="286">
        <v>0</v>
      </c>
      <c r="Q113" s="286">
        <v>0</v>
      </c>
      <c r="R113" s="286">
        <v>0</v>
      </c>
      <c r="S113" s="288">
        <f t="shared" si="12"/>
        <v>0</v>
      </c>
      <c r="T113" s="285">
        <v>7.2</v>
      </c>
      <c r="U113" s="15" t="s">
        <v>4</v>
      </c>
    </row>
    <row r="114" spans="1:21" ht="20.100000000000001" hidden="1" customHeight="1">
      <c r="A114" s="283">
        <v>12</v>
      </c>
      <c r="B114" s="289" t="s">
        <v>1225</v>
      </c>
      <c r="C114" s="285">
        <f>'PART-A'!I828</f>
        <v>0</v>
      </c>
      <c r="D114" s="285">
        <f>FF!I344</f>
        <v>0</v>
      </c>
      <c r="E114" s="285">
        <f>SF!I255</f>
        <v>0</v>
      </c>
      <c r="F114" s="285">
        <f t="shared" si="11"/>
        <v>0</v>
      </c>
      <c r="G114" s="285" t="s">
        <v>422</v>
      </c>
      <c r="H114" s="286">
        <v>0</v>
      </c>
      <c r="I114" s="286">
        <v>0</v>
      </c>
      <c r="J114" s="286">
        <v>0</v>
      </c>
      <c r="K114" s="283">
        <v>0</v>
      </c>
      <c r="L114" s="286">
        <v>0</v>
      </c>
      <c r="M114" s="283">
        <v>0</v>
      </c>
      <c r="N114" s="15">
        <f>ROUND(F114*0.021*1.05,2)</f>
        <v>0</v>
      </c>
      <c r="O114" s="286">
        <v>0</v>
      </c>
      <c r="P114" s="286">
        <v>0</v>
      </c>
      <c r="Q114" s="286">
        <v>0</v>
      </c>
      <c r="R114" s="286">
        <v>0</v>
      </c>
      <c r="S114" s="288">
        <f t="shared" si="12"/>
        <v>0</v>
      </c>
      <c r="T114" s="285">
        <v>10.08</v>
      </c>
      <c r="U114" s="15" t="s">
        <v>4</v>
      </c>
    </row>
    <row r="115" spans="1:21" ht="20.100000000000001" hidden="1" customHeight="1">
      <c r="A115" s="283">
        <v>13</v>
      </c>
      <c r="B115" s="207" t="s">
        <v>1193</v>
      </c>
      <c r="C115" s="285">
        <f>'PART-A'!I855</f>
        <v>0</v>
      </c>
      <c r="D115" s="285"/>
      <c r="E115" s="285"/>
      <c r="F115" s="285">
        <f t="shared" si="11"/>
        <v>0</v>
      </c>
      <c r="G115" s="285" t="s">
        <v>421</v>
      </c>
      <c r="H115" s="286">
        <v>0</v>
      </c>
      <c r="I115" s="286">
        <v>0</v>
      </c>
      <c r="J115" s="286">
        <v>0</v>
      </c>
      <c r="K115" s="15">
        <f>ROUND(F115*1.1,2)</f>
        <v>0</v>
      </c>
      <c r="L115" s="286">
        <v>0</v>
      </c>
      <c r="M115" s="15">
        <f>ROUND(F115*0.33,2)</f>
        <v>0</v>
      </c>
      <c r="N115" s="286">
        <v>0</v>
      </c>
      <c r="O115" s="286">
        <v>0</v>
      </c>
      <c r="P115" s="286">
        <v>0</v>
      </c>
      <c r="Q115" s="15"/>
      <c r="R115" s="286">
        <v>0</v>
      </c>
      <c r="S115" s="288">
        <f t="shared" si="12"/>
        <v>0</v>
      </c>
      <c r="T115" s="285">
        <v>59.4</v>
      </c>
      <c r="U115" s="15" t="s">
        <v>4</v>
      </c>
    </row>
    <row r="116" spans="1:21" ht="20.100000000000001" hidden="1" customHeight="1">
      <c r="A116" s="283">
        <v>24</v>
      </c>
      <c r="B116" s="207" t="s">
        <v>134</v>
      </c>
      <c r="C116" s="285">
        <f>'PART-A'!I896</f>
        <v>0</v>
      </c>
      <c r="D116" s="285">
        <f>FF!I368</f>
        <v>0</v>
      </c>
      <c r="E116" s="285">
        <f>SF!I282</f>
        <v>0</v>
      </c>
      <c r="F116" s="285">
        <f t="shared" si="11"/>
        <v>0</v>
      </c>
      <c r="G116" s="285" t="s">
        <v>421</v>
      </c>
      <c r="H116" s="286">
        <v>0</v>
      </c>
      <c r="I116" s="286">
        <v>0</v>
      </c>
      <c r="J116" s="286">
        <v>0</v>
      </c>
      <c r="K116" s="283">
        <v>0</v>
      </c>
      <c r="L116" s="286">
        <v>0</v>
      </c>
      <c r="M116" s="15">
        <f>ROUND(F116*0.2,2)</f>
        <v>0</v>
      </c>
      <c r="N116" s="286">
        <v>0</v>
      </c>
      <c r="O116" s="286">
        <v>0</v>
      </c>
      <c r="P116" s="286">
        <v>0</v>
      </c>
      <c r="Q116" s="15">
        <f>ROUND(F116*512/1000,2)</f>
        <v>0</v>
      </c>
      <c r="R116" s="286">
        <v>0</v>
      </c>
      <c r="S116" s="288">
        <f t="shared" si="12"/>
        <v>0</v>
      </c>
      <c r="T116" s="285">
        <v>36</v>
      </c>
      <c r="U116" s="15" t="s">
        <v>4</v>
      </c>
    </row>
    <row r="117" spans="1:21" ht="20.100000000000001" hidden="1" customHeight="1">
      <c r="A117" s="283">
        <v>19</v>
      </c>
      <c r="B117" s="207" t="s">
        <v>906</v>
      </c>
      <c r="C117" s="285">
        <f>'PART-A'!I956</f>
        <v>0</v>
      </c>
      <c r="D117" s="285">
        <f>FF!I454</f>
        <v>0</v>
      </c>
      <c r="E117" s="285">
        <f>SF!I312</f>
        <v>0</v>
      </c>
      <c r="F117" s="285">
        <f t="shared" si="11"/>
        <v>0</v>
      </c>
      <c r="G117" s="285" t="s">
        <v>421</v>
      </c>
      <c r="H117" s="286">
        <v>0</v>
      </c>
      <c r="I117" s="286">
        <v>0</v>
      </c>
      <c r="J117" s="286">
        <v>0</v>
      </c>
      <c r="K117" s="283">
        <v>0</v>
      </c>
      <c r="L117" s="286">
        <v>0</v>
      </c>
      <c r="M117" s="15">
        <f>ROUND(F117*0.2,2)</f>
        <v>0</v>
      </c>
      <c r="N117" s="286">
        <v>0</v>
      </c>
      <c r="O117" s="286">
        <v>0</v>
      </c>
      <c r="P117" s="286">
        <v>0</v>
      </c>
      <c r="Q117" s="15">
        <f>ROUND(F117*512/1000,2)</f>
        <v>0</v>
      </c>
      <c r="R117" s="286">
        <v>0</v>
      </c>
      <c r="S117" s="288">
        <f t="shared" si="12"/>
        <v>0</v>
      </c>
      <c r="T117" s="285">
        <v>48</v>
      </c>
      <c r="U117" s="15" t="s">
        <v>4</v>
      </c>
    </row>
    <row r="118" spans="1:21" ht="20.100000000000001" hidden="1" customHeight="1">
      <c r="A118" s="283">
        <v>9</v>
      </c>
      <c r="B118" s="207" t="s">
        <v>3686</v>
      </c>
      <c r="C118" s="285">
        <f>'PART-A'!I1067</f>
        <v>0</v>
      </c>
      <c r="D118" s="285">
        <f>FF!I541</f>
        <v>0</v>
      </c>
      <c r="E118" s="285">
        <f>SF!I339</f>
        <v>0</v>
      </c>
      <c r="F118" s="285">
        <f t="shared" si="11"/>
        <v>0</v>
      </c>
      <c r="G118" s="285" t="s">
        <v>422</v>
      </c>
      <c r="H118" s="286">
        <v>0</v>
      </c>
      <c r="I118" s="15"/>
      <c r="J118" s="286">
        <v>0</v>
      </c>
      <c r="K118" s="283">
        <v>0</v>
      </c>
      <c r="L118" s="286">
        <v>0</v>
      </c>
      <c r="M118" s="15">
        <f>ROUND(F118*0.022,2)</f>
        <v>0</v>
      </c>
      <c r="N118" s="286">
        <v>0</v>
      </c>
      <c r="O118" s="286">
        <v>0</v>
      </c>
      <c r="P118" s="286">
        <v>0</v>
      </c>
      <c r="Q118" s="15">
        <f>ROUND(F118*512*0.1/1000,2)</f>
        <v>0</v>
      </c>
      <c r="R118" s="286">
        <v>0</v>
      </c>
      <c r="S118" s="288">
        <f t="shared" si="12"/>
        <v>0</v>
      </c>
      <c r="T118" s="285">
        <v>7.2</v>
      </c>
      <c r="U118" s="15" t="s">
        <v>4</v>
      </c>
    </row>
    <row r="119" spans="1:21" ht="20.100000000000001" hidden="1" customHeight="1">
      <c r="A119" s="283">
        <v>16</v>
      </c>
      <c r="B119" s="207" t="s">
        <v>1213</v>
      </c>
      <c r="C119" s="285">
        <f>'PART-A'!I1145</f>
        <v>0</v>
      </c>
      <c r="D119" s="285">
        <f>FF!I571</f>
        <v>0</v>
      </c>
      <c r="E119" s="285">
        <f>SF!I368</f>
        <v>0</v>
      </c>
      <c r="F119" s="285">
        <f t="shared" si="11"/>
        <v>0</v>
      </c>
      <c r="G119" s="285" t="s">
        <v>421</v>
      </c>
      <c r="H119" s="286">
        <v>0</v>
      </c>
      <c r="I119" s="286">
        <v>0</v>
      </c>
      <c r="J119" s="286">
        <v>0</v>
      </c>
      <c r="K119" s="283">
        <v>0</v>
      </c>
      <c r="L119" s="286">
        <v>0</v>
      </c>
      <c r="M119" s="15">
        <f>ROUND(F119*0.1*1.05,2)</f>
        <v>0</v>
      </c>
      <c r="N119" s="286">
        <v>0</v>
      </c>
      <c r="O119" s="286">
        <v>0</v>
      </c>
      <c r="P119" s="286">
        <v>0</v>
      </c>
      <c r="Q119" s="15">
        <f>ROUND(F119*110/1000,2)</f>
        <v>0</v>
      </c>
      <c r="R119" s="286">
        <v>0</v>
      </c>
      <c r="S119" s="288">
        <f t="shared" si="12"/>
        <v>0</v>
      </c>
      <c r="T119" s="285">
        <v>24</v>
      </c>
      <c r="U119" s="15" t="s">
        <v>4</v>
      </c>
    </row>
    <row r="120" spans="1:21" ht="20.100000000000001" hidden="1" customHeight="1">
      <c r="A120" s="283">
        <v>20</v>
      </c>
      <c r="B120" s="289" t="s">
        <v>1214</v>
      </c>
      <c r="C120" s="285">
        <f>'PART-A'!I1171</f>
        <v>0</v>
      </c>
      <c r="D120" s="285">
        <f>FF!I596</f>
        <v>0</v>
      </c>
      <c r="E120" s="285"/>
      <c r="F120" s="285">
        <f t="shared" si="11"/>
        <v>0</v>
      </c>
      <c r="G120" s="285" t="s">
        <v>422</v>
      </c>
      <c r="H120" s="286">
        <v>0</v>
      </c>
      <c r="I120" s="286">
        <v>0</v>
      </c>
      <c r="J120" s="286">
        <v>0</v>
      </c>
      <c r="K120" s="283">
        <v>0</v>
      </c>
      <c r="L120" s="286">
        <v>0</v>
      </c>
      <c r="M120" s="286">
        <v>0</v>
      </c>
      <c r="N120" s="15">
        <f>ROUND(F120*((0.015*1.05)+(0.025*1.05)),2)</f>
        <v>0</v>
      </c>
      <c r="O120" s="286">
        <v>0</v>
      </c>
      <c r="P120" s="286">
        <v>0</v>
      </c>
      <c r="Q120" s="286">
        <v>0</v>
      </c>
      <c r="R120" s="286">
        <v>0</v>
      </c>
      <c r="S120" s="288">
        <f t="shared" si="12"/>
        <v>0</v>
      </c>
      <c r="T120" s="285">
        <v>20.89</v>
      </c>
      <c r="U120" s="15" t="s">
        <v>4</v>
      </c>
    </row>
    <row r="121" spans="1:21" ht="20.100000000000001" hidden="1" customHeight="1">
      <c r="A121" s="283">
        <v>21</v>
      </c>
      <c r="B121" s="289" t="s">
        <v>137</v>
      </c>
      <c r="C121" s="285">
        <f>'PART-A'!I1247</f>
        <v>0</v>
      </c>
      <c r="D121" s="285">
        <f>FF!I659</f>
        <v>0</v>
      </c>
      <c r="E121" s="285">
        <f>SF!I397</f>
        <v>0</v>
      </c>
      <c r="F121" s="285">
        <f t="shared" si="11"/>
        <v>0</v>
      </c>
      <c r="G121" s="285" t="s">
        <v>422</v>
      </c>
      <c r="H121" s="286">
        <v>0</v>
      </c>
      <c r="I121" s="286">
        <v>0</v>
      </c>
      <c r="J121" s="286">
        <v>0</v>
      </c>
      <c r="K121" s="283">
        <v>0</v>
      </c>
      <c r="L121" s="286">
        <v>0</v>
      </c>
      <c r="M121" s="286">
        <v>0</v>
      </c>
      <c r="N121" s="15">
        <f>ROUND(F121*0.015*1.05,2)</f>
        <v>0</v>
      </c>
      <c r="O121" s="286">
        <v>0</v>
      </c>
      <c r="P121" s="286">
        <v>0</v>
      </c>
      <c r="Q121" s="286">
        <v>0</v>
      </c>
      <c r="R121" s="286">
        <v>0</v>
      </c>
      <c r="S121" s="288">
        <f t="shared" si="12"/>
        <v>0</v>
      </c>
      <c r="T121" s="285">
        <v>7.2</v>
      </c>
      <c r="U121" s="15" t="s">
        <v>4</v>
      </c>
    </row>
    <row r="122" spans="1:21" ht="20.100000000000001" hidden="1" customHeight="1">
      <c r="A122" s="283">
        <v>25</v>
      </c>
      <c r="B122" s="289" t="s">
        <v>238</v>
      </c>
      <c r="C122" s="285">
        <f>'PART-A'!I1287</f>
        <v>0</v>
      </c>
      <c r="D122" s="285">
        <f>FF!I702</f>
        <v>0</v>
      </c>
      <c r="E122" s="285">
        <f>SF!I428</f>
        <v>0</v>
      </c>
      <c r="F122" s="285">
        <f t="shared" si="11"/>
        <v>0</v>
      </c>
      <c r="G122" s="285" t="s">
        <v>422</v>
      </c>
      <c r="H122" s="286">
        <v>0</v>
      </c>
      <c r="I122" s="286">
        <v>0</v>
      </c>
      <c r="J122" s="286">
        <v>0</v>
      </c>
      <c r="K122" s="283">
        <v>0</v>
      </c>
      <c r="L122" s="286">
        <v>0</v>
      </c>
      <c r="M122" s="286">
        <v>0</v>
      </c>
      <c r="N122" s="15">
        <f>ROUND(F122*0.015*1.05,2)</f>
        <v>0</v>
      </c>
      <c r="O122" s="286">
        <v>0</v>
      </c>
      <c r="P122" s="286">
        <v>0</v>
      </c>
      <c r="Q122" s="286">
        <v>0</v>
      </c>
      <c r="R122" s="286">
        <v>0</v>
      </c>
      <c r="S122" s="288">
        <f t="shared" si="12"/>
        <v>0</v>
      </c>
      <c r="T122" s="285">
        <v>4.32</v>
      </c>
      <c r="U122" s="15" t="s">
        <v>4</v>
      </c>
    </row>
    <row r="123" spans="1:21" ht="20.100000000000001" hidden="1" customHeight="1">
      <c r="A123" s="283">
        <v>3</v>
      </c>
      <c r="B123" s="289" t="s">
        <v>604</v>
      </c>
      <c r="C123" s="285">
        <f>'PART-A'!I1313</f>
        <v>0</v>
      </c>
      <c r="D123" s="285">
        <f>FF!I734</f>
        <v>0</v>
      </c>
      <c r="E123" s="285">
        <f>SF!I460</f>
        <v>0</v>
      </c>
      <c r="F123" s="285">
        <f t="shared" si="11"/>
        <v>0</v>
      </c>
      <c r="G123" s="285" t="s">
        <v>422</v>
      </c>
      <c r="H123" s="286">
        <v>0</v>
      </c>
      <c r="I123" s="286">
        <v>0</v>
      </c>
      <c r="J123" s="286">
        <v>0</v>
      </c>
      <c r="K123" s="283">
        <v>0</v>
      </c>
      <c r="L123" s="286">
        <v>0</v>
      </c>
      <c r="M123" s="286">
        <v>0</v>
      </c>
      <c r="N123" s="15">
        <f>ROUND(F123*0.021*1.05,2)</f>
        <v>0</v>
      </c>
      <c r="O123" s="286">
        <v>0</v>
      </c>
      <c r="P123" s="286">
        <v>0</v>
      </c>
      <c r="Q123" s="286">
        <v>0</v>
      </c>
      <c r="R123" s="286">
        <v>0</v>
      </c>
      <c r="S123" s="288">
        <f t="shared" si="12"/>
        <v>0</v>
      </c>
      <c r="T123" s="285">
        <v>6.05</v>
      </c>
      <c r="U123" s="15" t="s">
        <v>4</v>
      </c>
    </row>
    <row r="124" spans="1:21" ht="20.100000000000001" hidden="1" customHeight="1">
      <c r="A124" s="283">
        <v>22</v>
      </c>
      <c r="B124" s="289" t="s">
        <v>904</v>
      </c>
      <c r="C124" s="285">
        <f>'PART-A'!I1431</f>
        <v>0</v>
      </c>
      <c r="D124" s="285">
        <f>FF!I830</f>
        <v>0</v>
      </c>
      <c r="E124" s="285">
        <f>SF!I496</f>
        <v>0</v>
      </c>
      <c r="F124" s="285">
        <f t="shared" si="11"/>
        <v>0</v>
      </c>
      <c r="G124" s="285" t="s">
        <v>422</v>
      </c>
      <c r="H124" s="286">
        <v>0</v>
      </c>
      <c r="I124" s="286">
        <v>0</v>
      </c>
      <c r="J124" s="286">
        <v>0</v>
      </c>
      <c r="K124" s="283">
        <v>0</v>
      </c>
      <c r="L124" s="286">
        <v>0</v>
      </c>
      <c r="M124" s="286">
        <v>0</v>
      </c>
      <c r="N124" s="15">
        <f>ROUND(F124*0.015*1,2)</f>
        <v>0</v>
      </c>
      <c r="O124" s="286">
        <v>0</v>
      </c>
      <c r="P124" s="286">
        <v>0</v>
      </c>
      <c r="Q124" s="286">
        <v>0</v>
      </c>
      <c r="R124" s="286">
        <v>0</v>
      </c>
      <c r="S124" s="288">
        <f t="shared" si="12"/>
        <v>0</v>
      </c>
      <c r="T124" s="285">
        <v>5.09</v>
      </c>
      <c r="U124" s="15" t="s">
        <v>4</v>
      </c>
    </row>
    <row r="125" spans="1:21" ht="20.100000000000001" hidden="1" customHeight="1">
      <c r="A125" s="283">
        <v>23</v>
      </c>
      <c r="B125" s="289" t="s">
        <v>603</v>
      </c>
      <c r="C125" s="285">
        <f>'PART-A'!I1482</f>
        <v>0</v>
      </c>
      <c r="D125" s="285">
        <f>FF!I897</f>
        <v>0</v>
      </c>
      <c r="E125" s="285">
        <f>SF!I532</f>
        <v>0</v>
      </c>
      <c r="F125" s="285">
        <f t="shared" si="11"/>
        <v>0</v>
      </c>
      <c r="G125" s="285" t="s">
        <v>422</v>
      </c>
      <c r="H125" s="286">
        <v>0</v>
      </c>
      <c r="I125" s="286">
        <v>0</v>
      </c>
      <c r="J125" s="286">
        <v>0</v>
      </c>
      <c r="K125" s="283">
        <v>0</v>
      </c>
      <c r="L125" s="286">
        <v>0</v>
      </c>
      <c r="M125" s="286">
        <v>0</v>
      </c>
      <c r="N125" s="15">
        <f>ROUND(F125*0.022*1,2)</f>
        <v>0</v>
      </c>
      <c r="O125" s="286">
        <v>0</v>
      </c>
      <c r="P125" s="286">
        <v>0</v>
      </c>
      <c r="Q125" s="286">
        <v>0</v>
      </c>
      <c r="R125" s="286">
        <v>0</v>
      </c>
      <c r="S125" s="288">
        <f t="shared" si="12"/>
        <v>0</v>
      </c>
      <c r="T125" s="285">
        <v>5.75</v>
      </c>
      <c r="U125" s="15" t="s">
        <v>4</v>
      </c>
    </row>
    <row r="126" spans="1:21" ht="20.100000000000001" hidden="1" customHeight="1">
      <c r="A126" s="283">
        <v>19</v>
      </c>
      <c r="B126" s="207" t="s">
        <v>447</v>
      </c>
      <c r="C126" s="285">
        <f>'PART-A'!I1523</f>
        <v>0</v>
      </c>
      <c r="D126" s="285">
        <f>FF!I925</f>
        <v>0</v>
      </c>
      <c r="E126" s="285">
        <f>SF!I554</f>
        <v>0</v>
      </c>
      <c r="F126" s="285">
        <f t="shared" si="11"/>
        <v>0</v>
      </c>
      <c r="G126" s="285" t="s">
        <v>421</v>
      </c>
      <c r="H126" s="286">
        <v>0</v>
      </c>
      <c r="I126" s="15">
        <f>ROUND(F126*0.8,2)</f>
        <v>0</v>
      </c>
      <c r="J126" s="286">
        <v>0</v>
      </c>
      <c r="K126" s="283">
        <v>0</v>
      </c>
      <c r="L126" s="15">
        <f>ROUND(F126*0.4,2)</f>
        <v>0</v>
      </c>
      <c r="M126" s="283">
        <v>0</v>
      </c>
      <c r="N126" s="283">
        <v>0</v>
      </c>
      <c r="O126" s="286">
        <v>0</v>
      </c>
      <c r="P126" s="286">
        <v>0</v>
      </c>
      <c r="Q126" s="286">
        <v>0</v>
      </c>
      <c r="R126" s="286">
        <v>0</v>
      </c>
      <c r="S126" s="288">
        <f t="shared" si="12"/>
        <v>0</v>
      </c>
      <c r="T126" s="285">
        <f>$T$101</f>
        <v>340</v>
      </c>
      <c r="U126" s="15" t="s">
        <v>4</v>
      </c>
    </row>
    <row r="127" spans="1:21" ht="20.100000000000001" hidden="1" customHeight="1">
      <c r="A127" s="283">
        <v>7</v>
      </c>
      <c r="B127" s="289" t="s">
        <v>241</v>
      </c>
      <c r="C127" s="285">
        <f>'PART-A'!I1563</f>
        <v>0</v>
      </c>
      <c r="D127" s="285">
        <f>FF!I956</f>
        <v>0</v>
      </c>
      <c r="E127" s="285">
        <f>SF!I577</f>
        <v>0</v>
      </c>
      <c r="F127" s="285">
        <f t="shared" si="11"/>
        <v>0</v>
      </c>
      <c r="G127" s="285" t="s">
        <v>422</v>
      </c>
      <c r="H127" s="286">
        <v>0</v>
      </c>
      <c r="I127" s="286">
        <v>0</v>
      </c>
      <c r="J127" s="286">
        <v>0</v>
      </c>
      <c r="K127" s="283">
        <v>0</v>
      </c>
      <c r="L127" s="286">
        <v>0</v>
      </c>
      <c r="M127" s="15">
        <f>ROUND(F127*0.014,2)</f>
        <v>0</v>
      </c>
      <c r="N127" s="286">
        <v>0</v>
      </c>
      <c r="O127" s="286">
        <v>0</v>
      </c>
      <c r="P127" s="286">
        <v>0</v>
      </c>
      <c r="Q127" s="286">
        <v>0</v>
      </c>
      <c r="R127" s="286">
        <v>0</v>
      </c>
      <c r="S127" s="288">
        <f t="shared" si="12"/>
        <v>0</v>
      </c>
      <c r="T127" s="285">
        <v>6.06</v>
      </c>
      <c r="U127" s="15" t="s">
        <v>4</v>
      </c>
    </row>
    <row r="128" spans="1:21" ht="20.100000000000001" hidden="1" customHeight="1">
      <c r="A128" s="283">
        <v>8</v>
      </c>
      <c r="B128" s="289" t="s">
        <v>242</v>
      </c>
      <c r="C128" s="285">
        <f>'PART-A'!I1632</f>
        <v>0</v>
      </c>
      <c r="D128" s="285">
        <f>FF!I995</f>
        <v>0</v>
      </c>
      <c r="E128" s="285">
        <f>SF!I604</f>
        <v>0</v>
      </c>
      <c r="F128" s="285">
        <f t="shared" si="11"/>
        <v>0</v>
      </c>
      <c r="G128" s="285" t="s">
        <v>422</v>
      </c>
      <c r="H128" s="286">
        <v>0</v>
      </c>
      <c r="I128" s="286">
        <v>0</v>
      </c>
      <c r="J128" s="286">
        <v>0</v>
      </c>
      <c r="K128" s="283">
        <v>0</v>
      </c>
      <c r="L128" s="286">
        <v>0</v>
      </c>
      <c r="M128" s="15">
        <f>ROUND(F128*0.012,2)</f>
        <v>0</v>
      </c>
      <c r="N128" s="286">
        <v>0</v>
      </c>
      <c r="O128" s="286">
        <v>0</v>
      </c>
      <c r="P128" s="286">
        <v>0</v>
      </c>
      <c r="Q128" s="286">
        <v>0</v>
      </c>
      <c r="R128" s="286">
        <v>0</v>
      </c>
      <c r="S128" s="288">
        <f t="shared" si="12"/>
        <v>0</v>
      </c>
      <c r="T128" s="290">
        <v>6.7560000000000002</v>
      </c>
      <c r="U128" s="15" t="s">
        <v>4</v>
      </c>
    </row>
    <row r="129" spans="1:21" ht="20.100000000000001" hidden="1" customHeight="1">
      <c r="A129" s="283">
        <v>9</v>
      </c>
      <c r="B129" s="289" t="s">
        <v>681</v>
      </c>
      <c r="C129" s="285">
        <f>'PART-A'!I1688</f>
        <v>0</v>
      </c>
      <c r="D129" s="285">
        <f>FF!I1024</f>
        <v>0</v>
      </c>
      <c r="E129" s="285">
        <f>SF!I632</f>
        <v>0</v>
      </c>
      <c r="F129" s="285">
        <f t="shared" si="11"/>
        <v>0</v>
      </c>
      <c r="G129" s="285" t="s">
        <v>422</v>
      </c>
      <c r="H129" s="286">
        <v>0</v>
      </c>
      <c r="I129" s="286">
        <v>0</v>
      </c>
      <c r="J129" s="286">
        <v>0</v>
      </c>
      <c r="K129" s="283">
        <v>0</v>
      </c>
      <c r="L129" s="286">
        <v>0</v>
      </c>
      <c r="M129" s="15">
        <f>ROUND(F129*0.014,2)</f>
        <v>0</v>
      </c>
      <c r="N129" s="286">
        <v>0</v>
      </c>
      <c r="O129" s="286">
        <v>0</v>
      </c>
      <c r="P129" s="286">
        <v>0</v>
      </c>
      <c r="Q129" s="286">
        <v>0</v>
      </c>
      <c r="R129" s="286">
        <v>0</v>
      </c>
      <c r="S129" s="288">
        <f t="shared" si="12"/>
        <v>0</v>
      </c>
      <c r="T129" s="285">
        <v>7.5</v>
      </c>
      <c r="U129" s="15" t="s">
        <v>4</v>
      </c>
    </row>
    <row r="130" spans="1:21" ht="20.100000000000001" hidden="1" customHeight="1">
      <c r="A130" s="283">
        <v>10</v>
      </c>
      <c r="B130" s="289" t="s">
        <v>682</v>
      </c>
      <c r="C130" s="285">
        <f>'PART-A'!I1743</f>
        <v>0</v>
      </c>
      <c r="D130" s="285">
        <f>FF!I1064</f>
        <v>0</v>
      </c>
      <c r="E130" s="285">
        <f>SF!I660</f>
        <v>0</v>
      </c>
      <c r="F130" s="285">
        <f t="shared" si="11"/>
        <v>0</v>
      </c>
      <c r="G130" s="285" t="s">
        <v>422</v>
      </c>
      <c r="H130" s="286">
        <v>0</v>
      </c>
      <c r="I130" s="286">
        <v>0</v>
      </c>
      <c r="J130" s="286">
        <v>0</v>
      </c>
      <c r="K130" s="283">
        <v>0</v>
      </c>
      <c r="L130" s="286">
        <v>0</v>
      </c>
      <c r="M130" s="15">
        <f>ROUND(F130*0.012,2)</f>
        <v>0</v>
      </c>
      <c r="N130" s="286">
        <v>0</v>
      </c>
      <c r="O130" s="286">
        <v>0</v>
      </c>
      <c r="P130" s="286">
        <v>0</v>
      </c>
      <c r="Q130" s="286">
        <v>0</v>
      </c>
      <c r="R130" s="286">
        <v>0</v>
      </c>
      <c r="S130" s="288">
        <f t="shared" si="12"/>
        <v>0</v>
      </c>
      <c r="T130" s="290">
        <v>9.06</v>
      </c>
      <c r="U130" s="15" t="s">
        <v>4</v>
      </c>
    </row>
    <row r="131" spans="1:21" ht="20.100000000000001" hidden="1" customHeight="1">
      <c r="A131" s="283">
        <v>37</v>
      </c>
      <c r="B131" s="289" t="s">
        <v>683</v>
      </c>
      <c r="C131" s="285">
        <f>'PART-A'!I1784</f>
        <v>0</v>
      </c>
      <c r="D131" s="285">
        <f>FF!I1108</f>
        <v>0</v>
      </c>
      <c r="E131" s="285">
        <f>SF!I688</f>
        <v>0</v>
      </c>
      <c r="F131" s="285">
        <f t="shared" si="11"/>
        <v>0</v>
      </c>
      <c r="G131" s="285" t="s">
        <v>422</v>
      </c>
      <c r="H131" s="286">
        <v>0</v>
      </c>
      <c r="I131" s="286">
        <v>0</v>
      </c>
      <c r="J131" s="286">
        <v>0</v>
      </c>
      <c r="K131" s="283">
        <v>0</v>
      </c>
      <c r="L131" s="286">
        <v>0</v>
      </c>
      <c r="M131" s="15">
        <f>ROUND(F131*0.014,2)</f>
        <v>0</v>
      </c>
      <c r="N131" s="286">
        <v>0</v>
      </c>
      <c r="O131" s="286">
        <v>0</v>
      </c>
      <c r="P131" s="286">
        <v>0</v>
      </c>
      <c r="Q131" s="286">
        <v>0</v>
      </c>
      <c r="R131" s="286">
        <v>0</v>
      </c>
      <c r="S131" s="288">
        <f t="shared" si="12"/>
        <v>0</v>
      </c>
      <c r="T131" s="285">
        <v>7.5</v>
      </c>
      <c r="U131" s="15" t="s">
        <v>4</v>
      </c>
    </row>
    <row r="132" spans="1:21" ht="20.100000000000001" hidden="1" customHeight="1">
      <c r="A132" s="283">
        <v>38</v>
      </c>
      <c r="B132" s="289" t="s">
        <v>684</v>
      </c>
      <c r="C132" s="285">
        <f>'PART-A'!I1812</f>
        <v>0</v>
      </c>
      <c r="D132" s="285">
        <f>FF!I1141</f>
        <v>0</v>
      </c>
      <c r="E132" s="285">
        <f>SF!I716</f>
        <v>0</v>
      </c>
      <c r="F132" s="285">
        <f t="shared" si="11"/>
        <v>0</v>
      </c>
      <c r="G132" s="285" t="s">
        <v>422</v>
      </c>
      <c r="H132" s="286">
        <v>0</v>
      </c>
      <c r="I132" s="286">
        <v>0</v>
      </c>
      <c r="J132" s="286">
        <v>0</v>
      </c>
      <c r="K132" s="283">
        <v>0</v>
      </c>
      <c r="L132" s="286">
        <v>0</v>
      </c>
      <c r="M132" s="15">
        <f>ROUND(F132*0.012,2)</f>
        <v>0</v>
      </c>
      <c r="N132" s="286">
        <v>0</v>
      </c>
      <c r="O132" s="286">
        <v>0</v>
      </c>
      <c r="P132" s="286">
        <v>0</v>
      </c>
      <c r="Q132" s="286">
        <v>0</v>
      </c>
      <c r="R132" s="286">
        <v>0</v>
      </c>
      <c r="S132" s="288">
        <f t="shared" si="12"/>
        <v>0</v>
      </c>
      <c r="T132" s="290">
        <v>6.7560000000000002</v>
      </c>
      <c r="U132" s="15" t="s">
        <v>4</v>
      </c>
    </row>
    <row r="133" spans="1:21" ht="20.100000000000001" hidden="1" customHeight="1">
      <c r="A133" s="283">
        <v>11</v>
      </c>
      <c r="B133" s="289" t="s">
        <v>239</v>
      </c>
      <c r="C133" s="285">
        <f>'PART-A'!I1836</f>
        <v>0</v>
      </c>
      <c r="D133" s="285">
        <f>FF!I1170</f>
        <v>0</v>
      </c>
      <c r="E133" s="285">
        <f>SF!I744</f>
        <v>0</v>
      </c>
      <c r="F133" s="285">
        <f t="shared" si="11"/>
        <v>0</v>
      </c>
      <c r="G133" s="285" t="s">
        <v>422</v>
      </c>
      <c r="H133" s="286">
        <v>0</v>
      </c>
      <c r="I133" s="286">
        <v>0</v>
      </c>
      <c r="J133" s="286">
        <v>0</v>
      </c>
      <c r="K133" s="283">
        <v>0</v>
      </c>
      <c r="L133" s="286">
        <v>0</v>
      </c>
      <c r="M133" s="15">
        <f>ROUND(F133*0.012,2)</f>
        <v>0</v>
      </c>
      <c r="N133" s="286">
        <v>0</v>
      </c>
      <c r="O133" s="286">
        <v>0</v>
      </c>
      <c r="P133" s="286">
        <v>0</v>
      </c>
      <c r="Q133" s="286">
        <v>0</v>
      </c>
      <c r="R133" s="286">
        <v>0</v>
      </c>
      <c r="S133" s="288">
        <f t="shared" si="12"/>
        <v>0</v>
      </c>
      <c r="T133" s="285">
        <v>5.46</v>
      </c>
      <c r="U133" s="15" t="s">
        <v>4</v>
      </c>
    </row>
    <row r="134" spans="1:21" ht="20.100000000000001" hidden="1" customHeight="1">
      <c r="A134" s="283">
        <v>12</v>
      </c>
      <c r="B134" s="289" t="s">
        <v>240</v>
      </c>
      <c r="C134" s="285">
        <f>'PART-A'!I1863</f>
        <v>0</v>
      </c>
      <c r="D134" s="285">
        <f>FF!I1197</f>
        <v>0</v>
      </c>
      <c r="E134" s="285">
        <f>SF!I769</f>
        <v>0</v>
      </c>
      <c r="F134" s="285">
        <f t="shared" si="11"/>
        <v>0</v>
      </c>
      <c r="G134" s="285" t="s">
        <v>422</v>
      </c>
      <c r="H134" s="286">
        <v>0</v>
      </c>
      <c r="I134" s="286">
        <v>0</v>
      </c>
      <c r="J134" s="286">
        <v>0</v>
      </c>
      <c r="K134" s="283">
        <v>0</v>
      </c>
      <c r="L134" s="286">
        <v>0</v>
      </c>
      <c r="M134" s="15">
        <f>ROUND(F134*0.012,2)</f>
        <v>0</v>
      </c>
      <c r="N134" s="286">
        <v>0</v>
      </c>
      <c r="O134" s="286">
        <v>0</v>
      </c>
      <c r="P134" s="286">
        <v>0</v>
      </c>
      <c r="Q134" s="286">
        <v>0</v>
      </c>
      <c r="R134" s="286">
        <v>0</v>
      </c>
      <c r="S134" s="288">
        <f t="shared" si="12"/>
        <v>0</v>
      </c>
      <c r="T134" s="285">
        <v>9.06</v>
      </c>
      <c r="U134" s="15" t="s">
        <v>4</v>
      </c>
    </row>
    <row r="135" spans="1:21" ht="20.100000000000001" hidden="1" customHeight="1">
      <c r="A135" s="283">
        <v>26</v>
      </c>
      <c r="B135" s="289" t="s">
        <v>1215</v>
      </c>
      <c r="C135" s="285">
        <f>'PART-A'!I1889</f>
        <v>0</v>
      </c>
      <c r="D135" s="285">
        <f>FF!I1233</f>
        <v>0</v>
      </c>
      <c r="E135" s="285">
        <f>SF!I793</f>
        <v>0</v>
      </c>
      <c r="F135" s="285">
        <f t="shared" si="11"/>
        <v>0</v>
      </c>
      <c r="G135" s="285" t="s">
        <v>422</v>
      </c>
      <c r="H135" s="286">
        <v>0</v>
      </c>
      <c r="I135" s="286">
        <v>0</v>
      </c>
      <c r="J135" s="286">
        <v>0</v>
      </c>
      <c r="K135" s="283">
        <v>0</v>
      </c>
      <c r="L135" s="286">
        <v>0</v>
      </c>
      <c r="M135" s="15">
        <f>ROUND(F135*0.008*1,2)</f>
        <v>0</v>
      </c>
      <c r="N135" s="286">
        <v>0</v>
      </c>
      <c r="O135" s="286">
        <v>0</v>
      </c>
      <c r="P135" s="286">
        <v>0</v>
      </c>
      <c r="Q135" s="286">
        <v>0</v>
      </c>
      <c r="R135" s="286">
        <v>0</v>
      </c>
      <c r="S135" s="288">
        <f t="shared" si="12"/>
        <v>0</v>
      </c>
      <c r="T135" s="285">
        <v>2.76</v>
      </c>
      <c r="U135" s="15" t="s">
        <v>4</v>
      </c>
    </row>
    <row r="136" spans="1:21" ht="20.100000000000001" hidden="1" customHeight="1">
      <c r="A136" s="283">
        <v>5</v>
      </c>
      <c r="B136" s="207" t="s">
        <v>2270</v>
      </c>
      <c r="C136" s="285">
        <f>'PART-A'!I1945</f>
        <v>0</v>
      </c>
      <c r="D136" s="285"/>
      <c r="E136" s="285"/>
      <c r="F136" s="285">
        <f t="shared" si="11"/>
        <v>0</v>
      </c>
      <c r="G136" s="285" t="s">
        <v>421</v>
      </c>
      <c r="H136" s="286">
        <v>0</v>
      </c>
      <c r="I136" s="15">
        <f>ROUND(F136*0.017,2)</f>
        <v>0</v>
      </c>
      <c r="J136" s="286">
        <v>0</v>
      </c>
      <c r="K136" s="283">
        <v>0</v>
      </c>
      <c r="L136" s="15">
        <f>ROUND(F136*0.009,2)</f>
        <v>0</v>
      </c>
      <c r="M136" s="283">
        <v>0</v>
      </c>
      <c r="N136" s="283">
        <v>0</v>
      </c>
      <c r="O136" s="286">
        <v>0</v>
      </c>
      <c r="P136" s="286">
        <v>0</v>
      </c>
      <c r="Q136" s="286">
        <v>0</v>
      </c>
      <c r="R136" s="286">
        <v>0</v>
      </c>
      <c r="S136" s="288">
        <f t="shared" si="12"/>
        <v>0</v>
      </c>
      <c r="T136" s="285">
        <v>12</v>
      </c>
      <c r="U136" s="15" t="s">
        <v>4</v>
      </c>
    </row>
    <row r="137" spans="1:21" ht="18" hidden="1" customHeight="1">
      <c r="A137" s="283"/>
      <c r="B137" s="289"/>
      <c r="C137" s="289"/>
      <c r="D137" s="289"/>
      <c r="E137" s="289"/>
      <c r="F137" s="285"/>
      <c r="G137" s="285"/>
      <c r="H137" s="15"/>
      <c r="I137" s="15"/>
      <c r="J137" s="15"/>
      <c r="K137" s="15"/>
      <c r="L137" s="15"/>
      <c r="M137" s="15"/>
      <c r="N137" s="286"/>
      <c r="O137" s="15"/>
      <c r="P137" s="15"/>
      <c r="Q137" s="286"/>
      <c r="R137" s="15"/>
      <c r="S137" s="15"/>
      <c r="T137" s="285"/>
      <c r="U137" s="15"/>
    </row>
    <row r="138" spans="1:21" hidden="1">
      <c r="A138" s="207"/>
      <c r="B138" s="82" t="s">
        <v>103</v>
      </c>
      <c r="C138" s="207"/>
      <c r="D138" s="207"/>
      <c r="E138" s="207"/>
      <c r="F138" s="619">
        <v>1</v>
      </c>
      <c r="G138" s="207"/>
      <c r="H138" s="210">
        <f t="shared" ref="H138:S138" si="15">SUM(H95:H137)</f>
        <v>0</v>
      </c>
      <c r="I138" s="210">
        <f t="shared" si="15"/>
        <v>0</v>
      </c>
      <c r="J138" s="210">
        <f t="shared" si="15"/>
        <v>0</v>
      </c>
      <c r="K138" s="210">
        <f t="shared" si="15"/>
        <v>0</v>
      </c>
      <c r="L138" s="210">
        <f t="shared" si="15"/>
        <v>0</v>
      </c>
      <c r="M138" s="210">
        <f t="shared" si="15"/>
        <v>0</v>
      </c>
      <c r="N138" s="210">
        <f t="shared" si="15"/>
        <v>0</v>
      </c>
      <c r="O138" s="210">
        <f t="shared" si="15"/>
        <v>0</v>
      </c>
      <c r="P138" s="210">
        <f t="shared" si="15"/>
        <v>0</v>
      </c>
      <c r="Q138" s="210">
        <f t="shared" si="15"/>
        <v>0</v>
      </c>
      <c r="R138" s="210">
        <f t="shared" si="15"/>
        <v>0</v>
      </c>
      <c r="S138" s="210">
        <f t="shared" si="15"/>
        <v>0</v>
      </c>
      <c r="T138" s="291" t="s">
        <v>142</v>
      </c>
      <c r="U138" s="207"/>
    </row>
    <row r="139" spans="1:21" s="533" customFormat="1" ht="15.75">
      <c r="A139" s="888"/>
      <c r="B139" s="889" t="s">
        <v>2311</v>
      </c>
      <c r="C139" s="890"/>
      <c r="D139" s="891"/>
      <c r="E139" s="892"/>
      <c r="F139" s="619">
        <v>1</v>
      </c>
      <c r="G139" s="893"/>
      <c r="H139" s="888"/>
      <c r="I139" s="894"/>
      <c r="J139" s="895"/>
      <c r="K139" s="888"/>
      <c r="L139" s="893"/>
      <c r="M139" s="888"/>
    </row>
    <row r="140" spans="1:21" ht="18" hidden="1" customHeight="1">
      <c r="A140" s="283">
        <v>1</v>
      </c>
      <c r="B140" s="207" t="s">
        <v>101</v>
      </c>
      <c r="C140" s="284"/>
      <c r="D140" s="207"/>
      <c r="E140" s="207"/>
      <c r="F140" s="285">
        <f>C140+D140</f>
        <v>0</v>
      </c>
      <c r="G140" s="285" t="s">
        <v>421</v>
      </c>
      <c r="H140" s="283">
        <v>0</v>
      </c>
      <c r="I140" s="283">
        <v>0</v>
      </c>
      <c r="J140" s="283">
        <v>0</v>
      </c>
      <c r="K140" s="283">
        <v>0</v>
      </c>
      <c r="L140" s="283">
        <v>0</v>
      </c>
      <c r="M140" s="283">
        <v>0</v>
      </c>
      <c r="N140" s="283">
        <v>0</v>
      </c>
      <c r="O140" s="286">
        <v>0</v>
      </c>
      <c r="P140" s="286">
        <v>0</v>
      </c>
      <c r="Q140" s="283">
        <v>0</v>
      </c>
      <c r="R140" s="15">
        <f>F140</f>
        <v>0</v>
      </c>
      <c r="S140" s="287">
        <v>0</v>
      </c>
      <c r="T140" s="207">
        <v>0</v>
      </c>
      <c r="U140" s="207"/>
    </row>
    <row r="141" spans="1:21" ht="20.100000000000001" hidden="1" customHeight="1">
      <c r="A141" s="283">
        <v>1</v>
      </c>
      <c r="B141" s="207" t="s">
        <v>135</v>
      </c>
      <c r="C141" s="285">
        <f>'PART-A'!I276</f>
        <v>0</v>
      </c>
      <c r="D141" s="207"/>
      <c r="E141" s="207"/>
      <c r="F141" s="285">
        <f t="shared" ref="F141:F181" si="16">SUM(C141:E141)</f>
        <v>0</v>
      </c>
      <c r="G141" s="285" t="s">
        <v>421</v>
      </c>
      <c r="H141" s="283">
        <v>0</v>
      </c>
      <c r="I141" s="283">
        <v>0</v>
      </c>
      <c r="J141" s="283">
        <v>0</v>
      </c>
      <c r="K141" s="283">
        <v>0</v>
      </c>
      <c r="L141" s="283">
        <v>0</v>
      </c>
      <c r="M141" s="283">
        <v>0</v>
      </c>
      <c r="N141" s="283">
        <v>0</v>
      </c>
      <c r="O141" s="15">
        <f>F141</f>
        <v>0</v>
      </c>
      <c r="P141" s="286">
        <v>0</v>
      </c>
      <c r="Q141" s="283">
        <v>0</v>
      </c>
      <c r="R141" s="286">
        <v>0</v>
      </c>
      <c r="S141" s="287">
        <v>0</v>
      </c>
      <c r="T141" s="207">
        <v>0</v>
      </c>
      <c r="U141" s="207"/>
    </row>
    <row r="142" spans="1:21" ht="20.100000000000001" hidden="1" customHeight="1">
      <c r="A142" s="283">
        <v>2</v>
      </c>
      <c r="B142" s="207" t="s">
        <v>1191</v>
      </c>
      <c r="C142" s="285">
        <f>'PART-A'!I207</f>
        <v>0</v>
      </c>
      <c r="D142" s="207"/>
      <c r="E142" s="207"/>
      <c r="F142" s="285">
        <f t="shared" si="16"/>
        <v>0</v>
      </c>
      <c r="G142" s="285" t="s">
        <v>421</v>
      </c>
      <c r="H142" s="283">
        <v>0</v>
      </c>
      <c r="I142" s="283">
        <v>0</v>
      </c>
      <c r="J142" s="283">
        <v>0</v>
      </c>
      <c r="K142" s="283">
        <v>0</v>
      </c>
      <c r="L142" s="283">
        <v>0</v>
      </c>
      <c r="M142" s="283">
        <v>0</v>
      </c>
      <c r="N142" s="283">
        <v>0</v>
      </c>
      <c r="O142" s="286">
        <v>0</v>
      </c>
      <c r="P142" s="15">
        <f>F142</f>
        <v>0</v>
      </c>
      <c r="Q142" s="283">
        <v>0</v>
      </c>
      <c r="R142" s="286">
        <v>0</v>
      </c>
      <c r="S142" s="287">
        <v>0</v>
      </c>
      <c r="T142" s="207">
        <v>0</v>
      </c>
      <c r="U142" s="207"/>
    </row>
    <row r="143" spans="1:21" ht="20.100000000000001" hidden="1" customHeight="1">
      <c r="A143" s="283">
        <v>4</v>
      </c>
      <c r="B143" s="207" t="s">
        <v>663</v>
      </c>
      <c r="C143" s="285">
        <f>'PART-A'!I231</f>
        <v>0</v>
      </c>
      <c r="D143" s="207"/>
      <c r="E143" s="207"/>
      <c r="F143" s="285">
        <f t="shared" si="16"/>
        <v>0</v>
      </c>
      <c r="G143" s="285" t="s">
        <v>421</v>
      </c>
      <c r="H143" s="283">
        <v>0</v>
      </c>
      <c r="I143" s="283">
        <v>0</v>
      </c>
      <c r="J143" s="283">
        <v>0</v>
      </c>
      <c r="K143" s="283">
        <v>0</v>
      </c>
      <c r="L143" s="283">
        <v>0</v>
      </c>
      <c r="M143" s="283">
        <v>0</v>
      </c>
      <c r="N143" s="283">
        <v>0</v>
      </c>
      <c r="O143" s="286">
        <v>0</v>
      </c>
      <c r="P143" s="15"/>
      <c r="Q143" s="283">
        <v>0</v>
      </c>
      <c r="R143" s="15">
        <f>F143</f>
        <v>0</v>
      </c>
      <c r="S143" s="287">
        <v>0</v>
      </c>
      <c r="T143" s="207">
        <v>0</v>
      </c>
      <c r="U143" s="207"/>
    </row>
    <row r="144" spans="1:21" ht="20.100000000000001" hidden="1" customHeight="1">
      <c r="A144" s="283">
        <v>1</v>
      </c>
      <c r="B144" s="207" t="s">
        <v>235</v>
      </c>
      <c r="C144" s="285">
        <f>'PART-A'!I146</f>
        <v>0</v>
      </c>
      <c r="D144" s="207"/>
      <c r="E144" s="207"/>
      <c r="F144" s="285">
        <f t="shared" si="16"/>
        <v>0</v>
      </c>
      <c r="G144" s="285" t="s">
        <v>421</v>
      </c>
      <c r="H144" s="15">
        <f>ROUND(F144*0.9,2)</f>
        <v>0</v>
      </c>
      <c r="I144" s="286">
        <v>0</v>
      </c>
      <c r="J144" s="286">
        <v>0</v>
      </c>
      <c r="K144" s="283">
        <v>0</v>
      </c>
      <c r="L144" s="15">
        <f>ROUND(F144*0.45,2)</f>
        <v>0</v>
      </c>
      <c r="M144" s="283">
        <v>0</v>
      </c>
      <c r="N144" s="283">
        <v>0</v>
      </c>
      <c r="O144" s="286">
        <v>0</v>
      </c>
      <c r="P144" s="286">
        <v>0</v>
      </c>
      <c r="Q144" s="286">
        <v>0</v>
      </c>
      <c r="R144" s="286">
        <v>0</v>
      </c>
      <c r="S144" s="288">
        <f t="shared" ref="S144:S181" si="17">ROUND(F144*T144/50,2)</f>
        <v>0</v>
      </c>
      <c r="T144" s="285">
        <v>162</v>
      </c>
      <c r="U144" s="15" t="s">
        <v>4</v>
      </c>
    </row>
    <row r="145" spans="1:21" ht="20.100000000000001" hidden="1" customHeight="1">
      <c r="A145" s="283">
        <v>6</v>
      </c>
      <c r="B145" s="207" t="s">
        <v>446</v>
      </c>
      <c r="C145" s="285">
        <f>'PART-A'!I182</f>
        <v>0</v>
      </c>
      <c r="D145" s="207"/>
      <c r="E145" s="207"/>
      <c r="F145" s="285">
        <f t="shared" si="16"/>
        <v>0</v>
      </c>
      <c r="G145" s="285" t="s">
        <v>421</v>
      </c>
      <c r="H145" s="15">
        <f>ROUND(F145*0.9,2)</f>
        <v>0</v>
      </c>
      <c r="I145" s="286">
        <v>0</v>
      </c>
      <c r="J145" s="286">
        <v>0</v>
      </c>
      <c r="K145" s="283">
        <v>0</v>
      </c>
      <c r="L145" s="15">
        <f>ROUND(F145*0.45,2)</f>
        <v>0</v>
      </c>
      <c r="M145" s="283">
        <v>0</v>
      </c>
      <c r="N145" s="283">
        <v>0</v>
      </c>
      <c r="O145" s="286">
        <v>0</v>
      </c>
      <c r="P145" s="286">
        <v>0</v>
      </c>
      <c r="Q145" s="286">
        <v>0</v>
      </c>
      <c r="R145" s="286">
        <v>0</v>
      </c>
      <c r="S145" s="288">
        <f t="shared" si="17"/>
        <v>0</v>
      </c>
      <c r="T145" s="285">
        <v>129.6</v>
      </c>
      <c r="U145" s="15" t="s">
        <v>4</v>
      </c>
    </row>
    <row r="146" spans="1:21" ht="20.100000000000001" hidden="1" customHeight="1">
      <c r="A146" s="283">
        <v>4</v>
      </c>
      <c r="B146" s="207" t="s">
        <v>132</v>
      </c>
      <c r="C146" s="285">
        <f>'PART-A'!I343</f>
        <v>0</v>
      </c>
      <c r="D146" s="207"/>
      <c r="E146" s="207"/>
      <c r="F146" s="285">
        <f t="shared" si="16"/>
        <v>0</v>
      </c>
      <c r="G146" s="285" t="s">
        <v>421</v>
      </c>
      <c r="H146" s="286">
        <v>0</v>
      </c>
      <c r="I146" s="15">
        <f t="shared" ref="I146:I156" si="18">ROUND(F146*0.8,2)</f>
        <v>0</v>
      </c>
      <c r="J146" s="286">
        <v>0</v>
      </c>
      <c r="K146" s="283">
        <v>0</v>
      </c>
      <c r="L146" s="15">
        <f t="shared" ref="L146:L156" si="19">ROUND(F146*0.4,2)</f>
        <v>0</v>
      </c>
      <c r="M146" s="283">
        <v>0</v>
      </c>
      <c r="N146" s="283">
        <v>0</v>
      </c>
      <c r="O146" s="286">
        <v>0</v>
      </c>
      <c r="P146" s="286">
        <v>0</v>
      </c>
      <c r="Q146" s="286">
        <v>0</v>
      </c>
      <c r="R146" s="286">
        <v>0</v>
      </c>
      <c r="S146" s="288">
        <f t="shared" si="17"/>
        <v>0</v>
      </c>
      <c r="T146" s="285">
        <f>data!E2860</f>
        <v>340</v>
      </c>
      <c r="U146" s="15" t="s">
        <v>4</v>
      </c>
    </row>
    <row r="147" spans="1:21" ht="20.100000000000001" hidden="1" customHeight="1">
      <c r="A147" s="283">
        <v>5</v>
      </c>
      <c r="B147" s="207" t="s">
        <v>133</v>
      </c>
      <c r="C147" s="285">
        <f>'PART-A'!I363</f>
        <v>0</v>
      </c>
      <c r="D147" s="207"/>
      <c r="E147" s="207"/>
      <c r="F147" s="285">
        <f t="shared" si="16"/>
        <v>0</v>
      </c>
      <c r="G147" s="285" t="s">
        <v>421</v>
      </c>
      <c r="H147" s="286">
        <v>0</v>
      </c>
      <c r="I147" s="15">
        <f t="shared" si="18"/>
        <v>0</v>
      </c>
      <c r="J147" s="286">
        <v>0</v>
      </c>
      <c r="K147" s="283">
        <v>0</v>
      </c>
      <c r="L147" s="15">
        <f t="shared" si="19"/>
        <v>0</v>
      </c>
      <c r="M147" s="283">
        <v>0</v>
      </c>
      <c r="N147" s="283">
        <v>0</v>
      </c>
      <c r="O147" s="286">
        <v>0</v>
      </c>
      <c r="P147" s="286">
        <v>0</v>
      </c>
      <c r="Q147" s="286">
        <v>0</v>
      </c>
      <c r="R147" s="286">
        <v>0</v>
      </c>
      <c r="S147" s="288">
        <f t="shared" si="17"/>
        <v>0</v>
      </c>
      <c r="T147" s="285">
        <f>$T$146</f>
        <v>340</v>
      </c>
      <c r="U147" s="15" t="s">
        <v>4</v>
      </c>
    </row>
    <row r="148" spans="1:21" ht="20.100000000000001" hidden="1" customHeight="1">
      <c r="A148" s="283">
        <v>2</v>
      </c>
      <c r="B148" s="207" t="s">
        <v>127</v>
      </c>
      <c r="C148" s="285">
        <f>'PART-A'!I411</f>
        <v>0</v>
      </c>
      <c r="D148" s="285">
        <f>FF!I35</f>
        <v>0</v>
      </c>
      <c r="E148" s="285">
        <f>SF!I33</f>
        <v>0</v>
      </c>
      <c r="F148" s="285">
        <f t="shared" si="16"/>
        <v>0</v>
      </c>
      <c r="G148" s="285" t="s">
        <v>421</v>
      </c>
      <c r="H148" s="286">
        <v>0</v>
      </c>
      <c r="I148" s="15">
        <f t="shared" si="18"/>
        <v>0</v>
      </c>
      <c r="J148" s="286">
        <v>0</v>
      </c>
      <c r="K148" s="283">
        <v>0</v>
      </c>
      <c r="L148" s="15">
        <f t="shared" si="19"/>
        <v>0</v>
      </c>
      <c r="M148" s="283">
        <v>0</v>
      </c>
      <c r="N148" s="283">
        <v>0</v>
      </c>
      <c r="O148" s="286">
        <v>0</v>
      </c>
      <c r="P148" s="286">
        <v>0</v>
      </c>
      <c r="Q148" s="286">
        <v>0</v>
      </c>
      <c r="R148" s="286">
        <v>0</v>
      </c>
      <c r="S148" s="288">
        <f t="shared" si="17"/>
        <v>0</v>
      </c>
      <c r="T148" s="285">
        <f>$T$146</f>
        <v>340</v>
      </c>
      <c r="U148" s="15" t="s">
        <v>4</v>
      </c>
    </row>
    <row r="149" spans="1:21" ht="20.100000000000001" hidden="1" customHeight="1">
      <c r="A149" s="283">
        <v>7</v>
      </c>
      <c r="B149" s="207" t="s">
        <v>128</v>
      </c>
      <c r="C149" s="285">
        <f>'PART-A'!I453</f>
        <v>0</v>
      </c>
      <c r="D149" s="207"/>
      <c r="E149" s="207"/>
      <c r="F149" s="285">
        <f t="shared" si="16"/>
        <v>0</v>
      </c>
      <c r="G149" s="285" t="s">
        <v>421</v>
      </c>
      <c r="H149" s="286">
        <v>0</v>
      </c>
      <c r="I149" s="15">
        <f t="shared" si="18"/>
        <v>0</v>
      </c>
      <c r="J149" s="286">
        <v>0</v>
      </c>
      <c r="K149" s="283">
        <v>0</v>
      </c>
      <c r="L149" s="15">
        <f t="shared" si="19"/>
        <v>0</v>
      </c>
      <c r="M149" s="283">
        <v>0</v>
      </c>
      <c r="N149" s="283">
        <v>0</v>
      </c>
      <c r="O149" s="286">
        <v>0</v>
      </c>
      <c r="P149" s="286">
        <v>0</v>
      </c>
      <c r="Q149" s="286">
        <v>0</v>
      </c>
      <c r="R149" s="286">
        <v>0</v>
      </c>
      <c r="S149" s="288">
        <f t="shared" si="17"/>
        <v>0</v>
      </c>
      <c r="T149" s="285">
        <f>$T$146</f>
        <v>340</v>
      </c>
      <c r="U149" s="15" t="s">
        <v>4</v>
      </c>
    </row>
    <row r="150" spans="1:21" ht="20.100000000000001" hidden="1" customHeight="1">
      <c r="A150" s="283">
        <v>3</v>
      </c>
      <c r="B150" s="207" t="s">
        <v>131</v>
      </c>
      <c r="C150" s="285">
        <f>'PART-A'!I536</f>
        <v>0</v>
      </c>
      <c r="D150" s="285">
        <f>FF!I104</f>
        <v>0</v>
      </c>
      <c r="E150" s="285">
        <f>SF!I57</f>
        <v>0</v>
      </c>
      <c r="F150" s="285">
        <f t="shared" si="16"/>
        <v>0</v>
      </c>
      <c r="G150" s="285" t="s">
        <v>421</v>
      </c>
      <c r="H150" s="286">
        <v>0</v>
      </c>
      <c r="I150" s="15">
        <f t="shared" si="18"/>
        <v>0</v>
      </c>
      <c r="J150" s="286">
        <v>0</v>
      </c>
      <c r="K150" s="283">
        <v>0</v>
      </c>
      <c r="L150" s="15">
        <f t="shared" si="19"/>
        <v>0</v>
      </c>
      <c r="M150" s="283">
        <v>0</v>
      </c>
      <c r="N150" s="283">
        <v>0</v>
      </c>
      <c r="O150" s="286">
        <v>0</v>
      </c>
      <c r="P150" s="286">
        <v>0</v>
      </c>
      <c r="Q150" s="286">
        <v>0</v>
      </c>
      <c r="R150" s="286">
        <v>0</v>
      </c>
      <c r="S150" s="288">
        <f t="shared" si="17"/>
        <v>0</v>
      </c>
      <c r="T150" s="285">
        <f>$T$146</f>
        <v>340</v>
      </c>
      <c r="U150" s="15" t="s">
        <v>4</v>
      </c>
    </row>
    <row r="151" spans="1:21" ht="20.100000000000001" hidden="1" customHeight="1">
      <c r="A151" s="283">
        <v>9</v>
      </c>
      <c r="B151" s="289" t="s">
        <v>236</v>
      </c>
      <c r="C151" s="285">
        <f>ROUND('PART-A'!I561*0.15,2)</f>
        <v>0</v>
      </c>
      <c r="D151" s="285">
        <f>ROUND(FF!I133*0.15,2)</f>
        <v>0</v>
      </c>
      <c r="E151" s="285">
        <f>ROUND(SF!I81*0.15,2)</f>
        <v>0</v>
      </c>
      <c r="F151" s="285">
        <f t="shared" si="16"/>
        <v>0</v>
      </c>
      <c r="G151" s="285" t="s">
        <v>422</v>
      </c>
      <c r="H151" s="286">
        <v>0</v>
      </c>
      <c r="I151" s="15">
        <f t="shared" si="18"/>
        <v>0</v>
      </c>
      <c r="J151" s="286">
        <v>0</v>
      </c>
      <c r="K151" s="283">
        <v>0</v>
      </c>
      <c r="L151" s="15">
        <f t="shared" si="19"/>
        <v>0</v>
      </c>
      <c r="M151" s="283">
        <v>0</v>
      </c>
      <c r="N151" s="283">
        <v>0</v>
      </c>
      <c r="O151" s="286">
        <v>0</v>
      </c>
      <c r="P151" s="286">
        <v>0</v>
      </c>
      <c r="Q151" s="286">
        <v>0</v>
      </c>
      <c r="R151" s="286">
        <v>0</v>
      </c>
      <c r="S151" s="288">
        <f t="shared" si="17"/>
        <v>0</v>
      </c>
      <c r="T151" s="285">
        <f>ROUND(T150,2)</f>
        <v>340</v>
      </c>
      <c r="U151" s="15" t="s">
        <v>4</v>
      </c>
    </row>
    <row r="152" spans="1:21" ht="20.100000000000001" hidden="1" customHeight="1">
      <c r="A152" s="283">
        <v>4</v>
      </c>
      <c r="B152" s="289" t="s">
        <v>237</v>
      </c>
      <c r="C152" s="285">
        <f>ROUND('PART-A'!I586*0.125,2)</f>
        <v>0</v>
      </c>
      <c r="D152" s="285">
        <f>ROUND(FF!I159*0.125,2)</f>
        <v>0</v>
      </c>
      <c r="E152" s="285">
        <f>ROUND(SF!I101*0.125,2)</f>
        <v>0</v>
      </c>
      <c r="F152" s="285">
        <f t="shared" si="16"/>
        <v>0</v>
      </c>
      <c r="G152" s="285" t="s">
        <v>422</v>
      </c>
      <c r="H152" s="286">
        <v>0</v>
      </c>
      <c r="I152" s="15">
        <f t="shared" si="18"/>
        <v>0</v>
      </c>
      <c r="J152" s="286">
        <v>0</v>
      </c>
      <c r="K152" s="283">
        <v>0</v>
      </c>
      <c r="L152" s="15">
        <f t="shared" si="19"/>
        <v>0</v>
      </c>
      <c r="M152" s="283">
        <v>0</v>
      </c>
      <c r="N152" s="283">
        <v>0</v>
      </c>
      <c r="O152" s="286">
        <v>0</v>
      </c>
      <c r="P152" s="286">
        <v>0</v>
      </c>
      <c r="Q152" s="286">
        <v>0</v>
      </c>
      <c r="R152" s="286">
        <v>0</v>
      </c>
      <c r="S152" s="288">
        <f t="shared" si="17"/>
        <v>0</v>
      </c>
      <c r="T152" s="285">
        <f>ROUND(T150,2)</f>
        <v>340</v>
      </c>
      <c r="U152" s="15" t="s">
        <v>4</v>
      </c>
    </row>
    <row r="153" spans="1:21" ht="20.100000000000001" hidden="1" customHeight="1">
      <c r="A153" s="283">
        <v>9</v>
      </c>
      <c r="B153" s="289" t="s">
        <v>605</v>
      </c>
      <c r="C153" s="285">
        <f>ROUND('PART-A'!I610*0.1,2)</f>
        <v>0</v>
      </c>
      <c r="D153" s="285">
        <f>ROUND(FF!I179*0.1,2)</f>
        <v>0</v>
      </c>
      <c r="E153" s="285">
        <f>ROUND(SF!I121*0.1,2)</f>
        <v>0</v>
      </c>
      <c r="F153" s="285">
        <f t="shared" si="16"/>
        <v>0</v>
      </c>
      <c r="G153" s="285" t="s">
        <v>422</v>
      </c>
      <c r="H153" s="286">
        <v>0</v>
      </c>
      <c r="I153" s="15">
        <f t="shared" si="18"/>
        <v>0</v>
      </c>
      <c r="J153" s="286">
        <v>0</v>
      </c>
      <c r="K153" s="283">
        <v>0</v>
      </c>
      <c r="L153" s="15">
        <f t="shared" si="19"/>
        <v>0</v>
      </c>
      <c r="M153" s="283">
        <v>0</v>
      </c>
      <c r="N153" s="283">
        <v>0</v>
      </c>
      <c r="O153" s="286">
        <v>0</v>
      </c>
      <c r="P153" s="286">
        <v>0</v>
      </c>
      <c r="Q153" s="286">
        <v>0</v>
      </c>
      <c r="R153" s="286">
        <v>0</v>
      </c>
      <c r="S153" s="288">
        <f t="shared" si="17"/>
        <v>0</v>
      </c>
      <c r="T153" s="285">
        <f>T152</f>
        <v>340</v>
      </c>
      <c r="U153" s="15" t="s">
        <v>4</v>
      </c>
    </row>
    <row r="154" spans="1:21" ht="20.100000000000001" hidden="1" customHeight="1">
      <c r="A154" s="283">
        <v>9</v>
      </c>
      <c r="B154" s="289" t="s">
        <v>1230</v>
      </c>
      <c r="C154" s="285">
        <f>ROUND('PART-A'!I634*0.05,2)</f>
        <v>0</v>
      </c>
      <c r="D154" s="285">
        <f>ROUND(FF!I203*0.05,2)</f>
        <v>0</v>
      </c>
      <c r="E154" s="285">
        <f>ROUND(SF!I145*0.05,2)</f>
        <v>0</v>
      </c>
      <c r="F154" s="285">
        <f t="shared" si="16"/>
        <v>0</v>
      </c>
      <c r="G154" s="285" t="s">
        <v>422</v>
      </c>
      <c r="H154" s="286">
        <v>0</v>
      </c>
      <c r="I154" s="15">
        <f t="shared" si="18"/>
        <v>0</v>
      </c>
      <c r="J154" s="286">
        <v>0</v>
      </c>
      <c r="K154" s="283">
        <v>0</v>
      </c>
      <c r="L154" s="15">
        <f t="shared" si="19"/>
        <v>0</v>
      </c>
      <c r="M154" s="283">
        <v>0</v>
      </c>
      <c r="N154" s="283">
        <v>0</v>
      </c>
      <c r="O154" s="286">
        <v>0</v>
      </c>
      <c r="P154" s="286">
        <v>0</v>
      </c>
      <c r="Q154" s="286">
        <v>0</v>
      </c>
      <c r="R154" s="286">
        <v>0</v>
      </c>
      <c r="S154" s="288">
        <f t="shared" si="17"/>
        <v>0</v>
      </c>
      <c r="T154" s="285">
        <f>T153</f>
        <v>340</v>
      </c>
      <c r="U154" s="15" t="s">
        <v>4</v>
      </c>
    </row>
    <row r="155" spans="1:21" ht="20.100000000000001" hidden="1" customHeight="1">
      <c r="A155" s="283">
        <v>16</v>
      </c>
      <c r="B155" s="289" t="s">
        <v>1438</v>
      </c>
      <c r="C155" s="285">
        <f>ROUND('PART-A'!I662*0.025,2)</f>
        <v>0</v>
      </c>
      <c r="D155" s="285">
        <f>ROUND(FF!I227*0.025,2)</f>
        <v>0</v>
      </c>
      <c r="E155" s="285">
        <f>ROUND(SF!I169*0.025,2)</f>
        <v>0</v>
      </c>
      <c r="F155" s="285">
        <f t="shared" si="16"/>
        <v>0</v>
      </c>
      <c r="G155" s="285" t="s">
        <v>422</v>
      </c>
      <c r="H155" s="286">
        <v>0</v>
      </c>
      <c r="I155" s="15">
        <f t="shared" si="18"/>
        <v>0</v>
      </c>
      <c r="J155" s="286">
        <v>0</v>
      </c>
      <c r="K155" s="283">
        <v>0</v>
      </c>
      <c r="L155" s="15">
        <f t="shared" si="19"/>
        <v>0</v>
      </c>
      <c r="M155" s="283">
        <v>0</v>
      </c>
      <c r="N155" s="283">
        <v>0</v>
      </c>
      <c r="O155" s="286">
        <v>0</v>
      </c>
      <c r="P155" s="286">
        <v>0</v>
      </c>
      <c r="Q155" s="286">
        <v>0</v>
      </c>
      <c r="R155" s="286">
        <v>0</v>
      </c>
      <c r="S155" s="288">
        <f t="shared" si="17"/>
        <v>0</v>
      </c>
      <c r="T155" s="285">
        <f>T154</f>
        <v>340</v>
      </c>
      <c r="U155" s="15" t="s">
        <v>4</v>
      </c>
    </row>
    <row r="156" spans="1:21" ht="20.100000000000001" hidden="1" customHeight="1">
      <c r="A156" s="283">
        <v>13</v>
      </c>
      <c r="B156" s="207" t="s">
        <v>129</v>
      </c>
      <c r="C156" s="285">
        <f>'PART-A'!I762</f>
        <v>0</v>
      </c>
      <c r="D156" s="285">
        <f>FF!I276</f>
        <v>0</v>
      </c>
      <c r="E156" s="285">
        <f>SF!I197</f>
        <v>0</v>
      </c>
      <c r="F156" s="285">
        <f t="shared" si="16"/>
        <v>0</v>
      </c>
      <c r="G156" s="285" t="s">
        <v>421</v>
      </c>
      <c r="H156" s="286">
        <v>0</v>
      </c>
      <c r="I156" s="15">
        <f t="shared" si="18"/>
        <v>0</v>
      </c>
      <c r="J156" s="286">
        <v>0</v>
      </c>
      <c r="K156" s="283">
        <v>0</v>
      </c>
      <c r="L156" s="15">
        <f t="shared" si="19"/>
        <v>0</v>
      </c>
      <c r="M156" s="283">
        <v>0</v>
      </c>
      <c r="N156" s="283">
        <v>0</v>
      </c>
      <c r="O156" s="286">
        <v>0</v>
      </c>
      <c r="P156" s="286">
        <v>0</v>
      </c>
      <c r="Q156" s="286">
        <v>0</v>
      </c>
      <c r="R156" s="286">
        <v>0</v>
      </c>
      <c r="S156" s="288">
        <f t="shared" si="17"/>
        <v>0</v>
      </c>
      <c r="T156" s="285">
        <f>$T$146</f>
        <v>340</v>
      </c>
      <c r="U156" s="15" t="s">
        <v>4</v>
      </c>
    </row>
    <row r="157" spans="1:21" ht="20.100000000000001" hidden="1" customHeight="1">
      <c r="A157" s="283">
        <v>14</v>
      </c>
      <c r="B157" s="207" t="s">
        <v>130</v>
      </c>
      <c r="C157" s="285">
        <f>'PART-A'!I783</f>
        <v>0</v>
      </c>
      <c r="D157" s="285">
        <f>FF!I301</f>
        <v>0</v>
      </c>
      <c r="E157" s="285">
        <f>SF!I217</f>
        <v>0</v>
      </c>
      <c r="F157" s="285">
        <f t="shared" si="16"/>
        <v>0</v>
      </c>
      <c r="G157" s="285" t="s">
        <v>82</v>
      </c>
      <c r="H157" s="286">
        <v>0</v>
      </c>
      <c r="I157" s="15">
        <f>ROUND(F157*0.0375*0.8,2)</f>
        <v>0</v>
      </c>
      <c r="J157" s="286">
        <v>0</v>
      </c>
      <c r="K157" s="283">
        <v>0</v>
      </c>
      <c r="L157" s="15">
        <f>ROUND(F157*0.0375*0.4,2)</f>
        <v>0</v>
      </c>
      <c r="M157" s="283">
        <v>0</v>
      </c>
      <c r="N157" s="283">
        <v>0</v>
      </c>
      <c r="O157" s="286">
        <v>0</v>
      </c>
      <c r="P157" s="286">
        <v>0</v>
      </c>
      <c r="Q157" s="286">
        <v>0</v>
      </c>
      <c r="R157" s="286">
        <v>0</v>
      </c>
      <c r="S157" s="288">
        <f t="shared" si="17"/>
        <v>0</v>
      </c>
      <c r="T157" s="290">
        <f>ROUND(T156*0.0375,2)</f>
        <v>12.75</v>
      </c>
      <c r="U157" s="15" t="s">
        <v>4</v>
      </c>
    </row>
    <row r="158" spans="1:21" ht="20.100000000000001" hidden="1" customHeight="1">
      <c r="A158" s="283">
        <v>4</v>
      </c>
      <c r="B158" s="289" t="s">
        <v>1439</v>
      </c>
      <c r="C158" s="285">
        <f>'PART-A'!I809</f>
        <v>0</v>
      </c>
      <c r="D158" s="285">
        <f>FF!I326</f>
        <v>0</v>
      </c>
      <c r="E158" s="285">
        <f>SF!I237</f>
        <v>0</v>
      </c>
      <c r="F158" s="285">
        <f t="shared" si="16"/>
        <v>0</v>
      </c>
      <c r="G158" s="285" t="s">
        <v>422</v>
      </c>
      <c r="H158" s="286">
        <v>0</v>
      </c>
      <c r="I158" s="286">
        <v>0</v>
      </c>
      <c r="J158" s="286">
        <v>0</v>
      </c>
      <c r="K158" s="283">
        <v>0</v>
      </c>
      <c r="L158" s="286">
        <v>0</v>
      </c>
      <c r="M158" s="283">
        <v>0</v>
      </c>
      <c r="N158" s="15">
        <f>ROUND(F158*0.015*1.05,2)</f>
        <v>0</v>
      </c>
      <c r="O158" s="286">
        <v>0</v>
      </c>
      <c r="P158" s="286">
        <v>0</v>
      </c>
      <c r="Q158" s="286">
        <v>0</v>
      </c>
      <c r="R158" s="286">
        <v>0</v>
      </c>
      <c r="S158" s="288">
        <f t="shared" si="17"/>
        <v>0</v>
      </c>
      <c r="T158" s="285">
        <v>7.2</v>
      </c>
      <c r="U158" s="15" t="s">
        <v>4</v>
      </c>
    </row>
    <row r="159" spans="1:21" ht="20.100000000000001" hidden="1" customHeight="1">
      <c r="A159" s="283">
        <v>12</v>
      </c>
      <c r="B159" s="289" t="s">
        <v>1225</v>
      </c>
      <c r="C159" s="285">
        <f>'PART-A'!I834</f>
        <v>0</v>
      </c>
      <c r="D159" s="285">
        <f>FF!I350</f>
        <v>0</v>
      </c>
      <c r="E159" s="285">
        <f>SF!I261</f>
        <v>0</v>
      </c>
      <c r="F159" s="285">
        <f t="shared" si="16"/>
        <v>0</v>
      </c>
      <c r="G159" s="285" t="s">
        <v>422</v>
      </c>
      <c r="H159" s="286">
        <v>0</v>
      </c>
      <c r="I159" s="286">
        <v>0</v>
      </c>
      <c r="J159" s="286">
        <v>0</v>
      </c>
      <c r="K159" s="283">
        <v>0</v>
      </c>
      <c r="L159" s="286">
        <v>0</v>
      </c>
      <c r="M159" s="283">
        <v>0</v>
      </c>
      <c r="N159" s="15">
        <f>ROUND(F159*0.021*1.05,2)</f>
        <v>0</v>
      </c>
      <c r="O159" s="286">
        <v>0</v>
      </c>
      <c r="P159" s="286">
        <v>0</v>
      </c>
      <c r="Q159" s="286">
        <v>0</v>
      </c>
      <c r="R159" s="286">
        <v>0</v>
      </c>
      <c r="S159" s="288">
        <f t="shared" si="17"/>
        <v>0</v>
      </c>
      <c r="T159" s="285">
        <v>10.08</v>
      </c>
      <c r="U159" s="15" t="s">
        <v>4</v>
      </c>
    </row>
    <row r="160" spans="1:21" ht="20.100000000000001" hidden="1" customHeight="1">
      <c r="A160" s="283">
        <v>13</v>
      </c>
      <c r="B160" s="207" t="s">
        <v>1193</v>
      </c>
      <c r="C160" s="285">
        <f>'PART-A'!I862</f>
        <v>0</v>
      </c>
      <c r="D160" s="285"/>
      <c r="E160" s="285"/>
      <c r="F160" s="285">
        <f t="shared" si="16"/>
        <v>0</v>
      </c>
      <c r="G160" s="285" t="s">
        <v>421</v>
      </c>
      <c r="H160" s="286">
        <v>0</v>
      </c>
      <c r="I160" s="286">
        <v>0</v>
      </c>
      <c r="J160" s="286">
        <v>0</v>
      </c>
      <c r="K160" s="15">
        <f>ROUND(F160*1.1,2)</f>
        <v>0</v>
      </c>
      <c r="L160" s="286">
        <v>0</v>
      </c>
      <c r="M160" s="15">
        <f>ROUND(F160*0.33,2)</f>
        <v>0</v>
      </c>
      <c r="N160" s="286">
        <v>0</v>
      </c>
      <c r="O160" s="286">
        <v>0</v>
      </c>
      <c r="P160" s="286">
        <v>0</v>
      </c>
      <c r="Q160" s="15"/>
      <c r="R160" s="286">
        <v>0</v>
      </c>
      <c r="S160" s="288">
        <f t="shared" si="17"/>
        <v>0</v>
      </c>
      <c r="T160" s="285">
        <v>59.4</v>
      </c>
      <c r="U160" s="15" t="s">
        <v>4</v>
      </c>
    </row>
    <row r="161" spans="1:21" ht="20.100000000000001" hidden="1" customHeight="1">
      <c r="A161" s="283">
        <v>2</v>
      </c>
      <c r="B161" s="207" t="s">
        <v>134</v>
      </c>
      <c r="C161" s="285">
        <f>'PART-A'!I914</f>
        <v>0</v>
      </c>
      <c r="D161" s="285">
        <f>FF!I374</f>
        <v>0</v>
      </c>
      <c r="E161" s="285">
        <f>SF!I290</f>
        <v>0</v>
      </c>
      <c r="F161" s="285">
        <f t="shared" si="16"/>
        <v>0</v>
      </c>
      <c r="G161" s="285" t="s">
        <v>421</v>
      </c>
      <c r="H161" s="286">
        <v>0</v>
      </c>
      <c r="I161" s="286">
        <v>0</v>
      </c>
      <c r="J161" s="286">
        <v>0</v>
      </c>
      <c r="K161" s="283">
        <v>0</v>
      </c>
      <c r="L161" s="286">
        <v>0</v>
      </c>
      <c r="M161" s="15">
        <f>ROUND(F161*0.2,2)</f>
        <v>0</v>
      </c>
      <c r="N161" s="286">
        <v>0</v>
      </c>
      <c r="O161" s="286">
        <v>0</v>
      </c>
      <c r="P161" s="286">
        <v>0</v>
      </c>
      <c r="Q161" s="15">
        <f>ROUND(F161*512/1000,2)</f>
        <v>0</v>
      </c>
      <c r="R161" s="286">
        <v>0</v>
      </c>
      <c r="S161" s="288">
        <f t="shared" si="17"/>
        <v>0</v>
      </c>
      <c r="T161" s="285">
        <v>36</v>
      </c>
      <c r="U161" s="15" t="s">
        <v>4</v>
      </c>
    </row>
    <row r="162" spans="1:21" ht="20.100000000000001" hidden="1" customHeight="1">
      <c r="A162" s="283">
        <v>15</v>
      </c>
      <c r="B162" s="207" t="s">
        <v>906</v>
      </c>
      <c r="C162" s="285">
        <f>'PART-A'!I1010</f>
        <v>0</v>
      </c>
      <c r="D162" s="285">
        <f>FF!I460</f>
        <v>0</v>
      </c>
      <c r="E162" s="285">
        <f>SF!I320</f>
        <v>0</v>
      </c>
      <c r="F162" s="285">
        <f t="shared" si="16"/>
        <v>0</v>
      </c>
      <c r="G162" s="285" t="s">
        <v>421</v>
      </c>
      <c r="H162" s="286">
        <v>0</v>
      </c>
      <c r="I162" s="286">
        <v>0</v>
      </c>
      <c r="J162" s="286">
        <v>0</v>
      </c>
      <c r="K162" s="283">
        <v>0</v>
      </c>
      <c r="L162" s="286">
        <v>0</v>
      </c>
      <c r="M162" s="15">
        <f>ROUND(F162*0.2,2)</f>
        <v>0</v>
      </c>
      <c r="N162" s="286">
        <v>0</v>
      </c>
      <c r="O162" s="286">
        <v>0</v>
      </c>
      <c r="P162" s="286">
        <v>0</v>
      </c>
      <c r="Q162" s="15">
        <f>ROUND(F162*512/1000,2)</f>
        <v>0</v>
      </c>
      <c r="R162" s="286">
        <v>0</v>
      </c>
      <c r="S162" s="288">
        <f t="shared" si="17"/>
        <v>0</v>
      </c>
      <c r="T162" s="285">
        <v>48</v>
      </c>
      <c r="U162" s="15" t="s">
        <v>4</v>
      </c>
    </row>
    <row r="163" spans="1:21" ht="20.100000000000001" hidden="1" customHeight="1">
      <c r="A163" s="283">
        <v>16</v>
      </c>
      <c r="B163" s="207" t="s">
        <v>3686</v>
      </c>
      <c r="C163" s="285">
        <f>'PART-A'!I1121</f>
        <v>0</v>
      </c>
      <c r="D163" s="285">
        <f>FF!I550</f>
        <v>0</v>
      </c>
      <c r="E163" s="285">
        <f>SF!I347</f>
        <v>0</v>
      </c>
      <c r="F163" s="285">
        <f t="shared" si="16"/>
        <v>0</v>
      </c>
      <c r="G163" s="285" t="s">
        <v>422</v>
      </c>
      <c r="H163" s="286">
        <v>0</v>
      </c>
      <c r="I163" s="15"/>
      <c r="J163" s="286">
        <v>0</v>
      </c>
      <c r="K163" s="283">
        <v>0</v>
      </c>
      <c r="L163" s="286">
        <v>0</v>
      </c>
      <c r="M163" s="15">
        <f>ROUND(F163*0.022,2)</f>
        <v>0</v>
      </c>
      <c r="N163" s="286">
        <v>0</v>
      </c>
      <c r="O163" s="286">
        <v>0</v>
      </c>
      <c r="P163" s="286">
        <v>0</v>
      </c>
      <c r="Q163" s="15">
        <f>ROUND(F163*512*0.1/1000,2)</f>
        <v>0</v>
      </c>
      <c r="R163" s="286">
        <v>0</v>
      </c>
      <c r="S163" s="288">
        <f t="shared" si="17"/>
        <v>0</v>
      </c>
      <c r="T163" s="285">
        <v>7.2</v>
      </c>
      <c r="U163" s="15" t="s">
        <v>4</v>
      </c>
    </row>
    <row r="164" spans="1:21" ht="20.100000000000001" hidden="1" customHeight="1">
      <c r="A164" s="283">
        <v>16</v>
      </c>
      <c r="B164" s="207" t="s">
        <v>1213</v>
      </c>
      <c r="C164" s="285">
        <f>'PART-A'!I1153</f>
        <v>0</v>
      </c>
      <c r="D164" s="285">
        <f>FF!I578</f>
        <v>0</v>
      </c>
      <c r="E164" s="285">
        <f>SF!I375</f>
        <v>0</v>
      </c>
      <c r="F164" s="285">
        <f t="shared" si="16"/>
        <v>0</v>
      </c>
      <c r="G164" s="285" t="s">
        <v>421</v>
      </c>
      <c r="H164" s="286">
        <v>0</v>
      </c>
      <c r="I164" s="286">
        <v>0</v>
      </c>
      <c r="J164" s="286">
        <v>0</v>
      </c>
      <c r="K164" s="283">
        <v>0</v>
      </c>
      <c r="L164" s="286">
        <v>0</v>
      </c>
      <c r="M164" s="15">
        <f>ROUND(F164*0.1*1.05,2)</f>
        <v>0</v>
      </c>
      <c r="N164" s="286">
        <v>0</v>
      </c>
      <c r="O164" s="286">
        <v>0</v>
      </c>
      <c r="P164" s="286">
        <v>0</v>
      </c>
      <c r="Q164" s="15">
        <f>ROUND(F164*110/1000,2)</f>
        <v>0</v>
      </c>
      <c r="R164" s="286">
        <v>0</v>
      </c>
      <c r="S164" s="288">
        <f t="shared" si="17"/>
        <v>0</v>
      </c>
      <c r="T164" s="285">
        <v>24</v>
      </c>
      <c r="U164" s="15" t="s">
        <v>4</v>
      </c>
    </row>
    <row r="165" spans="1:21" ht="20.100000000000001" hidden="1" customHeight="1">
      <c r="A165" s="283">
        <v>14</v>
      </c>
      <c r="B165" s="289" t="s">
        <v>1214</v>
      </c>
      <c r="C165" s="285">
        <f>'PART-A'!I1178</f>
        <v>0</v>
      </c>
      <c r="D165" s="285">
        <f>FF!I602</f>
        <v>0</v>
      </c>
      <c r="E165" s="285"/>
      <c r="F165" s="285">
        <f t="shared" si="16"/>
        <v>0</v>
      </c>
      <c r="G165" s="285" t="s">
        <v>422</v>
      </c>
      <c r="H165" s="286">
        <v>0</v>
      </c>
      <c r="I165" s="286">
        <v>0</v>
      </c>
      <c r="J165" s="286">
        <v>0</v>
      </c>
      <c r="K165" s="283">
        <v>0</v>
      </c>
      <c r="L165" s="286">
        <v>0</v>
      </c>
      <c r="M165" s="286">
        <v>0</v>
      </c>
      <c r="N165" s="15">
        <f>ROUND(F165*((0.015*1.05)+(0.025*1.05)),2)</f>
        <v>0</v>
      </c>
      <c r="O165" s="286">
        <v>0</v>
      </c>
      <c r="P165" s="286">
        <v>0</v>
      </c>
      <c r="Q165" s="286">
        <v>0</v>
      </c>
      <c r="R165" s="286">
        <v>0</v>
      </c>
      <c r="S165" s="288">
        <f t="shared" si="17"/>
        <v>0</v>
      </c>
      <c r="T165" s="285">
        <v>20.89</v>
      </c>
      <c r="U165" s="15" t="s">
        <v>4</v>
      </c>
    </row>
    <row r="166" spans="1:21" ht="20.100000000000001" hidden="1" customHeight="1">
      <c r="A166" s="283">
        <v>4</v>
      </c>
      <c r="B166" s="289" t="s">
        <v>137</v>
      </c>
      <c r="C166" s="285">
        <f>'PART-A'!I1265</f>
        <v>0</v>
      </c>
      <c r="D166" s="285">
        <f>FF!I678</f>
        <v>0</v>
      </c>
      <c r="E166" s="285">
        <f>SF!I404</f>
        <v>0</v>
      </c>
      <c r="F166" s="285">
        <f t="shared" si="16"/>
        <v>0</v>
      </c>
      <c r="G166" s="285" t="s">
        <v>422</v>
      </c>
      <c r="H166" s="286">
        <v>0</v>
      </c>
      <c r="I166" s="286">
        <v>0</v>
      </c>
      <c r="J166" s="286">
        <v>0</v>
      </c>
      <c r="K166" s="283">
        <v>0</v>
      </c>
      <c r="L166" s="286">
        <v>0</v>
      </c>
      <c r="M166" s="286">
        <v>0</v>
      </c>
      <c r="N166" s="15">
        <f>ROUND(F166*0.015*1.05,2)</f>
        <v>0</v>
      </c>
      <c r="O166" s="286">
        <v>0</v>
      </c>
      <c r="P166" s="286">
        <v>0</v>
      </c>
      <c r="Q166" s="286">
        <v>0</v>
      </c>
      <c r="R166" s="286">
        <v>0</v>
      </c>
      <c r="S166" s="288">
        <f t="shared" si="17"/>
        <v>0</v>
      </c>
      <c r="T166" s="285">
        <v>7.2</v>
      </c>
      <c r="U166" s="15" t="s">
        <v>4</v>
      </c>
    </row>
    <row r="167" spans="1:21" ht="20.100000000000001" hidden="1" customHeight="1">
      <c r="A167" s="283">
        <v>2</v>
      </c>
      <c r="B167" s="289" t="s">
        <v>238</v>
      </c>
      <c r="C167" s="285">
        <f>'PART-A'!I1294</f>
        <v>0</v>
      </c>
      <c r="D167" s="285">
        <f>FF!I710</f>
        <v>0</v>
      </c>
      <c r="E167" s="285">
        <f>SF!I436</f>
        <v>0</v>
      </c>
      <c r="F167" s="285">
        <f t="shared" si="16"/>
        <v>0</v>
      </c>
      <c r="G167" s="285" t="s">
        <v>422</v>
      </c>
      <c r="H167" s="286">
        <v>0</v>
      </c>
      <c r="I167" s="286">
        <v>0</v>
      </c>
      <c r="J167" s="286">
        <v>0</v>
      </c>
      <c r="K167" s="283">
        <v>0</v>
      </c>
      <c r="L167" s="286">
        <v>0</v>
      </c>
      <c r="M167" s="286">
        <v>0</v>
      </c>
      <c r="N167" s="15">
        <f>ROUND(F167*0.015*1.05,2)</f>
        <v>0</v>
      </c>
      <c r="O167" s="286">
        <v>0</v>
      </c>
      <c r="P167" s="286">
        <v>0</v>
      </c>
      <c r="Q167" s="286">
        <v>0</v>
      </c>
      <c r="R167" s="286">
        <v>0</v>
      </c>
      <c r="S167" s="288">
        <f t="shared" si="17"/>
        <v>0</v>
      </c>
      <c r="T167" s="285">
        <v>4.32</v>
      </c>
      <c r="U167" s="15" t="s">
        <v>4</v>
      </c>
    </row>
    <row r="168" spans="1:21" ht="20.100000000000001" hidden="1" customHeight="1">
      <c r="A168" s="283">
        <v>3</v>
      </c>
      <c r="B168" s="289" t="s">
        <v>604</v>
      </c>
      <c r="C168" s="285">
        <f>'PART-A'!I1318</f>
        <v>0</v>
      </c>
      <c r="D168" s="285">
        <f>FF!I742</f>
        <v>0</v>
      </c>
      <c r="E168" s="285">
        <f>SF!I468</f>
        <v>0</v>
      </c>
      <c r="F168" s="285">
        <f t="shared" si="16"/>
        <v>0</v>
      </c>
      <c r="G168" s="285" t="s">
        <v>422</v>
      </c>
      <c r="H168" s="286">
        <v>0</v>
      </c>
      <c r="I168" s="286">
        <v>0</v>
      </c>
      <c r="J168" s="286">
        <v>0</v>
      </c>
      <c r="K168" s="283">
        <v>0</v>
      </c>
      <c r="L168" s="286">
        <v>0</v>
      </c>
      <c r="M168" s="286">
        <v>0</v>
      </c>
      <c r="N168" s="15">
        <f>ROUND(F168*0.021*1.05,2)</f>
        <v>0</v>
      </c>
      <c r="O168" s="286">
        <v>0</v>
      </c>
      <c r="P168" s="286">
        <v>0</v>
      </c>
      <c r="Q168" s="286">
        <v>0</v>
      </c>
      <c r="R168" s="286">
        <v>0</v>
      </c>
      <c r="S168" s="288">
        <f t="shared" si="17"/>
        <v>0</v>
      </c>
      <c r="T168" s="285">
        <v>6.05</v>
      </c>
      <c r="U168" s="15" t="s">
        <v>4</v>
      </c>
    </row>
    <row r="169" spans="1:21" ht="20.100000000000001" hidden="1" customHeight="1">
      <c r="A169" s="283">
        <v>5</v>
      </c>
      <c r="B169" s="289" t="s">
        <v>904</v>
      </c>
      <c r="C169" s="285">
        <f>'PART-A'!I1451</f>
        <v>0</v>
      </c>
      <c r="D169" s="285">
        <f>FF!I858</f>
        <v>0</v>
      </c>
      <c r="E169" s="285">
        <f>SF!I508</f>
        <v>0</v>
      </c>
      <c r="F169" s="285">
        <f t="shared" si="16"/>
        <v>0</v>
      </c>
      <c r="G169" s="285" t="s">
        <v>422</v>
      </c>
      <c r="H169" s="286">
        <v>0</v>
      </c>
      <c r="I169" s="286">
        <v>0</v>
      </c>
      <c r="J169" s="286">
        <v>0</v>
      </c>
      <c r="K169" s="283">
        <v>0</v>
      </c>
      <c r="L169" s="286">
        <v>0</v>
      </c>
      <c r="M169" s="286">
        <v>0</v>
      </c>
      <c r="N169" s="15">
        <f>ROUND(F169*0.015*1,2)</f>
        <v>0</v>
      </c>
      <c r="O169" s="286">
        <v>0</v>
      </c>
      <c r="P169" s="286">
        <v>0</v>
      </c>
      <c r="Q169" s="286">
        <v>0</v>
      </c>
      <c r="R169" s="286">
        <v>0</v>
      </c>
      <c r="S169" s="288">
        <f t="shared" si="17"/>
        <v>0</v>
      </c>
      <c r="T169" s="285">
        <v>5.09</v>
      </c>
      <c r="U169" s="15" t="s">
        <v>4</v>
      </c>
    </row>
    <row r="170" spans="1:21" ht="20.100000000000001" hidden="1" customHeight="1">
      <c r="A170" s="283">
        <v>17</v>
      </c>
      <c r="B170" s="289" t="s">
        <v>603</v>
      </c>
      <c r="C170" s="285">
        <f>'PART-A'!I1504</f>
        <v>0</v>
      </c>
      <c r="D170" s="285">
        <f>FF!I904</f>
        <v>0</v>
      </c>
      <c r="E170" s="285">
        <f>SF!I539</f>
        <v>0</v>
      </c>
      <c r="F170" s="285">
        <f t="shared" si="16"/>
        <v>0</v>
      </c>
      <c r="G170" s="285" t="s">
        <v>422</v>
      </c>
      <c r="H170" s="286">
        <v>0</v>
      </c>
      <c r="I170" s="286">
        <v>0</v>
      </c>
      <c r="J170" s="286">
        <v>0</v>
      </c>
      <c r="K170" s="283">
        <v>0</v>
      </c>
      <c r="L170" s="286">
        <v>0</v>
      </c>
      <c r="M170" s="286">
        <v>0</v>
      </c>
      <c r="N170" s="15">
        <f>ROUND(F170*0.022*1,2)</f>
        <v>0</v>
      </c>
      <c r="O170" s="286">
        <v>0</v>
      </c>
      <c r="P170" s="286">
        <v>0</v>
      </c>
      <c r="Q170" s="286">
        <v>0</v>
      </c>
      <c r="R170" s="286">
        <v>0</v>
      </c>
      <c r="S170" s="288">
        <f t="shared" si="17"/>
        <v>0</v>
      </c>
      <c r="T170" s="285">
        <v>5.75</v>
      </c>
      <c r="U170" s="15" t="s">
        <v>4</v>
      </c>
    </row>
    <row r="171" spans="1:21" ht="20.100000000000001" hidden="1" customHeight="1">
      <c r="A171" s="283">
        <v>19</v>
      </c>
      <c r="B171" s="207" t="s">
        <v>447</v>
      </c>
      <c r="C171" s="285">
        <f>'PART-A'!I1528</f>
        <v>0</v>
      </c>
      <c r="D171" s="285">
        <f>FF!I932</f>
        <v>0</v>
      </c>
      <c r="E171" s="285">
        <f>SF!I559</f>
        <v>0</v>
      </c>
      <c r="F171" s="285">
        <f t="shared" si="16"/>
        <v>0</v>
      </c>
      <c r="G171" s="285" t="s">
        <v>421</v>
      </c>
      <c r="H171" s="286">
        <v>0</v>
      </c>
      <c r="I171" s="15">
        <f>ROUND(F171*0.8,2)</f>
        <v>0</v>
      </c>
      <c r="J171" s="286">
        <v>0</v>
      </c>
      <c r="K171" s="283">
        <v>0</v>
      </c>
      <c r="L171" s="15">
        <f>ROUND(F171*0.4,2)</f>
        <v>0</v>
      </c>
      <c r="M171" s="283">
        <v>0</v>
      </c>
      <c r="N171" s="283">
        <v>0</v>
      </c>
      <c r="O171" s="286">
        <v>0</v>
      </c>
      <c r="P171" s="286">
        <v>0</v>
      </c>
      <c r="Q171" s="286">
        <v>0</v>
      </c>
      <c r="R171" s="286">
        <v>0</v>
      </c>
      <c r="S171" s="288">
        <f t="shared" si="17"/>
        <v>0</v>
      </c>
      <c r="T171" s="285">
        <f>$T$146</f>
        <v>340</v>
      </c>
      <c r="U171" s="15" t="s">
        <v>4</v>
      </c>
    </row>
    <row r="172" spans="1:21" ht="20.100000000000001" hidden="1" customHeight="1">
      <c r="A172" s="283">
        <v>20</v>
      </c>
      <c r="B172" s="289" t="s">
        <v>241</v>
      </c>
      <c r="C172" s="285">
        <f>'PART-A'!I1579</f>
        <v>0</v>
      </c>
      <c r="D172" s="285">
        <f>FF!I963</f>
        <v>0</v>
      </c>
      <c r="E172" s="285">
        <f>SF!I583</f>
        <v>0</v>
      </c>
      <c r="F172" s="285">
        <f t="shared" si="16"/>
        <v>0</v>
      </c>
      <c r="G172" s="285" t="s">
        <v>422</v>
      </c>
      <c r="H172" s="286">
        <v>0</v>
      </c>
      <c r="I172" s="286">
        <v>0</v>
      </c>
      <c r="J172" s="286">
        <v>0</v>
      </c>
      <c r="K172" s="283">
        <v>0</v>
      </c>
      <c r="L172" s="286">
        <v>0</v>
      </c>
      <c r="M172" s="15">
        <f>ROUND(F172*0.014,2)</f>
        <v>0</v>
      </c>
      <c r="N172" s="286">
        <v>0</v>
      </c>
      <c r="O172" s="286">
        <v>0</v>
      </c>
      <c r="P172" s="286">
        <v>0</v>
      </c>
      <c r="Q172" s="286">
        <v>0</v>
      </c>
      <c r="R172" s="286">
        <v>0</v>
      </c>
      <c r="S172" s="288">
        <f t="shared" si="17"/>
        <v>0</v>
      </c>
      <c r="T172" s="285">
        <v>6.06</v>
      </c>
      <c r="U172" s="15" t="s">
        <v>4</v>
      </c>
    </row>
    <row r="173" spans="1:21" ht="20.100000000000001" hidden="1" customHeight="1">
      <c r="A173" s="283">
        <v>21</v>
      </c>
      <c r="B173" s="289" t="s">
        <v>242</v>
      </c>
      <c r="C173" s="285">
        <f>'PART-A'!I1653</f>
        <v>0</v>
      </c>
      <c r="D173" s="285">
        <f>FF!I1002</f>
        <v>0</v>
      </c>
      <c r="E173" s="285">
        <f>SF!I611</f>
        <v>0</v>
      </c>
      <c r="F173" s="285">
        <f t="shared" si="16"/>
        <v>0</v>
      </c>
      <c r="G173" s="285" t="s">
        <v>422</v>
      </c>
      <c r="H173" s="286">
        <v>0</v>
      </c>
      <c r="I173" s="286">
        <v>0</v>
      </c>
      <c r="J173" s="286">
        <v>0</v>
      </c>
      <c r="K173" s="283">
        <v>0</v>
      </c>
      <c r="L173" s="286">
        <v>0</v>
      </c>
      <c r="M173" s="15">
        <f>ROUND(F173*0.012,2)</f>
        <v>0</v>
      </c>
      <c r="N173" s="286">
        <v>0</v>
      </c>
      <c r="O173" s="286">
        <v>0</v>
      </c>
      <c r="P173" s="286">
        <v>0</v>
      </c>
      <c r="Q173" s="286">
        <v>0</v>
      </c>
      <c r="R173" s="286">
        <v>0</v>
      </c>
      <c r="S173" s="288">
        <f t="shared" si="17"/>
        <v>0</v>
      </c>
      <c r="T173" s="290">
        <v>6.7560000000000002</v>
      </c>
      <c r="U173" s="15" t="s">
        <v>4</v>
      </c>
    </row>
    <row r="174" spans="1:21" ht="20.100000000000001" customHeight="1">
      <c r="A174" s="283">
        <v>19</v>
      </c>
      <c r="B174" s="289" t="s">
        <v>681</v>
      </c>
      <c r="C174" s="285">
        <f>'PART-A'!I1706</f>
        <v>87.660000000000011</v>
      </c>
      <c r="D174" s="285">
        <f>FF!I1041</f>
        <v>0</v>
      </c>
      <c r="E174" s="285">
        <f>SF!I639</f>
        <v>0</v>
      </c>
      <c r="F174" s="285">
        <f t="shared" si="16"/>
        <v>87.660000000000011</v>
      </c>
      <c r="G174" s="285" t="s">
        <v>422</v>
      </c>
      <c r="H174" s="286">
        <v>0</v>
      </c>
      <c r="I174" s="286">
        <v>0</v>
      </c>
      <c r="J174" s="286">
        <v>0</v>
      </c>
      <c r="K174" s="283">
        <v>0</v>
      </c>
      <c r="L174" s="286">
        <v>0</v>
      </c>
      <c r="M174" s="15">
        <f>ROUND(F174*0.014,2)</f>
        <v>1.23</v>
      </c>
      <c r="N174" s="286">
        <v>0</v>
      </c>
      <c r="O174" s="286">
        <v>0</v>
      </c>
      <c r="P174" s="286">
        <v>0</v>
      </c>
      <c r="Q174" s="286">
        <v>0</v>
      </c>
      <c r="R174" s="286">
        <v>0</v>
      </c>
      <c r="S174" s="288">
        <f t="shared" si="17"/>
        <v>13.15</v>
      </c>
      <c r="T174" s="285">
        <v>7.5</v>
      </c>
      <c r="U174" s="15" t="s">
        <v>4</v>
      </c>
    </row>
    <row r="175" spans="1:21" ht="20.100000000000001" customHeight="1">
      <c r="A175" s="283">
        <v>20</v>
      </c>
      <c r="B175" s="289" t="s">
        <v>682</v>
      </c>
      <c r="C175" s="285">
        <f>'PART-A'!I1761</f>
        <v>6.7299999999999995</v>
      </c>
      <c r="D175" s="285">
        <f>FF!I1081</f>
        <v>0</v>
      </c>
      <c r="E175" s="285">
        <f>SF!I667</f>
        <v>0</v>
      </c>
      <c r="F175" s="285">
        <f t="shared" si="16"/>
        <v>6.7299999999999995</v>
      </c>
      <c r="G175" s="285" t="s">
        <v>422</v>
      </c>
      <c r="H175" s="286">
        <v>0</v>
      </c>
      <c r="I175" s="286">
        <v>0</v>
      </c>
      <c r="J175" s="286">
        <v>0</v>
      </c>
      <c r="K175" s="283">
        <v>0</v>
      </c>
      <c r="L175" s="286">
        <v>0</v>
      </c>
      <c r="M175" s="15">
        <f>ROUND(F175*0.012,2)</f>
        <v>0.08</v>
      </c>
      <c r="N175" s="286">
        <v>0</v>
      </c>
      <c r="O175" s="286">
        <v>0</v>
      </c>
      <c r="P175" s="286">
        <v>0</v>
      </c>
      <c r="Q175" s="286">
        <v>0</v>
      </c>
      <c r="R175" s="286">
        <v>0</v>
      </c>
      <c r="S175" s="288">
        <f t="shared" si="17"/>
        <v>1.22</v>
      </c>
      <c r="T175" s="290">
        <v>9.06</v>
      </c>
      <c r="U175" s="15" t="s">
        <v>4</v>
      </c>
    </row>
    <row r="176" spans="1:21" ht="20.100000000000001" hidden="1" customHeight="1">
      <c r="A176" s="283">
        <v>37</v>
      </c>
      <c r="B176" s="289" t="s">
        <v>683</v>
      </c>
      <c r="C176" s="285">
        <f>'PART-A'!I1791</f>
        <v>0</v>
      </c>
      <c r="D176" s="285">
        <f>FF!I1116</f>
        <v>0</v>
      </c>
      <c r="E176" s="285">
        <f>SF!I695</f>
        <v>0</v>
      </c>
      <c r="F176" s="285">
        <f t="shared" si="16"/>
        <v>0</v>
      </c>
      <c r="G176" s="285" t="s">
        <v>422</v>
      </c>
      <c r="H176" s="286">
        <v>0</v>
      </c>
      <c r="I176" s="286">
        <v>0</v>
      </c>
      <c r="J176" s="286">
        <v>0</v>
      </c>
      <c r="K176" s="283">
        <v>0</v>
      </c>
      <c r="L176" s="286">
        <v>0</v>
      </c>
      <c r="M176" s="15">
        <f>ROUND(F176*0.014,2)</f>
        <v>0</v>
      </c>
      <c r="N176" s="286">
        <v>0</v>
      </c>
      <c r="O176" s="286">
        <v>0</v>
      </c>
      <c r="P176" s="286">
        <v>0</v>
      </c>
      <c r="Q176" s="286">
        <v>0</v>
      </c>
      <c r="R176" s="286">
        <v>0</v>
      </c>
      <c r="S176" s="288">
        <f t="shared" si="17"/>
        <v>0</v>
      </c>
      <c r="T176" s="285">
        <v>7.5</v>
      </c>
      <c r="U176" s="15" t="s">
        <v>4</v>
      </c>
    </row>
    <row r="177" spans="1:21" ht="20.100000000000001" hidden="1" customHeight="1">
      <c r="A177" s="283">
        <v>38</v>
      </c>
      <c r="B177" s="289" t="s">
        <v>684</v>
      </c>
      <c r="C177" s="285">
        <f>'PART-A'!I1819</f>
        <v>0</v>
      </c>
      <c r="D177" s="285">
        <f>FF!I1148</f>
        <v>0</v>
      </c>
      <c r="E177" s="285">
        <f>SF!I723</f>
        <v>0</v>
      </c>
      <c r="F177" s="285">
        <f t="shared" si="16"/>
        <v>0</v>
      </c>
      <c r="G177" s="285" t="s">
        <v>422</v>
      </c>
      <c r="H177" s="286">
        <v>0</v>
      </c>
      <c r="I177" s="286">
        <v>0</v>
      </c>
      <c r="J177" s="286">
        <v>0</v>
      </c>
      <c r="K177" s="283">
        <v>0</v>
      </c>
      <c r="L177" s="286">
        <v>0</v>
      </c>
      <c r="M177" s="15">
        <f>ROUND(F177*0.012,2)</f>
        <v>0</v>
      </c>
      <c r="N177" s="286">
        <v>0</v>
      </c>
      <c r="O177" s="286">
        <v>0</v>
      </c>
      <c r="P177" s="286">
        <v>0</v>
      </c>
      <c r="Q177" s="286">
        <v>0</v>
      </c>
      <c r="R177" s="286">
        <v>0</v>
      </c>
      <c r="S177" s="288">
        <f t="shared" si="17"/>
        <v>0</v>
      </c>
      <c r="T177" s="290">
        <v>6.7560000000000002</v>
      </c>
      <c r="U177" s="15" t="s">
        <v>4</v>
      </c>
    </row>
    <row r="178" spans="1:21" ht="20.100000000000001" customHeight="1">
      <c r="A178" s="283">
        <v>21</v>
      </c>
      <c r="B178" s="289" t="s">
        <v>239</v>
      </c>
      <c r="C178" s="285">
        <f>'PART-A'!I1842</f>
        <v>4.2</v>
      </c>
      <c r="D178" s="285">
        <f>FF!I1175</f>
        <v>0</v>
      </c>
      <c r="E178" s="285">
        <f>SF!I751</f>
        <v>0</v>
      </c>
      <c r="F178" s="285">
        <f t="shared" si="16"/>
        <v>4.2</v>
      </c>
      <c r="G178" s="285" t="s">
        <v>422</v>
      </c>
      <c r="H178" s="286">
        <v>0</v>
      </c>
      <c r="I178" s="286">
        <v>0</v>
      </c>
      <c r="J178" s="286">
        <v>0</v>
      </c>
      <c r="K178" s="283">
        <v>0</v>
      </c>
      <c r="L178" s="286">
        <v>0</v>
      </c>
      <c r="M178" s="15">
        <f>ROUND(F178*0.012,2)</f>
        <v>0.05</v>
      </c>
      <c r="N178" s="286">
        <v>0</v>
      </c>
      <c r="O178" s="286">
        <v>0</v>
      </c>
      <c r="P178" s="286">
        <v>0</v>
      </c>
      <c r="Q178" s="286">
        <v>0</v>
      </c>
      <c r="R178" s="286">
        <v>0</v>
      </c>
      <c r="S178" s="288">
        <f t="shared" si="17"/>
        <v>0.46</v>
      </c>
      <c r="T178" s="285">
        <v>5.46</v>
      </c>
      <c r="U178" s="15" t="s">
        <v>4</v>
      </c>
    </row>
    <row r="179" spans="1:21" ht="20.100000000000001" customHeight="1">
      <c r="A179" s="283">
        <v>22</v>
      </c>
      <c r="B179" s="289" t="s">
        <v>240</v>
      </c>
      <c r="C179" s="285">
        <f>'PART-A'!I1870</f>
        <v>17.670000000000002</v>
      </c>
      <c r="D179" s="285">
        <f>FF!I1209</f>
        <v>0</v>
      </c>
      <c r="E179" s="285">
        <f>SF!I775</f>
        <v>0</v>
      </c>
      <c r="F179" s="285">
        <f t="shared" si="16"/>
        <v>17.670000000000002</v>
      </c>
      <c r="G179" s="285" t="s">
        <v>422</v>
      </c>
      <c r="H179" s="286">
        <v>0</v>
      </c>
      <c r="I179" s="286">
        <v>0</v>
      </c>
      <c r="J179" s="286">
        <v>0</v>
      </c>
      <c r="K179" s="283">
        <v>0</v>
      </c>
      <c r="L179" s="286">
        <v>0</v>
      </c>
      <c r="M179" s="15">
        <f>ROUND(F179*0.012,2)</f>
        <v>0.21</v>
      </c>
      <c r="N179" s="286">
        <v>0</v>
      </c>
      <c r="O179" s="286">
        <v>0</v>
      </c>
      <c r="P179" s="286">
        <v>0</v>
      </c>
      <c r="Q179" s="286">
        <v>0</v>
      </c>
      <c r="R179" s="286">
        <v>0</v>
      </c>
      <c r="S179" s="288">
        <f t="shared" si="17"/>
        <v>3.2</v>
      </c>
      <c r="T179" s="285">
        <v>9.06</v>
      </c>
      <c r="U179" s="15" t="s">
        <v>4</v>
      </c>
    </row>
    <row r="180" spans="1:21" ht="20.100000000000001" hidden="1" customHeight="1">
      <c r="A180" s="283">
        <v>22</v>
      </c>
      <c r="B180" s="289" t="s">
        <v>1215</v>
      </c>
      <c r="C180" s="285">
        <f>'PART-A'!I1896</f>
        <v>0</v>
      </c>
      <c r="D180" s="285">
        <f>FF!I1241</f>
        <v>0</v>
      </c>
      <c r="E180" s="285">
        <f>SF!I799</f>
        <v>0</v>
      </c>
      <c r="F180" s="285">
        <f t="shared" si="16"/>
        <v>0</v>
      </c>
      <c r="G180" s="285" t="s">
        <v>422</v>
      </c>
      <c r="H180" s="286">
        <v>0</v>
      </c>
      <c r="I180" s="286">
        <v>0</v>
      </c>
      <c r="J180" s="286">
        <v>0</v>
      </c>
      <c r="K180" s="283">
        <v>0</v>
      </c>
      <c r="L180" s="286">
        <v>0</v>
      </c>
      <c r="M180" s="15">
        <f>ROUND(F180*0.008*1,2)</f>
        <v>0</v>
      </c>
      <c r="N180" s="286">
        <v>0</v>
      </c>
      <c r="O180" s="286">
        <v>0</v>
      </c>
      <c r="P180" s="286">
        <v>0</v>
      </c>
      <c r="Q180" s="286">
        <v>0</v>
      </c>
      <c r="R180" s="286">
        <v>0</v>
      </c>
      <c r="S180" s="288">
        <f t="shared" si="17"/>
        <v>0</v>
      </c>
      <c r="T180" s="285">
        <v>2.76</v>
      </c>
      <c r="U180" s="15" t="s">
        <v>4</v>
      </c>
    </row>
    <row r="181" spans="1:21" ht="20.100000000000001" hidden="1" customHeight="1">
      <c r="A181" s="283">
        <v>5</v>
      </c>
      <c r="B181" s="207" t="s">
        <v>2270</v>
      </c>
      <c r="C181" s="285">
        <f>'PART-A'!I1952</f>
        <v>0</v>
      </c>
      <c r="D181" s="285"/>
      <c r="E181" s="285"/>
      <c r="F181" s="285">
        <f t="shared" si="16"/>
        <v>0</v>
      </c>
      <c r="G181" s="285" t="s">
        <v>421</v>
      </c>
      <c r="H181" s="286">
        <v>0</v>
      </c>
      <c r="I181" s="15">
        <f>ROUND(F181*0.017,2)</f>
        <v>0</v>
      </c>
      <c r="J181" s="286">
        <v>0</v>
      </c>
      <c r="K181" s="283">
        <v>0</v>
      </c>
      <c r="L181" s="15">
        <f>ROUND(F181*0.009,2)</f>
        <v>0</v>
      </c>
      <c r="M181" s="283">
        <v>0</v>
      </c>
      <c r="N181" s="283">
        <v>0</v>
      </c>
      <c r="O181" s="286">
        <v>0</v>
      </c>
      <c r="P181" s="286">
        <v>0</v>
      </c>
      <c r="Q181" s="286">
        <v>0</v>
      </c>
      <c r="R181" s="286">
        <v>0</v>
      </c>
      <c r="S181" s="288">
        <f t="shared" si="17"/>
        <v>0</v>
      </c>
      <c r="T181" s="285">
        <v>12</v>
      </c>
      <c r="U181" s="15" t="s">
        <v>4</v>
      </c>
    </row>
    <row r="182" spans="1:21" ht="18" hidden="1" customHeight="1">
      <c r="A182" s="283"/>
      <c r="B182" s="289"/>
      <c r="C182" s="289"/>
      <c r="D182" s="289"/>
      <c r="E182" s="289"/>
      <c r="F182" s="285"/>
      <c r="G182" s="285"/>
      <c r="H182" s="15"/>
      <c r="I182" s="15"/>
      <c r="J182" s="15"/>
      <c r="K182" s="15"/>
      <c r="L182" s="15"/>
      <c r="M182" s="15"/>
      <c r="N182" s="286"/>
      <c r="O182" s="15"/>
      <c r="P182" s="15"/>
      <c r="Q182" s="286"/>
      <c r="R182" s="15"/>
      <c r="S182" s="15"/>
      <c r="T182" s="285"/>
      <c r="U182" s="15"/>
    </row>
    <row r="183" spans="1:21">
      <c r="A183" s="207"/>
      <c r="B183" s="82" t="s">
        <v>103</v>
      </c>
      <c r="C183" s="207"/>
      <c r="D183" s="207"/>
      <c r="E183" s="207"/>
      <c r="F183" s="619">
        <v>1</v>
      </c>
      <c r="G183" s="207"/>
      <c r="H183" s="210">
        <f t="shared" ref="H183:S183" si="20">SUM(H140:H182)</f>
        <v>0</v>
      </c>
      <c r="I183" s="210">
        <f t="shared" si="20"/>
        <v>0</v>
      </c>
      <c r="J183" s="210">
        <f t="shared" si="20"/>
        <v>0</v>
      </c>
      <c r="K183" s="210">
        <f t="shared" si="20"/>
        <v>0</v>
      </c>
      <c r="L183" s="210">
        <f t="shared" si="20"/>
        <v>0</v>
      </c>
      <c r="M183" s="210">
        <f t="shared" si="20"/>
        <v>1.57</v>
      </c>
      <c r="N183" s="210">
        <f t="shared" si="20"/>
        <v>0</v>
      </c>
      <c r="O183" s="210">
        <f t="shared" si="20"/>
        <v>0</v>
      </c>
      <c r="P183" s="210">
        <f t="shared" si="20"/>
        <v>0</v>
      </c>
      <c r="Q183" s="210">
        <f t="shared" si="20"/>
        <v>0</v>
      </c>
      <c r="R183" s="210">
        <f t="shared" si="20"/>
        <v>0</v>
      </c>
      <c r="S183" s="210">
        <f t="shared" si="20"/>
        <v>18.03</v>
      </c>
      <c r="T183" s="291" t="s">
        <v>142</v>
      </c>
      <c r="U183" s="207"/>
    </row>
    <row r="184" spans="1:21">
      <c r="A184" s="207"/>
      <c r="B184" s="82" t="s">
        <v>2314</v>
      </c>
      <c r="C184" s="207"/>
      <c r="D184" s="207"/>
      <c r="E184" s="207"/>
      <c r="F184" s="619">
        <v>1</v>
      </c>
      <c r="G184" s="207"/>
      <c r="H184" s="210">
        <f t="shared" ref="H184:S184" si="21">H48+H93+H138+H183</f>
        <v>18.53</v>
      </c>
      <c r="I184" s="210">
        <f t="shared" si="21"/>
        <v>38.409999999999997</v>
      </c>
      <c r="J184" s="210">
        <f t="shared" si="21"/>
        <v>0</v>
      </c>
      <c r="K184" s="210">
        <f t="shared" si="21"/>
        <v>0</v>
      </c>
      <c r="L184" s="210">
        <f t="shared" si="21"/>
        <v>28.47</v>
      </c>
      <c r="M184" s="210">
        <f t="shared" si="21"/>
        <v>11.3</v>
      </c>
      <c r="N184" s="210">
        <f t="shared" si="21"/>
        <v>8.84</v>
      </c>
      <c r="O184" s="210">
        <f t="shared" si="21"/>
        <v>87.509999999999991</v>
      </c>
      <c r="P184" s="210">
        <f t="shared" si="21"/>
        <v>17.93</v>
      </c>
      <c r="Q184" s="210">
        <f t="shared" si="21"/>
        <v>24.54</v>
      </c>
      <c r="R184" s="210">
        <f t="shared" si="21"/>
        <v>0</v>
      </c>
      <c r="S184" s="210">
        <f t="shared" si="21"/>
        <v>521.47</v>
      </c>
      <c r="T184" s="291"/>
      <c r="U184" s="207"/>
    </row>
    <row r="185" spans="1:21" ht="27.75">
      <c r="A185" s="207"/>
      <c r="B185" s="207"/>
      <c r="C185" s="207"/>
      <c r="D185" s="207"/>
      <c r="E185" s="207"/>
      <c r="F185" s="82" t="s">
        <v>423</v>
      </c>
      <c r="G185" s="207"/>
      <c r="H185" s="292">
        <v>90</v>
      </c>
      <c r="I185" s="292">
        <v>90</v>
      </c>
      <c r="J185" s="292">
        <v>90</v>
      </c>
      <c r="K185" s="292">
        <v>90</v>
      </c>
      <c r="L185" s="292">
        <v>100</v>
      </c>
      <c r="M185" s="292">
        <v>100</v>
      </c>
      <c r="N185" s="292">
        <v>100</v>
      </c>
      <c r="O185" s="292">
        <v>100</v>
      </c>
      <c r="P185" s="292">
        <v>45</v>
      </c>
      <c r="Q185" s="292">
        <v>80</v>
      </c>
      <c r="R185" s="292">
        <v>45</v>
      </c>
      <c r="S185" s="369">
        <f>ROUND((S184*50)/1000,2)</f>
        <v>26.07</v>
      </c>
      <c r="T185" s="291" t="s">
        <v>29</v>
      </c>
      <c r="U185" s="207"/>
    </row>
    <row r="186" spans="1:21" ht="20.100000000000001" customHeight="1">
      <c r="A186" s="207"/>
      <c r="B186" s="207"/>
      <c r="C186" s="207"/>
      <c r="D186" s="207"/>
      <c r="E186" s="207"/>
      <c r="F186" s="207"/>
      <c r="G186" s="82" t="s">
        <v>104</v>
      </c>
      <c r="H186" s="209">
        <f t="shared" ref="H186:R186" si="22">ROUND(H184*H185,0)</f>
        <v>1668</v>
      </c>
      <c r="I186" s="209">
        <f t="shared" si="22"/>
        <v>3457</v>
      </c>
      <c r="J186" s="209">
        <f t="shared" si="22"/>
        <v>0</v>
      </c>
      <c r="K186" s="209">
        <f t="shared" si="22"/>
        <v>0</v>
      </c>
      <c r="L186" s="209">
        <f t="shared" si="22"/>
        <v>2847</v>
      </c>
      <c r="M186" s="209">
        <f t="shared" si="22"/>
        <v>1130</v>
      </c>
      <c r="N186" s="209">
        <f t="shared" si="22"/>
        <v>884</v>
      </c>
      <c r="O186" s="209">
        <f t="shared" si="22"/>
        <v>8751</v>
      </c>
      <c r="P186" s="209">
        <f t="shared" si="22"/>
        <v>807</v>
      </c>
      <c r="Q186" s="209">
        <f t="shared" si="22"/>
        <v>1963</v>
      </c>
      <c r="R186" s="209">
        <f t="shared" si="22"/>
        <v>0</v>
      </c>
      <c r="S186" s="369"/>
      <c r="T186" s="291"/>
      <c r="U186" s="207"/>
    </row>
    <row r="187" spans="1:21">
      <c r="A187" s="207"/>
      <c r="B187" s="207"/>
      <c r="C187" s="207"/>
      <c r="D187" s="207"/>
      <c r="E187" s="207"/>
      <c r="F187" s="291" t="s">
        <v>140</v>
      </c>
      <c r="G187" s="293" t="s">
        <v>104</v>
      </c>
      <c r="H187" s="294">
        <f>SUM(H186:R186)</f>
        <v>21507</v>
      </c>
      <c r="I187" s="294"/>
      <c r="J187" s="294"/>
      <c r="K187" s="294"/>
      <c r="L187" s="207"/>
      <c r="M187" s="207"/>
      <c r="N187" s="207"/>
      <c r="O187" s="207"/>
      <c r="P187" s="207"/>
      <c r="Q187" s="207"/>
      <c r="R187" s="207"/>
      <c r="S187" s="295"/>
      <c r="T187" s="296"/>
      <c r="U187" s="207"/>
    </row>
    <row r="190" spans="1:21">
      <c r="N190" s="212"/>
      <c r="O190" s="212"/>
      <c r="P190" s="212"/>
      <c r="Q190" s="212"/>
      <c r="R190" s="212"/>
      <c r="S190" s="212"/>
      <c r="T190" s="212"/>
      <c r="U190" s="212"/>
    </row>
    <row r="191" spans="1:21">
      <c r="M191" s="55" t="str">
        <f>'lead 19-20'!$H$31</f>
        <v>Deputy Executive Engineer</v>
      </c>
      <c r="R191" s="55" t="str">
        <f>'lead 19-20'!$K$31</f>
        <v>Assistant  Engineer</v>
      </c>
    </row>
    <row r="192" spans="1:21">
      <c r="M192" s="55" t="str">
        <f>'lead 19-20'!$H$32</f>
        <v>PRI Sub Division</v>
      </c>
      <c r="N192" s="212"/>
      <c r="O192" s="212"/>
      <c r="P192" s="212"/>
      <c r="Q192" s="212"/>
      <c r="R192" s="55" t="str">
        <f>'lead 19-20'!$K$32</f>
        <v>Mandal Praja parishad</v>
      </c>
      <c r="S192" s="212"/>
      <c r="T192" s="212"/>
      <c r="U192" s="212"/>
    </row>
    <row r="193" spans="13:21">
      <c r="M193" s="55" t="str">
        <f>'lead 19-20'!$H$33</f>
        <v>Kanigiri</v>
      </c>
      <c r="N193" s="212"/>
      <c r="O193" s="212"/>
      <c r="P193" s="212"/>
      <c r="Q193" s="212"/>
      <c r="R193" s="55" t="str">
        <f>'lead 19-20'!$K$33</f>
        <v>Kanigiri</v>
      </c>
      <c r="S193" s="212"/>
      <c r="T193" s="212"/>
      <c r="U193" s="212"/>
    </row>
    <row r="631" spans="16:16">
      <c r="P631" s="60" t="s">
        <v>0</v>
      </c>
    </row>
  </sheetData>
  <autoFilter ref="A3:U184">
    <filterColumn colId="5" showButton="0">
      <customFilters>
        <customFilter operator="notEqual" val=" "/>
      </customFilters>
    </filterColumn>
  </autoFilter>
  <mergeCells count="2">
    <mergeCell ref="A1:U1"/>
    <mergeCell ref="F3:G3"/>
  </mergeCells>
  <printOptions horizontalCentered="1"/>
  <pageMargins left="0.5" right="0.21" top="0.22" bottom="0.23" header="0.22" footer="0.16"/>
  <pageSetup paperSize="9" scale="90" orientation="landscape" r:id="rId1"/>
  <rowBreaks count="1" manualBreakCount="1">
    <brk id="178" max="20" man="1"/>
  </rowBreaks>
</worksheet>
</file>

<file path=xl/worksheets/sheet45.xml><?xml version="1.0" encoding="utf-8"?>
<worksheet xmlns="http://schemas.openxmlformats.org/spreadsheetml/2006/main" xmlns:r="http://schemas.openxmlformats.org/officeDocument/2006/relationships">
  <sheetPr>
    <tabColor rgb="FFFF0000"/>
  </sheetPr>
  <dimension ref="A1:I25"/>
  <sheetViews>
    <sheetView workbookViewId="0"/>
  </sheetViews>
  <sheetFormatPr defaultColWidth="9.140625" defaultRowHeight="12.75"/>
  <cols>
    <col min="1" max="1" width="9.140625" style="281"/>
    <col min="2" max="2" width="12.5703125" style="281" customWidth="1"/>
    <col min="3" max="6" width="9.140625" style="281"/>
    <col min="7" max="7" width="11" style="281" customWidth="1"/>
    <col min="8" max="8" width="11.28515625" style="281" customWidth="1"/>
    <col min="9" max="16384" width="9.140625" style="281"/>
  </cols>
  <sheetData>
    <row r="1" spans="1:9" s="278" customFormat="1" ht="63" customHeight="1">
      <c r="A1" s="278" t="s">
        <v>742</v>
      </c>
      <c r="C1" s="1788" t="str">
        <f>'lead 19-20'!C2:L2</f>
        <v>Providing Additional Space for Health Staff in Grama Sachivalayam of Baduguleru GP of Kanigiri Mandal</v>
      </c>
      <c r="D1" s="1788"/>
      <c r="E1" s="1788"/>
      <c r="F1" s="1788"/>
      <c r="G1" s="1788"/>
      <c r="H1" s="1788"/>
      <c r="I1" s="1788"/>
    </row>
    <row r="2" spans="1:9" s="279" customFormat="1" ht="17.25" customHeight="1">
      <c r="A2" s="279" t="s">
        <v>743</v>
      </c>
      <c r="C2" s="280" t="str">
        <f>'lead 19-20'!K4</f>
        <v>20.80 Lakhs</v>
      </c>
    </row>
    <row r="3" spans="1:9" s="279" customFormat="1" ht="17.25" customHeight="1">
      <c r="A3" s="279" t="s">
        <v>744</v>
      </c>
      <c r="C3" s="279" t="str">
        <f>'C-1'!C3</f>
        <v>(MGNREGS + Health Grant)(NMH &amp; 15th FC)</v>
      </c>
    </row>
    <row r="8" spans="1:9" ht="15.75">
      <c r="A8" s="1791" t="s">
        <v>745</v>
      </c>
      <c r="B8" s="1791"/>
      <c r="C8" s="1791"/>
      <c r="D8" s="1791"/>
      <c r="E8" s="1791"/>
      <c r="F8" s="1791"/>
      <c r="G8" s="1791"/>
      <c r="H8" s="1791"/>
      <c r="I8" s="1791"/>
    </row>
    <row r="9" spans="1:9" ht="15.75">
      <c r="A9" s="282"/>
      <c r="B9" s="282"/>
      <c r="C9" s="282"/>
      <c r="D9" s="282"/>
      <c r="E9" s="282"/>
      <c r="F9" s="282"/>
      <c r="G9" s="282"/>
      <c r="H9" s="282"/>
      <c r="I9" s="282"/>
    </row>
    <row r="10" spans="1:9" ht="30" customHeight="1">
      <c r="A10" s="742">
        <v>1</v>
      </c>
      <c r="B10" s="1789" t="s">
        <v>1494</v>
      </c>
      <c r="C10" s="1789"/>
      <c r="D10" s="1789"/>
      <c r="E10" s="1789"/>
      <c r="F10" s="1789"/>
      <c r="G10" s="1789"/>
      <c r="H10" s="1789"/>
      <c r="I10" s="1789"/>
    </row>
    <row r="11" spans="1:9" ht="30.75" customHeight="1">
      <c r="A11" s="742">
        <v>2</v>
      </c>
      <c r="B11" s="1789" t="s">
        <v>2428</v>
      </c>
      <c r="C11" s="1789"/>
      <c r="D11" s="1789"/>
      <c r="E11" s="1789"/>
      <c r="F11" s="1789"/>
      <c r="G11" s="1789"/>
      <c r="H11" s="1789"/>
      <c r="I11" s="1789"/>
    </row>
    <row r="12" spans="1:9" ht="37.5" customHeight="1">
      <c r="A12" s="742">
        <v>3</v>
      </c>
      <c r="B12" s="1789" t="s">
        <v>2429</v>
      </c>
      <c r="C12" s="1789"/>
      <c r="D12" s="1789"/>
      <c r="E12" s="1789"/>
      <c r="F12" s="1789"/>
      <c r="G12" s="1789"/>
      <c r="H12" s="1789"/>
      <c r="I12" s="1789"/>
    </row>
    <row r="13" spans="1:9" ht="34.5" customHeight="1">
      <c r="A13" s="742">
        <v>4</v>
      </c>
      <c r="B13" s="1789" t="s">
        <v>2430</v>
      </c>
      <c r="C13" s="1789"/>
      <c r="D13" s="1789"/>
      <c r="E13" s="1789"/>
      <c r="F13" s="1789"/>
      <c r="G13" s="1789"/>
      <c r="H13" s="1789"/>
      <c r="I13" s="1789"/>
    </row>
    <row r="14" spans="1:9" ht="27.75" customHeight="1">
      <c r="A14" s="742">
        <v>5</v>
      </c>
      <c r="B14" s="1789" t="s">
        <v>2431</v>
      </c>
      <c r="C14" s="1789"/>
      <c r="D14" s="1789"/>
      <c r="E14" s="1789"/>
      <c r="F14" s="1789"/>
      <c r="G14" s="1789"/>
      <c r="H14" s="1789"/>
      <c r="I14" s="1789"/>
    </row>
    <row r="15" spans="1:9" ht="25.5" hidden="1" customHeight="1">
      <c r="A15" s="742">
        <v>6</v>
      </c>
      <c r="B15" s="1789" t="s">
        <v>2432</v>
      </c>
      <c r="C15" s="1789"/>
      <c r="D15" s="1789"/>
      <c r="E15" s="1789"/>
      <c r="F15" s="1789"/>
      <c r="G15" s="1789"/>
      <c r="H15" s="1789"/>
      <c r="I15" s="1789"/>
    </row>
    <row r="16" spans="1:9" ht="21" hidden="1" customHeight="1">
      <c r="A16" s="742"/>
      <c r="B16" s="743" t="s">
        <v>1456</v>
      </c>
      <c r="C16" s="743"/>
      <c r="D16" s="743"/>
      <c r="E16" s="743"/>
      <c r="F16" s="743"/>
      <c r="G16" s="743" t="s">
        <v>1457</v>
      </c>
      <c r="H16" s="743"/>
      <c r="I16" s="743"/>
    </row>
    <row r="17" spans="1:9" ht="21" hidden="1" customHeight="1">
      <c r="A17" s="742"/>
      <c r="B17" s="1790" t="s">
        <v>2433</v>
      </c>
      <c r="C17" s="1790"/>
      <c r="D17" s="1790"/>
      <c r="E17" s="1790"/>
      <c r="F17" s="1790"/>
      <c r="G17" s="1790"/>
      <c r="H17" s="1790"/>
      <c r="I17" s="1790"/>
    </row>
    <row r="18" spans="1:9" ht="29.25" customHeight="1">
      <c r="A18" s="742">
        <v>6</v>
      </c>
      <c r="B18" s="1789" t="s">
        <v>2434</v>
      </c>
      <c r="C18" s="1789"/>
      <c r="D18" s="1789"/>
      <c r="E18" s="1789"/>
      <c r="F18" s="1789"/>
      <c r="G18" s="1789"/>
      <c r="H18" s="1789"/>
      <c r="I18" s="1789"/>
    </row>
    <row r="23" spans="1:9">
      <c r="B23" s="150"/>
      <c r="C23" s="150"/>
      <c r="D23" s="150"/>
      <c r="E23" s="150"/>
      <c r="F23" s="150" t="str">
        <f>'lead 19-20'!H31</f>
        <v>Deputy Executive Engineer</v>
      </c>
      <c r="G23" s="151"/>
      <c r="H23" s="151" t="str">
        <f>'lead 19-20'!K31</f>
        <v>Assistant  Engineer</v>
      </c>
    </row>
    <row r="24" spans="1:9">
      <c r="B24" s="150"/>
      <c r="C24" s="150"/>
      <c r="D24" s="150"/>
      <c r="E24" s="150"/>
      <c r="F24" s="150" t="str">
        <f>'lead 19-20'!H32</f>
        <v>PRI Sub Division</v>
      </c>
      <c r="G24" s="150"/>
      <c r="H24" s="151" t="str">
        <f>'lead 19-20'!K32</f>
        <v>Mandal Praja parishad</v>
      </c>
    </row>
    <row r="25" spans="1:9">
      <c r="B25" s="150"/>
      <c r="C25" s="150"/>
      <c r="D25" s="150"/>
      <c r="E25" s="150"/>
      <c r="F25" s="150" t="str">
        <f>'lead 19-20'!H33</f>
        <v>Kanigiri</v>
      </c>
      <c r="G25" s="152"/>
      <c r="H25" s="151" t="str">
        <f>'lead 19-20'!K33</f>
        <v>Kanigiri</v>
      </c>
    </row>
  </sheetData>
  <mergeCells count="10">
    <mergeCell ref="C1:I1"/>
    <mergeCell ref="B14:I14"/>
    <mergeCell ref="B15:I15"/>
    <mergeCell ref="B17:I17"/>
    <mergeCell ref="B18:I18"/>
    <mergeCell ref="A8:I8"/>
    <mergeCell ref="B10:I10"/>
    <mergeCell ref="B11:I11"/>
    <mergeCell ref="B12:I12"/>
    <mergeCell ref="B13:I13"/>
  </mergeCells>
  <printOptions horizontalCentered="1"/>
  <pageMargins left="0.23622047244094499" right="0.15748031496063" top="0.35433070866141703" bottom="0.69" header="0.38" footer="0.23622047244094499"/>
  <pageSetup paperSize="9" orientation="portrait" errors="blank" r:id="rId1"/>
  <headerFooter alignWithMargins="0"/>
</worksheet>
</file>

<file path=xl/worksheets/sheet46.xml><?xml version="1.0" encoding="utf-8"?>
<worksheet xmlns="http://schemas.openxmlformats.org/spreadsheetml/2006/main" xmlns:r="http://schemas.openxmlformats.org/officeDocument/2006/relationships">
  <sheetPr>
    <tabColor rgb="FFFF0000"/>
  </sheetPr>
  <dimension ref="A1:I11"/>
  <sheetViews>
    <sheetView zoomScale="85" zoomScaleNormal="85" workbookViewId="0">
      <selection activeCell="A6" sqref="A6:I6"/>
    </sheetView>
  </sheetViews>
  <sheetFormatPr defaultColWidth="9.140625" defaultRowHeight="12.75"/>
  <cols>
    <col min="1" max="1" width="9.140625" style="277"/>
    <col min="2" max="2" width="9.85546875" style="277" customWidth="1"/>
    <col min="3" max="6" width="9.140625" style="277"/>
    <col min="7" max="7" width="11" style="277" customWidth="1"/>
    <col min="8" max="8" width="11.28515625" style="277" customWidth="1"/>
    <col min="9" max="16384" width="9.140625" style="277"/>
  </cols>
  <sheetData>
    <row r="1" spans="1:9" ht="26.25" customHeight="1">
      <c r="A1" s="1792" t="s">
        <v>789</v>
      </c>
      <c r="B1" s="1792"/>
      <c r="C1" s="1792"/>
      <c r="D1" s="1792"/>
      <c r="E1" s="1792"/>
      <c r="F1" s="1792"/>
      <c r="G1" s="1792"/>
      <c r="H1" s="1792"/>
      <c r="I1" s="1792"/>
    </row>
    <row r="2" spans="1:9" s="767" customFormat="1" ht="46.5" customHeight="1">
      <c r="A2" s="1795" t="s">
        <v>2462</v>
      </c>
      <c r="B2" s="1795"/>
      <c r="C2" s="1795"/>
      <c r="D2" s="1796" t="str">
        <f>'CERTI '!C1</f>
        <v>Providing Additional Space for Health Staff in Grama Sachivalayam of Baduguleru GP of Kanigiri Mandal</v>
      </c>
      <c r="E2" s="1796"/>
      <c r="F2" s="1796"/>
      <c r="G2" s="1796"/>
      <c r="H2" s="1796"/>
      <c r="I2" s="1796"/>
    </row>
    <row r="3" spans="1:9" s="767" customFormat="1" ht="28.5" customHeight="1">
      <c r="A3" s="1795" t="s">
        <v>2463</v>
      </c>
      <c r="B3" s="1795"/>
      <c r="C3" s="1795"/>
      <c r="D3" s="1796" t="str">
        <f>'CERTI '!C2</f>
        <v>20.80 Lakhs</v>
      </c>
      <c r="E3" s="1796"/>
      <c r="F3" s="1796"/>
      <c r="G3" s="1796"/>
      <c r="H3" s="1796"/>
      <c r="I3" s="1796"/>
    </row>
    <row r="4" spans="1:9" s="767" customFormat="1" ht="28.5" customHeight="1">
      <c r="A4" s="1795" t="s">
        <v>116</v>
      </c>
      <c r="B4" s="1795"/>
      <c r="C4" s="1795"/>
      <c r="D4" s="1796" t="str">
        <f>'CERTI '!C3</f>
        <v>(MGNREGS + Health Grant)(NMH &amp; 15th FC)</v>
      </c>
      <c r="E4" s="1796"/>
      <c r="F4" s="1796"/>
      <c r="G4" s="1796"/>
      <c r="H4" s="1796"/>
      <c r="I4" s="1796"/>
    </row>
    <row r="5" spans="1:9" ht="26.25" customHeight="1">
      <c r="A5" s="748"/>
      <c r="B5" s="748"/>
      <c r="C5" s="748"/>
      <c r="D5" s="748"/>
      <c r="E5" s="748"/>
      <c r="F5" s="748"/>
      <c r="G5" s="748"/>
      <c r="H5" s="748"/>
      <c r="I5" s="748"/>
    </row>
    <row r="6" spans="1:9" ht="84" customHeight="1">
      <c r="A6" s="1793" t="s">
        <v>3994</v>
      </c>
      <c r="B6" s="1794"/>
      <c r="C6" s="1794"/>
      <c r="D6" s="1794"/>
      <c r="E6" s="1794"/>
      <c r="F6" s="1794"/>
      <c r="G6" s="1794"/>
      <c r="H6" s="1794"/>
      <c r="I6" s="1794"/>
    </row>
    <row r="11" spans="1:9">
      <c r="G11" s="277" t="s">
        <v>1140</v>
      </c>
    </row>
  </sheetData>
  <mergeCells count="8">
    <mergeCell ref="A1:I1"/>
    <mergeCell ref="A6:I6"/>
    <mergeCell ref="A2:C2"/>
    <mergeCell ref="D2:I2"/>
    <mergeCell ref="A3:C3"/>
    <mergeCell ref="D3:I3"/>
    <mergeCell ref="A4:C4"/>
    <mergeCell ref="D4:I4"/>
  </mergeCells>
  <printOptions horizontalCentered="1"/>
  <pageMargins left="0.23622047244094499" right="0.15748031496063" top="0.35433070866141703" bottom="0.69" header="0.38" footer="0.23622047244094499"/>
  <pageSetup paperSize="9" orientation="portrait" errors="blank" r:id="rId1"/>
  <headerFooter alignWithMargins="0"/>
</worksheet>
</file>

<file path=xl/worksheets/sheet47.xml><?xml version="1.0" encoding="utf-8"?>
<worksheet xmlns="http://schemas.openxmlformats.org/spreadsheetml/2006/main" xmlns:r="http://schemas.openxmlformats.org/officeDocument/2006/relationships">
  <dimension ref="A1:Z33"/>
  <sheetViews>
    <sheetView view="pageBreakPreview" topLeftCell="A19" zoomScaleNormal="85" zoomScaleSheetLayoutView="100" workbookViewId="0">
      <selection activeCell="G16" sqref="G16"/>
    </sheetView>
  </sheetViews>
  <sheetFormatPr defaultColWidth="9.140625" defaultRowHeight="15"/>
  <cols>
    <col min="1" max="1" width="4.42578125" style="769" customWidth="1"/>
    <col min="2" max="2" width="10.7109375" style="769" customWidth="1"/>
    <col min="3" max="4" width="9.7109375" style="780" customWidth="1"/>
    <col min="5" max="5" width="27" style="780" customWidth="1"/>
    <col min="6" max="6" width="20.85546875" style="780" customWidth="1"/>
    <col min="7" max="7" width="9.7109375" style="780" customWidth="1"/>
    <col min="8" max="8" width="8.140625" style="780" customWidth="1"/>
    <col min="9" max="9" width="7.85546875" style="780" customWidth="1"/>
    <col min="10" max="10" width="8.42578125" style="780" customWidth="1"/>
    <col min="11" max="11" width="14.28515625" style="780" customWidth="1"/>
    <col min="12" max="12" width="10.5703125" style="780" customWidth="1"/>
    <col min="13" max="13" width="7.42578125" style="780" customWidth="1"/>
    <col min="14" max="14" width="10" style="780" customWidth="1"/>
    <col min="15" max="15" width="11.42578125" style="780" customWidth="1"/>
    <col min="16" max="16" width="7.42578125" style="780" customWidth="1"/>
    <col min="17" max="17" width="6.5703125" style="780" customWidth="1"/>
    <col min="18" max="18" width="10.140625" style="780" customWidth="1"/>
    <col min="19" max="19" width="6.7109375" style="780" customWidth="1"/>
    <col min="20" max="20" width="7.7109375" style="780" customWidth="1"/>
    <col min="21" max="21" width="6.7109375" style="780" customWidth="1"/>
    <col min="22" max="22" width="10.7109375" style="780" customWidth="1"/>
    <col min="23" max="23" width="8.42578125" style="780" customWidth="1"/>
    <col min="24" max="24" width="7.5703125" style="780" customWidth="1"/>
    <col min="25" max="25" width="9.85546875" style="780" customWidth="1"/>
    <col min="26" max="26" width="11.140625" style="780" customWidth="1"/>
    <col min="27" max="16384" width="9.140625" style="769"/>
  </cols>
  <sheetData>
    <row r="1" spans="1:26" ht="17.25">
      <c r="A1" s="1797" t="s">
        <v>2467</v>
      </c>
      <c r="B1" s="1797"/>
      <c r="C1" s="1797"/>
      <c r="D1" s="1797"/>
      <c r="E1" s="1797"/>
      <c r="F1" s="1797"/>
      <c r="G1" s="1797"/>
      <c r="H1" s="1797"/>
      <c r="I1" s="1797"/>
      <c r="J1" s="1797"/>
      <c r="K1" s="1797"/>
      <c r="L1" s="1797"/>
      <c r="M1" s="1797"/>
      <c r="N1" s="1797"/>
      <c r="O1" s="768"/>
      <c r="P1" s="768"/>
      <c r="Q1" s="768"/>
      <c r="R1" s="768"/>
      <c r="S1" s="768"/>
      <c r="T1" s="768"/>
      <c r="U1" s="768"/>
      <c r="V1" s="768"/>
      <c r="W1" s="768"/>
      <c r="X1" s="768"/>
      <c r="Y1" s="768"/>
      <c r="Z1" s="768"/>
    </row>
    <row r="3" spans="1:26" s="770" customFormat="1" ht="16.5" customHeight="1">
      <c r="A3" s="1798" t="s">
        <v>443</v>
      </c>
      <c r="B3" s="1798" t="s">
        <v>988</v>
      </c>
      <c r="C3" s="1799" t="s">
        <v>2468</v>
      </c>
      <c r="D3" s="1799" t="s">
        <v>2469</v>
      </c>
      <c r="E3" s="1799" t="s">
        <v>2470</v>
      </c>
      <c r="F3" s="1799" t="s">
        <v>990</v>
      </c>
      <c r="G3" s="1799" t="s">
        <v>2471</v>
      </c>
      <c r="H3" s="1799" t="s">
        <v>2472</v>
      </c>
      <c r="I3" s="1799" t="s">
        <v>2473</v>
      </c>
      <c r="J3" s="1799" t="s">
        <v>2474</v>
      </c>
      <c r="K3" s="1799"/>
      <c r="L3" s="1799"/>
      <c r="M3" s="1799"/>
      <c r="N3" s="1799"/>
    </row>
    <row r="4" spans="1:26" s="770" customFormat="1" ht="34.5" customHeight="1">
      <c r="A4" s="1798"/>
      <c r="B4" s="1798"/>
      <c r="C4" s="1799"/>
      <c r="D4" s="1799"/>
      <c r="E4" s="1799"/>
      <c r="F4" s="1799"/>
      <c r="G4" s="1799"/>
      <c r="H4" s="1799"/>
      <c r="I4" s="1799"/>
      <c r="J4" s="771" t="s">
        <v>2478</v>
      </c>
      <c r="K4" s="771" t="s">
        <v>2479</v>
      </c>
      <c r="L4" s="771" t="s">
        <v>1013</v>
      </c>
      <c r="M4" s="771" t="s">
        <v>2480</v>
      </c>
      <c r="N4" s="771" t="s">
        <v>2481</v>
      </c>
    </row>
    <row r="5" spans="1:26" s="770" customFormat="1" ht="18.75" customHeight="1">
      <c r="A5" s="772">
        <v>1</v>
      </c>
      <c r="B5" s="772">
        <v>2</v>
      </c>
      <c r="C5" s="772">
        <v>3</v>
      </c>
      <c r="D5" s="772">
        <v>4</v>
      </c>
      <c r="E5" s="772">
        <v>5</v>
      </c>
      <c r="F5" s="772">
        <v>6</v>
      </c>
      <c r="G5" s="772">
        <v>7</v>
      </c>
      <c r="H5" s="772">
        <v>8</v>
      </c>
      <c r="I5" s="772">
        <v>9</v>
      </c>
      <c r="J5" s="772">
        <v>10</v>
      </c>
      <c r="K5" s="772">
        <v>11</v>
      </c>
      <c r="L5" s="772">
        <v>12</v>
      </c>
      <c r="M5" s="772">
        <v>13</v>
      </c>
      <c r="N5" s="772">
        <v>14</v>
      </c>
    </row>
    <row r="6" spans="1:26" s="779" customFormat="1" ht="60">
      <c r="A6" s="773">
        <v>1</v>
      </c>
      <c r="B6" s="1248" t="s">
        <v>1523</v>
      </c>
      <c r="C6" s="1379" t="s">
        <v>3868</v>
      </c>
      <c r="D6" s="1379" t="s">
        <v>3868</v>
      </c>
      <c r="E6" s="1380" t="s">
        <v>3869</v>
      </c>
      <c r="F6" s="1381" t="s">
        <v>3870</v>
      </c>
      <c r="G6" s="774">
        <v>20.8</v>
      </c>
      <c r="H6" s="774"/>
      <c r="I6" s="774"/>
      <c r="J6" s="1575" t="s">
        <v>3626</v>
      </c>
      <c r="K6" s="1576">
        <v>8949230093</v>
      </c>
      <c r="L6" s="1577" t="s">
        <v>3641</v>
      </c>
      <c r="M6" s="1577">
        <v>260</v>
      </c>
      <c r="N6" s="1577">
        <f>M6*235</f>
        <v>61100</v>
      </c>
    </row>
    <row r="7" spans="1:26" s="779" customFormat="1" ht="22.5">
      <c r="A7" s="773"/>
      <c r="B7" s="773"/>
      <c r="C7" s="774"/>
      <c r="D7" s="774"/>
      <c r="E7" s="801"/>
      <c r="F7" s="800"/>
      <c r="G7" s="774"/>
      <c r="H7" s="774"/>
      <c r="I7" s="774"/>
      <c r="J7" s="1575" t="s">
        <v>1140</v>
      </c>
      <c r="K7" s="1576"/>
      <c r="L7" s="1577"/>
      <c r="M7" s="1577">
        <v>180</v>
      </c>
      <c r="N7" s="1577">
        <f>M7*260</f>
        <v>46800</v>
      </c>
    </row>
    <row r="8" spans="1:26" s="779" customFormat="1" ht="22.5">
      <c r="A8" s="773"/>
      <c r="B8" s="773"/>
      <c r="C8" s="774"/>
      <c r="D8" s="774"/>
      <c r="E8" s="801"/>
      <c r="F8" s="800"/>
      <c r="G8" s="774"/>
      <c r="H8" s="774"/>
      <c r="I8" s="774"/>
      <c r="J8" s="1575" t="s">
        <v>1140</v>
      </c>
      <c r="K8" s="1576"/>
      <c r="L8" s="1577"/>
      <c r="M8" s="1577">
        <v>76</v>
      </c>
      <c r="N8" s="1577">
        <f>M8*235</f>
        <v>17860</v>
      </c>
    </row>
    <row r="9" spans="1:26" s="779" customFormat="1">
      <c r="A9" s="773"/>
      <c r="B9" s="773"/>
      <c r="C9" s="774"/>
      <c r="D9" s="774"/>
      <c r="E9" s="775"/>
      <c r="F9" s="784"/>
      <c r="G9" s="774"/>
      <c r="H9" s="774"/>
      <c r="I9" s="774"/>
      <c r="J9" s="777"/>
      <c r="K9" s="786"/>
      <c r="L9" s="785"/>
      <c r="M9" s="774"/>
      <c r="N9" s="774"/>
    </row>
    <row r="10" spans="1:26" s="779" customFormat="1">
      <c r="A10" s="773"/>
      <c r="B10" s="773"/>
      <c r="C10" s="774"/>
      <c r="D10" s="774"/>
      <c r="E10" s="775"/>
      <c r="F10" s="776"/>
      <c r="G10" s="774"/>
      <c r="H10" s="774"/>
      <c r="I10" s="774"/>
      <c r="J10" s="774"/>
      <c r="K10" s="774"/>
      <c r="L10" s="774"/>
      <c r="M10" s="774">
        <f>SUM(M6:M9)</f>
        <v>516</v>
      </c>
      <c r="N10" s="774">
        <f>SUM(N6:N9)</f>
        <v>125760</v>
      </c>
    </row>
    <row r="13" spans="1:26" ht="23.25" customHeight="1">
      <c r="B13" s="1799" t="s">
        <v>2475</v>
      </c>
      <c r="C13" s="1799"/>
      <c r="D13" s="1799"/>
      <c r="E13" s="1799"/>
      <c r="F13" s="1799" t="s">
        <v>2476</v>
      </c>
      <c r="G13" s="1799"/>
      <c r="H13" s="1799"/>
      <c r="I13" s="1799"/>
      <c r="J13" s="1799" t="s">
        <v>2477</v>
      </c>
      <c r="K13" s="1799"/>
      <c r="L13" s="1799"/>
      <c r="M13" s="1799" t="s">
        <v>455</v>
      </c>
    </row>
    <row r="14" spans="1:26" ht="38.25" customHeight="1">
      <c r="B14" s="771" t="s">
        <v>2482</v>
      </c>
      <c r="C14" s="771" t="s">
        <v>6</v>
      </c>
      <c r="D14" s="771" t="s">
        <v>8</v>
      </c>
      <c r="E14" s="771" t="s">
        <v>10</v>
      </c>
      <c r="F14" s="771" t="s">
        <v>2482</v>
      </c>
      <c r="G14" s="771" t="s">
        <v>6</v>
      </c>
      <c r="H14" s="771" t="s">
        <v>8</v>
      </c>
      <c r="I14" s="771" t="s">
        <v>10</v>
      </c>
      <c r="J14" s="771" t="s">
        <v>6</v>
      </c>
      <c r="K14" s="771" t="s">
        <v>8</v>
      </c>
      <c r="L14" s="771" t="s">
        <v>10</v>
      </c>
      <c r="M14" s="1799"/>
    </row>
    <row r="15" spans="1:26" ht="21.75" customHeight="1">
      <c r="B15" s="772">
        <v>15</v>
      </c>
      <c r="C15" s="772">
        <v>16</v>
      </c>
      <c r="D15" s="772">
        <v>17</v>
      </c>
      <c r="E15" s="772">
        <v>18</v>
      </c>
      <c r="F15" s="772">
        <v>19</v>
      </c>
      <c r="G15" s="772">
        <v>20</v>
      </c>
      <c r="H15" s="772">
        <v>21</v>
      </c>
      <c r="I15" s="772">
        <v>22</v>
      </c>
      <c r="J15" s="772">
        <v>23</v>
      </c>
      <c r="K15" s="772">
        <v>24</v>
      </c>
      <c r="L15" s="772">
        <v>25</v>
      </c>
      <c r="M15" s="772">
        <v>26</v>
      </c>
    </row>
    <row r="16" spans="1:26" ht="28.5" customHeight="1">
      <c r="B16" s="774"/>
      <c r="C16" s="774">
        <f>M6</f>
        <v>260</v>
      </c>
      <c r="D16" s="774">
        <v>235</v>
      </c>
      <c r="E16" s="774">
        <f>ROUND(C16*D16,0)</f>
        <v>61100</v>
      </c>
      <c r="F16" s="774"/>
      <c r="G16" s="774">
        <f>'CC f -2'!B18</f>
        <v>336.14</v>
      </c>
      <c r="H16" s="774">
        <v>235</v>
      </c>
      <c r="I16" s="778">
        <f>ROUND(G16*H16,0)</f>
        <v>78993</v>
      </c>
      <c r="J16" s="774">
        <f>G19-C19</f>
        <v>0.13999999999998636</v>
      </c>
      <c r="K16" s="774">
        <v>235</v>
      </c>
      <c r="L16" s="774">
        <f>ROUND(J16*K16,0)</f>
        <v>33</v>
      </c>
      <c r="M16" s="774"/>
    </row>
    <row r="17" spans="1:14" ht="28.5" customHeight="1">
      <c r="B17" s="774"/>
      <c r="C17" s="774">
        <f>M7</f>
        <v>180</v>
      </c>
      <c r="D17" s="774">
        <v>260</v>
      </c>
      <c r="E17" s="774">
        <f>ROUND(C17*D17,0)</f>
        <v>46800</v>
      </c>
      <c r="F17" s="774"/>
      <c r="G17" s="774">
        <f>'CC f -2'!B19</f>
        <v>180</v>
      </c>
      <c r="H17" s="774">
        <v>260</v>
      </c>
      <c r="I17" s="778">
        <f>ROUND(G17*H17,0)</f>
        <v>46800</v>
      </c>
      <c r="J17" s="774"/>
      <c r="K17" s="774"/>
      <c r="L17" s="774"/>
      <c r="M17" s="774"/>
    </row>
    <row r="18" spans="1:14" ht="28.5" customHeight="1">
      <c r="B18" s="774"/>
      <c r="C18" s="774">
        <f>M8</f>
        <v>76</v>
      </c>
      <c r="D18" s="774">
        <v>235</v>
      </c>
      <c r="E18" s="774">
        <f>ROUND(C18*D18,0)</f>
        <v>17860</v>
      </c>
      <c r="F18" s="774"/>
      <c r="G18" s="774"/>
      <c r="H18" s="774"/>
      <c r="I18" s="778"/>
      <c r="J18" s="774"/>
      <c r="K18" s="774"/>
      <c r="L18" s="774"/>
      <c r="M18" s="774"/>
    </row>
    <row r="19" spans="1:14" ht="28.5" customHeight="1">
      <c r="B19" s="774"/>
      <c r="C19" s="781">
        <f>SUM(C16:C18)</f>
        <v>516</v>
      </c>
      <c r="D19" s="781"/>
      <c r="E19" s="781">
        <f>SUM(E16:E18)</f>
        <v>125760</v>
      </c>
      <c r="F19" s="774"/>
      <c r="G19" s="781">
        <f>SUM(G16:G18)</f>
        <v>516.14</v>
      </c>
      <c r="H19" s="774"/>
      <c r="I19" s="802">
        <f>SUM(I16:I18)</f>
        <v>125793</v>
      </c>
      <c r="J19" s="774"/>
      <c r="K19" s="774"/>
      <c r="L19" s="774"/>
      <c r="M19" s="774"/>
    </row>
    <row r="20" spans="1:14" s="780" customFormat="1">
      <c r="A20" s="769"/>
      <c r="B20" s="774"/>
      <c r="C20" s="774"/>
      <c r="D20" s="774"/>
      <c r="E20" s="774"/>
      <c r="F20" s="774"/>
      <c r="G20" s="774"/>
      <c r="H20" s="774"/>
      <c r="I20" s="774"/>
      <c r="J20" s="774"/>
      <c r="K20" s="774"/>
      <c r="L20" s="774"/>
      <c r="M20" s="774"/>
    </row>
    <row r="22" spans="1:14" ht="17.25">
      <c r="A22" s="1797" t="s">
        <v>2534</v>
      </c>
      <c r="B22" s="1797"/>
      <c r="C22" s="1797"/>
      <c r="D22" s="1797"/>
      <c r="E22" s="1797"/>
      <c r="F22" s="1797"/>
      <c r="G22" s="1797"/>
      <c r="H22" s="1797"/>
      <c r="I22" s="1797"/>
      <c r="J22" s="1797"/>
      <c r="K22" s="1797"/>
      <c r="L22" s="1797"/>
      <c r="M22" s="1797"/>
      <c r="N22" s="1797"/>
    </row>
    <row r="24" spans="1:14" s="780" customFormat="1">
      <c r="A24" s="1798" t="s">
        <v>443</v>
      </c>
      <c r="B24" s="1798" t="s">
        <v>988</v>
      </c>
      <c r="C24" s="1799" t="s">
        <v>2468</v>
      </c>
      <c r="D24" s="1799" t="s">
        <v>2469</v>
      </c>
      <c r="E24" s="1799" t="s">
        <v>2470</v>
      </c>
      <c r="F24" s="1799" t="s">
        <v>990</v>
      </c>
      <c r="G24" s="1799" t="s">
        <v>2535</v>
      </c>
      <c r="H24" s="1799" t="s">
        <v>8</v>
      </c>
      <c r="I24" s="1799" t="s">
        <v>10</v>
      </c>
      <c r="J24" s="1799" t="s">
        <v>455</v>
      </c>
    </row>
    <row r="25" spans="1:14" s="780" customFormat="1">
      <c r="A25" s="1798"/>
      <c r="B25" s="1798"/>
      <c r="C25" s="1799"/>
      <c r="D25" s="1799"/>
      <c r="E25" s="1799"/>
      <c r="F25" s="1799"/>
      <c r="G25" s="1799"/>
      <c r="H25" s="1799"/>
      <c r="I25" s="1799"/>
      <c r="J25" s="1799"/>
    </row>
    <row r="26" spans="1:14" s="780" customFormat="1">
      <c r="A26" s="772">
        <v>1</v>
      </c>
      <c r="B26" s="772">
        <v>2</v>
      </c>
      <c r="C26" s="772">
        <v>3</v>
      </c>
      <c r="D26" s="772">
        <v>4</v>
      </c>
      <c r="E26" s="772">
        <v>5</v>
      </c>
      <c r="F26" s="772">
        <v>6</v>
      </c>
      <c r="G26" s="772">
        <v>7</v>
      </c>
      <c r="H26" s="772">
        <v>8</v>
      </c>
      <c r="I26" s="772">
        <v>9</v>
      </c>
      <c r="J26" s="772">
        <v>10</v>
      </c>
    </row>
    <row r="27" spans="1:14" s="780" customFormat="1" ht="60">
      <c r="A27" s="773">
        <v>1</v>
      </c>
      <c r="B27" s="773" t="str">
        <f>B6</f>
        <v>Kanigiri</v>
      </c>
      <c r="C27" s="773" t="str">
        <f>C6</f>
        <v>Vangapadu</v>
      </c>
      <c r="D27" s="773" t="str">
        <f>D6</f>
        <v>Vangapadu</v>
      </c>
      <c r="E27" s="773" t="str">
        <f>E6</f>
        <v>Providing Additional Space for Health Staff in Vangapadu GP of Kanigiri Mandal</v>
      </c>
      <c r="F27" s="782" t="str">
        <f>F6</f>
        <v>087043126033090025</v>
      </c>
      <c r="G27" s="776" t="s">
        <v>1000</v>
      </c>
      <c r="H27" s="776" t="s">
        <v>1000</v>
      </c>
      <c r="I27" s="776" t="s">
        <v>1000</v>
      </c>
      <c r="J27" s="776"/>
    </row>
    <row r="28" spans="1:14" s="780" customFormat="1">
      <c r="A28" s="773"/>
      <c r="B28" s="773"/>
      <c r="C28" s="774"/>
      <c r="D28" s="774"/>
      <c r="E28" s="775"/>
      <c r="F28" s="776"/>
      <c r="G28" s="776"/>
      <c r="H28" s="776"/>
      <c r="I28" s="776"/>
      <c r="J28" s="776"/>
    </row>
    <row r="31" spans="1:14" s="780" customFormat="1">
      <c r="A31" s="769"/>
      <c r="B31" s="769"/>
      <c r="G31" s="783" t="s">
        <v>2536</v>
      </c>
      <c r="K31" s="1249" t="s">
        <v>3811</v>
      </c>
    </row>
    <row r="32" spans="1:14" s="780" customFormat="1">
      <c r="A32" s="769"/>
      <c r="B32" s="769"/>
      <c r="G32" s="783" t="s">
        <v>858</v>
      </c>
      <c r="K32" s="783" t="s">
        <v>2483</v>
      </c>
    </row>
    <row r="33" spans="1:11" s="780" customFormat="1">
      <c r="A33" s="769"/>
      <c r="B33" s="769"/>
      <c r="G33" s="783" t="s">
        <v>1523</v>
      </c>
      <c r="K33" s="1249" t="s">
        <v>1523</v>
      </c>
    </row>
  </sheetData>
  <mergeCells count="26">
    <mergeCell ref="G24:G25"/>
    <mergeCell ref="H24:H25"/>
    <mergeCell ref="I24:I25"/>
    <mergeCell ref="J24:J25"/>
    <mergeCell ref="A24:A25"/>
    <mergeCell ref="B24:B25"/>
    <mergeCell ref="C24:C25"/>
    <mergeCell ref="D24:D25"/>
    <mergeCell ref="E24:E25"/>
    <mergeCell ref="F24:F25"/>
    <mergeCell ref="A22:N22"/>
    <mergeCell ref="A1:N1"/>
    <mergeCell ref="A3:A4"/>
    <mergeCell ref="B3:B4"/>
    <mergeCell ref="C3:C4"/>
    <mergeCell ref="D3:D4"/>
    <mergeCell ref="E3:E4"/>
    <mergeCell ref="F3:F4"/>
    <mergeCell ref="G3:G4"/>
    <mergeCell ref="H3:H4"/>
    <mergeCell ref="I3:I4"/>
    <mergeCell ref="J3:N3"/>
    <mergeCell ref="B13:E13"/>
    <mergeCell ref="F13:I13"/>
    <mergeCell ref="J13:L13"/>
    <mergeCell ref="M13:M14"/>
  </mergeCells>
  <printOptions horizontalCentered="1"/>
  <pageMargins left="0.28000000000000003" right="0.27" top="0.39" bottom="0.75" header="0.3" footer="0.3"/>
  <pageSetup scale="73" orientation="landscape" r:id="rId1"/>
</worksheet>
</file>

<file path=xl/worksheets/sheet48.xml><?xml version="1.0" encoding="utf-8"?>
<worksheet xmlns="http://schemas.openxmlformats.org/spreadsheetml/2006/main" xmlns:r="http://schemas.openxmlformats.org/officeDocument/2006/relationships">
  <sheetPr filterMode="1">
    <tabColor rgb="FF00B050"/>
  </sheetPr>
  <dimension ref="A1:S144"/>
  <sheetViews>
    <sheetView showZeros="0" zoomScaleSheetLayoutView="100" workbookViewId="0">
      <selection activeCell="J9" sqref="J9"/>
    </sheetView>
  </sheetViews>
  <sheetFormatPr defaultColWidth="9.140625" defaultRowHeight="12.75"/>
  <cols>
    <col min="1" max="1" width="9.7109375" style="153" customWidth="1"/>
    <col min="2" max="2" width="14.28515625" style="153" customWidth="1"/>
    <col min="3" max="3" width="24.140625" style="153" customWidth="1"/>
    <col min="4" max="4" width="10" style="181" customWidth="1"/>
    <col min="5" max="5" width="4.5703125" style="182" customWidth="1"/>
    <col min="6" max="6" width="4.5703125" style="153" customWidth="1"/>
    <col min="7" max="7" width="14.42578125" style="153" customWidth="1"/>
    <col min="8" max="8" width="9.42578125" style="153" customWidth="1"/>
    <col min="9" max="9" width="5.7109375" style="153" customWidth="1"/>
    <col min="10" max="11" width="11" style="182" customWidth="1"/>
    <col min="12" max="12" width="11.42578125" style="153" customWidth="1"/>
    <col min="13" max="13" width="11.28515625" style="153" customWidth="1"/>
    <col min="14" max="14" width="10.85546875" style="153" customWidth="1"/>
    <col min="15" max="16384" width="9.140625" style="153"/>
  </cols>
  <sheetData>
    <row r="1" spans="1:19" ht="19.5" customHeight="1">
      <c r="A1" s="1803" t="s">
        <v>746</v>
      </c>
      <c r="B1" s="1804"/>
      <c r="C1" s="1804"/>
      <c r="D1" s="1804"/>
      <c r="E1" s="1804"/>
      <c r="F1" s="1804"/>
      <c r="G1" s="1804"/>
      <c r="H1" s="1804"/>
      <c r="I1" s="1804"/>
      <c r="J1" s="1804"/>
      <c r="K1" s="1805"/>
      <c r="L1" s="1805"/>
    </row>
    <row r="2" spans="1:19" s="154" customFormat="1" ht="40.5" customHeight="1">
      <c r="A2" s="1806" t="str">
        <f>'R-1'!A2:J2</f>
        <v>Name of the Work: Providing Additional Space for Health Staff in Grama Sachivalayam of Baduguleru GP of Kanigiri Mandal</v>
      </c>
      <c r="B2" s="1807"/>
      <c r="C2" s="1807"/>
      <c r="D2" s="1807"/>
      <c r="E2" s="1807"/>
      <c r="F2" s="1807"/>
      <c r="G2" s="1807"/>
      <c r="H2" s="1807"/>
      <c r="I2" s="1807"/>
      <c r="J2" s="1807"/>
      <c r="K2" s="1807"/>
      <c r="L2" s="1807"/>
    </row>
    <row r="3" spans="1:19" s="154" customFormat="1" ht="14.25" customHeight="1">
      <c r="A3" s="155" t="s">
        <v>747</v>
      </c>
      <c r="B3" s="156" t="str">
        <f>'CC f -2'!E2</f>
        <v>No: 087043102002090039</v>
      </c>
      <c r="C3" s="157"/>
      <c r="D3" s="157"/>
      <c r="E3" s="205"/>
      <c r="F3" s="157"/>
      <c r="G3" s="157"/>
      <c r="H3" s="157"/>
      <c r="I3" s="157"/>
      <c r="J3" s="157"/>
      <c r="K3" s="157"/>
      <c r="L3" s="157"/>
    </row>
    <row r="4" spans="1:19" s="154" customFormat="1" ht="14.25" customHeight="1">
      <c r="A4" s="155" t="s">
        <v>748</v>
      </c>
      <c r="B4" s="158" t="s">
        <v>1523</v>
      </c>
      <c r="C4" s="157"/>
      <c r="D4" s="157"/>
      <c r="E4" s="205"/>
      <c r="F4" s="157"/>
      <c r="G4" s="157"/>
      <c r="H4" s="157"/>
      <c r="I4" s="157"/>
      <c r="J4" s="157"/>
      <c r="K4" s="157"/>
      <c r="L4" s="157"/>
    </row>
    <row r="5" spans="1:19" s="154" customFormat="1" ht="15" customHeight="1">
      <c r="A5" s="159" t="s">
        <v>116</v>
      </c>
      <c r="B5" s="156" t="str">
        <f>'C-1'!C3</f>
        <v>(MGNREGS + Health Grant)(NMH &amp; 15th FC)</v>
      </c>
      <c r="C5" s="156"/>
      <c r="D5" s="160"/>
      <c r="E5" s="205"/>
      <c r="F5" s="156"/>
      <c r="G5" s="156"/>
      <c r="H5" s="156"/>
      <c r="I5" s="156"/>
      <c r="J5" s="161" t="s">
        <v>749</v>
      </c>
      <c r="K5" s="162" t="str">
        <f>'lead 19-20'!K4</f>
        <v>20.80 Lakhs</v>
      </c>
      <c r="L5" s="163"/>
    </row>
    <row r="6" spans="1:19" s="154" customFormat="1" ht="15">
      <c r="A6" s="159"/>
      <c r="B6" s="156"/>
      <c r="C6" s="156"/>
      <c r="D6" s="160"/>
      <c r="E6" s="205"/>
      <c r="F6" s="156"/>
      <c r="G6" s="156"/>
      <c r="H6" s="156"/>
      <c r="I6" s="156"/>
      <c r="J6" s="164" t="s">
        <v>2074</v>
      </c>
      <c r="K6" s="165"/>
      <c r="L6" s="165"/>
    </row>
    <row r="7" spans="1:19" s="154" customFormat="1" ht="19.5" customHeight="1">
      <c r="A7" s="1808" t="s">
        <v>271</v>
      </c>
      <c r="B7" s="1808" t="s">
        <v>750</v>
      </c>
      <c r="C7" s="1808" t="s">
        <v>751</v>
      </c>
      <c r="D7" s="1808" t="s">
        <v>752</v>
      </c>
      <c r="E7" s="1800" t="s">
        <v>753</v>
      </c>
      <c r="F7" s="1801"/>
      <c r="G7" s="1801"/>
      <c r="H7" s="1801"/>
      <c r="I7" s="1801"/>
      <c r="J7" s="1801"/>
      <c r="K7" s="1802"/>
      <c r="L7" s="1808" t="s">
        <v>754</v>
      </c>
      <c r="M7" s="166">
        <f>[5]WORK!B39</f>
        <v>0</v>
      </c>
    </row>
    <row r="8" spans="1:19" s="154" customFormat="1" ht="26.25" customHeight="1">
      <c r="A8" s="1808"/>
      <c r="B8" s="1808"/>
      <c r="C8" s="1808"/>
      <c r="D8" s="1808"/>
      <c r="E8" s="1800" t="s">
        <v>755</v>
      </c>
      <c r="F8" s="1801"/>
      <c r="G8" s="1802"/>
      <c r="H8" s="1800" t="s">
        <v>6</v>
      </c>
      <c r="I8" s="1802"/>
      <c r="J8" s="247" t="s">
        <v>457</v>
      </c>
      <c r="K8" s="247" t="s">
        <v>10</v>
      </c>
      <c r="L8" s="1808"/>
    </row>
    <row r="9" spans="1:19" s="154" customFormat="1" ht="16.5" customHeight="1">
      <c r="A9" s="247" t="s">
        <v>460</v>
      </c>
      <c r="B9" s="247" t="s">
        <v>461</v>
      </c>
      <c r="C9" s="247" t="s">
        <v>462</v>
      </c>
      <c r="D9" s="247" t="s">
        <v>463</v>
      </c>
      <c r="E9" s="1800" t="s">
        <v>464</v>
      </c>
      <c r="F9" s="1801"/>
      <c r="G9" s="1802"/>
      <c r="H9" s="1800" t="s">
        <v>465</v>
      </c>
      <c r="I9" s="1802"/>
      <c r="J9" s="247" t="s">
        <v>466</v>
      </c>
      <c r="K9" s="247" t="s">
        <v>467</v>
      </c>
      <c r="L9" s="247" t="s">
        <v>468</v>
      </c>
    </row>
    <row r="10" spans="1:19" s="174" customFormat="1" ht="22.5" customHeight="1">
      <c r="A10" s="167" t="s">
        <v>460</v>
      </c>
      <c r="B10" s="168"/>
      <c r="C10" s="170" t="s">
        <v>756</v>
      </c>
      <c r="D10" s="169">
        <f>'CC f -2'!D18</f>
        <v>0.13999999999998636</v>
      </c>
      <c r="E10" s="169" t="str">
        <f>A10</f>
        <v>1</v>
      </c>
      <c r="F10" s="203" t="s">
        <v>1141</v>
      </c>
      <c r="G10" s="171"/>
      <c r="H10" s="169">
        <f>CEILING(M10,5)</f>
        <v>5</v>
      </c>
      <c r="I10" s="171" t="s">
        <v>142</v>
      </c>
      <c r="J10" s="172">
        <f>'CC f -2'!F18</f>
        <v>235</v>
      </c>
      <c r="K10" s="172">
        <f t="shared" ref="K10:K28" si="0">ROUND(H10*J10,20)</f>
        <v>1175</v>
      </c>
      <c r="L10" s="172">
        <f>'CC f -2'!I18</f>
        <v>33</v>
      </c>
      <c r="M10" s="173">
        <f>D10</f>
        <v>0.13999999999998636</v>
      </c>
      <c r="N10" s="173">
        <f>ROUND(D10,0)</f>
        <v>0</v>
      </c>
      <c r="O10" s="173"/>
      <c r="P10" s="173"/>
      <c r="R10" s="174" t="s">
        <v>464</v>
      </c>
    </row>
    <row r="11" spans="1:19" s="174" customFormat="1" ht="22.5" hidden="1" customHeight="1">
      <c r="A11" s="167" t="s">
        <v>460</v>
      </c>
      <c r="B11" s="168"/>
      <c r="C11" s="170" t="s">
        <v>756</v>
      </c>
      <c r="D11" s="169">
        <f>'CC f -2'!D19</f>
        <v>0</v>
      </c>
      <c r="E11" s="169" t="str">
        <f>A11</f>
        <v>1</v>
      </c>
      <c r="F11" s="203" t="s">
        <v>1141</v>
      </c>
      <c r="G11" s="171"/>
      <c r="H11" s="169">
        <f>CEILING(M11,5)</f>
        <v>0</v>
      </c>
      <c r="I11" s="171" t="s">
        <v>142</v>
      </c>
      <c r="J11" s="172">
        <f>'CC f -2'!F19</f>
        <v>260</v>
      </c>
      <c r="K11" s="172">
        <f t="shared" ref="K11" si="1">ROUND(H11*J11,20)</f>
        <v>0</v>
      </c>
      <c r="L11" s="172">
        <f>'CC f -2'!I19</f>
        <v>0</v>
      </c>
      <c r="M11" s="173">
        <f>D11</f>
        <v>0</v>
      </c>
      <c r="N11" s="173">
        <f>ROUND(D11,0)</f>
        <v>0</v>
      </c>
      <c r="O11" s="173"/>
      <c r="P11" s="173"/>
    </row>
    <row r="12" spans="1:19" s="174" customFormat="1" ht="22.5" hidden="1" customHeight="1">
      <c r="A12" s="167" t="s">
        <v>461</v>
      </c>
      <c r="B12" s="168"/>
      <c r="C12" s="170" t="s">
        <v>757</v>
      </c>
      <c r="D12" s="169"/>
      <c r="E12" s="169" t="str">
        <f t="shared" ref="E12:E28" si="2">A12</f>
        <v>2</v>
      </c>
      <c r="F12" s="203" t="s">
        <v>1141</v>
      </c>
      <c r="G12" s="171"/>
      <c r="H12" s="169">
        <f t="shared" ref="H12:H21" si="3">CEILING(M12,0.5)</f>
        <v>0</v>
      </c>
      <c r="I12" s="171" t="s">
        <v>758</v>
      </c>
      <c r="J12" s="172">
        <f t="shared" ref="J12:J22" si="4">CEILING(N12,100)</f>
        <v>900</v>
      </c>
      <c r="K12" s="172">
        <f>ROUND(H12*J12,20)</f>
        <v>0</v>
      </c>
      <c r="L12" s="172">
        <f>'CC f -2'!I22</f>
        <v>0</v>
      </c>
      <c r="M12" s="173">
        <f t="shared" ref="M12:M21" si="5">D12/2.83</f>
        <v>0</v>
      </c>
      <c r="N12" s="173">
        <f>'CC f -2'!F22*2.83</f>
        <v>827.49199999999996</v>
      </c>
      <c r="O12" s="173"/>
      <c r="P12" s="173"/>
      <c r="R12" s="174" t="s">
        <v>465</v>
      </c>
    </row>
    <row r="13" spans="1:19" s="174" customFormat="1" ht="22.5" hidden="1" customHeight="1">
      <c r="A13" s="167" t="s">
        <v>461</v>
      </c>
      <c r="B13" s="168"/>
      <c r="C13" s="170" t="s">
        <v>757</v>
      </c>
      <c r="D13" s="169">
        <f>'CC f -2'!D23</f>
        <v>0</v>
      </c>
      <c r="E13" s="169" t="str">
        <f t="shared" ref="E13:E22" si="6">A13</f>
        <v>2</v>
      </c>
      <c r="F13" s="203" t="s">
        <v>1141</v>
      </c>
      <c r="G13" s="171"/>
      <c r="H13" s="169">
        <f t="shared" si="3"/>
        <v>0</v>
      </c>
      <c r="I13" s="171" t="s">
        <v>758</v>
      </c>
      <c r="J13" s="172">
        <f t="shared" ref="J13" si="7">CEILING(N13,100)</f>
        <v>1600</v>
      </c>
      <c r="K13" s="172">
        <f>ROUND(H13*J13,20)</f>
        <v>0</v>
      </c>
      <c r="L13" s="172">
        <f>'CC f -2'!I23</f>
        <v>0</v>
      </c>
      <c r="M13" s="173">
        <f t="shared" si="5"/>
        <v>0</v>
      </c>
      <c r="N13" s="173">
        <f>'CC f -2'!F23*2.83</f>
        <v>1518.0119999999999</v>
      </c>
      <c r="O13" s="173"/>
      <c r="P13" s="173"/>
    </row>
    <row r="14" spans="1:19" s="174" customFormat="1" ht="22.5" hidden="1" customHeight="1">
      <c r="A14" s="167" t="s">
        <v>461</v>
      </c>
      <c r="B14" s="168"/>
      <c r="C14" s="170" t="s">
        <v>759</v>
      </c>
      <c r="D14" s="169">
        <f>'CC f -2'!D24</f>
        <v>0</v>
      </c>
      <c r="E14" s="169" t="str">
        <f t="shared" si="6"/>
        <v>2</v>
      </c>
      <c r="F14" s="203" t="s">
        <v>1141</v>
      </c>
      <c r="G14" s="171"/>
      <c r="H14" s="169">
        <f t="shared" si="3"/>
        <v>0</v>
      </c>
      <c r="I14" s="171" t="s">
        <v>758</v>
      </c>
      <c r="J14" s="172">
        <f t="shared" si="4"/>
        <v>6000</v>
      </c>
      <c r="K14" s="172">
        <f t="shared" si="0"/>
        <v>0</v>
      </c>
      <c r="L14" s="172">
        <f>'CC f -2'!I24</f>
        <v>0</v>
      </c>
      <c r="M14" s="173">
        <f t="shared" si="5"/>
        <v>0</v>
      </c>
      <c r="N14" s="173">
        <f>'CC f -2'!F25*2.83</f>
        <v>5937.34</v>
      </c>
      <c r="O14" s="173"/>
      <c r="P14" s="173"/>
      <c r="R14" s="174" t="s">
        <v>465</v>
      </c>
    </row>
    <row r="15" spans="1:19" s="174" customFormat="1" ht="22.5" customHeight="1">
      <c r="A15" s="167" t="s">
        <v>461</v>
      </c>
      <c r="B15" s="168"/>
      <c r="C15" s="170" t="s">
        <v>759</v>
      </c>
      <c r="D15" s="169">
        <f>'CC f -2'!D25</f>
        <v>0.15000000000000036</v>
      </c>
      <c r="E15" s="169" t="str">
        <f t="shared" ref="E15" si="8">A15</f>
        <v>2</v>
      </c>
      <c r="F15" s="203" t="s">
        <v>1141</v>
      </c>
      <c r="G15" s="171"/>
      <c r="H15" s="169">
        <f t="shared" si="3"/>
        <v>0.5</v>
      </c>
      <c r="I15" s="171" t="s">
        <v>758</v>
      </c>
      <c r="J15" s="172">
        <f t="shared" ref="J15" si="9">CEILING(N15,100)</f>
        <v>6000</v>
      </c>
      <c r="K15" s="172">
        <f t="shared" ref="K15" si="10">ROUND(H15*J15,20)</f>
        <v>3000</v>
      </c>
      <c r="L15" s="172">
        <f>'CC f -2'!I25</f>
        <v>315</v>
      </c>
      <c r="M15" s="173">
        <f t="shared" si="5"/>
        <v>5.300353356890472E-2</v>
      </c>
      <c r="N15" s="173">
        <f>'CC f -2'!F25*2.83</f>
        <v>5937.34</v>
      </c>
      <c r="O15" s="173"/>
      <c r="P15" s="173"/>
      <c r="R15" s="174" t="s">
        <v>465</v>
      </c>
    </row>
    <row r="16" spans="1:19" s="174" customFormat="1" ht="22.5" hidden="1" customHeight="1">
      <c r="A16" s="167" t="s">
        <v>461</v>
      </c>
      <c r="B16" s="168"/>
      <c r="C16" s="170" t="s">
        <v>1137</v>
      </c>
      <c r="D16" s="169"/>
      <c r="E16" s="169" t="str">
        <f t="shared" si="6"/>
        <v>2</v>
      </c>
      <c r="F16" s="203" t="s">
        <v>1141</v>
      </c>
      <c r="G16" s="171"/>
      <c r="H16" s="169">
        <f t="shared" si="3"/>
        <v>0</v>
      </c>
      <c r="I16" s="171" t="s">
        <v>758</v>
      </c>
      <c r="J16" s="172">
        <f t="shared" si="4"/>
        <v>4900</v>
      </c>
      <c r="K16" s="172">
        <f t="shared" si="0"/>
        <v>0</v>
      </c>
      <c r="L16" s="172"/>
      <c r="M16" s="173">
        <f t="shared" si="5"/>
        <v>0</v>
      </c>
      <c r="N16" s="173">
        <f>'CC f -2'!F27*2.83</f>
        <v>4874.1090000000004</v>
      </c>
      <c r="O16" s="173"/>
      <c r="P16" s="173"/>
      <c r="S16" s="174" t="s">
        <v>468</v>
      </c>
    </row>
    <row r="17" spans="1:19" s="174" customFormat="1" ht="22.5" hidden="1" customHeight="1">
      <c r="A17" s="167" t="s">
        <v>461</v>
      </c>
      <c r="B17" s="168"/>
      <c r="C17" s="170" t="s">
        <v>1137</v>
      </c>
      <c r="D17" s="169"/>
      <c r="E17" s="169" t="str">
        <f t="shared" ref="E17" si="11">A17</f>
        <v>2</v>
      </c>
      <c r="F17" s="203" t="s">
        <v>1141</v>
      </c>
      <c r="G17" s="171"/>
      <c r="H17" s="169">
        <f t="shared" si="3"/>
        <v>0</v>
      </c>
      <c r="I17" s="171" t="s">
        <v>758</v>
      </c>
      <c r="J17" s="172">
        <f t="shared" ref="J17" si="12">CEILING(N17,100)</f>
        <v>6200</v>
      </c>
      <c r="K17" s="172">
        <f t="shared" ref="K17" si="13">ROUND(H17*J17,20)</f>
        <v>0</v>
      </c>
      <c r="L17" s="172"/>
      <c r="M17" s="173">
        <f t="shared" si="5"/>
        <v>0</v>
      </c>
      <c r="N17" s="173">
        <f>'CC f -2'!F28*2.83</f>
        <v>6177.607</v>
      </c>
      <c r="O17" s="173"/>
      <c r="P17" s="173"/>
      <c r="S17" s="174" t="s">
        <v>468</v>
      </c>
    </row>
    <row r="18" spans="1:19" s="174" customFormat="1" ht="22.5" hidden="1" customHeight="1">
      <c r="A18" s="167" t="s">
        <v>461</v>
      </c>
      <c r="B18" s="168"/>
      <c r="C18" s="170" t="s">
        <v>760</v>
      </c>
      <c r="D18" s="169"/>
      <c r="E18" s="169" t="str">
        <f t="shared" si="6"/>
        <v>2</v>
      </c>
      <c r="F18" s="203" t="s">
        <v>1141</v>
      </c>
      <c r="G18" s="171"/>
      <c r="H18" s="169">
        <f t="shared" si="3"/>
        <v>0</v>
      </c>
      <c r="I18" s="171" t="s">
        <v>758</v>
      </c>
      <c r="J18" s="172">
        <f t="shared" si="4"/>
        <v>3900</v>
      </c>
      <c r="K18" s="172">
        <f t="shared" si="0"/>
        <v>0</v>
      </c>
      <c r="L18" s="172"/>
      <c r="M18" s="173">
        <f t="shared" si="5"/>
        <v>0</v>
      </c>
      <c r="N18" s="173">
        <f>'CC f -2'!F29*2.83</f>
        <v>3893.5140000000001</v>
      </c>
      <c r="O18" s="173"/>
      <c r="P18" s="173"/>
      <c r="S18" s="174" t="s">
        <v>468</v>
      </c>
    </row>
    <row r="19" spans="1:19" s="174" customFormat="1" ht="22.5" hidden="1" customHeight="1">
      <c r="A19" s="167" t="s">
        <v>462</v>
      </c>
      <c r="B19" s="168"/>
      <c r="C19" s="170" t="s">
        <v>760</v>
      </c>
      <c r="D19" s="169">
        <f>'CC f -2'!D30</f>
        <v>0</v>
      </c>
      <c r="E19" s="169" t="str">
        <f t="shared" ref="E19" si="14">A19</f>
        <v>3</v>
      </c>
      <c r="F19" s="203" t="s">
        <v>1141</v>
      </c>
      <c r="G19" s="171"/>
      <c r="H19" s="169">
        <f t="shared" si="3"/>
        <v>0</v>
      </c>
      <c r="I19" s="171" t="s">
        <v>758</v>
      </c>
      <c r="J19" s="172">
        <f t="shared" ref="J19" si="15">CEILING(N19,100)</f>
        <v>4900</v>
      </c>
      <c r="K19" s="172">
        <f t="shared" ref="K19" si="16">ROUND(H19*J19,20)</f>
        <v>0</v>
      </c>
      <c r="L19" s="172">
        <f>'CC f -2'!I30</f>
        <v>0</v>
      </c>
      <c r="M19" s="173">
        <f t="shared" si="5"/>
        <v>0</v>
      </c>
      <c r="N19" s="173">
        <f>'CC f -2'!F30*2.83</f>
        <v>4898.1639999999998</v>
      </c>
      <c r="O19" s="173"/>
      <c r="P19" s="173"/>
      <c r="S19" s="174" t="s">
        <v>468</v>
      </c>
    </row>
    <row r="20" spans="1:19" s="174" customFormat="1" ht="22.5" hidden="1" customHeight="1">
      <c r="A20" s="167" t="s">
        <v>462</v>
      </c>
      <c r="B20" s="168"/>
      <c r="C20" s="170" t="s">
        <v>761</v>
      </c>
      <c r="D20" s="169"/>
      <c r="E20" s="169" t="str">
        <f t="shared" si="6"/>
        <v>3</v>
      </c>
      <c r="F20" s="203" t="s">
        <v>1141</v>
      </c>
      <c r="G20" s="171"/>
      <c r="H20" s="169">
        <f t="shared" si="3"/>
        <v>0</v>
      </c>
      <c r="I20" s="171" t="s">
        <v>758</v>
      </c>
      <c r="J20" s="172">
        <f t="shared" si="4"/>
        <v>6000</v>
      </c>
      <c r="K20" s="172">
        <f t="shared" si="0"/>
        <v>0</v>
      </c>
      <c r="L20" s="172"/>
      <c r="M20" s="173">
        <f t="shared" si="5"/>
        <v>0</v>
      </c>
      <c r="N20" s="173">
        <f>'CC f -2'!F32*2.83</f>
        <v>5937.34</v>
      </c>
      <c r="O20" s="173"/>
      <c r="P20" s="173"/>
      <c r="R20" s="174" t="s">
        <v>465</v>
      </c>
    </row>
    <row r="21" spans="1:19" s="174" customFormat="1" ht="22.5" hidden="1" customHeight="1">
      <c r="A21" s="167" t="s">
        <v>462</v>
      </c>
      <c r="B21" s="168"/>
      <c r="C21" s="170" t="s">
        <v>761</v>
      </c>
      <c r="D21" s="169">
        <f>'CC f -2'!D33</f>
        <v>0</v>
      </c>
      <c r="E21" s="169" t="str">
        <f t="shared" ref="E21" si="17">A21</f>
        <v>3</v>
      </c>
      <c r="F21" s="203" t="s">
        <v>1141</v>
      </c>
      <c r="G21" s="171"/>
      <c r="H21" s="169">
        <f t="shared" si="3"/>
        <v>0</v>
      </c>
      <c r="I21" s="171" t="s">
        <v>758</v>
      </c>
      <c r="J21" s="172">
        <f t="shared" ref="J21" si="18">CEILING(N21,100)</f>
        <v>5000</v>
      </c>
      <c r="K21" s="172">
        <f t="shared" ref="K21" si="19">ROUND(H21*J21,20)</f>
        <v>0</v>
      </c>
      <c r="L21" s="172">
        <f>'CC f -2'!I33</f>
        <v>0</v>
      </c>
      <c r="M21" s="173">
        <f t="shared" si="5"/>
        <v>0</v>
      </c>
      <c r="N21" s="173">
        <f>'CC f -2'!F33*2.83</f>
        <v>4929.8599999999997</v>
      </c>
      <c r="O21" s="173"/>
      <c r="P21" s="173"/>
      <c r="R21" s="174" t="s">
        <v>465</v>
      </c>
    </row>
    <row r="22" spans="1:19" s="174" customFormat="1" ht="22.5" hidden="1" customHeight="1">
      <c r="A22" s="167" t="s">
        <v>463</v>
      </c>
      <c r="B22" s="168"/>
      <c r="C22" s="170" t="s">
        <v>762</v>
      </c>
      <c r="D22" s="169"/>
      <c r="E22" s="169" t="str">
        <f t="shared" si="6"/>
        <v>4</v>
      </c>
      <c r="F22" s="203" t="s">
        <v>1141</v>
      </c>
      <c r="G22" s="171"/>
      <c r="H22" s="169">
        <f>CEILING(D22,0.2)</f>
        <v>0</v>
      </c>
      <c r="I22" s="171" t="s">
        <v>29</v>
      </c>
      <c r="J22" s="172">
        <f t="shared" si="4"/>
        <v>63000</v>
      </c>
      <c r="K22" s="172">
        <f t="shared" si="0"/>
        <v>0</v>
      </c>
      <c r="L22" s="172">
        <f>'CC f -2'!I34</f>
        <v>0</v>
      </c>
      <c r="M22" s="173"/>
      <c r="N22" s="173">
        <f>CEILING('CC f -2'!F34,500)</f>
        <v>63000</v>
      </c>
      <c r="O22" s="173"/>
      <c r="P22" s="173"/>
      <c r="R22" s="174" t="s">
        <v>465</v>
      </c>
    </row>
    <row r="23" spans="1:19" s="174" customFormat="1" ht="22.5" hidden="1" customHeight="1">
      <c r="A23" s="167" t="s">
        <v>463</v>
      </c>
      <c r="B23" s="168"/>
      <c r="C23" s="170" t="s">
        <v>762</v>
      </c>
      <c r="D23" s="169">
        <f>'CC f -2'!D35</f>
        <v>0</v>
      </c>
      <c r="E23" s="169" t="str">
        <f t="shared" ref="E23:E27" si="20">A23</f>
        <v>4</v>
      </c>
      <c r="F23" s="203" t="s">
        <v>1141</v>
      </c>
      <c r="G23" s="171"/>
      <c r="H23" s="169">
        <f t="shared" ref="H23:H27" si="21">CEILING(D23,0.2)</f>
        <v>0</v>
      </c>
      <c r="I23" s="171" t="s">
        <v>29</v>
      </c>
      <c r="J23" s="172">
        <f t="shared" ref="J23:J27" si="22">CEILING(N23,100)</f>
        <v>64000</v>
      </c>
      <c r="K23" s="172"/>
      <c r="L23" s="172">
        <f>'CC f -2'!I35</f>
        <v>0</v>
      </c>
      <c r="M23" s="173"/>
      <c r="N23" s="173">
        <f>CEILING('CC f -2'!F35,500)</f>
        <v>64000</v>
      </c>
      <c r="O23" s="173"/>
      <c r="P23" s="173"/>
      <c r="R23" s="174" t="s">
        <v>465</v>
      </c>
    </row>
    <row r="24" spans="1:19" s="174" customFormat="1" ht="22.5" hidden="1" customHeight="1">
      <c r="A24" s="167" t="s">
        <v>466</v>
      </c>
      <c r="B24" s="168"/>
      <c r="C24" s="170" t="s">
        <v>762</v>
      </c>
      <c r="D24" s="169"/>
      <c r="E24" s="169" t="str">
        <f t="shared" si="20"/>
        <v>7</v>
      </c>
      <c r="F24" s="203" t="s">
        <v>1141</v>
      </c>
      <c r="G24" s="171"/>
      <c r="H24" s="169">
        <f t="shared" si="21"/>
        <v>0</v>
      </c>
      <c r="I24" s="171" t="s">
        <v>29</v>
      </c>
      <c r="J24" s="172">
        <f t="shared" si="22"/>
        <v>85000</v>
      </c>
      <c r="K24" s="172">
        <f t="shared" ref="K24:K27" si="23">ROUND(H24*J24,20)</f>
        <v>0</v>
      </c>
      <c r="L24" s="172">
        <f>'CC f -2'!I36</f>
        <v>0</v>
      </c>
      <c r="M24" s="173"/>
      <c r="N24" s="173">
        <f>CEILING('CC f -2'!F36,500)</f>
        <v>85000</v>
      </c>
      <c r="O24" s="173"/>
      <c r="P24" s="173"/>
      <c r="R24" s="174" t="s">
        <v>465</v>
      </c>
    </row>
    <row r="25" spans="1:19" s="174" customFormat="1" ht="22.5" hidden="1" customHeight="1">
      <c r="A25" s="167" t="s">
        <v>466</v>
      </c>
      <c r="B25" s="168"/>
      <c r="C25" s="170" t="s">
        <v>762</v>
      </c>
      <c r="D25" s="169">
        <f>'CC f -2'!D37</f>
        <v>0</v>
      </c>
      <c r="E25" s="169" t="str">
        <f t="shared" si="20"/>
        <v>7</v>
      </c>
      <c r="F25" s="203" t="s">
        <v>1141</v>
      </c>
      <c r="G25" s="171"/>
      <c r="H25" s="169">
        <f t="shared" si="21"/>
        <v>0</v>
      </c>
      <c r="I25" s="171" t="s">
        <v>29</v>
      </c>
      <c r="J25" s="172">
        <f t="shared" si="22"/>
        <v>72000</v>
      </c>
      <c r="K25" s="172">
        <f t="shared" si="23"/>
        <v>0</v>
      </c>
      <c r="L25" s="172">
        <f>'CC f -2'!I37</f>
        <v>0</v>
      </c>
      <c r="M25" s="173"/>
      <c r="N25" s="173">
        <f>CEILING('CC f -2'!F37,500)</f>
        <v>72000</v>
      </c>
      <c r="O25" s="173"/>
      <c r="P25" s="173"/>
      <c r="R25" s="174" t="s">
        <v>465</v>
      </c>
    </row>
    <row r="26" spans="1:19" s="174" customFormat="1" ht="22.5" hidden="1" customHeight="1">
      <c r="A26" s="167" t="s">
        <v>466</v>
      </c>
      <c r="B26" s="168"/>
      <c r="C26" s="170" t="s">
        <v>762</v>
      </c>
      <c r="D26" s="169">
        <f>'CC f -2'!D38</f>
        <v>0</v>
      </c>
      <c r="E26" s="169" t="str">
        <f t="shared" si="20"/>
        <v>7</v>
      </c>
      <c r="F26" s="203" t="s">
        <v>1141</v>
      </c>
      <c r="G26" s="171"/>
      <c r="H26" s="169">
        <f t="shared" si="21"/>
        <v>0</v>
      </c>
      <c r="I26" s="171" t="s">
        <v>29</v>
      </c>
      <c r="J26" s="172">
        <f t="shared" si="22"/>
        <v>76000</v>
      </c>
      <c r="K26" s="172">
        <f t="shared" si="23"/>
        <v>0</v>
      </c>
      <c r="L26" s="172">
        <f>'CC f -2'!I38</f>
        <v>0</v>
      </c>
      <c r="M26" s="173"/>
      <c r="N26" s="173">
        <f>CEILING('CC f -2'!F38,500)</f>
        <v>76000</v>
      </c>
      <c r="O26" s="173"/>
      <c r="P26" s="173"/>
      <c r="R26" s="174" t="s">
        <v>465</v>
      </c>
    </row>
    <row r="27" spans="1:19" s="174" customFormat="1" ht="22.5" hidden="1" customHeight="1">
      <c r="A27" s="167" t="s">
        <v>466</v>
      </c>
      <c r="B27" s="168"/>
      <c r="C27" s="170" t="s">
        <v>762</v>
      </c>
      <c r="D27" s="169">
        <f>'CC f -2'!D39</f>
        <v>0</v>
      </c>
      <c r="E27" s="169" t="str">
        <f t="shared" si="20"/>
        <v>7</v>
      </c>
      <c r="F27" s="203" t="s">
        <v>1141</v>
      </c>
      <c r="G27" s="171"/>
      <c r="H27" s="169">
        <f t="shared" si="21"/>
        <v>0</v>
      </c>
      <c r="I27" s="171" t="s">
        <v>29</v>
      </c>
      <c r="J27" s="172">
        <f t="shared" si="22"/>
        <v>35000</v>
      </c>
      <c r="K27" s="172">
        <f t="shared" si="23"/>
        <v>0</v>
      </c>
      <c r="L27" s="172">
        <f>'CC f -2'!I39</f>
        <v>0</v>
      </c>
      <c r="M27" s="173"/>
      <c r="N27" s="173">
        <f>CEILING('CC f -2'!F39,500)</f>
        <v>35000</v>
      </c>
      <c r="O27" s="173"/>
      <c r="P27" s="173"/>
      <c r="R27" s="174" t="s">
        <v>465</v>
      </c>
    </row>
    <row r="28" spans="1:19" s="174" customFormat="1" ht="22.5" customHeight="1">
      <c r="A28" s="167" t="s">
        <v>462</v>
      </c>
      <c r="B28" s="168"/>
      <c r="C28" s="170" t="s">
        <v>763</v>
      </c>
      <c r="D28" s="169"/>
      <c r="E28" s="169" t="str">
        <f t="shared" si="2"/>
        <v>3</v>
      </c>
      <c r="F28" s="203" t="s">
        <v>1141</v>
      </c>
      <c r="G28" s="171"/>
      <c r="H28" s="169">
        <v>1</v>
      </c>
      <c r="I28" s="171" t="s">
        <v>115</v>
      </c>
      <c r="J28" s="172">
        <f>CEILING(L28,100)</f>
        <v>36100</v>
      </c>
      <c r="K28" s="172">
        <f t="shared" si="0"/>
        <v>36100</v>
      </c>
      <c r="L28" s="172">
        <f>'CC f -2'!I31</f>
        <v>36017</v>
      </c>
      <c r="M28" s="173">
        <f>D28/2.83</f>
        <v>0</v>
      </c>
      <c r="N28" s="173">
        <f>'CC f -2'!F40*2.83</f>
        <v>0</v>
      </c>
      <c r="O28" s="173"/>
      <c r="P28" s="173"/>
      <c r="R28" s="174" t="s">
        <v>465</v>
      </c>
    </row>
    <row r="29" spans="1:19" s="174" customFormat="1" ht="22.5" hidden="1" customHeight="1">
      <c r="A29" s="167" t="s">
        <v>464</v>
      </c>
      <c r="B29" s="175"/>
      <c r="C29" s="176" t="s">
        <v>1138</v>
      </c>
      <c r="D29" s="169"/>
      <c r="E29" s="169"/>
      <c r="F29" s="204"/>
      <c r="G29" s="177"/>
      <c r="H29" s="169"/>
      <c r="I29" s="171"/>
      <c r="J29" s="172"/>
      <c r="K29" s="172">
        <f>'CC f -2'!I17</f>
        <v>0</v>
      </c>
      <c r="L29" s="172">
        <f>K29</f>
        <v>0</v>
      </c>
      <c r="M29" s="173"/>
      <c r="N29" s="173"/>
      <c r="O29" s="173"/>
      <c r="P29" s="173"/>
    </row>
    <row r="30" spans="1:19" s="174" customFormat="1" ht="22.5" customHeight="1">
      <c r="A30" s="167"/>
      <c r="B30" s="175"/>
      <c r="C30" s="176"/>
      <c r="D30" s="169"/>
      <c r="E30" s="169"/>
      <c r="F30" s="204"/>
      <c r="G30" s="177"/>
      <c r="H30" s="169"/>
      <c r="I30" s="171"/>
      <c r="J30" s="172"/>
      <c r="K30" s="172"/>
      <c r="L30" s="172"/>
      <c r="M30" s="173"/>
      <c r="N30" s="173"/>
      <c r="O30" s="173"/>
      <c r="P30" s="173"/>
    </row>
    <row r="31" spans="1:19" s="174" customFormat="1" ht="22.5" customHeight="1">
      <c r="A31" s="167"/>
      <c r="B31" s="175"/>
      <c r="C31" s="176"/>
      <c r="D31" s="169"/>
      <c r="E31" s="169"/>
      <c r="F31" s="204"/>
      <c r="G31" s="177"/>
      <c r="H31" s="169"/>
      <c r="I31" s="178"/>
      <c r="J31" s="172"/>
      <c r="K31" s="179">
        <f>SUM(K10:K29)</f>
        <v>40275</v>
      </c>
      <c r="L31" s="179">
        <f>SUM(L10:L29)</f>
        <v>36365</v>
      </c>
      <c r="M31" s="173">
        <f>'CC f -2'!H48-'CC f -2'!H42-'CC f -2'!H41</f>
        <v>-261181</v>
      </c>
      <c r="N31" s="173">
        <f>L31-M31</f>
        <v>297546</v>
      </c>
      <c r="O31" s="173"/>
    </row>
    <row r="32" spans="1:19" ht="24.75" customHeight="1">
      <c r="A32" s="174"/>
      <c r="B32" s="180"/>
      <c r="M32" s="183">
        <f>K31-L31</f>
        <v>3910</v>
      </c>
      <c r="N32" s="183"/>
      <c r="O32" s="183"/>
    </row>
    <row r="33" spans="1:15" ht="24.75" customHeight="1">
      <c r="A33" s="174"/>
      <c r="B33" s="180"/>
      <c r="M33" s="183"/>
      <c r="N33" s="183"/>
      <c r="O33" s="183"/>
    </row>
    <row r="34" spans="1:15">
      <c r="A34" s="174"/>
      <c r="B34" s="180"/>
      <c r="D34" s="220" t="str">
        <f>'lead 19-20'!H31</f>
        <v>Deputy Executive Engineer</v>
      </c>
      <c r="E34" s="206"/>
      <c r="F34" s="184"/>
      <c r="G34" s="184"/>
      <c r="J34" s="184" t="str">
        <f>'CERTI '!H23</f>
        <v>Assistant  Engineer</v>
      </c>
      <c r="K34" s="185"/>
    </row>
    <row r="35" spans="1:15">
      <c r="A35" s="174"/>
      <c r="B35" s="180"/>
      <c r="D35" s="220" t="str">
        <f>'lead 19-20'!H32</f>
        <v>PRI Sub Division</v>
      </c>
      <c r="E35" s="206"/>
      <c r="F35" s="184"/>
      <c r="G35" s="184"/>
      <c r="J35" s="184" t="str">
        <f>'CERTI '!H24</f>
        <v>Mandal Praja parishad</v>
      </c>
    </row>
    <row r="36" spans="1:15">
      <c r="A36" s="174"/>
      <c r="B36" s="180"/>
      <c r="D36" s="220" t="str">
        <f>'lead 19-20'!H33</f>
        <v>Kanigiri</v>
      </c>
      <c r="J36" s="184" t="str">
        <f>'CERTI '!H25</f>
        <v>Kanigiri</v>
      </c>
    </row>
    <row r="37" spans="1:15">
      <c r="A37" s="174"/>
      <c r="B37" s="180"/>
    </row>
    <row r="38" spans="1:15" s="181" customFormat="1">
      <c r="A38" s="174"/>
      <c r="B38" s="180"/>
      <c r="C38" s="153"/>
      <c r="E38" s="182"/>
      <c r="F38" s="153"/>
      <c r="G38" s="153"/>
      <c r="H38" s="153"/>
      <c r="I38" s="153"/>
      <c r="J38" s="182"/>
      <c r="K38" s="182"/>
      <c r="L38" s="153"/>
      <c r="M38" s="153"/>
    </row>
    <row r="39" spans="1:15" s="181" customFormat="1">
      <c r="A39" s="174"/>
      <c r="B39" s="180"/>
      <c r="C39" s="153"/>
      <c r="E39" s="182"/>
      <c r="F39" s="153"/>
      <c r="G39" s="153"/>
      <c r="H39" s="153"/>
      <c r="I39" s="153"/>
      <c r="J39" s="182"/>
      <c r="K39" s="182"/>
      <c r="L39" s="153"/>
      <c r="M39" s="153"/>
    </row>
    <row r="40" spans="1:15" s="181" customFormat="1">
      <c r="A40" s="174"/>
      <c r="B40" s="180"/>
      <c r="C40" s="153"/>
      <c r="E40" s="182"/>
      <c r="F40" s="153"/>
      <c r="G40" s="153"/>
      <c r="H40" s="153"/>
      <c r="I40" s="153"/>
      <c r="J40" s="182"/>
      <c r="K40" s="182"/>
      <c r="L40" s="153"/>
      <c r="M40" s="153"/>
    </row>
    <row r="41" spans="1:15" s="181" customFormat="1">
      <c r="A41" s="174"/>
      <c r="B41" s="180"/>
      <c r="C41" s="153"/>
      <c r="E41" s="182"/>
      <c r="F41" s="153"/>
      <c r="G41" s="153"/>
      <c r="H41" s="153"/>
      <c r="I41" s="153"/>
      <c r="J41" s="182"/>
      <c r="K41" s="182"/>
      <c r="L41" s="153"/>
      <c r="M41" s="153"/>
    </row>
    <row r="42" spans="1:15" s="181" customFormat="1">
      <c r="A42" s="174"/>
      <c r="B42" s="153"/>
      <c r="C42" s="153"/>
      <c r="E42" s="182"/>
      <c r="F42" s="153"/>
      <c r="G42" s="153"/>
      <c r="H42" s="153"/>
      <c r="I42" s="153"/>
      <c r="J42" s="182"/>
      <c r="K42" s="182"/>
      <c r="L42" s="153"/>
      <c r="M42" s="153"/>
    </row>
    <row r="43" spans="1:15" s="181" customFormat="1">
      <c r="A43" s="174"/>
      <c r="B43" s="153"/>
      <c r="C43" s="153"/>
      <c r="E43" s="182"/>
      <c r="F43" s="153"/>
      <c r="G43" s="153"/>
      <c r="H43" s="153"/>
      <c r="I43" s="153"/>
      <c r="J43" s="182"/>
      <c r="K43" s="182"/>
      <c r="L43" s="153"/>
      <c r="M43" s="153"/>
    </row>
    <row r="44" spans="1:15" s="181" customFormat="1">
      <c r="A44" s="174"/>
      <c r="B44" s="153"/>
      <c r="C44" s="153"/>
      <c r="E44" s="182"/>
      <c r="F44" s="153"/>
      <c r="G44" s="153"/>
      <c r="H44" s="153"/>
      <c r="I44" s="153"/>
      <c r="J44" s="182"/>
      <c r="K44" s="182"/>
      <c r="L44" s="153"/>
      <c r="M44" s="153"/>
    </row>
    <row r="45" spans="1:15" s="181" customFormat="1">
      <c r="A45" s="174"/>
      <c r="B45" s="153"/>
      <c r="C45" s="153"/>
      <c r="E45" s="182"/>
      <c r="F45" s="153"/>
      <c r="G45" s="153"/>
      <c r="H45" s="153"/>
      <c r="I45" s="153"/>
      <c r="J45" s="182"/>
      <c r="K45" s="182"/>
      <c r="L45" s="153"/>
      <c r="M45" s="153"/>
    </row>
    <row r="46" spans="1:15" s="181" customFormat="1">
      <c r="A46" s="174"/>
      <c r="B46" s="153"/>
      <c r="C46" s="153"/>
      <c r="E46" s="182"/>
      <c r="F46" s="153"/>
      <c r="G46" s="153"/>
      <c r="H46" s="153"/>
      <c r="I46" s="153"/>
      <c r="J46" s="182"/>
      <c r="K46" s="182"/>
      <c r="L46" s="153"/>
      <c r="M46" s="153"/>
    </row>
    <row r="47" spans="1:15" s="181" customFormat="1">
      <c r="A47" s="174"/>
      <c r="B47" s="153"/>
      <c r="C47" s="153"/>
      <c r="E47" s="182"/>
      <c r="F47" s="153"/>
      <c r="G47" s="153"/>
      <c r="H47" s="153"/>
      <c r="I47" s="153"/>
      <c r="J47" s="182"/>
      <c r="K47" s="182"/>
      <c r="L47" s="153"/>
      <c r="M47" s="153"/>
    </row>
    <row r="48" spans="1:15" s="181" customFormat="1">
      <c r="A48" s="174"/>
      <c r="B48" s="153"/>
      <c r="C48" s="153"/>
      <c r="E48" s="182"/>
      <c r="F48" s="153"/>
      <c r="G48" s="153"/>
      <c r="H48" s="153"/>
      <c r="I48" s="153"/>
      <c r="J48" s="182"/>
      <c r="K48" s="182"/>
      <c r="L48" s="153"/>
      <c r="M48" s="153"/>
    </row>
    <row r="49" spans="1:13" s="181" customFormat="1">
      <c r="A49" s="174"/>
      <c r="B49" s="153"/>
      <c r="C49" s="153"/>
      <c r="E49" s="182"/>
      <c r="F49" s="153"/>
      <c r="G49" s="153"/>
      <c r="H49" s="153"/>
      <c r="I49" s="153"/>
      <c r="J49" s="182"/>
      <c r="K49" s="182"/>
      <c r="L49" s="153"/>
      <c r="M49" s="153"/>
    </row>
    <row r="50" spans="1:13" s="181" customFormat="1">
      <c r="A50" s="174"/>
      <c r="B50" s="153"/>
      <c r="C50" s="153"/>
      <c r="E50" s="182"/>
      <c r="F50" s="153"/>
      <c r="G50" s="153"/>
      <c r="H50" s="153"/>
      <c r="I50" s="153"/>
      <c r="J50" s="182"/>
      <c r="K50" s="182"/>
      <c r="L50" s="153"/>
      <c r="M50" s="153"/>
    </row>
    <row r="51" spans="1:13" s="181" customFormat="1">
      <c r="A51" s="174"/>
      <c r="B51" s="153"/>
      <c r="C51" s="153"/>
      <c r="E51" s="182"/>
      <c r="F51" s="153"/>
      <c r="G51" s="153"/>
      <c r="H51" s="153"/>
      <c r="I51" s="153"/>
      <c r="J51" s="182"/>
      <c r="K51" s="182"/>
      <c r="L51" s="153"/>
      <c r="M51" s="153"/>
    </row>
    <row r="52" spans="1:13" s="181" customFormat="1">
      <c r="A52" s="174"/>
      <c r="B52" s="153"/>
      <c r="C52" s="153"/>
      <c r="E52" s="182"/>
      <c r="F52" s="153"/>
      <c r="G52" s="153"/>
      <c r="H52" s="153"/>
      <c r="I52" s="153"/>
      <c r="J52" s="182"/>
      <c r="K52" s="182"/>
      <c r="L52" s="153"/>
      <c r="M52" s="153"/>
    </row>
    <row r="53" spans="1:13" s="181" customFormat="1">
      <c r="A53" s="174"/>
      <c r="B53" s="153"/>
      <c r="C53" s="153"/>
      <c r="E53" s="182"/>
      <c r="F53" s="153"/>
      <c r="G53" s="153"/>
      <c r="H53" s="153"/>
      <c r="I53" s="153"/>
      <c r="J53" s="182"/>
      <c r="K53" s="182"/>
      <c r="L53" s="153"/>
      <c r="M53" s="153"/>
    </row>
    <row r="54" spans="1:13">
      <c r="A54" s="174"/>
    </row>
    <row r="55" spans="1:13">
      <c r="A55" s="174"/>
    </row>
    <row r="56" spans="1:13">
      <c r="A56" s="174"/>
    </row>
    <row r="57" spans="1:13">
      <c r="A57" s="174"/>
    </row>
    <row r="58" spans="1:13">
      <c r="A58" s="174"/>
    </row>
    <row r="59" spans="1:13">
      <c r="A59" s="174"/>
    </row>
    <row r="60" spans="1:13">
      <c r="A60" s="174"/>
    </row>
    <row r="61" spans="1:13">
      <c r="A61" s="174"/>
    </row>
    <row r="62" spans="1:13">
      <c r="A62" s="174"/>
    </row>
    <row r="63" spans="1:13">
      <c r="A63" s="174"/>
    </row>
    <row r="64" spans="1:13">
      <c r="A64" s="174"/>
    </row>
    <row r="65" spans="1:11">
      <c r="A65" s="174"/>
    </row>
    <row r="66" spans="1:11">
      <c r="A66" s="174"/>
    </row>
    <row r="67" spans="1:11">
      <c r="A67" s="174"/>
    </row>
    <row r="68" spans="1:11">
      <c r="A68" s="174"/>
    </row>
    <row r="69" spans="1:11">
      <c r="A69" s="174"/>
      <c r="D69" s="153"/>
      <c r="J69" s="153"/>
      <c r="K69" s="153"/>
    </row>
    <row r="70" spans="1:11">
      <c r="A70" s="174"/>
      <c r="D70" s="153"/>
      <c r="J70" s="153"/>
      <c r="K70" s="153"/>
    </row>
    <row r="71" spans="1:11">
      <c r="A71" s="174"/>
      <c r="D71" s="153"/>
      <c r="J71" s="153"/>
      <c r="K71" s="153"/>
    </row>
    <row r="72" spans="1:11">
      <c r="A72" s="174"/>
      <c r="D72" s="153"/>
      <c r="J72" s="153"/>
      <c r="K72" s="153"/>
    </row>
    <row r="73" spans="1:11">
      <c r="A73" s="174"/>
      <c r="D73" s="153"/>
      <c r="J73" s="153"/>
      <c r="K73" s="153"/>
    </row>
    <row r="74" spans="1:11">
      <c r="A74" s="174"/>
      <c r="D74" s="153"/>
      <c r="J74" s="153"/>
      <c r="K74" s="153"/>
    </row>
    <row r="75" spans="1:11">
      <c r="A75" s="174"/>
      <c r="D75" s="153"/>
      <c r="J75" s="153"/>
      <c r="K75" s="153"/>
    </row>
    <row r="76" spans="1:11">
      <c r="A76" s="174"/>
      <c r="D76" s="153"/>
      <c r="J76" s="153"/>
      <c r="K76" s="153"/>
    </row>
    <row r="77" spans="1:11">
      <c r="A77" s="174"/>
      <c r="D77" s="153"/>
      <c r="J77" s="153"/>
      <c r="K77" s="153"/>
    </row>
    <row r="78" spans="1:11">
      <c r="A78" s="174"/>
      <c r="D78" s="153"/>
      <c r="J78" s="153"/>
      <c r="K78" s="153"/>
    </row>
    <row r="79" spans="1:11">
      <c r="A79" s="174"/>
      <c r="D79" s="153"/>
      <c r="J79" s="153"/>
      <c r="K79" s="153"/>
    </row>
    <row r="80" spans="1:11">
      <c r="A80" s="174"/>
      <c r="D80" s="153"/>
      <c r="J80" s="153"/>
      <c r="K80" s="153"/>
    </row>
    <row r="81" spans="1:11">
      <c r="A81" s="174"/>
      <c r="D81" s="153"/>
      <c r="J81" s="153"/>
      <c r="K81" s="153"/>
    </row>
    <row r="82" spans="1:11">
      <c r="A82" s="174"/>
      <c r="D82" s="153"/>
      <c r="J82" s="153"/>
      <c r="K82" s="153"/>
    </row>
    <row r="83" spans="1:11">
      <c r="A83" s="174"/>
      <c r="D83" s="153"/>
      <c r="J83" s="153"/>
      <c r="K83" s="153"/>
    </row>
    <row r="84" spans="1:11">
      <c r="A84" s="174"/>
      <c r="D84" s="153"/>
      <c r="J84" s="153"/>
      <c r="K84" s="153"/>
    </row>
    <row r="85" spans="1:11">
      <c r="A85" s="174"/>
      <c r="D85" s="153"/>
      <c r="J85" s="153"/>
      <c r="K85" s="153"/>
    </row>
    <row r="86" spans="1:11">
      <c r="A86" s="174"/>
      <c r="D86" s="153"/>
      <c r="J86" s="153"/>
      <c r="K86" s="153"/>
    </row>
    <row r="87" spans="1:11">
      <c r="A87" s="174"/>
      <c r="D87" s="153"/>
      <c r="J87" s="153"/>
      <c r="K87" s="153"/>
    </row>
    <row r="88" spans="1:11">
      <c r="A88" s="174"/>
      <c r="D88" s="153"/>
      <c r="J88" s="153"/>
      <c r="K88" s="153"/>
    </row>
    <row r="89" spans="1:11">
      <c r="A89" s="174"/>
      <c r="D89" s="153"/>
      <c r="J89" s="153"/>
      <c r="K89" s="153"/>
    </row>
    <row r="90" spans="1:11">
      <c r="A90" s="174"/>
      <c r="D90" s="153"/>
      <c r="J90" s="153"/>
      <c r="K90" s="153"/>
    </row>
    <row r="91" spans="1:11">
      <c r="A91" s="174"/>
      <c r="D91" s="153"/>
      <c r="J91" s="153"/>
      <c r="K91" s="153"/>
    </row>
    <row r="92" spans="1:11">
      <c r="A92" s="174"/>
      <c r="D92" s="153"/>
      <c r="J92" s="153"/>
      <c r="K92" s="153"/>
    </row>
    <row r="93" spans="1:11">
      <c r="A93" s="174"/>
      <c r="D93" s="153"/>
      <c r="J93" s="153"/>
      <c r="K93" s="153"/>
    </row>
    <row r="94" spans="1:11">
      <c r="A94" s="174"/>
      <c r="D94" s="153"/>
      <c r="J94" s="153"/>
      <c r="K94" s="153"/>
    </row>
    <row r="95" spans="1:11">
      <c r="A95" s="174"/>
      <c r="D95" s="153"/>
      <c r="J95" s="153"/>
      <c r="K95" s="153"/>
    </row>
    <row r="96" spans="1:11">
      <c r="A96" s="174"/>
      <c r="D96" s="153"/>
      <c r="J96" s="153"/>
      <c r="K96" s="153"/>
    </row>
    <row r="97" spans="1:11">
      <c r="A97" s="174"/>
      <c r="D97" s="153"/>
      <c r="J97" s="153"/>
      <c r="K97" s="153"/>
    </row>
    <row r="98" spans="1:11">
      <c r="A98" s="174"/>
      <c r="D98" s="153"/>
      <c r="J98" s="153"/>
      <c r="K98" s="153"/>
    </row>
    <row r="99" spans="1:11">
      <c r="A99" s="174"/>
      <c r="D99" s="153"/>
      <c r="J99" s="153"/>
      <c r="K99" s="153"/>
    </row>
    <row r="100" spans="1:11">
      <c r="A100" s="174"/>
      <c r="D100" s="153"/>
      <c r="J100" s="153"/>
      <c r="K100" s="153"/>
    </row>
    <row r="101" spans="1:11">
      <c r="A101" s="174"/>
      <c r="D101" s="153"/>
      <c r="J101" s="153"/>
      <c r="K101" s="153"/>
    </row>
    <row r="102" spans="1:11">
      <c r="A102" s="174"/>
      <c r="D102" s="153"/>
      <c r="J102" s="153"/>
      <c r="K102" s="153"/>
    </row>
    <row r="103" spans="1:11">
      <c r="A103" s="174"/>
      <c r="D103" s="153"/>
      <c r="J103" s="153"/>
      <c r="K103" s="153"/>
    </row>
    <row r="104" spans="1:11">
      <c r="A104" s="174"/>
      <c r="D104" s="153"/>
      <c r="J104" s="153"/>
      <c r="K104" s="153"/>
    </row>
    <row r="105" spans="1:11">
      <c r="A105" s="174"/>
      <c r="D105" s="153"/>
      <c r="J105" s="153"/>
      <c r="K105" s="153"/>
    </row>
    <row r="106" spans="1:11">
      <c r="A106" s="174"/>
      <c r="D106" s="153"/>
      <c r="J106" s="153"/>
      <c r="K106" s="153"/>
    </row>
    <row r="107" spans="1:11">
      <c r="A107" s="174"/>
      <c r="D107" s="153"/>
      <c r="J107" s="153"/>
      <c r="K107" s="153"/>
    </row>
    <row r="108" spans="1:11">
      <c r="A108" s="174"/>
      <c r="D108" s="153"/>
      <c r="J108" s="153"/>
      <c r="K108" s="153"/>
    </row>
    <row r="109" spans="1:11">
      <c r="A109" s="174"/>
      <c r="D109" s="153"/>
      <c r="J109" s="153"/>
      <c r="K109" s="153"/>
    </row>
    <row r="110" spans="1:11">
      <c r="A110" s="174"/>
      <c r="D110" s="153"/>
      <c r="J110" s="153"/>
      <c r="K110" s="153"/>
    </row>
    <row r="111" spans="1:11">
      <c r="A111" s="174"/>
      <c r="D111" s="153"/>
      <c r="J111" s="153"/>
      <c r="K111" s="153"/>
    </row>
    <row r="112" spans="1:11">
      <c r="A112" s="174"/>
      <c r="D112" s="153"/>
      <c r="J112" s="153"/>
      <c r="K112" s="153"/>
    </row>
    <row r="113" spans="1:11">
      <c r="A113" s="174"/>
      <c r="D113" s="153"/>
      <c r="J113" s="153"/>
      <c r="K113" s="153"/>
    </row>
    <row r="114" spans="1:11">
      <c r="A114" s="174"/>
      <c r="D114" s="153"/>
      <c r="J114" s="153"/>
      <c r="K114" s="153"/>
    </row>
    <row r="115" spans="1:11">
      <c r="A115" s="174"/>
      <c r="D115" s="153"/>
      <c r="J115" s="153"/>
      <c r="K115" s="153"/>
    </row>
    <row r="116" spans="1:11">
      <c r="A116" s="174"/>
      <c r="D116" s="153"/>
      <c r="J116" s="153"/>
      <c r="K116" s="153"/>
    </row>
    <row r="117" spans="1:11">
      <c r="A117" s="174"/>
      <c r="D117" s="153"/>
      <c r="J117" s="153"/>
      <c r="K117" s="153"/>
    </row>
    <row r="118" spans="1:11">
      <c r="A118" s="174"/>
      <c r="D118" s="153"/>
      <c r="J118" s="153"/>
      <c r="K118" s="153"/>
    </row>
    <row r="119" spans="1:11">
      <c r="A119" s="174"/>
      <c r="D119" s="153"/>
      <c r="J119" s="153"/>
      <c r="K119" s="153"/>
    </row>
    <row r="120" spans="1:11">
      <c r="A120" s="174"/>
      <c r="D120" s="153"/>
      <c r="J120" s="153"/>
      <c r="K120" s="153"/>
    </row>
    <row r="121" spans="1:11">
      <c r="A121" s="174"/>
      <c r="D121" s="153"/>
      <c r="J121" s="153"/>
      <c r="K121" s="153"/>
    </row>
    <row r="122" spans="1:11">
      <c r="A122" s="174"/>
      <c r="D122" s="153"/>
      <c r="J122" s="153"/>
      <c r="K122" s="153"/>
    </row>
    <row r="123" spans="1:11">
      <c r="A123" s="174"/>
      <c r="D123" s="153"/>
      <c r="J123" s="153"/>
      <c r="K123" s="153"/>
    </row>
    <row r="124" spans="1:11">
      <c r="A124" s="174"/>
      <c r="D124" s="153"/>
      <c r="J124" s="153"/>
      <c r="K124" s="153"/>
    </row>
    <row r="125" spans="1:11">
      <c r="A125" s="174"/>
      <c r="D125" s="153"/>
      <c r="J125" s="153"/>
      <c r="K125" s="153"/>
    </row>
    <row r="126" spans="1:11">
      <c r="A126" s="174"/>
      <c r="D126" s="153"/>
      <c r="J126" s="153"/>
      <c r="K126" s="153"/>
    </row>
    <row r="127" spans="1:11">
      <c r="A127" s="174"/>
      <c r="D127" s="153"/>
      <c r="J127" s="153"/>
      <c r="K127" s="153"/>
    </row>
    <row r="128" spans="1:11">
      <c r="A128" s="174"/>
      <c r="D128" s="153"/>
      <c r="J128" s="153"/>
      <c r="K128" s="153"/>
    </row>
    <row r="129" spans="1:11">
      <c r="A129" s="174"/>
      <c r="D129" s="153"/>
      <c r="J129" s="153"/>
      <c r="K129" s="153"/>
    </row>
    <row r="130" spans="1:11">
      <c r="A130" s="174"/>
      <c r="D130" s="153"/>
      <c r="J130" s="153"/>
      <c r="K130" s="153"/>
    </row>
    <row r="131" spans="1:11">
      <c r="A131" s="174"/>
      <c r="D131" s="153"/>
      <c r="J131" s="153"/>
      <c r="K131" s="153"/>
    </row>
    <row r="132" spans="1:11">
      <c r="A132" s="174"/>
      <c r="D132" s="153"/>
      <c r="J132" s="153"/>
      <c r="K132" s="153"/>
    </row>
    <row r="133" spans="1:11">
      <c r="A133" s="174"/>
      <c r="D133" s="153"/>
      <c r="J133" s="153"/>
      <c r="K133" s="153"/>
    </row>
    <row r="134" spans="1:11">
      <c r="A134" s="174"/>
      <c r="D134" s="153"/>
      <c r="J134" s="153"/>
      <c r="K134" s="153"/>
    </row>
    <row r="135" spans="1:11">
      <c r="A135" s="174"/>
      <c r="D135" s="153"/>
      <c r="J135" s="153"/>
      <c r="K135" s="153"/>
    </row>
    <row r="136" spans="1:11">
      <c r="A136" s="174"/>
      <c r="D136" s="153"/>
      <c r="J136" s="153"/>
      <c r="K136" s="153"/>
    </row>
    <row r="137" spans="1:11">
      <c r="A137" s="174"/>
      <c r="D137" s="153"/>
      <c r="J137" s="153"/>
      <c r="K137" s="153"/>
    </row>
    <row r="138" spans="1:11">
      <c r="A138" s="174"/>
      <c r="D138" s="153"/>
      <c r="J138" s="153"/>
      <c r="K138" s="153"/>
    </row>
    <row r="139" spans="1:11">
      <c r="A139" s="174"/>
      <c r="D139" s="153"/>
      <c r="J139" s="153"/>
      <c r="K139" s="153"/>
    </row>
    <row r="140" spans="1:11">
      <c r="A140" s="174"/>
      <c r="D140" s="153"/>
      <c r="J140" s="153"/>
      <c r="K140" s="153"/>
    </row>
    <row r="141" spans="1:11">
      <c r="A141" s="174"/>
      <c r="D141" s="153"/>
      <c r="J141" s="153"/>
      <c r="K141" s="153"/>
    </row>
    <row r="142" spans="1:11">
      <c r="A142" s="174"/>
      <c r="D142" s="153"/>
      <c r="J142" s="153"/>
      <c r="K142" s="153"/>
    </row>
    <row r="143" spans="1:11">
      <c r="A143" s="174"/>
      <c r="D143" s="153"/>
      <c r="J143" s="153"/>
      <c r="K143" s="153"/>
    </row>
    <row r="144" spans="1:11">
      <c r="A144" s="174"/>
      <c r="D144" s="153"/>
      <c r="J144" s="153"/>
      <c r="K144" s="153"/>
    </row>
  </sheetData>
  <autoFilter ref="A9:L29">
    <filterColumn colId="4" showButton="0"/>
    <filterColumn colId="5" showButton="0"/>
    <filterColumn colId="7" showButton="0"/>
    <filterColumn colId="10">
      <customFilters>
        <customFilter operator="notEqual" val=" "/>
      </customFilters>
    </filterColumn>
  </autoFilter>
  <mergeCells count="12">
    <mergeCell ref="E8:G8"/>
    <mergeCell ref="H8:I8"/>
    <mergeCell ref="E9:G9"/>
    <mergeCell ref="H9:I9"/>
    <mergeCell ref="A1:L1"/>
    <mergeCell ref="A2:L2"/>
    <mergeCell ref="A7:A8"/>
    <mergeCell ref="B7:B8"/>
    <mergeCell ref="C7:C8"/>
    <mergeCell ref="D7:D8"/>
    <mergeCell ref="E7:K7"/>
    <mergeCell ref="L7:L8"/>
  </mergeCells>
  <printOptions horizontalCentered="1"/>
  <pageMargins left="0.23622047244094499" right="0.15748031496063" top="0.35433070866141703" bottom="0.69" header="0.38" footer="0.23622047244094499"/>
  <pageSetup paperSize="9" scale="90" orientation="landscape" errors="blank" r:id="rId1"/>
  <headerFooter alignWithMargins="0"/>
</worksheet>
</file>

<file path=xl/worksheets/sheet49.xml><?xml version="1.0" encoding="utf-8"?>
<worksheet xmlns="http://schemas.openxmlformats.org/spreadsheetml/2006/main" xmlns:r="http://schemas.openxmlformats.org/officeDocument/2006/relationships">
  <sheetPr>
    <tabColor rgb="FF00B050"/>
  </sheetPr>
  <dimension ref="A1:R22"/>
  <sheetViews>
    <sheetView zoomScale="130" zoomScaleNormal="130" zoomScaleSheetLayoutView="115" workbookViewId="0">
      <selection activeCell="H25" sqref="H25"/>
    </sheetView>
  </sheetViews>
  <sheetFormatPr defaultColWidth="9.140625" defaultRowHeight="15"/>
  <cols>
    <col min="1" max="8" width="9.140625" style="186"/>
    <col min="9" max="9" width="8.28515625" style="186" customWidth="1"/>
    <col min="10" max="16384" width="9.140625" style="186"/>
  </cols>
  <sheetData>
    <row r="1" spans="1:18" ht="26.25" customHeight="1">
      <c r="A1" s="1811" t="s">
        <v>764</v>
      </c>
      <c r="B1" s="1811"/>
      <c r="C1" s="1811"/>
      <c r="D1" s="1811"/>
      <c r="E1" s="1811"/>
      <c r="F1" s="1811"/>
      <c r="G1" s="1811"/>
      <c r="H1" s="1811"/>
      <c r="I1" s="1811"/>
    </row>
    <row r="2" spans="1:18" ht="18" customHeight="1">
      <c r="A2" s="1812" t="s">
        <v>765</v>
      </c>
      <c r="B2" s="1812"/>
      <c r="C2" s="1812"/>
      <c r="D2" s="276">
        <f>'voucer part (2)'!K12+'voucer part (2)'!K13</f>
        <v>0</v>
      </c>
      <c r="E2" s="187" t="s">
        <v>766</v>
      </c>
      <c r="F2" s="1813" t="s">
        <v>1238</v>
      </c>
      <c r="G2" s="1813"/>
      <c r="H2" s="1813"/>
      <c r="I2" s="1813"/>
      <c r="K2" s="188"/>
      <c r="L2" s="188"/>
    </row>
    <row r="3" spans="1:18" ht="47.25" customHeight="1">
      <c r="A3" s="1809" t="str">
        <f>"Payment towards the work "&amp;'lead 19-20'!C2&amp;" with Estimate cost for Rs. "&amp;'lead 19-20'!K4&amp;" under MGNREGS + Health Dept + NMH +15th FC Grant during the year 2019-20"</f>
        <v>Payment towards the work Providing Additional Space for Health Staff in Grama Sachivalayam of Baduguleru GP of Kanigiri Mandal with Estimate cost for Rs. 20.80 Lakhs under MGNREGS + Health Dept + NMH +15th FC Grant during the year 2019-20</v>
      </c>
      <c r="B3" s="1809"/>
      <c r="C3" s="1809"/>
      <c r="D3" s="1809"/>
      <c r="E3" s="1809"/>
      <c r="F3" s="1809"/>
      <c r="G3" s="1809"/>
      <c r="H3" s="1809"/>
      <c r="I3" s="1809"/>
      <c r="J3" s="189"/>
      <c r="K3" s="189"/>
      <c r="L3" s="189"/>
      <c r="M3" s="189"/>
      <c r="N3" s="189"/>
      <c r="O3" s="189"/>
      <c r="P3" s="189"/>
      <c r="Q3" s="189"/>
      <c r="R3" s="189"/>
    </row>
    <row r="4" spans="1:18" ht="18" customHeight="1">
      <c r="A4" s="1814" t="s">
        <v>767</v>
      </c>
      <c r="B4" s="1814"/>
      <c r="C4" s="1814"/>
      <c r="D4" s="1814"/>
      <c r="E4" s="1815" t="s">
        <v>768</v>
      </c>
      <c r="F4" s="1815"/>
      <c r="G4" s="1815"/>
      <c r="H4" s="190">
        <f>'voucer part (2)'!D12+'voucer part (2)'!D13</f>
        <v>0</v>
      </c>
      <c r="I4" s="191" t="s">
        <v>5</v>
      </c>
      <c r="K4" s="188"/>
      <c r="L4" s="188"/>
    </row>
    <row r="5" spans="1:18" ht="18" customHeight="1">
      <c r="A5" s="192"/>
      <c r="B5" s="192"/>
      <c r="C5" s="192"/>
      <c r="D5" s="192"/>
      <c r="E5" s="192"/>
      <c r="F5" s="192"/>
      <c r="G5" s="192"/>
      <c r="H5" s="192"/>
      <c r="I5" s="192"/>
      <c r="K5" s="188"/>
      <c r="L5" s="188"/>
    </row>
    <row r="6" spans="1:18" ht="18" customHeight="1">
      <c r="A6" s="192"/>
      <c r="B6" s="192"/>
      <c r="C6" s="192"/>
      <c r="D6" s="192"/>
      <c r="E6" s="192"/>
      <c r="F6" s="192"/>
      <c r="G6" s="192"/>
      <c r="H6" s="192"/>
      <c r="I6" s="192"/>
      <c r="K6" s="188"/>
      <c r="L6" s="188"/>
    </row>
    <row r="7" spans="1:18" ht="18" customHeight="1">
      <c r="A7" s="192"/>
      <c r="B7" s="192"/>
      <c r="C7" s="192"/>
      <c r="D7" s="192"/>
      <c r="E7" s="192"/>
      <c r="F7" s="192"/>
      <c r="G7" s="192"/>
      <c r="H7" s="192"/>
      <c r="I7" s="192"/>
      <c r="K7" s="188"/>
      <c r="L7" s="188"/>
    </row>
    <row r="13" spans="1:18">
      <c r="B13" s="186" t="s">
        <v>769</v>
      </c>
      <c r="H13" s="186" t="s">
        <v>770</v>
      </c>
    </row>
    <row r="18" spans="1:9" ht="18.75" customHeight="1">
      <c r="A18" s="1809" t="s">
        <v>1142</v>
      </c>
      <c r="B18" s="1809"/>
      <c r="C18" s="1809"/>
      <c r="D18" s="1809"/>
      <c r="E18" s="1809"/>
      <c r="F18" s="1809"/>
      <c r="G18" s="1809"/>
      <c r="H18" s="1809"/>
      <c r="I18" s="1809"/>
    </row>
    <row r="19" spans="1:9" ht="45.75" customHeight="1">
      <c r="A19" s="1810" t="str">
        <f>""&amp;'lead 19-20'!C2&amp;" with Estimate Rs. "&amp;'lead 19-20'!K4&amp;" under MGNREGS + Health Dept + NMH +15th FC Grant during the year 2019-20"</f>
        <v>Providing Additional Space for Health Staff in Grama Sachivalayam of Baduguleru GP of Kanigiri Mandal with Estimate Rs. 20.80 Lakhs under MGNREGS + Health Dept + NMH +15th FC Grant during the year 2019-20</v>
      </c>
      <c r="B19" s="1810"/>
      <c r="C19" s="1810"/>
      <c r="D19" s="1810"/>
      <c r="E19" s="1810"/>
      <c r="F19" s="1810"/>
      <c r="G19" s="1810"/>
      <c r="H19" s="1810"/>
      <c r="I19" s="1810"/>
    </row>
    <row r="20" spans="1:9" ht="18.75" customHeight="1">
      <c r="A20" s="193"/>
      <c r="B20" s="193"/>
      <c r="C20" s="193"/>
      <c r="D20" s="193"/>
      <c r="E20" s="193"/>
      <c r="F20" s="193"/>
      <c r="G20" s="193"/>
      <c r="H20" s="193"/>
      <c r="I20" s="193"/>
    </row>
    <row r="21" spans="1:9" ht="18.75" customHeight="1">
      <c r="A21" s="193"/>
      <c r="B21" s="193"/>
      <c r="C21" s="193"/>
      <c r="D21" s="193"/>
      <c r="E21" s="193"/>
      <c r="F21" s="193"/>
      <c r="G21" s="193"/>
      <c r="H21" s="193"/>
      <c r="I21" s="193"/>
    </row>
    <row r="22" spans="1:9" ht="18.75" customHeight="1">
      <c r="A22" s="193"/>
      <c r="B22" s="193"/>
      <c r="C22" s="193"/>
      <c r="D22" s="193"/>
      <c r="E22" s="193"/>
      <c r="F22" s="193"/>
      <c r="G22" s="193"/>
      <c r="H22" s="193"/>
      <c r="I22" s="193"/>
    </row>
  </sheetData>
  <mergeCells count="8">
    <mergeCell ref="A18:I18"/>
    <mergeCell ref="A19:I19"/>
    <mergeCell ref="A1:I1"/>
    <mergeCell ref="A2:C2"/>
    <mergeCell ref="F2:I2"/>
    <mergeCell ref="A3:I3"/>
    <mergeCell ref="A4:D4"/>
    <mergeCell ref="E4:G4"/>
  </mergeCells>
  <pageMargins left="0.5" right="0.52" top="0.75" bottom="0.75" header="0.3" footer="0.3"/>
  <pageSetup paperSize="9" scale="110" orientation="portrait" verticalDpi="0" r:id="rId1"/>
</worksheet>
</file>

<file path=xl/worksheets/sheet50.xml><?xml version="1.0" encoding="utf-8"?>
<worksheet xmlns="http://schemas.openxmlformats.org/spreadsheetml/2006/main" xmlns:r="http://schemas.openxmlformats.org/officeDocument/2006/relationships">
  <sheetPr>
    <tabColor rgb="FF00B050"/>
  </sheetPr>
  <dimension ref="A1:R22"/>
  <sheetViews>
    <sheetView zoomScaleSheetLayoutView="100" workbookViewId="0">
      <selection activeCell="J2" sqref="J2"/>
    </sheetView>
  </sheetViews>
  <sheetFormatPr defaultColWidth="9.140625" defaultRowHeight="15"/>
  <cols>
    <col min="1" max="8" width="9.140625" style="186"/>
    <col min="9" max="9" width="8.28515625" style="186" customWidth="1"/>
    <col min="10" max="16384" width="9.140625" style="186"/>
  </cols>
  <sheetData>
    <row r="1" spans="1:18" ht="26.25" customHeight="1">
      <c r="A1" s="1811" t="s">
        <v>764</v>
      </c>
      <c r="B1" s="1811"/>
      <c r="C1" s="1811"/>
      <c r="D1" s="1811"/>
      <c r="E1" s="1811"/>
      <c r="F1" s="1811"/>
      <c r="G1" s="1811"/>
      <c r="H1" s="1811"/>
      <c r="I1" s="1811"/>
    </row>
    <row r="2" spans="1:18" ht="18" customHeight="1">
      <c r="A2" s="1812" t="s">
        <v>765</v>
      </c>
      <c r="B2" s="1812"/>
      <c r="C2" s="1812"/>
      <c r="D2" s="194">
        <f>'voucer part (2)'!K14+'voucer part (2)'!K15</f>
        <v>3000</v>
      </c>
      <c r="E2" s="187" t="s">
        <v>766</v>
      </c>
      <c r="F2" s="1813" t="s">
        <v>3995</v>
      </c>
      <c r="G2" s="1813"/>
      <c r="H2" s="1813"/>
      <c r="I2" s="1813"/>
      <c r="K2" s="188"/>
      <c r="L2" s="188"/>
    </row>
    <row r="3" spans="1:18" ht="47.25" customHeight="1">
      <c r="A3" s="1809" t="str">
        <f>'1 (2)'!A3:I3</f>
        <v>Payment towards the work Providing Additional Space for Health Staff in Grama Sachivalayam of Baduguleru GP of Kanigiri Mandal with Estimate cost for Rs. 20.80 Lakhs under MGNREGS + Health Dept + NMH +15th FC Grant during the year 2019-20</v>
      </c>
      <c r="B3" s="1809"/>
      <c r="C3" s="1809"/>
      <c r="D3" s="1809"/>
      <c r="E3" s="1809"/>
      <c r="F3" s="1809"/>
      <c r="G3" s="1809"/>
      <c r="H3" s="1809"/>
      <c r="I3" s="1809"/>
      <c r="J3" s="189"/>
      <c r="K3" s="189"/>
      <c r="L3" s="189"/>
      <c r="M3" s="189"/>
      <c r="N3" s="189"/>
      <c r="O3" s="189"/>
      <c r="P3" s="189"/>
      <c r="Q3" s="189"/>
      <c r="R3" s="189"/>
    </row>
    <row r="4" spans="1:18" ht="18" customHeight="1">
      <c r="A4" s="1814" t="s">
        <v>767</v>
      </c>
      <c r="B4" s="1814"/>
      <c r="C4" s="1814"/>
      <c r="D4" s="1814"/>
      <c r="E4" s="1815" t="s">
        <v>771</v>
      </c>
      <c r="F4" s="1815"/>
      <c r="G4" s="1815"/>
      <c r="H4" s="190">
        <f>'voucer part (2)'!D14+'voucer part (2)'!D15</f>
        <v>0.15000000000000036</v>
      </c>
      <c r="I4" s="191" t="s">
        <v>5</v>
      </c>
      <c r="K4" s="188"/>
      <c r="L4" s="188"/>
    </row>
    <row r="5" spans="1:18" ht="18" customHeight="1">
      <c r="A5" s="192"/>
      <c r="B5" s="192"/>
      <c r="C5" s="192"/>
      <c r="D5" s="192"/>
      <c r="E5" s="192"/>
      <c r="F5" s="192"/>
      <c r="G5" s="192"/>
      <c r="H5" s="192"/>
      <c r="I5" s="192"/>
      <c r="K5" s="188"/>
      <c r="L5" s="188"/>
    </row>
    <row r="6" spans="1:18" ht="18" customHeight="1">
      <c r="A6" s="192"/>
      <c r="B6" s="192"/>
      <c r="C6" s="192"/>
      <c r="D6" s="192"/>
      <c r="E6" s="192"/>
      <c r="F6" s="192"/>
      <c r="G6" s="192"/>
      <c r="H6" s="192"/>
      <c r="I6" s="192"/>
      <c r="K6" s="188"/>
      <c r="L6" s="188"/>
    </row>
    <row r="7" spans="1:18" ht="18" customHeight="1">
      <c r="A7" s="192"/>
      <c r="B7" s="192"/>
      <c r="C7" s="192"/>
      <c r="D7" s="192"/>
      <c r="E7" s="192"/>
      <c r="F7" s="192"/>
      <c r="G7" s="192"/>
      <c r="H7" s="192"/>
      <c r="I7" s="192"/>
      <c r="K7" s="188"/>
      <c r="L7" s="188"/>
    </row>
    <row r="13" spans="1:18">
      <c r="B13" s="186" t="s">
        <v>769</v>
      </c>
      <c r="H13" s="186" t="s">
        <v>770</v>
      </c>
    </row>
    <row r="18" spans="1:9" ht="18.75" customHeight="1">
      <c r="A18" s="1809" t="s">
        <v>1142</v>
      </c>
      <c r="B18" s="1809"/>
      <c r="C18" s="1809"/>
      <c r="D18" s="1809"/>
      <c r="E18" s="1809"/>
      <c r="F18" s="1809"/>
      <c r="G18" s="1809"/>
      <c r="H18" s="1809"/>
      <c r="I18" s="1809"/>
    </row>
    <row r="19" spans="1:9" ht="45.75" customHeight="1">
      <c r="A19" s="1810" t="str">
        <f>'1 (2)'!A19:I19</f>
        <v>Providing Additional Space for Health Staff in Grama Sachivalayam of Baduguleru GP of Kanigiri Mandal with Estimate Rs. 20.80 Lakhs under MGNREGS + Health Dept + NMH +15th FC Grant during the year 2019-20</v>
      </c>
      <c r="B19" s="1810"/>
      <c r="C19" s="1810"/>
      <c r="D19" s="1810"/>
      <c r="E19" s="1810"/>
      <c r="F19" s="1810"/>
      <c r="G19" s="1810"/>
      <c r="H19" s="1810"/>
      <c r="I19" s="1810"/>
    </row>
    <row r="20" spans="1:9" ht="18.75" customHeight="1">
      <c r="A20" s="193"/>
      <c r="B20" s="193"/>
      <c r="C20" s="193"/>
      <c r="D20" s="193"/>
      <c r="E20" s="193"/>
      <c r="F20" s="193"/>
      <c r="G20" s="193"/>
      <c r="H20" s="193"/>
      <c r="I20" s="193"/>
    </row>
    <row r="21" spans="1:9" ht="18.75" customHeight="1">
      <c r="A21" s="193"/>
      <c r="B21" s="193"/>
      <c r="C21" s="193"/>
      <c r="D21" s="193"/>
      <c r="E21" s="193"/>
      <c r="F21" s="193"/>
      <c r="G21" s="193"/>
      <c r="H21" s="193"/>
      <c r="I21" s="193"/>
    </row>
    <row r="22" spans="1:9" ht="18.75" customHeight="1">
      <c r="A22" s="193"/>
      <c r="B22" s="193"/>
      <c r="C22" s="193"/>
      <c r="D22" s="193"/>
      <c r="E22" s="193"/>
      <c r="F22" s="193"/>
      <c r="G22" s="193"/>
      <c r="H22" s="193"/>
      <c r="I22" s="193"/>
    </row>
  </sheetData>
  <mergeCells count="8">
    <mergeCell ref="A18:I18"/>
    <mergeCell ref="A19:I19"/>
    <mergeCell ref="A1:I1"/>
    <mergeCell ref="A2:C2"/>
    <mergeCell ref="F2:I2"/>
    <mergeCell ref="A3:I3"/>
    <mergeCell ref="A4:D4"/>
    <mergeCell ref="E4:G4"/>
  </mergeCells>
  <pageMargins left="0.5" right="0.52" top="0.75" bottom="0.75" header="0.3" footer="0.3"/>
  <pageSetup paperSize="9" scale="110" orientation="portrait" verticalDpi="0" r:id="rId1"/>
</worksheet>
</file>

<file path=xl/worksheets/sheet51.xml><?xml version="1.0" encoding="utf-8"?>
<worksheet xmlns="http://schemas.openxmlformats.org/spreadsheetml/2006/main" xmlns:r="http://schemas.openxmlformats.org/officeDocument/2006/relationships">
  <sheetPr>
    <tabColor rgb="FF00B050"/>
  </sheetPr>
  <dimension ref="A1:R22"/>
  <sheetViews>
    <sheetView zoomScaleSheetLayoutView="100" workbookViewId="0">
      <selection activeCell="H25" sqref="H25"/>
    </sheetView>
  </sheetViews>
  <sheetFormatPr defaultColWidth="9.140625" defaultRowHeight="15"/>
  <cols>
    <col min="1" max="8" width="9.140625" style="186"/>
    <col min="9" max="9" width="8.28515625" style="186" customWidth="1"/>
    <col min="10" max="16384" width="9.140625" style="186"/>
  </cols>
  <sheetData>
    <row r="1" spans="1:18" ht="26.25" customHeight="1">
      <c r="A1" s="1811" t="s">
        <v>764</v>
      </c>
      <c r="B1" s="1811"/>
      <c r="C1" s="1811"/>
      <c r="D1" s="1811"/>
      <c r="E1" s="1811"/>
      <c r="F1" s="1811"/>
      <c r="G1" s="1811"/>
      <c r="H1" s="1811"/>
      <c r="I1" s="1811"/>
    </row>
    <row r="2" spans="1:18" ht="18" customHeight="1">
      <c r="A2" s="1812" t="s">
        <v>765</v>
      </c>
      <c r="B2" s="1812"/>
      <c r="C2" s="1812"/>
      <c r="D2" s="194">
        <f>'voucer part (2)'!K20+'voucer part (2)'!K21</f>
        <v>0</v>
      </c>
      <c r="E2" s="187" t="s">
        <v>766</v>
      </c>
      <c r="F2" s="1813" t="s">
        <v>2464</v>
      </c>
      <c r="G2" s="1813"/>
      <c r="H2" s="1813"/>
      <c r="I2" s="1813"/>
      <c r="K2" s="188"/>
      <c r="L2" s="188"/>
    </row>
    <row r="3" spans="1:18" ht="47.25" customHeight="1">
      <c r="A3" s="1809" t="str">
        <f>'2 (2)'!A3:I3</f>
        <v>Payment towards the work Providing Additional Space for Health Staff in Grama Sachivalayam of Baduguleru GP of Kanigiri Mandal with Estimate cost for Rs. 20.80 Lakhs under MGNREGS + Health Dept + NMH +15th FC Grant during the year 2019-20</v>
      </c>
      <c r="B3" s="1809"/>
      <c r="C3" s="1809"/>
      <c r="D3" s="1809"/>
      <c r="E3" s="1809"/>
      <c r="F3" s="1809"/>
      <c r="G3" s="1809"/>
      <c r="H3" s="1809"/>
      <c r="I3" s="1809"/>
      <c r="J3" s="189"/>
      <c r="K3" s="189"/>
      <c r="L3" s="189"/>
      <c r="M3" s="189"/>
      <c r="N3" s="189"/>
      <c r="O3" s="189"/>
      <c r="P3" s="189"/>
      <c r="Q3" s="189"/>
      <c r="R3" s="189"/>
    </row>
    <row r="4" spans="1:18" ht="18" customHeight="1">
      <c r="A4" s="1814" t="s">
        <v>767</v>
      </c>
      <c r="B4" s="1814"/>
      <c r="C4" s="1814"/>
      <c r="D4" s="1814"/>
      <c r="E4" s="1815" t="s">
        <v>109</v>
      </c>
      <c r="F4" s="1815"/>
      <c r="G4" s="1815"/>
      <c r="H4" s="190">
        <f>'voucer part (2)'!D20+'voucer part (2)'!D21</f>
        <v>0</v>
      </c>
      <c r="I4" s="191" t="s">
        <v>5</v>
      </c>
      <c r="K4" s="188"/>
      <c r="L4" s="188"/>
    </row>
    <row r="5" spans="1:18" ht="18" customHeight="1">
      <c r="A5" s="192"/>
      <c r="B5" s="192"/>
      <c r="C5" s="192"/>
      <c r="D5" s="192"/>
      <c r="E5" s="192"/>
      <c r="F5" s="192"/>
      <c r="G5" s="192"/>
      <c r="H5" s="192"/>
      <c r="I5" s="192"/>
      <c r="K5" s="188"/>
      <c r="L5" s="188"/>
    </row>
    <row r="6" spans="1:18" ht="18" customHeight="1">
      <c r="A6" s="192"/>
      <c r="B6" s="192"/>
      <c r="C6" s="192"/>
      <c r="D6" s="192"/>
      <c r="E6" s="192"/>
      <c r="F6" s="192"/>
      <c r="G6" s="192"/>
      <c r="H6" s="192"/>
      <c r="I6" s="192"/>
      <c r="K6" s="188"/>
      <c r="L6" s="188"/>
    </row>
    <row r="7" spans="1:18" ht="18" customHeight="1">
      <c r="A7" s="192"/>
      <c r="B7" s="192"/>
      <c r="C7" s="192"/>
      <c r="D7" s="192"/>
      <c r="E7" s="192"/>
      <c r="F7" s="192"/>
      <c r="G7" s="192"/>
      <c r="H7" s="192"/>
      <c r="I7" s="192"/>
      <c r="K7" s="188"/>
      <c r="L7" s="188"/>
    </row>
    <row r="13" spans="1:18">
      <c r="B13" s="186" t="s">
        <v>769</v>
      </c>
      <c r="H13" s="186" t="s">
        <v>770</v>
      </c>
    </row>
    <row r="18" spans="1:9" ht="18.75" customHeight="1">
      <c r="A18" s="1809" t="s">
        <v>1142</v>
      </c>
      <c r="B18" s="1809"/>
      <c r="C18" s="1809"/>
      <c r="D18" s="1809"/>
      <c r="E18" s="1809"/>
      <c r="F18" s="1809"/>
      <c r="G18" s="1809"/>
      <c r="H18" s="1809"/>
      <c r="I18" s="1809"/>
    </row>
    <row r="19" spans="1:9" ht="45.75" customHeight="1">
      <c r="A19" s="1810" t="str">
        <f>'2 (2)'!A19:I19</f>
        <v>Providing Additional Space for Health Staff in Grama Sachivalayam of Baduguleru GP of Kanigiri Mandal with Estimate Rs. 20.80 Lakhs under MGNREGS + Health Dept + NMH +15th FC Grant during the year 2019-20</v>
      </c>
      <c r="B19" s="1810"/>
      <c r="C19" s="1810"/>
      <c r="D19" s="1810"/>
      <c r="E19" s="1810"/>
      <c r="F19" s="1810"/>
      <c r="G19" s="1810"/>
      <c r="H19" s="1810"/>
      <c r="I19" s="1810"/>
    </row>
    <row r="20" spans="1:9" ht="18.75" customHeight="1">
      <c r="A20" s="193"/>
      <c r="B20" s="193"/>
      <c r="C20" s="193"/>
      <c r="D20" s="193"/>
      <c r="E20" s="193"/>
      <c r="F20" s="193"/>
      <c r="G20" s="193"/>
      <c r="H20" s="193"/>
      <c r="I20" s="193"/>
    </row>
    <row r="21" spans="1:9" ht="18.75" customHeight="1">
      <c r="A21" s="193"/>
      <c r="B21" s="193"/>
      <c r="C21" s="193"/>
      <c r="D21" s="193"/>
      <c r="E21" s="193"/>
      <c r="F21" s="193"/>
      <c r="G21" s="193"/>
      <c r="H21" s="193"/>
      <c r="I21" s="193"/>
    </row>
    <row r="22" spans="1:9" ht="18.75" customHeight="1">
      <c r="A22" s="193"/>
      <c r="B22" s="193"/>
      <c r="C22" s="193"/>
      <c r="D22" s="193"/>
      <c r="E22" s="193"/>
      <c r="F22" s="193"/>
      <c r="G22" s="193"/>
      <c r="H22" s="193"/>
      <c r="I22" s="193"/>
    </row>
  </sheetData>
  <mergeCells count="8">
    <mergeCell ref="A18:I18"/>
    <mergeCell ref="A19:I19"/>
    <mergeCell ref="A1:I1"/>
    <mergeCell ref="A2:C2"/>
    <mergeCell ref="F2:I2"/>
    <mergeCell ref="A3:I3"/>
    <mergeCell ref="A4:D4"/>
    <mergeCell ref="E4:G4"/>
  </mergeCells>
  <pageMargins left="0.5" right="0.52" top="0.75" bottom="0.75" header="0.3" footer="0.3"/>
  <pageSetup paperSize="9" scale="110" orientation="portrait" verticalDpi="0" r:id="rId1"/>
</worksheet>
</file>

<file path=xl/worksheets/sheet52.xml><?xml version="1.0" encoding="utf-8"?>
<worksheet xmlns="http://schemas.openxmlformats.org/spreadsheetml/2006/main" xmlns:r="http://schemas.openxmlformats.org/officeDocument/2006/relationships">
  <sheetPr>
    <tabColor rgb="FF00B050"/>
  </sheetPr>
  <dimension ref="A1:R22"/>
  <sheetViews>
    <sheetView zoomScaleSheetLayoutView="100" workbookViewId="0">
      <selection activeCell="G6" sqref="G6"/>
    </sheetView>
  </sheetViews>
  <sheetFormatPr defaultColWidth="9.140625" defaultRowHeight="15"/>
  <cols>
    <col min="1" max="3" width="9.140625" style="186"/>
    <col min="4" max="4" width="9.5703125" style="186" bestFit="1" customWidth="1"/>
    <col min="5" max="8" width="9.140625" style="186"/>
    <col min="9" max="9" width="8.28515625" style="186" customWidth="1"/>
    <col min="10" max="16384" width="9.140625" style="186"/>
  </cols>
  <sheetData>
    <row r="1" spans="1:18" ht="26.25" customHeight="1">
      <c r="A1" s="1811" t="s">
        <v>764</v>
      </c>
      <c r="B1" s="1811"/>
      <c r="C1" s="1811"/>
      <c r="D1" s="1811"/>
      <c r="E1" s="1811"/>
      <c r="F1" s="1811"/>
      <c r="G1" s="1811"/>
      <c r="H1" s="1811"/>
      <c r="I1" s="1811"/>
    </row>
    <row r="2" spans="1:18" ht="18" customHeight="1">
      <c r="A2" s="1812" t="s">
        <v>765</v>
      </c>
      <c r="B2" s="1812"/>
      <c r="C2" s="1812"/>
      <c r="D2" s="194">
        <f>'voucer part (2)'!K22</f>
        <v>0</v>
      </c>
      <c r="E2" s="187" t="s">
        <v>766</v>
      </c>
      <c r="F2" s="1813" t="s">
        <v>1139</v>
      </c>
      <c r="G2" s="1813"/>
      <c r="H2" s="1813"/>
      <c r="I2" s="1813"/>
      <c r="K2" s="188"/>
      <c r="L2" s="188"/>
    </row>
    <row r="3" spans="1:18" ht="47.25" customHeight="1">
      <c r="A3" s="1809" t="str">
        <f>'3 (2)'!A3:I3</f>
        <v>Payment towards the work Providing Additional Space for Health Staff in Grama Sachivalayam of Baduguleru GP of Kanigiri Mandal with Estimate cost for Rs. 20.80 Lakhs under MGNREGS + Health Dept + NMH +15th FC Grant during the year 2019-20</v>
      </c>
      <c r="B3" s="1809"/>
      <c r="C3" s="1809"/>
      <c r="D3" s="1809"/>
      <c r="E3" s="1809"/>
      <c r="F3" s="1809"/>
      <c r="G3" s="1809"/>
      <c r="H3" s="1809"/>
      <c r="I3" s="1809"/>
      <c r="J3" s="189"/>
      <c r="K3" s="189"/>
      <c r="L3" s="189"/>
      <c r="M3" s="189"/>
      <c r="N3" s="189"/>
      <c r="O3" s="189"/>
      <c r="P3" s="189"/>
      <c r="Q3" s="189"/>
      <c r="R3" s="189"/>
    </row>
    <row r="4" spans="1:18" ht="18" customHeight="1">
      <c r="A4" s="1814" t="s">
        <v>767</v>
      </c>
      <c r="B4" s="1814"/>
      <c r="C4" s="1814"/>
      <c r="D4" s="1814"/>
      <c r="E4" s="1815" t="s">
        <v>772</v>
      </c>
      <c r="F4" s="1815"/>
      <c r="G4" s="1815"/>
      <c r="H4" s="190">
        <f>'voucer part (2)'!D22</f>
        <v>0</v>
      </c>
      <c r="I4" s="191" t="s">
        <v>29</v>
      </c>
      <c r="K4" s="188"/>
      <c r="L4" s="188"/>
    </row>
    <row r="5" spans="1:18" ht="18" customHeight="1">
      <c r="A5" s="192"/>
      <c r="B5" s="192"/>
      <c r="C5" s="192"/>
      <c r="D5" s="192"/>
      <c r="E5" s="192"/>
      <c r="F5" s="192"/>
      <c r="G5" s="192"/>
      <c r="H5" s="192"/>
      <c r="I5" s="192"/>
      <c r="K5" s="188"/>
      <c r="L5" s="188"/>
    </row>
    <row r="6" spans="1:18" ht="18" customHeight="1">
      <c r="A6" s="192"/>
      <c r="B6" s="192"/>
      <c r="C6" s="192"/>
      <c r="D6" s="192"/>
      <c r="E6" s="192"/>
      <c r="F6" s="192"/>
      <c r="G6" s="192"/>
      <c r="H6" s="192"/>
      <c r="I6" s="192"/>
      <c r="K6" s="188"/>
      <c r="L6" s="188"/>
    </row>
    <row r="7" spans="1:18" ht="18" customHeight="1">
      <c r="A7" s="192"/>
      <c r="B7" s="192"/>
      <c r="C7" s="192"/>
      <c r="D7" s="192"/>
      <c r="E7" s="192"/>
      <c r="F7" s="192"/>
      <c r="G7" s="192"/>
      <c r="H7" s="192"/>
      <c r="I7" s="192"/>
      <c r="K7" s="188"/>
      <c r="L7" s="188"/>
    </row>
    <row r="13" spans="1:18">
      <c r="B13" s="186" t="s">
        <v>769</v>
      </c>
      <c r="H13" s="186" t="s">
        <v>770</v>
      </c>
    </row>
    <row r="18" spans="1:9" ht="18.75" customHeight="1">
      <c r="A18" s="1809" t="s">
        <v>1142</v>
      </c>
      <c r="B18" s="1809"/>
      <c r="C18" s="1809"/>
      <c r="D18" s="1809"/>
      <c r="E18" s="1809"/>
      <c r="F18" s="1809"/>
      <c r="G18" s="1809"/>
      <c r="H18" s="1809"/>
      <c r="I18" s="1809"/>
    </row>
    <row r="19" spans="1:9" ht="45.75" customHeight="1">
      <c r="A19" s="1810" t="str">
        <f>'3 (2)'!A19:I19</f>
        <v>Providing Additional Space for Health Staff in Grama Sachivalayam of Baduguleru GP of Kanigiri Mandal with Estimate Rs. 20.80 Lakhs under MGNREGS + Health Dept + NMH +15th FC Grant during the year 2019-20</v>
      </c>
      <c r="B19" s="1810"/>
      <c r="C19" s="1810"/>
      <c r="D19" s="1810"/>
      <c r="E19" s="1810"/>
      <c r="F19" s="1810"/>
      <c r="G19" s="1810"/>
      <c r="H19" s="1810"/>
      <c r="I19" s="1810"/>
    </row>
    <row r="20" spans="1:9" ht="18.75" customHeight="1">
      <c r="A20" s="193"/>
      <c r="B20" s="193"/>
      <c r="C20" s="193"/>
      <c r="D20" s="193"/>
      <c r="E20" s="193"/>
      <c r="F20" s="193"/>
      <c r="G20" s="193"/>
      <c r="H20" s="193"/>
      <c r="I20" s="193"/>
    </row>
    <row r="21" spans="1:9" ht="18.75" customHeight="1">
      <c r="A21" s="193"/>
      <c r="B21" s="193"/>
      <c r="C21" s="193"/>
      <c r="D21" s="193"/>
      <c r="E21" s="193"/>
      <c r="F21" s="193"/>
      <c r="G21" s="193"/>
      <c r="H21" s="193"/>
      <c r="I21" s="193"/>
    </row>
    <row r="22" spans="1:9" ht="18.75" customHeight="1">
      <c r="A22" s="193"/>
      <c r="B22" s="193"/>
      <c r="C22" s="193"/>
      <c r="D22" s="193"/>
      <c r="E22" s="193"/>
      <c r="F22" s="193"/>
      <c r="G22" s="193"/>
      <c r="H22" s="193"/>
      <c r="I22" s="193"/>
    </row>
  </sheetData>
  <mergeCells count="8">
    <mergeCell ref="A18:I18"/>
    <mergeCell ref="A19:I19"/>
    <mergeCell ref="A1:I1"/>
    <mergeCell ref="A2:C2"/>
    <mergeCell ref="F2:I2"/>
    <mergeCell ref="A3:I3"/>
    <mergeCell ref="A4:D4"/>
    <mergeCell ref="E4:G4"/>
  </mergeCells>
  <pageMargins left="0.5" right="0.52" top="0.75" bottom="0.75" header="0.3" footer="0.3"/>
  <pageSetup paperSize="9" scale="110" orientation="portrait" verticalDpi="0" r:id="rId1"/>
</worksheet>
</file>

<file path=xl/worksheets/sheet53.xml><?xml version="1.0" encoding="utf-8"?>
<worksheet xmlns="http://schemas.openxmlformats.org/spreadsheetml/2006/main" xmlns:r="http://schemas.openxmlformats.org/officeDocument/2006/relationships">
  <sheetPr>
    <tabColor rgb="FF00B050"/>
  </sheetPr>
  <dimension ref="A1:R22"/>
  <sheetViews>
    <sheetView zoomScale="130" zoomScaleNormal="130" zoomScaleSheetLayoutView="100" workbookViewId="0">
      <selection activeCell="J2" sqref="J2"/>
    </sheetView>
  </sheetViews>
  <sheetFormatPr defaultColWidth="9.140625" defaultRowHeight="15"/>
  <cols>
    <col min="1" max="3" width="9.140625" style="186"/>
    <col min="4" max="4" width="9.5703125" style="186" bestFit="1" customWidth="1"/>
    <col min="5" max="8" width="9.140625" style="186"/>
    <col min="9" max="9" width="8.28515625" style="186" customWidth="1"/>
    <col min="10" max="16384" width="9.140625" style="186"/>
  </cols>
  <sheetData>
    <row r="1" spans="1:18" ht="26.25" customHeight="1">
      <c r="A1" s="1811" t="s">
        <v>764</v>
      </c>
      <c r="B1" s="1811"/>
      <c r="C1" s="1811"/>
      <c r="D1" s="1811"/>
      <c r="E1" s="1811"/>
      <c r="F1" s="1811"/>
      <c r="G1" s="1811"/>
      <c r="H1" s="1811"/>
      <c r="I1" s="1811"/>
    </row>
    <row r="2" spans="1:18" ht="18" customHeight="1">
      <c r="A2" s="1812" t="s">
        <v>765</v>
      </c>
      <c r="B2" s="1812"/>
      <c r="C2" s="1812"/>
      <c r="D2" s="276">
        <f>'voucer part (2)'!K28</f>
        <v>36100</v>
      </c>
      <c r="E2" s="187" t="s">
        <v>766</v>
      </c>
      <c r="F2" s="1813" t="s">
        <v>3996</v>
      </c>
      <c r="G2" s="1813"/>
      <c r="H2" s="1813"/>
      <c r="I2" s="1813"/>
      <c r="K2" s="188"/>
      <c r="L2" s="188"/>
    </row>
    <row r="3" spans="1:18" ht="47.25" customHeight="1">
      <c r="A3" s="1809" t="str">
        <f>'4 (2)'!A3:I3</f>
        <v>Payment towards the work Providing Additional Space for Health Staff in Grama Sachivalayam of Baduguleru GP of Kanigiri Mandal with Estimate cost for Rs. 20.80 Lakhs under MGNREGS + Health Dept + NMH +15th FC Grant during the year 2019-20</v>
      </c>
      <c r="B3" s="1809"/>
      <c r="C3" s="1809"/>
      <c r="D3" s="1809"/>
      <c r="E3" s="1809"/>
      <c r="F3" s="1809"/>
      <c r="G3" s="1809"/>
      <c r="H3" s="1809"/>
      <c r="I3" s="1809"/>
      <c r="J3" s="189"/>
      <c r="K3" s="189"/>
      <c r="L3" s="189"/>
      <c r="M3" s="189"/>
      <c r="N3" s="189"/>
      <c r="O3" s="189"/>
      <c r="P3" s="189"/>
      <c r="Q3" s="189"/>
      <c r="R3" s="189"/>
    </row>
    <row r="4" spans="1:18" ht="18" customHeight="1">
      <c r="A4" s="1814" t="s">
        <v>767</v>
      </c>
      <c r="B4" s="1814"/>
      <c r="C4" s="1814"/>
      <c r="D4" s="1814"/>
      <c r="E4" s="1815" t="s">
        <v>773</v>
      </c>
      <c r="F4" s="1815"/>
      <c r="G4" s="1815"/>
      <c r="H4" s="1815"/>
      <c r="I4" s="1815"/>
      <c r="K4" s="188"/>
      <c r="L4" s="188"/>
    </row>
    <row r="5" spans="1:18" ht="18" customHeight="1">
      <c r="A5" s="192"/>
      <c r="B5" s="192"/>
      <c r="C5" s="192"/>
      <c r="D5" s="192"/>
      <c r="E5" s="192"/>
      <c r="F5" s="192"/>
      <c r="G5" s="192"/>
      <c r="H5" s="192"/>
      <c r="I5" s="192"/>
      <c r="K5" s="188"/>
      <c r="L5" s="188"/>
    </row>
    <row r="6" spans="1:18" ht="18" customHeight="1">
      <c r="A6" s="192"/>
      <c r="B6" s="192"/>
      <c r="C6" s="192"/>
      <c r="D6" s="192"/>
      <c r="E6" s="192"/>
      <c r="F6" s="192"/>
      <c r="G6" s="192"/>
      <c r="H6" s="192"/>
      <c r="I6" s="192"/>
      <c r="K6" s="188"/>
      <c r="L6" s="188"/>
    </row>
    <row r="7" spans="1:18" ht="18" customHeight="1">
      <c r="A7" s="192"/>
      <c r="B7" s="192"/>
      <c r="C7" s="192"/>
      <c r="D7" s="192"/>
      <c r="E7" s="192"/>
      <c r="F7" s="192"/>
      <c r="G7" s="192"/>
      <c r="H7" s="192"/>
      <c r="I7" s="192"/>
      <c r="K7" s="188"/>
      <c r="L7" s="188"/>
    </row>
    <row r="13" spans="1:18">
      <c r="B13" s="186" t="s">
        <v>769</v>
      </c>
      <c r="H13" s="186" t="s">
        <v>770</v>
      </c>
    </row>
    <row r="18" spans="1:9" ht="18.75" customHeight="1">
      <c r="A18" s="1809" t="s">
        <v>1142</v>
      </c>
      <c r="B18" s="1809"/>
      <c r="C18" s="1809"/>
      <c r="D18" s="1809"/>
      <c r="E18" s="1809"/>
      <c r="F18" s="1809"/>
      <c r="G18" s="1809"/>
      <c r="H18" s="1809"/>
      <c r="I18" s="1809"/>
    </row>
    <row r="19" spans="1:9" ht="45.75" customHeight="1">
      <c r="A19" s="1810" t="str">
        <f>'4 (2)'!A19:I19</f>
        <v>Providing Additional Space for Health Staff in Grama Sachivalayam of Baduguleru GP of Kanigiri Mandal with Estimate Rs. 20.80 Lakhs under MGNREGS + Health Dept + NMH +15th FC Grant during the year 2019-20</v>
      </c>
      <c r="B19" s="1810"/>
      <c r="C19" s="1810"/>
      <c r="D19" s="1810"/>
      <c r="E19" s="1810"/>
      <c r="F19" s="1810"/>
      <c r="G19" s="1810"/>
      <c r="H19" s="1810"/>
      <c r="I19" s="1810"/>
    </row>
    <row r="20" spans="1:9" ht="18.75" customHeight="1">
      <c r="A20" s="193"/>
      <c r="B20" s="193"/>
      <c r="C20" s="193"/>
      <c r="D20" s="193"/>
      <c r="E20" s="193"/>
      <c r="F20" s="193"/>
      <c r="G20" s="193"/>
      <c r="H20" s="193"/>
      <c r="I20" s="193"/>
    </row>
    <row r="21" spans="1:9" ht="18.75" customHeight="1">
      <c r="A21" s="193"/>
      <c r="B21" s="193"/>
      <c r="C21" s="193"/>
      <c r="D21" s="193"/>
      <c r="E21" s="193"/>
      <c r="F21" s="193"/>
      <c r="G21" s="193"/>
      <c r="H21" s="193"/>
      <c r="I21" s="193"/>
    </row>
    <row r="22" spans="1:9" ht="18.75" customHeight="1">
      <c r="A22" s="193"/>
      <c r="B22" s="193"/>
      <c r="C22" s="193"/>
      <c r="D22" s="193"/>
      <c r="E22" s="193"/>
      <c r="F22" s="193"/>
      <c r="G22" s="193"/>
      <c r="H22" s="193"/>
      <c r="I22" s="193"/>
    </row>
  </sheetData>
  <mergeCells count="8">
    <mergeCell ref="A18:I18"/>
    <mergeCell ref="A19:I19"/>
    <mergeCell ref="A1:I1"/>
    <mergeCell ref="A2:C2"/>
    <mergeCell ref="F2:I2"/>
    <mergeCell ref="A3:I3"/>
    <mergeCell ref="A4:D4"/>
    <mergeCell ref="E4:I4"/>
  </mergeCells>
  <pageMargins left="0.5" right="0.52" top="0.75" bottom="0.75" header="0.3" footer="0.3"/>
  <pageSetup paperSize="9" scale="110" orientation="portrait" verticalDpi="0" r:id="rId1"/>
</worksheet>
</file>

<file path=xl/worksheets/sheet54.xml><?xml version="1.0" encoding="utf-8"?>
<worksheet xmlns="http://schemas.openxmlformats.org/spreadsheetml/2006/main" xmlns:r="http://schemas.openxmlformats.org/officeDocument/2006/relationships">
  <sheetPr>
    <tabColor rgb="FF7030A0"/>
  </sheetPr>
  <dimension ref="A1:J25"/>
  <sheetViews>
    <sheetView tabSelected="1" zoomScale="130" zoomScaleNormal="130" workbookViewId="0">
      <selection activeCell="G11" sqref="G11"/>
    </sheetView>
  </sheetViews>
  <sheetFormatPr defaultColWidth="9.140625" defaultRowHeight="12.75"/>
  <cols>
    <col min="1" max="1" width="4" style="195" customWidth="1"/>
    <col min="2" max="2" width="10.42578125" style="195" customWidth="1"/>
    <col min="3" max="4" width="10.42578125" style="197" customWidth="1"/>
    <col min="5" max="5" width="10.7109375" style="197" customWidth="1"/>
    <col min="6" max="6" width="7.28515625" style="195" customWidth="1"/>
    <col min="7" max="7" width="10.42578125" style="195" customWidth="1"/>
    <col min="8" max="9" width="10.42578125" style="197" customWidth="1"/>
    <col min="10" max="10" width="10.7109375" style="197" customWidth="1"/>
    <col min="11" max="27" width="7.28515625" style="195" customWidth="1"/>
    <col min="28" max="16384" width="9.140625" style="195"/>
  </cols>
  <sheetData>
    <row r="1" spans="1:10" ht="13.5" thickTop="1">
      <c r="A1" s="248"/>
      <c r="B1" s="248"/>
      <c r="C1" s="249"/>
      <c r="D1" s="249"/>
      <c r="E1" s="249"/>
      <c r="G1" s="250"/>
      <c r="H1" s="251"/>
      <c r="I1" s="251"/>
      <c r="J1" s="252"/>
    </row>
    <row r="2" spans="1:10">
      <c r="A2" s="248"/>
      <c r="B2" s="248" t="s">
        <v>774</v>
      </c>
      <c r="C2" s="249"/>
      <c r="D2" s="249"/>
      <c r="E2" s="249"/>
      <c r="G2" s="253" t="s">
        <v>774</v>
      </c>
      <c r="J2" s="254"/>
    </row>
    <row r="3" spans="1:10">
      <c r="A3" s="248"/>
      <c r="B3" s="248"/>
      <c r="C3" s="249"/>
      <c r="D3" s="249"/>
      <c r="E3" s="249"/>
      <c r="G3" s="253"/>
      <c r="J3" s="254"/>
    </row>
    <row r="4" spans="1:10">
      <c r="A4" s="248"/>
      <c r="B4" s="1822" t="s">
        <v>775</v>
      </c>
      <c r="C4" s="1822"/>
      <c r="D4" s="1822"/>
      <c r="E4" s="1822"/>
      <c r="G4" s="1823" t="s">
        <v>775</v>
      </c>
      <c r="H4" s="1824"/>
      <c r="I4" s="1824"/>
      <c r="J4" s="1825"/>
    </row>
    <row r="5" spans="1:10">
      <c r="A5" s="248"/>
      <c r="B5" s="1826" t="s">
        <v>776</v>
      </c>
      <c r="C5" s="1826"/>
      <c r="D5" s="1826"/>
      <c r="E5" s="1826"/>
      <c r="G5" s="1827" t="s">
        <v>776</v>
      </c>
      <c r="H5" s="1828"/>
      <c r="I5" s="1828"/>
      <c r="J5" s="1829"/>
    </row>
    <row r="6" spans="1:10">
      <c r="A6" s="248"/>
      <c r="B6" s="1826" t="s">
        <v>777</v>
      </c>
      <c r="C6" s="1826"/>
      <c r="D6" s="1826"/>
      <c r="E6" s="1826"/>
      <c r="G6" s="1830" t="s">
        <v>778</v>
      </c>
      <c r="H6" s="1831"/>
      <c r="I6" s="1831"/>
      <c r="J6" s="1832"/>
    </row>
    <row r="7" spans="1:10">
      <c r="A7" s="248"/>
      <c r="B7" s="248"/>
      <c r="C7" s="249"/>
      <c r="D7" s="249"/>
      <c r="E7" s="249"/>
      <c r="G7" s="253"/>
      <c r="J7" s="254"/>
    </row>
    <row r="8" spans="1:10">
      <c r="A8" s="248"/>
      <c r="B8" s="255" t="s">
        <v>779</v>
      </c>
      <c r="C8" s="1816" t="str">
        <f>'C-1'!E13</f>
        <v>Grama Panchayat, Baduguleru</v>
      </c>
      <c r="D8" s="1816"/>
      <c r="E8" s="1816"/>
      <c r="G8" s="256" t="s">
        <v>779</v>
      </c>
      <c r="H8" s="1817" t="str">
        <f>C8</f>
        <v>Grama Panchayat, Baduguleru</v>
      </c>
      <c r="I8" s="1817"/>
      <c r="J8" s="1818"/>
    </row>
    <row r="9" spans="1:10">
      <c r="A9" s="248"/>
      <c r="B9" s="248"/>
      <c r="C9" s="1816"/>
      <c r="D9" s="1816"/>
      <c r="E9" s="1816"/>
      <c r="G9" s="253"/>
      <c r="H9" s="1817"/>
      <c r="I9" s="1817"/>
      <c r="J9" s="1818"/>
    </row>
    <row r="10" spans="1:10">
      <c r="A10" s="248"/>
      <c r="B10" s="248"/>
      <c r="C10" s="249"/>
      <c r="D10" s="249"/>
      <c r="E10" s="249"/>
      <c r="G10" s="253"/>
      <c r="J10" s="254"/>
    </row>
    <row r="11" spans="1:10" s="199" customFormat="1" ht="25.5" customHeight="1">
      <c r="A11" s="257"/>
      <c r="B11" s="258" t="s">
        <v>780</v>
      </c>
      <c r="C11" s="258" t="s">
        <v>758</v>
      </c>
      <c r="D11" s="258" t="s">
        <v>8</v>
      </c>
      <c r="E11" s="258" t="s">
        <v>10</v>
      </c>
      <c r="G11" s="259" t="s">
        <v>780</v>
      </c>
      <c r="H11" s="260" t="s">
        <v>758</v>
      </c>
      <c r="I11" s="260" t="s">
        <v>8</v>
      </c>
      <c r="J11" s="261" t="s">
        <v>10</v>
      </c>
    </row>
    <row r="12" spans="1:10" s="199" customFormat="1" ht="15.75" customHeight="1">
      <c r="A12" s="257"/>
      <c r="B12" s="258" t="s">
        <v>781</v>
      </c>
      <c r="C12" s="262"/>
      <c r="D12" s="262"/>
      <c r="E12" s="262"/>
      <c r="G12" s="259" t="s">
        <v>781</v>
      </c>
      <c r="H12" s="263">
        <f>'voucer part (2)'!H18</f>
        <v>0</v>
      </c>
      <c r="I12" s="263">
        <f>'voucer part (2)'!J18</f>
        <v>3900</v>
      </c>
      <c r="J12" s="264">
        <f>ROUND(H12*I12,0)</f>
        <v>0</v>
      </c>
    </row>
    <row r="13" spans="1:10" s="199" customFormat="1" ht="15.75" customHeight="1">
      <c r="A13" s="257"/>
      <c r="B13" s="258" t="s">
        <v>782</v>
      </c>
      <c r="C13" s="262"/>
      <c r="D13" s="262"/>
      <c r="E13" s="262"/>
      <c r="G13" s="259" t="s">
        <v>782</v>
      </c>
      <c r="H13" s="263">
        <f>'voucer part (2)'!H16</f>
        <v>0</v>
      </c>
      <c r="I13" s="263">
        <f>'voucer part (2)'!J16</f>
        <v>4900</v>
      </c>
      <c r="J13" s="264">
        <f>ROUND(H13*I13,0)</f>
        <v>0</v>
      </c>
    </row>
    <row r="14" spans="1:10" s="199" customFormat="1" ht="15.75" customHeight="1">
      <c r="A14" s="257"/>
      <c r="B14" s="258" t="s">
        <v>783</v>
      </c>
      <c r="C14" s="262"/>
      <c r="D14" s="262"/>
      <c r="E14" s="262"/>
      <c r="G14" s="259" t="s">
        <v>783</v>
      </c>
      <c r="H14" s="265"/>
      <c r="I14" s="265"/>
      <c r="J14" s="266"/>
    </row>
    <row r="15" spans="1:10" s="199" customFormat="1" ht="15.75" customHeight="1">
      <c r="A15" s="257"/>
      <c r="B15" s="258" t="s">
        <v>784</v>
      </c>
      <c r="C15" s="262"/>
      <c r="D15" s="262"/>
      <c r="E15" s="262"/>
      <c r="G15" s="259" t="s">
        <v>784</v>
      </c>
      <c r="H15" s="265"/>
      <c r="I15" s="265"/>
      <c r="J15" s="266"/>
    </row>
    <row r="16" spans="1:10" s="199" customFormat="1" ht="15.75" customHeight="1">
      <c r="A16" s="257"/>
      <c r="B16" s="267" t="s">
        <v>785</v>
      </c>
      <c r="C16" s="268"/>
      <c r="D16" s="268"/>
      <c r="E16" s="269">
        <f>ROUND(C16*D16,0)</f>
        <v>0</v>
      </c>
      <c r="G16" s="270" t="s">
        <v>785</v>
      </c>
      <c r="H16" s="265"/>
      <c r="I16" s="265"/>
      <c r="J16" s="266"/>
    </row>
    <row r="17" spans="1:10" s="199" customFormat="1" ht="15.75" customHeight="1">
      <c r="A17" s="257"/>
      <c r="B17" s="267" t="s">
        <v>786</v>
      </c>
      <c r="C17" s="268"/>
      <c r="D17" s="268"/>
      <c r="E17" s="269"/>
      <c r="G17" s="270" t="s">
        <v>786</v>
      </c>
      <c r="H17" s="265"/>
      <c r="I17" s="265"/>
      <c r="J17" s="266"/>
    </row>
    <row r="18" spans="1:10" s="199" customFormat="1" ht="15.75" customHeight="1">
      <c r="A18" s="257"/>
      <c r="B18" s="258" t="s">
        <v>787</v>
      </c>
      <c r="C18" s="268"/>
      <c r="D18" s="268"/>
      <c r="E18" s="269"/>
      <c r="G18" s="259" t="s">
        <v>787</v>
      </c>
      <c r="H18" s="265"/>
      <c r="I18" s="265"/>
      <c r="J18" s="266"/>
    </row>
    <row r="19" spans="1:10" s="199" customFormat="1" ht="15.75" customHeight="1">
      <c r="A19" s="257"/>
      <c r="B19" s="258" t="s">
        <v>117</v>
      </c>
      <c r="C19" s="262"/>
      <c r="D19" s="262"/>
      <c r="E19" s="271">
        <f>SUM(E12:E18)</f>
        <v>0</v>
      </c>
      <c r="G19" s="259" t="s">
        <v>117</v>
      </c>
      <c r="H19" s="265"/>
      <c r="I19" s="265"/>
      <c r="J19" s="272">
        <f>SUM(J12:J18)</f>
        <v>0</v>
      </c>
    </row>
    <row r="20" spans="1:10" ht="15.75" customHeight="1">
      <c r="A20" s="248"/>
      <c r="B20" s="248"/>
      <c r="C20" s="249"/>
      <c r="D20" s="249"/>
      <c r="E20" s="249"/>
      <c r="G20" s="253"/>
      <c r="J20" s="254"/>
    </row>
    <row r="21" spans="1:10" ht="15.75" customHeight="1">
      <c r="A21" s="248"/>
      <c r="B21" s="248"/>
      <c r="C21" s="249"/>
      <c r="D21" s="249"/>
      <c r="E21" s="249"/>
      <c r="G21" s="253"/>
      <c r="J21" s="254"/>
    </row>
    <row r="22" spans="1:10" ht="15.75" customHeight="1">
      <c r="A22" s="248"/>
      <c r="B22" s="248"/>
      <c r="C22" s="249"/>
      <c r="D22" s="249"/>
      <c r="E22" s="249"/>
      <c r="G22" s="253"/>
      <c r="J22" s="254"/>
    </row>
    <row r="23" spans="1:10" ht="15.75" customHeight="1">
      <c r="A23" s="248"/>
      <c r="B23" s="248"/>
      <c r="C23" s="249"/>
      <c r="D23" s="1819" t="s">
        <v>788</v>
      </c>
      <c r="E23" s="1819"/>
      <c r="G23" s="253"/>
      <c r="I23" s="1820" t="s">
        <v>788</v>
      </c>
      <c r="J23" s="1821"/>
    </row>
    <row r="24" spans="1:10" ht="15.75" customHeight="1" thickBot="1">
      <c r="B24" s="197"/>
      <c r="G24" s="273"/>
      <c r="H24" s="274"/>
      <c r="I24" s="274"/>
      <c r="J24" s="275"/>
    </row>
    <row r="25" spans="1:10" ht="13.5" thickTop="1"/>
  </sheetData>
  <mergeCells count="10">
    <mergeCell ref="C8:E9"/>
    <mergeCell ref="H8:J9"/>
    <mergeCell ref="D23:E23"/>
    <mergeCell ref="I23:J23"/>
    <mergeCell ref="B4:E4"/>
    <mergeCell ref="G4:J4"/>
    <mergeCell ref="B5:E5"/>
    <mergeCell ref="G5:J5"/>
    <mergeCell ref="B6:E6"/>
    <mergeCell ref="G6:J6"/>
  </mergeCells>
  <pageMargins left="0.43" right="0.4" top="0.41" bottom="0.75" header="0.3" footer="0.3"/>
  <pageSetup paperSize="9" orientation="portrait" verticalDpi="0" r:id="rId1"/>
  <drawing r:id="rId2"/>
</worksheet>
</file>

<file path=xl/worksheets/sheet55.xml><?xml version="1.0" encoding="utf-8"?>
<worksheet xmlns="http://schemas.openxmlformats.org/spreadsheetml/2006/main" xmlns:r="http://schemas.openxmlformats.org/officeDocument/2006/relationships">
  <sheetPr>
    <tabColor rgb="FF7030A0"/>
  </sheetPr>
  <dimension ref="B1:J16"/>
  <sheetViews>
    <sheetView zoomScale="115" zoomScaleNormal="115" workbookViewId="0">
      <selection activeCell="H25" sqref="H25"/>
    </sheetView>
  </sheetViews>
  <sheetFormatPr defaultColWidth="9.140625" defaultRowHeight="12.75"/>
  <cols>
    <col min="1" max="1" width="4" style="195" customWidth="1"/>
    <col min="2" max="2" width="10.42578125" style="195" customWidth="1"/>
    <col min="3" max="4" width="10.42578125" style="197" customWidth="1"/>
    <col min="5" max="5" width="10.7109375" style="197" customWidth="1"/>
    <col min="6" max="6" width="7.28515625" style="195" customWidth="1"/>
    <col min="7" max="7" width="10.42578125" style="195" customWidth="1"/>
    <col min="8" max="9" width="10.42578125" style="197" customWidth="1"/>
    <col min="10" max="10" width="10.7109375" style="197" customWidth="1"/>
    <col min="11" max="27" width="7.28515625" style="195" customWidth="1"/>
    <col min="28" max="16384" width="9.140625" style="195"/>
  </cols>
  <sheetData>
    <row r="1" spans="2:10" ht="27.75" customHeight="1">
      <c r="B1" s="1833" t="str">
        <f>'5 (2)'!A18</f>
        <v>Certified that the item was recorded vide page no.      of M.B.No.  ……………………….  for the work</v>
      </c>
      <c r="C1" s="1833"/>
      <c r="D1" s="1833"/>
      <c r="E1" s="1833"/>
      <c r="G1" s="1834" t="str">
        <f>B1</f>
        <v>Certified that the item was recorded vide page no.      of M.B.No.  ……………………….  for the work</v>
      </c>
      <c r="H1" s="1834"/>
      <c r="I1" s="1834"/>
      <c r="J1" s="1834"/>
    </row>
    <row r="2" spans="2:10" ht="84" customHeight="1">
      <c r="B2" s="1833" t="str">
        <f>'1 (2)'!A19</f>
        <v>Providing Additional Space for Health Staff in Grama Sachivalayam of Baduguleru GP of Kanigiri Mandal with Estimate Rs. 20.80 Lakhs under MGNREGS + Health Dept + NMH +15th FC Grant during the year 2019-20</v>
      </c>
      <c r="C2" s="1833"/>
      <c r="D2" s="1833"/>
      <c r="E2" s="1833"/>
      <c r="G2" s="1834" t="str">
        <f>B2</f>
        <v>Providing Additional Space for Health Staff in Grama Sachivalayam of Baduguleru GP of Kanigiri Mandal with Estimate Rs. 20.80 Lakhs under MGNREGS + Health Dept + NMH +15th FC Grant during the year 2019-20</v>
      </c>
      <c r="H2" s="1834"/>
      <c r="I2" s="1834"/>
      <c r="J2" s="1834"/>
    </row>
    <row r="3" spans="2:10">
      <c r="B3" s="1828"/>
      <c r="C3" s="1828"/>
      <c r="D3" s="1828"/>
      <c r="E3" s="1828"/>
      <c r="G3" s="1828"/>
      <c r="H3" s="1828"/>
      <c r="I3" s="1828"/>
      <c r="J3" s="1828"/>
    </row>
    <row r="5" spans="2:10">
      <c r="B5" s="196"/>
      <c r="G5" s="196"/>
    </row>
    <row r="8" spans="2:10" s="199" customFormat="1" ht="25.5" customHeight="1">
      <c r="B8" s="198"/>
      <c r="C8" s="198"/>
      <c r="D8" s="198"/>
      <c r="E8" s="198"/>
      <c r="G8" s="198"/>
      <c r="H8" s="198"/>
      <c r="I8" s="198"/>
      <c r="J8" s="198"/>
    </row>
    <row r="9" spans="2:10" s="199" customFormat="1" ht="25.5" customHeight="1">
      <c r="B9" s="198"/>
      <c r="C9" s="200"/>
      <c r="D9" s="200"/>
      <c r="E9" s="200"/>
      <c r="G9" s="198"/>
      <c r="H9" s="200"/>
      <c r="I9" s="200"/>
      <c r="J9" s="200"/>
    </row>
    <row r="10" spans="2:10" s="199" customFormat="1" ht="25.5" customHeight="1">
      <c r="B10" s="198"/>
      <c r="C10" s="200"/>
      <c r="D10" s="200"/>
      <c r="E10" s="200"/>
      <c r="G10" s="198"/>
      <c r="H10" s="200"/>
      <c r="I10" s="200"/>
      <c r="J10" s="200"/>
    </row>
    <row r="11" spans="2:10" s="199" customFormat="1" ht="25.5" customHeight="1">
      <c r="B11" s="198"/>
      <c r="C11" s="200"/>
      <c r="D11" s="200"/>
      <c r="E11" s="200"/>
      <c r="G11" s="198"/>
      <c r="H11" s="200"/>
      <c r="I11" s="200"/>
      <c r="J11" s="200"/>
    </row>
    <row r="12" spans="2:10" s="199" customFormat="1" ht="25.5" customHeight="1">
      <c r="B12" s="198"/>
      <c r="C12" s="200"/>
      <c r="D12" s="200"/>
      <c r="E12" s="200"/>
      <c r="G12" s="198"/>
      <c r="H12" s="200"/>
      <c r="I12" s="200"/>
      <c r="J12" s="200"/>
    </row>
    <row r="13" spans="2:10" s="199" customFormat="1" ht="25.5" customHeight="1">
      <c r="B13" s="201"/>
      <c r="C13" s="200"/>
      <c r="D13" s="200"/>
      <c r="E13" s="200"/>
      <c r="G13" s="201"/>
      <c r="H13" s="200"/>
      <c r="I13" s="200"/>
      <c r="J13" s="200"/>
    </row>
    <row r="14" spans="2:10" s="199" customFormat="1" ht="25.5" customHeight="1">
      <c r="B14" s="201"/>
      <c r="C14" s="200"/>
      <c r="D14" s="200"/>
      <c r="E14" s="200"/>
      <c r="G14" s="201"/>
      <c r="H14" s="200"/>
      <c r="I14" s="200"/>
      <c r="J14" s="200"/>
    </row>
    <row r="15" spans="2:10" s="199" customFormat="1" ht="25.5" customHeight="1">
      <c r="B15" s="198"/>
      <c r="C15" s="200"/>
      <c r="D15" s="200"/>
      <c r="E15" s="200"/>
      <c r="G15" s="198"/>
      <c r="H15" s="200"/>
      <c r="I15" s="200"/>
      <c r="J15" s="200"/>
    </row>
    <row r="16" spans="2:10" s="199" customFormat="1" ht="25.5" customHeight="1">
      <c r="B16" s="198"/>
      <c r="C16" s="200"/>
      <c r="D16" s="200"/>
      <c r="E16" s="200"/>
      <c r="G16" s="198"/>
      <c r="H16" s="200"/>
      <c r="I16" s="200"/>
      <c r="J16" s="200"/>
    </row>
  </sheetData>
  <mergeCells count="6">
    <mergeCell ref="B1:E1"/>
    <mergeCell ref="G1:J1"/>
    <mergeCell ref="B2:E2"/>
    <mergeCell ref="G2:J2"/>
    <mergeCell ref="B3:E3"/>
    <mergeCell ref="G3:J3"/>
  </mergeCells>
  <pageMargins left="0.18" right="0.43" top="0.75" bottom="0.16" header="0.3" footer="0.16"/>
  <pageSetup paperSize="9" orientation="portrait" verticalDpi="0" r:id="rId1"/>
</worksheet>
</file>

<file path=xl/worksheets/sheet56.xml><?xml version="1.0" encoding="utf-8"?>
<worksheet xmlns="http://schemas.openxmlformats.org/spreadsheetml/2006/main" xmlns:r="http://schemas.openxmlformats.org/officeDocument/2006/relationships">
  <sheetPr>
    <tabColor rgb="FF00B050"/>
  </sheetPr>
  <dimension ref="A1:F305"/>
  <sheetViews>
    <sheetView workbookViewId="0">
      <selection activeCell="G11" sqref="G11"/>
    </sheetView>
  </sheetViews>
  <sheetFormatPr defaultColWidth="9.140625" defaultRowHeight="15"/>
  <cols>
    <col min="1" max="1" width="9.140625" style="398"/>
    <col min="2" max="5" width="14.42578125" style="398" customWidth="1"/>
    <col min="6" max="6" width="11.7109375" style="398" customWidth="1"/>
    <col min="7" max="16384" width="9.140625" style="398"/>
  </cols>
  <sheetData>
    <row r="1" spans="1:6" ht="23.25">
      <c r="A1" s="1670" t="s">
        <v>2304</v>
      </c>
      <c r="B1" s="1670"/>
      <c r="C1" s="1670"/>
      <c r="D1" s="1670"/>
      <c r="E1" s="1670"/>
      <c r="F1" s="1670"/>
    </row>
    <row r="2" spans="1:6" ht="18">
      <c r="A2" s="399"/>
      <c r="B2" s="1671" t="s">
        <v>1638</v>
      </c>
      <c r="C2" s="1671"/>
      <c r="D2" s="1671"/>
      <c r="E2" s="399"/>
      <c r="F2" s="399"/>
    </row>
    <row r="3" spans="1:6" ht="15" customHeight="1">
      <c r="A3" s="1672" t="s">
        <v>253</v>
      </c>
      <c r="B3" s="400" t="s">
        <v>1639</v>
      </c>
      <c r="C3" s="400" t="s">
        <v>139</v>
      </c>
      <c r="D3" s="401" t="s">
        <v>1640</v>
      </c>
      <c r="E3" s="402" t="s">
        <v>1641</v>
      </c>
      <c r="F3" s="403"/>
    </row>
    <row r="4" spans="1:6" ht="42" customHeight="1">
      <c r="A4" s="1672"/>
      <c r="B4" s="404" t="s">
        <v>1642</v>
      </c>
      <c r="C4" s="404" t="s">
        <v>1642</v>
      </c>
      <c r="D4" s="404" t="s">
        <v>1642</v>
      </c>
      <c r="E4" s="405" t="s">
        <v>1643</v>
      </c>
      <c r="F4" s="406" t="s">
        <v>1644</v>
      </c>
    </row>
    <row r="5" spans="1:6">
      <c r="A5" s="407">
        <v>1</v>
      </c>
      <c r="B5" s="408">
        <v>2</v>
      </c>
      <c r="C5" s="407">
        <v>3</v>
      </c>
      <c r="D5" s="408">
        <v>4</v>
      </c>
      <c r="E5" s="407">
        <v>5</v>
      </c>
      <c r="F5" s="408">
        <v>6</v>
      </c>
    </row>
    <row r="6" spans="1:6" ht="18" customHeight="1">
      <c r="A6" s="409">
        <v>1</v>
      </c>
      <c r="B6" s="502">
        <v>33.700000000000003</v>
      </c>
      <c r="C6" s="502">
        <v>32.5</v>
      </c>
      <c r="D6" s="503">
        <v>54.1</v>
      </c>
      <c r="E6" s="410">
        <v>47.8</v>
      </c>
      <c r="F6" s="411"/>
    </row>
    <row r="7" spans="1:6" ht="18" customHeight="1">
      <c r="A7" s="409">
        <v>2</v>
      </c>
      <c r="B7" s="502">
        <v>47.2</v>
      </c>
      <c r="C7" s="502">
        <v>45.5</v>
      </c>
      <c r="D7" s="503">
        <v>75.8</v>
      </c>
      <c r="E7" s="410">
        <v>66.900000000000006</v>
      </c>
      <c r="F7" s="411"/>
    </row>
    <row r="8" spans="1:6" ht="18" customHeight="1">
      <c r="A8" s="409">
        <v>3</v>
      </c>
      <c r="B8" s="502">
        <v>62.9</v>
      </c>
      <c r="C8" s="502">
        <v>60.6</v>
      </c>
      <c r="D8" s="503">
        <v>101.1</v>
      </c>
      <c r="E8" s="410">
        <v>89.2</v>
      </c>
      <c r="F8" s="411"/>
    </row>
    <row r="9" spans="1:6" ht="18" customHeight="1">
      <c r="A9" s="409">
        <v>4</v>
      </c>
      <c r="B9" s="502">
        <v>76.400000000000006</v>
      </c>
      <c r="C9" s="502">
        <v>73.599999999999994</v>
      </c>
      <c r="D9" s="503">
        <v>122.7</v>
      </c>
      <c r="E9" s="410">
        <v>108.3</v>
      </c>
      <c r="F9" s="411"/>
    </row>
    <row r="10" spans="1:6" ht="18" customHeight="1">
      <c r="A10" s="412">
        <v>5</v>
      </c>
      <c r="B10" s="504">
        <v>89.9</v>
      </c>
      <c r="C10" s="504">
        <v>86.6</v>
      </c>
      <c r="D10" s="505">
        <v>144.4</v>
      </c>
      <c r="E10" s="410">
        <v>127.4</v>
      </c>
      <c r="F10" s="411"/>
    </row>
    <row r="11" spans="1:6" ht="18" customHeight="1">
      <c r="A11" s="409">
        <v>6</v>
      </c>
      <c r="B11" s="502">
        <v>103.4</v>
      </c>
      <c r="C11" s="502">
        <v>99.6</v>
      </c>
      <c r="D11" s="503">
        <v>166.1</v>
      </c>
      <c r="E11" s="503">
        <v>146.5</v>
      </c>
      <c r="F11" s="411"/>
    </row>
    <row r="12" spans="1:6" ht="18" customHeight="1">
      <c r="A12" s="409">
        <v>7</v>
      </c>
      <c r="B12" s="502">
        <v>116.9</v>
      </c>
      <c r="C12" s="502">
        <v>112.6</v>
      </c>
      <c r="D12" s="503">
        <v>187.79999999999998</v>
      </c>
      <c r="E12" s="503">
        <v>165.6</v>
      </c>
      <c r="F12" s="411"/>
    </row>
    <row r="13" spans="1:6" ht="18" customHeight="1">
      <c r="A13" s="409">
        <v>8</v>
      </c>
      <c r="B13" s="502">
        <v>130.4</v>
      </c>
      <c r="C13" s="502">
        <v>125.6</v>
      </c>
      <c r="D13" s="503">
        <v>209.49999999999997</v>
      </c>
      <c r="E13" s="503">
        <v>184.7</v>
      </c>
      <c r="F13" s="411"/>
    </row>
    <row r="14" spans="1:6" ht="18" customHeight="1">
      <c r="A14" s="409">
        <v>9</v>
      </c>
      <c r="B14" s="502">
        <v>143.9</v>
      </c>
      <c r="C14" s="502">
        <v>138.6</v>
      </c>
      <c r="D14" s="503">
        <v>231.19999999999996</v>
      </c>
      <c r="E14" s="503">
        <v>203.79999999999998</v>
      </c>
      <c r="F14" s="411"/>
    </row>
    <row r="15" spans="1:6" ht="18" customHeight="1">
      <c r="A15" s="409">
        <v>10</v>
      </c>
      <c r="B15" s="502">
        <v>157.4</v>
      </c>
      <c r="C15" s="502">
        <v>151.6</v>
      </c>
      <c r="D15" s="503">
        <v>252.89999999999995</v>
      </c>
      <c r="E15" s="503">
        <v>222.89999999999998</v>
      </c>
      <c r="F15" s="411"/>
    </row>
    <row r="16" spans="1:6" ht="18" customHeight="1">
      <c r="A16" s="409">
        <v>11</v>
      </c>
      <c r="B16" s="502">
        <v>170.9</v>
      </c>
      <c r="C16" s="502">
        <v>164.6</v>
      </c>
      <c r="D16" s="503">
        <v>274.59999999999997</v>
      </c>
      <c r="E16" s="503">
        <v>241.99999999999997</v>
      </c>
      <c r="F16" s="411"/>
    </row>
    <row r="17" spans="1:6" ht="18" customHeight="1">
      <c r="A17" s="409">
        <v>12</v>
      </c>
      <c r="B17" s="502">
        <v>184.4</v>
      </c>
      <c r="C17" s="502">
        <v>177.6</v>
      </c>
      <c r="D17" s="503">
        <v>296.29999999999995</v>
      </c>
      <c r="E17" s="503">
        <v>261.09999999999997</v>
      </c>
      <c r="F17" s="411"/>
    </row>
    <row r="18" spans="1:6" ht="18" customHeight="1">
      <c r="A18" s="409">
        <v>13</v>
      </c>
      <c r="B18" s="502">
        <v>197.9</v>
      </c>
      <c r="C18" s="502">
        <v>190.6</v>
      </c>
      <c r="D18" s="503">
        <v>317.99999999999994</v>
      </c>
      <c r="E18" s="503">
        <v>280.2</v>
      </c>
      <c r="F18" s="411"/>
    </row>
    <row r="19" spans="1:6" ht="18" customHeight="1">
      <c r="A19" s="409">
        <v>14</v>
      </c>
      <c r="B19" s="502">
        <v>211.4</v>
      </c>
      <c r="C19" s="502">
        <v>203.6</v>
      </c>
      <c r="D19" s="503">
        <v>339.69999999999993</v>
      </c>
      <c r="E19" s="503">
        <v>299.3</v>
      </c>
      <c r="F19" s="411"/>
    </row>
    <row r="20" spans="1:6" ht="18" customHeight="1">
      <c r="A20" s="409">
        <v>15</v>
      </c>
      <c r="B20" s="502">
        <v>224.9</v>
      </c>
      <c r="C20" s="502">
        <v>216.6</v>
      </c>
      <c r="D20" s="503">
        <v>361.39999999999992</v>
      </c>
      <c r="E20" s="503">
        <v>318.40000000000003</v>
      </c>
      <c r="F20" s="411"/>
    </row>
    <row r="21" spans="1:6" ht="18" customHeight="1">
      <c r="A21" s="409">
        <v>16</v>
      </c>
      <c r="B21" s="502">
        <v>238.4</v>
      </c>
      <c r="C21" s="502">
        <v>229.6</v>
      </c>
      <c r="D21" s="503">
        <v>383.09999999999991</v>
      </c>
      <c r="E21" s="503">
        <v>337.50000000000006</v>
      </c>
      <c r="F21" s="411"/>
    </row>
    <row r="22" spans="1:6" ht="18" customHeight="1">
      <c r="A22" s="409">
        <v>17</v>
      </c>
      <c r="B22" s="502">
        <v>251.9</v>
      </c>
      <c r="C22" s="502">
        <v>242.6</v>
      </c>
      <c r="D22" s="503">
        <v>404.7999999999999</v>
      </c>
      <c r="E22" s="503">
        <v>356.60000000000008</v>
      </c>
      <c r="F22" s="411"/>
    </row>
    <row r="23" spans="1:6" ht="18" customHeight="1">
      <c r="A23" s="409">
        <v>18</v>
      </c>
      <c r="B23" s="502">
        <v>265.39999999999998</v>
      </c>
      <c r="C23" s="502">
        <v>255.6</v>
      </c>
      <c r="D23" s="503">
        <v>426.49999999999989</v>
      </c>
      <c r="E23" s="503">
        <v>375.7000000000001</v>
      </c>
      <c r="F23" s="411"/>
    </row>
    <row r="24" spans="1:6" ht="18" customHeight="1">
      <c r="A24" s="409">
        <v>19</v>
      </c>
      <c r="B24" s="502">
        <v>278.89999999999998</v>
      </c>
      <c r="C24" s="502">
        <v>268.60000000000002</v>
      </c>
      <c r="D24" s="503">
        <v>448.19999999999987</v>
      </c>
      <c r="E24" s="503">
        <v>394.80000000000013</v>
      </c>
      <c r="F24" s="411"/>
    </row>
    <row r="25" spans="1:6" ht="18" customHeight="1">
      <c r="A25" s="409">
        <v>20</v>
      </c>
      <c r="B25" s="502">
        <v>292.39999999999998</v>
      </c>
      <c r="C25" s="502">
        <v>281.60000000000002</v>
      </c>
      <c r="D25" s="503">
        <v>469.89999999999986</v>
      </c>
      <c r="E25" s="503">
        <v>413.90000000000015</v>
      </c>
      <c r="F25" s="411"/>
    </row>
    <row r="26" spans="1:6" ht="18" customHeight="1">
      <c r="A26" s="409">
        <v>21</v>
      </c>
      <c r="B26" s="502">
        <v>305.89999999999998</v>
      </c>
      <c r="C26" s="502">
        <v>294.60000000000002</v>
      </c>
      <c r="D26" s="503">
        <v>491.59999999999985</v>
      </c>
      <c r="E26" s="503">
        <v>433.00000000000017</v>
      </c>
      <c r="F26" s="411"/>
    </row>
    <row r="27" spans="1:6" ht="18" customHeight="1">
      <c r="A27" s="409">
        <v>22</v>
      </c>
      <c r="B27" s="502">
        <v>319.39999999999998</v>
      </c>
      <c r="C27" s="502">
        <v>307.60000000000002</v>
      </c>
      <c r="D27" s="503">
        <v>513.29999999999984</v>
      </c>
      <c r="E27" s="503">
        <v>452.10000000000019</v>
      </c>
      <c r="F27" s="411"/>
    </row>
    <row r="28" spans="1:6" ht="18" customHeight="1">
      <c r="A28" s="409">
        <v>23</v>
      </c>
      <c r="B28" s="502">
        <v>332.9</v>
      </c>
      <c r="C28" s="502">
        <v>320.60000000000002</v>
      </c>
      <c r="D28" s="503">
        <v>534.99999999999989</v>
      </c>
      <c r="E28" s="503">
        <v>471.20000000000022</v>
      </c>
      <c r="F28" s="411"/>
    </row>
    <row r="29" spans="1:6" ht="18" customHeight="1">
      <c r="A29" s="409">
        <v>24</v>
      </c>
      <c r="B29" s="502">
        <v>346.4</v>
      </c>
      <c r="C29" s="502">
        <v>333.6</v>
      </c>
      <c r="D29" s="503">
        <v>556.69999999999993</v>
      </c>
      <c r="E29" s="503">
        <v>490.30000000000024</v>
      </c>
      <c r="F29" s="411"/>
    </row>
    <row r="30" spans="1:6" ht="18" customHeight="1">
      <c r="A30" s="409">
        <v>25</v>
      </c>
      <c r="B30" s="502">
        <v>359.9</v>
      </c>
      <c r="C30" s="502">
        <v>346.6</v>
      </c>
      <c r="D30" s="503">
        <v>578.4</v>
      </c>
      <c r="E30" s="503">
        <v>509.40000000000026</v>
      </c>
      <c r="F30" s="411"/>
    </row>
    <row r="31" spans="1:6" ht="18" customHeight="1">
      <c r="A31" s="409">
        <v>26</v>
      </c>
      <c r="B31" s="502">
        <v>373.4</v>
      </c>
      <c r="C31" s="502">
        <v>359.6</v>
      </c>
      <c r="D31" s="503">
        <v>600.1</v>
      </c>
      <c r="E31" s="503">
        <v>528.50000000000023</v>
      </c>
      <c r="F31" s="411"/>
    </row>
    <row r="32" spans="1:6" ht="18" customHeight="1">
      <c r="A32" s="409">
        <v>27</v>
      </c>
      <c r="B32" s="502">
        <v>386.9</v>
      </c>
      <c r="C32" s="502">
        <v>372.6</v>
      </c>
      <c r="D32" s="503">
        <v>621.80000000000007</v>
      </c>
      <c r="E32" s="503">
        <v>547.60000000000025</v>
      </c>
      <c r="F32" s="411"/>
    </row>
    <row r="33" spans="1:6" ht="18" customHeight="1">
      <c r="A33" s="409">
        <v>28</v>
      </c>
      <c r="B33" s="502">
        <v>400.4</v>
      </c>
      <c r="C33" s="502">
        <v>385.6</v>
      </c>
      <c r="D33" s="503">
        <v>643.50000000000011</v>
      </c>
      <c r="E33" s="503">
        <v>566.70000000000027</v>
      </c>
      <c r="F33" s="411"/>
    </row>
    <row r="34" spans="1:6" ht="18" customHeight="1">
      <c r="A34" s="409">
        <v>29</v>
      </c>
      <c r="B34" s="502">
        <v>413.9</v>
      </c>
      <c r="C34" s="502">
        <v>398.6</v>
      </c>
      <c r="D34" s="503">
        <v>665.20000000000016</v>
      </c>
      <c r="E34" s="503">
        <v>585.8000000000003</v>
      </c>
      <c r="F34" s="411"/>
    </row>
    <row r="35" spans="1:6" ht="18" customHeight="1">
      <c r="A35" s="409">
        <v>30</v>
      </c>
      <c r="B35" s="502">
        <v>427.4</v>
      </c>
      <c r="C35" s="502">
        <v>411.6</v>
      </c>
      <c r="D35" s="503">
        <v>686.9000000000002</v>
      </c>
      <c r="E35" s="503">
        <v>604.90000000000032</v>
      </c>
      <c r="F35" s="411"/>
    </row>
    <row r="36" spans="1:6" ht="18" customHeight="1">
      <c r="A36" s="409">
        <v>31</v>
      </c>
      <c r="B36" s="502">
        <v>438.59999999999997</v>
      </c>
      <c r="C36" s="502">
        <v>422.40000000000003</v>
      </c>
      <c r="D36" s="503">
        <v>705.00000000000023</v>
      </c>
      <c r="E36" s="503">
        <v>620.8000000000003</v>
      </c>
      <c r="F36" s="411"/>
    </row>
    <row r="37" spans="1:6" ht="18" customHeight="1">
      <c r="A37" s="409">
        <v>32</v>
      </c>
      <c r="B37" s="502">
        <v>449.79999999999995</v>
      </c>
      <c r="C37" s="502">
        <v>433.20000000000005</v>
      </c>
      <c r="D37" s="503">
        <v>723.10000000000025</v>
      </c>
      <c r="E37" s="503">
        <v>636.70000000000027</v>
      </c>
      <c r="F37" s="411"/>
    </row>
    <row r="38" spans="1:6" ht="18" customHeight="1">
      <c r="A38" s="409">
        <v>33</v>
      </c>
      <c r="B38" s="502">
        <v>460.99999999999994</v>
      </c>
      <c r="C38" s="502">
        <v>444.00000000000006</v>
      </c>
      <c r="D38" s="503">
        <v>741.20000000000027</v>
      </c>
      <c r="E38" s="503">
        <v>652.60000000000025</v>
      </c>
      <c r="F38" s="411"/>
    </row>
    <row r="39" spans="1:6" ht="18" customHeight="1">
      <c r="A39" s="409">
        <v>34</v>
      </c>
      <c r="B39" s="502">
        <v>472.19999999999993</v>
      </c>
      <c r="C39" s="502">
        <v>454.80000000000007</v>
      </c>
      <c r="D39" s="503">
        <v>759.3000000000003</v>
      </c>
      <c r="E39" s="503">
        <v>668.50000000000023</v>
      </c>
      <c r="F39" s="411"/>
    </row>
    <row r="40" spans="1:6" ht="18" customHeight="1">
      <c r="A40" s="409">
        <v>35</v>
      </c>
      <c r="B40" s="502">
        <v>483.39999999999992</v>
      </c>
      <c r="C40" s="502">
        <v>465.60000000000008</v>
      </c>
      <c r="D40" s="503">
        <v>777.40000000000032</v>
      </c>
      <c r="E40" s="503">
        <v>684.4000000000002</v>
      </c>
      <c r="F40" s="411"/>
    </row>
    <row r="41" spans="1:6" ht="18" customHeight="1">
      <c r="A41" s="409">
        <v>36</v>
      </c>
      <c r="B41" s="502">
        <v>494.59999999999991</v>
      </c>
      <c r="C41" s="502">
        <v>476.40000000000009</v>
      </c>
      <c r="D41" s="503">
        <v>795.50000000000034</v>
      </c>
      <c r="E41" s="503">
        <v>700.30000000000018</v>
      </c>
      <c r="F41" s="411"/>
    </row>
    <row r="42" spans="1:6" ht="18" customHeight="1">
      <c r="A42" s="409">
        <v>37</v>
      </c>
      <c r="B42" s="502">
        <v>505.7999999999999</v>
      </c>
      <c r="C42" s="502">
        <v>487.2000000000001</v>
      </c>
      <c r="D42" s="503">
        <v>813.60000000000036</v>
      </c>
      <c r="E42" s="503">
        <v>716.20000000000016</v>
      </c>
      <c r="F42" s="411"/>
    </row>
    <row r="43" spans="1:6" ht="18" customHeight="1">
      <c r="A43" s="409">
        <v>38</v>
      </c>
      <c r="B43" s="502">
        <v>516.99999999999989</v>
      </c>
      <c r="C43" s="502">
        <v>498.00000000000011</v>
      </c>
      <c r="D43" s="503">
        <v>831.70000000000039</v>
      </c>
      <c r="E43" s="503">
        <v>732.10000000000014</v>
      </c>
      <c r="F43" s="411"/>
    </row>
    <row r="44" spans="1:6" ht="18" customHeight="1">
      <c r="A44" s="409">
        <v>39</v>
      </c>
      <c r="B44" s="502">
        <v>528.19999999999993</v>
      </c>
      <c r="C44" s="502">
        <v>508.80000000000013</v>
      </c>
      <c r="D44" s="503">
        <v>849.80000000000041</v>
      </c>
      <c r="E44" s="503">
        <v>748.00000000000011</v>
      </c>
      <c r="F44" s="411"/>
    </row>
    <row r="45" spans="1:6" ht="18" customHeight="1">
      <c r="A45" s="409">
        <v>40</v>
      </c>
      <c r="B45" s="502">
        <v>539.4</v>
      </c>
      <c r="C45" s="502">
        <v>519.60000000000014</v>
      </c>
      <c r="D45" s="503">
        <v>867.90000000000043</v>
      </c>
      <c r="E45" s="503">
        <v>763.90000000000009</v>
      </c>
      <c r="F45" s="411"/>
    </row>
    <row r="46" spans="1:6" ht="18" customHeight="1">
      <c r="A46" s="409">
        <v>41</v>
      </c>
      <c r="B46" s="502">
        <v>550.6</v>
      </c>
      <c r="C46" s="502">
        <v>530.40000000000009</v>
      </c>
      <c r="D46" s="503">
        <v>886.00000000000045</v>
      </c>
      <c r="E46" s="503">
        <v>779.80000000000007</v>
      </c>
      <c r="F46" s="411"/>
    </row>
    <row r="47" spans="1:6" ht="18" customHeight="1">
      <c r="A47" s="409">
        <v>42</v>
      </c>
      <c r="B47" s="502">
        <v>561.80000000000007</v>
      </c>
      <c r="C47" s="502">
        <v>541.20000000000005</v>
      </c>
      <c r="D47" s="503">
        <v>904.10000000000048</v>
      </c>
      <c r="E47" s="503">
        <v>795.7</v>
      </c>
      <c r="F47" s="411"/>
    </row>
    <row r="48" spans="1:6" ht="18" customHeight="1">
      <c r="A48" s="409">
        <v>43</v>
      </c>
      <c r="B48" s="502">
        <v>573.00000000000011</v>
      </c>
      <c r="C48" s="502">
        <v>552</v>
      </c>
      <c r="D48" s="503">
        <v>922.2000000000005</v>
      </c>
      <c r="E48" s="503">
        <v>811.6</v>
      </c>
      <c r="F48" s="411"/>
    </row>
    <row r="49" spans="1:6" ht="18" customHeight="1">
      <c r="A49" s="409">
        <v>44</v>
      </c>
      <c r="B49" s="502">
        <v>584.20000000000016</v>
      </c>
      <c r="C49" s="502">
        <v>562.79999999999995</v>
      </c>
      <c r="D49" s="503">
        <v>940.30000000000052</v>
      </c>
      <c r="E49" s="503">
        <v>827.5</v>
      </c>
      <c r="F49" s="411"/>
    </row>
    <row r="50" spans="1:6" ht="18" customHeight="1">
      <c r="A50" s="409">
        <v>45</v>
      </c>
      <c r="B50" s="502">
        <v>595.4000000000002</v>
      </c>
      <c r="C50" s="502">
        <v>573.59999999999991</v>
      </c>
      <c r="D50" s="503">
        <v>958.40000000000055</v>
      </c>
      <c r="E50" s="503">
        <v>843.4</v>
      </c>
      <c r="F50" s="411"/>
    </row>
    <row r="51" spans="1:6" ht="18" customHeight="1">
      <c r="A51" s="409">
        <v>46</v>
      </c>
      <c r="B51" s="502">
        <v>606.60000000000025</v>
      </c>
      <c r="C51" s="502">
        <v>584.39999999999986</v>
      </c>
      <c r="D51" s="503">
        <v>976.50000000000057</v>
      </c>
      <c r="E51" s="503">
        <v>859.3</v>
      </c>
      <c r="F51" s="411"/>
    </row>
    <row r="52" spans="1:6" ht="18" customHeight="1">
      <c r="A52" s="409">
        <v>47</v>
      </c>
      <c r="B52" s="502">
        <v>617.8000000000003</v>
      </c>
      <c r="C52" s="502">
        <v>595.19999999999982</v>
      </c>
      <c r="D52" s="503">
        <v>994.60000000000059</v>
      </c>
      <c r="E52" s="503">
        <v>875.19999999999993</v>
      </c>
      <c r="F52" s="411"/>
    </row>
    <row r="53" spans="1:6" ht="18" customHeight="1">
      <c r="A53" s="409">
        <v>48</v>
      </c>
      <c r="B53" s="502">
        <v>629.00000000000034</v>
      </c>
      <c r="C53" s="502">
        <v>605.99999999999977</v>
      </c>
      <c r="D53" s="503">
        <v>1012.7000000000006</v>
      </c>
      <c r="E53" s="503">
        <v>891.09999999999991</v>
      </c>
      <c r="F53" s="411"/>
    </row>
    <row r="54" spans="1:6" ht="18" customHeight="1">
      <c r="A54" s="409">
        <v>49</v>
      </c>
      <c r="B54" s="502">
        <v>640.20000000000039</v>
      </c>
      <c r="C54" s="502">
        <v>616.79999999999973</v>
      </c>
      <c r="D54" s="503">
        <v>1030.8000000000006</v>
      </c>
      <c r="E54" s="503">
        <v>906.99999999999989</v>
      </c>
      <c r="F54" s="411"/>
    </row>
    <row r="55" spans="1:6" ht="18" customHeight="1">
      <c r="A55" s="413">
        <v>50</v>
      </c>
      <c r="B55" s="502">
        <v>651.40000000000043</v>
      </c>
      <c r="C55" s="502">
        <v>627.59999999999968</v>
      </c>
      <c r="D55" s="503">
        <v>1048.9000000000005</v>
      </c>
      <c r="E55" s="503">
        <v>922.89999999999986</v>
      </c>
      <c r="F55" s="411"/>
    </row>
    <row r="56" spans="1:6" ht="18" customHeight="1">
      <c r="A56" s="414">
        <v>51</v>
      </c>
      <c r="B56" s="502">
        <v>662.60000000000048</v>
      </c>
      <c r="C56" s="502">
        <v>638.39999999999964</v>
      </c>
      <c r="D56" s="503">
        <v>1067.0000000000005</v>
      </c>
      <c r="E56" s="503">
        <v>938.79999999999984</v>
      </c>
      <c r="F56" s="411"/>
    </row>
    <row r="57" spans="1:6" ht="18" customHeight="1">
      <c r="A57" s="409">
        <v>52</v>
      </c>
      <c r="B57" s="502">
        <v>673.80000000000052</v>
      </c>
      <c r="C57" s="502">
        <v>649.19999999999959</v>
      </c>
      <c r="D57" s="503">
        <v>1085.1000000000004</v>
      </c>
      <c r="E57" s="503">
        <v>954.69999999999982</v>
      </c>
      <c r="F57" s="411"/>
    </row>
    <row r="58" spans="1:6" ht="18" customHeight="1">
      <c r="A58" s="409">
        <v>53</v>
      </c>
      <c r="B58" s="502">
        <v>685.00000000000057</v>
      </c>
      <c r="C58" s="502">
        <v>659.99999999999955</v>
      </c>
      <c r="D58" s="503">
        <v>1103.2000000000003</v>
      </c>
      <c r="E58" s="503">
        <v>970.5999999999998</v>
      </c>
      <c r="F58" s="411"/>
    </row>
    <row r="59" spans="1:6" ht="18" customHeight="1">
      <c r="A59" s="409">
        <v>54</v>
      </c>
      <c r="B59" s="502">
        <v>696.20000000000061</v>
      </c>
      <c r="C59" s="502">
        <v>670.7999999999995</v>
      </c>
      <c r="D59" s="503">
        <v>1121.3000000000002</v>
      </c>
      <c r="E59" s="503">
        <v>986.49999999999977</v>
      </c>
      <c r="F59" s="411"/>
    </row>
    <row r="60" spans="1:6" ht="18" customHeight="1">
      <c r="A60" s="409">
        <v>55</v>
      </c>
      <c r="B60" s="502">
        <v>707.40000000000066</v>
      </c>
      <c r="C60" s="502">
        <v>681.59999999999945</v>
      </c>
      <c r="D60" s="503">
        <v>1139.4000000000001</v>
      </c>
      <c r="E60" s="503">
        <v>1002.3999999999997</v>
      </c>
      <c r="F60" s="411"/>
    </row>
    <row r="61" spans="1:6" ht="18" customHeight="1">
      <c r="A61" s="409">
        <v>56</v>
      </c>
      <c r="B61" s="502">
        <v>718.6000000000007</v>
      </c>
      <c r="C61" s="502">
        <v>692.39999999999941</v>
      </c>
      <c r="D61" s="503">
        <v>1157.5</v>
      </c>
      <c r="E61" s="503">
        <v>1018.2999999999997</v>
      </c>
      <c r="F61" s="411"/>
    </row>
    <row r="62" spans="1:6" ht="18" customHeight="1">
      <c r="A62" s="409">
        <v>57</v>
      </c>
      <c r="B62" s="502">
        <v>729.80000000000075</v>
      </c>
      <c r="C62" s="502">
        <v>703.19999999999936</v>
      </c>
      <c r="D62" s="503">
        <v>1175.5999999999999</v>
      </c>
      <c r="E62" s="503">
        <v>1034.1999999999998</v>
      </c>
      <c r="F62" s="411"/>
    </row>
    <row r="63" spans="1:6" ht="18" customHeight="1">
      <c r="A63" s="409">
        <v>58</v>
      </c>
      <c r="B63" s="502">
        <v>741.0000000000008</v>
      </c>
      <c r="C63" s="502">
        <v>713.99999999999932</v>
      </c>
      <c r="D63" s="503">
        <v>1193.6999999999998</v>
      </c>
      <c r="E63" s="503">
        <v>1050.0999999999999</v>
      </c>
      <c r="F63" s="411"/>
    </row>
    <row r="64" spans="1:6" ht="18" customHeight="1">
      <c r="A64" s="409">
        <v>59</v>
      </c>
      <c r="B64" s="502">
        <v>752.20000000000084</v>
      </c>
      <c r="C64" s="502">
        <v>724.79999999999927</v>
      </c>
      <c r="D64" s="503">
        <v>1211.7999999999997</v>
      </c>
      <c r="E64" s="503">
        <v>1066</v>
      </c>
      <c r="F64" s="411"/>
    </row>
    <row r="65" spans="1:6" ht="18" customHeight="1">
      <c r="A65" s="409">
        <v>60</v>
      </c>
      <c r="B65" s="502">
        <v>763.40000000000089</v>
      </c>
      <c r="C65" s="502">
        <v>735.59999999999923</v>
      </c>
      <c r="D65" s="503">
        <v>1229.8999999999996</v>
      </c>
      <c r="E65" s="503">
        <v>1081.9000000000001</v>
      </c>
      <c r="F65" s="411"/>
    </row>
    <row r="66" spans="1:6" ht="18" customHeight="1">
      <c r="A66" s="409">
        <v>61</v>
      </c>
      <c r="B66" s="502">
        <v>774.60000000000093</v>
      </c>
      <c r="C66" s="502">
        <v>746.39999999999918</v>
      </c>
      <c r="D66" s="503">
        <v>1247.9999999999995</v>
      </c>
      <c r="E66" s="503">
        <v>1097.8000000000002</v>
      </c>
      <c r="F66" s="411"/>
    </row>
    <row r="67" spans="1:6" ht="18" customHeight="1">
      <c r="A67" s="409">
        <v>62</v>
      </c>
      <c r="B67" s="502">
        <v>785.80000000000098</v>
      </c>
      <c r="C67" s="502">
        <v>757.19999999999914</v>
      </c>
      <c r="D67" s="503">
        <v>1266.0999999999995</v>
      </c>
      <c r="E67" s="503">
        <v>1113.7000000000003</v>
      </c>
      <c r="F67" s="411"/>
    </row>
    <row r="68" spans="1:6" ht="18" customHeight="1">
      <c r="A68" s="409">
        <v>63</v>
      </c>
      <c r="B68" s="502">
        <v>797.00000000000102</v>
      </c>
      <c r="C68" s="502">
        <v>767.99999999999909</v>
      </c>
      <c r="D68" s="503">
        <v>1284.1999999999994</v>
      </c>
      <c r="E68" s="503">
        <v>1129.6000000000004</v>
      </c>
      <c r="F68" s="411"/>
    </row>
    <row r="69" spans="1:6" ht="18" customHeight="1">
      <c r="A69" s="409">
        <v>64</v>
      </c>
      <c r="B69" s="502">
        <v>808.20000000000107</v>
      </c>
      <c r="C69" s="502">
        <v>778.79999999999905</v>
      </c>
      <c r="D69" s="503">
        <v>1302.2999999999993</v>
      </c>
      <c r="E69" s="503">
        <v>1145.5000000000005</v>
      </c>
      <c r="F69" s="411"/>
    </row>
    <row r="70" spans="1:6" ht="18" customHeight="1">
      <c r="A70" s="409">
        <v>65</v>
      </c>
      <c r="B70" s="502">
        <v>819.40000000000111</v>
      </c>
      <c r="C70" s="502">
        <v>789.599999999999</v>
      </c>
      <c r="D70" s="503">
        <v>1320.3999999999992</v>
      </c>
      <c r="E70" s="503">
        <v>1161.4000000000005</v>
      </c>
      <c r="F70" s="411"/>
    </row>
    <row r="71" spans="1:6" ht="18" customHeight="1">
      <c r="A71" s="409">
        <v>66</v>
      </c>
      <c r="B71" s="502">
        <v>830.60000000000116</v>
      </c>
      <c r="C71" s="502">
        <v>800.39999999999895</v>
      </c>
      <c r="D71" s="503">
        <v>1338.4999999999991</v>
      </c>
      <c r="E71" s="503">
        <v>1177.3000000000006</v>
      </c>
      <c r="F71" s="411"/>
    </row>
    <row r="72" spans="1:6" ht="18" customHeight="1">
      <c r="A72" s="409">
        <v>67</v>
      </c>
      <c r="B72" s="502">
        <v>841.80000000000121</v>
      </c>
      <c r="C72" s="502">
        <v>811.19999999999891</v>
      </c>
      <c r="D72" s="503">
        <v>1356.599999999999</v>
      </c>
      <c r="E72" s="503">
        <v>1193.2000000000007</v>
      </c>
      <c r="F72" s="411"/>
    </row>
    <row r="73" spans="1:6" ht="18" customHeight="1">
      <c r="A73" s="409">
        <v>68</v>
      </c>
      <c r="B73" s="502">
        <v>853.00000000000125</v>
      </c>
      <c r="C73" s="502">
        <v>821.99999999999886</v>
      </c>
      <c r="D73" s="503">
        <v>1374.6999999999989</v>
      </c>
      <c r="E73" s="503">
        <v>1209.1000000000008</v>
      </c>
      <c r="F73" s="411"/>
    </row>
    <row r="74" spans="1:6" ht="18" customHeight="1">
      <c r="A74" s="409">
        <v>69</v>
      </c>
      <c r="B74" s="502">
        <v>864.2000000000013</v>
      </c>
      <c r="C74" s="502">
        <v>832.79999999999882</v>
      </c>
      <c r="D74" s="503">
        <v>1392.7999999999988</v>
      </c>
      <c r="E74" s="503">
        <v>1225.0000000000009</v>
      </c>
      <c r="F74" s="411"/>
    </row>
    <row r="75" spans="1:6" ht="18" customHeight="1">
      <c r="A75" s="409">
        <v>70</v>
      </c>
      <c r="B75" s="502">
        <v>875.40000000000134</v>
      </c>
      <c r="C75" s="502">
        <v>843.59999999999877</v>
      </c>
      <c r="D75" s="503">
        <v>1410.8999999999987</v>
      </c>
      <c r="E75" s="503">
        <v>1240.900000000001</v>
      </c>
      <c r="F75" s="411"/>
    </row>
    <row r="76" spans="1:6" ht="18" customHeight="1">
      <c r="A76" s="409">
        <v>71</v>
      </c>
      <c r="B76" s="502">
        <v>886.60000000000139</v>
      </c>
      <c r="C76" s="502">
        <v>854.39999999999873</v>
      </c>
      <c r="D76" s="503">
        <v>1428.9999999999986</v>
      </c>
      <c r="E76" s="503">
        <v>1256.8000000000011</v>
      </c>
      <c r="F76" s="411"/>
    </row>
    <row r="77" spans="1:6" ht="18" customHeight="1">
      <c r="A77" s="409">
        <v>72</v>
      </c>
      <c r="B77" s="502">
        <v>897.80000000000143</v>
      </c>
      <c r="C77" s="502">
        <v>865.19999999999868</v>
      </c>
      <c r="D77" s="503">
        <v>1447.0999999999985</v>
      </c>
      <c r="E77" s="503">
        <v>1272.7000000000012</v>
      </c>
      <c r="F77" s="411"/>
    </row>
    <row r="78" spans="1:6" ht="18" customHeight="1">
      <c r="A78" s="409">
        <v>73</v>
      </c>
      <c r="B78" s="502">
        <v>909.00000000000148</v>
      </c>
      <c r="C78" s="502">
        <v>875.99999999999864</v>
      </c>
      <c r="D78" s="503">
        <v>1465.1999999999985</v>
      </c>
      <c r="E78" s="503">
        <v>1288.6000000000013</v>
      </c>
      <c r="F78" s="411"/>
    </row>
    <row r="79" spans="1:6" ht="18" customHeight="1">
      <c r="A79" s="409">
        <v>74</v>
      </c>
      <c r="B79" s="502">
        <v>920.20000000000152</v>
      </c>
      <c r="C79" s="502">
        <v>886.79999999999859</v>
      </c>
      <c r="D79" s="503">
        <v>1483.2999999999984</v>
      </c>
      <c r="E79" s="503">
        <v>1304.5000000000014</v>
      </c>
      <c r="F79" s="411"/>
    </row>
    <row r="80" spans="1:6" ht="18" customHeight="1">
      <c r="A80" s="409">
        <v>75</v>
      </c>
      <c r="B80" s="502">
        <v>931.40000000000157</v>
      </c>
      <c r="C80" s="502">
        <v>897.59999999999854</v>
      </c>
      <c r="D80" s="503">
        <v>1501.3999999999983</v>
      </c>
      <c r="E80" s="503">
        <v>1320.4000000000015</v>
      </c>
      <c r="F80" s="411"/>
    </row>
    <row r="81" spans="1:6" ht="18" customHeight="1">
      <c r="A81" s="409">
        <v>76</v>
      </c>
      <c r="B81" s="502">
        <v>942.60000000000161</v>
      </c>
      <c r="C81" s="502">
        <v>908.3999999999985</v>
      </c>
      <c r="D81" s="503">
        <v>1519.4999999999982</v>
      </c>
      <c r="E81" s="503">
        <v>1336.3000000000015</v>
      </c>
      <c r="F81" s="411"/>
    </row>
    <row r="82" spans="1:6" ht="18" customHeight="1">
      <c r="A82" s="409">
        <v>77</v>
      </c>
      <c r="B82" s="502">
        <v>953.80000000000166</v>
      </c>
      <c r="C82" s="502">
        <v>919.19999999999845</v>
      </c>
      <c r="D82" s="503">
        <v>1537.5999999999981</v>
      </c>
      <c r="E82" s="503">
        <v>1352.2000000000016</v>
      </c>
      <c r="F82" s="411"/>
    </row>
    <row r="83" spans="1:6" ht="18" customHeight="1">
      <c r="A83" s="409">
        <v>78</v>
      </c>
      <c r="B83" s="502">
        <v>965.00000000000171</v>
      </c>
      <c r="C83" s="502">
        <v>929.99999999999841</v>
      </c>
      <c r="D83" s="503">
        <v>1555.699999999998</v>
      </c>
      <c r="E83" s="503">
        <v>1368.1000000000017</v>
      </c>
      <c r="F83" s="411"/>
    </row>
    <row r="84" spans="1:6" ht="18" customHeight="1">
      <c r="A84" s="409">
        <v>79</v>
      </c>
      <c r="B84" s="502">
        <v>976.20000000000175</v>
      </c>
      <c r="C84" s="502">
        <v>940.79999999999836</v>
      </c>
      <c r="D84" s="503">
        <v>1573.7999999999979</v>
      </c>
      <c r="E84" s="503">
        <v>1384.0000000000018</v>
      </c>
      <c r="F84" s="411"/>
    </row>
    <row r="85" spans="1:6" ht="18" customHeight="1">
      <c r="A85" s="409">
        <v>80</v>
      </c>
      <c r="B85" s="502">
        <v>987.4000000000018</v>
      </c>
      <c r="C85" s="502">
        <v>951.59999999999832</v>
      </c>
      <c r="D85" s="503">
        <v>1591.8999999999978</v>
      </c>
      <c r="E85" s="503">
        <v>1399.9000000000019</v>
      </c>
      <c r="F85" s="411"/>
    </row>
    <row r="86" spans="1:6" ht="18" customHeight="1">
      <c r="A86" s="409">
        <v>81</v>
      </c>
      <c r="B86" s="502">
        <v>998.60000000000184</v>
      </c>
      <c r="C86" s="502">
        <v>962.39999999999827</v>
      </c>
      <c r="D86" s="503">
        <v>1609.9999999999977</v>
      </c>
      <c r="E86" s="503">
        <v>1415.800000000002</v>
      </c>
      <c r="F86" s="411"/>
    </row>
    <row r="87" spans="1:6" ht="18" customHeight="1">
      <c r="A87" s="409">
        <v>82</v>
      </c>
      <c r="B87" s="502">
        <v>1009.8000000000019</v>
      </c>
      <c r="C87" s="502">
        <v>973.19999999999823</v>
      </c>
      <c r="D87" s="503">
        <v>1628.0999999999976</v>
      </c>
      <c r="E87" s="503">
        <v>1431.7000000000021</v>
      </c>
      <c r="F87" s="411"/>
    </row>
    <row r="88" spans="1:6" ht="18" customHeight="1">
      <c r="A88" s="409">
        <v>83</v>
      </c>
      <c r="B88" s="502">
        <v>1021.0000000000019</v>
      </c>
      <c r="C88" s="502">
        <v>983.99999999999818</v>
      </c>
      <c r="D88" s="503">
        <v>1646.1999999999975</v>
      </c>
      <c r="E88" s="503">
        <v>1447.6000000000022</v>
      </c>
      <c r="F88" s="411"/>
    </row>
    <row r="89" spans="1:6" ht="18" customHeight="1">
      <c r="A89" s="409">
        <v>84</v>
      </c>
      <c r="B89" s="502">
        <v>1032.2000000000019</v>
      </c>
      <c r="C89" s="502">
        <v>994.79999999999814</v>
      </c>
      <c r="D89" s="503">
        <v>1664.2999999999975</v>
      </c>
      <c r="E89" s="503">
        <v>1463.5000000000023</v>
      </c>
      <c r="F89" s="411"/>
    </row>
    <row r="90" spans="1:6" ht="18" customHeight="1">
      <c r="A90" s="409">
        <v>85</v>
      </c>
      <c r="B90" s="502">
        <v>1043.4000000000019</v>
      </c>
      <c r="C90" s="502">
        <v>1005.5999999999981</v>
      </c>
      <c r="D90" s="503">
        <v>1682.3999999999974</v>
      </c>
      <c r="E90" s="503">
        <v>1479.4000000000024</v>
      </c>
      <c r="F90" s="411"/>
    </row>
    <row r="91" spans="1:6" ht="18" customHeight="1">
      <c r="A91" s="409">
        <v>86</v>
      </c>
      <c r="B91" s="502">
        <v>1054.600000000002</v>
      </c>
      <c r="C91" s="502">
        <v>1016.399999999998</v>
      </c>
      <c r="D91" s="503">
        <v>1700.4999999999973</v>
      </c>
      <c r="E91" s="503">
        <v>1495.3000000000025</v>
      </c>
      <c r="F91" s="411"/>
    </row>
    <row r="92" spans="1:6" ht="18" customHeight="1">
      <c r="A92" s="409">
        <v>87</v>
      </c>
      <c r="B92" s="502">
        <v>1065.800000000002</v>
      </c>
      <c r="C92" s="502">
        <v>1027.199999999998</v>
      </c>
      <c r="D92" s="503">
        <v>1718.5999999999972</v>
      </c>
      <c r="E92" s="503">
        <v>1511.2000000000025</v>
      </c>
      <c r="F92" s="411"/>
    </row>
    <row r="93" spans="1:6" ht="18" customHeight="1">
      <c r="A93" s="409">
        <v>88</v>
      </c>
      <c r="B93" s="502">
        <v>1077.000000000002</v>
      </c>
      <c r="C93" s="502">
        <v>1037.999999999998</v>
      </c>
      <c r="D93" s="503">
        <v>1736.6999999999971</v>
      </c>
      <c r="E93" s="503">
        <v>1527.1000000000026</v>
      </c>
      <c r="F93" s="411"/>
    </row>
    <row r="94" spans="1:6" ht="18" customHeight="1">
      <c r="A94" s="409">
        <v>89</v>
      </c>
      <c r="B94" s="502">
        <v>1088.2000000000021</v>
      </c>
      <c r="C94" s="502">
        <v>1048.7999999999979</v>
      </c>
      <c r="D94" s="503">
        <v>1754.799999999997</v>
      </c>
      <c r="E94" s="503">
        <v>1543.0000000000027</v>
      </c>
      <c r="F94" s="411"/>
    </row>
    <row r="95" spans="1:6" ht="18" customHeight="1">
      <c r="A95" s="409">
        <v>90</v>
      </c>
      <c r="B95" s="502">
        <v>1099.4000000000021</v>
      </c>
      <c r="C95" s="502">
        <v>1059.5999999999979</v>
      </c>
      <c r="D95" s="503">
        <v>1772.8999999999969</v>
      </c>
      <c r="E95" s="503">
        <v>1558.9000000000028</v>
      </c>
      <c r="F95" s="411"/>
    </row>
    <row r="96" spans="1:6" ht="18" customHeight="1">
      <c r="A96" s="409">
        <v>91</v>
      </c>
      <c r="B96" s="502">
        <v>1110.6000000000022</v>
      </c>
      <c r="C96" s="502">
        <v>1070.3999999999978</v>
      </c>
      <c r="D96" s="503">
        <v>1790.9999999999968</v>
      </c>
      <c r="E96" s="503">
        <v>1574.8000000000029</v>
      </c>
      <c r="F96" s="411"/>
    </row>
    <row r="97" spans="1:6" ht="18" customHeight="1">
      <c r="A97" s="409">
        <v>92</v>
      </c>
      <c r="B97" s="502">
        <v>1121.8000000000022</v>
      </c>
      <c r="C97" s="502">
        <v>1081.1999999999978</v>
      </c>
      <c r="D97" s="503">
        <v>1809.0999999999967</v>
      </c>
      <c r="E97" s="503">
        <v>1590.700000000003</v>
      </c>
      <c r="F97" s="411"/>
    </row>
    <row r="98" spans="1:6" ht="18" customHeight="1">
      <c r="A98" s="409">
        <v>93</v>
      </c>
      <c r="B98" s="502">
        <v>1133.0000000000023</v>
      </c>
      <c r="C98" s="502">
        <v>1091.9999999999977</v>
      </c>
      <c r="D98" s="503">
        <v>1827.1999999999966</v>
      </c>
      <c r="E98" s="503">
        <v>1606.6000000000031</v>
      </c>
      <c r="F98" s="411"/>
    </row>
    <row r="99" spans="1:6" ht="18" customHeight="1">
      <c r="A99" s="409">
        <v>94</v>
      </c>
      <c r="B99" s="502">
        <v>1144.2000000000023</v>
      </c>
      <c r="C99" s="502">
        <v>1102.7999999999977</v>
      </c>
      <c r="D99" s="503">
        <v>1845.2999999999965</v>
      </c>
      <c r="E99" s="503">
        <v>1622.5000000000032</v>
      </c>
      <c r="F99" s="411"/>
    </row>
    <row r="100" spans="1:6" ht="18" customHeight="1">
      <c r="A100" s="409">
        <v>95</v>
      </c>
      <c r="B100" s="502">
        <v>1155.4000000000024</v>
      </c>
      <c r="C100" s="502">
        <v>1113.5999999999976</v>
      </c>
      <c r="D100" s="503">
        <v>1863.3999999999965</v>
      </c>
      <c r="E100" s="503">
        <v>1638.4000000000033</v>
      </c>
      <c r="F100" s="411"/>
    </row>
    <row r="101" spans="1:6" ht="18" customHeight="1">
      <c r="A101" s="409">
        <v>96</v>
      </c>
      <c r="B101" s="502">
        <v>1166.6000000000024</v>
      </c>
      <c r="C101" s="502">
        <v>1124.3999999999976</v>
      </c>
      <c r="D101" s="503">
        <v>1881.4999999999964</v>
      </c>
      <c r="E101" s="503">
        <v>1654.3000000000034</v>
      </c>
      <c r="F101" s="411"/>
    </row>
    <row r="102" spans="1:6" ht="18" customHeight="1">
      <c r="A102" s="409">
        <v>97</v>
      </c>
      <c r="B102" s="502">
        <v>1177.8000000000025</v>
      </c>
      <c r="C102" s="502">
        <v>1135.1999999999975</v>
      </c>
      <c r="D102" s="503">
        <v>1899.5999999999963</v>
      </c>
      <c r="E102" s="503">
        <v>1670.2000000000035</v>
      </c>
      <c r="F102" s="411"/>
    </row>
    <row r="103" spans="1:6" ht="18" customHeight="1">
      <c r="A103" s="409">
        <v>98</v>
      </c>
      <c r="B103" s="502">
        <v>1189.0000000000025</v>
      </c>
      <c r="C103" s="502">
        <v>1145.9999999999975</v>
      </c>
      <c r="D103" s="503">
        <v>1917.6999999999962</v>
      </c>
      <c r="E103" s="503">
        <v>1686.1000000000035</v>
      </c>
      <c r="F103" s="411"/>
    </row>
    <row r="104" spans="1:6" ht="18" customHeight="1">
      <c r="A104" s="409">
        <v>99</v>
      </c>
      <c r="B104" s="502">
        <v>1200.2000000000025</v>
      </c>
      <c r="C104" s="502">
        <v>1156.7999999999975</v>
      </c>
      <c r="D104" s="503">
        <v>1935.7999999999961</v>
      </c>
      <c r="E104" s="503">
        <v>1702.0000000000036</v>
      </c>
      <c r="F104" s="411"/>
    </row>
    <row r="105" spans="1:6" ht="18" customHeight="1">
      <c r="A105" s="409">
        <v>100</v>
      </c>
      <c r="B105" s="502">
        <v>1211.4000000000026</v>
      </c>
      <c r="C105" s="502">
        <v>1167.5999999999974</v>
      </c>
      <c r="D105" s="503">
        <v>1953.899999999996</v>
      </c>
      <c r="E105" s="503">
        <v>1717.9000000000037</v>
      </c>
      <c r="F105" s="411"/>
    </row>
    <row r="106" spans="1:6" ht="18" customHeight="1">
      <c r="A106" s="409">
        <v>101</v>
      </c>
      <c r="B106" s="502">
        <v>1222.6000000000026</v>
      </c>
      <c r="C106" s="502">
        <v>1178.3999999999974</v>
      </c>
      <c r="D106" s="503">
        <v>1971.9999999999959</v>
      </c>
      <c r="E106" s="503">
        <v>1733.8000000000038</v>
      </c>
      <c r="F106" s="411"/>
    </row>
    <row r="107" spans="1:6" ht="18" customHeight="1">
      <c r="A107" s="409">
        <v>102</v>
      </c>
      <c r="B107" s="502">
        <v>1233.8000000000027</v>
      </c>
      <c r="C107" s="502">
        <v>1189.1999999999973</v>
      </c>
      <c r="D107" s="503">
        <v>1990.0999999999958</v>
      </c>
      <c r="E107" s="503">
        <v>1749.7000000000039</v>
      </c>
      <c r="F107" s="411"/>
    </row>
    <row r="108" spans="1:6" ht="18" customHeight="1">
      <c r="A108" s="409">
        <v>103</v>
      </c>
      <c r="B108" s="502">
        <v>1245.0000000000027</v>
      </c>
      <c r="C108" s="502">
        <v>1199.9999999999973</v>
      </c>
      <c r="D108" s="503">
        <v>2008.1999999999957</v>
      </c>
      <c r="E108" s="503">
        <v>1765.600000000004</v>
      </c>
      <c r="F108" s="411"/>
    </row>
    <row r="109" spans="1:6" ht="18" customHeight="1">
      <c r="A109" s="409">
        <v>104</v>
      </c>
      <c r="B109" s="502">
        <v>1256.2000000000028</v>
      </c>
      <c r="C109" s="502">
        <v>1210.7999999999972</v>
      </c>
      <c r="D109" s="503">
        <v>2026.2999999999956</v>
      </c>
      <c r="E109" s="503">
        <v>1781.5000000000041</v>
      </c>
      <c r="F109" s="411"/>
    </row>
    <row r="110" spans="1:6" ht="18" customHeight="1">
      <c r="A110" s="409">
        <v>105</v>
      </c>
      <c r="B110" s="502">
        <v>1267.4000000000028</v>
      </c>
      <c r="C110" s="502">
        <v>1221.5999999999972</v>
      </c>
      <c r="D110" s="503">
        <v>2044.3999999999955</v>
      </c>
      <c r="E110" s="503">
        <v>1797.4000000000042</v>
      </c>
      <c r="F110" s="411"/>
    </row>
    <row r="111" spans="1:6" ht="18" customHeight="1">
      <c r="A111" s="409">
        <v>106</v>
      </c>
      <c r="B111" s="502">
        <v>1278.6000000000029</v>
      </c>
      <c r="C111" s="502">
        <v>1232.3999999999971</v>
      </c>
      <c r="D111" s="503">
        <v>2062.4999999999955</v>
      </c>
      <c r="E111" s="503">
        <v>1813.3000000000043</v>
      </c>
      <c r="F111" s="411"/>
    </row>
    <row r="112" spans="1:6" ht="18" customHeight="1">
      <c r="A112" s="409">
        <v>107</v>
      </c>
      <c r="B112" s="502">
        <v>1289.8000000000029</v>
      </c>
      <c r="C112" s="502">
        <v>1243.1999999999971</v>
      </c>
      <c r="D112" s="503">
        <v>2080.5999999999954</v>
      </c>
      <c r="E112" s="503">
        <v>1829.2000000000044</v>
      </c>
      <c r="F112" s="411"/>
    </row>
    <row r="113" spans="1:6" ht="18" customHeight="1">
      <c r="A113" s="409">
        <v>108</v>
      </c>
      <c r="B113" s="502">
        <v>1301.000000000003</v>
      </c>
      <c r="C113" s="502">
        <v>1253.999999999997</v>
      </c>
      <c r="D113" s="503">
        <v>2098.6999999999953</v>
      </c>
      <c r="E113" s="503">
        <v>1845.1000000000045</v>
      </c>
      <c r="F113" s="411"/>
    </row>
    <row r="114" spans="1:6" ht="18" customHeight="1">
      <c r="A114" s="409">
        <v>109</v>
      </c>
      <c r="B114" s="502">
        <v>1312.200000000003</v>
      </c>
      <c r="C114" s="502">
        <v>1264.799999999997</v>
      </c>
      <c r="D114" s="503">
        <v>2116.7999999999952</v>
      </c>
      <c r="E114" s="503">
        <v>1861.0000000000045</v>
      </c>
      <c r="F114" s="411"/>
    </row>
    <row r="115" spans="1:6" ht="18" customHeight="1">
      <c r="A115" s="409">
        <v>110</v>
      </c>
      <c r="B115" s="502">
        <v>1323.400000000003</v>
      </c>
      <c r="C115" s="502">
        <v>1275.599999999997</v>
      </c>
      <c r="D115" s="503">
        <v>2134.8999999999951</v>
      </c>
      <c r="E115" s="503">
        <v>1876.9000000000046</v>
      </c>
      <c r="F115" s="411"/>
    </row>
    <row r="116" spans="1:6" ht="18" customHeight="1">
      <c r="A116" s="409">
        <v>111</v>
      </c>
      <c r="B116" s="502">
        <v>1334.6000000000031</v>
      </c>
      <c r="C116" s="502">
        <v>1286.3999999999969</v>
      </c>
      <c r="D116" s="503">
        <v>2152.999999999995</v>
      </c>
      <c r="E116" s="503">
        <v>1892.8000000000047</v>
      </c>
      <c r="F116" s="411"/>
    </row>
    <row r="117" spans="1:6" ht="18" customHeight="1">
      <c r="A117" s="409">
        <v>112</v>
      </c>
      <c r="B117" s="502">
        <v>1345.8000000000031</v>
      </c>
      <c r="C117" s="502">
        <v>1297.1999999999969</v>
      </c>
      <c r="D117" s="503">
        <v>2171.0999999999949</v>
      </c>
      <c r="E117" s="503">
        <v>1908.7000000000048</v>
      </c>
      <c r="F117" s="411"/>
    </row>
    <row r="118" spans="1:6" ht="18" customHeight="1">
      <c r="A118" s="409">
        <v>113</v>
      </c>
      <c r="B118" s="502">
        <v>1357.0000000000032</v>
      </c>
      <c r="C118" s="502">
        <v>1307.9999999999968</v>
      </c>
      <c r="D118" s="503">
        <v>2189.1999999999948</v>
      </c>
      <c r="E118" s="503">
        <v>1924.6000000000049</v>
      </c>
      <c r="F118" s="411"/>
    </row>
    <row r="119" spans="1:6" ht="18" customHeight="1">
      <c r="A119" s="409">
        <v>114</v>
      </c>
      <c r="B119" s="502">
        <v>1368.2000000000032</v>
      </c>
      <c r="C119" s="502">
        <v>1318.7999999999968</v>
      </c>
      <c r="D119" s="503">
        <v>2207.2999999999947</v>
      </c>
      <c r="E119" s="503">
        <v>1940.500000000005</v>
      </c>
      <c r="F119" s="411"/>
    </row>
    <row r="120" spans="1:6" ht="18" customHeight="1">
      <c r="A120" s="409">
        <v>115</v>
      </c>
      <c r="B120" s="502">
        <v>1379.4000000000033</v>
      </c>
      <c r="C120" s="502">
        <v>1329.5999999999967</v>
      </c>
      <c r="D120" s="503">
        <v>2225.3999999999946</v>
      </c>
      <c r="E120" s="503">
        <v>1956.4000000000051</v>
      </c>
      <c r="F120" s="411"/>
    </row>
    <row r="121" spans="1:6" ht="18" customHeight="1">
      <c r="A121" s="409">
        <v>116</v>
      </c>
      <c r="B121" s="502">
        <v>1390.6000000000033</v>
      </c>
      <c r="C121" s="502">
        <v>1340.3999999999967</v>
      </c>
      <c r="D121" s="503">
        <v>2243.4999999999945</v>
      </c>
      <c r="E121" s="503">
        <v>1972.3000000000052</v>
      </c>
      <c r="F121" s="411"/>
    </row>
    <row r="122" spans="1:6" ht="18" customHeight="1">
      <c r="A122" s="409">
        <v>117</v>
      </c>
      <c r="B122" s="502">
        <v>1401.8000000000034</v>
      </c>
      <c r="C122" s="502">
        <v>1351.1999999999966</v>
      </c>
      <c r="D122" s="503">
        <v>2261.5999999999945</v>
      </c>
      <c r="E122" s="503">
        <v>1988.2000000000053</v>
      </c>
      <c r="F122" s="411"/>
    </row>
    <row r="123" spans="1:6" ht="18" customHeight="1">
      <c r="A123" s="409">
        <v>118</v>
      </c>
      <c r="B123" s="502">
        <v>1413.0000000000034</v>
      </c>
      <c r="C123" s="502">
        <v>1361.9999999999966</v>
      </c>
      <c r="D123" s="503">
        <v>2279.6999999999944</v>
      </c>
      <c r="E123" s="503">
        <v>2004.1000000000054</v>
      </c>
      <c r="F123" s="411"/>
    </row>
    <row r="124" spans="1:6" ht="18" customHeight="1">
      <c r="A124" s="409">
        <v>119</v>
      </c>
      <c r="B124" s="502">
        <v>1424.2000000000035</v>
      </c>
      <c r="C124" s="502">
        <v>1372.7999999999965</v>
      </c>
      <c r="D124" s="503">
        <v>2297.7999999999943</v>
      </c>
      <c r="E124" s="503">
        <v>2020.0000000000055</v>
      </c>
      <c r="F124" s="411"/>
    </row>
    <row r="125" spans="1:6" ht="18" customHeight="1">
      <c r="A125" s="409">
        <v>120</v>
      </c>
      <c r="B125" s="502">
        <v>1435.4000000000035</v>
      </c>
      <c r="C125" s="502">
        <v>1383.5999999999965</v>
      </c>
      <c r="D125" s="503">
        <v>2315.8999999999942</v>
      </c>
      <c r="E125" s="503">
        <v>2035.9000000000055</v>
      </c>
      <c r="F125" s="411"/>
    </row>
    <row r="126" spans="1:6" ht="18" customHeight="1">
      <c r="A126" s="409">
        <v>121</v>
      </c>
      <c r="B126" s="502">
        <v>1446.6000000000035</v>
      </c>
      <c r="C126" s="502">
        <v>1394.3999999999965</v>
      </c>
      <c r="D126" s="503">
        <v>2333.9999999999941</v>
      </c>
      <c r="E126" s="503">
        <v>2051.8000000000056</v>
      </c>
      <c r="F126" s="411"/>
    </row>
    <row r="127" spans="1:6" ht="18" customHeight="1">
      <c r="A127" s="409">
        <v>122</v>
      </c>
      <c r="B127" s="502">
        <v>1457.8000000000036</v>
      </c>
      <c r="C127" s="502">
        <v>1405.1999999999964</v>
      </c>
      <c r="D127" s="503">
        <v>2352.099999999994</v>
      </c>
      <c r="E127" s="503">
        <v>2067.7000000000057</v>
      </c>
      <c r="F127" s="411"/>
    </row>
    <row r="128" spans="1:6" ht="18" customHeight="1">
      <c r="A128" s="409">
        <v>123</v>
      </c>
      <c r="B128" s="502">
        <v>1469.0000000000036</v>
      </c>
      <c r="C128" s="502">
        <v>1415.9999999999964</v>
      </c>
      <c r="D128" s="503">
        <v>2370.1999999999939</v>
      </c>
      <c r="E128" s="503">
        <v>2083.6000000000058</v>
      </c>
      <c r="F128" s="411"/>
    </row>
    <row r="129" spans="1:6" ht="18" customHeight="1">
      <c r="A129" s="409">
        <v>124</v>
      </c>
      <c r="B129" s="502">
        <v>1480.2000000000037</v>
      </c>
      <c r="C129" s="502">
        <v>1426.7999999999963</v>
      </c>
      <c r="D129" s="503">
        <v>2388.2999999999938</v>
      </c>
      <c r="E129" s="503">
        <v>2099.5000000000059</v>
      </c>
      <c r="F129" s="411"/>
    </row>
    <row r="130" spans="1:6" ht="18" customHeight="1">
      <c r="A130" s="409">
        <v>125</v>
      </c>
      <c r="B130" s="502">
        <v>1491.4000000000037</v>
      </c>
      <c r="C130" s="502">
        <v>1437.5999999999963</v>
      </c>
      <c r="D130" s="503">
        <v>2406.3999999999937</v>
      </c>
      <c r="E130" s="503">
        <v>2115.400000000006</v>
      </c>
      <c r="F130" s="411"/>
    </row>
    <row r="131" spans="1:6" ht="18" customHeight="1">
      <c r="A131" s="409">
        <v>126</v>
      </c>
      <c r="B131" s="502">
        <v>1502.6000000000038</v>
      </c>
      <c r="C131" s="502">
        <v>1448.3999999999962</v>
      </c>
      <c r="D131" s="503">
        <v>2424.4999999999936</v>
      </c>
      <c r="E131" s="503">
        <v>2131.3000000000061</v>
      </c>
      <c r="F131" s="411"/>
    </row>
    <row r="132" spans="1:6" ht="18" customHeight="1">
      <c r="A132" s="409">
        <v>127</v>
      </c>
      <c r="B132" s="502">
        <v>1513.8000000000038</v>
      </c>
      <c r="C132" s="502">
        <v>1459.1999999999962</v>
      </c>
      <c r="D132" s="503">
        <v>2442.5999999999935</v>
      </c>
      <c r="E132" s="503">
        <v>2147.2000000000062</v>
      </c>
      <c r="F132" s="411"/>
    </row>
    <row r="133" spans="1:6" ht="18" customHeight="1">
      <c r="A133" s="409">
        <v>128</v>
      </c>
      <c r="B133" s="502">
        <v>1525.0000000000039</v>
      </c>
      <c r="C133" s="502">
        <v>1469.9999999999961</v>
      </c>
      <c r="D133" s="503">
        <v>2460.6999999999935</v>
      </c>
      <c r="E133" s="503">
        <v>2163.1000000000063</v>
      </c>
      <c r="F133" s="411"/>
    </row>
    <row r="134" spans="1:6" ht="18" customHeight="1">
      <c r="A134" s="409">
        <v>129</v>
      </c>
      <c r="B134" s="502">
        <v>1536.2000000000039</v>
      </c>
      <c r="C134" s="502">
        <v>1480.7999999999961</v>
      </c>
      <c r="D134" s="503">
        <v>2478.7999999999934</v>
      </c>
      <c r="E134" s="503">
        <v>2179.0000000000064</v>
      </c>
      <c r="F134" s="411"/>
    </row>
    <row r="135" spans="1:6" ht="18" customHeight="1">
      <c r="A135" s="409">
        <v>130</v>
      </c>
      <c r="B135" s="502">
        <v>1547.400000000004</v>
      </c>
      <c r="C135" s="502">
        <v>1491.599999999996</v>
      </c>
      <c r="D135" s="503">
        <v>2496.8999999999933</v>
      </c>
      <c r="E135" s="503">
        <v>2194.9000000000065</v>
      </c>
      <c r="F135" s="411"/>
    </row>
    <row r="136" spans="1:6" ht="18" customHeight="1">
      <c r="A136" s="409">
        <v>131</v>
      </c>
      <c r="B136" s="502">
        <v>1558.600000000004</v>
      </c>
      <c r="C136" s="502">
        <v>1502.399999999996</v>
      </c>
      <c r="D136" s="503">
        <v>2514.9999999999932</v>
      </c>
      <c r="E136" s="503">
        <v>2210.8000000000065</v>
      </c>
      <c r="F136" s="411"/>
    </row>
    <row r="137" spans="1:6" ht="18" customHeight="1">
      <c r="A137" s="409">
        <v>132</v>
      </c>
      <c r="B137" s="502">
        <v>1569.800000000004</v>
      </c>
      <c r="C137" s="502">
        <v>1513.199999999996</v>
      </c>
      <c r="D137" s="503">
        <v>2533.0999999999931</v>
      </c>
      <c r="E137" s="503">
        <v>2226.7000000000066</v>
      </c>
      <c r="F137" s="411"/>
    </row>
    <row r="138" spans="1:6" ht="18" customHeight="1">
      <c r="A138" s="409">
        <v>133</v>
      </c>
      <c r="B138" s="502">
        <v>1581.0000000000041</v>
      </c>
      <c r="C138" s="502">
        <v>1523.9999999999959</v>
      </c>
      <c r="D138" s="503">
        <v>2551.199999999993</v>
      </c>
      <c r="E138" s="503">
        <v>2242.6000000000067</v>
      </c>
      <c r="F138" s="411"/>
    </row>
    <row r="139" spans="1:6" ht="18" customHeight="1">
      <c r="A139" s="409">
        <v>134</v>
      </c>
      <c r="B139" s="502">
        <v>1592.2000000000041</v>
      </c>
      <c r="C139" s="502">
        <v>1534.7999999999959</v>
      </c>
      <c r="D139" s="503">
        <v>2569.2999999999929</v>
      </c>
      <c r="E139" s="503">
        <v>2258.5000000000068</v>
      </c>
      <c r="F139" s="411"/>
    </row>
    <row r="140" spans="1:6" ht="18" customHeight="1">
      <c r="A140" s="414">
        <v>135</v>
      </c>
      <c r="B140" s="502">
        <v>1603.4000000000042</v>
      </c>
      <c r="C140" s="502">
        <v>1545.5999999999958</v>
      </c>
      <c r="D140" s="503">
        <v>2587.3999999999928</v>
      </c>
      <c r="E140" s="503">
        <v>2274.4000000000069</v>
      </c>
      <c r="F140" s="411"/>
    </row>
    <row r="141" spans="1:6" ht="18" customHeight="1">
      <c r="A141" s="409">
        <v>136</v>
      </c>
      <c r="B141" s="502">
        <v>1614.6000000000042</v>
      </c>
      <c r="C141" s="502">
        <v>1556.3999999999958</v>
      </c>
      <c r="D141" s="503">
        <v>2605.4999999999927</v>
      </c>
      <c r="E141" s="503">
        <v>2290.300000000007</v>
      </c>
      <c r="F141" s="411"/>
    </row>
    <row r="142" spans="1:6" ht="18" customHeight="1">
      <c r="A142" s="409">
        <v>137</v>
      </c>
      <c r="B142" s="502">
        <v>1625.8000000000043</v>
      </c>
      <c r="C142" s="502">
        <v>1567.1999999999957</v>
      </c>
      <c r="D142" s="503">
        <v>2623.5999999999926</v>
      </c>
      <c r="E142" s="503">
        <v>2306.2000000000071</v>
      </c>
      <c r="F142" s="411"/>
    </row>
    <row r="143" spans="1:6" ht="18" customHeight="1">
      <c r="A143" s="409">
        <v>138</v>
      </c>
      <c r="B143" s="502">
        <v>1637.0000000000043</v>
      </c>
      <c r="C143" s="502">
        <v>1577.9999999999957</v>
      </c>
      <c r="D143" s="503">
        <v>2641.6999999999925</v>
      </c>
      <c r="E143" s="503">
        <v>2322.1000000000072</v>
      </c>
      <c r="F143" s="411"/>
    </row>
    <row r="144" spans="1:6" ht="18" customHeight="1">
      <c r="A144" s="409">
        <v>139</v>
      </c>
      <c r="B144" s="502">
        <v>1648.2000000000044</v>
      </c>
      <c r="C144" s="502">
        <v>1588.7999999999956</v>
      </c>
      <c r="D144" s="503">
        <v>2659.7999999999925</v>
      </c>
      <c r="E144" s="503">
        <v>2338.0000000000073</v>
      </c>
      <c r="F144" s="411"/>
    </row>
    <row r="145" spans="1:6" ht="18" customHeight="1">
      <c r="A145" s="409">
        <v>140</v>
      </c>
      <c r="B145" s="502">
        <v>1659.4000000000044</v>
      </c>
      <c r="C145" s="502">
        <v>1599.5999999999956</v>
      </c>
      <c r="D145" s="503">
        <v>2677.8999999999924</v>
      </c>
      <c r="E145" s="503">
        <v>2353.9000000000074</v>
      </c>
      <c r="F145" s="411"/>
    </row>
    <row r="146" spans="1:6" ht="18" customHeight="1">
      <c r="A146" s="409">
        <v>141</v>
      </c>
      <c r="B146" s="502">
        <v>1670.6000000000045</v>
      </c>
      <c r="C146" s="502">
        <v>1610.3999999999955</v>
      </c>
      <c r="D146" s="503">
        <v>2695.9999999999923</v>
      </c>
      <c r="E146" s="503">
        <v>2369.8000000000075</v>
      </c>
      <c r="F146" s="411"/>
    </row>
    <row r="147" spans="1:6" ht="18" customHeight="1">
      <c r="A147" s="409">
        <v>142</v>
      </c>
      <c r="B147" s="502">
        <v>1681.8000000000045</v>
      </c>
      <c r="C147" s="502">
        <v>1621.1999999999955</v>
      </c>
      <c r="D147" s="503">
        <v>2714.0999999999922</v>
      </c>
      <c r="E147" s="503">
        <v>2385.7000000000075</v>
      </c>
      <c r="F147" s="411"/>
    </row>
    <row r="148" spans="1:6" ht="18" customHeight="1">
      <c r="A148" s="409">
        <v>143</v>
      </c>
      <c r="B148" s="502">
        <v>1693.0000000000045</v>
      </c>
      <c r="C148" s="502">
        <v>1631.9999999999955</v>
      </c>
      <c r="D148" s="503">
        <v>2732.1999999999921</v>
      </c>
      <c r="E148" s="503">
        <v>2401.6000000000076</v>
      </c>
      <c r="F148" s="411"/>
    </row>
    <row r="149" spans="1:6" ht="18" customHeight="1">
      <c r="A149" s="409">
        <v>144</v>
      </c>
      <c r="B149" s="502">
        <v>1704.2000000000046</v>
      </c>
      <c r="C149" s="502">
        <v>1642.7999999999954</v>
      </c>
      <c r="D149" s="503">
        <v>2750.299999999992</v>
      </c>
      <c r="E149" s="503">
        <v>2417.5000000000077</v>
      </c>
      <c r="F149" s="411"/>
    </row>
    <row r="150" spans="1:6" ht="18" customHeight="1">
      <c r="A150" s="409">
        <v>145</v>
      </c>
      <c r="B150" s="502">
        <v>1715.4000000000046</v>
      </c>
      <c r="C150" s="502">
        <v>1653.5999999999954</v>
      </c>
      <c r="D150" s="503">
        <v>2768.3999999999919</v>
      </c>
      <c r="E150" s="503">
        <v>2433.4000000000078</v>
      </c>
      <c r="F150" s="411"/>
    </row>
    <row r="151" spans="1:6" ht="18" customHeight="1">
      <c r="A151" s="409">
        <v>146</v>
      </c>
      <c r="B151" s="502">
        <v>1726.6000000000047</v>
      </c>
      <c r="C151" s="502">
        <v>1664.3999999999953</v>
      </c>
      <c r="D151" s="503">
        <v>2786.4999999999918</v>
      </c>
      <c r="E151" s="503">
        <v>2449.3000000000079</v>
      </c>
      <c r="F151" s="411"/>
    </row>
    <row r="152" spans="1:6" ht="18" customHeight="1">
      <c r="A152" s="409">
        <v>147</v>
      </c>
      <c r="B152" s="502">
        <v>1737.8000000000047</v>
      </c>
      <c r="C152" s="502">
        <v>1675.1999999999953</v>
      </c>
      <c r="D152" s="503">
        <v>2804.5999999999917</v>
      </c>
      <c r="E152" s="503">
        <v>2465.200000000008</v>
      </c>
      <c r="F152" s="411"/>
    </row>
    <row r="153" spans="1:6" ht="18" customHeight="1">
      <c r="A153" s="409">
        <v>148</v>
      </c>
      <c r="B153" s="502">
        <v>1749.0000000000048</v>
      </c>
      <c r="C153" s="502">
        <v>1685.9999999999952</v>
      </c>
      <c r="D153" s="503">
        <v>2822.6999999999916</v>
      </c>
      <c r="E153" s="503">
        <v>2481.1000000000081</v>
      </c>
      <c r="F153" s="411"/>
    </row>
    <row r="154" spans="1:6" ht="18" customHeight="1">
      <c r="A154" s="409">
        <v>149</v>
      </c>
      <c r="B154" s="502">
        <v>1760.2000000000048</v>
      </c>
      <c r="C154" s="502">
        <v>1696.7999999999952</v>
      </c>
      <c r="D154" s="503">
        <v>2840.7999999999915</v>
      </c>
      <c r="E154" s="503">
        <v>2497.0000000000082</v>
      </c>
      <c r="F154" s="411"/>
    </row>
    <row r="155" spans="1:6" ht="18" customHeight="1">
      <c r="A155" s="409">
        <v>150</v>
      </c>
      <c r="B155" s="502">
        <v>1771.4000000000049</v>
      </c>
      <c r="C155" s="502">
        <v>1707.5999999999951</v>
      </c>
      <c r="D155" s="503">
        <v>2858.8999999999915</v>
      </c>
      <c r="E155" s="503">
        <v>2512.9000000000083</v>
      </c>
      <c r="F155" s="411"/>
    </row>
    <row r="156" spans="1:6" ht="18" customHeight="1">
      <c r="A156" s="409">
        <v>151</v>
      </c>
      <c r="B156" s="502">
        <v>1782.6000000000049</v>
      </c>
      <c r="C156" s="502">
        <v>1718.3999999999951</v>
      </c>
      <c r="D156" s="503">
        <v>2876.9999999999914</v>
      </c>
      <c r="E156" s="503">
        <v>2528.8000000000084</v>
      </c>
      <c r="F156" s="411"/>
    </row>
    <row r="157" spans="1:6" ht="18" customHeight="1">
      <c r="A157" s="409">
        <v>152</v>
      </c>
      <c r="B157" s="502">
        <v>1793.800000000005</v>
      </c>
      <c r="C157" s="502">
        <v>1729.199999999995</v>
      </c>
      <c r="D157" s="503">
        <v>2895.0999999999913</v>
      </c>
      <c r="E157" s="503">
        <v>2544.7000000000085</v>
      </c>
      <c r="F157" s="411"/>
    </row>
    <row r="158" spans="1:6" ht="18" customHeight="1">
      <c r="A158" s="409">
        <v>153</v>
      </c>
      <c r="B158" s="502">
        <v>1805.000000000005</v>
      </c>
      <c r="C158" s="502">
        <v>1739.999999999995</v>
      </c>
      <c r="D158" s="503">
        <v>2913.1999999999912</v>
      </c>
      <c r="E158" s="503">
        <v>2560.6000000000085</v>
      </c>
      <c r="F158" s="411"/>
    </row>
    <row r="159" spans="1:6" ht="18" customHeight="1">
      <c r="A159" s="409">
        <v>154</v>
      </c>
      <c r="B159" s="502">
        <v>1816.200000000005</v>
      </c>
      <c r="C159" s="502">
        <v>1750.799999999995</v>
      </c>
      <c r="D159" s="503">
        <v>2931.2999999999911</v>
      </c>
      <c r="E159" s="503">
        <v>2576.5000000000086</v>
      </c>
      <c r="F159" s="411"/>
    </row>
    <row r="160" spans="1:6" ht="18" customHeight="1">
      <c r="A160" s="409">
        <v>155</v>
      </c>
      <c r="B160" s="502">
        <v>1827.4000000000051</v>
      </c>
      <c r="C160" s="502">
        <v>1761.5999999999949</v>
      </c>
      <c r="D160" s="503">
        <v>2949.399999999991</v>
      </c>
      <c r="E160" s="503">
        <v>2592.4000000000087</v>
      </c>
      <c r="F160" s="411"/>
    </row>
    <row r="161" spans="1:6" ht="18" customHeight="1">
      <c r="A161" s="409">
        <v>156</v>
      </c>
      <c r="B161" s="502">
        <v>1838.6000000000051</v>
      </c>
      <c r="C161" s="502">
        <v>1772.3999999999949</v>
      </c>
      <c r="D161" s="503">
        <v>2967.4999999999909</v>
      </c>
      <c r="E161" s="503">
        <v>2608.3000000000088</v>
      </c>
      <c r="F161" s="411"/>
    </row>
    <row r="162" spans="1:6" ht="18" customHeight="1">
      <c r="A162" s="409">
        <v>157</v>
      </c>
      <c r="B162" s="502">
        <v>1849.8000000000052</v>
      </c>
      <c r="C162" s="502">
        <v>1783.1999999999948</v>
      </c>
      <c r="D162" s="503">
        <v>2985.5999999999908</v>
      </c>
      <c r="E162" s="503">
        <v>2624.2000000000089</v>
      </c>
      <c r="F162" s="411"/>
    </row>
    <row r="163" spans="1:6" ht="18" customHeight="1">
      <c r="A163" s="409">
        <v>158</v>
      </c>
      <c r="B163" s="502">
        <v>1861.0000000000052</v>
      </c>
      <c r="C163" s="502">
        <v>1793.9999999999948</v>
      </c>
      <c r="D163" s="503">
        <v>3003.6999999999907</v>
      </c>
      <c r="E163" s="503">
        <v>2640.100000000009</v>
      </c>
      <c r="F163" s="411"/>
    </row>
    <row r="164" spans="1:6" ht="18" customHeight="1">
      <c r="A164" s="409">
        <v>159</v>
      </c>
      <c r="B164" s="502">
        <v>1872.2000000000053</v>
      </c>
      <c r="C164" s="502">
        <v>1804.7999999999947</v>
      </c>
      <c r="D164" s="503">
        <v>3021.7999999999906</v>
      </c>
      <c r="E164" s="503">
        <v>2656.0000000000091</v>
      </c>
      <c r="F164" s="411"/>
    </row>
    <row r="165" spans="1:6" ht="18" customHeight="1">
      <c r="A165" s="409">
        <v>160</v>
      </c>
      <c r="B165" s="502">
        <v>1883.4000000000053</v>
      </c>
      <c r="C165" s="502">
        <v>1815.5999999999947</v>
      </c>
      <c r="D165" s="503">
        <v>3039.8999999999905</v>
      </c>
      <c r="E165" s="503">
        <v>2671.9000000000092</v>
      </c>
      <c r="F165" s="411"/>
    </row>
    <row r="166" spans="1:6" ht="18" customHeight="1">
      <c r="A166" s="409">
        <v>161</v>
      </c>
      <c r="B166" s="502">
        <v>1894.6000000000054</v>
      </c>
      <c r="C166" s="502">
        <v>1826.3999999999946</v>
      </c>
      <c r="D166" s="503">
        <v>3057.9999999999905</v>
      </c>
      <c r="E166" s="503">
        <v>2687.8000000000093</v>
      </c>
      <c r="F166" s="411"/>
    </row>
    <row r="167" spans="1:6" ht="18" customHeight="1">
      <c r="A167" s="409">
        <v>162</v>
      </c>
      <c r="B167" s="502">
        <v>1905.8000000000054</v>
      </c>
      <c r="C167" s="502">
        <v>1837.1999999999946</v>
      </c>
      <c r="D167" s="503">
        <v>3076.0999999999904</v>
      </c>
      <c r="E167" s="503">
        <v>2703.7000000000094</v>
      </c>
      <c r="F167" s="411"/>
    </row>
    <row r="168" spans="1:6" ht="18" customHeight="1">
      <c r="A168" s="409">
        <v>163</v>
      </c>
      <c r="B168" s="502">
        <v>1917.0000000000055</v>
      </c>
      <c r="C168" s="502">
        <v>1847.9999999999945</v>
      </c>
      <c r="D168" s="503">
        <v>3094.1999999999903</v>
      </c>
      <c r="E168" s="503">
        <v>2719.6000000000095</v>
      </c>
      <c r="F168" s="411"/>
    </row>
    <row r="169" spans="1:6" ht="18" customHeight="1">
      <c r="A169" s="409">
        <v>164</v>
      </c>
      <c r="B169" s="502">
        <v>1928.2000000000055</v>
      </c>
      <c r="C169" s="502">
        <v>1858.7999999999945</v>
      </c>
      <c r="D169" s="503">
        <v>3112.2999999999902</v>
      </c>
      <c r="E169" s="503">
        <v>2735.5000000000095</v>
      </c>
      <c r="F169" s="411"/>
    </row>
    <row r="170" spans="1:6" ht="18" customHeight="1">
      <c r="A170" s="409">
        <v>165</v>
      </c>
      <c r="B170" s="502">
        <v>1939.4000000000055</v>
      </c>
      <c r="C170" s="502">
        <v>1869.5999999999945</v>
      </c>
      <c r="D170" s="503">
        <v>3130.3999999999901</v>
      </c>
      <c r="E170" s="503">
        <v>2751.4000000000096</v>
      </c>
      <c r="F170" s="411"/>
    </row>
    <row r="171" spans="1:6" ht="18" customHeight="1">
      <c r="A171" s="409">
        <v>166</v>
      </c>
      <c r="B171" s="502">
        <v>1950.6000000000056</v>
      </c>
      <c r="C171" s="502">
        <v>1880.3999999999944</v>
      </c>
      <c r="D171" s="503">
        <v>3148.49999999999</v>
      </c>
      <c r="E171" s="503">
        <v>2767.3000000000097</v>
      </c>
      <c r="F171" s="411"/>
    </row>
    <row r="172" spans="1:6" ht="18" customHeight="1">
      <c r="A172" s="409">
        <v>167</v>
      </c>
      <c r="B172" s="502">
        <v>1961.8000000000056</v>
      </c>
      <c r="C172" s="502">
        <v>1891.1999999999944</v>
      </c>
      <c r="D172" s="503">
        <v>3166.5999999999899</v>
      </c>
      <c r="E172" s="503">
        <v>2783.2000000000098</v>
      </c>
      <c r="F172" s="411"/>
    </row>
    <row r="173" spans="1:6" ht="18" customHeight="1">
      <c r="A173" s="409">
        <v>168</v>
      </c>
      <c r="B173" s="502">
        <v>1973.0000000000057</v>
      </c>
      <c r="C173" s="502">
        <v>1901.9999999999943</v>
      </c>
      <c r="D173" s="503">
        <v>3184.6999999999898</v>
      </c>
      <c r="E173" s="503">
        <v>2799.1000000000099</v>
      </c>
      <c r="F173" s="411"/>
    </row>
    <row r="174" spans="1:6" ht="18" customHeight="1">
      <c r="A174" s="409">
        <v>169</v>
      </c>
      <c r="B174" s="502">
        <v>1984.2000000000057</v>
      </c>
      <c r="C174" s="502">
        <v>1912.7999999999943</v>
      </c>
      <c r="D174" s="503">
        <v>3202.7999999999897</v>
      </c>
      <c r="E174" s="503">
        <v>2815.00000000001</v>
      </c>
      <c r="F174" s="411"/>
    </row>
    <row r="175" spans="1:6" ht="18" customHeight="1">
      <c r="A175" s="409">
        <v>170</v>
      </c>
      <c r="B175" s="502">
        <v>1995.4000000000058</v>
      </c>
      <c r="C175" s="502">
        <v>1923.5999999999942</v>
      </c>
      <c r="D175" s="503">
        <v>3220.8999999999896</v>
      </c>
      <c r="E175" s="503">
        <v>2830.9000000000101</v>
      </c>
      <c r="F175" s="411"/>
    </row>
    <row r="176" spans="1:6" ht="18" customHeight="1">
      <c r="A176" s="409">
        <v>171</v>
      </c>
      <c r="B176" s="502">
        <v>2006.6000000000058</v>
      </c>
      <c r="C176" s="502">
        <v>1934.3999999999942</v>
      </c>
      <c r="D176" s="503">
        <v>3238.9999999999895</v>
      </c>
      <c r="E176" s="503">
        <v>2846.8000000000102</v>
      </c>
      <c r="F176" s="411"/>
    </row>
    <row r="177" spans="1:6" ht="18" customHeight="1">
      <c r="A177" s="409">
        <v>172</v>
      </c>
      <c r="B177" s="502">
        <v>2017.8000000000059</v>
      </c>
      <c r="C177" s="502">
        <v>1945.1999999999941</v>
      </c>
      <c r="D177" s="503">
        <v>3257.0999999999894</v>
      </c>
      <c r="E177" s="503">
        <v>2862.7000000000103</v>
      </c>
      <c r="F177" s="411"/>
    </row>
    <row r="178" spans="1:6" ht="18" customHeight="1">
      <c r="A178" s="409">
        <v>173</v>
      </c>
      <c r="B178" s="502">
        <v>2029.0000000000059</v>
      </c>
      <c r="C178" s="502">
        <v>1955.9999999999941</v>
      </c>
      <c r="D178" s="503">
        <v>3275.1999999999894</v>
      </c>
      <c r="E178" s="503">
        <v>2878.6000000000104</v>
      </c>
      <c r="F178" s="411"/>
    </row>
    <row r="179" spans="1:6" ht="18" customHeight="1">
      <c r="A179" s="409">
        <v>174</v>
      </c>
      <c r="B179" s="502">
        <v>2040.200000000006</v>
      </c>
      <c r="C179" s="502">
        <v>1966.799999999994</v>
      </c>
      <c r="D179" s="503">
        <v>3293.2999999999893</v>
      </c>
      <c r="E179" s="503">
        <v>2894.5000000000105</v>
      </c>
      <c r="F179" s="411"/>
    </row>
    <row r="180" spans="1:6" ht="18" customHeight="1">
      <c r="A180" s="409">
        <v>175</v>
      </c>
      <c r="B180" s="502">
        <v>2051.400000000006</v>
      </c>
      <c r="C180" s="502">
        <v>1977.599999999994</v>
      </c>
      <c r="D180" s="503">
        <v>3311.3999999999892</v>
      </c>
      <c r="E180" s="503">
        <v>2910.4000000000106</v>
      </c>
      <c r="F180" s="411"/>
    </row>
    <row r="181" spans="1:6" ht="18" customHeight="1">
      <c r="A181" s="409">
        <v>176</v>
      </c>
      <c r="B181" s="502">
        <v>2062.6000000000058</v>
      </c>
      <c r="C181" s="502">
        <v>1988.399999999994</v>
      </c>
      <c r="D181" s="503">
        <v>3329.4999999999891</v>
      </c>
      <c r="E181" s="503">
        <v>2926.3000000000106</v>
      </c>
      <c r="F181" s="411"/>
    </row>
    <row r="182" spans="1:6" ht="18" customHeight="1">
      <c r="A182" s="409">
        <v>177</v>
      </c>
      <c r="B182" s="502">
        <v>2073.8000000000056</v>
      </c>
      <c r="C182" s="502">
        <v>1999.1999999999939</v>
      </c>
      <c r="D182" s="503">
        <v>3347.599999999989</v>
      </c>
      <c r="E182" s="503">
        <v>2942.2000000000107</v>
      </c>
      <c r="F182" s="411"/>
    </row>
    <row r="183" spans="1:6" ht="18" customHeight="1">
      <c r="A183" s="409">
        <v>178</v>
      </c>
      <c r="B183" s="502">
        <v>2085.0000000000055</v>
      </c>
      <c r="C183" s="502">
        <v>2009.9999999999939</v>
      </c>
      <c r="D183" s="503">
        <v>3365.6999999999889</v>
      </c>
      <c r="E183" s="503">
        <v>2958.1000000000108</v>
      </c>
      <c r="F183" s="411"/>
    </row>
    <row r="184" spans="1:6" ht="18" customHeight="1">
      <c r="A184" s="409">
        <v>179</v>
      </c>
      <c r="B184" s="502">
        <v>2096.2000000000053</v>
      </c>
      <c r="C184" s="502">
        <v>2020.7999999999938</v>
      </c>
      <c r="D184" s="503">
        <v>3383.7999999999888</v>
      </c>
      <c r="E184" s="503">
        <v>2974.0000000000109</v>
      </c>
      <c r="F184" s="411"/>
    </row>
    <row r="185" spans="1:6" ht="18" customHeight="1">
      <c r="A185" s="409">
        <v>180</v>
      </c>
      <c r="B185" s="502">
        <v>2107.4000000000051</v>
      </c>
      <c r="C185" s="502">
        <v>2031.5999999999938</v>
      </c>
      <c r="D185" s="503">
        <v>3401.8999999999887</v>
      </c>
      <c r="E185" s="503">
        <v>2989.900000000011</v>
      </c>
      <c r="F185" s="411"/>
    </row>
    <row r="186" spans="1:6" ht="18" customHeight="1">
      <c r="A186" s="409">
        <v>181</v>
      </c>
      <c r="B186" s="502">
        <v>2118.6000000000049</v>
      </c>
      <c r="C186" s="502">
        <v>2042.3999999999937</v>
      </c>
      <c r="D186" s="503">
        <v>3419.9999999999886</v>
      </c>
      <c r="E186" s="503">
        <v>3005.8000000000111</v>
      </c>
      <c r="F186" s="411"/>
    </row>
    <row r="187" spans="1:6" ht="18" customHeight="1">
      <c r="A187" s="409">
        <v>182</v>
      </c>
      <c r="B187" s="502">
        <v>2129.8000000000047</v>
      </c>
      <c r="C187" s="502">
        <v>2053.1999999999939</v>
      </c>
      <c r="D187" s="503">
        <v>3438.0999999999885</v>
      </c>
      <c r="E187" s="503">
        <v>3021.7000000000112</v>
      </c>
      <c r="F187" s="411"/>
    </row>
    <row r="188" spans="1:6" ht="18" customHeight="1">
      <c r="A188" s="409">
        <v>183</v>
      </c>
      <c r="B188" s="502">
        <v>2141.0000000000045</v>
      </c>
      <c r="C188" s="502">
        <v>2063.9999999999941</v>
      </c>
      <c r="D188" s="503">
        <v>3456.1999999999884</v>
      </c>
      <c r="E188" s="503">
        <v>3037.6000000000113</v>
      </c>
      <c r="F188" s="411"/>
    </row>
    <row r="189" spans="1:6" ht="18" customHeight="1">
      <c r="A189" s="409">
        <v>184</v>
      </c>
      <c r="B189" s="502">
        <v>2152.2000000000044</v>
      </c>
      <c r="C189" s="502">
        <v>2074.7999999999943</v>
      </c>
      <c r="D189" s="503">
        <v>3474.2999999999884</v>
      </c>
      <c r="E189" s="503">
        <v>3053.5000000000114</v>
      </c>
      <c r="F189" s="411"/>
    </row>
    <row r="190" spans="1:6" ht="18" customHeight="1">
      <c r="A190" s="409">
        <v>185</v>
      </c>
      <c r="B190" s="502">
        <v>2163.4000000000042</v>
      </c>
      <c r="C190" s="502">
        <v>2085.5999999999945</v>
      </c>
      <c r="D190" s="503">
        <v>3492.3999999999883</v>
      </c>
      <c r="E190" s="503">
        <v>3069.4000000000115</v>
      </c>
      <c r="F190" s="411"/>
    </row>
    <row r="191" spans="1:6" ht="18" customHeight="1">
      <c r="A191" s="409">
        <v>186</v>
      </c>
      <c r="B191" s="502">
        <v>2174.600000000004</v>
      </c>
      <c r="C191" s="502">
        <v>2096.3999999999946</v>
      </c>
      <c r="D191" s="503">
        <v>3510.4999999999882</v>
      </c>
      <c r="E191" s="503">
        <v>3085.3000000000116</v>
      </c>
      <c r="F191" s="411"/>
    </row>
    <row r="192" spans="1:6" ht="18" customHeight="1">
      <c r="A192" s="409">
        <v>187</v>
      </c>
      <c r="B192" s="502">
        <v>2185.8000000000038</v>
      </c>
      <c r="C192" s="502">
        <v>2107.1999999999948</v>
      </c>
      <c r="D192" s="503">
        <v>3528.5999999999881</v>
      </c>
      <c r="E192" s="503">
        <v>3101.2000000000116</v>
      </c>
      <c r="F192" s="411"/>
    </row>
    <row r="193" spans="1:6" ht="18" customHeight="1">
      <c r="A193" s="409">
        <v>188</v>
      </c>
      <c r="B193" s="502">
        <v>2197.0000000000036</v>
      </c>
      <c r="C193" s="502">
        <v>2117.999999999995</v>
      </c>
      <c r="D193" s="503">
        <v>3546.699999999988</v>
      </c>
      <c r="E193" s="503">
        <v>3117.1000000000117</v>
      </c>
      <c r="F193" s="411"/>
    </row>
    <row r="194" spans="1:6" ht="18" customHeight="1">
      <c r="A194" s="409">
        <v>189</v>
      </c>
      <c r="B194" s="502">
        <v>2208.2000000000035</v>
      </c>
      <c r="C194" s="502">
        <v>2128.7999999999952</v>
      </c>
      <c r="D194" s="503">
        <v>3564.7999999999879</v>
      </c>
      <c r="E194" s="503">
        <v>3133.0000000000118</v>
      </c>
      <c r="F194" s="411"/>
    </row>
    <row r="195" spans="1:6" ht="18" customHeight="1">
      <c r="A195" s="409">
        <v>190</v>
      </c>
      <c r="B195" s="502">
        <v>2219.4000000000033</v>
      </c>
      <c r="C195" s="502">
        <v>2139.5999999999954</v>
      </c>
      <c r="D195" s="503">
        <v>3582.8999999999878</v>
      </c>
      <c r="E195" s="503">
        <v>3148.9000000000119</v>
      </c>
      <c r="F195" s="411"/>
    </row>
    <row r="196" spans="1:6" ht="18" customHeight="1">
      <c r="A196" s="409">
        <v>191</v>
      </c>
      <c r="B196" s="502">
        <v>2230.6000000000031</v>
      </c>
      <c r="C196" s="502">
        <v>2150.3999999999955</v>
      </c>
      <c r="D196" s="503">
        <v>3600.9999999999877</v>
      </c>
      <c r="E196" s="503">
        <v>3164.800000000012</v>
      </c>
      <c r="F196" s="411"/>
    </row>
    <row r="197" spans="1:6" ht="18" customHeight="1">
      <c r="A197" s="409">
        <v>192</v>
      </c>
      <c r="B197" s="502">
        <v>2241.8000000000029</v>
      </c>
      <c r="C197" s="502">
        <v>2161.1999999999957</v>
      </c>
      <c r="D197" s="503">
        <v>3619.0999999999876</v>
      </c>
      <c r="E197" s="503">
        <v>3180.7000000000121</v>
      </c>
      <c r="F197" s="411"/>
    </row>
    <row r="198" spans="1:6" ht="18" customHeight="1">
      <c r="A198" s="409">
        <v>193</v>
      </c>
      <c r="B198" s="502">
        <v>2253.0000000000027</v>
      </c>
      <c r="C198" s="502">
        <v>2171.9999999999959</v>
      </c>
      <c r="D198" s="503">
        <v>3637.1999999999875</v>
      </c>
      <c r="E198" s="503">
        <v>3196.6000000000122</v>
      </c>
      <c r="F198" s="411"/>
    </row>
    <row r="199" spans="1:6" ht="18" customHeight="1">
      <c r="A199" s="409">
        <v>194</v>
      </c>
      <c r="B199" s="502">
        <v>2264.2000000000025</v>
      </c>
      <c r="C199" s="502">
        <v>2182.7999999999961</v>
      </c>
      <c r="D199" s="503">
        <v>3655.2999999999874</v>
      </c>
      <c r="E199" s="503">
        <v>3212.5000000000123</v>
      </c>
      <c r="F199" s="411"/>
    </row>
    <row r="200" spans="1:6" ht="18" customHeight="1">
      <c r="A200" s="409">
        <v>195</v>
      </c>
      <c r="B200" s="502">
        <v>2275.4000000000024</v>
      </c>
      <c r="C200" s="502">
        <v>2193.5999999999963</v>
      </c>
      <c r="D200" s="503">
        <v>3673.3999999999874</v>
      </c>
      <c r="E200" s="503">
        <v>3228.4000000000124</v>
      </c>
      <c r="F200" s="411"/>
    </row>
    <row r="201" spans="1:6" ht="18" customHeight="1">
      <c r="A201" s="409">
        <v>196</v>
      </c>
      <c r="B201" s="502">
        <v>2286.6000000000022</v>
      </c>
      <c r="C201" s="502">
        <v>2204.3999999999965</v>
      </c>
      <c r="D201" s="503">
        <v>3691.4999999999873</v>
      </c>
      <c r="E201" s="503">
        <v>3244.3000000000125</v>
      </c>
      <c r="F201" s="411"/>
    </row>
    <row r="202" spans="1:6" ht="18" customHeight="1">
      <c r="A202" s="409">
        <v>197</v>
      </c>
      <c r="B202" s="502">
        <v>2297.800000000002</v>
      </c>
      <c r="C202" s="502">
        <v>2215.1999999999966</v>
      </c>
      <c r="D202" s="503">
        <v>3709.5999999999872</v>
      </c>
      <c r="E202" s="503">
        <v>3260.2000000000126</v>
      </c>
      <c r="F202" s="411"/>
    </row>
    <row r="203" spans="1:6" ht="18" customHeight="1">
      <c r="A203" s="409">
        <v>198</v>
      </c>
      <c r="B203" s="502">
        <v>2309.0000000000018</v>
      </c>
      <c r="C203" s="502">
        <v>2225.9999999999968</v>
      </c>
      <c r="D203" s="503">
        <v>3727.6999999999871</v>
      </c>
      <c r="E203" s="503">
        <v>3276.1000000000126</v>
      </c>
      <c r="F203" s="411"/>
    </row>
    <row r="204" spans="1:6" ht="18" customHeight="1">
      <c r="A204" s="409">
        <v>199</v>
      </c>
      <c r="B204" s="502">
        <v>2320.2000000000016</v>
      </c>
      <c r="C204" s="502">
        <v>2236.799999999997</v>
      </c>
      <c r="D204" s="503">
        <v>3745.799999999987</v>
      </c>
      <c r="E204" s="503">
        <v>3292.0000000000127</v>
      </c>
      <c r="F204" s="411"/>
    </row>
    <row r="205" spans="1:6" ht="18" customHeight="1">
      <c r="A205" s="409">
        <v>200</v>
      </c>
      <c r="B205" s="502">
        <v>2331.4000000000015</v>
      </c>
      <c r="C205" s="502">
        <v>2247.5999999999972</v>
      </c>
      <c r="D205" s="503">
        <v>3763.8999999999869</v>
      </c>
      <c r="E205" s="503">
        <v>3307.9000000000128</v>
      </c>
      <c r="F205" s="411"/>
    </row>
    <row r="206" spans="1:6">
      <c r="A206" s="409">
        <v>201</v>
      </c>
      <c r="B206" s="502">
        <v>2342.6000000000013</v>
      </c>
      <c r="C206" s="502">
        <v>2258.3999999999974</v>
      </c>
      <c r="D206" s="503">
        <v>3781.9999999999868</v>
      </c>
      <c r="E206" s="503">
        <v>3323.8000000000129</v>
      </c>
      <c r="F206" s="411"/>
    </row>
    <row r="207" spans="1:6">
      <c r="A207" s="409">
        <v>202</v>
      </c>
      <c r="B207" s="502">
        <v>2353.8000000000011</v>
      </c>
      <c r="C207" s="502">
        <v>2269.1999999999975</v>
      </c>
      <c r="D207" s="503">
        <v>3800.0999999999867</v>
      </c>
      <c r="E207" s="503">
        <v>3339.700000000013</v>
      </c>
      <c r="F207" s="411"/>
    </row>
    <row r="208" spans="1:6">
      <c r="A208" s="409">
        <v>203</v>
      </c>
      <c r="B208" s="502">
        <v>2365.0000000000009</v>
      </c>
      <c r="C208" s="502">
        <v>2279.9999999999977</v>
      </c>
      <c r="D208" s="503">
        <v>3818.1999999999866</v>
      </c>
      <c r="E208" s="503">
        <v>3355.6000000000131</v>
      </c>
      <c r="F208" s="411"/>
    </row>
    <row r="209" spans="1:6">
      <c r="A209" s="409">
        <v>204</v>
      </c>
      <c r="B209" s="502">
        <v>2376.2000000000007</v>
      </c>
      <c r="C209" s="502">
        <v>2290.7999999999979</v>
      </c>
      <c r="D209" s="503">
        <v>3836.2999999999865</v>
      </c>
      <c r="E209" s="503">
        <v>3371.5000000000132</v>
      </c>
      <c r="F209" s="411"/>
    </row>
    <row r="210" spans="1:6">
      <c r="A210" s="409">
        <v>205</v>
      </c>
      <c r="B210" s="502">
        <v>2387.4000000000005</v>
      </c>
      <c r="C210" s="502">
        <v>2301.5999999999981</v>
      </c>
      <c r="D210" s="503">
        <v>3854.3999999999864</v>
      </c>
      <c r="E210" s="503">
        <v>3387.4000000000133</v>
      </c>
      <c r="F210" s="411"/>
    </row>
    <row r="211" spans="1:6">
      <c r="A211" s="409">
        <v>206</v>
      </c>
      <c r="B211" s="502">
        <v>2398.6000000000004</v>
      </c>
      <c r="C211" s="502">
        <v>2312.3999999999983</v>
      </c>
      <c r="D211" s="503">
        <v>3872.4999999999864</v>
      </c>
      <c r="E211" s="503">
        <v>3403.3000000000134</v>
      </c>
      <c r="F211" s="411"/>
    </row>
    <row r="212" spans="1:6">
      <c r="A212" s="409">
        <v>207</v>
      </c>
      <c r="B212" s="502">
        <v>2409.8000000000002</v>
      </c>
      <c r="C212" s="502">
        <v>2323.1999999999985</v>
      </c>
      <c r="D212" s="503">
        <v>3890.5999999999863</v>
      </c>
      <c r="E212" s="503">
        <v>3419.2000000000135</v>
      </c>
      <c r="F212" s="411"/>
    </row>
    <row r="213" spans="1:6">
      <c r="A213" s="409">
        <v>208</v>
      </c>
      <c r="B213" s="502">
        <v>2421</v>
      </c>
      <c r="C213" s="502">
        <v>2333.9999999999986</v>
      </c>
      <c r="D213" s="503">
        <v>3908.6999999999862</v>
      </c>
      <c r="E213" s="503">
        <v>3435.1000000000136</v>
      </c>
      <c r="F213" s="411"/>
    </row>
    <row r="214" spans="1:6">
      <c r="A214" s="409">
        <v>209</v>
      </c>
      <c r="B214" s="502">
        <v>2432.1999999999998</v>
      </c>
      <c r="C214" s="502">
        <v>2344.7999999999988</v>
      </c>
      <c r="D214" s="503">
        <v>3926.7999999999861</v>
      </c>
      <c r="E214" s="503">
        <v>3451.0000000000136</v>
      </c>
      <c r="F214" s="411"/>
    </row>
    <row r="215" spans="1:6">
      <c r="A215" s="409">
        <v>210</v>
      </c>
      <c r="B215" s="502">
        <v>2443.3999999999996</v>
      </c>
      <c r="C215" s="502">
        <v>2355.599999999999</v>
      </c>
      <c r="D215" s="503">
        <v>3944.899999999986</v>
      </c>
      <c r="E215" s="503">
        <v>3466.9000000000137</v>
      </c>
      <c r="F215" s="411"/>
    </row>
    <row r="216" spans="1:6">
      <c r="A216" s="409">
        <v>211</v>
      </c>
      <c r="B216" s="502">
        <v>2454.5999999999995</v>
      </c>
      <c r="C216" s="502">
        <v>2366.3999999999992</v>
      </c>
      <c r="D216" s="503">
        <v>3962.9999999999859</v>
      </c>
      <c r="E216" s="503">
        <v>3482.8000000000138</v>
      </c>
      <c r="F216" s="411"/>
    </row>
    <row r="217" spans="1:6">
      <c r="A217" s="409">
        <v>212</v>
      </c>
      <c r="B217" s="502">
        <v>2465.7999999999993</v>
      </c>
      <c r="C217" s="502">
        <v>2377.1999999999994</v>
      </c>
      <c r="D217" s="503">
        <v>3981.0999999999858</v>
      </c>
      <c r="E217" s="503">
        <v>3498.7000000000139</v>
      </c>
      <c r="F217" s="411"/>
    </row>
    <row r="218" spans="1:6">
      <c r="A218" s="409">
        <v>213</v>
      </c>
      <c r="B218" s="502">
        <v>2476.9999999999991</v>
      </c>
      <c r="C218" s="502">
        <v>2387.9999999999995</v>
      </c>
      <c r="D218" s="503">
        <v>3999.1999999999857</v>
      </c>
      <c r="E218" s="503">
        <v>3514.600000000014</v>
      </c>
      <c r="F218" s="411"/>
    </row>
    <row r="219" spans="1:6">
      <c r="A219" s="409">
        <v>214</v>
      </c>
      <c r="B219" s="502">
        <v>2488.1999999999989</v>
      </c>
      <c r="C219" s="502">
        <v>2398.7999999999997</v>
      </c>
      <c r="D219" s="503">
        <v>4017.2999999999856</v>
      </c>
      <c r="E219" s="503">
        <v>3530.5000000000141</v>
      </c>
      <c r="F219" s="411"/>
    </row>
    <row r="220" spans="1:6">
      <c r="A220" s="409">
        <v>215</v>
      </c>
      <c r="B220" s="502">
        <v>2499.3999999999987</v>
      </c>
      <c r="C220" s="502">
        <v>2409.6</v>
      </c>
      <c r="D220" s="503">
        <v>4035.3999999999855</v>
      </c>
      <c r="E220" s="503">
        <v>3546.4000000000142</v>
      </c>
      <c r="F220" s="411"/>
    </row>
    <row r="221" spans="1:6">
      <c r="A221" s="409">
        <v>216</v>
      </c>
      <c r="B221" s="502">
        <v>2510.5999999999985</v>
      </c>
      <c r="C221" s="502">
        <v>2420.4</v>
      </c>
      <c r="D221" s="503">
        <v>4053.4999999999854</v>
      </c>
      <c r="E221" s="503">
        <v>3562.3000000000143</v>
      </c>
    </row>
    <row r="222" spans="1:6">
      <c r="A222" s="409">
        <v>217</v>
      </c>
      <c r="B222" s="502">
        <v>2521.7999999999984</v>
      </c>
      <c r="C222" s="502">
        <v>2431.2000000000003</v>
      </c>
      <c r="D222" s="503">
        <v>4071.5999999999854</v>
      </c>
      <c r="E222" s="503">
        <v>3578.2000000000144</v>
      </c>
    </row>
    <row r="223" spans="1:6">
      <c r="A223" s="409">
        <v>218</v>
      </c>
      <c r="B223" s="502">
        <v>2532.9999999999982</v>
      </c>
      <c r="C223" s="502">
        <v>2442.0000000000005</v>
      </c>
      <c r="D223" s="503">
        <v>4089.6999999999853</v>
      </c>
      <c r="E223" s="503">
        <v>3594.1000000000145</v>
      </c>
    </row>
    <row r="224" spans="1:6">
      <c r="A224" s="409">
        <v>219</v>
      </c>
      <c r="B224" s="502">
        <v>2544.199999999998</v>
      </c>
      <c r="C224" s="502">
        <v>2452.8000000000006</v>
      </c>
      <c r="D224" s="503">
        <v>4107.7999999999856</v>
      </c>
      <c r="E224" s="503">
        <v>3610.0000000000146</v>
      </c>
    </row>
    <row r="225" spans="1:5">
      <c r="A225" s="409">
        <v>220</v>
      </c>
      <c r="B225" s="502">
        <v>2555.3999999999978</v>
      </c>
      <c r="C225" s="502">
        <v>2463.6000000000008</v>
      </c>
      <c r="D225" s="503">
        <v>4125.899999999986</v>
      </c>
      <c r="E225" s="503">
        <v>3625.9000000000146</v>
      </c>
    </row>
    <row r="226" spans="1:5">
      <c r="A226" s="409">
        <v>221</v>
      </c>
      <c r="B226" s="502">
        <v>2566.5999999999976</v>
      </c>
      <c r="C226" s="502">
        <v>2474.400000000001</v>
      </c>
      <c r="D226" s="503">
        <v>4143.9999999999864</v>
      </c>
      <c r="E226" s="503">
        <v>3641.8000000000147</v>
      </c>
    </row>
    <row r="227" spans="1:5">
      <c r="A227" s="409">
        <v>222</v>
      </c>
      <c r="B227" s="502">
        <v>2577.7999999999975</v>
      </c>
      <c r="C227" s="502">
        <v>2485.2000000000012</v>
      </c>
      <c r="D227" s="503">
        <v>4162.0999999999867</v>
      </c>
      <c r="E227" s="503">
        <v>3657.7000000000148</v>
      </c>
    </row>
    <row r="228" spans="1:5">
      <c r="A228" s="409">
        <v>223</v>
      </c>
      <c r="B228" s="502">
        <v>2588.9999999999973</v>
      </c>
      <c r="C228" s="502">
        <v>2496.0000000000014</v>
      </c>
      <c r="D228" s="503">
        <v>4180.1999999999871</v>
      </c>
      <c r="E228" s="503">
        <v>3673.6000000000149</v>
      </c>
    </row>
    <row r="229" spans="1:5">
      <c r="A229" s="409">
        <v>224</v>
      </c>
      <c r="B229" s="502">
        <v>2600.1999999999971</v>
      </c>
      <c r="C229" s="502">
        <v>2506.8000000000015</v>
      </c>
      <c r="D229" s="503">
        <v>4198.2999999999874</v>
      </c>
      <c r="E229" s="503">
        <v>3689.500000000015</v>
      </c>
    </row>
    <row r="230" spans="1:5">
      <c r="A230" s="409">
        <v>225</v>
      </c>
      <c r="B230" s="502">
        <v>2611.3999999999969</v>
      </c>
      <c r="C230" s="502">
        <v>2517.6000000000017</v>
      </c>
      <c r="D230" s="503">
        <v>4216.3999999999878</v>
      </c>
      <c r="E230" s="503">
        <v>3705.4000000000151</v>
      </c>
    </row>
    <row r="231" spans="1:5">
      <c r="A231" s="409">
        <v>226</v>
      </c>
      <c r="B231" s="502">
        <v>2622.5999999999967</v>
      </c>
      <c r="C231" s="502">
        <v>2528.4000000000019</v>
      </c>
      <c r="D231" s="503">
        <v>4234.4999999999882</v>
      </c>
      <c r="E231" s="503">
        <v>3721.3000000000152</v>
      </c>
    </row>
    <row r="232" spans="1:5">
      <c r="A232" s="409">
        <v>227</v>
      </c>
      <c r="B232" s="502">
        <v>2633.7999999999965</v>
      </c>
      <c r="C232" s="502">
        <v>2539.2000000000021</v>
      </c>
      <c r="D232" s="503">
        <v>4252.5999999999885</v>
      </c>
      <c r="E232" s="503">
        <v>3737.2000000000153</v>
      </c>
    </row>
    <row r="233" spans="1:5">
      <c r="A233" s="409">
        <v>228</v>
      </c>
      <c r="B233" s="502">
        <v>2644.9999999999964</v>
      </c>
      <c r="C233" s="502">
        <v>2550.0000000000023</v>
      </c>
      <c r="D233" s="503">
        <v>4270.6999999999889</v>
      </c>
      <c r="E233" s="503">
        <v>3753.1000000000154</v>
      </c>
    </row>
    <row r="234" spans="1:5">
      <c r="A234" s="409">
        <v>229</v>
      </c>
      <c r="B234" s="502">
        <v>2656.1999999999962</v>
      </c>
      <c r="C234" s="502">
        <v>2560.8000000000025</v>
      </c>
      <c r="D234" s="503">
        <v>4288.7999999999893</v>
      </c>
      <c r="E234" s="503">
        <v>3769.0000000000155</v>
      </c>
    </row>
    <row r="235" spans="1:5">
      <c r="A235" s="409">
        <v>230</v>
      </c>
      <c r="B235" s="502">
        <v>2667.399999999996</v>
      </c>
      <c r="C235" s="502">
        <v>2571.6000000000026</v>
      </c>
      <c r="D235" s="503">
        <v>4306.8999999999896</v>
      </c>
      <c r="E235" s="503">
        <v>3784.9000000000156</v>
      </c>
    </row>
    <row r="236" spans="1:5">
      <c r="A236" s="409">
        <v>231</v>
      </c>
      <c r="B236" s="502">
        <v>2678.5999999999958</v>
      </c>
      <c r="C236" s="502">
        <v>2582.4000000000028</v>
      </c>
      <c r="D236" s="503">
        <v>4324.99999999999</v>
      </c>
      <c r="E236" s="503">
        <v>3800.8000000000156</v>
      </c>
    </row>
    <row r="237" spans="1:5">
      <c r="A237" s="409">
        <v>232</v>
      </c>
      <c r="B237" s="502">
        <v>2689.7999999999956</v>
      </c>
      <c r="C237" s="502">
        <v>2593.200000000003</v>
      </c>
      <c r="D237" s="503">
        <v>4343.0999999999904</v>
      </c>
      <c r="E237" s="503">
        <v>3816.7000000000157</v>
      </c>
    </row>
    <row r="238" spans="1:5">
      <c r="A238" s="409">
        <v>233</v>
      </c>
      <c r="B238" s="502">
        <v>2700.9999999999955</v>
      </c>
      <c r="C238" s="502">
        <v>2604.0000000000032</v>
      </c>
      <c r="D238" s="503">
        <v>4361.1999999999907</v>
      </c>
      <c r="E238" s="503">
        <v>3832.6000000000158</v>
      </c>
    </row>
    <row r="239" spans="1:5">
      <c r="A239" s="409">
        <v>234</v>
      </c>
      <c r="B239" s="502">
        <v>2712.1999999999953</v>
      </c>
      <c r="C239" s="502">
        <v>2614.8000000000034</v>
      </c>
      <c r="D239" s="503">
        <v>4379.2999999999911</v>
      </c>
      <c r="E239" s="503">
        <v>3848.5000000000159</v>
      </c>
    </row>
    <row r="240" spans="1:5">
      <c r="A240" s="409">
        <v>235</v>
      </c>
      <c r="B240" s="502">
        <v>2723.3999999999951</v>
      </c>
      <c r="C240" s="502">
        <v>2625.6000000000035</v>
      </c>
      <c r="D240" s="503">
        <v>4397.3999999999915</v>
      </c>
      <c r="E240" s="503">
        <v>3864.400000000016</v>
      </c>
    </row>
    <row r="241" spans="1:5">
      <c r="A241" s="409">
        <v>236</v>
      </c>
      <c r="B241" s="502">
        <v>2734.5999999999949</v>
      </c>
      <c r="C241" s="502">
        <v>2636.4000000000037</v>
      </c>
      <c r="D241" s="503">
        <v>4415.4999999999918</v>
      </c>
      <c r="E241" s="503">
        <v>3880.3000000000161</v>
      </c>
    </row>
    <row r="242" spans="1:5">
      <c r="A242" s="409">
        <v>237</v>
      </c>
      <c r="B242" s="502">
        <v>2745.7999999999947</v>
      </c>
      <c r="C242" s="502">
        <v>2647.2000000000039</v>
      </c>
      <c r="D242" s="503">
        <v>4433.5999999999922</v>
      </c>
      <c r="E242" s="503">
        <v>3896.2000000000162</v>
      </c>
    </row>
    <row r="243" spans="1:5">
      <c r="A243" s="409">
        <v>238</v>
      </c>
      <c r="B243" s="502">
        <v>2756.9999999999945</v>
      </c>
      <c r="C243" s="502">
        <v>2658.0000000000041</v>
      </c>
      <c r="D243" s="503">
        <v>4451.6999999999925</v>
      </c>
      <c r="E243" s="503">
        <v>3912.1000000000163</v>
      </c>
    </row>
    <row r="244" spans="1:5">
      <c r="A244" s="409">
        <v>239</v>
      </c>
      <c r="B244" s="502">
        <v>2768.1999999999944</v>
      </c>
      <c r="C244" s="502">
        <v>2668.8000000000043</v>
      </c>
      <c r="D244" s="503">
        <v>4469.7999999999929</v>
      </c>
      <c r="E244" s="503">
        <v>3928.0000000000164</v>
      </c>
    </row>
    <row r="245" spans="1:5">
      <c r="A245" s="409">
        <v>240</v>
      </c>
      <c r="B245" s="502">
        <v>2779.3999999999942</v>
      </c>
      <c r="C245" s="502">
        <v>2679.6000000000045</v>
      </c>
      <c r="D245" s="503">
        <v>4487.8999999999933</v>
      </c>
      <c r="E245" s="503">
        <v>3943.9000000000165</v>
      </c>
    </row>
    <row r="246" spans="1:5">
      <c r="A246" s="409">
        <v>241</v>
      </c>
      <c r="B246" s="502">
        <v>2790.599999999994</v>
      </c>
      <c r="C246" s="502">
        <v>2690.4000000000046</v>
      </c>
      <c r="D246" s="503">
        <v>4505.9999999999936</v>
      </c>
      <c r="E246" s="503">
        <v>3959.8000000000166</v>
      </c>
    </row>
    <row r="247" spans="1:5">
      <c r="A247" s="409">
        <v>242</v>
      </c>
      <c r="B247" s="502">
        <v>2801.7999999999938</v>
      </c>
      <c r="C247" s="502">
        <v>2701.2000000000048</v>
      </c>
      <c r="D247" s="503">
        <v>4524.099999999994</v>
      </c>
      <c r="E247" s="503">
        <v>3975.7000000000166</v>
      </c>
    </row>
    <row r="248" spans="1:5">
      <c r="A248" s="409">
        <v>243</v>
      </c>
      <c r="B248" s="502">
        <v>2812.9999999999936</v>
      </c>
      <c r="C248" s="502">
        <v>2712.000000000005</v>
      </c>
      <c r="D248" s="503">
        <v>4542.1999999999944</v>
      </c>
      <c r="E248" s="503">
        <v>3991.6000000000167</v>
      </c>
    </row>
    <row r="249" spans="1:5">
      <c r="A249" s="409">
        <v>244</v>
      </c>
      <c r="B249" s="502">
        <v>2824.1999999999935</v>
      </c>
      <c r="C249" s="502">
        <v>2722.8000000000052</v>
      </c>
      <c r="D249" s="503">
        <v>4560.2999999999947</v>
      </c>
      <c r="E249" s="503">
        <v>4007.5000000000168</v>
      </c>
    </row>
    <row r="250" spans="1:5">
      <c r="A250" s="409">
        <v>245</v>
      </c>
      <c r="B250" s="502">
        <v>2835.3999999999933</v>
      </c>
      <c r="C250" s="502">
        <v>2733.6000000000054</v>
      </c>
      <c r="D250" s="503">
        <v>4578.3999999999951</v>
      </c>
      <c r="E250" s="503">
        <v>4023.4000000000169</v>
      </c>
    </row>
    <row r="251" spans="1:5">
      <c r="A251" s="409">
        <v>246</v>
      </c>
      <c r="B251" s="502">
        <v>2846.5999999999931</v>
      </c>
      <c r="C251" s="502">
        <v>2744.4000000000055</v>
      </c>
      <c r="D251" s="503">
        <v>4596.4999999999955</v>
      </c>
      <c r="E251" s="503">
        <v>4039.300000000017</v>
      </c>
    </row>
    <row r="252" spans="1:5">
      <c r="A252" s="409">
        <v>247</v>
      </c>
      <c r="B252" s="502">
        <v>2857.7999999999929</v>
      </c>
      <c r="C252" s="502">
        <v>2755.2000000000057</v>
      </c>
      <c r="D252" s="503">
        <v>4614.5999999999958</v>
      </c>
      <c r="E252" s="503">
        <v>4055.2000000000171</v>
      </c>
    </row>
    <row r="253" spans="1:5">
      <c r="A253" s="409">
        <v>248</v>
      </c>
      <c r="B253" s="502">
        <v>2868.9999999999927</v>
      </c>
      <c r="C253" s="502">
        <v>2766.0000000000059</v>
      </c>
      <c r="D253" s="503">
        <v>4632.6999999999962</v>
      </c>
      <c r="E253" s="503">
        <v>4071.1000000000172</v>
      </c>
    </row>
    <row r="254" spans="1:5">
      <c r="A254" s="409">
        <v>249</v>
      </c>
      <c r="B254" s="502">
        <v>2880.1999999999925</v>
      </c>
      <c r="C254" s="502">
        <v>2776.8000000000061</v>
      </c>
      <c r="D254" s="503">
        <v>4650.7999999999965</v>
      </c>
      <c r="E254" s="503">
        <v>4087.0000000000173</v>
      </c>
    </row>
    <row r="255" spans="1:5">
      <c r="A255" s="409">
        <v>250</v>
      </c>
      <c r="B255" s="502">
        <v>2891.3999999999924</v>
      </c>
      <c r="C255" s="502">
        <v>2787.6000000000063</v>
      </c>
      <c r="D255" s="503">
        <v>4668.8999999999969</v>
      </c>
      <c r="E255" s="503">
        <v>4102.9000000000169</v>
      </c>
    </row>
    <row r="256" spans="1:5">
      <c r="A256" s="409">
        <v>251</v>
      </c>
      <c r="B256" s="502">
        <v>2902.5999999999922</v>
      </c>
      <c r="C256" s="502">
        <v>2798.4000000000065</v>
      </c>
      <c r="D256" s="503">
        <v>4686.9999999999973</v>
      </c>
      <c r="E256" s="503">
        <v>4118.8000000000166</v>
      </c>
    </row>
    <row r="257" spans="1:5">
      <c r="A257" s="409">
        <v>252</v>
      </c>
      <c r="B257" s="502">
        <v>2913.799999999992</v>
      </c>
      <c r="C257" s="502">
        <v>2809.2000000000066</v>
      </c>
      <c r="D257" s="503">
        <v>4705.0999999999976</v>
      </c>
      <c r="E257" s="503">
        <v>4134.7000000000162</v>
      </c>
    </row>
    <row r="258" spans="1:5">
      <c r="A258" s="409">
        <v>253</v>
      </c>
      <c r="B258" s="502">
        <v>2924.9999999999918</v>
      </c>
      <c r="C258" s="502">
        <v>2820.0000000000068</v>
      </c>
      <c r="D258" s="503">
        <v>4723.199999999998</v>
      </c>
      <c r="E258" s="503">
        <v>4150.6000000000158</v>
      </c>
    </row>
    <row r="259" spans="1:5">
      <c r="A259" s="409">
        <v>254</v>
      </c>
      <c r="B259" s="502">
        <v>2936.1999999999916</v>
      </c>
      <c r="C259" s="502">
        <v>2830.800000000007</v>
      </c>
      <c r="D259" s="503">
        <v>4741.2999999999984</v>
      </c>
      <c r="E259" s="503">
        <v>4166.5000000000155</v>
      </c>
    </row>
    <row r="260" spans="1:5">
      <c r="A260" s="409">
        <v>255</v>
      </c>
      <c r="B260" s="502">
        <v>2947.3999999999915</v>
      </c>
      <c r="C260" s="502">
        <v>2841.6000000000072</v>
      </c>
      <c r="D260" s="503">
        <v>4759.3999999999987</v>
      </c>
      <c r="E260" s="503">
        <v>4182.4000000000151</v>
      </c>
    </row>
    <row r="261" spans="1:5">
      <c r="A261" s="409">
        <v>256</v>
      </c>
      <c r="B261" s="502">
        <v>2958.5999999999913</v>
      </c>
      <c r="C261" s="502">
        <v>2852.4000000000074</v>
      </c>
      <c r="D261" s="503">
        <v>4777.4999999999991</v>
      </c>
      <c r="E261" s="503">
        <v>4198.3000000000147</v>
      </c>
    </row>
    <row r="262" spans="1:5">
      <c r="A262" s="409">
        <v>257</v>
      </c>
      <c r="B262" s="502">
        <v>2969.7999999999911</v>
      </c>
      <c r="C262" s="502">
        <v>2863.2000000000075</v>
      </c>
      <c r="D262" s="503">
        <v>4795.5999999999995</v>
      </c>
      <c r="E262" s="503">
        <v>4214.2000000000144</v>
      </c>
    </row>
    <row r="263" spans="1:5">
      <c r="A263" s="409">
        <v>258</v>
      </c>
      <c r="B263" s="502">
        <v>2980.9999999999909</v>
      </c>
      <c r="C263" s="502">
        <v>2874.0000000000077</v>
      </c>
      <c r="D263" s="503">
        <v>4813.7</v>
      </c>
      <c r="E263" s="503">
        <v>4230.100000000014</v>
      </c>
    </row>
    <row r="264" spans="1:5">
      <c r="A264" s="409">
        <v>259</v>
      </c>
      <c r="B264" s="502">
        <v>2992.1999999999907</v>
      </c>
      <c r="C264" s="502">
        <v>2884.8000000000079</v>
      </c>
      <c r="D264" s="503">
        <v>4831.8</v>
      </c>
      <c r="E264" s="503">
        <v>4246.0000000000136</v>
      </c>
    </row>
    <row r="265" spans="1:5">
      <c r="A265" s="409">
        <v>260</v>
      </c>
      <c r="B265" s="502">
        <v>3003.3999999999905</v>
      </c>
      <c r="C265" s="502">
        <v>2895.6000000000081</v>
      </c>
      <c r="D265" s="503">
        <v>4849.9000000000005</v>
      </c>
      <c r="E265" s="503">
        <v>4261.9000000000133</v>
      </c>
    </row>
    <row r="266" spans="1:5">
      <c r="A266" s="409">
        <v>261</v>
      </c>
      <c r="B266" s="502">
        <v>3014.5999999999904</v>
      </c>
      <c r="C266" s="502">
        <v>2906.4000000000083</v>
      </c>
      <c r="D266" s="503">
        <v>4868.0000000000009</v>
      </c>
      <c r="E266" s="503">
        <v>4277.8000000000129</v>
      </c>
    </row>
    <row r="267" spans="1:5">
      <c r="A267" s="409">
        <v>262</v>
      </c>
      <c r="B267" s="502">
        <v>3025.7999999999902</v>
      </c>
      <c r="C267" s="502">
        <v>2917.2000000000085</v>
      </c>
      <c r="D267" s="503">
        <v>4886.1000000000013</v>
      </c>
      <c r="E267" s="503">
        <v>4293.7000000000126</v>
      </c>
    </row>
    <row r="268" spans="1:5">
      <c r="A268" s="409">
        <v>263</v>
      </c>
      <c r="B268" s="502">
        <v>3036.99999999999</v>
      </c>
      <c r="C268" s="502">
        <v>2928.0000000000086</v>
      </c>
      <c r="D268" s="503">
        <v>4904.2000000000016</v>
      </c>
      <c r="E268" s="503">
        <v>4309.6000000000122</v>
      </c>
    </row>
    <row r="269" spans="1:5">
      <c r="A269" s="409">
        <v>264</v>
      </c>
      <c r="B269" s="502">
        <v>3048.1999999999898</v>
      </c>
      <c r="C269" s="502">
        <v>2938.8000000000088</v>
      </c>
      <c r="D269" s="503">
        <v>4922.300000000002</v>
      </c>
      <c r="E269" s="503">
        <v>4325.5000000000118</v>
      </c>
    </row>
    <row r="270" spans="1:5">
      <c r="A270" s="409">
        <v>265</v>
      </c>
      <c r="B270" s="502">
        <v>3059.3999999999896</v>
      </c>
      <c r="C270" s="502">
        <v>2949.600000000009</v>
      </c>
      <c r="D270" s="503">
        <v>4940.4000000000024</v>
      </c>
      <c r="E270" s="503">
        <v>4341.4000000000115</v>
      </c>
    </row>
    <row r="271" spans="1:5">
      <c r="A271" s="409">
        <v>266</v>
      </c>
      <c r="B271" s="502">
        <v>3070.5999999999894</v>
      </c>
      <c r="C271" s="502">
        <v>2960.4000000000092</v>
      </c>
      <c r="D271" s="503">
        <v>4958.5000000000027</v>
      </c>
      <c r="E271" s="503">
        <v>4357.3000000000111</v>
      </c>
    </row>
    <row r="272" spans="1:5">
      <c r="A272" s="409">
        <v>267</v>
      </c>
      <c r="B272" s="502">
        <v>3081.7999999999893</v>
      </c>
      <c r="C272" s="502">
        <v>2971.2000000000094</v>
      </c>
      <c r="D272" s="503">
        <v>4976.6000000000031</v>
      </c>
      <c r="E272" s="503">
        <v>4373.2000000000107</v>
      </c>
    </row>
    <row r="273" spans="1:5">
      <c r="A273" s="409">
        <v>268</v>
      </c>
      <c r="B273" s="502">
        <v>3092.9999999999891</v>
      </c>
      <c r="C273" s="502">
        <v>2982.0000000000095</v>
      </c>
      <c r="D273" s="503">
        <v>4994.7000000000035</v>
      </c>
      <c r="E273" s="503">
        <v>4389.1000000000104</v>
      </c>
    </row>
    <row r="274" spans="1:5">
      <c r="A274" s="409">
        <v>269</v>
      </c>
      <c r="B274" s="502">
        <v>3104.1999999999889</v>
      </c>
      <c r="C274" s="502">
        <v>2992.8000000000097</v>
      </c>
      <c r="D274" s="503">
        <v>5012.8000000000038</v>
      </c>
      <c r="E274" s="503">
        <v>4405.00000000001</v>
      </c>
    </row>
    <row r="275" spans="1:5">
      <c r="A275" s="409">
        <v>270</v>
      </c>
      <c r="B275" s="502">
        <v>3115.3999999999887</v>
      </c>
      <c r="C275" s="502">
        <v>3003.6000000000099</v>
      </c>
      <c r="D275" s="503">
        <v>5030.9000000000042</v>
      </c>
      <c r="E275" s="503">
        <v>4420.9000000000096</v>
      </c>
    </row>
    <row r="276" spans="1:5">
      <c r="A276" s="409">
        <v>271</v>
      </c>
      <c r="B276" s="502">
        <v>3126.5999999999885</v>
      </c>
      <c r="C276" s="502">
        <v>3014.4000000000101</v>
      </c>
      <c r="D276" s="503">
        <v>5049.0000000000045</v>
      </c>
      <c r="E276" s="503">
        <v>4436.8000000000093</v>
      </c>
    </row>
    <row r="277" spans="1:5">
      <c r="A277" s="409">
        <v>272</v>
      </c>
      <c r="B277" s="502">
        <v>3137.7999999999884</v>
      </c>
      <c r="C277" s="502">
        <v>3025.2000000000103</v>
      </c>
      <c r="D277" s="503">
        <v>5067.1000000000049</v>
      </c>
      <c r="E277" s="503">
        <v>4452.7000000000089</v>
      </c>
    </row>
    <row r="278" spans="1:5">
      <c r="A278" s="409">
        <v>273</v>
      </c>
      <c r="B278" s="502">
        <v>3148.9999999999882</v>
      </c>
      <c r="C278" s="502">
        <v>3036.0000000000105</v>
      </c>
      <c r="D278" s="503">
        <v>5085.2000000000053</v>
      </c>
      <c r="E278" s="503">
        <v>4468.6000000000085</v>
      </c>
    </row>
    <row r="279" spans="1:5">
      <c r="A279" s="409">
        <v>274</v>
      </c>
      <c r="B279" s="502">
        <v>3160.199999999988</v>
      </c>
      <c r="C279" s="502">
        <v>3046.8000000000106</v>
      </c>
      <c r="D279" s="503">
        <v>5103.3000000000056</v>
      </c>
      <c r="E279" s="503">
        <v>4484.5000000000082</v>
      </c>
    </row>
    <row r="280" spans="1:5">
      <c r="A280" s="409">
        <v>275</v>
      </c>
      <c r="B280" s="502">
        <v>3171.3999999999878</v>
      </c>
      <c r="C280" s="502">
        <v>3057.6000000000108</v>
      </c>
      <c r="D280" s="503">
        <v>5121.400000000006</v>
      </c>
      <c r="E280" s="503">
        <v>4500.4000000000078</v>
      </c>
    </row>
    <row r="281" spans="1:5">
      <c r="A281" s="409">
        <v>276</v>
      </c>
      <c r="B281" s="502">
        <v>3182.5999999999876</v>
      </c>
      <c r="C281" s="502">
        <v>3068.400000000011</v>
      </c>
      <c r="D281" s="503">
        <v>5139.5000000000064</v>
      </c>
      <c r="E281" s="503">
        <v>4516.3000000000075</v>
      </c>
    </row>
    <row r="282" spans="1:5">
      <c r="A282" s="409">
        <v>277</v>
      </c>
      <c r="B282" s="502">
        <v>3193.7999999999874</v>
      </c>
      <c r="C282" s="502">
        <v>3079.2000000000112</v>
      </c>
      <c r="D282" s="503">
        <v>5157.6000000000067</v>
      </c>
      <c r="E282" s="503">
        <v>4532.2000000000071</v>
      </c>
    </row>
    <row r="283" spans="1:5">
      <c r="A283" s="409">
        <v>278</v>
      </c>
      <c r="B283" s="502">
        <v>3204.9999999999873</v>
      </c>
      <c r="C283" s="502">
        <v>3090.0000000000114</v>
      </c>
      <c r="D283" s="503">
        <v>5175.7000000000071</v>
      </c>
      <c r="E283" s="503">
        <v>4548.1000000000067</v>
      </c>
    </row>
    <row r="284" spans="1:5">
      <c r="A284" s="409">
        <v>279</v>
      </c>
      <c r="B284" s="502">
        <v>3216.1999999999871</v>
      </c>
      <c r="C284" s="502">
        <v>3100.8000000000116</v>
      </c>
      <c r="D284" s="503">
        <v>5193.8000000000075</v>
      </c>
      <c r="E284" s="503">
        <v>4564.0000000000064</v>
      </c>
    </row>
    <row r="285" spans="1:5">
      <c r="A285" s="409">
        <v>280</v>
      </c>
      <c r="B285" s="502">
        <v>3227.3999999999869</v>
      </c>
      <c r="C285" s="502">
        <v>3111.6000000000117</v>
      </c>
      <c r="D285" s="503">
        <v>5211.9000000000078</v>
      </c>
      <c r="E285" s="503">
        <v>4579.900000000006</v>
      </c>
    </row>
    <row r="286" spans="1:5">
      <c r="A286" s="409">
        <v>281</v>
      </c>
      <c r="B286" s="502">
        <v>3238.5999999999867</v>
      </c>
      <c r="C286" s="502">
        <v>3122.4000000000119</v>
      </c>
      <c r="D286" s="503">
        <v>5230.0000000000082</v>
      </c>
      <c r="E286" s="503">
        <v>4595.8000000000056</v>
      </c>
    </row>
    <row r="287" spans="1:5">
      <c r="A287" s="409">
        <v>282</v>
      </c>
      <c r="B287" s="502">
        <v>3249.7999999999865</v>
      </c>
      <c r="C287" s="502">
        <v>3133.2000000000121</v>
      </c>
      <c r="D287" s="503">
        <v>5248.1000000000085</v>
      </c>
      <c r="E287" s="503">
        <v>4611.7000000000053</v>
      </c>
    </row>
    <row r="288" spans="1:5">
      <c r="A288" s="398">
        <v>283</v>
      </c>
      <c r="B288" s="398">
        <v>3260.9999999999864</v>
      </c>
      <c r="C288" s="398">
        <v>3144.0000000000123</v>
      </c>
      <c r="D288" s="398">
        <v>5266.2000000000089</v>
      </c>
      <c r="E288" s="398">
        <v>4627.6000000000049</v>
      </c>
    </row>
    <row r="289" spans="1:5">
      <c r="A289" s="398">
        <v>284</v>
      </c>
      <c r="B289" s="398">
        <v>3272.1999999999862</v>
      </c>
      <c r="C289" s="398">
        <v>3154.8000000000125</v>
      </c>
      <c r="D289" s="398">
        <v>5284.3000000000093</v>
      </c>
      <c r="E289" s="398">
        <v>4643.5000000000045</v>
      </c>
    </row>
    <row r="290" spans="1:5">
      <c r="A290" s="398">
        <v>285</v>
      </c>
      <c r="B290" s="398">
        <v>3283.399999999986</v>
      </c>
      <c r="C290" s="398">
        <v>3165.6000000000126</v>
      </c>
      <c r="D290" s="398">
        <v>5302.4000000000096</v>
      </c>
      <c r="E290" s="398">
        <v>4659.4000000000042</v>
      </c>
    </row>
    <row r="291" spans="1:5">
      <c r="A291" s="398">
        <v>286</v>
      </c>
      <c r="B291" s="398">
        <v>3294.5999999999858</v>
      </c>
      <c r="C291" s="398">
        <v>3176.4000000000128</v>
      </c>
      <c r="D291" s="398">
        <v>5320.50000000001</v>
      </c>
      <c r="E291" s="398">
        <v>4675.3000000000038</v>
      </c>
    </row>
    <row r="292" spans="1:5">
      <c r="A292" s="398">
        <v>287</v>
      </c>
      <c r="B292" s="398">
        <v>3305.7999999999856</v>
      </c>
      <c r="C292" s="398">
        <v>3187.200000000013</v>
      </c>
      <c r="D292" s="398">
        <v>5338.6000000000104</v>
      </c>
      <c r="E292" s="398">
        <v>4691.2000000000035</v>
      </c>
    </row>
    <row r="293" spans="1:5">
      <c r="A293" s="398">
        <v>288</v>
      </c>
      <c r="B293" s="398">
        <v>3316.9999999999854</v>
      </c>
      <c r="C293" s="398">
        <v>3198.0000000000132</v>
      </c>
      <c r="D293" s="398">
        <v>5356.7000000000107</v>
      </c>
      <c r="E293" s="398">
        <v>4707.1000000000031</v>
      </c>
    </row>
    <row r="294" spans="1:5">
      <c r="A294" s="398">
        <v>289</v>
      </c>
      <c r="B294" s="398">
        <v>3328.1999999999853</v>
      </c>
      <c r="C294" s="398">
        <v>3208.8000000000134</v>
      </c>
      <c r="D294" s="398">
        <v>5374.8000000000111</v>
      </c>
      <c r="E294" s="398">
        <v>4723.0000000000027</v>
      </c>
    </row>
    <row r="295" spans="1:5">
      <c r="A295" s="398">
        <v>290</v>
      </c>
      <c r="B295" s="398">
        <v>3339.3999999999851</v>
      </c>
      <c r="C295" s="398">
        <v>3219.6000000000136</v>
      </c>
      <c r="D295" s="398">
        <v>5392.9000000000115</v>
      </c>
      <c r="E295" s="398">
        <v>4738.9000000000024</v>
      </c>
    </row>
    <row r="296" spans="1:5">
      <c r="A296" s="398">
        <v>291</v>
      </c>
      <c r="B296" s="398">
        <v>3350.5999999999849</v>
      </c>
      <c r="C296" s="398">
        <v>3230.4000000000137</v>
      </c>
      <c r="D296" s="398">
        <v>5411.0000000000118</v>
      </c>
      <c r="E296" s="398">
        <v>4754.800000000002</v>
      </c>
    </row>
    <row r="297" spans="1:5">
      <c r="A297" s="398">
        <v>292</v>
      </c>
      <c r="B297" s="398">
        <v>3361.7999999999847</v>
      </c>
      <c r="C297" s="398">
        <v>3241.2000000000139</v>
      </c>
      <c r="D297" s="398">
        <v>5429.1000000000122</v>
      </c>
      <c r="E297" s="398">
        <v>4770.7000000000016</v>
      </c>
    </row>
    <row r="298" spans="1:5">
      <c r="A298" s="398">
        <v>293</v>
      </c>
      <c r="B298" s="398">
        <v>3372.9999999999845</v>
      </c>
      <c r="C298" s="398">
        <v>3252.0000000000141</v>
      </c>
      <c r="D298" s="398">
        <v>5447.2000000000126</v>
      </c>
      <c r="E298" s="398">
        <v>4786.6000000000013</v>
      </c>
    </row>
    <row r="299" spans="1:5">
      <c r="A299" s="398">
        <v>294</v>
      </c>
      <c r="B299" s="398">
        <v>3384.1999999999844</v>
      </c>
      <c r="C299" s="398">
        <v>3262.8000000000143</v>
      </c>
      <c r="D299" s="398">
        <v>5465.3000000000129</v>
      </c>
      <c r="E299" s="398">
        <v>4802.5000000000009</v>
      </c>
    </row>
    <row r="300" spans="1:5">
      <c r="A300" s="398">
        <v>295</v>
      </c>
      <c r="B300" s="398">
        <v>3395.3999999999842</v>
      </c>
      <c r="C300" s="398">
        <v>3273.6000000000145</v>
      </c>
      <c r="D300" s="398">
        <v>5483.4000000000133</v>
      </c>
      <c r="E300" s="398">
        <v>4818.4000000000005</v>
      </c>
    </row>
    <row r="301" spans="1:5">
      <c r="A301" s="398">
        <v>296</v>
      </c>
      <c r="B301" s="398">
        <v>3406.599999999984</v>
      </c>
      <c r="C301" s="398">
        <v>3284.4000000000146</v>
      </c>
      <c r="D301" s="398">
        <v>5501.5000000000136</v>
      </c>
      <c r="E301" s="398">
        <v>4834.3</v>
      </c>
    </row>
    <row r="302" spans="1:5">
      <c r="A302" s="398">
        <v>297</v>
      </c>
      <c r="B302" s="398">
        <v>3417.7999999999838</v>
      </c>
      <c r="C302" s="398">
        <v>3295.2000000000148</v>
      </c>
      <c r="D302" s="398">
        <v>5519.600000000014</v>
      </c>
      <c r="E302" s="398">
        <v>4850.2</v>
      </c>
    </row>
    <row r="303" spans="1:5">
      <c r="A303" s="398">
        <v>298</v>
      </c>
      <c r="B303" s="398">
        <v>3428.9999999999836</v>
      </c>
      <c r="C303" s="398">
        <v>3306.000000000015</v>
      </c>
      <c r="D303" s="398">
        <v>5537.7000000000144</v>
      </c>
      <c r="E303" s="398">
        <v>4866.0999999999995</v>
      </c>
    </row>
    <row r="304" spans="1:5">
      <c r="A304" s="398">
        <v>299</v>
      </c>
      <c r="B304" s="398">
        <v>3440.1999999999834</v>
      </c>
      <c r="C304" s="398">
        <v>3316.8000000000152</v>
      </c>
      <c r="D304" s="398">
        <v>5555.8000000000147</v>
      </c>
      <c r="E304" s="398">
        <v>4881.9999999999991</v>
      </c>
    </row>
    <row r="305" spans="1:5">
      <c r="A305" s="398">
        <v>300</v>
      </c>
      <c r="B305" s="398">
        <v>3451.3999999999833</v>
      </c>
      <c r="C305" s="398">
        <v>3327.6000000000154</v>
      </c>
      <c r="D305" s="398">
        <v>5573.9000000000151</v>
      </c>
      <c r="E305" s="398">
        <v>4897.8999999999987</v>
      </c>
    </row>
  </sheetData>
  <mergeCells count="3">
    <mergeCell ref="A1:F1"/>
    <mergeCell ref="B2:D2"/>
    <mergeCell ref="A3:A4"/>
  </mergeCells>
  <pageMargins left="1.04" right="0.7" top="0.32" bottom="0.4" header="0.3" footer="0.3"/>
  <pageSetup paperSize="9" orientation="portrait" verticalDpi="0" r:id="rId1"/>
</worksheet>
</file>

<file path=xl/worksheets/sheet57.xml><?xml version="1.0" encoding="utf-8"?>
<worksheet xmlns="http://schemas.openxmlformats.org/spreadsheetml/2006/main" xmlns:r="http://schemas.openxmlformats.org/officeDocument/2006/relationships">
  <sheetPr>
    <tabColor rgb="FF7030A0"/>
  </sheetPr>
  <dimension ref="A1:F313"/>
  <sheetViews>
    <sheetView workbookViewId="0">
      <selection activeCell="C31" sqref="C31:E31"/>
    </sheetView>
  </sheetViews>
  <sheetFormatPr defaultColWidth="9.140625" defaultRowHeight="15"/>
  <cols>
    <col min="1" max="1" width="9.140625" style="464"/>
    <col min="2" max="5" width="14.42578125" style="464" customWidth="1"/>
    <col min="6" max="6" width="11.7109375" style="464" customWidth="1"/>
    <col min="7" max="16384" width="9.140625" style="464"/>
  </cols>
  <sheetData>
    <row r="1" spans="1:6" ht="23.25">
      <c r="A1" s="1716" t="s">
        <v>2306</v>
      </c>
      <c r="B1" s="1716"/>
      <c r="C1" s="1716"/>
      <c r="D1" s="1716"/>
      <c r="E1" s="1716"/>
      <c r="F1" s="1716"/>
    </row>
    <row r="2" spans="1:6" ht="18">
      <c r="A2" s="465"/>
      <c r="B2" s="1717" t="s">
        <v>1638</v>
      </c>
      <c r="C2" s="1717"/>
      <c r="D2" s="1717"/>
      <c r="E2" s="465"/>
      <c r="F2" s="465"/>
    </row>
    <row r="3" spans="1:6" ht="15" customHeight="1">
      <c r="A3" s="1718" t="s">
        <v>253</v>
      </c>
      <c r="B3" s="466" t="s">
        <v>1639</v>
      </c>
      <c r="C3" s="466" t="s">
        <v>139</v>
      </c>
      <c r="D3" s="467" t="s">
        <v>1640</v>
      </c>
      <c r="E3" s="468" t="s">
        <v>1641</v>
      </c>
      <c r="F3" s="469"/>
    </row>
    <row r="4" spans="1:6" ht="42" customHeight="1">
      <c r="A4" s="1718"/>
      <c r="B4" s="470" t="s">
        <v>1642</v>
      </c>
      <c r="C4" s="470" t="s">
        <v>1642</v>
      </c>
      <c r="D4" s="470" t="s">
        <v>1642</v>
      </c>
      <c r="E4" s="471" t="s">
        <v>1643</v>
      </c>
      <c r="F4" s="472" t="s">
        <v>1644</v>
      </c>
    </row>
    <row r="5" spans="1:6">
      <c r="A5" s="473">
        <v>1</v>
      </c>
      <c r="B5" s="474">
        <v>2</v>
      </c>
      <c r="C5" s="473">
        <v>3</v>
      </c>
      <c r="D5" s="474">
        <v>4</v>
      </c>
      <c r="E5" s="473">
        <v>5</v>
      </c>
      <c r="F5" s="474">
        <v>6</v>
      </c>
    </row>
    <row r="6" spans="1:6" ht="18" customHeight="1">
      <c r="A6" s="409">
        <v>1</v>
      </c>
      <c r="B6" s="522">
        <v>36</v>
      </c>
      <c r="C6" s="522">
        <v>34.700000000000003</v>
      </c>
      <c r="D6" s="523">
        <v>57.8</v>
      </c>
      <c r="E6" s="522">
        <v>51</v>
      </c>
      <c r="F6" s="479"/>
    </row>
    <row r="7" spans="1:6" ht="18" customHeight="1">
      <c r="A7" s="409">
        <v>2</v>
      </c>
      <c r="B7" s="522">
        <v>50.4</v>
      </c>
      <c r="C7" s="522">
        <v>48.5</v>
      </c>
      <c r="D7" s="523">
        <v>80.900000000000006</v>
      </c>
      <c r="E7" s="522">
        <v>71.400000000000006</v>
      </c>
      <c r="F7" s="479"/>
    </row>
    <row r="8" spans="1:6" ht="18" customHeight="1">
      <c r="A8" s="409">
        <v>3</v>
      </c>
      <c r="B8" s="522">
        <v>67.2</v>
      </c>
      <c r="C8" s="522">
        <v>64.7</v>
      </c>
      <c r="D8" s="523">
        <v>107.8</v>
      </c>
      <c r="E8" s="522">
        <v>95.2</v>
      </c>
      <c r="F8" s="479"/>
    </row>
    <row r="9" spans="1:6" ht="18" customHeight="1">
      <c r="A9" s="409">
        <v>4</v>
      </c>
      <c r="B9" s="522">
        <v>81.599999999999994</v>
      </c>
      <c r="C9" s="522">
        <v>78.599999999999994</v>
      </c>
      <c r="D9" s="523">
        <v>131</v>
      </c>
      <c r="E9" s="522">
        <v>115.6</v>
      </c>
      <c r="F9" s="479"/>
    </row>
    <row r="10" spans="1:6" ht="18" customHeight="1">
      <c r="A10" s="412">
        <v>5</v>
      </c>
      <c r="B10" s="524">
        <v>96</v>
      </c>
      <c r="C10" s="524">
        <v>92.4</v>
      </c>
      <c r="D10" s="525">
        <v>154.1</v>
      </c>
      <c r="E10" s="524">
        <v>135.9</v>
      </c>
      <c r="F10" s="479"/>
    </row>
    <row r="11" spans="1:6" ht="18" customHeight="1">
      <c r="A11" s="409">
        <v>6</v>
      </c>
      <c r="B11" s="522">
        <f>B10+14.4</f>
        <v>110.4</v>
      </c>
      <c r="C11" s="522">
        <f>C10+13.9</f>
        <v>106.30000000000001</v>
      </c>
      <c r="D11" s="523">
        <f>D10+23.1</f>
        <v>177.2</v>
      </c>
      <c r="E11" s="522">
        <f>E10+20.4</f>
        <v>156.30000000000001</v>
      </c>
      <c r="F11" s="479"/>
    </row>
    <row r="12" spans="1:6" ht="18" customHeight="1">
      <c r="A12" s="409">
        <v>7</v>
      </c>
      <c r="B12" s="522">
        <f t="shared" ref="B12:B35" si="0">B11+14.4</f>
        <v>124.80000000000001</v>
      </c>
      <c r="C12" s="522">
        <f t="shared" ref="C12:C35" si="1">C11+13.9</f>
        <v>120.20000000000002</v>
      </c>
      <c r="D12" s="523">
        <f t="shared" ref="D12:D35" si="2">D11+23.1</f>
        <v>200.29999999999998</v>
      </c>
      <c r="E12" s="522">
        <f t="shared" ref="E12:E35" si="3">E11+20.4</f>
        <v>176.70000000000002</v>
      </c>
      <c r="F12" s="479"/>
    </row>
    <row r="13" spans="1:6" ht="18" customHeight="1">
      <c r="A13" s="409">
        <v>8</v>
      </c>
      <c r="B13" s="522">
        <f t="shared" si="0"/>
        <v>139.20000000000002</v>
      </c>
      <c r="C13" s="522">
        <f t="shared" si="1"/>
        <v>134.10000000000002</v>
      </c>
      <c r="D13" s="523">
        <f t="shared" si="2"/>
        <v>223.39999999999998</v>
      </c>
      <c r="E13" s="522">
        <f t="shared" si="3"/>
        <v>197.10000000000002</v>
      </c>
      <c r="F13" s="479"/>
    </row>
    <row r="14" spans="1:6" ht="18" customHeight="1">
      <c r="A14" s="409">
        <v>9</v>
      </c>
      <c r="B14" s="522">
        <f t="shared" si="0"/>
        <v>153.60000000000002</v>
      </c>
      <c r="C14" s="522">
        <f t="shared" si="1"/>
        <v>148.00000000000003</v>
      </c>
      <c r="D14" s="523">
        <f t="shared" si="2"/>
        <v>246.49999999999997</v>
      </c>
      <c r="E14" s="522">
        <f t="shared" si="3"/>
        <v>217.50000000000003</v>
      </c>
      <c r="F14" s="479"/>
    </row>
    <row r="15" spans="1:6" ht="18" customHeight="1">
      <c r="A15" s="409">
        <v>10</v>
      </c>
      <c r="B15" s="522">
        <f t="shared" si="0"/>
        <v>168.00000000000003</v>
      </c>
      <c r="C15" s="522">
        <f t="shared" si="1"/>
        <v>161.90000000000003</v>
      </c>
      <c r="D15" s="523">
        <f t="shared" si="2"/>
        <v>269.59999999999997</v>
      </c>
      <c r="E15" s="522">
        <f t="shared" si="3"/>
        <v>237.90000000000003</v>
      </c>
      <c r="F15" s="479"/>
    </row>
    <row r="16" spans="1:6" ht="18" customHeight="1">
      <c r="A16" s="409">
        <v>11</v>
      </c>
      <c r="B16" s="522">
        <f t="shared" si="0"/>
        <v>182.40000000000003</v>
      </c>
      <c r="C16" s="522">
        <f t="shared" si="1"/>
        <v>175.80000000000004</v>
      </c>
      <c r="D16" s="523">
        <f t="shared" si="2"/>
        <v>292.7</v>
      </c>
      <c r="E16" s="522">
        <f t="shared" si="3"/>
        <v>258.3</v>
      </c>
      <c r="F16" s="479"/>
    </row>
    <row r="17" spans="1:6" ht="18" customHeight="1">
      <c r="A17" s="409">
        <v>12</v>
      </c>
      <c r="B17" s="522">
        <f t="shared" si="0"/>
        <v>196.80000000000004</v>
      </c>
      <c r="C17" s="522">
        <f t="shared" si="1"/>
        <v>189.70000000000005</v>
      </c>
      <c r="D17" s="523">
        <f t="shared" si="2"/>
        <v>315.8</v>
      </c>
      <c r="E17" s="522">
        <f t="shared" si="3"/>
        <v>278.7</v>
      </c>
      <c r="F17" s="479"/>
    </row>
    <row r="18" spans="1:6" ht="18" customHeight="1">
      <c r="A18" s="409">
        <v>13</v>
      </c>
      <c r="B18" s="522">
        <f t="shared" si="0"/>
        <v>211.20000000000005</v>
      </c>
      <c r="C18" s="522">
        <f t="shared" si="1"/>
        <v>203.60000000000005</v>
      </c>
      <c r="D18" s="523">
        <f t="shared" si="2"/>
        <v>338.90000000000003</v>
      </c>
      <c r="E18" s="522">
        <f t="shared" si="3"/>
        <v>299.09999999999997</v>
      </c>
      <c r="F18" s="479"/>
    </row>
    <row r="19" spans="1:6" ht="18" customHeight="1">
      <c r="A19" s="409">
        <v>14</v>
      </c>
      <c r="B19" s="522">
        <f t="shared" si="0"/>
        <v>225.60000000000005</v>
      </c>
      <c r="C19" s="522">
        <f t="shared" si="1"/>
        <v>217.50000000000006</v>
      </c>
      <c r="D19" s="523">
        <f t="shared" si="2"/>
        <v>362.00000000000006</v>
      </c>
      <c r="E19" s="522">
        <f t="shared" si="3"/>
        <v>319.49999999999994</v>
      </c>
      <c r="F19" s="479"/>
    </row>
    <row r="20" spans="1:6" ht="18" customHeight="1">
      <c r="A20" s="409">
        <v>15</v>
      </c>
      <c r="B20" s="522">
        <f t="shared" si="0"/>
        <v>240.00000000000006</v>
      </c>
      <c r="C20" s="522">
        <f t="shared" si="1"/>
        <v>231.40000000000006</v>
      </c>
      <c r="D20" s="523">
        <f t="shared" si="2"/>
        <v>385.10000000000008</v>
      </c>
      <c r="E20" s="522">
        <f t="shared" si="3"/>
        <v>339.89999999999992</v>
      </c>
      <c r="F20" s="479"/>
    </row>
    <row r="21" spans="1:6" ht="18" customHeight="1">
      <c r="A21" s="409">
        <v>16</v>
      </c>
      <c r="B21" s="522">
        <f t="shared" si="0"/>
        <v>254.40000000000006</v>
      </c>
      <c r="C21" s="522">
        <f t="shared" si="1"/>
        <v>245.30000000000007</v>
      </c>
      <c r="D21" s="523">
        <f t="shared" si="2"/>
        <v>408.2000000000001</v>
      </c>
      <c r="E21" s="522">
        <f t="shared" si="3"/>
        <v>360.2999999999999</v>
      </c>
      <c r="F21" s="479"/>
    </row>
    <row r="22" spans="1:6" ht="18" customHeight="1">
      <c r="A22" s="409">
        <v>17</v>
      </c>
      <c r="B22" s="522">
        <f t="shared" si="0"/>
        <v>268.80000000000007</v>
      </c>
      <c r="C22" s="522">
        <f t="shared" si="1"/>
        <v>259.20000000000005</v>
      </c>
      <c r="D22" s="523">
        <f t="shared" si="2"/>
        <v>431.30000000000013</v>
      </c>
      <c r="E22" s="522">
        <f t="shared" si="3"/>
        <v>380.69999999999987</v>
      </c>
      <c r="F22" s="479"/>
    </row>
    <row r="23" spans="1:6" ht="18" customHeight="1">
      <c r="A23" s="409">
        <v>18</v>
      </c>
      <c r="B23" s="522">
        <f t="shared" si="0"/>
        <v>283.20000000000005</v>
      </c>
      <c r="C23" s="522">
        <f t="shared" si="1"/>
        <v>273.10000000000002</v>
      </c>
      <c r="D23" s="523">
        <f t="shared" si="2"/>
        <v>454.40000000000015</v>
      </c>
      <c r="E23" s="522">
        <f t="shared" si="3"/>
        <v>401.09999999999985</v>
      </c>
      <c r="F23" s="479"/>
    </row>
    <row r="24" spans="1:6" ht="18" customHeight="1">
      <c r="A24" s="409">
        <v>19</v>
      </c>
      <c r="B24" s="522">
        <f t="shared" si="0"/>
        <v>297.60000000000002</v>
      </c>
      <c r="C24" s="522">
        <f t="shared" si="1"/>
        <v>287</v>
      </c>
      <c r="D24" s="523">
        <f t="shared" si="2"/>
        <v>477.50000000000017</v>
      </c>
      <c r="E24" s="522">
        <f t="shared" si="3"/>
        <v>421.49999999999983</v>
      </c>
      <c r="F24" s="479"/>
    </row>
    <row r="25" spans="1:6" ht="18" customHeight="1">
      <c r="A25" s="409">
        <v>20</v>
      </c>
      <c r="B25" s="522">
        <f t="shared" si="0"/>
        <v>312</v>
      </c>
      <c r="C25" s="522">
        <f t="shared" si="1"/>
        <v>300.89999999999998</v>
      </c>
      <c r="D25" s="523">
        <f t="shared" si="2"/>
        <v>500.60000000000019</v>
      </c>
      <c r="E25" s="522">
        <f t="shared" si="3"/>
        <v>441.89999999999981</v>
      </c>
      <c r="F25" s="479"/>
    </row>
    <row r="26" spans="1:6" ht="18" customHeight="1">
      <c r="A26" s="409">
        <v>21</v>
      </c>
      <c r="B26" s="522">
        <f t="shared" si="0"/>
        <v>326.39999999999998</v>
      </c>
      <c r="C26" s="522">
        <f t="shared" si="1"/>
        <v>314.79999999999995</v>
      </c>
      <c r="D26" s="523">
        <f t="shared" si="2"/>
        <v>523.70000000000016</v>
      </c>
      <c r="E26" s="522">
        <f t="shared" si="3"/>
        <v>462.29999999999978</v>
      </c>
      <c r="F26" s="479"/>
    </row>
    <row r="27" spans="1:6" ht="18" customHeight="1">
      <c r="A27" s="409">
        <v>22</v>
      </c>
      <c r="B27" s="522">
        <f t="shared" si="0"/>
        <v>340.79999999999995</v>
      </c>
      <c r="C27" s="522">
        <f t="shared" si="1"/>
        <v>328.69999999999993</v>
      </c>
      <c r="D27" s="523">
        <f t="shared" si="2"/>
        <v>546.80000000000018</v>
      </c>
      <c r="E27" s="522">
        <f t="shared" si="3"/>
        <v>482.69999999999976</v>
      </c>
      <c r="F27" s="479"/>
    </row>
    <row r="28" spans="1:6" ht="18" customHeight="1">
      <c r="A28" s="409">
        <v>23</v>
      </c>
      <c r="B28" s="522">
        <f t="shared" si="0"/>
        <v>355.19999999999993</v>
      </c>
      <c r="C28" s="522">
        <f t="shared" si="1"/>
        <v>342.59999999999991</v>
      </c>
      <c r="D28" s="523">
        <f t="shared" si="2"/>
        <v>569.9000000000002</v>
      </c>
      <c r="E28" s="522">
        <f t="shared" si="3"/>
        <v>503.09999999999974</v>
      </c>
      <c r="F28" s="479"/>
    </row>
    <row r="29" spans="1:6" ht="18" customHeight="1">
      <c r="A29" s="409">
        <v>24</v>
      </c>
      <c r="B29" s="522">
        <f t="shared" si="0"/>
        <v>369.59999999999991</v>
      </c>
      <c r="C29" s="522">
        <f t="shared" si="1"/>
        <v>356.49999999999989</v>
      </c>
      <c r="D29" s="523">
        <f t="shared" si="2"/>
        <v>593.00000000000023</v>
      </c>
      <c r="E29" s="522">
        <f t="shared" si="3"/>
        <v>523.49999999999977</v>
      </c>
      <c r="F29" s="479"/>
    </row>
    <row r="30" spans="1:6" ht="18" customHeight="1">
      <c r="A30" s="409">
        <v>25</v>
      </c>
      <c r="B30" s="522">
        <f t="shared" si="0"/>
        <v>383.99999999999989</v>
      </c>
      <c r="C30" s="522">
        <f t="shared" si="1"/>
        <v>370.39999999999986</v>
      </c>
      <c r="D30" s="523">
        <f t="shared" si="2"/>
        <v>616.10000000000025</v>
      </c>
      <c r="E30" s="522">
        <f t="shared" si="3"/>
        <v>543.89999999999975</v>
      </c>
      <c r="F30" s="479"/>
    </row>
    <row r="31" spans="1:6" ht="18" customHeight="1">
      <c r="A31" s="409">
        <v>26</v>
      </c>
      <c r="B31" s="522">
        <f t="shared" si="0"/>
        <v>398.39999999999986</v>
      </c>
      <c r="C31" s="522">
        <f t="shared" si="1"/>
        <v>384.29999999999984</v>
      </c>
      <c r="D31" s="523">
        <f t="shared" si="2"/>
        <v>639.20000000000027</v>
      </c>
      <c r="E31" s="522">
        <f t="shared" si="3"/>
        <v>564.29999999999973</v>
      </c>
      <c r="F31" s="479"/>
    </row>
    <row r="32" spans="1:6" ht="18" customHeight="1">
      <c r="A32" s="409">
        <v>27</v>
      </c>
      <c r="B32" s="522">
        <f t="shared" si="0"/>
        <v>412.79999999999984</v>
      </c>
      <c r="C32" s="522">
        <f t="shared" si="1"/>
        <v>398.19999999999982</v>
      </c>
      <c r="D32" s="523">
        <f t="shared" si="2"/>
        <v>662.3000000000003</v>
      </c>
      <c r="E32" s="522">
        <f t="shared" si="3"/>
        <v>584.6999999999997</v>
      </c>
      <c r="F32" s="479"/>
    </row>
    <row r="33" spans="1:6" ht="18" customHeight="1">
      <c r="A33" s="409">
        <v>28</v>
      </c>
      <c r="B33" s="522">
        <f t="shared" si="0"/>
        <v>427.19999999999982</v>
      </c>
      <c r="C33" s="522">
        <f t="shared" si="1"/>
        <v>412.0999999999998</v>
      </c>
      <c r="D33" s="523">
        <f t="shared" si="2"/>
        <v>685.40000000000032</v>
      </c>
      <c r="E33" s="522">
        <f t="shared" si="3"/>
        <v>605.09999999999968</v>
      </c>
      <c r="F33" s="479"/>
    </row>
    <row r="34" spans="1:6" ht="18" customHeight="1">
      <c r="A34" s="409">
        <v>29</v>
      </c>
      <c r="B34" s="522">
        <f t="shared" si="0"/>
        <v>441.5999999999998</v>
      </c>
      <c r="C34" s="522">
        <f t="shared" si="1"/>
        <v>425.99999999999977</v>
      </c>
      <c r="D34" s="523">
        <f t="shared" si="2"/>
        <v>708.50000000000034</v>
      </c>
      <c r="E34" s="522">
        <f t="shared" si="3"/>
        <v>625.49999999999966</v>
      </c>
      <c r="F34" s="479"/>
    </row>
    <row r="35" spans="1:6" ht="18" customHeight="1">
      <c r="A35" s="409">
        <v>30</v>
      </c>
      <c r="B35" s="522">
        <f t="shared" si="0"/>
        <v>455.99999999999977</v>
      </c>
      <c r="C35" s="522">
        <f t="shared" si="1"/>
        <v>439.89999999999975</v>
      </c>
      <c r="D35" s="523">
        <f t="shared" si="2"/>
        <v>731.60000000000036</v>
      </c>
      <c r="E35" s="522">
        <f t="shared" si="3"/>
        <v>645.89999999999964</v>
      </c>
      <c r="F35" s="479"/>
    </row>
    <row r="36" spans="1:6" ht="18" customHeight="1">
      <c r="A36" s="409">
        <v>31</v>
      </c>
      <c r="B36" s="522">
        <f>B35+12</f>
        <v>467.99999999999977</v>
      </c>
      <c r="C36" s="522">
        <f>C35+11.6</f>
        <v>451.49999999999977</v>
      </c>
      <c r="D36" s="523">
        <f>D35+19.3</f>
        <v>750.90000000000032</v>
      </c>
      <c r="E36" s="522">
        <f>E35+17</f>
        <v>662.89999999999964</v>
      </c>
      <c r="F36" s="479"/>
    </row>
    <row r="37" spans="1:6" ht="18" customHeight="1">
      <c r="A37" s="409">
        <v>32</v>
      </c>
      <c r="B37" s="522">
        <f t="shared" ref="B37:B100" si="4">B36+12</f>
        <v>479.99999999999977</v>
      </c>
      <c r="C37" s="522">
        <f t="shared" ref="C37:C100" si="5">C36+11.6</f>
        <v>463.0999999999998</v>
      </c>
      <c r="D37" s="523">
        <f t="shared" ref="D37:D100" si="6">D36+19.3</f>
        <v>770.20000000000027</v>
      </c>
      <c r="E37" s="522">
        <f t="shared" ref="E37:E100" si="7">E36+17</f>
        <v>679.89999999999964</v>
      </c>
      <c r="F37" s="479"/>
    </row>
    <row r="38" spans="1:6" ht="18" customHeight="1">
      <c r="A38" s="409">
        <v>33</v>
      </c>
      <c r="B38" s="522">
        <f t="shared" si="4"/>
        <v>491.99999999999977</v>
      </c>
      <c r="C38" s="522">
        <f t="shared" si="5"/>
        <v>474.69999999999982</v>
      </c>
      <c r="D38" s="523">
        <f t="shared" si="6"/>
        <v>789.50000000000023</v>
      </c>
      <c r="E38" s="522">
        <f t="shared" si="7"/>
        <v>696.89999999999964</v>
      </c>
      <c r="F38" s="479"/>
    </row>
    <row r="39" spans="1:6" ht="18" customHeight="1">
      <c r="A39" s="409">
        <v>34</v>
      </c>
      <c r="B39" s="522">
        <f t="shared" si="4"/>
        <v>503.99999999999977</v>
      </c>
      <c r="C39" s="522">
        <f t="shared" si="5"/>
        <v>486.29999999999984</v>
      </c>
      <c r="D39" s="523">
        <f t="shared" si="6"/>
        <v>808.80000000000018</v>
      </c>
      <c r="E39" s="522">
        <f t="shared" si="7"/>
        <v>713.89999999999964</v>
      </c>
      <c r="F39" s="479"/>
    </row>
    <row r="40" spans="1:6" ht="18" customHeight="1">
      <c r="A40" s="409">
        <v>35</v>
      </c>
      <c r="B40" s="522">
        <f t="shared" si="4"/>
        <v>515.99999999999977</v>
      </c>
      <c r="C40" s="522">
        <f t="shared" si="5"/>
        <v>497.89999999999986</v>
      </c>
      <c r="D40" s="523">
        <f t="shared" si="6"/>
        <v>828.10000000000014</v>
      </c>
      <c r="E40" s="522">
        <f t="shared" si="7"/>
        <v>730.89999999999964</v>
      </c>
      <c r="F40" s="479"/>
    </row>
    <row r="41" spans="1:6" ht="18" customHeight="1">
      <c r="A41" s="409">
        <v>36</v>
      </c>
      <c r="B41" s="522">
        <f t="shared" si="4"/>
        <v>527.99999999999977</v>
      </c>
      <c r="C41" s="522">
        <f t="shared" si="5"/>
        <v>509.49999999999989</v>
      </c>
      <c r="D41" s="523">
        <f t="shared" si="6"/>
        <v>847.40000000000009</v>
      </c>
      <c r="E41" s="522">
        <f t="shared" si="7"/>
        <v>747.89999999999964</v>
      </c>
      <c r="F41" s="479"/>
    </row>
    <row r="42" spans="1:6" ht="18" customHeight="1">
      <c r="A42" s="409">
        <v>37</v>
      </c>
      <c r="B42" s="522">
        <f t="shared" si="4"/>
        <v>539.99999999999977</v>
      </c>
      <c r="C42" s="522">
        <f t="shared" si="5"/>
        <v>521.09999999999991</v>
      </c>
      <c r="D42" s="523">
        <f t="shared" si="6"/>
        <v>866.7</v>
      </c>
      <c r="E42" s="522">
        <f t="shared" si="7"/>
        <v>764.89999999999964</v>
      </c>
      <c r="F42" s="479"/>
    </row>
    <row r="43" spans="1:6" ht="18" customHeight="1">
      <c r="A43" s="409">
        <v>38</v>
      </c>
      <c r="B43" s="522">
        <f t="shared" si="4"/>
        <v>551.99999999999977</v>
      </c>
      <c r="C43" s="522">
        <f t="shared" si="5"/>
        <v>532.69999999999993</v>
      </c>
      <c r="D43" s="523">
        <f t="shared" si="6"/>
        <v>886</v>
      </c>
      <c r="E43" s="522">
        <f t="shared" si="7"/>
        <v>781.89999999999964</v>
      </c>
      <c r="F43" s="479"/>
    </row>
    <row r="44" spans="1:6" ht="18" customHeight="1">
      <c r="A44" s="409">
        <v>39</v>
      </c>
      <c r="B44" s="522">
        <f t="shared" si="4"/>
        <v>563.99999999999977</v>
      </c>
      <c r="C44" s="522">
        <f t="shared" si="5"/>
        <v>544.29999999999995</v>
      </c>
      <c r="D44" s="523">
        <f t="shared" si="6"/>
        <v>905.3</v>
      </c>
      <c r="E44" s="522">
        <f t="shared" si="7"/>
        <v>798.89999999999964</v>
      </c>
      <c r="F44" s="479"/>
    </row>
    <row r="45" spans="1:6" ht="18" customHeight="1">
      <c r="A45" s="409">
        <v>40</v>
      </c>
      <c r="B45" s="522">
        <f t="shared" si="4"/>
        <v>575.99999999999977</v>
      </c>
      <c r="C45" s="522">
        <f t="shared" si="5"/>
        <v>555.9</v>
      </c>
      <c r="D45" s="523">
        <f t="shared" si="6"/>
        <v>924.59999999999991</v>
      </c>
      <c r="E45" s="522">
        <f t="shared" si="7"/>
        <v>815.89999999999964</v>
      </c>
      <c r="F45" s="479"/>
    </row>
    <row r="46" spans="1:6" ht="18" customHeight="1">
      <c r="A46" s="409">
        <v>41</v>
      </c>
      <c r="B46" s="522">
        <f t="shared" si="4"/>
        <v>587.99999999999977</v>
      </c>
      <c r="C46" s="522">
        <f t="shared" si="5"/>
        <v>567.5</v>
      </c>
      <c r="D46" s="523">
        <f t="shared" si="6"/>
        <v>943.89999999999986</v>
      </c>
      <c r="E46" s="522">
        <f t="shared" si="7"/>
        <v>832.89999999999964</v>
      </c>
      <c r="F46" s="479"/>
    </row>
    <row r="47" spans="1:6" ht="18" customHeight="1">
      <c r="A47" s="409">
        <v>42</v>
      </c>
      <c r="B47" s="522">
        <f t="shared" si="4"/>
        <v>599.99999999999977</v>
      </c>
      <c r="C47" s="522">
        <f t="shared" si="5"/>
        <v>579.1</v>
      </c>
      <c r="D47" s="523">
        <f t="shared" si="6"/>
        <v>963.19999999999982</v>
      </c>
      <c r="E47" s="522">
        <f t="shared" si="7"/>
        <v>849.89999999999964</v>
      </c>
      <c r="F47" s="479"/>
    </row>
    <row r="48" spans="1:6" ht="18" customHeight="1">
      <c r="A48" s="409">
        <v>43</v>
      </c>
      <c r="B48" s="522">
        <f t="shared" si="4"/>
        <v>611.99999999999977</v>
      </c>
      <c r="C48" s="522">
        <f t="shared" si="5"/>
        <v>590.70000000000005</v>
      </c>
      <c r="D48" s="523">
        <f t="shared" si="6"/>
        <v>982.49999999999977</v>
      </c>
      <c r="E48" s="522">
        <f t="shared" si="7"/>
        <v>866.89999999999964</v>
      </c>
      <c r="F48" s="479"/>
    </row>
    <row r="49" spans="1:6" ht="18" customHeight="1">
      <c r="A49" s="409">
        <v>44</v>
      </c>
      <c r="B49" s="522">
        <f t="shared" si="4"/>
        <v>623.99999999999977</v>
      </c>
      <c r="C49" s="522">
        <f t="shared" si="5"/>
        <v>602.30000000000007</v>
      </c>
      <c r="D49" s="523">
        <f t="shared" si="6"/>
        <v>1001.7999999999997</v>
      </c>
      <c r="E49" s="522">
        <f t="shared" si="7"/>
        <v>883.89999999999964</v>
      </c>
      <c r="F49" s="479"/>
    </row>
    <row r="50" spans="1:6" ht="18" customHeight="1">
      <c r="A50" s="409">
        <v>45</v>
      </c>
      <c r="B50" s="522">
        <f t="shared" si="4"/>
        <v>635.99999999999977</v>
      </c>
      <c r="C50" s="522">
        <f t="shared" si="5"/>
        <v>613.90000000000009</v>
      </c>
      <c r="D50" s="523">
        <f t="shared" si="6"/>
        <v>1021.0999999999997</v>
      </c>
      <c r="E50" s="522">
        <f t="shared" si="7"/>
        <v>900.89999999999964</v>
      </c>
      <c r="F50" s="479"/>
    </row>
    <row r="51" spans="1:6" ht="18" customHeight="1">
      <c r="A51" s="409">
        <v>46</v>
      </c>
      <c r="B51" s="522">
        <f t="shared" si="4"/>
        <v>647.99999999999977</v>
      </c>
      <c r="C51" s="522">
        <f t="shared" si="5"/>
        <v>625.50000000000011</v>
      </c>
      <c r="D51" s="523">
        <f t="shared" si="6"/>
        <v>1040.3999999999996</v>
      </c>
      <c r="E51" s="522">
        <f t="shared" si="7"/>
        <v>917.89999999999964</v>
      </c>
      <c r="F51" s="479"/>
    </row>
    <row r="52" spans="1:6" ht="18" customHeight="1">
      <c r="A52" s="409">
        <v>47</v>
      </c>
      <c r="B52" s="522">
        <f t="shared" si="4"/>
        <v>659.99999999999977</v>
      </c>
      <c r="C52" s="522">
        <f t="shared" si="5"/>
        <v>637.10000000000014</v>
      </c>
      <c r="D52" s="523">
        <f t="shared" si="6"/>
        <v>1059.6999999999996</v>
      </c>
      <c r="E52" s="522">
        <f t="shared" si="7"/>
        <v>934.89999999999964</v>
      </c>
      <c r="F52" s="479"/>
    </row>
    <row r="53" spans="1:6" ht="18" customHeight="1">
      <c r="A53" s="409">
        <v>48</v>
      </c>
      <c r="B53" s="522">
        <f t="shared" si="4"/>
        <v>671.99999999999977</v>
      </c>
      <c r="C53" s="522">
        <f t="shared" si="5"/>
        <v>648.70000000000016</v>
      </c>
      <c r="D53" s="523">
        <f t="shared" si="6"/>
        <v>1078.9999999999995</v>
      </c>
      <c r="E53" s="522">
        <f t="shared" si="7"/>
        <v>951.89999999999964</v>
      </c>
      <c r="F53" s="479"/>
    </row>
    <row r="54" spans="1:6" ht="18" customHeight="1">
      <c r="A54" s="409">
        <v>49</v>
      </c>
      <c r="B54" s="522">
        <f t="shared" si="4"/>
        <v>683.99999999999977</v>
      </c>
      <c r="C54" s="522">
        <f t="shared" si="5"/>
        <v>660.30000000000018</v>
      </c>
      <c r="D54" s="523">
        <f t="shared" si="6"/>
        <v>1098.2999999999995</v>
      </c>
      <c r="E54" s="522">
        <f t="shared" si="7"/>
        <v>968.89999999999964</v>
      </c>
      <c r="F54" s="479"/>
    </row>
    <row r="55" spans="1:6" ht="18" customHeight="1">
      <c r="A55" s="413">
        <v>50</v>
      </c>
      <c r="B55" s="522">
        <f t="shared" si="4"/>
        <v>695.99999999999977</v>
      </c>
      <c r="C55" s="522">
        <f t="shared" si="5"/>
        <v>671.9000000000002</v>
      </c>
      <c r="D55" s="523">
        <f t="shared" si="6"/>
        <v>1117.5999999999995</v>
      </c>
      <c r="E55" s="522">
        <f t="shared" si="7"/>
        <v>985.89999999999964</v>
      </c>
      <c r="F55" s="479"/>
    </row>
    <row r="56" spans="1:6" ht="18" customHeight="1">
      <c r="A56" s="414">
        <v>51</v>
      </c>
      <c r="B56" s="522">
        <f t="shared" si="4"/>
        <v>707.99999999999977</v>
      </c>
      <c r="C56" s="522">
        <f t="shared" si="5"/>
        <v>683.50000000000023</v>
      </c>
      <c r="D56" s="523">
        <f t="shared" si="6"/>
        <v>1136.8999999999994</v>
      </c>
      <c r="E56" s="522">
        <f t="shared" si="7"/>
        <v>1002.8999999999996</v>
      </c>
      <c r="F56" s="479"/>
    </row>
    <row r="57" spans="1:6" ht="18" customHeight="1">
      <c r="A57" s="409">
        <v>52</v>
      </c>
      <c r="B57" s="522">
        <f t="shared" si="4"/>
        <v>719.99999999999977</v>
      </c>
      <c r="C57" s="522">
        <f t="shared" si="5"/>
        <v>695.10000000000025</v>
      </c>
      <c r="D57" s="523">
        <f t="shared" si="6"/>
        <v>1156.1999999999994</v>
      </c>
      <c r="E57" s="522">
        <f t="shared" si="7"/>
        <v>1019.8999999999996</v>
      </c>
      <c r="F57" s="479"/>
    </row>
    <row r="58" spans="1:6" ht="18" customHeight="1">
      <c r="A58" s="409">
        <v>53</v>
      </c>
      <c r="B58" s="522">
        <f t="shared" si="4"/>
        <v>731.99999999999977</v>
      </c>
      <c r="C58" s="522">
        <f t="shared" si="5"/>
        <v>706.70000000000027</v>
      </c>
      <c r="D58" s="523">
        <f t="shared" si="6"/>
        <v>1175.4999999999993</v>
      </c>
      <c r="E58" s="522">
        <f t="shared" si="7"/>
        <v>1036.8999999999996</v>
      </c>
      <c r="F58" s="479"/>
    </row>
    <row r="59" spans="1:6" ht="18" customHeight="1">
      <c r="A59" s="409">
        <v>54</v>
      </c>
      <c r="B59" s="522">
        <f t="shared" si="4"/>
        <v>743.99999999999977</v>
      </c>
      <c r="C59" s="522">
        <f t="shared" si="5"/>
        <v>718.3000000000003</v>
      </c>
      <c r="D59" s="523">
        <f t="shared" si="6"/>
        <v>1194.7999999999993</v>
      </c>
      <c r="E59" s="522">
        <f t="shared" si="7"/>
        <v>1053.8999999999996</v>
      </c>
      <c r="F59" s="479"/>
    </row>
    <row r="60" spans="1:6" ht="18" customHeight="1">
      <c r="A60" s="409">
        <v>55</v>
      </c>
      <c r="B60" s="522">
        <f t="shared" si="4"/>
        <v>755.99999999999977</v>
      </c>
      <c r="C60" s="522">
        <f t="shared" si="5"/>
        <v>729.90000000000032</v>
      </c>
      <c r="D60" s="523">
        <f t="shared" si="6"/>
        <v>1214.0999999999992</v>
      </c>
      <c r="E60" s="522">
        <f t="shared" si="7"/>
        <v>1070.8999999999996</v>
      </c>
      <c r="F60" s="479"/>
    </row>
    <row r="61" spans="1:6" ht="18" customHeight="1">
      <c r="A61" s="409">
        <v>56</v>
      </c>
      <c r="B61" s="522">
        <f t="shared" si="4"/>
        <v>767.99999999999977</v>
      </c>
      <c r="C61" s="522">
        <f t="shared" si="5"/>
        <v>741.50000000000034</v>
      </c>
      <c r="D61" s="523">
        <f t="shared" si="6"/>
        <v>1233.3999999999992</v>
      </c>
      <c r="E61" s="522">
        <f t="shared" si="7"/>
        <v>1087.8999999999996</v>
      </c>
      <c r="F61" s="479"/>
    </row>
    <row r="62" spans="1:6" ht="18" customHeight="1">
      <c r="A62" s="409">
        <v>57</v>
      </c>
      <c r="B62" s="522">
        <f t="shared" si="4"/>
        <v>779.99999999999977</v>
      </c>
      <c r="C62" s="522">
        <f t="shared" si="5"/>
        <v>753.10000000000036</v>
      </c>
      <c r="D62" s="523">
        <f t="shared" si="6"/>
        <v>1252.6999999999991</v>
      </c>
      <c r="E62" s="522">
        <f t="shared" si="7"/>
        <v>1104.8999999999996</v>
      </c>
      <c r="F62" s="479"/>
    </row>
    <row r="63" spans="1:6" ht="18" customHeight="1">
      <c r="A63" s="409">
        <v>58</v>
      </c>
      <c r="B63" s="522">
        <f t="shared" si="4"/>
        <v>791.99999999999977</v>
      </c>
      <c r="C63" s="522">
        <f t="shared" si="5"/>
        <v>764.70000000000039</v>
      </c>
      <c r="D63" s="523">
        <f t="shared" si="6"/>
        <v>1271.9999999999991</v>
      </c>
      <c r="E63" s="522">
        <f t="shared" si="7"/>
        <v>1121.8999999999996</v>
      </c>
      <c r="F63" s="479"/>
    </row>
    <row r="64" spans="1:6" ht="18" customHeight="1">
      <c r="A64" s="409">
        <v>59</v>
      </c>
      <c r="B64" s="522">
        <f t="shared" si="4"/>
        <v>803.99999999999977</v>
      </c>
      <c r="C64" s="522">
        <f t="shared" si="5"/>
        <v>776.30000000000041</v>
      </c>
      <c r="D64" s="523">
        <f t="shared" si="6"/>
        <v>1291.299999999999</v>
      </c>
      <c r="E64" s="522">
        <f t="shared" si="7"/>
        <v>1138.8999999999996</v>
      </c>
      <c r="F64" s="479"/>
    </row>
    <row r="65" spans="1:6" ht="18" customHeight="1">
      <c r="A65" s="409">
        <v>60</v>
      </c>
      <c r="B65" s="522">
        <f t="shared" si="4"/>
        <v>815.99999999999977</v>
      </c>
      <c r="C65" s="522">
        <f t="shared" si="5"/>
        <v>787.90000000000043</v>
      </c>
      <c r="D65" s="523">
        <f t="shared" si="6"/>
        <v>1310.599999999999</v>
      </c>
      <c r="E65" s="522">
        <f t="shared" si="7"/>
        <v>1155.8999999999996</v>
      </c>
      <c r="F65" s="479"/>
    </row>
    <row r="66" spans="1:6" ht="18" customHeight="1">
      <c r="A66" s="409">
        <v>61</v>
      </c>
      <c r="B66" s="522">
        <f t="shared" si="4"/>
        <v>827.99999999999977</v>
      </c>
      <c r="C66" s="522">
        <f t="shared" si="5"/>
        <v>799.50000000000045</v>
      </c>
      <c r="D66" s="523">
        <f t="shared" si="6"/>
        <v>1329.899999999999</v>
      </c>
      <c r="E66" s="522">
        <f t="shared" si="7"/>
        <v>1172.8999999999996</v>
      </c>
      <c r="F66" s="479"/>
    </row>
    <row r="67" spans="1:6" ht="18" customHeight="1">
      <c r="A67" s="409">
        <v>62</v>
      </c>
      <c r="B67" s="522">
        <f t="shared" si="4"/>
        <v>839.99999999999977</v>
      </c>
      <c r="C67" s="522">
        <f t="shared" si="5"/>
        <v>811.10000000000048</v>
      </c>
      <c r="D67" s="523">
        <f t="shared" si="6"/>
        <v>1349.1999999999989</v>
      </c>
      <c r="E67" s="522">
        <f t="shared" si="7"/>
        <v>1189.8999999999996</v>
      </c>
      <c r="F67" s="479"/>
    </row>
    <row r="68" spans="1:6" ht="18" customHeight="1">
      <c r="A68" s="409">
        <v>63</v>
      </c>
      <c r="B68" s="522">
        <f t="shared" si="4"/>
        <v>851.99999999999977</v>
      </c>
      <c r="C68" s="522">
        <f t="shared" si="5"/>
        <v>822.7000000000005</v>
      </c>
      <c r="D68" s="523">
        <f t="shared" si="6"/>
        <v>1368.4999999999989</v>
      </c>
      <c r="E68" s="522">
        <f t="shared" si="7"/>
        <v>1206.8999999999996</v>
      </c>
      <c r="F68" s="479"/>
    </row>
    <row r="69" spans="1:6" ht="18" customHeight="1">
      <c r="A69" s="409">
        <v>64</v>
      </c>
      <c r="B69" s="522">
        <f t="shared" si="4"/>
        <v>863.99999999999977</v>
      </c>
      <c r="C69" s="522">
        <f t="shared" si="5"/>
        <v>834.30000000000052</v>
      </c>
      <c r="D69" s="523">
        <f t="shared" si="6"/>
        <v>1387.7999999999988</v>
      </c>
      <c r="E69" s="522">
        <f t="shared" si="7"/>
        <v>1223.8999999999996</v>
      </c>
      <c r="F69" s="479"/>
    </row>
    <row r="70" spans="1:6" ht="18" customHeight="1">
      <c r="A70" s="409">
        <v>65</v>
      </c>
      <c r="B70" s="522">
        <f t="shared" si="4"/>
        <v>875.99999999999977</v>
      </c>
      <c r="C70" s="522">
        <f t="shared" si="5"/>
        <v>845.90000000000055</v>
      </c>
      <c r="D70" s="523">
        <f t="shared" si="6"/>
        <v>1407.0999999999988</v>
      </c>
      <c r="E70" s="522">
        <f t="shared" si="7"/>
        <v>1240.8999999999996</v>
      </c>
      <c r="F70" s="479"/>
    </row>
    <row r="71" spans="1:6" ht="18" customHeight="1">
      <c r="A71" s="409">
        <v>66</v>
      </c>
      <c r="B71" s="522">
        <f t="shared" si="4"/>
        <v>887.99999999999977</v>
      </c>
      <c r="C71" s="522">
        <f t="shared" si="5"/>
        <v>857.50000000000057</v>
      </c>
      <c r="D71" s="523">
        <f t="shared" si="6"/>
        <v>1426.3999999999987</v>
      </c>
      <c r="E71" s="522">
        <f t="shared" si="7"/>
        <v>1257.8999999999996</v>
      </c>
      <c r="F71" s="479"/>
    </row>
    <row r="72" spans="1:6" ht="18" customHeight="1">
      <c r="A72" s="409">
        <v>67</v>
      </c>
      <c r="B72" s="522">
        <f t="shared" si="4"/>
        <v>899.99999999999977</v>
      </c>
      <c r="C72" s="522">
        <f t="shared" si="5"/>
        <v>869.10000000000059</v>
      </c>
      <c r="D72" s="523">
        <f t="shared" si="6"/>
        <v>1445.6999999999987</v>
      </c>
      <c r="E72" s="522">
        <f t="shared" si="7"/>
        <v>1274.8999999999996</v>
      </c>
      <c r="F72" s="479"/>
    </row>
    <row r="73" spans="1:6" ht="18" customHeight="1">
      <c r="A73" s="409">
        <v>68</v>
      </c>
      <c r="B73" s="522">
        <f t="shared" si="4"/>
        <v>911.99999999999977</v>
      </c>
      <c r="C73" s="522">
        <f t="shared" si="5"/>
        <v>880.70000000000061</v>
      </c>
      <c r="D73" s="523">
        <f t="shared" si="6"/>
        <v>1464.9999999999986</v>
      </c>
      <c r="E73" s="522">
        <f t="shared" si="7"/>
        <v>1291.8999999999996</v>
      </c>
      <c r="F73" s="479"/>
    </row>
    <row r="74" spans="1:6" ht="18" customHeight="1">
      <c r="A74" s="409">
        <v>69</v>
      </c>
      <c r="B74" s="522">
        <f t="shared" si="4"/>
        <v>923.99999999999977</v>
      </c>
      <c r="C74" s="522">
        <f t="shared" si="5"/>
        <v>892.30000000000064</v>
      </c>
      <c r="D74" s="523">
        <f t="shared" si="6"/>
        <v>1484.2999999999986</v>
      </c>
      <c r="E74" s="522">
        <f t="shared" si="7"/>
        <v>1308.8999999999996</v>
      </c>
      <c r="F74" s="479"/>
    </row>
    <row r="75" spans="1:6" ht="18" customHeight="1">
      <c r="A75" s="409">
        <v>70</v>
      </c>
      <c r="B75" s="522">
        <f t="shared" si="4"/>
        <v>935.99999999999977</v>
      </c>
      <c r="C75" s="522">
        <f t="shared" si="5"/>
        <v>903.90000000000066</v>
      </c>
      <c r="D75" s="523">
        <f t="shared" si="6"/>
        <v>1503.5999999999985</v>
      </c>
      <c r="E75" s="522">
        <f t="shared" si="7"/>
        <v>1325.8999999999996</v>
      </c>
      <c r="F75" s="479"/>
    </row>
    <row r="76" spans="1:6" ht="18" customHeight="1">
      <c r="A76" s="409">
        <v>71</v>
      </c>
      <c r="B76" s="522">
        <f t="shared" si="4"/>
        <v>947.99999999999977</v>
      </c>
      <c r="C76" s="522">
        <f t="shared" si="5"/>
        <v>915.50000000000068</v>
      </c>
      <c r="D76" s="523">
        <f t="shared" si="6"/>
        <v>1522.8999999999985</v>
      </c>
      <c r="E76" s="522">
        <f t="shared" si="7"/>
        <v>1342.8999999999996</v>
      </c>
      <c r="F76" s="479"/>
    </row>
    <row r="77" spans="1:6" ht="18" customHeight="1">
      <c r="A77" s="409">
        <v>72</v>
      </c>
      <c r="B77" s="522">
        <f t="shared" si="4"/>
        <v>959.99999999999977</v>
      </c>
      <c r="C77" s="522">
        <f t="shared" si="5"/>
        <v>927.1000000000007</v>
      </c>
      <c r="D77" s="523">
        <f t="shared" si="6"/>
        <v>1542.1999999999985</v>
      </c>
      <c r="E77" s="522">
        <f t="shared" si="7"/>
        <v>1359.8999999999996</v>
      </c>
      <c r="F77" s="479"/>
    </row>
    <row r="78" spans="1:6" ht="18" customHeight="1">
      <c r="A78" s="409">
        <v>73</v>
      </c>
      <c r="B78" s="522">
        <f t="shared" si="4"/>
        <v>971.99999999999977</v>
      </c>
      <c r="C78" s="522">
        <f t="shared" si="5"/>
        <v>938.70000000000073</v>
      </c>
      <c r="D78" s="523">
        <f t="shared" si="6"/>
        <v>1561.4999999999984</v>
      </c>
      <c r="E78" s="522">
        <f t="shared" si="7"/>
        <v>1376.8999999999996</v>
      </c>
      <c r="F78" s="479"/>
    </row>
    <row r="79" spans="1:6" ht="18" customHeight="1">
      <c r="A79" s="409">
        <v>74</v>
      </c>
      <c r="B79" s="522">
        <f t="shared" si="4"/>
        <v>983.99999999999977</v>
      </c>
      <c r="C79" s="522">
        <f t="shared" si="5"/>
        <v>950.30000000000075</v>
      </c>
      <c r="D79" s="523">
        <f t="shared" si="6"/>
        <v>1580.7999999999984</v>
      </c>
      <c r="E79" s="522">
        <f t="shared" si="7"/>
        <v>1393.8999999999996</v>
      </c>
      <c r="F79" s="479"/>
    </row>
    <row r="80" spans="1:6" ht="18" customHeight="1">
      <c r="A80" s="409">
        <v>75</v>
      </c>
      <c r="B80" s="522">
        <f t="shared" si="4"/>
        <v>995.99999999999977</v>
      </c>
      <c r="C80" s="522">
        <f t="shared" si="5"/>
        <v>961.90000000000077</v>
      </c>
      <c r="D80" s="523">
        <f t="shared" si="6"/>
        <v>1600.0999999999983</v>
      </c>
      <c r="E80" s="522">
        <f t="shared" si="7"/>
        <v>1410.8999999999996</v>
      </c>
      <c r="F80" s="479"/>
    </row>
    <row r="81" spans="1:6" ht="18" customHeight="1">
      <c r="A81" s="409">
        <v>76</v>
      </c>
      <c r="B81" s="522">
        <f t="shared" si="4"/>
        <v>1007.9999999999998</v>
      </c>
      <c r="C81" s="522">
        <f t="shared" si="5"/>
        <v>973.5000000000008</v>
      </c>
      <c r="D81" s="523">
        <f t="shared" si="6"/>
        <v>1619.3999999999983</v>
      </c>
      <c r="E81" s="522">
        <f t="shared" si="7"/>
        <v>1427.8999999999996</v>
      </c>
      <c r="F81" s="479"/>
    </row>
    <row r="82" spans="1:6" ht="18" customHeight="1">
      <c r="A82" s="409">
        <v>77</v>
      </c>
      <c r="B82" s="522">
        <f t="shared" si="4"/>
        <v>1019.9999999999998</v>
      </c>
      <c r="C82" s="522">
        <f t="shared" si="5"/>
        <v>985.10000000000082</v>
      </c>
      <c r="D82" s="523">
        <f t="shared" si="6"/>
        <v>1638.6999999999982</v>
      </c>
      <c r="E82" s="522">
        <f t="shared" si="7"/>
        <v>1444.8999999999996</v>
      </c>
      <c r="F82" s="479"/>
    </row>
    <row r="83" spans="1:6" ht="18" customHeight="1">
      <c r="A83" s="409">
        <v>78</v>
      </c>
      <c r="B83" s="522">
        <f t="shared" si="4"/>
        <v>1031.9999999999998</v>
      </c>
      <c r="C83" s="522">
        <f t="shared" si="5"/>
        <v>996.70000000000084</v>
      </c>
      <c r="D83" s="523">
        <f t="shared" si="6"/>
        <v>1657.9999999999982</v>
      </c>
      <c r="E83" s="522">
        <f t="shared" si="7"/>
        <v>1461.8999999999996</v>
      </c>
      <c r="F83" s="479"/>
    </row>
    <row r="84" spans="1:6" ht="18" customHeight="1">
      <c r="A84" s="409">
        <v>79</v>
      </c>
      <c r="B84" s="522">
        <f t="shared" si="4"/>
        <v>1043.9999999999998</v>
      </c>
      <c r="C84" s="522">
        <f t="shared" si="5"/>
        <v>1008.3000000000009</v>
      </c>
      <c r="D84" s="523">
        <f t="shared" si="6"/>
        <v>1677.2999999999981</v>
      </c>
      <c r="E84" s="522">
        <f t="shared" si="7"/>
        <v>1478.8999999999996</v>
      </c>
      <c r="F84" s="479"/>
    </row>
    <row r="85" spans="1:6" ht="18" customHeight="1">
      <c r="A85" s="409">
        <v>80</v>
      </c>
      <c r="B85" s="522">
        <f t="shared" si="4"/>
        <v>1055.9999999999998</v>
      </c>
      <c r="C85" s="522">
        <f t="shared" si="5"/>
        <v>1019.9000000000009</v>
      </c>
      <c r="D85" s="523">
        <f t="shared" si="6"/>
        <v>1696.5999999999981</v>
      </c>
      <c r="E85" s="522">
        <f t="shared" si="7"/>
        <v>1495.8999999999996</v>
      </c>
      <c r="F85" s="479"/>
    </row>
    <row r="86" spans="1:6" ht="18" customHeight="1">
      <c r="A86" s="409">
        <v>81</v>
      </c>
      <c r="B86" s="522">
        <f t="shared" si="4"/>
        <v>1067.9999999999998</v>
      </c>
      <c r="C86" s="522">
        <f t="shared" si="5"/>
        <v>1031.5000000000009</v>
      </c>
      <c r="D86" s="523">
        <f t="shared" si="6"/>
        <v>1715.899999999998</v>
      </c>
      <c r="E86" s="522">
        <f t="shared" si="7"/>
        <v>1512.8999999999996</v>
      </c>
      <c r="F86" s="479"/>
    </row>
    <row r="87" spans="1:6" ht="18" customHeight="1">
      <c r="A87" s="409">
        <v>82</v>
      </c>
      <c r="B87" s="522">
        <f t="shared" si="4"/>
        <v>1079.9999999999998</v>
      </c>
      <c r="C87" s="522">
        <f t="shared" si="5"/>
        <v>1043.1000000000008</v>
      </c>
      <c r="D87" s="523">
        <f t="shared" si="6"/>
        <v>1735.199999999998</v>
      </c>
      <c r="E87" s="522">
        <f t="shared" si="7"/>
        <v>1529.8999999999996</v>
      </c>
      <c r="F87" s="479"/>
    </row>
    <row r="88" spans="1:6" ht="18" customHeight="1">
      <c r="A88" s="409">
        <v>83</v>
      </c>
      <c r="B88" s="522">
        <f t="shared" si="4"/>
        <v>1091.9999999999998</v>
      </c>
      <c r="C88" s="522">
        <f t="shared" si="5"/>
        <v>1054.7000000000007</v>
      </c>
      <c r="D88" s="523">
        <f t="shared" si="6"/>
        <v>1754.499999999998</v>
      </c>
      <c r="E88" s="522">
        <f t="shared" si="7"/>
        <v>1546.8999999999996</v>
      </c>
      <c r="F88" s="479"/>
    </row>
    <row r="89" spans="1:6" ht="18" customHeight="1">
      <c r="A89" s="409">
        <v>84</v>
      </c>
      <c r="B89" s="522">
        <f t="shared" si="4"/>
        <v>1103.9999999999998</v>
      </c>
      <c r="C89" s="522">
        <f t="shared" si="5"/>
        <v>1066.3000000000006</v>
      </c>
      <c r="D89" s="523">
        <f t="shared" si="6"/>
        <v>1773.7999999999979</v>
      </c>
      <c r="E89" s="522">
        <f t="shared" si="7"/>
        <v>1563.8999999999996</v>
      </c>
      <c r="F89" s="479"/>
    </row>
    <row r="90" spans="1:6" ht="18" customHeight="1">
      <c r="A90" s="409">
        <v>85</v>
      </c>
      <c r="B90" s="522">
        <f t="shared" si="4"/>
        <v>1115.9999999999998</v>
      </c>
      <c r="C90" s="522">
        <f t="shared" si="5"/>
        <v>1077.9000000000005</v>
      </c>
      <c r="D90" s="523">
        <f t="shared" si="6"/>
        <v>1793.0999999999979</v>
      </c>
      <c r="E90" s="522">
        <f t="shared" si="7"/>
        <v>1580.8999999999996</v>
      </c>
      <c r="F90" s="479"/>
    </row>
    <row r="91" spans="1:6" ht="18" customHeight="1">
      <c r="A91" s="409">
        <v>86</v>
      </c>
      <c r="B91" s="522">
        <f t="shared" si="4"/>
        <v>1127.9999999999998</v>
      </c>
      <c r="C91" s="522">
        <f t="shared" si="5"/>
        <v>1089.5000000000005</v>
      </c>
      <c r="D91" s="523">
        <f t="shared" si="6"/>
        <v>1812.3999999999978</v>
      </c>
      <c r="E91" s="522">
        <f t="shared" si="7"/>
        <v>1597.8999999999996</v>
      </c>
      <c r="F91" s="479"/>
    </row>
    <row r="92" spans="1:6" ht="18" customHeight="1">
      <c r="A92" s="409">
        <v>87</v>
      </c>
      <c r="B92" s="522">
        <f t="shared" si="4"/>
        <v>1139.9999999999998</v>
      </c>
      <c r="C92" s="522">
        <f t="shared" si="5"/>
        <v>1101.1000000000004</v>
      </c>
      <c r="D92" s="523">
        <f t="shared" si="6"/>
        <v>1831.6999999999978</v>
      </c>
      <c r="E92" s="522">
        <f t="shared" si="7"/>
        <v>1614.8999999999996</v>
      </c>
      <c r="F92" s="479"/>
    </row>
    <row r="93" spans="1:6" ht="18" customHeight="1">
      <c r="A93" s="409">
        <v>88</v>
      </c>
      <c r="B93" s="522">
        <f t="shared" si="4"/>
        <v>1151.9999999999998</v>
      </c>
      <c r="C93" s="522">
        <f t="shared" si="5"/>
        <v>1112.7000000000003</v>
      </c>
      <c r="D93" s="523">
        <f t="shared" si="6"/>
        <v>1850.9999999999977</v>
      </c>
      <c r="E93" s="522">
        <f t="shared" si="7"/>
        <v>1631.8999999999996</v>
      </c>
      <c r="F93" s="479"/>
    </row>
    <row r="94" spans="1:6" ht="18" customHeight="1">
      <c r="A94" s="409">
        <v>89</v>
      </c>
      <c r="B94" s="522">
        <f t="shared" si="4"/>
        <v>1163.9999999999998</v>
      </c>
      <c r="C94" s="522">
        <f t="shared" si="5"/>
        <v>1124.3000000000002</v>
      </c>
      <c r="D94" s="523">
        <f t="shared" si="6"/>
        <v>1870.2999999999977</v>
      </c>
      <c r="E94" s="522">
        <f t="shared" si="7"/>
        <v>1648.8999999999996</v>
      </c>
      <c r="F94" s="479"/>
    </row>
    <row r="95" spans="1:6" ht="18" customHeight="1">
      <c r="A95" s="409">
        <v>90</v>
      </c>
      <c r="B95" s="522">
        <f t="shared" si="4"/>
        <v>1175.9999999999998</v>
      </c>
      <c r="C95" s="522">
        <f t="shared" si="5"/>
        <v>1135.9000000000001</v>
      </c>
      <c r="D95" s="523">
        <f t="shared" si="6"/>
        <v>1889.5999999999976</v>
      </c>
      <c r="E95" s="522">
        <f t="shared" si="7"/>
        <v>1665.8999999999996</v>
      </c>
      <c r="F95" s="479"/>
    </row>
    <row r="96" spans="1:6" ht="18" customHeight="1">
      <c r="A96" s="409">
        <v>91</v>
      </c>
      <c r="B96" s="522">
        <f t="shared" si="4"/>
        <v>1187.9999999999998</v>
      </c>
      <c r="C96" s="522">
        <f t="shared" si="5"/>
        <v>1147.5</v>
      </c>
      <c r="D96" s="523">
        <f t="shared" si="6"/>
        <v>1908.8999999999976</v>
      </c>
      <c r="E96" s="522">
        <f t="shared" si="7"/>
        <v>1682.8999999999996</v>
      </c>
      <c r="F96" s="479"/>
    </row>
    <row r="97" spans="1:6" ht="18" customHeight="1">
      <c r="A97" s="409">
        <v>92</v>
      </c>
      <c r="B97" s="522">
        <f t="shared" si="4"/>
        <v>1199.9999999999998</v>
      </c>
      <c r="C97" s="522">
        <f t="shared" si="5"/>
        <v>1159.0999999999999</v>
      </c>
      <c r="D97" s="523">
        <f t="shared" si="6"/>
        <v>1928.1999999999975</v>
      </c>
      <c r="E97" s="522">
        <f t="shared" si="7"/>
        <v>1699.8999999999996</v>
      </c>
      <c r="F97" s="479"/>
    </row>
    <row r="98" spans="1:6" ht="18" customHeight="1">
      <c r="A98" s="409">
        <v>93</v>
      </c>
      <c r="B98" s="522">
        <f t="shared" si="4"/>
        <v>1211.9999999999998</v>
      </c>
      <c r="C98" s="522">
        <f t="shared" si="5"/>
        <v>1170.6999999999998</v>
      </c>
      <c r="D98" s="523">
        <f t="shared" si="6"/>
        <v>1947.4999999999975</v>
      </c>
      <c r="E98" s="522">
        <f t="shared" si="7"/>
        <v>1716.8999999999996</v>
      </c>
      <c r="F98" s="479"/>
    </row>
    <row r="99" spans="1:6" ht="18" customHeight="1">
      <c r="A99" s="409">
        <v>94</v>
      </c>
      <c r="B99" s="522">
        <f t="shared" si="4"/>
        <v>1223.9999999999998</v>
      </c>
      <c r="C99" s="522">
        <f t="shared" si="5"/>
        <v>1182.2999999999997</v>
      </c>
      <c r="D99" s="523">
        <f t="shared" si="6"/>
        <v>1966.7999999999975</v>
      </c>
      <c r="E99" s="522">
        <f t="shared" si="7"/>
        <v>1733.8999999999996</v>
      </c>
      <c r="F99" s="479"/>
    </row>
    <row r="100" spans="1:6" ht="18" customHeight="1">
      <c r="A100" s="409">
        <v>95</v>
      </c>
      <c r="B100" s="522">
        <f t="shared" si="4"/>
        <v>1235.9999999999998</v>
      </c>
      <c r="C100" s="522">
        <f t="shared" si="5"/>
        <v>1193.8999999999996</v>
      </c>
      <c r="D100" s="523">
        <f t="shared" si="6"/>
        <v>1986.0999999999974</v>
      </c>
      <c r="E100" s="522">
        <f t="shared" si="7"/>
        <v>1750.8999999999996</v>
      </c>
      <c r="F100" s="479"/>
    </row>
    <row r="101" spans="1:6" ht="18" customHeight="1">
      <c r="A101" s="409">
        <v>96</v>
      </c>
      <c r="B101" s="522">
        <f t="shared" ref="B101:B164" si="8">B100+12</f>
        <v>1247.9999999999998</v>
      </c>
      <c r="C101" s="522">
        <f t="shared" ref="C101:C164" si="9">C100+11.6</f>
        <v>1205.4999999999995</v>
      </c>
      <c r="D101" s="523">
        <f t="shared" ref="D101:D164" si="10">D100+19.3</f>
        <v>2005.3999999999974</v>
      </c>
      <c r="E101" s="522">
        <f t="shared" ref="E101:E164" si="11">E100+17</f>
        <v>1767.8999999999996</v>
      </c>
      <c r="F101" s="479"/>
    </row>
    <row r="102" spans="1:6" ht="18" customHeight="1">
      <c r="A102" s="409">
        <v>97</v>
      </c>
      <c r="B102" s="522">
        <f t="shared" si="8"/>
        <v>1259.9999999999998</v>
      </c>
      <c r="C102" s="522">
        <f t="shared" si="9"/>
        <v>1217.0999999999995</v>
      </c>
      <c r="D102" s="523">
        <f t="shared" si="10"/>
        <v>2024.6999999999973</v>
      </c>
      <c r="E102" s="522">
        <f t="shared" si="11"/>
        <v>1784.8999999999996</v>
      </c>
      <c r="F102" s="479"/>
    </row>
    <row r="103" spans="1:6" ht="18" customHeight="1">
      <c r="A103" s="409">
        <v>98</v>
      </c>
      <c r="B103" s="522">
        <f t="shared" si="8"/>
        <v>1271.9999999999998</v>
      </c>
      <c r="C103" s="522">
        <f t="shared" si="9"/>
        <v>1228.6999999999994</v>
      </c>
      <c r="D103" s="523">
        <f t="shared" si="10"/>
        <v>2043.9999999999973</v>
      </c>
      <c r="E103" s="522">
        <f t="shared" si="11"/>
        <v>1801.8999999999996</v>
      </c>
      <c r="F103" s="479"/>
    </row>
    <row r="104" spans="1:6" ht="18" customHeight="1">
      <c r="A104" s="409">
        <v>99</v>
      </c>
      <c r="B104" s="522">
        <f t="shared" si="8"/>
        <v>1283.9999999999998</v>
      </c>
      <c r="C104" s="522">
        <f t="shared" si="9"/>
        <v>1240.2999999999993</v>
      </c>
      <c r="D104" s="523">
        <f t="shared" si="10"/>
        <v>2063.2999999999975</v>
      </c>
      <c r="E104" s="522">
        <f t="shared" si="11"/>
        <v>1818.8999999999996</v>
      </c>
      <c r="F104" s="479"/>
    </row>
    <row r="105" spans="1:6" ht="18" customHeight="1">
      <c r="A105" s="409">
        <v>100</v>
      </c>
      <c r="B105" s="522">
        <f t="shared" si="8"/>
        <v>1295.9999999999998</v>
      </c>
      <c r="C105" s="522">
        <f t="shared" si="9"/>
        <v>1251.8999999999992</v>
      </c>
      <c r="D105" s="523">
        <f t="shared" si="10"/>
        <v>2082.5999999999976</v>
      </c>
      <c r="E105" s="522">
        <f t="shared" si="11"/>
        <v>1835.8999999999996</v>
      </c>
      <c r="F105" s="479"/>
    </row>
    <row r="106" spans="1:6" ht="18" customHeight="1">
      <c r="A106" s="409">
        <v>101</v>
      </c>
      <c r="B106" s="522">
        <f t="shared" si="8"/>
        <v>1307.9999999999998</v>
      </c>
      <c r="C106" s="522">
        <f t="shared" si="9"/>
        <v>1263.4999999999991</v>
      </c>
      <c r="D106" s="523">
        <f t="shared" si="10"/>
        <v>2101.8999999999978</v>
      </c>
      <c r="E106" s="522">
        <f t="shared" si="11"/>
        <v>1852.8999999999996</v>
      </c>
      <c r="F106" s="479"/>
    </row>
    <row r="107" spans="1:6" ht="18" customHeight="1">
      <c r="A107" s="409">
        <v>102</v>
      </c>
      <c r="B107" s="522">
        <f t="shared" si="8"/>
        <v>1319.9999999999998</v>
      </c>
      <c r="C107" s="522">
        <f t="shared" si="9"/>
        <v>1275.099999999999</v>
      </c>
      <c r="D107" s="523">
        <f t="shared" si="10"/>
        <v>2121.199999999998</v>
      </c>
      <c r="E107" s="522">
        <f t="shared" si="11"/>
        <v>1869.8999999999996</v>
      </c>
      <c r="F107" s="479"/>
    </row>
    <row r="108" spans="1:6" ht="18" customHeight="1">
      <c r="A108" s="409">
        <v>103</v>
      </c>
      <c r="B108" s="522">
        <f t="shared" si="8"/>
        <v>1331.9999999999998</v>
      </c>
      <c r="C108" s="522">
        <f t="shared" si="9"/>
        <v>1286.6999999999989</v>
      </c>
      <c r="D108" s="523">
        <f t="shared" si="10"/>
        <v>2140.4999999999982</v>
      </c>
      <c r="E108" s="522">
        <f t="shared" si="11"/>
        <v>1886.8999999999996</v>
      </c>
      <c r="F108" s="479"/>
    </row>
    <row r="109" spans="1:6" ht="18" customHeight="1">
      <c r="A109" s="409">
        <v>104</v>
      </c>
      <c r="B109" s="522">
        <f t="shared" si="8"/>
        <v>1343.9999999999998</v>
      </c>
      <c r="C109" s="522">
        <f t="shared" si="9"/>
        <v>1298.2999999999988</v>
      </c>
      <c r="D109" s="523">
        <f t="shared" si="10"/>
        <v>2159.7999999999984</v>
      </c>
      <c r="E109" s="522">
        <f t="shared" si="11"/>
        <v>1903.8999999999996</v>
      </c>
      <c r="F109" s="479"/>
    </row>
    <row r="110" spans="1:6" ht="18" customHeight="1">
      <c r="A110" s="409">
        <v>105</v>
      </c>
      <c r="B110" s="522">
        <f t="shared" si="8"/>
        <v>1355.9999999999998</v>
      </c>
      <c r="C110" s="522">
        <f t="shared" si="9"/>
        <v>1309.8999999999987</v>
      </c>
      <c r="D110" s="523">
        <f t="shared" si="10"/>
        <v>2179.0999999999985</v>
      </c>
      <c r="E110" s="522">
        <f t="shared" si="11"/>
        <v>1920.8999999999996</v>
      </c>
      <c r="F110" s="479"/>
    </row>
    <row r="111" spans="1:6" ht="18" customHeight="1">
      <c r="A111" s="409">
        <v>106</v>
      </c>
      <c r="B111" s="522">
        <f t="shared" si="8"/>
        <v>1367.9999999999998</v>
      </c>
      <c r="C111" s="522">
        <f t="shared" si="9"/>
        <v>1321.4999999999986</v>
      </c>
      <c r="D111" s="523">
        <f t="shared" si="10"/>
        <v>2198.3999999999987</v>
      </c>
      <c r="E111" s="522">
        <f t="shared" si="11"/>
        <v>1937.8999999999996</v>
      </c>
      <c r="F111" s="479"/>
    </row>
    <row r="112" spans="1:6" ht="18" customHeight="1">
      <c r="A112" s="409">
        <v>107</v>
      </c>
      <c r="B112" s="522">
        <f t="shared" si="8"/>
        <v>1379.9999999999998</v>
      </c>
      <c r="C112" s="522">
        <f t="shared" si="9"/>
        <v>1333.0999999999985</v>
      </c>
      <c r="D112" s="523">
        <f t="shared" si="10"/>
        <v>2217.6999999999989</v>
      </c>
      <c r="E112" s="522">
        <f t="shared" si="11"/>
        <v>1954.8999999999996</v>
      </c>
      <c r="F112" s="479"/>
    </row>
    <row r="113" spans="1:6" ht="18" customHeight="1">
      <c r="A113" s="409">
        <v>108</v>
      </c>
      <c r="B113" s="522">
        <f t="shared" si="8"/>
        <v>1391.9999999999998</v>
      </c>
      <c r="C113" s="522">
        <f t="shared" si="9"/>
        <v>1344.6999999999985</v>
      </c>
      <c r="D113" s="523">
        <f t="shared" si="10"/>
        <v>2236.9999999999991</v>
      </c>
      <c r="E113" s="522">
        <f t="shared" si="11"/>
        <v>1971.8999999999996</v>
      </c>
      <c r="F113" s="479"/>
    </row>
    <row r="114" spans="1:6" ht="18" customHeight="1">
      <c r="A114" s="409">
        <v>109</v>
      </c>
      <c r="B114" s="522">
        <f t="shared" si="8"/>
        <v>1403.9999999999998</v>
      </c>
      <c r="C114" s="522">
        <f t="shared" si="9"/>
        <v>1356.2999999999984</v>
      </c>
      <c r="D114" s="523">
        <f t="shared" si="10"/>
        <v>2256.2999999999993</v>
      </c>
      <c r="E114" s="522">
        <f t="shared" si="11"/>
        <v>1988.8999999999996</v>
      </c>
      <c r="F114" s="479"/>
    </row>
    <row r="115" spans="1:6" ht="18" customHeight="1">
      <c r="A115" s="409">
        <v>110</v>
      </c>
      <c r="B115" s="522">
        <f t="shared" si="8"/>
        <v>1415.9999999999998</v>
      </c>
      <c r="C115" s="522">
        <f t="shared" si="9"/>
        <v>1367.8999999999983</v>
      </c>
      <c r="D115" s="523">
        <f t="shared" si="10"/>
        <v>2275.5999999999995</v>
      </c>
      <c r="E115" s="522">
        <f t="shared" si="11"/>
        <v>2005.8999999999996</v>
      </c>
      <c r="F115" s="479"/>
    </row>
    <row r="116" spans="1:6" ht="18" customHeight="1">
      <c r="A116" s="409">
        <v>111</v>
      </c>
      <c r="B116" s="522">
        <f t="shared" si="8"/>
        <v>1427.9999999999998</v>
      </c>
      <c r="C116" s="522">
        <f t="shared" si="9"/>
        <v>1379.4999999999982</v>
      </c>
      <c r="D116" s="523">
        <f t="shared" si="10"/>
        <v>2294.8999999999996</v>
      </c>
      <c r="E116" s="522">
        <f t="shared" si="11"/>
        <v>2022.8999999999996</v>
      </c>
      <c r="F116" s="479"/>
    </row>
    <row r="117" spans="1:6" ht="18" customHeight="1">
      <c r="A117" s="409">
        <v>112</v>
      </c>
      <c r="B117" s="522">
        <f t="shared" si="8"/>
        <v>1439.9999999999998</v>
      </c>
      <c r="C117" s="522">
        <f t="shared" si="9"/>
        <v>1391.0999999999981</v>
      </c>
      <c r="D117" s="523">
        <f t="shared" si="10"/>
        <v>2314.1999999999998</v>
      </c>
      <c r="E117" s="522">
        <f t="shared" si="11"/>
        <v>2039.8999999999996</v>
      </c>
      <c r="F117" s="479"/>
    </row>
    <row r="118" spans="1:6" ht="18" customHeight="1">
      <c r="A118" s="409">
        <v>113</v>
      </c>
      <c r="B118" s="522">
        <f t="shared" si="8"/>
        <v>1451.9999999999998</v>
      </c>
      <c r="C118" s="522">
        <f t="shared" si="9"/>
        <v>1402.699999999998</v>
      </c>
      <c r="D118" s="523">
        <f t="shared" si="10"/>
        <v>2333.5</v>
      </c>
      <c r="E118" s="522">
        <f t="shared" si="11"/>
        <v>2056.8999999999996</v>
      </c>
      <c r="F118" s="479"/>
    </row>
    <row r="119" spans="1:6" ht="18" customHeight="1">
      <c r="A119" s="409">
        <v>114</v>
      </c>
      <c r="B119" s="522">
        <f t="shared" si="8"/>
        <v>1463.9999999999998</v>
      </c>
      <c r="C119" s="522">
        <f t="shared" si="9"/>
        <v>1414.2999999999979</v>
      </c>
      <c r="D119" s="523">
        <f t="shared" si="10"/>
        <v>2352.8000000000002</v>
      </c>
      <c r="E119" s="522">
        <f t="shared" si="11"/>
        <v>2073.8999999999996</v>
      </c>
      <c r="F119" s="479"/>
    </row>
    <row r="120" spans="1:6" ht="18" customHeight="1">
      <c r="A120" s="409">
        <v>115</v>
      </c>
      <c r="B120" s="522">
        <f t="shared" si="8"/>
        <v>1475.9999999999998</v>
      </c>
      <c r="C120" s="522">
        <f t="shared" si="9"/>
        <v>1425.8999999999978</v>
      </c>
      <c r="D120" s="523">
        <f t="shared" si="10"/>
        <v>2372.1000000000004</v>
      </c>
      <c r="E120" s="522">
        <f t="shared" si="11"/>
        <v>2090.8999999999996</v>
      </c>
      <c r="F120" s="479"/>
    </row>
    <row r="121" spans="1:6" ht="18" customHeight="1">
      <c r="A121" s="409">
        <v>116</v>
      </c>
      <c r="B121" s="522">
        <f t="shared" si="8"/>
        <v>1487.9999999999998</v>
      </c>
      <c r="C121" s="522">
        <f t="shared" si="9"/>
        <v>1437.4999999999977</v>
      </c>
      <c r="D121" s="523">
        <f t="shared" si="10"/>
        <v>2391.4000000000005</v>
      </c>
      <c r="E121" s="522">
        <f t="shared" si="11"/>
        <v>2107.8999999999996</v>
      </c>
      <c r="F121" s="479"/>
    </row>
    <row r="122" spans="1:6" ht="18" customHeight="1">
      <c r="A122" s="409">
        <v>117</v>
      </c>
      <c r="B122" s="522">
        <f t="shared" si="8"/>
        <v>1499.9999999999998</v>
      </c>
      <c r="C122" s="522">
        <f t="shared" si="9"/>
        <v>1449.0999999999976</v>
      </c>
      <c r="D122" s="523">
        <f t="shared" si="10"/>
        <v>2410.7000000000007</v>
      </c>
      <c r="E122" s="522">
        <f t="shared" si="11"/>
        <v>2124.8999999999996</v>
      </c>
      <c r="F122" s="479"/>
    </row>
    <row r="123" spans="1:6" ht="18" customHeight="1">
      <c r="A123" s="409">
        <v>118</v>
      </c>
      <c r="B123" s="522">
        <f t="shared" si="8"/>
        <v>1511.9999999999998</v>
      </c>
      <c r="C123" s="522">
        <f t="shared" si="9"/>
        <v>1460.6999999999975</v>
      </c>
      <c r="D123" s="523">
        <f t="shared" si="10"/>
        <v>2430.0000000000009</v>
      </c>
      <c r="E123" s="522">
        <f t="shared" si="11"/>
        <v>2141.8999999999996</v>
      </c>
      <c r="F123" s="479"/>
    </row>
    <row r="124" spans="1:6" ht="18" customHeight="1">
      <c r="A124" s="409">
        <v>119</v>
      </c>
      <c r="B124" s="522">
        <f t="shared" si="8"/>
        <v>1523.9999999999998</v>
      </c>
      <c r="C124" s="522">
        <f t="shared" si="9"/>
        <v>1472.2999999999975</v>
      </c>
      <c r="D124" s="523">
        <f t="shared" si="10"/>
        <v>2449.3000000000011</v>
      </c>
      <c r="E124" s="522">
        <f t="shared" si="11"/>
        <v>2158.8999999999996</v>
      </c>
      <c r="F124" s="479"/>
    </row>
    <row r="125" spans="1:6" ht="18" customHeight="1">
      <c r="A125" s="409">
        <v>120</v>
      </c>
      <c r="B125" s="522">
        <f t="shared" si="8"/>
        <v>1535.9999999999998</v>
      </c>
      <c r="C125" s="522">
        <f t="shared" si="9"/>
        <v>1483.8999999999974</v>
      </c>
      <c r="D125" s="523">
        <f t="shared" si="10"/>
        <v>2468.6000000000013</v>
      </c>
      <c r="E125" s="522">
        <f t="shared" si="11"/>
        <v>2175.8999999999996</v>
      </c>
      <c r="F125" s="479"/>
    </row>
    <row r="126" spans="1:6" ht="18" customHeight="1">
      <c r="A126" s="409">
        <v>121</v>
      </c>
      <c r="B126" s="522">
        <f t="shared" si="8"/>
        <v>1547.9999999999998</v>
      </c>
      <c r="C126" s="522">
        <f t="shared" si="9"/>
        <v>1495.4999999999973</v>
      </c>
      <c r="D126" s="523">
        <f t="shared" si="10"/>
        <v>2487.9000000000015</v>
      </c>
      <c r="E126" s="522">
        <f t="shared" si="11"/>
        <v>2192.8999999999996</v>
      </c>
      <c r="F126" s="479"/>
    </row>
    <row r="127" spans="1:6" ht="18" customHeight="1">
      <c r="A127" s="409">
        <v>122</v>
      </c>
      <c r="B127" s="522">
        <f t="shared" si="8"/>
        <v>1559.9999999999998</v>
      </c>
      <c r="C127" s="522">
        <f t="shared" si="9"/>
        <v>1507.0999999999972</v>
      </c>
      <c r="D127" s="523">
        <f t="shared" si="10"/>
        <v>2507.2000000000016</v>
      </c>
      <c r="E127" s="522">
        <f t="shared" si="11"/>
        <v>2209.8999999999996</v>
      </c>
      <c r="F127" s="479"/>
    </row>
    <row r="128" spans="1:6" ht="18" customHeight="1">
      <c r="A128" s="409">
        <v>123</v>
      </c>
      <c r="B128" s="522">
        <f t="shared" si="8"/>
        <v>1571.9999999999998</v>
      </c>
      <c r="C128" s="522">
        <f t="shared" si="9"/>
        <v>1518.6999999999971</v>
      </c>
      <c r="D128" s="523">
        <f t="shared" si="10"/>
        <v>2526.5000000000018</v>
      </c>
      <c r="E128" s="522">
        <f t="shared" si="11"/>
        <v>2226.8999999999996</v>
      </c>
      <c r="F128" s="479"/>
    </row>
    <row r="129" spans="1:6" ht="18" customHeight="1">
      <c r="A129" s="409">
        <v>124</v>
      </c>
      <c r="B129" s="522">
        <f t="shared" si="8"/>
        <v>1583.9999999999998</v>
      </c>
      <c r="C129" s="522">
        <f t="shared" si="9"/>
        <v>1530.299999999997</v>
      </c>
      <c r="D129" s="523">
        <f t="shared" si="10"/>
        <v>2545.800000000002</v>
      </c>
      <c r="E129" s="522">
        <f t="shared" si="11"/>
        <v>2243.8999999999996</v>
      </c>
      <c r="F129" s="479"/>
    </row>
    <row r="130" spans="1:6" ht="18" customHeight="1">
      <c r="A130" s="409">
        <v>125</v>
      </c>
      <c r="B130" s="522">
        <f t="shared" si="8"/>
        <v>1595.9999999999998</v>
      </c>
      <c r="C130" s="522">
        <f t="shared" si="9"/>
        <v>1541.8999999999969</v>
      </c>
      <c r="D130" s="523">
        <f t="shared" si="10"/>
        <v>2565.1000000000022</v>
      </c>
      <c r="E130" s="522">
        <f t="shared" si="11"/>
        <v>2260.8999999999996</v>
      </c>
      <c r="F130" s="479"/>
    </row>
    <row r="131" spans="1:6" ht="18" customHeight="1">
      <c r="A131" s="409">
        <v>126</v>
      </c>
      <c r="B131" s="522">
        <f t="shared" si="8"/>
        <v>1607.9999999999998</v>
      </c>
      <c r="C131" s="522">
        <f t="shared" si="9"/>
        <v>1553.4999999999968</v>
      </c>
      <c r="D131" s="523">
        <f t="shared" si="10"/>
        <v>2584.4000000000024</v>
      </c>
      <c r="E131" s="522">
        <f t="shared" si="11"/>
        <v>2277.8999999999996</v>
      </c>
      <c r="F131" s="479"/>
    </row>
    <row r="132" spans="1:6" ht="18" customHeight="1">
      <c r="A132" s="409">
        <v>127</v>
      </c>
      <c r="B132" s="522">
        <f t="shared" si="8"/>
        <v>1619.9999999999998</v>
      </c>
      <c r="C132" s="522">
        <f t="shared" si="9"/>
        <v>1565.0999999999967</v>
      </c>
      <c r="D132" s="523">
        <f t="shared" si="10"/>
        <v>2603.7000000000025</v>
      </c>
      <c r="E132" s="522">
        <f t="shared" si="11"/>
        <v>2294.8999999999996</v>
      </c>
      <c r="F132" s="479"/>
    </row>
    <row r="133" spans="1:6" ht="18" customHeight="1">
      <c r="A133" s="409">
        <v>128</v>
      </c>
      <c r="B133" s="522">
        <f t="shared" si="8"/>
        <v>1631.9999999999998</v>
      </c>
      <c r="C133" s="522">
        <f t="shared" si="9"/>
        <v>1576.6999999999966</v>
      </c>
      <c r="D133" s="523">
        <f t="shared" si="10"/>
        <v>2623.0000000000027</v>
      </c>
      <c r="E133" s="522">
        <f t="shared" si="11"/>
        <v>2311.8999999999996</v>
      </c>
      <c r="F133" s="479"/>
    </row>
    <row r="134" spans="1:6" ht="18" customHeight="1">
      <c r="A134" s="409">
        <v>129</v>
      </c>
      <c r="B134" s="522">
        <f t="shared" si="8"/>
        <v>1643.9999999999998</v>
      </c>
      <c r="C134" s="522">
        <f t="shared" si="9"/>
        <v>1588.2999999999965</v>
      </c>
      <c r="D134" s="523">
        <f t="shared" si="10"/>
        <v>2642.3000000000029</v>
      </c>
      <c r="E134" s="522">
        <f t="shared" si="11"/>
        <v>2328.8999999999996</v>
      </c>
      <c r="F134" s="479"/>
    </row>
    <row r="135" spans="1:6" ht="18" customHeight="1">
      <c r="A135" s="409">
        <v>130</v>
      </c>
      <c r="B135" s="522">
        <f t="shared" si="8"/>
        <v>1655.9999999999998</v>
      </c>
      <c r="C135" s="522">
        <f t="shared" si="9"/>
        <v>1599.8999999999965</v>
      </c>
      <c r="D135" s="523">
        <f t="shared" si="10"/>
        <v>2661.6000000000031</v>
      </c>
      <c r="E135" s="522">
        <f t="shared" si="11"/>
        <v>2345.8999999999996</v>
      </c>
      <c r="F135" s="479"/>
    </row>
    <row r="136" spans="1:6" ht="18" customHeight="1">
      <c r="A136" s="409">
        <v>131</v>
      </c>
      <c r="B136" s="522">
        <f t="shared" si="8"/>
        <v>1667.9999999999998</v>
      </c>
      <c r="C136" s="522">
        <f t="shared" si="9"/>
        <v>1611.4999999999964</v>
      </c>
      <c r="D136" s="523">
        <f t="shared" si="10"/>
        <v>2680.9000000000033</v>
      </c>
      <c r="E136" s="522">
        <f t="shared" si="11"/>
        <v>2362.8999999999996</v>
      </c>
      <c r="F136" s="479"/>
    </row>
    <row r="137" spans="1:6" ht="18" customHeight="1">
      <c r="A137" s="409">
        <v>132</v>
      </c>
      <c r="B137" s="522">
        <f t="shared" si="8"/>
        <v>1679.9999999999998</v>
      </c>
      <c r="C137" s="522">
        <f t="shared" si="9"/>
        <v>1623.0999999999963</v>
      </c>
      <c r="D137" s="523">
        <f t="shared" si="10"/>
        <v>2700.2000000000035</v>
      </c>
      <c r="E137" s="522">
        <f t="shared" si="11"/>
        <v>2379.8999999999996</v>
      </c>
      <c r="F137" s="479"/>
    </row>
    <row r="138" spans="1:6" ht="18" customHeight="1">
      <c r="A138" s="409">
        <v>133</v>
      </c>
      <c r="B138" s="522">
        <f t="shared" si="8"/>
        <v>1691.9999999999998</v>
      </c>
      <c r="C138" s="522">
        <f t="shared" si="9"/>
        <v>1634.6999999999962</v>
      </c>
      <c r="D138" s="523">
        <f t="shared" si="10"/>
        <v>2719.5000000000036</v>
      </c>
      <c r="E138" s="522">
        <f t="shared" si="11"/>
        <v>2396.8999999999996</v>
      </c>
      <c r="F138" s="479"/>
    </row>
    <row r="139" spans="1:6" ht="18" customHeight="1">
      <c r="A139" s="409">
        <v>134</v>
      </c>
      <c r="B139" s="522">
        <f t="shared" si="8"/>
        <v>1703.9999999999998</v>
      </c>
      <c r="C139" s="522">
        <f t="shared" si="9"/>
        <v>1646.2999999999961</v>
      </c>
      <c r="D139" s="523">
        <f t="shared" si="10"/>
        <v>2738.8000000000038</v>
      </c>
      <c r="E139" s="522">
        <f t="shared" si="11"/>
        <v>2413.8999999999996</v>
      </c>
      <c r="F139" s="479"/>
    </row>
    <row r="140" spans="1:6" ht="18" customHeight="1">
      <c r="A140" s="414">
        <v>135</v>
      </c>
      <c r="B140" s="522">
        <f t="shared" si="8"/>
        <v>1715.9999999999998</v>
      </c>
      <c r="C140" s="522">
        <f t="shared" si="9"/>
        <v>1657.899999999996</v>
      </c>
      <c r="D140" s="523">
        <f t="shared" si="10"/>
        <v>2758.100000000004</v>
      </c>
      <c r="E140" s="522">
        <f t="shared" si="11"/>
        <v>2430.8999999999996</v>
      </c>
      <c r="F140" s="479"/>
    </row>
    <row r="141" spans="1:6" ht="18" customHeight="1">
      <c r="A141" s="409">
        <v>136</v>
      </c>
      <c r="B141" s="522">
        <f t="shared" si="8"/>
        <v>1727.9999999999998</v>
      </c>
      <c r="C141" s="522">
        <f t="shared" si="9"/>
        <v>1669.4999999999959</v>
      </c>
      <c r="D141" s="523">
        <f t="shared" si="10"/>
        <v>2777.4000000000042</v>
      </c>
      <c r="E141" s="522">
        <f t="shared" si="11"/>
        <v>2447.8999999999996</v>
      </c>
      <c r="F141" s="479"/>
    </row>
    <row r="142" spans="1:6" ht="18" customHeight="1">
      <c r="A142" s="409">
        <v>137</v>
      </c>
      <c r="B142" s="522">
        <f t="shared" si="8"/>
        <v>1739.9999999999998</v>
      </c>
      <c r="C142" s="522">
        <f t="shared" si="9"/>
        <v>1681.0999999999958</v>
      </c>
      <c r="D142" s="523">
        <f t="shared" si="10"/>
        <v>2796.7000000000044</v>
      </c>
      <c r="E142" s="522">
        <f t="shared" si="11"/>
        <v>2464.8999999999996</v>
      </c>
      <c r="F142" s="479"/>
    </row>
    <row r="143" spans="1:6" ht="18" customHeight="1">
      <c r="A143" s="409">
        <v>138</v>
      </c>
      <c r="B143" s="522">
        <f t="shared" si="8"/>
        <v>1751.9999999999998</v>
      </c>
      <c r="C143" s="522">
        <f t="shared" si="9"/>
        <v>1692.6999999999957</v>
      </c>
      <c r="D143" s="523">
        <f t="shared" si="10"/>
        <v>2816.0000000000045</v>
      </c>
      <c r="E143" s="522">
        <f t="shared" si="11"/>
        <v>2481.8999999999996</v>
      </c>
      <c r="F143" s="479"/>
    </row>
    <row r="144" spans="1:6" ht="18" customHeight="1">
      <c r="A144" s="409">
        <v>139</v>
      </c>
      <c r="B144" s="522">
        <f t="shared" si="8"/>
        <v>1763.9999999999998</v>
      </c>
      <c r="C144" s="522">
        <f t="shared" si="9"/>
        <v>1704.2999999999956</v>
      </c>
      <c r="D144" s="523">
        <f t="shared" si="10"/>
        <v>2835.3000000000047</v>
      </c>
      <c r="E144" s="522">
        <f t="shared" si="11"/>
        <v>2498.8999999999996</v>
      </c>
      <c r="F144" s="479"/>
    </row>
    <row r="145" spans="1:6" ht="18" customHeight="1">
      <c r="A145" s="409">
        <v>140</v>
      </c>
      <c r="B145" s="522">
        <f t="shared" si="8"/>
        <v>1775.9999999999998</v>
      </c>
      <c r="C145" s="522">
        <f t="shared" si="9"/>
        <v>1715.8999999999955</v>
      </c>
      <c r="D145" s="523">
        <f t="shared" si="10"/>
        <v>2854.6000000000049</v>
      </c>
      <c r="E145" s="522">
        <f t="shared" si="11"/>
        <v>2515.8999999999996</v>
      </c>
      <c r="F145" s="479"/>
    </row>
    <row r="146" spans="1:6" ht="18" customHeight="1">
      <c r="A146" s="409">
        <v>141</v>
      </c>
      <c r="B146" s="522">
        <f t="shared" si="8"/>
        <v>1787.9999999999998</v>
      </c>
      <c r="C146" s="522">
        <f t="shared" si="9"/>
        <v>1727.4999999999955</v>
      </c>
      <c r="D146" s="523">
        <f t="shared" si="10"/>
        <v>2873.9000000000051</v>
      </c>
      <c r="E146" s="522">
        <f t="shared" si="11"/>
        <v>2532.8999999999996</v>
      </c>
      <c r="F146" s="479"/>
    </row>
    <row r="147" spans="1:6" ht="18" customHeight="1">
      <c r="A147" s="409">
        <v>142</v>
      </c>
      <c r="B147" s="522">
        <f t="shared" si="8"/>
        <v>1799.9999999999998</v>
      </c>
      <c r="C147" s="522">
        <f t="shared" si="9"/>
        <v>1739.0999999999954</v>
      </c>
      <c r="D147" s="523">
        <f t="shared" si="10"/>
        <v>2893.2000000000053</v>
      </c>
      <c r="E147" s="522">
        <f t="shared" si="11"/>
        <v>2549.8999999999996</v>
      </c>
      <c r="F147" s="479"/>
    </row>
    <row r="148" spans="1:6" ht="18" customHeight="1">
      <c r="A148" s="409">
        <v>143</v>
      </c>
      <c r="B148" s="522">
        <f t="shared" si="8"/>
        <v>1811.9999999999998</v>
      </c>
      <c r="C148" s="522">
        <f t="shared" si="9"/>
        <v>1750.6999999999953</v>
      </c>
      <c r="D148" s="523">
        <f t="shared" si="10"/>
        <v>2912.5000000000055</v>
      </c>
      <c r="E148" s="522">
        <f t="shared" si="11"/>
        <v>2566.8999999999996</v>
      </c>
      <c r="F148" s="479"/>
    </row>
    <row r="149" spans="1:6" ht="18" customHeight="1">
      <c r="A149" s="409">
        <v>144</v>
      </c>
      <c r="B149" s="522">
        <f t="shared" si="8"/>
        <v>1823.9999999999998</v>
      </c>
      <c r="C149" s="522">
        <f t="shared" si="9"/>
        <v>1762.2999999999952</v>
      </c>
      <c r="D149" s="523">
        <f t="shared" si="10"/>
        <v>2931.8000000000056</v>
      </c>
      <c r="E149" s="522">
        <f t="shared" si="11"/>
        <v>2583.8999999999996</v>
      </c>
      <c r="F149" s="479"/>
    </row>
    <row r="150" spans="1:6" ht="18" customHeight="1">
      <c r="A150" s="409">
        <v>145</v>
      </c>
      <c r="B150" s="522">
        <f t="shared" si="8"/>
        <v>1835.9999999999998</v>
      </c>
      <c r="C150" s="522">
        <f t="shared" si="9"/>
        <v>1773.8999999999951</v>
      </c>
      <c r="D150" s="523">
        <f t="shared" si="10"/>
        <v>2951.1000000000058</v>
      </c>
      <c r="E150" s="522">
        <f t="shared" si="11"/>
        <v>2600.8999999999996</v>
      </c>
      <c r="F150" s="479"/>
    </row>
    <row r="151" spans="1:6" ht="18" customHeight="1">
      <c r="A151" s="409">
        <v>146</v>
      </c>
      <c r="B151" s="522">
        <f t="shared" si="8"/>
        <v>1847.9999999999998</v>
      </c>
      <c r="C151" s="522">
        <f t="shared" si="9"/>
        <v>1785.499999999995</v>
      </c>
      <c r="D151" s="523">
        <f t="shared" si="10"/>
        <v>2970.400000000006</v>
      </c>
      <c r="E151" s="522">
        <f t="shared" si="11"/>
        <v>2617.8999999999996</v>
      </c>
      <c r="F151" s="479"/>
    </row>
    <row r="152" spans="1:6" ht="18" customHeight="1">
      <c r="A152" s="409">
        <v>147</v>
      </c>
      <c r="B152" s="522">
        <f t="shared" si="8"/>
        <v>1859.9999999999998</v>
      </c>
      <c r="C152" s="522">
        <f t="shared" si="9"/>
        <v>1797.0999999999949</v>
      </c>
      <c r="D152" s="523">
        <f t="shared" si="10"/>
        <v>2989.7000000000062</v>
      </c>
      <c r="E152" s="522">
        <f t="shared" si="11"/>
        <v>2634.8999999999996</v>
      </c>
      <c r="F152" s="479"/>
    </row>
    <row r="153" spans="1:6" ht="18" customHeight="1">
      <c r="A153" s="409">
        <v>148</v>
      </c>
      <c r="B153" s="522">
        <f t="shared" si="8"/>
        <v>1871.9999999999998</v>
      </c>
      <c r="C153" s="522">
        <f t="shared" si="9"/>
        <v>1808.6999999999948</v>
      </c>
      <c r="D153" s="523">
        <f t="shared" si="10"/>
        <v>3009.0000000000064</v>
      </c>
      <c r="E153" s="522">
        <f t="shared" si="11"/>
        <v>2651.8999999999996</v>
      </c>
      <c r="F153" s="479"/>
    </row>
    <row r="154" spans="1:6" ht="18" customHeight="1">
      <c r="A154" s="409">
        <v>149</v>
      </c>
      <c r="B154" s="522">
        <f t="shared" si="8"/>
        <v>1883.9999999999998</v>
      </c>
      <c r="C154" s="522">
        <f t="shared" si="9"/>
        <v>1820.2999999999947</v>
      </c>
      <c r="D154" s="523">
        <f t="shared" si="10"/>
        <v>3028.3000000000065</v>
      </c>
      <c r="E154" s="522">
        <f t="shared" si="11"/>
        <v>2668.8999999999996</v>
      </c>
      <c r="F154" s="479"/>
    </row>
    <row r="155" spans="1:6" ht="18" customHeight="1">
      <c r="A155" s="409">
        <v>150</v>
      </c>
      <c r="B155" s="522">
        <f t="shared" si="8"/>
        <v>1895.9999999999998</v>
      </c>
      <c r="C155" s="522">
        <f t="shared" si="9"/>
        <v>1831.8999999999946</v>
      </c>
      <c r="D155" s="523">
        <f t="shared" si="10"/>
        <v>3047.6000000000067</v>
      </c>
      <c r="E155" s="522">
        <f t="shared" si="11"/>
        <v>2685.8999999999996</v>
      </c>
      <c r="F155" s="479"/>
    </row>
    <row r="156" spans="1:6" ht="18" customHeight="1">
      <c r="A156" s="409">
        <v>151</v>
      </c>
      <c r="B156" s="522">
        <f t="shared" si="8"/>
        <v>1907.9999999999998</v>
      </c>
      <c r="C156" s="522">
        <f t="shared" si="9"/>
        <v>1843.4999999999945</v>
      </c>
      <c r="D156" s="523">
        <f t="shared" si="10"/>
        <v>3066.9000000000069</v>
      </c>
      <c r="E156" s="522">
        <f t="shared" si="11"/>
        <v>2702.8999999999996</v>
      </c>
      <c r="F156" s="479"/>
    </row>
    <row r="157" spans="1:6" ht="18" customHeight="1">
      <c r="A157" s="409">
        <v>152</v>
      </c>
      <c r="B157" s="522">
        <f t="shared" si="8"/>
        <v>1919.9999999999998</v>
      </c>
      <c r="C157" s="522">
        <f t="shared" si="9"/>
        <v>1855.0999999999945</v>
      </c>
      <c r="D157" s="523">
        <f t="shared" si="10"/>
        <v>3086.2000000000071</v>
      </c>
      <c r="E157" s="522">
        <f t="shared" si="11"/>
        <v>2719.8999999999996</v>
      </c>
      <c r="F157" s="479"/>
    </row>
    <row r="158" spans="1:6" ht="18" customHeight="1">
      <c r="A158" s="409">
        <v>153</v>
      </c>
      <c r="B158" s="522">
        <f t="shared" si="8"/>
        <v>1931.9999999999998</v>
      </c>
      <c r="C158" s="522">
        <f t="shared" si="9"/>
        <v>1866.6999999999944</v>
      </c>
      <c r="D158" s="523">
        <f t="shared" si="10"/>
        <v>3105.5000000000073</v>
      </c>
      <c r="E158" s="522">
        <f t="shared" si="11"/>
        <v>2736.8999999999996</v>
      </c>
      <c r="F158" s="479"/>
    </row>
    <row r="159" spans="1:6" ht="18" customHeight="1">
      <c r="A159" s="409">
        <v>154</v>
      </c>
      <c r="B159" s="522">
        <f t="shared" si="8"/>
        <v>1943.9999999999998</v>
      </c>
      <c r="C159" s="522">
        <f t="shared" si="9"/>
        <v>1878.2999999999943</v>
      </c>
      <c r="D159" s="523">
        <f t="shared" si="10"/>
        <v>3124.8000000000075</v>
      </c>
      <c r="E159" s="522">
        <f t="shared" si="11"/>
        <v>2753.8999999999996</v>
      </c>
      <c r="F159" s="479"/>
    </row>
    <row r="160" spans="1:6" ht="18" customHeight="1">
      <c r="A160" s="409">
        <v>155</v>
      </c>
      <c r="B160" s="522">
        <f t="shared" si="8"/>
        <v>1955.9999999999998</v>
      </c>
      <c r="C160" s="522">
        <f t="shared" si="9"/>
        <v>1889.8999999999942</v>
      </c>
      <c r="D160" s="523">
        <f t="shared" si="10"/>
        <v>3144.1000000000076</v>
      </c>
      <c r="E160" s="522">
        <f t="shared" si="11"/>
        <v>2770.8999999999996</v>
      </c>
      <c r="F160" s="479"/>
    </row>
    <row r="161" spans="1:6" ht="18" customHeight="1">
      <c r="A161" s="409">
        <v>156</v>
      </c>
      <c r="B161" s="522">
        <f t="shared" si="8"/>
        <v>1967.9999999999998</v>
      </c>
      <c r="C161" s="522">
        <f t="shared" si="9"/>
        <v>1901.4999999999941</v>
      </c>
      <c r="D161" s="523">
        <f t="shared" si="10"/>
        <v>3163.4000000000078</v>
      </c>
      <c r="E161" s="522">
        <f t="shared" si="11"/>
        <v>2787.8999999999996</v>
      </c>
      <c r="F161" s="479"/>
    </row>
    <row r="162" spans="1:6" ht="18" customHeight="1">
      <c r="A162" s="409">
        <v>157</v>
      </c>
      <c r="B162" s="522">
        <f t="shared" si="8"/>
        <v>1979.9999999999998</v>
      </c>
      <c r="C162" s="522">
        <f t="shared" si="9"/>
        <v>1913.099999999994</v>
      </c>
      <c r="D162" s="523">
        <f t="shared" si="10"/>
        <v>3182.700000000008</v>
      </c>
      <c r="E162" s="522">
        <f t="shared" si="11"/>
        <v>2804.8999999999996</v>
      </c>
      <c r="F162" s="479"/>
    </row>
    <row r="163" spans="1:6" ht="18" customHeight="1">
      <c r="A163" s="409">
        <v>158</v>
      </c>
      <c r="B163" s="522">
        <f t="shared" si="8"/>
        <v>1991.9999999999998</v>
      </c>
      <c r="C163" s="522">
        <f t="shared" si="9"/>
        <v>1924.6999999999939</v>
      </c>
      <c r="D163" s="523">
        <f t="shared" si="10"/>
        <v>3202.0000000000082</v>
      </c>
      <c r="E163" s="522">
        <f t="shared" si="11"/>
        <v>2821.8999999999996</v>
      </c>
      <c r="F163" s="479"/>
    </row>
    <row r="164" spans="1:6" ht="18" customHeight="1">
      <c r="A164" s="409">
        <v>159</v>
      </c>
      <c r="B164" s="522">
        <f t="shared" si="8"/>
        <v>2003.9999999999998</v>
      </c>
      <c r="C164" s="522">
        <f t="shared" si="9"/>
        <v>1936.2999999999938</v>
      </c>
      <c r="D164" s="523">
        <f t="shared" si="10"/>
        <v>3221.3000000000084</v>
      </c>
      <c r="E164" s="522">
        <f t="shared" si="11"/>
        <v>2838.8999999999996</v>
      </c>
      <c r="F164" s="479"/>
    </row>
    <row r="165" spans="1:6" ht="18" customHeight="1">
      <c r="A165" s="409">
        <v>160</v>
      </c>
      <c r="B165" s="522">
        <f t="shared" ref="B165:B228" si="12">B164+12</f>
        <v>2015.9999999999998</v>
      </c>
      <c r="C165" s="522">
        <f t="shared" ref="C165:C228" si="13">C164+11.6</f>
        <v>1947.8999999999937</v>
      </c>
      <c r="D165" s="523">
        <f t="shared" ref="D165:D228" si="14">D164+19.3</f>
        <v>3240.6000000000085</v>
      </c>
      <c r="E165" s="522">
        <f t="shared" ref="E165:E228" si="15">E164+17</f>
        <v>2855.8999999999996</v>
      </c>
      <c r="F165" s="479"/>
    </row>
    <row r="166" spans="1:6" ht="18" customHeight="1">
      <c r="A166" s="409">
        <v>161</v>
      </c>
      <c r="B166" s="522">
        <f t="shared" si="12"/>
        <v>2027.9999999999998</v>
      </c>
      <c r="C166" s="522">
        <f t="shared" si="13"/>
        <v>1959.4999999999936</v>
      </c>
      <c r="D166" s="523">
        <f t="shared" si="14"/>
        <v>3259.9000000000087</v>
      </c>
      <c r="E166" s="522">
        <f t="shared" si="15"/>
        <v>2872.8999999999996</v>
      </c>
      <c r="F166" s="479"/>
    </row>
    <row r="167" spans="1:6" ht="18" customHeight="1">
      <c r="A167" s="409">
        <v>162</v>
      </c>
      <c r="B167" s="522">
        <f t="shared" si="12"/>
        <v>2039.9999999999998</v>
      </c>
      <c r="C167" s="522">
        <f t="shared" si="13"/>
        <v>1971.0999999999935</v>
      </c>
      <c r="D167" s="523">
        <f t="shared" si="14"/>
        <v>3279.2000000000089</v>
      </c>
      <c r="E167" s="522">
        <f t="shared" si="15"/>
        <v>2889.8999999999996</v>
      </c>
      <c r="F167" s="479"/>
    </row>
    <row r="168" spans="1:6" ht="18" customHeight="1">
      <c r="A168" s="409">
        <v>163</v>
      </c>
      <c r="B168" s="522">
        <f t="shared" si="12"/>
        <v>2052</v>
      </c>
      <c r="C168" s="522">
        <f t="shared" si="13"/>
        <v>1982.6999999999935</v>
      </c>
      <c r="D168" s="523">
        <f t="shared" si="14"/>
        <v>3298.5000000000091</v>
      </c>
      <c r="E168" s="522">
        <f t="shared" si="15"/>
        <v>2906.8999999999996</v>
      </c>
      <c r="F168" s="479"/>
    </row>
    <row r="169" spans="1:6" ht="18" customHeight="1">
      <c r="A169" s="409">
        <v>164</v>
      </c>
      <c r="B169" s="522">
        <f t="shared" si="12"/>
        <v>2064</v>
      </c>
      <c r="C169" s="522">
        <f t="shared" si="13"/>
        <v>1994.2999999999934</v>
      </c>
      <c r="D169" s="523">
        <f t="shared" si="14"/>
        <v>3317.8000000000093</v>
      </c>
      <c r="E169" s="522">
        <f t="shared" si="15"/>
        <v>2923.8999999999996</v>
      </c>
      <c r="F169" s="479"/>
    </row>
    <row r="170" spans="1:6" ht="18" customHeight="1">
      <c r="A170" s="409">
        <v>165</v>
      </c>
      <c r="B170" s="522">
        <f t="shared" si="12"/>
        <v>2076</v>
      </c>
      <c r="C170" s="522">
        <f t="shared" si="13"/>
        <v>2005.8999999999933</v>
      </c>
      <c r="D170" s="523">
        <f t="shared" si="14"/>
        <v>3337.1000000000095</v>
      </c>
      <c r="E170" s="522">
        <f t="shared" si="15"/>
        <v>2940.8999999999996</v>
      </c>
      <c r="F170" s="479"/>
    </row>
    <row r="171" spans="1:6" ht="18" customHeight="1">
      <c r="A171" s="409">
        <v>166</v>
      </c>
      <c r="B171" s="522">
        <f t="shared" si="12"/>
        <v>2088</v>
      </c>
      <c r="C171" s="522">
        <f t="shared" si="13"/>
        <v>2017.4999999999932</v>
      </c>
      <c r="D171" s="523">
        <f t="shared" si="14"/>
        <v>3356.4000000000096</v>
      </c>
      <c r="E171" s="522">
        <f t="shared" si="15"/>
        <v>2957.8999999999996</v>
      </c>
      <c r="F171" s="479"/>
    </row>
    <row r="172" spans="1:6" ht="18" customHeight="1">
      <c r="A172" s="409">
        <v>167</v>
      </c>
      <c r="B172" s="522">
        <f t="shared" si="12"/>
        <v>2100</v>
      </c>
      <c r="C172" s="522">
        <f t="shared" si="13"/>
        <v>2029.0999999999931</v>
      </c>
      <c r="D172" s="523">
        <f t="shared" si="14"/>
        <v>3375.7000000000098</v>
      </c>
      <c r="E172" s="522">
        <f t="shared" si="15"/>
        <v>2974.8999999999996</v>
      </c>
      <c r="F172" s="479"/>
    </row>
    <row r="173" spans="1:6" ht="18" customHeight="1">
      <c r="A173" s="409">
        <v>168</v>
      </c>
      <c r="B173" s="522">
        <f t="shared" si="12"/>
        <v>2112</v>
      </c>
      <c r="C173" s="522">
        <f t="shared" si="13"/>
        <v>2040.699999999993</v>
      </c>
      <c r="D173" s="523">
        <f t="shared" si="14"/>
        <v>3395.00000000001</v>
      </c>
      <c r="E173" s="522">
        <f t="shared" si="15"/>
        <v>2991.8999999999996</v>
      </c>
      <c r="F173" s="479"/>
    </row>
    <row r="174" spans="1:6" ht="18" customHeight="1">
      <c r="A174" s="409">
        <v>169</v>
      </c>
      <c r="B174" s="522">
        <f t="shared" si="12"/>
        <v>2124</v>
      </c>
      <c r="C174" s="522">
        <f t="shared" si="13"/>
        <v>2052.2999999999929</v>
      </c>
      <c r="D174" s="523">
        <f t="shared" si="14"/>
        <v>3414.3000000000102</v>
      </c>
      <c r="E174" s="522">
        <f t="shared" si="15"/>
        <v>3008.8999999999996</v>
      </c>
      <c r="F174" s="479"/>
    </row>
    <row r="175" spans="1:6" ht="18" customHeight="1">
      <c r="A175" s="409">
        <v>170</v>
      </c>
      <c r="B175" s="522">
        <f t="shared" si="12"/>
        <v>2136</v>
      </c>
      <c r="C175" s="522">
        <f t="shared" si="13"/>
        <v>2063.8999999999928</v>
      </c>
      <c r="D175" s="523">
        <f t="shared" si="14"/>
        <v>3433.6000000000104</v>
      </c>
      <c r="E175" s="522">
        <f t="shared" si="15"/>
        <v>3025.8999999999996</v>
      </c>
      <c r="F175" s="479"/>
    </row>
    <row r="176" spans="1:6" ht="18" customHeight="1">
      <c r="A176" s="409">
        <v>171</v>
      </c>
      <c r="B176" s="522">
        <f t="shared" si="12"/>
        <v>2148</v>
      </c>
      <c r="C176" s="522">
        <f t="shared" si="13"/>
        <v>2075.4999999999927</v>
      </c>
      <c r="D176" s="523">
        <f t="shared" si="14"/>
        <v>3452.9000000000106</v>
      </c>
      <c r="E176" s="522">
        <f t="shared" si="15"/>
        <v>3042.8999999999996</v>
      </c>
      <c r="F176" s="479"/>
    </row>
    <row r="177" spans="1:6" ht="18" customHeight="1">
      <c r="A177" s="409">
        <v>172</v>
      </c>
      <c r="B177" s="522">
        <f t="shared" si="12"/>
        <v>2160</v>
      </c>
      <c r="C177" s="522">
        <f t="shared" si="13"/>
        <v>2087.0999999999926</v>
      </c>
      <c r="D177" s="523">
        <f t="shared" si="14"/>
        <v>3472.2000000000107</v>
      </c>
      <c r="E177" s="522">
        <f t="shared" si="15"/>
        <v>3059.8999999999996</v>
      </c>
      <c r="F177" s="479"/>
    </row>
    <row r="178" spans="1:6" ht="18" customHeight="1">
      <c r="A178" s="409">
        <v>173</v>
      </c>
      <c r="B178" s="522">
        <f t="shared" si="12"/>
        <v>2172</v>
      </c>
      <c r="C178" s="522">
        <f t="shared" si="13"/>
        <v>2098.6999999999925</v>
      </c>
      <c r="D178" s="523">
        <f t="shared" si="14"/>
        <v>3491.5000000000109</v>
      </c>
      <c r="E178" s="522">
        <f t="shared" si="15"/>
        <v>3076.8999999999996</v>
      </c>
      <c r="F178" s="479"/>
    </row>
    <row r="179" spans="1:6" ht="18" customHeight="1">
      <c r="A179" s="409">
        <v>174</v>
      </c>
      <c r="B179" s="522">
        <f t="shared" si="12"/>
        <v>2184</v>
      </c>
      <c r="C179" s="522">
        <f t="shared" si="13"/>
        <v>2110.2999999999925</v>
      </c>
      <c r="D179" s="523">
        <f t="shared" si="14"/>
        <v>3510.8000000000111</v>
      </c>
      <c r="E179" s="522">
        <f t="shared" si="15"/>
        <v>3093.8999999999996</v>
      </c>
      <c r="F179" s="479"/>
    </row>
    <row r="180" spans="1:6" ht="18" customHeight="1">
      <c r="A180" s="409">
        <v>175</v>
      </c>
      <c r="B180" s="522">
        <f t="shared" si="12"/>
        <v>2196</v>
      </c>
      <c r="C180" s="522">
        <f t="shared" si="13"/>
        <v>2121.8999999999924</v>
      </c>
      <c r="D180" s="523">
        <f t="shared" si="14"/>
        <v>3530.1000000000113</v>
      </c>
      <c r="E180" s="522">
        <f t="shared" si="15"/>
        <v>3110.8999999999996</v>
      </c>
      <c r="F180" s="479"/>
    </row>
    <row r="181" spans="1:6" ht="18" customHeight="1">
      <c r="A181" s="409">
        <v>176</v>
      </c>
      <c r="B181" s="522">
        <f t="shared" si="12"/>
        <v>2208</v>
      </c>
      <c r="C181" s="522">
        <f t="shared" si="13"/>
        <v>2133.4999999999923</v>
      </c>
      <c r="D181" s="523">
        <f t="shared" si="14"/>
        <v>3549.4000000000115</v>
      </c>
      <c r="E181" s="522">
        <f t="shared" si="15"/>
        <v>3127.8999999999996</v>
      </c>
      <c r="F181" s="479"/>
    </row>
    <row r="182" spans="1:6" ht="18" customHeight="1">
      <c r="A182" s="409">
        <v>177</v>
      </c>
      <c r="B182" s="522">
        <f t="shared" si="12"/>
        <v>2220</v>
      </c>
      <c r="C182" s="522">
        <f t="shared" si="13"/>
        <v>2145.0999999999922</v>
      </c>
      <c r="D182" s="523">
        <f t="shared" si="14"/>
        <v>3568.7000000000116</v>
      </c>
      <c r="E182" s="522">
        <f t="shared" si="15"/>
        <v>3144.8999999999996</v>
      </c>
      <c r="F182" s="479"/>
    </row>
    <row r="183" spans="1:6" ht="18" customHeight="1">
      <c r="A183" s="409">
        <v>178</v>
      </c>
      <c r="B183" s="522">
        <f t="shared" si="12"/>
        <v>2232</v>
      </c>
      <c r="C183" s="522">
        <f t="shared" si="13"/>
        <v>2156.6999999999921</v>
      </c>
      <c r="D183" s="523">
        <f t="shared" si="14"/>
        <v>3588.0000000000118</v>
      </c>
      <c r="E183" s="522">
        <f t="shared" si="15"/>
        <v>3161.8999999999996</v>
      </c>
      <c r="F183" s="479"/>
    </row>
    <row r="184" spans="1:6" ht="18" customHeight="1">
      <c r="A184" s="409">
        <v>179</v>
      </c>
      <c r="B184" s="522">
        <f t="shared" si="12"/>
        <v>2244</v>
      </c>
      <c r="C184" s="522">
        <f t="shared" si="13"/>
        <v>2168.299999999992</v>
      </c>
      <c r="D184" s="523">
        <f t="shared" si="14"/>
        <v>3607.300000000012</v>
      </c>
      <c r="E184" s="522">
        <f t="shared" si="15"/>
        <v>3178.8999999999996</v>
      </c>
      <c r="F184" s="479"/>
    </row>
    <row r="185" spans="1:6" ht="18" customHeight="1">
      <c r="A185" s="409">
        <v>180</v>
      </c>
      <c r="B185" s="522">
        <f t="shared" si="12"/>
        <v>2256</v>
      </c>
      <c r="C185" s="522">
        <f t="shared" si="13"/>
        <v>2179.8999999999919</v>
      </c>
      <c r="D185" s="523">
        <f t="shared" si="14"/>
        <v>3626.6000000000122</v>
      </c>
      <c r="E185" s="522">
        <f t="shared" si="15"/>
        <v>3195.8999999999996</v>
      </c>
      <c r="F185" s="479"/>
    </row>
    <row r="186" spans="1:6" ht="18" customHeight="1">
      <c r="A186" s="409">
        <v>181</v>
      </c>
      <c r="B186" s="522">
        <f t="shared" si="12"/>
        <v>2268</v>
      </c>
      <c r="C186" s="522">
        <f t="shared" si="13"/>
        <v>2191.4999999999918</v>
      </c>
      <c r="D186" s="523">
        <f t="shared" si="14"/>
        <v>3645.9000000000124</v>
      </c>
      <c r="E186" s="522">
        <f t="shared" si="15"/>
        <v>3212.8999999999996</v>
      </c>
      <c r="F186" s="479"/>
    </row>
    <row r="187" spans="1:6" ht="18" customHeight="1">
      <c r="A187" s="409">
        <v>182</v>
      </c>
      <c r="B187" s="522">
        <f t="shared" si="12"/>
        <v>2280</v>
      </c>
      <c r="C187" s="522">
        <f t="shared" si="13"/>
        <v>2203.0999999999917</v>
      </c>
      <c r="D187" s="523">
        <f t="shared" si="14"/>
        <v>3665.2000000000126</v>
      </c>
      <c r="E187" s="522">
        <f t="shared" si="15"/>
        <v>3229.8999999999996</v>
      </c>
      <c r="F187" s="479"/>
    </row>
    <row r="188" spans="1:6" ht="18" customHeight="1">
      <c r="A188" s="409">
        <v>183</v>
      </c>
      <c r="B188" s="522">
        <f t="shared" si="12"/>
        <v>2292</v>
      </c>
      <c r="C188" s="522">
        <f t="shared" si="13"/>
        <v>2214.6999999999916</v>
      </c>
      <c r="D188" s="523">
        <f t="shared" si="14"/>
        <v>3684.5000000000127</v>
      </c>
      <c r="E188" s="522">
        <f t="shared" si="15"/>
        <v>3246.8999999999996</v>
      </c>
      <c r="F188" s="479"/>
    </row>
    <row r="189" spans="1:6" ht="18" customHeight="1">
      <c r="A189" s="409">
        <v>184</v>
      </c>
      <c r="B189" s="522">
        <f t="shared" si="12"/>
        <v>2304</v>
      </c>
      <c r="C189" s="522">
        <f t="shared" si="13"/>
        <v>2226.2999999999915</v>
      </c>
      <c r="D189" s="523">
        <f t="shared" si="14"/>
        <v>3703.8000000000129</v>
      </c>
      <c r="E189" s="522">
        <f t="shared" si="15"/>
        <v>3263.8999999999996</v>
      </c>
      <c r="F189" s="479"/>
    </row>
    <row r="190" spans="1:6" ht="18" customHeight="1">
      <c r="A190" s="409">
        <v>185</v>
      </c>
      <c r="B190" s="522">
        <f t="shared" si="12"/>
        <v>2316</v>
      </c>
      <c r="C190" s="522">
        <f t="shared" si="13"/>
        <v>2237.8999999999915</v>
      </c>
      <c r="D190" s="523">
        <f t="shared" si="14"/>
        <v>3723.1000000000131</v>
      </c>
      <c r="E190" s="522">
        <f t="shared" si="15"/>
        <v>3280.8999999999996</v>
      </c>
      <c r="F190" s="479"/>
    </row>
    <row r="191" spans="1:6" ht="18" customHeight="1">
      <c r="A191" s="409">
        <v>186</v>
      </c>
      <c r="B191" s="522">
        <f t="shared" si="12"/>
        <v>2328</v>
      </c>
      <c r="C191" s="522">
        <f t="shared" si="13"/>
        <v>2249.4999999999914</v>
      </c>
      <c r="D191" s="523">
        <f t="shared" si="14"/>
        <v>3742.4000000000133</v>
      </c>
      <c r="E191" s="522">
        <f t="shared" si="15"/>
        <v>3297.8999999999996</v>
      </c>
      <c r="F191" s="479"/>
    </row>
    <row r="192" spans="1:6" ht="18" customHeight="1">
      <c r="A192" s="409">
        <v>187</v>
      </c>
      <c r="B192" s="522">
        <f t="shared" si="12"/>
        <v>2340</v>
      </c>
      <c r="C192" s="522">
        <f t="shared" si="13"/>
        <v>2261.0999999999913</v>
      </c>
      <c r="D192" s="523">
        <f t="shared" si="14"/>
        <v>3761.7000000000135</v>
      </c>
      <c r="E192" s="522">
        <f t="shared" si="15"/>
        <v>3314.8999999999996</v>
      </c>
      <c r="F192" s="479"/>
    </row>
    <row r="193" spans="1:6" ht="18" customHeight="1">
      <c r="A193" s="409">
        <v>188</v>
      </c>
      <c r="B193" s="522">
        <f t="shared" si="12"/>
        <v>2352</v>
      </c>
      <c r="C193" s="522">
        <f t="shared" si="13"/>
        <v>2272.6999999999912</v>
      </c>
      <c r="D193" s="523">
        <f t="shared" si="14"/>
        <v>3781.0000000000136</v>
      </c>
      <c r="E193" s="522">
        <f t="shared" si="15"/>
        <v>3331.8999999999996</v>
      </c>
      <c r="F193" s="479"/>
    </row>
    <row r="194" spans="1:6" ht="18" customHeight="1">
      <c r="A194" s="409">
        <v>189</v>
      </c>
      <c r="B194" s="522">
        <f t="shared" si="12"/>
        <v>2364</v>
      </c>
      <c r="C194" s="522">
        <f t="shared" si="13"/>
        <v>2284.2999999999911</v>
      </c>
      <c r="D194" s="523">
        <f t="shared" si="14"/>
        <v>3800.3000000000138</v>
      </c>
      <c r="E194" s="522">
        <f t="shared" si="15"/>
        <v>3348.8999999999996</v>
      </c>
      <c r="F194" s="479"/>
    </row>
    <row r="195" spans="1:6" ht="18" customHeight="1">
      <c r="A195" s="409">
        <v>190</v>
      </c>
      <c r="B195" s="522">
        <f t="shared" si="12"/>
        <v>2376</v>
      </c>
      <c r="C195" s="522">
        <f t="shared" si="13"/>
        <v>2295.899999999991</v>
      </c>
      <c r="D195" s="523">
        <f t="shared" si="14"/>
        <v>3819.600000000014</v>
      </c>
      <c r="E195" s="522">
        <f t="shared" si="15"/>
        <v>3365.8999999999996</v>
      </c>
      <c r="F195" s="479"/>
    </row>
    <row r="196" spans="1:6" ht="18" customHeight="1">
      <c r="A196" s="409">
        <v>191</v>
      </c>
      <c r="B196" s="522">
        <f t="shared" si="12"/>
        <v>2388</v>
      </c>
      <c r="C196" s="522">
        <f t="shared" si="13"/>
        <v>2307.4999999999909</v>
      </c>
      <c r="D196" s="523">
        <f t="shared" si="14"/>
        <v>3838.9000000000142</v>
      </c>
      <c r="E196" s="522">
        <f t="shared" si="15"/>
        <v>3382.8999999999996</v>
      </c>
      <c r="F196" s="479"/>
    </row>
    <row r="197" spans="1:6" ht="18" customHeight="1">
      <c r="A197" s="409">
        <v>192</v>
      </c>
      <c r="B197" s="522">
        <f t="shared" si="12"/>
        <v>2400</v>
      </c>
      <c r="C197" s="522">
        <f t="shared" si="13"/>
        <v>2319.0999999999908</v>
      </c>
      <c r="D197" s="523">
        <f t="shared" si="14"/>
        <v>3858.2000000000144</v>
      </c>
      <c r="E197" s="522">
        <f t="shared" si="15"/>
        <v>3399.8999999999996</v>
      </c>
      <c r="F197" s="479"/>
    </row>
    <row r="198" spans="1:6" ht="18" customHeight="1">
      <c r="A198" s="409">
        <v>193</v>
      </c>
      <c r="B198" s="522">
        <f t="shared" si="12"/>
        <v>2412</v>
      </c>
      <c r="C198" s="522">
        <f t="shared" si="13"/>
        <v>2330.6999999999907</v>
      </c>
      <c r="D198" s="523">
        <f t="shared" si="14"/>
        <v>3877.5000000000146</v>
      </c>
      <c r="E198" s="522">
        <f t="shared" si="15"/>
        <v>3416.8999999999996</v>
      </c>
      <c r="F198" s="479"/>
    </row>
    <row r="199" spans="1:6" ht="18" customHeight="1">
      <c r="A199" s="409">
        <v>194</v>
      </c>
      <c r="B199" s="522">
        <f t="shared" si="12"/>
        <v>2424</v>
      </c>
      <c r="C199" s="522">
        <f t="shared" si="13"/>
        <v>2342.2999999999906</v>
      </c>
      <c r="D199" s="523">
        <f t="shared" si="14"/>
        <v>3896.8000000000147</v>
      </c>
      <c r="E199" s="522">
        <f t="shared" si="15"/>
        <v>3433.8999999999996</v>
      </c>
      <c r="F199" s="479"/>
    </row>
    <row r="200" spans="1:6" ht="18" customHeight="1">
      <c r="A200" s="409">
        <v>195</v>
      </c>
      <c r="B200" s="522">
        <f t="shared" si="12"/>
        <v>2436</v>
      </c>
      <c r="C200" s="522">
        <f t="shared" si="13"/>
        <v>2353.8999999999905</v>
      </c>
      <c r="D200" s="523">
        <f t="shared" si="14"/>
        <v>3916.1000000000149</v>
      </c>
      <c r="E200" s="522">
        <f t="shared" si="15"/>
        <v>3450.8999999999996</v>
      </c>
      <c r="F200" s="479"/>
    </row>
    <row r="201" spans="1:6" ht="18" customHeight="1">
      <c r="A201" s="409">
        <v>196</v>
      </c>
      <c r="B201" s="522">
        <f t="shared" si="12"/>
        <v>2448</v>
      </c>
      <c r="C201" s="522">
        <f t="shared" si="13"/>
        <v>2365.4999999999905</v>
      </c>
      <c r="D201" s="523">
        <f t="shared" si="14"/>
        <v>3935.4000000000151</v>
      </c>
      <c r="E201" s="522">
        <f t="shared" si="15"/>
        <v>3467.8999999999996</v>
      </c>
      <c r="F201" s="479"/>
    </row>
    <row r="202" spans="1:6" ht="18" customHeight="1">
      <c r="A202" s="409">
        <v>197</v>
      </c>
      <c r="B202" s="522">
        <f t="shared" si="12"/>
        <v>2460</v>
      </c>
      <c r="C202" s="522">
        <f t="shared" si="13"/>
        <v>2377.0999999999904</v>
      </c>
      <c r="D202" s="523">
        <f t="shared" si="14"/>
        <v>3954.7000000000153</v>
      </c>
      <c r="E202" s="522">
        <f t="shared" si="15"/>
        <v>3484.8999999999996</v>
      </c>
      <c r="F202" s="479"/>
    </row>
    <row r="203" spans="1:6" ht="18" customHeight="1">
      <c r="A203" s="409">
        <v>198</v>
      </c>
      <c r="B203" s="522">
        <f t="shared" si="12"/>
        <v>2472</v>
      </c>
      <c r="C203" s="522">
        <f t="shared" si="13"/>
        <v>2388.6999999999903</v>
      </c>
      <c r="D203" s="523">
        <f t="shared" si="14"/>
        <v>3974.0000000000155</v>
      </c>
      <c r="E203" s="522">
        <f t="shared" si="15"/>
        <v>3501.8999999999996</v>
      </c>
      <c r="F203" s="479"/>
    </row>
    <row r="204" spans="1:6" ht="18" customHeight="1">
      <c r="A204" s="409">
        <v>199</v>
      </c>
      <c r="B204" s="522">
        <f t="shared" si="12"/>
        <v>2484</v>
      </c>
      <c r="C204" s="522">
        <f t="shared" si="13"/>
        <v>2400.2999999999902</v>
      </c>
      <c r="D204" s="523">
        <f t="shared" si="14"/>
        <v>3993.3000000000156</v>
      </c>
      <c r="E204" s="522">
        <f t="shared" si="15"/>
        <v>3518.8999999999996</v>
      </c>
      <c r="F204" s="479"/>
    </row>
    <row r="205" spans="1:6" ht="18" customHeight="1">
      <c r="A205" s="409">
        <v>200</v>
      </c>
      <c r="B205" s="522">
        <f t="shared" si="12"/>
        <v>2496</v>
      </c>
      <c r="C205" s="522">
        <f t="shared" si="13"/>
        <v>2411.8999999999901</v>
      </c>
      <c r="D205" s="523">
        <f t="shared" si="14"/>
        <v>4012.6000000000158</v>
      </c>
      <c r="E205" s="522">
        <f t="shared" si="15"/>
        <v>3535.8999999999996</v>
      </c>
      <c r="F205" s="479"/>
    </row>
    <row r="206" spans="1:6">
      <c r="A206" s="409">
        <v>201</v>
      </c>
      <c r="B206" s="522">
        <f t="shared" si="12"/>
        <v>2508</v>
      </c>
      <c r="C206" s="522">
        <f t="shared" si="13"/>
        <v>2423.49999999999</v>
      </c>
      <c r="D206" s="523">
        <f t="shared" si="14"/>
        <v>4031.900000000016</v>
      </c>
      <c r="E206" s="522">
        <f t="shared" si="15"/>
        <v>3552.8999999999996</v>
      </c>
      <c r="F206" s="479"/>
    </row>
    <row r="207" spans="1:6">
      <c r="A207" s="409">
        <v>202</v>
      </c>
      <c r="B207" s="522">
        <f t="shared" si="12"/>
        <v>2520</v>
      </c>
      <c r="C207" s="522">
        <f t="shared" si="13"/>
        <v>2435.0999999999899</v>
      </c>
      <c r="D207" s="523">
        <f t="shared" si="14"/>
        <v>4051.2000000000162</v>
      </c>
      <c r="E207" s="522">
        <f t="shared" si="15"/>
        <v>3569.8999999999996</v>
      </c>
      <c r="F207" s="479"/>
    </row>
    <row r="208" spans="1:6">
      <c r="A208" s="409">
        <v>203</v>
      </c>
      <c r="B208" s="522">
        <f t="shared" si="12"/>
        <v>2532</v>
      </c>
      <c r="C208" s="522">
        <f t="shared" si="13"/>
        <v>2446.6999999999898</v>
      </c>
      <c r="D208" s="523">
        <f t="shared" si="14"/>
        <v>4070.5000000000164</v>
      </c>
      <c r="E208" s="522">
        <f t="shared" si="15"/>
        <v>3586.8999999999996</v>
      </c>
      <c r="F208" s="479"/>
    </row>
    <row r="209" spans="1:6">
      <c r="A209" s="409">
        <v>204</v>
      </c>
      <c r="B209" s="522">
        <f t="shared" si="12"/>
        <v>2544</v>
      </c>
      <c r="C209" s="522">
        <f t="shared" si="13"/>
        <v>2458.2999999999897</v>
      </c>
      <c r="D209" s="523">
        <f t="shared" si="14"/>
        <v>4089.8000000000166</v>
      </c>
      <c r="E209" s="522">
        <f t="shared" si="15"/>
        <v>3603.8999999999996</v>
      </c>
      <c r="F209" s="479"/>
    </row>
    <row r="210" spans="1:6">
      <c r="A210" s="409">
        <v>205</v>
      </c>
      <c r="B210" s="522">
        <f t="shared" si="12"/>
        <v>2556</v>
      </c>
      <c r="C210" s="522">
        <f t="shared" si="13"/>
        <v>2469.8999999999896</v>
      </c>
      <c r="D210" s="523">
        <f t="shared" si="14"/>
        <v>4109.1000000000167</v>
      </c>
      <c r="E210" s="522">
        <f t="shared" si="15"/>
        <v>3620.8999999999996</v>
      </c>
      <c r="F210" s="479"/>
    </row>
    <row r="211" spans="1:6">
      <c r="A211" s="409">
        <v>206</v>
      </c>
      <c r="B211" s="522">
        <f t="shared" si="12"/>
        <v>2568</v>
      </c>
      <c r="C211" s="522">
        <f t="shared" si="13"/>
        <v>2481.4999999999895</v>
      </c>
      <c r="D211" s="523">
        <f t="shared" si="14"/>
        <v>4128.4000000000169</v>
      </c>
      <c r="E211" s="522">
        <f t="shared" si="15"/>
        <v>3637.8999999999996</v>
      </c>
      <c r="F211" s="479"/>
    </row>
    <row r="212" spans="1:6">
      <c r="A212" s="409">
        <v>207</v>
      </c>
      <c r="B212" s="522">
        <f t="shared" si="12"/>
        <v>2580</v>
      </c>
      <c r="C212" s="522">
        <f t="shared" si="13"/>
        <v>2493.0999999999894</v>
      </c>
      <c r="D212" s="523">
        <f t="shared" si="14"/>
        <v>4147.7000000000171</v>
      </c>
      <c r="E212" s="522">
        <f t="shared" si="15"/>
        <v>3654.8999999999996</v>
      </c>
      <c r="F212" s="479"/>
    </row>
    <row r="213" spans="1:6">
      <c r="A213" s="409">
        <v>208</v>
      </c>
      <c r="B213" s="522">
        <f t="shared" si="12"/>
        <v>2592</v>
      </c>
      <c r="C213" s="522">
        <f t="shared" si="13"/>
        <v>2504.6999999999894</v>
      </c>
      <c r="D213" s="523">
        <f t="shared" si="14"/>
        <v>4167.0000000000173</v>
      </c>
      <c r="E213" s="522">
        <f t="shared" si="15"/>
        <v>3671.8999999999996</v>
      </c>
      <c r="F213" s="479"/>
    </row>
    <row r="214" spans="1:6">
      <c r="A214" s="409">
        <v>209</v>
      </c>
      <c r="B214" s="522">
        <f t="shared" si="12"/>
        <v>2604</v>
      </c>
      <c r="C214" s="522">
        <f t="shared" si="13"/>
        <v>2516.2999999999893</v>
      </c>
      <c r="D214" s="523">
        <f t="shared" si="14"/>
        <v>4186.3000000000175</v>
      </c>
      <c r="E214" s="522">
        <f t="shared" si="15"/>
        <v>3688.8999999999996</v>
      </c>
      <c r="F214" s="479"/>
    </row>
    <row r="215" spans="1:6">
      <c r="A215" s="409">
        <v>210</v>
      </c>
      <c r="B215" s="522">
        <f t="shared" si="12"/>
        <v>2616</v>
      </c>
      <c r="C215" s="522">
        <f t="shared" si="13"/>
        <v>2527.8999999999892</v>
      </c>
      <c r="D215" s="523">
        <f t="shared" si="14"/>
        <v>4205.6000000000176</v>
      </c>
      <c r="E215" s="522">
        <f t="shared" si="15"/>
        <v>3705.8999999999996</v>
      </c>
      <c r="F215" s="479"/>
    </row>
    <row r="216" spans="1:6">
      <c r="A216" s="409">
        <v>211</v>
      </c>
      <c r="B216" s="522">
        <f t="shared" si="12"/>
        <v>2628</v>
      </c>
      <c r="C216" s="522">
        <f t="shared" si="13"/>
        <v>2539.4999999999891</v>
      </c>
      <c r="D216" s="523">
        <f t="shared" si="14"/>
        <v>4224.9000000000178</v>
      </c>
      <c r="E216" s="522">
        <f t="shared" si="15"/>
        <v>3722.8999999999996</v>
      </c>
      <c r="F216" s="479"/>
    </row>
    <row r="217" spans="1:6">
      <c r="A217" s="409">
        <v>212</v>
      </c>
      <c r="B217" s="522">
        <f t="shared" si="12"/>
        <v>2640</v>
      </c>
      <c r="C217" s="522">
        <f t="shared" si="13"/>
        <v>2551.099999999989</v>
      </c>
      <c r="D217" s="523">
        <f t="shared" si="14"/>
        <v>4244.200000000018</v>
      </c>
      <c r="E217" s="522">
        <f t="shared" si="15"/>
        <v>3739.8999999999996</v>
      </c>
      <c r="F217" s="479"/>
    </row>
    <row r="218" spans="1:6">
      <c r="A218" s="409">
        <v>213</v>
      </c>
      <c r="B218" s="522">
        <f t="shared" si="12"/>
        <v>2652</v>
      </c>
      <c r="C218" s="522">
        <f t="shared" si="13"/>
        <v>2562.6999999999889</v>
      </c>
      <c r="D218" s="523">
        <f t="shared" si="14"/>
        <v>4263.5000000000182</v>
      </c>
      <c r="E218" s="522">
        <f t="shared" si="15"/>
        <v>3756.8999999999996</v>
      </c>
      <c r="F218" s="479"/>
    </row>
    <row r="219" spans="1:6">
      <c r="A219" s="409">
        <v>214</v>
      </c>
      <c r="B219" s="522">
        <f t="shared" si="12"/>
        <v>2664</v>
      </c>
      <c r="C219" s="522">
        <f t="shared" si="13"/>
        <v>2574.2999999999888</v>
      </c>
      <c r="D219" s="523">
        <f t="shared" si="14"/>
        <v>4282.8000000000184</v>
      </c>
      <c r="E219" s="522">
        <f t="shared" si="15"/>
        <v>3773.8999999999996</v>
      </c>
      <c r="F219" s="479"/>
    </row>
    <row r="220" spans="1:6">
      <c r="A220" s="409">
        <v>215</v>
      </c>
      <c r="B220" s="522">
        <f t="shared" si="12"/>
        <v>2676</v>
      </c>
      <c r="C220" s="522">
        <f t="shared" si="13"/>
        <v>2585.8999999999887</v>
      </c>
      <c r="D220" s="523">
        <f t="shared" si="14"/>
        <v>4302.1000000000186</v>
      </c>
      <c r="E220" s="522">
        <f t="shared" si="15"/>
        <v>3790.8999999999996</v>
      </c>
      <c r="F220" s="479"/>
    </row>
    <row r="221" spans="1:6">
      <c r="A221" s="409">
        <v>216</v>
      </c>
      <c r="B221" s="522">
        <f t="shared" si="12"/>
        <v>2688</v>
      </c>
      <c r="C221" s="522">
        <f t="shared" si="13"/>
        <v>2597.4999999999886</v>
      </c>
      <c r="D221" s="523">
        <f t="shared" si="14"/>
        <v>4321.4000000000187</v>
      </c>
      <c r="E221" s="522">
        <f t="shared" si="15"/>
        <v>3807.8999999999996</v>
      </c>
    </row>
    <row r="222" spans="1:6">
      <c r="A222" s="409">
        <v>217</v>
      </c>
      <c r="B222" s="522">
        <f t="shared" si="12"/>
        <v>2700</v>
      </c>
      <c r="C222" s="522">
        <f t="shared" si="13"/>
        <v>2609.0999999999885</v>
      </c>
      <c r="D222" s="523">
        <f t="shared" si="14"/>
        <v>4340.7000000000189</v>
      </c>
      <c r="E222" s="522">
        <f t="shared" si="15"/>
        <v>3824.8999999999996</v>
      </c>
    </row>
    <row r="223" spans="1:6">
      <c r="A223" s="409">
        <v>218</v>
      </c>
      <c r="B223" s="522">
        <f t="shared" si="12"/>
        <v>2712</v>
      </c>
      <c r="C223" s="522">
        <f t="shared" si="13"/>
        <v>2620.6999999999884</v>
      </c>
      <c r="D223" s="523">
        <f t="shared" si="14"/>
        <v>4360.0000000000191</v>
      </c>
      <c r="E223" s="522">
        <f t="shared" si="15"/>
        <v>3841.8999999999996</v>
      </c>
    </row>
    <row r="224" spans="1:6">
      <c r="A224" s="409">
        <v>219</v>
      </c>
      <c r="B224" s="522">
        <f t="shared" si="12"/>
        <v>2724</v>
      </c>
      <c r="C224" s="522">
        <f t="shared" si="13"/>
        <v>2632.2999999999884</v>
      </c>
      <c r="D224" s="523">
        <f t="shared" si="14"/>
        <v>4379.3000000000193</v>
      </c>
      <c r="E224" s="522">
        <f t="shared" si="15"/>
        <v>3858.8999999999996</v>
      </c>
    </row>
    <row r="225" spans="1:5">
      <c r="A225" s="409">
        <v>220</v>
      </c>
      <c r="B225" s="522">
        <f t="shared" si="12"/>
        <v>2736</v>
      </c>
      <c r="C225" s="522">
        <f t="shared" si="13"/>
        <v>2643.8999999999883</v>
      </c>
      <c r="D225" s="523">
        <f t="shared" si="14"/>
        <v>4398.6000000000195</v>
      </c>
      <c r="E225" s="522">
        <f t="shared" si="15"/>
        <v>3875.8999999999996</v>
      </c>
    </row>
    <row r="226" spans="1:5">
      <c r="A226" s="409">
        <v>221</v>
      </c>
      <c r="B226" s="522">
        <f t="shared" si="12"/>
        <v>2748</v>
      </c>
      <c r="C226" s="522">
        <f t="shared" si="13"/>
        <v>2655.4999999999882</v>
      </c>
      <c r="D226" s="523">
        <f t="shared" si="14"/>
        <v>4417.9000000000196</v>
      </c>
      <c r="E226" s="522">
        <f t="shared" si="15"/>
        <v>3892.8999999999996</v>
      </c>
    </row>
    <row r="227" spans="1:5">
      <c r="A227" s="409">
        <v>222</v>
      </c>
      <c r="B227" s="522">
        <f t="shared" si="12"/>
        <v>2760</v>
      </c>
      <c r="C227" s="522">
        <f t="shared" si="13"/>
        <v>2667.0999999999881</v>
      </c>
      <c r="D227" s="523">
        <f t="shared" si="14"/>
        <v>4437.2000000000198</v>
      </c>
      <c r="E227" s="522">
        <f t="shared" si="15"/>
        <v>3909.8999999999996</v>
      </c>
    </row>
    <row r="228" spans="1:5">
      <c r="A228" s="409">
        <v>223</v>
      </c>
      <c r="B228" s="522">
        <f t="shared" si="12"/>
        <v>2772</v>
      </c>
      <c r="C228" s="522">
        <f t="shared" si="13"/>
        <v>2678.699999999988</v>
      </c>
      <c r="D228" s="523">
        <f t="shared" si="14"/>
        <v>4456.50000000002</v>
      </c>
      <c r="E228" s="522">
        <f t="shared" si="15"/>
        <v>3926.8999999999996</v>
      </c>
    </row>
    <row r="229" spans="1:5">
      <c r="A229" s="409">
        <v>224</v>
      </c>
      <c r="B229" s="522">
        <f t="shared" ref="B229:B292" si="16">B228+12</f>
        <v>2784</v>
      </c>
      <c r="C229" s="522">
        <f t="shared" ref="C229:C292" si="17">C228+11.6</f>
        <v>2690.2999999999879</v>
      </c>
      <c r="D229" s="523">
        <f t="shared" ref="D229:D292" si="18">D228+19.3</f>
        <v>4475.8000000000202</v>
      </c>
      <c r="E229" s="522">
        <f t="shared" ref="E229:E292" si="19">E228+17</f>
        <v>3943.8999999999996</v>
      </c>
    </row>
    <row r="230" spans="1:5">
      <c r="A230" s="409">
        <v>225</v>
      </c>
      <c r="B230" s="522">
        <f t="shared" si="16"/>
        <v>2796</v>
      </c>
      <c r="C230" s="522">
        <f t="shared" si="17"/>
        <v>2701.8999999999878</v>
      </c>
      <c r="D230" s="523">
        <f t="shared" si="18"/>
        <v>4495.1000000000204</v>
      </c>
      <c r="E230" s="522">
        <f t="shared" si="19"/>
        <v>3960.8999999999996</v>
      </c>
    </row>
    <row r="231" spans="1:5">
      <c r="A231" s="409">
        <v>226</v>
      </c>
      <c r="B231" s="522">
        <f t="shared" si="16"/>
        <v>2808</v>
      </c>
      <c r="C231" s="522">
        <f t="shared" si="17"/>
        <v>2713.4999999999877</v>
      </c>
      <c r="D231" s="523">
        <f t="shared" si="18"/>
        <v>4514.4000000000206</v>
      </c>
      <c r="E231" s="522">
        <f t="shared" si="19"/>
        <v>3977.8999999999996</v>
      </c>
    </row>
    <row r="232" spans="1:5">
      <c r="A232" s="409">
        <v>227</v>
      </c>
      <c r="B232" s="522">
        <f t="shared" si="16"/>
        <v>2820</v>
      </c>
      <c r="C232" s="522">
        <f t="shared" si="17"/>
        <v>2725.0999999999876</v>
      </c>
      <c r="D232" s="523">
        <f t="shared" si="18"/>
        <v>4533.7000000000207</v>
      </c>
      <c r="E232" s="522">
        <f t="shared" si="19"/>
        <v>3994.8999999999996</v>
      </c>
    </row>
    <row r="233" spans="1:5">
      <c r="A233" s="409">
        <v>228</v>
      </c>
      <c r="B233" s="522">
        <f t="shared" si="16"/>
        <v>2832</v>
      </c>
      <c r="C233" s="522">
        <f t="shared" si="17"/>
        <v>2736.6999999999875</v>
      </c>
      <c r="D233" s="523">
        <f t="shared" si="18"/>
        <v>4553.0000000000209</v>
      </c>
      <c r="E233" s="522">
        <f t="shared" si="19"/>
        <v>4011.8999999999996</v>
      </c>
    </row>
    <row r="234" spans="1:5">
      <c r="A234" s="409">
        <v>229</v>
      </c>
      <c r="B234" s="522">
        <f t="shared" si="16"/>
        <v>2844</v>
      </c>
      <c r="C234" s="522">
        <f t="shared" si="17"/>
        <v>2748.2999999999874</v>
      </c>
      <c r="D234" s="523">
        <f t="shared" si="18"/>
        <v>4572.3000000000211</v>
      </c>
      <c r="E234" s="522">
        <f t="shared" si="19"/>
        <v>4028.8999999999996</v>
      </c>
    </row>
    <row r="235" spans="1:5">
      <c r="A235" s="409">
        <v>230</v>
      </c>
      <c r="B235" s="522">
        <f t="shared" si="16"/>
        <v>2856</v>
      </c>
      <c r="C235" s="522">
        <f t="shared" si="17"/>
        <v>2759.8999999999874</v>
      </c>
      <c r="D235" s="523">
        <f t="shared" si="18"/>
        <v>4591.6000000000213</v>
      </c>
      <c r="E235" s="522">
        <f t="shared" si="19"/>
        <v>4045.8999999999996</v>
      </c>
    </row>
    <row r="236" spans="1:5">
      <c r="A236" s="409">
        <v>231</v>
      </c>
      <c r="B236" s="522">
        <f t="shared" si="16"/>
        <v>2868</v>
      </c>
      <c r="C236" s="522">
        <f t="shared" si="17"/>
        <v>2771.4999999999873</v>
      </c>
      <c r="D236" s="523">
        <f t="shared" si="18"/>
        <v>4610.9000000000215</v>
      </c>
      <c r="E236" s="522">
        <f t="shared" si="19"/>
        <v>4062.8999999999996</v>
      </c>
    </row>
    <row r="237" spans="1:5">
      <c r="A237" s="409">
        <v>232</v>
      </c>
      <c r="B237" s="522">
        <f t="shared" si="16"/>
        <v>2880</v>
      </c>
      <c r="C237" s="522">
        <f t="shared" si="17"/>
        <v>2783.0999999999872</v>
      </c>
      <c r="D237" s="523">
        <f t="shared" si="18"/>
        <v>4630.2000000000216</v>
      </c>
      <c r="E237" s="522">
        <f t="shared" si="19"/>
        <v>4079.8999999999996</v>
      </c>
    </row>
    <row r="238" spans="1:5">
      <c r="A238" s="409">
        <v>233</v>
      </c>
      <c r="B238" s="522">
        <f t="shared" si="16"/>
        <v>2892</v>
      </c>
      <c r="C238" s="522">
        <f t="shared" si="17"/>
        <v>2794.6999999999871</v>
      </c>
      <c r="D238" s="523">
        <f t="shared" si="18"/>
        <v>4649.5000000000218</v>
      </c>
      <c r="E238" s="522">
        <f t="shared" si="19"/>
        <v>4096.8999999999996</v>
      </c>
    </row>
    <row r="239" spans="1:5">
      <c r="A239" s="409">
        <v>234</v>
      </c>
      <c r="B239" s="522">
        <f t="shared" si="16"/>
        <v>2904</v>
      </c>
      <c r="C239" s="522">
        <f t="shared" si="17"/>
        <v>2806.299999999987</v>
      </c>
      <c r="D239" s="523">
        <f t="shared" si="18"/>
        <v>4668.800000000022</v>
      </c>
      <c r="E239" s="522">
        <f t="shared" si="19"/>
        <v>4113.8999999999996</v>
      </c>
    </row>
    <row r="240" spans="1:5">
      <c r="A240" s="409">
        <v>235</v>
      </c>
      <c r="B240" s="522">
        <f t="shared" si="16"/>
        <v>2916</v>
      </c>
      <c r="C240" s="522">
        <f t="shared" si="17"/>
        <v>2817.8999999999869</v>
      </c>
      <c r="D240" s="523">
        <f t="shared" si="18"/>
        <v>4688.1000000000222</v>
      </c>
      <c r="E240" s="522">
        <f t="shared" si="19"/>
        <v>4130.8999999999996</v>
      </c>
    </row>
    <row r="241" spans="1:5">
      <c r="A241" s="409">
        <v>236</v>
      </c>
      <c r="B241" s="522">
        <f t="shared" si="16"/>
        <v>2928</v>
      </c>
      <c r="C241" s="522">
        <f t="shared" si="17"/>
        <v>2829.4999999999868</v>
      </c>
      <c r="D241" s="523">
        <f t="shared" si="18"/>
        <v>4707.4000000000224</v>
      </c>
      <c r="E241" s="522">
        <f t="shared" si="19"/>
        <v>4147.8999999999996</v>
      </c>
    </row>
    <row r="242" spans="1:5">
      <c r="A242" s="409">
        <v>237</v>
      </c>
      <c r="B242" s="522">
        <f t="shared" si="16"/>
        <v>2940</v>
      </c>
      <c r="C242" s="522">
        <f t="shared" si="17"/>
        <v>2841.0999999999867</v>
      </c>
      <c r="D242" s="523">
        <f t="shared" si="18"/>
        <v>4726.7000000000226</v>
      </c>
      <c r="E242" s="522">
        <f t="shared" si="19"/>
        <v>4164.8999999999996</v>
      </c>
    </row>
    <row r="243" spans="1:5">
      <c r="A243" s="409">
        <v>238</v>
      </c>
      <c r="B243" s="522">
        <f t="shared" si="16"/>
        <v>2952</v>
      </c>
      <c r="C243" s="522">
        <f t="shared" si="17"/>
        <v>2852.6999999999866</v>
      </c>
      <c r="D243" s="523">
        <f t="shared" si="18"/>
        <v>4746.0000000000227</v>
      </c>
      <c r="E243" s="522">
        <f t="shared" si="19"/>
        <v>4181.8999999999996</v>
      </c>
    </row>
    <row r="244" spans="1:5">
      <c r="A244" s="409">
        <v>239</v>
      </c>
      <c r="B244" s="522">
        <f t="shared" si="16"/>
        <v>2964</v>
      </c>
      <c r="C244" s="522">
        <f t="shared" si="17"/>
        <v>2864.2999999999865</v>
      </c>
      <c r="D244" s="523">
        <f t="shared" si="18"/>
        <v>4765.3000000000229</v>
      </c>
      <c r="E244" s="522">
        <f t="shared" si="19"/>
        <v>4198.8999999999996</v>
      </c>
    </row>
    <row r="245" spans="1:5">
      <c r="A245" s="409">
        <v>240</v>
      </c>
      <c r="B245" s="522">
        <f t="shared" si="16"/>
        <v>2976</v>
      </c>
      <c r="C245" s="522">
        <f t="shared" si="17"/>
        <v>2875.8999999999864</v>
      </c>
      <c r="D245" s="523">
        <f t="shared" si="18"/>
        <v>4784.6000000000231</v>
      </c>
      <c r="E245" s="522">
        <f t="shared" si="19"/>
        <v>4215.8999999999996</v>
      </c>
    </row>
    <row r="246" spans="1:5">
      <c r="A246" s="409">
        <v>241</v>
      </c>
      <c r="B246" s="522">
        <f t="shared" si="16"/>
        <v>2988</v>
      </c>
      <c r="C246" s="522">
        <f t="shared" si="17"/>
        <v>2887.4999999999864</v>
      </c>
      <c r="D246" s="523">
        <f t="shared" si="18"/>
        <v>4803.9000000000233</v>
      </c>
      <c r="E246" s="522">
        <f t="shared" si="19"/>
        <v>4232.8999999999996</v>
      </c>
    </row>
    <row r="247" spans="1:5">
      <c r="A247" s="409">
        <v>242</v>
      </c>
      <c r="B247" s="522">
        <f t="shared" si="16"/>
        <v>3000</v>
      </c>
      <c r="C247" s="522">
        <f t="shared" si="17"/>
        <v>2899.0999999999863</v>
      </c>
      <c r="D247" s="523">
        <f t="shared" si="18"/>
        <v>4823.2000000000235</v>
      </c>
      <c r="E247" s="522">
        <f t="shared" si="19"/>
        <v>4249.8999999999996</v>
      </c>
    </row>
    <row r="248" spans="1:5">
      <c r="A248" s="409">
        <v>243</v>
      </c>
      <c r="B248" s="522">
        <f t="shared" si="16"/>
        <v>3012</v>
      </c>
      <c r="C248" s="522">
        <f t="shared" si="17"/>
        <v>2910.6999999999862</v>
      </c>
      <c r="D248" s="523">
        <f t="shared" si="18"/>
        <v>4842.5000000000236</v>
      </c>
      <c r="E248" s="522">
        <f t="shared" si="19"/>
        <v>4266.8999999999996</v>
      </c>
    </row>
    <row r="249" spans="1:5">
      <c r="A249" s="409">
        <v>244</v>
      </c>
      <c r="B249" s="522">
        <f t="shared" si="16"/>
        <v>3024</v>
      </c>
      <c r="C249" s="522">
        <f t="shared" si="17"/>
        <v>2922.2999999999861</v>
      </c>
      <c r="D249" s="523">
        <f t="shared" si="18"/>
        <v>4861.8000000000238</v>
      </c>
      <c r="E249" s="522">
        <f t="shared" si="19"/>
        <v>4283.8999999999996</v>
      </c>
    </row>
    <row r="250" spans="1:5">
      <c r="A250" s="409">
        <v>245</v>
      </c>
      <c r="B250" s="522">
        <f t="shared" si="16"/>
        <v>3036</v>
      </c>
      <c r="C250" s="522">
        <f t="shared" si="17"/>
        <v>2933.899999999986</v>
      </c>
      <c r="D250" s="523">
        <f t="shared" si="18"/>
        <v>4881.100000000024</v>
      </c>
      <c r="E250" s="522">
        <f t="shared" si="19"/>
        <v>4300.8999999999996</v>
      </c>
    </row>
    <row r="251" spans="1:5">
      <c r="A251" s="409">
        <v>246</v>
      </c>
      <c r="B251" s="522">
        <f t="shared" si="16"/>
        <v>3048</v>
      </c>
      <c r="C251" s="522">
        <f t="shared" si="17"/>
        <v>2945.4999999999859</v>
      </c>
      <c r="D251" s="523">
        <f t="shared" si="18"/>
        <v>4900.4000000000242</v>
      </c>
      <c r="E251" s="522">
        <f t="shared" si="19"/>
        <v>4317.8999999999996</v>
      </c>
    </row>
    <row r="252" spans="1:5">
      <c r="A252" s="409">
        <v>247</v>
      </c>
      <c r="B252" s="522">
        <f t="shared" si="16"/>
        <v>3060</v>
      </c>
      <c r="C252" s="522">
        <f t="shared" si="17"/>
        <v>2957.0999999999858</v>
      </c>
      <c r="D252" s="523">
        <f t="shared" si="18"/>
        <v>4919.7000000000244</v>
      </c>
      <c r="E252" s="522">
        <f t="shared" si="19"/>
        <v>4334.8999999999996</v>
      </c>
    </row>
    <row r="253" spans="1:5">
      <c r="A253" s="409">
        <v>248</v>
      </c>
      <c r="B253" s="522">
        <f t="shared" si="16"/>
        <v>3072</v>
      </c>
      <c r="C253" s="522">
        <f t="shared" si="17"/>
        <v>2968.6999999999857</v>
      </c>
      <c r="D253" s="523">
        <f t="shared" si="18"/>
        <v>4939.0000000000246</v>
      </c>
      <c r="E253" s="522">
        <f t="shared" si="19"/>
        <v>4351.8999999999996</v>
      </c>
    </row>
    <row r="254" spans="1:5">
      <c r="A254" s="409">
        <v>249</v>
      </c>
      <c r="B254" s="522">
        <f t="shared" si="16"/>
        <v>3084</v>
      </c>
      <c r="C254" s="522">
        <f t="shared" si="17"/>
        <v>2980.2999999999856</v>
      </c>
      <c r="D254" s="523">
        <f t="shared" si="18"/>
        <v>4958.3000000000247</v>
      </c>
      <c r="E254" s="522">
        <f t="shared" si="19"/>
        <v>4368.8999999999996</v>
      </c>
    </row>
    <row r="255" spans="1:5">
      <c r="A255" s="409">
        <v>250</v>
      </c>
      <c r="B255" s="522">
        <f t="shared" si="16"/>
        <v>3096</v>
      </c>
      <c r="C255" s="522">
        <f t="shared" si="17"/>
        <v>2991.8999999999855</v>
      </c>
      <c r="D255" s="523">
        <f t="shared" si="18"/>
        <v>4977.6000000000249</v>
      </c>
      <c r="E255" s="522">
        <f t="shared" si="19"/>
        <v>4385.8999999999996</v>
      </c>
    </row>
    <row r="256" spans="1:5">
      <c r="A256" s="409">
        <v>251</v>
      </c>
      <c r="B256" s="522">
        <f t="shared" si="16"/>
        <v>3108</v>
      </c>
      <c r="C256" s="522">
        <f t="shared" si="17"/>
        <v>3003.4999999999854</v>
      </c>
      <c r="D256" s="523">
        <f t="shared" si="18"/>
        <v>4996.9000000000251</v>
      </c>
      <c r="E256" s="522">
        <f t="shared" si="19"/>
        <v>4402.8999999999996</v>
      </c>
    </row>
    <row r="257" spans="1:5">
      <c r="A257" s="409">
        <v>252</v>
      </c>
      <c r="B257" s="522">
        <f t="shared" si="16"/>
        <v>3120</v>
      </c>
      <c r="C257" s="522">
        <f t="shared" si="17"/>
        <v>3015.0999999999854</v>
      </c>
      <c r="D257" s="523">
        <f t="shared" si="18"/>
        <v>5016.2000000000253</v>
      </c>
      <c r="E257" s="522">
        <f t="shared" si="19"/>
        <v>4419.8999999999996</v>
      </c>
    </row>
    <row r="258" spans="1:5">
      <c r="A258" s="409">
        <v>253</v>
      </c>
      <c r="B258" s="522">
        <f t="shared" si="16"/>
        <v>3132</v>
      </c>
      <c r="C258" s="522">
        <f t="shared" si="17"/>
        <v>3026.6999999999853</v>
      </c>
      <c r="D258" s="523">
        <f t="shared" si="18"/>
        <v>5035.5000000000255</v>
      </c>
      <c r="E258" s="522">
        <f t="shared" si="19"/>
        <v>4436.8999999999996</v>
      </c>
    </row>
    <row r="259" spans="1:5">
      <c r="A259" s="409">
        <v>254</v>
      </c>
      <c r="B259" s="522">
        <f t="shared" si="16"/>
        <v>3144</v>
      </c>
      <c r="C259" s="522">
        <f t="shared" si="17"/>
        <v>3038.2999999999852</v>
      </c>
      <c r="D259" s="523">
        <f t="shared" si="18"/>
        <v>5054.8000000000256</v>
      </c>
      <c r="E259" s="522">
        <f t="shared" si="19"/>
        <v>4453.8999999999996</v>
      </c>
    </row>
    <row r="260" spans="1:5">
      <c r="A260" s="409">
        <v>255</v>
      </c>
      <c r="B260" s="522">
        <f t="shared" si="16"/>
        <v>3156</v>
      </c>
      <c r="C260" s="522">
        <f t="shared" si="17"/>
        <v>3049.8999999999851</v>
      </c>
      <c r="D260" s="523">
        <f t="shared" si="18"/>
        <v>5074.1000000000258</v>
      </c>
      <c r="E260" s="522">
        <f t="shared" si="19"/>
        <v>4470.8999999999996</v>
      </c>
    </row>
    <row r="261" spans="1:5">
      <c r="A261" s="409">
        <v>256</v>
      </c>
      <c r="B261" s="522">
        <f t="shared" si="16"/>
        <v>3168</v>
      </c>
      <c r="C261" s="522">
        <f t="shared" si="17"/>
        <v>3061.499999999985</v>
      </c>
      <c r="D261" s="523">
        <f t="shared" si="18"/>
        <v>5093.400000000026</v>
      </c>
      <c r="E261" s="522">
        <f t="shared" si="19"/>
        <v>4487.8999999999996</v>
      </c>
    </row>
    <row r="262" spans="1:5">
      <c r="A262" s="409">
        <v>257</v>
      </c>
      <c r="B262" s="522">
        <f t="shared" si="16"/>
        <v>3180</v>
      </c>
      <c r="C262" s="522">
        <f t="shared" si="17"/>
        <v>3073.0999999999849</v>
      </c>
      <c r="D262" s="523">
        <f t="shared" si="18"/>
        <v>5112.7000000000262</v>
      </c>
      <c r="E262" s="522">
        <f t="shared" si="19"/>
        <v>4504.8999999999996</v>
      </c>
    </row>
    <row r="263" spans="1:5">
      <c r="A263" s="409">
        <v>258</v>
      </c>
      <c r="B263" s="522">
        <f t="shared" si="16"/>
        <v>3192</v>
      </c>
      <c r="C263" s="522">
        <f t="shared" si="17"/>
        <v>3084.6999999999848</v>
      </c>
      <c r="D263" s="523">
        <f t="shared" si="18"/>
        <v>5132.0000000000264</v>
      </c>
      <c r="E263" s="522">
        <f t="shared" si="19"/>
        <v>4521.8999999999996</v>
      </c>
    </row>
    <row r="264" spans="1:5">
      <c r="A264" s="409">
        <v>259</v>
      </c>
      <c r="B264" s="522">
        <f t="shared" si="16"/>
        <v>3204</v>
      </c>
      <c r="C264" s="522">
        <f t="shared" si="17"/>
        <v>3096.2999999999847</v>
      </c>
      <c r="D264" s="523">
        <f t="shared" si="18"/>
        <v>5151.3000000000266</v>
      </c>
      <c r="E264" s="522">
        <f t="shared" si="19"/>
        <v>4538.8999999999996</v>
      </c>
    </row>
    <row r="265" spans="1:5">
      <c r="A265" s="409">
        <v>260</v>
      </c>
      <c r="B265" s="522">
        <f t="shared" si="16"/>
        <v>3216</v>
      </c>
      <c r="C265" s="522">
        <f t="shared" si="17"/>
        <v>3107.8999999999846</v>
      </c>
      <c r="D265" s="523">
        <f t="shared" si="18"/>
        <v>5170.6000000000267</v>
      </c>
      <c r="E265" s="522">
        <f t="shared" si="19"/>
        <v>4555.8999999999996</v>
      </c>
    </row>
    <row r="266" spans="1:5">
      <c r="A266" s="409">
        <v>261</v>
      </c>
      <c r="B266" s="522">
        <f t="shared" si="16"/>
        <v>3228</v>
      </c>
      <c r="C266" s="522">
        <f t="shared" si="17"/>
        <v>3119.4999999999845</v>
      </c>
      <c r="D266" s="523">
        <f t="shared" si="18"/>
        <v>5189.9000000000269</v>
      </c>
      <c r="E266" s="522">
        <f t="shared" si="19"/>
        <v>4572.8999999999996</v>
      </c>
    </row>
    <row r="267" spans="1:5">
      <c r="A267" s="409">
        <v>262</v>
      </c>
      <c r="B267" s="522">
        <f t="shared" si="16"/>
        <v>3240</v>
      </c>
      <c r="C267" s="522">
        <f t="shared" si="17"/>
        <v>3131.0999999999844</v>
      </c>
      <c r="D267" s="523">
        <f t="shared" si="18"/>
        <v>5209.2000000000271</v>
      </c>
      <c r="E267" s="522">
        <f t="shared" si="19"/>
        <v>4589.8999999999996</v>
      </c>
    </row>
    <row r="268" spans="1:5">
      <c r="A268" s="409">
        <v>263</v>
      </c>
      <c r="B268" s="522">
        <f t="shared" si="16"/>
        <v>3252</v>
      </c>
      <c r="C268" s="522">
        <f t="shared" si="17"/>
        <v>3142.6999999999844</v>
      </c>
      <c r="D268" s="523">
        <f t="shared" si="18"/>
        <v>5228.5000000000273</v>
      </c>
      <c r="E268" s="522">
        <f t="shared" si="19"/>
        <v>4606.8999999999996</v>
      </c>
    </row>
    <row r="269" spans="1:5">
      <c r="A269" s="409">
        <v>264</v>
      </c>
      <c r="B269" s="522">
        <f t="shared" si="16"/>
        <v>3264</v>
      </c>
      <c r="C269" s="522">
        <f t="shared" si="17"/>
        <v>3154.2999999999843</v>
      </c>
      <c r="D269" s="523">
        <f t="shared" si="18"/>
        <v>5247.8000000000275</v>
      </c>
      <c r="E269" s="522">
        <f t="shared" si="19"/>
        <v>4623.8999999999996</v>
      </c>
    </row>
    <row r="270" spans="1:5">
      <c r="A270" s="409">
        <v>265</v>
      </c>
      <c r="B270" s="522">
        <f t="shared" si="16"/>
        <v>3276</v>
      </c>
      <c r="C270" s="522">
        <f t="shared" si="17"/>
        <v>3165.8999999999842</v>
      </c>
      <c r="D270" s="523">
        <f t="shared" si="18"/>
        <v>5267.1000000000276</v>
      </c>
      <c r="E270" s="522">
        <f t="shared" si="19"/>
        <v>4640.8999999999996</v>
      </c>
    </row>
    <row r="271" spans="1:5">
      <c r="A271" s="409">
        <v>266</v>
      </c>
      <c r="B271" s="522">
        <f t="shared" si="16"/>
        <v>3288</v>
      </c>
      <c r="C271" s="522">
        <f t="shared" si="17"/>
        <v>3177.4999999999841</v>
      </c>
      <c r="D271" s="523">
        <f t="shared" si="18"/>
        <v>5286.4000000000278</v>
      </c>
      <c r="E271" s="522">
        <f t="shared" si="19"/>
        <v>4657.8999999999996</v>
      </c>
    </row>
    <row r="272" spans="1:5">
      <c r="A272" s="409">
        <v>267</v>
      </c>
      <c r="B272" s="522">
        <f t="shared" si="16"/>
        <v>3300</v>
      </c>
      <c r="C272" s="522">
        <f t="shared" si="17"/>
        <v>3189.099999999984</v>
      </c>
      <c r="D272" s="523">
        <f t="shared" si="18"/>
        <v>5305.700000000028</v>
      </c>
      <c r="E272" s="522">
        <f t="shared" si="19"/>
        <v>4674.8999999999996</v>
      </c>
    </row>
    <row r="273" spans="1:5">
      <c r="A273" s="409">
        <v>268</v>
      </c>
      <c r="B273" s="522">
        <f t="shared" si="16"/>
        <v>3312</v>
      </c>
      <c r="C273" s="522">
        <f t="shared" si="17"/>
        <v>3200.6999999999839</v>
      </c>
      <c r="D273" s="523">
        <f t="shared" si="18"/>
        <v>5325.0000000000282</v>
      </c>
      <c r="E273" s="522">
        <f t="shared" si="19"/>
        <v>4691.8999999999996</v>
      </c>
    </row>
    <row r="274" spans="1:5">
      <c r="A274" s="409">
        <v>269</v>
      </c>
      <c r="B274" s="522">
        <f t="shared" si="16"/>
        <v>3324</v>
      </c>
      <c r="C274" s="522">
        <f t="shared" si="17"/>
        <v>3212.2999999999838</v>
      </c>
      <c r="D274" s="523">
        <f t="shared" si="18"/>
        <v>5344.3000000000284</v>
      </c>
      <c r="E274" s="522">
        <f t="shared" si="19"/>
        <v>4708.8999999999996</v>
      </c>
    </row>
    <row r="275" spans="1:5">
      <c r="A275" s="409">
        <v>270</v>
      </c>
      <c r="B275" s="522">
        <f t="shared" si="16"/>
        <v>3336</v>
      </c>
      <c r="C275" s="522">
        <f t="shared" si="17"/>
        <v>3223.8999999999837</v>
      </c>
      <c r="D275" s="523">
        <f t="shared" si="18"/>
        <v>5363.6000000000286</v>
      </c>
      <c r="E275" s="522">
        <f t="shared" si="19"/>
        <v>4725.8999999999996</v>
      </c>
    </row>
    <row r="276" spans="1:5">
      <c r="A276" s="409">
        <v>271</v>
      </c>
      <c r="B276" s="522">
        <f t="shared" si="16"/>
        <v>3348</v>
      </c>
      <c r="C276" s="522">
        <f t="shared" si="17"/>
        <v>3235.4999999999836</v>
      </c>
      <c r="D276" s="523">
        <f t="shared" si="18"/>
        <v>5382.9000000000287</v>
      </c>
      <c r="E276" s="522">
        <f t="shared" si="19"/>
        <v>4742.8999999999996</v>
      </c>
    </row>
    <row r="277" spans="1:5">
      <c r="A277" s="409">
        <v>272</v>
      </c>
      <c r="B277" s="522">
        <f t="shared" si="16"/>
        <v>3360</v>
      </c>
      <c r="C277" s="522">
        <f t="shared" si="17"/>
        <v>3247.0999999999835</v>
      </c>
      <c r="D277" s="523">
        <f t="shared" si="18"/>
        <v>5402.2000000000289</v>
      </c>
      <c r="E277" s="522">
        <f t="shared" si="19"/>
        <v>4759.8999999999996</v>
      </c>
    </row>
    <row r="278" spans="1:5">
      <c r="A278" s="409">
        <v>273</v>
      </c>
      <c r="B278" s="522">
        <f t="shared" si="16"/>
        <v>3372</v>
      </c>
      <c r="C278" s="522">
        <f t="shared" si="17"/>
        <v>3258.6999999999834</v>
      </c>
      <c r="D278" s="523">
        <f t="shared" si="18"/>
        <v>5421.5000000000291</v>
      </c>
      <c r="E278" s="522">
        <f t="shared" si="19"/>
        <v>4776.8999999999996</v>
      </c>
    </row>
    <row r="279" spans="1:5">
      <c r="A279" s="409">
        <v>274</v>
      </c>
      <c r="B279" s="522">
        <f t="shared" si="16"/>
        <v>3384</v>
      </c>
      <c r="C279" s="522">
        <f t="shared" si="17"/>
        <v>3270.2999999999834</v>
      </c>
      <c r="D279" s="523">
        <f t="shared" si="18"/>
        <v>5440.8000000000293</v>
      </c>
      <c r="E279" s="522">
        <f t="shared" si="19"/>
        <v>4793.8999999999996</v>
      </c>
    </row>
    <row r="280" spans="1:5">
      <c r="A280" s="409">
        <v>275</v>
      </c>
      <c r="B280" s="522">
        <f t="shared" si="16"/>
        <v>3396</v>
      </c>
      <c r="C280" s="522">
        <f t="shared" si="17"/>
        <v>3281.8999999999833</v>
      </c>
      <c r="D280" s="523">
        <f t="shared" si="18"/>
        <v>5460.1000000000295</v>
      </c>
      <c r="E280" s="522">
        <f t="shared" si="19"/>
        <v>4810.8999999999996</v>
      </c>
    </row>
    <row r="281" spans="1:5">
      <c r="A281" s="409">
        <v>276</v>
      </c>
      <c r="B281" s="522">
        <f t="shared" si="16"/>
        <v>3408</v>
      </c>
      <c r="C281" s="522">
        <f t="shared" si="17"/>
        <v>3293.4999999999832</v>
      </c>
      <c r="D281" s="523">
        <f t="shared" si="18"/>
        <v>5479.4000000000296</v>
      </c>
      <c r="E281" s="522">
        <f t="shared" si="19"/>
        <v>4827.8999999999996</v>
      </c>
    </row>
    <row r="282" spans="1:5">
      <c r="A282" s="409">
        <v>277</v>
      </c>
      <c r="B282" s="522">
        <f t="shared" si="16"/>
        <v>3420</v>
      </c>
      <c r="C282" s="522">
        <f t="shared" si="17"/>
        <v>3305.0999999999831</v>
      </c>
      <c r="D282" s="523">
        <f t="shared" si="18"/>
        <v>5498.7000000000298</v>
      </c>
      <c r="E282" s="522">
        <f t="shared" si="19"/>
        <v>4844.8999999999996</v>
      </c>
    </row>
    <row r="283" spans="1:5">
      <c r="A283" s="409">
        <v>278</v>
      </c>
      <c r="B283" s="522">
        <f t="shared" si="16"/>
        <v>3432</v>
      </c>
      <c r="C283" s="522">
        <f t="shared" si="17"/>
        <v>3316.699999999983</v>
      </c>
      <c r="D283" s="523">
        <f t="shared" si="18"/>
        <v>5518.00000000003</v>
      </c>
      <c r="E283" s="522">
        <f t="shared" si="19"/>
        <v>4861.8999999999996</v>
      </c>
    </row>
    <row r="284" spans="1:5">
      <c r="A284" s="409">
        <v>279</v>
      </c>
      <c r="B284" s="522">
        <f t="shared" si="16"/>
        <v>3444</v>
      </c>
      <c r="C284" s="522">
        <f t="shared" si="17"/>
        <v>3328.2999999999829</v>
      </c>
      <c r="D284" s="523">
        <f t="shared" si="18"/>
        <v>5537.3000000000302</v>
      </c>
      <c r="E284" s="522">
        <f t="shared" si="19"/>
        <v>4878.8999999999996</v>
      </c>
    </row>
    <row r="285" spans="1:5">
      <c r="A285" s="409">
        <v>280</v>
      </c>
      <c r="B285" s="522">
        <f t="shared" si="16"/>
        <v>3456</v>
      </c>
      <c r="C285" s="522">
        <f t="shared" si="17"/>
        <v>3339.8999999999828</v>
      </c>
      <c r="D285" s="523">
        <f t="shared" si="18"/>
        <v>5556.6000000000304</v>
      </c>
      <c r="E285" s="522">
        <f t="shared" si="19"/>
        <v>4895.8999999999996</v>
      </c>
    </row>
    <row r="286" spans="1:5">
      <c r="A286" s="409">
        <v>281</v>
      </c>
      <c r="B286" s="522">
        <f t="shared" si="16"/>
        <v>3468</v>
      </c>
      <c r="C286" s="522">
        <f t="shared" si="17"/>
        <v>3351.4999999999827</v>
      </c>
      <c r="D286" s="523">
        <f t="shared" si="18"/>
        <v>5575.9000000000306</v>
      </c>
      <c r="E286" s="522">
        <f t="shared" si="19"/>
        <v>4912.8999999999996</v>
      </c>
    </row>
    <row r="287" spans="1:5">
      <c r="A287" s="409">
        <v>282</v>
      </c>
      <c r="B287" s="522">
        <f t="shared" si="16"/>
        <v>3480</v>
      </c>
      <c r="C287" s="522">
        <f t="shared" si="17"/>
        <v>3363.0999999999826</v>
      </c>
      <c r="D287" s="523">
        <f t="shared" si="18"/>
        <v>5595.2000000000307</v>
      </c>
      <c r="E287" s="522">
        <f t="shared" si="19"/>
        <v>4929.8999999999996</v>
      </c>
    </row>
    <row r="288" spans="1:5">
      <c r="A288" s="409">
        <v>283</v>
      </c>
      <c r="B288" s="522">
        <f t="shared" si="16"/>
        <v>3492</v>
      </c>
      <c r="C288" s="522">
        <f t="shared" si="17"/>
        <v>3374.6999999999825</v>
      </c>
      <c r="D288" s="523">
        <f t="shared" si="18"/>
        <v>5614.5000000000309</v>
      </c>
      <c r="E288" s="522">
        <f t="shared" si="19"/>
        <v>4946.8999999999996</v>
      </c>
    </row>
    <row r="289" spans="1:5">
      <c r="A289" s="409">
        <v>284</v>
      </c>
      <c r="B289" s="522">
        <f t="shared" si="16"/>
        <v>3504</v>
      </c>
      <c r="C289" s="522">
        <f t="shared" si="17"/>
        <v>3386.2999999999824</v>
      </c>
      <c r="D289" s="523">
        <f t="shared" si="18"/>
        <v>5633.8000000000311</v>
      </c>
      <c r="E289" s="522">
        <f t="shared" si="19"/>
        <v>4963.8999999999996</v>
      </c>
    </row>
    <row r="290" spans="1:5">
      <c r="A290" s="409">
        <v>285</v>
      </c>
      <c r="B290" s="522">
        <f t="shared" si="16"/>
        <v>3516</v>
      </c>
      <c r="C290" s="522">
        <f t="shared" si="17"/>
        <v>3397.8999999999824</v>
      </c>
      <c r="D290" s="523">
        <f t="shared" si="18"/>
        <v>5653.1000000000313</v>
      </c>
      <c r="E290" s="522">
        <f t="shared" si="19"/>
        <v>4980.8999999999996</v>
      </c>
    </row>
    <row r="291" spans="1:5">
      <c r="A291" s="409">
        <v>286</v>
      </c>
      <c r="B291" s="522">
        <f t="shared" si="16"/>
        <v>3528</v>
      </c>
      <c r="C291" s="522">
        <f t="shared" si="17"/>
        <v>3409.4999999999823</v>
      </c>
      <c r="D291" s="523">
        <f t="shared" si="18"/>
        <v>5672.4000000000315</v>
      </c>
      <c r="E291" s="522">
        <f t="shared" si="19"/>
        <v>4997.8999999999996</v>
      </c>
    </row>
    <row r="292" spans="1:5">
      <c r="A292" s="409">
        <v>287</v>
      </c>
      <c r="B292" s="522">
        <f t="shared" si="16"/>
        <v>3540</v>
      </c>
      <c r="C292" s="522">
        <f t="shared" si="17"/>
        <v>3421.0999999999822</v>
      </c>
      <c r="D292" s="523">
        <f t="shared" si="18"/>
        <v>5691.7000000000317</v>
      </c>
      <c r="E292" s="522">
        <f t="shared" si="19"/>
        <v>5014.8999999999996</v>
      </c>
    </row>
    <row r="293" spans="1:5">
      <c r="A293" s="409">
        <v>288</v>
      </c>
      <c r="B293" s="522">
        <f t="shared" ref="B293:B305" si="20">B292+12</f>
        <v>3552</v>
      </c>
      <c r="C293" s="522">
        <f t="shared" ref="C293:C305" si="21">C292+11.6</f>
        <v>3432.6999999999821</v>
      </c>
      <c r="D293" s="523">
        <f t="shared" ref="D293:D305" si="22">D292+19.3</f>
        <v>5711.0000000000318</v>
      </c>
      <c r="E293" s="522">
        <f t="shared" ref="E293:E305" si="23">E292+17</f>
        <v>5031.8999999999996</v>
      </c>
    </row>
    <row r="294" spans="1:5">
      <c r="A294" s="409">
        <v>289</v>
      </c>
      <c r="B294" s="522">
        <f t="shared" si="20"/>
        <v>3564</v>
      </c>
      <c r="C294" s="522">
        <f t="shared" si="21"/>
        <v>3444.299999999982</v>
      </c>
      <c r="D294" s="523">
        <f t="shared" si="22"/>
        <v>5730.300000000032</v>
      </c>
      <c r="E294" s="522">
        <f t="shared" si="23"/>
        <v>5048.8999999999996</v>
      </c>
    </row>
    <row r="295" spans="1:5">
      <c r="A295" s="409">
        <v>290</v>
      </c>
      <c r="B295" s="522">
        <f t="shared" si="20"/>
        <v>3576</v>
      </c>
      <c r="C295" s="522">
        <f t="shared" si="21"/>
        <v>3455.8999999999819</v>
      </c>
      <c r="D295" s="523">
        <f t="shared" si="22"/>
        <v>5749.6000000000322</v>
      </c>
      <c r="E295" s="522">
        <f t="shared" si="23"/>
        <v>5065.8999999999996</v>
      </c>
    </row>
    <row r="296" spans="1:5">
      <c r="A296" s="409">
        <v>291</v>
      </c>
      <c r="B296" s="522">
        <f t="shared" si="20"/>
        <v>3588</v>
      </c>
      <c r="C296" s="522">
        <f t="shared" si="21"/>
        <v>3467.4999999999818</v>
      </c>
      <c r="D296" s="523">
        <f t="shared" si="22"/>
        <v>5768.9000000000324</v>
      </c>
      <c r="E296" s="522">
        <f t="shared" si="23"/>
        <v>5082.8999999999996</v>
      </c>
    </row>
    <row r="297" spans="1:5">
      <c r="A297" s="409">
        <v>292</v>
      </c>
      <c r="B297" s="522">
        <f t="shared" si="20"/>
        <v>3600</v>
      </c>
      <c r="C297" s="522">
        <f t="shared" si="21"/>
        <v>3479.0999999999817</v>
      </c>
      <c r="D297" s="523">
        <f t="shared" si="22"/>
        <v>5788.2000000000326</v>
      </c>
      <c r="E297" s="522">
        <f t="shared" si="23"/>
        <v>5099.8999999999996</v>
      </c>
    </row>
    <row r="298" spans="1:5">
      <c r="A298" s="409">
        <v>293</v>
      </c>
      <c r="B298" s="522">
        <f t="shared" si="20"/>
        <v>3612</v>
      </c>
      <c r="C298" s="522">
        <f t="shared" si="21"/>
        <v>3490.6999999999816</v>
      </c>
      <c r="D298" s="523">
        <f t="shared" si="22"/>
        <v>5807.5000000000327</v>
      </c>
      <c r="E298" s="522">
        <f t="shared" si="23"/>
        <v>5116.8999999999996</v>
      </c>
    </row>
    <row r="299" spans="1:5">
      <c r="A299" s="409">
        <v>294</v>
      </c>
      <c r="B299" s="522">
        <f t="shared" si="20"/>
        <v>3624</v>
      </c>
      <c r="C299" s="522">
        <f t="shared" si="21"/>
        <v>3502.2999999999815</v>
      </c>
      <c r="D299" s="523">
        <f t="shared" si="22"/>
        <v>5826.8000000000329</v>
      </c>
      <c r="E299" s="522">
        <f t="shared" si="23"/>
        <v>5133.8999999999996</v>
      </c>
    </row>
    <row r="300" spans="1:5">
      <c r="A300" s="409">
        <v>295</v>
      </c>
      <c r="B300" s="522">
        <f t="shared" si="20"/>
        <v>3636</v>
      </c>
      <c r="C300" s="522">
        <f t="shared" si="21"/>
        <v>3513.8999999999814</v>
      </c>
      <c r="D300" s="523">
        <f t="shared" si="22"/>
        <v>5846.1000000000331</v>
      </c>
      <c r="E300" s="522">
        <f t="shared" si="23"/>
        <v>5150.8999999999996</v>
      </c>
    </row>
    <row r="301" spans="1:5">
      <c r="A301" s="409">
        <v>296</v>
      </c>
      <c r="B301" s="522">
        <f t="shared" si="20"/>
        <v>3648</v>
      </c>
      <c r="C301" s="522">
        <f t="shared" si="21"/>
        <v>3525.4999999999814</v>
      </c>
      <c r="D301" s="523">
        <f t="shared" si="22"/>
        <v>5865.4000000000333</v>
      </c>
      <c r="E301" s="522">
        <f t="shared" si="23"/>
        <v>5167.8999999999996</v>
      </c>
    </row>
    <row r="302" spans="1:5">
      <c r="A302" s="409">
        <v>297</v>
      </c>
      <c r="B302" s="522">
        <f t="shared" si="20"/>
        <v>3660</v>
      </c>
      <c r="C302" s="522">
        <f t="shared" si="21"/>
        <v>3537.0999999999813</v>
      </c>
      <c r="D302" s="523">
        <f t="shared" si="22"/>
        <v>5884.7000000000335</v>
      </c>
      <c r="E302" s="522">
        <f t="shared" si="23"/>
        <v>5184.8999999999996</v>
      </c>
    </row>
    <row r="303" spans="1:5">
      <c r="A303" s="409">
        <v>298</v>
      </c>
      <c r="B303" s="522">
        <f t="shared" si="20"/>
        <v>3672</v>
      </c>
      <c r="C303" s="522">
        <f t="shared" si="21"/>
        <v>3548.6999999999812</v>
      </c>
      <c r="D303" s="523">
        <f t="shared" si="22"/>
        <v>5904.0000000000337</v>
      </c>
      <c r="E303" s="522">
        <f t="shared" si="23"/>
        <v>5201.8999999999996</v>
      </c>
    </row>
    <row r="304" spans="1:5">
      <c r="A304" s="409">
        <v>299</v>
      </c>
      <c r="B304" s="522">
        <f t="shared" si="20"/>
        <v>3684</v>
      </c>
      <c r="C304" s="522">
        <f t="shared" si="21"/>
        <v>3560.2999999999811</v>
      </c>
      <c r="D304" s="523">
        <f t="shared" si="22"/>
        <v>5923.3000000000338</v>
      </c>
      <c r="E304" s="522">
        <f t="shared" si="23"/>
        <v>5218.8999999999996</v>
      </c>
    </row>
    <row r="305" spans="1:5">
      <c r="A305" s="409">
        <v>300</v>
      </c>
      <c r="B305" s="522">
        <f t="shared" si="20"/>
        <v>3696</v>
      </c>
      <c r="C305" s="522">
        <f t="shared" si="21"/>
        <v>3571.899999999981</v>
      </c>
      <c r="D305" s="523">
        <f t="shared" si="22"/>
        <v>5942.600000000034</v>
      </c>
      <c r="E305" s="522">
        <f t="shared" si="23"/>
        <v>5235.8999999999996</v>
      </c>
    </row>
    <row r="306" spans="1:5">
      <c r="A306" s="475">
        <v>301</v>
      </c>
    </row>
    <row r="307" spans="1:5">
      <c r="A307" s="475">
        <v>302</v>
      </c>
    </row>
    <row r="308" spans="1:5">
      <c r="A308" s="475">
        <v>303</v>
      </c>
    </row>
    <row r="309" spans="1:5">
      <c r="A309" s="475">
        <v>304</v>
      </c>
    </row>
    <row r="310" spans="1:5">
      <c r="A310" s="475">
        <v>305</v>
      </c>
    </row>
    <row r="311" spans="1:5">
      <c r="A311" s="475">
        <v>306</v>
      </c>
    </row>
    <row r="312" spans="1:5">
      <c r="A312" s="475">
        <v>307</v>
      </c>
    </row>
    <row r="313" spans="1:5">
      <c r="A313" s="475">
        <v>308</v>
      </c>
    </row>
  </sheetData>
  <mergeCells count="3">
    <mergeCell ref="A1:F1"/>
    <mergeCell ref="B2:D2"/>
    <mergeCell ref="A3:A4"/>
  </mergeCells>
  <pageMargins left="1.04" right="0.7" top="0.32" bottom="0.4" header="0.3" footer="0.3"/>
  <pageSetup paperSize="9" orientation="portrait" verticalDpi="0" r:id="rId1"/>
</worksheet>
</file>

<file path=xl/worksheets/sheet58.xml><?xml version="1.0" encoding="utf-8"?>
<worksheet xmlns="http://schemas.openxmlformats.org/spreadsheetml/2006/main" xmlns:r="http://schemas.openxmlformats.org/officeDocument/2006/relationships">
  <sheetPr>
    <tabColor rgb="FF7030A0"/>
  </sheetPr>
  <dimension ref="A1:F313"/>
  <sheetViews>
    <sheetView workbookViewId="0">
      <selection activeCell="C31" sqref="C31:E31"/>
    </sheetView>
  </sheetViews>
  <sheetFormatPr defaultColWidth="9.140625" defaultRowHeight="15"/>
  <cols>
    <col min="1" max="1" width="9.140625" style="464"/>
    <col min="2" max="5" width="14.42578125" style="464" customWidth="1"/>
    <col min="6" max="6" width="11.7109375" style="464" customWidth="1"/>
    <col min="7" max="16384" width="9.140625" style="464"/>
  </cols>
  <sheetData>
    <row r="1" spans="1:6" ht="23.25">
      <c r="A1" s="1716" t="s">
        <v>2306</v>
      </c>
      <c r="B1" s="1716"/>
      <c r="C1" s="1716"/>
      <c r="D1" s="1716"/>
      <c r="E1" s="1716"/>
      <c r="F1" s="1716"/>
    </row>
    <row r="2" spans="1:6" ht="18">
      <c r="A2" s="465"/>
      <c r="B2" s="1717" t="s">
        <v>1638</v>
      </c>
      <c r="C2" s="1717"/>
      <c r="D2" s="1717"/>
      <c r="E2" s="465"/>
      <c r="F2" s="465"/>
    </row>
    <row r="3" spans="1:6" ht="15" customHeight="1">
      <c r="A3" s="1718" t="s">
        <v>253</v>
      </c>
      <c r="B3" s="466" t="s">
        <v>1639</v>
      </c>
      <c r="C3" s="466" t="s">
        <v>139</v>
      </c>
      <c r="D3" s="467" t="s">
        <v>1640</v>
      </c>
      <c r="E3" s="468" t="s">
        <v>1641</v>
      </c>
      <c r="F3" s="469"/>
    </row>
    <row r="4" spans="1:6" ht="42" customHeight="1">
      <c r="A4" s="1718"/>
      <c r="B4" s="470" t="s">
        <v>1642</v>
      </c>
      <c r="C4" s="470" t="s">
        <v>1642</v>
      </c>
      <c r="D4" s="470" t="s">
        <v>1642</v>
      </c>
      <c r="E4" s="471" t="s">
        <v>1643</v>
      </c>
      <c r="F4" s="472" t="s">
        <v>1644</v>
      </c>
    </row>
    <row r="5" spans="1:6">
      <c r="A5" s="473">
        <v>1</v>
      </c>
      <c r="B5" s="474">
        <v>2</v>
      </c>
      <c r="C5" s="473">
        <v>3</v>
      </c>
      <c r="D5" s="474">
        <v>4</v>
      </c>
      <c r="E5" s="473">
        <v>5</v>
      </c>
      <c r="F5" s="474">
        <v>6</v>
      </c>
    </row>
    <row r="6" spans="1:6" ht="18" customHeight="1">
      <c r="A6" s="409">
        <v>1</v>
      </c>
      <c r="B6" s="522">
        <v>36</v>
      </c>
      <c r="C6" s="522">
        <v>34.700000000000003</v>
      </c>
      <c r="D6" s="523">
        <v>57.8</v>
      </c>
      <c r="E6" s="522">
        <v>51</v>
      </c>
      <c r="F6" s="479"/>
    </row>
    <row r="7" spans="1:6" ht="18" customHeight="1">
      <c r="A7" s="409">
        <v>2</v>
      </c>
      <c r="B7" s="522">
        <v>50.4</v>
      </c>
      <c r="C7" s="522">
        <v>48.5</v>
      </c>
      <c r="D7" s="523">
        <v>80.900000000000006</v>
      </c>
      <c r="E7" s="522">
        <v>71.400000000000006</v>
      </c>
      <c r="F7" s="479"/>
    </row>
    <row r="8" spans="1:6" ht="18" customHeight="1">
      <c r="A8" s="409">
        <v>3</v>
      </c>
      <c r="B8" s="522">
        <v>67.2</v>
      </c>
      <c r="C8" s="522">
        <v>64.7</v>
      </c>
      <c r="D8" s="523">
        <v>107.8</v>
      </c>
      <c r="E8" s="522">
        <v>95.2</v>
      </c>
      <c r="F8" s="479"/>
    </row>
    <row r="9" spans="1:6" ht="18" customHeight="1">
      <c r="A9" s="409">
        <v>4</v>
      </c>
      <c r="B9" s="522">
        <v>81.599999999999994</v>
      </c>
      <c r="C9" s="522">
        <v>78.599999999999994</v>
      </c>
      <c r="D9" s="523">
        <v>131</v>
      </c>
      <c r="E9" s="522">
        <v>115.6</v>
      </c>
      <c r="F9" s="479"/>
    </row>
    <row r="10" spans="1:6" ht="18" customHeight="1">
      <c r="A10" s="412">
        <v>5</v>
      </c>
      <c r="B10" s="524">
        <v>96</v>
      </c>
      <c r="C10" s="524">
        <v>92.4</v>
      </c>
      <c r="D10" s="525">
        <v>154.1</v>
      </c>
      <c r="E10" s="524">
        <v>135.9</v>
      </c>
      <c r="F10" s="479"/>
    </row>
    <row r="11" spans="1:6" ht="18" customHeight="1">
      <c r="A11" s="409">
        <v>6</v>
      </c>
      <c r="B11" s="522">
        <f>B10+14.4</f>
        <v>110.4</v>
      </c>
      <c r="C11" s="522">
        <f>C10+13.9</f>
        <v>106.30000000000001</v>
      </c>
      <c r="D11" s="523">
        <f>D10+23.1</f>
        <v>177.2</v>
      </c>
      <c r="E11" s="522">
        <f>E10+20.4</f>
        <v>156.30000000000001</v>
      </c>
      <c r="F11" s="479"/>
    </row>
    <row r="12" spans="1:6" ht="18" customHeight="1">
      <c r="A12" s="409">
        <v>7</v>
      </c>
      <c r="B12" s="522">
        <f t="shared" ref="B12:B35" si="0">B11+14.4</f>
        <v>124.80000000000001</v>
      </c>
      <c r="C12" s="522">
        <f t="shared" ref="C12:C35" si="1">C11+13.9</f>
        <v>120.20000000000002</v>
      </c>
      <c r="D12" s="523">
        <f t="shared" ref="D12:D35" si="2">D11+23.1</f>
        <v>200.29999999999998</v>
      </c>
      <c r="E12" s="522">
        <f t="shared" ref="E12:E35" si="3">E11+20.4</f>
        <v>176.70000000000002</v>
      </c>
      <c r="F12" s="479"/>
    </row>
    <row r="13" spans="1:6" ht="18" customHeight="1">
      <c r="A13" s="409">
        <v>8</v>
      </c>
      <c r="B13" s="522">
        <f t="shared" si="0"/>
        <v>139.20000000000002</v>
      </c>
      <c r="C13" s="522">
        <f t="shared" si="1"/>
        <v>134.10000000000002</v>
      </c>
      <c r="D13" s="523">
        <f t="shared" si="2"/>
        <v>223.39999999999998</v>
      </c>
      <c r="E13" s="522">
        <f t="shared" si="3"/>
        <v>197.10000000000002</v>
      </c>
      <c r="F13" s="479"/>
    </row>
    <row r="14" spans="1:6" ht="18" customHeight="1">
      <c r="A14" s="409">
        <v>9</v>
      </c>
      <c r="B14" s="522">
        <f t="shared" si="0"/>
        <v>153.60000000000002</v>
      </c>
      <c r="C14" s="522">
        <f t="shared" si="1"/>
        <v>148.00000000000003</v>
      </c>
      <c r="D14" s="523">
        <f t="shared" si="2"/>
        <v>246.49999999999997</v>
      </c>
      <c r="E14" s="522">
        <f t="shared" si="3"/>
        <v>217.50000000000003</v>
      </c>
      <c r="F14" s="479"/>
    </row>
    <row r="15" spans="1:6" ht="18" customHeight="1">
      <c r="A15" s="409">
        <v>10</v>
      </c>
      <c r="B15" s="522">
        <f t="shared" si="0"/>
        <v>168.00000000000003</v>
      </c>
      <c r="C15" s="522">
        <f t="shared" si="1"/>
        <v>161.90000000000003</v>
      </c>
      <c r="D15" s="523">
        <f t="shared" si="2"/>
        <v>269.59999999999997</v>
      </c>
      <c r="E15" s="522">
        <f t="shared" si="3"/>
        <v>237.90000000000003</v>
      </c>
      <c r="F15" s="479"/>
    </row>
    <row r="16" spans="1:6" ht="18" customHeight="1">
      <c r="A16" s="409">
        <v>11</v>
      </c>
      <c r="B16" s="522">
        <f t="shared" si="0"/>
        <v>182.40000000000003</v>
      </c>
      <c r="C16" s="522">
        <f t="shared" si="1"/>
        <v>175.80000000000004</v>
      </c>
      <c r="D16" s="523">
        <f t="shared" si="2"/>
        <v>292.7</v>
      </c>
      <c r="E16" s="522">
        <f t="shared" si="3"/>
        <v>258.3</v>
      </c>
      <c r="F16" s="479"/>
    </row>
    <row r="17" spans="1:6" ht="18" customHeight="1">
      <c r="A17" s="409">
        <v>12</v>
      </c>
      <c r="B17" s="522">
        <f t="shared" si="0"/>
        <v>196.80000000000004</v>
      </c>
      <c r="C17" s="522">
        <f t="shared" si="1"/>
        <v>189.70000000000005</v>
      </c>
      <c r="D17" s="523">
        <f t="shared" si="2"/>
        <v>315.8</v>
      </c>
      <c r="E17" s="522">
        <f t="shared" si="3"/>
        <v>278.7</v>
      </c>
      <c r="F17" s="479"/>
    </row>
    <row r="18" spans="1:6" ht="18" customHeight="1">
      <c r="A18" s="409">
        <v>13</v>
      </c>
      <c r="B18" s="522">
        <f t="shared" si="0"/>
        <v>211.20000000000005</v>
      </c>
      <c r="C18" s="522">
        <f t="shared" si="1"/>
        <v>203.60000000000005</v>
      </c>
      <c r="D18" s="523">
        <f t="shared" si="2"/>
        <v>338.90000000000003</v>
      </c>
      <c r="E18" s="522">
        <f t="shared" si="3"/>
        <v>299.09999999999997</v>
      </c>
      <c r="F18" s="479"/>
    </row>
    <row r="19" spans="1:6" ht="18" customHeight="1">
      <c r="A19" s="409">
        <v>14</v>
      </c>
      <c r="B19" s="522">
        <f t="shared" si="0"/>
        <v>225.60000000000005</v>
      </c>
      <c r="C19" s="522">
        <f t="shared" si="1"/>
        <v>217.50000000000006</v>
      </c>
      <c r="D19" s="523">
        <f t="shared" si="2"/>
        <v>362.00000000000006</v>
      </c>
      <c r="E19" s="522">
        <f t="shared" si="3"/>
        <v>319.49999999999994</v>
      </c>
      <c r="F19" s="479"/>
    </row>
    <row r="20" spans="1:6" ht="18" customHeight="1">
      <c r="A20" s="409">
        <v>15</v>
      </c>
      <c r="B20" s="522">
        <f t="shared" si="0"/>
        <v>240.00000000000006</v>
      </c>
      <c r="C20" s="522">
        <f t="shared" si="1"/>
        <v>231.40000000000006</v>
      </c>
      <c r="D20" s="523">
        <f t="shared" si="2"/>
        <v>385.10000000000008</v>
      </c>
      <c r="E20" s="522">
        <f t="shared" si="3"/>
        <v>339.89999999999992</v>
      </c>
      <c r="F20" s="479"/>
    </row>
    <row r="21" spans="1:6" ht="18" customHeight="1">
      <c r="A21" s="409">
        <v>16</v>
      </c>
      <c r="B21" s="522">
        <f t="shared" si="0"/>
        <v>254.40000000000006</v>
      </c>
      <c r="C21" s="522">
        <f t="shared" si="1"/>
        <v>245.30000000000007</v>
      </c>
      <c r="D21" s="523">
        <f t="shared" si="2"/>
        <v>408.2000000000001</v>
      </c>
      <c r="E21" s="522">
        <f t="shared" si="3"/>
        <v>360.2999999999999</v>
      </c>
      <c r="F21" s="479"/>
    </row>
    <row r="22" spans="1:6" ht="18" customHeight="1">
      <c r="A22" s="409">
        <v>17</v>
      </c>
      <c r="B22" s="522">
        <f t="shared" si="0"/>
        <v>268.80000000000007</v>
      </c>
      <c r="C22" s="522">
        <f t="shared" si="1"/>
        <v>259.20000000000005</v>
      </c>
      <c r="D22" s="523">
        <f t="shared" si="2"/>
        <v>431.30000000000013</v>
      </c>
      <c r="E22" s="522">
        <f t="shared" si="3"/>
        <v>380.69999999999987</v>
      </c>
      <c r="F22" s="479"/>
    </row>
    <row r="23" spans="1:6" ht="18" customHeight="1">
      <c r="A23" s="409">
        <v>18</v>
      </c>
      <c r="B23" s="522">
        <f t="shared" si="0"/>
        <v>283.20000000000005</v>
      </c>
      <c r="C23" s="522">
        <f t="shared" si="1"/>
        <v>273.10000000000002</v>
      </c>
      <c r="D23" s="523">
        <f t="shared" si="2"/>
        <v>454.40000000000015</v>
      </c>
      <c r="E23" s="522">
        <f t="shared" si="3"/>
        <v>401.09999999999985</v>
      </c>
      <c r="F23" s="479"/>
    </row>
    <row r="24" spans="1:6" ht="18" customHeight="1">
      <c r="A24" s="409">
        <v>19</v>
      </c>
      <c r="B24" s="522">
        <f t="shared" si="0"/>
        <v>297.60000000000002</v>
      </c>
      <c r="C24" s="522">
        <f t="shared" si="1"/>
        <v>287</v>
      </c>
      <c r="D24" s="523">
        <f t="shared" si="2"/>
        <v>477.50000000000017</v>
      </c>
      <c r="E24" s="522">
        <f t="shared" si="3"/>
        <v>421.49999999999983</v>
      </c>
      <c r="F24" s="479"/>
    </row>
    <row r="25" spans="1:6" ht="18" customHeight="1">
      <c r="A25" s="409">
        <v>20</v>
      </c>
      <c r="B25" s="522">
        <f t="shared" si="0"/>
        <v>312</v>
      </c>
      <c r="C25" s="522">
        <f t="shared" si="1"/>
        <v>300.89999999999998</v>
      </c>
      <c r="D25" s="523">
        <f t="shared" si="2"/>
        <v>500.60000000000019</v>
      </c>
      <c r="E25" s="522">
        <f t="shared" si="3"/>
        <v>441.89999999999981</v>
      </c>
      <c r="F25" s="479"/>
    </row>
    <row r="26" spans="1:6" ht="18" customHeight="1">
      <c r="A26" s="409">
        <v>21</v>
      </c>
      <c r="B26" s="522">
        <f t="shared" si="0"/>
        <v>326.39999999999998</v>
      </c>
      <c r="C26" s="522">
        <f t="shared" si="1"/>
        <v>314.79999999999995</v>
      </c>
      <c r="D26" s="523">
        <f t="shared" si="2"/>
        <v>523.70000000000016</v>
      </c>
      <c r="E26" s="522">
        <f t="shared" si="3"/>
        <v>462.29999999999978</v>
      </c>
      <c r="F26" s="479"/>
    </row>
    <row r="27" spans="1:6" ht="18" customHeight="1">
      <c r="A27" s="409">
        <v>22</v>
      </c>
      <c r="B27" s="522">
        <f t="shared" si="0"/>
        <v>340.79999999999995</v>
      </c>
      <c r="C27" s="522">
        <f t="shared" si="1"/>
        <v>328.69999999999993</v>
      </c>
      <c r="D27" s="523">
        <f t="shared" si="2"/>
        <v>546.80000000000018</v>
      </c>
      <c r="E27" s="522">
        <f t="shared" si="3"/>
        <v>482.69999999999976</v>
      </c>
      <c r="F27" s="479"/>
    </row>
    <row r="28" spans="1:6" ht="18" customHeight="1">
      <c r="A28" s="409">
        <v>23</v>
      </c>
      <c r="B28" s="522">
        <f t="shared" si="0"/>
        <v>355.19999999999993</v>
      </c>
      <c r="C28" s="522">
        <f t="shared" si="1"/>
        <v>342.59999999999991</v>
      </c>
      <c r="D28" s="523">
        <f t="shared" si="2"/>
        <v>569.9000000000002</v>
      </c>
      <c r="E28" s="522">
        <f t="shared" si="3"/>
        <v>503.09999999999974</v>
      </c>
      <c r="F28" s="479"/>
    </row>
    <row r="29" spans="1:6" ht="18" customHeight="1">
      <c r="A29" s="409">
        <v>24</v>
      </c>
      <c r="B29" s="522">
        <f t="shared" si="0"/>
        <v>369.59999999999991</v>
      </c>
      <c r="C29" s="522">
        <f t="shared" si="1"/>
        <v>356.49999999999989</v>
      </c>
      <c r="D29" s="523">
        <f t="shared" si="2"/>
        <v>593.00000000000023</v>
      </c>
      <c r="E29" s="522">
        <f t="shared" si="3"/>
        <v>523.49999999999977</v>
      </c>
      <c r="F29" s="479"/>
    </row>
    <row r="30" spans="1:6" ht="18" customHeight="1">
      <c r="A30" s="409">
        <v>25</v>
      </c>
      <c r="B30" s="522">
        <f t="shared" si="0"/>
        <v>383.99999999999989</v>
      </c>
      <c r="C30" s="522">
        <f t="shared" si="1"/>
        <v>370.39999999999986</v>
      </c>
      <c r="D30" s="523">
        <f t="shared" si="2"/>
        <v>616.10000000000025</v>
      </c>
      <c r="E30" s="522">
        <f t="shared" si="3"/>
        <v>543.89999999999975</v>
      </c>
      <c r="F30" s="479"/>
    </row>
    <row r="31" spans="1:6" ht="18" customHeight="1">
      <c r="A31" s="409">
        <v>26</v>
      </c>
      <c r="B31" s="522">
        <f t="shared" si="0"/>
        <v>398.39999999999986</v>
      </c>
      <c r="C31" s="522">
        <f t="shared" si="1"/>
        <v>384.29999999999984</v>
      </c>
      <c r="D31" s="523">
        <f t="shared" si="2"/>
        <v>639.20000000000027</v>
      </c>
      <c r="E31" s="522">
        <f t="shared" si="3"/>
        <v>564.29999999999973</v>
      </c>
      <c r="F31" s="479"/>
    </row>
    <row r="32" spans="1:6" ht="18" customHeight="1">
      <c r="A32" s="409">
        <v>27</v>
      </c>
      <c r="B32" s="522">
        <f t="shared" si="0"/>
        <v>412.79999999999984</v>
      </c>
      <c r="C32" s="522">
        <f t="shared" si="1"/>
        <v>398.19999999999982</v>
      </c>
      <c r="D32" s="523">
        <f t="shared" si="2"/>
        <v>662.3000000000003</v>
      </c>
      <c r="E32" s="522">
        <f t="shared" si="3"/>
        <v>584.6999999999997</v>
      </c>
      <c r="F32" s="479"/>
    </row>
    <row r="33" spans="1:6" ht="18" customHeight="1">
      <c r="A33" s="409">
        <v>28</v>
      </c>
      <c r="B33" s="522">
        <f t="shared" si="0"/>
        <v>427.19999999999982</v>
      </c>
      <c r="C33" s="522">
        <f t="shared" si="1"/>
        <v>412.0999999999998</v>
      </c>
      <c r="D33" s="523">
        <f t="shared" si="2"/>
        <v>685.40000000000032</v>
      </c>
      <c r="E33" s="522">
        <f t="shared" si="3"/>
        <v>605.09999999999968</v>
      </c>
      <c r="F33" s="479"/>
    </row>
    <row r="34" spans="1:6" ht="18" customHeight="1">
      <c r="A34" s="409">
        <v>29</v>
      </c>
      <c r="B34" s="522">
        <f t="shared" si="0"/>
        <v>441.5999999999998</v>
      </c>
      <c r="C34" s="522">
        <f t="shared" si="1"/>
        <v>425.99999999999977</v>
      </c>
      <c r="D34" s="523">
        <f t="shared" si="2"/>
        <v>708.50000000000034</v>
      </c>
      <c r="E34" s="522">
        <f t="shared" si="3"/>
        <v>625.49999999999966</v>
      </c>
      <c r="F34" s="479"/>
    </row>
    <row r="35" spans="1:6" ht="18" customHeight="1">
      <c r="A35" s="409">
        <v>30</v>
      </c>
      <c r="B35" s="522">
        <f t="shared" si="0"/>
        <v>455.99999999999977</v>
      </c>
      <c r="C35" s="522">
        <f t="shared" si="1"/>
        <v>439.89999999999975</v>
      </c>
      <c r="D35" s="523">
        <f t="shared" si="2"/>
        <v>731.60000000000036</v>
      </c>
      <c r="E35" s="522">
        <f t="shared" si="3"/>
        <v>645.89999999999964</v>
      </c>
      <c r="F35" s="479"/>
    </row>
    <row r="36" spans="1:6" ht="18" customHeight="1">
      <c r="A36" s="409">
        <v>31</v>
      </c>
      <c r="B36" s="522">
        <f>B35+12</f>
        <v>467.99999999999977</v>
      </c>
      <c r="C36" s="522">
        <f>C35+11.6</f>
        <v>451.49999999999977</v>
      </c>
      <c r="D36" s="523">
        <f>D35+19.3</f>
        <v>750.90000000000032</v>
      </c>
      <c r="E36" s="522">
        <f>E35+17</f>
        <v>662.89999999999964</v>
      </c>
      <c r="F36" s="479"/>
    </row>
    <row r="37" spans="1:6" ht="18" customHeight="1">
      <c r="A37" s="409">
        <v>32</v>
      </c>
      <c r="B37" s="522">
        <f t="shared" ref="B37:B100" si="4">B36+12</f>
        <v>479.99999999999977</v>
      </c>
      <c r="C37" s="522">
        <f t="shared" ref="C37:C100" si="5">C36+11.6</f>
        <v>463.0999999999998</v>
      </c>
      <c r="D37" s="523">
        <f t="shared" ref="D37:D100" si="6">D36+19.3</f>
        <v>770.20000000000027</v>
      </c>
      <c r="E37" s="522">
        <f t="shared" ref="E37:E100" si="7">E36+17</f>
        <v>679.89999999999964</v>
      </c>
      <c r="F37" s="479"/>
    </row>
    <row r="38" spans="1:6" ht="18" customHeight="1">
      <c r="A38" s="409">
        <v>33</v>
      </c>
      <c r="B38" s="522">
        <f t="shared" si="4"/>
        <v>491.99999999999977</v>
      </c>
      <c r="C38" s="522">
        <f t="shared" si="5"/>
        <v>474.69999999999982</v>
      </c>
      <c r="D38" s="523">
        <f t="shared" si="6"/>
        <v>789.50000000000023</v>
      </c>
      <c r="E38" s="522">
        <f t="shared" si="7"/>
        <v>696.89999999999964</v>
      </c>
      <c r="F38" s="479"/>
    </row>
    <row r="39" spans="1:6" ht="18" customHeight="1">
      <c r="A39" s="409">
        <v>34</v>
      </c>
      <c r="B39" s="522">
        <f t="shared" si="4"/>
        <v>503.99999999999977</v>
      </c>
      <c r="C39" s="522">
        <f t="shared" si="5"/>
        <v>486.29999999999984</v>
      </c>
      <c r="D39" s="523">
        <f t="shared" si="6"/>
        <v>808.80000000000018</v>
      </c>
      <c r="E39" s="522">
        <f t="shared" si="7"/>
        <v>713.89999999999964</v>
      </c>
      <c r="F39" s="479"/>
    </row>
    <row r="40" spans="1:6" ht="18" customHeight="1">
      <c r="A40" s="409">
        <v>35</v>
      </c>
      <c r="B40" s="522">
        <f t="shared" si="4"/>
        <v>515.99999999999977</v>
      </c>
      <c r="C40" s="522">
        <f t="shared" si="5"/>
        <v>497.89999999999986</v>
      </c>
      <c r="D40" s="523">
        <f t="shared" si="6"/>
        <v>828.10000000000014</v>
      </c>
      <c r="E40" s="522">
        <f t="shared" si="7"/>
        <v>730.89999999999964</v>
      </c>
      <c r="F40" s="479"/>
    </row>
    <row r="41" spans="1:6" ht="18" customHeight="1">
      <c r="A41" s="409">
        <v>36</v>
      </c>
      <c r="B41" s="522">
        <f t="shared" si="4"/>
        <v>527.99999999999977</v>
      </c>
      <c r="C41" s="522">
        <f t="shared" si="5"/>
        <v>509.49999999999989</v>
      </c>
      <c r="D41" s="523">
        <f t="shared" si="6"/>
        <v>847.40000000000009</v>
      </c>
      <c r="E41" s="522">
        <f t="shared" si="7"/>
        <v>747.89999999999964</v>
      </c>
      <c r="F41" s="479"/>
    </row>
    <row r="42" spans="1:6" ht="18" customHeight="1">
      <c r="A42" s="409">
        <v>37</v>
      </c>
      <c r="B42" s="522">
        <f t="shared" si="4"/>
        <v>539.99999999999977</v>
      </c>
      <c r="C42" s="522">
        <f t="shared" si="5"/>
        <v>521.09999999999991</v>
      </c>
      <c r="D42" s="523">
        <f t="shared" si="6"/>
        <v>866.7</v>
      </c>
      <c r="E42" s="522">
        <f t="shared" si="7"/>
        <v>764.89999999999964</v>
      </c>
      <c r="F42" s="479"/>
    </row>
    <row r="43" spans="1:6" ht="18" customHeight="1">
      <c r="A43" s="409">
        <v>38</v>
      </c>
      <c r="B43" s="522">
        <f t="shared" si="4"/>
        <v>551.99999999999977</v>
      </c>
      <c r="C43" s="522">
        <f t="shared" si="5"/>
        <v>532.69999999999993</v>
      </c>
      <c r="D43" s="523">
        <f t="shared" si="6"/>
        <v>886</v>
      </c>
      <c r="E43" s="522">
        <f t="shared" si="7"/>
        <v>781.89999999999964</v>
      </c>
      <c r="F43" s="479"/>
    </row>
    <row r="44" spans="1:6" ht="18" customHeight="1">
      <c r="A44" s="409">
        <v>39</v>
      </c>
      <c r="B44" s="522">
        <f t="shared" si="4"/>
        <v>563.99999999999977</v>
      </c>
      <c r="C44" s="522">
        <f t="shared" si="5"/>
        <v>544.29999999999995</v>
      </c>
      <c r="D44" s="523">
        <f t="shared" si="6"/>
        <v>905.3</v>
      </c>
      <c r="E44" s="522">
        <f t="shared" si="7"/>
        <v>798.89999999999964</v>
      </c>
      <c r="F44" s="479"/>
    </row>
    <row r="45" spans="1:6" ht="18" customHeight="1">
      <c r="A45" s="409">
        <v>40</v>
      </c>
      <c r="B45" s="522">
        <f t="shared" si="4"/>
        <v>575.99999999999977</v>
      </c>
      <c r="C45" s="522">
        <f t="shared" si="5"/>
        <v>555.9</v>
      </c>
      <c r="D45" s="523">
        <f t="shared" si="6"/>
        <v>924.59999999999991</v>
      </c>
      <c r="E45" s="522">
        <f t="shared" si="7"/>
        <v>815.89999999999964</v>
      </c>
      <c r="F45" s="479"/>
    </row>
    <row r="46" spans="1:6" ht="18" customHeight="1">
      <c r="A46" s="409">
        <v>41</v>
      </c>
      <c r="B46" s="522">
        <f t="shared" si="4"/>
        <v>587.99999999999977</v>
      </c>
      <c r="C46" s="522">
        <f t="shared" si="5"/>
        <v>567.5</v>
      </c>
      <c r="D46" s="523">
        <f t="shared" si="6"/>
        <v>943.89999999999986</v>
      </c>
      <c r="E46" s="522">
        <f t="shared" si="7"/>
        <v>832.89999999999964</v>
      </c>
      <c r="F46" s="479"/>
    </row>
    <row r="47" spans="1:6" ht="18" customHeight="1">
      <c r="A47" s="409">
        <v>42</v>
      </c>
      <c r="B47" s="522">
        <f t="shared" si="4"/>
        <v>599.99999999999977</v>
      </c>
      <c r="C47" s="522">
        <f t="shared" si="5"/>
        <v>579.1</v>
      </c>
      <c r="D47" s="523">
        <f t="shared" si="6"/>
        <v>963.19999999999982</v>
      </c>
      <c r="E47" s="522">
        <f t="shared" si="7"/>
        <v>849.89999999999964</v>
      </c>
      <c r="F47" s="479"/>
    </row>
    <row r="48" spans="1:6" ht="18" customHeight="1">
      <c r="A48" s="409">
        <v>43</v>
      </c>
      <c r="B48" s="522">
        <f t="shared" si="4"/>
        <v>611.99999999999977</v>
      </c>
      <c r="C48" s="522">
        <f t="shared" si="5"/>
        <v>590.70000000000005</v>
      </c>
      <c r="D48" s="523">
        <f t="shared" si="6"/>
        <v>982.49999999999977</v>
      </c>
      <c r="E48" s="522">
        <f t="shared" si="7"/>
        <v>866.89999999999964</v>
      </c>
      <c r="F48" s="479"/>
    </row>
    <row r="49" spans="1:6" ht="18" customHeight="1">
      <c r="A49" s="409">
        <v>44</v>
      </c>
      <c r="B49" s="522">
        <f t="shared" si="4"/>
        <v>623.99999999999977</v>
      </c>
      <c r="C49" s="522">
        <f t="shared" si="5"/>
        <v>602.30000000000007</v>
      </c>
      <c r="D49" s="523">
        <f t="shared" si="6"/>
        <v>1001.7999999999997</v>
      </c>
      <c r="E49" s="522">
        <f t="shared" si="7"/>
        <v>883.89999999999964</v>
      </c>
      <c r="F49" s="479"/>
    </row>
    <row r="50" spans="1:6" ht="18" customHeight="1">
      <c r="A50" s="409">
        <v>45</v>
      </c>
      <c r="B50" s="522">
        <f t="shared" si="4"/>
        <v>635.99999999999977</v>
      </c>
      <c r="C50" s="522">
        <f t="shared" si="5"/>
        <v>613.90000000000009</v>
      </c>
      <c r="D50" s="523">
        <f t="shared" si="6"/>
        <v>1021.0999999999997</v>
      </c>
      <c r="E50" s="522">
        <f t="shared" si="7"/>
        <v>900.89999999999964</v>
      </c>
      <c r="F50" s="479"/>
    </row>
    <row r="51" spans="1:6" ht="18" customHeight="1">
      <c r="A51" s="409">
        <v>46</v>
      </c>
      <c r="B51" s="522">
        <f t="shared" si="4"/>
        <v>647.99999999999977</v>
      </c>
      <c r="C51" s="522">
        <f t="shared" si="5"/>
        <v>625.50000000000011</v>
      </c>
      <c r="D51" s="523">
        <f t="shared" si="6"/>
        <v>1040.3999999999996</v>
      </c>
      <c r="E51" s="522">
        <f t="shared" si="7"/>
        <v>917.89999999999964</v>
      </c>
      <c r="F51" s="479"/>
    </row>
    <row r="52" spans="1:6" ht="18" customHeight="1">
      <c r="A52" s="409">
        <v>47</v>
      </c>
      <c r="B52" s="522">
        <f t="shared" si="4"/>
        <v>659.99999999999977</v>
      </c>
      <c r="C52" s="522">
        <f t="shared" si="5"/>
        <v>637.10000000000014</v>
      </c>
      <c r="D52" s="523">
        <f t="shared" si="6"/>
        <v>1059.6999999999996</v>
      </c>
      <c r="E52" s="522">
        <f t="shared" si="7"/>
        <v>934.89999999999964</v>
      </c>
      <c r="F52" s="479"/>
    </row>
    <row r="53" spans="1:6" ht="18" customHeight="1">
      <c r="A53" s="409">
        <v>48</v>
      </c>
      <c r="B53" s="522">
        <f t="shared" si="4"/>
        <v>671.99999999999977</v>
      </c>
      <c r="C53" s="522">
        <f t="shared" si="5"/>
        <v>648.70000000000016</v>
      </c>
      <c r="D53" s="523">
        <f t="shared" si="6"/>
        <v>1078.9999999999995</v>
      </c>
      <c r="E53" s="522">
        <f t="shared" si="7"/>
        <v>951.89999999999964</v>
      </c>
      <c r="F53" s="479"/>
    </row>
    <row r="54" spans="1:6" ht="18" customHeight="1">
      <c r="A54" s="409">
        <v>49</v>
      </c>
      <c r="B54" s="522">
        <f t="shared" si="4"/>
        <v>683.99999999999977</v>
      </c>
      <c r="C54" s="522">
        <f t="shared" si="5"/>
        <v>660.30000000000018</v>
      </c>
      <c r="D54" s="523">
        <f t="shared" si="6"/>
        <v>1098.2999999999995</v>
      </c>
      <c r="E54" s="522">
        <f t="shared" si="7"/>
        <v>968.89999999999964</v>
      </c>
      <c r="F54" s="479"/>
    </row>
    <row r="55" spans="1:6" ht="18" customHeight="1">
      <c r="A55" s="413">
        <v>50</v>
      </c>
      <c r="B55" s="522">
        <f t="shared" si="4"/>
        <v>695.99999999999977</v>
      </c>
      <c r="C55" s="522">
        <f t="shared" si="5"/>
        <v>671.9000000000002</v>
      </c>
      <c r="D55" s="523">
        <f t="shared" si="6"/>
        <v>1117.5999999999995</v>
      </c>
      <c r="E55" s="522">
        <f t="shared" si="7"/>
        <v>985.89999999999964</v>
      </c>
      <c r="F55" s="479"/>
    </row>
    <row r="56" spans="1:6" ht="18" customHeight="1">
      <c r="A56" s="414">
        <v>51</v>
      </c>
      <c r="B56" s="522">
        <f t="shared" si="4"/>
        <v>707.99999999999977</v>
      </c>
      <c r="C56" s="522">
        <f t="shared" si="5"/>
        <v>683.50000000000023</v>
      </c>
      <c r="D56" s="523">
        <f t="shared" si="6"/>
        <v>1136.8999999999994</v>
      </c>
      <c r="E56" s="522">
        <f t="shared" si="7"/>
        <v>1002.8999999999996</v>
      </c>
      <c r="F56" s="479"/>
    </row>
    <row r="57" spans="1:6" ht="18" customHeight="1">
      <c r="A57" s="409">
        <v>52</v>
      </c>
      <c r="B57" s="522">
        <f t="shared" si="4"/>
        <v>719.99999999999977</v>
      </c>
      <c r="C57" s="522">
        <f t="shared" si="5"/>
        <v>695.10000000000025</v>
      </c>
      <c r="D57" s="523">
        <f t="shared" si="6"/>
        <v>1156.1999999999994</v>
      </c>
      <c r="E57" s="522">
        <f t="shared" si="7"/>
        <v>1019.8999999999996</v>
      </c>
      <c r="F57" s="479"/>
    </row>
    <row r="58" spans="1:6" ht="18" customHeight="1">
      <c r="A58" s="409">
        <v>53</v>
      </c>
      <c r="B58" s="522">
        <f t="shared" si="4"/>
        <v>731.99999999999977</v>
      </c>
      <c r="C58" s="522">
        <f t="shared" si="5"/>
        <v>706.70000000000027</v>
      </c>
      <c r="D58" s="523">
        <f t="shared" si="6"/>
        <v>1175.4999999999993</v>
      </c>
      <c r="E58" s="522">
        <f t="shared" si="7"/>
        <v>1036.8999999999996</v>
      </c>
      <c r="F58" s="479"/>
    </row>
    <row r="59" spans="1:6" ht="18" customHeight="1">
      <c r="A59" s="409">
        <v>54</v>
      </c>
      <c r="B59" s="522">
        <f t="shared" si="4"/>
        <v>743.99999999999977</v>
      </c>
      <c r="C59" s="522">
        <f t="shared" si="5"/>
        <v>718.3000000000003</v>
      </c>
      <c r="D59" s="523">
        <f t="shared" si="6"/>
        <v>1194.7999999999993</v>
      </c>
      <c r="E59" s="522">
        <f t="shared" si="7"/>
        <v>1053.8999999999996</v>
      </c>
      <c r="F59" s="479"/>
    </row>
    <row r="60" spans="1:6" ht="18" customHeight="1">
      <c r="A60" s="409">
        <v>55</v>
      </c>
      <c r="B60" s="522">
        <f t="shared" si="4"/>
        <v>755.99999999999977</v>
      </c>
      <c r="C60" s="522">
        <f t="shared" si="5"/>
        <v>729.90000000000032</v>
      </c>
      <c r="D60" s="523">
        <f t="shared" si="6"/>
        <v>1214.0999999999992</v>
      </c>
      <c r="E60" s="522">
        <f t="shared" si="7"/>
        <v>1070.8999999999996</v>
      </c>
      <c r="F60" s="479"/>
    </row>
    <row r="61" spans="1:6" ht="18" customHeight="1">
      <c r="A61" s="409">
        <v>56</v>
      </c>
      <c r="B61" s="522">
        <f t="shared" si="4"/>
        <v>767.99999999999977</v>
      </c>
      <c r="C61" s="522">
        <f t="shared" si="5"/>
        <v>741.50000000000034</v>
      </c>
      <c r="D61" s="523">
        <f t="shared" si="6"/>
        <v>1233.3999999999992</v>
      </c>
      <c r="E61" s="522">
        <f t="shared" si="7"/>
        <v>1087.8999999999996</v>
      </c>
      <c r="F61" s="479"/>
    </row>
    <row r="62" spans="1:6" ht="18" customHeight="1">
      <c r="A62" s="409">
        <v>57</v>
      </c>
      <c r="B62" s="522">
        <f t="shared" si="4"/>
        <v>779.99999999999977</v>
      </c>
      <c r="C62" s="522">
        <f t="shared" si="5"/>
        <v>753.10000000000036</v>
      </c>
      <c r="D62" s="523">
        <f t="shared" si="6"/>
        <v>1252.6999999999991</v>
      </c>
      <c r="E62" s="522">
        <f t="shared" si="7"/>
        <v>1104.8999999999996</v>
      </c>
      <c r="F62" s="479"/>
    </row>
    <row r="63" spans="1:6" ht="18" customHeight="1">
      <c r="A63" s="409">
        <v>58</v>
      </c>
      <c r="B63" s="522">
        <f t="shared" si="4"/>
        <v>791.99999999999977</v>
      </c>
      <c r="C63" s="522">
        <f t="shared" si="5"/>
        <v>764.70000000000039</v>
      </c>
      <c r="D63" s="523">
        <f t="shared" si="6"/>
        <v>1271.9999999999991</v>
      </c>
      <c r="E63" s="522">
        <f t="shared" si="7"/>
        <v>1121.8999999999996</v>
      </c>
      <c r="F63" s="479"/>
    </row>
    <row r="64" spans="1:6" ht="18" customHeight="1">
      <c r="A64" s="409">
        <v>59</v>
      </c>
      <c r="B64" s="522">
        <f t="shared" si="4"/>
        <v>803.99999999999977</v>
      </c>
      <c r="C64" s="522">
        <f t="shared" si="5"/>
        <v>776.30000000000041</v>
      </c>
      <c r="D64" s="523">
        <f t="shared" si="6"/>
        <v>1291.299999999999</v>
      </c>
      <c r="E64" s="522">
        <f t="shared" si="7"/>
        <v>1138.8999999999996</v>
      </c>
      <c r="F64" s="479"/>
    </row>
    <row r="65" spans="1:6" ht="18" customHeight="1">
      <c r="A65" s="409">
        <v>60</v>
      </c>
      <c r="B65" s="522">
        <f t="shared" si="4"/>
        <v>815.99999999999977</v>
      </c>
      <c r="C65" s="522">
        <f t="shared" si="5"/>
        <v>787.90000000000043</v>
      </c>
      <c r="D65" s="523">
        <f t="shared" si="6"/>
        <v>1310.599999999999</v>
      </c>
      <c r="E65" s="522">
        <f t="shared" si="7"/>
        <v>1155.8999999999996</v>
      </c>
      <c r="F65" s="479"/>
    </row>
    <row r="66" spans="1:6" ht="18" customHeight="1">
      <c r="A66" s="409">
        <v>61</v>
      </c>
      <c r="B66" s="522">
        <f t="shared" si="4"/>
        <v>827.99999999999977</v>
      </c>
      <c r="C66" s="522">
        <f t="shared" si="5"/>
        <v>799.50000000000045</v>
      </c>
      <c r="D66" s="523">
        <f t="shared" si="6"/>
        <v>1329.899999999999</v>
      </c>
      <c r="E66" s="522">
        <f t="shared" si="7"/>
        <v>1172.8999999999996</v>
      </c>
      <c r="F66" s="479"/>
    </row>
    <row r="67" spans="1:6" ht="18" customHeight="1">
      <c r="A67" s="409">
        <v>62</v>
      </c>
      <c r="B67" s="522">
        <f t="shared" si="4"/>
        <v>839.99999999999977</v>
      </c>
      <c r="C67" s="522">
        <f t="shared" si="5"/>
        <v>811.10000000000048</v>
      </c>
      <c r="D67" s="523">
        <f t="shared" si="6"/>
        <v>1349.1999999999989</v>
      </c>
      <c r="E67" s="522">
        <f t="shared" si="7"/>
        <v>1189.8999999999996</v>
      </c>
      <c r="F67" s="479"/>
    </row>
    <row r="68" spans="1:6" ht="18" customHeight="1">
      <c r="A68" s="409">
        <v>63</v>
      </c>
      <c r="B68" s="522">
        <f t="shared" si="4"/>
        <v>851.99999999999977</v>
      </c>
      <c r="C68" s="522">
        <f t="shared" si="5"/>
        <v>822.7000000000005</v>
      </c>
      <c r="D68" s="523">
        <f t="shared" si="6"/>
        <v>1368.4999999999989</v>
      </c>
      <c r="E68" s="522">
        <f t="shared" si="7"/>
        <v>1206.8999999999996</v>
      </c>
      <c r="F68" s="479"/>
    </row>
    <row r="69" spans="1:6" ht="18" customHeight="1">
      <c r="A69" s="409">
        <v>64</v>
      </c>
      <c r="B69" s="522">
        <f t="shared" si="4"/>
        <v>863.99999999999977</v>
      </c>
      <c r="C69" s="522">
        <f t="shared" si="5"/>
        <v>834.30000000000052</v>
      </c>
      <c r="D69" s="523">
        <f t="shared" si="6"/>
        <v>1387.7999999999988</v>
      </c>
      <c r="E69" s="522">
        <f t="shared" si="7"/>
        <v>1223.8999999999996</v>
      </c>
      <c r="F69" s="479"/>
    </row>
    <row r="70" spans="1:6" ht="18" customHeight="1">
      <c r="A70" s="409">
        <v>65</v>
      </c>
      <c r="B70" s="522">
        <f t="shared" si="4"/>
        <v>875.99999999999977</v>
      </c>
      <c r="C70" s="522">
        <f t="shared" si="5"/>
        <v>845.90000000000055</v>
      </c>
      <c r="D70" s="523">
        <f t="shared" si="6"/>
        <v>1407.0999999999988</v>
      </c>
      <c r="E70" s="522">
        <f t="shared" si="7"/>
        <v>1240.8999999999996</v>
      </c>
      <c r="F70" s="479"/>
    </row>
    <row r="71" spans="1:6" ht="18" customHeight="1">
      <c r="A71" s="409">
        <v>66</v>
      </c>
      <c r="B71" s="522">
        <f t="shared" si="4"/>
        <v>887.99999999999977</v>
      </c>
      <c r="C71" s="522">
        <f t="shared" si="5"/>
        <v>857.50000000000057</v>
      </c>
      <c r="D71" s="523">
        <f t="shared" si="6"/>
        <v>1426.3999999999987</v>
      </c>
      <c r="E71" s="522">
        <f t="shared" si="7"/>
        <v>1257.8999999999996</v>
      </c>
      <c r="F71" s="479"/>
    </row>
    <row r="72" spans="1:6" ht="18" customHeight="1">
      <c r="A72" s="409">
        <v>67</v>
      </c>
      <c r="B72" s="522">
        <f t="shared" si="4"/>
        <v>899.99999999999977</v>
      </c>
      <c r="C72" s="522">
        <f t="shared" si="5"/>
        <v>869.10000000000059</v>
      </c>
      <c r="D72" s="523">
        <f t="shared" si="6"/>
        <v>1445.6999999999987</v>
      </c>
      <c r="E72" s="522">
        <f t="shared" si="7"/>
        <v>1274.8999999999996</v>
      </c>
      <c r="F72" s="479"/>
    </row>
    <row r="73" spans="1:6" ht="18" customHeight="1">
      <c r="A73" s="409">
        <v>68</v>
      </c>
      <c r="B73" s="522">
        <f t="shared" si="4"/>
        <v>911.99999999999977</v>
      </c>
      <c r="C73" s="522">
        <f t="shared" si="5"/>
        <v>880.70000000000061</v>
      </c>
      <c r="D73" s="523">
        <f t="shared" si="6"/>
        <v>1464.9999999999986</v>
      </c>
      <c r="E73" s="522">
        <f t="shared" si="7"/>
        <v>1291.8999999999996</v>
      </c>
      <c r="F73" s="479"/>
    </row>
    <row r="74" spans="1:6" ht="18" customHeight="1">
      <c r="A74" s="409">
        <v>69</v>
      </c>
      <c r="B74" s="522">
        <f t="shared" si="4"/>
        <v>923.99999999999977</v>
      </c>
      <c r="C74" s="522">
        <f t="shared" si="5"/>
        <v>892.30000000000064</v>
      </c>
      <c r="D74" s="523">
        <f t="shared" si="6"/>
        <v>1484.2999999999986</v>
      </c>
      <c r="E74" s="522">
        <f t="shared" si="7"/>
        <v>1308.8999999999996</v>
      </c>
      <c r="F74" s="479"/>
    </row>
    <row r="75" spans="1:6" ht="18" customHeight="1">
      <c r="A75" s="409">
        <v>70</v>
      </c>
      <c r="B75" s="522">
        <f t="shared" si="4"/>
        <v>935.99999999999977</v>
      </c>
      <c r="C75" s="522">
        <f t="shared" si="5"/>
        <v>903.90000000000066</v>
      </c>
      <c r="D75" s="523">
        <f t="shared" si="6"/>
        <v>1503.5999999999985</v>
      </c>
      <c r="E75" s="522">
        <f t="shared" si="7"/>
        <v>1325.8999999999996</v>
      </c>
      <c r="F75" s="479"/>
    </row>
    <row r="76" spans="1:6" ht="18" customHeight="1">
      <c r="A76" s="409">
        <v>71</v>
      </c>
      <c r="B76" s="522">
        <f t="shared" si="4"/>
        <v>947.99999999999977</v>
      </c>
      <c r="C76" s="522">
        <f t="shared" si="5"/>
        <v>915.50000000000068</v>
      </c>
      <c r="D76" s="523">
        <f t="shared" si="6"/>
        <v>1522.8999999999985</v>
      </c>
      <c r="E76" s="522">
        <f t="shared" si="7"/>
        <v>1342.8999999999996</v>
      </c>
      <c r="F76" s="479"/>
    </row>
    <row r="77" spans="1:6" ht="18" customHeight="1">
      <c r="A77" s="409">
        <v>72</v>
      </c>
      <c r="B77" s="522">
        <f t="shared" si="4"/>
        <v>959.99999999999977</v>
      </c>
      <c r="C77" s="522">
        <f t="shared" si="5"/>
        <v>927.1000000000007</v>
      </c>
      <c r="D77" s="523">
        <f t="shared" si="6"/>
        <v>1542.1999999999985</v>
      </c>
      <c r="E77" s="522">
        <f t="shared" si="7"/>
        <v>1359.8999999999996</v>
      </c>
      <c r="F77" s="479"/>
    </row>
    <row r="78" spans="1:6" ht="18" customHeight="1">
      <c r="A78" s="409">
        <v>73</v>
      </c>
      <c r="B78" s="522">
        <f t="shared" si="4"/>
        <v>971.99999999999977</v>
      </c>
      <c r="C78" s="522">
        <f t="shared" si="5"/>
        <v>938.70000000000073</v>
      </c>
      <c r="D78" s="523">
        <f t="shared" si="6"/>
        <v>1561.4999999999984</v>
      </c>
      <c r="E78" s="522">
        <f t="shared" si="7"/>
        <v>1376.8999999999996</v>
      </c>
      <c r="F78" s="479"/>
    </row>
    <row r="79" spans="1:6" ht="18" customHeight="1">
      <c r="A79" s="409">
        <v>74</v>
      </c>
      <c r="B79" s="522">
        <f t="shared" si="4"/>
        <v>983.99999999999977</v>
      </c>
      <c r="C79" s="522">
        <f t="shared" si="5"/>
        <v>950.30000000000075</v>
      </c>
      <c r="D79" s="523">
        <f t="shared" si="6"/>
        <v>1580.7999999999984</v>
      </c>
      <c r="E79" s="522">
        <f t="shared" si="7"/>
        <v>1393.8999999999996</v>
      </c>
      <c r="F79" s="479"/>
    </row>
    <row r="80" spans="1:6" ht="18" customHeight="1">
      <c r="A80" s="409">
        <v>75</v>
      </c>
      <c r="B80" s="522">
        <f t="shared" si="4"/>
        <v>995.99999999999977</v>
      </c>
      <c r="C80" s="522">
        <f t="shared" si="5"/>
        <v>961.90000000000077</v>
      </c>
      <c r="D80" s="523">
        <f t="shared" si="6"/>
        <v>1600.0999999999983</v>
      </c>
      <c r="E80" s="522">
        <f t="shared" si="7"/>
        <v>1410.8999999999996</v>
      </c>
      <c r="F80" s="479"/>
    </row>
    <row r="81" spans="1:6" ht="18" customHeight="1">
      <c r="A81" s="409">
        <v>76</v>
      </c>
      <c r="B81" s="522">
        <f t="shared" si="4"/>
        <v>1007.9999999999998</v>
      </c>
      <c r="C81" s="522">
        <f t="shared" si="5"/>
        <v>973.5000000000008</v>
      </c>
      <c r="D81" s="523">
        <f t="shared" si="6"/>
        <v>1619.3999999999983</v>
      </c>
      <c r="E81" s="522">
        <f t="shared" si="7"/>
        <v>1427.8999999999996</v>
      </c>
      <c r="F81" s="479"/>
    </row>
    <row r="82" spans="1:6" ht="18" customHeight="1">
      <c r="A82" s="409">
        <v>77</v>
      </c>
      <c r="B82" s="522">
        <f t="shared" si="4"/>
        <v>1019.9999999999998</v>
      </c>
      <c r="C82" s="522">
        <f t="shared" si="5"/>
        <v>985.10000000000082</v>
      </c>
      <c r="D82" s="523">
        <f t="shared" si="6"/>
        <v>1638.6999999999982</v>
      </c>
      <c r="E82" s="522">
        <f t="shared" si="7"/>
        <v>1444.8999999999996</v>
      </c>
      <c r="F82" s="479"/>
    </row>
    <row r="83" spans="1:6" ht="18" customHeight="1">
      <c r="A83" s="409">
        <v>78</v>
      </c>
      <c r="B83" s="522">
        <f t="shared" si="4"/>
        <v>1031.9999999999998</v>
      </c>
      <c r="C83" s="522">
        <f t="shared" si="5"/>
        <v>996.70000000000084</v>
      </c>
      <c r="D83" s="523">
        <f t="shared" si="6"/>
        <v>1657.9999999999982</v>
      </c>
      <c r="E83" s="522">
        <f t="shared" si="7"/>
        <v>1461.8999999999996</v>
      </c>
      <c r="F83" s="479"/>
    </row>
    <row r="84" spans="1:6" ht="18" customHeight="1">
      <c r="A84" s="409">
        <v>79</v>
      </c>
      <c r="B84" s="522">
        <f t="shared" si="4"/>
        <v>1043.9999999999998</v>
      </c>
      <c r="C84" s="522">
        <f t="shared" si="5"/>
        <v>1008.3000000000009</v>
      </c>
      <c r="D84" s="523">
        <f t="shared" si="6"/>
        <v>1677.2999999999981</v>
      </c>
      <c r="E84" s="522">
        <f t="shared" si="7"/>
        <v>1478.8999999999996</v>
      </c>
      <c r="F84" s="479"/>
    </row>
    <row r="85" spans="1:6" ht="18" customHeight="1">
      <c r="A85" s="409">
        <v>80</v>
      </c>
      <c r="B85" s="522">
        <f t="shared" si="4"/>
        <v>1055.9999999999998</v>
      </c>
      <c r="C85" s="522">
        <f t="shared" si="5"/>
        <v>1019.9000000000009</v>
      </c>
      <c r="D85" s="523">
        <f t="shared" si="6"/>
        <v>1696.5999999999981</v>
      </c>
      <c r="E85" s="522">
        <f t="shared" si="7"/>
        <v>1495.8999999999996</v>
      </c>
      <c r="F85" s="479"/>
    </row>
    <row r="86" spans="1:6" ht="18" customHeight="1">
      <c r="A86" s="409">
        <v>81</v>
      </c>
      <c r="B86" s="522">
        <f t="shared" si="4"/>
        <v>1067.9999999999998</v>
      </c>
      <c r="C86" s="522">
        <f t="shared" si="5"/>
        <v>1031.5000000000009</v>
      </c>
      <c r="D86" s="523">
        <f t="shared" si="6"/>
        <v>1715.899999999998</v>
      </c>
      <c r="E86" s="522">
        <f t="shared" si="7"/>
        <v>1512.8999999999996</v>
      </c>
      <c r="F86" s="479"/>
    </row>
    <row r="87" spans="1:6" ht="18" customHeight="1">
      <c r="A87" s="409">
        <v>82</v>
      </c>
      <c r="B87" s="522">
        <f t="shared" si="4"/>
        <v>1079.9999999999998</v>
      </c>
      <c r="C87" s="522">
        <f t="shared" si="5"/>
        <v>1043.1000000000008</v>
      </c>
      <c r="D87" s="523">
        <f t="shared" si="6"/>
        <v>1735.199999999998</v>
      </c>
      <c r="E87" s="522">
        <f t="shared" si="7"/>
        <v>1529.8999999999996</v>
      </c>
      <c r="F87" s="479"/>
    </row>
    <row r="88" spans="1:6" ht="18" customHeight="1">
      <c r="A88" s="409">
        <v>83</v>
      </c>
      <c r="B88" s="522">
        <f t="shared" si="4"/>
        <v>1091.9999999999998</v>
      </c>
      <c r="C88" s="522">
        <f t="shared" si="5"/>
        <v>1054.7000000000007</v>
      </c>
      <c r="D88" s="523">
        <f t="shared" si="6"/>
        <v>1754.499999999998</v>
      </c>
      <c r="E88" s="522">
        <f t="shared" si="7"/>
        <v>1546.8999999999996</v>
      </c>
      <c r="F88" s="479"/>
    </row>
    <row r="89" spans="1:6" ht="18" customHeight="1">
      <c r="A89" s="409">
        <v>84</v>
      </c>
      <c r="B89" s="522">
        <f t="shared" si="4"/>
        <v>1103.9999999999998</v>
      </c>
      <c r="C89" s="522">
        <f t="shared" si="5"/>
        <v>1066.3000000000006</v>
      </c>
      <c r="D89" s="523">
        <f t="shared" si="6"/>
        <v>1773.7999999999979</v>
      </c>
      <c r="E89" s="522">
        <f t="shared" si="7"/>
        <v>1563.8999999999996</v>
      </c>
      <c r="F89" s="479"/>
    </row>
    <row r="90" spans="1:6" ht="18" customHeight="1">
      <c r="A90" s="409">
        <v>85</v>
      </c>
      <c r="B90" s="522">
        <f t="shared" si="4"/>
        <v>1115.9999999999998</v>
      </c>
      <c r="C90" s="522">
        <f t="shared" si="5"/>
        <v>1077.9000000000005</v>
      </c>
      <c r="D90" s="523">
        <f t="shared" si="6"/>
        <v>1793.0999999999979</v>
      </c>
      <c r="E90" s="522">
        <f t="shared" si="7"/>
        <v>1580.8999999999996</v>
      </c>
      <c r="F90" s="479"/>
    </row>
    <row r="91" spans="1:6" ht="18" customHeight="1">
      <c r="A91" s="409">
        <v>86</v>
      </c>
      <c r="B91" s="522">
        <f t="shared" si="4"/>
        <v>1127.9999999999998</v>
      </c>
      <c r="C91" s="522">
        <f t="shared" si="5"/>
        <v>1089.5000000000005</v>
      </c>
      <c r="D91" s="523">
        <f t="shared" si="6"/>
        <v>1812.3999999999978</v>
      </c>
      <c r="E91" s="522">
        <f t="shared" si="7"/>
        <v>1597.8999999999996</v>
      </c>
      <c r="F91" s="479"/>
    </row>
    <row r="92" spans="1:6" ht="18" customHeight="1">
      <c r="A92" s="409">
        <v>87</v>
      </c>
      <c r="B92" s="522">
        <f t="shared" si="4"/>
        <v>1139.9999999999998</v>
      </c>
      <c r="C92" s="522">
        <f t="shared" si="5"/>
        <v>1101.1000000000004</v>
      </c>
      <c r="D92" s="523">
        <f t="shared" si="6"/>
        <v>1831.6999999999978</v>
      </c>
      <c r="E92" s="522">
        <f t="shared" si="7"/>
        <v>1614.8999999999996</v>
      </c>
      <c r="F92" s="479"/>
    </row>
    <row r="93" spans="1:6" ht="18" customHeight="1">
      <c r="A93" s="409">
        <v>88</v>
      </c>
      <c r="B93" s="522">
        <f t="shared" si="4"/>
        <v>1151.9999999999998</v>
      </c>
      <c r="C93" s="522">
        <f t="shared" si="5"/>
        <v>1112.7000000000003</v>
      </c>
      <c r="D93" s="523">
        <f t="shared" si="6"/>
        <v>1850.9999999999977</v>
      </c>
      <c r="E93" s="522">
        <f t="shared" si="7"/>
        <v>1631.8999999999996</v>
      </c>
      <c r="F93" s="479"/>
    </row>
    <row r="94" spans="1:6" ht="18" customHeight="1">
      <c r="A94" s="409">
        <v>89</v>
      </c>
      <c r="B94" s="522">
        <f t="shared" si="4"/>
        <v>1163.9999999999998</v>
      </c>
      <c r="C94" s="522">
        <f t="shared" si="5"/>
        <v>1124.3000000000002</v>
      </c>
      <c r="D94" s="523">
        <f t="shared" si="6"/>
        <v>1870.2999999999977</v>
      </c>
      <c r="E94" s="522">
        <f t="shared" si="7"/>
        <v>1648.8999999999996</v>
      </c>
      <c r="F94" s="479"/>
    </row>
    <row r="95" spans="1:6" ht="18" customHeight="1">
      <c r="A95" s="409">
        <v>90</v>
      </c>
      <c r="B95" s="522">
        <f t="shared" si="4"/>
        <v>1175.9999999999998</v>
      </c>
      <c r="C95" s="522">
        <f t="shared" si="5"/>
        <v>1135.9000000000001</v>
      </c>
      <c r="D95" s="523">
        <f t="shared" si="6"/>
        <v>1889.5999999999976</v>
      </c>
      <c r="E95" s="522">
        <f t="shared" si="7"/>
        <v>1665.8999999999996</v>
      </c>
      <c r="F95" s="479"/>
    </row>
    <row r="96" spans="1:6" ht="18" customHeight="1">
      <c r="A96" s="409">
        <v>91</v>
      </c>
      <c r="B96" s="522">
        <f t="shared" si="4"/>
        <v>1187.9999999999998</v>
      </c>
      <c r="C96" s="522">
        <f t="shared" si="5"/>
        <v>1147.5</v>
      </c>
      <c r="D96" s="523">
        <f t="shared" si="6"/>
        <v>1908.8999999999976</v>
      </c>
      <c r="E96" s="522">
        <f t="shared" si="7"/>
        <v>1682.8999999999996</v>
      </c>
      <c r="F96" s="479"/>
    </row>
    <row r="97" spans="1:6" ht="18" customHeight="1">
      <c r="A97" s="409">
        <v>92</v>
      </c>
      <c r="B97" s="522">
        <f t="shared" si="4"/>
        <v>1199.9999999999998</v>
      </c>
      <c r="C97" s="522">
        <f t="shared" si="5"/>
        <v>1159.0999999999999</v>
      </c>
      <c r="D97" s="523">
        <f t="shared" si="6"/>
        <v>1928.1999999999975</v>
      </c>
      <c r="E97" s="522">
        <f t="shared" si="7"/>
        <v>1699.8999999999996</v>
      </c>
      <c r="F97" s="479"/>
    </row>
    <row r="98" spans="1:6" ht="18" customHeight="1">
      <c r="A98" s="409">
        <v>93</v>
      </c>
      <c r="B98" s="522">
        <f t="shared" si="4"/>
        <v>1211.9999999999998</v>
      </c>
      <c r="C98" s="522">
        <f t="shared" si="5"/>
        <v>1170.6999999999998</v>
      </c>
      <c r="D98" s="523">
        <f t="shared" si="6"/>
        <v>1947.4999999999975</v>
      </c>
      <c r="E98" s="522">
        <f t="shared" si="7"/>
        <v>1716.8999999999996</v>
      </c>
      <c r="F98" s="479"/>
    </row>
    <row r="99" spans="1:6" ht="18" customHeight="1">
      <c r="A99" s="409">
        <v>94</v>
      </c>
      <c r="B99" s="522">
        <f t="shared" si="4"/>
        <v>1223.9999999999998</v>
      </c>
      <c r="C99" s="522">
        <f t="shared" si="5"/>
        <v>1182.2999999999997</v>
      </c>
      <c r="D99" s="523">
        <f t="shared" si="6"/>
        <v>1966.7999999999975</v>
      </c>
      <c r="E99" s="522">
        <f t="shared" si="7"/>
        <v>1733.8999999999996</v>
      </c>
      <c r="F99" s="479"/>
    </row>
    <row r="100" spans="1:6" ht="18" customHeight="1">
      <c r="A100" s="409">
        <v>95</v>
      </c>
      <c r="B100" s="522">
        <f t="shared" si="4"/>
        <v>1235.9999999999998</v>
      </c>
      <c r="C100" s="522">
        <f t="shared" si="5"/>
        <v>1193.8999999999996</v>
      </c>
      <c r="D100" s="523">
        <f t="shared" si="6"/>
        <v>1986.0999999999974</v>
      </c>
      <c r="E100" s="522">
        <f t="shared" si="7"/>
        <v>1750.8999999999996</v>
      </c>
      <c r="F100" s="479"/>
    </row>
    <row r="101" spans="1:6" ht="18" customHeight="1">
      <c r="A101" s="409">
        <v>96</v>
      </c>
      <c r="B101" s="522">
        <f t="shared" ref="B101:B164" si="8">B100+12</f>
        <v>1247.9999999999998</v>
      </c>
      <c r="C101" s="522">
        <f t="shared" ref="C101:C164" si="9">C100+11.6</f>
        <v>1205.4999999999995</v>
      </c>
      <c r="D101" s="523">
        <f t="shared" ref="D101:D164" si="10">D100+19.3</f>
        <v>2005.3999999999974</v>
      </c>
      <c r="E101" s="522">
        <f t="shared" ref="E101:E164" si="11">E100+17</f>
        <v>1767.8999999999996</v>
      </c>
      <c r="F101" s="479"/>
    </row>
    <row r="102" spans="1:6" ht="18" customHeight="1">
      <c r="A102" s="409">
        <v>97</v>
      </c>
      <c r="B102" s="522">
        <f t="shared" si="8"/>
        <v>1259.9999999999998</v>
      </c>
      <c r="C102" s="522">
        <f t="shared" si="9"/>
        <v>1217.0999999999995</v>
      </c>
      <c r="D102" s="523">
        <f t="shared" si="10"/>
        <v>2024.6999999999973</v>
      </c>
      <c r="E102" s="522">
        <f t="shared" si="11"/>
        <v>1784.8999999999996</v>
      </c>
      <c r="F102" s="479"/>
    </row>
    <row r="103" spans="1:6" ht="18" customHeight="1">
      <c r="A103" s="409">
        <v>98</v>
      </c>
      <c r="B103" s="522">
        <f t="shared" si="8"/>
        <v>1271.9999999999998</v>
      </c>
      <c r="C103" s="522">
        <f t="shared" si="9"/>
        <v>1228.6999999999994</v>
      </c>
      <c r="D103" s="523">
        <f t="shared" si="10"/>
        <v>2043.9999999999973</v>
      </c>
      <c r="E103" s="522">
        <f t="shared" si="11"/>
        <v>1801.8999999999996</v>
      </c>
      <c r="F103" s="479"/>
    </row>
    <row r="104" spans="1:6" ht="18" customHeight="1">
      <c r="A104" s="409">
        <v>99</v>
      </c>
      <c r="B104" s="522">
        <f t="shared" si="8"/>
        <v>1283.9999999999998</v>
      </c>
      <c r="C104" s="522">
        <f t="shared" si="9"/>
        <v>1240.2999999999993</v>
      </c>
      <c r="D104" s="523">
        <f t="shared" si="10"/>
        <v>2063.2999999999975</v>
      </c>
      <c r="E104" s="522">
        <f t="shared" si="11"/>
        <v>1818.8999999999996</v>
      </c>
      <c r="F104" s="479"/>
    </row>
    <row r="105" spans="1:6" ht="18" customHeight="1">
      <c r="A105" s="409">
        <v>100</v>
      </c>
      <c r="B105" s="522">
        <f t="shared" si="8"/>
        <v>1295.9999999999998</v>
      </c>
      <c r="C105" s="522">
        <f t="shared" si="9"/>
        <v>1251.8999999999992</v>
      </c>
      <c r="D105" s="523">
        <f t="shared" si="10"/>
        <v>2082.5999999999976</v>
      </c>
      <c r="E105" s="522">
        <f t="shared" si="11"/>
        <v>1835.8999999999996</v>
      </c>
      <c r="F105" s="479"/>
    </row>
    <row r="106" spans="1:6" ht="18" customHeight="1">
      <c r="A106" s="409">
        <v>101</v>
      </c>
      <c r="B106" s="522">
        <f t="shared" si="8"/>
        <v>1307.9999999999998</v>
      </c>
      <c r="C106" s="522">
        <f t="shared" si="9"/>
        <v>1263.4999999999991</v>
      </c>
      <c r="D106" s="523">
        <f t="shared" si="10"/>
        <v>2101.8999999999978</v>
      </c>
      <c r="E106" s="522">
        <f t="shared" si="11"/>
        <v>1852.8999999999996</v>
      </c>
      <c r="F106" s="479"/>
    </row>
    <row r="107" spans="1:6" ht="18" customHeight="1">
      <c r="A107" s="409">
        <v>102</v>
      </c>
      <c r="B107" s="522">
        <f t="shared" si="8"/>
        <v>1319.9999999999998</v>
      </c>
      <c r="C107" s="522">
        <f t="shared" si="9"/>
        <v>1275.099999999999</v>
      </c>
      <c r="D107" s="523">
        <f t="shared" si="10"/>
        <v>2121.199999999998</v>
      </c>
      <c r="E107" s="522">
        <f t="shared" si="11"/>
        <v>1869.8999999999996</v>
      </c>
      <c r="F107" s="479"/>
    </row>
    <row r="108" spans="1:6" ht="18" customHeight="1">
      <c r="A108" s="409">
        <v>103</v>
      </c>
      <c r="B108" s="522">
        <f t="shared" si="8"/>
        <v>1331.9999999999998</v>
      </c>
      <c r="C108" s="522">
        <f t="shared" si="9"/>
        <v>1286.6999999999989</v>
      </c>
      <c r="D108" s="523">
        <f t="shared" si="10"/>
        <v>2140.4999999999982</v>
      </c>
      <c r="E108" s="522">
        <f t="shared" si="11"/>
        <v>1886.8999999999996</v>
      </c>
      <c r="F108" s="479"/>
    </row>
    <row r="109" spans="1:6" ht="18" customHeight="1">
      <c r="A109" s="409">
        <v>104</v>
      </c>
      <c r="B109" s="522">
        <f t="shared" si="8"/>
        <v>1343.9999999999998</v>
      </c>
      <c r="C109" s="522">
        <f t="shared" si="9"/>
        <v>1298.2999999999988</v>
      </c>
      <c r="D109" s="523">
        <f t="shared" si="10"/>
        <v>2159.7999999999984</v>
      </c>
      <c r="E109" s="522">
        <f t="shared" si="11"/>
        <v>1903.8999999999996</v>
      </c>
      <c r="F109" s="479"/>
    </row>
    <row r="110" spans="1:6" ht="18" customHeight="1">
      <c r="A110" s="409">
        <v>105</v>
      </c>
      <c r="B110" s="522">
        <f t="shared" si="8"/>
        <v>1355.9999999999998</v>
      </c>
      <c r="C110" s="522">
        <f t="shared" si="9"/>
        <v>1309.8999999999987</v>
      </c>
      <c r="D110" s="523">
        <f t="shared" si="10"/>
        <v>2179.0999999999985</v>
      </c>
      <c r="E110" s="522">
        <f t="shared" si="11"/>
        <v>1920.8999999999996</v>
      </c>
      <c r="F110" s="479"/>
    </row>
    <row r="111" spans="1:6" ht="18" customHeight="1">
      <c r="A111" s="409">
        <v>106</v>
      </c>
      <c r="B111" s="522">
        <f t="shared" si="8"/>
        <v>1367.9999999999998</v>
      </c>
      <c r="C111" s="522">
        <f t="shared" si="9"/>
        <v>1321.4999999999986</v>
      </c>
      <c r="D111" s="523">
        <f t="shared" si="10"/>
        <v>2198.3999999999987</v>
      </c>
      <c r="E111" s="522">
        <f t="shared" si="11"/>
        <v>1937.8999999999996</v>
      </c>
      <c r="F111" s="479"/>
    </row>
    <row r="112" spans="1:6" ht="18" customHeight="1">
      <c r="A112" s="409">
        <v>107</v>
      </c>
      <c r="B112" s="522">
        <f t="shared" si="8"/>
        <v>1379.9999999999998</v>
      </c>
      <c r="C112" s="522">
        <f t="shared" si="9"/>
        <v>1333.0999999999985</v>
      </c>
      <c r="D112" s="523">
        <f t="shared" si="10"/>
        <v>2217.6999999999989</v>
      </c>
      <c r="E112" s="522">
        <f t="shared" si="11"/>
        <v>1954.8999999999996</v>
      </c>
      <c r="F112" s="479"/>
    </row>
    <row r="113" spans="1:6" ht="18" customHeight="1">
      <c r="A113" s="409">
        <v>108</v>
      </c>
      <c r="B113" s="522">
        <f t="shared" si="8"/>
        <v>1391.9999999999998</v>
      </c>
      <c r="C113" s="522">
        <f t="shared" si="9"/>
        <v>1344.6999999999985</v>
      </c>
      <c r="D113" s="523">
        <f t="shared" si="10"/>
        <v>2236.9999999999991</v>
      </c>
      <c r="E113" s="522">
        <f t="shared" si="11"/>
        <v>1971.8999999999996</v>
      </c>
      <c r="F113" s="479"/>
    </row>
    <row r="114" spans="1:6" ht="18" customHeight="1">
      <c r="A114" s="409">
        <v>109</v>
      </c>
      <c r="B114" s="522">
        <f t="shared" si="8"/>
        <v>1403.9999999999998</v>
      </c>
      <c r="C114" s="522">
        <f t="shared" si="9"/>
        <v>1356.2999999999984</v>
      </c>
      <c r="D114" s="523">
        <f t="shared" si="10"/>
        <v>2256.2999999999993</v>
      </c>
      <c r="E114" s="522">
        <f t="shared" si="11"/>
        <v>1988.8999999999996</v>
      </c>
      <c r="F114" s="479"/>
    </row>
    <row r="115" spans="1:6" ht="18" customHeight="1">
      <c r="A115" s="409">
        <v>110</v>
      </c>
      <c r="B115" s="522">
        <f t="shared" si="8"/>
        <v>1415.9999999999998</v>
      </c>
      <c r="C115" s="522">
        <f t="shared" si="9"/>
        <v>1367.8999999999983</v>
      </c>
      <c r="D115" s="523">
        <f t="shared" si="10"/>
        <v>2275.5999999999995</v>
      </c>
      <c r="E115" s="522">
        <f t="shared" si="11"/>
        <v>2005.8999999999996</v>
      </c>
      <c r="F115" s="479"/>
    </row>
    <row r="116" spans="1:6" ht="18" customHeight="1">
      <c r="A116" s="409">
        <v>111</v>
      </c>
      <c r="B116" s="522">
        <f t="shared" si="8"/>
        <v>1427.9999999999998</v>
      </c>
      <c r="C116" s="522">
        <f t="shared" si="9"/>
        <v>1379.4999999999982</v>
      </c>
      <c r="D116" s="523">
        <f t="shared" si="10"/>
        <v>2294.8999999999996</v>
      </c>
      <c r="E116" s="522">
        <f t="shared" si="11"/>
        <v>2022.8999999999996</v>
      </c>
      <c r="F116" s="479"/>
    </row>
    <row r="117" spans="1:6" ht="18" customHeight="1">
      <c r="A117" s="409">
        <v>112</v>
      </c>
      <c r="B117" s="522">
        <f t="shared" si="8"/>
        <v>1439.9999999999998</v>
      </c>
      <c r="C117" s="522">
        <f t="shared" si="9"/>
        <v>1391.0999999999981</v>
      </c>
      <c r="D117" s="523">
        <f t="shared" si="10"/>
        <v>2314.1999999999998</v>
      </c>
      <c r="E117" s="522">
        <f t="shared" si="11"/>
        <v>2039.8999999999996</v>
      </c>
      <c r="F117" s="479"/>
    </row>
    <row r="118" spans="1:6" ht="18" customHeight="1">
      <c r="A118" s="409">
        <v>113</v>
      </c>
      <c r="B118" s="522">
        <f t="shared" si="8"/>
        <v>1451.9999999999998</v>
      </c>
      <c r="C118" s="522">
        <f t="shared" si="9"/>
        <v>1402.699999999998</v>
      </c>
      <c r="D118" s="523">
        <f t="shared" si="10"/>
        <v>2333.5</v>
      </c>
      <c r="E118" s="522">
        <f t="shared" si="11"/>
        <v>2056.8999999999996</v>
      </c>
      <c r="F118" s="479"/>
    </row>
    <row r="119" spans="1:6" ht="18" customHeight="1">
      <c r="A119" s="409">
        <v>114</v>
      </c>
      <c r="B119" s="522">
        <f t="shared" si="8"/>
        <v>1463.9999999999998</v>
      </c>
      <c r="C119" s="522">
        <f t="shared" si="9"/>
        <v>1414.2999999999979</v>
      </c>
      <c r="D119" s="523">
        <f t="shared" si="10"/>
        <v>2352.8000000000002</v>
      </c>
      <c r="E119" s="522">
        <f t="shared" si="11"/>
        <v>2073.8999999999996</v>
      </c>
      <c r="F119" s="479"/>
    </row>
    <row r="120" spans="1:6" ht="18" customHeight="1">
      <c r="A120" s="409">
        <v>115</v>
      </c>
      <c r="B120" s="522">
        <f t="shared" si="8"/>
        <v>1475.9999999999998</v>
      </c>
      <c r="C120" s="522">
        <f t="shared" si="9"/>
        <v>1425.8999999999978</v>
      </c>
      <c r="D120" s="523">
        <f t="shared" si="10"/>
        <v>2372.1000000000004</v>
      </c>
      <c r="E120" s="522">
        <f t="shared" si="11"/>
        <v>2090.8999999999996</v>
      </c>
      <c r="F120" s="479"/>
    </row>
    <row r="121" spans="1:6" ht="18" customHeight="1">
      <c r="A121" s="409">
        <v>116</v>
      </c>
      <c r="B121" s="522">
        <f t="shared" si="8"/>
        <v>1487.9999999999998</v>
      </c>
      <c r="C121" s="522">
        <f t="shared" si="9"/>
        <v>1437.4999999999977</v>
      </c>
      <c r="D121" s="523">
        <f t="shared" si="10"/>
        <v>2391.4000000000005</v>
      </c>
      <c r="E121" s="522">
        <f t="shared" si="11"/>
        <v>2107.8999999999996</v>
      </c>
      <c r="F121" s="479"/>
    </row>
    <row r="122" spans="1:6" ht="18" customHeight="1">
      <c r="A122" s="409">
        <v>117</v>
      </c>
      <c r="B122" s="522">
        <f t="shared" si="8"/>
        <v>1499.9999999999998</v>
      </c>
      <c r="C122" s="522">
        <f t="shared" si="9"/>
        <v>1449.0999999999976</v>
      </c>
      <c r="D122" s="523">
        <f t="shared" si="10"/>
        <v>2410.7000000000007</v>
      </c>
      <c r="E122" s="522">
        <f t="shared" si="11"/>
        <v>2124.8999999999996</v>
      </c>
      <c r="F122" s="479"/>
    </row>
    <row r="123" spans="1:6" ht="18" customHeight="1">
      <c r="A123" s="409">
        <v>118</v>
      </c>
      <c r="B123" s="522">
        <f t="shared" si="8"/>
        <v>1511.9999999999998</v>
      </c>
      <c r="C123" s="522">
        <f t="shared" si="9"/>
        <v>1460.6999999999975</v>
      </c>
      <c r="D123" s="523">
        <f t="shared" si="10"/>
        <v>2430.0000000000009</v>
      </c>
      <c r="E123" s="522">
        <f t="shared" si="11"/>
        <v>2141.8999999999996</v>
      </c>
      <c r="F123" s="479"/>
    </row>
    <row r="124" spans="1:6" ht="18" customHeight="1">
      <c r="A124" s="409">
        <v>119</v>
      </c>
      <c r="B124" s="522">
        <f t="shared" si="8"/>
        <v>1523.9999999999998</v>
      </c>
      <c r="C124" s="522">
        <f t="shared" si="9"/>
        <v>1472.2999999999975</v>
      </c>
      <c r="D124" s="523">
        <f t="shared" si="10"/>
        <v>2449.3000000000011</v>
      </c>
      <c r="E124" s="522">
        <f t="shared" si="11"/>
        <v>2158.8999999999996</v>
      </c>
      <c r="F124" s="479"/>
    </row>
    <row r="125" spans="1:6" ht="18" customHeight="1">
      <c r="A125" s="409">
        <v>120</v>
      </c>
      <c r="B125" s="522">
        <f t="shared" si="8"/>
        <v>1535.9999999999998</v>
      </c>
      <c r="C125" s="522">
        <f t="shared" si="9"/>
        <v>1483.8999999999974</v>
      </c>
      <c r="D125" s="523">
        <f t="shared" si="10"/>
        <v>2468.6000000000013</v>
      </c>
      <c r="E125" s="522">
        <f t="shared" si="11"/>
        <v>2175.8999999999996</v>
      </c>
      <c r="F125" s="479"/>
    </row>
    <row r="126" spans="1:6" ht="18" customHeight="1">
      <c r="A126" s="409">
        <v>121</v>
      </c>
      <c r="B126" s="522">
        <f t="shared" si="8"/>
        <v>1547.9999999999998</v>
      </c>
      <c r="C126" s="522">
        <f t="shared" si="9"/>
        <v>1495.4999999999973</v>
      </c>
      <c r="D126" s="523">
        <f t="shared" si="10"/>
        <v>2487.9000000000015</v>
      </c>
      <c r="E126" s="522">
        <f t="shared" si="11"/>
        <v>2192.8999999999996</v>
      </c>
      <c r="F126" s="479"/>
    </row>
    <row r="127" spans="1:6" ht="18" customHeight="1">
      <c r="A127" s="409">
        <v>122</v>
      </c>
      <c r="B127" s="522">
        <f t="shared" si="8"/>
        <v>1559.9999999999998</v>
      </c>
      <c r="C127" s="522">
        <f t="shared" si="9"/>
        <v>1507.0999999999972</v>
      </c>
      <c r="D127" s="523">
        <f t="shared" si="10"/>
        <v>2507.2000000000016</v>
      </c>
      <c r="E127" s="522">
        <f t="shared" si="11"/>
        <v>2209.8999999999996</v>
      </c>
      <c r="F127" s="479"/>
    </row>
    <row r="128" spans="1:6" ht="18" customHeight="1">
      <c r="A128" s="409">
        <v>123</v>
      </c>
      <c r="B128" s="522">
        <f t="shared" si="8"/>
        <v>1571.9999999999998</v>
      </c>
      <c r="C128" s="522">
        <f t="shared" si="9"/>
        <v>1518.6999999999971</v>
      </c>
      <c r="D128" s="523">
        <f t="shared" si="10"/>
        <v>2526.5000000000018</v>
      </c>
      <c r="E128" s="522">
        <f t="shared" si="11"/>
        <v>2226.8999999999996</v>
      </c>
      <c r="F128" s="479"/>
    </row>
    <row r="129" spans="1:6" ht="18" customHeight="1">
      <c r="A129" s="409">
        <v>124</v>
      </c>
      <c r="B129" s="522">
        <f t="shared" si="8"/>
        <v>1583.9999999999998</v>
      </c>
      <c r="C129" s="522">
        <f t="shared" si="9"/>
        <v>1530.299999999997</v>
      </c>
      <c r="D129" s="523">
        <f t="shared" si="10"/>
        <v>2545.800000000002</v>
      </c>
      <c r="E129" s="522">
        <f t="shared" si="11"/>
        <v>2243.8999999999996</v>
      </c>
      <c r="F129" s="479"/>
    </row>
    <row r="130" spans="1:6" ht="18" customHeight="1">
      <c r="A130" s="409">
        <v>125</v>
      </c>
      <c r="B130" s="522">
        <f t="shared" si="8"/>
        <v>1595.9999999999998</v>
      </c>
      <c r="C130" s="522">
        <f t="shared" si="9"/>
        <v>1541.8999999999969</v>
      </c>
      <c r="D130" s="523">
        <f t="shared" si="10"/>
        <v>2565.1000000000022</v>
      </c>
      <c r="E130" s="522">
        <f t="shared" si="11"/>
        <v>2260.8999999999996</v>
      </c>
      <c r="F130" s="479"/>
    </row>
    <row r="131" spans="1:6" ht="18" customHeight="1">
      <c r="A131" s="409">
        <v>126</v>
      </c>
      <c r="B131" s="522">
        <f t="shared" si="8"/>
        <v>1607.9999999999998</v>
      </c>
      <c r="C131" s="522">
        <f t="shared" si="9"/>
        <v>1553.4999999999968</v>
      </c>
      <c r="D131" s="523">
        <f t="shared" si="10"/>
        <v>2584.4000000000024</v>
      </c>
      <c r="E131" s="522">
        <f t="shared" si="11"/>
        <v>2277.8999999999996</v>
      </c>
      <c r="F131" s="479"/>
    </row>
    <row r="132" spans="1:6" ht="18" customHeight="1">
      <c r="A132" s="409">
        <v>127</v>
      </c>
      <c r="B132" s="522">
        <f t="shared" si="8"/>
        <v>1619.9999999999998</v>
      </c>
      <c r="C132" s="522">
        <f t="shared" si="9"/>
        <v>1565.0999999999967</v>
      </c>
      <c r="D132" s="523">
        <f t="shared" si="10"/>
        <v>2603.7000000000025</v>
      </c>
      <c r="E132" s="522">
        <f t="shared" si="11"/>
        <v>2294.8999999999996</v>
      </c>
      <c r="F132" s="479"/>
    </row>
    <row r="133" spans="1:6" ht="18" customHeight="1">
      <c r="A133" s="409">
        <v>128</v>
      </c>
      <c r="B133" s="522">
        <f t="shared" si="8"/>
        <v>1631.9999999999998</v>
      </c>
      <c r="C133" s="522">
        <f t="shared" si="9"/>
        <v>1576.6999999999966</v>
      </c>
      <c r="D133" s="523">
        <f t="shared" si="10"/>
        <v>2623.0000000000027</v>
      </c>
      <c r="E133" s="522">
        <f t="shared" si="11"/>
        <v>2311.8999999999996</v>
      </c>
      <c r="F133" s="479"/>
    </row>
    <row r="134" spans="1:6" ht="18" customHeight="1">
      <c r="A134" s="409">
        <v>129</v>
      </c>
      <c r="B134" s="522">
        <f t="shared" si="8"/>
        <v>1643.9999999999998</v>
      </c>
      <c r="C134" s="522">
        <f t="shared" si="9"/>
        <v>1588.2999999999965</v>
      </c>
      <c r="D134" s="523">
        <f t="shared" si="10"/>
        <v>2642.3000000000029</v>
      </c>
      <c r="E134" s="522">
        <f t="shared" si="11"/>
        <v>2328.8999999999996</v>
      </c>
      <c r="F134" s="479"/>
    </row>
    <row r="135" spans="1:6" ht="18" customHeight="1">
      <c r="A135" s="409">
        <v>130</v>
      </c>
      <c r="B135" s="522">
        <f t="shared" si="8"/>
        <v>1655.9999999999998</v>
      </c>
      <c r="C135" s="522">
        <f t="shared" si="9"/>
        <v>1599.8999999999965</v>
      </c>
      <c r="D135" s="523">
        <f t="shared" si="10"/>
        <v>2661.6000000000031</v>
      </c>
      <c r="E135" s="522">
        <f t="shared" si="11"/>
        <v>2345.8999999999996</v>
      </c>
      <c r="F135" s="479"/>
    </row>
    <row r="136" spans="1:6" ht="18" customHeight="1">
      <c r="A136" s="409">
        <v>131</v>
      </c>
      <c r="B136" s="522">
        <f t="shared" si="8"/>
        <v>1667.9999999999998</v>
      </c>
      <c r="C136" s="522">
        <f t="shared" si="9"/>
        <v>1611.4999999999964</v>
      </c>
      <c r="D136" s="523">
        <f t="shared" si="10"/>
        <v>2680.9000000000033</v>
      </c>
      <c r="E136" s="522">
        <f t="shared" si="11"/>
        <v>2362.8999999999996</v>
      </c>
      <c r="F136" s="479"/>
    </row>
    <row r="137" spans="1:6" ht="18" customHeight="1">
      <c r="A137" s="409">
        <v>132</v>
      </c>
      <c r="B137" s="522">
        <f t="shared" si="8"/>
        <v>1679.9999999999998</v>
      </c>
      <c r="C137" s="522">
        <f t="shared" si="9"/>
        <v>1623.0999999999963</v>
      </c>
      <c r="D137" s="523">
        <f t="shared" si="10"/>
        <v>2700.2000000000035</v>
      </c>
      <c r="E137" s="522">
        <f t="shared" si="11"/>
        <v>2379.8999999999996</v>
      </c>
      <c r="F137" s="479"/>
    </row>
    <row r="138" spans="1:6" ht="18" customHeight="1">
      <c r="A138" s="409">
        <v>133</v>
      </c>
      <c r="B138" s="522">
        <f t="shared" si="8"/>
        <v>1691.9999999999998</v>
      </c>
      <c r="C138" s="522">
        <f t="shared" si="9"/>
        <v>1634.6999999999962</v>
      </c>
      <c r="D138" s="523">
        <f t="shared" si="10"/>
        <v>2719.5000000000036</v>
      </c>
      <c r="E138" s="522">
        <f t="shared" si="11"/>
        <v>2396.8999999999996</v>
      </c>
      <c r="F138" s="479"/>
    </row>
    <row r="139" spans="1:6" ht="18" customHeight="1">
      <c r="A139" s="409">
        <v>134</v>
      </c>
      <c r="B139" s="522">
        <f t="shared" si="8"/>
        <v>1703.9999999999998</v>
      </c>
      <c r="C139" s="522">
        <f t="shared" si="9"/>
        <v>1646.2999999999961</v>
      </c>
      <c r="D139" s="523">
        <f t="shared" si="10"/>
        <v>2738.8000000000038</v>
      </c>
      <c r="E139" s="522">
        <f t="shared" si="11"/>
        <v>2413.8999999999996</v>
      </c>
      <c r="F139" s="479"/>
    </row>
    <row r="140" spans="1:6" ht="18" customHeight="1">
      <c r="A140" s="414">
        <v>135</v>
      </c>
      <c r="B140" s="522">
        <f t="shared" si="8"/>
        <v>1715.9999999999998</v>
      </c>
      <c r="C140" s="522">
        <f t="shared" si="9"/>
        <v>1657.899999999996</v>
      </c>
      <c r="D140" s="523">
        <f t="shared" si="10"/>
        <v>2758.100000000004</v>
      </c>
      <c r="E140" s="522">
        <f t="shared" si="11"/>
        <v>2430.8999999999996</v>
      </c>
      <c r="F140" s="479"/>
    </row>
    <row r="141" spans="1:6" ht="18" customHeight="1">
      <c r="A141" s="409">
        <v>136</v>
      </c>
      <c r="B141" s="522">
        <f t="shared" si="8"/>
        <v>1727.9999999999998</v>
      </c>
      <c r="C141" s="522">
        <f t="shared" si="9"/>
        <v>1669.4999999999959</v>
      </c>
      <c r="D141" s="523">
        <f t="shared" si="10"/>
        <v>2777.4000000000042</v>
      </c>
      <c r="E141" s="522">
        <f t="shared" si="11"/>
        <v>2447.8999999999996</v>
      </c>
      <c r="F141" s="479"/>
    </row>
    <row r="142" spans="1:6" ht="18" customHeight="1">
      <c r="A142" s="409">
        <v>137</v>
      </c>
      <c r="B142" s="522">
        <f t="shared" si="8"/>
        <v>1739.9999999999998</v>
      </c>
      <c r="C142" s="522">
        <f t="shared" si="9"/>
        <v>1681.0999999999958</v>
      </c>
      <c r="D142" s="523">
        <f t="shared" si="10"/>
        <v>2796.7000000000044</v>
      </c>
      <c r="E142" s="522">
        <f t="shared" si="11"/>
        <v>2464.8999999999996</v>
      </c>
      <c r="F142" s="479"/>
    </row>
    <row r="143" spans="1:6" ht="18" customHeight="1">
      <c r="A143" s="409">
        <v>138</v>
      </c>
      <c r="B143" s="522">
        <f t="shared" si="8"/>
        <v>1751.9999999999998</v>
      </c>
      <c r="C143" s="522">
        <f t="shared" si="9"/>
        <v>1692.6999999999957</v>
      </c>
      <c r="D143" s="523">
        <f t="shared" si="10"/>
        <v>2816.0000000000045</v>
      </c>
      <c r="E143" s="522">
        <f t="shared" si="11"/>
        <v>2481.8999999999996</v>
      </c>
      <c r="F143" s="479"/>
    </row>
    <row r="144" spans="1:6" ht="18" customHeight="1">
      <c r="A144" s="409">
        <v>139</v>
      </c>
      <c r="B144" s="522">
        <f t="shared" si="8"/>
        <v>1763.9999999999998</v>
      </c>
      <c r="C144" s="522">
        <f t="shared" si="9"/>
        <v>1704.2999999999956</v>
      </c>
      <c r="D144" s="523">
        <f t="shared" si="10"/>
        <v>2835.3000000000047</v>
      </c>
      <c r="E144" s="522">
        <f t="shared" si="11"/>
        <v>2498.8999999999996</v>
      </c>
      <c r="F144" s="479"/>
    </row>
    <row r="145" spans="1:6" ht="18" customHeight="1">
      <c r="A145" s="409">
        <v>140</v>
      </c>
      <c r="B145" s="522">
        <f t="shared" si="8"/>
        <v>1775.9999999999998</v>
      </c>
      <c r="C145" s="522">
        <f t="shared" si="9"/>
        <v>1715.8999999999955</v>
      </c>
      <c r="D145" s="523">
        <f t="shared" si="10"/>
        <v>2854.6000000000049</v>
      </c>
      <c r="E145" s="522">
        <f t="shared" si="11"/>
        <v>2515.8999999999996</v>
      </c>
      <c r="F145" s="479"/>
    </row>
    <row r="146" spans="1:6" ht="18" customHeight="1">
      <c r="A146" s="409">
        <v>141</v>
      </c>
      <c r="B146" s="522">
        <f t="shared" si="8"/>
        <v>1787.9999999999998</v>
      </c>
      <c r="C146" s="522">
        <f t="shared" si="9"/>
        <v>1727.4999999999955</v>
      </c>
      <c r="D146" s="523">
        <f t="shared" si="10"/>
        <v>2873.9000000000051</v>
      </c>
      <c r="E146" s="522">
        <f t="shared" si="11"/>
        <v>2532.8999999999996</v>
      </c>
      <c r="F146" s="479"/>
    </row>
    <row r="147" spans="1:6" ht="18" customHeight="1">
      <c r="A147" s="409">
        <v>142</v>
      </c>
      <c r="B147" s="522">
        <f t="shared" si="8"/>
        <v>1799.9999999999998</v>
      </c>
      <c r="C147" s="522">
        <f t="shared" si="9"/>
        <v>1739.0999999999954</v>
      </c>
      <c r="D147" s="523">
        <f t="shared" si="10"/>
        <v>2893.2000000000053</v>
      </c>
      <c r="E147" s="522">
        <f t="shared" si="11"/>
        <v>2549.8999999999996</v>
      </c>
      <c r="F147" s="479"/>
    </row>
    <row r="148" spans="1:6" ht="18" customHeight="1">
      <c r="A148" s="409">
        <v>143</v>
      </c>
      <c r="B148" s="522">
        <f t="shared" si="8"/>
        <v>1811.9999999999998</v>
      </c>
      <c r="C148" s="522">
        <f t="shared" si="9"/>
        <v>1750.6999999999953</v>
      </c>
      <c r="D148" s="523">
        <f t="shared" si="10"/>
        <v>2912.5000000000055</v>
      </c>
      <c r="E148" s="522">
        <f t="shared" si="11"/>
        <v>2566.8999999999996</v>
      </c>
      <c r="F148" s="479"/>
    </row>
    <row r="149" spans="1:6" ht="18" customHeight="1">
      <c r="A149" s="409">
        <v>144</v>
      </c>
      <c r="B149" s="522">
        <f t="shared" si="8"/>
        <v>1823.9999999999998</v>
      </c>
      <c r="C149" s="522">
        <f t="shared" si="9"/>
        <v>1762.2999999999952</v>
      </c>
      <c r="D149" s="523">
        <f t="shared" si="10"/>
        <v>2931.8000000000056</v>
      </c>
      <c r="E149" s="522">
        <f t="shared" si="11"/>
        <v>2583.8999999999996</v>
      </c>
      <c r="F149" s="479"/>
    </row>
    <row r="150" spans="1:6" ht="18" customHeight="1">
      <c r="A150" s="409">
        <v>145</v>
      </c>
      <c r="B150" s="522">
        <f t="shared" si="8"/>
        <v>1835.9999999999998</v>
      </c>
      <c r="C150" s="522">
        <f t="shared" si="9"/>
        <v>1773.8999999999951</v>
      </c>
      <c r="D150" s="523">
        <f t="shared" si="10"/>
        <v>2951.1000000000058</v>
      </c>
      <c r="E150" s="522">
        <f t="shared" si="11"/>
        <v>2600.8999999999996</v>
      </c>
      <c r="F150" s="479"/>
    </row>
    <row r="151" spans="1:6" ht="18" customHeight="1">
      <c r="A151" s="409">
        <v>146</v>
      </c>
      <c r="B151" s="522">
        <f t="shared" si="8"/>
        <v>1847.9999999999998</v>
      </c>
      <c r="C151" s="522">
        <f t="shared" si="9"/>
        <v>1785.499999999995</v>
      </c>
      <c r="D151" s="523">
        <f t="shared" si="10"/>
        <v>2970.400000000006</v>
      </c>
      <c r="E151" s="522">
        <f t="shared" si="11"/>
        <v>2617.8999999999996</v>
      </c>
      <c r="F151" s="479"/>
    </row>
    <row r="152" spans="1:6" ht="18" customHeight="1">
      <c r="A152" s="409">
        <v>147</v>
      </c>
      <c r="B152" s="522">
        <f t="shared" si="8"/>
        <v>1859.9999999999998</v>
      </c>
      <c r="C152" s="522">
        <f t="shared" si="9"/>
        <v>1797.0999999999949</v>
      </c>
      <c r="D152" s="523">
        <f t="shared" si="10"/>
        <v>2989.7000000000062</v>
      </c>
      <c r="E152" s="522">
        <f t="shared" si="11"/>
        <v>2634.8999999999996</v>
      </c>
      <c r="F152" s="479"/>
    </row>
    <row r="153" spans="1:6" ht="18" customHeight="1">
      <c r="A153" s="409">
        <v>148</v>
      </c>
      <c r="B153" s="522">
        <f t="shared" si="8"/>
        <v>1871.9999999999998</v>
      </c>
      <c r="C153" s="522">
        <f t="shared" si="9"/>
        <v>1808.6999999999948</v>
      </c>
      <c r="D153" s="523">
        <f t="shared" si="10"/>
        <v>3009.0000000000064</v>
      </c>
      <c r="E153" s="522">
        <f t="shared" si="11"/>
        <v>2651.8999999999996</v>
      </c>
      <c r="F153" s="479"/>
    </row>
    <row r="154" spans="1:6" ht="18" customHeight="1">
      <c r="A154" s="409">
        <v>149</v>
      </c>
      <c r="B154" s="522">
        <f t="shared" si="8"/>
        <v>1883.9999999999998</v>
      </c>
      <c r="C154" s="522">
        <f t="shared" si="9"/>
        <v>1820.2999999999947</v>
      </c>
      <c r="D154" s="523">
        <f t="shared" si="10"/>
        <v>3028.3000000000065</v>
      </c>
      <c r="E154" s="522">
        <f t="shared" si="11"/>
        <v>2668.8999999999996</v>
      </c>
      <c r="F154" s="479"/>
    </row>
    <row r="155" spans="1:6" ht="18" customHeight="1">
      <c r="A155" s="409">
        <v>150</v>
      </c>
      <c r="B155" s="522">
        <f t="shared" si="8"/>
        <v>1895.9999999999998</v>
      </c>
      <c r="C155" s="522">
        <f t="shared" si="9"/>
        <v>1831.8999999999946</v>
      </c>
      <c r="D155" s="523">
        <f t="shared" si="10"/>
        <v>3047.6000000000067</v>
      </c>
      <c r="E155" s="522">
        <f t="shared" si="11"/>
        <v>2685.8999999999996</v>
      </c>
      <c r="F155" s="479"/>
    </row>
    <row r="156" spans="1:6" ht="18" customHeight="1">
      <c r="A156" s="409">
        <v>151</v>
      </c>
      <c r="B156" s="522">
        <f t="shared" si="8"/>
        <v>1907.9999999999998</v>
      </c>
      <c r="C156" s="522">
        <f t="shared" si="9"/>
        <v>1843.4999999999945</v>
      </c>
      <c r="D156" s="523">
        <f t="shared" si="10"/>
        <v>3066.9000000000069</v>
      </c>
      <c r="E156" s="522">
        <f t="shared" si="11"/>
        <v>2702.8999999999996</v>
      </c>
      <c r="F156" s="479"/>
    </row>
    <row r="157" spans="1:6" ht="18" customHeight="1">
      <c r="A157" s="409">
        <v>152</v>
      </c>
      <c r="B157" s="522">
        <f t="shared" si="8"/>
        <v>1919.9999999999998</v>
      </c>
      <c r="C157" s="522">
        <f t="shared" si="9"/>
        <v>1855.0999999999945</v>
      </c>
      <c r="D157" s="523">
        <f t="shared" si="10"/>
        <v>3086.2000000000071</v>
      </c>
      <c r="E157" s="522">
        <f t="shared" si="11"/>
        <v>2719.8999999999996</v>
      </c>
      <c r="F157" s="479"/>
    </row>
    <row r="158" spans="1:6" ht="18" customHeight="1">
      <c r="A158" s="409">
        <v>153</v>
      </c>
      <c r="B158" s="522">
        <f t="shared" si="8"/>
        <v>1931.9999999999998</v>
      </c>
      <c r="C158" s="522">
        <f t="shared" si="9"/>
        <v>1866.6999999999944</v>
      </c>
      <c r="D158" s="523">
        <f t="shared" si="10"/>
        <v>3105.5000000000073</v>
      </c>
      <c r="E158" s="522">
        <f t="shared" si="11"/>
        <v>2736.8999999999996</v>
      </c>
      <c r="F158" s="479"/>
    </row>
    <row r="159" spans="1:6" ht="18" customHeight="1">
      <c r="A159" s="409">
        <v>154</v>
      </c>
      <c r="B159" s="522">
        <f t="shared" si="8"/>
        <v>1943.9999999999998</v>
      </c>
      <c r="C159" s="522">
        <f t="shared" si="9"/>
        <v>1878.2999999999943</v>
      </c>
      <c r="D159" s="523">
        <f t="shared" si="10"/>
        <v>3124.8000000000075</v>
      </c>
      <c r="E159" s="522">
        <f t="shared" si="11"/>
        <v>2753.8999999999996</v>
      </c>
      <c r="F159" s="479"/>
    </row>
    <row r="160" spans="1:6" ht="18" customHeight="1">
      <c r="A160" s="409">
        <v>155</v>
      </c>
      <c r="B160" s="522">
        <f t="shared" si="8"/>
        <v>1955.9999999999998</v>
      </c>
      <c r="C160" s="522">
        <f t="shared" si="9"/>
        <v>1889.8999999999942</v>
      </c>
      <c r="D160" s="523">
        <f t="shared" si="10"/>
        <v>3144.1000000000076</v>
      </c>
      <c r="E160" s="522">
        <f t="shared" si="11"/>
        <v>2770.8999999999996</v>
      </c>
      <c r="F160" s="479"/>
    </row>
    <row r="161" spans="1:6" ht="18" customHeight="1">
      <c r="A161" s="409">
        <v>156</v>
      </c>
      <c r="B161" s="522">
        <f t="shared" si="8"/>
        <v>1967.9999999999998</v>
      </c>
      <c r="C161" s="522">
        <f t="shared" si="9"/>
        <v>1901.4999999999941</v>
      </c>
      <c r="D161" s="523">
        <f t="shared" si="10"/>
        <v>3163.4000000000078</v>
      </c>
      <c r="E161" s="522">
        <f t="shared" si="11"/>
        <v>2787.8999999999996</v>
      </c>
      <c r="F161" s="479"/>
    </row>
    <row r="162" spans="1:6" ht="18" customHeight="1">
      <c r="A162" s="409">
        <v>157</v>
      </c>
      <c r="B162" s="522">
        <f t="shared" si="8"/>
        <v>1979.9999999999998</v>
      </c>
      <c r="C162" s="522">
        <f t="shared" si="9"/>
        <v>1913.099999999994</v>
      </c>
      <c r="D162" s="523">
        <f t="shared" si="10"/>
        <v>3182.700000000008</v>
      </c>
      <c r="E162" s="522">
        <f t="shared" si="11"/>
        <v>2804.8999999999996</v>
      </c>
      <c r="F162" s="479"/>
    </row>
    <row r="163" spans="1:6" ht="18" customHeight="1">
      <c r="A163" s="409">
        <v>158</v>
      </c>
      <c r="B163" s="522">
        <f t="shared" si="8"/>
        <v>1991.9999999999998</v>
      </c>
      <c r="C163" s="522">
        <f t="shared" si="9"/>
        <v>1924.6999999999939</v>
      </c>
      <c r="D163" s="523">
        <f t="shared" si="10"/>
        <v>3202.0000000000082</v>
      </c>
      <c r="E163" s="522">
        <f t="shared" si="11"/>
        <v>2821.8999999999996</v>
      </c>
      <c r="F163" s="479"/>
    </row>
    <row r="164" spans="1:6" ht="18" customHeight="1">
      <c r="A164" s="409">
        <v>159</v>
      </c>
      <c r="B164" s="522">
        <f t="shared" si="8"/>
        <v>2003.9999999999998</v>
      </c>
      <c r="C164" s="522">
        <f t="shared" si="9"/>
        <v>1936.2999999999938</v>
      </c>
      <c r="D164" s="523">
        <f t="shared" si="10"/>
        <v>3221.3000000000084</v>
      </c>
      <c r="E164" s="522">
        <f t="shared" si="11"/>
        <v>2838.8999999999996</v>
      </c>
      <c r="F164" s="479"/>
    </row>
    <row r="165" spans="1:6" ht="18" customHeight="1">
      <c r="A165" s="409">
        <v>160</v>
      </c>
      <c r="B165" s="522">
        <f t="shared" ref="B165:B228" si="12">B164+12</f>
        <v>2015.9999999999998</v>
      </c>
      <c r="C165" s="522">
        <f t="shared" ref="C165:C228" si="13">C164+11.6</f>
        <v>1947.8999999999937</v>
      </c>
      <c r="D165" s="523">
        <f t="shared" ref="D165:D228" si="14">D164+19.3</f>
        <v>3240.6000000000085</v>
      </c>
      <c r="E165" s="522">
        <f t="shared" ref="E165:E228" si="15">E164+17</f>
        <v>2855.8999999999996</v>
      </c>
      <c r="F165" s="479"/>
    </row>
    <row r="166" spans="1:6" ht="18" customHeight="1">
      <c r="A166" s="409">
        <v>161</v>
      </c>
      <c r="B166" s="522">
        <f t="shared" si="12"/>
        <v>2027.9999999999998</v>
      </c>
      <c r="C166" s="522">
        <f t="shared" si="13"/>
        <v>1959.4999999999936</v>
      </c>
      <c r="D166" s="523">
        <f t="shared" si="14"/>
        <v>3259.9000000000087</v>
      </c>
      <c r="E166" s="522">
        <f t="shared" si="15"/>
        <v>2872.8999999999996</v>
      </c>
      <c r="F166" s="479"/>
    </row>
    <row r="167" spans="1:6" ht="18" customHeight="1">
      <c r="A167" s="409">
        <v>162</v>
      </c>
      <c r="B167" s="522">
        <f t="shared" si="12"/>
        <v>2039.9999999999998</v>
      </c>
      <c r="C167" s="522">
        <f t="shared" si="13"/>
        <v>1971.0999999999935</v>
      </c>
      <c r="D167" s="523">
        <f t="shared" si="14"/>
        <v>3279.2000000000089</v>
      </c>
      <c r="E167" s="522">
        <f t="shared" si="15"/>
        <v>2889.8999999999996</v>
      </c>
      <c r="F167" s="479"/>
    </row>
    <row r="168" spans="1:6" ht="18" customHeight="1">
      <c r="A168" s="409">
        <v>163</v>
      </c>
      <c r="B168" s="522">
        <f t="shared" si="12"/>
        <v>2052</v>
      </c>
      <c r="C168" s="522">
        <f t="shared" si="13"/>
        <v>1982.6999999999935</v>
      </c>
      <c r="D168" s="523">
        <f t="shared" si="14"/>
        <v>3298.5000000000091</v>
      </c>
      <c r="E168" s="522">
        <f t="shared" si="15"/>
        <v>2906.8999999999996</v>
      </c>
      <c r="F168" s="479"/>
    </row>
    <row r="169" spans="1:6" ht="18" customHeight="1">
      <c r="A169" s="409">
        <v>164</v>
      </c>
      <c r="B169" s="522">
        <f t="shared" si="12"/>
        <v>2064</v>
      </c>
      <c r="C169" s="522">
        <f t="shared" si="13"/>
        <v>1994.2999999999934</v>
      </c>
      <c r="D169" s="523">
        <f t="shared" si="14"/>
        <v>3317.8000000000093</v>
      </c>
      <c r="E169" s="522">
        <f t="shared" si="15"/>
        <v>2923.8999999999996</v>
      </c>
      <c r="F169" s="479"/>
    </row>
    <row r="170" spans="1:6" ht="18" customHeight="1">
      <c r="A170" s="409">
        <v>165</v>
      </c>
      <c r="B170" s="522">
        <f t="shared" si="12"/>
        <v>2076</v>
      </c>
      <c r="C170" s="522">
        <f t="shared" si="13"/>
        <v>2005.8999999999933</v>
      </c>
      <c r="D170" s="523">
        <f t="shared" si="14"/>
        <v>3337.1000000000095</v>
      </c>
      <c r="E170" s="522">
        <f t="shared" si="15"/>
        <v>2940.8999999999996</v>
      </c>
      <c r="F170" s="479"/>
    </row>
    <row r="171" spans="1:6" ht="18" customHeight="1">
      <c r="A171" s="409">
        <v>166</v>
      </c>
      <c r="B171" s="522">
        <f t="shared" si="12"/>
        <v>2088</v>
      </c>
      <c r="C171" s="522">
        <f t="shared" si="13"/>
        <v>2017.4999999999932</v>
      </c>
      <c r="D171" s="523">
        <f t="shared" si="14"/>
        <v>3356.4000000000096</v>
      </c>
      <c r="E171" s="522">
        <f t="shared" si="15"/>
        <v>2957.8999999999996</v>
      </c>
      <c r="F171" s="479"/>
    </row>
    <row r="172" spans="1:6" ht="18" customHeight="1">
      <c r="A172" s="409">
        <v>167</v>
      </c>
      <c r="B172" s="522">
        <f t="shared" si="12"/>
        <v>2100</v>
      </c>
      <c r="C172" s="522">
        <f t="shared" si="13"/>
        <v>2029.0999999999931</v>
      </c>
      <c r="D172" s="523">
        <f t="shared" si="14"/>
        <v>3375.7000000000098</v>
      </c>
      <c r="E172" s="522">
        <f t="shared" si="15"/>
        <v>2974.8999999999996</v>
      </c>
      <c r="F172" s="479"/>
    </row>
    <row r="173" spans="1:6" ht="18" customHeight="1">
      <c r="A173" s="409">
        <v>168</v>
      </c>
      <c r="B173" s="522">
        <f t="shared" si="12"/>
        <v>2112</v>
      </c>
      <c r="C173" s="522">
        <f t="shared" si="13"/>
        <v>2040.699999999993</v>
      </c>
      <c r="D173" s="523">
        <f t="shared" si="14"/>
        <v>3395.00000000001</v>
      </c>
      <c r="E173" s="522">
        <f t="shared" si="15"/>
        <v>2991.8999999999996</v>
      </c>
      <c r="F173" s="479"/>
    </row>
    <row r="174" spans="1:6" ht="18" customHeight="1">
      <c r="A174" s="409">
        <v>169</v>
      </c>
      <c r="B174" s="522">
        <f t="shared" si="12"/>
        <v>2124</v>
      </c>
      <c r="C174" s="522">
        <f t="shared" si="13"/>
        <v>2052.2999999999929</v>
      </c>
      <c r="D174" s="523">
        <f t="shared" si="14"/>
        <v>3414.3000000000102</v>
      </c>
      <c r="E174" s="522">
        <f t="shared" si="15"/>
        <v>3008.8999999999996</v>
      </c>
      <c r="F174" s="479"/>
    </row>
    <row r="175" spans="1:6" ht="18" customHeight="1">
      <c r="A175" s="409">
        <v>170</v>
      </c>
      <c r="B175" s="522">
        <f t="shared" si="12"/>
        <v>2136</v>
      </c>
      <c r="C175" s="522">
        <f t="shared" si="13"/>
        <v>2063.8999999999928</v>
      </c>
      <c r="D175" s="523">
        <f t="shared" si="14"/>
        <v>3433.6000000000104</v>
      </c>
      <c r="E175" s="522">
        <f t="shared" si="15"/>
        <v>3025.8999999999996</v>
      </c>
      <c r="F175" s="479"/>
    </row>
    <row r="176" spans="1:6" ht="18" customHeight="1">
      <c r="A176" s="409">
        <v>171</v>
      </c>
      <c r="B176" s="522">
        <f t="shared" si="12"/>
        <v>2148</v>
      </c>
      <c r="C176" s="522">
        <f t="shared" si="13"/>
        <v>2075.4999999999927</v>
      </c>
      <c r="D176" s="523">
        <f t="shared" si="14"/>
        <v>3452.9000000000106</v>
      </c>
      <c r="E176" s="522">
        <f t="shared" si="15"/>
        <v>3042.8999999999996</v>
      </c>
      <c r="F176" s="479"/>
    </row>
    <row r="177" spans="1:6" ht="18" customHeight="1">
      <c r="A177" s="409">
        <v>172</v>
      </c>
      <c r="B177" s="522">
        <f t="shared" si="12"/>
        <v>2160</v>
      </c>
      <c r="C177" s="522">
        <f t="shared" si="13"/>
        <v>2087.0999999999926</v>
      </c>
      <c r="D177" s="523">
        <f t="shared" si="14"/>
        <v>3472.2000000000107</v>
      </c>
      <c r="E177" s="522">
        <f t="shared" si="15"/>
        <v>3059.8999999999996</v>
      </c>
      <c r="F177" s="479"/>
    </row>
    <row r="178" spans="1:6" ht="18" customHeight="1">
      <c r="A178" s="409">
        <v>173</v>
      </c>
      <c r="B178" s="522">
        <f t="shared" si="12"/>
        <v>2172</v>
      </c>
      <c r="C178" s="522">
        <f t="shared" si="13"/>
        <v>2098.6999999999925</v>
      </c>
      <c r="D178" s="523">
        <f t="shared" si="14"/>
        <v>3491.5000000000109</v>
      </c>
      <c r="E178" s="522">
        <f t="shared" si="15"/>
        <v>3076.8999999999996</v>
      </c>
      <c r="F178" s="479"/>
    </row>
    <row r="179" spans="1:6" ht="18" customHeight="1">
      <c r="A179" s="409">
        <v>174</v>
      </c>
      <c r="B179" s="522">
        <f t="shared" si="12"/>
        <v>2184</v>
      </c>
      <c r="C179" s="522">
        <f t="shared" si="13"/>
        <v>2110.2999999999925</v>
      </c>
      <c r="D179" s="523">
        <f t="shared" si="14"/>
        <v>3510.8000000000111</v>
      </c>
      <c r="E179" s="522">
        <f t="shared" si="15"/>
        <v>3093.8999999999996</v>
      </c>
      <c r="F179" s="479"/>
    </row>
    <row r="180" spans="1:6" ht="18" customHeight="1">
      <c r="A180" s="409">
        <v>175</v>
      </c>
      <c r="B180" s="522">
        <f t="shared" si="12"/>
        <v>2196</v>
      </c>
      <c r="C180" s="522">
        <f t="shared" si="13"/>
        <v>2121.8999999999924</v>
      </c>
      <c r="D180" s="523">
        <f t="shared" si="14"/>
        <v>3530.1000000000113</v>
      </c>
      <c r="E180" s="522">
        <f t="shared" si="15"/>
        <v>3110.8999999999996</v>
      </c>
      <c r="F180" s="479"/>
    </row>
    <row r="181" spans="1:6" ht="18" customHeight="1">
      <c r="A181" s="409">
        <v>176</v>
      </c>
      <c r="B181" s="522">
        <f t="shared" si="12"/>
        <v>2208</v>
      </c>
      <c r="C181" s="522">
        <f t="shared" si="13"/>
        <v>2133.4999999999923</v>
      </c>
      <c r="D181" s="523">
        <f t="shared" si="14"/>
        <v>3549.4000000000115</v>
      </c>
      <c r="E181" s="522">
        <f t="shared" si="15"/>
        <v>3127.8999999999996</v>
      </c>
      <c r="F181" s="479"/>
    </row>
    <row r="182" spans="1:6" ht="18" customHeight="1">
      <c r="A182" s="409">
        <v>177</v>
      </c>
      <c r="B182" s="522">
        <f t="shared" si="12"/>
        <v>2220</v>
      </c>
      <c r="C182" s="522">
        <f t="shared" si="13"/>
        <v>2145.0999999999922</v>
      </c>
      <c r="D182" s="523">
        <f t="shared" si="14"/>
        <v>3568.7000000000116</v>
      </c>
      <c r="E182" s="522">
        <f t="shared" si="15"/>
        <v>3144.8999999999996</v>
      </c>
      <c r="F182" s="479"/>
    </row>
    <row r="183" spans="1:6" ht="18" customHeight="1">
      <c r="A183" s="409">
        <v>178</v>
      </c>
      <c r="B183" s="522">
        <f t="shared" si="12"/>
        <v>2232</v>
      </c>
      <c r="C183" s="522">
        <f t="shared" si="13"/>
        <v>2156.6999999999921</v>
      </c>
      <c r="D183" s="523">
        <f t="shared" si="14"/>
        <v>3588.0000000000118</v>
      </c>
      <c r="E183" s="522">
        <f t="shared" si="15"/>
        <v>3161.8999999999996</v>
      </c>
      <c r="F183" s="479"/>
    </row>
    <row r="184" spans="1:6" ht="18" customHeight="1">
      <c r="A184" s="409">
        <v>179</v>
      </c>
      <c r="B184" s="522">
        <f t="shared" si="12"/>
        <v>2244</v>
      </c>
      <c r="C184" s="522">
        <f t="shared" si="13"/>
        <v>2168.299999999992</v>
      </c>
      <c r="D184" s="523">
        <f t="shared" si="14"/>
        <v>3607.300000000012</v>
      </c>
      <c r="E184" s="522">
        <f t="shared" si="15"/>
        <v>3178.8999999999996</v>
      </c>
      <c r="F184" s="479"/>
    </row>
    <row r="185" spans="1:6" ht="18" customHeight="1">
      <c r="A185" s="409">
        <v>180</v>
      </c>
      <c r="B185" s="522">
        <f t="shared" si="12"/>
        <v>2256</v>
      </c>
      <c r="C185" s="522">
        <f t="shared" si="13"/>
        <v>2179.8999999999919</v>
      </c>
      <c r="D185" s="523">
        <f t="shared" si="14"/>
        <v>3626.6000000000122</v>
      </c>
      <c r="E185" s="522">
        <f t="shared" si="15"/>
        <v>3195.8999999999996</v>
      </c>
      <c r="F185" s="479"/>
    </row>
    <row r="186" spans="1:6" ht="18" customHeight="1">
      <c r="A186" s="409">
        <v>181</v>
      </c>
      <c r="B186" s="522">
        <f t="shared" si="12"/>
        <v>2268</v>
      </c>
      <c r="C186" s="522">
        <f t="shared" si="13"/>
        <v>2191.4999999999918</v>
      </c>
      <c r="D186" s="523">
        <f t="shared" si="14"/>
        <v>3645.9000000000124</v>
      </c>
      <c r="E186" s="522">
        <f t="shared" si="15"/>
        <v>3212.8999999999996</v>
      </c>
      <c r="F186" s="479"/>
    </row>
    <row r="187" spans="1:6" ht="18" customHeight="1">
      <c r="A187" s="409">
        <v>182</v>
      </c>
      <c r="B187" s="522">
        <f t="shared" si="12"/>
        <v>2280</v>
      </c>
      <c r="C187" s="522">
        <f t="shared" si="13"/>
        <v>2203.0999999999917</v>
      </c>
      <c r="D187" s="523">
        <f t="shared" si="14"/>
        <v>3665.2000000000126</v>
      </c>
      <c r="E187" s="522">
        <f t="shared" si="15"/>
        <v>3229.8999999999996</v>
      </c>
      <c r="F187" s="479"/>
    </row>
    <row r="188" spans="1:6" ht="18" customHeight="1">
      <c r="A188" s="409">
        <v>183</v>
      </c>
      <c r="B188" s="522">
        <f t="shared" si="12"/>
        <v>2292</v>
      </c>
      <c r="C188" s="522">
        <f t="shared" si="13"/>
        <v>2214.6999999999916</v>
      </c>
      <c r="D188" s="523">
        <f t="shared" si="14"/>
        <v>3684.5000000000127</v>
      </c>
      <c r="E188" s="522">
        <f t="shared" si="15"/>
        <v>3246.8999999999996</v>
      </c>
      <c r="F188" s="479"/>
    </row>
    <row r="189" spans="1:6" ht="18" customHeight="1">
      <c r="A189" s="409">
        <v>184</v>
      </c>
      <c r="B189" s="522">
        <f t="shared" si="12"/>
        <v>2304</v>
      </c>
      <c r="C189" s="522">
        <f t="shared" si="13"/>
        <v>2226.2999999999915</v>
      </c>
      <c r="D189" s="523">
        <f t="shared" si="14"/>
        <v>3703.8000000000129</v>
      </c>
      <c r="E189" s="522">
        <f t="shared" si="15"/>
        <v>3263.8999999999996</v>
      </c>
      <c r="F189" s="479"/>
    </row>
    <row r="190" spans="1:6" ht="18" customHeight="1">
      <c r="A190" s="409">
        <v>185</v>
      </c>
      <c r="B190" s="522">
        <f t="shared" si="12"/>
        <v>2316</v>
      </c>
      <c r="C190" s="522">
        <f t="shared" si="13"/>
        <v>2237.8999999999915</v>
      </c>
      <c r="D190" s="523">
        <f t="shared" si="14"/>
        <v>3723.1000000000131</v>
      </c>
      <c r="E190" s="522">
        <f t="shared" si="15"/>
        <v>3280.8999999999996</v>
      </c>
      <c r="F190" s="479"/>
    </row>
    <row r="191" spans="1:6" ht="18" customHeight="1">
      <c r="A191" s="409">
        <v>186</v>
      </c>
      <c r="B191" s="522">
        <f t="shared" si="12"/>
        <v>2328</v>
      </c>
      <c r="C191" s="522">
        <f t="shared" si="13"/>
        <v>2249.4999999999914</v>
      </c>
      <c r="D191" s="523">
        <f t="shared" si="14"/>
        <v>3742.4000000000133</v>
      </c>
      <c r="E191" s="522">
        <f t="shared" si="15"/>
        <v>3297.8999999999996</v>
      </c>
      <c r="F191" s="479"/>
    </row>
    <row r="192" spans="1:6" ht="18" customHeight="1">
      <c r="A192" s="409">
        <v>187</v>
      </c>
      <c r="B192" s="522">
        <f t="shared" si="12"/>
        <v>2340</v>
      </c>
      <c r="C192" s="522">
        <f t="shared" si="13"/>
        <v>2261.0999999999913</v>
      </c>
      <c r="D192" s="523">
        <f t="shared" si="14"/>
        <v>3761.7000000000135</v>
      </c>
      <c r="E192" s="522">
        <f t="shared" si="15"/>
        <v>3314.8999999999996</v>
      </c>
      <c r="F192" s="479"/>
    </row>
    <row r="193" spans="1:6" ht="18" customHeight="1">
      <c r="A193" s="409">
        <v>188</v>
      </c>
      <c r="B193" s="522">
        <f t="shared" si="12"/>
        <v>2352</v>
      </c>
      <c r="C193" s="522">
        <f t="shared" si="13"/>
        <v>2272.6999999999912</v>
      </c>
      <c r="D193" s="523">
        <f t="shared" si="14"/>
        <v>3781.0000000000136</v>
      </c>
      <c r="E193" s="522">
        <f t="shared" si="15"/>
        <v>3331.8999999999996</v>
      </c>
      <c r="F193" s="479"/>
    </row>
    <row r="194" spans="1:6" ht="18" customHeight="1">
      <c r="A194" s="409">
        <v>189</v>
      </c>
      <c r="B194" s="522">
        <f t="shared" si="12"/>
        <v>2364</v>
      </c>
      <c r="C194" s="522">
        <f t="shared" si="13"/>
        <v>2284.2999999999911</v>
      </c>
      <c r="D194" s="523">
        <f t="shared" si="14"/>
        <v>3800.3000000000138</v>
      </c>
      <c r="E194" s="522">
        <f t="shared" si="15"/>
        <v>3348.8999999999996</v>
      </c>
      <c r="F194" s="479"/>
    </row>
    <row r="195" spans="1:6" ht="18" customHeight="1">
      <c r="A195" s="409">
        <v>190</v>
      </c>
      <c r="B195" s="522">
        <f t="shared" si="12"/>
        <v>2376</v>
      </c>
      <c r="C195" s="522">
        <f t="shared" si="13"/>
        <v>2295.899999999991</v>
      </c>
      <c r="D195" s="523">
        <f t="shared" si="14"/>
        <v>3819.600000000014</v>
      </c>
      <c r="E195" s="522">
        <f t="shared" si="15"/>
        <v>3365.8999999999996</v>
      </c>
      <c r="F195" s="479"/>
    </row>
    <row r="196" spans="1:6" ht="18" customHeight="1">
      <c r="A196" s="409">
        <v>191</v>
      </c>
      <c r="B196" s="522">
        <f t="shared" si="12"/>
        <v>2388</v>
      </c>
      <c r="C196" s="522">
        <f t="shared" si="13"/>
        <v>2307.4999999999909</v>
      </c>
      <c r="D196" s="523">
        <f t="shared" si="14"/>
        <v>3838.9000000000142</v>
      </c>
      <c r="E196" s="522">
        <f t="shared" si="15"/>
        <v>3382.8999999999996</v>
      </c>
      <c r="F196" s="479"/>
    </row>
    <row r="197" spans="1:6" ht="18" customHeight="1">
      <c r="A197" s="409">
        <v>192</v>
      </c>
      <c r="B197" s="522">
        <f t="shared" si="12"/>
        <v>2400</v>
      </c>
      <c r="C197" s="522">
        <f t="shared" si="13"/>
        <v>2319.0999999999908</v>
      </c>
      <c r="D197" s="523">
        <f t="shared" si="14"/>
        <v>3858.2000000000144</v>
      </c>
      <c r="E197" s="522">
        <f t="shared" si="15"/>
        <v>3399.8999999999996</v>
      </c>
      <c r="F197" s="479"/>
    </row>
    <row r="198" spans="1:6" ht="18" customHeight="1">
      <c r="A198" s="409">
        <v>193</v>
      </c>
      <c r="B198" s="522">
        <f t="shared" si="12"/>
        <v>2412</v>
      </c>
      <c r="C198" s="522">
        <f t="shared" si="13"/>
        <v>2330.6999999999907</v>
      </c>
      <c r="D198" s="523">
        <f t="shared" si="14"/>
        <v>3877.5000000000146</v>
      </c>
      <c r="E198" s="522">
        <f t="shared" si="15"/>
        <v>3416.8999999999996</v>
      </c>
      <c r="F198" s="479"/>
    </row>
    <row r="199" spans="1:6" ht="18" customHeight="1">
      <c r="A199" s="409">
        <v>194</v>
      </c>
      <c r="B199" s="522">
        <f t="shared" si="12"/>
        <v>2424</v>
      </c>
      <c r="C199" s="522">
        <f t="shared" si="13"/>
        <v>2342.2999999999906</v>
      </c>
      <c r="D199" s="523">
        <f t="shared" si="14"/>
        <v>3896.8000000000147</v>
      </c>
      <c r="E199" s="522">
        <f t="shared" si="15"/>
        <v>3433.8999999999996</v>
      </c>
      <c r="F199" s="479"/>
    </row>
    <row r="200" spans="1:6" ht="18" customHeight="1">
      <c r="A200" s="409">
        <v>195</v>
      </c>
      <c r="B200" s="522">
        <f t="shared" si="12"/>
        <v>2436</v>
      </c>
      <c r="C200" s="522">
        <f t="shared" si="13"/>
        <v>2353.8999999999905</v>
      </c>
      <c r="D200" s="523">
        <f t="shared" si="14"/>
        <v>3916.1000000000149</v>
      </c>
      <c r="E200" s="522">
        <f t="shared" si="15"/>
        <v>3450.8999999999996</v>
      </c>
      <c r="F200" s="479"/>
    </row>
    <row r="201" spans="1:6" ht="18" customHeight="1">
      <c r="A201" s="409">
        <v>196</v>
      </c>
      <c r="B201" s="522">
        <f t="shared" si="12"/>
        <v>2448</v>
      </c>
      <c r="C201" s="522">
        <f t="shared" si="13"/>
        <v>2365.4999999999905</v>
      </c>
      <c r="D201" s="523">
        <f t="shared" si="14"/>
        <v>3935.4000000000151</v>
      </c>
      <c r="E201" s="522">
        <f t="shared" si="15"/>
        <v>3467.8999999999996</v>
      </c>
      <c r="F201" s="479"/>
    </row>
    <row r="202" spans="1:6" ht="18" customHeight="1">
      <c r="A202" s="409">
        <v>197</v>
      </c>
      <c r="B202" s="522">
        <f t="shared" si="12"/>
        <v>2460</v>
      </c>
      <c r="C202" s="522">
        <f t="shared" si="13"/>
        <v>2377.0999999999904</v>
      </c>
      <c r="D202" s="523">
        <f t="shared" si="14"/>
        <v>3954.7000000000153</v>
      </c>
      <c r="E202" s="522">
        <f t="shared" si="15"/>
        <v>3484.8999999999996</v>
      </c>
      <c r="F202" s="479"/>
    </row>
    <row r="203" spans="1:6" ht="18" customHeight="1">
      <c r="A203" s="409">
        <v>198</v>
      </c>
      <c r="B203" s="522">
        <f t="shared" si="12"/>
        <v>2472</v>
      </c>
      <c r="C203" s="522">
        <f t="shared" si="13"/>
        <v>2388.6999999999903</v>
      </c>
      <c r="D203" s="523">
        <f t="shared" si="14"/>
        <v>3974.0000000000155</v>
      </c>
      <c r="E203" s="522">
        <f t="shared" si="15"/>
        <v>3501.8999999999996</v>
      </c>
      <c r="F203" s="479"/>
    </row>
    <row r="204" spans="1:6" ht="18" customHeight="1">
      <c r="A204" s="409">
        <v>199</v>
      </c>
      <c r="B204" s="522">
        <f t="shared" si="12"/>
        <v>2484</v>
      </c>
      <c r="C204" s="522">
        <f t="shared" si="13"/>
        <v>2400.2999999999902</v>
      </c>
      <c r="D204" s="523">
        <f t="shared" si="14"/>
        <v>3993.3000000000156</v>
      </c>
      <c r="E204" s="522">
        <f t="shared" si="15"/>
        <v>3518.8999999999996</v>
      </c>
      <c r="F204" s="479"/>
    </row>
    <row r="205" spans="1:6" ht="18" customHeight="1">
      <c r="A205" s="409">
        <v>200</v>
      </c>
      <c r="B205" s="522">
        <f t="shared" si="12"/>
        <v>2496</v>
      </c>
      <c r="C205" s="522">
        <f t="shared" si="13"/>
        <v>2411.8999999999901</v>
      </c>
      <c r="D205" s="523">
        <f t="shared" si="14"/>
        <v>4012.6000000000158</v>
      </c>
      <c r="E205" s="522">
        <f t="shared" si="15"/>
        <v>3535.8999999999996</v>
      </c>
      <c r="F205" s="479"/>
    </row>
    <row r="206" spans="1:6">
      <c r="A206" s="409">
        <v>201</v>
      </c>
      <c r="B206" s="522">
        <f t="shared" si="12"/>
        <v>2508</v>
      </c>
      <c r="C206" s="522">
        <f t="shared" si="13"/>
        <v>2423.49999999999</v>
      </c>
      <c r="D206" s="523">
        <f t="shared" si="14"/>
        <v>4031.900000000016</v>
      </c>
      <c r="E206" s="522">
        <f t="shared" si="15"/>
        <v>3552.8999999999996</v>
      </c>
      <c r="F206" s="479"/>
    </row>
    <row r="207" spans="1:6">
      <c r="A207" s="409">
        <v>202</v>
      </c>
      <c r="B207" s="522">
        <f t="shared" si="12"/>
        <v>2520</v>
      </c>
      <c r="C207" s="522">
        <f t="shared" si="13"/>
        <v>2435.0999999999899</v>
      </c>
      <c r="D207" s="523">
        <f t="shared" si="14"/>
        <v>4051.2000000000162</v>
      </c>
      <c r="E207" s="522">
        <f t="shared" si="15"/>
        <v>3569.8999999999996</v>
      </c>
      <c r="F207" s="479"/>
    </row>
    <row r="208" spans="1:6">
      <c r="A208" s="409">
        <v>203</v>
      </c>
      <c r="B208" s="522">
        <f t="shared" si="12"/>
        <v>2532</v>
      </c>
      <c r="C208" s="522">
        <f t="shared" si="13"/>
        <v>2446.6999999999898</v>
      </c>
      <c r="D208" s="523">
        <f t="shared" si="14"/>
        <v>4070.5000000000164</v>
      </c>
      <c r="E208" s="522">
        <f t="shared" si="15"/>
        <v>3586.8999999999996</v>
      </c>
      <c r="F208" s="479"/>
    </row>
    <row r="209" spans="1:6">
      <c r="A209" s="409">
        <v>204</v>
      </c>
      <c r="B209" s="522">
        <f t="shared" si="12"/>
        <v>2544</v>
      </c>
      <c r="C209" s="522">
        <f t="shared" si="13"/>
        <v>2458.2999999999897</v>
      </c>
      <c r="D209" s="523">
        <f t="shared" si="14"/>
        <v>4089.8000000000166</v>
      </c>
      <c r="E209" s="522">
        <f t="shared" si="15"/>
        <v>3603.8999999999996</v>
      </c>
      <c r="F209" s="479"/>
    </row>
    <row r="210" spans="1:6">
      <c r="A210" s="409">
        <v>205</v>
      </c>
      <c r="B210" s="522">
        <f t="shared" si="12"/>
        <v>2556</v>
      </c>
      <c r="C210" s="522">
        <f t="shared" si="13"/>
        <v>2469.8999999999896</v>
      </c>
      <c r="D210" s="523">
        <f t="shared" si="14"/>
        <v>4109.1000000000167</v>
      </c>
      <c r="E210" s="522">
        <f t="shared" si="15"/>
        <v>3620.8999999999996</v>
      </c>
      <c r="F210" s="479"/>
    </row>
    <row r="211" spans="1:6">
      <c r="A211" s="409">
        <v>206</v>
      </c>
      <c r="B211" s="522">
        <f t="shared" si="12"/>
        <v>2568</v>
      </c>
      <c r="C211" s="522">
        <f t="shared" si="13"/>
        <v>2481.4999999999895</v>
      </c>
      <c r="D211" s="523">
        <f t="shared" si="14"/>
        <v>4128.4000000000169</v>
      </c>
      <c r="E211" s="522">
        <f t="shared" si="15"/>
        <v>3637.8999999999996</v>
      </c>
      <c r="F211" s="479"/>
    </row>
    <row r="212" spans="1:6">
      <c r="A212" s="409">
        <v>207</v>
      </c>
      <c r="B212" s="522">
        <f t="shared" si="12"/>
        <v>2580</v>
      </c>
      <c r="C212" s="522">
        <f t="shared" si="13"/>
        <v>2493.0999999999894</v>
      </c>
      <c r="D212" s="523">
        <f t="shared" si="14"/>
        <v>4147.7000000000171</v>
      </c>
      <c r="E212" s="522">
        <f t="shared" si="15"/>
        <v>3654.8999999999996</v>
      </c>
      <c r="F212" s="479"/>
    </row>
    <row r="213" spans="1:6">
      <c r="A213" s="409">
        <v>208</v>
      </c>
      <c r="B213" s="522">
        <f t="shared" si="12"/>
        <v>2592</v>
      </c>
      <c r="C213" s="522">
        <f t="shared" si="13"/>
        <v>2504.6999999999894</v>
      </c>
      <c r="D213" s="523">
        <f t="shared" si="14"/>
        <v>4167.0000000000173</v>
      </c>
      <c r="E213" s="522">
        <f t="shared" si="15"/>
        <v>3671.8999999999996</v>
      </c>
      <c r="F213" s="479"/>
    </row>
    <row r="214" spans="1:6">
      <c r="A214" s="409">
        <v>209</v>
      </c>
      <c r="B214" s="522">
        <f t="shared" si="12"/>
        <v>2604</v>
      </c>
      <c r="C214" s="522">
        <f t="shared" si="13"/>
        <v>2516.2999999999893</v>
      </c>
      <c r="D214" s="523">
        <f t="shared" si="14"/>
        <v>4186.3000000000175</v>
      </c>
      <c r="E214" s="522">
        <f t="shared" si="15"/>
        <v>3688.8999999999996</v>
      </c>
      <c r="F214" s="479"/>
    </row>
    <row r="215" spans="1:6">
      <c r="A215" s="409">
        <v>210</v>
      </c>
      <c r="B215" s="522">
        <f t="shared" si="12"/>
        <v>2616</v>
      </c>
      <c r="C215" s="522">
        <f t="shared" si="13"/>
        <v>2527.8999999999892</v>
      </c>
      <c r="D215" s="523">
        <f t="shared" si="14"/>
        <v>4205.6000000000176</v>
      </c>
      <c r="E215" s="522">
        <f t="shared" si="15"/>
        <v>3705.8999999999996</v>
      </c>
      <c r="F215" s="479"/>
    </row>
    <row r="216" spans="1:6">
      <c r="A216" s="409">
        <v>211</v>
      </c>
      <c r="B216" s="522">
        <f t="shared" si="12"/>
        <v>2628</v>
      </c>
      <c r="C216" s="522">
        <f t="shared" si="13"/>
        <v>2539.4999999999891</v>
      </c>
      <c r="D216" s="523">
        <f t="shared" si="14"/>
        <v>4224.9000000000178</v>
      </c>
      <c r="E216" s="522">
        <f t="shared" si="15"/>
        <v>3722.8999999999996</v>
      </c>
      <c r="F216" s="479"/>
    </row>
    <row r="217" spans="1:6">
      <c r="A217" s="409">
        <v>212</v>
      </c>
      <c r="B217" s="522">
        <f t="shared" si="12"/>
        <v>2640</v>
      </c>
      <c r="C217" s="522">
        <f t="shared" si="13"/>
        <v>2551.099999999989</v>
      </c>
      <c r="D217" s="523">
        <f t="shared" si="14"/>
        <v>4244.200000000018</v>
      </c>
      <c r="E217" s="522">
        <f t="shared" si="15"/>
        <v>3739.8999999999996</v>
      </c>
      <c r="F217" s="479"/>
    </row>
    <row r="218" spans="1:6">
      <c r="A218" s="409">
        <v>213</v>
      </c>
      <c r="B218" s="522">
        <f t="shared" si="12"/>
        <v>2652</v>
      </c>
      <c r="C218" s="522">
        <f t="shared" si="13"/>
        <v>2562.6999999999889</v>
      </c>
      <c r="D218" s="523">
        <f t="shared" si="14"/>
        <v>4263.5000000000182</v>
      </c>
      <c r="E218" s="522">
        <f t="shared" si="15"/>
        <v>3756.8999999999996</v>
      </c>
      <c r="F218" s="479"/>
    </row>
    <row r="219" spans="1:6">
      <c r="A219" s="409">
        <v>214</v>
      </c>
      <c r="B219" s="522">
        <f t="shared" si="12"/>
        <v>2664</v>
      </c>
      <c r="C219" s="522">
        <f t="shared" si="13"/>
        <v>2574.2999999999888</v>
      </c>
      <c r="D219" s="523">
        <f t="shared" si="14"/>
        <v>4282.8000000000184</v>
      </c>
      <c r="E219" s="522">
        <f t="shared" si="15"/>
        <v>3773.8999999999996</v>
      </c>
      <c r="F219" s="479"/>
    </row>
    <row r="220" spans="1:6">
      <c r="A220" s="409">
        <v>215</v>
      </c>
      <c r="B220" s="522">
        <f t="shared" si="12"/>
        <v>2676</v>
      </c>
      <c r="C220" s="522">
        <f t="shared" si="13"/>
        <v>2585.8999999999887</v>
      </c>
      <c r="D220" s="523">
        <f t="shared" si="14"/>
        <v>4302.1000000000186</v>
      </c>
      <c r="E220" s="522">
        <f t="shared" si="15"/>
        <v>3790.8999999999996</v>
      </c>
      <c r="F220" s="479"/>
    </row>
    <row r="221" spans="1:6">
      <c r="A221" s="409">
        <v>216</v>
      </c>
      <c r="B221" s="522">
        <f t="shared" si="12"/>
        <v>2688</v>
      </c>
      <c r="C221" s="522">
        <f t="shared" si="13"/>
        <v>2597.4999999999886</v>
      </c>
      <c r="D221" s="523">
        <f t="shared" si="14"/>
        <v>4321.4000000000187</v>
      </c>
      <c r="E221" s="522">
        <f t="shared" si="15"/>
        <v>3807.8999999999996</v>
      </c>
    </row>
    <row r="222" spans="1:6">
      <c r="A222" s="409">
        <v>217</v>
      </c>
      <c r="B222" s="522">
        <f t="shared" si="12"/>
        <v>2700</v>
      </c>
      <c r="C222" s="522">
        <f t="shared" si="13"/>
        <v>2609.0999999999885</v>
      </c>
      <c r="D222" s="523">
        <f t="shared" si="14"/>
        <v>4340.7000000000189</v>
      </c>
      <c r="E222" s="522">
        <f t="shared" si="15"/>
        <v>3824.8999999999996</v>
      </c>
    </row>
    <row r="223" spans="1:6">
      <c r="A223" s="409">
        <v>218</v>
      </c>
      <c r="B223" s="522">
        <f t="shared" si="12"/>
        <v>2712</v>
      </c>
      <c r="C223" s="522">
        <f t="shared" si="13"/>
        <v>2620.6999999999884</v>
      </c>
      <c r="D223" s="523">
        <f t="shared" si="14"/>
        <v>4360.0000000000191</v>
      </c>
      <c r="E223" s="522">
        <f t="shared" si="15"/>
        <v>3841.8999999999996</v>
      </c>
    </row>
    <row r="224" spans="1:6">
      <c r="A224" s="409">
        <v>219</v>
      </c>
      <c r="B224" s="522">
        <f t="shared" si="12"/>
        <v>2724</v>
      </c>
      <c r="C224" s="522">
        <f t="shared" si="13"/>
        <v>2632.2999999999884</v>
      </c>
      <c r="D224" s="523">
        <f t="shared" si="14"/>
        <v>4379.3000000000193</v>
      </c>
      <c r="E224" s="522">
        <f t="shared" si="15"/>
        <v>3858.8999999999996</v>
      </c>
    </row>
    <row r="225" spans="1:5">
      <c r="A225" s="409">
        <v>220</v>
      </c>
      <c r="B225" s="522">
        <f t="shared" si="12"/>
        <v>2736</v>
      </c>
      <c r="C225" s="522">
        <f t="shared" si="13"/>
        <v>2643.8999999999883</v>
      </c>
      <c r="D225" s="523">
        <f t="shared" si="14"/>
        <v>4398.6000000000195</v>
      </c>
      <c r="E225" s="522">
        <f t="shared" si="15"/>
        <v>3875.8999999999996</v>
      </c>
    </row>
    <row r="226" spans="1:5">
      <c r="A226" s="409">
        <v>221</v>
      </c>
      <c r="B226" s="522">
        <f t="shared" si="12"/>
        <v>2748</v>
      </c>
      <c r="C226" s="522">
        <f t="shared" si="13"/>
        <v>2655.4999999999882</v>
      </c>
      <c r="D226" s="523">
        <f t="shared" si="14"/>
        <v>4417.9000000000196</v>
      </c>
      <c r="E226" s="522">
        <f t="shared" si="15"/>
        <v>3892.8999999999996</v>
      </c>
    </row>
    <row r="227" spans="1:5">
      <c r="A227" s="409">
        <v>222</v>
      </c>
      <c r="B227" s="522">
        <f t="shared" si="12"/>
        <v>2760</v>
      </c>
      <c r="C227" s="522">
        <f t="shared" si="13"/>
        <v>2667.0999999999881</v>
      </c>
      <c r="D227" s="523">
        <f t="shared" si="14"/>
        <v>4437.2000000000198</v>
      </c>
      <c r="E227" s="522">
        <f t="shared" si="15"/>
        <v>3909.8999999999996</v>
      </c>
    </row>
    <row r="228" spans="1:5">
      <c r="A228" s="409">
        <v>223</v>
      </c>
      <c r="B228" s="522">
        <f t="shared" si="12"/>
        <v>2772</v>
      </c>
      <c r="C228" s="522">
        <f t="shared" si="13"/>
        <v>2678.699999999988</v>
      </c>
      <c r="D228" s="523">
        <f t="shared" si="14"/>
        <v>4456.50000000002</v>
      </c>
      <c r="E228" s="522">
        <f t="shared" si="15"/>
        <v>3926.8999999999996</v>
      </c>
    </row>
    <row r="229" spans="1:5">
      <c r="A229" s="409">
        <v>224</v>
      </c>
      <c r="B229" s="522">
        <f t="shared" ref="B229:B292" si="16">B228+12</f>
        <v>2784</v>
      </c>
      <c r="C229" s="522">
        <f t="shared" ref="C229:C292" si="17">C228+11.6</f>
        <v>2690.2999999999879</v>
      </c>
      <c r="D229" s="523">
        <f t="shared" ref="D229:D292" si="18">D228+19.3</f>
        <v>4475.8000000000202</v>
      </c>
      <c r="E229" s="522">
        <f t="shared" ref="E229:E292" si="19">E228+17</f>
        <v>3943.8999999999996</v>
      </c>
    </row>
    <row r="230" spans="1:5">
      <c r="A230" s="409">
        <v>225</v>
      </c>
      <c r="B230" s="522">
        <f t="shared" si="16"/>
        <v>2796</v>
      </c>
      <c r="C230" s="522">
        <f t="shared" si="17"/>
        <v>2701.8999999999878</v>
      </c>
      <c r="D230" s="523">
        <f t="shared" si="18"/>
        <v>4495.1000000000204</v>
      </c>
      <c r="E230" s="522">
        <f t="shared" si="19"/>
        <v>3960.8999999999996</v>
      </c>
    </row>
    <row r="231" spans="1:5">
      <c r="A231" s="409">
        <v>226</v>
      </c>
      <c r="B231" s="522">
        <f t="shared" si="16"/>
        <v>2808</v>
      </c>
      <c r="C231" s="522">
        <f t="shared" si="17"/>
        <v>2713.4999999999877</v>
      </c>
      <c r="D231" s="523">
        <f t="shared" si="18"/>
        <v>4514.4000000000206</v>
      </c>
      <c r="E231" s="522">
        <f t="shared" si="19"/>
        <v>3977.8999999999996</v>
      </c>
    </row>
    <row r="232" spans="1:5">
      <c r="A232" s="409">
        <v>227</v>
      </c>
      <c r="B232" s="522">
        <f t="shared" si="16"/>
        <v>2820</v>
      </c>
      <c r="C232" s="522">
        <f t="shared" si="17"/>
        <v>2725.0999999999876</v>
      </c>
      <c r="D232" s="523">
        <f t="shared" si="18"/>
        <v>4533.7000000000207</v>
      </c>
      <c r="E232" s="522">
        <f t="shared" si="19"/>
        <v>3994.8999999999996</v>
      </c>
    </row>
    <row r="233" spans="1:5">
      <c r="A233" s="409">
        <v>228</v>
      </c>
      <c r="B233" s="522">
        <f t="shared" si="16"/>
        <v>2832</v>
      </c>
      <c r="C233" s="522">
        <f t="shared" si="17"/>
        <v>2736.6999999999875</v>
      </c>
      <c r="D233" s="523">
        <f t="shared" si="18"/>
        <v>4553.0000000000209</v>
      </c>
      <c r="E233" s="522">
        <f t="shared" si="19"/>
        <v>4011.8999999999996</v>
      </c>
    </row>
    <row r="234" spans="1:5">
      <c r="A234" s="409">
        <v>229</v>
      </c>
      <c r="B234" s="522">
        <f t="shared" si="16"/>
        <v>2844</v>
      </c>
      <c r="C234" s="522">
        <f t="shared" si="17"/>
        <v>2748.2999999999874</v>
      </c>
      <c r="D234" s="523">
        <f t="shared" si="18"/>
        <v>4572.3000000000211</v>
      </c>
      <c r="E234" s="522">
        <f t="shared" si="19"/>
        <v>4028.8999999999996</v>
      </c>
    </row>
    <row r="235" spans="1:5">
      <c r="A235" s="409">
        <v>230</v>
      </c>
      <c r="B235" s="522">
        <f t="shared" si="16"/>
        <v>2856</v>
      </c>
      <c r="C235" s="522">
        <f t="shared" si="17"/>
        <v>2759.8999999999874</v>
      </c>
      <c r="D235" s="523">
        <f t="shared" si="18"/>
        <v>4591.6000000000213</v>
      </c>
      <c r="E235" s="522">
        <f t="shared" si="19"/>
        <v>4045.8999999999996</v>
      </c>
    </row>
    <row r="236" spans="1:5">
      <c r="A236" s="409">
        <v>231</v>
      </c>
      <c r="B236" s="522">
        <f t="shared" si="16"/>
        <v>2868</v>
      </c>
      <c r="C236" s="522">
        <f t="shared" si="17"/>
        <v>2771.4999999999873</v>
      </c>
      <c r="D236" s="523">
        <f t="shared" si="18"/>
        <v>4610.9000000000215</v>
      </c>
      <c r="E236" s="522">
        <f t="shared" si="19"/>
        <v>4062.8999999999996</v>
      </c>
    </row>
    <row r="237" spans="1:5">
      <c r="A237" s="409">
        <v>232</v>
      </c>
      <c r="B237" s="522">
        <f t="shared" si="16"/>
        <v>2880</v>
      </c>
      <c r="C237" s="522">
        <f t="shared" si="17"/>
        <v>2783.0999999999872</v>
      </c>
      <c r="D237" s="523">
        <f t="shared" si="18"/>
        <v>4630.2000000000216</v>
      </c>
      <c r="E237" s="522">
        <f t="shared" si="19"/>
        <v>4079.8999999999996</v>
      </c>
    </row>
    <row r="238" spans="1:5">
      <c r="A238" s="409">
        <v>233</v>
      </c>
      <c r="B238" s="522">
        <f t="shared" si="16"/>
        <v>2892</v>
      </c>
      <c r="C238" s="522">
        <f t="shared" si="17"/>
        <v>2794.6999999999871</v>
      </c>
      <c r="D238" s="523">
        <f t="shared" si="18"/>
        <v>4649.5000000000218</v>
      </c>
      <c r="E238" s="522">
        <f t="shared" si="19"/>
        <v>4096.8999999999996</v>
      </c>
    </row>
    <row r="239" spans="1:5">
      <c r="A239" s="409">
        <v>234</v>
      </c>
      <c r="B239" s="522">
        <f t="shared" si="16"/>
        <v>2904</v>
      </c>
      <c r="C239" s="522">
        <f t="shared" si="17"/>
        <v>2806.299999999987</v>
      </c>
      <c r="D239" s="523">
        <f t="shared" si="18"/>
        <v>4668.800000000022</v>
      </c>
      <c r="E239" s="522">
        <f t="shared" si="19"/>
        <v>4113.8999999999996</v>
      </c>
    </row>
    <row r="240" spans="1:5">
      <c r="A240" s="409">
        <v>235</v>
      </c>
      <c r="B240" s="522">
        <f t="shared" si="16"/>
        <v>2916</v>
      </c>
      <c r="C240" s="522">
        <f t="shared" si="17"/>
        <v>2817.8999999999869</v>
      </c>
      <c r="D240" s="523">
        <f t="shared" si="18"/>
        <v>4688.1000000000222</v>
      </c>
      <c r="E240" s="522">
        <f t="shared" si="19"/>
        <v>4130.8999999999996</v>
      </c>
    </row>
    <row r="241" spans="1:5">
      <c r="A241" s="409">
        <v>236</v>
      </c>
      <c r="B241" s="522">
        <f t="shared" si="16"/>
        <v>2928</v>
      </c>
      <c r="C241" s="522">
        <f t="shared" si="17"/>
        <v>2829.4999999999868</v>
      </c>
      <c r="D241" s="523">
        <f t="shared" si="18"/>
        <v>4707.4000000000224</v>
      </c>
      <c r="E241" s="522">
        <f t="shared" si="19"/>
        <v>4147.8999999999996</v>
      </c>
    </row>
    <row r="242" spans="1:5">
      <c r="A242" s="409">
        <v>237</v>
      </c>
      <c r="B242" s="522">
        <f t="shared" si="16"/>
        <v>2940</v>
      </c>
      <c r="C242" s="522">
        <f t="shared" si="17"/>
        <v>2841.0999999999867</v>
      </c>
      <c r="D242" s="523">
        <f t="shared" si="18"/>
        <v>4726.7000000000226</v>
      </c>
      <c r="E242" s="522">
        <f t="shared" si="19"/>
        <v>4164.8999999999996</v>
      </c>
    </row>
    <row r="243" spans="1:5">
      <c r="A243" s="409">
        <v>238</v>
      </c>
      <c r="B243" s="522">
        <f t="shared" si="16"/>
        <v>2952</v>
      </c>
      <c r="C243" s="522">
        <f t="shared" si="17"/>
        <v>2852.6999999999866</v>
      </c>
      <c r="D243" s="523">
        <f t="shared" si="18"/>
        <v>4746.0000000000227</v>
      </c>
      <c r="E243" s="522">
        <f t="shared" si="19"/>
        <v>4181.8999999999996</v>
      </c>
    </row>
    <row r="244" spans="1:5">
      <c r="A244" s="409">
        <v>239</v>
      </c>
      <c r="B244" s="522">
        <f t="shared" si="16"/>
        <v>2964</v>
      </c>
      <c r="C244" s="522">
        <f t="shared" si="17"/>
        <v>2864.2999999999865</v>
      </c>
      <c r="D244" s="523">
        <f t="shared" si="18"/>
        <v>4765.3000000000229</v>
      </c>
      <c r="E244" s="522">
        <f t="shared" si="19"/>
        <v>4198.8999999999996</v>
      </c>
    </row>
    <row r="245" spans="1:5">
      <c r="A245" s="409">
        <v>240</v>
      </c>
      <c r="B245" s="522">
        <f t="shared" si="16"/>
        <v>2976</v>
      </c>
      <c r="C245" s="522">
        <f t="shared" si="17"/>
        <v>2875.8999999999864</v>
      </c>
      <c r="D245" s="523">
        <f t="shared" si="18"/>
        <v>4784.6000000000231</v>
      </c>
      <c r="E245" s="522">
        <f t="shared" si="19"/>
        <v>4215.8999999999996</v>
      </c>
    </row>
    <row r="246" spans="1:5">
      <c r="A246" s="409">
        <v>241</v>
      </c>
      <c r="B246" s="522">
        <f t="shared" si="16"/>
        <v>2988</v>
      </c>
      <c r="C246" s="522">
        <f t="shared" si="17"/>
        <v>2887.4999999999864</v>
      </c>
      <c r="D246" s="523">
        <f t="shared" si="18"/>
        <v>4803.9000000000233</v>
      </c>
      <c r="E246" s="522">
        <f t="shared" si="19"/>
        <v>4232.8999999999996</v>
      </c>
    </row>
    <row r="247" spans="1:5">
      <c r="A247" s="409">
        <v>242</v>
      </c>
      <c r="B247" s="522">
        <f t="shared" si="16"/>
        <v>3000</v>
      </c>
      <c r="C247" s="522">
        <f t="shared" si="17"/>
        <v>2899.0999999999863</v>
      </c>
      <c r="D247" s="523">
        <f t="shared" si="18"/>
        <v>4823.2000000000235</v>
      </c>
      <c r="E247" s="522">
        <f t="shared" si="19"/>
        <v>4249.8999999999996</v>
      </c>
    </row>
    <row r="248" spans="1:5">
      <c r="A248" s="409">
        <v>243</v>
      </c>
      <c r="B248" s="522">
        <f t="shared" si="16"/>
        <v>3012</v>
      </c>
      <c r="C248" s="522">
        <f t="shared" si="17"/>
        <v>2910.6999999999862</v>
      </c>
      <c r="D248" s="523">
        <f t="shared" si="18"/>
        <v>4842.5000000000236</v>
      </c>
      <c r="E248" s="522">
        <f t="shared" si="19"/>
        <v>4266.8999999999996</v>
      </c>
    </row>
    <row r="249" spans="1:5">
      <c r="A249" s="409">
        <v>244</v>
      </c>
      <c r="B249" s="522">
        <f t="shared" si="16"/>
        <v>3024</v>
      </c>
      <c r="C249" s="522">
        <f t="shared" si="17"/>
        <v>2922.2999999999861</v>
      </c>
      <c r="D249" s="523">
        <f t="shared" si="18"/>
        <v>4861.8000000000238</v>
      </c>
      <c r="E249" s="522">
        <f t="shared" si="19"/>
        <v>4283.8999999999996</v>
      </c>
    </row>
    <row r="250" spans="1:5">
      <c r="A250" s="409">
        <v>245</v>
      </c>
      <c r="B250" s="522">
        <f t="shared" si="16"/>
        <v>3036</v>
      </c>
      <c r="C250" s="522">
        <f t="shared" si="17"/>
        <v>2933.899999999986</v>
      </c>
      <c r="D250" s="523">
        <f t="shared" si="18"/>
        <v>4881.100000000024</v>
      </c>
      <c r="E250" s="522">
        <f t="shared" si="19"/>
        <v>4300.8999999999996</v>
      </c>
    </row>
    <row r="251" spans="1:5">
      <c r="A251" s="409">
        <v>246</v>
      </c>
      <c r="B251" s="522">
        <f t="shared" si="16"/>
        <v>3048</v>
      </c>
      <c r="C251" s="522">
        <f t="shared" si="17"/>
        <v>2945.4999999999859</v>
      </c>
      <c r="D251" s="523">
        <f t="shared" si="18"/>
        <v>4900.4000000000242</v>
      </c>
      <c r="E251" s="522">
        <f t="shared" si="19"/>
        <v>4317.8999999999996</v>
      </c>
    </row>
    <row r="252" spans="1:5">
      <c r="A252" s="409">
        <v>247</v>
      </c>
      <c r="B252" s="522">
        <f t="shared" si="16"/>
        <v>3060</v>
      </c>
      <c r="C252" s="522">
        <f t="shared" si="17"/>
        <v>2957.0999999999858</v>
      </c>
      <c r="D252" s="523">
        <f t="shared" si="18"/>
        <v>4919.7000000000244</v>
      </c>
      <c r="E252" s="522">
        <f t="shared" si="19"/>
        <v>4334.8999999999996</v>
      </c>
    </row>
    <row r="253" spans="1:5">
      <c r="A253" s="409">
        <v>248</v>
      </c>
      <c r="B253" s="522">
        <f t="shared" si="16"/>
        <v>3072</v>
      </c>
      <c r="C253" s="522">
        <f t="shared" si="17"/>
        <v>2968.6999999999857</v>
      </c>
      <c r="D253" s="523">
        <f t="shared" si="18"/>
        <v>4939.0000000000246</v>
      </c>
      <c r="E253" s="522">
        <f t="shared" si="19"/>
        <v>4351.8999999999996</v>
      </c>
    </row>
    <row r="254" spans="1:5">
      <c r="A254" s="409">
        <v>249</v>
      </c>
      <c r="B254" s="522">
        <f t="shared" si="16"/>
        <v>3084</v>
      </c>
      <c r="C254" s="522">
        <f t="shared" si="17"/>
        <v>2980.2999999999856</v>
      </c>
      <c r="D254" s="523">
        <f t="shared" si="18"/>
        <v>4958.3000000000247</v>
      </c>
      <c r="E254" s="522">
        <f t="shared" si="19"/>
        <v>4368.8999999999996</v>
      </c>
    </row>
    <row r="255" spans="1:5">
      <c r="A255" s="409">
        <v>250</v>
      </c>
      <c r="B255" s="522">
        <f t="shared" si="16"/>
        <v>3096</v>
      </c>
      <c r="C255" s="522">
        <f t="shared" si="17"/>
        <v>2991.8999999999855</v>
      </c>
      <c r="D255" s="523">
        <f t="shared" si="18"/>
        <v>4977.6000000000249</v>
      </c>
      <c r="E255" s="522">
        <f t="shared" si="19"/>
        <v>4385.8999999999996</v>
      </c>
    </row>
    <row r="256" spans="1:5">
      <c r="A256" s="409">
        <v>251</v>
      </c>
      <c r="B256" s="522">
        <f t="shared" si="16"/>
        <v>3108</v>
      </c>
      <c r="C256" s="522">
        <f t="shared" si="17"/>
        <v>3003.4999999999854</v>
      </c>
      <c r="D256" s="523">
        <f t="shared" si="18"/>
        <v>4996.9000000000251</v>
      </c>
      <c r="E256" s="522">
        <f t="shared" si="19"/>
        <v>4402.8999999999996</v>
      </c>
    </row>
    <row r="257" spans="1:5">
      <c r="A257" s="409">
        <v>252</v>
      </c>
      <c r="B257" s="522">
        <f t="shared" si="16"/>
        <v>3120</v>
      </c>
      <c r="C257" s="522">
        <f t="shared" si="17"/>
        <v>3015.0999999999854</v>
      </c>
      <c r="D257" s="523">
        <f t="shared" si="18"/>
        <v>5016.2000000000253</v>
      </c>
      <c r="E257" s="522">
        <f t="shared" si="19"/>
        <v>4419.8999999999996</v>
      </c>
    </row>
    <row r="258" spans="1:5">
      <c r="A258" s="409">
        <v>253</v>
      </c>
      <c r="B258" s="522">
        <f t="shared" si="16"/>
        <v>3132</v>
      </c>
      <c r="C258" s="522">
        <f t="shared" si="17"/>
        <v>3026.6999999999853</v>
      </c>
      <c r="D258" s="523">
        <f t="shared" si="18"/>
        <v>5035.5000000000255</v>
      </c>
      <c r="E258" s="522">
        <f t="shared" si="19"/>
        <v>4436.8999999999996</v>
      </c>
    </row>
    <row r="259" spans="1:5">
      <c r="A259" s="409">
        <v>254</v>
      </c>
      <c r="B259" s="522">
        <f t="shared" si="16"/>
        <v>3144</v>
      </c>
      <c r="C259" s="522">
        <f t="shared" si="17"/>
        <v>3038.2999999999852</v>
      </c>
      <c r="D259" s="523">
        <f t="shared" si="18"/>
        <v>5054.8000000000256</v>
      </c>
      <c r="E259" s="522">
        <f t="shared" si="19"/>
        <v>4453.8999999999996</v>
      </c>
    </row>
    <row r="260" spans="1:5">
      <c r="A260" s="409">
        <v>255</v>
      </c>
      <c r="B260" s="522">
        <f t="shared" si="16"/>
        <v>3156</v>
      </c>
      <c r="C260" s="522">
        <f t="shared" si="17"/>
        <v>3049.8999999999851</v>
      </c>
      <c r="D260" s="523">
        <f t="shared" si="18"/>
        <v>5074.1000000000258</v>
      </c>
      <c r="E260" s="522">
        <f t="shared" si="19"/>
        <v>4470.8999999999996</v>
      </c>
    </row>
    <row r="261" spans="1:5">
      <c r="A261" s="409">
        <v>256</v>
      </c>
      <c r="B261" s="522">
        <f t="shared" si="16"/>
        <v>3168</v>
      </c>
      <c r="C261" s="522">
        <f t="shared" si="17"/>
        <v>3061.499999999985</v>
      </c>
      <c r="D261" s="523">
        <f t="shared" si="18"/>
        <v>5093.400000000026</v>
      </c>
      <c r="E261" s="522">
        <f t="shared" si="19"/>
        <v>4487.8999999999996</v>
      </c>
    </row>
    <row r="262" spans="1:5">
      <c r="A262" s="409">
        <v>257</v>
      </c>
      <c r="B262" s="522">
        <f t="shared" si="16"/>
        <v>3180</v>
      </c>
      <c r="C262" s="522">
        <f t="shared" si="17"/>
        <v>3073.0999999999849</v>
      </c>
      <c r="D262" s="523">
        <f t="shared" si="18"/>
        <v>5112.7000000000262</v>
      </c>
      <c r="E262" s="522">
        <f t="shared" si="19"/>
        <v>4504.8999999999996</v>
      </c>
    </row>
    <row r="263" spans="1:5">
      <c r="A263" s="409">
        <v>258</v>
      </c>
      <c r="B263" s="522">
        <f t="shared" si="16"/>
        <v>3192</v>
      </c>
      <c r="C263" s="522">
        <f t="shared" si="17"/>
        <v>3084.6999999999848</v>
      </c>
      <c r="D263" s="523">
        <f t="shared" si="18"/>
        <v>5132.0000000000264</v>
      </c>
      <c r="E263" s="522">
        <f t="shared" si="19"/>
        <v>4521.8999999999996</v>
      </c>
    </row>
    <row r="264" spans="1:5">
      <c r="A264" s="409">
        <v>259</v>
      </c>
      <c r="B264" s="522">
        <f t="shared" si="16"/>
        <v>3204</v>
      </c>
      <c r="C264" s="522">
        <f t="shared" si="17"/>
        <v>3096.2999999999847</v>
      </c>
      <c r="D264" s="523">
        <f t="shared" si="18"/>
        <v>5151.3000000000266</v>
      </c>
      <c r="E264" s="522">
        <f t="shared" si="19"/>
        <v>4538.8999999999996</v>
      </c>
    </row>
    <row r="265" spans="1:5">
      <c r="A265" s="409">
        <v>260</v>
      </c>
      <c r="B265" s="522">
        <f t="shared" si="16"/>
        <v>3216</v>
      </c>
      <c r="C265" s="522">
        <f t="shared" si="17"/>
        <v>3107.8999999999846</v>
      </c>
      <c r="D265" s="523">
        <f t="shared" si="18"/>
        <v>5170.6000000000267</v>
      </c>
      <c r="E265" s="522">
        <f t="shared" si="19"/>
        <v>4555.8999999999996</v>
      </c>
    </row>
    <row r="266" spans="1:5">
      <c r="A266" s="409">
        <v>261</v>
      </c>
      <c r="B266" s="522">
        <f t="shared" si="16"/>
        <v>3228</v>
      </c>
      <c r="C266" s="522">
        <f t="shared" si="17"/>
        <v>3119.4999999999845</v>
      </c>
      <c r="D266" s="523">
        <f t="shared" si="18"/>
        <v>5189.9000000000269</v>
      </c>
      <c r="E266" s="522">
        <f t="shared" si="19"/>
        <v>4572.8999999999996</v>
      </c>
    </row>
    <row r="267" spans="1:5">
      <c r="A267" s="409">
        <v>262</v>
      </c>
      <c r="B267" s="522">
        <f t="shared" si="16"/>
        <v>3240</v>
      </c>
      <c r="C267" s="522">
        <f t="shared" si="17"/>
        <v>3131.0999999999844</v>
      </c>
      <c r="D267" s="523">
        <f t="shared" si="18"/>
        <v>5209.2000000000271</v>
      </c>
      <c r="E267" s="522">
        <f t="shared" si="19"/>
        <v>4589.8999999999996</v>
      </c>
    </row>
    <row r="268" spans="1:5">
      <c r="A268" s="409">
        <v>263</v>
      </c>
      <c r="B268" s="522">
        <f t="shared" si="16"/>
        <v>3252</v>
      </c>
      <c r="C268" s="522">
        <f t="shared" si="17"/>
        <v>3142.6999999999844</v>
      </c>
      <c r="D268" s="523">
        <f t="shared" si="18"/>
        <v>5228.5000000000273</v>
      </c>
      <c r="E268" s="522">
        <f t="shared" si="19"/>
        <v>4606.8999999999996</v>
      </c>
    </row>
    <row r="269" spans="1:5">
      <c r="A269" s="409">
        <v>264</v>
      </c>
      <c r="B269" s="522">
        <f t="shared" si="16"/>
        <v>3264</v>
      </c>
      <c r="C269" s="522">
        <f t="shared" si="17"/>
        <v>3154.2999999999843</v>
      </c>
      <c r="D269" s="523">
        <f t="shared" si="18"/>
        <v>5247.8000000000275</v>
      </c>
      <c r="E269" s="522">
        <f t="shared" si="19"/>
        <v>4623.8999999999996</v>
      </c>
    </row>
    <row r="270" spans="1:5">
      <c r="A270" s="409">
        <v>265</v>
      </c>
      <c r="B270" s="522">
        <f t="shared" si="16"/>
        <v>3276</v>
      </c>
      <c r="C270" s="522">
        <f t="shared" si="17"/>
        <v>3165.8999999999842</v>
      </c>
      <c r="D270" s="523">
        <f t="shared" si="18"/>
        <v>5267.1000000000276</v>
      </c>
      <c r="E270" s="522">
        <f t="shared" si="19"/>
        <v>4640.8999999999996</v>
      </c>
    </row>
    <row r="271" spans="1:5">
      <c r="A271" s="409">
        <v>266</v>
      </c>
      <c r="B271" s="522">
        <f t="shared" si="16"/>
        <v>3288</v>
      </c>
      <c r="C271" s="522">
        <f t="shared" si="17"/>
        <v>3177.4999999999841</v>
      </c>
      <c r="D271" s="523">
        <f t="shared" si="18"/>
        <v>5286.4000000000278</v>
      </c>
      <c r="E271" s="522">
        <f t="shared" si="19"/>
        <v>4657.8999999999996</v>
      </c>
    </row>
    <row r="272" spans="1:5">
      <c r="A272" s="409">
        <v>267</v>
      </c>
      <c r="B272" s="522">
        <f t="shared" si="16"/>
        <v>3300</v>
      </c>
      <c r="C272" s="522">
        <f t="shared" si="17"/>
        <v>3189.099999999984</v>
      </c>
      <c r="D272" s="523">
        <f t="shared" si="18"/>
        <v>5305.700000000028</v>
      </c>
      <c r="E272" s="522">
        <f t="shared" si="19"/>
        <v>4674.8999999999996</v>
      </c>
    </row>
    <row r="273" spans="1:5">
      <c r="A273" s="409">
        <v>268</v>
      </c>
      <c r="B273" s="522">
        <f t="shared" si="16"/>
        <v>3312</v>
      </c>
      <c r="C273" s="522">
        <f t="shared" si="17"/>
        <v>3200.6999999999839</v>
      </c>
      <c r="D273" s="523">
        <f t="shared" si="18"/>
        <v>5325.0000000000282</v>
      </c>
      <c r="E273" s="522">
        <f t="shared" si="19"/>
        <v>4691.8999999999996</v>
      </c>
    </row>
    <row r="274" spans="1:5">
      <c r="A274" s="409">
        <v>269</v>
      </c>
      <c r="B274" s="522">
        <f t="shared" si="16"/>
        <v>3324</v>
      </c>
      <c r="C274" s="522">
        <f t="shared" si="17"/>
        <v>3212.2999999999838</v>
      </c>
      <c r="D274" s="523">
        <f t="shared" si="18"/>
        <v>5344.3000000000284</v>
      </c>
      <c r="E274" s="522">
        <f t="shared" si="19"/>
        <v>4708.8999999999996</v>
      </c>
    </row>
    <row r="275" spans="1:5">
      <c r="A275" s="409">
        <v>270</v>
      </c>
      <c r="B275" s="522">
        <f t="shared" si="16"/>
        <v>3336</v>
      </c>
      <c r="C275" s="522">
        <f t="shared" si="17"/>
        <v>3223.8999999999837</v>
      </c>
      <c r="D275" s="523">
        <f t="shared" si="18"/>
        <v>5363.6000000000286</v>
      </c>
      <c r="E275" s="522">
        <f t="shared" si="19"/>
        <v>4725.8999999999996</v>
      </c>
    </row>
    <row r="276" spans="1:5">
      <c r="A276" s="409">
        <v>271</v>
      </c>
      <c r="B276" s="522">
        <f t="shared" si="16"/>
        <v>3348</v>
      </c>
      <c r="C276" s="522">
        <f t="shared" si="17"/>
        <v>3235.4999999999836</v>
      </c>
      <c r="D276" s="523">
        <f t="shared" si="18"/>
        <v>5382.9000000000287</v>
      </c>
      <c r="E276" s="522">
        <f t="shared" si="19"/>
        <v>4742.8999999999996</v>
      </c>
    </row>
    <row r="277" spans="1:5">
      <c r="A277" s="409">
        <v>272</v>
      </c>
      <c r="B277" s="522">
        <f t="shared" si="16"/>
        <v>3360</v>
      </c>
      <c r="C277" s="522">
        <f t="shared" si="17"/>
        <v>3247.0999999999835</v>
      </c>
      <c r="D277" s="523">
        <f t="shared" si="18"/>
        <v>5402.2000000000289</v>
      </c>
      <c r="E277" s="522">
        <f t="shared" si="19"/>
        <v>4759.8999999999996</v>
      </c>
    </row>
    <row r="278" spans="1:5">
      <c r="A278" s="409">
        <v>273</v>
      </c>
      <c r="B278" s="522">
        <f t="shared" si="16"/>
        <v>3372</v>
      </c>
      <c r="C278" s="522">
        <f t="shared" si="17"/>
        <v>3258.6999999999834</v>
      </c>
      <c r="D278" s="523">
        <f t="shared" si="18"/>
        <v>5421.5000000000291</v>
      </c>
      <c r="E278" s="522">
        <f t="shared" si="19"/>
        <v>4776.8999999999996</v>
      </c>
    </row>
    <row r="279" spans="1:5">
      <c r="A279" s="409">
        <v>274</v>
      </c>
      <c r="B279" s="522">
        <f t="shared" si="16"/>
        <v>3384</v>
      </c>
      <c r="C279" s="522">
        <f t="shared" si="17"/>
        <v>3270.2999999999834</v>
      </c>
      <c r="D279" s="523">
        <f t="shared" si="18"/>
        <v>5440.8000000000293</v>
      </c>
      <c r="E279" s="522">
        <f t="shared" si="19"/>
        <v>4793.8999999999996</v>
      </c>
    </row>
    <row r="280" spans="1:5">
      <c r="A280" s="409">
        <v>275</v>
      </c>
      <c r="B280" s="522">
        <f t="shared" si="16"/>
        <v>3396</v>
      </c>
      <c r="C280" s="522">
        <f t="shared" si="17"/>
        <v>3281.8999999999833</v>
      </c>
      <c r="D280" s="523">
        <f t="shared" si="18"/>
        <v>5460.1000000000295</v>
      </c>
      <c r="E280" s="522">
        <f t="shared" si="19"/>
        <v>4810.8999999999996</v>
      </c>
    </row>
    <row r="281" spans="1:5">
      <c r="A281" s="409">
        <v>276</v>
      </c>
      <c r="B281" s="522">
        <f t="shared" si="16"/>
        <v>3408</v>
      </c>
      <c r="C281" s="522">
        <f t="shared" si="17"/>
        <v>3293.4999999999832</v>
      </c>
      <c r="D281" s="523">
        <f t="shared" si="18"/>
        <v>5479.4000000000296</v>
      </c>
      <c r="E281" s="522">
        <f t="shared" si="19"/>
        <v>4827.8999999999996</v>
      </c>
    </row>
    <row r="282" spans="1:5">
      <c r="A282" s="409">
        <v>277</v>
      </c>
      <c r="B282" s="522">
        <f t="shared" si="16"/>
        <v>3420</v>
      </c>
      <c r="C282" s="522">
        <f t="shared" si="17"/>
        <v>3305.0999999999831</v>
      </c>
      <c r="D282" s="523">
        <f t="shared" si="18"/>
        <v>5498.7000000000298</v>
      </c>
      <c r="E282" s="522">
        <f t="shared" si="19"/>
        <v>4844.8999999999996</v>
      </c>
    </row>
    <row r="283" spans="1:5">
      <c r="A283" s="409">
        <v>278</v>
      </c>
      <c r="B283" s="522">
        <f t="shared" si="16"/>
        <v>3432</v>
      </c>
      <c r="C283" s="522">
        <f t="shared" si="17"/>
        <v>3316.699999999983</v>
      </c>
      <c r="D283" s="523">
        <f t="shared" si="18"/>
        <v>5518.00000000003</v>
      </c>
      <c r="E283" s="522">
        <f t="shared" si="19"/>
        <v>4861.8999999999996</v>
      </c>
    </row>
    <row r="284" spans="1:5">
      <c r="A284" s="409">
        <v>279</v>
      </c>
      <c r="B284" s="522">
        <f t="shared" si="16"/>
        <v>3444</v>
      </c>
      <c r="C284" s="522">
        <f t="shared" si="17"/>
        <v>3328.2999999999829</v>
      </c>
      <c r="D284" s="523">
        <f t="shared" si="18"/>
        <v>5537.3000000000302</v>
      </c>
      <c r="E284" s="522">
        <f t="shared" si="19"/>
        <v>4878.8999999999996</v>
      </c>
    </row>
    <row r="285" spans="1:5">
      <c r="A285" s="409">
        <v>280</v>
      </c>
      <c r="B285" s="522">
        <f t="shared" si="16"/>
        <v>3456</v>
      </c>
      <c r="C285" s="522">
        <f t="shared" si="17"/>
        <v>3339.8999999999828</v>
      </c>
      <c r="D285" s="523">
        <f t="shared" si="18"/>
        <v>5556.6000000000304</v>
      </c>
      <c r="E285" s="522">
        <f t="shared" si="19"/>
        <v>4895.8999999999996</v>
      </c>
    </row>
    <row r="286" spans="1:5">
      <c r="A286" s="409">
        <v>281</v>
      </c>
      <c r="B286" s="522">
        <f t="shared" si="16"/>
        <v>3468</v>
      </c>
      <c r="C286" s="522">
        <f t="shared" si="17"/>
        <v>3351.4999999999827</v>
      </c>
      <c r="D286" s="523">
        <f t="shared" si="18"/>
        <v>5575.9000000000306</v>
      </c>
      <c r="E286" s="522">
        <f t="shared" si="19"/>
        <v>4912.8999999999996</v>
      </c>
    </row>
    <row r="287" spans="1:5">
      <c r="A287" s="409">
        <v>282</v>
      </c>
      <c r="B287" s="522">
        <f t="shared" si="16"/>
        <v>3480</v>
      </c>
      <c r="C287" s="522">
        <f t="shared" si="17"/>
        <v>3363.0999999999826</v>
      </c>
      <c r="D287" s="523">
        <f t="shared" si="18"/>
        <v>5595.2000000000307</v>
      </c>
      <c r="E287" s="522">
        <f t="shared" si="19"/>
        <v>4929.8999999999996</v>
      </c>
    </row>
    <row r="288" spans="1:5">
      <c r="A288" s="409">
        <v>283</v>
      </c>
      <c r="B288" s="522">
        <f t="shared" si="16"/>
        <v>3492</v>
      </c>
      <c r="C288" s="522">
        <f t="shared" si="17"/>
        <v>3374.6999999999825</v>
      </c>
      <c r="D288" s="523">
        <f t="shared" si="18"/>
        <v>5614.5000000000309</v>
      </c>
      <c r="E288" s="522">
        <f t="shared" si="19"/>
        <v>4946.8999999999996</v>
      </c>
    </row>
    <row r="289" spans="1:5">
      <c r="A289" s="409">
        <v>284</v>
      </c>
      <c r="B289" s="522">
        <f t="shared" si="16"/>
        <v>3504</v>
      </c>
      <c r="C289" s="522">
        <f t="shared" si="17"/>
        <v>3386.2999999999824</v>
      </c>
      <c r="D289" s="523">
        <f t="shared" si="18"/>
        <v>5633.8000000000311</v>
      </c>
      <c r="E289" s="522">
        <f t="shared" si="19"/>
        <v>4963.8999999999996</v>
      </c>
    </row>
    <row r="290" spans="1:5">
      <c r="A290" s="409">
        <v>285</v>
      </c>
      <c r="B290" s="522">
        <f t="shared" si="16"/>
        <v>3516</v>
      </c>
      <c r="C290" s="522">
        <f t="shared" si="17"/>
        <v>3397.8999999999824</v>
      </c>
      <c r="D290" s="523">
        <f t="shared" si="18"/>
        <v>5653.1000000000313</v>
      </c>
      <c r="E290" s="522">
        <f t="shared" si="19"/>
        <v>4980.8999999999996</v>
      </c>
    </row>
    <row r="291" spans="1:5">
      <c r="A291" s="409">
        <v>286</v>
      </c>
      <c r="B291" s="522">
        <f t="shared" si="16"/>
        <v>3528</v>
      </c>
      <c r="C291" s="522">
        <f t="shared" si="17"/>
        <v>3409.4999999999823</v>
      </c>
      <c r="D291" s="523">
        <f t="shared" si="18"/>
        <v>5672.4000000000315</v>
      </c>
      <c r="E291" s="522">
        <f t="shared" si="19"/>
        <v>4997.8999999999996</v>
      </c>
    </row>
    <row r="292" spans="1:5">
      <c r="A292" s="409">
        <v>287</v>
      </c>
      <c r="B292" s="522">
        <f t="shared" si="16"/>
        <v>3540</v>
      </c>
      <c r="C292" s="522">
        <f t="shared" si="17"/>
        <v>3421.0999999999822</v>
      </c>
      <c r="D292" s="523">
        <f t="shared" si="18"/>
        <v>5691.7000000000317</v>
      </c>
      <c r="E292" s="522">
        <f t="shared" si="19"/>
        <v>5014.8999999999996</v>
      </c>
    </row>
    <row r="293" spans="1:5">
      <c r="A293" s="409">
        <v>288</v>
      </c>
      <c r="B293" s="522">
        <f t="shared" ref="B293:B305" si="20">B292+12</f>
        <v>3552</v>
      </c>
      <c r="C293" s="522">
        <f t="shared" ref="C293:C305" si="21">C292+11.6</f>
        <v>3432.6999999999821</v>
      </c>
      <c r="D293" s="523">
        <f t="shared" ref="D293:D305" si="22">D292+19.3</f>
        <v>5711.0000000000318</v>
      </c>
      <c r="E293" s="522">
        <f t="shared" ref="E293:E305" si="23">E292+17</f>
        <v>5031.8999999999996</v>
      </c>
    </row>
    <row r="294" spans="1:5">
      <c r="A294" s="409">
        <v>289</v>
      </c>
      <c r="B294" s="522">
        <f t="shared" si="20"/>
        <v>3564</v>
      </c>
      <c r="C294" s="522">
        <f t="shared" si="21"/>
        <v>3444.299999999982</v>
      </c>
      <c r="D294" s="523">
        <f t="shared" si="22"/>
        <v>5730.300000000032</v>
      </c>
      <c r="E294" s="522">
        <f t="shared" si="23"/>
        <v>5048.8999999999996</v>
      </c>
    </row>
    <row r="295" spans="1:5">
      <c r="A295" s="409">
        <v>290</v>
      </c>
      <c r="B295" s="522">
        <f t="shared" si="20"/>
        <v>3576</v>
      </c>
      <c r="C295" s="522">
        <f t="shared" si="21"/>
        <v>3455.8999999999819</v>
      </c>
      <c r="D295" s="523">
        <f t="shared" si="22"/>
        <v>5749.6000000000322</v>
      </c>
      <c r="E295" s="522">
        <f t="shared" si="23"/>
        <v>5065.8999999999996</v>
      </c>
    </row>
    <row r="296" spans="1:5">
      <c r="A296" s="409">
        <v>291</v>
      </c>
      <c r="B296" s="522">
        <f t="shared" si="20"/>
        <v>3588</v>
      </c>
      <c r="C296" s="522">
        <f t="shared" si="21"/>
        <v>3467.4999999999818</v>
      </c>
      <c r="D296" s="523">
        <f t="shared" si="22"/>
        <v>5768.9000000000324</v>
      </c>
      <c r="E296" s="522">
        <f t="shared" si="23"/>
        <v>5082.8999999999996</v>
      </c>
    </row>
    <row r="297" spans="1:5">
      <c r="A297" s="409">
        <v>292</v>
      </c>
      <c r="B297" s="522">
        <f t="shared" si="20"/>
        <v>3600</v>
      </c>
      <c r="C297" s="522">
        <f t="shared" si="21"/>
        <v>3479.0999999999817</v>
      </c>
      <c r="D297" s="523">
        <f t="shared" si="22"/>
        <v>5788.2000000000326</v>
      </c>
      <c r="E297" s="522">
        <f t="shared" si="23"/>
        <v>5099.8999999999996</v>
      </c>
    </row>
    <row r="298" spans="1:5">
      <c r="A298" s="409">
        <v>293</v>
      </c>
      <c r="B298" s="522">
        <f t="shared" si="20"/>
        <v>3612</v>
      </c>
      <c r="C298" s="522">
        <f t="shared" si="21"/>
        <v>3490.6999999999816</v>
      </c>
      <c r="D298" s="523">
        <f t="shared" si="22"/>
        <v>5807.5000000000327</v>
      </c>
      <c r="E298" s="522">
        <f t="shared" si="23"/>
        <v>5116.8999999999996</v>
      </c>
    </row>
    <row r="299" spans="1:5">
      <c r="A299" s="409">
        <v>294</v>
      </c>
      <c r="B299" s="522">
        <f t="shared" si="20"/>
        <v>3624</v>
      </c>
      <c r="C299" s="522">
        <f t="shared" si="21"/>
        <v>3502.2999999999815</v>
      </c>
      <c r="D299" s="523">
        <f t="shared" si="22"/>
        <v>5826.8000000000329</v>
      </c>
      <c r="E299" s="522">
        <f t="shared" si="23"/>
        <v>5133.8999999999996</v>
      </c>
    </row>
    <row r="300" spans="1:5">
      <c r="A300" s="409">
        <v>295</v>
      </c>
      <c r="B300" s="522">
        <f t="shared" si="20"/>
        <v>3636</v>
      </c>
      <c r="C300" s="522">
        <f t="shared" si="21"/>
        <v>3513.8999999999814</v>
      </c>
      <c r="D300" s="523">
        <f t="shared" si="22"/>
        <v>5846.1000000000331</v>
      </c>
      <c r="E300" s="522">
        <f t="shared" si="23"/>
        <v>5150.8999999999996</v>
      </c>
    </row>
    <row r="301" spans="1:5">
      <c r="A301" s="409">
        <v>296</v>
      </c>
      <c r="B301" s="522">
        <f t="shared" si="20"/>
        <v>3648</v>
      </c>
      <c r="C301" s="522">
        <f t="shared" si="21"/>
        <v>3525.4999999999814</v>
      </c>
      <c r="D301" s="523">
        <f t="shared" si="22"/>
        <v>5865.4000000000333</v>
      </c>
      <c r="E301" s="522">
        <f t="shared" si="23"/>
        <v>5167.8999999999996</v>
      </c>
    </row>
    <row r="302" spans="1:5">
      <c r="A302" s="409">
        <v>297</v>
      </c>
      <c r="B302" s="522">
        <f t="shared" si="20"/>
        <v>3660</v>
      </c>
      <c r="C302" s="522">
        <f t="shared" si="21"/>
        <v>3537.0999999999813</v>
      </c>
      <c r="D302" s="523">
        <f t="shared" si="22"/>
        <v>5884.7000000000335</v>
      </c>
      <c r="E302" s="522">
        <f t="shared" si="23"/>
        <v>5184.8999999999996</v>
      </c>
    </row>
    <row r="303" spans="1:5">
      <c r="A303" s="409">
        <v>298</v>
      </c>
      <c r="B303" s="522">
        <f t="shared" si="20"/>
        <v>3672</v>
      </c>
      <c r="C303" s="522">
        <f t="shared" si="21"/>
        <v>3548.6999999999812</v>
      </c>
      <c r="D303" s="523">
        <f t="shared" si="22"/>
        <v>5904.0000000000337</v>
      </c>
      <c r="E303" s="522">
        <f t="shared" si="23"/>
        <v>5201.8999999999996</v>
      </c>
    </row>
    <row r="304" spans="1:5">
      <c r="A304" s="409">
        <v>299</v>
      </c>
      <c r="B304" s="522">
        <f t="shared" si="20"/>
        <v>3684</v>
      </c>
      <c r="C304" s="522">
        <f t="shared" si="21"/>
        <v>3560.2999999999811</v>
      </c>
      <c r="D304" s="523">
        <f t="shared" si="22"/>
        <v>5923.3000000000338</v>
      </c>
      <c r="E304" s="522">
        <f t="shared" si="23"/>
        <v>5218.8999999999996</v>
      </c>
    </row>
    <row r="305" spans="1:5">
      <c r="A305" s="409">
        <v>300</v>
      </c>
      <c r="B305" s="522">
        <f t="shared" si="20"/>
        <v>3696</v>
      </c>
      <c r="C305" s="522">
        <f t="shared" si="21"/>
        <v>3571.899999999981</v>
      </c>
      <c r="D305" s="523">
        <f t="shared" si="22"/>
        <v>5942.600000000034</v>
      </c>
      <c r="E305" s="522">
        <f t="shared" si="23"/>
        <v>5235.8999999999996</v>
      </c>
    </row>
    <row r="306" spans="1:5">
      <c r="A306" s="475">
        <v>301</v>
      </c>
    </row>
    <row r="307" spans="1:5">
      <c r="A307" s="475">
        <v>302</v>
      </c>
    </row>
    <row r="308" spans="1:5">
      <c r="A308" s="475">
        <v>303</v>
      </c>
    </row>
    <row r="309" spans="1:5">
      <c r="A309" s="475">
        <v>304</v>
      </c>
    </row>
    <row r="310" spans="1:5">
      <c r="A310" s="475">
        <v>305</v>
      </c>
    </row>
    <row r="311" spans="1:5">
      <c r="A311" s="475">
        <v>306</v>
      </c>
    </row>
    <row r="312" spans="1:5">
      <c r="A312" s="475">
        <v>307</v>
      </c>
    </row>
    <row r="313" spans="1:5">
      <c r="A313" s="475">
        <v>308</v>
      </c>
    </row>
  </sheetData>
  <mergeCells count="3">
    <mergeCell ref="A1:F1"/>
    <mergeCell ref="B2:D2"/>
    <mergeCell ref="A3:A4"/>
  </mergeCells>
  <pageMargins left="1.04" right="0.7" top="0.32" bottom="0.4"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57</vt:i4>
      </vt:variant>
      <vt:variant>
        <vt:lpstr>Named Ranges</vt:lpstr>
      </vt:variant>
      <vt:variant>
        <vt:i4>74</vt:i4>
      </vt:variant>
    </vt:vector>
  </HeadingPairs>
  <TitlesOfParts>
    <vt:vector size="131" baseType="lpstr">
      <vt:lpstr>COVER</vt:lpstr>
      <vt:lpstr>SPE</vt:lpstr>
      <vt:lpstr>Genetic</vt:lpstr>
      <vt:lpstr>NIC</vt:lpstr>
      <vt:lpstr>INPUT</vt:lpstr>
      <vt:lpstr>abstract</vt:lpstr>
      <vt:lpstr>PART-A</vt:lpstr>
      <vt:lpstr>FF</vt:lpstr>
      <vt:lpstr>SF</vt:lpstr>
      <vt:lpstr>Water &amp; Electrical</vt:lpstr>
      <vt:lpstr>PART-B</vt:lpstr>
      <vt:lpstr>steel cal</vt:lpstr>
      <vt:lpstr>SEIG P-A </vt:lpstr>
      <vt:lpstr>SEIG P-B</vt:lpstr>
      <vt:lpstr>Differ- Material</vt:lpstr>
      <vt:lpstr>lead 19-20</vt:lpstr>
      <vt:lpstr>lead 20-21</vt:lpstr>
      <vt:lpstr>lead 21-22</vt:lpstr>
      <vt:lpstr>lead 22-23</vt:lpstr>
      <vt:lpstr>data</vt:lpstr>
      <vt:lpstr>D&amp;W data</vt:lpstr>
      <vt:lpstr>SANITATION DTA</vt:lpstr>
      <vt:lpstr>Ele Data</vt:lpstr>
      <vt:lpstr>con 2019-20</vt:lpstr>
      <vt:lpstr>MINI SSR 19-20</vt:lpstr>
      <vt:lpstr>lead 22-23 P-B</vt:lpstr>
      <vt:lpstr>data 2022-23</vt:lpstr>
      <vt:lpstr>door 2022-23</vt:lpstr>
      <vt:lpstr>SANI 2022-23</vt:lpstr>
      <vt:lpstr>Ele 2022-23</vt:lpstr>
      <vt:lpstr>MINI SSR 2020-21</vt:lpstr>
      <vt:lpstr>MINI SSR 21-22</vt:lpstr>
      <vt:lpstr>MINI SSR 2022-23</vt:lpstr>
      <vt:lpstr>MINI SSR 2022-23 (2)</vt:lpstr>
      <vt:lpstr>CS</vt:lpstr>
      <vt:lpstr>CR</vt:lpstr>
      <vt:lpstr>R-1</vt:lpstr>
      <vt:lpstr>con 2020-21</vt:lpstr>
      <vt:lpstr>R-2</vt:lpstr>
      <vt:lpstr>C-1</vt:lpstr>
      <vt:lpstr>CC f -2</vt:lpstr>
      <vt:lpstr>ccbc </vt:lpstr>
      <vt:lpstr>SEIG P-A  (2)</vt:lpstr>
      <vt:lpstr>CERTI </vt:lpstr>
      <vt:lpstr>RE-DE</vt:lpstr>
      <vt:lpstr>Proforma-I</vt:lpstr>
      <vt:lpstr>voucer part (2)</vt:lpstr>
      <vt:lpstr>1 (2)</vt:lpstr>
      <vt:lpstr>2 (2)</vt:lpstr>
      <vt:lpstr>3 (2)</vt:lpstr>
      <vt:lpstr>4 (2)</vt:lpstr>
      <vt:lpstr>5 (2)</vt:lpstr>
      <vt:lpstr>M-1 (2)</vt:lpstr>
      <vt:lpstr>M-3 (2)</vt:lpstr>
      <vt:lpstr>con 2021-22</vt:lpstr>
      <vt:lpstr>con 2022-23</vt:lpstr>
      <vt:lpstr>con 2022-23 (2)</vt:lpstr>
      <vt:lpstr>'1 (2)'!Print_Area</vt:lpstr>
      <vt:lpstr>'2 (2)'!Print_Area</vt:lpstr>
      <vt:lpstr>'3 (2)'!Print_Area</vt:lpstr>
      <vt:lpstr>'4 (2)'!Print_Area</vt:lpstr>
      <vt:lpstr>'5 (2)'!Print_Area</vt:lpstr>
      <vt:lpstr>abstract!Print_Area</vt:lpstr>
      <vt:lpstr>'C-1'!Print_Area</vt:lpstr>
      <vt:lpstr>'CC f -2'!Print_Area</vt:lpstr>
      <vt:lpstr>CR!Print_Area</vt:lpstr>
      <vt:lpstr>CS!Print_Area</vt:lpstr>
      <vt:lpstr>'D&amp;W data'!Print_Area</vt:lpstr>
      <vt:lpstr>data!Print_Area</vt:lpstr>
      <vt:lpstr>'data 2022-23'!Print_Area</vt:lpstr>
      <vt:lpstr>'Differ- Material'!Print_Area</vt:lpstr>
      <vt:lpstr>'door 2022-23'!Print_Area</vt:lpstr>
      <vt:lpstr>'Ele 2022-23'!Print_Area</vt:lpstr>
      <vt:lpstr>'Ele Data'!Print_Area</vt:lpstr>
      <vt:lpstr>FF!Print_Area</vt:lpstr>
      <vt:lpstr>Genetic!Print_Area</vt:lpstr>
      <vt:lpstr>INPUT!Print_Area</vt:lpstr>
      <vt:lpstr>'lead 19-20'!Print_Area</vt:lpstr>
      <vt:lpstr>'lead 20-21'!Print_Area</vt:lpstr>
      <vt:lpstr>'lead 21-22'!Print_Area</vt:lpstr>
      <vt:lpstr>'lead 22-23'!Print_Area</vt:lpstr>
      <vt:lpstr>'lead 22-23 P-B'!Print_Area</vt:lpstr>
      <vt:lpstr>NIC!Print_Area</vt:lpstr>
      <vt:lpstr>'PART-A'!Print_Area</vt:lpstr>
      <vt:lpstr>'PART-B'!Print_Area</vt:lpstr>
      <vt:lpstr>'R-1'!Print_Area</vt:lpstr>
      <vt:lpstr>'R-2'!Print_Area</vt:lpstr>
      <vt:lpstr>'SANI 2022-23'!Print_Area</vt:lpstr>
      <vt:lpstr>'SANITATION DTA'!Print_Area</vt:lpstr>
      <vt:lpstr>'SEIG P-A '!Print_Area</vt:lpstr>
      <vt:lpstr>'SEIG P-A  (2)'!Print_Area</vt:lpstr>
      <vt:lpstr>'SEIG P-B'!Print_Area</vt:lpstr>
      <vt:lpstr>SF!Print_Area</vt:lpstr>
      <vt:lpstr>SPE!Print_Area</vt:lpstr>
      <vt:lpstr>'voucer part (2)'!Print_Area</vt:lpstr>
      <vt:lpstr>'Water &amp; Electrical'!Print_Area</vt:lpstr>
      <vt:lpstr>abstract!Print_Titles</vt:lpstr>
      <vt:lpstr>'con 2019-20'!Print_Titles</vt:lpstr>
      <vt:lpstr>'con 2020-21'!Print_Titles</vt:lpstr>
      <vt:lpstr>'con 2021-22'!Print_Titles</vt:lpstr>
      <vt:lpstr>'con 2022-23'!Print_Titles</vt:lpstr>
      <vt:lpstr>'con 2022-23 (2)'!Print_Titles</vt:lpstr>
      <vt:lpstr>CR!Print_Titles</vt:lpstr>
      <vt:lpstr>CS!Print_Titles</vt:lpstr>
      <vt:lpstr>'D&amp;W data'!Print_Titles</vt:lpstr>
      <vt:lpstr>data!Print_Titles</vt:lpstr>
      <vt:lpstr>'data 2022-23'!Print_Titles</vt:lpstr>
      <vt:lpstr>'Differ- Material'!Print_Titles</vt:lpstr>
      <vt:lpstr>'door 2022-23'!Print_Titles</vt:lpstr>
      <vt:lpstr>'Ele 2022-23'!Print_Titles</vt:lpstr>
      <vt:lpstr>'Ele Data'!Print_Titles</vt:lpstr>
      <vt:lpstr>FF!Print_Titles</vt:lpstr>
      <vt:lpstr>INPUT!Print_Titles</vt:lpstr>
      <vt:lpstr>'lead 19-20'!Print_Titles</vt:lpstr>
      <vt:lpstr>'lead 20-21'!Print_Titles</vt:lpstr>
      <vt:lpstr>'lead 21-22'!Print_Titles</vt:lpstr>
      <vt:lpstr>'lead 22-23'!Print_Titles</vt:lpstr>
      <vt:lpstr>'lead 22-23 P-B'!Print_Titles</vt:lpstr>
      <vt:lpstr>NIC!Print_Titles</vt:lpstr>
      <vt:lpstr>'PART-A'!Print_Titles</vt:lpstr>
      <vt:lpstr>'PART-B'!Print_Titles</vt:lpstr>
      <vt:lpstr>'Proforma-I'!Print_Titles</vt:lpstr>
      <vt:lpstr>'R-1'!Print_Titles</vt:lpstr>
      <vt:lpstr>'R-2'!Print_Titles</vt:lpstr>
      <vt:lpstr>'SANI 2022-23'!Print_Titles</vt:lpstr>
      <vt:lpstr>'SANITATION DTA'!Print_Titles</vt:lpstr>
      <vt:lpstr>'SEIG P-A '!Print_Titles</vt:lpstr>
      <vt:lpstr>'SEIG P-A  (2)'!Print_Titles</vt:lpstr>
      <vt:lpstr>'SEIG P-B'!Print_Titles</vt:lpstr>
      <vt:lpstr>SF!Print_Titles</vt:lpstr>
      <vt:lpstr>'Water &amp; Electrical'!Print_Titles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UNIQUE</dc:creator>
  <cp:lastModifiedBy>welcome</cp:lastModifiedBy>
  <cp:lastPrinted>2024-06-15T08:46:07Z</cp:lastPrinted>
  <dcterms:created xsi:type="dcterms:W3CDTF">1996-10-14T23:33:28Z</dcterms:created>
  <dcterms:modified xsi:type="dcterms:W3CDTF">2024-06-15T08:46:14Z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VID3C5B19EF">
    <vt:lpwstr/>
  </property>
  <property fmtid="{D5CDD505-2E9C-101B-9397-08002B2CF9AE}" pid="3" name="IVID3E1216F6">
    <vt:lpwstr/>
  </property>
  <property fmtid="{D5CDD505-2E9C-101B-9397-08002B2CF9AE}" pid="4" name="IVID302816EE">
    <vt:lpwstr/>
  </property>
  <property fmtid="{D5CDD505-2E9C-101B-9397-08002B2CF9AE}" pid="5" name="IVID2B3716DF">
    <vt:lpwstr/>
  </property>
  <property fmtid="{D5CDD505-2E9C-101B-9397-08002B2CF9AE}" pid="6" name="IVIDF5E17EB">
    <vt:lpwstr/>
  </property>
  <property fmtid="{D5CDD505-2E9C-101B-9397-08002B2CF9AE}" pid="7" name="IVID275CAB41">
    <vt:lpwstr/>
  </property>
  <property fmtid="{D5CDD505-2E9C-101B-9397-08002B2CF9AE}" pid="8" name="IVID1F3B11E2">
    <vt:lpwstr/>
  </property>
  <property fmtid="{D5CDD505-2E9C-101B-9397-08002B2CF9AE}" pid="9" name="IVID115B1EDE">
    <vt:lpwstr/>
  </property>
  <property fmtid="{D5CDD505-2E9C-101B-9397-08002B2CF9AE}" pid="10" name="IVID6A3C8A73">
    <vt:lpwstr/>
  </property>
  <property fmtid="{D5CDD505-2E9C-101B-9397-08002B2CF9AE}" pid="11" name="IVID286514FE">
    <vt:lpwstr/>
  </property>
  <property fmtid="{D5CDD505-2E9C-101B-9397-08002B2CF9AE}" pid="12" name="IVID38E35B7D">
    <vt:lpwstr/>
  </property>
  <property fmtid="{D5CDD505-2E9C-101B-9397-08002B2CF9AE}" pid="13" name="IVID305D14E1">
    <vt:lpwstr/>
  </property>
  <property fmtid="{D5CDD505-2E9C-101B-9397-08002B2CF9AE}" pid="14" name="IVID1D4A16E0">
    <vt:lpwstr/>
  </property>
  <property fmtid="{D5CDD505-2E9C-101B-9397-08002B2CF9AE}" pid="15" name="IVID344C1504">
    <vt:lpwstr/>
  </property>
  <property fmtid="{D5CDD505-2E9C-101B-9397-08002B2CF9AE}" pid="16" name="IVID38E958C0">
    <vt:lpwstr/>
  </property>
  <property fmtid="{D5CDD505-2E9C-101B-9397-08002B2CF9AE}" pid="17" name="IVID392816EE">
    <vt:lpwstr/>
  </property>
  <property fmtid="{D5CDD505-2E9C-101B-9397-08002B2CF9AE}" pid="18" name="IVID8A57BBF5">
    <vt:lpwstr/>
  </property>
  <property fmtid="{D5CDD505-2E9C-101B-9397-08002B2CF9AE}" pid="19" name="IVID307E17E9">
    <vt:lpwstr/>
  </property>
  <property fmtid="{D5CDD505-2E9C-101B-9397-08002B2CF9AE}" pid="20" name="IVID380DE5ED">
    <vt:lpwstr/>
  </property>
  <property fmtid="{D5CDD505-2E9C-101B-9397-08002B2CF9AE}" pid="21" name="IVID8A614DBE">
    <vt:lpwstr/>
  </property>
  <property fmtid="{D5CDD505-2E9C-101B-9397-08002B2CF9AE}" pid="22" name="IVID36161401">
    <vt:lpwstr/>
  </property>
  <property fmtid="{D5CDD505-2E9C-101B-9397-08002B2CF9AE}" pid="23" name="IVIDE663952B">
    <vt:lpwstr/>
  </property>
  <property fmtid="{D5CDD505-2E9C-101B-9397-08002B2CF9AE}" pid="24" name="IVID1F5816E2">
    <vt:lpwstr/>
  </property>
  <property fmtid="{D5CDD505-2E9C-101B-9397-08002B2CF9AE}" pid="25" name="IVID11EC0E58">
    <vt:lpwstr/>
  </property>
  <property fmtid="{D5CDD505-2E9C-101B-9397-08002B2CF9AE}" pid="26" name="IVIDC571CDF">
    <vt:lpwstr/>
  </property>
  <property fmtid="{D5CDD505-2E9C-101B-9397-08002B2CF9AE}" pid="27" name="IVID1A4D13F6">
    <vt:lpwstr/>
  </property>
  <property fmtid="{D5CDD505-2E9C-101B-9397-08002B2CF9AE}" pid="28" name="IVID293417FE">
    <vt:lpwstr/>
  </property>
  <property fmtid="{D5CDD505-2E9C-101B-9397-08002B2CF9AE}" pid="29" name="IVID15FF2D5A">
    <vt:lpwstr/>
  </property>
  <property fmtid="{D5CDD505-2E9C-101B-9397-08002B2CF9AE}" pid="30" name="IVID353513D9">
    <vt:lpwstr/>
  </property>
  <property fmtid="{D5CDD505-2E9C-101B-9397-08002B2CF9AE}" pid="31" name="IVID134E14D3">
    <vt:lpwstr/>
  </property>
  <property fmtid="{D5CDD505-2E9C-101B-9397-08002B2CF9AE}" pid="32" name="IVID326812F5">
    <vt:lpwstr/>
  </property>
  <property fmtid="{D5CDD505-2E9C-101B-9397-08002B2CF9AE}" pid="33" name="IVID381A7C7E">
    <vt:lpwstr/>
  </property>
  <property fmtid="{D5CDD505-2E9C-101B-9397-08002B2CF9AE}" pid="34" name="IVID197012F1">
    <vt:lpwstr/>
  </property>
  <property fmtid="{D5CDD505-2E9C-101B-9397-08002B2CF9AE}" pid="35" name="IVID2F1E1603">
    <vt:lpwstr/>
  </property>
  <property fmtid="{D5CDD505-2E9C-101B-9397-08002B2CF9AE}" pid="36" name="IVIDC">
    <vt:lpwstr/>
  </property>
  <property fmtid="{D5CDD505-2E9C-101B-9397-08002B2CF9AE}" pid="37" name="IVID362F13E8">
    <vt:lpwstr/>
  </property>
  <property fmtid="{D5CDD505-2E9C-101B-9397-08002B2CF9AE}" pid="38" name="IVID3A3618F1">
    <vt:lpwstr/>
  </property>
  <property fmtid="{D5CDD505-2E9C-101B-9397-08002B2CF9AE}" pid="39" name="IVID15E41318">
    <vt:lpwstr/>
  </property>
  <property fmtid="{D5CDD505-2E9C-101B-9397-08002B2CF9AE}" pid="40" name="IVID181914D9">
    <vt:lpwstr/>
  </property>
  <property fmtid="{D5CDD505-2E9C-101B-9397-08002B2CF9AE}" pid="41" name="IVID155815FB">
    <vt:lpwstr/>
  </property>
  <property fmtid="{D5CDD505-2E9C-101B-9397-08002B2CF9AE}" pid="42" name="IVIDD091BF0">
    <vt:lpwstr/>
  </property>
  <property fmtid="{D5CDD505-2E9C-101B-9397-08002B2CF9AE}" pid="43" name="IVID344CCFFC">
    <vt:lpwstr/>
  </property>
  <property fmtid="{D5CDD505-2E9C-101B-9397-08002B2CF9AE}" pid="44" name="IVID1A7D12ED">
    <vt:lpwstr/>
  </property>
  <property fmtid="{D5CDD505-2E9C-101B-9397-08002B2CF9AE}" pid="45" name="IVID1B2115FE">
    <vt:lpwstr/>
  </property>
  <property fmtid="{D5CDD505-2E9C-101B-9397-08002B2CF9AE}" pid="46" name="IVID35431BD0">
    <vt:lpwstr/>
  </property>
  <property fmtid="{D5CDD505-2E9C-101B-9397-08002B2CF9AE}" pid="47" name="IVID4637A884">
    <vt:lpwstr/>
  </property>
  <property fmtid="{D5CDD505-2E9C-101B-9397-08002B2CF9AE}" pid="48" name="IVID127C14F5">
    <vt:lpwstr/>
  </property>
  <property fmtid="{D5CDD505-2E9C-101B-9397-08002B2CF9AE}" pid="49" name="IVID1834F0DD">
    <vt:lpwstr/>
  </property>
  <property fmtid="{D5CDD505-2E9C-101B-9397-08002B2CF9AE}" pid="50" name="IVID312119E0">
    <vt:lpwstr/>
  </property>
  <property fmtid="{D5CDD505-2E9C-101B-9397-08002B2CF9AE}" pid="51" name="IVID1C5812DA">
    <vt:lpwstr/>
  </property>
  <property fmtid="{D5CDD505-2E9C-101B-9397-08002B2CF9AE}" pid="52" name="IVID173907ED">
    <vt:lpwstr/>
  </property>
  <property fmtid="{D5CDD505-2E9C-101B-9397-08002B2CF9AE}" pid="53" name="IVID274B1CF5">
    <vt:lpwstr/>
  </property>
  <property fmtid="{D5CDD505-2E9C-101B-9397-08002B2CF9AE}" pid="54" name="IVID2B4E17FA">
    <vt:lpwstr/>
  </property>
  <property fmtid="{D5CDD505-2E9C-101B-9397-08002B2CF9AE}" pid="55" name="IVID204114FA">
    <vt:lpwstr/>
  </property>
  <property fmtid="{D5CDD505-2E9C-101B-9397-08002B2CF9AE}" pid="56" name="IVID2A7117D7">
    <vt:lpwstr/>
  </property>
  <property fmtid="{D5CDD505-2E9C-101B-9397-08002B2CF9AE}" pid="57" name="IVIDE331703">
    <vt:lpwstr/>
  </property>
  <property fmtid="{D5CDD505-2E9C-101B-9397-08002B2CF9AE}" pid="58" name="IVID416E11FD">
    <vt:lpwstr/>
  </property>
  <property fmtid="{D5CDD505-2E9C-101B-9397-08002B2CF9AE}" pid="59" name="IVID52D0E06">
    <vt:lpwstr/>
  </property>
  <property fmtid="{D5CDD505-2E9C-101B-9397-08002B2CF9AE}" pid="60" name="IVID365C19D4">
    <vt:lpwstr/>
  </property>
  <property fmtid="{D5CDD505-2E9C-101B-9397-08002B2CF9AE}" pid="61" name="IVID253D11EF">
    <vt:lpwstr/>
  </property>
  <property fmtid="{D5CDD505-2E9C-101B-9397-08002B2CF9AE}" pid="62" name="IVID173E1206">
    <vt:lpwstr/>
  </property>
  <property fmtid="{D5CDD505-2E9C-101B-9397-08002B2CF9AE}" pid="63" name="IVID232310EC">
    <vt:lpwstr/>
  </property>
  <property fmtid="{D5CDD505-2E9C-101B-9397-08002B2CF9AE}" pid="64" name="IVID133D1AE5">
    <vt:lpwstr/>
  </property>
  <property fmtid="{D5CDD505-2E9C-101B-9397-08002B2CF9AE}" pid="65" name="IVIDF6113D9">
    <vt:lpwstr/>
  </property>
  <property fmtid="{D5CDD505-2E9C-101B-9397-08002B2CF9AE}" pid="66" name="IVID307414D1">
    <vt:lpwstr/>
  </property>
  <property fmtid="{D5CDD505-2E9C-101B-9397-08002B2CF9AE}" pid="67" name="IVID344B1400">
    <vt:lpwstr/>
  </property>
  <property fmtid="{D5CDD505-2E9C-101B-9397-08002B2CF9AE}" pid="68" name="IVID135B1DF5">
    <vt:lpwstr/>
  </property>
  <property fmtid="{D5CDD505-2E9C-101B-9397-08002B2CF9AE}" pid="69" name="IVID1A3716D3">
    <vt:lpwstr/>
  </property>
  <property fmtid="{D5CDD505-2E9C-101B-9397-08002B2CF9AE}" pid="70" name="IVIDD1916DB">
    <vt:lpwstr/>
  </property>
  <property fmtid="{D5CDD505-2E9C-101B-9397-08002B2CF9AE}" pid="71" name="IVID11431AF1">
    <vt:lpwstr/>
  </property>
  <property fmtid="{D5CDD505-2E9C-101B-9397-08002B2CF9AE}" pid="72" name="IVID1B2C19F3">
    <vt:lpwstr/>
  </property>
  <property fmtid="{D5CDD505-2E9C-101B-9397-08002B2CF9AE}" pid="73" name="IVIDD5E0FE6">
    <vt:lpwstr/>
  </property>
  <property fmtid="{D5CDD505-2E9C-101B-9397-08002B2CF9AE}" pid="74" name="IVID162D1605">
    <vt:lpwstr/>
  </property>
  <property fmtid="{D5CDD505-2E9C-101B-9397-08002B2CF9AE}" pid="75" name="IVIDA3E11E9">
    <vt:lpwstr/>
  </property>
  <property fmtid="{D5CDD505-2E9C-101B-9397-08002B2CF9AE}" pid="76" name="IVID1A3517F4">
    <vt:lpwstr/>
  </property>
  <property fmtid="{D5CDD505-2E9C-101B-9397-08002B2CF9AE}" pid="77" name="IVID375215CF">
    <vt:lpwstr/>
  </property>
  <property fmtid="{D5CDD505-2E9C-101B-9397-08002B2CF9AE}" pid="78" name="IVID1D401702">
    <vt:lpwstr/>
  </property>
  <property fmtid="{D5CDD505-2E9C-101B-9397-08002B2CF9AE}" pid="79" name="IVID382E16DB">
    <vt:lpwstr/>
  </property>
  <property fmtid="{D5CDD505-2E9C-101B-9397-08002B2CF9AE}" pid="80" name="IVID30321805">
    <vt:lpwstr/>
  </property>
  <property fmtid="{D5CDD505-2E9C-101B-9397-08002B2CF9AE}" pid="81" name="IVIDF3415DD">
    <vt:lpwstr/>
  </property>
  <property fmtid="{D5CDD505-2E9C-101B-9397-08002B2CF9AE}" pid="82" name="IVID112118DE">
    <vt:lpwstr/>
  </property>
  <property fmtid="{D5CDD505-2E9C-101B-9397-08002B2CF9AE}" pid="83" name="IVID2C0E11E8">
    <vt:lpwstr/>
  </property>
  <property fmtid="{D5CDD505-2E9C-101B-9397-08002B2CF9AE}" pid="84" name="IVID233A10E1">
    <vt:lpwstr/>
  </property>
  <property fmtid="{D5CDD505-2E9C-101B-9397-08002B2CF9AE}" pid="85" name="IVID3E3919D4">
    <vt:lpwstr/>
  </property>
  <property fmtid="{D5CDD505-2E9C-101B-9397-08002B2CF9AE}" pid="86" name="IVID113E1ADD">
    <vt:lpwstr/>
  </property>
  <property fmtid="{D5CDD505-2E9C-101B-9397-08002B2CF9AE}" pid="87" name="IVID113D14F9">
    <vt:lpwstr/>
  </property>
  <property fmtid="{D5CDD505-2E9C-101B-9397-08002B2CF9AE}" pid="88" name="IVID1D3F17E2">
    <vt:lpwstr/>
  </property>
  <property fmtid="{D5CDD505-2E9C-101B-9397-08002B2CF9AE}" pid="89" name="IVID13451200">
    <vt:lpwstr/>
  </property>
  <property fmtid="{D5CDD505-2E9C-101B-9397-08002B2CF9AE}" pid="90" name="IVID121617DE">
    <vt:lpwstr/>
  </property>
  <property fmtid="{D5CDD505-2E9C-101B-9397-08002B2CF9AE}" pid="91" name="IVID13691AF2">
    <vt:lpwstr/>
  </property>
  <property fmtid="{D5CDD505-2E9C-101B-9397-08002B2CF9AE}" pid="92" name="IVID265C1905">
    <vt:lpwstr/>
  </property>
  <property fmtid="{D5CDD505-2E9C-101B-9397-08002B2CF9AE}" pid="93" name="IVID32281CED">
    <vt:lpwstr/>
  </property>
  <property fmtid="{D5CDD505-2E9C-101B-9397-08002B2CF9AE}" pid="94" name="IVID102124BA">
    <vt:lpwstr/>
  </property>
  <property fmtid="{D5CDD505-2E9C-101B-9397-08002B2CF9AE}" pid="95" name="IVID3D1509D0">
    <vt:lpwstr/>
  </property>
  <property fmtid="{D5CDD505-2E9C-101B-9397-08002B2CF9AE}" pid="96" name="IVID35641901">
    <vt:lpwstr/>
  </property>
  <property fmtid="{D5CDD505-2E9C-101B-9397-08002B2CF9AE}" pid="97" name="IVID45E1ED9">
    <vt:lpwstr/>
  </property>
  <property fmtid="{D5CDD505-2E9C-101B-9397-08002B2CF9AE}" pid="98" name="IVID324113D1">
    <vt:lpwstr/>
  </property>
  <property fmtid="{D5CDD505-2E9C-101B-9397-08002B2CF9AE}" pid="99" name="IVID1A2D1903">
    <vt:lpwstr/>
  </property>
  <property fmtid="{D5CDD505-2E9C-101B-9397-08002B2CF9AE}" pid="100" name="IVID370C1506">
    <vt:lpwstr/>
  </property>
  <property fmtid="{D5CDD505-2E9C-101B-9397-08002B2CF9AE}" pid="101" name="IVID12581504">
    <vt:lpwstr/>
  </property>
  <property fmtid="{D5CDD505-2E9C-101B-9397-08002B2CF9AE}" pid="102" name="IVID366A14F0">
    <vt:lpwstr/>
  </property>
  <property fmtid="{D5CDD505-2E9C-101B-9397-08002B2CF9AE}" pid="103" name="IVID10761BDE">
    <vt:lpwstr/>
  </property>
  <property fmtid="{D5CDD505-2E9C-101B-9397-08002B2CF9AE}" pid="104" name="IVID355E0AD7">
    <vt:lpwstr/>
  </property>
  <property fmtid="{D5CDD505-2E9C-101B-9397-08002B2CF9AE}" pid="105" name="IVID242419FF">
    <vt:lpwstr/>
  </property>
  <property fmtid="{D5CDD505-2E9C-101B-9397-08002B2CF9AE}" pid="106" name="IVID17690D05">
    <vt:lpwstr/>
  </property>
  <property fmtid="{D5CDD505-2E9C-101B-9397-08002B2CF9AE}" pid="107" name="IVID1A3B0AF0">
    <vt:lpwstr/>
  </property>
  <property fmtid="{D5CDD505-2E9C-101B-9397-08002B2CF9AE}" pid="108" name="IVID294416DA">
    <vt:lpwstr/>
  </property>
  <property fmtid="{D5CDD505-2E9C-101B-9397-08002B2CF9AE}" pid="109" name="IVID224A1AD0">
    <vt:lpwstr/>
  </property>
  <property fmtid="{D5CDD505-2E9C-101B-9397-08002B2CF9AE}" pid="110" name="IVID331F11E2">
    <vt:lpwstr/>
  </property>
  <property fmtid="{D5CDD505-2E9C-101B-9397-08002B2CF9AE}" pid="111" name="IVID1306391F">
    <vt:lpwstr/>
  </property>
  <property fmtid="{D5CDD505-2E9C-101B-9397-08002B2CF9AE}" pid="112" name="IVID3A281BD0">
    <vt:lpwstr/>
  </property>
  <property fmtid="{D5CDD505-2E9C-101B-9397-08002B2CF9AE}" pid="113" name="IVID2A2E1805">
    <vt:lpwstr/>
  </property>
  <property fmtid="{D5CDD505-2E9C-101B-9397-08002B2CF9AE}" pid="114" name="IVID3C5018D1">
    <vt:lpwstr/>
  </property>
  <property fmtid="{D5CDD505-2E9C-101B-9397-08002B2CF9AE}" pid="115" name="IVID3B3616E1">
    <vt:lpwstr/>
  </property>
  <property fmtid="{D5CDD505-2E9C-101B-9397-08002B2CF9AE}" pid="116" name="IVID291114D3">
    <vt:lpwstr/>
  </property>
  <property fmtid="{D5CDD505-2E9C-101B-9397-08002B2CF9AE}" pid="117" name="IVID402F12D9">
    <vt:lpwstr/>
  </property>
  <property fmtid="{D5CDD505-2E9C-101B-9397-08002B2CF9AE}" pid="118" name="IVID352F10D9">
    <vt:lpwstr/>
  </property>
  <property fmtid="{D5CDD505-2E9C-101B-9397-08002B2CF9AE}" pid="119" name="IVID383A16E2">
    <vt:lpwstr/>
  </property>
  <property fmtid="{D5CDD505-2E9C-101B-9397-08002B2CF9AE}" pid="120" name="IVID281911E9">
    <vt:lpwstr/>
  </property>
  <property fmtid="{D5CDD505-2E9C-101B-9397-08002B2CF9AE}" pid="121" name="IVID89EFF3FC">
    <vt:lpwstr/>
  </property>
  <property fmtid="{D5CDD505-2E9C-101B-9397-08002B2CF9AE}" pid="122" name="IVIDA3B1CD3">
    <vt:lpwstr/>
  </property>
  <property fmtid="{D5CDD505-2E9C-101B-9397-08002B2CF9AE}" pid="123" name="IVID24428E10">
    <vt:lpwstr/>
  </property>
  <property fmtid="{D5CDD505-2E9C-101B-9397-08002B2CF9AE}" pid="124" name="IVID296C11F7">
    <vt:lpwstr/>
  </property>
  <property fmtid="{D5CDD505-2E9C-101B-9397-08002B2CF9AE}" pid="125" name="IVID1E3210E2">
    <vt:lpwstr/>
  </property>
  <property fmtid="{D5CDD505-2E9C-101B-9397-08002B2CF9AE}" pid="126" name="IVIDD3911FD">
    <vt:lpwstr/>
  </property>
  <property fmtid="{D5CDD505-2E9C-101B-9397-08002B2CF9AE}" pid="127" name="IVID362611EA">
    <vt:lpwstr/>
  </property>
  <property fmtid="{D5CDD505-2E9C-101B-9397-08002B2CF9AE}" pid="128" name="IVID250607C8">
    <vt:lpwstr/>
  </property>
  <property fmtid="{D5CDD505-2E9C-101B-9397-08002B2CF9AE}" pid="129" name="IVID89475BC5">
    <vt:lpwstr/>
  </property>
  <property fmtid="{D5CDD505-2E9C-101B-9397-08002B2CF9AE}" pid="130" name="IVID2A5F13D5">
    <vt:lpwstr/>
  </property>
  <property fmtid="{D5CDD505-2E9C-101B-9397-08002B2CF9AE}" pid="131" name="IVID1A4D17E3">
    <vt:lpwstr/>
  </property>
  <property fmtid="{D5CDD505-2E9C-101B-9397-08002B2CF9AE}" pid="132" name="IVID285E1306">
    <vt:lpwstr/>
  </property>
  <property fmtid="{D5CDD505-2E9C-101B-9397-08002B2CF9AE}" pid="133" name="IVID24551DE1">
    <vt:lpwstr/>
  </property>
  <property fmtid="{D5CDD505-2E9C-101B-9397-08002B2CF9AE}" pid="134" name="IVID154C1709">
    <vt:lpwstr/>
  </property>
  <property fmtid="{D5CDD505-2E9C-101B-9397-08002B2CF9AE}" pid="135" name="IVID14A8E3B7">
    <vt:lpwstr/>
  </property>
  <property fmtid="{D5CDD505-2E9C-101B-9397-08002B2CF9AE}" pid="136" name="IVIDB81AB6AE">
    <vt:lpwstr/>
  </property>
  <property fmtid="{D5CDD505-2E9C-101B-9397-08002B2CF9AE}" pid="137" name="IVID380A8D9C">
    <vt:lpwstr/>
  </property>
  <property fmtid="{D5CDD505-2E9C-101B-9397-08002B2CF9AE}" pid="138" name="IVIDE4A8B685">
    <vt:lpwstr/>
  </property>
  <property fmtid="{D5CDD505-2E9C-101B-9397-08002B2CF9AE}" pid="139" name="IVIDECBFC9AA">
    <vt:lpwstr/>
  </property>
  <property fmtid="{D5CDD505-2E9C-101B-9397-08002B2CF9AE}" pid="140" name="IVID8A77A1EA">
    <vt:lpwstr/>
  </property>
  <property fmtid="{D5CDD505-2E9C-101B-9397-08002B2CF9AE}" pid="141" name="IVIDA0D53319">
    <vt:lpwstr/>
  </property>
  <property fmtid="{D5CDD505-2E9C-101B-9397-08002B2CF9AE}" pid="142" name="IVID384F12E1">
    <vt:lpwstr/>
  </property>
  <property fmtid="{D5CDD505-2E9C-101B-9397-08002B2CF9AE}" pid="143" name="IVID8A75AB65">
    <vt:lpwstr/>
  </property>
  <property fmtid="{D5CDD505-2E9C-101B-9397-08002B2CF9AE}" pid="144" name="IVID224B15D4">
    <vt:lpwstr/>
  </property>
  <property fmtid="{D5CDD505-2E9C-101B-9397-08002B2CF9AE}" pid="145" name="IVIDE7513D4">
    <vt:lpwstr/>
  </property>
</Properties>
</file>